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2018" state="visible" r:id="rId4"/>
    <sheet sheetId="2" name="СВОД_18" state="hidden" r:id="rId5"/>
    <sheet sheetId="3" name="Эл.энергия_18" state="hidden" r:id="rId6"/>
    <sheet sheetId="4" name="Эл.энергия (зима)_18" state="hidden" r:id="rId7"/>
    <sheet sheetId="5" name="Вода_18" state="hidden" r:id="rId8"/>
    <sheet sheetId="6" name="2019" state="hidden" r:id="rId9"/>
    <sheet sheetId="7" name="СВОД_19" state="hidden" r:id="rId10"/>
    <sheet sheetId="8" name="Эл.энергия (расход)_19" state="hidden" r:id="rId11"/>
    <sheet sheetId="9" name="Эл.энергия (показания)_19" state="hidden" r:id="rId12"/>
    <sheet sheetId="10" name="Эл.энергия (зима)_19" state="hidden" r:id="rId13"/>
    <sheet sheetId="11" name="Вода_19" state="hidden" r:id="rId14"/>
    <sheet sheetId="12" name="уч.32" state="hidden" r:id="rId15"/>
    <sheet sheetId="13" name="2020" state="visible" r:id="rId16"/>
    <sheet sheetId="14" name="СВОД_20" state="visible" r:id="rId17"/>
    <sheet sheetId="15" name="Эл.энергия (расход)_20" state="visible" r:id="rId18"/>
    <sheet sheetId="16" name="Эл.энергия (показания)_20" state="visible" r:id="rId19"/>
    <sheet sheetId="17" name="Вода_20" state="visible" r:id="rId20"/>
    <sheet sheetId="18" name="2021" state="visible" r:id="rId21"/>
    <sheet sheetId="19" name="СВОД_21" state="visible" r:id="rId22"/>
    <sheet sheetId="20" name="Эл.энергия (расход)_21" state="visible" r:id="rId23"/>
    <sheet sheetId="21" name="Эл.энергия (показания)_21 (2)" state="visible" r:id="rId24"/>
    <sheet sheetId="22" name="Эл.энергия (зима)_20" state="visible" r:id="rId25"/>
    <sheet sheetId="23" name="Эл.энергия (зима)_21" state="visible" r:id="rId26"/>
    <sheet sheetId="24" name="Вода_21" state="visible" r:id="rId27"/>
    <sheet sheetId="25" name="2022" state="visible" r:id="rId28"/>
    <sheet sheetId="26" name="СВОД_22" state="visible" r:id="rId29"/>
    <sheet sheetId="27" name="Эл.энергия (расход)_22" state="visible" r:id="rId30"/>
    <sheet sheetId="28" name="Эл.энергия (показания)_22" state="visible" r:id="rId31"/>
    <sheet sheetId="29" name="Эл.энергия (зима)_22" state="visible" r:id="rId32"/>
    <sheet sheetId="30" name="Вода_22" state="visible" r:id="rId33"/>
    <sheet sheetId="31" name="Вода (показания)_22" state="visible" r:id="rId34"/>
  </sheets>
  <definedNames>
    <definedName name="_xlnm._FilterDatabase">'Вода_22'!$B$4:$AC$121</definedName>
  </definedNames>
  <calcPr calcId="171027"/>
</workbook>
</file>

<file path=xl/comments13.xml><?xml version="1.0" encoding="utf-8"?>
<comments xmlns="http://schemas.openxmlformats.org/spreadsheetml/2006/main">
  <authors>
    <author>Author</author>
  </authors>
  <commentList>
    <comment ref="D13" authorId="0">
      <text/>
    </comment>
    <comment ref="D14" authorId="0">
      <text/>
    </comment>
    <comment ref="X305" authorId="0">
      <text/>
    </comment>
    <comment ref="AJ408" authorId="0">
      <text/>
    </comment>
    <comment ref="U433" authorId="0">
      <text/>
    </comment>
    <comment ref="Y433" authorId="0">
      <text/>
    </comment>
    <comment ref="AA618" authorId="0">
      <text/>
    </comment>
    <comment ref="AA627" authorId="0">
      <text/>
    </comment>
    <comment ref="AG685" authorId="0">
      <text/>
    </comment>
    <comment ref="AA870" authorId="0">
      <text/>
    </comment>
    <comment ref="AA906" authorId="0">
      <text/>
    </comment>
    <comment ref="AA924" authorId="0">
      <text/>
    </comment>
  </commentList>
</comments>
</file>

<file path=xl/comments14.xml><?xml version="1.0" encoding="utf-8"?>
<comments xmlns="http://schemas.openxmlformats.org/spreadsheetml/2006/main">
  <authors>
    <author>Author</author>
  </authors>
  <commentList>
    <comment ref="J3" authorId="0">
      <text/>
    </comment>
    <comment ref="K3" authorId="0">
      <text/>
    </comment>
    <comment ref="N3" authorId="0">
      <text/>
    </comment>
    <comment ref="Z3" authorId="0">
      <text/>
    </comment>
    <comment ref="AC3" authorId="0">
      <text/>
    </comment>
  </commentList>
</comments>
</file>

<file path=xl/comments18.xml><?xml version="1.0" encoding="utf-8"?>
<comments xmlns="http://schemas.openxmlformats.org/spreadsheetml/2006/main">
  <authors>
    <author>Author</author>
  </authors>
  <commentList>
    <comment ref="Y3" authorId="0">
      <text/>
    </comment>
    <comment ref="AC3" authorId="0">
      <text/>
    </comment>
    <comment ref="AO3" authorId="0">
      <text/>
    </comment>
    <comment ref="D13" authorId="0">
      <text/>
    </comment>
    <comment ref="D14" authorId="0">
      <text/>
    </comment>
    <comment ref="Y19" authorId="0">
      <text/>
    </comment>
    <comment ref="Y28" authorId="0">
      <text/>
    </comment>
    <comment ref="H45" authorId="0">
      <text/>
    </comment>
    <comment ref="Y46" authorId="0">
      <text/>
    </comment>
    <comment ref="Y55" authorId="0">
      <text/>
    </comment>
    <comment ref="Y64" authorId="0">
      <text/>
    </comment>
    <comment ref="Y73" authorId="0">
      <text/>
    </comment>
    <comment ref="Y82" authorId="0">
      <text/>
    </comment>
    <comment ref="I117" authorId="0">
      <text/>
    </comment>
    <comment ref="M117" authorId="0">
      <text/>
    </comment>
    <comment ref="Y118" authorId="0">
      <text/>
    </comment>
    <comment ref="Y127" authorId="0">
      <text/>
    </comment>
    <comment ref="Y136" authorId="0">
      <text/>
    </comment>
    <comment ref="Y145" authorId="0">
      <text/>
    </comment>
    <comment ref="Y154" authorId="0">
      <text/>
    </comment>
    <comment ref="Y163" authorId="0">
      <text/>
    </comment>
    <comment ref="Y172" authorId="0">
      <text/>
    </comment>
    <comment ref="Y181" authorId="0">
      <text/>
    </comment>
    <comment ref="Y190" authorId="0">
      <text/>
    </comment>
    <comment ref="Y199" authorId="0">
      <text/>
    </comment>
    <comment ref="Y208" authorId="0">
      <text/>
    </comment>
    <comment ref="Y217" authorId="0">
      <text/>
    </comment>
    <comment ref="H252" authorId="0">
      <text/>
    </comment>
    <comment ref="Y253" authorId="0">
      <text/>
    </comment>
    <comment ref="Y262" authorId="0">
      <text/>
    </comment>
    <comment ref="AG271" authorId="0">
      <text/>
    </comment>
    <comment ref="Y280" authorId="0">
      <text/>
    </comment>
    <comment ref="Y316" authorId="0">
      <text/>
    </comment>
    <comment ref="Y325" authorId="0">
      <text/>
    </comment>
    <comment ref="Y334" authorId="0">
      <text/>
    </comment>
    <comment ref="Y343" authorId="0">
      <text/>
    </comment>
    <comment ref="Y352" authorId="0">
      <text/>
    </comment>
    <comment ref="Y361" authorId="0">
      <text/>
    </comment>
    <comment ref="Y379" authorId="0">
      <text/>
    </comment>
    <comment ref="AG379" authorId="0">
      <text/>
    </comment>
    <comment ref="Y388" authorId="0">
      <text/>
    </comment>
    <comment ref="Y397" authorId="0">
      <text/>
    </comment>
    <comment ref="Y406" authorId="0">
      <text/>
    </comment>
    <comment ref="Y415" authorId="0">
      <text/>
    </comment>
    <comment ref="Y424" authorId="0">
      <text/>
    </comment>
    <comment ref="Y433" authorId="0">
      <text/>
    </comment>
    <comment ref="Y442" authorId="0">
      <text/>
    </comment>
    <comment ref="AJ442" authorId="0">
      <text/>
    </comment>
    <comment ref="Y451" authorId="0">
      <text/>
    </comment>
    <comment ref="Y460" authorId="0">
      <text/>
    </comment>
    <comment ref="Y469" authorId="0">
      <text/>
    </comment>
    <comment ref="Y478" authorId="0">
      <text/>
    </comment>
    <comment ref="Y487" authorId="0">
      <text/>
    </comment>
    <comment ref="Y496" authorId="0">
      <text/>
    </comment>
    <comment ref="Y505" authorId="0">
      <text/>
    </comment>
    <comment ref="Y514" authorId="0">
      <text/>
    </comment>
    <comment ref="Y523" authorId="0">
      <text/>
    </comment>
    <comment ref="Y532" authorId="0">
      <text/>
    </comment>
    <comment ref="Y541" authorId="0">
      <text/>
    </comment>
    <comment ref="Y550" authorId="0">
      <text/>
    </comment>
    <comment ref="Y559" authorId="0">
      <text/>
    </comment>
    <comment ref="Y568" authorId="0">
      <text/>
    </comment>
    <comment ref="Y577" authorId="0">
      <text/>
    </comment>
    <comment ref="Y586" authorId="0">
      <text/>
    </comment>
    <comment ref="Y604" authorId="0">
      <text/>
    </comment>
    <comment ref="Y613" authorId="0">
      <text/>
    </comment>
    <comment ref="Y640" authorId="0">
      <text/>
    </comment>
    <comment ref="Y658" authorId="0">
      <text/>
    </comment>
    <comment ref="Y667" authorId="0">
      <text/>
    </comment>
    <comment ref="Y676" authorId="0">
      <text/>
    </comment>
    <comment ref="Y685" authorId="0">
      <text/>
    </comment>
    <comment ref="Y694" authorId="0">
      <text/>
    </comment>
    <comment ref="Y703" authorId="0">
      <text/>
    </comment>
    <comment ref="Y712" authorId="0">
      <text/>
    </comment>
    <comment ref="Y721" authorId="0">
      <text/>
    </comment>
    <comment ref="Y730" authorId="0">
      <text/>
    </comment>
    <comment ref="Y739" authorId="0">
      <text/>
    </comment>
    <comment ref="Y748" authorId="0">
      <text/>
    </comment>
    <comment ref="Y757" authorId="0">
      <text/>
    </comment>
    <comment ref="Y766" authorId="0">
      <text/>
    </comment>
    <comment ref="Y775" authorId="0">
      <text/>
    </comment>
    <comment ref="Y784" authorId="0">
      <text/>
    </comment>
    <comment ref="Y793" authorId="0">
      <text/>
    </comment>
    <comment ref="AF799" authorId="0">
      <text/>
    </comment>
    <comment ref="Y802" authorId="0">
      <text/>
    </comment>
    <comment ref="AF808" authorId="0">
      <text/>
    </comment>
    <comment ref="Y811" authorId="0">
      <text/>
    </comment>
    <comment ref="Y856" authorId="0">
      <text/>
    </comment>
    <comment ref="Y865" authorId="0">
      <text/>
    </comment>
    <comment ref="Y883" authorId="0">
      <text/>
    </comment>
    <comment ref="Y892" authorId="0">
      <text/>
    </comment>
    <comment ref="Y901" authorId="0">
      <text/>
    </comment>
    <comment ref="Y910" authorId="0">
      <text/>
    </comment>
    <comment ref="Y928" authorId="0">
      <text/>
    </comment>
    <comment ref="Y937" authorId="0">
      <text/>
    </comment>
    <comment ref="Y946" authorId="0">
      <text/>
    </comment>
    <comment ref="Y955" authorId="0">
      <text/>
    </comment>
    <comment ref="Y964" authorId="0">
      <text/>
    </comment>
    <comment ref="Y982" authorId="0">
      <text/>
    </comment>
    <comment ref="Y991" authorId="0">
      <text/>
    </comment>
    <comment ref="Y1000" authorId="0">
      <text/>
    </comment>
    <comment ref="Y1009" authorId="0">
      <text/>
    </comment>
    <comment ref="AC1009" authorId="0">
      <text/>
    </comment>
    <comment ref="AG1009" authorId="0">
      <text/>
    </comment>
    <comment ref="Y1027" authorId="0">
      <text/>
    </comment>
    <comment ref="AJ1045" authorId="0">
      <text/>
    </comment>
  </commentList>
</comments>
</file>

<file path=xl/comments19.xml><?xml version="1.0" encoding="utf-8"?>
<comments xmlns="http://schemas.openxmlformats.org/spreadsheetml/2006/main">
  <authors>
    <author>Author</author>
  </authors>
  <commentList>
    <comment ref="J3" authorId="0">
      <text/>
    </comment>
    <comment ref="K3" authorId="0">
      <text/>
    </comment>
    <comment ref="N3" authorId="0">
      <text/>
    </comment>
    <comment ref="Z3" authorId="0">
      <text/>
    </comment>
    <comment ref="AC3" authorId="0">
      <text/>
    </comment>
  </commentList>
</comments>
</file>

<file path=xl/comments25.xml><?xml version="1.0" encoding="utf-8"?>
<comments xmlns="http://schemas.openxmlformats.org/spreadsheetml/2006/main">
  <authors>
    <author>Author</author>
  </authors>
  <commentList>
    <comment ref="Y3" authorId="0">
      <text/>
    </comment>
    <comment ref="AC3" authorId="0">
      <text/>
    </comment>
    <comment ref="AO3" authorId="0">
      <text/>
    </comment>
    <comment ref="L8" authorId="0">
      <text/>
    </comment>
    <comment ref="D13" authorId="0">
      <text/>
    </comment>
    <comment ref="D14" authorId="0">
      <text/>
    </comment>
    <comment ref="E19" authorId="0">
      <text/>
    </comment>
    <comment ref="E28" authorId="0">
      <text/>
    </comment>
    <comment ref="H45" authorId="0">
      <text/>
    </comment>
    <comment ref="E46" authorId="0">
      <text/>
    </comment>
    <comment ref="E55" authorId="0">
      <text/>
    </comment>
    <comment ref="E64" authorId="0">
      <text/>
    </comment>
    <comment ref="E73" authorId="0">
      <text/>
    </comment>
    <comment ref="E118" authorId="0">
      <text/>
    </comment>
    <comment ref="E127" authorId="0">
      <text/>
    </comment>
    <comment ref="E136" authorId="0">
      <text/>
    </comment>
    <comment ref="E145" authorId="0">
      <text/>
    </comment>
    <comment ref="E154" authorId="0">
      <text/>
    </comment>
    <comment ref="D163" authorId="0">
      <text/>
    </comment>
    <comment ref="E172" authorId="0">
      <text/>
    </comment>
    <comment ref="AD180" authorId="0">
      <text/>
    </comment>
    <comment ref="AH180" authorId="0">
      <text/>
    </comment>
    <comment ref="E181" authorId="0">
      <text/>
    </comment>
    <comment ref="E190" authorId="0">
      <text/>
    </comment>
    <comment ref="E199" authorId="0">
      <text/>
    </comment>
    <comment ref="E208" authorId="0">
      <text/>
    </comment>
    <comment ref="E217" authorId="0">
      <text/>
    </comment>
    <comment ref="E226" authorId="0">
      <text/>
    </comment>
    <comment ref="H252" authorId="0">
      <text/>
    </comment>
    <comment ref="E253" authorId="0">
      <text/>
    </comment>
    <comment ref="E262" authorId="0">
      <text/>
    </comment>
    <comment ref="AG271" authorId="0">
      <text/>
    </comment>
    <comment ref="AK271" authorId="0">
      <text/>
    </comment>
    <comment ref="E280" authorId="0">
      <text/>
    </comment>
    <comment ref="E307" authorId="0">
      <text/>
    </comment>
    <comment ref="E316" authorId="0">
      <text/>
    </comment>
    <comment ref="E334" authorId="0">
      <text/>
    </comment>
    <comment ref="E352" authorId="0">
      <text/>
    </comment>
    <comment ref="E361" authorId="0">
      <text/>
    </comment>
    <comment ref="D370" authorId="0">
      <text/>
    </comment>
    <comment ref="E379" authorId="0">
      <text/>
    </comment>
    <comment ref="AG379" authorId="0">
      <text/>
    </comment>
    <comment ref="AK379" authorId="0">
      <text/>
    </comment>
    <comment ref="E388" authorId="0">
      <text/>
    </comment>
    <comment ref="E406" authorId="0">
      <text/>
    </comment>
    <comment ref="E415" authorId="0">
      <text/>
    </comment>
    <comment ref="E424" authorId="0">
      <text/>
    </comment>
    <comment ref="E433" authorId="0">
      <text/>
    </comment>
    <comment ref="E442" authorId="0">
      <text/>
    </comment>
    <comment ref="E451" authorId="0">
      <text/>
    </comment>
    <comment ref="E469" authorId="0">
      <text/>
    </comment>
    <comment ref="E478" authorId="0">
      <text/>
    </comment>
    <comment ref="E487" authorId="0">
      <text/>
    </comment>
    <comment ref="E496" authorId="0">
      <text/>
    </comment>
    <comment ref="P504" authorId="0">
      <text/>
    </comment>
    <comment ref="E505" authorId="0">
      <text/>
    </comment>
    <comment ref="E514" authorId="0">
      <text/>
    </comment>
    <comment ref="E532" authorId="0">
      <text/>
    </comment>
    <comment ref="E541" authorId="0">
      <text/>
    </comment>
    <comment ref="E550" authorId="0">
      <text/>
    </comment>
    <comment ref="E559" authorId="0">
      <text/>
    </comment>
    <comment ref="E568" authorId="0">
      <text/>
    </comment>
    <comment ref="E586" authorId="0">
      <text/>
    </comment>
    <comment ref="E595" authorId="0">
      <text/>
    </comment>
    <comment ref="E604" authorId="0">
      <text/>
    </comment>
    <comment ref="E613" authorId="0">
      <text/>
    </comment>
    <comment ref="E640" authorId="0">
      <text/>
    </comment>
    <comment ref="E658" authorId="0">
      <text/>
    </comment>
    <comment ref="E667" authorId="0">
      <text/>
    </comment>
    <comment ref="E676" authorId="0">
      <text/>
    </comment>
    <comment ref="E685" authorId="0">
      <text/>
    </comment>
    <comment ref="E694" authorId="0">
      <text/>
    </comment>
    <comment ref="E703" authorId="0">
      <text/>
    </comment>
    <comment ref="E721" authorId="0">
      <text/>
    </comment>
    <comment ref="E730" authorId="0">
      <text/>
    </comment>
    <comment ref="E739" authorId="0">
      <text/>
    </comment>
    <comment ref="E748" authorId="0">
      <text/>
    </comment>
    <comment ref="E757" authorId="0">
      <text/>
    </comment>
    <comment ref="E775" authorId="0">
      <text/>
    </comment>
    <comment ref="E784" authorId="0">
      <text/>
    </comment>
    <comment ref="E793" authorId="0">
      <text/>
    </comment>
    <comment ref="AF799" authorId="0">
      <text/>
    </comment>
    <comment ref="AF808" authorId="0">
      <text/>
    </comment>
    <comment ref="E811" authorId="0">
      <text/>
    </comment>
    <comment ref="E847" authorId="0">
      <text/>
    </comment>
    <comment ref="E865" authorId="0">
      <text/>
    </comment>
    <comment ref="E883" authorId="0">
      <text/>
    </comment>
    <comment ref="E892" authorId="0">
      <text/>
    </comment>
    <comment ref="E901" authorId="0">
      <text/>
    </comment>
    <comment ref="E910" authorId="0">
      <text/>
    </comment>
    <comment ref="E928" authorId="0">
      <text/>
    </comment>
    <comment ref="E937" authorId="0">
      <text/>
    </comment>
    <comment ref="E946" authorId="0">
      <text/>
    </comment>
    <comment ref="E955" authorId="0">
      <text/>
    </comment>
    <comment ref="E964" authorId="0">
      <text/>
    </comment>
    <comment ref="E982" authorId="0">
      <text/>
    </comment>
    <comment ref="E991" authorId="0">
      <text/>
    </comment>
    <comment ref="E1000" authorId="0">
      <text/>
    </comment>
    <comment ref="E1009" authorId="0">
      <text/>
    </comment>
    <comment ref="E1027" authorId="0">
      <text/>
    </comment>
    <comment ref="AL1037" authorId="0">
      <text/>
    </comment>
    <comment ref="AJ1045" authorId="0">
      <text/>
    </comment>
  </commentList>
</comments>
</file>

<file path=xl/comments26.xml><?xml version="1.0" encoding="utf-8"?>
<comments xmlns="http://schemas.openxmlformats.org/spreadsheetml/2006/main">
  <authors>
    <author>Author</author>
  </authors>
  <commentList>
    <comment ref="J3" authorId="0">
      <text/>
    </comment>
    <comment ref="K3" authorId="0">
      <text/>
    </comment>
    <comment ref="N3" authorId="0">
      <text/>
    </comment>
    <comment ref="Z3" authorId="0">
      <text/>
    </comment>
    <comment ref="AC3" authorId="0">
      <text/>
    </comment>
    <comment ref="J39" authorId="0">
      <text/>
    </comment>
    <comment ref="K39" authorId="0">
      <text/>
    </comment>
    <comment ref="J76" authorId="0">
      <text/>
    </comment>
    <comment ref="K76" authorId="0">
      <text/>
    </comment>
    <comment ref="J113" authorId="0">
      <text/>
    </comment>
    <comment ref="K113" authorId="0">
      <text/>
    </comment>
  </commentList>
</comments>
</file>

<file path=xl/sharedStrings.xml><?xml version="1.0" encoding="utf-8"?>
<sst xmlns="http://schemas.openxmlformats.org/spreadsheetml/2006/main" count="16483" uniqueCount="570">
  <si>
    <t>СВОДНАЯ ВЕДОМОСТЬ СНТ "СОЛНЫШКО"</t>
  </si>
  <si>
    <t>на 29 декабря 2018 года</t>
  </si>
  <si>
    <t>№</t>
  </si>
  <si>
    <t>кол-во</t>
  </si>
  <si>
    <t xml:space="preserve">ФИО, </t>
  </si>
  <si>
    <t>вид</t>
  </si>
  <si>
    <t>ед. изм.</t>
  </si>
  <si>
    <t>ст-ть ед., руб.</t>
  </si>
  <si>
    <t>Остаток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</si>
  <si>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</si>
  <si>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</si>
  <si>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</si>
  <si>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</si>
  <si>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</si>
  <si>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</si>
  <si>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</si>
  <si>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</si>
  <si>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</si>
  <si>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</si>
  <si>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</si>
  <si>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</si>
  <si>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Итого с начала года</t>
  </si>
  <si>
    <t>Проверка</t>
  </si>
  <si>
    <t>участка</t>
  </si>
  <si>
    <t>соток,</t>
  </si>
  <si>
    <t>№ телефона</t>
  </si>
  <si>
    <t>расходов</t>
  </si>
  <si>
    <t>до</t>
  </si>
  <si>
    <t xml:space="preserve">с </t>
  </si>
  <si>
    <t>на 01 янв.</t>
  </si>
  <si>
    <t>п/счёт.</t>
  </si>
  <si>
    <t>сумма,</t>
  </si>
  <si>
    <t>оплата</t>
  </si>
  <si>
    <t>начислено</t>
  </si>
  <si>
    <t>оплачено</t>
  </si>
  <si>
    <t>долг (+)</t>
  </si>
  <si>
    <t>м2</t>
  </si>
  <si>
    <t>01 июля</t>
  </si>
  <si>
    <t>(+, -)</t>
  </si>
  <si>
    <t>руб.</t>
  </si>
  <si>
    <t>п/плата (-)</t>
  </si>
  <si>
    <t>1 улица</t>
  </si>
  <si>
    <t>вступит.</t>
  </si>
  <si>
    <t>сторож</t>
  </si>
  <si>
    <t>эл.энергия</t>
  </si>
  <si>
    <t>квт/час</t>
  </si>
  <si>
    <t>в т.ч. Рабис</t>
  </si>
  <si>
    <t>вода</t>
  </si>
  <si>
    <t>м3</t>
  </si>
  <si>
    <t>руб.сотка</t>
  </si>
  <si>
    <t>членские</t>
  </si>
  <si>
    <t>целевые</t>
  </si>
  <si>
    <t>отработка</t>
  </si>
  <si>
    <t>Итого</t>
  </si>
  <si>
    <t>Неткачёв Евгений</t>
  </si>
  <si>
    <t>Валерьевич</t>
  </si>
  <si>
    <t>8-913-471-1467</t>
  </si>
  <si>
    <t>Неткачёва Евгения</t>
  </si>
  <si>
    <t>Владимировна</t>
  </si>
  <si>
    <t>8-913-471-1469</t>
  </si>
  <si>
    <t>Горяная</t>
  </si>
  <si>
    <t>Галина</t>
  </si>
  <si>
    <t>Фёдоровна</t>
  </si>
  <si>
    <t>8-923-139-4049</t>
  </si>
  <si>
    <t>Новицкая</t>
  </si>
  <si>
    <t>Ирина</t>
  </si>
  <si>
    <t>Гоголева</t>
  </si>
  <si>
    <t>Тамара</t>
  </si>
  <si>
    <t>Николаевна</t>
  </si>
  <si>
    <t>352-82-63</t>
  </si>
  <si>
    <t>Сухова</t>
  </si>
  <si>
    <t>Ольга</t>
  </si>
  <si>
    <t>Сергеевна</t>
  </si>
  <si>
    <t>349-07-66</t>
  </si>
  <si>
    <t xml:space="preserve">Колпакова </t>
  </si>
  <si>
    <t>Валентина</t>
  </si>
  <si>
    <t>Егоровна</t>
  </si>
  <si>
    <t>8-953-878-5622</t>
  </si>
  <si>
    <t>Марденская</t>
  </si>
  <si>
    <t>Лариса</t>
  </si>
  <si>
    <t>Васильевна</t>
  </si>
  <si>
    <t>8-953-800-1968</t>
  </si>
  <si>
    <t>Соколова</t>
  </si>
  <si>
    <t>Любовь</t>
  </si>
  <si>
    <t>Алексеевна</t>
  </si>
  <si>
    <t>8-905-958-7953</t>
  </si>
  <si>
    <t>Факеева</t>
  </si>
  <si>
    <t>Татьяна</t>
  </si>
  <si>
    <t>349-02-78</t>
  </si>
  <si>
    <t>Печёнкин</t>
  </si>
  <si>
    <t>Юрий</t>
  </si>
  <si>
    <t>Павлович</t>
  </si>
  <si>
    <t>Кригер</t>
  </si>
  <si>
    <t>Светлана</t>
  </si>
  <si>
    <t>Валентиновна</t>
  </si>
  <si>
    <t>342-69-65</t>
  </si>
  <si>
    <t>13, 15</t>
  </si>
  <si>
    <t>Бых</t>
  </si>
  <si>
    <t>Сергей</t>
  </si>
  <si>
    <t>Степанович</t>
  </si>
  <si>
    <t>Эрленекова</t>
  </si>
  <si>
    <t>Лидия</t>
  </si>
  <si>
    <t>Михайловна</t>
  </si>
  <si>
    <t>Желтобрюхов</t>
  </si>
  <si>
    <t>Владимир</t>
  </si>
  <si>
    <t>8-953-890-2090</t>
  </si>
  <si>
    <t>Васильева</t>
  </si>
  <si>
    <t>Александровна</t>
  </si>
  <si>
    <t>8-999-467-0919</t>
  </si>
  <si>
    <t>Коровин</t>
  </si>
  <si>
    <t>Виталий</t>
  </si>
  <si>
    <t>Васильевич</t>
  </si>
  <si>
    <t>8-913-720-9532</t>
  </si>
  <si>
    <t>Максименко</t>
  </si>
  <si>
    <t>Наталья</t>
  </si>
  <si>
    <t>Викторовна</t>
  </si>
  <si>
    <t>2 улица</t>
  </si>
  <si>
    <t>20, 22</t>
  </si>
  <si>
    <t>Гагаева</t>
  </si>
  <si>
    <t>Степановна</t>
  </si>
  <si>
    <t>Айдашкина</t>
  </si>
  <si>
    <t>Анна</t>
  </si>
  <si>
    <t>Анатольевна</t>
  </si>
  <si>
    <t>8-913-708-0959</t>
  </si>
  <si>
    <t>Зыкова</t>
  </si>
  <si>
    <t>Леонидовна</t>
  </si>
  <si>
    <t>8-953-804-3206</t>
  </si>
  <si>
    <t>Окулова</t>
  </si>
  <si>
    <t>Марина</t>
  </si>
  <si>
    <t>Геннадьевна</t>
  </si>
  <si>
    <t>8-913-746-1606</t>
  </si>
  <si>
    <t>Тарасова</t>
  </si>
  <si>
    <t>тех.усл.+пеня</t>
  </si>
  <si>
    <t>Даутова</t>
  </si>
  <si>
    <t>Эзеда</t>
  </si>
  <si>
    <t>Рафхатовна</t>
  </si>
  <si>
    <t>Блинов</t>
  </si>
  <si>
    <t>Александр</t>
  </si>
  <si>
    <t>Томасович</t>
  </si>
  <si>
    <t>28, 30</t>
  </si>
  <si>
    <t>Гранкина</t>
  </si>
  <si>
    <t>Вероника</t>
  </si>
  <si>
    <t>Борисовна</t>
  </si>
  <si>
    <t>8-913-932-5125</t>
  </si>
  <si>
    <t>Валерий Александр.</t>
  </si>
  <si>
    <t>8-913-755-5700</t>
  </si>
  <si>
    <t>Крымченко</t>
  </si>
  <si>
    <t>Филипповна</t>
  </si>
  <si>
    <t>8-913-798-4703</t>
  </si>
  <si>
    <t>Коновалова</t>
  </si>
  <si>
    <t>Маргарита</t>
  </si>
  <si>
    <t>Григорьевна</t>
  </si>
  <si>
    <t>Егоренко</t>
  </si>
  <si>
    <t>Елена</t>
  </si>
  <si>
    <t>Линькова</t>
  </si>
  <si>
    <t>Трошина</t>
  </si>
  <si>
    <t>8-952-933-8483</t>
  </si>
  <si>
    <t>Русская</t>
  </si>
  <si>
    <t>Ивановна</t>
  </si>
  <si>
    <t>8-913-384-2604</t>
  </si>
  <si>
    <t>Саляева</t>
  </si>
  <si>
    <t>Людмила</t>
  </si>
  <si>
    <t>Тропина</t>
  </si>
  <si>
    <t>Нина</t>
  </si>
  <si>
    <t>Яковлевна</t>
  </si>
  <si>
    <t>8-913-784-3221</t>
  </si>
  <si>
    <t>3-442-114</t>
  </si>
  <si>
    <t>Шерегеда</t>
  </si>
  <si>
    <t>Андреевна</t>
  </si>
  <si>
    <t>Мананков</t>
  </si>
  <si>
    <t>Константин</t>
  </si>
  <si>
    <t>Геннадьевич</t>
  </si>
  <si>
    <t>(по доверенности)</t>
  </si>
  <si>
    <t>3 улица</t>
  </si>
  <si>
    <t>Файзулин</t>
  </si>
  <si>
    <t>Рустам</t>
  </si>
  <si>
    <t>Мирхатович</t>
  </si>
  <si>
    <t>Никитина</t>
  </si>
  <si>
    <t>Петровна</t>
  </si>
  <si>
    <t>Павел</t>
  </si>
  <si>
    <t>8-952-907-6700</t>
  </si>
  <si>
    <t>Мухамедьяров</t>
  </si>
  <si>
    <t>Камиль</t>
  </si>
  <si>
    <t>Билалович</t>
  </si>
  <si>
    <t>8-953-865-8334</t>
  </si>
  <si>
    <t>Семера</t>
  </si>
  <si>
    <t>Степан</t>
  </si>
  <si>
    <t>Григорьевич</t>
  </si>
  <si>
    <t>Долгих</t>
  </si>
  <si>
    <t>Парамонова</t>
  </si>
  <si>
    <t>Николаевич</t>
  </si>
  <si>
    <t>8-953-801-9444</t>
  </si>
  <si>
    <t>Леонов</t>
  </si>
  <si>
    <t>Виктор</t>
  </si>
  <si>
    <t>Леонидович</t>
  </si>
  <si>
    <t>8-913-780-1843</t>
  </si>
  <si>
    <t>Мурзобоева</t>
  </si>
  <si>
    <t>Ощепкова</t>
  </si>
  <si>
    <t>Надежда</t>
  </si>
  <si>
    <t>8-903-904-5635</t>
  </si>
  <si>
    <t>Охрименко</t>
  </si>
  <si>
    <t>Олеся</t>
  </si>
  <si>
    <t>Евгений</t>
  </si>
  <si>
    <t>8-923-100-0783</t>
  </si>
  <si>
    <t>Ткачёва</t>
  </si>
  <si>
    <t>Болдышева</t>
  </si>
  <si>
    <t>Шамордин</t>
  </si>
  <si>
    <t>долг</t>
  </si>
  <si>
    <t>Александрович</t>
  </si>
  <si>
    <t>8-913-385-40-66</t>
  </si>
  <si>
    <t>Лобес</t>
  </si>
  <si>
    <t>8-913-777-8305</t>
  </si>
  <si>
    <t>Мирошниченко</t>
  </si>
  <si>
    <t>Н</t>
  </si>
  <si>
    <t>Шацкая</t>
  </si>
  <si>
    <t>Леонид</t>
  </si>
  <si>
    <t>8-953-778-2560</t>
  </si>
  <si>
    <t>4 улица</t>
  </si>
  <si>
    <t>Завгородняя</t>
  </si>
  <si>
    <t>Филиченкова</t>
  </si>
  <si>
    <t>Евгения</t>
  </si>
  <si>
    <t>Шкилева</t>
  </si>
  <si>
    <t>(Закирова)</t>
  </si>
  <si>
    <t>Синькова</t>
  </si>
  <si>
    <t>8-913-010-9119</t>
  </si>
  <si>
    <t>(Ваганова Л.А.)</t>
  </si>
  <si>
    <t>договор дарения</t>
  </si>
  <si>
    <t>Голиджашвили</t>
  </si>
  <si>
    <t>Давид</t>
  </si>
  <si>
    <t>Амиранович</t>
  </si>
  <si>
    <t>8-951-372-3050</t>
  </si>
  <si>
    <t>Каменева</t>
  </si>
  <si>
    <t>Константиновна</t>
  </si>
  <si>
    <t>344-03-63</t>
  </si>
  <si>
    <t>Самойлова</t>
  </si>
  <si>
    <t>Мария</t>
  </si>
  <si>
    <t>Ширинская</t>
  </si>
  <si>
    <t>63, 65</t>
  </si>
  <si>
    <t>Кулик</t>
  </si>
  <si>
    <t>Ираида</t>
  </si>
  <si>
    <t>8-913-703-59,85</t>
  </si>
  <si>
    <t>Некрасова</t>
  </si>
  <si>
    <t>Юрьевна</t>
  </si>
  <si>
    <t>8-913-950-0756</t>
  </si>
  <si>
    <t>Дорофеева</t>
  </si>
  <si>
    <t>Гладков</t>
  </si>
  <si>
    <t>Михайлович</t>
  </si>
  <si>
    <t>8-913-910-4278</t>
  </si>
  <si>
    <t>68, 70</t>
  </si>
  <si>
    <t>Кутафин</t>
  </si>
  <si>
    <t>Алексей</t>
  </si>
  <si>
    <t>Никитович</t>
  </si>
  <si>
    <t>8-913-370-5899</t>
  </si>
  <si>
    <t>Ларионова</t>
  </si>
  <si>
    <t>8-993-0102-162</t>
  </si>
  <si>
    <t>Казарцева</t>
  </si>
  <si>
    <t>342-44-37</t>
  </si>
  <si>
    <t>Кильдишов</t>
  </si>
  <si>
    <t>Василий</t>
  </si>
  <si>
    <t>Ярошевская</t>
  </si>
  <si>
    <t>Вера</t>
  </si>
  <si>
    <t>8-952-92-5198</t>
  </si>
  <si>
    <t>Марфель</t>
  </si>
  <si>
    <t>8-953-867-7342</t>
  </si>
  <si>
    <t>5, 6 улица</t>
  </si>
  <si>
    <t>Ананко</t>
  </si>
  <si>
    <t>8-913-455-8841</t>
  </si>
  <si>
    <t>Климова</t>
  </si>
  <si>
    <t>Синельникова</t>
  </si>
  <si>
    <t>Раиса</t>
  </si>
  <si>
    <t>8-923-230-3405</t>
  </si>
  <si>
    <t>Чебыкина</t>
  </si>
  <si>
    <t>Артемьевна</t>
  </si>
  <si>
    <t>315-1734</t>
  </si>
  <si>
    <t>8-923-228-1947</t>
  </si>
  <si>
    <t>Михейкин</t>
  </si>
  <si>
    <t>В</t>
  </si>
  <si>
    <t>Киселёв</t>
  </si>
  <si>
    <t>Зозуля</t>
  </si>
  <si>
    <t>Афанасьевна</t>
  </si>
  <si>
    <t>Фёдорова</t>
  </si>
  <si>
    <t>8-913-476-0782</t>
  </si>
  <si>
    <t>Ермолаева</t>
  </si>
  <si>
    <t>8-923-107-2847</t>
  </si>
  <si>
    <t>Ильина</t>
  </si>
  <si>
    <t>8-903-937-5980</t>
  </si>
  <si>
    <t>Макрица</t>
  </si>
  <si>
    <t>8-923-232-0335</t>
  </si>
  <si>
    <t>Забабурин</t>
  </si>
  <si>
    <t>Иванович</t>
  </si>
  <si>
    <t>Клавдия Павловна</t>
  </si>
  <si>
    <t>342-46-31</t>
  </si>
  <si>
    <t>93, 94</t>
  </si>
  <si>
    <t>Харламов</t>
  </si>
  <si>
    <t>Андрей</t>
  </si>
  <si>
    <t>Альбертович</t>
  </si>
  <si>
    <t>8-913-944-1666</t>
  </si>
  <si>
    <t>7 улица</t>
  </si>
  <si>
    <t>Трусов</t>
  </si>
  <si>
    <t>Сергеевич</t>
  </si>
  <si>
    <t>Трусова</t>
  </si>
  <si>
    <t>Слудная</t>
  </si>
  <si>
    <t>Романовна</t>
  </si>
  <si>
    <t>8-983-132-2189</t>
  </si>
  <si>
    <t>Поминов</t>
  </si>
  <si>
    <t>Геннадий</t>
  </si>
  <si>
    <t>Викторович</t>
  </si>
  <si>
    <t>8-913-775-8679</t>
  </si>
  <si>
    <t>Снегур</t>
  </si>
  <si>
    <t>Ксения</t>
  </si>
  <si>
    <t>8-923-222-7353</t>
  </si>
  <si>
    <t>Валукина</t>
  </si>
  <si>
    <t>Мальцева</t>
  </si>
  <si>
    <t>Денис</t>
  </si>
  <si>
    <t>8-913-781-7980</t>
  </si>
  <si>
    <t>95, 97</t>
  </si>
  <si>
    <t>Метов</t>
  </si>
  <si>
    <t>Анатолий</t>
  </si>
  <si>
    <t>8-913-374-2333</t>
  </si>
  <si>
    <t>Тюлькина</t>
  </si>
  <si>
    <t>С</t>
  </si>
  <si>
    <t>Колмагорова</t>
  </si>
  <si>
    <t>Карташова</t>
  </si>
  <si>
    <t>Булавина</t>
  </si>
  <si>
    <t>8-913-479-5713</t>
  </si>
  <si>
    <t>Харламова</t>
  </si>
  <si>
    <t>8-913-8913-276</t>
  </si>
  <si>
    <t>8 улица</t>
  </si>
  <si>
    <t>Суслова</t>
  </si>
  <si>
    <t>8-913-757-1260</t>
  </si>
  <si>
    <t>Горбатенко</t>
  </si>
  <si>
    <t>Никитин</t>
  </si>
  <si>
    <t>Владимирович</t>
  </si>
  <si>
    <t>Волосникова</t>
  </si>
  <si>
    <t>Мифодьевна</t>
  </si>
  <si>
    <t>8-913-483-9355</t>
  </si>
  <si>
    <t>Рязанцева</t>
  </si>
  <si>
    <t>Александроана</t>
  </si>
  <si>
    <t>8-913-906-2875</t>
  </si>
  <si>
    <t>Ерпинков</t>
  </si>
  <si>
    <t>Астахова</t>
  </si>
  <si>
    <t>8-913-921-5757</t>
  </si>
  <si>
    <t>Провоторов</t>
  </si>
  <si>
    <t>Руслан</t>
  </si>
  <si>
    <t>8-913-717-3522</t>
  </si>
  <si>
    <t>Витальевна</t>
  </si>
  <si>
    <t>8-913-467-1188</t>
  </si>
  <si>
    <t>Литвякова</t>
  </si>
  <si>
    <t>Старовойтов</t>
  </si>
  <si>
    <t>8-913-481-3386</t>
  </si>
  <si>
    <t>ИТОГО</t>
  </si>
  <si>
    <t>в т.ч.</t>
  </si>
  <si>
    <t>по участкам</t>
  </si>
  <si>
    <t xml:space="preserve"> №</t>
  </si>
  <si>
    <t>сотки</t>
  </si>
  <si>
    <t>Фамилия</t>
  </si>
  <si>
    <t>вода, м3</t>
  </si>
  <si>
    <t>вода, сотки</t>
  </si>
  <si>
    <t>тех.услов.</t>
  </si>
  <si>
    <t>Неткачёв</t>
  </si>
  <si>
    <t>Родионова</t>
  </si>
  <si>
    <t>Охременко</t>
  </si>
  <si>
    <t>Ермалаева</t>
  </si>
  <si>
    <t>Забобурин</t>
  </si>
  <si>
    <t>Литьякова</t>
  </si>
  <si>
    <t xml:space="preserve">Электроэнергия </t>
  </si>
  <si>
    <t>показания счётчиков по участкам</t>
  </si>
  <si>
    <t>Расход</t>
  </si>
  <si>
    <t>Перерасх.</t>
  </si>
  <si>
    <t>перерасх.</t>
  </si>
  <si>
    <t>квт.</t>
  </si>
  <si>
    <t>Электроэнергия зимующие</t>
  </si>
  <si>
    <t>перерасход</t>
  </si>
  <si>
    <t>Долг с уч.</t>
  </si>
  <si>
    <t>начисл.</t>
  </si>
  <si>
    <t>Вода</t>
  </si>
  <si>
    <t>на 01 января 2020 года</t>
  </si>
  <si>
    <t>после</t>
  </si>
  <si>
    <t>изменен.</t>
  </si>
  <si>
    <t>пени</t>
  </si>
  <si>
    <t>8-913-018-3310</t>
  </si>
  <si>
    <t>Иван</t>
  </si>
  <si>
    <t>8-951-364-8706</t>
  </si>
  <si>
    <t>Базванова</t>
  </si>
  <si>
    <t>8-913-900-2668</t>
  </si>
  <si>
    <t>8-923-142-9210</t>
  </si>
  <si>
    <t>Валентина Сергеевна</t>
  </si>
  <si>
    <t>8-952-947-5016</t>
  </si>
  <si>
    <t>Алексей Анатольевич</t>
  </si>
  <si>
    <t>8-913-741-4375</t>
  </si>
  <si>
    <t>8-952-912-9941</t>
  </si>
  <si>
    <t>8-913-725-5350</t>
  </si>
  <si>
    <t>8-913-463-7130</t>
  </si>
  <si>
    <t>8-913-735-5820</t>
  </si>
  <si>
    <t xml:space="preserve">Светлана </t>
  </si>
  <si>
    <t>8-923-154-1791</t>
  </si>
  <si>
    <t>8-913-948-3802</t>
  </si>
  <si>
    <t>8-953-803-8923</t>
  </si>
  <si>
    <t>8-923-171-1769</t>
  </si>
  <si>
    <t>8-923-125-7815</t>
  </si>
  <si>
    <t>Евгений Леонтьевич</t>
  </si>
  <si>
    <t>8-999-450-1223</t>
  </si>
  <si>
    <t>Шинкарюк</t>
  </si>
  <si>
    <t>8-913-201-0206</t>
  </si>
  <si>
    <t>8-999-468-2738</t>
  </si>
  <si>
    <t>Рамзия</t>
  </si>
  <si>
    <t>8-952-902-8042</t>
  </si>
  <si>
    <t>Павел Юрьевич</t>
  </si>
  <si>
    <t>Жаекбаев Рамиз Сафаргалиевич</t>
  </si>
  <si>
    <t>8-913-910-7265</t>
  </si>
  <si>
    <t>8-913-740-5346</t>
  </si>
  <si>
    <t>вступит.+пени</t>
  </si>
  <si>
    <t>Алексеенко</t>
  </si>
  <si>
    <t>Петрович</t>
  </si>
  <si>
    <t>8-923-104-1711</t>
  </si>
  <si>
    <t>8-913-703-3918</t>
  </si>
  <si>
    <t>8-913-743-4395</t>
  </si>
  <si>
    <t>Ирина Викторовна</t>
  </si>
  <si>
    <t>8-913-944-7998</t>
  </si>
  <si>
    <t>8-923-194-3844</t>
  </si>
  <si>
    <t>8-953-784-1418</t>
  </si>
  <si>
    <t>Васильесвна</t>
  </si>
  <si>
    <t>8-961-875-1051</t>
  </si>
  <si>
    <t>Пехтерева</t>
  </si>
  <si>
    <t>8-913-941-8849</t>
  </si>
  <si>
    <t xml:space="preserve">Галина </t>
  </si>
  <si>
    <t>8-913-205-4620</t>
  </si>
  <si>
    <t>8-952-922-8403</t>
  </si>
  <si>
    <t>8-913-478-1474</t>
  </si>
  <si>
    <t>Людмила Степановна</t>
  </si>
  <si>
    <t>8-953-882-9103</t>
  </si>
  <si>
    <t>Галина Михайловна</t>
  </si>
  <si>
    <t>8-993-010-2162</t>
  </si>
  <si>
    <t>8-913-720-7044</t>
  </si>
  <si>
    <t>8-952-947-9865</t>
  </si>
  <si>
    <t xml:space="preserve">Михаил </t>
  </si>
  <si>
    <t>Семёнова</t>
  </si>
  <si>
    <t>Алла</t>
  </si>
  <si>
    <t>8-903-930-7690</t>
  </si>
  <si>
    <t>218-35-34</t>
  </si>
  <si>
    <t>8-913-927-2136</t>
  </si>
  <si>
    <t>8-913-731-3179</t>
  </si>
  <si>
    <t>Ратаев Денис Борисович</t>
  </si>
  <si>
    <t>8-913-891-7091</t>
  </si>
  <si>
    <t>Семеновна</t>
  </si>
  <si>
    <t>8-913-719-0763</t>
  </si>
  <si>
    <t>8-952-940-4415</t>
  </si>
  <si>
    <t>Анатолий Никитович</t>
  </si>
  <si>
    <t>8-983-308-3805</t>
  </si>
  <si>
    <t>8-913-891-3276</t>
  </si>
  <si>
    <t>Метова</t>
  </si>
  <si>
    <t>8-906-909-9828</t>
  </si>
  <si>
    <t>8-923-745-5524</t>
  </si>
  <si>
    <t>8-913-986-1288</t>
  </si>
  <si>
    <t>Павел Евгеньевич</t>
  </si>
  <si>
    <t>Смолин</t>
  </si>
  <si>
    <t>Илья</t>
  </si>
  <si>
    <t>8-999-465-0584</t>
  </si>
  <si>
    <t>Юрченко Зинаида Алексеевна</t>
  </si>
  <si>
    <t>8-913-472-9010</t>
  </si>
  <si>
    <t>Вячеславовна</t>
  </si>
  <si>
    <t>вступит.+тех.усл.+пени</t>
  </si>
  <si>
    <t>в т.ч. банк</t>
  </si>
  <si>
    <t>общий сч.</t>
  </si>
  <si>
    <t>расчёт начисления пени текущего месяца</t>
  </si>
  <si>
    <t>пени,</t>
  </si>
  <si>
    <t xml:space="preserve">вода, </t>
  </si>
  <si>
    <t>вода,</t>
  </si>
  <si>
    <t>Сумма долга</t>
  </si>
  <si>
    <t>Оплата 1</t>
  </si>
  <si>
    <t>Оплата 2</t>
  </si>
  <si>
    <t>Сумма</t>
  </si>
  <si>
    <t>вступ., т/у</t>
  </si>
  <si>
    <t>на 01.12.19</t>
  </si>
  <si>
    <t>дни</t>
  </si>
  <si>
    <t>дата</t>
  </si>
  <si>
    <t>сумма</t>
  </si>
  <si>
    <t>остаток</t>
  </si>
  <si>
    <t>пени 0,01%</t>
  </si>
  <si>
    <t>на 01.01.20</t>
  </si>
  <si>
    <t>№ уч.</t>
  </si>
  <si>
    <t>Зимующие</t>
  </si>
  <si>
    <t>Уч.32</t>
  </si>
  <si>
    <t>на 01 января 2021 года</t>
  </si>
  <si>
    <t>Примечание: показания счётчиков по воде при наличии 2-х вводов на одном участке записываются формулой</t>
  </si>
  <si>
    <t>в графе H такие участки выделены жёлтым цветом</t>
  </si>
  <si>
    <t>пени, мусор</t>
  </si>
  <si>
    <t>Евгений Валерьевич</t>
  </si>
  <si>
    <t>Стародубцева</t>
  </si>
  <si>
    <t>8-923-742-5275</t>
  </si>
  <si>
    <t>8-953-781-50-94</t>
  </si>
  <si>
    <t>8-913-465-28-79</t>
  </si>
  <si>
    <t>Попрас</t>
  </si>
  <si>
    <t>8-913-789-43-02</t>
  </si>
  <si>
    <t>Виктор Дмитриевич</t>
  </si>
  <si>
    <t>8-983-113-0029</t>
  </si>
  <si>
    <t>Алексеева</t>
  </si>
  <si>
    <t>Прокопьевна</t>
  </si>
  <si>
    <t>8-913-772-9620</t>
  </si>
  <si>
    <t xml:space="preserve">Дарья </t>
  </si>
  <si>
    <t>Валерьевна</t>
  </si>
  <si>
    <t>8-999-452-1716</t>
  </si>
  <si>
    <t>Анохина</t>
  </si>
  <si>
    <t>Ахуньяновна</t>
  </si>
  <si>
    <t>8-913-792-93-87</t>
  </si>
  <si>
    <t>Кутафина</t>
  </si>
  <si>
    <t xml:space="preserve">Светловская </t>
  </si>
  <si>
    <t xml:space="preserve">Ольга </t>
  </si>
  <si>
    <t>Киселев</t>
  </si>
  <si>
    <t>8-993-006-6342</t>
  </si>
  <si>
    <t>93, 95</t>
  </si>
  <si>
    <t xml:space="preserve">Ерлинков </t>
  </si>
  <si>
    <t>Борисович</t>
  </si>
  <si>
    <t xml:space="preserve">Юрченко </t>
  </si>
  <si>
    <t>Зинаида</t>
  </si>
  <si>
    <t>Заборсин</t>
  </si>
  <si>
    <t>8-952-944-35-43</t>
  </si>
  <si>
    <t>вступит.+тех.усл.+пени+мусор</t>
  </si>
  <si>
    <t>банк</t>
  </si>
  <si>
    <t>касса</t>
  </si>
  <si>
    <t>Примечание:</t>
  </si>
  <si>
    <t>справочно</t>
  </si>
  <si>
    <t>формула в ячейках меняется ежемесячно путём выделения всех ячеек с формулами и заменой в формуле одного столбца на другой через последовательный набор клавиш Ctrl+H</t>
  </si>
  <si>
    <t>целевые,</t>
  </si>
  <si>
    <t xml:space="preserve">Сумма долга </t>
  </si>
  <si>
    <t>проверка</t>
  </si>
  <si>
    <t>целевые за 2020г.</t>
  </si>
  <si>
    <t>на 01.12.20</t>
  </si>
  <si>
    <t>за 2019-2020гг.</t>
  </si>
  <si>
    <t>на 01.01.21</t>
  </si>
  <si>
    <t>20, 23</t>
  </si>
  <si>
    <t>на 15 декабря 2021 года</t>
  </si>
  <si>
    <t xml:space="preserve"> </t>
  </si>
  <si>
    <t>Николай</t>
  </si>
  <si>
    <t>8-913-922-33-46</t>
  </si>
  <si>
    <t>ФИО</t>
  </si>
  <si>
    <t>на 01.08.2021</t>
  </si>
  <si>
    <t>на 01.09.21</t>
  </si>
  <si>
    <t>тел  для справок 8913-941-88-49</t>
  </si>
  <si>
    <t>Электроэнергия декабрь 2020</t>
  </si>
  <si>
    <t xml:space="preserve">Итого </t>
  </si>
  <si>
    <t>Электроэнергия декабрь  2021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</si>
  <si>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</si>
  <si>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на 01 октября 2022года</t>
  </si>
  <si>
    <r>
      <rPr>
        <color theme="1"/>
        <sz val="11"/>
        <rFont val="Calibri"/>
      </rPr>
      <t xml:space="preserve">пени, </t>
    </r>
    <r>
      <rPr>
        <color rgb="FFFF0000"/>
        <sz val="11"/>
        <rFont val="Calibri"/>
      </rPr>
      <t>мусор</t>
    </r>
  </si>
  <si>
    <t>Макарова</t>
  </si>
  <si>
    <t>8-913-747-60-84</t>
  </si>
  <si>
    <r>
      <rPr>
        <color theme="1"/>
        <sz val="11"/>
        <rFont val="Calibri"/>
      </rPr>
      <t>пени</t>
    </r>
    <r>
      <rPr>
        <color rgb="FFFF0000"/>
        <sz val="11"/>
        <rFont val="Calibri"/>
      </rPr>
      <t>, мусор</t>
    </r>
  </si>
  <si>
    <t>Левочкин</t>
  </si>
  <si>
    <t>8-913-775-22-05</t>
  </si>
  <si>
    <r>
      <rPr>
        <color theme="1"/>
        <sz val="11"/>
        <rFont val="Calibri"/>
      </rPr>
      <t>пени,</t>
    </r>
    <r>
      <rPr>
        <color rgb="FFFF0000"/>
        <sz val="11"/>
        <rFont val="Calibri"/>
      </rPr>
      <t xml:space="preserve"> мусор</t>
    </r>
  </si>
  <si>
    <r>
      <rPr>
        <color rgb="FF000000"/>
        <sz val="11"/>
        <rFont val="Calibri"/>
      </rPr>
      <t>пени,</t>
    </r>
    <r>
      <rPr>
        <color rgb="FFFF0000"/>
        <sz val="11"/>
        <rFont val="Calibri"/>
      </rPr>
      <t xml:space="preserve"> мусор</t>
    </r>
  </si>
  <si>
    <r>
      <rPr>
        <color rgb="FF000000"/>
        <sz val="11"/>
        <rFont val="Calibri"/>
      </rPr>
      <t xml:space="preserve">пени, </t>
    </r>
    <r>
      <rPr>
        <color rgb="FFFF0000"/>
        <sz val="11"/>
        <rFont val="Calibri"/>
      </rPr>
      <t>мусор</t>
    </r>
  </si>
  <si>
    <t>Роташнюк</t>
  </si>
  <si>
    <t>8-983-127-09-75</t>
  </si>
  <si>
    <t>Демидова</t>
  </si>
  <si>
    <t>8-913-981-74-14</t>
  </si>
  <si>
    <t>Ким</t>
  </si>
  <si>
    <t>Афанасий</t>
  </si>
  <si>
    <t>Манбокович</t>
  </si>
  <si>
    <t>8913-015-25-94</t>
  </si>
  <si>
    <r>
      <rPr>
        <color theme="1"/>
        <sz val="11"/>
        <rFont val="Calibri"/>
      </rPr>
      <t>пени,</t>
    </r>
    <r>
      <rPr>
        <color rgb="FF3333FF"/>
        <sz val="11"/>
        <rFont val="Calibri"/>
      </rPr>
      <t xml:space="preserve"> </t>
    </r>
    <r>
      <rPr>
        <color rgb="FFFF0000"/>
        <sz val="11"/>
        <rFont val="Calibri"/>
      </rPr>
      <t>мусор</t>
    </r>
  </si>
  <si>
    <t>Семенова</t>
  </si>
  <si>
    <t>8-913-454-7013</t>
  </si>
  <si>
    <t>Огнёв</t>
  </si>
  <si>
    <t>8-952-913-44-01</t>
  </si>
  <si>
    <t xml:space="preserve">   </t>
  </si>
  <si>
    <t>на 01.11.2022</t>
  </si>
  <si>
    <t>на 01.10.22</t>
  </si>
  <si>
    <t>Электроэнергия октябрь 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</si>
</sst>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6" x14ac:knownFonts="1">
    <font>
      <color theme="1"/>
      <family val="2"/>
      <scheme val="minor"/>
      <sz val="11"/>
      <name val="Calibri"/>
    </font>
    <font>
      <b/>
      <color rgb="FF000000"/>
      <sz val="11"/>
      <name val="Calibri"/>
    </font>
    <font>
      <color theme="1"/>
      <sz val="11"/>
      <name val="Calibri"/>
    </font>
    <font>
      <color rgb="FF000000"/>
      <sz val="11"/>
      <name val="Calibri"/>
    </font>
    <font/>
    <font>
      <color rgb="FFFFFFFF"/>
      <sz val="11"/>
      <name val="Calibri"/>
    </font>
    <font>
      <color rgb="FFFF0000"/>
      <sz val="11"/>
      <name val="Calibri"/>
    </font>
    <font>
      <color rgb="FF0070C0"/>
      <sz val="11"/>
      <name val="Calibri"/>
    </font>
    <font>
      <i/>
      <color rgb="FF000000"/>
      <sz val="11"/>
      <name val="Calibri"/>
    </font>
    <font>
      <i/>
      <color rgb="FFFF0000"/>
      <sz val="11"/>
      <name val="Calibri"/>
    </font>
    <font>
      <b/>
      <color rgb="FFFF0000"/>
      <sz val="11"/>
      <name val="Calibri"/>
    </font>
    <font>
      <color rgb="FF000000"/>
      <sz val="8"/>
      <name val="Calibri"/>
    </font>
    <font>
      <color rgb="FFD9D9D9"/>
      <sz val="11"/>
      <name val="Calibri"/>
    </font>
    <font>
      <color rgb="FFCC00CC"/>
      <sz val="11"/>
      <name val="Calibri"/>
    </font>
    <font>
      <color rgb="FF3333FF"/>
      <sz val="11"/>
      <name val="Calibri"/>
    </font>
    <font>
      <b/>
      <color theme="1"/>
      <sz val="11"/>
      <name val="Calibri"/>
    </font>
    <font>
      <i/>
      <color rgb="FF3333FF"/>
      <sz val="11"/>
      <name val="Calibri"/>
    </font>
    <font>
      <i/>
      <color theme="1"/>
      <sz val="11"/>
      <name val="Calibri"/>
    </font>
    <font>
      <color rgb="FF0000CC"/>
      <sz val="11"/>
      <name val="Calibri"/>
    </font>
    <font>
      <b/>
      <i/>
      <color rgb="FF000000"/>
      <sz val="11"/>
      <name val="Calibri"/>
    </font>
    <font>
      <b/>
      <i/>
      <color theme="1"/>
      <sz val="11"/>
      <name val="Calibri"/>
    </font>
    <font>
      <color rgb="FF000000"/>
      <sz val="9"/>
      <name val="Calibri"/>
    </font>
    <font>
      <color rgb="FFFF0000"/>
      <sz val="9"/>
      <name val="Calibri"/>
    </font>
    <font>
      <color theme="1"/>
      <sz val="9"/>
      <name val="Calibri"/>
    </font>
    <font>
      <b/>
      <color rgb="FF000000"/>
      <sz val="8"/>
      <name val="Calibri"/>
    </font>
    <font>
      <b/>
      <color rgb="FF00B050"/>
      <sz val="11"/>
      <name val="Calibri"/>
    </font>
    <font>
      <color rgb="FF00B050"/>
      <sz val="11"/>
      <name val="Calibri"/>
    </font>
    <font>
      <color rgb="FF00B0F0"/>
      <sz val="11"/>
      <name val="Calibri"/>
    </font>
    <font>
      <b/>
      <color rgb="FF0070C0"/>
      <sz val="11"/>
      <name val="Calibri"/>
    </font>
    <font>
      <color rgb="FF548DD4"/>
      <sz val="11"/>
      <name val="Calibri"/>
    </font>
    <font>
      <color rgb="FF0000FF"/>
      <sz val="11"/>
      <name val="Calibri"/>
    </font>
    <font>
      <color rgb="FF1C4587"/>
      <sz val="11"/>
      <name val="Calibri"/>
    </font>
    <font>
      <color rgb="FF92D050"/>
      <sz val="11"/>
      <name val="Calibri"/>
    </font>
    <font>
      <color rgb="FF9900FF"/>
      <sz val="11"/>
      <name val="Calibri"/>
    </font>
    <font>
      <color theme="1"/>
      <scheme val="minor"/>
      <name val="Calibri"/>
    </font>
    <font>
      <color rgb="FFFF00FF"/>
      <sz val="11"/>
      <name val="Calibri"/>
    </font>
  </fonts>
  <fills count="15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CCFFCC"/>
        <bgColor rgb="FFCCFFCC"/>
      </patternFill>
    </fill>
    <fill>
      <patternFill patternType="solid">
        <fgColor rgb="FF92D050"/>
        <bgColor rgb="FF92D050"/>
      </patternFill>
    </fill>
    <fill>
      <patternFill patternType="solid">
        <fgColor rgb="FFFFCCFF"/>
        <bgColor rgb="FFFFCCFF"/>
      </patternFill>
    </fill>
    <fill>
      <patternFill patternType="solid">
        <fgColor rgb="FFFFC000"/>
        <bgColor rgb="FFFFC000"/>
      </patternFill>
    </fill>
    <fill>
      <patternFill patternType="solid">
        <fgColor rgb="FFD9D9D9"/>
        <bgColor rgb="FFD9D9D9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</fills>
  <borders count="3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B9CDE5"/>
      </right>
      <top style="thin">
        <color rgb="FF000000"/>
      </top>
      <bottom style="thin">
        <color rgb="FFB9CDE5"/>
      </bottom>
      <diagonal/>
    </border>
    <border>
      <left style="thin">
        <color rgb="FFB9CDE5"/>
      </left>
      <right style="thin">
        <color rgb="FFB9CDE5"/>
      </right>
      <top style="thin">
        <color rgb="FF000000"/>
      </top>
      <bottom style="thin">
        <color rgb="FFB9CDE5"/>
      </bottom>
      <diagonal/>
    </border>
    <border>
      <left style="thin">
        <color rgb="FFB9CDE5"/>
      </left>
      <right style="thin">
        <color rgb="FF000000"/>
      </right>
      <top style="thin">
        <color rgb="FF000000"/>
      </top>
      <bottom style="thin">
        <color rgb="FFB9CDE5"/>
      </bottom>
      <diagonal/>
    </border>
    <border>
      <left style="thin">
        <color rgb="FF000000"/>
      </left>
      <right style="thin">
        <color rgb="FF000000"/>
      </right>
      <top style="thin">
        <color rgb="FFB9CDE5"/>
      </top>
      <bottom style="thin">
        <color rgb="FFB9CDE5"/>
      </bottom>
      <diagonal/>
    </border>
    <border>
      <left/>
      <right/>
      <top style="thin">
        <color rgb="FFB9CDE5"/>
      </top>
      <bottom style="thin">
        <color rgb="FFB9CDE5"/>
      </bottom>
      <diagonal/>
    </border>
    <border>
      <left style="thin">
        <color rgb="FF000000"/>
      </left>
      <right style="thin">
        <color rgb="FFB9CDE5"/>
      </right>
      <top style="thin">
        <color rgb="FFB9CDE5"/>
      </top>
      <bottom style="thin">
        <color rgb="FFB9CDE5"/>
      </bottom>
      <diagonal/>
    </border>
    <border>
      <left style="thin">
        <color rgb="FFB9CDE5"/>
      </left>
      <right style="thin">
        <color rgb="FFB9CDE5"/>
      </right>
      <top style="thin">
        <color rgb="FFB9CDE5"/>
      </top>
      <bottom style="thin">
        <color rgb="FFB9CDE5"/>
      </bottom>
      <diagonal/>
    </border>
    <border>
      <left style="thin">
        <color rgb="FFB9CDE5"/>
      </left>
      <right style="thin">
        <color rgb="FF000000"/>
      </right>
      <top style="thin">
        <color rgb="FFB9CDE5"/>
      </top>
      <bottom style="thin">
        <color rgb="FFB9CDE5"/>
      </bottom>
      <diagonal/>
    </border>
    <border>
      <left/>
      <right style="thin">
        <color rgb="FFB9CDE5"/>
      </right>
      <top style="thin">
        <color rgb="FFB9CDE5"/>
      </top>
      <bottom style="thin">
        <color rgb="FFB9CDE5"/>
      </bottom>
      <diagonal/>
    </border>
    <border>
      <left style="thin">
        <color rgb="FF000000"/>
      </left>
      <right style="thin">
        <color rgb="FF000000"/>
      </right>
      <top style="thin">
        <color rgb="FFB9CDE5"/>
      </top>
      <bottom style="thin">
        <color rgb="FF000000"/>
      </bottom>
      <diagonal/>
    </border>
    <border>
      <left/>
      <right/>
      <top style="thin">
        <color rgb="FFB9CDE5"/>
      </top>
      <bottom/>
      <diagonal/>
    </border>
    <border>
      <left style="thin">
        <color rgb="FF000000"/>
      </left>
      <right style="thin">
        <color rgb="FFB9CDE5"/>
      </right>
      <top style="thin">
        <color rgb="FFB9CDE5"/>
      </top>
      <bottom style="thin">
        <color rgb="FF000000"/>
      </bottom>
      <diagonal/>
    </border>
    <border>
      <left style="thin">
        <color rgb="FFB9CDE5"/>
      </left>
      <right style="thin">
        <color rgb="FFB9CDE5"/>
      </right>
      <top style="thin">
        <color rgb="FFB9CDE5"/>
      </top>
      <bottom style="thin">
        <color rgb="FF000000"/>
      </bottom>
      <diagonal/>
    </border>
    <border>
      <left style="thin">
        <color rgb="FFB9CDE5"/>
      </left>
      <right style="thin">
        <color rgb="FF000000"/>
      </right>
      <top style="thin">
        <color rgb="FFB9CDE5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B9CDE5"/>
      </bottom>
      <diagonal/>
    </border>
  </borders>
  <cellStyleXfs count="1">
    <xf numFmtId="0" fontId="0" fillId="0" borderId="0"/>
  </cellStyleXfs>
  <cellXfs count="38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 applyAlignment="1">
      <alignment horizontal="center"/>
    </xf>
    <xf numFmtId="0" fontId="4" fillId="0" borderId="5" xfId="0" applyFont="1" applyBorder="1"/>
    <xf numFmtId="0" fontId="1" fillId="0" borderId="4" xfId="0" applyFont="1" applyBorder="1" applyAlignment="1">
      <alignment horizontal="center"/>
    </xf>
    <xf numFmtId="0" fontId="4" fillId="0" borderId="6" xfId="0" applyFont="1" applyBorder="1"/>
    <xf numFmtId="0" fontId="1" fillId="0" borderId="6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0" xfId="0" applyFont="1"/>
    <xf numFmtId="0" fontId="3" fillId="0" borderId="7" xfId="0" applyFont="1" applyBorder="1"/>
    <xf numFmtId="0" fontId="3" fillId="0" borderId="2" xfId="0" applyFont="1" applyBorder="1" applyAlignment="1">
      <alignment horizontal="center"/>
    </xf>
    <xf numFmtId="0" fontId="4" fillId="0" borderId="8" xfId="0" applyFont="1" applyBorder="1"/>
    <xf numFmtId="0" fontId="4" fillId="0" borderId="10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3" fillId="0" borderId="12" xfId="0" applyFont="1" applyBorder="1" applyAlignment="1">
      <alignment horizontal="center"/>
    </xf>
    <xf numFmtId="0" fontId="4" fillId="0" borderId="11" xfId="0" applyFont="1" applyBorder="1"/>
    <xf numFmtId="0" fontId="4" fillId="0" borderId="14" xfId="0" applyFont="1" applyBorder="1"/>
    <xf numFmtId="0" fontId="1" fillId="0" borderId="9" xfId="0" applyFont="1" applyBorder="1"/>
    <xf numFmtId="0" fontId="3" fillId="0" borderId="10" xfId="0" applyFont="1" applyBorder="1"/>
    <xf numFmtId="0" fontId="5" fillId="0" borderId="0" xfId="0" applyFont="1"/>
    <xf numFmtId="2" fontId="3" fillId="2" borderId="9" xfId="0" applyNumberFormat="1" applyFont="1" applyFill="1" applyBorder="1"/>
    <xf numFmtId="0" fontId="1" fillId="0" borderId="8" xfId="0" applyFont="1" applyBorder="1"/>
    <xf numFmtId="0" fontId="1" fillId="0" borderId="10" xfId="0" applyFont="1" applyBorder="1"/>
    <xf numFmtId="2" fontId="3" fillId="2" borderId="0" xfId="0" applyNumberFormat="1" applyFont="1" applyFill="1"/>
    <xf numFmtId="2" fontId="3" fillId="0" borderId="0" xfId="0" applyNumberFormat="1" applyFont="1"/>
    <xf numFmtId="2" fontId="3" fillId="0" borderId="10" xfId="0" applyNumberFormat="1" applyFont="1" applyBorder="1"/>
    <xf numFmtId="1" fontId="3" fillId="0" borderId="8" xfId="0" applyNumberFormat="1" applyFont="1" applyBorder="1"/>
    <xf numFmtId="1" fontId="3" fillId="0" borderId="0" xfId="0" applyNumberFormat="1" applyFont="1"/>
    <xf numFmtId="2" fontId="1" fillId="0" borderId="10" xfId="0" applyNumberFormat="1" applyFont="1" applyBorder="1"/>
    <xf numFmtId="2" fontId="1" fillId="0" borderId="0" xfId="0" applyNumberFormat="1" applyFont="1"/>
    <xf numFmtId="1" fontId="3" fillId="0" borderId="9" xfId="0" applyNumberFormat="1" applyFont="1" applyBorder="1"/>
    <xf numFmtId="2" fontId="3" fillId="0" borderId="8" xfId="0" applyNumberFormat="1" applyFont="1" applyBorder="1"/>
    <xf numFmtId="2" fontId="3" fillId="0" borderId="9" xfId="0" applyNumberFormat="1" applyFont="1" applyBorder="1"/>
    <xf numFmtId="0" fontId="6" fillId="0" borderId="9" xfId="0" applyFont="1" applyBorder="1"/>
    <xf numFmtId="1" fontId="6" fillId="0" borderId="9" xfId="0" applyNumberFormat="1" applyFont="1" applyBorder="1"/>
    <xf numFmtId="2" fontId="7" fillId="0" borderId="0" xfId="0" applyNumberFormat="1" applyFont="1"/>
    <xf numFmtId="2" fontId="1" fillId="0" borderId="8" xfId="0" applyNumberFormat="1" applyFont="1" applyBorder="1"/>
    <xf numFmtId="2" fontId="1" fillId="3" borderId="8" xfId="0" applyNumberFormat="1" applyFont="1" applyFill="1" applyBorder="1"/>
    <xf numFmtId="2" fontId="6" fillId="2" borderId="8" xfId="0" applyNumberFormat="1" applyFont="1" applyFill="1" applyBorder="1"/>
    <xf numFmtId="2" fontId="6" fillId="0" borderId="8" xfId="0" applyNumberFormat="1" applyFont="1" applyBorder="1"/>
    <xf numFmtId="0" fontId="5" fillId="0" borderId="13" xfId="0" applyFont="1" applyBorder="1"/>
    <xf numFmtId="2" fontId="8" fillId="0" borderId="13" xfId="0" applyNumberFormat="1" applyFont="1" applyBorder="1"/>
    <xf numFmtId="0" fontId="8" fillId="0" borderId="11" xfId="0" applyFont="1" applyBorder="1"/>
    <xf numFmtId="0" fontId="8" fillId="0" borderId="13" xfId="0" applyFont="1" applyBorder="1"/>
    <xf numFmtId="2" fontId="9" fillId="0" borderId="13" xfId="0" applyNumberFormat="1" applyFont="1" applyBorder="1"/>
    <xf numFmtId="2" fontId="9" fillId="0" borderId="14" xfId="0" applyNumberFormat="1" applyFont="1" applyBorder="1"/>
    <xf numFmtId="2" fontId="9" fillId="0" borderId="12" xfId="0" applyNumberFormat="1" applyFont="1" applyBorder="1"/>
    <xf numFmtId="2" fontId="10" fillId="0" borderId="11" xfId="0" applyNumberFormat="1" applyFont="1" applyBorder="1"/>
    <xf numFmtId="2" fontId="10" fillId="0" borderId="13" xfId="0" applyNumberFormat="1" applyFont="1" applyBorder="1"/>
    <xf numFmtId="2" fontId="10" fillId="0" borderId="14" xfId="0" applyNumberFormat="1" applyFont="1" applyBorder="1"/>
    <xf numFmtId="0" fontId="8" fillId="0" borderId="0" xfId="0" applyFont="1"/>
    <xf numFmtId="0" fontId="8" fillId="0" borderId="8" xfId="0" applyFont="1" applyBorder="1"/>
    <xf numFmtId="2" fontId="8" fillId="0" borderId="0" xfId="0" applyNumberFormat="1" applyFont="1"/>
    <xf numFmtId="2" fontId="8" fillId="0" borderId="10" xfId="0" applyNumberFormat="1" applyFont="1" applyBorder="1"/>
    <xf numFmtId="2" fontId="9" fillId="0" borderId="0" xfId="0" applyNumberFormat="1" applyFont="1"/>
    <xf numFmtId="2" fontId="8" fillId="0" borderId="9" xfId="0" applyNumberFormat="1" applyFont="1" applyBorder="1"/>
    <xf numFmtId="2" fontId="10" fillId="0" borderId="8" xfId="0" applyNumberFormat="1" applyFont="1" applyBorder="1"/>
    <xf numFmtId="2" fontId="3" fillId="2" borderId="10" xfId="0" applyNumberFormat="1" applyFont="1" applyFill="1" applyBorder="1"/>
    <xf numFmtId="2" fontId="8" fillId="0" borderId="14" xfId="0" applyNumberFormat="1" applyFont="1" applyBorder="1"/>
    <xf numFmtId="2" fontId="8" fillId="0" borderId="12" xfId="0" applyNumberFormat="1" applyFont="1" applyBorder="1"/>
    <xf numFmtId="2" fontId="1" fillId="0" borderId="11" xfId="0" applyNumberFormat="1" applyFont="1" applyBorder="1"/>
    <xf numFmtId="2" fontId="1" fillId="0" borderId="13" xfId="0" applyNumberFormat="1" applyFont="1" applyBorder="1"/>
    <xf numFmtId="2" fontId="1" fillId="0" borderId="14" xfId="0" applyNumberFormat="1" applyFont="1" applyBorder="1"/>
    <xf numFmtId="0" fontId="3" fillId="2" borderId="0" xfId="0" applyFont="1" applyFill="1"/>
    <xf numFmtId="0" fontId="3" fillId="4" borderId="0" xfId="0" applyFont="1" applyFill="1"/>
    <xf numFmtId="0" fontId="3" fillId="2" borderId="8" xfId="0" applyFont="1" applyFill="1" applyBorder="1"/>
    <xf numFmtId="0" fontId="5" fillId="0" borderId="10" xfId="0" applyFont="1" applyBorder="1"/>
    <xf numFmtId="2" fontId="3" fillId="5" borderId="0" xfId="0" applyNumberFormat="1" applyFont="1" applyFill="1"/>
    <xf numFmtId="0" fontId="5" fillId="0" borderId="14" xfId="0" applyFont="1" applyBorder="1"/>
    <xf numFmtId="0" fontId="5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3" borderId="0" xfId="0" applyFont="1" applyFill="1"/>
    <xf numFmtId="2" fontId="2" fillId="0" borderId="8" xfId="0" applyNumberFormat="1" applyFont="1" applyBorder="1"/>
    <xf numFmtId="0" fontId="3" fillId="5" borderId="0" xfId="0" applyFont="1" applyFill="1"/>
    <xf numFmtId="2" fontId="3" fillId="6" borderId="0" xfId="0" applyNumberFormat="1" applyFont="1" applyFill="1"/>
    <xf numFmtId="0" fontId="1" fillId="3" borderId="10" xfId="0" applyFont="1" applyFill="1" applyBorder="1"/>
    <xf numFmtId="164" fontId="3" fillId="0" borderId="9" xfId="0" applyNumberFormat="1" applyFont="1" applyBorder="1"/>
    <xf numFmtId="0" fontId="1" fillId="7" borderId="10" xfId="0" applyFont="1" applyFill="1" applyBorder="1"/>
    <xf numFmtId="0" fontId="1" fillId="2" borderId="14" xfId="0" applyFont="1" applyFill="1" applyBorder="1"/>
    <xf numFmtId="0" fontId="2" fillId="0" borderId="0" xfId="0" applyFont="1" applyAlignment="1">
      <alignment horizontal="right"/>
    </xf>
    <xf numFmtId="2" fontId="3" fillId="3" borderId="0" xfId="0" applyNumberFormat="1" applyFont="1" applyFill="1"/>
    <xf numFmtId="0" fontId="1" fillId="2" borderId="0" xfId="0" applyFont="1" applyFill="1"/>
    <xf numFmtId="2" fontId="3" fillId="3" borderId="10" xfId="0" applyNumberFormat="1" applyFont="1" applyFill="1" applyBorder="1"/>
    <xf numFmtId="0" fontId="3" fillId="3" borderId="10" xfId="0" applyFont="1" applyFill="1" applyBorder="1"/>
    <xf numFmtId="0" fontId="3" fillId="7" borderId="8" xfId="0" applyFont="1" applyFill="1" applyBorder="1"/>
    <xf numFmtId="0" fontId="3" fillId="3" borderId="8" xfId="0" applyFont="1" applyFill="1" applyBorder="1"/>
    <xf numFmtId="2" fontId="3" fillId="7" borderId="0" xfId="0" applyNumberFormat="1" applyFont="1" applyFill="1"/>
    <xf numFmtId="0" fontId="1" fillId="0" borderId="14" xfId="0" applyFont="1" applyBorder="1"/>
    <xf numFmtId="0" fontId="3" fillId="8" borderId="0" xfId="0" applyFont="1" applyFill="1"/>
    <xf numFmtId="0" fontId="3" fillId="2" borderId="9" xfId="0" applyFont="1" applyFill="1" applyBorder="1"/>
    <xf numFmtId="2" fontId="8" fillId="2" borderId="13" xfId="0" applyNumberFormat="1" applyFont="1" applyFill="1" applyBorder="1"/>
    <xf numFmtId="2" fontId="1" fillId="7" borderId="10" xfId="0" applyNumberFormat="1" applyFont="1" applyFill="1" applyBorder="1"/>
    <xf numFmtId="0" fontId="3" fillId="3" borderId="0" xfId="0" applyFont="1" applyFill="1" applyAlignment="1">
      <alignment horizontal="right"/>
    </xf>
    <xf numFmtId="0" fontId="3" fillId="7" borderId="0" xfId="0" applyFont="1" applyFill="1"/>
    <xf numFmtId="2" fontId="3" fillId="4" borderId="0" xfId="0" applyNumberFormat="1" applyFont="1" applyFill="1"/>
    <xf numFmtId="2" fontId="3" fillId="7" borderId="10" xfId="0" applyNumberFormat="1" applyFont="1" applyFill="1" applyBorder="1"/>
    <xf numFmtId="2" fontId="3" fillId="0" borderId="15" xfId="0" applyNumberFormat="1" applyFont="1" applyBorder="1"/>
    <xf numFmtId="2" fontId="8" fillId="0" borderId="15" xfId="0" applyNumberFormat="1" applyFont="1" applyBorder="1"/>
    <xf numFmtId="2" fontId="8" fillId="0" borderId="4" xfId="0" applyNumberFormat="1" applyFont="1" applyBorder="1"/>
    <xf numFmtId="2" fontId="3" fillId="0" borderId="11" xfId="0" applyNumberFormat="1" applyFont="1" applyBorder="1"/>
    <xf numFmtId="2" fontId="3" fillId="0" borderId="13" xfId="0" applyNumberFormat="1" applyFont="1" applyBorder="1"/>
    <xf numFmtId="2" fontId="3" fillId="0" borderId="14" xfId="0" applyNumberFormat="1" applyFont="1" applyBorder="1"/>
    <xf numFmtId="0" fontId="3" fillId="0" borderId="0" xfId="0" applyFont="1" applyAlignment="1">
      <alignment horizontal="center"/>
    </xf>
    <xf numFmtId="0" fontId="3" fillId="0" borderId="9" xfId="0" applyFont="1" applyBorder="1" applyAlignment="1">
      <alignment horizontal="center"/>
    </xf>
    <xf numFmtId="0" fontId="1" fillId="0" borderId="2" xfId="0" applyFont="1" applyBorder="1"/>
    <xf numFmtId="0" fontId="3" fillId="0" borderId="15" xfId="0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0" fontId="3" fillId="0" borderId="15" xfId="0" applyFont="1" applyBorder="1"/>
    <xf numFmtId="0" fontId="2" fillId="0" borderId="15" xfId="0" applyFont="1" applyBorder="1" applyAlignment="1">
      <alignment horizontal="center"/>
    </xf>
    <xf numFmtId="1" fontId="3" fillId="0" borderId="15" xfId="0" applyNumberFormat="1" applyFont="1" applyBorder="1"/>
    <xf numFmtId="0" fontId="11" fillId="0" borderId="0" xfId="0" applyFont="1"/>
    <xf numFmtId="2" fontId="11" fillId="0" borderId="0" xfId="0" applyNumberFormat="1" applyFont="1"/>
    <xf numFmtId="0" fontId="12" fillId="0" borderId="0" xfId="0" applyFont="1"/>
    <xf numFmtId="0" fontId="3" fillId="0" borderId="14" xfId="0" applyFont="1" applyBorder="1" applyAlignment="1">
      <alignment horizontal="center"/>
    </xf>
    <xf numFmtId="2" fontId="3" fillId="0" borderId="12" xfId="0" applyNumberFormat="1" applyFont="1" applyBorder="1"/>
    <xf numFmtId="0" fontId="13" fillId="0" borderId="15" xfId="0" applyFont="1" applyBorder="1" applyAlignment="1">
      <alignment horizontal="center"/>
    </xf>
    <xf numFmtId="1" fontId="2" fillId="0" borderId="15" xfId="0" applyNumberFormat="1" applyFont="1" applyBorder="1"/>
    <xf numFmtId="0" fontId="13" fillId="0" borderId="0" xfId="0" applyFont="1" applyAlignment="1">
      <alignment horizontal="center"/>
    </xf>
    <xf numFmtId="0" fontId="3" fillId="3" borderId="3" xfId="0" applyFont="1" applyFill="1" applyBorder="1"/>
    <xf numFmtId="0" fontId="1" fillId="4" borderId="4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3" fillId="3" borderId="13" xfId="0" applyFont="1" applyFill="1" applyBorder="1"/>
    <xf numFmtId="2" fontId="14" fillId="0" borderId="0" xfId="0" applyNumberFormat="1" applyFont="1"/>
    <xf numFmtId="2" fontId="3" fillId="9" borderId="0" xfId="0" applyNumberFormat="1" applyFont="1" applyFill="1"/>
    <xf numFmtId="2" fontId="3" fillId="9" borderId="10" xfId="0" applyNumberFormat="1" applyFont="1" applyFill="1" applyBorder="1"/>
    <xf numFmtId="0" fontId="3" fillId="6" borderId="0" xfId="0" applyFont="1" applyFill="1"/>
    <xf numFmtId="2" fontId="13" fillId="0" borderId="0" xfId="0" applyNumberFormat="1" applyFont="1"/>
    <xf numFmtId="2" fontId="6" fillId="9" borderId="10" xfId="0" applyNumberFormat="1" applyFont="1" applyFill="1" applyBorder="1"/>
    <xf numFmtId="0" fontId="3" fillId="9" borderId="0" xfId="0" applyFont="1" applyFill="1"/>
    <xf numFmtId="0" fontId="3" fillId="9" borderId="10" xfId="0" applyFont="1" applyFill="1" applyBorder="1"/>
    <xf numFmtId="2" fontId="1" fillId="2" borderId="0" xfId="0" applyNumberFormat="1" applyFont="1" applyFill="1"/>
    <xf numFmtId="2" fontId="10" fillId="0" borderId="10" xfId="0" applyNumberFormat="1" applyFont="1" applyBorder="1"/>
    <xf numFmtId="2" fontId="10" fillId="9" borderId="10" xfId="0" applyNumberFormat="1" applyFont="1" applyFill="1" applyBorder="1"/>
    <xf numFmtId="2" fontId="15" fillId="9" borderId="10" xfId="0" applyNumberFormat="1" applyFont="1" applyFill="1" applyBorder="1"/>
    <xf numFmtId="2" fontId="3" fillId="8" borderId="0" xfId="0" applyNumberFormat="1" applyFont="1" applyFill="1"/>
    <xf numFmtId="2" fontId="8" fillId="9" borderId="0" xfId="0" applyNumberFormat="1" applyFont="1" applyFill="1"/>
    <xf numFmtId="2" fontId="1" fillId="9" borderId="0" xfId="0" applyNumberFormat="1" applyFont="1" applyFill="1"/>
    <xf numFmtId="0" fontId="2" fillId="6" borderId="0" xfId="0" applyFont="1" applyFill="1"/>
    <xf numFmtId="2" fontId="1" fillId="2" borderId="10" xfId="0" applyNumberFormat="1" applyFont="1" applyFill="1" applyBorder="1"/>
    <xf numFmtId="0" fontId="1" fillId="9" borderId="0" xfId="0" applyFont="1" applyFill="1"/>
    <xf numFmtId="2" fontId="1" fillId="9" borderId="10" xfId="0" applyNumberFormat="1" applyFont="1" applyFill="1" applyBorder="1"/>
    <xf numFmtId="0" fontId="16" fillId="0" borderId="0" xfId="0" applyFont="1"/>
    <xf numFmtId="2" fontId="16" fillId="0" borderId="0" xfId="0" applyNumberFormat="1" applyFont="1"/>
    <xf numFmtId="2" fontId="17" fillId="0" borderId="0" xfId="0" applyNumberFormat="1" applyFont="1"/>
    <xf numFmtId="0" fontId="6" fillId="0" borderId="0" xfId="0" applyFont="1"/>
    <xf numFmtId="0" fontId="14" fillId="0" borderId="0" xfId="0" applyFont="1"/>
    <xf numFmtId="0" fontId="14" fillId="0" borderId="2" xfId="0" applyFont="1" applyBorder="1"/>
    <xf numFmtId="0" fontId="4" fillId="0" borderId="3" xfId="0" applyFont="1" applyBorder="1"/>
    <xf numFmtId="0" fontId="3" fillId="0" borderId="11" xfId="0" applyFont="1" applyBorder="1" applyAlignment="1">
      <alignment horizontal="center"/>
    </xf>
    <xf numFmtId="2" fontId="3" fillId="0" borderId="2" xfId="0" applyNumberFormat="1" applyFont="1" applyBorder="1"/>
    <xf numFmtId="2" fontId="3" fillId="0" borderId="9" xfId="0" applyNumberFormat="1" applyFont="1" applyBorder="1" applyAlignment="1">
      <alignment horizontal="center"/>
    </xf>
    <xf numFmtId="0" fontId="18" fillId="0" borderId="0" xfId="0" applyFont="1"/>
    <xf numFmtId="2" fontId="3" fillId="0" borderId="1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2" fontId="12" fillId="0" borderId="0" xfId="0" applyNumberFormat="1" applyFont="1"/>
    <xf numFmtId="164" fontId="3" fillId="0" borderId="15" xfId="0" applyNumberFormat="1" applyFont="1" applyBorder="1"/>
    <xf numFmtId="2" fontId="3" fillId="2" borderId="15" xfId="0" applyNumberFormat="1" applyFont="1" applyFill="1" applyBorder="1"/>
    <xf numFmtId="0" fontId="13" fillId="0" borderId="0" xfId="0" applyFont="1" applyAlignment="1">
      <alignment horizontal="left"/>
    </xf>
    <xf numFmtId="1" fontId="13" fillId="0" borderId="0" xfId="0" applyNumberFormat="1" applyFont="1"/>
    <xf numFmtId="0" fontId="5" fillId="0" borderId="3" xfId="0" applyFont="1" applyBorder="1"/>
    <xf numFmtId="2" fontId="3" fillId="0" borderId="3" xfId="0" applyNumberFormat="1" applyFont="1" applyBorder="1"/>
    <xf numFmtId="2" fontId="3" fillId="0" borderId="1" xfId="0" applyNumberFormat="1" applyFont="1" applyBorder="1"/>
    <xf numFmtId="2" fontId="3" fillId="0" borderId="7" xfId="0" applyNumberFormat="1" applyFont="1" applyBorder="1"/>
    <xf numFmtId="0" fontId="1" fillId="10" borderId="4" xfId="0" applyFont="1" applyFill="1" applyBorder="1" applyAlignment="1">
      <alignment horizontal="center"/>
    </xf>
    <xf numFmtId="0" fontId="4" fillId="0" borderId="13" xfId="0" applyFont="1" applyBorder="1"/>
    <xf numFmtId="0" fontId="2" fillId="0" borderId="2" xfId="0" applyFont="1" applyBorder="1"/>
    <xf numFmtId="0" fontId="2" fillId="0" borderId="9" xfId="0" applyFont="1" applyBorder="1"/>
    <xf numFmtId="0" fontId="2" fillId="0" borderId="12" xfId="0" applyFont="1" applyBorder="1"/>
    <xf numFmtId="0" fontId="14" fillId="0" borderId="9" xfId="0" applyFont="1" applyBorder="1"/>
    <xf numFmtId="2" fontId="19" fillId="0" borderId="10" xfId="0" applyNumberFormat="1" applyFont="1" applyBorder="1"/>
    <xf numFmtId="2" fontId="2" fillId="0" borderId="0" xfId="0" applyNumberFormat="1" applyFont="1"/>
    <xf numFmtId="2" fontId="15" fillId="2" borderId="0" xfId="0" applyNumberFormat="1" applyFont="1" applyFill="1"/>
    <xf numFmtId="2" fontId="6" fillId="0" borderId="0" xfId="0" applyNumberFormat="1" applyFont="1"/>
    <xf numFmtId="2" fontId="17" fillId="0" borderId="13" xfId="0" applyNumberFormat="1" applyFont="1" applyBorder="1"/>
    <xf numFmtId="0" fontId="6" fillId="0" borderId="8" xfId="0" applyFont="1" applyBorder="1"/>
    <xf numFmtId="2" fontId="2" fillId="9" borderId="0" xfId="0" applyNumberFormat="1" applyFont="1" applyFill="1"/>
    <xf numFmtId="0" fontId="2" fillId="0" borderId="8" xfId="0" applyFont="1" applyBorder="1"/>
    <xf numFmtId="2" fontId="10" fillId="0" borderId="0" xfId="0" applyNumberFormat="1" applyFont="1"/>
    <xf numFmtId="0" fontId="2" fillId="11" borderId="2" xfId="0" applyFont="1" applyFill="1" applyBorder="1"/>
    <xf numFmtId="0" fontId="3" fillId="11" borderId="2" xfId="0" applyFont="1" applyFill="1" applyBorder="1"/>
    <xf numFmtId="2" fontId="3" fillId="11" borderId="0" xfId="0" applyNumberFormat="1" applyFont="1" applyFill="1"/>
    <xf numFmtId="0" fontId="8" fillId="11" borderId="16" xfId="0" applyFont="1" applyFill="1" applyBorder="1"/>
    <xf numFmtId="0" fontId="8" fillId="11" borderId="17" xfId="0" applyFont="1" applyFill="1" applyBorder="1"/>
    <xf numFmtId="2" fontId="8" fillId="11" borderId="18" xfId="0" applyNumberFormat="1" applyFont="1" applyFill="1" applyBorder="1"/>
    <xf numFmtId="2" fontId="8" fillId="11" borderId="17" xfId="0" applyNumberFormat="1" applyFont="1" applyFill="1" applyBorder="1"/>
    <xf numFmtId="0" fontId="3" fillId="11" borderId="0" xfId="0" applyFont="1" applyFill="1"/>
    <xf numFmtId="2" fontId="3" fillId="11" borderId="1" xfId="0" applyNumberFormat="1" applyFont="1" applyFill="1" applyBorder="1"/>
    <xf numFmtId="2" fontId="3" fillId="11" borderId="3" xfId="0" applyNumberFormat="1" applyFont="1" applyFill="1" applyBorder="1"/>
    <xf numFmtId="2" fontId="3" fillId="11" borderId="7" xfId="0" applyNumberFormat="1" applyFont="1" applyFill="1" applyBorder="1"/>
    <xf numFmtId="0" fontId="2" fillId="11" borderId="19" xfId="0" applyFont="1" applyFill="1" applyBorder="1"/>
    <xf numFmtId="0" fontId="3" fillId="11" borderId="19" xfId="0" applyFont="1" applyFill="1" applyBorder="1"/>
    <xf numFmtId="2" fontId="3" fillId="11" borderId="20" xfId="0" applyNumberFormat="1" applyFont="1" applyFill="1" applyBorder="1"/>
    <xf numFmtId="0" fontId="3" fillId="11" borderId="21" xfId="0" applyFont="1" applyFill="1" applyBorder="1"/>
    <xf numFmtId="0" fontId="3" fillId="11" borderId="22" xfId="0" applyFont="1" applyFill="1" applyBorder="1"/>
    <xf numFmtId="2" fontId="3" fillId="11" borderId="22" xfId="0" applyNumberFormat="1" applyFont="1" applyFill="1" applyBorder="1"/>
    <xf numFmtId="0" fontId="3" fillId="11" borderId="23" xfId="0" applyFont="1" applyFill="1" applyBorder="1"/>
    <xf numFmtId="2" fontId="7" fillId="11" borderId="22" xfId="0" applyNumberFormat="1" applyFont="1" applyFill="1" applyBorder="1"/>
    <xf numFmtId="2" fontId="1" fillId="11" borderId="23" xfId="0" applyNumberFormat="1" applyFont="1" applyFill="1" applyBorder="1"/>
    <xf numFmtId="0" fontId="2" fillId="0" borderId="10" xfId="0" applyFont="1" applyBorder="1"/>
    <xf numFmtId="1" fontId="3" fillId="11" borderId="19" xfId="0" applyNumberFormat="1" applyFont="1" applyFill="1" applyBorder="1"/>
    <xf numFmtId="2" fontId="3" fillId="11" borderId="21" xfId="0" applyNumberFormat="1" applyFont="1" applyFill="1" applyBorder="1"/>
    <xf numFmtId="2" fontId="3" fillId="11" borderId="23" xfId="0" applyNumberFormat="1" applyFont="1" applyFill="1" applyBorder="1"/>
    <xf numFmtId="0" fontId="3" fillId="11" borderId="24" xfId="0" applyFont="1" applyFill="1" applyBorder="1"/>
    <xf numFmtId="0" fontId="6" fillId="11" borderId="21" xfId="0" applyFont="1" applyFill="1" applyBorder="1"/>
    <xf numFmtId="0" fontId="1" fillId="11" borderId="23" xfId="0" applyFont="1" applyFill="1" applyBorder="1"/>
    <xf numFmtId="2" fontId="6" fillId="11" borderId="20" xfId="0" applyNumberFormat="1" applyFont="1" applyFill="1" applyBorder="1"/>
    <xf numFmtId="0" fontId="2" fillId="11" borderId="25" xfId="0" applyFont="1" applyFill="1" applyBorder="1"/>
    <xf numFmtId="0" fontId="3" fillId="11" borderId="25" xfId="0" applyFont="1" applyFill="1" applyBorder="1"/>
    <xf numFmtId="2" fontId="8" fillId="11" borderId="26" xfId="0" applyNumberFormat="1" applyFont="1" applyFill="1" applyBorder="1"/>
    <xf numFmtId="0" fontId="8" fillId="11" borderId="27" xfId="0" applyFont="1" applyFill="1" applyBorder="1"/>
    <xf numFmtId="0" fontId="8" fillId="11" borderId="28" xfId="0" applyFont="1" applyFill="1" applyBorder="1"/>
    <xf numFmtId="2" fontId="8" fillId="11" borderId="28" xfId="0" applyNumberFormat="1" applyFont="1" applyFill="1" applyBorder="1"/>
    <xf numFmtId="2" fontId="8" fillId="11" borderId="29" xfId="0" applyNumberFormat="1" applyFont="1" applyFill="1" applyBorder="1"/>
    <xf numFmtId="2" fontId="8" fillId="11" borderId="25" xfId="0" applyNumberFormat="1" applyFont="1" applyFill="1" applyBorder="1"/>
    <xf numFmtId="2" fontId="1" fillId="11" borderId="27" xfId="0" applyNumberFormat="1" applyFont="1" applyFill="1" applyBorder="1"/>
    <xf numFmtId="2" fontId="1" fillId="11" borderId="28" xfId="0" applyNumberFormat="1" applyFont="1" applyFill="1" applyBorder="1"/>
    <xf numFmtId="2" fontId="1" fillId="11" borderId="29" xfId="0" applyNumberFormat="1" applyFont="1" applyFill="1" applyBorder="1"/>
    <xf numFmtId="2" fontId="3" fillId="11" borderId="24" xfId="0" applyNumberFormat="1" applyFont="1" applyFill="1" applyBorder="1"/>
    <xf numFmtId="0" fontId="2" fillId="11" borderId="30" xfId="0" applyFont="1" applyFill="1" applyBorder="1"/>
    <xf numFmtId="0" fontId="3" fillId="11" borderId="30" xfId="0" applyFont="1" applyFill="1" applyBorder="1"/>
    <xf numFmtId="0" fontId="3" fillId="11" borderId="16" xfId="0" applyFont="1" applyFill="1" applyBorder="1"/>
    <xf numFmtId="0" fontId="3" fillId="11" borderId="18" xfId="0" applyFont="1" applyFill="1" applyBorder="1"/>
    <xf numFmtId="2" fontId="3" fillId="11" borderId="30" xfId="0" applyNumberFormat="1" applyFont="1" applyFill="1" applyBorder="1"/>
    <xf numFmtId="2" fontId="8" fillId="11" borderId="30" xfId="0" applyNumberFormat="1" applyFont="1" applyFill="1" applyBorder="1"/>
    <xf numFmtId="2" fontId="3" fillId="11" borderId="16" xfId="0" applyNumberFormat="1" applyFont="1" applyFill="1" applyBorder="1"/>
    <xf numFmtId="2" fontId="3" fillId="11" borderId="17" xfId="0" applyNumberFormat="1" applyFont="1" applyFill="1" applyBorder="1"/>
    <xf numFmtId="2" fontId="3" fillId="11" borderId="18" xfId="0" applyNumberFormat="1" applyFont="1" applyFill="1" applyBorder="1"/>
    <xf numFmtId="2" fontId="3" fillId="4" borderId="19" xfId="0" applyNumberFormat="1" applyFont="1" applyFill="1" applyBorder="1"/>
    <xf numFmtId="2" fontId="3" fillId="11" borderId="19" xfId="0" applyNumberFormat="1" applyFont="1" applyFill="1" applyBorder="1"/>
    <xf numFmtId="2" fontId="6" fillId="11" borderId="19" xfId="0" applyNumberFormat="1" applyFont="1" applyFill="1" applyBorder="1"/>
    <xf numFmtId="0" fontId="3" fillId="11" borderId="27" xfId="0" applyFont="1" applyFill="1" applyBorder="1"/>
    <xf numFmtId="0" fontId="3" fillId="11" borderId="29" xfId="0" applyFont="1" applyFill="1" applyBorder="1"/>
    <xf numFmtId="2" fontId="15" fillId="0" borderId="10" xfId="0" applyNumberFormat="1" applyFont="1" applyBorder="1"/>
    <xf numFmtId="0" fontId="2" fillId="0" borderId="14" xfId="0" applyFont="1" applyBorder="1" applyAlignment="1">
      <alignment horizontal="right"/>
    </xf>
    <xf numFmtId="0" fontId="15" fillId="2" borderId="14" xfId="0" applyFont="1" applyFill="1" applyBorder="1"/>
    <xf numFmtId="0" fontId="2" fillId="9" borderId="0" xfId="0" applyFont="1" applyFill="1"/>
    <xf numFmtId="2" fontId="2" fillId="0" borderId="10" xfId="0" applyNumberFormat="1" applyFont="1" applyBorder="1"/>
    <xf numFmtId="0" fontId="2" fillId="0" borderId="13" xfId="0" applyFont="1" applyBorder="1"/>
    <xf numFmtId="2" fontId="15" fillId="0" borderId="0" xfId="0" applyNumberFormat="1" applyFont="1"/>
    <xf numFmtId="0" fontId="15" fillId="0" borderId="10" xfId="0" applyFont="1" applyBorder="1"/>
    <xf numFmtId="0" fontId="2" fillId="6" borderId="0" xfId="0" applyFont="1" applyFill="1" applyAlignment="1">
      <alignment horizontal="right"/>
    </xf>
    <xf numFmtId="0" fontId="8" fillId="0" borderId="1" xfId="0" applyFont="1" applyBorder="1"/>
    <xf numFmtId="2" fontId="6" fillId="9" borderId="0" xfId="0" applyNumberFormat="1" applyFont="1" applyFill="1"/>
    <xf numFmtId="0" fontId="2" fillId="0" borderId="14" xfId="0" applyFont="1" applyBorder="1"/>
    <xf numFmtId="2" fontId="1" fillId="11" borderId="0" xfId="0" applyNumberFormat="1" applyFont="1" applyFill="1"/>
    <xf numFmtId="0" fontId="15" fillId="0" borderId="14" xfId="0" applyFont="1" applyBorder="1"/>
    <xf numFmtId="0" fontId="6" fillId="2" borderId="0" xfId="0" applyFont="1" applyFill="1"/>
    <xf numFmtId="0" fontId="6" fillId="2" borderId="8" xfId="0" applyFont="1" applyFill="1" applyBorder="1"/>
    <xf numFmtId="2" fontId="8" fillId="9" borderId="13" xfId="0" applyNumberFormat="1" applyFont="1" applyFill="1" applyBorder="1"/>
    <xf numFmtId="2" fontId="15" fillId="11" borderId="0" xfId="0" applyNumberFormat="1" applyFont="1" applyFill="1"/>
    <xf numFmtId="2" fontId="16" fillId="0" borderId="13" xfId="0" applyNumberFormat="1" applyFont="1" applyBorder="1"/>
    <xf numFmtId="0" fontId="6" fillId="3" borderId="0" xfId="0" applyFont="1" applyFill="1"/>
    <xf numFmtId="0" fontId="6" fillId="3" borderId="8" xfId="0" applyFont="1" applyFill="1" applyBorder="1"/>
    <xf numFmtId="2" fontId="13" fillId="0" borderId="3" xfId="0" applyNumberFormat="1" applyFont="1" applyBorder="1"/>
    <xf numFmtId="0" fontId="19" fillId="0" borderId="0" xfId="0" applyFont="1"/>
    <xf numFmtId="0" fontId="19" fillId="0" borderId="15" xfId="0" applyFont="1" applyBorder="1"/>
    <xf numFmtId="2" fontId="20" fillId="0" borderId="15" xfId="0" applyNumberFormat="1" applyFont="1" applyBorder="1"/>
    <xf numFmtId="2" fontId="17" fillId="0" borderId="15" xfId="0" applyNumberFormat="1" applyFont="1" applyBorder="1"/>
    <xf numFmtId="0" fontId="8" fillId="9" borderId="0" xfId="0" applyFont="1" applyFill="1"/>
    <xf numFmtId="2" fontId="8" fillId="9" borderId="15" xfId="0" applyNumberFormat="1" applyFont="1" applyFill="1" applyBorder="1"/>
    <xf numFmtId="0" fontId="21" fillId="0" borderId="0" xfId="0" applyFont="1"/>
    <xf numFmtId="0" fontId="22" fillId="0" borderId="0" xfId="0" applyFont="1"/>
    <xf numFmtId="2" fontId="21" fillId="12" borderId="0" xfId="0" applyNumberFormat="1" applyFont="1" applyFill="1"/>
    <xf numFmtId="2" fontId="23" fillId="12" borderId="0" xfId="0" applyNumberFormat="1" applyFont="1" applyFill="1"/>
    <xf numFmtId="2" fontId="22" fillId="12" borderId="0" xfId="0" applyNumberFormat="1" applyFont="1" applyFill="1"/>
    <xf numFmtId="2" fontId="21" fillId="0" borderId="0" xfId="0" applyNumberFormat="1" applyFont="1"/>
    <xf numFmtId="0" fontId="3" fillId="4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6" fillId="0" borderId="8" xfId="0" applyFont="1" applyBorder="1" applyAlignment="1">
      <alignment horizontal="center"/>
    </xf>
    <xf numFmtId="2" fontId="2" fillId="11" borderId="15" xfId="0" applyNumberFormat="1" applyFont="1" applyFill="1" applyBorder="1" applyAlignment="1">
      <alignment horizontal="center"/>
    </xf>
    <xf numFmtId="2" fontId="2" fillId="11" borderId="9" xfId="0" applyNumberFormat="1" applyFont="1" applyFill="1" applyBorder="1" applyAlignment="1">
      <alignment horizontal="center"/>
    </xf>
    <xf numFmtId="2" fontId="15" fillId="11" borderId="15" xfId="0" applyNumberFormat="1" applyFont="1" applyFill="1" applyBorder="1" applyAlignment="1">
      <alignment horizontal="center"/>
    </xf>
    <xf numFmtId="2" fontId="3" fillId="2" borderId="15" xfId="0" applyNumberFormat="1" applyFont="1" applyFill="1" applyBorder="1" applyAlignment="1">
      <alignment horizontal="center"/>
    </xf>
    <xf numFmtId="2" fontId="1" fillId="11" borderId="15" xfId="0" applyNumberFormat="1" applyFont="1" applyFill="1" applyBorder="1" applyAlignment="1">
      <alignment horizontal="center"/>
    </xf>
    <xf numFmtId="2" fontId="3" fillId="11" borderId="15" xfId="0" applyNumberFormat="1" applyFont="1" applyFill="1" applyBorder="1" applyAlignment="1">
      <alignment horizontal="center"/>
    </xf>
    <xf numFmtId="1" fontId="2" fillId="0" borderId="0" xfId="0" applyNumberFormat="1" applyFont="1"/>
    <xf numFmtId="1" fontId="3" fillId="0" borderId="11" xfId="0" applyNumberFormat="1" applyFont="1" applyBorder="1"/>
    <xf numFmtId="2" fontId="1" fillId="0" borderId="15" xfId="0" applyNumberFormat="1" applyFont="1" applyBorder="1"/>
    <xf numFmtId="2" fontId="3" fillId="4" borderId="15" xfId="0" applyNumberFormat="1" applyFont="1" applyFill="1" applyBorder="1"/>
    <xf numFmtId="2" fontId="13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0" fontId="13" fillId="0" borderId="0" xfId="0" applyFont="1"/>
    <xf numFmtId="0" fontId="24" fillId="0" borderId="0" xfId="0" applyFont="1"/>
    <xf numFmtId="0" fontId="6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1" fontId="3" fillId="0" borderId="12" xfId="0" applyNumberFormat="1" applyFont="1" applyBorder="1"/>
    <xf numFmtId="0" fontId="3" fillId="0" borderId="6" xfId="0" applyFont="1" applyBorder="1"/>
    <xf numFmtId="2" fontId="1" fillId="3" borderId="10" xfId="0" applyNumberFormat="1" applyFont="1" applyFill="1" applyBorder="1"/>
    <xf numFmtId="2" fontId="1" fillId="2" borderId="8" xfId="0" applyNumberFormat="1" applyFont="1" applyFill="1" applyBorder="1"/>
    <xf numFmtId="0" fontId="17" fillId="0" borderId="11" xfId="0" applyFont="1" applyBorder="1"/>
    <xf numFmtId="0" fontId="17" fillId="0" borderId="13" xfId="0" applyFont="1" applyBorder="1"/>
    <xf numFmtId="0" fontId="17" fillId="0" borderId="8" xfId="0" applyFont="1" applyBorder="1"/>
    <xf numFmtId="0" fontId="17" fillId="0" borderId="0" xfId="0" applyFont="1"/>
    <xf numFmtId="0" fontId="10" fillId="0" borderId="0" xfId="0" applyFont="1"/>
    <xf numFmtId="0" fontId="25" fillId="0" borderId="0" xfId="0" applyFont="1"/>
    <xf numFmtId="0" fontId="26" fillId="0" borderId="0" xfId="0" applyFont="1"/>
    <xf numFmtId="2" fontId="27" fillId="0" borderId="0" xfId="0" applyNumberFormat="1" applyFont="1"/>
    <xf numFmtId="0" fontId="8" fillId="0" borderId="17" xfId="0" applyFont="1" applyBorder="1"/>
    <xf numFmtId="0" fontId="8" fillId="0" borderId="16" xfId="0" applyFont="1" applyBorder="1"/>
    <xf numFmtId="0" fontId="17" fillId="0" borderId="16" xfId="0" applyFont="1" applyBorder="1"/>
    <xf numFmtId="0" fontId="17" fillId="0" borderId="17" xfId="0" applyFont="1" applyBorder="1"/>
    <xf numFmtId="0" fontId="3" fillId="0" borderId="22" xfId="0" applyFont="1" applyBorder="1"/>
    <xf numFmtId="0" fontId="3" fillId="0" borderId="21" xfId="0" applyFont="1" applyBorder="1"/>
    <xf numFmtId="0" fontId="2" fillId="0" borderId="21" xfId="0" applyFont="1" applyBorder="1"/>
    <xf numFmtId="0" fontId="2" fillId="0" borderId="22" xfId="0" applyFont="1" applyBorder="1"/>
    <xf numFmtId="2" fontId="2" fillId="0" borderId="23" xfId="0" applyNumberFormat="1" applyFont="1" applyBorder="1"/>
    <xf numFmtId="0" fontId="15" fillId="0" borderId="0" xfId="0" applyFont="1"/>
    <xf numFmtId="0" fontId="6" fillId="0" borderId="21" xfId="0" applyFont="1" applyBorder="1"/>
    <xf numFmtId="0" fontId="8" fillId="0" borderId="28" xfId="0" applyFont="1" applyBorder="1"/>
    <xf numFmtId="0" fontId="8" fillId="0" borderId="27" xfId="0" applyFont="1" applyBorder="1"/>
    <xf numFmtId="0" fontId="17" fillId="0" borderId="27" xfId="0" applyFont="1" applyBorder="1"/>
    <xf numFmtId="0" fontId="17" fillId="0" borderId="28" xfId="0" applyFont="1" applyBorder="1"/>
    <xf numFmtId="0" fontId="6" fillId="11" borderId="23" xfId="0" applyFont="1" applyFill="1" applyBorder="1"/>
    <xf numFmtId="2" fontId="2" fillId="0" borderId="22" xfId="0" applyNumberFormat="1" applyFont="1" applyBorder="1"/>
    <xf numFmtId="2" fontId="6" fillId="11" borderId="23" xfId="0" applyNumberFormat="1" applyFont="1" applyFill="1" applyBorder="1"/>
    <xf numFmtId="2" fontId="26" fillId="0" borderId="0" xfId="0" applyNumberFormat="1" applyFont="1"/>
    <xf numFmtId="2" fontId="25" fillId="0" borderId="0" xfId="0" applyNumberFormat="1" applyFont="1"/>
    <xf numFmtId="1" fontId="2" fillId="0" borderId="8" xfId="0" applyNumberFormat="1" applyFont="1" applyBorder="1"/>
    <xf numFmtId="2" fontId="19" fillId="0" borderId="13" xfId="0" applyNumberFormat="1" applyFont="1" applyBorder="1"/>
    <xf numFmtId="2" fontId="13" fillId="0" borderId="10" xfId="0" applyNumberFormat="1" applyFont="1" applyBorder="1"/>
    <xf numFmtId="164" fontId="2" fillId="0" borderId="0" xfId="0" applyNumberFormat="1" applyFont="1"/>
    <xf numFmtId="2" fontId="28" fillId="0" borderId="0" xfId="0" applyNumberFormat="1" applyFont="1"/>
    <xf numFmtId="2" fontId="29" fillId="0" borderId="0" xfId="0" applyNumberFormat="1" applyFont="1"/>
    <xf numFmtId="0" fontId="24" fillId="0" borderId="0" xfId="0" applyFont="1" applyAlignment="1">
      <alignment horizontal="center" vertical="center" wrapText="1" shrinkToFit="1"/>
    </xf>
    <xf numFmtId="0" fontId="23" fillId="0" borderId="0" xfId="0" applyFont="1"/>
    <xf numFmtId="0" fontId="3" fillId="4" borderId="7" xfId="0" applyFont="1" applyFill="1" applyBorder="1"/>
    <xf numFmtId="0" fontId="3" fillId="4" borderId="14" xfId="0" applyFont="1" applyFill="1" applyBorder="1" applyAlignment="1">
      <alignment horizontal="center"/>
    </xf>
    <xf numFmtId="2" fontId="3" fillId="4" borderId="12" xfId="0" applyNumberFormat="1" applyFont="1" applyFill="1" applyBorder="1"/>
    <xf numFmtId="0" fontId="13" fillId="0" borderId="2" xfId="0" applyFont="1" applyBorder="1" applyAlignment="1">
      <alignment horizontal="center"/>
    </xf>
    <xf numFmtId="0" fontId="13" fillId="0" borderId="12" xfId="0" applyFont="1" applyBorder="1" applyAlignment="1">
      <alignment horizontal="center"/>
    </xf>
    <xf numFmtId="0" fontId="6" fillId="13" borderId="0" xfId="0" applyFont="1" applyFill="1"/>
    <xf numFmtId="0" fontId="2" fillId="13" borderId="0" xfId="0" applyFont="1" applyFill="1"/>
    <xf numFmtId="0" fontId="1" fillId="13" borderId="6" xfId="0" applyFont="1" applyFill="1" applyBorder="1" applyAlignment="1">
      <alignment horizontal="center"/>
    </xf>
    <xf numFmtId="0" fontId="3" fillId="13" borderId="7" xfId="0" applyFont="1" applyFill="1" applyBorder="1"/>
    <xf numFmtId="0" fontId="3" fillId="0" borderId="2" xfId="0" applyFont="1" applyBorder="1" applyAlignment="1">
      <alignment horizontal="right"/>
    </xf>
    <xf numFmtId="0" fontId="3" fillId="13" borderId="14" xfId="0" applyFont="1" applyFill="1" applyBorder="1"/>
    <xf numFmtId="0" fontId="3" fillId="0" borderId="12" xfId="0" applyFont="1" applyBorder="1" applyAlignment="1">
      <alignment horizontal="right"/>
    </xf>
    <xf numFmtId="0" fontId="3" fillId="13" borderId="0" xfId="0" applyFont="1" applyFill="1"/>
    <xf numFmtId="0" fontId="3" fillId="14" borderId="10" xfId="0" applyFont="1" applyFill="1" applyBorder="1"/>
    <xf numFmtId="0" fontId="3" fillId="13" borderId="8" xfId="0" applyFont="1" applyFill="1" applyBorder="1"/>
    <xf numFmtId="0" fontId="8" fillId="13" borderId="13" xfId="0" applyFont="1" applyFill="1" applyBorder="1"/>
    <xf numFmtId="0" fontId="8" fillId="13" borderId="0" xfId="0" applyFont="1" applyFill="1"/>
    <xf numFmtId="2" fontId="19" fillId="0" borderId="0" xfId="0" applyNumberFormat="1" applyFont="1"/>
    <xf numFmtId="2" fontId="30" fillId="0" borderId="0" xfId="0" applyNumberFormat="1" applyFont="1"/>
    <xf numFmtId="2" fontId="31" fillId="0" borderId="0" xfId="0" applyNumberFormat="1" applyFont="1"/>
    <xf numFmtId="0" fontId="8" fillId="13" borderId="16" xfId="0" applyFont="1" applyFill="1" applyBorder="1"/>
    <xf numFmtId="0" fontId="3" fillId="13" borderId="21" xfId="0" applyFont="1" applyFill="1" applyBorder="1"/>
    <xf numFmtId="0" fontId="6" fillId="13" borderId="21" xfId="0" applyFont="1" applyFill="1" applyBorder="1"/>
    <xf numFmtId="0" fontId="6" fillId="0" borderId="22" xfId="0" applyFont="1" applyBorder="1"/>
    <xf numFmtId="2" fontId="15" fillId="0" borderId="23" xfId="0" applyNumberFormat="1" applyFont="1" applyBorder="1"/>
    <xf numFmtId="0" fontId="8" fillId="13" borderId="27" xfId="0" applyFont="1" applyFill="1" applyBorder="1"/>
    <xf numFmtId="0" fontId="26" fillId="11" borderId="23" xfId="0" applyFont="1" applyFill="1" applyBorder="1"/>
    <xf numFmtId="0" fontId="32" fillId="0" borderId="0" xfId="0" applyFont="1"/>
    <xf numFmtId="0" fontId="30" fillId="0" borderId="0" xfId="0" applyFont="1"/>
    <xf numFmtId="0" fontId="31" fillId="0" borderId="0" xfId="0" applyFont="1"/>
    <xf numFmtId="0" fontId="3" fillId="0" borderId="15" xfId="0" applyFont="1" applyBorder="1" applyAlignment="1">
      <alignment wrapText="1" shrinkToFit="1"/>
    </xf>
    <xf numFmtId="0" fontId="8" fillId="13" borderId="11" xfId="0" applyFont="1" applyFill="1" applyBorder="1"/>
    <xf numFmtId="1" fontId="3" fillId="13" borderId="0" xfId="0" applyNumberFormat="1" applyFont="1" applyFill="1"/>
    <xf numFmtId="0" fontId="8" fillId="13" borderId="1" xfId="0" applyFont="1" applyFill="1" applyBorder="1"/>
    <xf numFmtId="2" fontId="33" fillId="0" borderId="0" xfId="0" applyNumberFormat="1" applyFont="1"/>
    <xf numFmtId="0" fontId="2" fillId="13" borderId="8" xfId="0" applyFont="1" applyFill="1" applyBorder="1"/>
    <xf numFmtId="0" fontId="34" fillId="0" borderId="0" xfId="0" applyFont="1"/>
    <xf numFmtId="2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2" fontId="2" fillId="0" borderId="0" xfId="0" applyNumberFormat="1" applyFont="1" applyAlignment="1">
      <alignment horizontal="right"/>
    </xf>
    <xf numFmtId="2" fontId="8" fillId="0" borderId="13" xfId="0" applyNumberFormat="1" applyFont="1" applyBorder="1" applyAlignment="1">
      <alignment horizontal="right"/>
    </xf>
    <xf numFmtId="0" fontId="6" fillId="13" borderId="8" xfId="0" applyFont="1" applyFill="1" applyBorder="1"/>
    <xf numFmtId="2" fontId="35" fillId="0" borderId="0" xfId="0" applyNumberFormat="1" applyFont="1"/>
    <xf numFmtId="0" fontId="2" fillId="0" borderId="15" xfId="0" applyFont="1" applyBorder="1"/>
  </cellXfs>
  <cellStyles count="1">
    <cellStyle name="Normal" xfId="0" builtinId="0"/>
  </cellStyles>
  <dxfs count="4"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  <diagonal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  <diagonal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  <diagonal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  <diagon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13.v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4.v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18.v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19.v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25.v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vmlDrawing" Target="../drawings/vmlDrawing2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L874"/>
  <sheetViews>
    <sheetView workbookViewId="0" zoomScale="100" zoomScaleNormal="100">
      <pane xSplit="8" ySplit="6" topLeftCell="I7" activePane="bottomRight" state="frozen"/>
      <selection pane="bottomRight" activeCell="I7" sqref="I7"/>
    </sheetView>
  </sheetViews>
  <sheetFormatPr defaultRowHeight="15" outlineLevelRow="0" outlineLevelCol="1" x14ac:dyDescent="0" defaultColWidth="14.43"/>
  <cols>
    <col min="1" max="2" width="7.14" customWidth="1"/>
    <col min="3" max="3" width="18" customWidth="1"/>
    <col min="4" max="4" width="18.29" customWidth="1"/>
    <col min="5" max="7" width="8.43" customWidth="1"/>
    <col min="8" max="8" width="10.14" customWidth="1"/>
    <col min="9" max="10" width="7.86" hidden="1" outlineLevel="1" collapsed="1" customWidth="1"/>
    <col min="11" max="12" width="9.14" customWidth="1"/>
    <col min="13" max="14" width="7.86" hidden="1" outlineLevel="1" collapsed="1" customWidth="1"/>
    <col min="15" max="16" width="9.14" customWidth="1"/>
    <col min="17" max="18" width="7.86" hidden="1" outlineLevel="1" collapsed="1" customWidth="1"/>
    <col min="19" max="20" width="9.14" customWidth="1"/>
    <col min="21" max="22" width="7.86" hidden="1" outlineLevel="1" collapsed="1" customWidth="1"/>
    <col min="23" max="24" width="9.14" customWidth="1"/>
    <col min="25" max="26" width="7.86" hidden="1" outlineLevel="1" collapsed="1" customWidth="1"/>
    <col min="27" max="28" width="9.14" customWidth="1"/>
    <col min="29" max="30" width="7.86" hidden="1" outlineLevel="1" collapsed="1" customWidth="1"/>
    <col min="31" max="32" width="10.14" customWidth="1"/>
    <col min="33" max="34" width="7.86" hidden="1" outlineLevel="1" collapsed="1" customWidth="1"/>
    <col min="35" max="35" width="8.86" customWidth="1"/>
    <col min="36" max="36" width="9.57" customWidth="1"/>
    <col min="37" max="38" width="7.86" hidden="1" outlineLevel="1" collapsed="1" customWidth="1"/>
    <col min="39" max="39" width="8.57" customWidth="1"/>
    <col min="40" max="40" width="9.86" customWidth="1"/>
    <col min="41" max="42" width="7.86" outlineLevel="1" collapsed="1" customWidth="1"/>
    <col min="43" max="44" width="8.86" customWidth="1"/>
    <col min="45" max="46" width="7.86" hidden="1" outlineLevel="1" collapsed="1" customWidth="1"/>
    <col min="47" max="47" width="8.86" customWidth="1"/>
    <col min="48" max="48" width="7.86" customWidth="1"/>
    <col min="49" max="50" width="7.86" hidden="1" outlineLevel="1" collapsed="1" customWidth="1"/>
    <col min="51" max="52" width="9.14" customWidth="1"/>
    <col min="53" max="54" width="7.86" hidden="1" outlineLevel="1" collapsed="1" customWidth="1"/>
    <col min="55" max="55" width="8.57" customWidth="1"/>
    <col min="56" max="56" width="8.86" customWidth="1"/>
    <col min="57" max="57" width="7.86" customWidth="1"/>
    <col min="58" max="58" width="10" customWidth="1"/>
    <col min="59" max="59" width="9.86" customWidth="1"/>
    <col min="60" max="60" width="9.57" customWidth="1"/>
    <col min="61" max="61" width="9.43" outlineLevel="1" collapsed="1" customWidth="1"/>
    <col min="62" max="62" width="7.14" outlineLevel="1" collapsed="1" customWidth="1"/>
    <col min="63" max="64" width="8.43" customWidth="1"/>
  </cols>
  <sheetData>
    <row r="1" spans="2:6" x14ac:dyDescent="0.25">
      <c r="B1" s="1" t="s">
        <v>0</v>
      </c>
      <c r="F1" s="2" t="s">
        <v>1</v>
      </c>
    </row>
    <row r="2" spans="2:2" x14ac:dyDescent="0.25">
      <c r="B2" s="1"/>
    </row>
    <row r="3" spans="1:62" x14ac:dyDescent="0.25">
      <c r="A3" s="3" t="s">
        <v>2</v>
      </c>
      <c r="B3" s="4" t="s">
        <v>3</v>
      </c>
      <c r="C3" s="5" t="s">
        <v>4</v>
      </c>
      <c r="D3" s="4" t="s">
        <v>5</v>
      </c>
      <c r="E3" s="5" t="s">
        <v>6</v>
      </c>
      <c r="F3" s="6" t="s">
        <v>7</v>
      </c>
      <c r="G3" s="7"/>
      <c r="H3" s="5" t="s">
        <v>8</v>
      </c>
      <c r="I3" s="8" t="s">
        <v>9</v>
      </c>
      <c r="J3" s="9"/>
      <c r="K3" s="9"/>
      <c r="L3" s="7"/>
      <c r="M3" s="10" t="s">
        <v>10</v>
      </c>
      <c r="N3" s="9"/>
      <c r="O3" s="9"/>
      <c r="P3" s="9"/>
      <c r="Q3" s="8" t="s">
        <v>11</v>
      </c>
      <c r="R3" s="9"/>
      <c r="S3" s="9"/>
      <c r="T3" s="7"/>
      <c r="U3" s="10" t="s">
        <v>12</v>
      </c>
      <c r="V3" s="9"/>
      <c r="W3" s="9"/>
      <c r="X3" s="9"/>
      <c r="Y3" s="8" t="s">
        <v>13</v>
      </c>
      <c r="Z3" s="9"/>
      <c r="AA3" s="9"/>
      <c r="AB3" s="7"/>
      <c r="AC3" s="10" t="s">
        <v>14</v>
      </c>
      <c r="AD3" s="9"/>
      <c r="AE3" s="9"/>
      <c r="AF3" s="9"/>
      <c r="AG3" s="8" t="s">
        <v>15</v>
      </c>
      <c r="AH3" s="9"/>
      <c r="AI3" s="9"/>
      <c r="AJ3" s="7"/>
      <c r="AK3" s="8" t="s">
        <v>16</v>
      </c>
      <c r="AL3" s="9"/>
      <c r="AM3" s="9"/>
      <c r="AN3" s="7"/>
      <c r="AO3" s="8" t="s">
        <v>17</v>
      </c>
      <c r="AP3" s="9"/>
      <c r="AQ3" s="9"/>
      <c r="AR3" s="7"/>
      <c r="AS3" s="10" t="s">
        <v>18</v>
      </c>
      <c r="AT3" s="9"/>
      <c r="AU3" s="9"/>
      <c r="AV3" s="9"/>
      <c r="AW3" s="8" t="s">
        <v>19</v>
      </c>
      <c r="AX3" s="9"/>
      <c r="AY3" s="9"/>
      <c r="AZ3" s="7"/>
      <c r="BA3" s="10" t="s">
        <v>20</v>
      </c>
      <c r="BB3" s="9"/>
      <c r="BC3" s="9"/>
      <c r="BD3" s="9"/>
      <c r="BE3" s="8" t="s">
        <v>21</v>
      </c>
      <c r="BF3" s="9"/>
      <c r="BG3" s="9"/>
      <c r="BH3" s="7"/>
      <c r="BI3" s="11" t="s">
        <v>22</v>
      </c>
      <c r="BJ3" s="12"/>
    </row>
    <row r="4" spans="1:62" x14ac:dyDescent="0.25">
      <c r="A4" s="13" t="s">
        <v>23</v>
      </c>
      <c r="B4" s="14" t="s">
        <v>24</v>
      </c>
      <c r="C4" s="15" t="s">
        <v>25</v>
      </c>
      <c r="D4" s="14" t="s">
        <v>26</v>
      </c>
      <c r="E4" s="15"/>
      <c r="F4" s="14" t="s">
        <v>27</v>
      </c>
      <c r="G4" s="14" t="s">
        <v>28</v>
      </c>
      <c r="H4" s="15" t="s">
        <v>29</v>
      </c>
      <c r="I4" s="4" t="s">
        <v>30</v>
      </c>
      <c r="J4" s="4" t="s">
        <v>3</v>
      </c>
      <c r="K4" s="4" t="s">
        <v>31</v>
      </c>
      <c r="L4" s="4" t="s">
        <v>32</v>
      </c>
      <c r="M4" s="5" t="s">
        <v>30</v>
      </c>
      <c r="N4" s="4" t="s">
        <v>3</v>
      </c>
      <c r="O4" s="16" t="s">
        <v>31</v>
      </c>
      <c r="P4" s="3" t="s">
        <v>32</v>
      </c>
      <c r="Q4" s="4" t="s">
        <v>30</v>
      </c>
      <c r="R4" s="4" t="s">
        <v>3</v>
      </c>
      <c r="S4" s="4" t="s">
        <v>31</v>
      </c>
      <c r="T4" s="4" t="s">
        <v>32</v>
      </c>
      <c r="U4" s="16" t="s">
        <v>30</v>
      </c>
      <c r="V4" s="4" t="s">
        <v>3</v>
      </c>
      <c r="W4" s="4" t="s">
        <v>31</v>
      </c>
      <c r="X4" s="3" t="s">
        <v>32</v>
      </c>
      <c r="Y4" s="4" t="s">
        <v>30</v>
      </c>
      <c r="Z4" s="4" t="s">
        <v>3</v>
      </c>
      <c r="AA4" s="4" t="s">
        <v>31</v>
      </c>
      <c r="AB4" s="4" t="s">
        <v>32</v>
      </c>
      <c r="AC4" s="16" t="s">
        <v>30</v>
      </c>
      <c r="AD4" s="4" t="s">
        <v>3</v>
      </c>
      <c r="AE4" s="4" t="s">
        <v>31</v>
      </c>
      <c r="AF4" s="3" t="s">
        <v>32</v>
      </c>
      <c r="AG4" s="4" t="s">
        <v>30</v>
      </c>
      <c r="AH4" s="4" t="s">
        <v>3</v>
      </c>
      <c r="AI4" s="4" t="s">
        <v>31</v>
      </c>
      <c r="AJ4" s="4" t="s">
        <v>32</v>
      </c>
      <c r="AK4" s="4" t="s">
        <v>30</v>
      </c>
      <c r="AL4" s="4" t="s">
        <v>3</v>
      </c>
      <c r="AM4" s="4" t="s">
        <v>31</v>
      </c>
      <c r="AN4" s="4" t="s">
        <v>32</v>
      </c>
      <c r="AO4" s="4" t="s">
        <v>30</v>
      </c>
      <c r="AP4" s="4" t="s">
        <v>3</v>
      </c>
      <c r="AQ4" s="4" t="s">
        <v>31</v>
      </c>
      <c r="AR4" s="4" t="s">
        <v>32</v>
      </c>
      <c r="AS4" s="16" t="s">
        <v>30</v>
      </c>
      <c r="AT4" s="4" t="s">
        <v>3</v>
      </c>
      <c r="AU4" s="4" t="s">
        <v>31</v>
      </c>
      <c r="AV4" s="3" t="s">
        <v>32</v>
      </c>
      <c r="AW4" s="4" t="s">
        <v>30</v>
      </c>
      <c r="AX4" s="4" t="s">
        <v>3</v>
      </c>
      <c r="AY4" s="4" t="s">
        <v>31</v>
      </c>
      <c r="AZ4" s="4" t="s">
        <v>32</v>
      </c>
      <c r="BA4" s="16" t="s">
        <v>30</v>
      </c>
      <c r="BB4" s="4" t="s">
        <v>3</v>
      </c>
      <c r="BC4" s="4" t="s">
        <v>31</v>
      </c>
      <c r="BD4" s="3" t="s">
        <v>32</v>
      </c>
      <c r="BE4" s="4" t="s">
        <v>3</v>
      </c>
      <c r="BF4" s="17" t="s">
        <v>33</v>
      </c>
      <c r="BG4" s="17" t="s">
        <v>34</v>
      </c>
      <c r="BH4" s="17" t="s">
        <v>35</v>
      </c>
      <c r="BI4" s="18"/>
      <c r="BJ4" s="19"/>
    </row>
    <row r="5" spans="1:62" x14ac:dyDescent="0.25">
      <c r="A5" s="20"/>
      <c r="B5" s="21" t="s">
        <v>36</v>
      </c>
      <c r="C5" s="22"/>
      <c r="D5" s="21"/>
      <c r="E5" s="22"/>
      <c r="F5" s="21" t="s">
        <v>37</v>
      </c>
      <c r="G5" s="21" t="s">
        <v>37</v>
      </c>
      <c r="H5" s="22" t="s">
        <v>38</v>
      </c>
      <c r="I5" s="21"/>
      <c r="J5" s="21"/>
      <c r="K5" s="21" t="s">
        <v>39</v>
      </c>
      <c r="L5" s="21"/>
      <c r="M5" s="22"/>
      <c r="N5" s="21"/>
      <c r="O5" s="23" t="s">
        <v>39</v>
      </c>
      <c r="P5" s="20"/>
      <c r="Q5" s="21"/>
      <c r="R5" s="21"/>
      <c r="S5" s="21" t="s">
        <v>39</v>
      </c>
      <c r="T5" s="21"/>
      <c r="U5" s="23"/>
      <c r="V5" s="21"/>
      <c r="W5" s="21" t="s">
        <v>39</v>
      </c>
      <c r="X5" s="20"/>
      <c r="Y5" s="21"/>
      <c r="Z5" s="21"/>
      <c r="AA5" s="21" t="s">
        <v>39</v>
      </c>
      <c r="AB5" s="21"/>
      <c r="AC5" s="23"/>
      <c r="AD5" s="21"/>
      <c r="AE5" s="21" t="s">
        <v>39</v>
      </c>
      <c r="AF5" s="20"/>
      <c r="AG5" s="21"/>
      <c r="AH5" s="21"/>
      <c r="AI5" s="21" t="s">
        <v>39</v>
      </c>
      <c r="AJ5" s="21"/>
      <c r="AK5" s="21"/>
      <c r="AL5" s="21"/>
      <c r="AM5" s="21" t="s">
        <v>39</v>
      </c>
      <c r="AN5" s="21"/>
      <c r="AO5" s="21"/>
      <c r="AP5" s="21"/>
      <c r="AQ5" s="21" t="s">
        <v>39</v>
      </c>
      <c r="AR5" s="21"/>
      <c r="AS5" s="23"/>
      <c r="AT5" s="21"/>
      <c r="AU5" s="21" t="s">
        <v>39</v>
      </c>
      <c r="AV5" s="20"/>
      <c r="AW5" s="21"/>
      <c r="AX5" s="21"/>
      <c r="AY5" s="21" t="s">
        <v>39</v>
      </c>
      <c r="AZ5" s="21"/>
      <c r="BA5" s="23"/>
      <c r="BB5" s="21"/>
      <c r="BC5" s="21" t="s">
        <v>39</v>
      </c>
      <c r="BD5" s="20"/>
      <c r="BE5" s="21"/>
      <c r="BF5" s="21"/>
      <c r="BG5" s="21"/>
      <c r="BH5" s="24" t="s">
        <v>40</v>
      </c>
      <c r="BI5" s="25"/>
      <c r="BJ5" s="26"/>
    </row>
    <row r="6" spans="1:60" x14ac:dyDescent="0.25">
      <c r="A6" s="1" t="s">
        <v>41</v>
      </c>
      <c r="B6" s="27"/>
      <c r="C6" s="15"/>
      <c r="D6" s="14"/>
      <c r="E6" s="15"/>
      <c r="F6" s="13"/>
      <c r="G6" s="28"/>
      <c r="H6" s="15"/>
      <c r="I6" s="13"/>
      <c r="J6" s="15"/>
      <c r="K6" s="15"/>
      <c r="L6" s="28"/>
      <c r="M6" s="15"/>
      <c r="N6" s="15"/>
      <c r="O6" s="15"/>
      <c r="P6" s="15"/>
      <c r="Q6" s="13"/>
      <c r="R6" s="15"/>
      <c r="S6" s="15"/>
      <c r="T6" s="28"/>
      <c r="U6" s="15"/>
      <c r="V6" s="15"/>
      <c r="W6" s="15"/>
      <c r="X6" s="15"/>
      <c r="Y6" s="13"/>
      <c r="Z6" s="15"/>
      <c r="AA6" s="15"/>
      <c r="AB6" s="28"/>
      <c r="AC6" s="15"/>
      <c r="AD6" s="15"/>
      <c r="AE6" s="15"/>
      <c r="AF6" s="15"/>
      <c r="AG6" s="13"/>
      <c r="AH6" s="15"/>
      <c r="AI6" s="15"/>
      <c r="AJ6" s="28"/>
      <c r="AK6" s="13"/>
      <c r="AL6" s="15"/>
      <c r="AM6" s="15"/>
      <c r="AN6" s="28"/>
      <c r="AO6" s="13"/>
      <c r="AP6" s="15"/>
      <c r="AQ6" s="15"/>
      <c r="AR6" s="28"/>
      <c r="AS6" s="15"/>
      <c r="AT6" s="15"/>
      <c r="AU6" s="15"/>
      <c r="AV6" s="15"/>
      <c r="AW6" s="13"/>
      <c r="AX6" s="15"/>
      <c r="AY6" s="15"/>
      <c r="AZ6" s="28"/>
      <c r="BA6" s="15"/>
      <c r="BB6" s="15"/>
      <c r="BC6" s="15"/>
      <c r="BD6" s="15"/>
      <c r="BE6" s="14"/>
      <c r="BF6" s="13"/>
      <c r="BG6" s="15"/>
      <c r="BH6" s="28"/>
    </row>
    <row r="7" spans="1:60" x14ac:dyDescent="0.25">
      <c r="A7" s="29">
        <v>1</v>
      </c>
      <c r="B7" s="27"/>
      <c r="C7" s="15"/>
      <c r="D7" s="14" t="s">
        <v>42</v>
      </c>
      <c r="E7" s="15"/>
      <c r="F7" s="13"/>
      <c r="G7" s="28"/>
      <c r="H7" s="15"/>
      <c r="I7" s="13"/>
      <c r="J7" s="15"/>
      <c r="K7" s="15"/>
      <c r="L7" s="28"/>
      <c r="M7" s="15"/>
      <c r="N7" s="15"/>
      <c r="O7" s="15"/>
      <c r="P7" s="15"/>
      <c r="Q7" s="13"/>
      <c r="R7" s="15"/>
      <c r="S7" s="15"/>
      <c r="T7" s="28"/>
      <c r="U7" s="15"/>
      <c r="V7" s="15"/>
      <c r="W7" s="15"/>
      <c r="X7" s="15"/>
      <c r="Y7" s="13"/>
      <c r="Z7" s="15"/>
      <c r="AA7" s="15"/>
      <c r="AB7" s="28"/>
      <c r="AC7" s="15"/>
      <c r="AD7" s="15"/>
      <c r="AE7" s="15"/>
      <c r="AF7" s="15"/>
      <c r="AG7" s="13"/>
      <c r="AH7" s="15"/>
      <c r="AI7" s="15"/>
      <c r="AJ7" s="28"/>
      <c r="AK7" s="13"/>
      <c r="AL7" s="15"/>
      <c r="AM7" s="15"/>
      <c r="AN7" s="28"/>
      <c r="AO7" s="13"/>
      <c r="AP7" s="15"/>
      <c r="AQ7" s="15"/>
      <c r="AR7" s="28"/>
      <c r="AS7" s="15"/>
      <c r="AT7" s="15"/>
      <c r="AU7" s="15"/>
      <c r="AV7" s="15"/>
      <c r="AW7" s="13"/>
      <c r="AX7" s="15"/>
      <c r="AY7" s="15"/>
      <c r="AZ7" s="28"/>
      <c r="BA7" s="15"/>
      <c r="BB7" s="15"/>
      <c r="BC7" s="15"/>
      <c r="BD7" s="15"/>
      <c r="BE7" s="14"/>
      <c r="BF7" s="13"/>
      <c r="BG7" s="15"/>
      <c r="BH7" s="28"/>
    </row>
    <row r="8" spans="1:64" x14ac:dyDescent="0.25">
      <c r="A8" s="2">
        <v>1</v>
      </c>
      <c r="B8" s="30">
        <v>4</v>
      </c>
      <c r="C8" s="2" t="s">
        <v>43</v>
      </c>
      <c r="D8" s="14" t="s">
        <v>44</v>
      </c>
      <c r="E8" s="2" t="s">
        <v>45</v>
      </c>
      <c r="F8" s="31">
        <v>2.49</v>
      </c>
      <c r="G8" s="32">
        <v>2.49</v>
      </c>
      <c r="H8" s="33">
        <v>0</v>
      </c>
      <c r="I8" s="13">
        <v>1974</v>
      </c>
      <c r="J8" s="15">
        <v>25</v>
      </c>
      <c r="K8" s="15">
        <f t="shared" ref="K8:K9" si="0">J8*$F$8</f>
        <v>62.25</v>
      </c>
      <c r="L8" s="28"/>
      <c r="M8" s="15">
        <v>1981</v>
      </c>
      <c r="N8" s="15">
        <f>M8-I8</f>
        <v>7</v>
      </c>
      <c r="O8" s="15">
        <f t="shared" ref="O8:O9" si="1">N8*$F$8</f>
        <v>17.43</v>
      </c>
      <c r="P8" s="15"/>
      <c r="Q8" s="13">
        <v>1981</v>
      </c>
      <c r="R8" s="15">
        <f>Q8-M8</f>
        <v>0</v>
      </c>
      <c r="S8" s="34">
        <f t="shared" ref="S8:S9" si="2">R8*$F$8</f>
        <v>0</v>
      </c>
      <c r="T8" s="28"/>
      <c r="U8" s="15">
        <v>1993</v>
      </c>
      <c r="V8" s="15">
        <f>U8-Q8</f>
        <v>12</v>
      </c>
      <c r="W8" s="15">
        <f t="shared" ref="W8:W9" si="3">V8*$F$8</f>
        <v>29.88</v>
      </c>
      <c r="X8" s="15"/>
      <c r="Y8" s="13">
        <v>2043</v>
      </c>
      <c r="Z8" s="15">
        <f>Y8-U8</f>
        <v>50</v>
      </c>
      <c r="AA8" s="34">
        <f t="shared" ref="AA8:AA9" si="4">Z8*$F$8</f>
        <v>124.5</v>
      </c>
      <c r="AB8" s="35"/>
      <c r="AC8" s="15">
        <v>2164</v>
      </c>
      <c r="AD8" s="15">
        <f>AC8-Y8</f>
        <v>121</v>
      </c>
      <c r="AE8" s="34">
        <f t="shared" ref="AE8:AE9" si="5">AD8*$F$8</f>
        <v>301.29</v>
      </c>
      <c r="AF8" s="34">
        <v>400</v>
      </c>
      <c r="AG8" s="13">
        <v>2335</v>
      </c>
      <c r="AH8" s="15">
        <v>171</v>
      </c>
      <c r="AI8" s="34">
        <f t="shared" ref="AI8:AI9" si="6">AH8*$F$8</f>
        <v>425.79</v>
      </c>
      <c r="AJ8" s="35">
        <v>424.19</v>
      </c>
      <c r="AK8" s="36">
        <v>2498</v>
      </c>
      <c r="AL8" s="37">
        <f>AK8-AG8</f>
        <v>163</v>
      </c>
      <c r="AM8" s="34">
        <f t="shared" ref="AM8:AM9" si="7">AL8*$F$8</f>
        <v>405.87</v>
      </c>
      <c r="AN8" s="38">
        <v>150</v>
      </c>
      <c r="AO8" s="13">
        <v>2704</v>
      </c>
      <c r="AP8" s="37">
        <f>AO8-AK8</f>
        <v>206</v>
      </c>
      <c r="AQ8" s="34">
        <f t="shared" ref="AQ8:AQ9" si="8">AP8*$F$8</f>
        <v>512.94</v>
      </c>
      <c r="AR8" s="35"/>
      <c r="AS8" s="15">
        <v>2787</v>
      </c>
      <c r="AT8" s="37">
        <f>AS8-AO8</f>
        <v>83</v>
      </c>
      <c r="AU8" s="34">
        <f t="shared" ref="AU8:AU9" si="9">AT8*$F$8</f>
        <v>206.67</v>
      </c>
      <c r="AV8" s="34"/>
      <c r="AW8" s="13">
        <v>2939</v>
      </c>
      <c r="AX8" s="37">
        <f>AW8-AS8</f>
        <v>152</v>
      </c>
      <c r="AY8" s="34">
        <f t="shared" ref="AY8:AY9" si="10">AX8*$F$8</f>
        <v>378.48</v>
      </c>
      <c r="AZ8" s="35"/>
      <c r="BA8" s="15">
        <v>3184</v>
      </c>
      <c r="BB8" s="37">
        <f>BA8-AW8</f>
        <v>245</v>
      </c>
      <c r="BC8" s="34">
        <f t="shared" ref="BC8:BC9" si="11">BB8*$F$8</f>
        <v>610.05</v>
      </c>
      <c r="BD8" s="39">
        <v>348.6</v>
      </c>
      <c r="BE8" s="40">
        <f t="shared" ref="BE8:BG8" si="12">J8+N8+R8+V8+Z8+AD8+AH8+AL8+AP8+AT8+AX8+BB8</f>
        <v>1235</v>
      </c>
      <c r="BF8" s="41">
        <f t="shared" si="12"/>
        <v>3075.15</v>
      </c>
      <c r="BG8" s="34">
        <f t="shared" si="12"/>
        <v>1322.79</v>
      </c>
      <c r="BH8" s="35">
        <f t="shared" ref="BH8:BH14" si="13">H8+BF8-BG8</f>
        <v>1752.36</v>
      </c>
      <c r="BK8" s="34">
        <v>2348.6</v>
      </c>
      <c r="BL8" s="34">
        <v>2348.6</v>
      </c>
    </row>
    <row r="9" spans="1:60" x14ac:dyDescent="0.25">
      <c r="A9" s="29">
        <v>1</v>
      </c>
      <c r="B9" s="42"/>
      <c r="D9" s="43" t="s">
        <v>46</v>
      </c>
      <c r="E9" s="2" t="s">
        <v>45</v>
      </c>
      <c r="F9" s="31">
        <v>2.49</v>
      </c>
      <c r="G9" s="32">
        <v>2.49</v>
      </c>
      <c r="H9" s="33">
        <v>0</v>
      </c>
      <c r="I9" s="13"/>
      <c r="J9" s="15"/>
      <c r="K9" s="34">
        <f t="shared" si="0"/>
        <v>0</v>
      </c>
      <c r="L9" s="28"/>
      <c r="M9" s="15"/>
      <c r="N9" s="15"/>
      <c r="O9" s="34">
        <f t="shared" si="1"/>
        <v>0</v>
      </c>
      <c r="P9" s="15"/>
      <c r="Q9" s="13"/>
      <c r="R9" s="15"/>
      <c r="S9" s="34">
        <f t="shared" si="2"/>
        <v>0</v>
      </c>
      <c r="T9" s="28"/>
      <c r="U9" s="15"/>
      <c r="V9" s="15"/>
      <c r="W9" s="34">
        <f t="shared" si="3"/>
        <v>0</v>
      </c>
      <c r="X9" s="15"/>
      <c r="Y9" s="13"/>
      <c r="Z9" s="15"/>
      <c r="AA9" s="34">
        <f t="shared" si="4"/>
        <v>0</v>
      </c>
      <c r="AB9" s="35"/>
      <c r="AC9" s="15"/>
      <c r="AD9" s="15">
        <v>160</v>
      </c>
      <c r="AE9" s="34">
        <f t="shared" si="5"/>
        <v>398.4</v>
      </c>
      <c r="AF9" s="34">
        <v>400</v>
      </c>
      <c r="AG9" s="13"/>
      <c r="AH9" s="15">
        <v>171</v>
      </c>
      <c r="AI9" s="34">
        <f t="shared" si="6"/>
        <v>425.79</v>
      </c>
      <c r="AJ9" s="35">
        <v>424.19</v>
      </c>
      <c r="AK9" s="13"/>
      <c r="AL9" s="15">
        <v>60</v>
      </c>
      <c r="AM9" s="34">
        <f t="shared" si="7"/>
        <v>149.4</v>
      </c>
      <c r="AN9" s="35">
        <v>150</v>
      </c>
      <c r="AO9" s="13"/>
      <c r="AP9" s="37">
        <v>0</v>
      </c>
      <c r="AQ9" s="34">
        <f t="shared" si="8"/>
        <v>0</v>
      </c>
      <c r="AR9" s="35"/>
      <c r="AS9" s="15"/>
      <c r="AT9" s="15">
        <v>0</v>
      </c>
      <c r="AU9" s="34">
        <f t="shared" si="9"/>
        <v>0</v>
      </c>
      <c r="AV9" s="34"/>
      <c r="AW9" s="13"/>
      <c r="AX9" s="15">
        <v>0</v>
      </c>
      <c r="AY9" s="34">
        <f t="shared" si="10"/>
        <v>0</v>
      </c>
      <c r="AZ9" s="35"/>
      <c r="BA9" s="15"/>
      <c r="BB9" s="15">
        <v>12</v>
      </c>
      <c r="BC9" s="34">
        <f t="shared" si="11"/>
        <v>29.88</v>
      </c>
      <c r="BD9" s="34"/>
      <c r="BE9" s="44">
        <f t="shared" ref="BE9:BG9" si="14">J9+N9+R9+V9+Z9+AD9+AH9+AL9+AP9+AT9+AX9+BB9</f>
        <v>403</v>
      </c>
      <c r="BF9" s="41">
        <f t="shared" si="14"/>
        <v>1003.47</v>
      </c>
      <c r="BG9" s="34">
        <f t="shared" si="14"/>
        <v>974.19</v>
      </c>
      <c r="BH9" s="35">
        <f t="shared" si="13"/>
        <v>29.28</v>
      </c>
    </row>
    <row r="10" spans="1:60" x14ac:dyDescent="0.25">
      <c r="A10" s="29">
        <v>1</v>
      </c>
      <c r="B10" s="14"/>
      <c r="D10" s="14" t="s">
        <v>47</v>
      </c>
      <c r="E10" s="2" t="s">
        <v>48</v>
      </c>
      <c r="F10" s="31">
        <v>17.16</v>
      </c>
      <c r="G10" s="32">
        <v>17.68</v>
      </c>
      <c r="H10" s="33">
        <v>0</v>
      </c>
      <c r="I10" s="13"/>
      <c r="J10" s="15"/>
      <c r="K10" s="34"/>
      <c r="L10" s="28"/>
      <c r="M10" s="15"/>
      <c r="N10" s="15"/>
      <c r="O10" s="34"/>
      <c r="P10" s="15"/>
      <c r="Q10" s="13"/>
      <c r="R10" s="15"/>
      <c r="S10" s="34"/>
      <c r="T10" s="28"/>
      <c r="U10" s="15"/>
      <c r="V10" s="15"/>
      <c r="W10" s="34"/>
      <c r="X10" s="15"/>
      <c r="Y10" s="13"/>
      <c r="Z10" s="15"/>
      <c r="AA10" s="34">
        <f>Z10*$F$10</f>
        <v>0</v>
      </c>
      <c r="AB10" s="28"/>
      <c r="AC10" s="15"/>
      <c r="AD10" s="15"/>
      <c r="AE10" s="34">
        <f>AD10*$F$10</f>
        <v>0</v>
      </c>
      <c r="AF10" s="15"/>
      <c r="AG10" s="13"/>
      <c r="AH10" s="15"/>
      <c r="AI10" s="45">
        <f>AH10*$G$10</f>
        <v>0</v>
      </c>
      <c r="AJ10" s="28"/>
      <c r="AK10" s="13"/>
      <c r="AL10" s="15"/>
      <c r="AM10" s="45">
        <f>AL10*$G$10</f>
        <v>0</v>
      </c>
      <c r="AN10" s="28"/>
      <c r="AO10" s="13"/>
      <c r="AP10" s="15"/>
      <c r="AQ10" s="45">
        <f>AP10*$G$10</f>
        <v>0</v>
      </c>
      <c r="AR10" s="28"/>
      <c r="AS10" s="15"/>
      <c r="AT10" s="15"/>
      <c r="AU10" s="34"/>
      <c r="AV10" s="15"/>
      <c r="AW10" s="13"/>
      <c r="AX10" s="15"/>
      <c r="AY10" s="34"/>
      <c r="AZ10" s="28"/>
      <c r="BA10" s="15"/>
      <c r="BB10" s="15"/>
      <c r="BC10" s="34"/>
      <c r="BD10" s="15"/>
      <c r="BE10" s="40">
        <f t="shared" ref="BE10:BG10" si="15">J10+N10+R10+V10+Z10+AD10+AH10+AL10+AP10+AT10+AX10+BB10</f>
        <v>0</v>
      </c>
      <c r="BF10" s="41">
        <f t="shared" si="15"/>
        <v>0</v>
      </c>
      <c r="BG10" s="34">
        <f t="shared" si="15"/>
        <v>0</v>
      </c>
      <c r="BH10" s="35">
        <f t="shared" si="13"/>
        <v>0</v>
      </c>
    </row>
    <row r="11" spans="1:60" x14ac:dyDescent="0.25">
      <c r="A11" s="29">
        <v>1</v>
      </c>
      <c r="B11" s="14"/>
      <c r="D11" s="14" t="s">
        <v>47</v>
      </c>
      <c r="E11" s="2" t="s">
        <v>49</v>
      </c>
      <c r="F11" s="46">
        <v>300</v>
      </c>
      <c r="G11" s="38"/>
      <c r="H11" s="33">
        <v>0</v>
      </c>
      <c r="I11" s="13"/>
      <c r="J11" s="15"/>
      <c r="K11" s="34"/>
      <c r="L11" s="28"/>
      <c r="M11" s="15"/>
      <c r="N11" s="15"/>
      <c r="O11" s="34"/>
      <c r="P11" s="15"/>
      <c r="Q11" s="13"/>
      <c r="R11" s="15"/>
      <c r="S11" s="34"/>
      <c r="T11" s="28"/>
      <c r="U11" s="15"/>
      <c r="V11" s="15"/>
      <c r="W11" s="34"/>
      <c r="X11" s="15"/>
      <c r="Y11" s="13"/>
      <c r="Z11" s="15"/>
      <c r="AA11" s="34"/>
      <c r="AB11" s="28"/>
      <c r="AC11" s="15"/>
      <c r="AD11" s="15"/>
      <c r="AE11" s="34"/>
      <c r="AF11" s="15"/>
      <c r="AG11" s="13"/>
      <c r="AH11" s="15"/>
      <c r="AI11" s="34"/>
      <c r="AJ11" s="28"/>
      <c r="AK11" s="13"/>
      <c r="AL11" s="15"/>
      <c r="AM11" s="34"/>
      <c r="AN11" s="28"/>
      <c r="AO11" s="13"/>
      <c r="AP11" s="15"/>
      <c r="AQ11" s="34"/>
      <c r="AR11" s="28"/>
      <c r="AS11" s="15"/>
      <c r="AT11" s="15"/>
      <c r="AU11" s="34"/>
      <c r="AV11" s="15"/>
      <c r="AW11" s="13"/>
      <c r="AX11" s="15"/>
      <c r="AY11" s="34"/>
      <c r="AZ11" s="28"/>
      <c r="BA11" s="15"/>
      <c r="BB11" s="15"/>
      <c r="BC11" s="34"/>
      <c r="BD11" s="15"/>
      <c r="BE11" s="14"/>
      <c r="BF11" s="41">
        <f t="shared" ref="BF11:BG11" si="16">K11+O11+S11+W11+AA11+AE11+AI11+AM11+AQ11+AU11+AY11+BC11</f>
        <v>0</v>
      </c>
      <c r="BG11" s="34">
        <f t="shared" si="16"/>
        <v>0</v>
      </c>
      <c r="BH11" s="35">
        <f t="shared" si="13"/>
        <v>0</v>
      </c>
    </row>
    <row r="12" spans="1:60" x14ac:dyDescent="0.25">
      <c r="A12" s="29">
        <v>1</v>
      </c>
      <c r="B12" s="14"/>
      <c r="D12" s="14" t="s">
        <v>50</v>
      </c>
      <c r="E12" s="2" t="s">
        <v>49</v>
      </c>
      <c r="F12" s="47">
        <v>1062.88</v>
      </c>
      <c r="G12" s="38"/>
      <c r="H12" s="33">
        <v>0</v>
      </c>
      <c r="I12" s="13"/>
      <c r="J12" s="15"/>
      <c r="K12" s="15"/>
      <c r="L12" s="28"/>
      <c r="M12" s="15"/>
      <c r="N12" s="15"/>
      <c r="O12" s="15"/>
      <c r="P12" s="15"/>
      <c r="Q12" s="13"/>
      <c r="R12" s="15"/>
      <c r="S12" s="15"/>
      <c r="T12" s="28"/>
      <c r="U12" s="15"/>
      <c r="V12" s="15"/>
      <c r="W12" s="15"/>
      <c r="X12" s="15"/>
      <c r="Y12" s="13"/>
      <c r="Z12" s="15"/>
      <c r="AA12" s="15"/>
      <c r="AB12" s="28"/>
      <c r="AC12" s="15"/>
      <c r="AD12" s="15"/>
      <c r="AE12" s="15"/>
      <c r="AF12" s="15"/>
      <c r="AG12" s="13"/>
      <c r="AH12" s="15"/>
      <c r="AI12" s="15"/>
      <c r="AJ12" s="28"/>
      <c r="AK12" s="13"/>
      <c r="AL12" s="15"/>
      <c r="AM12" s="15"/>
      <c r="AN12" s="28"/>
      <c r="AO12" s="13"/>
      <c r="AP12" s="15"/>
      <c r="AQ12" s="15"/>
      <c r="AR12" s="28"/>
      <c r="AS12" s="15"/>
      <c r="AT12" s="15"/>
      <c r="AU12" s="15"/>
      <c r="AV12" s="15"/>
      <c r="AW12" s="13"/>
      <c r="AX12" s="15"/>
      <c r="AY12" s="15"/>
      <c r="AZ12" s="28"/>
      <c r="BA12" s="15"/>
      <c r="BB12" s="15"/>
      <c r="BC12" s="15"/>
      <c r="BD12" s="15"/>
      <c r="BE12" s="14"/>
      <c r="BF12" s="48">
        <v>0</v>
      </c>
      <c r="BG12" s="34">
        <f>L12+P12+T12+X12+AB12+AF12+AJ12+AN12+AR12+AV12+AZ12+BD12</f>
        <v>0</v>
      </c>
      <c r="BH12" s="35">
        <f t="shared" si="13"/>
        <v>0</v>
      </c>
    </row>
    <row r="13" spans="1:60" x14ac:dyDescent="0.25">
      <c r="A13" s="29">
        <v>1</v>
      </c>
      <c r="B13" s="14"/>
      <c r="D13" s="14" t="s">
        <v>51</v>
      </c>
      <c r="E13" s="2" t="s">
        <v>49</v>
      </c>
      <c r="F13" s="46">
        <v>0</v>
      </c>
      <c r="G13" s="38"/>
      <c r="H13" s="33">
        <v>0</v>
      </c>
      <c r="I13" s="13"/>
      <c r="J13" s="15"/>
      <c r="K13" s="15"/>
      <c r="L13" s="28"/>
      <c r="M13" s="15"/>
      <c r="N13" s="15"/>
      <c r="O13" s="15"/>
      <c r="P13" s="15"/>
      <c r="Q13" s="13"/>
      <c r="R13" s="15"/>
      <c r="S13" s="15"/>
      <c r="T13" s="28"/>
      <c r="U13" s="15"/>
      <c r="V13" s="15"/>
      <c r="W13" s="15"/>
      <c r="X13" s="15"/>
      <c r="Y13" s="13"/>
      <c r="Z13" s="15"/>
      <c r="AA13" s="15"/>
      <c r="AB13" s="28"/>
      <c r="AC13" s="15"/>
      <c r="AD13" s="15"/>
      <c r="AE13" s="15"/>
      <c r="AF13" s="15"/>
      <c r="AG13" s="13"/>
      <c r="AH13" s="15"/>
      <c r="AI13" s="15"/>
      <c r="AJ13" s="28"/>
      <c r="AK13" s="13"/>
      <c r="AL13" s="15"/>
      <c r="AM13" s="15"/>
      <c r="AN13" s="28"/>
      <c r="AO13" s="13"/>
      <c r="AP13" s="15"/>
      <c r="AQ13" s="15"/>
      <c r="AR13" s="28"/>
      <c r="AS13" s="15"/>
      <c r="AT13" s="15"/>
      <c r="AU13" s="15"/>
      <c r="AV13" s="15"/>
      <c r="AW13" s="13"/>
      <c r="AX13" s="15"/>
      <c r="AY13" s="15"/>
      <c r="AZ13" s="28"/>
      <c r="BA13" s="15"/>
      <c r="BB13" s="15"/>
      <c r="BC13" s="34">
        <v>2000</v>
      </c>
      <c r="BD13" s="39">
        <v>2000</v>
      </c>
      <c r="BE13" s="14"/>
      <c r="BF13" s="49">
        <f t="shared" ref="BF13:BG13" si="17">K13+O13+S13+W13+AA13+AE13+AI13+AM13+AQ13+AU13+AY13+BC13</f>
        <v>2000</v>
      </c>
      <c r="BG13" s="34">
        <f t="shared" si="17"/>
        <v>2000</v>
      </c>
      <c r="BH13" s="35">
        <f t="shared" si="13"/>
        <v>0</v>
      </c>
    </row>
    <row r="14" spans="1:60" x14ac:dyDescent="0.25">
      <c r="A14" s="29">
        <v>1</v>
      </c>
      <c r="B14" s="14"/>
      <c r="D14" s="14" t="s">
        <v>52</v>
      </c>
      <c r="E14" s="2" t="s">
        <v>39</v>
      </c>
      <c r="F14" s="46">
        <v>350</v>
      </c>
      <c r="G14" s="38"/>
      <c r="H14" s="33">
        <v>0</v>
      </c>
      <c r="I14" s="13"/>
      <c r="J14" s="15"/>
      <c r="K14" s="15"/>
      <c r="L14" s="28"/>
      <c r="M14" s="15"/>
      <c r="N14" s="15"/>
      <c r="O14" s="15"/>
      <c r="P14" s="15"/>
      <c r="Q14" s="13"/>
      <c r="R14" s="15"/>
      <c r="S14" s="15"/>
      <c r="T14" s="28"/>
      <c r="U14" s="15"/>
      <c r="V14" s="15"/>
      <c r="W14" s="15"/>
      <c r="X14" s="15"/>
      <c r="Y14" s="13"/>
      <c r="Z14" s="15"/>
      <c r="AA14" s="15"/>
      <c r="AB14" s="28"/>
      <c r="AC14" s="15"/>
      <c r="AD14" s="15"/>
      <c r="AE14" s="15"/>
      <c r="AF14" s="15"/>
      <c r="AG14" s="13"/>
      <c r="AH14" s="15"/>
      <c r="AI14" s="15"/>
      <c r="AJ14" s="28"/>
      <c r="AK14" s="13"/>
      <c r="AL14" s="15"/>
      <c r="AM14" s="15"/>
      <c r="AN14" s="28"/>
      <c r="AO14" s="13"/>
      <c r="AP14" s="15"/>
      <c r="AQ14" s="15"/>
      <c r="AR14" s="28"/>
      <c r="AS14" s="15"/>
      <c r="AT14" s="15"/>
      <c r="AU14" s="15"/>
      <c r="AV14" s="15"/>
      <c r="AW14" s="13"/>
      <c r="AX14" s="15"/>
      <c r="AY14" s="15"/>
      <c r="AZ14" s="28"/>
      <c r="BA14" s="15"/>
      <c r="BB14" s="15"/>
      <c r="BC14" s="15"/>
      <c r="BD14" s="15"/>
      <c r="BE14" s="14"/>
      <c r="BF14" s="48">
        <v>0</v>
      </c>
      <c r="BG14" s="34">
        <f>L14+P14+T14+X14+AB14+AF14+AJ14+AN14+AR14+AV14+AZ14+BD14</f>
        <v>0</v>
      </c>
      <c r="BH14" s="35">
        <f t="shared" si="13"/>
        <v>0</v>
      </c>
    </row>
    <row r="15" spans="1:62" x14ac:dyDescent="0.25">
      <c r="A15" s="50">
        <v>1</v>
      </c>
      <c r="B15" s="21"/>
      <c r="C15" s="22" t="s">
        <v>53</v>
      </c>
      <c r="D15" s="21"/>
      <c r="E15" s="22"/>
      <c r="F15" s="20"/>
      <c r="G15" s="23"/>
      <c r="H15" s="51">
        <f>SUM(H6:H14)-H9</f>
        <v>0</v>
      </c>
      <c r="I15" s="52"/>
      <c r="J15" s="53"/>
      <c r="K15" s="54">
        <f t="shared" ref="K15:L15" si="18">SUM(K8:K14)-K9</f>
        <v>62.25</v>
      </c>
      <c r="L15" s="55">
        <f t="shared" si="18"/>
        <v>0</v>
      </c>
      <c r="M15" s="53"/>
      <c r="N15" s="53"/>
      <c r="O15" s="54">
        <f t="shared" ref="O15:P15" si="19">SUM(O8:O14)-O9</f>
        <v>17.43</v>
      </c>
      <c r="P15" s="54">
        <f t="shared" si="19"/>
        <v>0</v>
      </c>
      <c r="Q15" s="52"/>
      <c r="R15" s="53"/>
      <c r="S15" s="54">
        <f t="shared" ref="S15:T15" si="20">SUM(S8:S14)-S9</f>
        <v>0</v>
      </c>
      <c r="T15" s="55">
        <f t="shared" si="20"/>
        <v>0</v>
      </c>
      <c r="U15" s="53"/>
      <c r="V15" s="53"/>
      <c r="W15" s="54">
        <f t="shared" ref="W15:X15" si="21">SUM(W8:W14)-W9</f>
        <v>29.88</v>
      </c>
      <c r="X15" s="54">
        <f t="shared" si="21"/>
        <v>0</v>
      </c>
      <c r="Y15" s="52"/>
      <c r="Z15" s="53"/>
      <c r="AA15" s="54">
        <f t="shared" ref="AA15:AB15" si="22">SUM(AA8:AA14)-AA9</f>
        <v>124.5</v>
      </c>
      <c r="AB15" s="55">
        <f t="shared" si="22"/>
        <v>0</v>
      </c>
      <c r="AC15" s="53"/>
      <c r="AD15" s="53"/>
      <c r="AE15" s="54">
        <f t="shared" ref="AE15:AF15" si="23">SUM(AE8:AE14)-AE9</f>
        <v>301.29</v>
      </c>
      <c r="AF15" s="54">
        <f t="shared" si="23"/>
        <v>400</v>
      </c>
      <c r="AG15" s="52"/>
      <c r="AH15" s="53"/>
      <c r="AI15" s="54">
        <f t="shared" ref="AI15:AJ15" si="24">SUM(AI8:AI14)-AI9</f>
        <v>425.79</v>
      </c>
      <c r="AJ15" s="55">
        <f t="shared" si="24"/>
        <v>424.19</v>
      </c>
      <c r="AK15" s="52"/>
      <c r="AL15" s="53"/>
      <c r="AM15" s="54">
        <f t="shared" ref="AM15:AN15" si="25">SUM(AM8:AM14)-AM9</f>
        <v>405.87</v>
      </c>
      <c r="AN15" s="55">
        <f t="shared" si="25"/>
        <v>150</v>
      </c>
      <c r="AO15" s="52"/>
      <c r="AP15" s="53"/>
      <c r="AQ15" s="54">
        <f t="shared" ref="AQ15:AR15" si="26">SUM(AQ8:AQ14)-AQ9</f>
        <v>512.94</v>
      </c>
      <c r="AR15" s="55">
        <f t="shared" si="26"/>
        <v>0</v>
      </c>
      <c r="AS15" s="53"/>
      <c r="AT15" s="53"/>
      <c r="AU15" s="54">
        <f t="shared" ref="AU15:AV15" si="27">SUM(AU8:AU14)-AU9</f>
        <v>206.67</v>
      </c>
      <c r="AV15" s="55">
        <f t="shared" si="27"/>
        <v>0</v>
      </c>
      <c r="AW15" s="52"/>
      <c r="AX15" s="53"/>
      <c r="AY15" s="54">
        <f t="shared" ref="AY15:AZ15" si="28">SUM(AY8:AY14)-AY9</f>
        <v>378.48</v>
      </c>
      <c r="AZ15" s="55">
        <f t="shared" si="28"/>
        <v>0</v>
      </c>
      <c r="BA15" s="53"/>
      <c r="BB15" s="53"/>
      <c r="BC15" s="54">
        <f t="shared" ref="BC15:BD15" si="29">SUM(BC8:BC14)-BC9</f>
        <v>2610.05</v>
      </c>
      <c r="BD15" s="54">
        <f t="shared" si="29"/>
        <v>2348.6</v>
      </c>
      <c r="BE15" s="56"/>
      <c r="BF15" s="57">
        <f t="shared" ref="BF15:BH15" si="30">SUM(BF8:BF14)-BF9</f>
        <v>5075.15</v>
      </c>
      <c r="BG15" s="58">
        <f t="shared" si="30"/>
        <v>3322.79</v>
      </c>
      <c r="BH15" s="59">
        <f t="shared" si="30"/>
        <v>1752.36</v>
      </c>
      <c r="BI15" s="34">
        <f>H15+BF15-BG15</f>
        <v>1752.36</v>
      </c>
      <c r="BJ15" s="34">
        <f>BH15-BI15</f>
        <v>0</v>
      </c>
    </row>
    <row r="16" hidden="1" spans="1:60" x14ac:dyDescent="0.25">
      <c r="A16" s="29">
        <v>2</v>
      </c>
      <c r="B16" s="14"/>
      <c r="D16" s="14" t="s">
        <v>42</v>
      </c>
      <c r="F16" s="13"/>
      <c r="G16" s="28"/>
      <c r="H16" s="60"/>
      <c r="I16" s="61"/>
      <c r="J16" s="60"/>
      <c r="K16" s="62"/>
      <c r="L16" s="63"/>
      <c r="M16" s="60"/>
      <c r="N16" s="60"/>
      <c r="O16" s="62"/>
      <c r="P16" s="62"/>
      <c r="Q16" s="61"/>
      <c r="R16" s="60"/>
      <c r="S16" s="62"/>
      <c r="T16" s="63"/>
      <c r="U16" s="60"/>
      <c r="V16" s="60"/>
      <c r="W16" s="64"/>
      <c r="X16" s="62"/>
      <c r="Y16" s="61"/>
      <c r="Z16" s="60"/>
      <c r="AA16" s="64"/>
      <c r="AB16" s="63"/>
      <c r="AC16" s="60"/>
      <c r="AD16" s="60"/>
      <c r="AE16" s="64"/>
      <c r="AF16" s="62"/>
      <c r="AG16" s="61"/>
      <c r="AH16" s="60"/>
      <c r="AI16" s="64"/>
      <c r="AJ16" s="63"/>
      <c r="AK16" s="61"/>
      <c r="AL16" s="60"/>
      <c r="AM16" s="64"/>
      <c r="AN16" s="63"/>
      <c r="AO16" s="61"/>
      <c r="AP16" s="60"/>
      <c r="AQ16" s="64"/>
      <c r="AR16" s="63"/>
      <c r="AS16" s="60"/>
      <c r="AT16" s="60"/>
      <c r="AU16" s="64"/>
      <c r="AV16" s="62"/>
      <c r="AW16" s="61"/>
      <c r="AX16" s="60"/>
      <c r="AY16" s="64"/>
      <c r="AZ16" s="63"/>
      <c r="BA16" s="60"/>
      <c r="BB16" s="60"/>
      <c r="BC16" s="64"/>
      <c r="BD16" s="62"/>
      <c r="BE16" s="65"/>
      <c r="BF16" s="66"/>
      <c r="BG16" s="39"/>
      <c r="BH16" s="38"/>
    </row>
    <row r="17" hidden="1" spans="1:64" x14ac:dyDescent="0.25">
      <c r="A17" s="2">
        <v>2</v>
      </c>
      <c r="B17" s="14">
        <v>4.12</v>
      </c>
      <c r="C17" s="2" t="s">
        <v>54</v>
      </c>
      <c r="D17" s="14" t="s">
        <v>44</v>
      </c>
      <c r="E17" s="2" t="s">
        <v>45</v>
      </c>
      <c r="F17" s="13">
        <v>2.49</v>
      </c>
      <c r="G17" s="28"/>
      <c r="H17" s="34">
        <v>0</v>
      </c>
      <c r="I17" s="13">
        <v>7437</v>
      </c>
      <c r="J17" s="15">
        <v>995</v>
      </c>
      <c r="K17" s="15">
        <f>J17*$F$8</f>
        <v>2477.55</v>
      </c>
      <c r="L17" s="28">
        <v>2477.55</v>
      </c>
      <c r="M17" s="15">
        <v>8024</v>
      </c>
      <c r="N17" s="15">
        <f>M17-I17</f>
        <v>587</v>
      </c>
      <c r="O17" s="15">
        <f>N17*$F$8</f>
        <v>1461.63</v>
      </c>
      <c r="P17" s="15">
        <v>1461.63</v>
      </c>
      <c r="Q17" s="13">
        <v>8783</v>
      </c>
      <c r="R17" s="15">
        <f>Q17-M17</f>
        <v>759</v>
      </c>
      <c r="S17" s="34">
        <f>R17*$F$8</f>
        <v>1889.91</v>
      </c>
      <c r="T17" s="28">
        <v>1889.91</v>
      </c>
      <c r="U17" s="15">
        <v>9577</v>
      </c>
      <c r="V17" s="15">
        <f>U17-Q17</f>
        <v>794</v>
      </c>
      <c r="W17" s="15">
        <f>V17*$F$8</f>
        <v>1977.06</v>
      </c>
      <c r="X17" s="15">
        <v>1977.06</v>
      </c>
      <c r="Y17" s="13">
        <v>10069</v>
      </c>
      <c r="Z17" s="15">
        <f>Y17-U17</f>
        <v>492</v>
      </c>
      <c r="AA17" s="34">
        <f>Z17*$F$8</f>
        <v>1225.08</v>
      </c>
      <c r="AB17" s="67">
        <v>1500</v>
      </c>
      <c r="AC17" s="15">
        <v>10670</v>
      </c>
      <c r="AD17" s="15">
        <f t="shared" ref="AD17:AD18" si="31">AC17-Y17</f>
        <v>601</v>
      </c>
      <c r="AE17" s="34">
        <f>AD17*$F$8</f>
        <v>1496.49</v>
      </c>
      <c r="AF17" s="33">
        <f>2816.5-1594.93</f>
        <v>1221.57</v>
      </c>
      <c r="AG17" s="13">
        <v>11226</v>
      </c>
      <c r="AH17" s="15">
        <f t="shared" ref="AH17:AH18" si="32">AG17-AC17</f>
        <v>556</v>
      </c>
      <c r="AI17" s="34">
        <f>AH17*$F$8</f>
        <v>1384.44</v>
      </c>
      <c r="AJ17" s="32">
        <v>1594.93</v>
      </c>
      <c r="AK17" s="13">
        <v>11741</v>
      </c>
      <c r="AL17" s="15">
        <f t="shared" ref="AL17:AL18" si="33">AK17-AG17</f>
        <v>515</v>
      </c>
      <c r="AM17" s="34">
        <f>AL17*$F$8</f>
        <v>1282.35</v>
      </c>
      <c r="AN17" s="32">
        <v>1071.86</v>
      </c>
      <c r="AO17" s="13">
        <v>12370</v>
      </c>
      <c r="AP17" s="15">
        <f t="shared" ref="AP17:AP18" si="34">AO17-AK17</f>
        <v>629</v>
      </c>
      <c r="AQ17" s="34">
        <f>AP17*$F$8</f>
        <v>1566.21</v>
      </c>
      <c r="AR17" s="32">
        <v>1566.21</v>
      </c>
      <c r="AS17" s="15">
        <v>13087</v>
      </c>
      <c r="AT17" s="37">
        <f>AS17-AO17</f>
        <v>717</v>
      </c>
      <c r="AU17" s="34">
        <f>AT17*$F$8</f>
        <v>1785.33</v>
      </c>
      <c r="AV17" s="39">
        <v>1318</v>
      </c>
      <c r="AW17" s="13">
        <v>13541</v>
      </c>
      <c r="AX17" s="37">
        <f>AW17-AS17</f>
        <v>454</v>
      </c>
      <c r="AY17" s="34">
        <f>AX17*$F$8</f>
        <v>1130.46</v>
      </c>
      <c r="AZ17" s="38">
        <v>1598.58</v>
      </c>
      <c r="BA17" s="15">
        <v>14055</v>
      </c>
      <c r="BB17" s="37">
        <f>BA17-AW17</f>
        <v>514</v>
      </c>
      <c r="BC17" s="34">
        <f>BB17*$F$8</f>
        <v>1279.86</v>
      </c>
      <c r="BD17" s="39">
        <f>385.95+1300</f>
        <v>1685.95</v>
      </c>
      <c r="BE17" s="40">
        <f t="shared" ref="BE17:BG17" si="35">J17+N17+R17+V17+Z17+AD17+AH17+AL17+AP17+AT17+AX17+BB17</f>
        <v>7613</v>
      </c>
      <c r="BF17" s="41">
        <f t="shared" si="35"/>
        <v>18956.37</v>
      </c>
      <c r="BG17" s="34">
        <f t="shared" si="35"/>
        <v>19363.25</v>
      </c>
      <c r="BH17" s="35">
        <f t="shared" ref="BH17:BH22" si="36">H17+BF17-BG17</f>
        <v>-406.88</v>
      </c>
      <c r="BK17" s="2">
        <f>385.95+1300</f>
        <v>1685.95</v>
      </c>
      <c r="BL17" s="2">
        <v>1300</v>
      </c>
    </row>
    <row r="18" hidden="1" spans="1:60" x14ac:dyDescent="0.25">
      <c r="A18" s="29">
        <v>2</v>
      </c>
      <c r="B18" s="14"/>
      <c r="C18" s="2" t="s">
        <v>55</v>
      </c>
      <c r="D18" s="14" t="s">
        <v>47</v>
      </c>
      <c r="E18" s="2" t="s">
        <v>48</v>
      </c>
      <c r="F18" s="13">
        <v>17.16</v>
      </c>
      <c r="G18" s="28"/>
      <c r="H18" s="33">
        <f>3*17.16</f>
        <v>51.48</v>
      </c>
      <c r="I18" s="13"/>
      <c r="J18" s="15"/>
      <c r="K18" s="15"/>
      <c r="L18" s="28"/>
      <c r="M18" s="15"/>
      <c r="N18" s="15"/>
      <c r="O18" s="15"/>
      <c r="P18" s="15"/>
      <c r="Q18" s="13"/>
      <c r="R18" s="15"/>
      <c r="S18" s="15"/>
      <c r="T18" s="28"/>
      <c r="U18" s="15"/>
      <c r="V18" s="15"/>
      <c r="W18" s="15"/>
      <c r="X18" s="15"/>
      <c r="Y18" s="13">
        <v>121</v>
      </c>
      <c r="Z18" s="15"/>
      <c r="AA18" s="15"/>
      <c r="AB18" s="28"/>
      <c r="AC18" s="15">
        <v>131</v>
      </c>
      <c r="AD18" s="15">
        <f t="shared" si="31"/>
        <v>10</v>
      </c>
      <c r="AE18" s="34">
        <f>AD18*$F$10</f>
        <v>171.6</v>
      </c>
      <c r="AF18" s="34">
        <v>171.6</v>
      </c>
      <c r="AG18" s="13">
        <v>131</v>
      </c>
      <c r="AH18" s="15">
        <f t="shared" si="32"/>
        <v>0</v>
      </c>
      <c r="AI18" s="45">
        <f>AH18*$G$10</f>
        <v>0</v>
      </c>
      <c r="AJ18" s="28"/>
      <c r="AK18" s="13">
        <v>131</v>
      </c>
      <c r="AL18" s="15">
        <f t="shared" si="33"/>
        <v>0</v>
      </c>
      <c r="AM18" s="45">
        <f>AL18*$G$10</f>
        <v>0</v>
      </c>
      <c r="AN18" s="32">
        <v>51.48</v>
      </c>
      <c r="AO18" s="13">
        <v>131</v>
      </c>
      <c r="AP18" s="15">
        <f t="shared" si="34"/>
        <v>0</v>
      </c>
      <c r="AQ18" s="45">
        <f>AP18*$G$10</f>
        <v>0</v>
      </c>
      <c r="AR18" s="28"/>
      <c r="AS18" s="15"/>
      <c r="AT18" s="15"/>
      <c r="AU18" s="34"/>
      <c r="AV18" s="15"/>
      <c r="AW18" s="13"/>
      <c r="AX18" s="15"/>
      <c r="AY18" s="34"/>
      <c r="AZ18" s="28"/>
      <c r="BA18" s="15"/>
      <c r="BB18" s="15"/>
      <c r="BC18" s="34"/>
      <c r="BD18" s="15"/>
      <c r="BE18" s="40">
        <f t="shared" ref="BE18:BG18" si="37">J18+N18+R18+V18+Z18+AD18+AH18+AL18+AP18+AT18+AX18+BB18</f>
        <v>10</v>
      </c>
      <c r="BF18" s="41">
        <f t="shared" si="37"/>
        <v>171.6</v>
      </c>
      <c r="BG18" s="34">
        <f t="shared" si="37"/>
        <v>223.08</v>
      </c>
      <c r="BH18" s="35">
        <f t="shared" si="36"/>
        <v>0</v>
      </c>
    </row>
    <row r="19" hidden="1" spans="1:60" x14ac:dyDescent="0.25">
      <c r="A19" s="29">
        <v>2</v>
      </c>
      <c r="B19" s="14"/>
      <c r="C19" s="2" t="s">
        <v>56</v>
      </c>
      <c r="D19" s="14" t="s">
        <v>47</v>
      </c>
      <c r="E19" s="2" t="s">
        <v>49</v>
      </c>
      <c r="F19" s="41">
        <v>300</v>
      </c>
      <c r="G19" s="35"/>
      <c r="I19" s="13"/>
      <c r="J19" s="15"/>
      <c r="K19" s="15"/>
      <c r="L19" s="28"/>
      <c r="M19" s="15"/>
      <c r="N19" s="15"/>
      <c r="O19" s="15"/>
      <c r="P19" s="15"/>
      <c r="Q19" s="13"/>
      <c r="R19" s="15"/>
      <c r="S19" s="15"/>
      <c r="T19" s="28"/>
      <c r="U19" s="15"/>
      <c r="V19" s="15"/>
      <c r="W19" s="15"/>
      <c r="X19" s="15"/>
      <c r="Y19" s="13"/>
      <c r="Z19" s="15"/>
      <c r="AA19" s="15"/>
      <c r="AB19" s="28"/>
      <c r="AC19" s="15"/>
      <c r="AD19" s="15"/>
      <c r="AE19" s="34"/>
      <c r="AF19" s="15"/>
      <c r="AG19" s="13"/>
      <c r="AH19" s="15"/>
      <c r="AI19" s="34"/>
      <c r="AJ19" s="28"/>
      <c r="AK19" s="13"/>
      <c r="AL19" s="15"/>
      <c r="AM19" s="34"/>
      <c r="AN19" s="28"/>
      <c r="AO19" s="13"/>
      <c r="AP19" s="15"/>
      <c r="AQ19" s="34"/>
      <c r="AR19" s="28"/>
      <c r="AS19" s="15"/>
      <c r="AT19" s="15"/>
      <c r="AU19" s="34"/>
      <c r="AV19" s="15"/>
      <c r="AW19" s="13"/>
      <c r="AX19" s="15"/>
      <c r="AY19" s="34"/>
      <c r="AZ19" s="28"/>
      <c r="BA19" s="15"/>
      <c r="BB19" s="15"/>
      <c r="BC19" s="34"/>
      <c r="BD19" s="15"/>
      <c r="BE19" s="14"/>
      <c r="BF19" s="41">
        <f t="shared" ref="BF19:BG19" si="38">K19+O19+S19+W19+AA19+AE19+AI19+AM19+AQ19+AU19+AY19+BC19</f>
        <v>0</v>
      </c>
      <c r="BG19" s="34">
        <f t="shared" si="38"/>
        <v>0</v>
      </c>
      <c r="BH19" s="35">
        <f t="shared" si="36"/>
        <v>0</v>
      </c>
    </row>
    <row r="20" hidden="1" spans="1:60" x14ac:dyDescent="0.25">
      <c r="A20" s="29">
        <v>2</v>
      </c>
      <c r="B20" s="14"/>
      <c r="C20" s="2" t="s">
        <v>57</v>
      </c>
      <c r="D20" s="14" t="s">
        <v>50</v>
      </c>
      <c r="E20" s="2" t="s">
        <v>49</v>
      </c>
      <c r="F20" s="41">
        <v>1062.88</v>
      </c>
      <c r="G20" s="35"/>
      <c r="I20" s="13"/>
      <c r="J20" s="15"/>
      <c r="K20" s="15"/>
      <c r="L20" s="28"/>
      <c r="M20" s="15"/>
      <c r="N20" s="15"/>
      <c r="O20" s="15"/>
      <c r="P20" s="15"/>
      <c r="Q20" s="13"/>
      <c r="R20" s="15"/>
      <c r="S20" s="15"/>
      <c r="T20" s="28"/>
      <c r="U20" s="15"/>
      <c r="V20" s="15"/>
      <c r="W20" s="15"/>
      <c r="X20" s="15"/>
      <c r="Y20" s="13"/>
      <c r="Z20" s="15"/>
      <c r="AA20" s="15"/>
      <c r="AB20" s="28"/>
      <c r="AC20" s="15"/>
      <c r="AD20" s="15"/>
      <c r="AE20" s="34">
        <f>B17*$F$12</f>
        <v>4379.0656</v>
      </c>
      <c r="AF20" s="15">
        <v>4379.06</v>
      </c>
      <c r="AG20" s="13"/>
      <c r="AH20" s="15"/>
      <c r="AI20" s="15"/>
      <c r="AJ20" s="28"/>
      <c r="AK20" s="13"/>
      <c r="AL20" s="15"/>
      <c r="AM20" s="15"/>
      <c r="AN20" s="28"/>
      <c r="AO20" s="13"/>
      <c r="AP20" s="15"/>
      <c r="AQ20" s="15"/>
      <c r="AR20" s="28"/>
      <c r="AS20" s="15"/>
      <c r="AT20" s="15"/>
      <c r="AU20" s="15"/>
      <c r="AV20" s="15"/>
      <c r="AW20" s="13"/>
      <c r="AX20" s="15"/>
      <c r="AY20" s="15"/>
      <c r="AZ20" s="28"/>
      <c r="BA20" s="15"/>
      <c r="BB20" s="15"/>
      <c r="BC20" s="15"/>
      <c r="BD20" s="15"/>
      <c r="BE20" s="14"/>
      <c r="BF20" s="41">
        <f>B17*$F$12</f>
        <v>4379.0656</v>
      </c>
      <c r="BG20" s="34">
        <f t="shared" ref="BG20:BG22" si="39">L20+P20+T20+X20+AB20+AF20+AJ20+AN20+AR20+AV20+AZ20+BD20</f>
        <v>4379.06</v>
      </c>
      <c r="BH20" s="35">
        <f t="shared" si="36"/>
        <v>0.0056</v>
      </c>
    </row>
    <row r="21" ht="15.75" customHeight="1" hidden="1" spans="1:60" x14ac:dyDescent="0.25">
      <c r="A21" s="29">
        <v>2</v>
      </c>
      <c r="B21" s="14"/>
      <c r="C21" s="2" t="s">
        <v>58</v>
      </c>
      <c r="D21" s="14" t="s">
        <v>51</v>
      </c>
      <c r="E21" s="2" t="s">
        <v>49</v>
      </c>
      <c r="F21" s="41">
        <v>0</v>
      </c>
      <c r="G21" s="35"/>
      <c r="I21" s="13"/>
      <c r="J21" s="15"/>
      <c r="K21" s="15"/>
      <c r="L21" s="28"/>
      <c r="M21" s="15"/>
      <c r="N21" s="15"/>
      <c r="O21" s="15"/>
      <c r="P21" s="15"/>
      <c r="Q21" s="13"/>
      <c r="R21" s="15"/>
      <c r="S21" s="15"/>
      <c r="T21" s="28"/>
      <c r="U21" s="15"/>
      <c r="V21" s="15"/>
      <c r="W21" s="15"/>
      <c r="X21" s="15"/>
      <c r="Y21" s="13"/>
      <c r="Z21" s="15"/>
      <c r="AA21" s="15"/>
      <c r="AB21" s="28"/>
      <c r="AC21" s="15"/>
      <c r="AD21" s="15"/>
      <c r="AE21" s="15"/>
      <c r="AF21" s="15"/>
      <c r="AG21" s="13"/>
      <c r="AH21" s="15"/>
      <c r="AI21" s="15"/>
      <c r="AJ21" s="28"/>
      <c r="AK21" s="13"/>
      <c r="AL21" s="15"/>
      <c r="AM21" s="15"/>
      <c r="AN21" s="28"/>
      <c r="AO21" s="13"/>
      <c r="AP21" s="15"/>
      <c r="AQ21" s="15"/>
      <c r="AR21" s="28"/>
      <c r="AS21" s="15"/>
      <c r="AT21" s="15"/>
      <c r="AU21" s="15"/>
      <c r="AV21" s="15"/>
      <c r="AW21" s="13"/>
      <c r="AX21" s="15"/>
      <c r="AY21" s="15"/>
      <c r="AZ21" s="28"/>
      <c r="BA21" s="15"/>
      <c r="BB21" s="15"/>
      <c r="BC21" s="15"/>
      <c r="BD21" s="15"/>
      <c r="BE21" s="14"/>
      <c r="BF21" s="41">
        <f>B17*$F$13</f>
        <v>0</v>
      </c>
      <c r="BG21" s="34">
        <f t="shared" si="39"/>
        <v>0</v>
      </c>
      <c r="BH21" s="35">
        <f t="shared" si="36"/>
        <v>0</v>
      </c>
    </row>
    <row r="22" ht="15.75" customHeight="1" hidden="1" spans="1:60" x14ac:dyDescent="0.25">
      <c r="A22" s="29">
        <v>2</v>
      </c>
      <c r="B22" s="14"/>
      <c r="C22" s="2" t="s">
        <v>59</v>
      </c>
      <c r="D22" s="14" t="s">
        <v>52</v>
      </c>
      <c r="E22" s="2" t="s">
        <v>39</v>
      </c>
      <c r="F22" s="41">
        <v>350</v>
      </c>
      <c r="G22" s="35"/>
      <c r="I22" s="13"/>
      <c r="J22" s="15"/>
      <c r="K22" s="15"/>
      <c r="L22" s="28"/>
      <c r="M22" s="15"/>
      <c r="N22" s="15"/>
      <c r="O22" s="15"/>
      <c r="P22" s="15"/>
      <c r="Q22" s="13"/>
      <c r="R22" s="15"/>
      <c r="S22" s="15"/>
      <c r="T22" s="28"/>
      <c r="U22" s="15"/>
      <c r="V22" s="15"/>
      <c r="W22" s="15"/>
      <c r="X22" s="15"/>
      <c r="Y22" s="13"/>
      <c r="Z22" s="15"/>
      <c r="AA22" s="34">
        <f>$F$14</f>
        <v>350</v>
      </c>
      <c r="AB22" s="35">
        <v>350</v>
      </c>
      <c r="AC22" s="15"/>
      <c r="AD22" s="15"/>
      <c r="AE22" s="15"/>
      <c r="AF22" s="15"/>
      <c r="AG22" s="13"/>
      <c r="AH22" s="15"/>
      <c r="AI22" s="15"/>
      <c r="AJ22" s="28"/>
      <c r="AK22" s="13"/>
      <c r="AL22" s="15"/>
      <c r="AM22" s="15"/>
      <c r="AN22" s="28"/>
      <c r="AO22" s="13"/>
      <c r="AP22" s="15"/>
      <c r="AQ22" s="15"/>
      <c r="AR22" s="28"/>
      <c r="AS22" s="15"/>
      <c r="AT22" s="15"/>
      <c r="AU22" s="15"/>
      <c r="AV22" s="15"/>
      <c r="AW22" s="13"/>
      <c r="AX22" s="15"/>
      <c r="AY22" s="15"/>
      <c r="AZ22" s="28"/>
      <c r="BA22" s="15"/>
      <c r="BB22" s="15"/>
      <c r="BC22" s="15"/>
      <c r="BD22" s="15"/>
      <c r="BE22" s="14"/>
      <c r="BF22" s="41">
        <f>$F$14</f>
        <v>350</v>
      </c>
      <c r="BG22" s="34">
        <f t="shared" si="39"/>
        <v>350</v>
      </c>
      <c r="BH22" s="35">
        <f t="shared" si="36"/>
        <v>0</v>
      </c>
    </row>
    <row r="23" ht="15.75" customHeight="1" hidden="1" spans="1:62" x14ac:dyDescent="0.25">
      <c r="A23" s="50">
        <v>2</v>
      </c>
      <c r="B23" s="21"/>
      <c r="C23" s="22" t="s">
        <v>53</v>
      </c>
      <c r="D23" s="21"/>
      <c r="E23" s="22"/>
      <c r="F23" s="20"/>
      <c r="G23" s="23"/>
      <c r="H23" s="53">
        <f>SUM(H16:H22)</f>
        <v>51.48</v>
      </c>
      <c r="I23" s="52"/>
      <c r="J23" s="53"/>
      <c r="K23" s="51">
        <f t="shared" ref="K23:L23" si="40">SUM(K17:K22)</f>
        <v>2477.55</v>
      </c>
      <c r="L23" s="68">
        <f t="shared" si="40"/>
        <v>2477.55</v>
      </c>
      <c r="M23" s="53"/>
      <c r="N23" s="53"/>
      <c r="O23" s="51">
        <f t="shared" ref="O23:P23" si="41">SUM(O17:O22)</f>
        <v>1461.63</v>
      </c>
      <c r="P23" s="51">
        <f t="shared" si="41"/>
        <v>1461.63</v>
      </c>
      <c r="Q23" s="52"/>
      <c r="R23" s="53"/>
      <c r="S23" s="51">
        <f t="shared" ref="S23:T23" si="42">SUM(S17:S22)</f>
        <v>1889.91</v>
      </c>
      <c r="T23" s="68">
        <f t="shared" si="42"/>
        <v>1889.91</v>
      </c>
      <c r="U23" s="53"/>
      <c r="V23" s="53"/>
      <c r="W23" s="51">
        <f t="shared" ref="W23:X23" si="43">SUM(W17:W22)</f>
        <v>1977.06</v>
      </c>
      <c r="X23" s="51">
        <f t="shared" si="43"/>
        <v>1977.06</v>
      </c>
      <c r="Y23" s="52"/>
      <c r="Z23" s="53"/>
      <c r="AA23" s="51">
        <f t="shared" ref="AA23:AB23" si="44">SUM(AA17:AA22)</f>
        <v>1575.08</v>
      </c>
      <c r="AB23" s="68">
        <f t="shared" si="44"/>
        <v>1850</v>
      </c>
      <c r="AC23" s="53"/>
      <c r="AD23" s="53"/>
      <c r="AE23" s="51">
        <f t="shared" ref="AE23:AF23" si="45">SUM(AE17:AE22)</f>
        <v>6047.1556</v>
      </c>
      <c r="AF23" s="51">
        <f t="shared" si="45"/>
        <v>5772.23</v>
      </c>
      <c r="AG23" s="52"/>
      <c r="AH23" s="53"/>
      <c r="AI23" s="51">
        <f t="shared" ref="AI23:AJ23" si="46">SUM(AI17:AI22)</f>
        <v>1384.44</v>
      </c>
      <c r="AJ23" s="68">
        <f t="shared" si="46"/>
        <v>1594.93</v>
      </c>
      <c r="AK23" s="52"/>
      <c r="AL23" s="53"/>
      <c r="AM23" s="51">
        <f t="shared" ref="AM23:AN23" si="47">SUM(AM17:AM22)</f>
        <v>1282.35</v>
      </c>
      <c r="AN23" s="68">
        <f t="shared" si="47"/>
        <v>1123.34</v>
      </c>
      <c r="AO23" s="52"/>
      <c r="AP23" s="53"/>
      <c r="AQ23" s="51">
        <f t="shared" ref="AQ23:AR23" si="48">SUM(AQ17:AQ22)</f>
        <v>1566.21</v>
      </c>
      <c r="AR23" s="68">
        <f t="shared" si="48"/>
        <v>1566.21</v>
      </c>
      <c r="AS23" s="53"/>
      <c r="AT23" s="53"/>
      <c r="AU23" s="51">
        <f t="shared" ref="AU23:AV23" si="49">SUM(AU17:AU22)</f>
        <v>1785.33</v>
      </c>
      <c r="AV23" s="51">
        <f t="shared" si="49"/>
        <v>1318</v>
      </c>
      <c r="AW23" s="52"/>
      <c r="AX23" s="53"/>
      <c r="AY23" s="51">
        <f t="shared" ref="AY23:AZ23" si="50">SUM(AY17:AY22)</f>
        <v>1130.46</v>
      </c>
      <c r="AZ23" s="68">
        <f t="shared" si="50"/>
        <v>1598.58</v>
      </c>
      <c r="BA23" s="53"/>
      <c r="BB23" s="53"/>
      <c r="BC23" s="51">
        <f t="shared" ref="BC23:BD23" si="51">SUM(BC17:BC22)</f>
        <v>1279.86</v>
      </c>
      <c r="BD23" s="51">
        <f t="shared" si="51"/>
        <v>1685.95</v>
      </c>
      <c r="BE23" s="69"/>
      <c r="BF23" s="70">
        <f t="shared" ref="BF23:BH23" si="52">SUM(BF16:BF22)</f>
        <v>23857.0356</v>
      </c>
      <c r="BG23" s="71">
        <f t="shared" si="52"/>
        <v>24315.39</v>
      </c>
      <c r="BH23" s="72">
        <f t="shared" si="52"/>
        <v>-406.8744</v>
      </c>
      <c r="BI23" s="34">
        <f>H23+BF23-BG23</f>
        <v>-406.8744</v>
      </c>
      <c r="BJ23" s="34">
        <f>BH23-BI23</f>
        <v>0</v>
      </c>
    </row>
    <row r="24" ht="15.75" customHeight="1" hidden="1" spans="1:60" x14ac:dyDescent="0.25">
      <c r="A24" s="29">
        <v>3</v>
      </c>
      <c r="B24" s="14"/>
      <c r="D24" s="14" t="s">
        <v>42</v>
      </c>
      <c r="F24" s="13"/>
      <c r="G24" s="28"/>
      <c r="H24" s="60"/>
      <c r="I24" s="61"/>
      <c r="J24" s="60"/>
      <c r="K24" s="60"/>
      <c r="L24" s="63"/>
      <c r="M24" s="60"/>
      <c r="N24" s="60"/>
      <c r="O24" s="60"/>
      <c r="P24" s="62"/>
      <c r="Q24" s="61"/>
      <c r="R24" s="60"/>
      <c r="S24" s="62"/>
      <c r="T24" s="63"/>
      <c r="U24" s="60"/>
      <c r="V24" s="60"/>
      <c r="W24" s="62"/>
      <c r="X24" s="62"/>
      <c r="Y24" s="61"/>
      <c r="Z24" s="60"/>
      <c r="AA24" s="62"/>
      <c r="AB24" s="63"/>
      <c r="AC24" s="60"/>
      <c r="AD24" s="60"/>
      <c r="AE24" s="62"/>
      <c r="AF24" s="62"/>
      <c r="AG24" s="61"/>
      <c r="AH24" s="60"/>
      <c r="AI24" s="62"/>
      <c r="AJ24" s="63"/>
      <c r="AK24" s="61"/>
      <c r="AL24" s="60"/>
      <c r="AM24" s="62"/>
      <c r="AN24" s="63"/>
      <c r="AO24" s="61"/>
      <c r="AP24" s="60"/>
      <c r="AQ24" s="62"/>
      <c r="AR24" s="63"/>
      <c r="AS24" s="60"/>
      <c r="AT24" s="60"/>
      <c r="AU24" s="62"/>
      <c r="AV24" s="62"/>
      <c r="AW24" s="61"/>
      <c r="AX24" s="60"/>
      <c r="AY24" s="62"/>
      <c r="AZ24" s="63"/>
      <c r="BA24" s="60"/>
      <c r="BB24" s="60"/>
      <c r="BC24" s="62"/>
      <c r="BD24" s="62"/>
      <c r="BE24" s="65"/>
      <c r="BF24" s="46"/>
      <c r="BG24" s="39"/>
      <c r="BH24" s="38"/>
    </row>
    <row r="25" ht="15.75" customHeight="1" hidden="1" spans="1:60" x14ac:dyDescent="0.25">
      <c r="A25" s="2">
        <v>3</v>
      </c>
      <c r="B25" s="42">
        <v>4</v>
      </c>
      <c r="C25" s="2" t="s">
        <v>60</v>
      </c>
      <c r="D25" s="14" t="s">
        <v>44</v>
      </c>
      <c r="E25" s="2" t="s">
        <v>45</v>
      </c>
      <c r="F25" s="13">
        <v>2.49</v>
      </c>
      <c r="G25" s="28"/>
      <c r="H25" s="15">
        <v>2.49</v>
      </c>
      <c r="I25" s="13">
        <v>11</v>
      </c>
      <c r="J25" s="15">
        <v>0</v>
      </c>
      <c r="K25" s="34">
        <f>J25*$F$8</f>
        <v>0</v>
      </c>
      <c r="L25" s="28"/>
      <c r="M25" s="15">
        <v>11</v>
      </c>
      <c r="N25" s="15">
        <f>M25-I25</f>
        <v>0</v>
      </c>
      <c r="O25" s="34">
        <f>N25*$F$8</f>
        <v>0</v>
      </c>
      <c r="P25" s="15"/>
      <c r="Q25" s="13">
        <v>11</v>
      </c>
      <c r="R25" s="15">
        <f>Q25-M25</f>
        <v>0</v>
      </c>
      <c r="S25" s="34">
        <f>R25*$F$8</f>
        <v>0</v>
      </c>
      <c r="T25" s="28"/>
      <c r="U25" s="15">
        <v>11</v>
      </c>
      <c r="V25" s="15">
        <f>U25-Q25</f>
        <v>0</v>
      </c>
      <c r="W25" s="34">
        <f>V25*$F$8</f>
        <v>0</v>
      </c>
      <c r="X25" s="15"/>
      <c r="Y25" s="13">
        <v>11</v>
      </c>
      <c r="Z25" s="15">
        <f>Y25-U25</f>
        <v>0</v>
      </c>
      <c r="AA25" s="34">
        <f>Z25*$F$8</f>
        <v>0</v>
      </c>
      <c r="AB25" s="28"/>
      <c r="AC25" s="15">
        <v>15</v>
      </c>
      <c r="AD25" s="15">
        <f t="shared" ref="AD25:AD26" si="53">AC25-Y25</f>
        <v>4</v>
      </c>
      <c r="AE25" s="34">
        <f>AD25*$F$8</f>
        <v>9.96</v>
      </c>
      <c r="AF25" s="15"/>
      <c r="AG25" s="13">
        <v>22</v>
      </c>
      <c r="AH25" s="15">
        <f t="shared" ref="AH25:AH26" si="54">AG25-AC25</f>
        <v>7</v>
      </c>
      <c r="AI25" s="34">
        <f>AH25*$F$8</f>
        <v>17.43</v>
      </c>
      <c r="AJ25" s="28"/>
      <c r="AK25" s="13">
        <v>25</v>
      </c>
      <c r="AL25" s="15">
        <f t="shared" ref="AL25:AL26" si="55">AK25-AG25</f>
        <v>3</v>
      </c>
      <c r="AM25" s="34">
        <f>AL25*$F$8</f>
        <v>7.47</v>
      </c>
      <c r="AN25" s="38">
        <f>29.88+1.72</f>
        <v>31.6</v>
      </c>
      <c r="AO25" s="13">
        <v>26</v>
      </c>
      <c r="AP25" s="15">
        <f t="shared" ref="AP25:AP26" si="56">AO25-AK25</f>
        <v>1</v>
      </c>
      <c r="AQ25" s="34">
        <f>AP25*$F$8</f>
        <v>2.49</v>
      </c>
      <c r="AR25" s="32">
        <v>8.24</v>
      </c>
      <c r="AS25" s="15">
        <v>27</v>
      </c>
      <c r="AT25" s="37">
        <f>AS25-AO25</f>
        <v>1</v>
      </c>
      <c r="AU25" s="34">
        <f>AT25*$F$8</f>
        <v>2.49</v>
      </c>
      <c r="AV25" s="15"/>
      <c r="AW25" s="13">
        <v>27</v>
      </c>
      <c r="AX25" s="37">
        <f>AW25-AS25</f>
        <v>0</v>
      </c>
      <c r="AY25" s="34">
        <f>AX25*$F$8</f>
        <v>0</v>
      </c>
      <c r="AZ25" s="28"/>
      <c r="BA25" s="15">
        <v>27</v>
      </c>
      <c r="BB25" s="37">
        <f>BA25-AW25</f>
        <v>0</v>
      </c>
      <c r="BC25" s="34">
        <f>BB25*$F$8</f>
        <v>0</v>
      </c>
      <c r="BD25" s="15"/>
      <c r="BE25" s="40">
        <f t="shared" ref="BE25:BG25" si="57">J25+N25+R25+V25+Z25+AD25+AH25+AL25+AP25+AT25+AX25+BB25</f>
        <v>16</v>
      </c>
      <c r="BF25" s="41">
        <f t="shared" si="57"/>
        <v>39.84</v>
      </c>
      <c r="BG25" s="34">
        <f t="shared" si="57"/>
        <v>39.84</v>
      </c>
      <c r="BH25" s="35">
        <f t="shared" ref="BH25:BH30" si="58">H25+BF25-BG25</f>
        <v>2.49</v>
      </c>
    </row>
    <row r="26" ht="15.75" customHeight="1" hidden="1" spans="1:60" x14ac:dyDescent="0.25">
      <c r="A26" s="29">
        <v>3</v>
      </c>
      <c r="B26" s="14"/>
      <c r="C26" s="2" t="s">
        <v>61</v>
      </c>
      <c r="D26" s="14" t="s">
        <v>47</v>
      </c>
      <c r="E26" s="2" t="s">
        <v>48</v>
      </c>
      <c r="F26" s="13">
        <v>17.16</v>
      </c>
      <c r="G26" s="28"/>
      <c r="H26" s="73">
        <f>-(1*17.16)</f>
        <v>-17.16</v>
      </c>
      <c r="I26" s="13"/>
      <c r="J26" s="15"/>
      <c r="K26" s="15"/>
      <c r="L26" s="28"/>
      <c r="M26" s="15"/>
      <c r="N26" s="15"/>
      <c r="O26" s="15"/>
      <c r="P26" s="15"/>
      <c r="Q26" s="13"/>
      <c r="R26" s="15"/>
      <c r="S26" s="15"/>
      <c r="T26" s="28"/>
      <c r="U26" s="15"/>
      <c r="V26" s="15"/>
      <c r="W26" s="15"/>
      <c r="X26" s="15"/>
      <c r="Y26" s="13">
        <v>93</v>
      </c>
      <c r="Z26" s="15"/>
      <c r="AA26" s="15"/>
      <c r="AB26" s="28"/>
      <c r="AC26" s="15">
        <v>93</v>
      </c>
      <c r="AD26" s="15">
        <f t="shared" si="53"/>
        <v>0</v>
      </c>
      <c r="AE26" s="34">
        <f>AD26*$F$10</f>
        <v>0</v>
      </c>
      <c r="AF26" s="15"/>
      <c r="AG26" s="13">
        <v>93</v>
      </c>
      <c r="AH26" s="15">
        <f t="shared" si="54"/>
        <v>0</v>
      </c>
      <c r="AI26" s="45">
        <f>AH26*$G$10</f>
        <v>0</v>
      </c>
      <c r="AJ26" s="35"/>
      <c r="AK26" s="13">
        <v>110</v>
      </c>
      <c r="AL26" s="15">
        <f t="shared" si="55"/>
        <v>17</v>
      </c>
      <c r="AM26" s="45">
        <f>AL26*$G$10</f>
        <v>300.56</v>
      </c>
      <c r="AN26" s="38">
        <v>283.4</v>
      </c>
      <c r="AO26" s="13">
        <v>115</v>
      </c>
      <c r="AP26" s="15">
        <f t="shared" si="56"/>
        <v>5</v>
      </c>
      <c r="AQ26" s="45">
        <f>AP26*$G$10</f>
        <v>88.4</v>
      </c>
      <c r="AR26" s="38">
        <v>88.4</v>
      </c>
      <c r="AS26" s="15"/>
      <c r="AT26" s="15"/>
      <c r="AU26" s="34"/>
      <c r="AV26" s="15"/>
      <c r="AW26" s="13"/>
      <c r="AX26" s="15"/>
      <c r="AY26" s="34"/>
      <c r="AZ26" s="28"/>
      <c r="BA26" s="15"/>
      <c r="BB26" s="15"/>
      <c r="BC26" s="34"/>
      <c r="BD26" s="15"/>
      <c r="BE26" s="40">
        <f t="shared" ref="BE26:BG26" si="59">J26+N26+R26+V26+Z26+AD26+AH26+AL26+AP26+AT26+AX26+BB26</f>
        <v>22</v>
      </c>
      <c r="BF26" s="41">
        <f t="shared" si="59"/>
        <v>388.96</v>
      </c>
      <c r="BG26" s="34">
        <f t="shared" si="59"/>
        <v>371.8</v>
      </c>
      <c r="BH26" s="35">
        <f t="shared" si="58"/>
        <v>0</v>
      </c>
    </row>
    <row r="27" ht="15.75" customHeight="1" hidden="1" spans="1:60" x14ac:dyDescent="0.25">
      <c r="A27" s="29">
        <v>3</v>
      </c>
      <c r="B27" s="14"/>
      <c r="C27" s="2" t="s">
        <v>62</v>
      </c>
      <c r="D27" s="14" t="s">
        <v>47</v>
      </c>
      <c r="E27" s="2" t="s">
        <v>49</v>
      </c>
      <c r="F27" s="41">
        <v>300</v>
      </c>
      <c r="G27" s="35"/>
      <c r="I27" s="13"/>
      <c r="J27" s="15"/>
      <c r="K27" s="15"/>
      <c r="L27" s="28"/>
      <c r="M27" s="15"/>
      <c r="N27" s="15"/>
      <c r="O27" s="15"/>
      <c r="P27" s="15"/>
      <c r="Q27" s="13"/>
      <c r="R27" s="15"/>
      <c r="S27" s="15"/>
      <c r="T27" s="28"/>
      <c r="U27" s="15"/>
      <c r="V27" s="15"/>
      <c r="W27" s="15"/>
      <c r="X27" s="15"/>
      <c r="Y27" s="13"/>
      <c r="Z27" s="15"/>
      <c r="AA27" s="15"/>
      <c r="AB27" s="28"/>
      <c r="AC27" s="15"/>
      <c r="AD27" s="15"/>
      <c r="AE27" s="34"/>
      <c r="AF27" s="15"/>
      <c r="AG27" s="13"/>
      <c r="AH27" s="15"/>
      <c r="AI27" s="34"/>
      <c r="AJ27" s="28"/>
      <c r="AK27" s="13"/>
      <c r="AL27" s="15"/>
      <c r="AM27" s="34"/>
      <c r="AN27" s="28"/>
      <c r="AO27" s="13"/>
      <c r="AP27" s="15"/>
      <c r="AQ27" s="34"/>
      <c r="AR27" s="28"/>
      <c r="AS27" s="15"/>
      <c r="AT27" s="15"/>
      <c r="AU27" s="34"/>
      <c r="AV27" s="15"/>
      <c r="AW27" s="13"/>
      <c r="AX27" s="15"/>
      <c r="AY27" s="34"/>
      <c r="AZ27" s="28"/>
      <c r="BA27" s="15"/>
      <c r="BB27" s="15"/>
      <c r="BC27" s="34"/>
      <c r="BD27" s="15"/>
      <c r="BE27" s="14"/>
      <c r="BF27" s="41">
        <f t="shared" ref="BF27:BG27" si="60">K27+O27+S27+W27+AA27+AE27+AI27+AM27+AQ27+AU27+AY27+BC27</f>
        <v>0</v>
      </c>
      <c r="BG27" s="34">
        <f t="shared" si="60"/>
        <v>0</v>
      </c>
      <c r="BH27" s="35">
        <f t="shared" si="58"/>
        <v>0</v>
      </c>
    </row>
    <row r="28" ht="15.75" customHeight="1" hidden="1" spans="1:60" x14ac:dyDescent="0.25">
      <c r="A28" s="29">
        <v>3</v>
      </c>
      <c r="B28" s="14"/>
      <c r="C28" s="2" t="s">
        <v>63</v>
      </c>
      <c r="D28" s="14" t="s">
        <v>50</v>
      </c>
      <c r="E28" s="2" t="s">
        <v>49</v>
      </c>
      <c r="F28" s="41">
        <v>1062.88</v>
      </c>
      <c r="G28" s="35"/>
      <c r="I28" s="13"/>
      <c r="J28" s="15"/>
      <c r="K28" s="15"/>
      <c r="L28" s="28"/>
      <c r="M28" s="15"/>
      <c r="N28" s="15"/>
      <c r="O28" s="15"/>
      <c r="P28" s="15"/>
      <c r="Q28" s="13"/>
      <c r="R28" s="15"/>
      <c r="S28" s="15"/>
      <c r="T28" s="28"/>
      <c r="U28" s="15"/>
      <c r="V28" s="15"/>
      <c r="W28" s="15"/>
      <c r="X28" s="15"/>
      <c r="Y28" s="13"/>
      <c r="Z28" s="15"/>
      <c r="AA28" s="15"/>
      <c r="AB28" s="28"/>
      <c r="AC28" s="15"/>
      <c r="AD28" s="15"/>
      <c r="AE28" s="34">
        <f>B25*$F$12</f>
        <v>4251.52</v>
      </c>
      <c r="AF28" s="15">
        <v>4251.52</v>
      </c>
      <c r="AG28" s="13"/>
      <c r="AH28" s="15"/>
      <c r="AI28" s="15"/>
      <c r="AJ28" s="28"/>
      <c r="AK28" s="13"/>
      <c r="AL28" s="15"/>
      <c r="AM28" s="15"/>
      <c r="AN28" s="28"/>
      <c r="AO28" s="13"/>
      <c r="AP28" s="15"/>
      <c r="AQ28" s="15"/>
      <c r="AR28" s="28"/>
      <c r="AS28" s="15"/>
      <c r="AT28" s="15"/>
      <c r="AU28" s="15"/>
      <c r="AV28" s="15"/>
      <c r="AW28" s="13"/>
      <c r="AX28" s="15"/>
      <c r="AY28" s="15"/>
      <c r="AZ28" s="28"/>
      <c r="BA28" s="15"/>
      <c r="BB28" s="15"/>
      <c r="BC28" s="15"/>
      <c r="BD28" s="15"/>
      <c r="BE28" s="14"/>
      <c r="BF28" s="41">
        <f>B25*$F$12</f>
        <v>4251.52</v>
      </c>
      <c r="BG28" s="34">
        <f t="shared" ref="BG28:BG30" si="61">L28+P28+T28+X28+AB28+AF28+AJ28+AN28+AR28+AV28+AZ28+BD28</f>
        <v>4251.52</v>
      </c>
      <c r="BH28" s="35">
        <f t="shared" si="58"/>
        <v>0</v>
      </c>
    </row>
    <row r="29" ht="15.75" customHeight="1" hidden="1" spans="1:60" x14ac:dyDescent="0.25">
      <c r="A29" s="29">
        <v>3</v>
      </c>
      <c r="B29" s="14"/>
      <c r="D29" s="14" t="s">
        <v>51</v>
      </c>
      <c r="E29" s="2" t="s">
        <v>49</v>
      </c>
      <c r="F29" s="41">
        <v>0</v>
      </c>
      <c r="G29" s="35"/>
      <c r="I29" s="13"/>
      <c r="J29" s="15"/>
      <c r="K29" s="15"/>
      <c r="L29" s="28"/>
      <c r="M29" s="15"/>
      <c r="N29" s="15"/>
      <c r="O29" s="15"/>
      <c r="P29" s="15"/>
      <c r="Q29" s="13"/>
      <c r="R29" s="15"/>
      <c r="S29" s="15"/>
      <c r="T29" s="28"/>
      <c r="U29" s="15"/>
      <c r="V29" s="15"/>
      <c r="W29" s="15"/>
      <c r="X29" s="15"/>
      <c r="Y29" s="13"/>
      <c r="Z29" s="15"/>
      <c r="AA29" s="15"/>
      <c r="AB29" s="28"/>
      <c r="AC29" s="15"/>
      <c r="AD29" s="15"/>
      <c r="AE29" s="15"/>
      <c r="AF29" s="15"/>
      <c r="AG29" s="13"/>
      <c r="AH29" s="15"/>
      <c r="AI29" s="15"/>
      <c r="AJ29" s="28"/>
      <c r="AK29" s="13"/>
      <c r="AL29" s="15"/>
      <c r="AM29" s="15"/>
      <c r="AN29" s="28"/>
      <c r="AO29" s="13"/>
      <c r="AP29" s="15"/>
      <c r="AQ29" s="15"/>
      <c r="AR29" s="28"/>
      <c r="AS29" s="15"/>
      <c r="AT29" s="15"/>
      <c r="AU29" s="15"/>
      <c r="AV29" s="15"/>
      <c r="AW29" s="13"/>
      <c r="AX29" s="15"/>
      <c r="AY29" s="15"/>
      <c r="AZ29" s="28"/>
      <c r="BA29" s="15"/>
      <c r="BB29" s="15"/>
      <c r="BC29" s="15"/>
      <c r="BD29" s="15"/>
      <c r="BE29" s="14"/>
      <c r="BF29" s="41">
        <f>B25*$F$13</f>
        <v>0</v>
      </c>
      <c r="BG29" s="34">
        <f t="shared" si="61"/>
        <v>0</v>
      </c>
      <c r="BH29" s="35">
        <f t="shared" si="58"/>
        <v>0</v>
      </c>
    </row>
    <row r="30" ht="15.75" customHeight="1" hidden="1" spans="1:60" x14ac:dyDescent="0.25">
      <c r="A30" s="29">
        <v>3</v>
      </c>
      <c r="B30" s="14"/>
      <c r="D30" s="14" t="s">
        <v>52</v>
      </c>
      <c r="E30" s="2" t="s">
        <v>39</v>
      </c>
      <c r="F30" s="41">
        <v>350</v>
      </c>
      <c r="G30" s="35"/>
      <c r="I30" s="13"/>
      <c r="J30" s="15"/>
      <c r="K30" s="15"/>
      <c r="L30" s="28"/>
      <c r="M30" s="15"/>
      <c r="N30" s="15"/>
      <c r="O30" s="15"/>
      <c r="P30" s="15"/>
      <c r="Q30" s="13"/>
      <c r="R30" s="15"/>
      <c r="S30" s="15"/>
      <c r="T30" s="28"/>
      <c r="U30" s="15"/>
      <c r="V30" s="15"/>
      <c r="W30" s="15"/>
      <c r="X30" s="15"/>
      <c r="Y30" s="13"/>
      <c r="Z30" s="15"/>
      <c r="AA30" s="34">
        <f>$F$14</f>
        <v>350</v>
      </c>
      <c r="AB30" s="35">
        <v>350</v>
      </c>
      <c r="AC30" s="15"/>
      <c r="AD30" s="15"/>
      <c r="AE30" s="15"/>
      <c r="AF30" s="15"/>
      <c r="AG30" s="13"/>
      <c r="AH30" s="15"/>
      <c r="AI30" s="15"/>
      <c r="AJ30" s="28"/>
      <c r="AK30" s="13"/>
      <c r="AL30" s="15"/>
      <c r="AM30" s="15"/>
      <c r="AN30" s="28"/>
      <c r="AO30" s="13"/>
      <c r="AP30" s="15"/>
      <c r="AQ30" s="15"/>
      <c r="AR30" s="28"/>
      <c r="AS30" s="15"/>
      <c r="AT30" s="15"/>
      <c r="AU30" s="15"/>
      <c r="AV30" s="15"/>
      <c r="AW30" s="13"/>
      <c r="AX30" s="15"/>
      <c r="AY30" s="15"/>
      <c r="AZ30" s="28"/>
      <c r="BA30" s="15"/>
      <c r="BB30" s="15"/>
      <c r="BC30" s="15"/>
      <c r="BD30" s="15"/>
      <c r="BE30" s="14"/>
      <c r="BF30" s="41">
        <f>$F$14</f>
        <v>350</v>
      </c>
      <c r="BG30" s="34">
        <f t="shared" si="61"/>
        <v>350</v>
      </c>
      <c r="BH30" s="35">
        <f t="shared" si="58"/>
        <v>0</v>
      </c>
    </row>
    <row r="31" ht="15.75" customHeight="1" hidden="1" spans="1:62" x14ac:dyDescent="0.25">
      <c r="A31" s="50">
        <v>3</v>
      </c>
      <c r="B31" s="21"/>
      <c r="C31" s="22" t="s">
        <v>53</v>
      </c>
      <c r="D31" s="21"/>
      <c r="E31" s="22"/>
      <c r="F31" s="20"/>
      <c r="G31" s="23"/>
      <c r="H31" s="53">
        <f>SUM(H24:H30)</f>
        <v>-14.67</v>
      </c>
      <c r="I31" s="52"/>
      <c r="J31" s="53"/>
      <c r="K31" s="51">
        <f t="shared" ref="K31:L31" si="62">SUM(K25:K30)</f>
        <v>0</v>
      </c>
      <c r="L31" s="68">
        <f t="shared" si="62"/>
        <v>0</v>
      </c>
      <c r="M31" s="53"/>
      <c r="N31" s="53"/>
      <c r="O31" s="51">
        <f t="shared" ref="O31:P31" si="63">SUM(O25:O30)</f>
        <v>0</v>
      </c>
      <c r="P31" s="51">
        <f t="shared" si="63"/>
        <v>0</v>
      </c>
      <c r="Q31" s="52"/>
      <c r="R31" s="53"/>
      <c r="S31" s="51">
        <f t="shared" ref="S31:T31" si="64">SUM(S25:S30)</f>
        <v>0</v>
      </c>
      <c r="T31" s="68">
        <f t="shared" si="64"/>
        <v>0</v>
      </c>
      <c r="U31" s="53"/>
      <c r="V31" s="53"/>
      <c r="W31" s="51">
        <f t="shared" ref="W31:X31" si="65">SUM(W25:W30)</f>
        <v>0</v>
      </c>
      <c r="X31" s="51">
        <f t="shared" si="65"/>
        <v>0</v>
      </c>
      <c r="Y31" s="52"/>
      <c r="Z31" s="53"/>
      <c r="AA31" s="51">
        <f t="shared" ref="AA31:AB31" si="66">SUM(AA25:AA30)</f>
        <v>350</v>
      </c>
      <c r="AB31" s="68">
        <f t="shared" si="66"/>
        <v>350</v>
      </c>
      <c r="AC31" s="53"/>
      <c r="AD31" s="53"/>
      <c r="AE31" s="51">
        <f t="shared" ref="AE31:AF31" si="67">SUM(AE25:AE30)</f>
        <v>4261.48</v>
      </c>
      <c r="AF31" s="51">
        <f t="shared" si="67"/>
        <v>4251.52</v>
      </c>
      <c r="AG31" s="52"/>
      <c r="AH31" s="53"/>
      <c r="AI31" s="51">
        <f t="shared" ref="AI31:AJ31" si="68">SUM(AI25:AI30)</f>
        <v>17.43</v>
      </c>
      <c r="AJ31" s="68">
        <f t="shared" si="68"/>
        <v>0</v>
      </c>
      <c r="AK31" s="52"/>
      <c r="AL31" s="53"/>
      <c r="AM31" s="51">
        <f t="shared" ref="AM31:AN31" si="69">SUM(AM25:AM30)</f>
        <v>308.03</v>
      </c>
      <c r="AN31" s="68">
        <f t="shared" si="69"/>
        <v>315</v>
      </c>
      <c r="AO31" s="52"/>
      <c r="AP31" s="53"/>
      <c r="AQ31" s="51">
        <f t="shared" ref="AQ31:AR31" si="70">SUM(AQ25:AQ30)</f>
        <v>90.89</v>
      </c>
      <c r="AR31" s="68">
        <f t="shared" si="70"/>
        <v>96.64</v>
      </c>
      <c r="AS31" s="53"/>
      <c r="AT31" s="53"/>
      <c r="AU31" s="51">
        <f t="shared" ref="AU31:AV31" si="71">SUM(AU25:AU30)</f>
        <v>2.49</v>
      </c>
      <c r="AV31" s="51">
        <f t="shared" si="71"/>
        <v>0</v>
      </c>
      <c r="AW31" s="52"/>
      <c r="AX31" s="53"/>
      <c r="AY31" s="51">
        <f t="shared" ref="AY31:AZ31" si="72">SUM(AY25:AY30)</f>
        <v>0</v>
      </c>
      <c r="AZ31" s="68">
        <f t="shared" si="72"/>
        <v>0</v>
      </c>
      <c r="BA31" s="53"/>
      <c r="BB31" s="53"/>
      <c r="BC31" s="51">
        <f t="shared" ref="BC31:BD31" si="73">SUM(BC25:BC30)</f>
        <v>0</v>
      </c>
      <c r="BD31" s="51">
        <f t="shared" si="73"/>
        <v>0</v>
      </c>
      <c r="BE31" s="69"/>
      <c r="BF31" s="70">
        <f t="shared" ref="BF31:BH31" si="74">SUM(BF24:BF30)</f>
        <v>5030.32</v>
      </c>
      <c r="BG31" s="71">
        <f t="shared" si="74"/>
        <v>5013.16</v>
      </c>
      <c r="BH31" s="72">
        <f t="shared" si="74"/>
        <v>2.49</v>
      </c>
      <c r="BI31" s="34">
        <f>H31+BF31-BG31</f>
        <v>2.49</v>
      </c>
      <c r="BJ31" s="34">
        <f>BH31-BI31</f>
        <v>0</v>
      </c>
    </row>
    <row r="32" ht="15.75" customHeight="1" hidden="1" spans="1:60" x14ac:dyDescent="0.25">
      <c r="A32" s="29">
        <v>4</v>
      </c>
      <c r="B32" s="14"/>
      <c r="D32" s="14" t="s">
        <v>42</v>
      </c>
      <c r="F32" s="13"/>
      <c r="G32" s="28"/>
      <c r="I32" s="13"/>
      <c r="J32" s="15"/>
      <c r="K32" s="15"/>
      <c r="L32" s="28"/>
      <c r="M32" s="15"/>
      <c r="N32" s="15"/>
      <c r="O32" s="15"/>
      <c r="P32" s="15"/>
      <c r="Q32" s="13"/>
      <c r="R32" s="15"/>
      <c r="S32" s="15"/>
      <c r="T32" s="28"/>
      <c r="U32" s="15"/>
      <c r="V32" s="15"/>
      <c r="W32" s="15"/>
      <c r="X32" s="15"/>
      <c r="Y32" s="13"/>
      <c r="Z32" s="15"/>
      <c r="AA32" s="15"/>
      <c r="AB32" s="28"/>
      <c r="AC32" s="15"/>
      <c r="AD32" s="15"/>
      <c r="AE32" s="15"/>
      <c r="AF32" s="15"/>
      <c r="AG32" s="13"/>
      <c r="AH32" s="15"/>
      <c r="AI32" s="15"/>
      <c r="AJ32" s="28"/>
      <c r="AK32" s="13"/>
      <c r="AL32" s="15"/>
      <c r="AM32" s="15"/>
      <c r="AN32" s="28"/>
      <c r="AO32" s="13"/>
      <c r="AP32" s="15"/>
      <c r="AQ32" s="15"/>
      <c r="AR32" s="28"/>
      <c r="AS32" s="15"/>
      <c r="AT32" s="15"/>
      <c r="AU32" s="15"/>
      <c r="AV32" s="15"/>
      <c r="AW32" s="13"/>
      <c r="AX32" s="15"/>
      <c r="AY32" s="15"/>
      <c r="AZ32" s="28"/>
      <c r="BA32" s="15"/>
      <c r="BB32" s="15"/>
      <c r="BC32" s="15"/>
      <c r="BD32" s="15"/>
      <c r="BE32" s="14"/>
      <c r="BF32" s="13"/>
      <c r="BG32" s="15"/>
      <c r="BH32" s="28"/>
    </row>
    <row r="33" ht="15.75" customHeight="1" hidden="1" spans="1:60" x14ac:dyDescent="0.25">
      <c r="A33" s="2">
        <v>4</v>
      </c>
      <c r="B33" s="14">
        <v>3.95</v>
      </c>
      <c r="C33" s="2" t="s">
        <v>64</v>
      </c>
      <c r="D33" s="14" t="s">
        <v>44</v>
      </c>
      <c r="E33" s="2" t="s">
        <v>45</v>
      </c>
      <c r="F33" s="13">
        <v>2.49</v>
      </c>
      <c r="G33" s="28"/>
      <c r="H33" s="74"/>
      <c r="I33" s="13"/>
      <c r="J33" s="15"/>
      <c r="K33" s="15"/>
      <c r="L33" s="28"/>
      <c r="M33" s="15"/>
      <c r="N33" s="15"/>
      <c r="O33" s="15"/>
      <c r="P33" s="15"/>
      <c r="Q33" s="13"/>
      <c r="R33" s="15"/>
      <c r="S33" s="15"/>
      <c r="T33" s="28"/>
      <c r="U33" s="15"/>
      <c r="V33" s="15"/>
      <c r="W33" s="15"/>
      <c r="X33" s="15"/>
      <c r="Y33" s="13"/>
      <c r="Z33" s="15">
        <f>Y33-U33</f>
        <v>0</v>
      </c>
      <c r="AA33" s="34">
        <f>Z33*$F$8</f>
        <v>0</v>
      </c>
      <c r="AB33" s="28"/>
      <c r="AC33" s="15"/>
      <c r="AD33" s="15">
        <f t="shared" ref="AD33:AD34" si="75">AC33-Y33</f>
        <v>0</v>
      </c>
      <c r="AE33" s="34">
        <f>AD33*$F$8</f>
        <v>0</v>
      </c>
      <c r="AF33" s="15"/>
      <c r="AG33" s="13"/>
      <c r="AH33" s="15">
        <f t="shared" ref="AH33:AH34" si="76">AG33-AC33</f>
        <v>0</v>
      </c>
      <c r="AI33" s="34">
        <f>AH33*$F$8</f>
        <v>0</v>
      </c>
      <c r="AJ33" s="28"/>
      <c r="AK33" s="13"/>
      <c r="AL33" s="37">
        <f t="shared" ref="AL33:AL34" si="77">AK33-AG33</f>
        <v>0</v>
      </c>
      <c r="AM33" s="34">
        <f>AL33*$F$8</f>
        <v>0</v>
      </c>
      <c r="AN33" s="28"/>
      <c r="AO33" s="13"/>
      <c r="AP33" s="15"/>
      <c r="AQ33" s="34">
        <f>AP33*$F$8</f>
        <v>0</v>
      </c>
      <c r="AR33" s="28"/>
      <c r="AS33" s="15"/>
      <c r="AT33" s="15"/>
      <c r="AU33" s="34">
        <f>AT33*$F$8</f>
        <v>0</v>
      </c>
      <c r="AV33" s="15"/>
      <c r="AW33" s="13"/>
      <c r="AX33" s="15"/>
      <c r="AY33" s="34">
        <f>AX33*$F$8</f>
        <v>0</v>
      </c>
      <c r="AZ33" s="28"/>
      <c r="BA33" s="15"/>
      <c r="BB33" s="15"/>
      <c r="BC33" s="34">
        <f>BB33*$F$8</f>
        <v>0</v>
      </c>
      <c r="BD33" s="15"/>
      <c r="BE33" s="40">
        <f t="shared" ref="BE33:BG33" si="78">J33+N33+R33+V33+Z33+AD33+AH33+AL33+AP33+AT33+AX33+BB33</f>
        <v>0</v>
      </c>
      <c r="BF33" s="41">
        <f t="shared" si="78"/>
        <v>0</v>
      </c>
      <c r="BG33" s="34">
        <f t="shared" si="78"/>
        <v>0</v>
      </c>
      <c r="BH33" s="35">
        <f t="shared" ref="BH33:BH38" si="79">H33+BF33-BG33</f>
        <v>0</v>
      </c>
    </row>
    <row r="34" ht="15.75" customHeight="1" hidden="1" spans="1:60" x14ac:dyDescent="0.25">
      <c r="A34" s="29">
        <v>4</v>
      </c>
      <c r="B34" s="14"/>
      <c r="C34" s="2" t="s">
        <v>65</v>
      </c>
      <c r="D34" s="14" t="s">
        <v>47</v>
      </c>
      <c r="E34" s="2" t="s">
        <v>48</v>
      </c>
      <c r="F34" s="13">
        <v>17.16</v>
      </c>
      <c r="G34" s="28"/>
      <c r="H34" s="15"/>
      <c r="I34" s="13"/>
      <c r="J34" s="15"/>
      <c r="K34" s="15"/>
      <c r="L34" s="28"/>
      <c r="M34" s="15"/>
      <c r="N34" s="15"/>
      <c r="O34" s="15"/>
      <c r="P34" s="15"/>
      <c r="Q34" s="13"/>
      <c r="R34" s="15"/>
      <c r="S34" s="15"/>
      <c r="T34" s="28"/>
      <c r="U34" s="15"/>
      <c r="V34" s="15"/>
      <c r="W34" s="15"/>
      <c r="X34" s="15"/>
      <c r="Y34" s="13">
        <v>13</v>
      </c>
      <c r="Z34" s="15"/>
      <c r="AA34" s="15"/>
      <c r="AB34" s="28"/>
      <c r="AC34" s="15">
        <v>13</v>
      </c>
      <c r="AD34" s="15">
        <f t="shared" si="75"/>
        <v>0</v>
      </c>
      <c r="AE34" s="34">
        <f>AD34*$F$10</f>
        <v>0</v>
      </c>
      <c r="AF34" s="15"/>
      <c r="AG34" s="13">
        <v>18</v>
      </c>
      <c r="AH34" s="15">
        <f t="shared" si="76"/>
        <v>5</v>
      </c>
      <c r="AI34" s="45">
        <f>AH34*$G$10</f>
        <v>88.4</v>
      </c>
      <c r="AJ34" s="38">
        <v>100</v>
      </c>
      <c r="AK34" s="13">
        <v>18</v>
      </c>
      <c r="AL34" s="37">
        <f t="shared" si="77"/>
        <v>0</v>
      </c>
      <c r="AM34" s="45">
        <f>AL34*$G$10</f>
        <v>0</v>
      </c>
      <c r="AN34" s="28"/>
      <c r="AO34" s="13">
        <v>21</v>
      </c>
      <c r="AP34" s="15">
        <f>AO34-AK34</f>
        <v>3</v>
      </c>
      <c r="AQ34" s="45">
        <f>AP34*$G$10</f>
        <v>53.04</v>
      </c>
      <c r="AR34" s="32">
        <v>41.44</v>
      </c>
      <c r="AS34" s="15"/>
      <c r="AT34" s="15"/>
      <c r="AU34" s="15"/>
      <c r="AV34" s="15"/>
      <c r="AW34" s="13"/>
      <c r="AX34" s="15"/>
      <c r="AY34" s="15"/>
      <c r="AZ34" s="28"/>
      <c r="BA34" s="15"/>
      <c r="BB34" s="15"/>
      <c r="BC34" s="15"/>
      <c r="BD34" s="15"/>
      <c r="BE34" s="40">
        <f t="shared" ref="BE34:BG34" si="80">J34+N34+R34+V34+Z34+AD34+AH34+AL34+AP34+AT34+AX34+BB34</f>
        <v>8</v>
      </c>
      <c r="BF34" s="41">
        <f t="shared" si="80"/>
        <v>141.44</v>
      </c>
      <c r="BG34" s="34">
        <f t="shared" si="80"/>
        <v>141.44</v>
      </c>
      <c r="BH34" s="35">
        <f t="shared" si="79"/>
        <v>0</v>
      </c>
    </row>
    <row r="35" ht="15.75" customHeight="1" hidden="1" spans="1:60" x14ac:dyDescent="0.25">
      <c r="A35" s="29">
        <v>4</v>
      </c>
      <c r="B35" s="14"/>
      <c r="C35" s="2" t="s">
        <v>58</v>
      </c>
      <c r="D35" s="14" t="s">
        <v>47</v>
      </c>
      <c r="E35" s="2" t="s">
        <v>49</v>
      </c>
      <c r="F35" s="41">
        <v>300</v>
      </c>
      <c r="G35" s="35"/>
      <c r="I35" s="13"/>
      <c r="J35" s="15"/>
      <c r="K35" s="15"/>
      <c r="L35" s="28"/>
      <c r="M35" s="15"/>
      <c r="N35" s="15"/>
      <c r="O35" s="15"/>
      <c r="P35" s="15"/>
      <c r="Q35" s="13"/>
      <c r="R35" s="15"/>
      <c r="S35" s="15"/>
      <c r="T35" s="28"/>
      <c r="U35" s="15"/>
      <c r="V35" s="15"/>
      <c r="W35" s="15"/>
      <c r="X35" s="15"/>
      <c r="Y35" s="13"/>
      <c r="Z35" s="15"/>
      <c r="AA35" s="15"/>
      <c r="AB35" s="28"/>
      <c r="AC35" s="15"/>
      <c r="AD35" s="15"/>
      <c r="AE35" s="34"/>
      <c r="AF35" s="15"/>
      <c r="AG35" s="13"/>
      <c r="AH35" s="15"/>
      <c r="AI35" s="34"/>
      <c r="AJ35" s="28"/>
      <c r="AK35" s="13"/>
      <c r="AL35" s="15"/>
      <c r="AM35" s="34"/>
      <c r="AN35" s="28"/>
      <c r="AO35" s="13"/>
      <c r="AP35" s="15"/>
      <c r="AQ35" s="34"/>
      <c r="AR35" s="28"/>
      <c r="AS35" s="15"/>
      <c r="AT35" s="15"/>
      <c r="AU35" s="15"/>
      <c r="AV35" s="15"/>
      <c r="AW35" s="13"/>
      <c r="AX35" s="15"/>
      <c r="AY35" s="15"/>
      <c r="AZ35" s="28"/>
      <c r="BA35" s="15"/>
      <c r="BB35" s="15"/>
      <c r="BC35" s="15"/>
      <c r="BD35" s="15"/>
      <c r="BE35" s="14"/>
      <c r="BF35" s="41">
        <f t="shared" ref="BF35:BG35" si="81">K35+O35+S35+W35+AA35+AE35+AI35+AM35+AQ35+AU35+AY35+BC35</f>
        <v>0</v>
      </c>
      <c r="BG35" s="34">
        <f t="shared" si="81"/>
        <v>0</v>
      </c>
      <c r="BH35" s="35">
        <f t="shared" si="79"/>
        <v>0</v>
      </c>
    </row>
    <row r="36" ht="15.75" customHeight="1" hidden="1" spans="1:60" x14ac:dyDescent="0.25">
      <c r="A36" s="29">
        <v>4</v>
      </c>
      <c r="B36" s="14"/>
      <c r="C36" s="73"/>
      <c r="D36" s="14" t="s">
        <v>50</v>
      </c>
      <c r="E36" s="2" t="s">
        <v>49</v>
      </c>
      <c r="F36" s="41">
        <v>1062.88</v>
      </c>
      <c r="G36" s="35"/>
      <c r="I36" s="13"/>
      <c r="J36" s="15"/>
      <c r="K36" s="15"/>
      <c r="L36" s="28"/>
      <c r="M36" s="15"/>
      <c r="N36" s="15"/>
      <c r="O36" s="15"/>
      <c r="P36" s="15"/>
      <c r="Q36" s="13"/>
      <c r="R36" s="15"/>
      <c r="S36" s="15"/>
      <c r="T36" s="28"/>
      <c r="U36" s="15"/>
      <c r="V36" s="15"/>
      <c r="W36" s="15"/>
      <c r="X36" s="15"/>
      <c r="Y36" s="13"/>
      <c r="Z36" s="15"/>
      <c r="AA36" s="15"/>
      <c r="AB36" s="28"/>
      <c r="AC36" s="15"/>
      <c r="AD36" s="15"/>
      <c r="AE36" s="34">
        <f>B33*$F$12</f>
        <v>4198.376</v>
      </c>
      <c r="AF36" s="15">
        <v>4198.37</v>
      </c>
      <c r="AG36" s="13"/>
      <c r="AH36" s="15"/>
      <c r="AI36" s="15"/>
      <c r="AJ36" s="28"/>
      <c r="AK36" s="13"/>
      <c r="AL36" s="15"/>
      <c r="AM36" s="15"/>
      <c r="AN36" s="28"/>
      <c r="AO36" s="13"/>
      <c r="AP36" s="15"/>
      <c r="AQ36" s="15"/>
      <c r="AR36" s="28"/>
      <c r="AS36" s="15"/>
      <c r="AT36" s="15"/>
      <c r="AU36" s="15"/>
      <c r="AV36" s="15"/>
      <c r="AW36" s="13"/>
      <c r="AX36" s="15"/>
      <c r="AY36" s="15"/>
      <c r="AZ36" s="28"/>
      <c r="BA36" s="15"/>
      <c r="BB36" s="15"/>
      <c r="BC36" s="15"/>
      <c r="BD36" s="15"/>
      <c r="BE36" s="14"/>
      <c r="BF36" s="41">
        <f>B33*$F$12</f>
        <v>4198.376</v>
      </c>
      <c r="BG36" s="34">
        <f t="shared" ref="BG36:BG38" si="82">L36+P36+T36+X36+AB36+AF36+AJ36+AN36+AR36+AV36+AZ36+BD36</f>
        <v>4198.37</v>
      </c>
      <c r="BH36" s="35">
        <f t="shared" si="79"/>
        <v>0.006</v>
      </c>
    </row>
    <row r="37" ht="15.75" customHeight="1" hidden="1" spans="1:60" x14ac:dyDescent="0.25">
      <c r="A37" s="29">
        <v>4</v>
      </c>
      <c r="B37" s="14"/>
      <c r="D37" s="14" t="s">
        <v>51</v>
      </c>
      <c r="E37" s="2" t="s">
        <v>49</v>
      </c>
      <c r="F37" s="41">
        <v>0</v>
      </c>
      <c r="G37" s="35"/>
      <c r="I37" s="13"/>
      <c r="J37" s="15"/>
      <c r="K37" s="15"/>
      <c r="L37" s="28"/>
      <c r="M37" s="15"/>
      <c r="N37" s="15"/>
      <c r="O37" s="15"/>
      <c r="P37" s="15"/>
      <c r="Q37" s="13"/>
      <c r="R37" s="15"/>
      <c r="S37" s="15"/>
      <c r="T37" s="28"/>
      <c r="U37" s="15"/>
      <c r="V37" s="15"/>
      <c r="W37" s="15"/>
      <c r="X37" s="15"/>
      <c r="Y37" s="13"/>
      <c r="Z37" s="15"/>
      <c r="AA37" s="15"/>
      <c r="AB37" s="28"/>
      <c r="AC37" s="15"/>
      <c r="AD37" s="15"/>
      <c r="AE37" s="15"/>
      <c r="AF37" s="15"/>
      <c r="AG37" s="13"/>
      <c r="AH37" s="15"/>
      <c r="AI37" s="15"/>
      <c r="AJ37" s="28"/>
      <c r="AK37" s="13"/>
      <c r="AL37" s="15"/>
      <c r="AM37" s="15"/>
      <c r="AN37" s="28"/>
      <c r="AO37" s="13"/>
      <c r="AP37" s="15"/>
      <c r="AQ37" s="15"/>
      <c r="AR37" s="28"/>
      <c r="AS37" s="15"/>
      <c r="AT37" s="15"/>
      <c r="AU37" s="15"/>
      <c r="AV37" s="15"/>
      <c r="AW37" s="13"/>
      <c r="AX37" s="15"/>
      <c r="AY37" s="15"/>
      <c r="AZ37" s="28"/>
      <c r="BA37" s="15"/>
      <c r="BB37" s="15"/>
      <c r="BC37" s="15"/>
      <c r="BD37" s="15"/>
      <c r="BE37" s="14"/>
      <c r="BF37" s="41">
        <f>B33*$F$13</f>
        <v>0</v>
      </c>
      <c r="BG37" s="34">
        <f t="shared" si="82"/>
        <v>0</v>
      </c>
      <c r="BH37" s="35">
        <f t="shared" si="79"/>
        <v>0</v>
      </c>
    </row>
    <row r="38" ht="15.75" customHeight="1" hidden="1" spans="1:60" x14ac:dyDescent="0.25">
      <c r="A38" s="29">
        <v>4</v>
      </c>
      <c r="B38" s="14"/>
      <c r="D38" s="14" t="s">
        <v>52</v>
      </c>
      <c r="E38" s="2" t="s">
        <v>39</v>
      </c>
      <c r="F38" s="41">
        <v>350</v>
      </c>
      <c r="G38" s="35"/>
      <c r="I38" s="13"/>
      <c r="J38" s="15"/>
      <c r="K38" s="15"/>
      <c r="L38" s="28"/>
      <c r="M38" s="15"/>
      <c r="N38" s="15"/>
      <c r="O38" s="15"/>
      <c r="P38" s="15"/>
      <c r="Q38" s="13"/>
      <c r="R38" s="15"/>
      <c r="S38" s="15"/>
      <c r="T38" s="28"/>
      <c r="U38" s="15"/>
      <c r="V38" s="15"/>
      <c r="W38" s="15"/>
      <c r="X38" s="15"/>
      <c r="Y38" s="13"/>
      <c r="Z38" s="15"/>
      <c r="AA38" s="34">
        <f>$F$14</f>
        <v>350</v>
      </c>
      <c r="AB38" s="35">
        <v>350</v>
      </c>
      <c r="AC38" s="15"/>
      <c r="AD38" s="15"/>
      <c r="AE38" s="15"/>
      <c r="AF38" s="15"/>
      <c r="AG38" s="13"/>
      <c r="AH38" s="15"/>
      <c r="AI38" s="15"/>
      <c r="AJ38" s="28"/>
      <c r="AK38" s="13"/>
      <c r="AL38" s="15"/>
      <c r="AM38" s="15"/>
      <c r="AN38" s="28"/>
      <c r="AO38" s="13"/>
      <c r="AP38" s="15"/>
      <c r="AQ38" s="15"/>
      <c r="AR38" s="28"/>
      <c r="AS38" s="15"/>
      <c r="AT38" s="15"/>
      <c r="AU38" s="15"/>
      <c r="AV38" s="15"/>
      <c r="AW38" s="13"/>
      <c r="AX38" s="15"/>
      <c r="AY38" s="15"/>
      <c r="AZ38" s="28"/>
      <c r="BA38" s="15"/>
      <c r="BB38" s="15"/>
      <c r="BC38" s="15"/>
      <c r="BD38" s="15"/>
      <c r="BE38" s="14"/>
      <c r="BF38" s="41">
        <f>$F$14</f>
        <v>350</v>
      </c>
      <c r="BG38" s="34">
        <f t="shared" si="82"/>
        <v>350</v>
      </c>
      <c r="BH38" s="35">
        <f t="shared" si="79"/>
        <v>0</v>
      </c>
    </row>
    <row r="39" ht="15.75" customHeight="1" hidden="1" spans="1:62" x14ac:dyDescent="0.25">
      <c r="A39" s="50">
        <v>4</v>
      </c>
      <c r="B39" s="21"/>
      <c r="C39" s="22" t="s">
        <v>53</v>
      </c>
      <c r="D39" s="21"/>
      <c r="E39" s="22"/>
      <c r="F39" s="20"/>
      <c r="G39" s="23"/>
      <c r="H39" s="51">
        <f>SUM(H32:H38)</f>
        <v>0</v>
      </c>
      <c r="I39" s="52"/>
      <c r="J39" s="53"/>
      <c r="K39" s="51">
        <f t="shared" ref="K39:L39" si="83">SUM(K33:K38)</f>
        <v>0</v>
      </c>
      <c r="L39" s="68">
        <f t="shared" si="83"/>
        <v>0</v>
      </c>
      <c r="M39" s="53"/>
      <c r="N39" s="53"/>
      <c r="O39" s="51">
        <f t="shared" ref="O39:P39" si="84">SUM(O33:O38)</f>
        <v>0</v>
      </c>
      <c r="P39" s="51">
        <f t="shared" si="84"/>
        <v>0</v>
      </c>
      <c r="Q39" s="52"/>
      <c r="R39" s="53"/>
      <c r="S39" s="51">
        <f t="shared" ref="S39:T39" si="85">SUM(S33:S38)</f>
        <v>0</v>
      </c>
      <c r="T39" s="68">
        <f t="shared" si="85"/>
        <v>0</v>
      </c>
      <c r="U39" s="53"/>
      <c r="V39" s="53"/>
      <c r="W39" s="51">
        <f t="shared" ref="W39:X39" si="86">SUM(W33:W38)</f>
        <v>0</v>
      </c>
      <c r="X39" s="51">
        <f t="shared" si="86"/>
        <v>0</v>
      </c>
      <c r="Y39" s="52"/>
      <c r="Z39" s="53"/>
      <c r="AA39" s="51">
        <f t="shared" ref="AA39:AB39" si="87">SUM(AA33:AA38)</f>
        <v>350</v>
      </c>
      <c r="AB39" s="68">
        <f t="shared" si="87"/>
        <v>350</v>
      </c>
      <c r="AC39" s="53"/>
      <c r="AD39" s="53"/>
      <c r="AE39" s="51">
        <f t="shared" ref="AE39:AF39" si="88">SUM(AE33:AE38)</f>
        <v>4198.376</v>
      </c>
      <c r="AF39" s="51">
        <f t="shared" si="88"/>
        <v>4198.37</v>
      </c>
      <c r="AG39" s="52"/>
      <c r="AH39" s="53"/>
      <c r="AI39" s="51">
        <f t="shared" ref="AI39:AJ39" si="89">SUM(AI33:AI38)</f>
        <v>88.4</v>
      </c>
      <c r="AJ39" s="68">
        <f t="shared" si="89"/>
        <v>100</v>
      </c>
      <c r="AK39" s="52"/>
      <c r="AL39" s="53"/>
      <c r="AM39" s="51">
        <f t="shared" ref="AM39:AN39" si="90">SUM(AM33:AM38)</f>
        <v>0</v>
      </c>
      <c r="AN39" s="68">
        <f t="shared" si="90"/>
        <v>0</v>
      </c>
      <c r="AO39" s="52"/>
      <c r="AP39" s="53"/>
      <c r="AQ39" s="51">
        <f t="shared" ref="AQ39:AR39" si="91">SUM(AQ33:AQ38)</f>
        <v>53.04</v>
      </c>
      <c r="AR39" s="68">
        <f t="shared" si="91"/>
        <v>41.44</v>
      </c>
      <c r="AS39" s="53"/>
      <c r="AT39" s="53"/>
      <c r="AU39" s="51">
        <f t="shared" ref="AU39:AV39" si="92">SUM(AU33:AU38)</f>
        <v>0</v>
      </c>
      <c r="AV39" s="51">
        <f t="shared" si="92"/>
        <v>0</v>
      </c>
      <c r="AW39" s="52"/>
      <c r="AX39" s="53"/>
      <c r="AY39" s="51">
        <f t="shared" ref="AY39:AZ39" si="93">SUM(AY33:AY38)</f>
        <v>0</v>
      </c>
      <c r="AZ39" s="68">
        <f t="shared" si="93"/>
        <v>0</v>
      </c>
      <c r="BA39" s="53"/>
      <c r="BB39" s="53"/>
      <c r="BC39" s="51">
        <f t="shared" ref="BC39:BD39" si="94">SUM(BC33:BC38)</f>
        <v>0</v>
      </c>
      <c r="BD39" s="51">
        <f t="shared" si="94"/>
        <v>0</v>
      </c>
      <c r="BE39" s="69"/>
      <c r="BF39" s="70">
        <f t="shared" ref="BF39:BH39" si="95">SUM(BF32:BF38)</f>
        <v>4689.816</v>
      </c>
      <c r="BG39" s="71">
        <f t="shared" si="95"/>
        <v>4689.81</v>
      </c>
      <c r="BH39" s="72">
        <f t="shared" si="95"/>
        <v>0.006</v>
      </c>
      <c r="BI39" s="34">
        <f>H39+BF39-BG39</f>
        <v>0.006</v>
      </c>
      <c r="BJ39" s="34">
        <f>BH39-BI39</f>
        <v>0</v>
      </c>
    </row>
    <row r="40" ht="15.75" customHeight="1" hidden="1" spans="1:60" x14ac:dyDescent="0.25">
      <c r="A40" s="29">
        <v>5</v>
      </c>
      <c r="B40" s="14"/>
      <c r="D40" s="14" t="s">
        <v>42</v>
      </c>
      <c r="F40" s="13"/>
      <c r="G40" s="28"/>
      <c r="I40" s="13"/>
      <c r="J40" s="15"/>
      <c r="K40" s="15"/>
      <c r="L40" s="28"/>
      <c r="M40" s="15"/>
      <c r="N40" s="15"/>
      <c r="O40" s="15"/>
      <c r="P40" s="15"/>
      <c r="Q40" s="13"/>
      <c r="R40" s="15"/>
      <c r="S40" s="15"/>
      <c r="T40" s="28"/>
      <c r="U40" s="15"/>
      <c r="V40" s="15"/>
      <c r="W40" s="15"/>
      <c r="X40" s="15"/>
      <c r="Y40" s="13"/>
      <c r="Z40" s="15"/>
      <c r="AA40" s="15"/>
      <c r="AB40" s="28"/>
      <c r="AC40" s="15"/>
      <c r="AD40" s="15"/>
      <c r="AE40" s="15"/>
      <c r="AF40" s="15"/>
      <c r="AG40" s="13"/>
      <c r="AH40" s="15"/>
      <c r="AI40" s="15"/>
      <c r="AJ40" s="28"/>
      <c r="AK40" s="13"/>
      <c r="AL40" s="15"/>
      <c r="AM40" s="15"/>
      <c r="AN40" s="28"/>
      <c r="AO40" s="13"/>
      <c r="AP40" s="15"/>
      <c r="AQ40" s="15"/>
      <c r="AR40" s="28"/>
      <c r="AS40" s="15"/>
      <c r="AT40" s="15"/>
      <c r="AU40" s="15"/>
      <c r="AV40" s="15"/>
      <c r="AW40" s="13"/>
      <c r="AX40" s="15"/>
      <c r="AY40" s="15"/>
      <c r="AZ40" s="28"/>
      <c r="BA40" s="15"/>
      <c r="BB40" s="15"/>
      <c r="BC40" s="15"/>
      <c r="BD40" s="15"/>
      <c r="BE40" s="14"/>
      <c r="BF40" s="13"/>
      <c r="BG40" s="15"/>
      <c r="BH40" s="28"/>
    </row>
    <row r="41" ht="15.75" customHeight="1" hidden="1" spans="1:60" x14ac:dyDescent="0.25">
      <c r="A41" s="2">
        <v>5</v>
      </c>
      <c r="B41" s="14">
        <v>5.08</v>
      </c>
      <c r="C41" s="2" t="s">
        <v>66</v>
      </c>
      <c r="D41" s="14" t="s">
        <v>44</v>
      </c>
      <c r="E41" s="2" t="s">
        <v>45</v>
      </c>
      <c r="F41" s="13">
        <v>2.49</v>
      </c>
      <c r="G41" s="28"/>
      <c r="H41" s="2">
        <v>73.41</v>
      </c>
      <c r="I41" s="13">
        <v>90</v>
      </c>
      <c r="J41" s="15">
        <v>0</v>
      </c>
      <c r="K41" s="34">
        <f>J41*$F$8</f>
        <v>0</v>
      </c>
      <c r="L41" s="28"/>
      <c r="M41" s="15">
        <v>90</v>
      </c>
      <c r="N41" s="15">
        <f>M41-I41</f>
        <v>0</v>
      </c>
      <c r="O41" s="34">
        <f>N41*$F$8</f>
        <v>0</v>
      </c>
      <c r="P41" s="15"/>
      <c r="Q41" s="13">
        <v>90</v>
      </c>
      <c r="R41" s="15">
        <f>Q41-M41</f>
        <v>0</v>
      </c>
      <c r="S41" s="34">
        <f>R41*$F$8</f>
        <v>0</v>
      </c>
      <c r="T41" s="28"/>
      <c r="U41" s="15">
        <v>90</v>
      </c>
      <c r="V41" s="15">
        <f>U41-Q41</f>
        <v>0</v>
      </c>
      <c r="W41" s="34">
        <f>V41*$F$8</f>
        <v>0</v>
      </c>
      <c r="X41" s="15"/>
      <c r="Y41" s="13">
        <v>91</v>
      </c>
      <c r="Z41" s="15">
        <f>Y41-U41</f>
        <v>1</v>
      </c>
      <c r="AA41" s="34">
        <f>Z41*$F$8</f>
        <v>2.49</v>
      </c>
      <c r="AB41" s="28"/>
      <c r="AC41" s="15">
        <v>92</v>
      </c>
      <c r="AD41" s="15">
        <f t="shared" ref="AD41:AD42" si="96">AC41-Y41</f>
        <v>1</v>
      </c>
      <c r="AE41" s="34">
        <f>AD41*$F$8</f>
        <v>2.49</v>
      </c>
      <c r="AF41" s="15"/>
      <c r="AG41" s="13">
        <v>92</v>
      </c>
      <c r="AH41" s="15">
        <f t="shared" ref="AH41:AH42" si="97">AG41-AC41</f>
        <v>0</v>
      </c>
      <c r="AI41" s="34">
        <f>AH41*$F$8</f>
        <v>0</v>
      </c>
      <c r="AJ41" s="32">
        <v>178.39</v>
      </c>
      <c r="AK41" s="13">
        <v>92</v>
      </c>
      <c r="AL41" s="15">
        <f t="shared" ref="AL41:AL42" si="98">AK41-AG41</f>
        <v>0</v>
      </c>
      <c r="AM41" s="34">
        <f>AL41*$F$8</f>
        <v>0</v>
      </c>
      <c r="AN41" s="28"/>
      <c r="AO41" s="13">
        <v>93</v>
      </c>
      <c r="AP41" s="15">
        <f t="shared" ref="AP41:AP42" si="99">AO41-AK41</f>
        <v>1</v>
      </c>
      <c r="AQ41" s="34">
        <f>AP41*$F$8</f>
        <v>2.49</v>
      </c>
      <c r="AR41" s="28"/>
      <c r="AS41" s="15">
        <v>93</v>
      </c>
      <c r="AT41" s="37">
        <f>AS41-AO41</f>
        <v>0</v>
      </c>
      <c r="AU41" s="34">
        <f>AT41*$F$8</f>
        <v>0</v>
      </c>
      <c r="AV41" s="15"/>
      <c r="AW41" s="13">
        <v>93</v>
      </c>
      <c r="AX41" s="37">
        <f>AW41-AS41</f>
        <v>0</v>
      </c>
      <c r="AY41" s="34">
        <f>AX41*$F$8</f>
        <v>0</v>
      </c>
      <c r="AZ41" s="28"/>
      <c r="BA41" s="15">
        <v>93</v>
      </c>
      <c r="BB41" s="37">
        <f>BA41-AW41</f>
        <v>0</v>
      </c>
      <c r="BC41" s="34">
        <f>BB41*$F$8</f>
        <v>0</v>
      </c>
      <c r="BD41" s="15"/>
      <c r="BE41" s="40">
        <f t="shared" ref="BE41:BG41" si="100">J41+N41+R41+V41+Z41+AD41+AH41+AL41+AP41+AT41+AX41+BB41</f>
        <v>3</v>
      </c>
      <c r="BF41" s="41">
        <f t="shared" si="100"/>
        <v>7.47</v>
      </c>
      <c r="BG41" s="34">
        <f t="shared" si="100"/>
        <v>178.39</v>
      </c>
      <c r="BH41" s="35">
        <f t="shared" ref="BH41:BH46" si="101">H41+BF41-BG41</f>
        <v>-97.51</v>
      </c>
    </row>
    <row r="42" ht="15.75" customHeight="1" hidden="1" spans="1:60" x14ac:dyDescent="0.25">
      <c r="A42" s="29">
        <v>5</v>
      </c>
      <c r="B42" s="14"/>
      <c r="C42" s="2" t="s">
        <v>67</v>
      </c>
      <c r="D42" s="14" t="s">
        <v>47</v>
      </c>
      <c r="E42" s="2" t="s">
        <v>48</v>
      </c>
      <c r="F42" s="13">
        <v>17.16</v>
      </c>
      <c r="G42" s="28"/>
      <c r="H42" s="73">
        <v>-5.04</v>
      </c>
      <c r="I42" s="13"/>
      <c r="J42" s="15"/>
      <c r="K42" s="15"/>
      <c r="L42" s="28"/>
      <c r="M42" s="15"/>
      <c r="N42" s="15"/>
      <c r="O42" s="15"/>
      <c r="P42" s="15"/>
      <c r="Q42" s="13"/>
      <c r="R42" s="15"/>
      <c r="S42" s="15"/>
      <c r="T42" s="28"/>
      <c r="U42" s="15"/>
      <c r="V42" s="15"/>
      <c r="W42" s="15"/>
      <c r="X42" s="15"/>
      <c r="Y42" s="13">
        <v>101</v>
      </c>
      <c r="Z42" s="15"/>
      <c r="AA42" s="15"/>
      <c r="AB42" s="28"/>
      <c r="AC42" s="15">
        <v>112</v>
      </c>
      <c r="AD42" s="15">
        <f t="shared" si="96"/>
        <v>11</v>
      </c>
      <c r="AE42" s="34">
        <f>AD42*$F$10</f>
        <v>188.76</v>
      </c>
      <c r="AF42" s="15"/>
      <c r="AG42" s="13">
        <v>112</v>
      </c>
      <c r="AH42" s="15">
        <f t="shared" si="97"/>
        <v>0</v>
      </c>
      <c r="AI42" s="45">
        <f>AH42*$G$10</f>
        <v>0</v>
      </c>
      <c r="AJ42" s="32">
        <f>188.76+100</f>
        <v>288.76</v>
      </c>
      <c r="AK42" s="13">
        <v>112</v>
      </c>
      <c r="AL42" s="15">
        <f t="shared" si="98"/>
        <v>0</v>
      </c>
      <c r="AM42" s="45">
        <f>AL42*$G$10</f>
        <v>0</v>
      </c>
      <c r="AN42" s="28"/>
      <c r="AO42" s="13">
        <v>115</v>
      </c>
      <c r="AP42" s="15">
        <f t="shared" si="99"/>
        <v>3</v>
      </c>
      <c r="AQ42" s="45">
        <f>AP42*$G$10</f>
        <v>53.04</v>
      </c>
      <c r="AR42" s="28"/>
      <c r="AS42" s="15"/>
      <c r="AT42" s="15"/>
      <c r="AU42" s="15"/>
      <c r="AV42" s="15"/>
      <c r="AW42" s="13"/>
      <c r="AX42" s="15"/>
      <c r="AY42" s="15"/>
      <c r="AZ42" s="28"/>
      <c r="BA42" s="15"/>
      <c r="BB42" s="15"/>
      <c r="BC42" s="15"/>
      <c r="BD42" s="15"/>
      <c r="BE42" s="40">
        <f t="shared" ref="BE42:BG42" si="102">J42+N42+R42+V42+Z42+AD42+AH42+AL42+AP42+AT42+AX42+BB42</f>
        <v>14</v>
      </c>
      <c r="BF42" s="41">
        <f t="shared" si="102"/>
        <v>241.8</v>
      </c>
      <c r="BG42" s="34">
        <f t="shared" si="102"/>
        <v>288.76</v>
      </c>
      <c r="BH42" s="35">
        <f t="shared" si="101"/>
        <v>-52</v>
      </c>
    </row>
    <row r="43" ht="15.75" customHeight="1" hidden="1" spans="1:60" x14ac:dyDescent="0.25">
      <c r="A43" s="29">
        <v>5</v>
      </c>
      <c r="B43" s="14"/>
      <c r="C43" s="2" t="s">
        <v>68</v>
      </c>
      <c r="D43" s="14" t="s">
        <v>47</v>
      </c>
      <c r="E43" s="2" t="s">
        <v>49</v>
      </c>
      <c r="F43" s="41">
        <v>300</v>
      </c>
      <c r="G43" s="35"/>
      <c r="I43" s="13"/>
      <c r="J43" s="15"/>
      <c r="K43" s="15"/>
      <c r="L43" s="28"/>
      <c r="M43" s="15"/>
      <c r="N43" s="15"/>
      <c r="O43" s="15"/>
      <c r="P43" s="15"/>
      <c r="Q43" s="13"/>
      <c r="R43" s="15"/>
      <c r="S43" s="15"/>
      <c r="T43" s="28"/>
      <c r="U43" s="15"/>
      <c r="V43" s="15"/>
      <c r="W43" s="15"/>
      <c r="X43" s="15"/>
      <c r="Y43" s="13"/>
      <c r="Z43" s="15"/>
      <c r="AA43" s="15"/>
      <c r="AB43" s="28"/>
      <c r="AC43" s="15"/>
      <c r="AD43" s="15"/>
      <c r="AE43" s="34"/>
      <c r="AF43" s="15"/>
      <c r="AG43" s="13"/>
      <c r="AH43" s="15"/>
      <c r="AI43" s="34"/>
      <c r="AJ43" s="28"/>
      <c r="AK43" s="13"/>
      <c r="AL43" s="15"/>
      <c r="AM43" s="34"/>
      <c r="AN43" s="28"/>
      <c r="AO43" s="13"/>
      <c r="AP43" s="15"/>
      <c r="AQ43" s="34"/>
      <c r="AR43" s="28"/>
      <c r="AS43" s="15"/>
      <c r="AT43" s="15"/>
      <c r="AU43" s="15"/>
      <c r="AV43" s="15"/>
      <c r="AW43" s="13"/>
      <c r="AX43" s="15"/>
      <c r="AY43" s="15"/>
      <c r="AZ43" s="28"/>
      <c r="BA43" s="15"/>
      <c r="BB43" s="15"/>
      <c r="BC43" s="15"/>
      <c r="BD43" s="15"/>
      <c r="BE43" s="14"/>
      <c r="BF43" s="41">
        <f t="shared" ref="BF43:BG43" si="103">K43+O43+S43+W43+AA43+AE43+AI43+AM43+AQ43+AU43+AY43+BC43</f>
        <v>0</v>
      </c>
      <c r="BG43" s="34">
        <f t="shared" si="103"/>
        <v>0</v>
      </c>
      <c r="BH43" s="35">
        <f t="shared" si="101"/>
        <v>0</v>
      </c>
    </row>
    <row r="44" ht="15.75" customHeight="1" hidden="1" spans="1:60" x14ac:dyDescent="0.25">
      <c r="A44" s="29">
        <v>5</v>
      </c>
      <c r="B44" s="14"/>
      <c r="C44" s="73" t="s">
        <v>69</v>
      </c>
      <c r="D44" s="14" t="s">
        <v>50</v>
      </c>
      <c r="E44" s="2" t="s">
        <v>49</v>
      </c>
      <c r="F44" s="41">
        <v>1062.88</v>
      </c>
      <c r="G44" s="35"/>
      <c r="I44" s="13"/>
      <c r="J44" s="15"/>
      <c r="K44" s="15"/>
      <c r="L44" s="28"/>
      <c r="M44" s="15"/>
      <c r="N44" s="15"/>
      <c r="O44" s="15"/>
      <c r="P44" s="15"/>
      <c r="Q44" s="13"/>
      <c r="R44" s="15"/>
      <c r="S44" s="15"/>
      <c r="T44" s="28"/>
      <c r="U44" s="15"/>
      <c r="V44" s="15"/>
      <c r="W44" s="15"/>
      <c r="X44" s="15"/>
      <c r="Y44" s="13"/>
      <c r="Z44" s="15"/>
      <c r="AA44" s="15"/>
      <c r="AB44" s="28"/>
      <c r="AC44" s="15"/>
      <c r="AD44" s="15"/>
      <c r="AE44" s="34">
        <f>B41*$F$12</f>
        <v>5399.4304</v>
      </c>
      <c r="AF44" s="15"/>
      <c r="AG44" s="13"/>
      <c r="AH44" s="15"/>
      <c r="AI44" s="15"/>
      <c r="AJ44" s="38">
        <v>5399.43</v>
      </c>
      <c r="AK44" s="13"/>
      <c r="AL44" s="15"/>
      <c r="AM44" s="15"/>
      <c r="AN44" s="28"/>
      <c r="AO44" s="13"/>
      <c r="AP44" s="15"/>
      <c r="AQ44" s="15"/>
      <c r="AR44" s="38"/>
      <c r="AS44" s="15"/>
      <c r="AT44" s="15"/>
      <c r="AU44" s="15"/>
      <c r="AV44" s="15"/>
      <c r="AW44" s="13"/>
      <c r="AX44" s="15"/>
      <c r="AY44" s="15"/>
      <c r="AZ44" s="28"/>
      <c r="BA44" s="15"/>
      <c r="BB44" s="15"/>
      <c r="BC44" s="15"/>
      <c r="BD44" s="15"/>
      <c r="BE44" s="14"/>
      <c r="BF44" s="41">
        <f>B41*$F$12</f>
        <v>5399.4304</v>
      </c>
      <c r="BG44" s="34">
        <f t="shared" ref="BG44:BG46" si="104">L44+P44+T44+X44+AB44+AF44+AJ44+AN44+AR44+AV44+AZ44+BD44</f>
        <v>5399.43</v>
      </c>
      <c r="BH44" s="35">
        <f t="shared" si="101"/>
        <v>0.0003999999999</v>
      </c>
    </row>
    <row r="45" ht="15.75" customHeight="1" hidden="1" spans="1:60" x14ac:dyDescent="0.25">
      <c r="A45" s="29">
        <v>5</v>
      </c>
      <c r="B45" s="14"/>
      <c r="D45" s="14" t="s">
        <v>51</v>
      </c>
      <c r="E45" s="2" t="s">
        <v>49</v>
      </c>
      <c r="F45" s="41">
        <v>0</v>
      </c>
      <c r="G45" s="35"/>
      <c r="H45" s="34">
        <v>1016</v>
      </c>
      <c r="I45" s="13"/>
      <c r="J45" s="15"/>
      <c r="K45" s="15"/>
      <c r="L45" s="28"/>
      <c r="M45" s="15"/>
      <c r="N45" s="15"/>
      <c r="O45" s="15"/>
      <c r="P45" s="15"/>
      <c r="Q45" s="13"/>
      <c r="R45" s="15"/>
      <c r="S45" s="15"/>
      <c r="T45" s="28"/>
      <c r="U45" s="15"/>
      <c r="V45" s="15"/>
      <c r="W45" s="15"/>
      <c r="X45" s="15"/>
      <c r="Y45" s="13"/>
      <c r="Z45" s="15"/>
      <c r="AA45" s="15"/>
      <c r="AB45" s="28"/>
      <c r="AC45" s="15"/>
      <c r="AD45" s="15"/>
      <c r="AE45" s="15"/>
      <c r="AF45" s="15"/>
      <c r="AG45" s="13"/>
      <c r="AH45" s="15"/>
      <c r="AI45" s="15"/>
      <c r="AJ45" s="38">
        <v>1000</v>
      </c>
      <c r="AK45" s="13"/>
      <c r="AL45" s="15"/>
      <c r="AM45" s="15"/>
      <c r="AN45" s="28"/>
      <c r="AO45" s="13"/>
      <c r="AP45" s="15"/>
      <c r="AQ45" s="15"/>
      <c r="AR45" s="38">
        <v>16</v>
      </c>
      <c r="AS45" s="15"/>
      <c r="AT45" s="15"/>
      <c r="AU45" s="15"/>
      <c r="AV45" s="15"/>
      <c r="AW45" s="13"/>
      <c r="AX45" s="15"/>
      <c r="AY45" s="15"/>
      <c r="AZ45" s="28"/>
      <c r="BA45" s="15"/>
      <c r="BB45" s="15"/>
      <c r="BC45" s="15"/>
      <c r="BD45" s="15"/>
      <c r="BE45" s="14"/>
      <c r="BF45" s="41">
        <f>B41*$F$13</f>
        <v>0</v>
      </c>
      <c r="BG45" s="34">
        <f t="shared" si="104"/>
        <v>1016</v>
      </c>
      <c r="BH45" s="35">
        <f t="shared" si="101"/>
        <v>0</v>
      </c>
    </row>
    <row r="46" ht="15.75" customHeight="1" hidden="1" spans="1:60" x14ac:dyDescent="0.25">
      <c r="A46" s="29">
        <v>5</v>
      </c>
      <c r="B46" s="14"/>
      <c r="D46" s="14" t="s">
        <v>52</v>
      </c>
      <c r="E46" s="2" t="s">
        <v>39</v>
      </c>
      <c r="F46" s="41">
        <v>350</v>
      </c>
      <c r="G46" s="35"/>
      <c r="I46" s="13"/>
      <c r="J46" s="15"/>
      <c r="K46" s="15"/>
      <c r="L46" s="28"/>
      <c r="M46" s="15"/>
      <c r="N46" s="15"/>
      <c r="O46" s="15"/>
      <c r="P46" s="15"/>
      <c r="Q46" s="13"/>
      <c r="R46" s="15"/>
      <c r="S46" s="15"/>
      <c r="T46" s="28"/>
      <c r="U46" s="15"/>
      <c r="V46" s="15"/>
      <c r="W46" s="15"/>
      <c r="X46" s="15"/>
      <c r="Y46" s="13"/>
      <c r="Z46" s="15"/>
      <c r="AA46" s="34">
        <f>$F$14</f>
        <v>350</v>
      </c>
      <c r="AB46" s="28"/>
      <c r="AC46" s="15"/>
      <c r="AD46" s="15"/>
      <c r="AE46" s="15"/>
      <c r="AF46" s="15"/>
      <c r="AG46" s="13"/>
      <c r="AH46" s="15"/>
      <c r="AI46" s="15"/>
      <c r="AJ46" s="38">
        <v>350</v>
      </c>
      <c r="AK46" s="13"/>
      <c r="AL46" s="15"/>
      <c r="AM46" s="15"/>
      <c r="AN46" s="28"/>
      <c r="AO46" s="13"/>
      <c r="AP46" s="15"/>
      <c r="AQ46" s="15"/>
      <c r="AR46" s="28"/>
      <c r="AS46" s="15"/>
      <c r="AT46" s="15"/>
      <c r="AU46" s="15"/>
      <c r="AV46" s="15"/>
      <c r="AW46" s="13"/>
      <c r="AX46" s="15"/>
      <c r="AY46" s="15"/>
      <c r="AZ46" s="28"/>
      <c r="BA46" s="15"/>
      <c r="BB46" s="15"/>
      <c r="BC46" s="15"/>
      <c r="BD46" s="15"/>
      <c r="BE46" s="14"/>
      <c r="BF46" s="41">
        <f>$F$14</f>
        <v>350</v>
      </c>
      <c r="BG46" s="34">
        <f t="shared" si="104"/>
        <v>350</v>
      </c>
      <c r="BH46" s="35">
        <f t="shared" si="101"/>
        <v>0</v>
      </c>
    </row>
    <row r="47" ht="15.75" customHeight="1" hidden="1" spans="1:62" x14ac:dyDescent="0.25">
      <c r="A47" s="50">
        <v>5</v>
      </c>
      <c r="B47" s="21"/>
      <c r="C47" s="22" t="s">
        <v>53</v>
      </c>
      <c r="D47" s="21"/>
      <c r="E47" s="22"/>
      <c r="F47" s="20"/>
      <c r="G47" s="23"/>
      <c r="H47" s="51">
        <f>SUM(H40:H46)</f>
        <v>1084.37</v>
      </c>
      <c r="I47" s="52"/>
      <c r="J47" s="53"/>
      <c r="K47" s="51">
        <f t="shared" ref="K47:L47" si="105">SUM(K41:K46)</f>
        <v>0</v>
      </c>
      <c r="L47" s="68">
        <f t="shared" si="105"/>
        <v>0</v>
      </c>
      <c r="M47" s="53"/>
      <c r="N47" s="53"/>
      <c r="O47" s="51">
        <f t="shared" ref="O47:P47" si="106">SUM(O41:O46)</f>
        <v>0</v>
      </c>
      <c r="P47" s="51">
        <f t="shared" si="106"/>
        <v>0</v>
      </c>
      <c r="Q47" s="52"/>
      <c r="R47" s="53"/>
      <c r="S47" s="51">
        <f t="shared" ref="S47:T47" si="107">SUM(S41:S46)</f>
        <v>0</v>
      </c>
      <c r="T47" s="68">
        <f t="shared" si="107"/>
        <v>0</v>
      </c>
      <c r="U47" s="53"/>
      <c r="V47" s="53"/>
      <c r="W47" s="51">
        <f t="shared" ref="W47:X47" si="108">SUM(W41:W46)</f>
        <v>0</v>
      </c>
      <c r="X47" s="51">
        <f t="shared" si="108"/>
        <v>0</v>
      </c>
      <c r="Y47" s="52"/>
      <c r="Z47" s="53"/>
      <c r="AA47" s="51">
        <f t="shared" ref="AA47:AB47" si="109">SUM(AA41:AA46)</f>
        <v>352.49</v>
      </c>
      <c r="AB47" s="68">
        <f t="shared" si="109"/>
        <v>0</v>
      </c>
      <c r="AC47" s="53"/>
      <c r="AD47" s="53"/>
      <c r="AE47" s="51">
        <f t="shared" ref="AE47:AF47" si="110">SUM(AE41:AE46)</f>
        <v>5590.6804</v>
      </c>
      <c r="AF47" s="51">
        <f t="shared" si="110"/>
        <v>0</v>
      </c>
      <c r="AG47" s="52"/>
      <c r="AH47" s="53"/>
      <c r="AI47" s="51">
        <f t="shared" ref="AI47:AJ47" si="111">SUM(AI41:AI46)</f>
        <v>0</v>
      </c>
      <c r="AJ47" s="68">
        <f t="shared" si="111"/>
        <v>7216.58</v>
      </c>
      <c r="AK47" s="52"/>
      <c r="AL47" s="53"/>
      <c r="AM47" s="51">
        <f t="shared" ref="AM47:AN47" si="112">SUM(AM41:AM46)</f>
        <v>0</v>
      </c>
      <c r="AN47" s="68">
        <f t="shared" si="112"/>
        <v>0</v>
      </c>
      <c r="AO47" s="52"/>
      <c r="AP47" s="53"/>
      <c r="AQ47" s="51">
        <f t="shared" ref="AQ47:AR47" si="113">SUM(AQ41:AQ46)</f>
        <v>55.53</v>
      </c>
      <c r="AR47" s="68">
        <f t="shared" si="113"/>
        <v>16</v>
      </c>
      <c r="AS47" s="53"/>
      <c r="AT47" s="53"/>
      <c r="AU47" s="51">
        <f t="shared" ref="AU47:AV47" si="114">SUM(AU41:AU46)</f>
        <v>0</v>
      </c>
      <c r="AV47" s="51">
        <f t="shared" si="114"/>
        <v>0</v>
      </c>
      <c r="AW47" s="52"/>
      <c r="AX47" s="53"/>
      <c r="AY47" s="51">
        <f t="shared" ref="AY47:AZ47" si="115">SUM(AY41:AY46)</f>
        <v>0</v>
      </c>
      <c r="AZ47" s="68">
        <f t="shared" si="115"/>
        <v>0</v>
      </c>
      <c r="BA47" s="53"/>
      <c r="BB47" s="53"/>
      <c r="BC47" s="51">
        <f t="shared" ref="BC47:BD47" si="116">SUM(BC41:BC46)</f>
        <v>0</v>
      </c>
      <c r="BD47" s="51">
        <f t="shared" si="116"/>
        <v>0</v>
      </c>
      <c r="BE47" s="69"/>
      <c r="BF47" s="70">
        <f t="shared" ref="BF47:BH47" si="117">SUM(BF40:BF46)</f>
        <v>5998.7004</v>
      </c>
      <c r="BG47" s="71">
        <f t="shared" si="117"/>
        <v>7232.58</v>
      </c>
      <c r="BH47" s="72">
        <f t="shared" si="117"/>
        <v>-149.5096</v>
      </c>
      <c r="BI47" s="34">
        <f>H47+BF47-BG47</f>
        <v>-149.5096</v>
      </c>
      <c r="BJ47" s="34">
        <f>BH47-BI47</f>
        <v>0</v>
      </c>
    </row>
    <row r="48" ht="15.75" customHeight="1" hidden="1" spans="1:60" x14ac:dyDescent="0.25">
      <c r="A48" s="29">
        <v>6</v>
      </c>
      <c r="B48" s="14"/>
      <c r="C48" s="2"/>
      <c r="D48" s="14" t="s">
        <v>42</v>
      </c>
      <c r="F48" s="13"/>
      <c r="G48" s="28"/>
      <c r="I48" s="13"/>
      <c r="J48" s="15"/>
      <c r="K48" s="15"/>
      <c r="L48" s="28"/>
      <c r="M48" s="15"/>
      <c r="N48" s="15"/>
      <c r="O48" s="15"/>
      <c r="P48" s="15"/>
      <c r="Q48" s="13"/>
      <c r="R48" s="15"/>
      <c r="S48" s="15"/>
      <c r="T48" s="28"/>
      <c r="U48" s="15"/>
      <c r="V48" s="15"/>
      <c r="W48" s="15"/>
      <c r="X48" s="15"/>
      <c r="Y48" s="13"/>
      <c r="Z48" s="15"/>
      <c r="AA48" s="15"/>
      <c r="AB48" s="28"/>
      <c r="AC48" s="15"/>
      <c r="AD48" s="15"/>
      <c r="AE48" s="15"/>
      <c r="AF48" s="15"/>
      <c r="AG48" s="13"/>
      <c r="AH48" s="15"/>
      <c r="AI48" s="15"/>
      <c r="AJ48" s="28"/>
      <c r="AK48" s="13"/>
      <c r="AL48" s="15"/>
      <c r="AM48" s="15"/>
      <c r="AN48" s="28"/>
      <c r="AO48" s="13"/>
      <c r="AP48" s="15"/>
      <c r="AQ48" s="15"/>
      <c r="AR48" s="28"/>
      <c r="AS48" s="15"/>
      <c r="AT48" s="15"/>
      <c r="AU48" s="15"/>
      <c r="AV48" s="15"/>
      <c r="AW48" s="13"/>
      <c r="AX48" s="15"/>
      <c r="AY48" s="15"/>
      <c r="AZ48" s="28"/>
      <c r="BA48" s="15"/>
      <c r="BB48" s="15"/>
      <c r="BC48" s="15"/>
      <c r="BD48" s="15"/>
      <c r="BE48" s="14"/>
      <c r="BF48" s="13"/>
      <c r="BG48" s="15"/>
      <c r="BH48" s="28"/>
    </row>
    <row r="49" ht="15.75" customHeight="1" hidden="1" spans="1:60" x14ac:dyDescent="0.25">
      <c r="A49" s="2">
        <v>6</v>
      </c>
      <c r="B49" s="14">
        <v>4.01</v>
      </c>
      <c r="C49" s="2" t="s">
        <v>70</v>
      </c>
      <c r="D49" s="14" t="s">
        <v>44</v>
      </c>
      <c r="E49" s="2" t="s">
        <v>45</v>
      </c>
      <c r="F49" s="13">
        <v>2.49</v>
      </c>
      <c r="G49" s="28"/>
      <c r="I49" s="13">
        <v>3</v>
      </c>
      <c r="J49" s="15">
        <v>0</v>
      </c>
      <c r="K49" s="34">
        <f>J49*$F$8</f>
        <v>0</v>
      </c>
      <c r="L49" s="28"/>
      <c r="M49" s="15">
        <v>3</v>
      </c>
      <c r="N49" s="15">
        <f>M49-I49</f>
        <v>0</v>
      </c>
      <c r="O49" s="34">
        <f>N49*$F$8</f>
        <v>0</v>
      </c>
      <c r="P49" s="15"/>
      <c r="Q49" s="13">
        <v>3</v>
      </c>
      <c r="R49" s="15">
        <f>Q49-M49</f>
        <v>0</v>
      </c>
      <c r="S49" s="34">
        <f>R49*$F$8</f>
        <v>0</v>
      </c>
      <c r="T49" s="28"/>
      <c r="U49" s="15">
        <v>3</v>
      </c>
      <c r="V49" s="15">
        <f>U49-Q49</f>
        <v>0</v>
      </c>
      <c r="W49" s="34">
        <f>V49*$F$8</f>
        <v>0</v>
      </c>
      <c r="X49" s="15"/>
      <c r="Y49" s="13">
        <v>3</v>
      </c>
      <c r="Z49" s="15">
        <f>Y49-U49</f>
        <v>0</v>
      </c>
      <c r="AA49" s="34">
        <f>Z49*$F$8</f>
        <v>0</v>
      </c>
      <c r="AB49" s="28"/>
      <c r="AC49" s="15">
        <v>4</v>
      </c>
      <c r="AD49" s="15">
        <f t="shared" ref="AD49:AD50" si="118">AC49-Y49</f>
        <v>1</v>
      </c>
      <c r="AE49" s="34">
        <f>AD49*$F$8</f>
        <v>2.49</v>
      </c>
      <c r="AF49" s="15"/>
      <c r="AG49" s="13">
        <v>5</v>
      </c>
      <c r="AH49" s="15">
        <f t="shared" ref="AH49:AH50" si="119">AG49-AC49</f>
        <v>1</v>
      </c>
      <c r="AI49" s="34">
        <f>AH49*$F$8</f>
        <v>2.49</v>
      </c>
      <c r="AJ49" s="28"/>
      <c r="AK49" s="13">
        <v>5</v>
      </c>
      <c r="AL49" s="15">
        <f t="shared" ref="AL49:AL50" si="120">AK49-AG49</f>
        <v>0</v>
      </c>
      <c r="AM49" s="34">
        <f>AL49*$F$8</f>
        <v>0</v>
      </c>
      <c r="AN49" s="28"/>
      <c r="AO49" s="13">
        <v>6</v>
      </c>
      <c r="AP49" s="15">
        <f t="shared" ref="AP49:AP50" si="121">AO49-AK49</f>
        <v>1</v>
      </c>
      <c r="AQ49" s="34">
        <f>AP49*$F$8</f>
        <v>2.49</v>
      </c>
      <c r="AR49" s="32">
        <v>7.47</v>
      </c>
      <c r="AS49" s="15">
        <v>6</v>
      </c>
      <c r="AT49" s="37">
        <f>AS49-AO49</f>
        <v>0</v>
      </c>
      <c r="AU49" s="34">
        <f>AT49*$F$8</f>
        <v>0</v>
      </c>
      <c r="AV49" s="15"/>
      <c r="AW49" s="13">
        <v>6</v>
      </c>
      <c r="AX49" s="37">
        <f>AW49-AS49</f>
        <v>0</v>
      </c>
      <c r="AY49" s="34">
        <f>AX49*$F$8</f>
        <v>0</v>
      </c>
      <c r="AZ49" s="28"/>
      <c r="BA49" s="15">
        <v>6</v>
      </c>
      <c r="BB49" s="37">
        <f>BA49-AW49</f>
        <v>0</v>
      </c>
      <c r="BC49" s="34">
        <f>BB49*$F$8</f>
        <v>0</v>
      </c>
      <c r="BD49" s="15"/>
      <c r="BE49" s="40">
        <f t="shared" ref="BE49:BG49" si="122">J49+N49+R49+V49+Z49+AD49+AH49+AL49+AP49+AT49+AX49+BB49</f>
        <v>3</v>
      </c>
      <c r="BF49" s="41">
        <f t="shared" si="122"/>
        <v>7.47</v>
      </c>
      <c r="BG49" s="34">
        <f t="shared" si="122"/>
        <v>7.47</v>
      </c>
      <c r="BH49" s="35">
        <f t="shared" ref="BH49:BH54" si="123">H49+BF49-BG49</f>
        <v>0</v>
      </c>
    </row>
    <row r="50" ht="15.75" customHeight="1" hidden="1" spans="1:60" x14ac:dyDescent="0.25">
      <c r="A50" s="29">
        <v>6</v>
      </c>
      <c r="B50" s="14"/>
      <c r="C50" s="2" t="s">
        <v>71</v>
      </c>
      <c r="D50" s="14" t="s">
        <v>47</v>
      </c>
      <c r="E50" s="2" t="s">
        <v>48</v>
      </c>
      <c r="F50" s="13">
        <v>17.16</v>
      </c>
      <c r="G50" s="28"/>
      <c r="H50" s="73">
        <f>-(3*17.16)</f>
        <v>-51.48</v>
      </c>
      <c r="I50" s="13"/>
      <c r="J50" s="15"/>
      <c r="K50" s="15"/>
      <c r="L50" s="28"/>
      <c r="M50" s="15"/>
      <c r="N50" s="15"/>
      <c r="O50" s="15"/>
      <c r="P50" s="15"/>
      <c r="Q50" s="13"/>
      <c r="R50" s="15"/>
      <c r="S50" s="15"/>
      <c r="T50" s="28"/>
      <c r="U50" s="15"/>
      <c r="V50" s="15"/>
      <c r="W50" s="15"/>
      <c r="X50" s="15"/>
      <c r="Y50" s="75">
        <v>213</v>
      </c>
      <c r="Z50" s="15"/>
      <c r="AA50" s="15"/>
      <c r="AB50" s="28"/>
      <c r="AC50" s="75">
        <v>213</v>
      </c>
      <c r="AD50" s="15">
        <f t="shared" si="118"/>
        <v>0</v>
      </c>
      <c r="AE50" s="34">
        <f>AD50*$F$10</f>
        <v>0</v>
      </c>
      <c r="AF50" s="15"/>
      <c r="AG50" s="75">
        <v>213</v>
      </c>
      <c r="AH50" s="15">
        <f t="shared" si="119"/>
        <v>0</v>
      </c>
      <c r="AI50" s="45">
        <f>AH50*$G$10</f>
        <v>0</v>
      </c>
      <c r="AJ50" s="28"/>
      <c r="AK50" s="13">
        <v>213</v>
      </c>
      <c r="AL50" s="15">
        <f t="shared" si="120"/>
        <v>0</v>
      </c>
      <c r="AM50" s="45">
        <f>AL50*$G$10</f>
        <v>0</v>
      </c>
      <c r="AN50" s="28"/>
      <c r="AO50" s="13">
        <v>233</v>
      </c>
      <c r="AP50" s="15">
        <f t="shared" si="121"/>
        <v>20</v>
      </c>
      <c r="AQ50" s="45">
        <f>AP50*$G$10</f>
        <v>353.6</v>
      </c>
      <c r="AR50" s="32">
        <v>302.12</v>
      </c>
      <c r="AS50" s="15"/>
      <c r="AT50" s="15"/>
      <c r="AU50" s="15"/>
      <c r="AV50" s="15"/>
      <c r="AW50" s="13"/>
      <c r="AX50" s="15"/>
      <c r="AY50" s="15"/>
      <c r="AZ50" s="28"/>
      <c r="BA50" s="15"/>
      <c r="BB50" s="15"/>
      <c r="BC50" s="15"/>
      <c r="BD50" s="15"/>
      <c r="BE50" s="40">
        <f t="shared" ref="BE50:BG50" si="124">J50+N50+R50+V50+Z50+AD50+AH50+AL50+AP50+AT50+AX50+BB50</f>
        <v>20</v>
      </c>
      <c r="BF50" s="41">
        <f t="shared" si="124"/>
        <v>353.6</v>
      </c>
      <c r="BG50" s="34">
        <f t="shared" si="124"/>
        <v>302.12</v>
      </c>
      <c r="BH50" s="35">
        <f t="shared" si="123"/>
        <v>0</v>
      </c>
    </row>
    <row r="51" ht="15.75" customHeight="1" hidden="1" spans="1:60" x14ac:dyDescent="0.25">
      <c r="A51" s="29">
        <v>6</v>
      </c>
      <c r="B51" s="14"/>
      <c r="C51" s="2" t="s">
        <v>72</v>
      </c>
      <c r="D51" s="14" t="s">
        <v>47</v>
      </c>
      <c r="E51" s="2" t="s">
        <v>49</v>
      </c>
      <c r="F51" s="41">
        <v>300</v>
      </c>
      <c r="G51" s="35"/>
      <c r="I51" s="13"/>
      <c r="J51" s="15"/>
      <c r="K51" s="15"/>
      <c r="L51" s="28"/>
      <c r="M51" s="15"/>
      <c r="N51" s="15"/>
      <c r="O51" s="15"/>
      <c r="P51" s="15"/>
      <c r="Q51" s="13"/>
      <c r="R51" s="15"/>
      <c r="S51" s="15"/>
      <c r="T51" s="28"/>
      <c r="U51" s="15"/>
      <c r="V51" s="15"/>
      <c r="W51" s="15"/>
      <c r="X51" s="15"/>
      <c r="Y51" s="13"/>
      <c r="Z51" s="15"/>
      <c r="AA51" s="15"/>
      <c r="AB51" s="28"/>
      <c r="AC51" s="15"/>
      <c r="AD51" s="15"/>
      <c r="AE51" s="34"/>
      <c r="AF51" s="15"/>
      <c r="AG51" s="13"/>
      <c r="AH51" s="15"/>
      <c r="AI51" s="34"/>
      <c r="AJ51" s="28"/>
      <c r="AK51" s="13"/>
      <c r="AL51" s="15"/>
      <c r="AM51" s="34"/>
      <c r="AN51" s="28"/>
      <c r="AO51" s="13"/>
      <c r="AP51" s="15"/>
      <c r="AQ51" s="34"/>
      <c r="AR51" s="28"/>
      <c r="AS51" s="15"/>
      <c r="AT51" s="15"/>
      <c r="AU51" s="15"/>
      <c r="AV51" s="15"/>
      <c r="AW51" s="13"/>
      <c r="AX51" s="15"/>
      <c r="AY51" s="15"/>
      <c r="AZ51" s="28"/>
      <c r="BA51" s="15"/>
      <c r="BB51" s="15"/>
      <c r="BC51" s="15"/>
      <c r="BD51" s="15"/>
      <c r="BE51" s="14"/>
      <c r="BF51" s="41">
        <f t="shared" ref="BF51:BG51" si="125">K51+O51+S51+W51+AA51+AE51+AI51+AM51+AQ51+AU51+AY51+BC51</f>
        <v>0</v>
      </c>
      <c r="BG51" s="34">
        <f t="shared" si="125"/>
        <v>0</v>
      </c>
      <c r="BH51" s="35">
        <f t="shared" si="123"/>
        <v>0</v>
      </c>
    </row>
    <row r="52" ht="15.75" customHeight="1" hidden="1" spans="1:60" x14ac:dyDescent="0.25">
      <c r="A52" s="29">
        <v>6</v>
      </c>
      <c r="B52" s="14"/>
      <c r="C52" s="15" t="s">
        <v>73</v>
      </c>
      <c r="D52" s="14" t="s">
        <v>50</v>
      </c>
      <c r="E52" s="2" t="s">
        <v>49</v>
      </c>
      <c r="F52" s="41">
        <v>1062.88</v>
      </c>
      <c r="G52" s="35"/>
      <c r="H52" s="34"/>
      <c r="I52" s="13"/>
      <c r="J52" s="15"/>
      <c r="K52" s="15"/>
      <c r="L52" s="28"/>
      <c r="M52" s="15"/>
      <c r="N52" s="15"/>
      <c r="O52" s="15"/>
      <c r="P52" s="15"/>
      <c r="Q52" s="13"/>
      <c r="R52" s="15"/>
      <c r="S52" s="15"/>
      <c r="T52" s="28"/>
      <c r="U52" s="15"/>
      <c r="V52" s="15"/>
      <c r="W52" s="15"/>
      <c r="X52" s="15"/>
      <c r="Y52" s="13"/>
      <c r="Z52" s="15"/>
      <c r="AA52" s="15"/>
      <c r="AB52" s="28"/>
      <c r="AC52" s="15"/>
      <c r="AD52" s="15"/>
      <c r="AE52" s="34">
        <f>B49*$F$12</f>
        <v>4262.1488</v>
      </c>
      <c r="AF52" s="34">
        <v>3200</v>
      </c>
      <c r="AG52" s="13"/>
      <c r="AH52" s="15"/>
      <c r="AI52" s="15"/>
      <c r="AJ52" s="28"/>
      <c r="AK52" s="13"/>
      <c r="AL52" s="15"/>
      <c r="AM52" s="15"/>
      <c r="AN52" s="28"/>
      <c r="AO52" s="13"/>
      <c r="AP52" s="15"/>
      <c r="AQ52" s="15"/>
      <c r="AR52" s="28"/>
      <c r="AS52" s="15"/>
      <c r="AT52" s="15"/>
      <c r="AU52" s="15"/>
      <c r="AV52" s="15"/>
      <c r="AW52" s="13"/>
      <c r="AX52" s="15"/>
      <c r="AY52" s="15"/>
      <c r="AZ52" s="28"/>
      <c r="BA52" s="15"/>
      <c r="BB52" s="15"/>
      <c r="BC52" s="15"/>
      <c r="BD52" s="15"/>
      <c r="BE52" s="14"/>
      <c r="BF52" s="41">
        <f>B49*$F$12</f>
        <v>4262.1488</v>
      </c>
      <c r="BG52" s="34">
        <f t="shared" ref="BG52:BG54" si="126">L52+P52+T52+X52+AB52+AF52+AJ52+AN52+AR52+AV52+AZ52+BD52</f>
        <v>3200</v>
      </c>
      <c r="BH52" s="35">
        <f t="shared" si="123"/>
        <v>1062.1488</v>
      </c>
    </row>
    <row r="53" ht="15.75" customHeight="1" hidden="1" spans="1:60" x14ac:dyDescent="0.25">
      <c r="A53" s="29">
        <v>6</v>
      </c>
      <c r="B53" s="14"/>
      <c r="D53" s="14" t="s">
        <v>51</v>
      </c>
      <c r="E53" s="2" t="s">
        <v>49</v>
      </c>
      <c r="F53" s="41">
        <v>0</v>
      </c>
      <c r="G53" s="35"/>
      <c r="I53" s="13"/>
      <c r="J53" s="15"/>
      <c r="K53" s="15"/>
      <c r="L53" s="28"/>
      <c r="M53" s="15"/>
      <c r="N53" s="15"/>
      <c r="O53" s="15"/>
      <c r="P53" s="15"/>
      <c r="Q53" s="13"/>
      <c r="R53" s="15"/>
      <c r="S53" s="15"/>
      <c r="T53" s="28"/>
      <c r="U53" s="15"/>
      <c r="V53" s="15"/>
      <c r="W53" s="15"/>
      <c r="X53" s="15"/>
      <c r="Y53" s="13"/>
      <c r="Z53" s="15"/>
      <c r="AA53" s="15"/>
      <c r="AB53" s="28"/>
      <c r="AC53" s="15"/>
      <c r="AD53" s="15"/>
      <c r="AE53" s="15"/>
      <c r="AF53" s="15"/>
      <c r="AG53" s="13"/>
      <c r="AH53" s="15"/>
      <c r="AI53" s="15"/>
      <c r="AJ53" s="28"/>
      <c r="AK53" s="13"/>
      <c r="AL53" s="15"/>
      <c r="AM53" s="15"/>
      <c r="AN53" s="28"/>
      <c r="AO53" s="13"/>
      <c r="AP53" s="15"/>
      <c r="AQ53" s="15"/>
      <c r="AR53" s="28"/>
      <c r="AS53" s="15"/>
      <c r="AT53" s="15"/>
      <c r="AU53" s="15"/>
      <c r="AV53" s="15"/>
      <c r="AW53" s="13"/>
      <c r="AX53" s="15"/>
      <c r="AY53" s="15"/>
      <c r="AZ53" s="28"/>
      <c r="BA53" s="15"/>
      <c r="BB53" s="15"/>
      <c r="BC53" s="15"/>
      <c r="BD53" s="15"/>
      <c r="BE53" s="14"/>
      <c r="BF53" s="41">
        <f>B49*$F$13</f>
        <v>0</v>
      </c>
      <c r="BG53" s="34">
        <f t="shared" si="126"/>
        <v>0</v>
      </c>
      <c r="BH53" s="35">
        <f t="shared" si="123"/>
        <v>0</v>
      </c>
    </row>
    <row r="54" ht="15.75" customHeight="1" hidden="1" spans="1:60" x14ac:dyDescent="0.25">
      <c r="A54" s="29">
        <v>6</v>
      </c>
      <c r="B54" s="14"/>
      <c r="D54" s="14" t="s">
        <v>52</v>
      </c>
      <c r="E54" s="2" t="s">
        <v>39</v>
      </c>
      <c r="F54" s="41">
        <v>350</v>
      </c>
      <c r="G54" s="35"/>
      <c r="I54" s="13"/>
      <c r="J54" s="15"/>
      <c r="K54" s="15"/>
      <c r="L54" s="28"/>
      <c r="M54" s="15"/>
      <c r="N54" s="15"/>
      <c r="O54" s="15"/>
      <c r="P54" s="15"/>
      <c r="Q54" s="13"/>
      <c r="R54" s="15"/>
      <c r="S54" s="15"/>
      <c r="T54" s="28"/>
      <c r="U54" s="15"/>
      <c r="V54" s="15"/>
      <c r="W54" s="15"/>
      <c r="X54" s="15"/>
      <c r="Y54" s="13"/>
      <c r="Z54" s="15"/>
      <c r="AA54" s="34">
        <f>$F$14</f>
        <v>350</v>
      </c>
      <c r="AB54" s="35">
        <v>350</v>
      </c>
      <c r="AC54" s="15"/>
      <c r="AD54" s="15"/>
      <c r="AE54" s="15"/>
      <c r="AF54" s="15"/>
      <c r="AG54" s="13"/>
      <c r="AH54" s="15"/>
      <c r="AI54" s="15"/>
      <c r="AJ54" s="28"/>
      <c r="AK54" s="13"/>
      <c r="AL54" s="15"/>
      <c r="AM54" s="15"/>
      <c r="AN54" s="28"/>
      <c r="AO54" s="13"/>
      <c r="AP54" s="15"/>
      <c r="AQ54" s="15"/>
      <c r="AR54" s="28"/>
      <c r="AS54" s="15"/>
      <c r="AT54" s="15"/>
      <c r="AU54" s="15"/>
      <c r="AV54" s="15"/>
      <c r="AW54" s="13"/>
      <c r="AX54" s="15"/>
      <c r="AY54" s="15"/>
      <c r="AZ54" s="28"/>
      <c r="BA54" s="15"/>
      <c r="BB54" s="15"/>
      <c r="BC54" s="15"/>
      <c r="BD54" s="15"/>
      <c r="BE54" s="14"/>
      <c r="BF54" s="41">
        <f>$F$14</f>
        <v>350</v>
      </c>
      <c r="BG54" s="34">
        <f t="shared" si="126"/>
        <v>350</v>
      </c>
      <c r="BH54" s="35">
        <f t="shared" si="123"/>
        <v>0</v>
      </c>
    </row>
    <row r="55" ht="15.75" customHeight="1" hidden="1" spans="1:62" x14ac:dyDescent="0.25">
      <c r="A55" s="50">
        <v>6</v>
      </c>
      <c r="B55" s="21"/>
      <c r="C55" s="22" t="s">
        <v>53</v>
      </c>
      <c r="D55" s="21"/>
      <c r="E55" s="22"/>
      <c r="F55" s="20"/>
      <c r="G55" s="23"/>
      <c r="H55" s="51">
        <f>SUM(H48:H54)</f>
        <v>-51.48</v>
      </c>
      <c r="I55" s="52"/>
      <c r="J55" s="53"/>
      <c r="K55" s="51">
        <f t="shared" ref="K55:L55" si="127">SUM(K49:K54)</f>
        <v>0</v>
      </c>
      <c r="L55" s="68">
        <f t="shared" si="127"/>
        <v>0</v>
      </c>
      <c r="M55" s="53"/>
      <c r="N55" s="53"/>
      <c r="O55" s="51">
        <f t="shared" ref="O55:P55" si="128">SUM(O49:O54)</f>
        <v>0</v>
      </c>
      <c r="P55" s="51">
        <f t="shared" si="128"/>
        <v>0</v>
      </c>
      <c r="Q55" s="52"/>
      <c r="R55" s="53"/>
      <c r="S55" s="51">
        <f t="shared" ref="S55:T55" si="129">SUM(S49:S54)</f>
        <v>0</v>
      </c>
      <c r="T55" s="68">
        <f t="shared" si="129"/>
        <v>0</v>
      </c>
      <c r="U55" s="53"/>
      <c r="V55" s="53"/>
      <c r="W55" s="51">
        <f t="shared" ref="W55:X55" si="130">SUM(W49:W54)</f>
        <v>0</v>
      </c>
      <c r="X55" s="51">
        <f t="shared" si="130"/>
        <v>0</v>
      </c>
      <c r="Y55" s="52"/>
      <c r="Z55" s="53"/>
      <c r="AA55" s="51">
        <f t="shared" ref="AA55:AB55" si="131">SUM(AA49:AA54)</f>
        <v>350</v>
      </c>
      <c r="AB55" s="68">
        <f t="shared" si="131"/>
        <v>350</v>
      </c>
      <c r="AC55" s="53"/>
      <c r="AD55" s="53"/>
      <c r="AE55" s="51">
        <f t="shared" ref="AE55:AF55" si="132">SUM(AE49:AE54)</f>
        <v>4264.6388</v>
      </c>
      <c r="AF55" s="51">
        <f t="shared" si="132"/>
        <v>3200</v>
      </c>
      <c r="AG55" s="52"/>
      <c r="AH55" s="53"/>
      <c r="AI55" s="51">
        <f t="shared" ref="AI55:AJ55" si="133">SUM(AI49:AI54)</f>
        <v>2.49</v>
      </c>
      <c r="AJ55" s="68">
        <f t="shared" si="133"/>
        <v>0</v>
      </c>
      <c r="AK55" s="52"/>
      <c r="AL55" s="53"/>
      <c r="AM55" s="51">
        <f t="shared" ref="AM55:AN55" si="134">SUM(AM49:AM54)</f>
        <v>0</v>
      </c>
      <c r="AN55" s="68">
        <f t="shared" si="134"/>
        <v>0</v>
      </c>
      <c r="AO55" s="52"/>
      <c r="AP55" s="53"/>
      <c r="AQ55" s="51">
        <f t="shared" ref="AQ55:AR55" si="135">SUM(AQ49:AQ54)</f>
        <v>356.09</v>
      </c>
      <c r="AR55" s="68">
        <f t="shared" si="135"/>
        <v>309.59</v>
      </c>
      <c r="AS55" s="53"/>
      <c r="AT55" s="53"/>
      <c r="AU55" s="51">
        <f t="shared" ref="AU55:AV55" si="136">SUM(AU49:AU54)</f>
        <v>0</v>
      </c>
      <c r="AV55" s="51">
        <f t="shared" si="136"/>
        <v>0</v>
      </c>
      <c r="AW55" s="52"/>
      <c r="AX55" s="53"/>
      <c r="AY55" s="51">
        <f t="shared" ref="AY55:AZ55" si="137">SUM(AY49:AY54)</f>
        <v>0</v>
      </c>
      <c r="AZ55" s="68">
        <f t="shared" si="137"/>
        <v>0</v>
      </c>
      <c r="BA55" s="53"/>
      <c r="BB55" s="53"/>
      <c r="BC55" s="51">
        <f t="shared" ref="BC55:BD55" si="138">SUM(BC49:BC54)</f>
        <v>0</v>
      </c>
      <c r="BD55" s="51">
        <f t="shared" si="138"/>
        <v>0</v>
      </c>
      <c r="BE55" s="69"/>
      <c r="BF55" s="70">
        <f t="shared" ref="BF55:BH55" si="139">SUM(BF48:BF54)</f>
        <v>4973.2188</v>
      </c>
      <c r="BG55" s="71">
        <f t="shared" si="139"/>
        <v>3859.59</v>
      </c>
      <c r="BH55" s="72">
        <f t="shared" si="139"/>
        <v>1062.1488</v>
      </c>
      <c r="BI55" s="34">
        <f>H55+BF55-BG55</f>
        <v>1062.1488</v>
      </c>
      <c r="BJ55" s="34">
        <f>BH55-BI55</f>
        <v>0</v>
      </c>
    </row>
    <row r="56" ht="15.75" customHeight="1" hidden="1" spans="1:60" x14ac:dyDescent="0.25">
      <c r="A56" s="29">
        <v>7</v>
      </c>
      <c r="B56" s="14"/>
      <c r="D56" s="14" t="s">
        <v>42</v>
      </c>
      <c r="F56" s="13"/>
      <c r="G56" s="28"/>
      <c r="I56" s="13"/>
      <c r="J56" s="15"/>
      <c r="K56" s="15"/>
      <c r="L56" s="28"/>
      <c r="M56" s="15"/>
      <c r="N56" s="15"/>
      <c r="O56" s="15"/>
      <c r="P56" s="15"/>
      <c r="Q56" s="13"/>
      <c r="R56" s="15"/>
      <c r="S56" s="15"/>
      <c r="T56" s="28"/>
      <c r="U56" s="15"/>
      <c r="V56" s="15"/>
      <c r="W56" s="15"/>
      <c r="X56" s="15"/>
      <c r="Y56" s="13"/>
      <c r="Z56" s="15"/>
      <c r="AA56" s="15"/>
      <c r="AB56" s="28"/>
      <c r="AC56" s="15"/>
      <c r="AD56" s="15"/>
      <c r="AE56" s="15"/>
      <c r="AF56" s="15"/>
      <c r="AG56" s="13"/>
      <c r="AH56" s="15"/>
      <c r="AI56" s="15"/>
      <c r="AJ56" s="28"/>
      <c r="AK56" s="13"/>
      <c r="AL56" s="15"/>
      <c r="AM56" s="15"/>
      <c r="AN56" s="28"/>
      <c r="AO56" s="13"/>
      <c r="AP56" s="15"/>
      <c r="AQ56" s="15"/>
      <c r="AR56" s="28"/>
      <c r="AS56" s="15"/>
      <c r="AT56" s="15"/>
      <c r="AU56" s="15"/>
      <c r="AV56" s="15"/>
      <c r="AW56" s="13"/>
      <c r="AX56" s="15"/>
      <c r="AY56" s="15"/>
      <c r="AZ56" s="28"/>
      <c r="BA56" s="15"/>
      <c r="BB56" s="15"/>
      <c r="BC56" s="15"/>
      <c r="BD56" s="15"/>
      <c r="BE56" s="14"/>
      <c r="BF56" s="13"/>
      <c r="BG56" s="15"/>
      <c r="BH56" s="28"/>
    </row>
    <row r="57" ht="15.75" customHeight="1" hidden="1" spans="1:60" x14ac:dyDescent="0.25">
      <c r="A57" s="2">
        <v>7</v>
      </c>
      <c r="B57" s="14">
        <v>4.85</v>
      </c>
      <c r="C57" s="2" t="s">
        <v>74</v>
      </c>
      <c r="D57" s="14" t="s">
        <v>44</v>
      </c>
      <c r="E57" s="2" t="s">
        <v>45</v>
      </c>
      <c r="F57" s="13">
        <v>2.49</v>
      </c>
      <c r="G57" s="28"/>
      <c r="H57" s="2">
        <v>14.94</v>
      </c>
      <c r="I57" s="13">
        <v>75</v>
      </c>
      <c r="J57" s="15">
        <v>0</v>
      </c>
      <c r="K57" s="34">
        <f>J57*$F$8</f>
        <v>0</v>
      </c>
      <c r="L57" s="28"/>
      <c r="M57" s="15">
        <v>75</v>
      </c>
      <c r="N57" s="15">
        <f>M57-I57</f>
        <v>0</v>
      </c>
      <c r="O57" s="34">
        <f>N57*$F$8</f>
        <v>0</v>
      </c>
      <c r="P57" s="15"/>
      <c r="Q57" s="13">
        <v>75</v>
      </c>
      <c r="R57" s="15">
        <f>Q57-M57</f>
        <v>0</v>
      </c>
      <c r="S57" s="34">
        <f>R57*$F$8</f>
        <v>0</v>
      </c>
      <c r="T57" s="28"/>
      <c r="U57" s="15">
        <v>76</v>
      </c>
      <c r="V57" s="15">
        <f>U57-Q57</f>
        <v>1</v>
      </c>
      <c r="W57" s="34">
        <f>V57*$F$8</f>
        <v>2.49</v>
      </c>
      <c r="X57" s="15"/>
      <c r="Y57" s="13">
        <v>76</v>
      </c>
      <c r="Z57" s="15">
        <f>Y57-U57</f>
        <v>0</v>
      </c>
      <c r="AA57" s="34">
        <f>Z57*$F$8</f>
        <v>0</v>
      </c>
      <c r="AB57" s="28"/>
      <c r="AC57" s="15">
        <v>86</v>
      </c>
      <c r="AD57" s="15">
        <f t="shared" ref="AD57:AD58" si="140">AC57-Y57</f>
        <v>10</v>
      </c>
      <c r="AE57" s="34">
        <f>AD57*$F$8</f>
        <v>24.9</v>
      </c>
      <c r="AF57" s="15"/>
      <c r="AG57" s="13">
        <v>105</v>
      </c>
      <c r="AH57" s="15">
        <f t="shared" ref="AH57:AH58" si="141">AG57-AC57</f>
        <v>19</v>
      </c>
      <c r="AI57" s="34">
        <f>AH57*$F$8</f>
        <v>47.31</v>
      </c>
      <c r="AJ57" s="32">
        <v>42.33</v>
      </c>
      <c r="AK57" s="13">
        <v>118</v>
      </c>
      <c r="AL57" s="15">
        <f t="shared" ref="AL57:AL58" si="142">AK57-AG57</f>
        <v>13</v>
      </c>
      <c r="AM57" s="34">
        <f>AL57*$F$8</f>
        <v>32.37</v>
      </c>
      <c r="AN57" s="28"/>
      <c r="AO57" s="13">
        <v>127</v>
      </c>
      <c r="AP57" s="15">
        <f t="shared" ref="AP57:AP58" si="143">AO57-AK57</f>
        <v>9</v>
      </c>
      <c r="AQ57" s="34">
        <f>AP57*$F$8</f>
        <v>22.41</v>
      </c>
      <c r="AR57" s="32">
        <v>102.09</v>
      </c>
      <c r="AS57" s="15">
        <v>131</v>
      </c>
      <c r="AT57" s="37">
        <f>AS57-AO57</f>
        <v>4</v>
      </c>
      <c r="AU57" s="34">
        <f>AT57*$F$8</f>
        <v>9.96</v>
      </c>
      <c r="AV57" s="15"/>
      <c r="AW57" s="13">
        <v>131</v>
      </c>
      <c r="AX57" s="37">
        <f>AW57-AS57</f>
        <v>0</v>
      </c>
      <c r="AY57" s="34">
        <f>AX57*$F$8</f>
        <v>0</v>
      </c>
      <c r="AZ57" s="28"/>
      <c r="BA57" s="15">
        <v>131</v>
      </c>
      <c r="BB57" s="37">
        <f>BA57-AW57</f>
        <v>0</v>
      </c>
      <c r="BC57" s="34">
        <f>BB57*$F$8</f>
        <v>0</v>
      </c>
      <c r="BD57" s="15"/>
      <c r="BE57" s="40">
        <f t="shared" ref="BE57:BG57" si="144">J57+N57+R57+V57+Z57+AD57+AH57+AL57+AP57+AT57+AX57+BB57</f>
        <v>56</v>
      </c>
      <c r="BF57" s="41">
        <f t="shared" si="144"/>
        <v>139.44</v>
      </c>
      <c r="BG57" s="34">
        <f t="shared" si="144"/>
        <v>144.42</v>
      </c>
      <c r="BH57" s="35">
        <f t="shared" ref="BH57:BH62" si="145">H57+BF57-BG57</f>
        <v>9.96</v>
      </c>
    </row>
    <row r="58" ht="15.75" customHeight="1" hidden="1" spans="1:60" x14ac:dyDescent="0.25">
      <c r="A58" s="29">
        <v>7</v>
      </c>
      <c r="B58" s="14"/>
      <c r="C58" s="2" t="s">
        <v>75</v>
      </c>
      <c r="D58" s="14" t="s">
        <v>47</v>
      </c>
      <c r="E58" s="2" t="s">
        <v>48</v>
      </c>
      <c r="F58" s="13">
        <v>17.16</v>
      </c>
      <c r="G58" s="28"/>
      <c r="H58" s="15"/>
      <c r="I58" s="13"/>
      <c r="J58" s="15"/>
      <c r="K58" s="15"/>
      <c r="L58" s="28"/>
      <c r="M58" s="15"/>
      <c r="N58" s="15"/>
      <c r="O58" s="15"/>
      <c r="P58" s="15"/>
      <c r="Q58" s="13"/>
      <c r="R58" s="15"/>
      <c r="S58" s="15"/>
      <c r="T58" s="28"/>
      <c r="U58" s="15"/>
      <c r="V58" s="15"/>
      <c r="W58" s="15"/>
      <c r="X58" s="15"/>
      <c r="Y58" s="13">
        <v>41</v>
      </c>
      <c r="Z58" s="15"/>
      <c r="AA58" s="15"/>
      <c r="AB58" s="28"/>
      <c r="AC58" s="15">
        <v>41</v>
      </c>
      <c r="AD58" s="15">
        <f t="shared" si="140"/>
        <v>0</v>
      </c>
      <c r="AE58" s="34">
        <f>AD58*$F$10</f>
        <v>0</v>
      </c>
      <c r="AF58" s="15"/>
      <c r="AG58" s="13">
        <v>46</v>
      </c>
      <c r="AH58" s="15">
        <f t="shared" si="141"/>
        <v>5</v>
      </c>
      <c r="AI58" s="45">
        <f>AH58*$G$10</f>
        <v>88.4</v>
      </c>
      <c r="AJ58" s="38">
        <v>88.4</v>
      </c>
      <c r="AK58" s="13">
        <v>46</v>
      </c>
      <c r="AL58" s="15">
        <f t="shared" si="142"/>
        <v>0</v>
      </c>
      <c r="AM58" s="45">
        <f>AL58*$G$10</f>
        <v>0</v>
      </c>
      <c r="AN58" s="28"/>
      <c r="AO58" s="13">
        <v>50</v>
      </c>
      <c r="AP58" s="15">
        <f t="shared" si="143"/>
        <v>4</v>
      </c>
      <c r="AQ58" s="45">
        <f>AP58*$G$10</f>
        <v>70.72</v>
      </c>
      <c r="AR58" s="32">
        <v>70.72</v>
      </c>
      <c r="AS58" s="15"/>
      <c r="AT58" s="15"/>
      <c r="AU58" s="15"/>
      <c r="AV58" s="15"/>
      <c r="AW58" s="13"/>
      <c r="AX58" s="15"/>
      <c r="AY58" s="15"/>
      <c r="AZ58" s="28"/>
      <c r="BA58" s="15"/>
      <c r="BB58" s="15"/>
      <c r="BC58" s="15"/>
      <c r="BD58" s="15"/>
      <c r="BE58" s="40">
        <f t="shared" ref="BE58:BG58" si="146">J58+N58+R58+V58+Z58+AD58+AH58+AL58+AP58+AT58+AX58+BB58</f>
        <v>9</v>
      </c>
      <c r="BF58" s="41">
        <f t="shared" si="146"/>
        <v>159.12</v>
      </c>
      <c r="BG58" s="34">
        <f t="shared" si="146"/>
        <v>159.12</v>
      </c>
      <c r="BH58" s="35">
        <f t="shared" si="145"/>
        <v>0</v>
      </c>
    </row>
    <row r="59" ht="15.75" customHeight="1" hidden="1" spans="1:60" x14ac:dyDescent="0.25">
      <c r="A59" s="29">
        <v>7</v>
      </c>
      <c r="B59" s="14"/>
      <c r="C59" s="2" t="s">
        <v>76</v>
      </c>
      <c r="D59" s="14" t="s">
        <v>47</v>
      </c>
      <c r="E59" s="2" t="s">
        <v>49</v>
      </c>
      <c r="F59" s="41">
        <v>300</v>
      </c>
      <c r="G59" s="35"/>
      <c r="I59" s="13"/>
      <c r="J59" s="15"/>
      <c r="K59" s="15"/>
      <c r="L59" s="28"/>
      <c r="M59" s="15"/>
      <c r="N59" s="15"/>
      <c r="O59" s="15"/>
      <c r="P59" s="15"/>
      <c r="Q59" s="13"/>
      <c r="R59" s="15"/>
      <c r="S59" s="15"/>
      <c r="T59" s="28"/>
      <c r="U59" s="15"/>
      <c r="V59" s="15"/>
      <c r="W59" s="15"/>
      <c r="X59" s="15"/>
      <c r="Y59" s="13"/>
      <c r="Z59" s="15"/>
      <c r="AA59" s="15"/>
      <c r="AB59" s="28"/>
      <c r="AC59" s="15"/>
      <c r="AD59" s="15"/>
      <c r="AE59" s="34"/>
      <c r="AF59" s="15"/>
      <c r="AG59" s="13"/>
      <c r="AH59" s="15"/>
      <c r="AI59" s="34"/>
      <c r="AJ59" s="28"/>
      <c r="AK59" s="13"/>
      <c r="AL59" s="15"/>
      <c r="AM59" s="34"/>
      <c r="AN59" s="28"/>
      <c r="AO59" s="13"/>
      <c r="AP59" s="15"/>
      <c r="AQ59" s="34"/>
      <c r="AR59" s="28"/>
      <c r="AS59" s="15"/>
      <c r="AT59" s="15"/>
      <c r="AU59" s="15"/>
      <c r="AV59" s="15"/>
      <c r="AW59" s="13"/>
      <c r="AX59" s="15"/>
      <c r="AY59" s="15"/>
      <c r="AZ59" s="28"/>
      <c r="BA59" s="15"/>
      <c r="BB59" s="15"/>
      <c r="BC59" s="15"/>
      <c r="BD59" s="15"/>
      <c r="BE59" s="14"/>
      <c r="BF59" s="41">
        <f t="shared" ref="BF59:BG59" si="147">K59+O59+S59+W59+AA59+AE59+AI59+AM59+AQ59+AU59+AY59+BC59</f>
        <v>0</v>
      </c>
      <c r="BG59" s="34">
        <f t="shared" si="147"/>
        <v>0</v>
      </c>
      <c r="BH59" s="35">
        <f t="shared" si="145"/>
        <v>0</v>
      </c>
    </row>
    <row r="60" ht="15.75" customHeight="1" hidden="1" spans="1:60" x14ac:dyDescent="0.25">
      <c r="A60" s="29">
        <v>7</v>
      </c>
      <c r="B60" s="14"/>
      <c r="C60" s="15" t="s">
        <v>77</v>
      </c>
      <c r="D60" s="14" t="s">
        <v>50</v>
      </c>
      <c r="E60" s="2" t="s">
        <v>49</v>
      </c>
      <c r="F60" s="41">
        <v>1062.88</v>
      </c>
      <c r="G60" s="35"/>
      <c r="I60" s="13"/>
      <c r="J60" s="15"/>
      <c r="K60" s="15"/>
      <c r="L60" s="28"/>
      <c r="M60" s="15"/>
      <c r="N60" s="15"/>
      <c r="O60" s="15"/>
      <c r="P60" s="15"/>
      <c r="Q60" s="13"/>
      <c r="R60" s="15"/>
      <c r="S60" s="15"/>
      <c r="T60" s="28"/>
      <c r="U60" s="15"/>
      <c r="V60" s="15"/>
      <c r="W60" s="15"/>
      <c r="X60" s="15"/>
      <c r="Y60" s="13"/>
      <c r="Z60" s="15"/>
      <c r="AA60" s="15"/>
      <c r="AB60" s="28"/>
      <c r="AC60" s="15"/>
      <c r="AD60" s="15"/>
      <c r="AE60" s="34">
        <f>B57*$F$12</f>
        <v>5154.968</v>
      </c>
      <c r="AF60" s="15"/>
      <c r="AG60" s="13"/>
      <c r="AH60" s="15"/>
      <c r="AI60" s="15"/>
      <c r="AJ60" s="32">
        <v>5154.97</v>
      </c>
      <c r="AK60" s="13"/>
      <c r="AL60" s="15"/>
      <c r="AM60" s="15"/>
      <c r="AN60" s="28"/>
      <c r="AO60" s="13"/>
      <c r="AP60" s="15"/>
      <c r="AQ60" s="15"/>
      <c r="AR60" s="28"/>
      <c r="AS60" s="15"/>
      <c r="AT60" s="15"/>
      <c r="AU60" s="15"/>
      <c r="AV60" s="15"/>
      <c r="AW60" s="13"/>
      <c r="AX60" s="15"/>
      <c r="AY60" s="15"/>
      <c r="AZ60" s="28"/>
      <c r="BA60" s="15"/>
      <c r="BB60" s="15"/>
      <c r="BC60" s="15"/>
      <c r="BD60" s="15"/>
      <c r="BE60" s="14"/>
      <c r="BF60" s="41">
        <f>B57*$F$12</f>
        <v>5154.968</v>
      </c>
      <c r="BG60" s="34">
        <f t="shared" ref="BG60:BG62" si="148">L60+P60+T60+X60+AB60+AF60+AJ60+AN60+AR60+AV60+AZ60+BD60</f>
        <v>5154.97</v>
      </c>
      <c r="BH60" s="35">
        <f t="shared" si="145"/>
        <v>-0.002</v>
      </c>
    </row>
    <row r="61" ht="15.75" customHeight="1" hidden="1" spans="1:60" x14ac:dyDescent="0.25">
      <c r="A61" s="29">
        <v>7</v>
      </c>
      <c r="B61" s="14"/>
      <c r="D61" s="14" t="s">
        <v>51</v>
      </c>
      <c r="E61" s="2" t="s">
        <v>49</v>
      </c>
      <c r="F61" s="41">
        <v>0</v>
      </c>
      <c r="G61" s="35"/>
      <c r="I61" s="13"/>
      <c r="J61" s="15"/>
      <c r="K61" s="15"/>
      <c r="L61" s="28"/>
      <c r="M61" s="15"/>
      <c r="N61" s="15"/>
      <c r="O61" s="15"/>
      <c r="P61" s="15"/>
      <c r="Q61" s="13"/>
      <c r="R61" s="15"/>
      <c r="S61" s="15"/>
      <c r="T61" s="28"/>
      <c r="U61" s="15"/>
      <c r="V61" s="15"/>
      <c r="W61" s="15"/>
      <c r="X61" s="15"/>
      <c r="Y61" s="13"/>
      <c r="Z61" s="15"/>
      <c r="AA61" s="15"/>
      <c r="AB61" s="28"/>
      <c r="AC61" s="15"/>
      <c r="AD61" s="15"/>
      <c r="AE61" s="15"/>
      <c r="AF61" s="15"/>
      <c r="AG61" s="13"/>
      <c r="AH61" s="15"/>
      <c r="AI61" s="15"/>
      <c r="AJ61" s="28"/>
      <c r="AK61" s="13"/>
      <c r="AL61" s="15"/>
      <c r="AM61" s="15"/>
      <c r="AN61" s="28"/>
      <c r="AO61" s="13"/>
      <c r="AP61" s="15"/>
      <c r="AQ61" s="15"/>
      <c r="AR61" s="28"/>
      <c r="AS61" s="15"/>
      <c r="AT61" s="15"/>
      <c r="AU61" s="15"/>
      <c r="AV61" s="15"/>
      <c r="AW61" s="13"/>
      <c r="AX61" s="15"/>
      <c r="AY61" s="15"/>
      <c r="AZ61" s="28"/>
      <c r="BA61" s="15"/>
      <c r="BB61" s="15"/>
      <c r="BC61" s="15"/>
      <c r="BD61" s="15"/>
      <c r="BE61" s="14"/>
      <c r="BF61" s="41">
        <f>B57*$F$13</f>
        <v>0</v>
      </c>
      <c r="BG61" s="34">
        <f t="shared" si="148"/>
        <v>0</v>
      </c>
      <c r="BH61" s="35">
        <f t="shared" si="145"/>
        <v>0</v>
      </c>
    </row>
    <row r="62" ht="15.75" customHeight="1" hidden="1" spans="1:60" x14ac:dyDescent="0.25">
      <c r="A62" s="29">
        <v>7</v>
      </c>
      <c r="B62" s="14"/>
      <c r="D62" s="14" t="s">
        <v>52</v>
      </c>
      <c r="E62" s="2" t="s">
        <v>39</v>
      </c>
      <c r="F62" s="41">
        <v>350</v>
      </c>
      <c r="G62" s="35"/>
      <c r="I62" s="13"/>
      <c r="J62" s="15"/>
      <c r="K62" s="15"/>
      <c r="L62" s="28"/>
      <c r="M62" s="15"/>
      <c r="N62" s="15"/>
      <c r="O62" s="15"/>
      <c r="P62" s="15"/>
      <c r="Q62" s="13"/>
      <c r="R62" s="15"/>
      <c r="S62" s="15"/>
      <c r="T62" s="28"/>
      <c r="U62" s="15"/>
      <c r="V62" s="15"/>
      <c r="W62" s="15"/>
      <c r="X62" s="15"/>
      <c r="Y62" s="13"/>
      <c r="Z62" s="15"/>
      <c r="AA62" s="34">
        <f>$F$14</f>
        <v>350</v>
      </c>
      <c r="AB62" s="28"/>
      <c r="AC62" s="15"/>
      <c r="AD62" s="15"/>
      <c r="AE62" s="15"/>
      <c r="AF62" s="15"/>
      <c r="AG62" s="13"/>
      <c r="AH62" s="15"/>
      <c r="AI62" s="15"/>
      <c r="AJ62" s="38">
        <v>350</v>
      </c>
      <c r="AK62" s="13"/>
      <c r="AL62" s="15"/>
      <c r="AM62" s="15"/>
      <c r="AN62" s="28"/>
      <c r="AO62" s="13"/>
      <c r="AP62" s="15"/>
      <c r="AQ62" s="15"/>
      <c r="AR62" s="28"/>
      <c r="AS62" s="15"/>
      <c r="AT62" s="15"/>
      <c r="AU62" s="15"/>
      <c r="AV62" s="15"/>
      <c r="AW62" s="13"/>
      <c r="AX62" s="15"/>
      <c r="AY62" s="15"/>
      <c r="AZ62" s="28"/>
      <c r="BA62" s="15"/>
      <c r="BB62" s="15"/>
      <c r="BC62" s="15"/>
      <c r="BD62" s="15"/>
      <c r="BE62" s="14"/>
      <c r="BF62" s="41">
        <f>$F$14</f>
        <v>350</v>
      </c>
      <c r="BG62" s="34">
        <f t="shared" si="148"/>
        <v>350</v>
      </c>
      <c r="BH62" s="35">
        <f t="shared" si="145"/>
        <v>0</v>
      </c>
    </row>
    <row r="63" ht="15.75" customHeight="1" hidden="1" spans="1:62" x14ac:dyDescent="0.25">
      <c r="A63" s="50">
        <v>7</v>
      </c>
      <c r="B63" s="21"/>
      <c r="C63" s="22" t="s">
        <v>53</v>
      </c>
      <c r="D63" s="21"/>
      <c r="E63" s="22"/>
      <c r="F63" s="20"/>
      <c r="G63" s="23"/>
      <c r="H63" s="51">
        <f>SUM(H56:H62)</f>
        <v>14.94</v>
      </c>
      <c r="I63" s="52"/>
      <c r="J63" s="53"/>
      <c r="K63" s="51">
        <f t="shared" ref="K63:L63" si="149">SUM(K57:K62)</f>
        <v>0</v>
      </c>
      <c r="L63" s="68">
        <f t="shared" si="149"/>
        <v>0</v>
      </c>
      <c r="M63" s="53"/>
      <c r="N63" s="53"/>
      <c r="O63" s="51">
        <f t="shared" ref="O63:P63" si="150">SUM(O57:O62)</f>
        <v>0</v>
      </c>
      <c r="P63" s="51">
        <f t="shared" si="150"/>
        <v>0</v>
      </c>
      <c r="Q63" s="52"/>
      <c r="R63" s="53"/>
      <c r="S63" s="51">
        <f t="shared" ref="S63:T63" si="151">SUM(S57:S62)</f>
        <v>0</v>
      </c>
      <c r="T63" s="68">
        <f t="shared" si="151"/>
        <v>0</v>
      </c>
      <c r="U63" s="53"/>
      <c r="V63" s="53"/>
      <c r="W63" s="51">
        <f t="shared" ref="W63:X63" si="152">SUM(W57:W62)</f>
        <v>2.49</v>
      </c>
      <c r="X63" s="51">
        <f t="shared" si="152"/>
        <v>0</v>
      </c>
      <c r="Y63" s="52"/>
      <c r="Z63" s="53"/>
      <c r="AA63" s="51">
        <f t="shared" ref="AA63:AB63" si="153">SUM(AA57:AA62)</f>
        <v>350</v>
      </c>
      <c r="AB63" s="68">
        <f t="shared" si="153"/>
        <v>0</v>
      </c>
      <c r="AC63" s="53"/>
      <c r="AD63" s="53"/>
      <c r="AE63" s="51">
        <f t="shared" ref="AE63:AF63" si="154">SUM(AE57:AE62)</f>
        <v>5179.868</v>
      </c>
      <c r="AF63" s="51">
        <f t="shared" si="154"/>
        <v>0</v>
      </c>
      <c r="AG63" s="52"/>
      <c r="AH63" s="53"/>
      <c r="AI63" s="51">
        <f t="shared" ref="AI63:AJ63" si="155">SUM(AI57:AI62)</f>
        <v>135.71</v>
      </c>
      <c r="AJ63" s="68">
        <f t="shared" si="155"/>
        <v>5635.7</v>
      </c>
      <c r="AK63" s="52"/>
      <c r="AL63" s="53"/>
      <c r="AM63" s="51">
        <f t="shared" ref="AM63:AN63" si="156">SUM(AM57:AM62)</f>
        <v>32.37</v>
      </c>
      <c r="AN63" s="68">
        <f t="shared" si="156"/>
        <v>0</v>
      </c>
      <c r="AO63" s="52"/>
      <c r="AP63" s="53"/>
      <c r="AQ63" s="51">
        <f t="shared" ref="AQ63:AR63" si="157">SUM(AQ57:AQ62)</f>
        <v>93.13</v>
      </c>
      <c r="AR63" s="68">
        <f t="shared" si="157"/>
        <v>172.81</v>
      </c>
      <c r="AS63" s="53"/>
      <c r="AT63" s="53"/>
      <c r="AU63" s="51">
        <f t="shared" ref="AU63:AV63" si="158">SUM(AU57:AU62)</f>
        <v>9.96</v>
      </c>
      <c r="AV63" s="51">
        <f t="shared" si="158"/>
        <v>0</v>
      </c>
      <c r="AW63" s="52"/>
      <c r="AX63" s="53"/>
      <c r="AY63" s="51">
        <f t="shared" ref="AY63:AZ63" si="159">SUM(AY57:AY62)</f>
        <v>0</v>
      </c>
      <c r="AZ63" s="68">
        <f t="shared" si="159"/>
        <v>0</v>
      </c>
      <c r="BA63" s="53"/>
      <c r="BB63" s="53"/>
      <c r="BC63" s="51">
        <f t="shared" ref="BC63:BD63" si="160">SUM(BC57:BC62)</f>
        <v>0</v>
      </c>
      <c r="BD63" s="51">
        <f t="shared" si="160"/>
        <v>0</v>
      </c>
      <c r="BE63" s="69"/>
      <c r="BF63" s="70">
        <f t="shared" ref="BF63:BH63" si="161">SUM(BF56:BF62)</f>
        <v>5803.528</v>
      </c>
      <c r="BG63" s="71">
        <f t="shared" si="161"/>
        <v>5808.51</v>
      </c>
      <c r="BH63" s="72">
        <f t="shared" si="161"/>
        <v>9.958</v>
      </c>
      <c r="BI63" s="34">
        <f>H63+BF63-BG63</f>
        <v>9.958</v>
      </c>
      <c r="BJ63" s="34">
        <f>BH63-BI63</f>
        <v>0</v>
      </c>
    </row>
    <row r="64" ht="15.75" customHeight="1" hidden="1" spans="1:60" x14ac:dyDescent="0.25">
      <c r="A64" s="29">
        <v>8</v>
      </c>
      <c r="B64" s="14"/>
      <c r="D64" s="14" t="s">
        <v>42</v>
      </c>
      <c r="F64" s="13"/>
      <c r="G64" s="28"/>
      <c r="I64" s="13"/>
      <c r="J64" s="15"/>
      <c r="K64" s="15"/>
      <c r="L64" s="28"/>
      <c r="M64" s="15"/>
      <c r="N64" s="15"/>
      <c r="O64" s="15"/>
      <c r="P64" s="15"/>
      <c r="Q64" s="13"/>
      <c r="R64" s="15"/>
      <c r="S64" s="15"/>
      <c r="T64" s="28"/>
      <c r="U64" s="15"/>
      <c r="V64" s="15"/>
      <c r="W64" s="15"/>
      <c r="X64" s="15"/>
      <c r="Y64" s="13"/>
      <c r="Z64" s="15"/>
      <c r="AA64" s="15"/>
      <c r="AB64" s="28"/>
      <c r="AC64" s="15"/>
      <c r="AD64" s="15"/>
      <c r="AE64" s="15"/>
      <c r="AF64" s="15"/>
      <c r="AG64" s="13"/>
      <c r="AH64" s="15"/>
      <c r="AI64" s="15"/>
      <c r="AJ64" s="28"/>
      <c r="AK64" s="13"/>
      <c r="AL64" s="15"/>
      <c r="AM64" s="15"/>
      <c r="AN64" s="28"/>
      <c r="AO64" s="13"/>
      <c r="AP64" s="15"/>
      <c r="AQ64" s="15"/>
      <c r="AR64" s="28"/>
      <c r="AS64" s="15"/>
      <c r="AT64" s="15"/>
      <c r="AU64" s="15"/>
      <c r="AV64" s="15"/>
      <c r="AW64" s="13"/>
      <c r="AX64" s="15"/>
      <c r="AY64" s="15"/>
      <c r="AZ64" s="28"/>
      <c r="BA64" s="15"/>
      <c r="BB64" s="15"/>
      <c r="BC64" s="15"/>
      <c r="BD64" s="15"/>
      <c r="BE64" s="14"/>
      <c r="BF64" s="13"/>
      <c r="BG64" s="15"/>
      <c r="BH64" s="28"/>
    </row>
    <row r="65" ht="15.75" customHeight="1" hidden="1" spans="1:60" x14ac:dyDescent="0.25">
      <c r="A65" s="2">
        <v>8</v>
      </c>
      <c r="B65" s="42">
        <v>4</v>
      </c>
      <c r="C65" s="2" t="s">
        <v>78</v>
      </c>
      <c r="D65" s="14" t="s">
        <v>44</v>
      </c>
      <c r="E65" s="2" t="s">
        <v>45</v>
      </c>
      <c r="F65" s="13">
        <v>2.49</v>
      </c>
      <c r="G65" s="28"/>
      <c r="H65" s="34">
        <v>74.7</v>
      </c>
      <c r="I65" s="13">
        <v>138</v>
      </c>
      <c r="J65" s="15">
        <v>0</v>
      </c>
      <c r="K65" s="34">
        <f>J65*$F$8</f>
        <v>0</v>
      </c>
      <c r="L65" s="35"/>
      <c r="M65" s="15">
        <v>138</v>
      </c>
      <c r="N65" s="15">
        <f>M65-I65</f>
        <v>0</v>
      </c>
      <c r="O65" s="34">
        <f>N65*$F$8</f>
        <v>0</v>
      </c>
      <c r="P65" s="15"/>
      <c r="Q65" s="13">
        <v>138</v>
      </c>
      <c r="R65" s="15">
        <f>Q65-M65</f>
        <v>0</v>
      </c>
      <c r="S65" s="34">
        <f>R65*$F$8</f>
        <v>0</v>
      </c>
      <c r="T65" s="28"/>
      <c r="U65" s="15">
        <v>138</v>
      </c>
      <c r="V65" s="15">
        <f>U65-Q65</f>
        <v>0</v>
      </c>
      <c r="W65" s="34">
        <f>V65*$F$8</f>
        <v>0</v>
      </c>
      <c r="X65" s="34"/>
      <c r="Y65" s="13">
        <v>141</v>
      </c>
      <c r="Z65" s="15">
        <f>Y65-U65</f>
        <v>3</v>
      </c>
      <c r="AA65" s="34">
        <f>Z65*$F$8</f>
        <v>7.47</v>
      </c>
      <c r="AB65" s="28"/>
      <c r="AC65" s="15">
        <v>150</v>
      </c>
      <c r="AD65" s="15">
        <f t="shared" ref="AD65:AD66" si="162">AC65-Y65</f>
        <v>9</v>
      </c>
      <c r="AE65" s="34">
        <f>AD65*$F$8</f>
        <v>22.41</v>
      </c>
      <c r="AF65" s="15"/>
      <c r="AG65" s="13">
        <v>155</v>
      </c>
      <c r="AH65" s="15">
        <f t="shared" ref="AH65:AH66" si="163">AG65-AC65</f>
        <v>5</v>
      </c>
      <c r="AI65" s="34">
        <f>AH65*$F$8</f>
        <v>12.45</v>
      </c>
      <c r="AJ65" s="32">
        <f>74.7+7.47+22.41</f>
        <v>104.58</v>
      </c>
      <c r="AK65" s="13">
        <v>161</v>
      </c>
      <c r="AL65" s="15">
        <f t="shared" ref="AL65:AL66" si="164">AK65-AG65</f>
        <v>6</v>
      </c>
      <c r="AM65" s="34">
        <f>AL65*$F$8</f>
        <v>14.94</v>
      </c>
      <c r="AN65" s="32">
        <v>12.45</v>
      </c>
      <c r="AO65" s="13">
        <v>179</v>
      </c>
      <c r="AP65" s="15">
        <f t="shared" ref="AP65:AP66" si="165">AO65-AK65</f>
        <v>18</v>
      </c>
      <c r="AQ65" s="34">
        <f>AP65*$F$8</f>
        <v>44.82</v>
      </c>
      <c r="AR65" s="32">
        <v>59.76</v>
      </c>
      <c r="AS65" s="15">
        <v>179</v>
      </c>
      <c r="AT65" s="37">
        <f>AS65-AO65</f>
        <v>0</v>
      </c>
      <c r="AU65" s="34">
        <f>AT65*$F$8</f>
        <v>0</v>
      </c>
      <c r="AV65" s="15"/>
      <c r="AW65" s="13">
        <v>179</v>
      </c>
      <c r="AX65" s="37">
        <f>AW65-AS65</f>
        <v>0</v>
      </c>
      <c r="AY65" s="34">
        <f>AX65*$F$8</f>
        <v>0</v>
      </c>
      <c r="AZ65" s="28"/>
      <c r="BA65" s="15">
        <v>179</v>
      </c>
      <c r="BB65" s="37">
        <f>BA65-AW65</f>
        <v>0</v>
      </c>
      <c r="BC65" s="34">
        <f>BB65*$F$8</f>
        <v>0</v>
      </c>
      <c r="BD65" s="15"/>
      <c r="BE65" s="40">
        <f t="shared" ref="BE65:BG65" si="166">J65+N65+R65+V65+Z65+AD65+AH65+AL65+AP65+AT65+AX65+BB65</f>
        <v>41</v>
      </c>
      <c r="BF65" s="41">
        <f t="shared" si="166"/>
        <v>102.09</v>
      </c>
      <c r="BG65" s="34">
        <f t="shared" si="166"/>
        <v>176.79</v>
      </c>
      <c r="BH65" s="35">
        <f t="shared" ref="BH65:BH70" si="167">H65+BF65-BG65</f>
        <v>0</v>
      </c>
    </row>
    <row r="66" ht="15.75" customHeight="1" hidden="1" spans="1:60" x14ac:dyDescent="0.25">
      <c r="A66" s="29">
        <v>8</v>
      </c>
      <c r="B66" s="14"/>
      <c r="C66" s="2" t="s">
        <v>79</v>
      </c>
      <c r="D66" s="14" t="s">
        <v>47</v>
      </c>
      <c r="E66" s="2" t="s">
        <v>48</v>
      </c>
      <c r="F66" s="13">
        <v>17.16</v>
      </c>
      <c r="G66" s="28"/>
      <c r="H66" s="73">
        <f>-(7*17.16)</f>
        <v>-120.12</v>
      </c>
      <c r="I66" s="13"/>
      <c r="J66" s="15"/>
      <c r="K66" s="15"/>
      <c r="L66" s="28"/>
      <c r="M66" s="15"/>
      <c r="N66" s="15"/>
      <c r="O66" s="15"/>
      <c r="P66" s="15"/>
      <c r="Q66" s="13"/>
      <c r="R66" s="15"/>
      <c r="S66" s="15"/>
      <c r="T66" s="28"/>
      <c r="U66" s="15"/>
      <c r="V66" s="15"/>
      <c r="W66" s="15"/>
      <c r="X66" s="15"/>
      <c r="Y66" s="13">
        <v>198</v>
      </c>
      <c r="Z66" s="15"/>
      <c r="AA66" s="15"/>
      <c r="AB66" s="28"/>
      <c r="AC66" s="15">
        <v>200</v>
      </c>
      <c r="AD66" s="15">
        <f t="shared" si="162"/>
        <v>2</v>
      </c>
      <c r="AE66" s="34">
        <f>AD66*$F$10</f>
        <v>34.32</v>
      </c>
      <c r="AF66" s="15"/>
      <c r="AG66" s="13">
        <v>200</v>
      </c>
      <c r="AH66" s="15">
        <f t="shared" si="163"/>
        <v>0</v>
      </c>
      <c r="AI66" s="45">
        <f>AH66*$G$10</f>
        <v>0</v>
      </c>
      <c r="AJ66" s="32">
        <v>34.32</v>
      </c>
      <c r="AK66" s="13">
        <v>222</v>
      </c>
      <c r="AL66" s="15">
        <f t="shared" si="164"/>
        <v>22</v>
      </c>
      <c r="AM66" s="45">
        <f>AL66*$G$10</f>
        <v>388.96</v>
      </c>
      <c r="AN66" s="32">
        <v>268.84</v>
      </c>
      <c r="AO66" s="13">
        <v>230</v>
      </c>
      <c r="AP66" s="15">
        <f t="shared" si="165"/>
        <v>8</v>
      </c>
      <c r="AQ66" s="45">
        <f>AP66*$G$10</f>
        <v>141.44</v>
      </c>
      <c r="AR66" s="32">
        <v>141.44</v>
      </c>
      <c r="AS66" s="15"/>
      <c r="AT66" s="15"/>
      <c r="AU66" s="15"/>
      <c r="AV66" s="15"/>
      <c r="AW66" s="13"/>
      <c r="AX66" s="15"/>
      <c r="AY66" s="15"/>
      <c r="AZ66" s="28"/>
      <c r="BA66" s="15"/>
      <c r="BB66" s="15"/>
      <c r="BC66" s="15"/>
      <c r="BD66" s="15"/>
      <c r="BE66" s="40">
        <f t="shared" ref="BE66:BG66" si="168">J66+N66+R66+V66+Z66+AD66+AH66+AL66+AP66+AT66+AX66+BB66</f>
        <v>32</v>
      </c>
      <c r="BF66" s="41">
        <f t="shared" si="168"/>
        <v>564.72</v>
      </c>
      <c r="BG66" s="34">
        <f t="shared" si="168"/>
        <v>444.6</v>
      </c>
      <c r="BH66" s="35">
        <f t="shared" si="167"/>
        <v>0</v>
      </c>
    </row>
    <row r="67" ht="15.75" customHeight="1" hidden="1" spans="1:60" x14ac:dyDescent="0.25">
      <c r="A67" s="29">
        <v>8</v>
      </c>
      <c r="B67" s="14"/>
      <c r="C67" s="2" t="s">
        <v>80</v>
      </c>
      <c r="D67" s="14" t="s">
        <v>47</v>
      </c>
      <c r="E67" s="2" t="s">
        <v>49</v>
      </c>
      <c r="F67" s="41">
        <v>300</v>
      </c>
      <c r="G67" s="35"/>
      <c r="I67" s="13"/>
      <c r="J67" s="15"/>
      <c r="K67" s="15"/>
      <c r="L67" s="28"/>
      <c r="M67" s="15"/>
      <c r="N67" s="15"/>
      <c r="O67" s="15"/>
      <c r="P67" s="15"/>
      <c r="Q67" s="13"/>
      <c r="R67" s="15"/>
      <c r="S67" s="15"/>
      <c r="T67" s="28"/>
      <c r="U67" s="15"/>
      <c r="V67" s="15"/>
      <c r="W67" s="15"/>
      <c r="X67" s="15"/>
      <c r="Y67" s="13"/>
      <c r="Z67" s="15"/>
      <c r="AA67" s="15"/>
      <c r="AB67" s="28"/>
      <c r="AC67" s="15"/>
      <c r="AD67" s="15"/>
      <c r="AE67" s="34"/>
      <c r="AF67" s="15"/>
      <c r="AG67" s="13"/>
      <c r="AH67" s="15"/>
      <c r="AI67" s="34"/>
      <c r="AJ67" s="28"/>
      <c r="AK67" s="13"/>
      <c r="AL67" s="15"/>
      <c r="AM67" s="34"/>
      <c r="AN67" s="28"/>
      <c r="AO67" s="13"/>
      <c r="AP67" s="15"/>
      <c r="AQ67" s="34"/>
      <c r="AR67" s="28"/>
      <c r="AS67" s="15"/>
      <c r="AT67" s="15"/>
      <c r="AU67" s="15"/>
      <c r="AV67" s="15"/>
      <c r="AW67" s="13"/>
      <c r="AX67" s="15"/>
      <c r="AY67" s="15"/>
      <c r="AZ67" s="28"/>
      <c r="BA67" s="15"/>
      <c r="BB67" s="15"/>
      <c r="BC67" s="15"/>
      <c r="BD67" s="15"/>
      <c r="BE67" s="14"/>
      <c r="BF67" s="41">
        <f t="shared" ref="BF67:BG67" si="169">K67+O67+S67+W67+AA67+AE67+AI67+AM67+AQ67+AU67+AY67+BC67</f>
        <v>0</v>
      </c>
      <c r="BG67" s="34">
        <f t="shared" si="169"/>
        <v>0</v>
      </c>
      <c r="BH67" s="35">
        <f t="shared" si="167"/>
        <v>0</v>
      </c>
    </row>
    <row r="68" ht="15.75" customHeight="1" hidden="1" spans="1:60" x14ac:dyDescent="0.25">
      <c r="A68" s="29">
        <v>8</v>
      </c>
      <c r="B68" s="14"/>
      <c r="C68" s="15" t="s">
        <v>81</v>
      </c>
      <c r="D68" s="14" t="s">
        <v>50</v>
      </c>
      <c r="E68" s="2" t="s">
        <v>49</v>
      </c>
      <c r="F68" s="41">
        <v>1062.88</v>
      </c>
      <c r="G68" s="35"/>
      <c r="I68" s="13"/>
      <c r="J68" s="15"/>
      <c r="K68" s="15"/>
      <c r="L68" s="28"/>
      <c r="M68" s="15"/>
      <c r="N68" s="15"/>
      <c r="O68" s="15"/>
      <c r="P68" s="15"/>
      <c r="Q68" s="13"/>
      <c r="R68" s="15"/>
      <c r="S68" s="15"/>
      <c r="T68" s="28"/>
      <c r="U68" s="15"/>
      <c r="V68" s="15"/>
      <c r="W68" s="15"/>
      <c r="X68" s="15"/>
      <c r="Y68" s="13"/>
      <c r="Z68" s="15"/>
      <c r="AA68" s="15"/>
      <c r="AB68" s="28"/>
      <c r="AC68" s="15"/>
      <c r="AD68" s="15"/>
      <c r="AE68" s="34">
        <f>B65*$F$12</f>
        <v>4251.52</v>
      </c>
      <c r="AF68" s="15"/>
      <c r="AG68" s="13"/>
      <c r="AH68" s="15"/>
      <c r="AI68" s="15"/>
      <c r="AJ68" s="28"/>
      <c r="AK68" s="13"/>
      <c r="AL68" s="15"/>
      <c r="AM68" s="15"/>
      <c r="AN68" s="32">
        <v>4251.52</v>
      </c>
      <c r="AO68" s="13"/>
      <c r="AP68" s="15"/>
      <c r="AQ68" s="15"/>
      <c r="AR68" s="28"/>
      <c r="AS68" s="15"/>
      <c r="AT68" s="15"/>
      <c r="AU68" s="15"/>
      <c r="AV68" s="15"/>
      <c r="AW68" s="13"/>
      <c r="AX68" s="15"/>
      <c r="AY68" s="15"/>
      <c r="AZ68" s="28"/>
      <c r="BA68" s="15"/>
      <c r="BB68" s="15"/>
      <c r="BC68" s="15"/>
      <c r="BD68" s="15"/>
      <c r="BE68" s="14"/>
      <c r="BF68" s="41">
        <f>B65*$F$12</f>
        <v>4251.52</v>
      </c>
      <c r="BG68" s="34">
        <f t="shared" ref="BG68:BG70" si="170">L68+P68+T68+X68+AB68+AF68+AJ68+AN68+AR68+AV68+AZ68+BD68</f>
        <v>4251.52</v>
      </c>
      <c r="BH68" s="35">
        <f t="shared" si="167"/>
        <v>0</v>
      </c>
    </row>
    <row r="69" ht="15.75" customHeight="1" hidden="1" spans="1:60" x14ac:dyDescent="0.25">
      <c r="A69" s="29">
        <v>8</v>
      </c>
      <c r="B69" s="14"/>
      <c r="C69" s="2"/>
      <c r="D69" s="14" t="s">
        <v>51</v>
      </c>
      <c r="E69" s="2" t="s">
        <v>49</v>
      </c>
      <c r="F69" s="41">
        <v>0</v>
      </c>
      <c r="G69" s="35"/>
      <c r="I69" s="13"/>
      <c r="J69" s="15"/>
      <c r="K69" s="15"/>
      <c r="L69" s="28"/>
      <c r="M69" s="15"/>
      <c r="N69" s="15"/>
      <c r="O69" s="15"/>
      <c r="P69" s="15"/>
      <c r="Q69" s="13"/>
      <c r="R69" s="15"/>
      <c r="S69" s="15"/>
      <c r="T69" s="28"/>
      <c r="U69" s="15"/>
      <c r="V69" s="15"/>
      <c r="W69" s="15"/>
      <c r="X69" s="15"/>
      <c r="Y69" s="13"/>
      <c r="Z69" s="15"/>
      <c r="AA69" s="15"/>
      <c r="AB69" s="28"/>
      <c r="AC69" s="15"/>
      <c r="AD69" s="15"/>
      <c r="AE69" s="15"/>
      <c r="AF69" s="15"/>
      <c r="AG69" s="13"/>
      <c r="AH69" s="15"/>
      <c r="AI69" s="15"/>
      <c r="AJ69" s="28"/>
      <c r="AK69" s="13"/>
      <c r="AL69" s="15"/>
      <c r="AM69" s="15"/>
      <c r="AN69" s="28"/>
      <c r="AO69" s="13"/>
      <c r="AP69" s="15"/>
      <c r="AQ69" s="15"/>
      <c r="AR69" s="28"/>
      <c r="AS69" s="15"/>
      <c r="AT69" s="15"/>
      <c r="AU69" s="15"/>
      <c r="AV69" s="15"/>
      <c r="AW69" s="13"/>
      <c r="AX69" s="15"/>
      <c r="AY69" s="15"/>
      <c r="AZ69" s="28"/>
      <c r="BA69" s="15"/>
      <c r="BB69" s="15"/>
      <c r="BC69" s="15"/>
      <c r="BD69" s="15"/>
      <c r="BE69" s="14"/>
      <c r="BF69" s="41">
        <f>B65*$F$13</f>
        <v>0</v>
      </c>
      <c r="BG69" s="34">
        <f t="shared" si="170"/>
        <v>0</v>
      </c>
      <c r="BH69" s="35">
        <f t="shared" si="167"/>
        <v>0</v>
      </c>
    </row>
    <row r="70" ht="15.75" customHeight="1" hidden="1" spans="1:60" x14ac:dyDescent="0.25">
      <c r="A70" s="29">
        <v>8</v>
      </c>
      <c r="B70" s="14"/>
      <c r="D70" s="14" t="s">
        <v>52</v>
      </c>
      <c r="E70" s="2" t="s">
        <v>39</v>
      </c>
      <c r="F70" s="41">
        <v>350</v>
      </c>
      <c r="G70" s="35"/>
      <c r="I70" s="13"/>
      <c r="J70" s="15"/>
      <c r="K70" s="15"/>
      <c r="L70" s="28"/>
      <c r="M70" s="15"/>
      <c r="N70" s="15"/>
      <c r="O70" s="15"/>
      <c r="P70" s="15"/>
      <c r="Q70" s="13"/>
      <c r="R70" s="15"/>
      <c r="S70" s="15"/>
      <c r="T70" s="28"/>
      <c r="U70" s="15"/>
      <c r="V70" s="15"/>
      <c r="W70" s="15"/>
      <c r="X70" s="15"/>
      <c r="Y70" s="13"/>
      <c r="Z70" s="15"/>
      <c r="AA70" s="34">
        <f>$F$14</f>
        <v>350</v>
      </c>
      <c r="AB70" s="28"/>
      <c r="AC70" s="15"/>
      <c r="AD70" s="15"/>
      <c r="AE70" s="15"/>
      <c r="AF70" s="15"/>
      <c r="AG70" s="13"/>
      <c r="AH70" s="15"/>
      <c r="AI70" s="15"/>
      <c r="AJ70" s="28"/>
      <c r="AK70" s="13"/>
      <c r="AL70" s="15"/>
      <c r="AM70" s="15"/>
      <c r="AN70" s="38">
        <v>350</v>
      </c>
      <c r="AO70" s="13"/>
      <c r="AP70" s="15"/>
      <c r="AQ70" s="15"/>
      <c r="AR70" s="28"/>
      <c r="AS70" s="15"/>
      <c r="AT70" s="15"/>
      <c r="AU70" s="15"/>
      <c r="AV70" s="15"/>
      <c r="AW70" s="13"/>
      <c r="AX70" s="15"/>
      <c r="AY70" s="15"/>
      <c r="AZ70" s="28"/>
      <c r="BA70" s="15"/>
      <c r="BB70" s="15"/>
      <c r="BC70" s="15"/>
      <c r="BD70" s="15"/>
      <c r="BE70" s="14"/>
      <c r="BF70" s="41">
        <f>$F$14</f>
        <v>350</v>
      </c>
      <c r="BG70" s="34">
        <f t="shared" si="170"/>
        <v>350</v>
      </c>
      <c r="BH70" s="35">
        <f t="shared" si="167"/>
        <v>0</v>
      </c>
    </row>
    <row r="71" ht="15.75" customHeight="1" hidden="1" spans="1:62" x14ac:dyDescent="0.25">
      <c r="A71" s="50">
        <v>8</v>
      </c>
      <c r="B71" s="21"/>
      <c r="C71" s="22" t="s">
        <v>53</v>
      </c>
      <c r="D71" s="21"/>
      <c r="E71" s="22"/>
      <c r="F71" s="20"/>
      <c r="G71" s="23"/>
      <c r="H71" s="51">
        <f>SUM(H64:H70)</f>
        <v>-45.42</v>
      </c>
      <c r="I71" s="52"/>
      <c r="J71" s="53"/>
      <c r="K71" s="51">
        <f t="shared" ref="K71:L71" si="171">SUM(K65:K70)</f>
        <v>0</v>
      </c>
      <c r="L71" s="68">
        <f t="shared" si="171"/>
        <v>0</v>
      </c>
      <c r="M71" s="53"/>
      <c r="N71" s="53"/>
      <c r="O71" s="51">
        <f t="shared" ref="O71:P71" si="172">SUM(O65:O70)</f>
        <v>0</v>
      </c>
      <c r="P71" s="51">
        <f t="shared" si="172"/>
        <v>0</v>
      </c>
      <c r="Q71" s="52"/>
      <c r="R71" s="53"/>
      <c r="S71" s="51">
        <f t="shared" ref="S71:T71" si="173">SUM(S65:S70)</f>
        <v>0</v>
      </c>
      <c r="T71" s="68">
        <f t="shared" si="173"/>
        <v>0</v>
      </c>
      <c r="U71" s="53"/>
      <c r="V71" s="53"/>
      <c r="W71" s="51">
        <f t="shared" ref="W71:X71" si="174">SUM(W65:W70)</f>
        <v>0</v>
      </c>
      <c r="X71" s="51">
        <f t="shared" si="174"/>
        <v>0</v>
      </c>
      <c r="Y71" s="52"/>
      <c r="Z71" s="53"/>
      <c r="AA71" s="51">
        <f t="shared" ref="AA71:AB71" si="175">SUM(AA65:AA70)</f>
        <v>357.47</v>
      </c>
      <c r="AB71" s="68">
        <f t="shared" si="175"/>
        <v>0</v>
      </c>
      <c r="AC71" s="53"/>
      <c r="AD71" s="53"/>
      <c r="AE71" s="51">
        <f t="shared" ref="AE71:AF71" si="176">SUM(AE65:AE70)</f>
        <v>4308.25</v>
      </c>
      <c r="AF71" s="51">
        <f t="shared" si="176"/>
        <v>0</v>
      </c>
      <c r="AG71" s="52"/>
      <c r="AH71" s="53"/>
      <c r="AI71" s="51">
        <f t="shared" ref="AI71:AJ71" si="177">SUM(AI65:AI70)</f>
        <v>12.45</v>
      </c>
      <c r="AJ71" s="68">
        <f t="shared" si="177"/>
        <v>138.9</v>
      </c>
      <c r="AK71" s="52"/>
      <c r="AL71" s="53"/>
      <c r="AM71" s="51">
        <f t="shared" ref="AM71:AN71" si="178">SUM(AM65:AM70)</f>
        <v>403.9</v>
      </c>
      <c r="AN71" s="68">
        <f t="shared" si="178"/>
        <v>4882.81</v>
      </c>
      <c r="AO71" s="52"/>
      <c r="AP71" s="53"/>
      <c r="AQ71" s="51">
        <f t="shared" ref="AQ71:AR71" si="179">SUM(AQ65:AQ70)</f>
        <v>186.26</v>
      </c>
      <c r="AR71" s="68">
        <f t="shared" si="179"/>
        <v>201.2</v>
      </c>
      <c r="AS71" s="53"/>
      <c r="AT71" s="53"/>
      <c r="AU71" s="51">
        <f t="shared" ref="AU71:AV71" si="180">SUM(AU65:AU70)</f>
        <v>0</v>
      </c>
      <c r="AV71" s="51">
        <f t="shared" si="180"/>
        <v>0</v>
      </c>
      <c r="AW71" s="52"/>
      <c r="AX71" s="53"/>
      <c r="AY71" s="51">
        <f t="shared" ref="AY71:AZ71" si="181">SUM(AY65:AY70)</f>
        <v>0</v>
      </c>
      <c r="AZ71" s="68">
        <f t="shared" si="181"/>
        <v>0</v>
      </c>
      <c r="BA71" s="53"/>
      <c r="BB71" s="53"/>
      <c r="BC71" s="51">
        <f t="shared" ref="BC71:BD71" si="182">SUM(BC65:BC70)</f>
        <v>0</v>
      </c>
      <c r="BD71" s="51">
        <f t="shared" si="182"/>
        <v>0</v>
      </c>
      <c r="BE71" s="69"/>
      <c r="BF71" s="70">
        <f t="shared" ref="BF71:BH71" si="183">SUM(BF64:BF70)</f>
        <v>5268.33</v>
      </c>
      <c r="BG71" s="71">
        <f t="shared" si="183"/>
        <v>5222.91</v>
      </c>
      <c r="BH71" s="72">
        <f t="shared" si="183"/>
        <v>0</v>
      </c>
      <c r="BI71" s="34">
        <f>H71+BF71-BG71</f>
        <v>0</v>
      </c>
      <c r="BJ71" s="34">
        <f>BH71-BI71</f>
        <v>0</v>
      </c>
    </row>
    <row r="72" ht="15.75" customHeight="1" hidden="1" spans="1:60" x14ac:dyDescent="0.25">
      <c r="A72" s="29">
        <v>9</v>
      </c>
      <c r="B72" s="14"/>
      <c r="D72" s="14" t="s">
        <v>42</v>
      </c>
      <c r="F72" s="13"/>
      <c r="G72" s="28"/>
      <c r="I72" s="13"/>
      <c r="J72" s="15"/>
      <c r="K72" s="15"/>
      <c r="L72" s="28"/>
      <c r="M72" s="15"/>
      <c r="N72" s="15"/>
      <c r="O72" s="15"/>
      <c r="P72" s="15"/>
      <c r="Q72" s="13"/>
      <c r="R72" s="15"/>
      <c r="S72" s="15"/>
      <c r="T72" s="28"/>
      <c r="U72" s="15"/>
      <c r="V72" s="15"/>
      <c r="W72" s="15"/>
      <c r="X72" s="15"/>
      <c r="Y72" s="13"/>
      <c r="Z72" s="15"/>
      <c r="AA72" s="15"/>
      <c r="AB72" s="28"/>
      <c r="AC72" s="15"/>
      <c r="AD72" s="15"/>
      <c r="AE72" s="15"/>
      <c r="AF72" s="15"/>
      <c r="AG72" s="13"/>
      <c r="AH72" s="15"/>
      <c r="AI72" s="15"/>
      <c r="AJ72" s="28"/>
      <c r="AK72" s="13"/>
      <c r="AL72" s="15"/>
      <c r="AM72" s="15"/>
      <c r="AN72" s="28"/>
      <c r="AO72" s="13"/>
      <c r="AP72" s="15"/>
      <c r="AQ72" s="15"/>
      <c r="AR72" s="28"/>
      <c r="AS72" s="15"/>
      <c r="AT72" s="15"/>
      <c r="AU72" s="15"/>
      <c r="AV72" s="15"/>
      <c r="AW72" s="13"/>
      <c r="AX72" s="15"/>
      <c r="AY72" s="15"/>
      <c r="AZ72" s="28"/>
      <c r="BA72" s="15"/>
      <c r="BB72" s="15"/>
      <c r="BC72" s="15"/>
      <c r="BD72" s="15"/>
      <c r="BE72" s="14"/>
      <c r="BF72" s="13"/>
      <c r="BG72" s="15"/>
      <c r="BH72" s="28"/>
    </row>
    <row r="73" ht="15.75" customHeight="1" hidden="1" spans="1:60" x14ac:dyDescent="0.25">
      <c r="A73" s="2">
        <v>9</v>
      </c>
      <c r="B73" s="14">
        <v>4.03</v>
      </c>
      <c r="C73" s="2" t="s">
        <v>82</v>
      </c>
      <c r="D73" s="14" t="s">
        <v>44</v>
      </c>
      <c r="E73" s="2" t="s">
        <v>45</v>
      </c>
      <c r="F73" s="13">
        <v>2.49</v>
      </c>
      <c r="G73" s="28"/>
      <c r="I73" s="13">
        <v>30</v>
      </c>
      <c r="J73" s="15">
        <v>0</v>
      </c>
      <c r="K73" s="34">
        <f>J73*$F$8</f>
        <v>0</v>
      </c>
      <c r="L73" s="28"/>
      <c r="M73" s="15">
        <v>30</v>
      </c>
      <c r="N73" s="15">
        <f>M73-I73</f>
        <v>0</v>
      </c>
      <c r="O73" s="34">
        <f>N73*$F$8</f>
        <v>0</v>
      </c>
      <c r="P73" s="15"/>
      <c r="Q73" s="13">
        <v>30</v>
      </c>
      <c r="R73" s="15">
        <f>Q73-M73</f>
        <v>0</v>
      </c>
      <c r="S73" s="34">
        <f>R73*$F$8</f>
        <v>0</v>
      </c>
      <c r="T73" s="28"/>
      <c r="U73" s="15">
        <v>30</v>
      </c>
      <c r="V73" s="15">
        <f>U73-Q73</f>
        <v>0</v>
      </c>
      <c r="W73" s="34">
        <f>V73*$F$8</f>
        <v>0</v>
      </c>
      <c r="X73" s="15"/>
      <c r="Y73" s="13">
        <v>30</v>
      </c>
      <c r="Z73" s="15">
        <f>Y73-U73</f>
        <v>0</v>
      </c>
      <c r="AA73" s="34">
        <f>Z73*$F$8</f>
        <v>0</v>
      </c>
      <c r="AB73" s="28"/>
      <c r="AC73" s="15">
        <v>30</v>
      </c>
      <c r="AD73" s="15">
        <f t="shared" ref="AD73:AD74" si="184">AC73-Y73</f>
        <v>0</v>
      </c>
      <c r="AE73" s="34">
        <f>AD73*$F$8</f>
        <v>0</v>
      </c>
      <c r="AF73" s="15"/>
      <c r="AG73" s="13">
        <v>34</v>
      </c>
      <c r="AH73" s="15">
        <f t="shared" ref="AH73:AH74" si="185">AG73-AC73</f>
        <v>4</v>
      </c>
      <c r="AI73" s="34">
        <f>AH73*$F$8</f>
        <v>9.96</v>
      </c>
      <c r="AJ73" s="28"/>
      <c r="AK73" s="13">
        <v>40</v>
      </c>
      <c r="AL73" s="15">
        <f t="shared" ref="AL73:AL74" si="186">AK73-AG73</f>
        <v>6</v>
      </c>
      <c r="AM73" s="34">
        <f>AL73*$F$8</f>
        <v>14.94</v>
      </c>
      <c r="AN73" s="35">
        <v>24.9</v>
      </c>
      <c r="AO73" s="13">
        <v>41</v>
      </c>
      <c r="AP73" s="15">
        <f t="shared" ref="AP73:AP74" si="187">AO73-AK73</f>
        <v>1</v>
      </c>
      <c r="AQ73" s="34">
        <f>AP73*$F$8</f>
        <v>2.49</v>
      </c>
      <c r="AR73" s="28"/>
      <c r="AS73" s="15">
        <v>41</v>
      </c>
      <c r="AT73" s="37">
        <f>AS73-AO73</f>
        <v>0</v>
      </c>
      <c r="AU73" s="34">
        <f>AT73*$F$8</f>
        <v>0</v>
      </c>
      <c r="AV73" s="15"/>
      <c r="AW73" s="13">
        <v>41</v>
      </c>
      <c r="AX73" s="37">
        <f>AW73-AS73</f>
        <v>0</v>
      </c>
      <c r="AY73" s="34">
        <f>AX73*$F$8</f>
        <v>0</v>
      </c>
      <c r="AZ73" s="28"/>
      <c r="BA73" s="13">
        <v>41</v>
      </c>
      <c r="BB73" s="37">
        <f>BA73-AW73</f>
        <v>0</v>
      </c>
      <c r="BC73" s="34">
        <f>BB73*$F$8</f>
        <v>0</v>
      </c>
      <c r="BD73" s="15"/>
      <c r="BE73" s="40">
        <f t="shared" ref="BE73:BG73" si="188">J73+N73+R73+V73+Z73+AD73+AH73+AL73+AP73+AT73+AX73+BB73</f>
        <v>11</v>
      </c>
      <c r="BF73" s="41">
        <f t="shared" si="188"/>
        <v>27.39</v>
      </c>
      <c r="BG73" s="34">
        <f t="shared" si="188"/>
        <v>24.9</v>
      </c>
      <c r="BH73" s="35">
        <f t="shared" ref="BH73:BH78" si="189">H73+BF73-BG73</f>
        <v>2.49</v>
      </c>
    </row>
    <row r="74" ht="15.75" customHeight="1" hidden="1" spans="1:60" x14ac:dyDescent="0.25">
      <c r="A74" s="29">
        <v>9</v>
      </c>
      <c r="B74" s="14"/>
      <c r="C74" s="2" t="s">
        <v>83</v>
      </c>
      <c r="D74" s="14" t="s">
        <v>47</v>
      </c>
      <c r="E74" s="2" t="s">
        <v>48</v>
      </c>
      <c r="F74" s="13">
        <v>17.16</v>
      </c>
      <c r="G74" s="28"/>
      <c r="H74" s="73">
        <f>-(2*17.16)</f>
        <v>-34.32</v>
      </c>
      <c r="I74" s="13"/>
      <c r="J74" s="15"/>
      <c r="K74" s="15"/>
      <c r="L74" s="28"/>
      <c r="M74" s="15"/>
      <c r="N74" s="15"/>
      <c r="O74" s="15"/>
      <c r="P74" s="15"/>
      <c r="Q74" s="13"/>
      <c r="R74" s="15"/>
      <c r="S74" s="15"/>
      <c r="T74" s="28"/>
      <c r="U74" s="15"/>
      <c r="V74" s="15"/>
      <c r="W74" s="15"/>
      <c r="X74" s="15"/>
      <c r="Y74" s="13">
        <v>77</v>
      </c>
      <c r="Z74" s="15"/>
      <c r="AA74" s="15"/>
      <c r="AB74" s="28"/>
      <c r="AC74" s="15">
        <v>77</v>
      </c>
      <c r="AD74" s="15">
        <f t="shared" si="184"/>
        <v>0</v>
      </c>
      <c r="AE74" s="34">
        <f>AD74*$F$10</f>
        <v>0</v>
      </c>
      <c r="AF74" s="15"/>
      <c r="AG74" s="13">
        <v>85</v>
      </c>
      <c r="AH74" s="15">
        <f t="shared" si="185"/>
        <v>8</v>
      </c>
      <c r="AI74" s="45">
        <f>AH74*$G$10</f>
        <v>141.44</v>
      </c>
      <c r="AJ74" s="32">
        <v>107.12</v>
      </c>
      <c r="AK74" s="13">
        <v>90</v>
      </c>
      <c r="AL74" s="15">
        <f t="shared" si="186"/>
        <v>5</v>
      </c>
      <c r="AM74" s="45">
        <f>AL74*$G$10</f>
        <v>88.4</v>
      </c>
      <c r="AN74" s="38">
        <v>88.4</v>
      </c>
      <c r="AO74" s="13">
        <v>90</v>
      </c>
      <c r="AP74" s="15">
        <f t="shared" si="187"/>
        <v>0</v>
      </c>
      <c r="AQ74" s="45">
        <f>AP74*$G$10</f>
        <v>0</v>
      </c>
      <c r="AR74" s="28"/>
      <c r="AS74" s="15"/>
      <c r="AT74" s="15"/>
      <c r="AU74" s="15"/>
      <c r="AV74" s="15"/>
      <c r="AW74" s="13"/>
      <c r="AX74" s="15"/>
      <c r="AY74" s="15"/>
      <c r="AZ74" s="28"/>
      <c r="BA74" s="15"/>
      <c r="BB74" s="15"/>
      <c r="BC74" s="15"/>
      <c r="BD74" s="15"/>
      <c r="BE74" s="40">
        <f t="shared" ref="BE74:BG74" si="190">J74+N74+R74+V74+Z74+AD74+AH74+AL74+AP74+AT74+AX74+BB74</f>
        <v>13</v>
      </c>
      <c r="BF74" s="41">
        <f t="shared" si="190"/>
        <v>229.84</v>
      </c>
      <c r="BG74" s="34">
        <f t="shared" si="190"/>
        <v>195.52</v>
      </c>
      <c r="BH74" s="35">
        <f t="shared" si="189"/>
        <v>0</v>
      </c>
    </row>
    <row r="75" ht="15.75" customHeight="1" hidden="1" spans="1:60" x14ac:dyDescent="0.25">
      <c r="A75" s="29">
        <v>9</v>
      </c>
      <c r="B75" s="14"/>
      <c r="C75" s="2" t="s">
        <v>84</v>
      </c>
      <c r="D75" s="14" t="s">
        <v>47</v>
      </c>
      <c r="E75" s="2" t="s">
        <v>49</v>
      </c>
      <c r="F75" s="41">
        <v>300</v>
      </c>
      <c r="G75" s="35"/>
      <c r="I75" s="13"/>
      <c r="J75" s="15"/>
      <c r="K75" s="15"/>
      <c r="L75" s="28"/>
      <c r="M75" s="15"/>
      <c r="N75" s="15"/>
      <c r="O75" s="15"/>
      <c r="P75" s="15"/>
      <c r="Q75" s="13"/>
      <c r="R75" s="15"/>
      <c r="S75" s="15"/>
      <c r="T75" s="28"/>
      <c r="U75" s="15"/>
      <c r="V75" s="15"/>
      <c r="W75" s="15"/>
      <c r="X75" s="15"/>
      <c r="Y75" s="13"/>
      <c r="Z75" s="15"/>
      <c r="AA75" s="15"/>
      <c r="AB75" s="28"/>
      <c r="AC75" s="15"/>
      <c r="AD75" s="15"/>
      <c r="AE75" s="34"/>
      <c r="AF75" s="15"/>
      <c r="AG75" s="13"/>
      <c r="AH75" s="15"/>
      <c r="AI75" s="34"/>
      <c r="AJ75" s="28"/>
      <c r="AK75" s="13"/>
      <c r="AL75" s="15"/>
      <c r="AM75" s="34"/>
      <c r="AN75" s="28"/>
      <c r="AO75" s="13"/>
      <c r="AP75" s="15"/>
      <c r="AQ75" s="34"/>
      <c r="AR75" s="28"/>
      <c r="AS75" s="15"/>
      <c r="AT75" s="15"/>
      <c r="AU75" s="15"/>
      <c r="AV75" s="15"/>
      <c r="AW75" s="13"/>
      <c r="AX75" s="15"/>
      <c r="AY75" s="15"/>
      <c r="AZ75" s="28"/>
      <c r="BA75" s="15"/>
      <c r="BB75" s="15"/>
      <c r="BC75" s="15"/>
      <c r="BD75" s="15"/>
      <c r="BE75" s="14"/>
      <c r="BF75" s="41">
        <f t="shared" ref="BF75:BG75" si="191">K75+O75+S75+W75+AA75+AE75+AI75+AM75+AQ75+AU75+AY75+BC75</f>
        <v>0</v>
      </c>
      <c r="BG75" s="34">
        <f t="shared" si="191"/>
        <v>0</v>
      </c>
      <c r="BH75" s="35">
        <f t="shared" si="189"/>
        <v>0</v>
      </c>
    </row>
    <row r="76" ht="15.75" customHeight="1" hidden="1" spans="1:60" x14ac:dyDescent="0.25">
      <c r="A76" s="29">
        <v>9</v>
      </c>
      <c r="B76" s="14"/>
      <c r="C76" s="15" t="s">
        <v>85</v>
      </c>
      <c r="D76" s="14" t="s">
        <v>50</v>
      </c>
      <c r="E76" s="2" t="s">
        <v>49</v>
      </c>
      <c r="F76" s="41">
        <v>1062.88</v>
      </c>
      <c r="G76" s="35"/>
      <c r="I76" s="13"/>
      <c r="J76" s="15"/>
      <c r="K76" s="15"/>
      <c r="L76" s="28"/>
      <c r="M76" s="15"/>
      <c r="N76" s="15"/>
      <c r="O76" s="15"/>
      <c r="P76" s="15"/>
      <c r="Q76" s="13"/>
      <c r="R76" s="15"/>
      <c r="S76" s="15"/>
      <c r="T76" s="28"/>
      <c r="U76" s="15"/>
      <c r="V76" s="15"/>
      <c r="W76" s="15"/>
      <c r="X76" s="15"/>
      <c r="Y76" s="13"/>
      <c r="Z76" s="15"/>
      <c r="AA76" s="15"/>
      <c r="AB76" s="28"/>
      <c r="AC76" s="15"/>
      <c r="AD76" s="15"/>
      <c r="AE76" s="34">
        <f>B73*$F$12</f>
        <v>4283.4064</v>
      </c>
      <c r="AF76" s="34">
        <v>3600</v>
      </c>
      <c r="AG76" s="13"/>
      <c r="AH76" s="15"/>
      <c r="AI76" s="15"/>
      <c r="AJ76" s="32">
        <v>683.41</v>
      </c>
      <c r="AK76" s="13"/>
      <c r="AL76" s="15"/>
      <c r="AM76" s="15"/>
      <c r="AN76" s="28"/>
      <c r="AO76" s="13"/>
      <c r="AP76" s="15"/>
      <c r="AQ76" s="15"/>
      <c r="AR76" s="28"/>
      <c r="AS76" s="15"/>
      <c r="AT76" s="15"/>
      <c r="AU76" s="15"/>
      <c r="AV76" s="15"/>
      <c r="AW76" s="13"/>
      <c r="AX76" s="15"/>
      <c r="AY76" s="15"/>
      <c r="AZ76" s="28"/>
      <c r="BA76" s="15"/>
      <c r="BB76" s="15"/>
      <c r="BC76" s="15"/>
      <c r="BD76" s="15"/>
      <c r="BE76" s="14"/>
      <c r="BF76" s="41">
        <f>B73*$F$12</f>
        <v>4283.4064</v>
      </c>
      <c r="BG76" s="34">
        <f t="shared" ref="BG76:BG78" si="192">L76+P76+T76+X76+AB76+AF76+AJ76+AN76+AR76+AV76+AZ76+BD76</f>
        <v>4283.41</v>
      </c>
      <c r="BH76" s="35">
        <f t="shared" si="189"/>
        <v>-0.003599999999</v>
      </c>
    </row>
    <row r="77" ht="15.75" customHeight="1" hidden="1" spans="1:60" x14ac:dyDescent="0.25">
      <c r="A77" s="29">
        <v>9</v>
      </c>
      <c r="B77" s="14"/>
      <c r="D77" s="14" t="s">
        <v>51</v>
      </c>
      <c r="E77" s="2" t="s">
        <v>49</v>
      </c>
      <c r="F77" s="41">
        <v>0</v>
      </c>
      <c r="G77" s="35"/>
      <c r="I77" s="13"/>
      <c r="J77" s="15"/>
      <c r="K77" s="15"/>
      <c r="L77" s="28"/>
      <c r="M77" s="15"/>
      <c r="N77" s="15"/>
      <c r="O77" s="15"/>
      <c r="P77" s="15"/>
      <c r="Q77" s="13"/>
      <c r="R77" s="15"/>
      <c r="S77" s="15"/>
      <c r="T77" s="28"/>
      <c r="U77" s="15"/>
      <c r="V77" s="15"/>
      <c r="W77" s="15"/>
      <c r="X77" s="15"/>
      <c r="Y77" s="13"/>
      <c r="Z77" s="15"/>
      <c r="AA77" s="15"/>
      <c r="AB77" s="28"/>
      <c r="AC77" s="15"/>
      <c r="AD77" s="15"/>
      <c r="AE77" s="15"/>
      <c r="AF77" s="15"/>
      <c r="AG77" s="13"/>
      <c r="AH77" s="15"/>
      <c r="AI77" s="15"/>
      <c r="AJ77" s="28"/>
      <c r="AK77" s="13"/>
      <c r="AL77" s="15"/>
      <c r="AM77" s="15"/>
      <c r="AN77" s="28"/>
      <c r="AO77" s="13"/>
      <c r="AP77" s="15"/>
      <c r="AQ77" s="15"/>
      <c r="AR77" s="28"/>
      <c r="AS77" s="15"/>
      <c r="AT77" s="15"/>
      <c r="AU77" s="15"/>
      <c r="AV77" s="15"/>
      <c r="AW77" s="13"/>
      <c r="AX77" s="15"/>
      <c r="AY77" s="15"/>
      <c r="AZ77" s="28"/>
      <c r="BA77" s="15"/>
      <c r="BB77" s="15"/>
      <c r="BC77" s="15"/>
      <c r="BD77" s="15"/>
      <c r="BE77" s="14"/>
      <c r="BF77" s="41">
        <f>B73*$F$13</f>
        <v>0</v>
      </c>
      <c r="BG77" s="34">
        <f t="shared" si="192"/>
        <v>0</v>
      </c>
      <c r="BH77" s="35">
        <f t="shared" si="189"/>
        <v>0</v>
      </c>
    </row>
    <row r="78" ht="15.75" customHeight="1" hidden="1" spans="1:60" x14ac:dyDescent="0.25">
      <c r="A78" s="29">
        <v>9</v>
      </c>
      <c r="B78" s="14"/>
      <c r="D78" s="14" t="s">
        <v>52</v>
      </c>
      <c r="E78" s="2" t="s">
        <v>39</v>
      </c>
      <c r="F78" s="41">
        <v>350</v>
      </c>
      <c r="G78" s="35"/>
      <c r="I78" s="13"/>
      <c r="J78" s="15"/>
      <c r="K78" s="15"/>
      <c r="L78" s="28"/>
      <c r="M78" s="15"/>
      <c r="N78" s="15"/>
      <c r="O78" s="15"/>
      <c r="P78" s="15"/>
      <c r="Q78" s="13"/>
      <c r="R78" s="15"/>
      <c r="S78" s="15"/>
      <c r="T78" s="28"/>
      <c r="U78" s="15"/>
      <c r="V78" s="15"/>
      <c r="W78" s="15"/>
      <c r="X78" s="15"/>
      <c r="Y78" s="13"/>
      <c r="Z78" s="15"/>
      <c r="AA78" s="34">
        <f>$F$14</f>
        <v>350</v>
      </c>
      <c r="AB78" s="35">
        <v>350</v>
      </c>
      <c r="AC78" s="15"/>
      <c r="AD78" s="15"/>
      <c r="AE78" s="15"/>
      <c r="AF78" s="15"/>
      <c r="AG78" s="13"/>
      <c r="AH78" s="15"/>
      <c r="AI78" s="15"/>
      <c r="AJ78" s="28"/>
      <c r="AK78" s="13"/>
      <c r="AL78" s="15"/>
      <c r="AM78" s="15"/>
      <c r="AN78" s="28"/>
      <c r="AO78" s="13"/>
      <c r="AP78" s="15"/>
      <c r="AQ78" s="15"/>
      <c r="AR78" s="28"/>
      <c r="AS78" s="15"/>
      <c r="AT78" s="15"/>
      <c r="AU78" s="15"/>
      <c r="AV78" s="15"/>
      <c r="AW78" s="13"/>
      <c r="AX78" s="15"/>
      <c r="AY78" s="15"/>
      <c r="AZ78" s="28"/>
      <c r="BA78" s="15"/>
      <c r="BB78" s="15"/>
      <c r="BC78" s="15"/>
      <c r="BD78" s="15"/>
      <c r="BE78" s="14"/>
      <c r="BF78" s="41">
        <f>$F$14</f>
        <v>350</v>
      </c>
      <c r="BG78" s="34">
        <f t="shared" si="192"/>
        <v>350</v>
      </c>
      <c r="BH78" s="35">
        <f t="shared" si="189"/>
        <v>0</v>
      </c>
    </row>
    <row r="79" ht="15.75" customHeight="1" hidden="1" spans="1:62" x14ac:dyDescent="0.25">
      <c r="A79" s="50">
        <v>9</v>
      </c>
      <c r="B79" s="21"/>
      <c r="C79" s="22" t="s">
        <v>53</v>
      </c>
      <c r="D79" s="21"/>
      <c r="E79" s="22"/>
      <c r="F79" s="20"/>
      <c r="G79" s="23"/>
      <c r="H79" s="51">
        <f>SUM(H72:H78)</f>
        <v>-34.32</v>
      </c>
      <c r="I79" s="52"/>
      <c r="J79" s="53"/>
      <c r="K79" s="51">
        <f t="shared" ref="K79:L79" si="193">SUM(K73:K78)</f>
        <v>0</v>
      </c>
      <c r="L79" s="68">
        <f t="shared" si="193"/>
        <v>0</v>
      </c>
      <c r="M79" s="53"/>
      <c r="N79" s="53"/>
      <c r="O79" s="51">
        <f t="shared" ref="O79:P79" si="194">SUM(O73:O78)</f>
        <v>0</v>
      </c>
      <c r="P79" s="51">
        <f t="shared" si="194"/>
        <v>0</v>
      </c>
      <c r="Q79" s="52"/>
      <c r="R79" s="53"/>
      <c r="S79" s="51">
        <f t="shared" ref="S79:T79" si="195">SUM(S73:S78)</f>
        <v>0</v>
      </c>
      <c r="T79" s="68">
        <f t="shared" si="195"/>
        <v>0</v>
      </c>
      <c r="U79" s="53"/>
      <c r="V79" s="53"/>
      <c r="W79" s="51">
        <f t="shared" ref="W79:X79" si="196">SUM(W73:W78)</f>
        <v>0</v>
      </c>
      <c r="X79" s="51">
        <f t="shared" si="196"/>
        <v>0</v>
      </c>
      <c r="Y79" s="52"/>
      <c r="Z79" s="53"/>
      <c r="AA79" s="51">
        <f t="shared" ref="AA79:AB79" si="197">SUM(AA73:AA78)</f>
        <v>350</v>
      </c>
      <c r="AB79" s="68">
        <f t="shared" si="197"/>
        <v>350</v>
      </c>
      <c r="AC79" s="53"/>
      <c r="AD79" s="53"/>
      <c r="AE79" s="51">
        <f t="shared" ref="AE79:AF79" si="198">SUM(AE73:AE78)</f>
        <v>4283.4064</v>
      </c>
      <c r="AF79" s="51">
        <f t="shared" si="198"/>
        <v>3600</v>
      </c>
      <c r="AG79" s="52"/>
      <c r="AH79" s="53"/>
      <c r="AI79" s="51">
        <f t="shared" ref="AI79:AJ79" si="199">SUM(AI73:AI78)</f>
        <v>151.4</v>
      </c>
      <c r="AJ79" s="68">
        <f t="shared" si="199"/>
        <v>790.53</v>
      </c>
      <c r="AK79" s="52"/>
      <c r="AL79" s="53"/>
      <c r="AM79" s="51">
        <f t="shared" ref="AM79:AN79" si="200">SUM(AM73:AM78)</f>
        <v>103.34</v>
      </c>
      <c r="AN79" s="68">
        <f t="shared" si="200"/>
        <v>113.3</v>
      </c>
      <c r="AO79" s="52"/>
      <c r="AP79" s="53"/>
      <c r="AQ79" s="51">
        <f t="shared" ref="AQ79:AR79" si="201">SUM(AQ73:AQ78)</f>
        <v>2.49</v>
      </c>
      <c r="AR79" s="68">
        <f t="shared" si="201"/>
        <v>0</v>
      </c>
      <c r="AS79" s="53"/>
      <c r="AT79" s="53"/>
      <c r="AU79" s="51">
        <f t="shared" ref="AU79:AV79" si="202">SUM(AU73:AU78)</f>
        <v>0</v>
      </c>
      <c r="AV79" s="51">
        <f t="shared" si="202"/>
        <v>0</v>
      </c>
      <c r="AW79" s="52"/>
      <c r="AX79" s="53"/>
      <c r="AY79" s="51">
        <f t="shared" ref="AY79:AZ79" si="203">SUM(AY73:AY78)</f>
        <v>0</v>
      </c>
      <c r="AZ79" s="68">
        <f t="shared" si="203"/>
        <v>0</v>
      </c>
      <c r="BA79" s="53"/>
      <c r="BB79" s="53"/>
      <c r="BC79" s="51">
        <f t="shared" ref="BC79:BD79" si="204">SUM(BC73:BC78)</f>
        <v>0</v>
      </c>
      <c r="BD79" s="51">
        <f t="shared" si="204"/>
        <v>0</v>
      </c>
      <c r="BE79" s="69"/>
      <c r="BF79" s="70">
        <f t="shared" ref="BF79:BH79" si="205">SUM(BF72:BF78)</f>
        <v>4890.6364</v>
      </c>
      <c r="BG79" s="71">
        <f t="shared" si="205"/>
        <v>4853.83</v>
      </c>
      <c r="BH79" s="72">
        <f t="shared" si="205"/>
        <v>2.4864</v>
      </c>
      <c r="BI79" s="34">
        <f>H79+BF79-BG79</f>
        <v>2.4864</v>
      </c>
      <c r="BJ79" s="34">
        <f>BH79-BI79</f>
        <v>0</v>
      </c>
    </row>
    <row r="80" ht="15.75" customHeight="1" hidden="1" spans="1:60" x14ac:dyDescent="0.25">
      <c r="A80" s="29">
        <v>10</v>
      </c>
      <c r="B80" s="14"/>
      <c r="C80" s="15"/>
      <c r="D80" s="14" t="s">
        <v>42</v>
      </c>
      <c r="E80" s="15"/>
      <c r="F80" s="13"/>
      <c r="G80" s="28"/>
      <c r="H80" s="62"/>
      <c r="I80" s="61"/>
      <c r="J80" s="60"/>
      <c r="K80" s="60"/>
      <c r="L80" s="63"/>
      <c r="M80" s="60"/>
      <c r="N80" s="60"/>
      <c r="O80" s="60"/>
      <c r="P80" s="62"/>
      <c r="Q80" s="61"/>
      <c r="R80" s="60"/>
      <c r="S80" s="62"/>
      <c r="T80" s="63"/>
      <c r="U80" s="60"/>
      <c r="V80" s="60"/>
      <c r="W80" s="62"/>
      <c r="X80" s="62"/>
      <c r="Y80" s="61"/>
      <c r="Z80" s="60"/>
      <c r="AA80" s="62"/>
      <c r="AB80" s="63"/>
      <c r="AC80" s="60"/>
      <c r="AD80" s="60"/>
      <c r="AE80" s="62"/>
      <c r="AF80" s="62"/>
      <c r="AG80" s="61"/>
      <c r="AH80" s="60"/>
      <c r="AI80" s="62"/>
      <c r="AJ80" s="63"/>
      <c r="AK80" s="61"/>
      <c r="AL80" s="60"/>
      <c r="AM80" s="62"/>
      <c r="AN80" s="63"/>
      <c r="AO80" s="61"/>
      <c r="AP80" s="60"/>
      <c r="AQ80" s="62"/>
      <c r="AR80" s="63"/>
      <c r="AS80" s="60"/>
      <c r="AT80" s="60"/>
      <c r="AU80" s="62"/>
      <c r="AV80" s="62"/>
      <c r="AW80" s="61"/>
      <c r="AX80" s="60"/>
      <c r="AY80" s="62"/>
      <c r="AZ80" s="63"/>
      <c r="BA80" s="60"/>
      <c r="BB80" s="60"/>
      <c r="BC80" s="62"/>
      <c r="BD80" s="62"/>
      <c r="BE80" s="65"/>
      <c r="BF80" s="46"/>
      <c r="BG80" s="39"/>
      <c r="BH80" s="38"/>
    </row>
    <row r="81" ht="15.75" customHeight="1" hidden="1" spans="1:60" x14ac:dyDescent="0.25">
      <c r="A81" s="2">
        <v>10</v>
      </c>
      <c r="B81" s="14">
        <v>4.01</v>
      </c>
      <c r="C81" s="2" t="s">
        <v>86</v>
      </c>
      <c r="D81" s="14" t="s">
        <v>44</v>
      </c>
      <c r="E81" s="2" t="s">
        <v>45</v>
      </c>
      <c r="F81" s="13">
        <v>2.49</v>
      </c>
      <c r="G81" s="28"/>
      <c r="H81" s="74"/>
      <c r="I81" s="13"/>
      <c r="J81" s="15"/>
      <c r="K81" s="15"/>
      <c r="L81" s="28"/>
      <c r="M81" s="15"/>
      <c r="N81" s="15"/>
      <c r="O81" s="15"/>
      <c r="P81" s="15"/>
      <c r="Q81" s="13"/>
      <c r="R81" s="15"/>
      <c r="S81" s="15"/>
      <c r="T81" s="28"/>
      <c r="U81" s="15"/>
      <c r="V81" s="15"/>
      <c r="W81" s="15"/>
      <c r="X81" s="15"/>
      <c r="Y81" s="13"/>
      <c r="Z81" s="15">
        <f>Y81-U81</f>
        <v>0</v>
      </c>
      <c r="AA81" s="34">
        <f>Z81*$F$8</f>
        <v>0</v>
      </c>
      <c r="AB81" s="28"/>
      <c r="AC81" s="15"/>
      <c r="AD81" s="15">
        <f t="shared" ref="AD81:AD82" si="206">AC81-Y81</f>
        <v>0</v>
      </c>
      <c r="AE81" s="34">
        <f>AD81*$F$8</f>
        <v>0</v>
      </c>
      <c r="AF81" s="15"/>
      <c r="AG81" s="13"/>
      <c r="AH81" s="15">
        <f t="shared" ref="AH81:AH82" si="207">AG81-AC81</f>
        <v>0</v>
      </c>
      <c r="AI81" s="34">
        <f>AH81*$F$8</f>
        <v>0</v>
      </c>
      <c r="AJ81" s="28"/>
      <c r="AK81" s="13"/>
      <c r="AL81" s="15">
        <f t="shared" ref="AL81:AL82" si="208">AK81-AG81</f>
        <v>0</v>
      </c>
      <c r="AM81" s="34">
        <f>AL81*$F$8</f>
        <v>0</v>
      </c>
      <c r="AN81" s="28"/>
      <c r="AO81" s="13"/>
      <c r="AP81" s="15"/>
      <c r="AQ81" s="34">
        <f>AP81*$F$8</f>
        <v>0</v>
      </c>
      <c r="AR81" s="28"/>
      <c r="AS81" s="15"/>
      <c r="AT81" s="15"/>
      <c r="AU81" s="34">
        <f>AT81*$F$8</f>
        <v>0</v>
      </c>
      <c r="AV81" s="15"/>
      <c r="AW81" s="13"/>
      <c r="AX81" s="15"/>
      <c r="AY81" s="34">
        <f>AX81*$F$8</f>
        <v>0</v>
      </c>
      <c r="AZ81" s="28"/>
      <c r="BA81" s="15"/>
      <c r="BB81" s="15"/>
      <c r="BC81" s="34">
        <f>BB81*$F$8</f>
        <v>0</v>
      </c>
      <c r="BD81" s="15"/>
      <c r="BE81" s="40">
        <f t="shared" ref="BE81:BG81" si="209">J81+N81+R81+V81+Z81+AD81+AH81+AL81+AP81+AT81+AX81+BB81</f>
        <v>0</v>
      </c>
      <c r="BF81" s="41">
        <f t="shared" si="209"/>
        <v>0</v>
      </c>
      <c r="BG81" s="34">
        <f t="shared" si="209"/>
        <v>0</v>
      </c>
      <c r="BH81" s="35">
        <f t="shared" ref="BH81:BH86" si="210">H81+BF81-BG81</f>
        <v>0</v>
      </c>
    </row>
    <row r="82" ht="15.75" customHeight="1" hidden="1" spans="1:60" x14ac:dyDescent="0.25">
      <c r="A82" s="29">
        <v>10</v>
      </c>
      <c r="B82" s="14"/>
      <c r="C82" s="2" t="s">
        <v>87</v>
      </c>
      <c r="D82" s="14" t="s">
        <v>47</v>
      </c>
      <c r="E82" s="2" t="s">
        <v>48</v>
      </c>
      <c r="F82" s="13">
        <v>17.16</v>
      </c>
      <c r="G82" s="28"/>
      <c r="H82" s="73"/>
      <c r="I82" s="13"/>
      <c r="J82" s="15"/>
      <c r="K82" s="15"/>
      <c r="L82" s="28"/>
      <c r="M82" s="15"/>
      <c r="N82" s="15"/>
      <c r="O82" s="15"/>
      <c r="P82" s="15"/>
      <c r="Q82" s="13"/>
      <c r="R82" s="15"/>
      <c r="S82" s="15"/>
      <c r="T82" s="28"/>
      <c r="U82" s="15"/>
      <c r="V82" s="15"/>
      <c r="W82" s="15"/>
      <c r="X82" s="15"/>
      <c r="Y82" s="13">
        <v>75</v>
      </c>
      <c r="Z82" s="15"/>
      <c r="AA82" s="15"/>
      <c r="AB82" s="28"/>
      <c r="AC82" s="15">
        <v>79</v>
      </c>
      <c r="AD82" s="15">
        <f t="shared" si="206"/>
        <v>4</v>
      </c>
      <c r="AE82" s="34">
        <f>AD82*$F$10</f>
        <v>68.64</v>
      </c>
      <c r="AF82" s="15"/>
      <c r="AG82" s="13">
        <v>79</v>
      </c>
      <c r="AH82" s="15">
        <f t="shared" si="207"/>
        <v>0</v>
      </c>
      <c r="AI82" s="45">
        <f>AH82*$G$10</f>
        <v>0</v>
      </c>
      <c r="AJ82" s="32">
        <v>68.64</v>
      </c>
      <c r="AK82" s="13">
        <v>79</v>
      </c>
      <c r="AL82" s="15">
        <f t="shared" si="208"/>
        <v>0</v>
      </c>
      <c r="AM82" s="45">
        <f>AL82*$G$10</f>
        <v>0</v>
      </c>
      <c r="AN82" s="28"/>
      <c r="AO82" s="13">
        <v>82</v>
      </c>
      <c r="AP82" s="15">
        <f>AO82-AK82</f>
        <v>3</v>
      </c>
      <c r="AQ82" s="45">
        <f>AP82*$G$10</f>
        <v>53.04</v>
      </c>
      <c r="AR82" s="32">
        <v>53.04</v>
      </c>
      <c r="AS82" s="15"/>
      <c r="AT82" s="15"/>
      <c r="AU82" s="15"/>
      <c r="AV82" s="15"/>
      <c r="AW82" s="13"/>
      <c r="AX82" s="15"/>
      <c r="AY82" s="15"/>
      <c r="AZ82" s="28"/>
      <c r="BA82" s="15"/>
      <c r="BB82" s="15"/>
      <c r="BC82" s="15"/>
      <c r="BD82" s="15"/>
      <c r="BE82" s="40">
        <f t="shared" ref="BE82:BG82" si="211">J82+N82+R82+V82+Z82+AD82+AH82+AL82+AP82+AT82+AX82+BB82</f>
        <v>7</v>
      </c>
      <c r="BF82" s="41">
        <f t="shared" si="211"/>
        <v>121.68</v>
      </c>
      <c r="BG82" s="34">
        <f t="shared" si="211"/>
        <v>121.68</v>
      </c>
      <c r="BH82" s="35">
        <f t="shared" si="210"/>
        <v>0</v>
      </c>
    </row>
    <row r="83" ht="15.75" customHeight="1" hidden="1" spans="1:60" x14ac:dyDescent="0.25">
      <c r="A83" s="29">
        <v>10</v>
      </c>
      <c r="B83" s="14"/>
      <c r="C83" s="2" t="s">
        <v>68</v>
      </c>
      <c r="D83" s="14" t="s">
        <v>47</v>
      </c>
      <c r="E83" s="2" t="s">
        <v>49</v>
      </c>
      <c r="F83" s="41">
        <v>300</v>
      </c>
      <c r="G83" s="35"/>
      <c r="I83" s="13"/>
      <c r="J83" s="15"/>
      <c r="K83" s="15"/>
      <c r="L83" s="28"/>
      <c r="M83" s="15"/>
      <c r="N83" s="15"/>
      <c r="O83" s="15"/>
      <c r="P83" s="15"/>
      <c r="Q83" s="13"/>
      <c r="R83" s="15"/>
      <c r="S83" s="15"/>
      <c r="T83" s="28"/>
      <c r="U83" s="15"/>
      <c r="V83" s="15"/>
      <c r="W83" s="15"/>
      <c r="X83" s="15"/>
      <c r="Y83" s="13"/>
      <c r="Z83" s="15"/>
      <c r="AA83" s="15"/>
      <c r="AB83" s="28"/>
      <c r="AC83" s="15"/>
      <c r="AD83" s="15"/>
      <c r="AE83" s="34"/>
      <c r="AF83" s="15"/>
      <c r="AG83" s="13"/>
      <c r="AH83" s="15"/>
      <c r="AI83" s="34"/>
      <c r="AJ83" s="28"/>
      <c r="AK83" s="13"/>
      <c r="AL83" s="15"/>
      <c r="AM83" s="34"/>
      <c r="AN83" s="28"/>
      <c r="AO83" s="13"/>
      <c r="AP83" s="15"/>
      <c r="AQ83" s="34"/>
      <c r="AR83" s="28"/>
      <c r="AS83" s="15"/>
      <c r="AT83" s="15"/>
      <c r="AU83" s="15"/>
      <c r="AV83" s="15"/>
      <c r="AW83" s="13"/>
      <c r="AX83" s="15"/>
      <c r="AY83" s="15"/>
      <c r="AZ83" s="28"/>
      <c r="BA83" s="15"/>
      <c r="BB83" s="15"/>
      <c r="BC83" s="15"/>
      <c r="BD83" s="15"/>
      <c r="BE83" s="14"/>
      <c r="BF83" s="41">
        <f t="shared" ref="BF83:BG83" si="212">K83+O83+S83+W83+AA83+AE83+AI83+AM83+AQ83+AU83+AY83+BC83</f>
        <v>0</v>
      </c>
      <c r="BG83" s="34">
        <f t="shared" si="212"/>
        <v>0</v>
      </c>
      <c r="BH83" s="35">
        <f t="shared" si="210"/>
        <v>0</v>
      </c>
    </row>
    <row r="84" ht="15.75" customHeight="1" hidden="1" spans="1:60" x14ac:dyDescent="0.25">
      <c r="A84" s="29">
        <v>10</v>
      </c>
      <c r="B84" s="14"/>
      <c r="C84" s="15" t="s">
        <v>88</v>
      </c>
      <c r="D84" s="14" t="s">
        <v>50</v>
      </c>
      <c r="E84" s="2" t="s">
        <v>49</v>
      </c>
      <c r="F84" s="41">
        <v>1062.88</v>
      </c>
      <c r="G84" s="35"/>
      <c r="I84" s="13"/>
      <c r="J84" s="15"/>
      <c r="K84" s="15"/>
      <c r="L84" s="28"/>
      <c r="M84" s="15"/>
      <c r="N84" s="15"/>
      <c r="O84" s="15"/>
      <c r="P84" s="15"/>
      <c r="Q84" s="13"/>
      <c r="R84" s="15"/>
      <c r="S84" s="15"/>
      <c r="T84" s="28"/>
      <c r="U84" s="15"/>
      <c r="V84" s="15"/>
      <c r="W84" s="15"/>
      <c r="X84" s="15"/>
      <c r="Y84" s="13"/>
      <c r="Z84" s="15"/>
      <c r="AA84" s="15"/>
      <c r="AB84" s="28"/>
      <c r="AC84" s="15"/>
      <c r="AD84" s="15"/>
      <c r="AE84" s="34">
        <f>B81*$F$12</f>
        <v>4262.1488</v>
      </c>
      <c r="AF84" s="15">
        <v>3665.68</v>
      </c>
      <c r="AG84" s="13"/>
      <c r="AH84" s="15"/>
      <c r="AI84" s="15"/>
      <c r="AJ84" s="32">
        <v>596.56</v>
      </c>
      <c r="AK84" s="13"/>
      <c r="AL84" s="15"/>
      <c r="AM84" s="15"/>
      <c r="AN84" s="28"/>
      <c r="AO84" s="13"/>
      <c r="AP84" s="15"/>
      <c r="AQ84" s="15"/>
      <c r="AR84" s="28"/>
      <c r="AS84" s="15"/>
      <c r="AT84" s="15"/>
      <c r="AU84" s="15"/>
      <c r="AV84" s="15"/>
      <c r="AW84" s="13"/>
      <c r="AX84" s="15"/>
      <c r="AY84" s="15"/>
      <c r="AZ84" s="28"/>
      <c r="BA84" s="15"/>
      <c r="BB84" s="15"/>
      <c r="BC84" s="15"/>
      <c r="BD84" s="15"/>
      <c r="BE84" s="14"/>
      <c r="BF84" s="41">
        <f>B81*$F$12</f>
        <v>4262.1488</v>
      </c>
      <c r="BG84" s="34">
        <f t="shared" ref="BG84:BG86" si="213">L84+P84+T84+X84+AB84+AF84+AJ84+AN84+AR84+AV84+AZ84+BD84</f>
        <v>4262.24</v>
      </c>
      <c r="BH84" s="35">
        <f t="shared" si="210"/>
        <v>-0.0912</v>
      </c>
    </row>
    <row r="85" ht="15.75" customHeight="1" hidden="1" spans="1:60" x14ac:dyDescent="0.25">
      <c r="A85" s="29">
        <v>10</v>
      </c>
      <c r="B85" s="14"/>
      <c r="D85" s="14" t="s">
        <v>51</v>
      </c>
      <c r="E85" s="2" t="s">
        <v>49</v>
      </c>
      <c r="F85" s="41">
        <v>0</v>
      </c>
      <c r="G85" s="35"/>
      <c r="I85" s="13"/>
      <c r="J85" s="15"/>
      <c r="K85" s="15"/>
      <c r="L85" s="28"/>
      <c r="M85" s="15"/>
      <c r="N85" s="15"/>
      <c r="O85" s="15"/>
      <c r="P85" s="15"/>
      <c r="Q85" s="13"/>
      <c r="R85" s="15"/>
      <c r="S85" s="15"/>
      <c r="T85" s="28"/>
      <c r="U85" s="15"/>
      <c r="V85" s="15"/>
      <c r="W85" s="15"/>
      <c r="X85" s="15"/>
      <c r="Y85" s="13"/>
      <c r="Z85" s="15"/>
      <c r="AA85" s="15"/>
      <c r="AB85" s="28"/>
      <c r="AC85" s="15"/>
      <c r="AD85" s="15"/>
      <c r="AE85" s="15"/>
      <c r="AF85" s="15"/>
      <c r="AG85" s="13"/>
      <c r="AH85" s="15"/>
      <c r="AI85" s="15"/>
      <c r="AJ85" s="28"/>
      <c r="AK85" s="13"/>
      <c r="AL85" s="15"/>
      <c r="AM85" s="15"/>
      <c r="AN85" s="28"/>
      <c r="AO85" s="13"/>
      <c r="AP85" s="15"/>
      <c r="AQ85" s="15"/>
      <c r="AR85" s="28"/>
      <c r="AS85" s="15"/>
      <c r="AT85" s="15"/>
      <c r="AU85" s="15"/>
      <c r="AV85" s="15"/>
      <c r="AW85" s="13"/>
      <c r="AX85" s="15"/>
      <c r="AY85" s="15"/>
      <c r="AZ85" s="28"/>
      <c r="BA85" s="15"/>
      <c r="BB85" s="15"/>
      <c r="BC85" s="15"/>
      <c r="BD85" s="15"/>
      <c r="BE85" s="14"/>
      <c r="BF85" s="41">
        <f>B81*$F$13</f>
        <v>0</v>
      </c>
      <c r="BG85" s="34">
        <f t="shared" si="213"/>
        <v>0</v>
      </c>
      <c r="BH85" s="35">
        <f t="shared" si="210"/>
        <v>0</v>
      </c>
    </row>
    <row r="86" ht="15.75" customHeight="1" hidden="1" spans="1:60" x14ac:dyDescent="0.25">
      <c r="A86" s="29">
        <v>10</v>
      </c>
      <c r="B86" s="14"/>
      <c r="D86" s="14" t="s">
        <v>52</v>
      </c>
      <c r="E86" s="2" t="s">
        <v>39</v>
      </c>
      <c r="F86" s="41">
        <v>350</v>
      </c>
      <c r="G86" s="35"/>
      <c r="I86" s="13"/>
      <c r="J86" s="15"/>
      <c r="K86" s="15"/>
      <c r="L86" s="28"/>
      <c r="M86" s="15"/>
      <c r="N86" s="15"/>
      <c r="O86" s="15"/>
      <c r="P86" s="15"/>
      <c r="Q86" s="13"/>
      <c r="R86" s="15"/>
      <c r="S86" s="15"/>
      <c r="T86" s="28"/>
      <c r="U86" s="15"/>
      <c r="V86" s="15"/>
      <c r="W86" s="15"/>
      <c r="X86" s="15"/>
      <c r="Y86" s="13"/>
      <c r="Z86" s="15"/>
      <c r="AA86" s="34">
        <f>$F$14</f>
        <v>350</v>
      </c>
      <c r="AB86" s="35">
        <v>350</v>
      </c>
      <c r="AC86" s="15"/>
      <c r="AD86" s="15"/>
      <c r="AE86" s="15"/>
      <c r="AF86" s="15"/>
      <c r="AG86" s="13"/>
      <c r="AH86" s="15"/>
      <c r="AI86" s="15"/>
      <c r="AJ86" s="28"/>
      <c r="AK86" s="13"/>
      <c r="AL86" s="15"/>
      <c r="AM86" s="15"/>
      <c r="AN86" s="28"/>
      <c r="AO86" s="13"/>
      <c r="AP86" s="15"/>
      <c r="AQ86" s="15"/>
      <c r="AR86" s="28"/>
      <c r="AS86" s="15"/>
      <c r="AT86" s="15"/>
      <c r="AU86" s="15"/>
      <c r="AV86" s="15"/>
      <c r="AW86" s="13"/>
      <c r="AX86" s="15"/>
      <c r="AY86" s="15"/>
      <c r="AZ86" s="28"/>
      <c r="BA86" s="15"/>
      <c r="BB86" s="15"/>
      <c r="BC86" s="15"/>
      <c r="BD86" s="15"/>
      <c r="BE86" s="14"/>
      <c r="BF86" s="41">
        <f>$F$14</f>
        <v>350</v>
      </c>
      <c r="BG86" s="34">
        <f t="shared" si="213"/>
        <v>350</v>
      </c>
      <c r="BH86" s="35">
        <f t="shared" si="210"/>
        <v>0</v>
      </c>
    </row>
    <row r="87" ht="15.75" customHeight="1" hidden="1" spans="1:62" x14ac:dyDescent="0.25">
      <c r="A87" s="50">
        <v>10</v>
      </c>
      <c r="B87" s="21"/>
      <c r="C87" s="22" t="s">
        <v>53</v>
      </c>
      <c r="D87" s="21"/>
      <c r="E87" s="22"/>
      <c r="F87" s="20"/>
      <c r="G87" s="23"/>
      <c r="H87" s="51">
        <f>SUM(H80:H86)</f>
        <v>0</v>
      </c>
      <c r="I87" s="52"/>
      <c r="J87" s="53"/>
      <c r="K87" s="51">
        <f t="shared" ref="K87:L87" si="214">SUM(K81:K86)</f>
        <v>0</v>
      </c>
      <c r="L87" s="68">
        <f t="shared" si="214"/>
        <v>0</v>
      </c>
      <c r="M87" s="53"/>
      <c r="N87" s="53"/>
      <c r="O87" s="51">
        <f t="shared" ref="O87:P87" si="215">SUM(O81:O86)</f>
        <v>0</v>
      </c>
      <c r="P87" s="51">
        <f t="shared" si="215"/>
        <v>0</v>
      </c>
      <c r="Q87" s="52"/>
      <c r="R87" s="53"/>
      <c r="S87" s="51">
        <f t="shared" ref="S87:T87" si="216">SUM(S81:S86)</f>
        <v>0</v>
      </c>
      <c r="T87" s="68">
        <f t="shared" si="216"/>
        <v>0</v>
      </c>
      <c r="U87" s="53"/>
      <c r="V87" s="53"/>
      <c r="W87" s="51">
        <f t="shared" ref="W87:X87" si="217">SUM(W81:W86)</f>
        <v>0</v>
      </c>
      <c r="X87" s="51">
        <f t="shared" si="217"/>
        <v>0</v>
      </c>
      <c r="Y87" s="52"/>
      <c r="Z87" s="53"/>
      <c r="AA87" s="51">
        <f t="shared" ref="AA87:AB87" si="218">SUM(AA81:AA86)</f>
        <v>350</v>
      </c>
      <c r="AB87" s="68">
        <f t="shared" si="218"/>
        <v>350</v>
      </c>
      <c r="AC87" s="53"/>
      <c r="AD87" s="53"/>
      <c r="AE87" s="51">
        <f t="shared" ref="AE87:AF87" si="219">SUM(AE81:AE86)</f>
        <v>4330.7888</v>
      </c>
      <c r="AF87" s="51">
        <f t="shared" si="219"/>
        <v>3665.68</v>
      </c>
      <c r="AG87" s="52"/>
      <c r="AH87" s="53"/>
      <c r="AI87" s="51">
        <f t="shared" ref="AI87:AJ87" si="220">SUM(AI81:AI86)</f>
        <v>0</v>
      </c>
      <c r="AJ87" s="68">
        <f t="shared" si="220"/>
        <v>665.2</v>
      </c>
      <c r="AK87" s="52"/>
      <c r="AL87" s="53"/>
      <c r="AM87" s="51">
        <f t="shared" ref="AM87:AN87" si="221">SUM(AM81:AM86)</f>
        <v>0</v>
      </c>
      <c r="AN87" s="68">
        <f t="shared" si="221"/>
        <v>0</v>
      </c>
      <c r="AO87" s="52"/>
      <c r="AP87" s="53"/>
      <c r="AQ87" s="51">
        <f t="shared" ref="AQ87:AR87" si="222">SUM(AQ81:AQ86)</f>
        <v>53.04</v>
      </c>
      <c r="AR87" s="68">
        <f t="shared" si="222"/>
        <v>53.04</v>
      </c>
      <c r="AS87" s="53"/>
      <c r="AT87" s="53"/>
      <c r="AU87" s="51">
        <f t="shared" ref="AU87:AV87" si="223">SUM(AU81:AU86)</f>
        <v>0</v>
      </c>
      <c r="AV87" s="51">
        <f t="shared" si="223"/>
        <v>0</v>
      </c>
      <c r="AW87" s="52"/>
      <c r="AX87" s="53"/>
      <c r="AY87" s="51">
        <f t="shared" ref="AY87:AZ87" si="224">SUM(AY81:AY86)</f>
        <v>0</v>
      </c>
      <c r="AZ87" s="68">
        <f t="shared" si="224"/>
        <v>0</v>
      </c>
      <c r="BA87" s="53"/>
      <c r="BB87" s="53"/>
      <c r="BC87" s="51">
        <f t="shared" ref="BC87:BD87" si="225">SUM(BC81:BC86)</f>
        <v>0</v>
      </c>
      <c r="BD87" s="51">
        <f t="shared" si="225"/>
        <v>0</v>
      </c>
      <c r="BE87" s="69"/>
      <c r="BF87" s="70">
        <f t="shared" ref="BF87:BH87" si="226">SUM(BF80:BF86)</f>
        <v>4733.8288</v>
      </c>
      <c r="BG87" s="71">
        <f t="shared" si="226"/>
        <v>4733.92</v>
      </c>
      <c r="BH87" s="72">
        <f t="shared" si="226"/>
        <v>-0.0912</v>
      </c>
      <c r="BI87" s="34">
        <f>H87+BF87-BG87</f>
        <v>-0.0912</v>
      </c>
      <c r="BJ87" s="34">
        <f>BH87-BI87</f>
        <v>0</v>
      </c>
    </row>
    <row r="88" ht="15.75" customHeight="1" hidden="1" spans="1:60" x14ac:dyDescent="0.25">
      <c r="A88" s="29">
        <v>11</v>
      </c>
      <c r="B88" s="14"/>
      <c r="D88" s="14" t="s">
        <v>42</v>
      </c>
      <c r="F88" s="13"/>
      <c r="G88" s="28"/>
      <c r="I88" s="13"/>
      <c r="J88" s="15"/>
      <c r="K88" s="15"/>
      <c r="L88" s="28"/>
      <c r="M88" s="15"/>
      <c r="N88" s="15"/>
      <c r="O88" s="15"/>
      <c r="P88" s="15"/>
      <c r="Q88" s="13"/>
      <c r="R88" s="15"/>
      <c r="S88" s="15"/>
      <c r="T88" s="28"/>
      <c r="U88" s="15"/>
      <c r="V88" s="15"/>
      <c r="W88" s="15"/>
      <c r="X88" s="15"/>
      <c r="Y88" s="13"/>
      <c r="Z88" s="15"/>
      <c r="AA88" s="15"/>
      <c r="AB88" s="28"/>
      <c r="AC88" s="15"/>
      <c r="AD88" s="15"/>
      <c r="AE88" s="15"/>
      <c r="AF88" s="15"/>
      <c r="AG88" s="13"/>
      <c r="AH88" s="15"/>
      <c r="AI88" s="15"/>
      <c r="AJ88" s="28"/>
      <c r="AK88" s="13"/>
      <c r="AL88" s="15"/>
      <c r="AM88" s="15"/>
      <c r="AN88" s="28"/>
      <c r="AO88" s="13"/>
      <c r="AP88" s="15"/>
      <c r="AQ88" s="15"/>
      <c r="AR88" s="28"/>
      <c r="AS88" s="15"/>
      <c r="AT88" s="15"/>
      <c r="AU88" s="15"/>
      <c r="AV88" s="15"/>
      <c r="AW88" s="13"/>
      <c r="AX88" s="15"/>
      <c r="AY88" s="15"/>
      <c r="AZ88" s="28"/>
      <c r="BA88" s="15"/>
      <c r="BB88" s="15"/>
      <c r="BC88" s="15"/>
      <c r="BD88" s="15"/>
      <c r="BE88" s="14"/>
      <c r="BF88" s="13"/>
      <c r="BG88" s="15"/>
      <c r="BH88" s="28"/>
    </row>
    <row r="89" ht="15.75" customHeight="1" hidden="1" spans="1:60" x14ac:dyDescent="0.25">
      <c r="A89" s="2">
        <v>11</v>
      </c>
      <c r="B89" s="14">
        <v>4.02</v>
      </c>
      <c r="C89" s="2" t="s">
        <v>89</v>
      </c>
      <c r="D89" s="14" t="s">
        <v>44</v>
      </c>
      <c r="E89" s="2" t="s">
        <v>45</v>
      </c>
      <c r="F89" s="13">
        <v>2.49</v>
      </c>
      <c r="G89" s="28"/>
      <c r="H89" s="2">
        <v>4.98</v>
      </c>
      <c r="I89" s="13">
        <v>29</v>
      </c>
      <c r="J89" s="15">
        <v>0</v>
      </c>
      <c r="K89" s="34">
        <f>J89*$F$8</f>
        <v>0</v>
      </c>
      <c r="L89" s="28"/>
      <c r="M89" s="15">
        <v>29</v>
      </c>
      <c r="N89" s="15">
        <f>M89-I89</f>
        <v>0</v>
      </c>
      <c r="O89" s="34">
        <f>N89*$F$8</f>
        <v>0</v>
      </c>
      <c r="P89" s="15"/>
      <c r="Q89" s="13">
        <v>29</v>
      </c>
      <c r="R89" s="15">
        <f>Q89-M89</f>
        <v>0</v>
      </c>
      <c r="S89" s="34">
        <f>R89*$F$8</f>
        <v>0</v>
      </c>
      <c r="T89" s="28"/>
      <c r="U89" s="15">
        <v>30</v>
      </c>
      <c r="V89" s="15">
        <f>U89-Q89</f>
        <v>1</v>
      </c>
      <c r="W89" s="34">
        <f>V89*$F$8</f>
        <v>2.49</v>
      </c>
      <c r="X89" s="15"/>
      <c r="Y89" s="13">
        <v>32</v>
      </c>
      <c r="Z89" s="15">
        <f>Y89-U89</f>
        <v>2</v>
      </c>
      <c r="AA89" s="34">
        <f>Z89*$F$8</f>
        <v>4.98</v>
      </c>
      <c r="AB89" s="35">
        <v>100</v>
      </c>
      <c r="AC89" s="15">
        <v>32</v>
      </c>
      <c r="AD89" s="15">
        <f t="shared" ref="AD89:AD90" si="227">AC89-Y89</f>
        <v>0</v>
      </c>
      <c r="AE89" s="34">
        <f>AD89*$F$8</f>
        <v>0</v>
      </c>
      <c r="AF89" s="15"/>
      <c r="AG89" s="13">
        <v>33</v>
      </c>
      <c r="AH89" s="15">
        <f t="shared" ref="AH89:AH90" si="228">AG89-AC89</f>
        <v>1</v>
      </c>
      <c r="AI89" s="34">
        <f>AH89*$F$8</f>
        <v>2.49</v>
      </c>
      <c r="AJ89" s="28"/>
      <c r="AK89" s="13">
        <v>33</v>
      </c>
      <c r="AL89" s="15">
        <f t="shared" ref="AL89:AL90" si="229">AK89-AG89</f>
        <v>0</v>
      </c>
      <c r="AM89" s="34">
        <f>AL89*$F$8</f>
        <v>0</v>
      </c>
      <c r="AN89" s="28"/>
      <c r="AO89" s="13">
        <v>33</v>
      </c>
      <c r="AP89" s="15">
        <f t="shared" ref="AP89:AP90" si="230">AO89-AK89</f>
        <v>0</v>
      </c>
      <c r="AQ89" s="34">
        <f>AP89*$F$8</f>
        <v>0</v>
      </c>
      <c r="AR89" s="28"/>
      <c r="AS89" s="15">
        <v>37</v>
      </c>
      <c r="AT89" s="37">
        <f>AS89-AO89</f>
        <v>4</v>
      </c>
      <c r="AU89" s="34">
        <f>AT89*$F$8</f>
        <v>9.96</v>
      </c>
      <c r="AV89" s="15"/>
      <c r="AW89" s="13">
        <v>37</v>
      </c>
      <c r="AX89" s="37">
        <f>AW89-AS89</f>
        <v>0</v>
      </c>
      <c r="AY89" s="34">
        <f>AX89*$F$8</f>
        <v>0</v>
      </c>
      <c r="AZ89" s="28"/>
      <c r="BA89" s="13">
        <v>37</v>
      </c>
      <c r="BB89" s="37">
        <f>BA89-AW89</f>
        <v>0</v>
      </c>
      <c r="BC89" s="34">
        <f>BB89*$F$8</f>
        <v>0</v>
      </c>
      <c r="BD89" s="15"/>
      <c r="BE89" s="40">
        <f t="shared" ref="BE89:BG89" si="231">J89+N89+R89+V89+Z89+AD89+AH89+AL89+AP89+AT89+AX89+BB89</f>
        <v>8</v>
      </c>
      <c r="BF89" s="41">
        <f t="shared" si="231"/>
        <v>19.92</v>
      </c>
      <c r="BG89" s="34">
        <f t="shared" si="231"/>
        <v>100</v>
      </c>
      <c r="BH89" s="35">
        <f t="shared" ref="BH89:BH94" si="232">H89+BF89-BG89</f>
        <v>-75.1</v>
      </c>
    </row>
    <row r="90" ht="15.75" customHeight="1" hidden="1" spans="1:60" x14ac:dyDescent="0.25">
      <c r="A90" s="29">
        <v>11</v>
      </c>
      <c r="B90" s="14"/>
      <c r="C90" s="2" t="s">
        <v>90</v>
      </c>
      <c r="D90" s="14" t="s">
        <v>47</v>
      </c>
      <c r="E90" s="2" t="s">
        <v>48</v>
      </c>
      <c r="F90" s="13">
        <v>17.16</v>
      </c>
      <c r="G90" s="28"/>
      <c r="I90" s="13"/>
      <c r="J90" s="15"/>
      <c r="K90" s="15"/>
      <c r="L90" s="28"/>
      <c r="M90" s="15"/>
      <c r="N90" s="15"/>
      <c r="O90" s="15"/>
      <c r="P90" s="15"/>
      <c r="Q90" s="13"/>
      <c r="R90" s="15"/>
      <c r="S90" s="15"/>
      <c r="T90" s="28"/>
      <c r="U90" s="15"/>
      <c r="V90" s="15"/>
      <c r="W90" s="15"/>
      <c r="X90" s="15"/>
      <c r="Y90" s="13">
        <v>9</v>
      </c>
      <c r="Z90" s="15"/>
      <c r="AA90" s="15"/>
      <c r="AB90" s="28"/>
      <c r="AC90" s="15">
        <v>9</v>
      </c>
      <c r="AD90" s="15">
        <f t="shared" si="227"/>
        <v>0</v>
      </c>
      <c r="AE90" s="34">
        <f>AD90*$F$10</f>
        <v>0</v>
      </c>
      <c r="AF90" s="15"/>
      <c r="AG90" s="13">
        <v>9</v>
      </c>
      <c r="AH90" s="15">
        <f t="shared" si="228"/>
        <v>0</v>
      </c>
      <c r="AI90" s="45">
        <f>AH90*$G$10</f>
        <v>0</v>
      </c>
      <c r="AJ90" s="28"/>
      <c r="AK90" s="13">
        <v>9</v>
      </c>
      <c r="AL90" s="15">
        <f t="shared" si="229"/>
        <v>0</v>
      </c>
      <c r="AM90" s="45">
        <f>AL90*$G$10</f>
        <v>0</v>
      </c>
      <c r="AN90" s="28"/>
      <c r="AO90" s="13">
        <v>9</v>
      </c>
      <c r="AP90" s="15">
        <f t="shared" si="230"/>
        <v>0</v>
      </c>
      <c r="AQ90" s="45">
        <f>AP90*$G$10</f>
        <v>0</v>
      </c>
      <c r="AR90" s="28"/>
      <c r="AS90" s="15"/>
      <c r="AT90" s="15"/>
      <c r="AU90" s="15"/>
      <c r="AV90" s="15"/>
      <c r="AW90" s="13"/>
      <c r="AX90" s="15"/>
      <c r="AY90" s="15"/>
      <c r="AZ90" s="28"/>
      <c r="BA90" s="15"/>
      <c r="BB90" s="15"/>
      <c r="BC90" s="15"/>
      <c r="BD90" s="15"/>
      <c r="BE90" s="40">
        <f t="shared" ref="BE90:BG90" si="233">J90+N90+R90+V90+Z90+AD90+AH90+AL90+AP90+AT90+AX90+BB90</f>
        <v>0</v>
      </c>
      <c r="BF90" s="41">
        <f t="shared" si="233"/>
        <v>0</v>
      </c>
      <c r="BG90" s="34">
        <f t="shared" si="233"/>
        <v>0</v>
      </c>
      <c r="BH90" s="35">
        <f t="shared" si="232"/>
        <v>0</v>
      </c>
    </row>
    <row r="91" ht="15.75" customHeight="1" hidden="1" spans="1:60" x14ac:dyDescent="0.25">
      <c r="A91" s="29">
        <v>11</v>
      </c>
      <c r="B91" s="14"/>
      <c r="C91" s="2" t="s">
        <v>91</v>
      </c>
      <c r="D91" s="14" t="s">
        <v>47</v>
      </c>
      <c r="E91" s="2" t="s">
        <v>49</v>
      </c>
      <c r="F91" s="41">
        <v>300</v>
      </c>
      <c r="G91" s="35"/>
      <c r="I91" s="13"/>
      <c r="J91" s="15"/>
      <c r="K91" s="15"/>
      <c r="L91" s="28"/>
      <c r="M91" s="15"/>
      <c r="N91" s="15"/>
      <c r="O91" s="15"/>
      <c r="P91" s="15"/>
      <c r="Q91" s="13"/>
      <c r="R91" s="15"/>
      <c r="S91" s="15"/>
      <c r="T91" s="28"/>
      <c r="U91" s="15"/>
      <c r="V91" s="15"/>
      <c r="W91" s="15"/>
      <c r="X91" s="15"/>
      <c r="Y91" s="13"/>
      <c r="Z91" s="15"/>
      <c r="AA91" s="15"/>
      <c r="AB91" s="28"/>
      <c r="AC91" s="15"/>
      <c r="AD91" s="15"/>
      <c r="AE91" s="34"/>
      <c r="AF91" s="15"/>
      <c r="AG91" s="13"/>
      <c r="AH91" s="15"/>
      <c r="AI91" s="34"/>
      <c r="AJ91" s="28"/>
      <c r="AK91" s="13"/>
      <c r="AL91" s="15"/>
      <c r="AM91" s="34"/>
      <c r="AN91" s="28"/>
      <c r="AO91" s="13"/>
      <c r="AP91" s="15"/>
      <c r="AQ91" s="34"/>
      <c r="AR91" s="28"/>
      <c r="AS91" s="15"/>
      <c r="AT91" s="15"/>
      <c r="AU91" s="15"/>
      <c r="AV91" s="15"/>
      <c r="AW91" s="13"/>
      <c r="AX91" s="15"/>
      <c r="AY91" s="15"/>
      <c r="AZ91" s="28"/>
      <c r="BA91" s="15"/>
      <c r="BB91" s="15"/>
      <c r="BC91" s="15"/>
      <c r="BD91" s="15"/>
      <c r="BE91" s="14"/>
      <c r="BF91" s="41">
        <f t="shared" ref="BF91:BG91" si="234">K91+O91+S91+W91+AA91+AE91+AI91+AM91+AQ91+AU91+AY91+BC91</f>
        <v>0</v>
      </c>
      <c r="BG91" s="34">
        <f t="shared" si="234"/>
        <v>0</v>
      </c>
      <c r="BH91" s="35">
        <f t="shared" si="232"/>
        <v>0</v>
      </c>
    </row>
    <row r="92" ht="15.75" customHeight="1" hidden="1" spans="1:60" x14ac:dyDescent="0.25">
      <c r="A92" s="29">
        <v>11</v>
      </c>
      <c r="B92" s="14"/>
      <c r="C92" s="73"/>
      <c r="D92" s="14" t="s">
        <v>50</v>
      </c>
      <c r="E92" s="2" t="s">
        <v>49</v>
      </c>
      <c r="F92" s="41">
        <v>1062.88</v>
      </c>
      <c r="G92" s="35"/>
      <c r="I92" s="13"/>
      <c r="J92" s="15"/>
      <c r="K92" s="15"/>
      <c r="L92" s="28"/>
      <c r="M92" s="15"/>
      <c r="N92" s="15"/>
      <c r="O92" s="15"/>
      <c r="P92" s="15"/>
      <c r="Q92" s="13"/>
      <c r="R92" s="15"/>
      <c r="S92" s="15"/>
      <c r="T92" s="28"/>
      <c r="U92" s="15"/>
      <c r="V92" s="15"/>
      <c r="W92" s="15"/>
      <c r="X92" s="15"/>
      <c r="Y92" s="13"/>
      <c r="Z92" s="15"/>
      <c r="AA92" s="15"/>
      <c r="AB92" s="28"/>
      <c r="AC92" s="15"/>
      <c r="AD92" s="15"/>
      <c r="AE92" s="34">
        <f>B89*$F$12</f>
        <v>4272.7776</v>
      </c>
      <c r="AF92" s="15">
        <v>4272.77</v>
      </c>
      <c r="AG92" s="13"/>
      <c r="AH92" s="15"/>
      <c r="AI92" s="15"/>
      <c r="AJ92" s="28"/>
      <c r="AK92" s="13"/>
      <c r="AL92" s="15"/>
      <c r="AM92" s="15"/>
      <c r="AN92" s="28"/>
      <c r="AO92" s="13"/>
      <c r="AP92" s="15"/>
      <c r="AQ92" s="15"/>
      <c r="AR92" s="28"/>
      <c r="AS92" s="15"/>
      <c r="AT92" s="15"/>
      <c r="AU92" s="15"/>
      <c r="AV92" s="15"/>
      <c r="AW92" s="13"/>
      <c r="AX92" s="15"/>
      <c r="AY92" s="15"/>
      <c r="AZ92" s="28"/>
      <c r="BA92" s="15"/>
      <c r="BB92" s="15"/>
      <c r="BC92" s="15"/>
      <c r="BD92" s="15"/>
      <c r="BE92" s="14"/>
      <c r="BF92" s="41">
        <f>B89*$F$12</f>
        <v>4272.7776</v>
      </c>
      <c r="BG92" s="34">
        <f t="shared" ref="BG92:BG94" si="235">L92+P92+T92+X92+AB92+AF92+AJ92+AN92+AR92+AV92+AZ92+BD92</f>
        <v>4272.77</v>
      </c>
      <c r="BH92" s="35">
        <f t="shared" si="232"/>
        <v>0.0076</v>
      </c>
    </row>
    <row r="93" ht="15.75" customHeight="1" hidden="1" spans="1:60" x14ac:dyDescent="0.25">
      <c r="A93" s="29">
        <v>11</v>
      </c>
      <c r="B93" s="14"/>
      <c r="D93" s="14" t="s">
        <v>51</v>
      </c>
      <c r="E93" s="2" t="s">
        <v>49</v>
      </c>
      <c r="F93" s="41">
        <v>0</v>
      </c>
      <c r="G93" s="35"/>
      <c r="I93" s="13"/>
      <c r="J93" s="15"/>
      <c r="K93" s="15"/>
      <c r="L93" s="28"/>
      <c r="M93" s="15"/>
      <c r="N93" s="15"/>
      <c r="O93" s="15"/>
      <c r="P93" s="15"/>
      <c r="Q93" s="13"/>
      <c r="R93" s="15"/>
      <c r="S93" s="15"/>
      <c r="T93" s="28"/>
      <c r="U93" s="15"/>
      <c r="V93" s="15"/>
      <c r="W93" s="15"/>
      <c r="X93" s="15"/>
      <c r="Y93" s="13"/>
      <c r="Z93" s="15"/>
      <c r="AA93" s="15"/>
      <c r="AB93" s="28"/>
      <c r="AC93" s="15"/>
      <c r="AD93" s="15"/>
      <c r="AE93" s="15"/>
      <c r="AF93" s="15"/>
      <c r="AG93" s="13"/>
      <c r="AH93" s="15"/>
      <c r="AI93" s="15"/>
      <c r="AJ93" s="28"/>
      <c r="AK93" s="13"/>
      <c r="AL93" s="15"/>
      <c r="AM93" s="15"/>
      <c r="AN93" s="28"/>
      <c r="AO93" s="13"/>
      <c r="AP93" s="15"/>
      <c r="AQ93" s="15"/>
      <c r="AR93" s="28"/>
      <c r="AS93" s="15"/>
      <c r="AT93" s="15"/>
      <c r="AU93" s="15"/>
      <c r="AV93" s="15"/>
      <c r="AW93" s="13"/>
      <c r="AX93" s="15"/>
      <c r="AY93" s="15"/>
      <c r="AZ93" s="28"/>
      <c r="BA93" s="15"/>
      <c r="BB93" s="15"/>
      <c r="BC93" s="15"/>
      <c r="BD93" s="15"/>
      <c r="BE93" s="14"/>
      <c r="BF93" s="41">
        <f>B89*$F$13</f>
        <v>0</v>
      </c>
      <c r="BG93" s="34">
        <f t="shared" si="235"/>
        <v>0</v>
      </c>
      <c r="BH93" s="35">
        <f t="shared" si="232"/>
        <v>0</v>
      </c>
    </row>
    <row r="94" ht="15.75" customHeight="1" hidden="1" spans="1:60" x14ac:dyDescent="0.25">
      <c r="A94" s="29">
        <v>11</v>
      </c>
      <c r="B94" s="14"/>
      <c r="D94" s="14" t="s">
        <v>52</v>
      </c>
      <c r="E94" s="2" t="s">
        <v>39</v>
      </c>
      <c r="F94" s="41">
        <v>350</v>
      </c>
      <c r="G94" s="35"/>
      <c r="I94" s="13"/>
      <c r="J94" s="15"/>
      <c r="K94" s="15"/>
      <c r="L94" s="28"/>
      <c r="M94" s="15"/>
      <c r="N94" s="15"/>
      <c r="O94" s="15"/>
      <c r="P94" s="15"/>
      <c r="Q94" s="13"/>
      <c r="R94" s="15"/>
      <c r="S94" s="15"/>
      <c r="T94" s="28"/>
      <c r="U94" s="15"/>
      <c r="V94" s="15"/>
      <c r="W94" s="15"/>
      <c r="X94" s="15"/>
      <c r="Y94" s="13"/>
      <c r="Z94" s="15"/>
      <c r="AA94" s="34">
        <f>$F$14</f>
        <v>350</v>
      </c>
      <c r="AB94" s="35">
        <v>350</v>
      </c>
      <c r="AC94" s="15"/>
      <c r="AD94" s="15"/>
      <c r="AE94" s="15"/>
      <c r="AF94" s="15"/>
      <c r="AG94" s="13"/>
      <c r="AH94" s="15"/>
      <c r="AI94" s="15"/>
      <c r="AJ94" s="28"/>
      <c r="AK94" s="13"/>
      <c r="AL94" s="15"/>
      <c r="AM94" s="15"/>
      <c r="AN94" s="28"/>
      <c r="AO94" s="13"/>
      <c r="AP94" s="15"/>
      <c r="AQ94" s="15"/>
      <c r="AR94" s="28"/>
      <c r="AS94" s="15"/>
      <c r="AT94" s="15"/>
      <c r="AU94" s="15"/>
      <c r="AV94" s="15"/>
      <c r="AW94" s="13"/>
      <c r="AX94" s="15"/>
      <c r="AY94" s="15"/>
      <c r="AZ94" s="28"/>
      <c r="BA94" s="15"/>
      <c r="BB94" s="15"/>
      <c r="BC94" s="15"/>
      <c r="BD94" s="15"/>
      <c r="BE94" s="14"/>
      <c r="BF94" s="41">
        <f>$F$14</f>
        <v>350</v>
      </c>
      <c r="BG94" s="34">
        <f t="shared" si="235"/>
        <v>350</v>
      </c>
      <c r="BH94" s="35">
        <f t="shared" si="232"/>
        <v>0</v>
      </c>
    </row>
    <row r="95" ht="15.75" customHeight="1" hidden="1" spans="1:62" x14ac:dyDescent="0.25">
      <c r="A95" s="50">
        <v>11</v>
      </c>
      <c r="B95" s="21"/>
      <c r="C95" s="22" t="s">
        <v>53</v>
      </c>
      <c r="D95" s="21"/>
      <c r="E95" s="22"/>
      <c r="F95" s="20"/>
      <c r="G95" s="23"/>
      <c r="H95" s="51">
        <f>SUM(H88:H94)</f>
        <v>4.98</v>
      </c>
      <c r="I95" s="52"/>
      <c r="J95" s="53"/>
      <c r="K95" s="51">
        <f t="shared" ref="K95:L95" si="236">SUM(K89:K94)</f>
        <v>0</v>
      </c>
      <c r="L95" s="68">
        <f t="shared" si="236"/>
        <v>0</v>
      </c>
      <c r="M95" s="53"/>
      <c r="N95" s="53"/>
      <c r="O95" s="51">
        <f t="shared" ref="O95:P95" si="237">SUM(O89:O94)</f>
        <v>0</v>
      </c>
      <c r="P95" s="51">
        <f t="shared" si="237"/>
        <v>0</v>
      </c>
      <c r="Q95" s="52"/>
      <c r="R95" s="53"/>
      <c r="S95" s="51">
        <f t="shared" ref="S95:T95" si="238">SUM(S89:S94)</f>
        <v>0</v>
      </c>
      <c r="T95" s="68">
        <f t="shared" si="238"/>
        <v>0</v>
      </c>
      <c r="U95" s="53"/>
      <c r="V95" s="53"/>
      <c r="W95" s="51">
        <f t="shared" ref="W95:X95" si="239">SUM(W89:W94)</f>
        <v>2.49</v>
      </c>
      <c r="X95" s="51">
        <f t="shared" si="239"/>
        <v>0</v>
      </c>
      <c r="Y95" s="52"/>
      <c r="Z95" s="53"/>
      <c r="AA95" s="51">
        <f t="shared" ref="AA95:AB95" si="240">SUM(AA89:AA94)</f>
        <v>354.98</v>
      </c>
      <c r="AB95" s="68">
        <f t="shared" si="240"/>
        <v>450</v>
      </c>
      <c r="AC95" s="53"/>
      <c r="AD95" s="53"/>
      <c r="AE95" s="51">
        <f t="shared" ref="AE95:AF95" si="241">SUM(AE89:AE94)</f>
        <v>4272.7776</v>
      </c>
      <c r="AF95" s="51">
        <f t="shared" si="241"/>
        <v>4272.77</v>
      </c>
      <c r="AG95" s="52"/>
      <c r="AH95" s="53"/>
      <c r="AI95" s="51">
        <f t="shared" ref="AI95:AJ95" si="242">SUM(AI89:AI94)</f>
        <v>2.49</v>
      </c>
      <c r="AJ95" s="68">
        <f t="shared" si="242"/>
        <v>0</v>
      </c>
      <c r="AK95" s="52"/>
      <c r="AL95" s="53"/>
      <c r="AM95" s="51">
        <f t="shared" ref="AM95:AN95" si="243">SUM(AM89:AM94)</f>
        <v>0</v>
      </c>
      <c r="AN95" s="68">
        <f t="shared" si="243"/>
        <v>0</v>
      </c>
      <c r="AO95" s="52"/>
      <c r="AP95" s="53"/>
      <c r="AQ95" s="51">
        <f t="shared" ref="AQ95:AR95" si="244">SUM(AQ89:AQ94)</f>
        <v>0</v>
      </c>
      <c r="AR95" s="68">
        <f t="shared" si="244"/>
        <v>0</v>
      </c>
      <c r="AS95" s="53"/>
      <c r="AT95" s="53"/>
      <c r="AU95" s="51">
        <f t="shared" ref="AU95:AV95" si="245">SUM(AU89:AU94)</f>
        <v>9.96</v>
      </c>
      <c r="AV95" s="51">
        <f t="shared" si="245"/>
        <v>0</v>
      </c>
      <c r="AW95" s="52"/>
      <c r="AX95" s="53"/>
      <c r="AY95" s="51">
        <f t="shared" ref="AY95:AZ95" si="246">SUM(AY89:AY94)</f>
        <v>0</v>
      </c>
      <c r="AZ95" s="68">
        <f t="shared" si="246"/>
        <v>0</v>
      </c>
      <c r="BA95" s="53"/>
      <c r="BB95" s="53"/>
      <c r="BC95" s="51">
        <f t="shared" ref="BC95:BD95" si="247">SUM(BC89:BC94)</f>
        <v>0</v>
      </c>
      <c r="BD95" s="51">
        <f t="shared" si="247"/>
        <v>0</v>
      </c>
      <c r="BE95" s="69"/>
      <c r="BF95" s="70">
        <f t="shared" ref="BF95:BH95" si="248">SUM(BF88:BF94)</f>
        <v>4642.6976</v>
      </c>
      <c r="BG95" s="71">
        <f t="shared" si="248"/>
        <v>4722.77</v>
      </c>
      <c r="BH95" s="72">
        <f t="shared" si="248"/>
        <v>-75.0924</v>
      </c>
      <c r="BI95" s="34">
        <f>H95+BF95-BG95</f>
        <v>-75.0924</v>
      </c>
      <c r="BJ95" s="34">
        <f>BH95-BI95</f>
        <v>0</v>
      </c>
    </row>
    <row r="96" ht="15.75" customHeight="1" hidden="1" spans="1:60" x14ac:dyDescent="0.25">
      <c r="A96" s="29">
        <v>12</v>
      </c>
      <c r="B96" s="14"/>
      <c r="D96" s="14" t="s">
        <v>42</v>
      </c>
      <c r="F96" s="13"/>
      <c r="G96" s="28"/>
      <c r="I96" s="13"/>
      <c r="J96" s="15"/>
      <c r="K96" s="15"/>
      <c r="L96" s="28"/>
      <c r="M96" s="15"/>
      <c r="N96" s="15"/>
      <c r="O96" s="15"/>
      <c r="P96" s="15"/>
      <c r="Q96" s="13"/>
      <c r="R96" s="15"/>
      <c r="S96" s="15"/>
      <c r="T96" s="28"/>
      <c r="U96" s="15"/>
      <c r="V96" s="15"/>
      <c r="W96" s="15"/>
      <c r="X96" s="15"/>
      <c r="Y96" s="13"/>
      <c r="Z96" s="15"/>
      <c r="AA96" s="15"/>
      <c r="AB96" s="28"/>
      <c r="AC96" s="15"/>
      <c r="AD96" s="15"/>
      <c r="AE96" s="15"/>
      <c r="AF96" s="15"/>
      <c r="AG96" s="13"/>
      <c r="AH96" s="15"/>
      <c r="AI96" s="15"/>
      <c r="AJ96" s="28"/>
      <c r="AK96" s="13"/>
      <c r="AL96" s="15"/>
      <c r="AM96" s="15"/>
      <c r="AN96" s="28"/>
      <c r="AO96" s="13"/>
      <c r="AP96" s="15"/>
      <c r="AQ96" s="15"/>
      <c r="AR96" s="28"/>
      <c r="AS96" s="15"/>
      <c r="AT96" s="15"/>
      <c r="AU96" s="15"/>
      <c r="AV96" s="15"/>
      <c r="AW96" s="13"/>
      <c r="AX96" s="15"/>
      <c r="AY96" s="15"/>
      <c r="AZ96" s="28"/>
      <c r="BA96" s="15"/>
      <c r="BB96" s="15"/>
      <c r="BC96" s="15"/>
      <c r="BD96" s="15"/>
      <c r="BE96" s="14"/>
      <c r="BF96" s="13"/>
      <c r="BG96" s="15"/>
      <c r="BH96" s="28"/>
    </row>
    <row r="97" ht="15.75" customHeight="1" hidden="1" spans="1:60" x14ac:dyDescent="0.25">
      <c r="A97" s="2">
        <v>12</v>
      </c>
      <c r="B97" s="14">
        <v>4.02</v>
      </c>
      <c r="C97" s="15" t="s">
        <v>92</v>
      </c>
      <c r="D97" s="14" t="s">
        <v>44</v>
      </c>
      <c r="E97" s="2" t="s">
        <v>45</v>
      </c>
      <c r="F97" s="13">
        <v>2.49</v>
      </c>
      <c r="G97" s="28"/>
      <c r="H97" s="74"/>
      <c r="I97" s="13"/>
      <c r="J97" s="15"/>
      <c r="K97" s="15"/>
      <c r="L97" s="28"/>
      <c r="M97" s="15"/>
      <c r="N97" s="15"/>
      <c r="O97" s="15"/>
      <c r="P97" s="15"/>
      <c r="Q97" s="13"/>
      <c r="R97" s="15"/>
      <c r="S97" s="15"/>
      <c r="T97" s="28"/>
      <c r="U97" s="15"/>
      <c r="V97" s="15"/>
      <c r="W97" s="15"/>
      <c r="X97" s="15"/>
      <c r="Y97" s="13"/>
      <c r="Z97" s="15">
        <f>Y97-U97</f>
        <v>0</v>
      </c>
      <c r="AA97" s="34">
        <f>Z97*$F$8</f>
        <v>0</v>
      </c>
      <c r="AB97" s="28"/>
      <c r="AC97" s="15">
        <v>0</v>
      </c>
      <c r="AD97" s="15">
        <f>AC97-Y97</f>
        <v>0</v>
      </c>
      <c r="AE97" s="34">
        <f>AD97*$F$8</f>
        <v>0</v>
      </c>
      <c r="AF97" s="15"/>
      <c r="AG97" s="13"/>
      <c r="AH97" s="15">
        <f t="shared" ref="AH97:AH98" si="249">AG97-AC97</f>
        <v>0</v>
      </c>
      <c r="AI97" s="34">
        <f>AH97*$F$8</f>
        <v>0</v>
      </c>
      <c r="AJ97" s="28"/>
      <c r="AK97" s="13"/>
      <c r="AL97" s="15">
        <f t="shared" ref="AL97:AL98" si="250">AK97-AG97</f>
        <v>0</v>
      </c>
      <c r="AM97" s="34">
        <f>AL97*$F$8</f>
        <v>0</v>
      </c>
      <c r="AN97" s="28"/>
      <c r="AO97" s="13"/>
      <c r="AP97" s="15"/>
      <c r="AQ97" s="34">
        <f>AP97*$F$8</f>
        <v>0</v>
      </c>
      <c r="AR97" s="28"/>
      <c r="AS97" s="15"/>
      <c r="AT97" s="15"/>
      <c r="AU97" s="34">
        <f>AT97*$F$8</f>
        <v>0</v>
      </c>
      <c r="AV97" s="15"/>
      <c r="AW97" s="13"/>
      <c r="AX97" s="15"/>
      <c r="AY97" s="34">
        <f>AX97*$F$8</f>
        <v>0</v>
      </c>
      <c r="AZ97" s="28"/>
      <c r="BA97" s="15"/>
      <c r="BB97" s="15"/>
      <c r="BC97" s="34">
        <f>BB97*$F$8</f>
        <v>0</v>
      </c>
      <c r="BD97" s="15"/>
      <c r="BE97" s="40">
        <f t="shared" ref="BE97:BG97" si="251">J97+N97+R97+V97+Z97+AD97+AH97+AL97+AP97+AT97+AX97+BB97</f>
        <v>0</v>
      </c>
      <c r="BF97" s="41">
        <f t="shared" si="251"/>
        <v>0</v>
      </c>
      <c r="BG97" s="34">
        <f t="shared" si="251"/>
        <v>0</v>
      </c>
      <c r="BH97" s="35">
        <f t="shared" ref="BH97:BH102" si="252">H97+BF97-BG97</f>
        <v>0</v>
      </c>
    </row>
    <row r="98" ht="15.75" customHeight="1" hidden="1" spans="1:60" x14ac:dyDescent="0.25">
      <c r="A98" s="76">
        <v>12</v>
      </c>
      <c r="B98" s="14"/>
      <c r="C98" s="15" t="s">
        <v>93</v>
      </c>
      <c r="D98" s="14" t="s">
        <v>47</v>
      </c>
      <c r="E98" s="2" t="s">
        <v>48</v>
      </c>
      <c r="F98" s="13">
        <v>17.16</v>
      </c>
      <c r="G98" s="28"/>
      <c r="I98" s="13"/>
      <c r="J98" s="15"/>
      <c r="K98" s="15"/>
      <c r="L98" s="28"/>
      <c r="M98" s="15"/>
      <c r="N98" s="15"/>
      <c r="O98" s="15"/>
      <c r="P98" s="15"/>
      <c r="Q98" s="13"/>
      <c r="R98" s="15"/>
      <c r="S98" s="15"/>
      <c r="T98" s="28"/>
      <c r="U98" s="15"/>
      <c r="V98" s="15"/>
      <c r="W98" s="15"/>
      <c r="X98" s="15"/>
      <c r="Y98" s="13"/>
      <c r="Z98" s="15"/>
      <c r="AA98" s="15"/>
      <c r="AB98" s="28"/>
      <c r="AC98" s="15"/>
      <c r="AD98" s="15"/>
      <c r="AE98" s="34">
        <f>AD98*$F$10</f>
        <v>0</v>
      </c>
      <c r="AF98" s="15"/>
      <c r="AG98" s="13"/>
      <c r="AH98" s="15">
        <f t="shared" si="249"/>
        <v>0</v>
      </c>
      <c r="AI98" s="45">
        <f>AH98*$G$10</f>
        <v>0</v>
      </c>
      <c r="AJ98" s="28"/>
      <c r="AK98" s="13"/>
      <c r="AL98" s="15">
        <f t="shared" si="250"/>
        <v>0</v>
      </c>
      <c r="AM98" s="45">
        <f>AL98*$G$10</f>
        <v>0</v>
      </c>
      <c r="AN98" s="28"/>
      <c r="AO98" s="13"/>
      <c r="AP98" s="15"/>
      <c r="AQ98" s="45">
        <f>AP98*$G$10</f>
        <v>0</v>
      </c>
      <c r="AR98" s="28"/>
      <c r="AS98" s="15"/>
      <c r="AT98" s="15"/>
      <c r="AU98" s="15"/>
      <c r="AV98" s="15"/>
      <c r="AW98" s="13"/>
      <c r="AX98" s="15"/>
      <c r="AY98" s="15"/>
      <c r="AZ98" s="28"/>
      <c r="BA98" s="15"/>
      <c r="BB98" s="15"/>
      <c r="BC98" s="15"/>
      <c r="BD98" s="15"/>
      <c r="BE98" s="40">
        <f t="shared" ref="BE98:BG98" si="253">J98+N98+R98+V98+Z98+AD98+AH98+AL98+AP98+AT98+AX98+BB98</f>
        <v>0</v>
      </c>
      <c r="BF98" s="41">
        <f t="shared" si="253"/>
        <v>0</v>
      </c>
      <c r="BG98" s="34">
        <f t="shared" si="253"/>
        <v>0</v>
      </c>
      <c r="BH98" s="35">
        <f t="shared" si="252"/>
        <v>0</v>
      </c>
    </row>
    <row r="99" ht="15.75" customHeight="1" hidden="1" spans="1:60" x14ac:dyDescent="0.25">
      <c r="A99" s="76">
        <v>12</v>
      </c>
      <c r="B99" s="14"/>
      <c r="C99" s="15" t="s">
        <v>94</v>
      </c>
      <c r="D99" s="14" t="s">
        <v>47</v>
      </c>
      <c r="E99" s="2" t="s">
        <v>49</v>
      </c>
      <c r="F99" s="41">
        <v>300</v>
      </c>
      <c r="G99" s="35"/>
      <c r="H99" s="77">
        <v>6</v>
      </c>
      <c r="I99" s="13"/>
      <c r="J99" s="15"/>
      <c r="K99" s="15"/>
      <c r="L99" s="28"/>
      <c r="M99" s="15"/>
      <c r="N99" s="15"/>
      <c r="O99" s="15"/>
      <c r="P99" s="15"/>
      <c r="Q99" s="13"/>
      <c r="R99" s="15"/>
      <c r="S99" s="15"/>
      <c r="T99" s="28"/>
      <c r="U99" s="15"/>
      <c r="V99" s="15"/>
      <c r="W99" s="15"/>
      <c r="X99" s="15"/>
      <c r="Y99" s="13"/>
      <c r="Z99" s="15"/>
      <c r="AA99" s="34">
        <f>B97*$F$11</f>
        <v>1206</v>
      </c>
      <c r="AB99" s="28"/>
      <c r="AC99" s="15"/>
      <c r="AD99" s="15"/>
      <c r="AE99" s="34"/>
      <c r="AF99" s="15"/>
      <c r="AG99" s="13"/>
      <c r="AH99" s="15"/>
      <c r="AI99" s="34"/>
      <c r="AJ99" s="28"/>
      <c r="AK99" s="13"/>
      <c r="AL99" s="15"/>
      <c r="AM99" s="34"/>
      <c r="AN99" s="38">
        <v>1212</v>
      </c>
      <c r="AO99" s="13"/>
      <c r="AP99" s="15"/>
      <c r="AQ99" s="34"/>
      <c r="AR99" s="28"/>
      <c r="AS99" s="15"/>
      <c r="AT99" s="15"/>
      <c r="AU99" s="15"/>
      <c r="AV99" s="15"/>
      <c r="AW99" s="13"/>
      <c r="AX99" s="15"/>
      <c r="AY99" s="15"/>
      <c r="AZ99" s="28"/>
      <c r="BA99" s="15"/>
      <c r="BB99" s="15"/>
      <c r="BC99" s="15"/>
      <c r="BD99" s="15"/>
      <c r="BE99" s="14"/>
      <c r="BF99" s="41">
        <f t="shared" ref="BF99:BG99" si="254">K99+O99+S99+W99+AA99+AE99+AI99+AM99+AQ99+AU99+AY99+BC99</f>
        <v>1206</v>
      </c>
      <c r="BG99" s="34">
        <f t="shared" si="254"/>
        <v>1212</v>
      </c>
      <c r="BH99" s="35">
        <f t="shared" si="252"/>
        <v>0</v>
      </c>
    </row>
    <row r="100" ht="15.75" customHeight="1" hidden="1" spans="1:60" x14ac:dyDescent="0.25">
      <c r="A100" s="76">
        <v>12</v>
      </c>
      <c r="B100" s="14"/>
      <c r="C100" s="15" t="s">
        <v>95</v>
      </c>
      <c r="D100" s="14" t="s">
        <v>50</v>
      </c>
      <c r="E100" s="2" t="s">
        <v>49</v>
      </c>
      <c r="F100" s="41">
        <v>1062.88</v>
      </c>
      <c r="G100" s="35"/>
      <c r="I100" s="13"/>
      <c r="J100" s="15"/>
      <c r="K100" s="15"/>
      <c r="L100" s="28"/>
      <c r="M100" s="15"/>
      <c r="N100" s="15"/>
      <c r="O100" s="15"/>
      <c r="P100" s="15"/>
      <c r="Q100" s="13"/>
      <c r="R100" s="15"/>
      <c r="S100" s="15"/>
      <c r="T100" s="28"/>
      <c r="U100" s="15"/>
      <c r="V100" s="15"/>
      <c r="W100" s="15"/>
      <c r="X100" s="15"/>
      <c r="Y100" s="13"/>
      <c r="Z100" s="15"/>
      <c r="AA100" s="15"/>
      <c r="AB100" s="28"/>
      <c r="AC100" s="15"/>
      <c r="AD100" s="15"/>
      <c r="AE100" s="34">
        <f>B97*$F$12</f>
        <v>4272.7776</v>
      </c>
      <c r="AF100" s="15"/>
      <c r="AG100" s="13"/>
      <c r="AH100" s="15"/>
      <c r="AI100" s="15"/>
      <c r="AJ100" s="28"/>
      <c r="AK100" s="13"/>
      <c r="AL100" s="15"/>
      <c r="AM100" s="15"/>
      <c r="AN100" s="38">
        <v>2438</v>
      </c>
      <c r="AO100" s="13"/>
      <c r="AP100" s="15"/>
      <c r="AQ100" s="15"/>
      <c r="AR100" s="32">
        <v>1834.78</v>
      </c>
      <c r="AS100" s="15"/>
      <c r="AT100" s="15"/>
      <c r="AU100" s="15"/>
      <c r="AV100" s="15"/>
      <c r="AW100" s="13"/>
      <c r="AX100" s="15"/>
      <c r="AY100" s="15"/>
      <c r="AZ100" s="28"/>
      <c r="BA100" s="15"/>
      <c r="BB100" s="15"/>
      <c r="BC100" s="15"/>
      <c r="BD100" s="15"/>
      <c r="BE100" s="14"/>
      <c r="BF100" s="41">
        <f>B97*$F$12</f>
        <v>4272.7776</v>
      </c>
      <c r="BG100" s="34">
        <f t="shared" ref="BG100:BG102" si="255">L100+P100+T100+X100+AB100+AF100+AJ100+AN100+AR100+AV100+AZ100+BD100</f>
        <v>4272.78</v>
      </c>
      <c r="BH100" s="35">
        <f t="shared" si="252"/>
        <v>-0.002399999999</v>
      </c>
    </row>
    <row r="101" ht="15.75" customHeight="1" hidden="1" spans="1:60" x14ac:dyDescent="0.25">
      <c r="A101" s="76">
        <v>12</v>
      </c>
      <c r="B101" s="14"/>
      <c r="D101" s="14" t="s">
        <v>51</v>
      </c>
      <c r="E101" s="2" t="s">
        <v>49</v>
      </c>
      <c r="F101" s="41">
        <v>0</v>
      </c>
      <c r="G101" s="35"/>
      <c r="I101" s="13"/>
      <c r="J101" s="15"/>
      <c r="K101" s="15"/>
      <c r="L101" s="28"/>
      <c r="M101" s="15"/>
      <c r="N101" s="15"/>
      <c r="O101" s="15"/>
      <c r="P101" s="15"/>
      <c r="Q101" s="13"/>
      <c r="R101" s="15"/>
      <c r="S101" s="15"/>
      <c r="T101" s="28"/>
      <c r="U101" s="15"/>
      <c r="V101" s="15"/>
      <c r="W101" s="15"/>
      <c r="X101" s="15"/>
      <c r="Y101" s="13"/>
      <c r="Z101" s="15"/>
      <c r="AA101" s="15"/>
      <c r="AB101" s="28"/>
      <c r="AC101" s="15"/>
      <c r="AD101" s="15"/>
      <c r="AE101" s="15"/>
      <c r="AF101" s="15"/>
      <c r="AG101" s="13"/>
      <c r="AH101" s="15"/>
      <c r="AI101" s="15"/>
      <c r="AJ101" s="28"/>
      <c r="AK101" s="13"/>
      <c r="AL101" s="15"/>
      <c r="AM101" s="15"/>
      <c r="AN101" s="28"/>
      <c r="AO101" s="13"/>
      <c r="AP101" s="15"/>
      <c r="AQ101" s="15"/>
      <c r="AR101" s="28"/>
      <c r="AS101" s="15"/>
      <c r="AT101" s="15"/>
      <c r="AU101" s="15"/>
      <c r="AV101" s="15"/>
      <c r="AW101" s="13"/>
      <c r="AX101" s="15"/>
      <c r="AY101" s="15"/>
      <c r="AZ101" s="28"/>
      <c r="BA101" s="15"/>
      <c r="BB101" s="15"/>
      <c r="BC101" s="15"/>
      <c r="BD101" s="15"/>
      <c r="BE101" s="14"/>
      <c r="BF101" s="41">
        <f>B97*$F$13</f>
        <v>0</v>
      </c>
      <c r="BG101" s="34">
        <f t="shared" si="255"/>
        <v>0</v>
      </c>
      <c r="BH101" s="35">
        <f t="shared" si="252"/>
        <v>0</v>
      </c>
    </row>
    <row r="102" ht="15.75" customHeight="1" hidden="1" spans="1:60" x14ac:dyDescent="0.25">
      <c r="A102" s="76">
        <v>12</v>
      </c>
      <c r="B102" s="14"/>
      <c r="D102" s="14" t="s">
        <v>52</v>
      </c>
      <c r="E102" s="2" t="s">
        <v>39</v>
      </c>
      <c r="F102" s="41">
        <v>350</v>
      </c>
      <c r="G102" s="35"/>
      <c r="I102" s="13"/>
      <c r="J102" s="15"/>
      <c r="K102" s="15"/>
      <c r="L102" s="28"/>
      <c r="M102" s="15"/>
      <c r="N102" s="15"/>
      <c r="O102" s="15"/>
      <c r="P102" s="15"/>
      <c r="Q102" s="13"/>
      <c r="R102" s="15"/>
      <c r="S102" s="15"/>
      <c r="T102" s="28"/>
      <c r="U102" s="15"/>
      <c r="V102" s="15"/>
      <c r="W102" s="15"/>
      <c r="X102" s="15"/>
      <c r="Y102" s="13"/>
      <c r="Z102" s="15"/>
      <c r="AA102" s="34">
        <f>$F$14</f>
        <v>350</v>
      </c>
      <c r="AB102" s="28"/>
      <c r="AC102" s="15"/>
      <c r="AD102" s="15"/>
      <c r="AE102" s="15"/>
      <c r="AF102" s="15"/>
      <c r="AG102" s="13"/>
      <c r="AH102" s="15"/>
      <c r="AI102" s="15"/>
      <c r="AJ102" s="28"/>
      <c r="AK102" s="13"/>
      <c r="AL102" s="15"/>
      <c r="AM102" s="15"/>
      <c r="AN102" s="38">
        <v>350</v>
      </c>
      <c r="AO102" s="13"/>
      <c r="AP102" s="15"/>
      <c r="AQ102" s="15"/>
      <c r="AR102" s="28"/>
      <c r="AS102" s="15"/>
      <c r="AT102" s="15"/>
      <c r="AU102" s="15"/>
      <c r="AV102" s="15"/>
      <c r="AW102" s="13"/>
      <c r="AX102" s="15"/>
      <c r="AY102" s="15"/>
      <c r="AZ102" s="28"/>
      <c r="BA102" s="15"/>
      <c r="BB102" s="15"/>
      <c r="BC102" s="15"/>
      <c r="BD102" s="15"/>
      <c r="BE102" s="14"/>
      <c r="BF102" s="41">
        <f>$F$14</f>
        <v>350</v>
      </c>
      <c r="BG102" s="34">
        <f t="shared" si="255"/>
        <v>350</v>
      </c>
      <c r="BH102" s="35">
        <f t="shared" si="252"/>
        <v>0</v>
      </c>
    </row>
    <row r="103" ht="15.75" customHeight="1" hidden="1" spans="1:62" x14ac:dyDescent="0.25">
      <c r="A103" s="78">
        <v>12</v>
      </c>
      <c r="B103" s="21"/>
      <c r="C103" s="22" t="s">
        <v>53</v>
      </c>
      <c r="D103" s="21"/>
      <c r="E103" s="22"/>
      <c r="F103" s="20"/>
      <c r="G103" s="23"/>
      <c r="H103" s="51">
        <f>SUM(H96:H102)</f>
        <v>6</v>
      </c>
      <c r="I103" s="52"/>
      <c r="J103" s="53"/>
      <c r="K103" s="51">
        <f t="shared" ref="K103:L103" si="256">SUM(K97:K102)</f>
        <v>0</v>
      </c>
      <c r="L103" s="68">
        <f t="shared" si="256"/>
        <v>0</v>
      </c>
      <c r="M103" s="53"/>
      <c r="N103" s="53"/>
      <c r="O103" s="51">
        <f t="shared" ref="O103:P103" si="257">SUM(O97:O102)</f>
        <v>0</v>
      </c>
      <c r="P103" s="51">
        <f t="shared" si="257"/>
        <v>0</v>
      </c>
      <c r="Q103" s="52"/>
      <c r="R103" s="53"/>
      <c r="S103" s="51">
        <f t="shared" ref="S103:T103" si="258">SUM(S97:S102)</f>
        <v>0</v>
      </c>
      <c r="T103" s="68">
        <f t="shared" si="258"/>
        <v>0</v>
      </c>
      <c r="U103" s="53"/>
      <c r="V103" s="53"/>
      <c r="W103" s="51">
        <f t="shared" ref="W103:X103" si="259">SUM(W97:W102)</f>
        <v>0</v>
      </c>
      <c r="X103" s="51">
        <f t="shared" si="259"/>
        <v>0</v>
      </c>
      <c r="Y103" s="52"/>
      <c r="Z103" s="53"/>
      <c r="AA103" s="51">
        <f t="shared" ref="AA103:AB103" si="260">SUM(AA97:AA102)</f>
        <v>1556</v>
      </c>
      <c r="AB103" s="68">
        <f t="shared" si="260"/>
        <v>0</v>
      </c>
      <c r="AC103" s="53"/>
      <c r="AD103" s="53"/>
      <c r="AE103" s="51">
        <f t="shared" ref="AE103:AF103" si="261">SUM(AE97:AE102)</f>
        <v>4272.7776</v>
      </c>
      <c r="AF103" s="51">
        <f t="shared" si="261"/>
        <v>0</v>
      </c>
      <c r="AG103" s="52"/>
      <c r="AH103" s="53"/>
      <c r="AI103" s="51">
        <f t="shared" ref="AI103:AJ103" si="262">SUM(AI97:AI102)</f>
        <v>0</v>
      </c>
      <c r="AJ103" s="68">
        <f t="shared" si="262"/>
        <v>0</v>
      </c>
      <c r="AK103" s="52"/>
      <c r="AL103" s="53"/>
      <c r="AM103" s="51">
        <f t="shared" ref="AM103:AN103" si="263">SUM(AM97:AM102)</f>
        <v>0</v>
      </c>
      <c r="AN103" s="68">
        <f t="shared" si="263"/>
        <v>4000</v>
      </c>
      <c r="AO103" s="52"/>
      <c r="AP103" s="53"/>
      <c r="AQ103" s="51">
        <f t="shared" ref="AQ103:AR103" si="264">SUM(AQ97:AQ102)</f>
        <v>0</v>
      </c>
      <c r="AR103" s="68">
        <f t="shared" si="264"/>
        <v>1834.78</v>
      </c>
      <c r="AS103" s="53"/>
      <c r="AT103" s="53"/>
      <c r="AU103" s="51">
        <f t="shared" ref="AU103:AV103" si="265">SUM(AU97:AU102)</f>
        <v>0</v>
      </c>
      <c r="AV103" s="51">
        <f t="shared" si="265"/>
        <v>0</v>
      </c>
      <c r="AW103" s="52"/>
      <c r="AX103" s="53"/>
      <c r="AY103" s="51">
        <f t="shared" ref="AY103:AZ103" si="266">SUM(AY97:AY102)</f>
        <v>0</v>
      </c>
      <c r="AZ103" s="68">
        <f t="shared" si="266"/>
        <v>0</v>
      </c>
      <c r="BA103" s="53"/>
      <c r="BB103" s="53"/>
      <c r="BC103" s="51">
        <f t="shared" ref="BC103:BD103" si="267">SUM(BC97:BC102)</f>
        <v>0</v>
      </c>
      <c r="BD103" s="51">
        <f t="shared" si="267"/>
        <v>0</v>
      </c>
      <c r="BE103" s="69"/>
      <c r="BF103" s="70">
        <f t="shared" ref="BF103:BH103" si="268">SUM(BF96:BF102)</f>
        <v>5828.7776</v>
      </c>
      <c r="BG103" s="71">
        <f t="shared" si="268"/>
        <v>5834.78</v>
      </c>
      <c r="BH103" s="72">
        <f t="shared" si="268"/>
        <v>-0.0024</v>
      </c>
      <c r="BI103" s="34">
        <f>H103+BF103-BG103</f>
        <v>-0.002399999999</v>
      </c>
      <c r="BJ103" s="34">
        <f>BH103-BI103</f>
        <v>0</v>
      </c>
    </row>
    <row r="104" ht="15.75" customHeight="1" hidden="1" spans="1:60" x14ac:dyDescent="0.25">
      <c r="A104" s="79" t="s">
        <v>96</v>
      </c>
      <c r="B104" s="14"/>
      <c r="D104" s="14" t="s">
        <v>42</v>
      </c>
      <c r="F104" s="13"/>
      <c r="G104" s="28"/>
      <c r="I104" s="13"/>
      <c r="J104" s="15"/>
      <c r="K104" s="15"/>
      <c r="L104" s="28"/>
      <c r="M104" s="15"/>
      <c r="N104" s="15"/>
      <c r="O104" s="15"/>
      <c r="P104" s="15"/>
      <c r="Q104" s="13"/>
      <c r="R104" s="15"/>
      <c r="S104" s="15"/>
      <c r="T104" s="28"/>
      <c r="U104" s="15"/>
      <c r="V104" s="15"/>
      <c r="W104" s="15"/>
      <c r="X104" s="15"/>
      <c r="Y104" s="13"/>
      <c r="Z104" s="15"/>
      <c r="AA104" s="15"/>
      <c r="AB104" s="28"/>
      <c r="AC104" s="15"/>
      <c r="AD104" s="15"/>
      <c r="AE104" s="15"/>
      <c r="AF104" s="15"/>
      <c r="AG104" s="13"/>
      <c r="AH104" s="15"/>
      <c r="AI104" s="15"/>
      <c r="AJ104" s="28"/>
      <c r="AK104" s="13"/>
      <c r="AL104" s="15"/>
      <c r="AM104" s="15"/>
      <c r="AN104" s="28"/>
      <c r="AO104" s="13"/>
      <c r="AP104" s="15"/>
      <c r="AQ104" s="15"/>
      <c r="AR104" s="28"/>
      <c r="AS104" s="15"/>
      <c r="AT104" s="15"/>
      <c r="AU104" s="15"/>
      <c r="AV104" s="15"/>
      <c r="AW104" s="13"/>
      <c r="AX104" s="15"/>
      <c r="AY104" s="15"/>
      <c r="AZ104" s="28"/>
      <c r="BA104" s="15"/>
      <c r="BB104" s="15"/>
      <c r="BC104" s="15"/>
      <c r="BD104" s="15"/>
      <c r="BE104" s="14"/>
      <c r="BF104" s="13"/>
      <c r="BG104" s="15"/>
      <c r="BH104" s="28"/>
    </row>
    <row r="105" ht="15.75" customHeight="1" hidden="1" spans="1:60" x14ac:dyDescent="0.25">
      <c r="A105" s="80" t="s">
        <v>96</v>
      </c>
      <c r="B105" s="14">
        <f>3.94+4</f>
        <v>7.94</v>
      </c>
      <c r="C105" s="2" t="s">
        <v>97</v>
      </c>
      <c r="D105" s="14" t="s">
        <v>44</v>
      </c>
      <c r="E105" s="2" t="s">
        <v>45</v>
      </c>
      <c r="F105" s="13">
        <v>2.49</v>
      </c>
      <c r="G105" s="28"/>
      <c r="H105" s="2">
        <v>211.65</v>
      </c>
      <c r="I105" s="13">
        <v>2835</v>
      </c>
      <c r="J105" s="15">
        <v>0</v>
      </c>
      <c r="K105" s="34">
        <f>J105*$F$8</f>
        <v>0</v>
      </c>
      <c r="L105" s="28"/>
      <c r="M105" s="15">
        <v>2835</v>
      </c>
      <c r="N105" s="15">
        <f>M105-I105</f>
        <v>0</v>
      </c>
      <c r="O105" s="34">
        <f>N105*$F$8</f>
        <v>0</v>
      </c>
      <c r="P105" s="15"/>
      <c r="Q105" s="13">
        <v>2835</v>
      </c>
      <c r="R105" s="15">
        <f>Q105-M105</f>
        <v>0</v>
      </c>
      <c r="S105" s="34">
        <f>R105*$F$8</f>
        <v>0</v>
      </c>
      <c r="T105" s="28"/>
      <c r="U105" s="15">
        <v>3055</v>
      </c>
      <c r="V105" s="15">
        <f>U105-Q105</f>
        <v>220</v>
      </c>
      <c r="W105" s="34">
        <f>V105*$F$8</f>
        <v>547.8</v>
      </c>
      <c r="X105" s="15"/>
      <c r="Y105" s="13">
        <v>3558</v>
      </c>
      <c r="Z105" s="15">
        <f>Y105-U105</f>
        <v>503</v>
      </c>
      <c r="AA105" s="34">
        <f>Z105*$F$8</f>
        <v>1252.47</v>
      </c>
      <c r="AB105" s="28"/>
      <c r="AC105" s="15">
        <v>3768</v>
      </c>
      <c r="AD105" s="15">
        <f t="shared" ref="AD105:AD106" si="269">AC105-Y105</f>
        <v>210</v>
      </c>
      <c r="AE105" s="34">
        <f>AD105*$F$8</f>
        <v>522.9</v>
      </c>
      <c r="AF105" s="15"/>
      <c r="AG105" s="13">
        <v>3947</v>
      </c>
      <c r="AH105" s="15">
        <f t="shared" ref="AH105:AH106" si="270">AG105-AC105</f>
        <v>179</v>
      </c>
      <c r="AI105" s="34">
        <f>AH105*$F$8</f>
        <v>445.71</v>
      </c>
      <c r="AJ105" s="28"/>
      <c r="AK105" s="13">
        <v>4178</v>
      </c>
      <c r="AL105" s="15">
        <f t="shared" ref="AL105:AL106" si="271">AK105-AG105</f>
        <v>231</v>
      </c>
      <c r="AM105" s="34">
        <f>AL105*$F$8</f>
        <v>575.19</v>
      </c>
      <c r="AN105" s="38">
        <v>3000</v>
      </c>
      <c r="AO105" s="13">
        <v>4244</v>
      </c>
      <c r="AP105" s="15">
        <f t="shared" ref="AP105:AP106" si="272">AO105-AK105</f>
        <v>66</v>
      </c>
      <c r="AQ105" s="34">
        <f>AP105*$F$8</f>
        <v>164.34</v>
      </c>
      <c r="AR105" s="28"/>
      <c r="AS105" s="15">
        <v>4516</v>
      </c>
      <c r="AT105" s="37">
        <f>AS105-AO105</f>
        <v>272</v>
      </c>
      <c r="AU105" s="34">
        <f>AT105*$F$8</f>
        <v>677.28</v>
      </c>
      <c r="AV105" s="15"/>
      <c r="AW105" s="13">
        <v>4516</v>
      </c>
      <c r="AX105" s="37">
        <f>AW105-AS105</f>
        <v>0</v>
      </c>
      <c r="AY105" s="34">
        <f>AX105*$F$8</f>
        <v>0</v>
      </c>
      <c r="AZ105" s="38">
        <v>720.06</v>
      </c>
      <c r="BA105" s="15">
        <v>4707</v>
      </c>
      <c r="BB105" s="37">
        <f>BA105-AW105</f>
        <v>191</v>
      </c>
      <c r="BC105" s="34">
        <f>BB105*$F$8</f>
        <v>475.59</v>
      </c>
      <c r="BD105" s="15"/>
      <c r="BE105" s="40">
        <f t="shared" ref="BE105:BG105" si="273">J105+N105+R105+V105+Z105+AD105+AH105+AL105+AP105+AT105+AX105+BB105</f>
        <v>1872</v>
      </c>
      <c r="BF105" s="41">
        <f t="shared" si="273"/>
        <v>4661.28</v>
      </c>
      <c r="BG105" s="34">
        <f t="shared" si="273"/>
        <v>3720.06</v>
      </c>
      <c r="BH105" s="35">
        <f t="shared" ref="BH105:BH110" si="274">H105+BF105-BG105</f>
        <v>1152.87</v>
      </c>
    </row>
    <row r="106" ht="15.75" customHeight="1" hidden="1" spans="1:60" x14ac:dyDescent="0.25">
      <c r="A106" s="79" t="s">
        <v>96</v>
      </c>
      <c r="B106" s="14"/>
      <c r="C106" s="2" t="s">
        <v>98</v>
      </c>
      <c r="D106" s="14" t="s">
        <v>47</v>
      </c>
      <c r="E106" s="2" t="s">
        <v>48</v>
      </c>
      <c r="F106" s="13">
        <v>17.16</v>
      </c>
      <c r="G106" s="28"/>
      <c r="H106" s="81">
        <f>-(1*17.16)</f>
        <v>-17.16</v>
      </c>
      <c r="I106" s="13"/>
      <c r="J106" s="15"/>
      <c r="K106" s="15"/>
      <c r="L106" s="28"/>
      <c r="M106" s="15"/>
      <c r="N106" s="15"/>
      <c r="O106" s="15"/>
      <c r="P106" s="15"/>
      <c r="Q106" s="13"/>
      <c r="R106" s="15"/>
      <c r="S106" s="15"/>
      <c r="T106" s="28"/>
      <c r="U106" s="15"/>
      <c r="V106" s="15"/>
      <c r="W106" s="15"/>
      <c r="X106" s="15"/>
      <c r="Y106" s="13">
        <f>0+36</f>
        <v>36</v>
      </c>
      <c r="Z106" s="15"/>
      <c r="AA106" s="15"/>
      <c r="AB106" s="28"/>
      <c r="AC106" s="13">
        <f>0+36</f>
        <v>36</v>
      </c>
      <c r="AD106" s="15">
        <f t="shared" si="269"/>
        <v>0</v>
      </c>
      <c r="AE106" s="34">
        <f>AD106*$F$10</f>
        <v>0</v>
      </c>
      <c r="AF106" s="15"/>
      <c r="AG106" s="13">
        <f>0+36</f>
        <v>36</v>
      </c>
      <c r="AH106" s="15">
        <f t="shared" si="270"/>
        <v>0</v>
      </c>
      <c r="AI106" s="45">
        <f>AH106*$G$10</f>
        <v>0</v>
      </c>
      <c r="AJ106" s="28"/>
      <c r="AK106" s="13">
        <f>0+36</f>
        <v>36</v>
      </c>
      <c r="AL106" s="15">
        <f t="shared" si="271"/>
        <v>0</v>
      </c>
      <c r="AM106" s="45">
        <f>AL106*$G$10</f>
        <v>0</v>
      </c>
      <c r="AN106" s="28"/>
      <c r="AO106" s="13">
        <f>0+36</f>
        <v>36</v>
      </c>
      <c r="AP106" s="15">
        <f t="shared" si="272"/>
        <v>0</v>
      </c>
      <c r="AQ106" s="45">
        <f>AP106*$G$10</f>
        <v>0</v>
      </c>
      <c r="AR106" s="28"/>
      <c r="AS106" s="15"/>
      <c r="AT106" s="15"/>
      <c r="AU106" s="15"/>
      <c r="AV106" s="15"/>
      <c r="AW106" s="13"/>
      <c r="AX106" s="15"/>
      <c r="AY106" s="15"/>
      <c r="AZ106" s="28"/>
      <c r="BA106" s="15"/>
      <c r="BB106" s="15"/>
      <c r="BC106" s="15"/>
      <c r="BD106" s="15"/>
      <c r="BE106" s="40">
        <f t="shared" ref="BE106:BG106" si="275">J106+N106+R106+V106+Z106+AD106+AH106+AL106+AP106+AT106+AX106+BB106</f>
        <v>0</v>
      </c>
      <c r="BF106" s="41">
        <f t="shared" si="275"/>
        <v>0</v>
      </c>
      <c r="BG106" s="34">
        <f t="shared" si="275"/>
        <v>0</v>
      </c>
      <c r="BH106" s="35">
        <f t="shared" si="274"/>
        <v>-17.16</v>
      </c>
    </row>
    <row r="107" ht="15.75" customHeight="1" hidden="1" spans="1:60" x14ac:dyDescent="0.25">
      <c r="A107" s="79" t="s">
        <v>96</v>
      </c>
      <c r="B107" s="14"/>
      <c r="C107" s="2" t="s">
        <v>99</v>
      </c>
      <c r="D107" s="14" t="s">
        <v>47</v>
      </c>
      <c r="E107" s="2" t="s">
        <v>49</v>
      </c>
      <c r="F107" s="41">
        <v>300</v>
      </c>
      <c r="G107" s="35"/>
      <c r="I107" s="13"/>
      <c r="J107" s="15"/>
      <c r="K107" s="15"/>
      <c r="L107" s="28"/>
      <c r="M107" s="15"/>
      <c r="N107" s="15"/>
      <c r="O107" s="15"/>
      <c r="P107" s="15"/>
      <c r="Q107" s="13"/>
      <c r="R107" s="15"/>
      <c r="S107" s="15"/>
      <c r="T107" s="28"/>
      <c r="U107" s="15"/>
      <c r="V107" s="15"/>
      <c r="W107" s="15"/>
      <c r="X107" s="15"/>
      <c r="Y107" s="13"/>
      <c r="Z107" s="15"/>
      <c r="AA107" s="15"/>
      <c r="AB107" s="28"/>
      <c r="AC107" s="15"/>
      <c r="AD107" s="15"/>
      <c r="AE107" s="34"/>
      <c r="AF107" s="15"/>
      <c r="AG107" s="13"/>
      <c r="AH107" s="15"/>
      <c r="AI107" s="34"/>
      <c r="AJ107" s="28"/>
      <c r="AK107" s="13"/>
      <c r="AL107" s="15"/>
      <c r="AM107" s="34"/>
      <c r="AN107" s="28"/>
      <c r="AO107" s="13"/>
      <c r="AP107" s="15"/>
      <c r="AQ107" s="34"/>
      <c r="AR107" s="28"/>
      <c r="AS107" s="15"/>
      <c r="AT107" s="15"/>
      <c r="AU107" s="15"/>
      <c r="AV107" s="15"/>
      <c r="AW107" s="13"/>
      <c r="AX107" s="15"/>
      <c r="AY107" s="15"/>
      <c r="AZ107" s="28"/>
      <c r="BA107" s="15"/>
      <c r="BB107" s="15"/>
      <c r="BC107" s="15"/>
      <c r="BD107" s="15"/>
      <c r="BE107" s="14"/>
      <c r="BF107" s="41">
        <f t="shared" ref="BF107:BG107" si="276">K107+O107+S107+W107+AA107+AE107+AI107+AM107+AQ107+AU107+AY107+BC107</f>
        <v>0</v>
      </c>
      <c r="BG107" s="34">
        <f t="shared" si="276"/>
        <v>0</v>
      </c>
      <c r="BH107" s="35">
        <f t="shared" si="274"/>
        <v>0</v>
      </c>
    </row>
    <row r="108" ht="15.75" customHeight="1" hidden="1" spans="1:60" x14ac:dyDescent="0.25">
      <c r="A108" s="79" t="s">
        <v>96</v>
      </c>
      <c r="B108" s="14"/>
      <c r="C108" s="73"/>
      <c r="D108" s="14" t="s">
        <v>50</v>
      </c>
      <c r="E108" s="2" t="s">
        <v>49</v>
      </c>
      <c r="F108" s="41">
        <v>1062.88</v>
      </c>
      <c r="G108" s="35"/>
      <c r="I108" s="13"/>
      <c r="J108" s="15"/>
      <c r="K108" s="15"/>
      <c r="L108" s="28"/>
      <c r="M108" s="15"/>
      <c r="N108" s="15"/>
      <c r="O108" s="15"/>
      <c r="P108" s="15"/>
      <c r="Q108" s="13"/>
      <c r="R108" s="15"/>
      <c r="S108" s="15"/>
      <c r="T108" s="28"/>
      <c r="U108" s="15"/>
      <c r="V108" s="15"/>
      <c r="W108" s="15"/>
      <c r="X108" s="15"/>
      <c r="Y108" s="13"/>
      <c r="Z108" s="15"/>
      <c r="AA108" s="15"/>
      <c r="AB108" s="28"/>
      <c r="AC108" s="15"/>
      <c r="AD108" s="15"/>
      <c r="AE108" s="34">
        <f>B105*$F$12</f>
        <v>8439.2672</v>
      </c>
      <c r="AF108" s="15"/>
      <c r="AG108" s="13"/>
      <c r="AH108" s="15"/>
      <c r="AI108" s="15"/>
      <c r="AJ108" s="28"/>
      <c r="AK108" s="13"/>
      <c r="AL108" s="15"/>
      <c r="AM108" s="15"/>
      <c r="AN108" s="38">
        <v>3000</v>
      </c>
      <c r="AO108" s="13"/>
      <c r="AP108" s="15"/>
      <c r="AQ108" s="15"/>
      <c r="AR108" s="28"/>
      <c r="AS108" s="15"/>
      <c r="AT108" s="15"/>
      <c r="AU108" s="15"/>
      <c r="AV108" s="15"/>
      <c r="AW108" s="13"/>
      <c r="AX108" s="15"/>
      <c r="AY108" s="15"/>
      <c r="AZ108" s="28">
        <v>5423.27</v>
      </c>
      <c r="BA108" s="15"/>
      <c r="BB108" s="15"/>
      <c r="BC108" s="15"/>
      <c r="BD108" s="15"/>
      <c r="BE108" s="14"/>
      <c r="BF108" s="41">
        <f>B105*$F$12</f>
        <v>8439.2672</v>
      </c>
      <c r="BG108" s="34">
        <f t="shared" ref="BG108:BG110" si="277">L108+P108+T108+X108+AB108+AF108+AJ108+AN108+AR108+AV108+AZ108+BD108</f>
        <v>8423.27</v>
      </c>
      <c r="BH108" s="35">
        <f t="shared" si="274"/>
        <v>15.9972</v>
      </c>
    </row>
    <row r="109" ht="15.75" customHeight="1" hidden="1" spans="1:60" x14ac:dyDescent="0.25">
      <c r="A109" s="79" t="s">
        <v>96</v>
      </c>
      <c r="B109" s="14"/>
      <c r="D109" s="14" t="s">
        <v>51</v>
      </c>
      <c r="E109" s="2" t="s">
        <v>49</v>
      </c>
      <c r="F109" s="41">
        <v>0</v>
      </c>
      <c r="G109" s="35"/>
      <c r="I109" s="13"/>
      <c r="J109" s="15"/>
      <c r="K109" s="15"/>
      <c r="L109" s="28"/>
      <c r="M109" s="15"/>
      <c r="N109" s="15"/>
      <c r="O109" s="15"/>
      <c r="P109" s="15"/>
      <c r="Q109" s="13"/>
      <c r="R109" s="15"/>
      <c r="S109" s="15"/>
      <c r="T109" s="28"/>
      <c r="U109" s="15"/>
      <c r="V109" s="15"/>
      <c r="W109" s="15"/>
      <c r="X109" s="15"/>
      <c r="Y109" s="13"/>
      <c r="Z109" s="15"/>
      <c r="AA109" s="15"/>
      <c r="AB109" s="28"/>
      <c r="AC109" s="15"/>
      <c r="AD109" s="15"/>
      <c r="AE109" s="15"/>
      <c r="AF109" s="15"/>
      <c r="AG109" s="13"/>
      <c r="AH109" s="15"/>
      <c r="AI109" s="15"/>
      <c r="AJ109" s="28"/>
      <c r="AK109" s="13"/>
      <c r="AL109" s="15"/>
      <c r="AM109" s="15"/>
      <c r="AN109" s="28"/>
      <c r="AO109" s="13"/>
      <c r="AP109" s="15"/>
      <c r="AQ109" s="15"/>
      <c r="AR109" s="28"/>
      <c r="AS109" s="15"/>
      <c r="AT109" s="15"/>
      <c r="AU109" s="15"/>
      <c r="AV109" s="15"/>
      <c r="AW109" s="13"/>
      <c r="AX109" s="15"/>
      <c r="AY109" s="15"/>
      <c r="AZ109" s="28"/>
      <c r="BA109" s="15"/>
      <c r="BB109" s="15"/>
      <c r="BC109" s="15"/>
      <c r="BD109" s="15"/>
      <c r="BE109" s="14"/>
      <c r="BF109" s="41">
        <f>B105*$F$13</f>
        <v>0</v>
      </c>
      <c r="BG109" s="34">
        <f t="shared" si="277"/>
        <v>0</v>
      </c>
      <c r="BH109" s="35">
        <f t="shared" si="274"/>
        <v>0</v>
      </c>
    </row>
    <row r="110" ht="15.75" customHeight="1" hidden="1" spans="1:60" x14ac:dyDescent="0.25">
      <c r="A110" s="79" t="s">
        <v>96</v>
      </c>
      <c r="B110" s="14"/>
      <c r="D110" s="14" t="s">
        <v>52</v>
      </c>
      <c r="E110" s="2" t="s">
        <v>39</v>
      </c>
      <c r="F110" s="41">
        <v>350</v>
      </c>
      <c r="G110" s="35"/>
      <c r="I110" s="13"/>
      <c r="J110" s="15"/>
      <c r="K110" s="15"/>
      <c r="L110" s="28"/>
      <c r="M110" s="15"/>
      <c r="N110" s="15"/>
      <c r="O110" s="15"/>
      <c r="P110" s="15"/>
      <c r="Q110" s="13"/>
      <c r="R110" s="15"/>
      <c r="S110" s="15"/>
      <c r="T110" s="28"/>
      <c r="U110" s="15"/>
      <c r="V110" s="15"/>
      <c r="W110" s="15"/>
      <c r="X110" s="15"/>
      <c r="Y110" s="13"/>
      <c r="Z110" s="15"/>
      <c r="AA110" s="34">
        <f>$F$14*2</f>
        <v>700</v>
      </c>
      <c r="AB110" s="28"/>
      <c r="AC110" s="15"/>
      <c r="AD110" s="15"/>
      <c r="AE110" s="15"/>
      <c r="AF110" s="15"/>
      <c r="AG110" s="13"/>
      <c r="AH110" s="15"/>
      <c r="AI110" s="15"/>
      <c r="AJ110" s="28"/>
      <c r="AK110" s="13"/>
      <c r="AL110" s="15"/>
      <c r="AM110" s="15"/>
      <c r="AN110" s="28"/>
      <c r="AO110" s="13"/>
      <c r="AP110" s="15"/>
      <c r="AQ110" s="15"/>
      <c r="AR110" s="28"/>
      <c r="AS110" s="15"/>
      <c r="AT110" s="15"/>
      <c r="AU110" s="15"/>
      <c r="AV110" s="15"/>
      <c r="AW110" s="13"/>
      <c r="AX110" s="15"/>
      <c r="AY110" s="15"/>
      <c r="AZ110" s="38">
        <v>700</v>
      </c>
      <c r="BA110" s="15"/>
      <c r="BB110" s="15"/>
      <c r="BC110" s="15"/>
      <c r="BD110" s="15"/>
      <c r="BE110" s="14"/>
      <c r="BF110" s="82">
        <f>$F$14*2</f>
        <v>700</v>
      </c>
      <c r="BG110" s="34">
        <f t="shared" si="277"/>
        <v>700</v>
      </c>
      <c r="BH110" s="35">
        <f t="shared" si="274"/>
        <v>0</v>
      </c>
    </row>
    <row r="111" ht="15.75" customHeight="1" hidden="1" spans="1:62" x14ac:dyDescent="0.25">
      <c r="A111" s="50" t="s">
        <v>96</v>
      </c>
      <c r="B111" s="21"/>
      <c r="C111" s="22" t="s">
        <v>53</v>
      </c>
      <c r="D111" s="21"/>
      <c r="E111" s="22"/>
      <c r="F111" s="20"/>
      <c r="G111" s="23"/>
      <c r="H111" s="51">
        <f>SUM(H104:H110)</f>
        <v>194.49</v>
      </c>
      <c r="I111" s="52"/>
      <c r="J111" s="53"/>
      <c r="K111" s="51">
        <f t="shared" ref="K111:L111" si="278">SUM(K105:K110)</f>
        <v>0</v>
      </c>
      <c r="L111" s="68">
        <f t="shared" si="278"/>
        <v>0</v>
      </c>
      <c r="M111" s="53"/>
      <c r="N111" s="53"/>
      <c r="O111" s="51">
        <f t="shared" ref="O111:P111" si="279">SUM(O105:O110)</f>
        <v>0</v>
      </c>
      <c r="P111" s="51">
        <f t="shared" si="279"/>
        <v>0</v>
      </c>
      <c r="Q111" s="52"/>
      <c r="R111" s="53"/>
      <c r="S111" s="51">
        <f t="shared" ref="S111:T111" si="280">SUM(S105:S110)</f>
        <v>0</v>
      </c>
      <c r="T111" s="68">
        <f t="shared" si="280"/>
        <v>0</v>
      </c>
      <c r="U111" s="53"/>
      <c r="V111" s="53"/>
      <c r="W111" s="51">
        <f t="shared" ref="W111:X111" si="281">SUM(W105:W110)</f>
        <v>547.8</v>
      </c>
      <c r="X111" s="51">
        <f t="shared" si="281"/>
        <v>0</v>
      </c>
      <c r="Y111" s="52"/>
      <c r="Z111" s="53"/>
      <c r="AA111" s="51">
        <f t="shared" ref="AA111:AB111" si="282">SUM(AA105:AA110)</f>
        <v>1952.47</v>
      </c>
      <c r="AB111" s="68">
        <f t="shared" si="282"/>
        <v>0</v>
      </c>
      <c r="AC111" s="53"/>
      <c r="AD111" s="53"/>
      <c r="AE111" s="51">
        <f t="shared" ref="AE111:AF111" si="283">SUM(AE105:AE110)</f>
        <v>8962.1672</v>
      </c>
      <c r="AF111" s="51">
        <f t="shared" si="283"/>
        <v>0</v>
      </c>
      <c r="AG111" s="52"/>
      <c r="AH111" s="53"/>
      <c r="AI111" s="51">
        <f t="shared" ref="AI111:AJ111" si="284">SUM(AI105:AI110)</f>
        <v>445.71</v>
      </c>
      <c r="AJ111" s="68">
        <f t="shared" si="284"/>
        <v>0</v>
      </c>
      <c r="AK111" s="52"/>
      <c r="AL111" s="53"/>
      <c r="AM111" s="51">
        <f t="shared" ref="AM111:AN111" si="285">SUM(AM105:AM110)</f>
        <v>575.19</v>
      </c>
      <c r="AN111" s="68">
        <f t="shared" si="285"/>
        <v>6000</v>
      </c>
      <c r="AO111" s="52"/>
      <c r="AP111" s="53"/>
      <c r="AQ111" s="51">
        <f t="shared" ref="AQ111:AR111" si="286">SUM(AQ105:AQ110)</f>
        <v>164.34</v>
      </c>
      <c r="AR111" s="68">
        <f t="shared" si="286"/>
        <v>0</v>
      </c>
      <c r="AS111" s="53"/>
      <c r="AT111" s="53"/>
      <c r="AU111" s="51">
        <f t="shared" ref="AU111:AV111" si="287">SUM(AU105:AU110)</f>
        <v>677.28</v>
      </c>
      <c r="AV111" s="51">
        <f t="shared" si="287"/>
        <v>0</v>
      </c>
      <c r="AW111" s="52"/>
      <c r="AX111" s="53"/>
      <c r="AY111" s="51">
        <f t="shared" ref="AY111:AZ111" si="288">SUM(AY105:AY110)</f>
        <v>0</v>
      </c>
      <c r="AZ111" s="68">
        <f t="shared" si="288"/>
        <v>6843.33</v>
      </c>
      <c r="BA111" s="53"/>
      <c r="BB111" s="53"/>
      <c r="BC111" s="51">
        <f t="shared" ref="BC111:BD111" si="289">SUM(BC105:BC110)</f>
        <v>475.59</v>
      </c>
      <c r="BD111" s="51">
        <f t="shared" si="289"/>
        <v>0</v>
      </c>
      <c r="BE111" s="69"/>
      <c r="BF111" s="70">
        <f t="shared" ref="BF111:BH111" si="290">SUM(BF104:BF110)</f>
        <v>13800.5472</v>
      </c>
      <c r="BG111" s="71">
        <f t="shared" si="290"/>
        <v>12843.33</v>
      </c>
      <c r="BH111" s="72">
        <f t="shared" si="290"/>
        <v>1151.7072</v>
      </c>
      <c r="BI111" s="34">
        <f>H111+BF111-BG111</f>
        <v>1151.7072</v>
      </c>
      <c r="BJ111" s="34">
        <f>BH111-BI111</f>
        <v>0</v>
      </c>
    </row>
    <row r="112" ht="15.75" customHeight="1" hidden="1" spans="1:60" x14ac:dyDescent="0.25">
      <c r="A112" s="29">
        <v>14</v>
      </c>
      <c r="B112" s="14"/>
      <c r="D112" s="14" t="s">
        <v>42</v>
      </c>
      <c r="F112" s="13"/>
      <c r="G112" s="28"/>
      <c r="I112" s="13"/>
      <c r="J112" s="15"/>
      <c r="K112" s="15"/>
      <c r="L112" s="28"/>
      <c r="M112" s="15"/>
      <c r="N112" s="15"/>
      <c r="O112" s="15"/>
      <c r="P112" s="15"/>
      <c r="Q112" s="13"/>
      <c r="R112" s="15"/>
      <c r="S112" s="15"/>
      <c r="T112" s="28"/>
      <c r="U112" s="15"/>
      <c r="V112" s="15"/>
      <c r="W112" s="15"/>
      <c r="X112" s="15"/>
      <c r="Y112" s="13"/>
      <c r="Z112" s="15"/>
      <c r="AA112" s="15"/>
      <c r="AB112" s="28"/>
      <c r="AC112" s="15"/>
      <c r="AD112" s="15"/>
      <c r="AE112" s="15"/>
      <c r="AF112" s="15"/>
      <c r="AG112" s="13"/>
      <c r="AH112" s="15"/>
      <c r="AI112" s="15"/>
      <c r="AJ112" s="28"/>
      <c r="AK112" s="13"/>
      <c r="AL112" s="15"/>
      <c r="AM112" s="15"/>
      <c r="AN112" s="28"/>
      <c r="AO112" s="13"/>
      <c r="AP112" s="15"/>
      <c r="AQ112" s="15"/>
      <c r="AR112" s="28"/>
      <c r="AS112" s="15"/>
      <c r="AT112" s="15"/>
      <c r="AU112" s="15"/>
      <c r="AV112" s="15"/>
      <c r="AW112" s="13"/>
      <c r="AX112" s="15"/>
      <c r="AY112" s="15"/>
      <c r="AZ112" s="28"/>
      <c r="BA112" s="15"/>
      <c r="BB112" s="15"/>
      <c r="BC112" s="15"/>
      <c r="BD112" s="15"/>
      <c r="BE112" s="14"/>
      <c r="BF112" s="13"/>
      <c r="BG112" s="15"/>
      <c r="BH112" s="28"/>
    </row>
    <row r="113" ht="15.75" customHeight="1" hidden="1" spans="1:60" x14ac:dyDescent="0.25">
      <c r="A113" s="2">
        <v>14</v>
      </c>
      <c r="B113" s="14">
        <v>4.02</v>
      </c>
      <c r="C113" s="15" t="s">
        <v>100</v>
      </c>
      <c r="D113" s="14" t="s">
        <v>44</v>
      </c>
      <c r="E113" s="2" t="s">
        <v>45</v>
      </c>
      <c r="F113" s="13">
        <v>2.49</v>
      </c>
      <c r="G113" s="28"/>
      <c r="H113" s="74"/>
      <c r="I113" s="13"/>
      <c r="J113" s="15"/>
      <c r="K113" s="15"/>
      <c r="L113" s="28"/>
      <c r="M113" s="15"/>
      <c r="N113" s="15"/>
      <c r="O113" s="15"/>
      <c r="P113" s="15"/>
      <c r="Q113" s="13"/>
      <c r="R113" s="15"/>
      <c r="S113" s="15"/>
      <c r="T113" s="28"/>
      <c r="U113" s="15"/>
      <c r="V113" s="15"/>
      <c r="W113" s="15"/>
      <c r="X113" s="15"/>
      <c r="Y113" s="13"/>
      <c r="Z113" s="15">
        <f>Y113-U113</f>
        <v>0</v>
      </c>
      <c r="AA113" s="34">
        <f>Z113*$F$8</f>
        <v>0</v>
      </c>
      <c r="AB113" s="28"/>
      <c r="AC113" s="15"/>
      <c r="AD113" s="15">
        <f>AC113-Y113</f>
        <v>0</v>
      </c>
      <c r="AE113" s="34">
        <f>AD113*$F$8</f>
        <v>0</v>
      </c>
      <c r="AF113" s="15"/>
      <c r="AG113" s="13"/>
      <c r="AH113" s="15">
        <f>AG113-AC113</f>
        <v>0</v>
      </c>
      <c r="AI113" s="34">
        <f>AH113*$F$8</f>
        <v>0</v>
      </c>
      <c r="AJ113" s="28"/>
      <c r="AK113" s="13"/>
      <c r="AL113" s="15">
        <f>AK113-AG113</f>
        <v>0</v>
      </c>
      <c r="AM113" s="34">
        <f>AL113*$F$8</f>
        <v>0</v>
      </c>
      <c r="AN113" s="28"/>
      <c r="AO113" s="13"/>
      <c r="AP113" s="15"/>
      <c r="AQ113" s="34">
        <f>AP113*$F$8</f>
        <v>0</v>
      </c>
      <c r="AR113" s="28"/>
      <c r="AS113" s="15"/>
      <c r="AT113" s="15"/>
      <c r="AU113" s="34">
        <f>AT113*$F$8</f>
        <v>0</v>
      </c>
      <c r="AV113" s="15"/>
      <c r="AW113" s="13"/>
      <c r="AX113" s="15"/>
      <c r="AY113" s="34">
        <f>AX113*$F$8</f>
        <v>0</v>
      </c>
      <c r="AZ113" s="28"/>
      <c r="BA113" s="15"/>
      <c r="BB113" s="15"/>
      <c r="BC113" s="34">
        <f>BB113*$F$8</f>
        <v>0</v>
      </c>
      <c r="BD113" s="15"/>
      <c r="BE113" s="40">
        <f t="shared" ref="BE113:BG113" si="291">J113+N113+R113+V113+Z113+AD113+AH113+AL113+AP113+AT113+AX113+BB113</f>
        <v>0</v>
      </c>
      <c r="BF113" s="41">
        <f t="shared" si="291"/>
        <v>0</v>
      </c>
      <c r="BG113" s="34">
        <f t="shared" si="291"/>
        <v>0</v>
      </c>
      <c r="BH113" s="35">
        <f t="shared" ref="BH113:BH118" si="292">H113+BF113-BG113</f>
        <v>0</v>
      </c>
    </row>
    <row r="114" ht="15.75" customHeight="1" hidden="1" spans="1:60" x14ac:dyDescent="0.25">
      <c r="A114" s="29">
        <v>14</v>
      </c>
      <c r="B114" s="14"/>
      <c r="C114" s="2" t="s">
        <v>101</v>
      </c>
      <c r="D114" s="14" t="s">
        <v>47</v>
      </c>
      <c r="E114" s="2" t="s">
        <v>48</v>
      </c>
      <c r="F114" s="13">
        <v>17.16</v>
      </c>
      <c r="G114" s="28"/>
      <c r="I114" s="13"/>
      <c r="J114" s="15"/>
      <c r="K114" s="15"/>
      <c r="L114" s="28"/>
      <c r="M114" s="15"/>
      <c r="N114" s="15"/>
      <c r="O114" s="15"/>
      <c r="P114" s="15"/>
      <c r="Q114" s="13"/>
      <c r="R114" s="15"/>
      <c r="S114" s="15"/>
      <c r="T114" s="28"/>
      <c r="U114" s="15"/>
      <c r="V114" s="15"/>
      <c r="W114" s="15"/>
      <c r="X114" s="15"/>
      <c r="Y114" s="13"/>
      <c r="Z114" s="15"/>
      <c r="AA114" s="15"/>
      <c r="AB114" s="28"/>
      <c r="AC114" s="15"/>
      <c r="AD114" s="15"/>
      <c r="AE114" s="34">
        <f>AD114*$F$10</f>
        <v>0</v>
      </c>
      <c r="AF114" s="15"/>
      <c r="AG114" s="13"/>
      <c r="AH114" s="15"/>
      <c r="AI114" s="45">
        <f>AH114*$G$10</f>
        <v>0</v>
      </c>
      <c r="AJ114" s="28"/>
      <c r="AK114" s="13"/>
      <c r="AL114" s="15"/>
      <c r="AM114" s="45">
        <f>AL114*$G$10</f>
        <v>0</v>
      </c>
      <c r="AN114" s="28"/>
      <c r="AO114" s="13"/>
      <c r="AP114" s="15"/>
      <c r="AQ114" s="45">
        <f>AP114*$G$10</f>
        <v>0</v>
      </c>
      <c r="AR114" s="28"/>
      <c r="AS114" s="15"/>
      <c r="AT114" s="15"/>
      <c r="AU114" s="15"/>
      <c r="AV114" s="15"/>
      <c r="AW114" s="13"/>
      <c r="AX114" s="15"/>
      <c r="AY114" s="15"/>
      <c r="AZ114" s="28"/>
      <c r="BA114" s="15"/>
      <c r="BB114" s="15"/>
      <c r="BC114" s="15"/>
      <c r="BD114" s="15"/>
      <c r="BE114" s="40">
        <f t="shared" ref="BE114:BG114" si="293">J114+N114+R114+V114+Z114+AD114+AH114+AL114+AP114+AT114+AX114+BB114</f>
        <v>0</v>
      </c>
      <c r="BF114" s="41">
        <f t="shared" si="293"/>
        <v>0</v>
      </c>
      <c r="BG114" s="34">
        <f t="shared" si="293"/>
        <v>0</v>
      </c>
      <c r="BH114" s="35">
        <f t="shared" si="292"/>
        <v>0</v>
      </c>
    </row>
    <row r="115" ht="15.75" customHeight="1" hidden="1" spans="1:60" x14ac:dyDescent="0.25">
      <c r="A115" s="29">
        <v>14</v>
      </c>
      <c r="B115" s="14"/>
      <c r="C115" s="2" t="s">
        <v>102</v>
      </c>
      <c r="D115" s="14" t="s">
        <v>47</v>
      </c>
      <c r="E115" s="2" t="s">
        <v>49</v>
      </c>
      <c r="F115" s="41">
        <v>300</v>
      </c>
      <c r="G115" s="35"/>
      <c r="H115" s="83"/>
      <c r="I115" s="13"/>
      <c r="J115" s="15"/>
      <c r="K115" s="15"/>
      <c r="L115" s="28"/>
      <c r="M115" s="15"/>
      <c r="N115" s="15"/>
      <c r="O115" s="15"/>
      <c r="P115" s="15"/>
      <c r="Q115" s="13"/>
      <c r="R115" s="15"/>
      <c r="S115" s="15"/>
      <c r="T115" s="28"/>
      <c r="U115" s="15"/>
      <c r="V115" s="15"/>
      <c r="W115" s="15"/>
      <c r="X115" s="15"/>
      <c r="Y115" s="13"/>
      <c r="Z115" s="15"/>
      <c r="AA115" s="34">
        <f>B113*$F$11</f>
        <v>1206</v>
      </c>
      <c r="AB115" s="28"/>
      <c r="AC115" s="15"/>
      <c r="AD115" s="15"/>
      <c r="AE115" s="34"/>
      <c r="AF115" s="34">
        <v>1206</v>
      </c>
      <c r="AG115" s="13"/>
      <c r="AH115" s="15"/>
      <c r="AI115" s="34"/>
      <c r="AJ115" s="38"/>
      <c r="AK115" s="13"/>
      <c r="AL115" s="15"/>
      <c r="AM115" s="34"/>
      <c r="AN115" s="28"/>
      <c r="AO115" s="13"/>
      <c r="AP115" s="15"/>
      <c r="AQ115" s="34"/>
      <c r="AR115" s="28"/>
      <c r="AS115" s="15"/>
      <c r="AT115" s="15"/>
      <c r="AU115" s="15"/>
      <c r="AV115" s="15"/>
      <c r="AW115" s="13"/>
      <c r="AX115" s="15"/>
      <c r="AY115" s="15"/>
      <c r="AZ115" s="28"/>
      <c r="BA115" s="15"/>
      <c r="BB115" s="15"/>
      <c r="BC115" s="15"/>
      <c r="BD115" s="15"/>
      <c r="BE115" s="14"/>
      <c r="BF115" s="41">
        <f t="shared" ref="BF115:BG115" si="294">K115+O115+S115+W115+AA115+AE115+AI115+AM115+AQ115+AU115+AY115+BC115</f>
        <v>1206</v>
      </c>
      <c r="BG115" s="34">
        <f t="shared" si="294"/>
        <v>1206</v>
      </c>
      <c r="BH115" s="35">
        <f t="shared" si="292"/>
        <v>0</v>
      </c>
    </row>
    <row r="116" ht="15.75" customHeight="1" hidden="1" spans="1:60" x14ac:dyDescent="0.25">
      <c r="A116" s="29">
        <v>14</v>
      </c>
      <c r="B116" s="14"/>
      <c r="C116" s="73"/>
      <c r="D116" s="14" t="s">
        <v>50</v>
      </c>
      <c r="E116" s="2" t="s">
        <v>49</v>
      </c>
      <c r="F116" s="41">
        <v>1062.88</v>
      </c>
      <c r="G116" s="35"/>
      <c r="I116" s="13"/>
      <c r="J116" s="15"/>
      <c r="K116" s="15"/>
      <c r="L116" s="28"/>
      <c r="M116" s="15"/>
      <c r="N116" s="15"/>
      <c r="O116" s="15"/>
      <c r="P116" s="15"/>
      <c r="Q116" s="13"/>
      <c r="R116" s="15"/>
      <c r="S116" s="15"/>
      <c r="T116" s="28"/>
      <c r="U116" s="15"/>
      <c r="V116" s="15"/>
      <c r="W116" s="15"/>
      <c r="X116" s="15"/>
      <c r="Y116" s="13"/>
      <c r="Z116" s="15"/>
      <c r="AA116" s="15"/>
      <c r="AB116" s="28"/>
      <c r="AC116" s="15"/>
      <c r="AD116" s="15"/>
      <c r="AE116" s="34">
        <f>B113*$F$12</f>
        <v>4272.7776</v>
      </c>
      <c r="AF116" s="34">
        <f>2800+1472.77</f>
        <v>4272.77</v>
      </c>
      <c r="AG116" s="13"/>
      <c r="AH116" s="15"/>
      <c r="AI116" s="15"/>
      <c r="AJ116" s="28"/>
      <c r="AK116" s="13"/>
      <c r="AL116" s="15"/>
      <c r="AM116" s="15"/>
      <c r="AN116" s="28"/>
      <c r="AO116" s="13"/>
      <c r="AP116" s="15"/>
      <c r="AQ116" s="15"/>
      <c r="AR116" s="28"/>
      <c r="AS116" s="15"/>
      <c r="AT116" s="15"/>
      <c r="AU116" s="15"/>
      <c r="AV116" s="15"/>
      <c r="AW116" s="13"/>
      <c r="AX116" s="15"/>
      <c r="AY116" s="15"/>
      <c r="AZ116" s="28"/>
      <c r="BA116" s="15"/>
      <c r="BB116" s="15"/>
      <c r="BC116" s="15"/>
      <c r="BD116" s="15"/>
      <c r="BE116" s="14"/>
      <c r="BF116" s="41">
        <f>B113*$F$12</f>
        <v>4272.7776</v>
      </c>
      <c r="BG116" s="34">
        <f t="shared" ref="BG116:BG118" si="295">L116+P116+T116+X116+AB116+AF116+AJ116+AN116+AR116+AV116+AZ116+BD116</f>
        <v>4272.77</v>
      </c>
      <c r="BH116" s="35">
        <f t="shared" si="292"/>
        <v>0.0076</v>
      </c>
    </row>
    <row r="117" ht="15.75" customHeight="1" hidden="1" spans="1:60" x14ac:dyDescent="0.25">
      <c r="A117" s="29">
        <v>14</v>
      </c>
      <c r="B117" s="14"/>
      <c r="D117" s="14" t="s">
        <v>51</v>
      </c>
      <c r="E117" s="2" t="s">
        <v>49</v>
      </c>
      <c r="F117" s="41">
        <v>0</v>
      </c>
      <c r="G117" s="35"/>
      <c r="I117" s="13"/>
      <c r="J117" s="15"/>
      <c r="K117" s="15"/>
      <c r="L117" s="28"/>
      <c r="M117" s="15"/>
      <c r="N117" s="15"/>
      <c r="O117" s="15"/>
      <c r="P117" s="15"/>
      <c r="Q117" s="13"/>
      <c r="R117" s="15"/>
      <c r="S117" s="15"/>
      <c r="T117" s="28"/>
      <c r="U117" s="15"/>
      <c r="V117" s="15"/>
      <c r="W117" s="15"/>
      <c r="X117" s="15"/>
      <c r="Y117" s="13"/>
      <c r="Z117" s="15"/>
      <c r="AA117" s="15"/>
      <c r="AB117" s="28"/>
      <c r="AC117" s="15"/>
      <c r="AD117" s="15"/>
      <c r="AE117" s="15"/>
      <c r="AF117" s="15"/>
      <c r="AG117" s="13"/>
      <c r="AH117" s="15"/>
      <c r="AI117" s="15"/>
      <c r="AJ117" s="28"/>
      <c r="AK117" s="13"/>
      <c r="AL117" s="15"/>
      <c r="AM117" s="15"/>
      <c r="AN117" s="28"/>
      <c r="AO117" s="13"/>
      <c r="AP117" s="15"/>
      <c r="AQ117" s="15"/>
      <c r="AR117" s="28"/>
      <c r="AS117" s="15"/>
      <c r="AT117" s="15"/>
      <c r="AU117" s="15"/>
      <c r="AV117" s="15"/>
      <c r="AW117" s="13"/>
      <c r="AX117" s="15"/>
      <c r="AY117" s="15"/>
      <c r="AZ117" s="28"/>
      <c r="BA117" s="15"/>
      <c r="BB117" s="15"/>
      <c r="BC117" s="15"/>
      <c r="BD117" s="15"/>
      <c r="BE117" s="14"/>
      <c r="BF117" s="41">
        <f>B113*$F$13</f>
        <v>0</v>
      </c>
      <c r="BG117" s="34">
        <f t="shared" si="295"/>
        <v>0</v>
      </c>
      <c r="BH117" s="35">
        <f t="shared" si="292"/>
        <v>0</v>
      </c>
    </row>
    <row r="118" ht="15.75" customHeight="1" hidden="1" spans="1:60" x14ac:dyDescent="0.25">
      <c r="A118" s="29">
        <v>14</v>
      </c>
      <c r="B118" s="14"/>
      <c r="D118" s="14" t="s">
        <v>52</v>
      </c>
      <c r="E118" s="2" t="s">
        <v>39</v>
      </c>
      <c r="F118" s="41">
        <v>350</v>
      </c>
      <c r="G118" s="35"/>
      <c r="H118" s="84">
        <v>-300</v>
      </c>
      <c r="I118" s="13"/>
      <c r="J118" s="15"/>
      <c r="K118" s="15"/>
      <c r="L118" s="28"/>
      <c r="M118" s="15"/>
      <c r="N118" s="15"/>
      <c r="O118" s="15"/>
      <c r="P118" s="15"/>
      <c r="Q118" s="13"/>
      <c r="R118" s="15"/>
      <c r="S118" s="15"/>
      <c r="T118" s="28"/>
      <c r="U118" s="15"/>
      <c r="V118" s="15"/>
      <c r="W118" s="15"/>
      <c r="X118" s="15"/>
      <c r="Y118" s="13"/>
      <c r="Z118" s="15"/>
      <c r="AA118" s="34">
        <f>$F$14</f>
        <v>350</v>
      </c>
      <c r="AB118" s="35">
        <v>50</v>
      </c>
      <c r="AC118" s="15"/>
      <c r="AD118" s="15"/>
      <c r="AE118" s="15"/>
      <c r="AF118" s="15"/>
      <c r="AG118" s="13"/>
      <c r="AH118" s="15"/>
      <c r="AI118" s="15"/>
      <c r="AJ118" s="28"/>
      <c r="AK118" s="13"/>
      <c r="AL118" s="15"/>
      <c r="AM118" s="15"/>
      <c r="AN118" s="28"/>
      <c r="AO118" s="13"/>
      <c r="AP118" s="15"/>
      <c r="AQ118" s="15"/>
      <c r="AR118" s="28"/>
      <c r="AS118" s="15"/>
      <c r="AT118" s="15"/>
      <c r="AU118" s="15"/>
      <c r="AV118" s="15"/>
      <c r="AW118" s="13"/>
      <c r="AX118" s="15"/>
      <c r="AY118" s="15"/>
      <c r="AZ118" s="28"/>
      <c r="BA118" s="15"/>
      <c r="BB118" s="15"/>
      <c r="BC118" s="15"/>
      <c r="BD118" s="15"/>
      <c r="BE118" s="14"/>
      <c r="BF118" s="41">
        <f>$F$14</f>
        <v>350</v>
      </c>
      <c r="BG118" s="34">
        <f t="shared" si="295"/>
        <v>50</v>
      </c>
      <c r="BH118" s="35">
        <f t="shared" si="292"/>
        <v>0</v>
      </c>
    </row>
    <row r="119" ht="15.75" customHeight="1" hidden="1" spans="1:62" x14ac:dyDescent="0.25">
      <c r="A119" s="50">
        <v>14</v>
      </c>
      <c r="B119" s="21"/>
      <c r="C119" s="22" t="s">
        <v>53</v>
      </c>
      <c r="D119" s="21"/>
      <c r="E119" s="22"/>
      <c r="F119" s="20"/>
      <c r="G119" s="23"/>
      <c r="H119" s="51">
        <f>SUM(H112:H118)</f>
        <v>-300</v>
      </c>
      <c r="I119" s="52"/>
      <c r="J119" s="53"/>
      <c r="K119" s="51">
        <f t="shared" ref="K119:L119" si="296">SUM(K113:K118)</f>
        <v>0</v>
      </c>
      <c r="L119" s="68">
        <f t="shared" si="296"/>
        <v>0</v>
      </c>
      <c r="M119" s="53"/>
      <c r="N119" s="53"/>
      <c r="O119" s="51">
        <f t="shared" ref="O119:P119" si="297">SUM(O113:O118)</f>
        <v>0</v>
      </c>
      <c r="P119" s="51">
        <f t="shared" si="297"/>
        <v>0</v>
      </c>
      <c r="Q119" s="52"/>
      <c r="R119" s="53"/>
      <c r="S119" s="51">
        <f t="shared" ref="S119:T119" si="298">SUM(S113:S118)</f>
        <v>0</v>
      </c>
      <c r="T119" s="68">
        <f t="shared" si="298"/>
        <v>0</v>
      </c>
      <c r="U119" s="53"/>
      <c r="V119" s="53"/>
      <c r="W119" s="51">
        <f t="shared" ref="W119:X119" si="299">SUM(W113:W118)</f>
        <v>0</v>
      </c>
      <c r="X119" s="51">
        <f t="shared" si="299"/>
        <v>0</v>
      </c>
      <c r="Y119" s="52"/>
      <c r="Z119" s="53"/>
      <c r="AA119" s="51">
        <f t="shared" ref="AA119:AB119" si="300">SUM(AA113:AA118)</f>
        <v>1556</v>
      </c>
      <c r="AB119" s="68">
        <f t="shared" si="300"/>
        <v>50</v>
      </c>
      <c r="AC119" s="53"/>
      <c r="AD119" s="53"/>
      <c r="AE119" s="51">
        <f t="shared" ref="AE119:AF119" si="301">SUM(AE113:AE118)</f>
        <v>4272.7776</v>
      </c>
      <c r="AF119" s="51">
        <f t="shared" si="301"/>
        <v>5478.77</v>
      </c>
      <c r="AG119" s="52"/>
      <c r="AH119" s="53"/>
      <c r="AI119" s="51">
        <f t="shared" ref="AI119:AJ119" si="302">SUM(AI113:AI118)</f>
        <v>0</v>
      </c>
      <c r="AJ119" s="68">
        <f t="shared" si="302"/>
        <v>0</v>
      </c>
      <c r="AK119" s="52"/>
      <c r="AL119" s="53"/>
      <c r="AM119" s="51">
        <f t="shared" ref="AM119:AN119" si="303">SUM(AM113:AM118)</f>
        <v>0</v>
      </c>
      <c r="AN119" s="68">
        <f t="shared" si="303"/>
        <v>0</v>
      </c>
      <c r="AO119" s="52"/>
      <c r="AP119" s="53"/>
      <c r="AQ119" s="51">
        <f t="shared" ref="AQ119:AR119" si="304">SUM(AQ113:AQ118)</f>
        <v>0</v>
      </c>
      <c r="AR119" s="68">
        <f t="shared" si="304"/>
        <v>0</v>
      </c>
      <c r="AS119" s="53"/>
      <c r="AT119" s="53"/>
      <c r="AU119" s="51">
        <f t="shared" ref="AU119:AV119" si="305">SUM(AU113:AU118)</f>
        <v>0</v>
      </c>
      <c r="AV119" s="51">
        <f t="shared" si="305"/>
        <v>0</v>
      </c>
      <c r="AW119" s="52"/>
      <c r="AX119" s="53"/>
      <c r="AY119" s="51">
        <f t="shared" ref="AY119:AZ119" si="306">SUM(AY113:AY118)</f>
        <v>0</v>
      </c>
      <c r="AZ119" s="68">
        <f t="shared" si="306"/>
        <v>0</v>
      </c>
      <c r="BA119" s="53"/>
      <c r="BB119" s="53"/>
      <c r="BC119" s="51">
        <f t="shared" ref="BC119:BD119" si="307">SUM(BC113:BC118)</f>
        <v>0</v>
      </c>
      <c r="BD119" s="51">
        <f t="shared" si="307"/>
        <v>0</v>
      </c>
      <c r="BE119" s="69"/>
      <c r="BF119" s="70">
        <f t="shared" ref="BF119:BH119" si="308">SUM(BF112:BF118)</f>
        <v>5828.7776</v>
      </c>
      <c r="BG119" s="71">
        <f t="shared" si="308"/>
        <v>5528.77</v>
      </c>
      <c r="BH119" s="72">
        <f t="shared" si="308"/>
        <v>0.0076</v>
      </c>
      <c r="BI119" s="34">
        <f>H119+BF119-BG119</f>
        <v>0.0076</v>
      </c>
      <c r="BJ119" s="34">
        <f>BH119-BI119</f>
        <v>0</v>
      </c>
    </row>
    <row r="120" ht="15.75" customHeight="1" hidden="1" spans="1:60" x14ac:dyDescent="0.25">
      <c r="A120" s="29">
        <v>16</v>
      </c>
      <c r="B120" s="14"/>
      <c r="D120" s="14" t="s">
        <v>42</v>
      </c>
      <c r="E120" s="2" t="s">
        <v>39</v>
      </c>
      <c r="F120" s="41">
        <v>5000</v>
      </c>
      <c r="G120" s="28"/>
      <c r="I120" s="13"/>
      <c r="J120" s="15"/>
      <c r="K120" s="34">
        <v>5000</v>
      </c>
      <c r="L120" s="35">
        <v>2500</v>
      </c>
      <c r="M120" s="15"/>
      <c r="N120" s="15"/>
      <c r="O120" s="15"/>
      <c r="P120" s="15"/>
      <c r="Q120" s="13"/>
      <c r="R120" s="15"/>
      <c r="S120" s="15"/>
      <c r="T120" s="28"/>
      <c r="U120" s="15"/>
      <c r="V120" s="15"/>
      <c r="W120" s="15"/>
      <c r="X120" s="15"/>
      <c r="Y120" s="13"/>
      <c r="Z120" s="15"/>
      <c r="AA120" s="15"/>
      <c r="AB120" s="28"/>
      <c r="AC120" s="15"/>
      <c r="AD120" s="15"/>
      <c r="AE120" s="15"/>
      <c r="AF120" s="15"/>
      <c r="AG120" s="13"/>
      <c r="AH120" s="15"/>
      <c r="AI120" s="15"/>
      <c r="AJ120" s="35">
        <v>2500</v>
      </c>
      <c r="AK120" s="13"/>
      <c r="AL120" s="15"/>
      <c r="AM120" s="15"/>
      <c r="AN120" s="28"/>
      <c r="AO120" s="13"/>
      <c r="AP120" s="15"/>
      <c r="AQ120" s="15"/>
      <c r="AR120" s="28"/>
      <c r="AS120" s="15"/>
      <c r="AT120" s="15"/>
      <c r="AU120" s="15"/>
      <c r="AV120" s="15"/>
      <c r="AW120" s="13"/>
      <c r="AX120" s="15"/>
      <c r="AY120" s="15"/>
      <c r="AZ120" s="28"/>
      <c r="BA120" s="15"/>
      <c r="BB120" s="15"/>
      <c r="BC120" s="15"/>
      <c r="BD120" s="15"/>
      <c r="BE120" s="14"/>
      <c r="BF120" s="41">
        <f t="shared" ref="BF120:BG120" si="309">K120+O120+S120+W120+AA120+AE120+AI120+AM120+AQ120+AU120+AY120+BC120</f>
        <v>5000</v>
      </c>
      <c r="BG120" s="34">
        <f t="shared" si="309"/>
        <v>5000</v>
      </c>
      <c r="BH120" s="35">
        <f t="shared" ref="BH120:BH126" si="310">H120+BF120-BG120</f>
        <v>0</v>
      </c>
    </row>
    <row r="121" ht="15.75" customHeight="1" hidden="1" spans="1:60" x14ac:dyDescent="0.25">
      <c r="A121" s="2">
        <v>16</v>
      </c>
      <c r="B121" s="14">
        <v>3.98</v>
      </c>
      <c r="C121" s="2" t="s">
        <v>103</v>
      </c>
      <c r="D121" s="14" t="s">
        <v>44</v>
      </c>
      <c r="E121" s="2" t="s">
        <v>45</v>
      </c>
      <c r="F121" s="13">
        <v>2.49</v>
      </c>
      <c r="G121" s="28"/>
      <c r="H121" s="2">
        <v>29.88</v>
      </c>
      <c r="I121" s="13">
        <v>55</v>
      </c>
      <c r="J121" s="15">
        <v>0</v>
      </c>
      <c r="K121" s="34">
        <f>J121*$F$8</f>
        <v>0</v>
      </c>
      <c r="L121" s="28"/>
      <c r="M121" s="15">
        <v>55</v>
      </c>
      <c r="N121" s="15">
        <f>M121-I121</f>
        <v>0</v>
      </c>
      <c r="O121" s="34">
        <f>N121*$F$8</f>
        <v>0</v>
      </c>
      <c r="P121" s="15"/>
      <c r="Q121" s="13">
        <v>55</v>
      </c>
      <c r="R121" s="15">
        <f>Q121-M121</f>
        <v>0</v>
      </c>
      <c r="S121" s="34">
        <f>R121*$F$8</f>
        <v>0</v>
      </c>
      <c r="T121" s="28"/>
      <c r="U121" s="15">
        <v>55</v>
      </c>
      <c r="V121" s="15">
        <f>U121-Q121</f>
        <v>0</v>
      </c>
      <c r="W121" s="34">
        <f>V121*$F$8</f>
        <v>0</v>
      </c>
      <c r="X121" s="15">
        <v>29.88</v>
      </c>
      <c r="Y121" s="13">
        <v>82</v>
      </c>
      <c r="Z121" s="15">
        <f>Y121-U121</f>
        <v>27</v>
      </c>
      <c r="AA121" s="34">
        <f>Z121*$F$8</f>
        <v>67.23</v>
      </c>
      <c r="AB121" s="28">
        <v>67.23</v>
      </c>
      <c r="AC121" s="15">
        <v>139</v>
      </c>
      <c r="AD121" s="15">
        <f t="shared" ref="AD121:AD122" si="311">AC121-Y121</f>
        <v>57</v>
      </c>
      <c r="AE121" s="34">
        <f>AD121*$F$8</f>
        <v>141.93</v>
      </c>
      <c r="AF121" s="15"/>
      <c r="AG121" s="13">
        <v>162</v>
      </c>
      <c r="AH121" s="15">
        <f t="shared" ref="AH121:AH122" si="312">AG121-AC121</f>
        <v>23</v>
      </c>
      <c r="AI121" s="34">
        <f>AH121*$F$8</f>
        <v>57.27</v>
      </c>
      <c r="AJ121" s="32">
        <v>141.93</v>
      </c>
      <c r="AK121" s="13">
        <v>215</v>
      </c>
      <c r="AL121" s="15">
        <f t="shared" ref="AL121:AL122" si="313">AK121-AG121</f>
        <v>53</v>
      </c>
      <c r="AM121" s="34">
        <f>AL121*$F$8</f>
        <v>131.97</v>
      </c>
      <c r="AN121" s="32">
        <f>57.27+131.97</f>
        <v>189.24</v>
      </c>
      <c r="AO121" s="13">
        <v>331</v>
      </c>
      <c r="AP121" s="15">
        <f t="shared" ref="AP121:AP122" si="314">AO121-AK121</f>
        <v>116</v>
      </c>
      <c r="AQ121" s="34">
        <f>AP121*$F$8</f>
        <v>288.84</v>
      </c>
      <c r="AR121" s="32">
        <v>288.84</v>
      </c>
      <c r="AS121" s="15">
        <v>488</v>
      </c>
      <c r="AT121" s="37">
        <f>AS121-AO121</f>
        <v>157</v>
      </c>
      <c r="AU121" s="34">
        <f>AT121*$F$8</f>
        <v>390.93</v>
      </c>
      <c r="AV121" s="15"/>
      <c r="AW121" s="13">
        <v>488</v>
      </c>
      <c r="AX121" s="37">
        <f>AW121-AS121</f>
        <v>0</v>
      </c>
      <c r="AY121" s="34">
        <f>AX121*$F$8</f>
        <v>0</v>
      </c>
      <c r="AZ121" s="28"/>
      <c r="BA121" s="13">
        <v>488</v>
      </c>
      <c r="BB121" s="37">
        <f>BA121-AW121</f>
        <v>0</v>
      </c>
      <c r="BC121" s="34">
        <f>BB121*$F$8</f>
        <v>0</v>
      </c>
      <c r="BD121" s="15"/>
      <c r="BE121" s="40">
        <f t="shared" ref="BE121:BG121" si="315">J121+N121+R121+V121+Z121+AD121+AH121+AL121+AP121+AT121+AX121+BB121</f>
        <v>433</v>
      </c>
      <c r="BF121" s="41">
        <f t="shared" si="315"/>
        <v>1078.17</v>
      </c>
      <c r="BG121" s="34">
        <f t="shared" si="315"/>
        <v>717.12</v>
      </c>
      <c r="BH121" s="35">
        <f t="shared" si="310"/>
        <v>390.93</v>
      </c>
    </row>
    <row r="122" ht="15.75" customHeight="1" hidden="1" spans="1:60" x14ac:dyDescent="0.25">
      <c r="A122" s="29">
        <v>16</v>
      </c>
      <c r="B122" s="14"/>
      <c r="C122" s="2" t="s">
        <v>104</v>
      </c>
      <c r="D122" s="14" t="s">
        <v>47</v>
      </c>
      <c r="E122" s="2" t="s">
        <v>48</v>
      </c>
      <c r="F122" s="13">
        <v>17.16</v>
      </c>
      <c r="G122" s="28"/>
      <c r="I122" s="13"/>
      <c r="J122" s="15"/>
      <c r="K122" s="15"/>
      <c r="L122" s="28"/>
      <c r="M122" s="15"/>
      <c r="N122" s="15"/>
      <c r="O122" s="15"/>
      <c r="P122" s="15"/>
      <c r="Q122" s="13"/>
      <c r="R122" s="15"/>
      <c r="S122" s="15"/>
      <c r="T122" s="28"/>
      <c r="U122" s="15"/>
      <c r="V122" s="15"/>
      <c r="W122" s="15"/>
      <c r="X122" s="15"/>
      <c r="Y122" s="13">
        <v>79</v>
      </c>
      <c r="Z122" s="15"/>
      <c r="AA122" s="15"/>
      <c r="AB122" s="28"/>
      <c r="AC122" s="15">
        <v>84</v>
      </c>
      <c r="AD122" s="15">
        <f t="shared" si="311"/>
        <v>5</v>
      </c>
      <c r="AE122" s="34">
        <f>AD122*$F$10</f>
        <v>85.8</v>
      </c>
      <c r="AF122" s="34"/>
      <c r="AG122" s="13">
        <v>84</v>
      </c>
      <c r="AH122" s="15">
        <f t="shared" si="312"/>
        <v>0</v>
      </c>
      <c r="AI122" s="45">
        <f>AH122*$G$10</f>
        <v>0</v>
      </c>
      <c r="AJ122" s="38">
        <v>85.8</v>
      </c>
      <c r="AK122" s="13">
        <v>95</v>
      </c>
      <c r="AL122" s="15">
        <f t="shared" si="313"/>
        <v>11</v>
      </c>
      <c r="AM122" s="45">
        <f>AL122*$G$10</f>
        <v>194.48</v>
      </c>
      <c r="AN122" s="85">
        <f>53.04+141.44</f>
        <v>194.48</v>
      </c>
      <c r="AO122" s="13">
        <v>95</v>
      </c>
      <c r="AP122" s="15">
        <f t="shared" si="314"/>
        <v>0</v>
      </c>
      <c r="AQ122" s="45">
        <f>AP122*$G$10</f>
        <v>0</v>
      </c>
      <c r="AR122" s="28"/>
      <c r="AS122" s="15"/>
      <c r="AT122" s="15"/>
      <c r="AU122" s="15"/>
      <c r="AV122" s="15"/>
      <c r="AW122" s="13"/>
      <c r="AX122" s="15"/>
      <c r="AY122" s="15"/>
      <c r="AZ122" s="28"/>
      <c r="BA122" s="15"/>
      <c r="BB122" s="15"/>
      <c r="BC122" s="15"/>
      <c r="BD122" s="15"/>
      <c r="BE122" s="40">
        <f t="shared" ref="BE122:BG122" si="316">J122+N122+R122+V122+Z122+AD122+AH122+AL122+AP122+AT122+AX122+BB122</f>
        <v>16</v>
      </c>
      <c r="BF122" s="41">
        <f t="shared" si="316"/>
        <v>280.28</v>
      </c>
      <c r="BG122" s="34">
        <f t="shared" si="316"/>
        <v>280.28</v>
      </c>
      <c r="BH122" s="35">
        <f t="shared" si="310"/>
        <v>0</v>
      </c>
    </row>
    <row r="123" ht="15.75" customHeight="1" hidden="1" spans="1:60" x14ac:dyDescent="0.25">
      <c r="A123" s="29">
        <v>16</v>
      </c>
      <c r="B123" s="14"/>
      <c r="C123" s="2" t="s">
        <v>91</v>
      </c>
      <c r="D123" s="14" t="s">
        <v>47</v>
      </c>
      <c r="E123" s="2" t="s">
        <v>49</v>
      </c>
      <c r="F123" s="41">
        <v>300</v>
      </c>
      <c r="G123" s="35"/>
      <c r="I123" s="13"/>
      <c r="J123" s="15"/>
      <c r="K123" s="15"/>
      <c r="L123" s="28"/>
      <c r="M123" s="15"/>
      <c r="N123" s="15"/>
      <c r="O123" s="15"/>
      <c r="P123" s="15"/>
      <c r="Q123" s="13"/>
      <c r="R123" s="15"/>
      <c r="S123" s="15"/>
      <c r="T123" s="28"/>
      <c r="U123" s="15"/>
      <c r="V123" s="15"/>
      <c r="W123" s="15"/>
      <c r="X123" s="15"/>
      <c r="Y123" s="13"/>
      <c r="Z123" s="15"/>
      <c r="AA123" s="15"/>
      <c r="AB123" s="28"/>
      <c r="AC123" s="15"/>
      <c r="AD123" s="15"/>
      <c r="AE123" s="15"/>
      <c r="AF123" s="15"/>
      <c r="AG123" s="13"/>
      <c r="AH123" s="15"/>
      <c r="AI123" s="34"/>
      <c r="AJ123" s="28"/>
      <c r="AK123" s="13"/>
      <c r="AL123" s="15"/>
      <c r="AM123" s="34"/>
      <c r="AN123" s="28"/>
      <c r="AO123" s="13"/>
      <c r="AP123" s="15"/>
      <c r="AQ123" s="34"/>
      <c r="AR123" s="28"/>
      <c r="AS123" s="15"/>
      <c r="AT123" s="15"/>
      <c r="AU123" s="15"/>
      <c r="AV123" s="15"/>
      <c r="AW123" s="13"/>
      <c r="AX123" s="15"/>
      <c r="AY123" s="15"/>
      <c r="AZ123" s="28"/>
      <c r="BA123" s="15"/>
      <c r="BB123" s="15"/>
      <c r="BC123" s="15"/>
      <c r="BD123" s="15"/>
      <c r="BE123" s="14"/>
      <c r="BF123" s="41">
        <f t="shared" ref="BF123:BG123" si="317">K123+O123+S123+W123+AA123+AE123+AI123+AM123+AQ123+AU123+AY123+BC123</f>
        <v>0</v>
      </c>
      <c r="BG123" s="34">
        <f t="shared" si="317"/>
        <v>0</v>
      </c>
      <c r="BH123" s="35">
        <f t="shared" si="310"/>
        <v>0</v>
      </c>
    </row>
    <row r="124" ht="15.75" customHeight="1" hidden="1" spans="1:60" x14ac:dyDescent="0.25">
      <c r="A124" s="29">
        <v>16</v>
      </c>
      <c r="B124" s="14"/>
      <c r="C124" s="2" t="s">
        <v>105</v>
      </c>
      <c r="D124" s="14" t="s">
        <v>50</v>
      </c>
      <c r="E124" s="2" t="s">
        <v>49</v>
      </c>
      <c r="F124" s="41">
        <v>1062.88</v>
      </c>
      <c r="G124" s="35"/>
      <c r="I124" s="13"/>
      <c r="J124" s="15"/>
      <c r="K124" s="15"/>
      <c r="L124" s="28"/>
      <c r="M124" s="15"/>
      <c r="N124" s="15"/>
      <c r="O124" s="15"/>
      <c r="P124" s="15"/>
      <c r="Q124" s="13"/>
      <c r="R124" s="15"/>
      <c r="S124" s="15"/>
      <c r="T124" s="28"/>
      <c r="U124" s="15"/>
      <c r="V124" s="15"/>
      <c r="W124" s="15"/>
      <c r="X124" s="15"/>
      <c r="Y124" s="13"/>
      <c r="Z124" s="15"/>
      <c r="AA124" s="15"/>
      <c r="AB124" s="28"/>
      <c r="AC124" s="15"/>
      <c r="AD124" s="15"/>
      <c r="AE124" s="34">
        <f>B121*$F$12</f>
        <v>4230.2624</v>
      </c>
      <c r="AF124" s="15"/>
      <c r="AG124" s="13"/>
      <c r="AH124" s="15"/>
      <c r="AI124" s="15"/>
      <c r="AJ124" s="38">
        <v>500</v>
      </c>
      <c r="AK124" s="13"/>
      <c r="AL124" s="15"/>
      <c r="AM124" s="15"/>
      <c r="AN124" s="28"/>
      <c r="AO124" s="13"/>
      <c r="AP124" s="15"/>
      <c r="AQ124" s="15"/>
      <c r="AR124" s="32">
        <v>3730.26</v>
      </c>
      <c r="AS124" s="15"/>
      <c r="AT124" s="15"/>
      <c r="AU124" s="15"/>
      <c r="AV124" s="15"/>
      <c r="AW124" s="13"/>
      <c r="AX124" s="15"/>
      <c r="AY124" s="15"/>
      <c r="AZ124" s="28"/>
      <c r="BA124" s="15"/>
      <c r="BB124" s="15"/>
      <c r="BC124" s="15"/>
      <c r="BD124" s="15"/>
      <c r="BE124" s="14"/>
      <c r="BF124" s="41">
        <f>B121*$F$12</f>
        <v>4230.2624</v>
      </c>
      <c r="BG124" s="34">
        <f t="shared" ref="BG124:BG126" si="318">L124+P124+T124+X124+AB124+AF124+AJ124+AN124+AR124+AV124+AZ124+BD124</f>
        <v>4230.26</v>
      </c>
      <c r="BH124" s="35">
        <f t="shared" si="310"/>
        <v>0.0024</v>
      </c>
    </row>
    <row r="125" ht="15.75" customHeight="1" hidden="1" spans="1:60" x14ac:dyDescent="0.25">
      <c r="A125" s="29">
        <v>16</v>
      </c>
      <c r="B125" s="14"/>
      <c r="D125" s="14" t="s">
        <v>51</v>
      </c>
      <c r="E125" s="2" t="s">
        <v>49</v>
      </c>
      <c r="F125" s="41">
        <v>0</v>
      </c>
      <c r="G125" s="35"/>
      <c r="I125" s="13"/>
      <c r="J125" s="15"/>
      <c r="K125" s="15"/>
      <c r="L125" s="28"/>
      <c r="M125" s="15"/>
      <c r="N125" s="15"/>
      <c r="O125" s="15"/>
      <c r="P125" s="15"/>
      <c r="Q125" s="13"/>
      <c r="R125" s="15"/>
      <c r="S125" s="15"/>
      <c r="T125" s="28"/>
      <c r="U125" s="15"/>
      <c r="V125" s="15"/>
      <c r="W125" s="15"/>
      <c r="X125" s="15"/>
      <c r="Y125" s="13"/>
      <c r="Z125" s="15"/>
      <c r="AA125" s="15"/>
      <c r="AB125" s="28"/>
      <c r="AC125" s="15"/>
      <c r="AD125" s="15"/>
      <c r="AE125" s="15"/>
      <c r="AF125" s="15"/>
      <c r="AG125" s="13"/>
      <c r="AH125" s="15"/>
      <c r="AI125" s="15"/>
      <c r="AJ125" s="28"/>
      <c r="AK125" s="13"/>
      <c r="AL125" s="15"/>
      <c r="AM125" s="15"/>
      <c r="AN125" s="28"/>
      <c r="AO125" s="13"/>
      <c r="AP125" s="15"/>
      <c r="AQ125" s="15"/>
      <c r="AR125" s="28"/>
      <c r="AS125" s="15"/>
      <c r="AT125" s="15"/>
      <c r="AU125" s="15"/>
      <c r="AV125" s="15"/>
      <c r="AW125" s="13"/>
      <c r="AX125" s="15"/>
      <c r="AY125" s="15"/>
      <c r="AZ125" s="28"/>
      <c r="BA125" s="15"/>
      <c r="BB125" s="15"/>
      <c r="BC125" s="15"/>
      <c r="BD125" s="15"/>
      <c r="BE125" s="14"/>
      <c r="BF125" s="41">
        <f>B121*$F$13</f>
        <v>0</v>
      </c>
      <c r="BG125" s="34">
        <f t="shared" si="318"/>
        <v>0</v>
      </c>
      <c r="BH125" s="35">
        <f t="shared" si="310"/>
        <v>0</v>
      </c>
    </row>
    <row r="126" ht="15.75" customHeight="1" hidden="1" spans="1:60" x14ac:dyDescent="0.25">
      <c r="A126" s="29">
        <v>16</v>
      </c>
      <c r="B126" s="14"/>
      <c r="D126" s="14" t="s">
        <v>52</v>
      </c>
      <c r="E126" s="2" t="s">
        <v>39</v>
      </c>
      <c r="F126" s="41">
        <v>350</v>
      </c>
      <c r="G126" s="35"/>
      <c r="I126" s="13"/>
      <c r="J126" s="15"/>
      <c r="K126" s="15"/>
      <c r="L126" s="28"/>
      <c r="M126" s="15"/>
      <c r="N126" s="15"/>
      <c r="O126" s="15"/>
      <c r="P126" s="15"/>
      <c r="Q126" s="13"/>
      <c r="R126" s="15"/>
      <c r="S126" s="15"/>
      <c r="T126" s="28"/>
      <c r="U126" s="15"/>
      <c r="V126" s="15"/>
      <c r="W126" s="15"/>
      <c r="X126" s="15"/>
      <c r="Y126" s="13"/>
      <c r="Z126" s="15"/>
      <c r="AA126" s="34">
        <f>$F$14</f>
        <v>350</v>
      </c>
      <c r="AB126" s="35">
        <v>350</v>
      </c>
      <c r="AC126" s="15"/>
      <c r="AD126" s="15"/>
      <c r="AE126" s="15"/>
      <c r="AF126" s="15"/>
      <c r="AG126" s="13"/>
      <c r="AH126" s="15"/>
      <c r="AI126" s="15"/>
      <c r="AJ126" s="28"/>
      <c r="AK126" s="13"/>
      <c r="AL126" s="15"/>
      <c r="AM126" s="15"/>
      <c r="AN126" s="28"/>
      <c r="AO126" s="13"/>
      <c r="AP126" s="15"/>
      <c r="AQ126" s="15"/>
      <c r="AR126" s="28"/>
      <c r="AS126" s="15"/>
      <c r="AT126" s="15"/>
      <c r="AU126" s="15"/>
      <c r="AV126" s="15"/>
      <c r="AW126" s="13"/>
      <c r="AX126" s="15"/>
      <c r="AY126" s="15"/>
      <c r="AZ126" s="28"/>
      <c r="BA126" s="15"/>
      <c r="BB126" s="15"/>
      <c r="BC126" s="15"/>
      <c r="BD126" s="15"/>
      <c r="BE126" s="14"/>
      <c r="BF126" s="41">
        <f>$F$14</f>
        <v>350</v>
      </c>
      <c r="BG126" s="34">
        <f t="shared" si="318"/>
        <v>350</v>
      </c>
      <c r="BH126" s="35">
        <f t="shared" si="310"/>
        <v>0</v>
      </c>
    </row>
    <row r="127" ht="15.75" customHeight="1" hidden="1" spans="1:62" x14ac:dyDescent="0.25">
      <c r="A127" s="50">
        <v>16</v>
      </c>
      <c r="B127" s="21"/>
      <c r="C127" s="22" t="s">
        <v>53</v>
      </c>
      <c r="D127" s="21"/>
      <c r="E127" s="22"/>
      <c r="F127" s="20"/>
      <c r="G127" s="23"/>
      <c r="H127" s="51">
        <f>SUM(H120:H126)</f>
        <v>29.88</v>
      </c>
      <c r="I127" s="52"/>
      <c r="J127" s="53"/>
      <c r="K127" s="51">
        <f t="shared" ref="K127:L127" si="319">SUM(K120:K126)</f>
        <v>5000</v>
      </c>
      <c r="L127" s="68">
        <f t="shared" si="319"/>
        <v>2500</v>
      </c>
      <c r="M127" s="53"/>
      <c r="N127" s="53"/>
      <c r="O127" s="51">
        <f t="shared" ref="O127:P127" si="320">SUM(O121:O126)</f>
        <v>0</v>
      </c>
      <c r="P127" s="51">
        <f t="shared" si="320"/>
        <v>0</v>
      </c>
      <c r="Q127" s="52"/>
      <c r="R127" s="53"/>
      <c r="S127" s="51">
        <f t="shared" ref="S127:T127" si="321">SUM(S121:S126)</f>
        <v>0</v>
      </c>
      <c r="T127" s="68">
        <f t="shared" si="321"/>
        <v>0</v>
      </c>
      <c r="U127" s="53"/>
      <c r="V127" s="53"/>
      <c r="W127" s="51">
        <f t="shared" ref="W127:X127" si="322">SUM(W121:W126)</f>
        <v>0</v>
      </c>
      <c r="X127" s="51">
        <f t="shared" si="322"/>
        <v>29.88</v>
      </c>
      <c r="Y127" s="52"/>
      <c r="Z127" s="53"/>
      <c r="AA127" s="51">
        <f t="shared" ref="AA127:AB127" si="323">SUM(AA121:AA126)</f>
        <v>417.23</v>
      </c>
      <c r="AB127" s="68">
        <f t="shared" si="323"/>
        <v>417.23</v>
      </c>
      <c r="AC127" s="53"/>
      <c r="AD127" s="53"/>
      <c r="AE127" s="51">
        <f t="shared" ref="AE127:AF127" si="324">SUM(AE121:AE126)</f>
        <v>4457.9924</v>
      </c>
      <c r="AF127" s="51">
        <f t="shared" si="324"/>
        <v>0</v>
      </c>
      <c r="AG127" s="52"/>
      <c r="AH127" s="53"/>
      <c r="AI127" s="51">
        <f>SUM(AI121:AI126)</f>
        <v>57.27</v>
      </c>
      <c r="AJ127" s="68">
        <f>SUM(AJ120:AJ126)</f>
        <v>3227.73</v>
      </c>
      <c r="AK127" s="52"/>
      <c r="AL127" s="53"/>
      <c r="AM127" s="51">
        <f t="shared" ref="AM127:AN127" si="325">SUM(AM121:AM126)</f>
        <v>326.45</v>
      </c>
      <c r="AN127" s="68">
        <f t="shared" si="325"/>
        <v>383.72</v>
      </c>
      <c r="AO127" s="52"/>
      <c r="AP127" s="53"/>
      <c r="AQ127" s="51">
        <f t="shared" ref="AQ127:AR127" si="326">SUM(AQ121:AQ126)</f>
        <v>288.84</v>
      </c>
      <c r="AR127" s="68">
        <f t="shared" si="326"/>
        <v>4019.1</v>
      </c>
      <c r="AS127" s="53"/>
      <c r="AT127" s="53"/>
      <c r="AU127" s="51">
        <f t="shared" ref="AU127:AV127" si="327">SUM(AU121:AU126)</f>
        <v>390.93</v>
      </c>
      <c r="AV127" s="51">
        <f t="shared" si="327"/>
        <v>0</v>
      </c>
      <c r="AW127" s="52"/>
      <c r="AX127" s="53"/>
      <c r="AY127" s="51">
        <f t="shared" ref="AY127:AZ127" si="328">SUM(AY121:AY126)</f>
        <v>0</v>
      </c>
      <c r="AZ127" s="68">
        <f t="shared" si="328"/>
        <v>0</v>
      </c>
      <c r="BA127" s="53"/>
      <c r="BB127" s="53"/>
      <c r="BC127" s="51">
        <f t="shared" ref="BC127:BD127" si="329">SUM(BC121:BC126)</f>
        <v>0</v>
      </c>
      <c r="BD127" s="51">
        <f t="shared" si="329"/>
        <v>0</v>
      </c>
      <c r="BE127" s="69"/>
      <c r="BF127" s="70">
        <f t="shared" ref="BF127:BH127" si="330">SUM(BF120:BF126)</f>
        <v>10938.7124</v>
      </c>
      <c r="BG127" s="71">
        <f t="shared" si="330"/>
        <v>10577.66</v>
      </c>
      <c r="BH127" s="72">
        <f t="shared" si="330"/>
        <v>390.9324</v>
      </c>
      <c r="BI127" s="34">
        <f>H127+BF127-BG127</f>
        <v>390.9324</v>
      </c>
      <c r="BJ127" s="34">
        <f>BH127-BI127</f>
        <v>0</v>
      </c>
    </row>
    <row r="128" ht="15.75" customHeight="1" hidden="1" spans="1:60" x14ac:dyDescent="0.25">
      <c r="A128" s="29">
        <v>17</v>
      </c>
      <c r="B128" s="14"/>
      <c r="D128" s="14" t="s">
        <v>42</v>
      </c>
      <c r="F128" s="13"/>
      <c r="G128" s="28"/>
      <c r="I128" s="13"/>
      <c r="J128" s="15"/>
      <c r="K128" s="15"/>
      <c r="L128" s="28"/>
      <c r="Q128" s="13"/>
      <c r="R128" s="15"/>
      <c r="S128" s="15"/>
      <c r="T128" s="28"/>
      <c r="Y128" s="13"/>
      <c r="Z128" s="15"/>
      <c r="AA128" s="15"/>
      <c r="AB128" s="28"/>
      <c r="AG128" s="13"/>
      <c r="AH128" s="15"/>
      <c r="AI128" s="15"/>
      <c r="AJ128" s="28"/>
      <c r="AK128" s="13"/>
      <c r="AL128" s="15"/>
      <c r="AM128" s="15"/>
      <c r="AN128" s="28"/>
      <c r="AO128" s="13"/>
      <c r="AP128" s="15"/>
      <c r="AQ128" s="15"/>
      <c r="AR128" s="28"/>
      <c r="AW128" s="13"/>
      <c r="AX128" s="15"/>
      <c r="AY128" s="15"/>
      <c r="AZ128" s="28"/>
      <c r="BE128" s="14"/>
      <c r="BF128" s="13"/>
      <c r="BG128" s="15"/>
      <c r="BH128" s="28"/>
    </row>
    <row r="129" ht="15.75" customHeight="1" hidden="1" spans="1:60" x14ac:dyDescent="0.25">
      <c r="A129" s="2">
        <v>17</v>
      </c>
      <c r="B129" s="86">
        <v>4</v>
      </c>
      <c r="C129" s="2" t="s">
        <v>106</v>
      </c>
      <c r="D129" s="14" t="s">
        <v>44</v>
      </c>
      <c r="E129" s="2" t="s">
        <v>45</v>
      </c>
      <c r="F129" s="13">
        <v>2.49</v>
      </c>
      <c r="G129" s="28"/>
      <c r="H129" s="2">
        <v>12.42</v>
      </c>
      <c r="I129" s="13">
        <v>5</v>
      </c>
      <c r="J129" s="15">
        <v>0</v>
      </c>
      <c r="K129" s="34">
        <f>J129*$F$8</f>
        <v>0</v>
      </c>
      <c r="L129" s="28"/>
      <c r="M129" s="2">
        <v>5</v>
      </c>
      <c r="N129" s="15">
        <f>M129-I129</f>
        <v>0</v>
      </c>
      <c r="O129" s="34">
        <f>N129*$F$8</f>
        <v>0</v>
      </c>
      <c r="Q129" s="13">
        <v>5</v>
      </c>
      <c r="R129" s="15">
        <f>Q129-M129</f>
        <v>0</v>
      </c>
      <c r="S129" s="34">
        <f>R129*$F$8</f>
        <v>0</v>
      </c>
      <c r="T129" s="28"/>
      <c r="U129" s="2">
        <v>5</v>
      </c>
      <c r="V129" s="15">
        <f>U129-Q129</f>
        <v>0</v>
      </c>
      <c r="W129" s="34">
        <f>V129*$F$8</f>
        <v>0</v>
      </c>
      <c r="X129" s="2">
        <v>12.42</v>
      </c>
      <c r="Y129" s="13">
        <v>5</v>
      </c>
      <c r="Z129" s="15">
        <f>Y129-U129</f>
        <v>0</v>
      </c>
      <c r="AA129" s="34">
        <f>Z129*$F$8</f>
        <v>0</v>
      </c>
      <c r="AB129" s="28"/>
      <c r="AC129" s="2">
        <v>5</v>
      </c>
      <c r="AD129" s="15">
        <f t="shared" ref="AD129:AD130" si="331">AC129-Y129</f>
        <v>0</v>
      </c>
      <c r="AE129" s="34">
        <f>AD129*$F$8</f>
        <v>0</v>
      </c>
      <c r="AG129" s="13">
        <v>5</v>
      </c>
      <c r="AH129" s="15">
        <f t="shared" ref="AH129:AH130" si="332">AG129-AC129</f>
        <v>0</v>
      </c>
      <c r="AI129" s="34">
        <f>AH129*$F$8</f>
        <v>0</v>
      </c>
      <c r="AJ129" s="28"/>
      <c r="AK129" s="13">
        <v>8</v>
      </c>
      <c r="AL129" s="15">
        <f t="shared" ref="AL129:AL130" si="333">AK129-AG129</f>
        <v>3</v>
      </c>
      <c r="AM129" s="34">
        <f>AL129*$F$8</f>
        <v>7.47</v>
      </c>
      <c r="AN129" s="38">
        <v>49.8</v>
      </c>
      <c r="AO129" s="13">
        <v>9</v>
      </c>
      <c r="AP129" s="15">
        <f t="shared" ref="AP129:AP130" si="334">AO129-AK129</f>
        <v>1</v>
      </c>
      <c r="AQ129" s="34">
        <f>AP129*$F$8</f>
        <v>2.49</v>
      </c>
      <c r="AR129" s="28"/>
      <c r="AS129" s="15">
        <v>9</v>
      </c>
      <c r="AT129" s="37">
        <f>AS129-AO129</f>
        <v>0</v>
      </c>
      <c r="AU129" s="34">
        <f>AT129*$F$8</f>
        <v>0</v>
      </c>
      <c r="AV129" s="15"/>
      <c r="AW129" s="13">
        <v>9</v>
      </c>
      <c r="AX129" s="37">
        <f>AW129-AS129</f>
        <v>0</v>
      </c>
      <c r="AY129" s="34">
        <f>AX129*$F$8</f>
        <v>0</v>
      </c>
      <c r="AZ129" s="28"/>
      <c r="BA129" s="13">
        <v>9</v>
      </c>
      <c r="BB129" s="37">
        <f>BA129-AW129</f>
        <v>0</v>
      </c>
      <c r="BC129" s="34">
        <f>BB129*$F$8</f>
        <v>0</v>
      </c>
      <c r="BD129" s="15"/>
      <c r="BE129" s="40">
        <f t="shared" ref="BE129:BG129" si="335">J129+N129+R129+V129+Z129+AD129+AH129+AL129+AP129+AT129+AX129+BB129</f>
        <v>4</v>
      </c>
      <c r="BF129" s="41">
        <f t="shared" si="335"/>
        <v>9.96</v>
      </c>
      <c r="BG129" s="34">
        <f t="shared" si="335"/>
        <v>62.22</v>
      </c>
      <c r="BH129" s="35">
        <f t="shared" ref="BH129:BH134" si="336">H129+BF129-BG129</f>
        <v>-39.84</v>
      </c>
    </row>
    <row r="130" ht="15.75" customHeight="1" hidden="1" spans="1:60" x14ac:dyDescent="0.25">
      <c r="A130" s="29">
        <v>17</v>
      </c>
      <c r="B130" s="14"/>
      <c r="C130" s="2" t="s">
        <v>83</v>
      </c>
      <c r="D130" s="14" t="s">
        <v>47</v>
      </c>
      <c r="E130" s="2" t="s">
        <v>48</v>
      </c>
      <c r="F130" s="13">
        <v>17.16</v>
      </c>
      <c r="G130" s="28"/>
      <c r="H130" s="33">
        <f>5*17.16</f>
        <v>85.8</v>
      </c>
      <c r="I130" s="13"/>
      <c r="J130" s="15"/>
      <c r="K130" s="15"/>
      <c r="L130" s="28"/>
      <c r="Q130" s="13"/>
      <c r="R130" s="15"/>
      <c r="S130" s="15"/>
      <c r="T130" s="28"/>
      <c r="Y130" s="13">
        <v>26</v>
      </c>
      <c r="Z130" s="15"/>
      <c r="AA130" s="15"/>
      <c r="AB130" s="28"/>
      <c r="AC130" s="2">
        <v>26</v>
      </c>
      <c r="AD130" s="15">
        <f t="shared" si="331"/>
        <v>0</v>
      </c>
      <c r="AE130" s="34">
        <f>AD130*$F$10</f>
        <v>0</v>
      </c>
      <c r="AG130" s="13">
        <v>32</v>
      </c>
      <c r="AH130" s="15">
        <f t="shared" si="332"/>
        <v>6</v>
      </c>
      <c r="AI130" s="45">
        <f>AH130*$G$10</f>
        <v>106.08</v>
      </c>
      <c r="AJ130" s="87">
        <f>106.08+85.8</f>
        <v>191.88</v>
      </c>
      <c r="AK130" s="13">
        <v>35</v>
      </c>
      <c r="AL130" s="15">
        <f t="shared" si="333"/>
        <v>3</v>
      </c>
      <c r="AM130" s="45">
        <f>AL130*$G$10</f>
        <v>53.04</v>
      </c>
      <c r="AN130" s="32">
        <v>53.04</v>
      </c>
      <c r="AO130" s="13">
        <v>35</v>
      </c>
      <c r="AP130" s="15">
        <f t="shared" si="334"/>
        <v>0</v>
      </c>
      <c r="AQ130" s="45">
        <f>AP130*$G$10</f>
        <v>0</v>
      </c>
      <c r="AR130" s="28"/>
      <c r="AS130" s="15"/>
      <c r="AT130" s="15"/>
      <c r="AU130" s="15"/>
      <c r="AV130" s="15"/>
      <c r="AW130" s="13"/>
      <c r="AX130" s="15"/>
      <c r="AY130" s="15"/>
      <c r="AZ130" s="28"/>
      <c r="BA130" s="15"/>
      <c r="BB130" s="15"/>
      <c r="BC130" s="15"/>
      <c r="BD130" s="15"/>
      <c r="BE130" s="40">
        <f t="shared" ref="BE130:BG130" si="337">J130+N130+R130+V130+Z130+AD130+AH130+AL130+AP130+AT130+AX130+BB130</f>
        <v>9</v>
      </c>
      <c r="BF130" s="41">
        <f t="shared" si="337"/>
        <v>159.12</v>
      </c>
      <c r="BG130" s="34">
        <f t="shared" si="337"/>
        <v>244.92</v>
      </c>
      <c r="BH130" s="35">
        <f t="shared" si="336"/>
        <v>0</v>
      </c>
    </row>
    <row r="131" ht="15.75" customHeight="1" hidden="1" spans="1:60" x14ac:dyDescent="0.25">
      <c r="A131" s="29">
        <v>17</v>
      </c>
      <c r="B131" s="14"/>
      <c r="C131" s="2" t="s">
        <v>107</v>
      </c>
      <c r="D131" s="14" t="s">
        <v>47</v>
      </c>
      <c r="E131" s="2" t="s">
        <v>49</v>
      </c>
      <c r="F131" s="41">
        <v>300</v>
      </c>
      <c r="G131" s="35"/>
      <c r="I131" s="13"/>
      <c r="J131" s="15"/>
      <c r="K131" s="15"/>
      <c r="L131" s="28"/>
      <c r="Q131" s="13"/>
      <c r="R131" s="15"/>
      <c r="S131" s="15"/>
      <c r="T131" s="28"/>
      <c r="Y131" s="13"/>
      <c r="Z131" s="15"/>
      <c r="AA131" s="15"/>
      <c r="AB131" s="28"/>
      <c r="AG131" s="13"/>
      <c r="AH131" s="15"/>
      <c r="AI131" s="34"/>
      <c r="AJ131" s="28"/>
      <c r="AK131" s="13"/>
      <c r="AL131" s="15"/>
      <c r="AM131" s="34"/>
      <c r="AN131" s="28"/>
      <c r="AO131" s="13"/>
      <c r="AP131" s="15"/>
      <c r="AQ131" s="34"/>
      <c r="AR131" s="28"/>
      <c r="AS131" s="15"/>
      <c r="AT131" s="15"/>
      <c r="AU131" s="15"/>
      <c r="AV131" s="15"/>
      <c r="AW131" s="13"/>
      <c r="AX131" s="15"/>
      <c r="AY131" s="15"/>
      <c r="AZ131" s="28"/>
      <c r="BA131" s="15"/>
      <c r="BB131" s="15"/>
      <c r="BC131" s="15"/>
      <c r="BD131" s="15"/>
      <c r="BE131" s="14"/>
      <c r="BF131" s="41">
        <f t="shared" ref="BF131:BG131" si="338">K131+O131+S131+W131+AA131+AE131+AI131+AM131+AQ131+AU131+AY131+BC131</f>
        <v>0</v>
      </c>
      <c r="BG131" s="34">
        <f t="shared" si="338"/>
        <v>0</v>
      </c>
      <c r="BH131" s="35">
        <f t="shared" si="336"/>
        <v>0</v>
      </c>
    </row>
    <row r="132" ht="15.75" customHeight="1" hidden="1" spans="1:60" x14ac:dyDescent="0.25">
      <c r="A132" s="29">
        <v>17</v>
      </c>
      <c r="B132" s="14"/>
      <c r="C132" s="15" t="s">
        <v>108</v>
      </c>
      <c r="D132" s="14" t="s">
        <v>50</v>
      </c>
      <c r="E132" s="2" t="s">
        <v>49</v>
      </c>
      <c r="F132" s="41">
        <v>1062.88</v>
      </c>
      <c r="G132" s="35"/>
      <c r="I132" s="13"/>
      <c r="J132" s="15"/>
      <c r="K132" s="15"/>
      <c r="L132" s="28"/>
      <c r="Q132" s="13"/>
      <c r="R132" s="15"/>
      <c r="S132" s="15"/>
      <c r="T132" s="28"/>
      <c r="Y132" s="13"/>
      <c r="Z132" s="15"/>
      <c r="AA132" s="15"/>
      <c r="AB132" s="28"/>
      <c r="AE132" s="34">
        <f>B129*$F$12</f>
        <v>4251.52</v>
      </c>
      <c r="AF132" s="2">
        <v>4251.52</v>
      </c>
      <c r="AG132" s="13"/>
      <c r="AH132" s="15"/>
      <c r="AI132" s="15"/>
      <c r="AJ132" s="28"/>
      <c r="AK132" s="13"/>
      <c r="AL132" s="15"/>
      <c r="AM132" s="15"/>
      <c r="AN132" s="28"/>
      <c r="AO132" s="13"/>
      <c r="AP132" s="15"/>
      <c r="AQ132" s="15"/>
      <c r="AR132" s="28"/>
      <c r="AS132" s="15"/>
      <c r="AT132" s="15"/>
      <c r="AU132" s="15"/>
      <c r="AV132" s="15"/>
      <c r="AW132" s="13"/>
      <c r="AX132" s="15"/>
      <c r="AY132" s="15"/>
      <c r="AZ132" s="28"/>
      <c r="BA132" s="15"/>
      <c r="BB132" s="15"/>
      <c r="BC132" s="15"/>
      <c r="BD132" s="15"/>
      <c r="BE132" s="14"/>
      <c r="BF132" s="41">
        <f>B129*$F$12</f>
        <v>4251.52</v>
      </c>
      <c r="BG132" s="34">
        <f t="shared" ref="BG132:BG134" si="339">L132+P132+T132+X132+AB132+AF132+AJ132+AN132+AR132+AV132+AZ132+BD132</f>
        <v>4251.52</v>
      </c>
      <c r="BH132" s="35">
        <f t="shared" si="336"/>
        <v>0</v>
      </c>
    </row>
    <row r="133" ht="15.75" customHeight="1" hidden="1" spans="1:60" x14ac:dyDescent="0.25">
      <c r="A133" s="29">
        <v>17</v>
      </c>
      <c r="B133" s="14"/>
      <c r="D133" s="14" t="s">
        <v>51</v>
      </c>
      <c r="E133" s="2" t="s">
        <v>49</v>
      </c>
      <c r="F133" s="41">
        <v>0</v>
      </c>
      <c r="G133" s="35"/>
      <c r="I133" s="13"/>
      <c r="J133" s="15"/>
      <c r="K133" s="15"/>
      <c r="L133" s="28"/>
      <c r="Q133" s="13"/>
      <c r="R133" s="15"/>
      <c r="S133" s="15"/>
      <c r="T133" s="28"/>
      <c r="Y133" s="13"/>
      <c r="Z133" s="15"/>
      <c r="AA133" s="15"/>
      <c r="AB133" s="28"/>
      <c r="AG133" s="13"/>
      <c r="AH133" s="15"/>
      <c r="AI133" s="15"/>
      <c r="AJ133" s="28"/>
      <c r="AK133" s="13"/>
      <c r="AL133" s="15"/>
      <c r="AM133" s="15"/>
      <c r="AN133" s="28"/>
      <c r="AO133" s="13"/>
      <c r="AP133" s="15"/>
      <c r="AQ133" s="15"/>
      <c r="AR133" s="28"/>
      <c r="AS133" s="15"/>
      <c r="AT133" s="15"/>
      <c r="AU133" s="15"/>
      <c r="AV133" s="15"/>
      <c r="AW133" s="13"/>
      <c r="AX133" s="15"/>
      <c r="AY133" s="15"/>
      <c r="AZ133" s="28"/>
      <c r="BA133" s="15"/>
      <c r="BB133" s="15"/>
      <c r="BC133" s="15"/>
      <c r="BD133" s="15"/>
      <c r="BE133" s="14"/>
      <c r="BF133" s="41">
        <f>B129*$F$13</f>
        <v>0</v>
      </c>
      <c r="BG133" s="34">
        <f t="shared" si="339"/>
        <v>0</v>
      </c>
      <c r="BH133" s="35">
        <f t="shared" si="336"/>
        <v>0</v>
      </c>
    </row>
    <row r="134" ht="15.75" customHeight="1" hidden="1" spans="1:60" x14ac:dyDescent="0.25">
      <c r="A134" s="29">
        <v>17</v>
      </c>
      <c r="B134" s="14"/>
      <c r="D134" s="14" t="s">
        <v>52</v>
      </c>
      <c r="E134" s="2" t="s">
        <v>39</v>
      </c>
      <c r="F134" s="41">
        <v>350</v>
      </c>
      <c r="G134" s="35"/>
      <c r="I134" s="13"/>
      <c r="J134" s="15"/>
      <c r="K134" s="15"/>
      <c r="L134" s="28"/>
      <c r="Q134" s="13"/>
      <c r="R134" s="15"/>
      <c r="S134" s="15"/>
      <c r="T134" s="28"/>
      <c r="Y134" s="13"/>
      <c r="Z134" s="15"/>
      <c r="AA134" s="34">
        <f>$F$14</f>
        <v>350</v>
      </c>
      <c r="AB134" s="35">
        <v>350</v>
      </c>
      <c r="AG134" s="13"/>
      <c r="AH134" s="15"/>
      <c r="AI134" s="15"/>
      <c r="AJ134" s="28"/>
      <c r="AK134" s="13"/>
      <c r="AL134" s="15"/>
      <c r="AM134" s="15"/>
      <c r="AN134" s="28"/>
      <c r="AO134" s="13"/>
      <c r="AP134" s="15"/>
      <c r="AQ134" s="15"/>
      <c r="AR134" s="28"/>
      <c r="AS134" s="15"/>
      <c r="AT134" s="15"/>
      <c r="AU134" s="15"/>
      <c r="AV134" s="15"/>
      <c r="AW134" s="13"/>
      <c r="AX134" s="15"/>
      <c r="AY134" s="15"/>
      <c r="AZ134" s="28"/>
      <c r="BA134" s="15"/>
      <c r="BB134" s="15"/>
      <c r="BC134" s="15"/>
      <c r="BD134" s="15"/>
      <c r="BE134" s="14"/>
      <c r="BF134" s="41">
        <f>$F$14</f>
        <v>350</v>
      </c>
      <c r="BG134" s="34">
        <f t="shared" si="339"/>
        <v>350</v>
      </c>
      <c r="BH134" s="35">
        <f t="shared" si="336"/>
        <v>0</v>
      </c>
    </row>
    <row r="135" ht="15.75" customHeight="1" hidden="1" spans="1:62" x14ac:dyDescent="0.25">
      <c r="A135" s="50">
        <v>17</v>
      </c>
      <c r="B135" s="21"/>
      <c r="C135" s="22" t="s">
        <v>53</v>
      </c>
      <c r="D135" s="21"/>
      <c r="E135" s="22"/>
      <c r="F135" s="20"/>
      <c r="G135" s="23"/>
      <c r="H135" s="51">
        <f>SUM(H128:H134)</f>
        <v>98.22</v>
      </c>
      <c r="I135" s="52"/>
      <c r="J135" s="53"/>
      <c r="K135" s="51">
        <f t="shared" ref="K135:L135" si="340">SUM(K129:K134)</f>
        <v>0</v>
      </c>
      <c r="L135" s="68">
        <f t="shared" si="340"/>
        <v>0</v>
      </c>
      <c r="M135" s="53"/>
      <c r="N135" s="53"/>
      <c r="O135" s="51">
        <f t="shared" ref="O135:P135" si="341">SUM(O129:O134)</f>
        <v>0</v>
      </c>
      <c r="P135" s="51">
        <f t="shared" si="341"/>
        <v>0</v>
      </c>
      <c r="Q135" s="52"/>
      <c r="R135" s="53"/>
      <c r="S135" s="51">
        <f t="shared" ref="S135:T135" si="342">SUM(S129:S134)</f>
        <v>0</v>
      </c>
      <c r="T135" s="68">
        <f t="shared" si="342"/>
        <v>0</v>
      </c>
      <c r="U135" s="53"/>
      <c r="V135" s="53"/>
      <c r="W135" s="51">
        <f t="shared" ref="W135:X135" si="343">SUM(W129:W134)</f>
        <v>0</v>
      </c>
      <c r="X135" s="51">
        <f t="shared" si="343"/>
        <v>12.42</v>
      </c>
      <c r="Y135" s="52"/>
      <c r="Z135" s="53"/>
      <c r="AA135" s="51">
        <f t="shared" ref="AA135:AB135" si="344">SUM(AA129:AA134)</f>
        <v>350</v>
      </c>
      <c r="AB135" s="68">
        <f t="shared" si="344"/>
        <v>350</v>
      </c>
      <c r="AC135" s="53"/>
      <c r="AD135" s="53"/>
      <c r="AE135" s="51">
        <f t="shared" ref="AE135:AF135" si="345">SUM(AE129:AE134)</f>
        <v>4251.52</v>
      </c>
      <c r="AF135" s="51">
        <f t="shared" si="345"/>
        <v>4251.52</v>
      </c>
      <c r="AG135" s="52"/>
      <c r="AH135" s="53"/>
      <c r="AI135" s="51">
        <f t="shared" ref="AI135:AJ135" si="346">SUM(AI129:AI134)</f>
        <v>106.08</v>
      </c>
      <c r="AJ135" s="68">
        <f t="shared" si="346"/>
        <v>191.88</v>
      </c>
      <c r="AK135" s="52"/>
      <c r="AL135" s="53"/>
      <c r="AM135" s="51">
        <f t="shared" ref="AM135:AN135" si="347">SUM(AM129:AM134)</f>
        <v>60.51</v>
      </c>
      <c r="AN135" s="68">
        <f t="shared" si="347"/>
        <v>102.84</v>
      </c>
      <c r="AO135" s="52"/>
      <c r="AP135" s="53"/>
      <c r="AQ135" s="51">
        <f t="shared" ref="AQ135:AR135" si="348">SUM(AQ129:AQ134)</f>
        <v>2.49</v>
      </c>
      <c r="AR135" s="68">
        <f t="shared" si="348"/>
        <v>0</v>
      </c>
      <c r="AS135" s="53"/>
      <c r="AT135" s="53"/>
      <c r="AU135" s="51">
        <f t="shared" ref="AU135:AV135" si="349">SUM(AU129:AU134)</f>
        <v>0</v>
      </c>
      <c r="AV135" s="51">
        <f t="shared" si="349"/>
        <v>0</v>
      </c>
      <c r="AW135" s="52"/>
      <c r="AX135" s="53"/>
      <c r="AY135" s="51">
        <f t="shared" ref="AY135:AZ135" si="350">SUM(AY129:AY134)</f>
        <v>0</v>
      </c>
      <c r="AZ135" s="68">
        <f t="shared" si="350"/>
        <v>0</v>
      </c>
      <c r="BA135" s="53"/>
      <c r="BB135" s="53"/>
      <c r="BC135" s="51">
        <f t="shared" ref="BC135:BD135" si="351">SUM(BC129:BC134)</f>
        <v>0</v>
      </c>
      <c r="BD135" s="51">
        <f t="shared" si="351"/>
        <v>0</v>
      </c>
      <c r="BE135" s="69"/>
      <c r="BF135" s="70">
        <f t="shared" ref="BF135:BH135" si="352">SUM(BF128:BF134)</f>
        <v>4770.6</v>
      </c>
      <c r="BG135" s="71">
        <f t="shared" si="352"/>
        <v>4908.66</v>
      </c>
      <c r="BH135" s="72">
        <f t="shared" si="352"/>
        <v>-39.84</v>
      </c>
      <c r="BI135" s="34">
        <f>H135+BF135-BG135</f>
        <v>-39.84</v>
      </c>
      <c r="BJ135" s="34">
        <f>BH135-BI135</f>
        <v>0</v>
      </c>
    </row>
    <row r="136" ht="15.75" customHeight="1" hidden="1" spans="1:60" x14ac:dyDescent="0.25">
      <c r="A136" s="29">
        <v>18</v>
      </c>
      <c r="B136" s="14"/>
      <c r="D136" s="14" t="s">
        <v>42</v>
      </c>
      <c r="F136" s="13"/>
      <c r="G136" s="28"/>
      <c r="I136" s="13"/>
      <c r="J136" s="15"/>
      <c r="K136" s="15"/>
      <c r="L136" s="28"/>
      <c r="Q136" s="13"/>
      <c r="R136" s="15"/>
      <c r="S136" s="15"/>
      <c r="T136" s="28"/>
      <c r="Y136" s="13"/>
      <c r="Z136" s="15"/>
      <c r="AA136" s="15"/>
      <c r="AB136" s="28"/>
      <c r="AG136" s="13"/>
      <c r="AH136" s="15"/>
      <c r="AI136" s="15"/>
      <c r="AJ136" s="28"/>
      <c r="AK136" s="13"/>
      <c r="AL136" s="15"/>
      <c r="AM136" s="15"/>
      <c r="AN136" s="28"/>
      <c r="AO136" s="13"/>
      <c r="AP136" s="15"/>
      <c r="AQ136" s="15"/>
      <c r="AR136" s="28"/>
      <c r="AW136" s="13"/>
      <c r="AX136" s="15"/>
      <c r="AY136" s="15"/>
      <c r="AZ136" s="28"/>
      <c r="BE136" s="14"/>
      <c r="BF136" s="13"/>
      <c r="BG136" s="15"/>
      <c r="BH136" s="28"/>
    </row>
    <row r="137" ht="15.75" customHeight="1" hidden="1" spans="1:60" x14ac:dyDescent="0.25">
      <c r="A137" s="2">
        <v>18</v>
      </c>
      <c r="B137" s="14">
        <v>4.03</v>
      </c>
      <c r="C137" s="2" t="s">
        <v>109</v>
      </c>
      <c r="D137" s="14" t="s">
        <v>44</v>
      </c>
      <c r="E137" s="2" t="s">
        <v>45</v>
      </c>
      <c r="F137" s="13">
        <v>2.49</v>
      </c>
      <c r="G137" s="28"/>
      <c r="H137" s="2">
        <v>2.49</v>
      </c>
      <c r="I137" s="13">
        <v>116</v>
      </c>
      <c r="J137" s="15">
        <v>0</v>
      </c>
      <c r="K137" s="34">
        <f>J137*$F$8</f>
        <v>0</v>
      </c>
      <c r="L137" s="28"/>
      <c r="M137" s="2">
        <v>116</v>
      </c>
      <c r="N137" s="15">
        <f>M137-I137</f>
        <v>0</v>
      </c>
      <c r="O137" s="34">
        <f>N137*$F$8</f>
        <v>0</v>
      </c>
      <c r="Q137" s="13">
        <v>116</v>
      </c>
      <c r="R137" s="15">
        <f>Q137-M137</f>
        <v>0</v>
      </c>
      <c r="S137" s="34">
        <f>R137*$F$8</f>
        <v>0</v>
      </c>
      <c r="T137" s="28"/>
      <c r="U137" s="2">
        <v>120</v>
      </c>
      <c r="V137" s="15">
        <f>U137-Q137</f>
        <v>4</v>
      </c>
      <c r="W137" s="34">
        <f>V137*$F$8</f>
        <v>9.96</v>
      </c>
      <c r="X137" s="2">
        <f>2.49+9.96</f>
        <v>12.45</v>
      </c>
      <c r="Y137" s="13">
        <v>127</v>
      </c>
      <c r="Z137" s="15">
        <f>Y137-U137</f>
        <v>7</v>
      </c>
      <c r="AA137" s="34">
        <f>Z137*$F$8</f>
        <v>17.43</v>
      </c>
      <c r="AB137" s="28">
        <v>17.43</v>
      </c>
      <c r="AC137" s="2">
        <v>145</v>
      </c>
      <c r="AD137" s="15">
        <f t="shared" ref="AD137:AD138" si="353">AC137-Y137</f>
        <v>18</v>
      </c>
      <c r="AE137" s="34">
        <f>AD137*$F$8</f>
        <v>44.82</v>
      </c>
      <c r="AG137" s="13">
        <v>160</v>
      </c>
      <c r="AH137" s="15">
        <f t="shared" ref="AH137:AH138" si="354">AG137-AC137</f>
        <v>15</v>
      </c>
      <c r="AI137" s="34">
        <f>AH137*$F$8</f>
        <v>37.35</v>
      </c>
      <c r="AJ137" s="32">
        <v>37.35</v>
      </c>
      <c r="AK137" s="13">
        <v>173</v>
      </c>
      <c r="AL137" s="15">
        <f t="shared" ref="AL137:AL138" si="355">AK137-AG137</f>
        <v>13</v>
      </c>
      <c r="AM137" s="34">
        <f>AL137*$F$8</f>
        <v>32.37</v>
      </c>
      <c r="AN137" s="28"/>
      <c r="AO137" s="13">
        <v>184</v>
      </c>
      <c r="AP137" s="15">
        <f t="shared" ref="AP137:AP138" si="356">AO137-AK137</f>
        <v>11</v>
      </c>
      <c r="AQ137" s="34">
        <f>AP137*$F$8</f>
        <v>27.39</v>
      </c>
      <c r="AR137" s="32">
        <v>104.58</v>
      </c>
      <c r="AS137" s="15">
        <v>189</v>
      </c>
      <c r="AT137" s="37">
        <f>AS137-AO137</f>
        <v>5</v>
      </c>
      <c r="AU137" s="34">
        <f>AT137*$F$8</f>
        <v>12.45</v>
      </c>
      <c r="AV137" s="15"/>
      <c r="AW137" s="13">
        <v>189</v>
      </c>
      <c r="AX137" s="37">
        <f>AW137-AS137</f>
        <v>0</v>
      </c>
      <c r="AY137" s="34">
        <f>AX137*$F$8</f>
        <v>0</v>
      </c>
      <c r="AZ137" s="28"/>
      <c r="BA137" s="13">
        <v>189</v>
      </c>
      <c r="BB137" s="37">
        <f>BA137-AW137</f>
        <v>0</v>
      </c>
      <c r="BC137" s="34">
        <f>BB137*$F$8</f>
        <v>0</v>
      </c>
      <c r="BD137" s="15"/>
      <c r="BE137" s="40">
        <f t="shared" ref="BE137:BG137" si="357">J137+N137+R137+V137+Z137+AD137+AH137+AL137+AP137+AT137+AX137+BB137</f>
        <v>73</v>
      </c>
      <c r="BF137" s="41">
        <f t="shared" si="357"/>
        <v>181.77</v>
      </c>
      <c r="BG137" s="34">
        <f t="shared" si="357"/>
        <v>171.81</v>
      </c>
      <c r="BH137" s="35">
        <f t="shared" ref="BH137:BH142" si="358">H137+BF137-BG137</f>
        <v>12.45</v>
      </c>
    </row>
    <row r="138" ht="15.75" customHeight="1" hidden="1" spans="1:60" x14ac:dyDescent="0.25">
      <c r="A138" s="29">
        <v>18</v>
      </c>
      <c r="B138" s="14"/>
      <c r="C138" s="2" t="s">
        <v>110</v>
      </c>
      <c r="D138" s="14" t="s">
        <v>47</v>
      </c>
      <c r="E138" s="2" t="s">
        <v>48</v>
      </c>
      <c r="F138" s="13">
        <v>17.16</v>
      </c>
      <c r="G138" s="28"/>
      <c r="H138" s="33">
        <f>6*17.16</f>
        <v>102.96</v>
      </c>
      <c r="I138" s="13"/>
      <c r="J138" s="15"/>
      <c r="K138" s="15"/>
      <c r="L138" s="28"/>
      <c r="Q138" s="13"/>
      <c r="R138" s="15"/>
      <c r="S138" s="15"/>
      <c r="T138" s="28"/>
      <c r="Y138" s="13">
        <v>297</v>
      </c>
      <c r="Z138" s="15"/>
      <c r="AA138" s="15"/>
      <c r="AB138" s="28"/>
      <c r="AC138" s="2">
        <v>297</v>
      </c>
      <c r="AD138" s="15">
        <f t="shared" si="353"/>
        <v>0</v>
      </c>
      <c r="AE138" s="34">
        <f>AD138*$F$10</f>
        <v>0</v>
      </c>
      <c r="AG138" s="13">
        <v>300</v>
      </c>
      <c r="AH138" s="15">
        <f t="shared" si="354"/>
        <v>3</v>
      </c>
      <c r="AI138" s="45">
        <f>AH138*$G$10</f>
        <v>53.04</v>
      </c>
      <c r="AJ138" s="32">
        <v>53.04</v>
      </c>
      <c r="AK138" s="13">
        <v>300</v>
      </c>
      <c r="AL138" s="15">
        <f t="shared" si="355"/>
        <v>0</v>
      </c>
      <c r="AM138" s="45">
        <f>AL138*$G$10</f>
        <v>0</v>
      </c>
      <c r="AN138" s="28"/>
      <c r="AO138" s="13">
        <v>305</v>
      </c>
      <c r="AP138" s="15">
        <f t="shared" si="356"/>
        <v>5</v>
      </c>
      <c r="AQ138" s="45">
        <f>AP138*$G$10</f>
        <v>88.4</v>
      </c>
      <c r="AR138" s="32">
        <v>191.36</v>
      </c>
      <c r="AS138" s="15"/>
      <c r="AT138" s="15"/>
      <c r="AU138" s="15"/>
      <c r="AV138" s="15"/>
      <c r="AW138" s="13"/>
      <c r="AX138" s="15"/>
      <c r="AY138" s="15"/>
      <c r="AZ138" s="28"/>
      <c r="BA138" s="15"/>
      <c r="BB138" s="15"/>
      <c r="BC138" s="15"/>
      <c r="BD138" s="15"/>
      <c r="BE138" s="40">
        <f t="shared" ref="BE138:BG138" si="359">J138+N138+R138+V138+Z138+AD138+AH138+AL138+AP138+AT138+AX138+BB138</f>
        <v>8</v>
      </c>
      <c r="BF138" s="41">
        <f t="shared" si="359"/>
        <v>141.44</v>
      </c>
      <c r="BG138" s="34">
        <f t="shared" si="359"/>
        <v>244.4</v>
      </c>
      <c r="BH138" s="35">
        <f t="shared" si="358"/>
        <v>0</v>
      </c>
    </row>
    <row r="139" ht="15.75" customHeight="1" hidden="1" spans="1:60" x14ac:dyDescent="0.25">
      <c r="A139" s="29">
        <v>18</v>
      </c>
      <c r="B139" s="14"/>
      <c r="C139" s="2" t="s">
        <v>111</v>
      </c>
      <c r="D139" s="14" t="s">
        <v>47</v>
      </c>
      <c r="E139" s="2" t="s">
        <v>49</v>
      </c>
      <c r="F139" s="41">
        <v>300</v>
      </c>
      <c r="G139" s="35"/>
      <c r="I139" s="13"/>
      <c r="J139" s="15"/>
      <c r="K139" s="15"/>
      <c r="L139" s="28"/>
      <c r="Q139" s="13"/>
      <c r="R139" s="15"/>
      <c r="S139" s="15"/>
      <c r="T139" s="28"/>
      <c r="Y139" s="13"/>
      <c r="Z139" s="15"/>
      <c r="AA139" s="15"/>
      <c r="AB139" s="28"/>
      <c r="AG139" s="13"/>
      <c r="AH139" s="15"/>
      <c r="AI139" s="34"/>
      <c r="AJ139" s="28"/>
      <c r="AK139" s="13"/>
      <c r="AL139" s="15"/>
      <c r="AM139" s="34"/>
      <c r="AN139" s="28"/>
      <c r="AO139" s="13"/>
      <c r="AP139" s="15"/>
      <c r="AQ139" s="34"/>
      <c r="AR139" s="28"/>
      <c r="AS139" s="15"/>
      <c r="AT139" s="15"/>
      <c r="AU139" s="15"/>
      <c r="AV139" s="15"/>
      <c r="AW139" s="13"/>
      <c r="AX139" s="15"/>
      <c r="AY139" s="15"/>
      <c r="AZ139" s="28"/>
      <c r="BA139" s="15"/>
      <c r="BB139" s="15"/>
      <c r="BC139" s="15"/>
      <c r="BD139" s="15"/>
      <c r="BE139" s="14"/>
      <c r="BF139" s="41">
        <f t="shared" ref="BF139:BG139" si="360">K139+O139+S139+W139+AA139+AE139+AI139+AM139+AQ139+AU139+AY139+BC139</f>
        <v>0</v>
      </c>
      <c r="BG139" s="34">
        <f t="shared" si="360"/>
        <v>0</v>
      </c>
      <c r="BH139" s="35">
        <f t="shared" si="358"/>
        <v>0</v>
      </c>
    </row>
    <row r="140" ht="15.75" customHeight="1" hidden="1" spans="1:60" x14ac:dyDescent="0.25">
      <c r="A140" s="29">
        <v>18</v>
      </c>
      <c r="B140" s="14"/>
      <c r="C140" s="15" t="s">
        <v>112</v>
      </c>
      <c r="D140" s="14" t="s">
        <v>50</v>
      </c>
      <c r="E140" s="2" t="s">
        <v>49</v>
      </c>
      <c r="F140" s="41">
        <v>1062.88</v>
      </c>
      <c r="G140" s="35"/>
      <c r="I140" s="13"/>
      <c r="J140" s="15"/>
      <c r="K140" s="15"/>
      <c r="L140" s="28"/>
      <c r="Q140" s="13"/>
      <c r="R140" s="15"/>
      <c r="S140" s="15"/>
      <c r="T140" s="28"/>
      <c r="Y140" s="13"/>
      <c r="Z140" s="15"/>
      <c r="AA140" s="15"/>
      <c r="AB140" s="28"/>
      <c r="AE140" s="34">
        <f>B137*$F$12</f>
        <v>4283.4064</v>
      </c>
      <c r="AG140" s="13"/>
      <c r="AH140" s="15"/>
      <c r="AI140" s="15"/>
      <c r="AJ140" s="32">
        <v>4283.41</v>
      </c>
      <c r="AK140" s="13"/>
      <c r="AL140" s="15"/>
      <c r="AM140" s="15"/>
      <c r="AN140" s="28"/>
      <c r="AO140" s="13"/>
      <c r="AP140" s="15"/>
      <c r="AQ140" s="15"/>
      <c r="AR140" s="28"/>
      <c r="AS140" s="15"/>
      <c r="AT140" s="15"/>
      <c r="AU140" s="15"/>
      <c r="AV140" s="15"/>
      <c r="AW140" s="13"/>
      <c r="AX140" s="15"/>
      <c r="AY140" s="15"/>
      <c r="AZ140" s="28"/>
      <c r="BA140" s="15"/>
      <c r="BB140" s="15"/>
      <c r="BC140" s="15"/>
      <c r="BD140" s="15"/>
      <c r="BE140" s="14"/>
      <c r="BF140" s="41">
        <f>B137*$F$12</f>
        <v>4283.4064</v>
      </c>
      <c r="BG140" s="34">
        <f t="shared" ref="BG140:BG142" si="361">L140+P140+T140+X140+AB140+AF140+AJ140+AN140+AR140+AV140+AZ140+BD140</f>
        <v>4283.41</v>
      </c>
      <c r="BH140" s="35">
        <f t="shared" si="358"/>
        <v>-0.003599999999</v>
      </c>
    </row>
    <row r="141" ht="15.75" customHeight="1" hidden="1" spans="1:60" x14ac:dyDescent="0.25">
      <c r="A141" s="29">
        <v>18</v>
      </c>
      <c r="B141" s="14"/>
      <c r="D141" s="14" t="s">
        <v>51</v>
      </c>
      <c r="E141" s="2" t="s">
        <v>49</v>
      </c>
      <c r="F141" s="41">
        <v>0</v>
      </c>
      <c r="G141" s="35"/>
      <c r="I141" s="13"/>
      <c r="J141" s="15"/>
      <c r="K141" s="15"/>
      <c r="L141" s="28"/>
      <c r="Q141" s="13"/>
      <c r="R141" s="15"/>
      <c r="S141" s="15"/>
      <c r="T141" s="28"/>
      <c r="Y141" s="13"/>
      <c r="Z141" s="15"/>
      <c r="AA141" s="15"/>
      <c r="AB141" s="28"/>
      <c r="AG141" s="13"/>
      <c r="AH141" s="15"/>
      <c r="AI141" s="15"/>
      <c r="AJ141" s="28"/>
      <c r="AK141" s="13"/>
      <c r="AL141" s="15"/>
      <c r="AM141" s="15"/>
      <c r="AN141" s="28"/>
      <c r="AO141" s="13"/>
      <c r="AP141" s="15"/>
      <c r="AQ141" s="15"/>
      <c r="AR141" s="28"/>
      <c r="AS141" s="15"/>
      <c r="AT141" s="15"/>
      <c r="AU141" s="15"/>
      <c r="AV141" s="15"/>
      <c r="AW141" s="13"/>
      <c r="AX141" s="15"/>
      <c r="AY141" s="15"/>
      <c r="AZ141" s="28"/>
      <c r="BA141" s="15"/>
      <c r="BB141" s="15"/>
      <c r="BC141" s="15"/>
      <c r="BD141" s="15"/>
      <c r="BE141" s="14"/>
      <c r="BF141" s="41">
        <f>B137*$F$13</f>
        <v>0</v>
      </c>
      <c r="BG141" s="34">
        <f t="shared" si="361"/>
        <v>0</v>
      </c>
      <c r="BH141" s="35">
        <f t="shared" si="358"/>
        <v>0</v>
      </c>
    </row>
    <row r="142" ht="15.75" customHeight="1" hidden="1" spans="1:60" x14ac:dyDescent="0.25">
      <c r="A142" s="29">
        <v>18</v>
      </c>
      <c r="B142" s="14"/>
      <c r="D142" s="14" t="s">
        <v>52</v>
      </c>
      <c r="E142" s="2" t="s">
        <v>39</v>
      </c>
      <c r="F142" s="41">
        <v>350</v>
      </c>
      <c r="G142" s="35"/>
      <c r="I142" s="13"/>
      <c r="J142" s="15"/>
      <c r="K142" s="15"/>
      <c r="L142" s="28"/>
      <c r="Q142" s="13"/>
      <c r="R142" s="15"/>
      <c r="S142" s="15"/>
      <c r="T142" s="28"/>
      <c r="Y142" s="13"/>
      <c r="Z142" s="15"/>
      <c r="AA142" s="34">
        <f>$F$14</f>
        <v>350</v>
      </c>
      <c r="AB142" s="28"/>
      <c r="AG142" s="13"/>
      <c r="AH142" s="15"/>
      <c r="AI142" s="15"/>
      <c r="AJ142" s="38">
        <v>350</v>
      </c>
      <c r="AK142" s="13"/>
      <c r="AL142" s="15"/>
      <c r="AM142" s="15"/>
      <c r="AN142" s="28"/>
      <c r="AO142" s="13"/>
      <c r="AP142" s="15"/>
      <c r="AQ142" s="15"/>
      <c r="AR142" s="28"/>
      <c r="AS142" s="15"/>
      <c r="AT142" s="15"/>
      <c r="AU142" s="15"/>
      <c r="AV142" s="15"/>
      <c r="AW142" s="13"/>
      <c r="AX142" s="15"/>
      <c r="AY142" s="15"/>
      <c r="AZ142" s="28"/>
      <c r="BA142" s="15"/>
      <c r="BB142" s="15"/>
      <c r="BC142" s="15"/>
      <c r="BD142" s="15"/>
      <c r="BE142" s="14"/>
      <c r="BF142" s="41">
        <f>$F$14</f>
        <v>350</v>
      </c>
      <c r="BG142" s="34">
        <f t="shared" si="361"/>
        <v>350</v>
      </c>
      <c r="BH142" s="35">
        <f t="shared" si="358"/>
        <v>0</v>
      </c>
    </row>
    <row r="143" ht="15.75" customHeight="1" hidden="1" spans="1:62" x14ac:dyDescent="0.25">
      <c r="A143" s="50">
        <v>18</v>
      </c>
      <c r="B143" s="21"/>
      <c r="C143" s="22" t="s">
        <v>53</v>
      </c>
      <c r="D143" s="21"/>
      <c r="E143" s="22"/>
      <c r="F143" s="20"/>
      <c r="G143" s="23"/>
      <c r="H143" s="51">
        <f>SUM(H136:H142)</f>
        <v>105.45</v>
      </c>
      <c r="I143" s="52"/>
      <c r="J143" s="53"/>
      <c r="K143" s="51">
        <f t="shared" ref="K143:L143" si="362">SUM(K137:K142)</f>
        <v>0</v>
      </c>
      <c r="L143" s="68">
        <f t="shared" si="362"/>
        <v>0</v>
      </c>
      <c r="M143" s="53"/>
      <c r="N143" s="53"/>
      <c r="O143" s="51">
        <f t="shared" ref="O143:P143" si="363">SUM(O137:O142)</f>
        <v>0</v>
      </c>
      <c r="P143" s="51">
        <f t="shared" si="363"/>
        <v>0</v>
      </c>
      <c r="Q143" s="52"/>
      <c r="R143" s="53"/>
      <c r="S143" s="51">
        <f t="shared" ref="S143:T143" si="364">SUM(S137:S142)</f>
        <v>0</v>
      </c>
      <c r="T143" s="68">
        <f t="shared" si="364"/>
        <v>0</v>
      </c>
      <c r="U143" s="53"/>
      <c r="V143" s="53"/>
      <c r="W143" s="51">
        <f t="shared" ref="W143:X143" si="365">SUM(W137:W142)</f>
        <v>9.96</v>
      </c>
      <c r="X143" s="51">
        <f t="shared" si="365"/>
        <v>12.45</v>
      </c>
      <c r="Y143" s="52"/>
      <c r="Z143" s="53"/>
      <c r="AA143" s="51">
        <f t="shared" ref="AA143:AB143" si="366">SUM(AA137:AA142)</f>
        <v>367.43</v>
      </c>
      <c r="AB143" s="68">
        <f t="shared" si="366"/>
        <v>17.43</v>
      </c>
      <c r="AC143" s="53"/>
      <c r="AD143" s="53"/>
      <c r="AE143" s="51">
        <f t="shared" ref="AE143:AF143" si="367">SUM(AE137:AE142)</f>
        <v>4328.2264</v>
      </c>
      <c r="AF143" s="51">
        <f t="shared" si="367"/>
        <v>0</v>
      </c>
      <c r="AG143" s="52"/>
      <c r="AH143" s="53"/>
      <c r="AI143" s="51">
        <f t="shared" ref="AI143:AJ143" si="368">SUM(AI137:AI142)</f>
        <v>90.39</v>
      </c>
      <c r="AJ143" s="68">
        <f t="shared" si="368"/>
        <v>4723.8</v>
      </c>
      <c r="AK143" s="52"/>
      <c r="AL143" s="53"/>
      <c r="AM143" s="51">
        <f t="shared" ref="AM143:AN143" si="369">SUM(AM137:AM142)</f>
        <v>32.37</v>
      </c>
      <c r="AN143" s="68">
        <f t="shared" si="369"/>
        <v>0</v>
      </c>
      <c r="AO143" s="52"/>
      <c r="AP143" s="53"/>
      <c r="AQ143" s="51">
        <f t="shared" ref="AQ143:AR143" si="370">SUM(AQ137:AQ142)</f>
        <v>115.79</v>
      </c>
      <c r="AR143" s="68">
        <f t="shared" si="370"/>
        <v>295.94</v>
      </c>
      <c r="AS143" s="53"/>
      <c r="AT143" s="53"/>
      <c r="AU143" s="51">
        <f t="shared" ref="AU143:AV143" si="371">SUM(AU137:AU142)</f>
        <v>12.45</v>
      </c>
      <c r="AV143" s="51">
        <f t="shared" si="371"/>
        <v>0</v>
      </c>
      <c r="AW143" s="52"/>
      <c r="AX143" s="53"/>
      <c r="AY143" s="51">
        <f t="shared" ref="AY143:AZ143" si="372">SUM(AY137:AY142)</f>
        <v>0</v>
      </c>
      <c r="AZ143" s="68">
        <f t="shared" si="372"/>
        <v>0</v>
      </c>
      <c r="BA143" s="53"/>
      <c r="BB143" s="53"/>
      <c r="BC143" s="51">
        <f t="shared" ref="BC143:BD143" si="373">SUM(BC137:BC142)</f>
        <v>0</v>
      </c>
      <c r="BD143" s="51">
        <f t="shared" si="373"/>
        <v>0</v>
      </c>
      <c r="BE143" s="69"/>
      <c r="BF143" s="70">
        <f t="shared" ref="BF143:BH143" si="374">SUM(BF136:BF142)</f>
        <v>4956.6164</v>
      </c>
      <c r="BG143" s="71">
        <f t="shared" si="374"/>
        <v>5049.62</v>
      </c>
      <c r="BH143" s="72">
        <f t="shared" si="374"/>
        <v>12.4464</v>
      </c>
      <c r="BI143" s="34">
        <f>H143+BF143-BG143</f>
        <v>12.4464</v>
      </c>
      <c r="BJ143" s="34">
        <f>BH143-BI143</f>
        <v>0</v>
      </c>
    </row>
    <row r="144" ht="15.75" customHeight="1" hidden="1" spans="1:60" x14ac:dyDescent="0.25">
      <c r="A144" s="29">
        <v>19</v>
      </c>
      <c r="B144" s="14"/>
      <c r="D144" s="14" t="s">
        <v>42</v>
      </c>
      <c r="F144" s="13"/>
      <c r="G144" s="28"/>
      <c r="I144" s="13"/>
      <c r="J144" s="15"/>
      <c r="K144" s="15"/>
      <c r="L144" s="28"/>
      <c r="Q144" s="13"/>
      <c r="R144" s="15"/>
      <c r="S144" s="15"/>
      <c r="T144" s="28"/>
      <c r="Y144" s="13"/>
      <c r="Z144" s="15"/>
      <c r="AA144" s="15"/>
      <c r="AB144" s="28"/>
      <c r="AG144" s="13"/>
      <c r="AH144" s="15"/>
      <c r="AI144" s="15"/>
      <c r="AJ144" s="28"/>
      <c r="AK144" s="13"/>
      <c r="AL144" s="15"/>
      <c r="AM144" s="15"/>
      <c r="AN144" s="28"/>
      <c r="AO144" s="13"/>
      <c r="AP144" s="15"/>
      <c r="AQ144" s="15"/>
      <c r="AR144" s="28"/>
      <c r="AW144" s="13"/>
      <c r="AX144" s="15"/>
      <c r="AY144" s="15"/>
      <c r="AZ144" s="28"/>
      <c r="BE144" s="14"/>
      <c r="BF144" s="13"/>
      <c r="BG144" s="15"/>
      <c r="BH144" s="28"/>
    </row>
    <row r="145" ht="15.75" customHeight="1" hidden="1" spans="1:60" x14ac:dyDescent="0.25">
      <c r="A145" s="2">
        <v>19</v>
      </c>
      <c r="B145" s="42">
        <v>4.1</v>
      </c>
      <c r="C145" s="2" t="s">
        <v>113</v>
      </c>
      <c r="D145" s="14" t="s">
        <v>44</v>
      </c>
      <c r="E145" s="2" t="s">
        <v>45</v>
      </c>
      <c r="F145" s="13">
        <v>2.49</v>
      </c>
      <c r="G145" s="28"/>
      <c r="I145" s="13">
        <v>1</v>
      </c>
      <c r="J145" s="15">
        <v>0</v>
      </c>
      <c r="K145" s="34">
        <f>J145*$F$8</f>
        <v>0</v>
      </c>
      <c r="L145" s="28"/>
      <c r="M145" s="2">
        <v>1</v>
      </c>
      <c r="N145" s="15">
        <f>M145-I145</f>
        <v>0</v>
      </c>
      <c r="O145" s="34">
        <f>N145*$F$8</f>
        <v>0</v>
      </c>
      <c r="Q145" s="13">
        <v>1</v>
      </c>
      <c r="R145" s="15">
        <f>Q145-M145</f>
        <v>0</v>
      </c>
      <c r="S145" s="34">
        <f>R145*$F$8</f>
        <v>0</v>
      </c>
      <c r="T145" s="28"/>
      <c r="U145" s="2">
        <v>1</v>
      </c>
      <c r="V145" s="15">
        <f>U145-Q145</f>
        <v>0</v>
      </c>
      <c r="W145" s="34">
        <f>V145*$F$8</f>
        <v>0</v>
      </c>
      <c r="Y145" s="13">
        <v>1</v>
      </c>
      <c r="Z145" s="15">
        <f>Y145-U145</f>
        <v>0</v>
      </c>
      <c r="AA145" s="34">
        <f>Z145*$F$8</f>
        <v>0</v>
      </c>
      <c r="AB145" s="28"/>
      <c r="AC145" s="2">
        <v>1</v>
      </c>
      <c r="AD145" s="15">
        <f t="shared" ref="AD145:AD146" si="375">AC145-Y145</f>
        <v>0</v>
      </c>
      <c r="AE145" s="34">
        <f>AD145*$F$8</f>
        <v>0</v>
      </c>
      <c r="AG145" s="13">
        <v>1</v>
      </c>
      <c r="AH145" s="15">
        <f t="shared" ref="AH145:AH146" si="376">AG145-AC145</f>
        <v>0</v>
      </c>
      <c r="AI145" s="34">
        <f>AH145*$F$8</f>
        <v>0</v>
      </c>
      <c r="AJ145" s="28"/>
      <c r="AK145" s="13">
        <v>1</v>
      </c>
      <c r="AL145" s="15">
        <f t="shared" ref="AL145:AL146" si="377">AK145-AG145</f>
        <v>0</v>
      </c>
      <c r="AM145" s="34">
        <f>AL145*$F$8</f>
        <v>0</v>
      </c>
      <c r="AN145" s="28"/>
      <c r="AO145" s="13">
        <v>1</v>
      </c>
      <c r="AP145" s="15">
        <f t="shared" ref="AP145:AP146" si="378">AO145-AK145</f>
        <v>0</v>
      </c>
      <c r="AQ145" s="34">
        <f>AP145*$F$8</f>
        <v>0</v>
      </c>
      <c r="AR145" s="28"/>
      <c r="AS145" s="15">
        <v>1</v>
      </c>
      <c r="AT145" s="37">
        <f>AS145-AO145</f>
        <v>0</v>
      </c>
      <c r="AU145" s="34">
        <f>AT145*$F$8</f>
        <v>0</v>
      </c>
      <c r="AV145" s="15"/>
      <c r="AW145" s="13">
        <v>1</v>
      </c>
      <c r="AX145" s="37">
        <f>AW145-AS145</f>
        <v>0</v>
      </c>
      <c r="AY145" s="34">
        <f>AX145*$F$8</f>
        <v>0</v>
      </c>
      <c r="AZ145" s="28"/>
      <c r="BA145" s="13">
        <v>1</v>
      </c>
      <c r="BB145" s="37">
        <f>BA145-AW145</f>
        <v>0</v>
      </c>
      <c r="BC145" s="34">
        <f>BB145*$F$8</f>
        <v>0</v>
      </c>
      <c r="BD145" s="15"/>
      <c r="BE145" s="40">
        <f t="shared" ref="BE145:BG145" si="379">J145+N145+R145+V145+Z145+AD145+AH145+AL145+AP145+AT145+AX145+BB145</f>
        <v>0</v>
      </c>
      <c r="BF145" s="41">
        <f t="shared" si="379"/>
        <v>0</v>
      </c>
      <c r="BG145" s="34">
        <f t="shared" si="379"/>
        <v>0</v>
      </c>
      <c r="BH145" s="35">
        <f t="shared" ref="BH145:BH150" si="380">H145+BF145-BG145</f>
        <v>0</v>
      </c>
    </row>
    <row r="146" ht="15.75" customHeight="1" hidden="1" spans="1:60" x14ac:dyDescent="0.25">
      <c r="A146" s="29">
        <v>19</v>
      </c>
      <c r="B146" s="14"/>
      <c r="C146" s="2" t="s">
        <v>114</v>
      </c>
      <c r="D146" s="14" t="s">
        <v>47</v>
      </c>
      <c r="E146" s="2" t="s">
        <v>48</v>
      </c>
      <c r="F146" s="13">
        <v>17.16</v>
      </c>
      <c r="G146" s="28"/>
      <c r="H146" s="73">
        <f>-(4*17.16)</f>
        <v>-68.64</v>
      </c>
      <c r="I146" s="13"/>
      <c r="J146" s="15"/>
      <c r="K146" s="15"/>
      <c r="L146" s="28"/>
      <c r="Q146" s="13"/>
      <c r="R146" s="15"/>
      <c r="S146" s="15"/>
      <c r="T146" s="28"/>
      <c r="Y146" s="13">
        <v>5</v>
      </c>
      <c r="Z146" s="15"/>
      <c r="AA146" s="15"/>
      <c r="AB146" s="28"/>
      <c r="AC146" s="2">
        <v>5</v>
      </c>
      <c r="AD146" s="15">
        <f t="shared" si="375"/>
        <v>0</v>
      </c>
      <c r="AE146" s="34">
        <f>AD146*$F$10</f>
        <v>0</v>
      </c>
      <c r="AG146" s="13">
        <v>5</v>
      </c>
      <c r="AH146" s="15">
        <f t="shared" si="376"/>
        <v>0</v>
      </c>
      <c r="AI146" s="45">
        <f>AH146*$G$10</f>
        <v>0</v>
      </c>
      <c r="AJ146" s="28"/>
      <c r="AK146" s="13">
        <v>5</v>
      </c>
      <c r="AL146" s="15">
        <f t="shared" si="377"/>
        <v>0</v>
      </c>
      <c r="AM146" s="45">
        <f>AL146*$G$10</f>
        <v>0</v>
      </c>
      <c r="AN146" s="28"/>
      <c r="AO146" s="13">
        <v>21</v>
      </c>
      <c r="AP146" s="15">
        <f t="shared" si="378"/>
        <v>16</v>
      </c>
      <c r="AQ146" s="45">
        <f>AP146*$G$10</f>
        <v>282.88</v>
      </c>
      <c r="AR146" s="32">
        <v>214.24</v>
      </c>
      <c r="AS146" s="15"/>
      <c r="AT146" s="15"/>
      <c r="AU146" s="15"/>
      <c r="AV146" s="15"/>
      <c r="AW146" s="13"/>
      <c r="AX146" s="15"/>
      <c r="AY146" s="15"/>
      <c r="AZ146" s="28"/>
      <c r="BA146" s="15"/>
      <c r="BB146" s="15"/>
      <c r="BC146" s="15"/>
      <c r="BD146" s="15"/>
      <c r="BE146" s="40">
        <f t="shared" ref="BE146:BG146" si="381">J146+N146+R146+V146+Z146+AD146+AH146+AL146+AP146+AT146+AX146+BB146</f>
        <v>16</v>
      </c>
      <c r="BF146" s="41">
        <f t="shared" si="381"/>
        <v>282.88</v>
      </c>
      <c r="BG146" s="34">
        <f t="shared" si="381"/>
        <v>214.24</v>
      </c>
      <c r="BH146" s="35">
        <f t="shared" si="380"/>
        <v>0</v>
      </c>
    </row>
    <row r="147" ht="15.75" customHeight="1" hidden="1" spans="1:60" x14ac:dyDescent="0.25">
      <c r="A147" s="29">
        <v>19</v>
      </c>
      <c r="B147" s="14"/>
      <c r="C147" s="2" t="s">
        <v>115</v>
      </c>
      <c r="D147" s="14" t="s">
        <v>47</v>
      </c>
      <c r="E147" s="2" t="s">
        <v>49</v>
      </c>
      <c r="F147" s="41">
        <v>300</v>
      </c>
      <c r="G147" s="35"/>
      <c r="I147" s="13"/>
      <c r="J147" s="15"/>
      <c r="K147" s="15"/>
      <c r="L147" s="28"/>
      <c r="Q147" s="13"/>
      <c r="R147" s="15"/>
      <c r="S147" s="15"/>
      <c r="T147" s="28"/>
      <c r="Y147" s="13"/>
      <c r="Z147" s="15"/>
      <c r="AA147" s="15"/>
      <c r="AB147" s="28"/>
      <c r="AG147" s="13"/>
      <c r="AH147" s="15"/>
      <c r="AI147" s="34"/>
      <c r="AJ147" s="28"/>
      <c r="AK147" s="13"/>
      <c r="AL147" s="15"/>
      <c r="AM147" s="34"/>
      <c r="AN147" s="28"/>
      <c r="AO147" s="13"/>
      <c r="AP147" s="15"/>
      <c r="AQ147" s="34"/>
      <c r="AR147" s="28"/>
      <c r="AS147" s="15"/>
      <c r="AT147" s="15"/>
      <c r="AU147" s="15"/>
      <c r="AV147" s="15"/>
      <c r="AW147" s="13"/>
      <c r="AX147" s="15"/>
      <c r="AY147" s="15"/>
      <c r="AZ147" s="28"/>
      <c r="BA147" s="15"/>
      <c r="BB147" s="15"/>
      <c r="BC147" s="15"/>
      <c r="BD147" s="15"/>
      <c r="BE147" s="14"/>
      <c r="BF147" s="41">
        <f t="shared" ref="BF147:BG147" si="382">K147+O147+S147+W147+AA147+AE147+AI147+AM147+AQ147+AU147+AY147+BC147</f>
        <v>0</v>
      </c>
      <c r="BG147" s="34">
        <f t="shared" si="382"/>
        <v>0</v>
      </c>
      <c r="BH147" s="35">
        <f t="shared" si="380"/>
        <v>0</v>
      </c>
    </row>
    <row r="148" ht="15.75" customHeight="1" hidden="1" spans="1:60" x14ac:dyDescent="0.25">
      <c r="A148" s="29">
        <v>19</v>
      </c>
      <c r="B148" s="14"/>
      <c r="C148" s="73"/>
      <c r="D148" s="14" t="s">
        <v>50</v>
      </c>
      <c r="E148" s="2" t="s">
        <v>49</v>
      </c>
      <c r="F148" s="41">
        <v>1062.88</v>
      </c>
      <c r="G148" s="35"/>
      <c r="I148" s="13"/>
      <c r="J148" s="15"/>
      <c r="K148" s="15"/>
      <c r="L148" s="28"/>
      <c r="Q148" s="13"/>
      <c r="R148" s="15"/>
      <c r="S148" s="15"/>
      <c r="T148" s="28"/>
      <c r="Y148" s="13"/>
      <c r="Z148" s="15"/>
      <c r="AA148" s="15"/>
      <c r="AB148" s="28"/>
      <c r="AE148" s="34">
        <f>B145*$F$12</f>
        <v>4357.808</v>
      </c>
      <c r="AG148" s="13"/>
      <c r="AH148" s="15"/>
      <c r="AI148" s="15"/>
      <c r="AJ148" s="28"/>
      <c r="AK148" s="13"/>
      <c r="AL148" s="15"/>
      <c r="AM148" s="15"/>
      <c r="AN148" s="28"/>
      <c r="AO148" s="13"/>
      <c r="AP148" s="15"/>
      <c r="AQ148" s="15"/>
      <c r="AR148" s="28"/>
      <c r="AS148" s="15"/>
      <c r="AT148" s="15"/>
      <c r="AU148" s="15"/>
      <c r="AV148" s="15"/>
      <c r="AW148" s="13"/>
      <c r="AX148" s="15"/>
      <c r="AY148" s="15"/>
      <c r="AZ148" s="28"/>
      <c r="BA148" s="15"/>
      <c r="BB148" s="15"/>
      <c r="BC148" s="15"/>
      <c r="BD148" s="15"/>
      <c r="BE148" s="14"/>
      <c r="BF148" s="41">
        <f>B145*$F$12</f>
        <v>4357.808</v>
      </c>
      <c r="BG148" s="34">
        <f t="shared" ref="BG148:BG150" si="383">L148+P148+T148+X148+AB148+AF148+AJ148+AN148+AR148+AV148+AZ148+BD148</f>
        <v>0</v>
      </c>
      <c r="BH148" s="35">
        <f t="shared" si="380"/>
        <v>4357.808</v>
      </c>
    </row>
    <row r="149" ht="15.75" customHeight="1" hidden="1" spans="1:60" x14ac:dyDescent="0.25">
      <c r="A149" s="29">
        <v>19</v>
      </c>
      <c r="B149" s="14"/>
      <c r="D149" s="14" t="s">
        <v>51</v>
      </c>
      <c r="E149" s="2" t="s">
        <v>49</v>
      </c>
      <c r="F149" s="41">
        <v>0</v>
      </c>
      <c r="G149" s="35"/>
      <c r="I149" s="13"/>
      <c r="J149" s="15"/>
      <c r="K149" s="15"/>
      <c r="L149" s="28"/>
      <c r="Q149" s="13"/>
      <c r="R149" s="15"/>
      <c r="S149" s="15"/>
      <c r="T149" s="28"/>
      <c r="Y149" s="13"/>
      <c r="Z149" s="15"/>
      <c r="AA149" s="15"/>
      <c r="AB149" s="28"/>
      <c r="AG149" s="13"/>
      <c r="AH149" s="15"/>
      <c r="AI149" s="15"/>
      <c r="AJ149" s="28"/>
      <c r="AK149" s="13"/>
      <c r="AL149" s="15"/>
      <c r="AM149" s="15"/>
      <c r="AN149" s="28"/>
      <c r="AO149" s="13"/>
      <c r="AP149" s="15"/>
      <c r="AQ149" s="15"/>
      <c r="AR149" s="28"/>
      <c r="AS149" s="15"/>
      <c r="AT149" s="15"/>
      <c r="AU149" s="15"/>
      <c r="AV149" s="15"/>
      <c r="AW149" s="13"/>
      <c r="AX149" s="15"/>
      <c r="AY149" s="15"/>
      <c r="AZ149" s="28"/>
      <c r="BA149" s="15"/>
      <c r="BB149" s="15"/>
      <c r="BC149" s="15"/>
      <c r="BD149" s="15"/>
      <c r="BE149" s="14"/>
      <c r="BF149" s="41">
        <f>B145*$F$13</f>
        <v>0</v>
      </c>
      <c r="BG149" s="34">
        <f t="shared" si="383"/>
        <v>0</v>
      </c>
      <c r="BH149" s="35">
        <f t="shared" si="380"/>
        <v>0</v>
      </c>
    </row>
    <row r="150" ht="15.75" customHeight="1" hidden="1" spans="1:60" x14ac:dyDescent="0.25">
      <c r="A150" s="29">
        <v>19</v>
      </c>
      <c r="B150" s="14"/>
      <c r="D150" s="14" t="s">
        <v>52</v>
      </c>
      <c r="E150" s="2" t="s">
        <v>39</v>
      </c>
      <c r="F150" s="41">
        <v>350</v>
      </c>
      <c r="G150" s="35"/>
      <c r="I150" s="13"/>
      <c r="J150" s="15"/>
      <c r="K150" s="15"/>
      <c r="L150" s="28"/>
      <c r="Q150" s="13"/>
      <c r="R150" s="15"/>
      <c r="S150" s="15"/>
      <c r="T150" s="28"/>
      <c r="Y150" s="13"/>
      <c r="Z150" s="15"/>
      <c r="AA150" s="34">
        <f>$F$14</f>
        <v>350</v>
      </c>
      <c r="AB150" s="28"/>
      <c r="AG150" s="13"/>
      <c r="AH150" s="15"/>
      <c r="AI150" s="15"/>
      <c r="AJ150" s="28"/>
      <c r="AK150" s="13"/>
      <c r="AL150" s="15"/>
      <c r="AM150" s="15"/>
      <c r="AN150" s="28"/>
      <c r="AO150" s="13"/>
      <c r="AP150" s="15"/>
      <c r="AQ150" s="15"/>
      <c r="AR150" s="28"/>
      <c r="AS150" s="15"/>
      <c r="AT150" s="15"/>
      <c r="AU150" s="15"/>
      <c r="AV150" s="15"/>
      <c r="AW150" s="13"/>
      <c r="AX150" s="15"/>
      <c r="AY150" s="15"/>
      <c r="AZ150" s="28"/>
      <c r="BA150" s="15"/>
      <c r="BB150" s="15"/>
      <c r="BC150" s="15"/>
      <c r="BD150" s="15"/>
      <c r="BE150" s="14"/>
      <c r="BF150" s="41">
        <f>$F$14</f>
        <v>350</v>
      </c>
      <c r="BG150" s="34">
        <f t="shared" si="383"/>
        <v>0</v>
      </c>
      <c r="BH150" s="35">
        <f t="shared" si="380"/>
        <v>350</v>
      </c>
    </row>
    <row r="151" ht="15.75" customHeight="1" hidden="1" spans="1:62" x14ac:dyDescent="0.25">
      <c r="A151" s="88" t="s">
        <v>116</v>
      </c>
      <c r="B151" s="21"/>
      <c r="C151" s="22" t="s">
        <v>53</v>
      </c>
      <c r="D151" s="21"/>
      <c r="E151" s="22"/>
      <c r="F151" s="20"/>
      <c r="G151" s="23"/>
      <c r="H151" s="51">
        <f>SUM(H144:H150)</f>
        <v>-68.64</v>
      </c>
      <c r="I151" s="52"/>
      <c r="J151" s="53"/>
      <c r="K151" s="51">
        <f t="shared" ref="K151:L151" si="384">SUM(K145:K150)</f>
        <v>0</v>
      </c>
      <c r="L151" s="68">
        <f t="shared" si="384"/>
        <v>0</v>
      </c>
      <c r="M151" s="53"/>
      <c r="N151" s="53"/>
      <c r="O151" s="51">
        <f t="shared" ref="O151:P151" si="385">SUM(O145:O150)</f>
        <v>0</v>
      </c>
      <c r="P151" s="51">
        <f t="shared" si="385"/>
        <v>0</v>
      </c>
      <c r="Q151" s="52"/>
      <c r="R151" s="53"/>
      <c r="S151" s="51">
        <f t="shared" ref="S151:T151" si="386">SUM(S145:S150)</f>
        <v>0</v>
      </c>
      <c r="T151" s="68">
        <f t="shared" si="386"/>
        <v>0</v>
      </c>
      <c r="U151" s="53"/>
      <c r="V151" s="53"/>
      <c r="W151" s="51">
        <f t="shared" ref="W151:X151" si="387">SUM(W145:W150)</f>
        <v>0</v>
      </c>
      <c r="X151" s="51">
        <f t="shared" si="387"/>
        <v>0</v>
      </c>
      <c r="Y151" s="52"/>
      <c r="Z151" s="53"/>
      <c r="AA151" s="51">
        <f t="shared" ref="AA151:AB151" si="388">SUM(AA145:AA150)</f>
        <v>350</v>
      </c>
      <c r="AB151" s="68">
        <f t="shared" si="388"/>
        <v>0</v>
      </c>
      <c r="AC151" s="53"/>
      <c r="AD151" s="53"/>
      <c r="AE151" s="51">
        <f t="shared" ref="AE151:AF151" si="389">SUM(AE145:AE150)</f>
        <v>4357.808</v>
      </c>
      <c r="AF151" s="51">
        <f t="shared" si="389"/>
        <v>0</v>
      </c>
      <c r="AG151" s="52"/>
      <c r="AH151" s="53"/>
      <c r="AI151" s="51">
        <f t="shared" ref="AI151:AJ151" si="390">SUM(AI145:AI150)</f>
        <v>0</v>
      </c>
      <c r="AJ151" s="68">
        <f t="shared" si="390"/>
        <v>0</v>
      </c>
      <c r="AK151" s="52"/>
      <c r="AL151" s="53"/>
      <c r="AM151" s="51">
        <f t="shared" ref="AM151:AN151" si="391">SUM(AM145:AM150)</f>
        <v>0</v>
      </c>
      <c r="AN151" s="68">
        <f t="shared" si="391"/>
        <v>0</v>
      </c>
      <c r="AO151" s="52"/>
      <c r="AP151" s="53"/>
      <c r="AQ151" s="51">
        <f t="shared" ref="AQ151:AR151" si="392">SUM(AQ145:AQ150)</f>
        <v>282.88</v>
      </c>
      <c r="AR151" s="68">
        <f t="shared" si="392"/>
        <v>214.24</v>
      </c>
      <c r="AS151" s="53"/>
      <c r="AT151" s="53"/>
      <c r="AU151" s="51">
        <f t="shared" ref="AU151:AV151" si="393">SUM(AU145:AU150)</f>
        <v>0</v>
      </c>
      <c r="AV151" s="51">
        <f t="shared" si="393"/>
        <v>0</v>
      </c>
      <c r="AW151" s="52"/>
      <c r="AX151" s="53"/>
      <c r="AY151" s="51">
        <f t="shared" ref="AY151:AZ151" si="394">SUM(AY145:AY150)</f>
        <v>0</v>
      </c>
      <c r="AZ151" s="68">
        <f t="shared" si="394"/>
        <v>0</v>
      </c>
      <c r="BA151" s="53"/>
      <c r="BB151" s="53"/>
      <c r="BC151" s="51">
        <f t="shared" ref="BC151:BD151" si="395">SUM(BC145:BC150)</f>
        <v>0</v>
      </c>
      <c r="BD151" s="51">
        <f t="shared" si="395"/>
        <v>0</v>
      </c>
      <c r="BE151" s="69"/>
      <c r="BF151" s="70">
        <f t="shared" ref="BF151:BH151" si="396">SUM(BF144:BF150)</f>
        <v>4990.688</v>
      </c>
      <c r="BG151" s="71">
        <f t="shared" si="396"/>
        <v>214.24</v>
      </c>
      <c r="BH151" s="72">
        <f t="shared" si="396"/>
        <v>4707.808</v>
      </c>
      <c r="BI151" s="34">
        <f>H151+BF151-BG151</f>
        <v>4707.808</v>
      </c>
      <c r="BJ151" s="34">
        <f>BH151-BI151</f>
        <v>0</v>
      </c>
    </row>
    <row r="152" ht="15.75" customHeight="1" hidden="1" spans="1:60" x14ac:dyDescent="0.25">
      <c r="A152" s="79" t="s">
        <v>117</v>
      </c>
      <c r="B152" s="14"/>
      <c r="D152" s="14" t="s">
        <v>42</v>
      </c>
      <c r="F152" s="13"/>
      <c r="G152" s="28"/>
      <c r="I152" s="13"/>
      <c r="J152" s="15"/>
      <c r="K152" s="15"/>
      <c r="L152" s="28"/>
      <c r="Q152" s="13"/>
      <c r="R152" s="15"/>
      <c r="S152" s="15"/>
      <c r="T152" s="28"/>
      <c r="Y152" s="13"/>
      <c r="Z152" s="15"/>
      <c r="AA152" s="15"/>
      <c r="AB152" s="28"/>
      <c r="AG152" s="13"/>
      <c r="AH152" s="15"/>
      <c r="AI152" s="15"/>
      <c r="AJ152" s="28"/>
      <c r="AK152" s="13"/>
      <c r="AL152" s="15"/>
      <c r="AM152" s="15"/>
      <c r="AN152" s="28"/>
      <c r="AO152" s="13"/>
      <c r="AP152" s="15"/>
      <c r="AQ152" s="15"/>
      <c r="AR152" s="28"/>
      <c r="AW152" s="13"/>
      <c r="AX152" s="15"/>
      <c r="AY152" s="15"/>
      <c r="AZ152" s="28"/>
      <c r="BE152" s="14"/>
      <c r="BF152" s="13"/>
      <c r="BG152" s="15"/>
      <c r="BH152" s="28"/>
    </row>
    <row r="153" ht="15.75" customHeight="1" hidden="1" spans="1:60" x14ac:dyDescent="0.25">
      <c r="A153" s="89" t="s">
        <v>117</v>
      </c>
      <c r="B153" s="30">
        <f>4+4</f>
        <v>8</v>
      </c>
      <c r="C153" s="2" t="s">
        <v>118</v>
      </c>
      <c r="D153" s="14" t="s">
        <v>44</v>
      </c>
      <c r="E153" s="2" t="s">
        <v>45</v>
      </c>
      <c r="F153" s="13">
        <v>2.49</v>
      </c>
      <c r="G153" s="28"/>
      <c r="H153" s="2">
        <v>67.23</v>
      </c>
      <c r="I153" s="13">
        <v>1572</v>
      </c>
      <c r="J153" s="15">
        <v>0</v>
      </c>
      <c r="K153" s="34">
        <f>J153*$F$8</f>
        <v>0</v>
      </c>
      <c r="L153" s="28"/>
      <c r="M153" s="2">
        <v>1572</v>
      </c>
      <c r="N153" s="15">
        <f>M153-I153</f>
        <v>0</v>
      </c>
      <c r="O153" s="34">
        <f>N153*$F$8</f>
        <v>0</v>
      </c>
      <c r="Q153" s="13">
        <v>1572</v>
      </c>
      <c r="R153" s="15">
        <f>Q153-M153</f>
        <v>0</v>
      </c>
      <c r="S153" s="34">
        <f>R153*$F$8</f>
        <v>0</v>
      </c>
      <c r="T153" s="28"/>
      <c r="U153" s="2">
        <v>1718</v>
      </c>
      <c r="V153" s="15">
        <f>U153-Q153</f>
        <v>146</v>
      </c>
      <c r="W153" s="34">
        <f>V153*$F$8</f>
        <v>363.54</v>
      </c>
      <c r="X153" s="34">
        <f>67.23+363.54+269.23</f>
        <v>700</v>
      </c>
      <c r="Y153" s="13">
        <v>1807</v>
      </c>
      <c r="Z153" s="15">
        <f>Y153-U153</f>
        <v>89</v>
      </c>
      <c r="AA153" s="34">
        <f>Z153*$F$8</f>
        <v>221.61</v>
      </c>
      <c r="AB153" s="28"/>
      <c r="AC153" s="2">
        <v>1911</v>
      </c>
      <c r="AD153" s="15">
        <f t="shared" ref="AD153:AD154" si="397">AC153-Y153</f>
        <v>104</v>
      </c>
      <c r="AE153" s="34">
        <f>AD153*$F$8</f>
        <v>258.96</v>
      </c>
      <c r="AF153" s="2">
        <v>211.34</v>
      </c>
      <c r="AG153" s="13">
        <v>2049</v>
      </c>
      <c r="AH153" s="2">
        <f t="shared" ref="AH153:AH154" si="398">AG153-AC153</f>
        <v>138</v>
      </c>
      <c r="AI153" s="34">
        <f>AH153*$F$8</f>
        <v>343.62</v>
      </c>
      <c r="AJ153" s="28"/>
      <c r="AK153" s="13">
        <v>2185</v>
      </c>
      <c r="AL153" s="15">
        <f t="shared" ref="AL153:AL154" si="399">AK153-AG153</f>
        <v>136</v>
      </c>
      <c r="AM153" s="34">
        <f>AL153*$F$8</f>
        <v>338.64</v>
      </c>
      <c r="AN153" s="32">
        <v>343.62</v>
      </c>
      <c r="AO153" s="13">
        <v>2351</v>
      </c>
      <c r="AP153" s="15">
        <f t="shared" ref="AP153:AP154" si="400">AO153-AK153</f>
        <v>166</v>
      </c>
      <c r="AQ153" s="34">
        <f>AP153*$F$8</f>
        <v>413.34</v>
      </c>
      <c r="AR153" s="32">
        <v>751.98</v>
      </c>
      <c r="AS153" s="15">
        <v>2425</v>
      </c>
      <c r="AT153" s="37">
        <f>AS153-AO153</f>
        <v>74</v>
      </c>
      <c r="AU153" s="34">
        <f>AT153*$F$8</f>
        <v>184.26</v>
      </c>
      <c r="AV153" s="15"/>
      <c r="AW153" s="13">
        <v>2425</v>
      </c>
      <c r="AX153" s="37">
        <f>AW153-AS153</f>
        <v>0</v>
      </c>
      <c r="AY153" s="34">
        <f>AX153*$F$8</f>
        <v>0</v>
      </c>
      <c r="AZ153" s="28"/>
      <c r="BA153" s="13">
        <v>2425</v>
      </c>
      <c r="BB153" s="37">
        <f>BA153-AW153</f>
        <v>0</v>
      </c>
      <c r="BC153" s="34">
        <f>BB153*$F$8</f>
        <v>0</v>
      </c>
      <c r="BD153" s="15"/>
      <c r="BE153" s="40">
        <f t="shared" ref="BE153:BG153" si="401">J153+N153+R153+V153+Z153+AD153+AH153+AL153+AP153+AT153+AX153+BB153</f>
        <v>853</v>
      </c>
      <c r="BF153" s="41">
        <f t="shared" si="401"/>
        <v>2123.97</v>
      </c>
      <c r="BG153" s="34">
        <f t="shared" si="401"/>
        <v>2006.94</v>
      </c>
      <c r="BH153" s="35">
        <f t="shared" ref="BH153:BH158" si="402">H153+BF153-BG153</f>
        <v>184.26</v>
      </c>
    </row>
    <row r="154" ht="15.75" customHeight="1" hidden="1" spans="1:60" x14ac:dyDescent="0.25">
      <c r="A154" s="79" t="s">
        <v>117</v>
      </c>
      <c r="B154" s="14"/>
      <c r="C154" s="2" t="s">
        <v>75</v>
      </c>
      <c r="D154" s="14" t="s">
        <v>47</v>
      </c>
      <c r="E154" s="2" t="s">
        <v>48</v>
      </c>
      <c r="F154" s="13">
        <v>17.16</v>
      </c>
      <c r="G154" s="28">
        <f>700-(214.5+20*16.5+2*17.16)</f>
        <v>121.18</v>
      </c>
      <c r="H154" s="90">
        <f>2*17.16-G154</f>
        <v>-86.86</v>
      </c>
      <c r="I154" s="13"/>
      <c r="J154" s="15"/>
      <c r="K154" s="15"/>
      <c r="L154" s="28"/>
      <c r="Q154" s="13"/>
      <c r="R154" s="15"/>
      <c r="S154" s="15"/>
      <c r="T154" s="28"/>
      <c r="Y154" s="13">
        <f>55+53</f>
        <v>108</v>
      </c>
      <c r="Z154" s="15"/>
      <c r="AA154" s="15"/>
      <c r="AB154" s="28"/>
      <c r="AC154" s="13">
        <f>55+53</f>
        <v>108</v>
      </c>
      <c r="AD154" s="15">
        <f t="shared" si="397"/>
        <v>0</v>
      </c>
      <c r="AE154" s="34">
        <f>AD154*$F$10</f>
        <v>0</v>
      </c>
      <c r="AG154" s="13">
        <f>70+70</f>
        <v>140</v>
      </c>
      <c r="AH154" s="2">
        <f t="shared" si="398"/>
        <v>32</v>
      </c>
      <c r="AI154" s="45">
        <f>AH154*$G$10</f>
        <v>565.76</v>
      </c>
      <c r="AJ154" s="32">
        <v>565.76</v>
      </c>
      <c r="AK154" s="13">
        <f>70+70</f>
        <v>140</v>
      </c>
      <c r="AL154" s="15">
        <f t="shared" si="399"/>
        <v>0</v>
      </c>
      <c r="AM154" s="45">
        <f>AL154*$G$10</f>
        <v>0</v>
      </c>
      <c r="AN154" s="28"/>
      <c r="AO154" s="13">
        <f>70+70</f>
        <v>140</v>
      </c>
      <c r="AP154" s="15">
        <f t="shared" si="400"/>
        <v>0</v>
      </c>
      <c r="AQ154" s="45">
        <f>AP154*$G$10</f>
        <v>0</v>
      </c>
      <c r="AR154" s="28"/>
      <c r="AS154" s="15"/>
      <c r="AT154" s="15"/>
      <c r="AU154" s="15"/>
      <c r="AV154" s="15"/>
      <c r="AW154" s="13"/>
      <c r="AX154" s="15"/>
      <c r="AY154" s="15"/>
      <c r="AZ154" s="28"/>
      <c r="BA154" s="15"/>
      <c r="BB154" s="15"/>
      <c r="BC154" s="15"/>
      <c r="BD154" s="15"/>
      <c r="BE154" s="40">
        <f t="shared" ref="BE154:BG154" si="403">J154+N154+R154+V154+Z154+AD154+AH154+AL154+AP154+AT154+AX154+BB154</f>
        <v>32</v>
      </c>
      <c r="BF154" s="41">
        <f t="shared" si="403"/>
        <v>565.76</v>
      </c>
      <c r="BG154" s="34">
        <f t="shared" si="403"/>
        <v>565.76</v>
      </c>
      <c r="BH154" s="35">
        <f t="shared" si="402"/>
        <v>-86.86</v>
      </c>
    </row>
    <row r="155" ht="15.75" customHeight="1" hidden="1" spans="1:60" x14ac:dyDescent="0.25">
      <c r="A155" s="79" t="s">
        <v>117</v>
      </c>
      <c r="B155" s="14"/>
      <c r="C155" s="2" t="s">
        <v>119</v>
      </c>
      <c r="D155" s="14" t="s">
        <v>47</v>
      </c>
      <c r="E155" s="2" t="s">
        <v>49</v>
      </c>
      <c r="F155" s="41">
        <v>300</v>
      </c>
      <c r="G155" s="35"/>
      <c r="I155" s="13"/>
      <c r="J155" s="15"/>
      <c r="K155" s="15"/>
      <c r="L155" s="28"/>
      <c r="Q155" s="13"/>
      <c r="R155" s="15"/>
      <c r="S155" s="15"/>
      <c r="T155" s="28"/>
      <c r="Y155" s="13"/>
      <c r="Z155" s="15"/>
      <c r="AA155" s="15"/>
      <c r="AB155" s="28"/>
      <c r="AG155" s="13"/>
      <c r="AH155" s="15"/>
      <c r="AI155" s="34"/>
      <c r="AJ155" s="28"/>
      <c r="AK155" s="13"/>
      <c r="AL155" s="15"/>
      <c r="AM155" s="34"/>
      <c r="AN155" s="28"/>
      <c r="AO155" s="13"/>
      <c r="AP155" s="15"/>
      <c r="AQ155" s="34"/>
      <c r="AR155" s="28"/>
      <c r="AS155" s="15"/>
      <c r="AT155" s="15"/>
      <c r="AU155" s="15"/>
      <c r="AV155" s="15"/>
      <c r="AW155" s="13"/>
      <c r="AX155" s="15"/>
      <c r="AY155" s="15"/>
      <c r="AZ155" s="28"/>
      <c r="BA155" s="15"/>
      <c r="BB155" s="15"/>
      <c r="BC155" s="15"/>
      <c r="BD155" s="15"/>
      <c r="BE155" s="14"/>
      <c r="BF155" s="41">
        <f t="shared" ref="BF155:BG155" si="404">K155+O155+S155+W155+AA155+AE155+AI155+AM155+AQ155+AU155+AY155+BC155</f>
        <v>0</v>
      </c>
      <c r="BG155" s="34">
        <f t="shared" si="404"/>
        <v>0</v>
      </c>
      <c r="BH155" s="35">
        <f t="shared" si="402"/>
        <v>0</v>
      </c>
    </row>
    <row r="156" ht="15.75" customHeight="1" hidden="1" spans="1:60" x14ac:dyDescent="0.25">
      <c r="A156" s="79" t="s">
        <v>117</v>
      </c>
      <c r="B156" s="14"/>
      <c r="D156" s="14" t="s">
        <v>50</v>
      </c>
      <c r="E156" s="2" t="s">
        <v>49</v>
      </c>
      <c r="F156" s="41">
        <v>1062.88</v>
      </c>
      <c r="G156" s="35"/>
      <c r="I156" s="13"/>
      <c r="J156" s="15"/>
      <c r="K156" s="15"/>
      <c r="L156" s="28"/>
      <c r="Q156" s="13"/>
      <c r="R156" s="15"/>
      <c r="S156" s="15"/>
      <c r="T156" s="28"/>
      <c r="Y156" s="13"/>
      <c r="Z156" s="15"/>
      <c r="AA156" s="15"/>
      <c r="AB156" s="28"/>
      <c r="AE156" s="34">
        <f>B153*$F$12</f>
        <v>8503.04</v>
      </c>
      <c r="AG156" s="13"/>
      <c r="AH156" s="15"/>
      <c r="AI156" s="15"/>
      <c r="AJ156" s="32">
        <v>8503.04</v>
      </c>
      <c r="AK156" s="13"/>
      <c r="AL156" s="15"/>
      <c r="AM156" s="15"/>
      <c r="AN156" s="28"/>
      <c r="AO156" s="13"/>
      <c r="AP156" s="15"/>
      <c r="AQ156" s="15"/>
      <c r="AR156" s="28"/>
      <c r="AS156" s="15"/>
      <c r="AT156" s="15"/>
      <c r="AU156" s="15"/>
      <c r="AV156" s="15"/>
      <c r="AW156" s="13"/>
      <c r="AX156" s="15"/>
      <c r="AY156" s="15"/>
      <c r="AZ156" s="28"/>
      <c r="BA156" s="15"/>
      <c r="BB156" s="15"/>
      <c r="BC156" s="15"/>
      <c r="BD156" s="15"/>
      <c r="BE156" s="14"/>
      <c r="BF156" s="41">
        <f>B153*$F$12</f>
        <v>8503.04</v>
      </c>
      <c r="BG156" s="34">
        <f t="shared" ref="BG156:BG158" si="405">L156+P156+T156+X156+AB156+AF156+AJ156+AN156+AR156+AV156+AZ156+BD156</f>
        <v>8503.04</v>
      </c>
      <c r="BH156" s="35">
        <f t="shared" si="402"/>
        <v>0</v>
      </c>
    </row>
    <row r="157" ht="15.75" customHeight="1" hidden="1" spans="1:60" x14ac:dyDescent="0.25">
      <c r="A157" s="79" t="s">
        <v>117</v>
      </c>
      <c r="B157" s="14"/>
      <c r="D157" s="14" t="s">
        <v>51</v>
      </c>
      <c r="E157" s="2" t="s">
        <v>49</v>
      </c>
      <c r="F157" s="41">
        <v>0</v>
      </c>
      <c r="G157" s="35"/>
      <c r="I157" s="13"/>
      <c r="J157" s="15"/>
      <c r="K157" s="15"/>
      <c r="L157" s="28"/>
      <c r="Q157" s="13"/>
      <c r="R157" s="15"/>
      <c r="S157" s="15"/>
      <c r="T157" s="28"/>
      <c r="Y157" s="13"/>
      <c r="Z157" s="15"/>
      <c r="AA157" s="15"/>
      <c r="AB157" s="28"/>
      <c r="AG157" s="13"/>
      <c r="AH157" s="15"/>
      <c r="AI157" s="15"/>
      <c r="AJ157" s="28"/>
      <c r="AK157" s="13"/>
      <c r="AL157" s="15"/>
      <c r="AM157" s="15"/>
      <c r="AN157" s="28"/>
      <c r="AO157" s="13"/>
      <c r="AP157" s="15"/>
      <c r="AQ157" s="15"/>
      <c r="AR157" s="28"/>
      <c r="AS157" s="15"/>
      <c r="AT157" s="15"/>
      <c r="AU157" s="15"/>
      <c r="AV157" s="15"/>
      <c r="AW157" s="13"/>
      <c r="AX157" s="15"/>
      <c r="AY157" s="15"/>
      <c r="AZ157" s="28"/>
      <c r="BA157" s="15"/>
      <c r="BB157" s="15"/>
      <c r="BC157" s="15"/>
      <c r="BD157" s="15"/>
      <c r="BE157" s="14"/>
      <c r="BF157" s="41">
        <f>B153*$F$13</f>
        <v>0</v>
      </c>
      <c r="BG157" s="34">
        <f t="shared" si="405"/>
        <v>0</v>
      </c>
      <c r="BH157" s="35">
        <f t="shared" si="402"/>
        <v>0</v>
      </c>
    </row>
    <row r="158" ht="15.75" customHeight="1" hidden="1" spans="1:60" x14ac:dyDescent="0.25">
      <c r="A158" s="79" t="s">
        <v>117</v>
      </c>
      <c r="B158" s="14"/>
      <c r="D158" s="14" t="s">
        <v>52</v>
      </c>
      <c r="E158" s="2" t="s">
        <v>39</v>
      </c>
      <c r="F158" s="41">
        <v>350</v>
      </c>
      <c r="G158" s="35"/>
      <c r="I158" s="13"/>
      <c r="J158" s="15"/>
      <c r="K158" s="15"/>
      <c r="L158" s="28"/>
      <c r="Q158" s="13"/>
      <c r="R158" s="15"/>
      <c r="S158" s="15"/>
      <c r="T158" s="28"/>
      <c r="Y158" s="13"/>
      <c r="Z158" s="15"/>
      <c r="AA158" s="34">
        <f>$F$14*2</f>
        <v>700</v>
      </c>
      <c r="AB158" s="28"/>
      <c r="AG158" s="13"/>
      <c r="AH158" s="15"/>
      <c r="AI158" s="15"/>
      <c r="AJ158" s="38">
        <v>700</v>
      </c>
      <c r="AK158" s="13"/>
      <c r="AL158" s="15"/>
      <c r="AM158" s="15"/>
      <c r="AN158" s="28"/>
      <c r="AO158" s="13"/>
      <c r="AP158" s="15"/>
      <c r="AQ158" s="15"/>
      <c r="AR158" s="28"/>
      <c r="AS158" s="15"/>
      <c r="AT158" s="15"/>
      <c r="AU158" s="15"/>
      <c r="AV158" s="15"/>
      <c r="AW158" s="13"/>
      <c r="AX158" s="15"/>
      <c r="AY158" s="15"/>
      <c r="AZ158" s="28"/>
      <c r="BA158" s="15"/>
      <c r="BB158" s="15"/>
      <c r="BC158" s="15"/>
      <c r="BD158" s="15"/>
      <c r="BE158" s="14"/>
      <c r="BF158" s="82">
        <f>$F$14*2</f>
        <v>700</v>
      </c>
      <c r="BG158" s="34">
        <f t="shared" si="405"/>
        <v>700</v>
      </c>
      <c r="BH158" s="35">
        <f t="shared" si="402"/>
        <v>0</v>
      </c>
    </row>
    <row r="159" ht="15.75" customHeight="1" hidden="1" spans="1:62" x14ac:dyDescent="0.25">
      <c r="A159" s="50" t="s">
        <v>117</v>
      </c>
      <c r="B159" s="21"/>
      <c r="C159" s="22" t="s">
        <v>53</v>
      </c>
      <c r="D159" s="21"/>
      <c r="E159" s="22"/>
      <c r="F159" s="20"/>
      <c r="G159" s="23"/>
      <c r="H159" s="51">
        <f>SUM(H152:H158)</f>
        <v>-19.63</v>
      </c>
      <c r="I159" s="52"/>
      <c r="J159" s="53"/>
      <c r="K159" s="51">
        <f t="shared" ref="K159:L159" si="406">SUM(K153:K158)</f>
        <v>0</v>
      </c>
      <c r="L159" s="68">
        <f t="shared" si="406"/>
        <v>0</v>
      </c>
      <c r="M159" s="53"/>
      <c r="N159" s="53"/>
      <c r="O159" s="51">
        <f t="shared" ref="O159:P159" si="407">SUM(O153:O158)</f>
        <v>0</v>
      </c>
      <c r="P159" s="51">
        <f t="shared" si="407"/>
        <v>0</v>
      </c>
      <c r="Q159" s="52"/>
      <c r="R159" s="53"/>
      <c r="S159" s="51">
        <f t="shared" ref="S159:T159" si="408">SUM(S153:S158)</f>
        <v>0</v>
      </c>
      <c r="T159" s="68">
        <f t="shared" si="408"/>
        <v>0</v>
      </c>
      <c r="U159" s="53"/>
      <c r="V159" s="53"/>
      <c r="W159" s="51">
        <f t="shared" ref="W159:X159" si="409">SUM(W153:W158)</f>
        <v>363.54</v>
      </c>
      <c r="X159" s="51">
        <f t="shared" si="409"/>
        <v>700</v>
      </c>
      <c r="Y159" s="52"/>
      <c r="Z159" s="53"/>
      <c r="AA159" s="51">
        <f t="shared" ref="AA159:AB159" si="410">SUM(AA153:AA158)</f>
        <v>921.61</v>
      </c>
      <c r="AB159" s="68">
        <f t="shared" si="410"/>
        <v>0</v>
      </c>
      <c r="AC159" s="53"/>
      <c r="AD159" s="53"/>
      <c r="AE159" s="51">
        <f t="shared" ref="AE159:AF159" si="411">SUM(AE153:AE158)</f>
        <v>8762</v>
      </c>
      <c r="AF159" s="51">
        <f t="shared" si="411"/>
        <v>211.34</v>
      </c>
      <c r="AG159" s="52"/>
      <c r="AH159" s="53"/>
      <c r="AI159" s="51">
        <f t="shared" ref="AI159:AJ159" si="412">SUM(AI153:AI158)</f>
        <v>909.38</v>
      </c>
      <c r="AJ159" s="68">
        <f t="shared" si="412"/>
        <v>9768.8</v>
      </c>
      <c r="AK159" s="52"/>
      <c r="AL159" s="53"/>
      <c r="AM159" s="51">
        <f t="shared" ref="AM159:AN159" si="413">SUM(AM153:AM158)</f>
        <v>338.64</v>
      </c>
      <c r="AN159" s="68">
        <f t="shared" si="413"/>
        <v>343.62</v>
      </c>
      <c r="AO159" s="52"/>
      <c r="AP159" s="53"/>
      <c r="AQ159" s="51">
        <f t="shared" ref="AQ159:AR159" si="414">SUM(AQ153:AQ158)</f>
        <v>413.34</v>
      </c>
      <c r="AR159" s="68">
        <f t="shared" si="414"/>
        <v>751.98</v>
      </c>
      <c r="AS159" s="53"/>
      <c r="AT159" s="53"/>
      <c r="AU159" s="51">
        <f t="shared" ref="AU159:AV159" si="415">SUM(AU153:AU158)</f>
        <v>184.26</v>
      </c>
      <c r="AV159" s="51">
        <f t="shared" si="415"/>
        <v>0</v>
      </c>
      <c r="AW159" s="52"/>
      <c r="AX159" s="53"/>
      <c r="AY159" s="51">
        <f t="shared" ref="AY159:AZ159" si="416">SUM(AY153:AY158)</f>
        <v>0</v>
      </c>
      <c r="AZ159" s="68">
        <f t="shared" si="416"/>
        <v>0</v>
      </c>
      <c r="BA159" s="53"/>
      <c r="BB159" s="53"/>
      <c r="BC159" s="51">
        <f t="shared" ref="BC159:BD159" si="417">SUM(BC153:BC158)</f>
        <v>0</v>
      </c>
      <c r="BD159" s="51">
        <f t="shared" si="417"/>
        <v>0</v>
      </c>
      <c r="BE159" s="69"/>
      <c r="BF159" s="70">
        <f t="shared" ref="BF159:BH159" si="418">SUM(BF152:BF158)</f>
        <v>11892.77</v>
      </c>
      <c r="BG159" s="71">
        <f t="shared" si="418"/>
        <v>11775.74</v>
      </c>
      <c r="BH159" s="72">
        <f t="shared" si="418"/>
        <v>97.4</v>
      </c>
      <c r="BI159" s="34">
        <f>H159+BF159-BG159</f>
        <v>97.4</v>
      </c>
      <c r="BJ159" s="34">
        <f>BH159-BI159</f>
        <v>0</v>
      </c>
    </row>
    <row r="160" ht="15.75" customHeight="1" hidden="1" spans="1:60" x14ac:dyDescent="0.25">
      <c r="A160" s="29">
        <v>21</v>
      </c>
      <c r="B160" s="14"/>
      <c r="C160" s="15"/>
      <c r="D160" s="14" t="s">
        <v>42</v>
      </c>
      <c r="E160" s="15"/>
      <c r="F160" s="13"/>
      <c r="G160" s="28"/>
      <c r="H160" s="62"/>
      <c r="I160" s="61"/>
      <c r="J160" s="60"/>
      <c r="K160" s="60"/>
      <c r="L160" s="63"/>
      <c r="M160" s="60"/>
      <c r="N160" s="60"/>
      <c r="O160" s="60"/>
      <c r="P160" s="62"/>
      <c r="Q160" s="61"/>
      <c r="R160" s="60"/>
      <c r="S160" s="62"/>
      <c r="T160" s="63"/>
      <c r="U160" s="60"/>
      <c r="V160" s="60"/>
      <c r="W160" s="62"/>
      <c r="X160" s="62"/>
      <c r="Y160" s="61"/>
      <c r="Z160" s="60"/>
      <c r="AA160" s="62"/>
      <c r="AB160" s="63"/>
      <c r="AC160" s="60"/>
      <c r="AD160" s="60"/>
      <c r="AE160" s="62"/>
      <c r="AF160" s="62"/>
      <c r="AG160" s="61"/>
      <c r="AH160" s="60"/>
      <c r="AI160" s="62"/>
      <c r="AJ160" s="63"/>
      <c r="AK160" s="61"/>
      <c r="AL160" s="60"/>
      <c r="AM160" s="62"/>
      <c r="AN160" s="63"/>
      <c r="AO160" s="61"/>
      <c r="AP160" s="60"/>
      <c r="AQ160" s="62"/>
      <c r="AR160" s="63"/>
      <c r="AS160" s="60"/>
      <c r="AT160" s="60"/>
      <c r="AU160" s="62"/>
      <c r="AV160" s="62"/>
      <c r="AW160" s="61"/>
      <c r="AX160" s="60"/>
      <c r="AY160" s="62"/>
      <c r="AZ160" s="63"/>
      <c r="BA160" s="60"/>
      <c r="BB160" s="60"/>
      <c r="BC160" s="62"/>
      <c r="BD160" s="62"/>
      <c r="BE160" s="65"/>
      <c r="BF160" s="46"/>
      <c r="BG160" s="39"/>
      <c r="BH160" s="38"/>
    </row>
    <row r="161" ht="15.75" customHeight="1" hidden="1" spans="1:63" x14ac:dyDescent="0.25">
      <c r="A161" s="2">
        <v>21</v>
      </c>
      <c r="B161" s="14">
        <v>3.96</v>
      </c>
      <c r="C161" s="15" t="s">
        <v>120</v>
      </c>
      <c r="D161" s="14" t="s">
        <v>44</v>
      </c>
      <c r="E161" s="2" t="s">
        <v>45</v>
      </c>
      <c r="F161" s="13">
        <v>2.49</v>
      </c>
      <c r="G161" s="28"/>
      <c r="H161" s="2">
        <v>-468.33</v>
      </c>
      <c r="I161" s="13">
        <v>96</v>
      </c>
      <c r="J161" s="15">
        <v>40</v>
      </c>
      <c r="K161" s="34">
        <f>J161*$F$8</f>
        <v>99.6</v>
      </c>
      <c r="L161" s="28"/>
      <c r="M161" s="2">
        <v>161</v>
      </c>
      <c r="N161" s="15">
        <f>M161-I161</f>
        <v>65</v>
      </c>
      <c r="O161" s="34">
        <f>N161*$F$8</f>
        <v>161.85</v>
      </c>
      <c r="Q161" s="13">
        <v>231</v>
      </c>
      <c r="R161" s="15">
        <f>Q161-M161</f>
        <v>70</v>
      </c>
      <c r="S161" s="34">
        <f>R161*$F$8</f>
        <v>174.3</v>
      </c>
      <c r="T161" s="28"/>
      <c r="U161" s="2">
        <v>321</v>
      </c>
      <c r="V161" s="15">
        <f>U161-Q161</f>
        <v>90</v>
      </c>
      <c r="W161" s="34">
        <f>V161*$F$8</f>
        <v>224.1</v>
      </c>
      <c r="Y161" s="13">
        <v>357</v>
      </c>
      <c r="Z161" s="15">
        <f>Y161-U161</f>
        <v>36</v>
      </c>
      <c r="AA161" s="34">
        <f>Z161*$F$8</f>
        <v>89.64</v>
      </c>
      <c r="AB161" s="35">
        <v>650</v>
      </c>
      <c r="AC161" s="2">
        <v>369</v>
      </c>
      <c r="AD161" s="15">
        <f t="shared" ref="AD161:AD162" si="419">AC161-Y161</f>
        <v>12</v>
      </c>
      <c r="AE161" s="34">
        <f>AD161*$F$8</f>
        <v>29.88</v>
      </c>
      <c r="AG161" s="13">
        <v>414</v>
      </c>
      <c r="AH161" s="15">
        <f t="shared" ref="AH161:AH162" si="420">AG161-AC161</f>
        <v>45</v>
      </c>
      <c r="AI161" s="34">
        <f>AH161*$F$8</f>
        <v>112.05</v>
      </c>
      <c r="AJ161" s="28"/>
      <c r="AK161" s="13">
        <v>459</v>
      </c>
      <c r="AL161" s="15">
        <f t="shared" ref="AL161:AL162" si="421">AK161-AG161</f>
        <v>45</v>
      </c>
      <c r="AM161" s="34">
        <f>AL161*$F$8</f>
        <v>112.05</v>
      </c>
      <c r="AN161" s="28"/>
      <c r="AO161" s="13">
        <v>498</v>
      </c>
      <c r="AP161" s="15">
        <f t="shared" ref="AP161:AP162" si="422">AO161-AK161</f>
        <v>39</v>
      </c>
      <c r="AQ161" s="34">
        <f>AP161*$F$8</f>
        <v>97.11</v>
      </c>
      <c r="AR161" s="28"/>
      <c r="AS161" s="15">
        <v>533</v>
      </c>
      <c r="AT161" s="37">
        <f>AS161-AO161</f>
        <v>35</v>
      </c>
      <c r="AU161" s="34">
        <f>AT161*$F$8</f>
        <v>87.15</v>
      </c>
      <c r="AV161" s="15"/>
      <c r="AW161" s="13">
        <v>568</v>
      </c>
      <c r="AX161" s="37">
        <f>AW161-AS161</f>
        <v>35</v>
      </c>
      <c r="AY161" s="34">
        <f>AX161*$F$8</f>
        <v>87.15</v>
      </c>
      <c r="AZ161" s="28"/>
      <c r="BA161" s="15">
        <v>586</v>
      </c>
      <c r="BB161" s="37">
        <f>BA161-AW161</f>
        <v>18</v>
      </c>
      <c r="BC161" s="34">
        <f>BB161*$F$8</f>
        <v>44.82</v>
      </c>
      <c r="BD161" s="91">
        <f>385.95+201.37</f>
        <v>587.32</v>
      </c>
      <c r="BE161" s="40">
        <f t="shared" ref="BE161:BG161" si="423">J161+N161+R161+V161+Z161+AD161+AH161+AL161+AP161+AT161+AX161+BB161</f>
        <v>530</v>
      </c>
      <c r="BF161" s="41">
        <f t="shared" si="423"/>
        <v>1319.7</v>
      </c>
      <c r="BG161" s="34">
        <f t="shared" si="423"/>
        <v>1237.32</v>
      </c>
      <c r="BH161" s="35">
        <f t="shared" ref="BH161:BH166" si="424">H161+BF161-BG161</f>
        <v>-385.95</v>
      </c>
      <c r="BK161" s="2">
        <v>385.95</v>
      </c>
    </row>
    <row r="162" ht="15.75" customHeight="1" hidden="1" spans="1:60" x14ac:dyDescent="0.25">
      <c r="A162" s="29">
        <v>21</v>
      </c>
      <c r="B162" s="14"/>
      <c r="C162" s="15" t="s">
        <v>121</v>
      </c>
      <c r="D162" s="14" t="s">
        <v>47</v>
      </c>
      <c r="E162" s="2" t="s">
        <v>48</v>
      </c>
      <c r="F162" s="13">
        <v>17.16</v>
      </c>
      <c r="G162" s="28"/>
      <c r="H162" s="33">
        <f>-187.8+1*17.16</f>
        <v>-170.64</v>
      </c>
      <c r="I162" s="13"/>
      <c r="J162" s="15"/>
      <c r="K162" s="15"/>
      <c r="L162" s="28"/>
      <c r="Q162" s="13"/>
      <c r="R162" s="15"/>
      <c r="S162" s="15"/>
      <c r="T162" s="28"/>
      <c r="Y162" s="13">
        <v>21</v>
      </c>
      <c r="Z162" s="15"/>
      <c r="AA162" s="15"/>
      <c r="AB162" s="28"/>
      <c r="AC162" s="2">
        <v>21</v>
      </c>
      <c r="AD162" s="15">
        <f t="shared" si="419"/>
        <v>0</v>
      </c>
      <c r="AE162" s="34">
        <f>AD162*$F$10</f>
        <v>0</v>
      </c>
      <c r="AG162" s="13">
        <v>21</v>
      </c>
      <c r="AH162" s="15">
        <f t="shared" si="420"/>
        <v>0</v>
      </c>
      <c r="AI162" s="45">
        <f>AH162*$G$10</f>
        <v>0</v>
      </c>
      <c r="AJ162" s="28"/>
      <c r="AK162" s="13">
        <v>24</v>
      </c>
      <c r="AL162" s="15">
        <f t="shared" si="421"/>
        <v>3</v>
      </c>
      <c r="AM162" s="45">
        <f>AL162*$G$10</f>
        <v>53.04</v>
      </c>
      <c r="AN162" s="28"/>
      <c r="AO162" s="13">
        <v>26</v>
      </c>
      <c r="AP162" s="15">
        <f t="shared" si="422"/>
        <v>2</v>
      </c>
      <c r="AQ162" s="45">
        <f>AP162*$G$10</f>
        <v>35.36</v>
      </c>
      <c r="AR162" s="28"/>
      <c r="AS162" s="15"/>
      <c r="AT162" s="15"/>
      <c r="AU162" s="15"/>
      <c r="AV162" s="15"/>
      <c r="AW162" s="13"/>
      <c r="AX162" s="15"/>
      <c r="AY162" s="15"/>
      <c r="AZ162" s="28"/>
      <c r="BA162" s="15"/>
      <c r="BB162" s="15"/>
      <c r="BC162" s="15"/>
      <c r="BD162" s="15"/>
      <c r="BE162" s="40">
        <f t="shared" ref="BE162:BG162" si="425">J162+N162+R162+V162+Z162+AD162+AH162+AL162+AP162+AT162+AX162+BB162</f>
        <v>5</v>
      </c>
      <c r="BF162" s="41">
        <f t="shared" si="425"/>
        <v>88.4</v>
      </c>
      <c r="BG162" s="34">
        <f t="shared" si="425"/>
        <v>0</v>
      </c>
      <c r="BH162" s="35">
        <f t="shared" si="424"/>
        <v>-82.24</v>
      </c>
    </row>
    <row r="163" ht="15.75" customHeight="1" hidden="1" spans="1:60" x14ac:dyDescent="0.25">
      <c r="A163" s="29">
        <v>21</v>
      </c>
      <c r="B163" s="14"/>
      <c r="C163" s="15" t="s">
        <v>122</v>
      </c>
      <c r="D163" s="14" t="s">
        <v>47</v>
      </c>
      <c r="E163" s="2" t="s">
        <v>49</v>
      </c>
      <c r="F163" s="41">
        <v>300</v>
      </c>
      <c r="G163" s="28"/>
      <c r="I163" s="13"/>
      <c r="J163" s="15"/>
      <c r="K163" s="15"/>
      <c r="L163" s="28"/>
      <c r="Q163" s="13"/>
      <c r="R163" s="15"/>
      <c r="S163" s="15"/>
      <c r="T163" s="28"/>
      <c r="Y163" s="13"/>
      <c r="Z163" s="15"/>
      <c r="AA163" s="15"/>
      <c r="AB163" s="28"/>
      <c r="AG163" s="13"/>
      <c r="AH163" s="15"/>
      <c r="AI163" s="34"/>
      <c r="AJ163" s="28"/>
      <c r="AK163" s="13"/>
      <c r="AL163" s="15"/>
      <c r="AM163" s="34"/>
      <c r="AN163" s="28"/>
      <c r="AO163" s="13"/>
      <c r="AP163" s="15"/>
      <c r="AQ163" s="34"/>
      <c r="AR163" s="28"/>
      <c r="AS163" s="15"/>
      <c r="AT163" s="15"/>
      <c r="AU163" s="15"/>
      <c r="AV163" s="15"/>
      <c r="AW163" s="13"/>
      <c r="AX163" s="15"/>
      <c r="AY163" s="15"/>
      <c r="AZ163" s="28"/>
      <c r="BA163" s="15"/>
      <c r="BB163" s="15"/>
      <c r="BC163" s="15"/>
      <c r="BD163" s="15"/>
      <c r="BE163" s="14"/>
      <c r="BF163" s="41">
        <f t="shared" ref="BF163:BG163" si="426">K163+O163+S163+W163+AA163+AE163+AI163+AM163+AQ163+AU163+AY163+BC163</f>
        <v>0</v>
      </c>
      <c r="BG163" s="34">
        <f t="shared" si="426"/>
        <v>0</v>
      </c>
      <c r="BH163" s="35">
        <f t="shared" si="424"/>
        <v>0</v>
      </c>
    </row>
    <row r="164" ht="15.75" customHeight="1" hidden="1" spans="1:60" x14ac:dyDescent="0.25">
      <c r="A164" s="29">
        <v>21</v>
      </c>
      <c r="B164" s="14"/>
      <c r="C164" s="15" t="s">
        <v>123</v>
      </c>
      <c r="D164" s="14" t="s">
        <v>50</v>
      </c>
      <c r="E164" s="2" t="s">
        <v>49</v>
      </c>
      <c r="F164" s="41">
        <v>1062.88</v>
      </c>
      <c r="G164" s="28"/>
      <c r="I164" s="13"/>
      <c r="J164" s="15"/>
      <c r="K164" s="15"/>
      <c r="L164" s="28"/>
      <c r="Q164" s="13"/>
      <c r="R164" s="15"/>
      <c r="S164" s="15"/>
      <c r="T164" s="28"/>
      <c r="Y164" s="13"/>
      <c r="Z164" s="15"/>
      <c r="AA164" s="15"/>
      <c r="AB164" s="28"/>
      <c r="AE164" s="34">
        <f>B161*$F$12</f>
        <v>4209.0048</v>
      </c>
      <c r="AF164" s="34">
        <v>4209</v>
      </c>
      <c r="AG164" s="13"/>
      <c r="AH164" s="15"/>
      <c r="AI164" s="15"/>
      <c r="AJ164" s="28"/>
      <c r="AK164" s="13"/>
      <c r="AL164" s="15"/>
      <c r="AM164" s="15"/>
      <c r="AN164" s="28"/>
      <c r="AO164" s="13"/>
      <c r="AP164" s="15"/>
      <c r="AQ164" s="15"/>
      <c r="AR164" s="28"/>
      <c r="AS164" s="15"/>
      <c r="AT164" s="15"/>
      <c r="AU164" s="15"/>
      <c r="AV164" s="15"/>
      <c r="AW164" s="13"/>
      <c r="AX164" s="15"/>
      <c r="AY164" s="15"/>
      <c r="AZ164" s="28"/>
      <c r="BA164" s="15"/>
      <c r="BB164" s="15"/>
      <c r="BC164" s="15"/>
      <c r="BD164" s="15"/>
      <c r="BE164" s="14"/>
      <c r="BF164" s="41">
        <f>B161*$F$12</f>
        <v>4209.0048</v>
      </c>
      <c r="BG164" s="34">
        <f t="shared" ref="BG164:BG166" si="427">L164+P164+T164+X164+AB164+AF164+AJ164+AN164+AR164+AV164+AZ164+BD164</f>
        <v>4209</v>
      </c>
      <c r="BH164" s="35">
        <f t="shared" si="424"/>
        <v>0.004800000001</v>
      </c>
    </row>
    <row r="165" ht="15.75" customHeight="1" hidden="1" spans="1:60" x14ac:dyDescent="0.25">
      <c r="A165" s="29">
        <v>21</v>
      </c>
      <c r="B165" s="14"/>
      <c r="D165" s="14" t="s">
        <v>51</v>
      </c>
      <c r="E165" s="2" t="s">
        <v>49</v>
      </c>
      <c r="F165" s="41">
        <v>0</v>
      </c>
      <c r="G165" s="28"/>
      <c r="I165" s="13"/>
      <c r="J165" s="15"/>
      <c r="K165" s="15"/>
      <c r="L165" s="28"/>
      <c r="Q165" s="13"/>
      <c r="R165" s="15"/>
      <c r="S165" s="15"/>
      <c r="T165" s="28"/>
      <c r="Y165" s="13"/>
      <c r="Z165" s="15"/>
      <c r="AA165" s="15"/>
      <c r="AB165" s="28"/>
      <c r="AG165" s="13"/>
      <c r="AH165" s="15"/>
      <c r="AI165" s="15"/>
      <c r="AJ165" s="28"/>
      <c r="AK165" s="13"/>
      <c r="AL165" s="15"/>
      <c r="AM165" s="15"/>
      <c r="AN165" s="28"/>
      <c r="AO165" s="13"/>
      <c r="AP165" s="15"/>
      <c r="AQ165" s="15"/>
      <c r="AR165" s="28"/>
      <c r="AS165" s="15"/>
      <c r="AT165" s="15"/>
      <c r="AU165" s="15"/>
      <c r="AV165" s="15"/>
      <c r="AW165" s="13"/>
      <c r="AX165" s="15"/>
      <c r="AY165" s="15"/>
      <c r="AZ165" s="28"/>
      <c r="BA165" s="15"/>
      <c r="BB165" s="15"/>
      <c r="BC165" s="15"/>
      <c r="BD165" s="15"/>
      <c r="BE165" s="14"/>
      <c r="BF165" s="41">
        <f>B161*$F$13</f>
        <v>0</v>
      </c>
      <c r="BG165" s="34">
        <f t="shared" si="427"/>
        <v>0</v>
      </c>
      <c r="BH165" s="35">
        <f t="shared" si="424"/>
        <v>0</v>
      </c>
    </row>
    <row r="166" ht="15.75" customHeight="1" hidden="1" spans="1:60" x14ac:dyDescent="0.25">
      <c r="A166" s="29">
        <v>21</v>
      </c>
      <c r="B166" s="14"/>
      <c r="D166" s="14" t="s">
        <v>52</v>
      </c>
      <c r="E166" s="2" t="s">
        <v>39</v>
      </c>
      <c r="F166" s="41">
        <v>350</v>
      </c>
      <c r="G166" s="28"/>
      <c r="H166" s="34"/>
      <c r="I166" s="13"/>
      <c r="J166" s="15"/>
      <c r="K166" s="15"/>
      <c r="L166" s="28"/>
      <c r="Q166" s="13"/>
      <c r="R166" s="15"/>
      <c r="S166" s="15"/>
      <c r="T166" s="28"/>
      <c r="Y166" s="13"/>
      <c r="Z166" s="15"/>
      <c r="AA166" s="34">
        <f>$F$14</f>
        <v>350</v>
      </c>
      <c r="AB166" s="92">
        <v>350</v>
      </c>
      <c r="AG166" s="13"/>
      <c r="AH166" s="15"/>
      <c r="AI166" s="15"/>
      <c r="AJ166" s="28"/>
      <c r="AK166" s="13"/>
      <c r="AL166" s="15"/>
      <c r="AM166" s="15"/>
      <c r="AN166" s="28"/>
      <c r="AO166" s="13"/>
      <c r="AP166" s="15"/>
      <c r="AQ166" s="15"/>
      <c r="AR166" s="28"/>
      <c r="AS166" s="15"/>
      <c r="AT166" s="15"/>
      <c r="AU166" s="15"/>
      <c r="AV166" s="15"/>
      <c r="AW166" s="13"/>
      <c r="AX166" s="15"/>
      <c r="AY166" s="15"/>
      <c r="AZ166" s="28"/>
      <c r="BA166" s="15"/>
      <c r="BB166" s="15"/>
      <c r="BC166" s="15"/>
      <c r="BD166" s="15"/>
      <c r="BE166" s="14"/>
      <c r="BF166" s="41">
        <f>$F$14</f>
        <v>350</v>
      </c>
      <c r="BG166" s="34">
        <f t="shared" si="427"/>
        <v>350</v>
      </c>
      <c r="BH166" s="35">
        <f t="shared" si="424"/>
        <v>0</v>
      </c>
    </row>
    <row r="167" ht="15.75" customHeight="1" hidden="1" spans="1:62" x14ac:dyDescent="0.25">
      <c r="A167" s="50">
        <v>21</v>
      </c>
      <c r="B167" s="21"/>
      <c r="C167" s="22" t="s">
        <v>53</v>
      </c>
      <c r="D167" s="21"/>
      <c r="E167" s="22"/>
      <c r="F167" s="20"/>
      <c r="G167" s="23"/>
      <c r="H167" s="51">
        <f>SUM(H160:H166)</f>
        <v>-638.97</v>
      </c>
      <c r="I167" s="52"/>
      <c r="J167" s="53"/>
      <c r="K167" s="51">
        <f t="shared" ref="K167:L167" si="428">SUM(K161:K166)</f>
        <v>99.6</v>
      </c>
      <c r="L167" s="68">
        <f t="shared" si="428"/>
        <v>0</v>
      </c>
      <c r="M167" s="53"/>
      <c r="N167" s="53"/>
      <c r="O167" s="51">
        <f t="shared" ref="O167:P167" si="429">SUM(O161:O166)</f>
        <v>161.85</v>
      </c>
      <c r="P167" s="51">
        <f t="shared" si="429"/>
        <v>0</v>
      </c>
      <c r="Q167" s="52"/>
      <c r="R167" s="53"/>
      <c r="S167" s="51">
        <f t="shared" ref="S167:T167" si="430">SUM(S161:S166)</f>
        <v>174.3</v>
      </c>
      <c r="T167" s="68">
        <f t="shared" si="430"/>
        <v>0</v>
      </c>
      <c r="U167" s="53"/>
      <c r="V167" s="53"/>
      <c r="W167" s="51">
        <f t="shared" ref="W167:X167" si="431">SUM(W161:W166)</f>
        <v>224.1</v>
      </c>
      <c r="X167" s="51">
        <f t="shared" si="431"/>
        <v>0</v>
      </c>
      <c r="Y167" s="52"/>
      <c r="Z167" s="53"/>
      <c r="AA167" s="51">
        <f t="shared" ref="AA167:AB167" si="432">SUM(AA161:AA166)</f>
        <v>439.64</v>
      </c>
      <c r="AB167" s="68">
        <f t="shared" si="432"/>
        <v>1000</v>
      </c>
      <c r="AC167" s="53"/>
      <c r="AD167" s="53"/>
      <c r="AE167" s="51">
        <f t="shared" ref="AE167:AF167" si="433">SUM(AE161:AE166)</f>
        <v>4238.8848</v>
      </c>
      <c r="AF167" s="51">
        <f t="shared" si="433"/>
        <v>4209</v>
      </c>
      <c r="AG167" s="52"/>
      <c r="AH167" s="53"/>
      <c r="AI167" s="51">
        <f t="shared" ref="AI167:AJ167" si="434">SUM(AI161:AI166)</f>
        <v>112.05</v>
      </c>
      <c r="AJ167" s="68">
        <f t="shared" si="434"/>
        <v>0</v>
      </c>
      <c r="AK167" s="52"/>
      <c r="AL167" s="53"/>
      <c r="AM167" s="51">
        <f t="shared" ref="AM167:AN167" si="435">SUM(AM161:AM166)</f>
        <v>165.09</v>
      </c>
      <c r="AN167" s="68">
        <f t="shared" si="435"/>
        <v>0</v>
      </c>
      <c r="AO167" s="52"/>
      <c r="AP167" s="53"/>
      <c r="AQ167" s="51">
        <f t="shared" ref="AQ167:AR167" si="436">SUM(AQ161:AQ166)</f>
        <v>132.47</v>
      </c>
      <c r="AR167" s="68">
        <f t="shared" si="436"/>
        <v>0</v>
      </c>
      <c r="AS167" s="53"/>
      <c r="AT167" s="53"/>
      <c r="AU167" s="51">
        <f t="shared" ref="AU167:AV167" si="437">SUM(AU161:AU166)</f>
        <v>87.15</v>
      </c>
      <c r="AV167" s="51">
        <f t="shared" si="437"/>
        <v>0</v>
      </c>
      <c r="AW167" s="52"/>
      <c r="AX167" s="53"/>
      <c r="AY167" s="51">
        <f t="shared" ref="AY167:AZ167" si="438">SUM(AY161:AY166)</f>
        <v>87.15</v>
      </c>
      <c r="AZ167" s="68">
        <f t="shared" si="438"/>
        <v>0</v>
      </c>
      <c r="BA167" s="53"/>
      <c r="BB167" s="53"/>
      <c r="BC167" s="51">
        <f t="shared" ref="BC167:BD167" si="439">SUM(BC161:BC166)</f>
        <v>44.82</v>
      </c>
      <c r="BD167" s="51">
        <f t="shared" si="439"/>
        <v>587.32</v>
      </c>
      <c r="BE167" s="69"/>
      <c r="BF167" s="70">
        <f t="shared" ref="BF167:BH167" si="440">SUM(BF160:BF166)</f>
        <v>5967.1048</v>
      </c>
      <c r="BG167" s="71">
        <f t="shared" si="440"/>
        <v>5796.32</v>
      </c>
      <c r="BH167" s="72">
        <f t="shared" si="440"/>
        <v>-468.1852</v>
      </c>
      <c r="BI167" s="34">
        <f>H167+BF167-BG167</f>
        <v>-468.1852</v>
      </c>
      <c r="BJ167" s="34">
        <f>BH167-BI167</f>
        <v>0</v>
      </c>
    </row>
    <row r="168" ht="15.75" customHeight="1" hidden="1" spans="1:60" x14ac:dyDescent="0.25">
      <c r="A168" s="29">
        <v>23</v>
      </c>
      <c r="B168" s="14"/>
      <c r="D168" s="14" t="s">
        <v>42</v>
      </c>
      <c r="F168" s="13"/>
      <c r="G168" s="28"/>
      <c r="I168" s="13"/>
      <c r="J168" s="15"/>
      <c r="K168" s="15"/>
      <c r="L168" s="28"/>
      <c r="Q168" s="13"/>
      <c r="R168" s="15"/>
      <c r="S168" s="15"/>
      <c r="T168" s="28"/>
      <c r="Y168" s="13"/>
      <c r="Z168" s="15"/>
      <c r="AA168" s="15"/>
      <c r="AB168" s="28"/>
      <c r="AG168" s="13"/>
      <c r="AH168" s="15"/>
      <c r="AI168" s="15"/>
      <c r="AJ168" s="28"/>
      <c r="AK168" s="13"/>
      <c r="AL168" s="15"/>
      <c r="AM168" s="15"/>
      <c r="AN168" s="28"/>
      <c r="AO168" s="13"/>
      <c r="AP168" s="15"/>
      <c r="AQ168" s="15"/>
      <c r="AR168" s="28"/>
      <c r="AW168" s="13"/>
      <c r="AX168" s="15"/>
      <c r="AY168" s="15"/>
      <c r="AZ168" s="28"/>
      <c r="BE168" s="14"/>
      <c r="BF168" s="13"/>
      <c r="BG168" s="15"/>
      <c r="BH168" s="28"/>
    </row>
    <row r="169" ht="15.75" customHeight="1" hidden="1" spans="1:60" x14ac:dyDescent="0.25">
      <c r="A169" s="2">
        <v>23</v>
      </c>
      <c r="B169" s="14">
        <v>3.98</v>
      </c>
      <c r="C169" s="2" t="s">
        <v>124</v>
      </c>
      <c r="D169" s="14" t="s">
        <v>44</v>
      </c>
      <c r="E169" s="2" t="s">
        <v>45</v>
      </c>
      <c r="F169" s="13">
        <v>2.49</v>
      </c>
      <c r="G169" s="28"/>
      <c r="H169" s="2">
        <v>27.39</v>
      </c>
      <c r="I169" s="13">
        <v>1187</v>
      </c>
      <c r="J169" s="15">
        <v>0</v>
      </c>
      <c r="K169" s="34">
        <f>J169*$F$8</f>
        <v>0</v>
      </c>
      <c r="L169" s="28"/>
      <c r="M169" s="2">
        <v>1187</v>
      </c>
      <c r="N169" s="15">
        <f>M169-I169</f>
        <v>0</v>
      </c>
      <c r="O169" s="34">
        <f>N169*$F$8</f>
        <v>0</v>
      </c>
      <c r="Q169" s="13">
        <v>1187</v>
      </c>
      <c r="R169" s="15">
        <f>Q169-M169</f>
        <v>0</v>
      </c>
      <c r="S169" s="34">
        <f>R169*$F$8</f>
        <v>0</v>
      </c>
      <c r="T169" s="28"/>
      <c r="U169" s="2">
        <v>1198</v>
      </c>
      <c r="V169" s="15">
        <f>U169-Q169</f>
        <v>11</v>
      </c>
      <c r="W169" s="34">
        <f>V169*$F$8</f>
        <v>27.39</v>
      </c>
      <c r="X169" s="2">
        <f>27.39+27.39</f>
        <v>54.78</v>
      </c>
      <c r="Y169" s="13">
        <v>1245</v>
      </c>
      <c r="Z169" s="15">
        <f>Y169-U169</f>
        <v>47</v>
      </c>
      <c r="AA169" s="34">
        <f>Z169*$F$8</f>
        <v>117.03</v>
      </c>
      <c r="AB169" s="28">
        <v>117.03</v>
      </c>
      <c r="AC169" s="2">
        <v>1406</v>
      </c>
      <c r="AD169" s="15">
        <f t="shared" ref="AD169:AD170" si="441">AC169-Y169</f>
        <v>161</v>
      </c>
      <c r="AE169" s="34">
        <f>AD169*$F$8</f>
        <v>400.89</v>
      </c>
      <c r="AF169" s="2">
        <v>400.89</v>
      </c>
      <c r="AG169" s="13">
        <v>1532</v>
      </c>
      <c r="AH169" s="15">
        <f t="shared" ref="AH169:AH170" si="442">AG169-AC169</f>
        <v>126</v>
      </c>
      <c r="AI169" s="34">
        <f>AH169*$F$8</f>
        <v>313.74</v>
      </c>
      <c r="AJ169" s="28"/>
      <c r="AK169" s="13">
        <v>1774</v>
      </c>
      <c r="AL169" s="15">
        <f t="shared" ref="AL169:AL170" si="443">AK169-AG169</f>
        <v>242</v>
      </c>
      <c r="AM169" s="34">
        <f>AL169*$F$8</f>
        <v>602.58</v>
      </c>
      <c r="AN169" s="32">
        <v>313.74</v>
      </c>
      <c r="AO169" s="13">
        <v>1880</v>
      </c>
      <c r="AP169" s="15">
        <f t="shared" ref="AP169:AP170" si="444">AO169-AK169</f>
        <v>106</v>
      </c>
      <c r="AQ169" s="34">
        <f>AP169*$F$8</f>
        <v>263.94</v>
      </c>
      <c r="AR169" s="32">
        <v>866.52</v>
      </c>
      <c r="AS169" s="15">
        <v>1901</v>
      </c>
      <c r="AT169" s="37">
        <f>AS169-AO169</f>
        <v>21</v>
      </c>
      <c r="AU169" s="34">
        <f>AT169*$F$8</f>
        <v>52.29</v>
      </c>
      <c r="AV169" s="15"/>
      <c r="AW169" s="13">
        <v>1901</v>
      </c>
      <c r="AX169" s="37">
        <f>AW169-AS169</f>
        <v>0</v>
      </c>
      <c r="AY169" s="34">
        <f>AX169*$F$8</f>
        <v>0</v>
      </c>
      <c r="AZ169" s="28"/>
      <c r="BA169" s="13">
        <v>1901</v>
      </c>
      <c r="BB169" s="37">
        <f>BA169-AW169</f>
        <v>0</v>
      </c>
      <c r="BC169" s="34">
        <f>BB169*$F$8</f>
        <v>0</v>
      </c>
      <c r="BD169" s="15"/>
      <c r="BE169" s="40">
        <f t="shared" ref="BE169:BG169" si="445">J169+N169+R169+V169+Z169+AD169+AH169+AL169+AP169+AT169+AX169+BB169</f>
        <v>714</v>
      </c>
      <c r="BF169" s="41">
        <f t="shared" si="445"/>
        <v>1777.86</v>
      </c>
      <c r="BG169" s="34">
        <f t="shared" si="445"/>
        <v>1752.96</v>
      </c>
      <c r="BH169" s="35">
        <f t="shared" ref="BH169:BH174" si="446">H169+BF169-BG169</f>
        <v>52.29</v>
      </c>
    </row>
    <row r="170" ht="15.75" customHeight="1" hidden="1" spans="1:60" x14ac:dyDescent="0.25">
      <c r="A170" s="29">
        <v>23</v>
      </c>
      <c r="B170" s="14"/>
      <c r="C170" s="2" t="s">
        <v>93</v>
      </c>
      <c r="D170" s="14" t="s">
        <v>47</v>
      </c>
      <c r="E170" s="2" t="s">
        <v>48</v>
      </c>
      <c r="F170" s="13">
        <v>17.16</v>
      </c>
      <c r="G170" s="28"/>
      <c r="H170" s="73">
        <f>-2*17.16+6*17.16</f>
        <v>68.64</v>
      </c>
      <c r="I170" s="13"/>
      <c r="J170" s="15"/>
      <c r="K170" s="15"/>
      <c r="L170" s="28"/>
      <c r="Q170" s="13"/>
      <c r="R170" s="15"/>
      <c r="S170" s="15"/>
      <c r="T170" s="28"/>
      <c r="Y170" s="13">
        <v>70</v>
      </c>
      <c r="Z170" s="15"/>
      <c r="AA170" s="15"/>
      <c r="AB170" s="28"/>
      <c r="AC170" s="2">
        <v>70</v>
      </c>
      <c r="AD170" s="15">
        <f t="shared" si="441"/>
        <v>0</v>
      </c>
      <c r="AE170" s="34">
        <f>AD170*$F$10</f>
        <v>0</v>
      </c>
      <c r="AG170" s="13">
        <v>70</v>
      </c>
      <c r="AH170" s="15">
        <f t="shared" si="442"/>
        <v>0</v>
      </c>
      <c r="AI170" s="45">
        <f>AH170*$G$10</f>
        <v>0</v>
      </c>
      <c r="AJ170" s="28"/>
      <c r="AK170" s="13">
        <v>70</v>
      </c>
      <c r="AL170" s="15">
        <f t="shared" si="443"/>
        <v>0</v>
      </c>
      <c r="AM170" s="45">
        <f>AL170*$G$10</f>
        <v>0</v>
      </c>
      <c r="AN170" s="28"/>
      <c r="AO170" s="13">
        <v>70</v>
      </c>
      <c r="AP170" s="15">
        <f t="shared" si="444"/>
        <v>0</v>
      </c>
      <c r="AQ170" s="45">
        <f>AP170*$G$10</f>
        <v>0</v>
      </c>
      <c r="AR170" s="93"/>
      <c r="AS170" s="15"/>
      <c r="AT170" s="15"/>
      <c r="AU170" s="15"/>
      <c r="AV170" s="15"/>
      <c r="AW170" s="13"/>
      <c r="AX170" s="15"/>
      <c r="AY170" s="15"/>
      <c r="AZ170" s="28"/>
      <c r="BA170" s="15"/>
      <c r="BB170" s="15"/>
      <c r="BC170" s="15"/>
      <c r="BD170" s="15"/>
      <c r="BE170" s="40">
        <f t="shared" ref="BE170:BG170" si="447">J170+N170+R170+V170+Z170+AD170+AH170+AL170+AP170+AT170+AX170+BB170</f>
        <v>0</v>
      </c>
      <c r="BF170" s="41">
        <f t="shared" si="447"/>
        <v>0</v>
      </c>
      <c r="BG170" s="34">
        <f t="shared" si="447"/>
        <v>0</v>
      </c>
      <c r="BH170" s="35">
        <f t="shared" si="446"/>
        <v>68.64</v>
      </c>
    </row>
    <row r="171" ht="15.75" customHeight="1" hidden="1" spans="1:60" x14ac:dyDescent="0.25">
      <c r="A171" s="29">
        <v>23</v>
      </c>
      <c r="B171" s="14"/>
      <c r="C171" s="2" t="s">
        <v>125</v>
      </c>
      <c r="D171" s="14" t="s">
        <v>47</v>
      </c>
      <c r="E171" s="2" t="s">
        <v>49</v>
      </c>
      <c r="F171" s="41">
        <v>300</v>
      </c>
      <c r="G171" s="28"/>
      <c r="I171" s="13"/>
      <c r="J171" s="15"/>
      <c r="K171" s="15"/>
      <c r="L171" s="28"/>
      <c r="Q171" s="13"/>
      <c r="R171" s="15"/>
      <c r="S171" s="15"/>
      <c r="T171" s="28"/>
      <c r="Y171" s="13"/>
      <c r="Z171" s="15"/>
      <c r="AA171" s="15"/>
      <c r="AB171" s="28"/>
      <c r="AG171" s="13"/>
      <c r="AH171" s="15"/>
      <c r="AI171" s="34"/>
      <c r="AJ171" s="28"/>
      <c r="AK171" s="13"/>
      <c r="AL171" s="15"/>
      <c r="AM171" s="34"/>
      <c r="AN171" s="28"/>
      <c r="AO171" s="13"/>
      <c r="AP171" s="15"/>
      <c r="AQ171" s="34"/>
      <c r="AR171" s="28"/>
      <c r="AS171" s="15"/>
      <c r="AT171" s="15"/>
      <c r="AU171" s="15"/>
      <c r="AV171" s="15"/>
      <c r="AW171" s="13"/>
      <c r="AX171" s="15"/>
      <c r="AY171" s="15"/>
      <c r="AZ171" s="28"/>
      <c r="BA171" s="15"/>
      <c r="BB171" s="15"/>
      <c r="BC171" s="15"/>
      <c r="BD171" s="15"/>
      <c r="BE171" s="14"/>
      <c r="BF171" s="41">
        <f t="shared" ref="BF171:BG171" si="448">K171+O171+S171+W171+AA171+AE171+AI171+AM171+AQ171+AU171+AY171+BC171</f>
        <v>0</v>
      </c>
      <c r="BG171" s="34">
        <f t="shared" si="448"/>
        <v>0</v>
      </c>
      <c r="BH171" s="35">
        <f t="shared" si="446"/>
        <v>0</v>
      </c>
    </row>
    <row r="172" ht="15.75" customHeight="1" hidden="1" spans="1:60" x14ac:dyDescent="0.25">
      <c r="A172" s="29">
        <v>23</v>
      </c>
      <c r="B172" s="14"/>
      <c r="C172" s="15" t="s">
        <v>126</v>
      </c>
      <c r="D172" s="14" t="s">
        <v>50</v>
      </c>
      <c r="E172" s="2" t="s">
        <v>49</v>
      </c>
      <c r="F172" s="41">
        <v>1062.88</v>
      </c>
      <c r="G172" s="28"/>
      <c r="I172" s="13"/>
      <c r="J172" s="15"/>
      <c r="K172" s="15"/>
      <c r="L172" s="28"/>
      <c r="Q172" s="13"/>
      <c r="R172" s="15"/>
      <c r="S172" s="15"/>
      <c r="T172" s="28"/>
      <c r="Y172" s="13"/>
      <c r="Z172" s="15"/>
      <c r="AA172" s="15"/>
      <c r="AB172" s="28"/>
      <c r="AE172" s="34">
        <f>B169*$F$12</f>
        <v>4230.2624</v>
      </c>
      <c r="AF172" s="2">
        <v>4230.26</v>
      </c>
      <c r="AG172" s="13"/>
      <c r="AH172" s="15"/>
      <c r="AI172" s="15"/>
      <c r="AJ172" s="28"/>
      <c r="AK172" s="13"/>
      <c r="AL172" s="15"/>
      <c r="AM172" s="15"/>
      <c r="AN172" s="28"/>
      <c r="AO172" s="13"/>
      <c r="AP172" s="15"/>
      <c r="AQ172" s="15"/>
      <c r="AR172" s="28"/>
      <c r="AS172" s="15"/>
      <c r="AT172" s="15"/>
      <c r="AU172" s="15"/>
      <c r="AV172" s="15"/>
      <c r="AW172" s="13"/>
      <c r="AX172" s="15"/>
      <c r="AY172" s="15"/>
      <c r="AZ172" s="28"/>
      <c r="BA172" s="15"/>
      <c r="BB172" s="15"/>
      <c r="BC172" s="15"/>
      <c r="BD172" s="15"/>
      <c r="BE172" s="14"/>
      <c r="BF172" s="41">
        <f>B169*$F$12</f>
        <v>4230.2624</v>
      </c>
      <c r="BG172" s="34">
        <f t="shared" ref="BG172:BG174" si="449">L172+P172+T172+X172+AB172+AF172+AJ172+AN172+AR172+AV172+AZ172+BD172</f>
        <v>4230.26</v>
      </c>
      <c r="BH172" s="35">
        <f t="shared" si="446"/>
        <v>0.0024</v>
      </c>
    </row>
    <row r="173" ht="15.75" customHeight="1" hidden="1" spans="1:60" x14ac:dyDescent="0.25">
      <c r="A173" s="29">
        <v>23</v>
      </c>
      <c r="B173" s="14"/>
      <c r="D173" s="14" t="s">
        <v>51</v>
      </c>
      <c r="E173" s="2" t="s">
        <v>49</v>
      </c>
      <c r="F173" s="41">
        <v>0</v>
      </c>
      <c r="G173" s="28"/>
      <c r="I173" s="13"/>
      <c r="J173" s="15"/>
      <c r="K173" s="15"/>
      <c r="L173" s="28"/>
      <c r="Q173" s="13"/>
      <c r="R173" s="15"/>
      <c r="S173" s="15"/>
      <c r="T173" s="28"/>
      <c r="Y173" s="13"/>
      <c r="Z173" s="15"/>
      <c r="AA173" s="15"/>
      <c r="AB173" s="28"/>
      <c r="AG173" s="13"/>
      <c r="AH173" s="15"/>
      <c r="AI173" s="15"/>
      <c r="AJ173" s="28"/>
      <c r="AK173" s="13"/>
      <c r="AL173" s="15"/>
      <c r="AM173" s="15"/>
      <c r="AN173" s="28"/>
      <c r="AO173" s="13"/>
      <c r="AP173" s="15"/>
      <c r="AQ173" s="15"/>
      <c r="AR173" s="28"/>
      <c r="AS173" s="15"/>
      <c r="AT173" s="15"/>
      <c r="AU173" s="15"/>
      <c r="AV173" s="15"/>
      <c r="AW173" s="13"/>
      <c r="AX173" s="15"/>
      <c r="AY173" s="15"/>
      <c r="AZ173" s="28"/>
      <c r="BA173" s="15"/>
      <c r="BB173" s="15"/>
      <c r="BC173" s="15"/>
      <c r="BD173" s="15"/>
      <c r="BE173" s="14"/>
      <c r="BF173" s="41">
        <f>B169*$F$13</f>
        <v>0</v>
      </c>
      <c r="BG173" s="34">
        <f t="shared" si="449"/>
        <v>0</v>
      </c>
      <c r="BH173" s="35">
        <f t="shared" si="446"/>
        <v>0</v>
      </c>
    </row>
    <row r="174" ht="15.75" customHeight="1" hidden="1" spans="1:60" x14ac:dyDescent="0.25">
      <c r="A174" s="29">
        <v>23</v>
      </c>
      <c r="B174" s="14"/>
      <c r="D174" s="14" t="s">
        <v>52</v>
      </c>
      <c r="E174" s="2" t="s">
        <v>39</v>
      </c>
      <c r="F174" s="41">
        <v>350</v>
      </c>
      <c r="G174" s="28"/>
      <c r="I174" s="13"/>
      <c r="J174" s="15"/>
      <c r="K174" s="15"/>
      <c r="L174" s="28"/>
      <c r="Q174" s="13"/>
      <c r="R174" s="15"/>
      <c r="S174" s="15"/>
      <c r="T174" s="28"/>
      <c r="Y174" s="13"/>
      <c r="Z174" s="15"/>
      <c r="AA174" s="34">
        <f>$F$14</f>
        <v>350</v>
      </c>
      <c r="AB174" s="35">
        <v>350</v>
      </c>
      <c r="AG174" s="13"/>
      <c r="AH174" s="15"/>
      <c r="AI174" s="15"/>
      <c r="AJ174" s="28"/>
      <c r="AK174" s="13"/>
      <c r="AL174" s="15"/>
      <c r="AM174" s="15"/>
      <c r="AN174" s="28"/>
      <c r="AO174" s="13"/>
      <c r="AP174" s="15"/>
      <c r="AQ174" s="15"/>
      <c r="AR174" s="28"/>
      <c r="AS174" s="15"/>
      <c r="AT174" s="15"/>
      <c r="AU174" s="15"/>
      <c r="AV174" s="15"/>
      <c r="AW174" s="13"/>
      <c r="AX174" s="15"/>
      <c r="AY174" s="15"/>
      <c r="AZ174" s="28"/>
      <c r="BA174" s="15"/>
      <c r="BB174" s="15"/>
      <c r="BC174" s="15"/>
      <c r="BD174" s="15"/>
      <c r="BE174" s="14"/>
      <c r="BF174" s="41">
        <f>$F$14</f>
        <v>350</v>
      </c>
      <c r="BG174" s="34">
        <f t="shared" si="449"/>
        <v>350</v>
      </c>
      <c r="BH174" s="35">
        <f t="shared" si="446"/>
        <v>0</v>
      </c>
    </row>
    <row r="175" ht="15.75" customHeight="1" hidden="1" spans="1:62" x14ac:dyDescent="0.25">
      <c r="A175" s="50">
        <v>23</v>
      </c>
      <c r="B175" s="21"/>
      <c r="C175" s="22" t="s">
        <v>53</v>
      </c>
      <c r="D175" s="21"/>
      <c r="E175" s="22"/>
      <c r="F175" s="20"/>
      <c r="G175" s="23"/>
      <c r="H175" s="51">
        <f>SUM(H168:H174)</f>
        <v>96.03</v>
      </c>
      <c r="I175" s="52"/>
      <c r="J175" s="53"/>
      <c r="K175" s="51">
        <f t="shared" ref="K175:L175" si="450">SUM(K169:K174)</f>
        <v>0</v>
      </c>
      <c r="L175" s="68">
        <f t="shared" si="450"/>
        <v>0</v>
      </c>
      <c r="M175" s="53"/>
      <c r="N175" s="53"/>
      <c r="O175" s="51">
        <f t="shared" ref="O175:P175" si="451">SUM(O169:O174)</f>
        <v>0</v>
      </c>
      <c r="P175" s="51">
        <f t="shared" si="451"/>
        <v>0</v>
      </c>
      <c r="Q175" s="52"/>
      <c r="R175" s="53"/>
      <c r="S175" s="51">
        <f t="shared" ref="S175:T175" si="452">SUM(S169:S174)</f>
        <v>0</v>
      </c>
      <c r="T175" s="68">
        <f t="shared" si="452"/>
        <v>0</v>
      </c>
      <c r="U175" s="53"/>
      <c r="V175" s="53"/>
      <c r="W175" s="51">
        <f t="shared" ref="W175:X175" si="453">SUM(W169:W174)</f>
        <v>27.39</v>
      </c>
      <c r="X175" s="51">
        <f t="shared" si="453"/>
        <v>54.78</v>
      </c>
      <c r="Y175" s="52"/>
      <c r="Z175" s="53"/>
      <c r="AA175" s="51">
        <f t="shared" ref="AA175:AB175" si="454">SUM(AA169:AA174)</f>
        <v>467.03</v>
      </c>
      <c r="AB175" s="68">
        <f t="shared" si="454"/>
        <v>467.03</v>
      </c>
      <c r="AC175" s="53"/>
      <c r="AD175" s="53"/>
      <c r="AE175" s="51">
        <f t="shared" ref="AE175:AF175" si="455">SUM(AE169:AE174)</f>
        <v>4631.1524</v>
      </c>
      <c r="AF175" s="51">
        <f t="shared" si="455"/>
        <v>4631.15</v>
      </c>
      <c r="AG175" s="52"/>
      <c r="AH175" s="53"/>
      <c r="AI175" s="51">
        <f t="shared" ref="AI175:AJ175" si="456">SUM(AI169:AI174)</f>
        <v>313.74</v>
      </c>
      <c r="AJ175" s="68">
        <f t="shared" si="456"/>
        <v>0</v>
      </c>
      <c r="AK175" s="52"/>
      <c r="AL175" s="53"/>
      <c r="AM175" s="51">
        <f t="shared" ref="AM175:AN175" si="457">SUM(AM169:AM174)</f>
        <v>602.58</v>
      </c>
      <c r="AN175" s="68">
        <f t="shared" si="457"/>
        <v>313.74</v>
      </c>
      <c r="AO175" s="52"/>
      <c r="AP175" s="53"/>
      <c r="AQ175" s="51">
        <f t="shared" ref="AQ175:AR175" si="458">SUM(AQ169:AQ174)</f>
        <v>263.94</v>
      </c>
      <c r="AR175" s="68">
        <f t="shared" si="458"/>
        <v>866.52</v>
      </c>
      <c r="AS175" s="53"/>
      <c r="AT175" s="53"/>
      <c r="AU175" s="51">
        <f t="shared" ref="AU175:AV175" si="459">SUM(AU169:AU174)</f>
        <v>52.29</v>
      </c>
      <c r="AV175" s="51">
        <f t="shared" si="459"/>
        <v>0</v>
      </c>
      <c r="AW175" s="52"/>
      <c r="AX175" s="53"/>
      <c r="AY175" s="51">
        <f t="shared" ref="AY175:AZ175" si="460">SUM(AY169:AY174)</f>
        <v>0</v>
      </c>
      <c r="AZ175" s="68">
        <f t="shared" si="460"/>
        <v>0</v>
      </c>
      <c r="BA175" s="53"/>
      <c r="BB175" s="53"/>
      <c r="BC175" s="51">
        <f t="shared" ref="BC175:BD175" si="461">SUM(BC169:BC174)</f>
        <v>0</v>
      </c>
      <c r="BD175" s="51">
        <f t="shared" si="461"/>
        <v>0</v>
      </c>
      <c r="BE175" s="69"/>
      <c r="BF175" s="70">
        <f t="shared" ref="BF175:BH175" si="462">SUM(BF168:BF174)</f>
        <v>6358.1224</v>
      </c>
      <c r="BG175" s="71">
        <f t="shared" si="462"/>
        <v>6333.22</v>
      </c>
      <c r="BH175" s="72">
        <f t="shared" si="462"/>
        <v>120.9324</v>
      </c>
      <c r="BI175" s="34">
        <f>H175+BF175-BG175</f>
        <v>120.9324</v>
      </c>
      <c r="BJ175" s="34">
        <f>BH175-BI175</f>
        <v>0</v>
      </c>
    </row>
    <row r="176" ht="15.75" customHeight="1" hidden="1" spans="1:60" x14ac:dyDescent="0.25">
      <c r="A176" s="29">
        <v>24</v>
      </c>
      <c r="B176" s="14"/>
      <c r="D176" s="14" t="s">
        <v>42</v>
      </c>
      <c r="F176" s="13"/>
      <c r="G176" s="28"/>
      <c r="I176" s="13"/>
      <c r="J176" s="15"/>
      <c r="K176" s="15"/>
      <c r="L176" s="28"/>
      <c r="Q176" s="13"/>
      <c r="R176" s="15"/>
      <c r="S176" s="15"/>
      <c r="T176" s="28"/>
      <c r="Y176" s="13"/>
      <c r="Z176" s="15"/>
      <c r="AA176" s="15"/>
      <c r="AB176" s="28"/>
      <c r="AG176" s="13"/>
      <c r="AH176" s="15"/>
      <c r="AI176" s="15"/>
      <c r="AJ176" s="28"/>
      <c r="AK176" s="13"/>
      <c r="AL176" s="15"/>
      <c r="AM176" s="15"/>
      <c r="AN176" s="28"/>
      <c r="AO176" s="13"/>
      <c r="AP176" s="15"/>
      <c r="AQ176" s="15"/>
      <c r="AR176" s="28"/>
      <c r="AW176" s="13"/>
      <c r="AX176" s="15"/>
      <c r="AY176" s="15"/>
      <c r="AZ176" s="28"/>
      <c r="BE176" s="14"/>
      <c r="BF176" s="13"/>
      <c r="BG176" s="15"/>
      <c r="BH176" s="28"/>
    </row>
    <row r="177" ht="15.75" customHeight="1" hidden="1" spans="1:60" x14ac:dyDescent="0.25">
      <c r="A177" s="2">
        <v>24</v>
      </c>
      <c r="B177" s="14">
        <v>4.01</v>
      </c>
      <c r="C177" s="2" t="s">
        <v>127</v>
      </c>
      <c r="D177" s="14" t="s">
        <v>44</v>
      </c>
      <c r="E177" s="2" t="s">
        <v>45</v>
      </c>
      <c r="F177" s="13">
        <v>2.49</v>
      </c>
      <c r="G177" s="28"/>
      <c r="I177" s="13">
        <v>39</v>
      </c>
      <c r="J177" s="15">
        <v>0</v>
      </c>
      <c r="K177" s="34">
        <f>J177*$F$8</f>
        <v>0</v>
      </c>
      <c r="L177" s="28"/>
      <c r="M177" s="2">
        <v>39</v>
      </c>
      <c r="N177" s="15">
        <f>M177-I177</f>
        <v>0</v>
      </c>
      <c r="O177" s="34">
        <f>N177*$F$8</f>
        <v>0</v>
      </c>
      <c r="Q177" s="13">
        <v>39</v>
      </c>
      <c r="R177" s="15">
        <f>Q177-M177</f>
        <v>0</v>
      </c>
      <c r="S177" s="34">
        <f>R177*$F$8</f>
        <v>0</v>
      </c>
      <c r="T177" s="28"/>
      <c r="U177" s="2">
        <v>39</v>
      </c>
      <c r="V177" s="15">
        <f>U177-Q177</f>
        <v>0</v>
      </c>
      <c r="W177" s="34">
        <f>V177*$F$8</f>
        <v>0</v>
      </c>
      <c r="Y177" s="13">
        <v>43</v>
      </c>
      <c r="Z177" s="15">
        <f>Y177-U177</f>
        <v>4</v>
      </c>
      <c r="AA177" s="34">
        <f>Z177*$F$8</f>
        <v>9.96</v>
      </c>
      <c r="AB177" s="28">
        <v>9.96</v>
      </c>
      <c r="AC177" s="2">
        <v>50</v>
      </c>
      <c r="AD177" s="15">
        <f t="shared" ref="AD177:AD178" si="463">AC177-Y177</f>
        <v>7</v>
      </c>
      <c r="AE177" s="34">
        <f>AD177*$F$8</f>
        <v>17.43</v>
      </c>
      <c r="AG177" s="13">
        <v>53</v>
      </c>
      <c r="AH177" s="15">
        <f t="shared" ref="AH177:AH178" si="464">AG177-AC177</f>
        <v>3</v>
      </c>
      <c r="AI177" s="34">
        <f>AH177*$F$8</f>
        <v>7.47</v>
      </c>
      <c r="AJ177" s="32">
        <v>17.43</v>
      </c>
      <c r="AK177" s="13">
        <v>55</v>
      </c>
      <c r="AL177" s="15">
        <f t="shared" ref="AL177:AL178" si="465">AK177-AG177</f>
        <v>2</v>
      </c>
      <c r="AM177" s="34">
        <f>AL177*$F$8</f>
        <v>4.98</v>
      </c>
      <c r="AN177" s="38">
        <v>10</v>
      </c>
      <c r="AO177" s="13">
        <v>56</v>
      </c>
      <c r="AP177" s="15">
        <f t="shared" ref="AP177:AP178" si="466">AO177-AK177</f>
        <v>1</v>
      </c>
      <c r="AQ177" s="34">
        <f>AP177*$F$8</f>
        <v>2.49</v>
      </c>
      <c r="AR177" s="32">
        <v>4.94</v>
      </c>
      <c r="AS177" s="15">
        <v>56</v>
      </c>
      <c r="AT177" s="37">
        <f>AS177-AO177</f>
        <v>0</v>
      </c>
      <c r="AU177" s="34">
        <f>AT177*$F$8</f>
        <v>0</v>
      </c>
      <c r="AV177" s="15"/>
      <c r="AW177" s="13">
        <v>56</v>
      </c>
      <c r="AX177" s="37">
        <f>AW177-AS177</f>
        <v>0</v>
      </c>
      <c r="AY177" s="34">
        <f>AX177*$F$8</f>
        <v>0</v>
      </c>
      <c r="AZ177" s="28"/>
      <c r="BA177" s="13">
        <v>56</v>
      </c>
      <c r="BB177" s="37">
        <f>BA177-AW177</f>
        <v>0</v>
      </c>
      <c r="BC177" s="34">
        <f>BB177*$F$8</f>
        <v>0</v>
      </c>
      <c r="BD177" s="15"/>
      <c r="BE177" s="40">
        <f t="shared" ref="BE177:BG177" si="467">J177+N177+R177+V177+Z177+AD177+AH177+AL177+AP177+AT177+AX177+BB177</f>
        <v>17</v>
      </c>
      <c r="BF177" s="41">
        <f t="shared" si="467"/>
        <v>42.33</v>
      </c>
      <c r="BG177" s="34">
        <f t="shared" si="467"/>
        <v>42.33</v>
      </c>
      <c r="BH177" s="35">
        <f t="shared" ref="BH177:BH182" si="468">H177+BF177-BG177</f>
        <v>0</v>
      </c>
    </row>
    <row r="178" ht="15.75" customHeight="1" hidden="1" spans="1:60" x14ac:dyDescent="0.25">
      <c r="A178" s="29">
        <v>24</v>
      </c>
      <c r="B178" s="14"/>
      <c r="C178" s="2" t="s">
        <v>128</v>
      </c>
      <c r="D178" s="14" t="s">
        <v>47</v>
      </c>
      <c r="E178" s="2" t="s">
        <v>48</v>
      </c>
      <c r="F178" s="13">
        <v>17.16</v>
      </c>
      <c r="G178" s="28"/>
      <c r="H178" s="73">
        <f>-(1*17.16)</f>
        <v>-17.16</v>
      </c>
      <c r="I178" s="13"/>
      <c r="J178" s="15"/>
      <c r="K178" s="15"/>
      <c r="L178" s="28"/>
      <c r="Q178" s="13"/>
      <c r="R178" s="15"/>
      <c r="S178" s="15"/>
      <c r="T178" s="28"/>
      <c r="Y178" s="13">
        <v>56</v>
      </c>
      <c r="Z178" s="15"/>
      <c r="AA178" s="15"/>
      <c r="AB178" s="28"/>
      <c r="AC178" s="2">
        <v>66</v>
      </c>
      <c r="AD178" s="15">
        <f t="shared" si="463"/>
        <v>10</v>
      </c>
      <c r="AE178" s="34">
        <f>AD178*$F$10</f>
        <v>171.6</v>
      </c>
      <c r="AF178" s="34"/>
      <c r="AG178" s="13">
        <v>66</v>
      </c>
      <c r="AH178" s="15">
        <f t="shared" si="464"/>
        <v>0</v>
      </c>
      <c r="AI178" s="45">
        <f>AH178*$G$10</f>
        <v>0</v>
      </c>
      <c r="AJ178" s="38">
        <v>171.6</v>
      </c>
      <c r="AK178" s="13">
        <v>66</v>
      </c>
      <c r="AL178" s="15">
        <f t="shared" si="465"/>
        <v>0</v>
      </c>
      <c r="AM178" s="45">
        <f>AL178*$G$10</f>
        <v>0</v>
      </c>
      <c r="AN178" s="28"/>
      <c r="AO178" s="13">
        <v>66</v>
      </c>
      <c r="AP178" s="15">
        <f t="shared" si="466"/>
        <v>0</v>
      </c>
      <c r="AQ178" s="45">
        <f>AP178*$G$10</f>
        <v>0</v>
      </c>
      <c r="AR178" s="28"/>
      <c r="AS178" s="15"/>
      <c r="AT178" s="15"/>
      <c r="AU178" s="15"/>
      <c r="AV178" s="15"/>
      <c r="AW178" s="13"/>
      <c r="AX178" s="15"/>
      <c r="AY178" s="15"/>
      <c r="AZ178" s="28"/>
      <c r="BA178" s="15"/>
      <c r="BB178" s="15"/>
      <c r="BC178" s="15"/>
      <c r="BD178" s="15"/>
      <c r="BE178" s="40">
        <f t="shared" ref="BE178:BG178" si="469">J178+N178+R178+V178+Z178+AD178+AH178+AL178+AP178+AT178+AX178+BB178</f>
        <v>10</v>
      </c>
      <c r="BF178" s="41">
        <f t="shared" si="469"/>
        <v>171.6</v>
      </c>
      <c r="BG178" s="34">
        <f t="shared" si="469"/>
        <v>171.6</v>
      </c>
      <c r="BH178" s="35">
        <f t="shared" si="468"/>
        <v>-17.16</v>
      </c>
    </row>
    <row r="179" ht="15.75" customHeight="1" hidden="1" spans="1:60" x14ac:dyDescent="0.25">
      <c r="A179" s="29">
        <v>24</v>
      </c>
      <c r="B179" s="14"/>
      <c r="C179" s="2" t="s">
        <v>129</v>
      </c>
      <c r="D179" s="14" t="s">
        <v>47</v>
      </c>
      <c r="E179" s="2" t="s">
        <v>49</v>
      </c>
      <c r="F179" s="41">
        <v>300</v>
      </c>
      <c r="G179" s="28"/>
      <c r="I179" s="13"/>
      <c r="J179" s="15"/>
      <c r="K179" s="15"/>
      <c r="L179" s="28"/>
      <c r="Q179" s="13"/>
      <c r="R179" s="15"/>
      <c r="S179" s="15"/>
      <c r="T179" s="28"/>
      <c r="Y179" s="13"/>
      <c r="Z179" s="15"/>
      <c r="AA179" s="15"/>
      <c r="AB179" s="28"/>
      <c r="AG179" s="13"/>
      <c r="AH179" s="15"/>
      <c r="AI179" s="34"/>
      <c r="AJ179" s="28"/>
      <c r="AK179" s="13"/>
      <c r="AL179" s="15"/>
      <c r="AM179" s="34"/>
      <c r="AN179" s="28"/>
      <c r="AO179" s="13"/>
      <c r="AP179" s="15"/>
      <c r="AQ179" s="34"/>
      <c r="AR179" s="28"/>
      <c r="AS179" s="15"/>
      <c r="AT179" s="15"/>
      <c r="AU179" s="15"/>
      <c r="AV179" s="15"/>
      <c r="AW179" s="13"/>
      <c r="AX179" s="15"/>
      <c r="AY179" s="15"/>
      <c r="AZ179" s="28"/>
      <c r="BA179" s="15"/>
      <c r="BB179" s="15"/>
      <c r="BC179" s="15"/>
      <c r="BD179" s="15"/>
      <c r="BE179" s="14"/>
      <c r="BF179" s="41">
        <f t="shared" ref="BF179:BG179" si="470">K179+O179+S179+W179+AA179+AE179+AI179+AM179+AQ179+AU179+AY179+BC179</f>
        <v>0</v>
      </c>
      <c r="BG179" s="34">
        <f t="shared" si="470"/>
        <v>0</v>
      </c>
      <c r="BH179" s="35">
        <f t="shared" si="468"/>
        <v>0</v>
      </c>
    </row>
    <row r="180" ht="15.75" customHeight="1" hidden="1" spans="1:60" x14ac:dyDescent="0.25">
      <c r="A180" s="29">
        <v>24</v>
      </c>
      <c r="B180" s="14"/>
      <c r="C180" s="2" t="s">
        <v>130</v>
      </c>
      <c r="D180" s="14" t="s">
        <v>50</v>
      </c>
      <c r="E180" s="2" t="s">
        <v>49</v>
      </c>
      <c r="F180" s="41">
        <v>1062.88</v>
      </c>
      <c r="G180" s="28"/>
      <c r="I180" s="13"/>
      <c r="J180" s="15"/>
      <c r="K180" s="15"/>
      <c r="L180" s="28"/>
      <c r="Q180" s="13"/>
      <c r="R180" s="15"/>
      <c r="S180" s="15"/>
      <c r="T180" s="28"/>
      <c r="Y180" s="13"/>
      <c r="Z180" s="15"/>
      <c r="AA180" s="15"/>
      <c r="AB180" s="28"/>
      <c r="AE180" s="34">
        <f>B177*$F$12</f>
        <v>4262.1488</v>
      </c>
      <c r="AF180" s="2">
        <v>4262.14</v>
      </c>
      <c r="AG180" s="13"/>
      <c r="AH180" s="15"/>
      <c r="AI180" s="15"/>
      <c r="AJ180" s="28"/>
      <c r="AK180" s="13"/>
      <c r="AL180" s="15"/>
      <c r="AM180" s="15"/>
      <c r="AN180" s="28"/>
      <c r="AO180" s="13"/>
      <c r="AP180" s="15"/>
      <c r="AQ180" s="15"/>
      <c r="AR180" s="28"/>
      <c r="AS180" s="15"/>
      <c r="AT180" s="15"/>
      <c r="AU180" s="15"/>
      <c r="AV180" s="15"/>
      <c r="AW180" s="13"/>
      <c r="AX180" s="15"/>
      <c r="AY180" s="15"/>
      <c r="AZ180" s="28"/>
      <c r="BA180" s="15"/>
      <c r="BB180" s="15"/>
      <c r="BC180" s="15"/>
      <c r="BD180" s="15"/>
      <c r="BE180" s="14"/>
      <c r="BF180" s="41">
        <f>B177*$F$12</f>
        <v>4262.1488</v>
      </c>
      <c r="BG180" s="34">
        <f t="shared" ref="BG180:BG182" si="471">L180+P180+T180+X180+AB180+AF180+AJ180+AN180+AR180+AV180+AZ180+BD180</f>
        <v>4262.14</v>
      </c>
      <c r="BH180" s="35">
        <f t="shared" si="468"/>
        <v>0.0088</v>
      </c>
    </row>
    <row r="181" ht="15.75" customHeight="1" hidden="1" spans="1:60" x14ac:dyDescent="0.25">
      <c r="A181" s="29">
        <v>24</v>
      </c>
      <c r="B181" s="14"/>
      <c r="D181" s="14" t="s">
        <v>51</v>
      </c>
      <c r="E181" s="2" t="s">
        <v>49</v>
      </c>
      <c r="F181" s="41">
        <v>0</v>
      </c>
      <c r="G181" s="28"/>
      <c r="I181" s="13"/>
      <c r="J181" s="15"/>
      <c r="K181" s="15"/>
      <c r="L181" s="28"/>
      <c r="Q181" s="13"/>
      <c r="R181" s="15"/>
      <c r="S181" s="15"/>
      <c r="T181" s="28"/>
      <c r="Y181" s="13"/>
      <c r="Z181" s="15"/>
      <c r="AA181" s="15"/>
      <c r="AB181" s="28"/>
      <c r="AG181" s="13"/>
      <c r="AH181" s="15"/>
      <c r="AI181" s="15"/>
      <c r="AJ181" s="28"/>
      <c r="AK181" s="13"/>
      <c r="AL181" s="15"/>
      <c r="AM181" s="15"/>
      <c r="AN181" s="28"/>
      <c r="AO181" s="13"/>
      <c r="AP181" s="15"/>
      <c r="AQ181" s="15"/>
      <c r="AR181" s="28"/>
      <c r="AS181" s="15"/>
      <c r="AT181" s="15"/>
      <c r="AU181" s="15"/>
      <c r="AV181" s="15"/>
      <c r="AW181" s="13"/>
      <c r="AX181" s="15"/>
      <c r="AY181" s="15"/>
      <c r="AZ181" s="28"/>
      <c r="BA181" s="15"/>
      <c r="BB181" s="15"/>
      <c r="BC181" s="15"/>
      <c r="BD181" s="15"/>
      <c r="BE181" s="14"/>
      <c r="BF181" s="41">
        <f>B177*$F$13</f>
        <v>0</v>
      </c>
      <c r="BG181" s="34">
        <f t="shared" si="471"/>
        <v>0</v>
      </c>
      <c r="BH181" s="35">
        <f t="shared" si="468"/>
        <v>0</v>
      </c>
    </row>
    <row r="182" ht="15.75" customHeight="1" hidden="1" spans="1:60" x14ac:dyDescent="0.25">
      <c r="A182" s="29">
        <v>24</v>
      </c>
      <c r="B182" s="14"/>
      <c r="D182" s="14" t="s">
        <v>52</v>
      </c>
      <c r="E182" s="2" t="s">
        <v>39</v>
      </c>
      <c r="F182" s="41">
        <v>350</v>
      </c>
      <c r="G182" s="28"/>
      <c r="I182" s="13"/>
      <c r="J182" s="15"/>
      <c r="K182" s="15"/>
      <c r="L182" s="28"/>
      <c r="Q182" s="13"/>
      <c r="R182" s="15"/>
      <c r="S182" s="15"/>
      <c r="T182" s="28"/>
      <c r="Y182" s="13"/>
      <c r="Z182" s="15"/>
      <c r="AA182" s="34">
        <f>$F$14</f>
        <v>350</v>
      </c>
      <c r="AB182" s="35">
        <v>350</v>
      </c>
      <c r="AG182" s="13"/>
      <c r="AH182" s="15"/>
      <c r="AI182" s="15"/>
      <c r="AJ182" s="28"/>
      <c r="AK182" s="13"/>
      <c r="AL182" s="15"/>
      <c r="AM182" s="15"/>
      <c r="AN182" s="28"/>
      <c r="AO182" s="13"/>
      <c r="AP182" s="15"/>
      <c r="AQ182" s="15"/>
      <c r="AR182" s="28"/>
      <c r="AS182" s="15"/>
      <c r="AT182" s="15"/>
      <c r="AU182" s="15"/>
      <c r="AV182" s="15"/>
      <c r="AW182" s="13"/>
      <c r="AX182" s="15"/>
      <c r="AY182" s="15"/>
      <c r="AZ182" s="28"/>
      <c r="BA182" s="15"/>
      <c r="BB182" s="15"/>
      <c r="BC182" s="15"/>
      <c r="BD182" s="15"/>
      <c r="BE182" s="14"/>
      <c r="BF182" s="41">
        <f>$F$14</f>
        <v>350</v>
      </c>
      <c r="BG182" s="34">
        <f t="shared" si="471"/>
        <v>350</v>
      </c>
      <c r="BH182" s="35">
        <f t="shared" si="468"/>
        <v>0</v>
      </c>
    </row>
    <row r="183" ht="15.75" customHeight="1" hidden="1" spans="1:62" x14ac:dyDescent="0.25">
      <c r="A183" s="50">
        <v>24</v>
      </c>
      <c r="B183" s="21"/>
      <c r="C183" s="22" t="s">
        <v>53</v>
      </c>
      <c r="D183" s="21"/>
      <c r="E183" s="22"/>
      <c r="F183" s="20"/>
      <c r="G183" s="23"/>
      <c r="H183" s="51">
        <f>SUM(H176:H182)</f>
        <v>-17.16</v>
      </c>
      <c r="I183" s="52"/>
      <c r="J183" s="53"/>
      <c r="K183" s="51">
        <f t="shared" ref="K183:L183" si="472">SUM(K177:K182)</f>
        <v>0</v>
      </c>
      <c r="L183" s="68">
        <f t="shared" si="472"/>
        <v>0</v>
      </c>
      <c r="M183" s="53"/>
      <c r="N183" s="53"/>
      <c r="O183" s="51">
        <f t="shared" ref="O183:P183" si="473">SUM(O177:O182)</f>
        <v>0</v>
      </c>
      <c r="P183" s="51">
        <f t="shared" si="473"/>
        <v>0</v>
      </c>
      <c r="Q183" s="52"/>
      <c r="R183" s="53"/>
      <c r="S183" s="51">
        <f t="shared" ref="S183:T183" si="474">SUM(S177:S182)</f>
        <v>0</v>
      </c>
      <c r="T183" s="68">
        <f t="shared" si="474"/>
        <v>0</v>
      </c>
      <c r="U183" s="53"/>
      <c r="V183" s="53"/>
      <c r="W183" s="51">
        <f t="shared" ref="W183:X183" si="475">SUM(W177:W182)</f>
        <v>0</v>
      </c>
      <c r="X183" s="51">
        <f t="shared" si="475"/>
        <v>0</v>
      </c>
      <c r="Y183" s="52"/>
      <c r="Z183" s="53"/>
      <c r="AA183" s="51">
        <f t="shared" ref="AA183:AB183" si="476">SUM(AA177:AA182)</f>
        <v>359.96</v>
      </c>
      <c r="AB183" s="68">
        <f t="shared" si="476"/>
        <v>359.96</v>
      </c>
      <c r="AC183" s="53"/>
      <c r="AD183" s="53"/>
      <c r="AE183" s="51">
        <f t="shared" ref="AE183:AF183" si="477">SUM(AE177:AE182)</f>
        <v>4451.1788</v>
      </c>
      <c r="AF183" s="51">
        <f t="shared" si="477"/>
        <v>4262.14</v>
      </c>
      <c r="AG183" s="52"/>
      <c r="AH183" s="53"/>
      <c r="AI183" s="51">
        <f t="shared" ref="AI183:AJ183" si="478">SUM(AI177:AI182)</f>
        <v>7.47</v>
      </c>
      <c r="AJ183" s="68">
        <f t="shared" si="478"/>
        <v>189.03</v>
      </c>
      <c r="AK183" s="52"/>
      <c r="AL183" s="53"/>
      <c r="AM183" s="51">
        <f t="shared" ref="AM183:AN183" si="479">SUM(AM177:AM182)</f>
        <v>4.98</v>
      </c>
      <c r="AN183" s="68">
        <f t="shared" si="479"/>
        <v>10</v>
      </c>
      <c r="AO183" s="52"/>
      <c r="AP183" s="53"/>
      <c r="AQ183" s="51">
        <f t="shared" ref="AQ183:AR183" si="480">SUM(AQ177:AQ182)</f>
        <v>2.49</v>
      </c>
      <c r="AR183" s="68">
        <f t="shared" si="480"/>
        <v>4.94</v>
      </c>
      <c r="AS183" s="53"/>
      <c r="AT183" s="53"/>
      <c r="AU183" s="51">
        <f t="shared" ref="AU183:AV183" si="481">SUM(AU177:AU182)</f>
        <v>0</v>
      </c>
      <c r="AV183" s="51">
        <f t="shared" si="481"/>
        <v>0</v>
      </c>
      <c r="AW183" s="52"/>
      <c r="AX183" s="53"/>
      <c r="AY183" s="51">
        <f t="shared" ref="AY183:AZ183" si="482">SUM(AY177:AY182)</f>
        <v>0</v>
      </c>
      <c r="AZ183" s="68">
        <f t="shared" si="482"/>
        <v>0</v>
      </c>
      <c r="BA183" s="53"/>
      <c r="BB183" s="53"/>
      <c r="BC183" s="51">
        <f t="shared" ref="BC183:BD183" si="483">SUM(BC177:BC182)</f>
        <v>0</v>
      </c>
      <c r="BD183" s="51">
        <f t="shared" si="483"/>
        <v>0</v>
      </c>
      <c r="BE183" s="69"/>
      <c r="BF183" s="70">
        <f t="shared" ref="BF183:BH183" si="484">SUM(BF176:BF182)</f>
        <v>4826.0788</v>
      </c>
      <c r="BG183" s="71">
        <f t="shared" si="484"/>
        <v>4826.07</v>
      </c>
      <c r="BH183" s="72">
        <f t="shared" si="484"/>
        <v>-17.1512</v>
      </c>
      <c r="BI183" s="34">
        <f>H183+BF183-BG183</f>
        <v>-17.1512</v>
      </c>
      <c r="BJ183" s="34">
        <f>BH183-BI183</f>
        <v>0</v>
      </c>
    </row>
    <row r="184" ht="15.75" customHeight="1" hidden="1" spans="1:60" x14ac:dyDescent="0.25">
      <c r="A184" s="29">
        <v>25</v>
      </c>
      <c r="B184" s="14"/>
      <c r="D184" s="14" t="s">
        <v>42</v>
      </c>
      <c r="E184" s="2" t="s">
        <v>39</v>
      </c>
      <c r="F184" s="41">
        <v>5000</v>
      </c>
      <c r="G184" s="28"/>
      <c r="I184" s="13"/>
      <c r="J184" s="15"/>
      <c r="K184" s="34">
        <v>5000</v>
      </c>
      <c r="L184" s="35">
        <v>5000</v>
      </c>
      <c r="Q184" s="13"/>
      <c r="R184" s="15"/>
      <c r="S184" s="15"/>
      <c r="T184" s="28"/>
      <c r="Y184" s="13"/>
      <c r="Z184" s="15"/>
      <c r="AA184" s="15"/>
      <c r="AB184" s="28"/>
      <c r="AG184" s="13"/>
      <c r="AH184" s="15"/>
      <c r="AI184" s="15"/>
      <c r="AJ184" s="28"/>
      <c r="AK184" s="13"/>
      <c r="AL184" s="15"/>
      <c r="AM184" s="15"/>
      <c r="AN184" s="28"/>
      <c r="AO184" s="13"/>
      <c r="AP184" s="15"/>
      <c r="AQ184" s="15"/>
      <c r="AR184" s="28"/>
      <c r="AW184" s="13"/>
      <c r="AX184" s="15"/>
      <c r="AY184" s="15"/>
      <c r="AZ184" s="28"/>
      <c r="BE184" s="14"/>
      <c r="BF184" s="41">
        <f t="shared" ref="BF184:BG184" si="485">K184+O184+S184+W184+AA184+AE184+AI184+AM184+AQ184+AU184+AY184+BC184</f>
        <v>5000</v>
      </c>
      <c r="BG184" s="34">
        <f t="shared" si="485"/>
        <v>5000</v>
      </c>
      <c r="BH184" s="35">
        <f t="shared" ref="BH184:BH190" si="486">H184+BF184-BG184</f>
        <v>0</v>
      </c>
    </row>
    <row r="185" ht="15.75" customHeight="1" hidden="1" spans="1:60" x14ac:dyDescent="0.25">
      <c r="A185" s="2">
        <v>25</v>
      </c>
      <c r="B185" s="30">
        <v>4</v>
      </c>
      <c r="C185" s="2" t="s">
        <v>131</v>
      </c>
      <c r="D185" s="14" t="s">
        <v>44</v>
      </c>
      <c r="E185" s="2" t="s">
        <v>45</v>
      </c>
      <c r="F185" s="13">
        <v>2.49</v>
      </c>
      <c r="G185" s="28"/>
      <c r="H185" s="74"/>
      <c r="I185" s="13"/>
      <c r="J185" s="15"/>
      <c r="K185" s="15"/>
      <c r="L185" s="28"/>
      <c r="Q185" s="13"/>
      <c r="R185" s="15"/>
      <c r="S185" s="15"/>
      <c r="T185" s="28"/>
      <c r="Y185" s="13"/>
      <c r="Z185" s="15">
        <f>Y185-U185</f>
        <v>0</v>
      </c>
      <c r="AA185" s="34">
        <f>Z185*$F$8</f>
        <v>0</v>
      </c>
      <c r="AB185" s="28"/>
      <c r="AC185" s="15">
        <v>0</v>
      </c>
      <c r="AD185" s="15">
        <f>AC185-Y185</f>
        <v>0</v>
      </c>
      <c r="AE185" s="34">
        <f>AD185*$F$8</f>
        <v>0</v>
      </c>
      <c r="AG185" s="13"/>
      <c r="AH185" s="15">
        <f>AG185-AC185</f>
        <v>0</v>
      </c>
      <c r="AI185" s="34">
        <f>AH185*$F$8</f>
        <v>0</v>
      </c>
      <c r="AJ185" s="28"/>
      <c r="AK185" s="94">
        <v>5</v>
      </c>
      <c r="AL185" s="15">
        <f>AK185-AG185</f>
        <v>5</v>
      </c>
      <c r="AM185" s="34">
        <f>AL185*$F$8</f>
        <v>12.45</v>
      </c>
      <c r="AN185" s="28"/>
      <c r="AO185" s="13">
        <v>6</v>
      </c>
      <c r="AP185" s="15">
        <f>AO185-AK185</f>
        <v>1</v>
      </c>
      <c r="AQ185" s="34">
        <f>AP185*$F$8</f>
        <v>2.49</v>
      </c>
      <c r="AR185" s="28"/>
      <c r="AS185" s="15">
        <v>13</v>
      </c>
      <c r="AT185" s="37">
        <f>AS185-AO185</f>
        <v>7</v>
      </c>
      <c r="AU185" s="34">
        <f>AT185*$F$8</f>
        <v>17.43</v>
      </c>
      <c r="AV185" s="15"/>
      <c r="AW185" s="13">
        <v>13</v>
      </c>
      <c r="AX185" s="37">
        <f>AW185-AS185</f>
        <v>0</v>
      </c>
      <c r="AY185" s="34">
        <f>AX185*$F$8</f>
        <v>0</v>
      </c>
      <c r="AZ185" s="28"/>
      <c r="BA185" s="13">
        <v>13</v>
      </c>
      <c r="BB185" s="37">
        <f>BA185-AW185</f>
        <v>0</v>
      </c>
      <c r="BC185" s="34">
        <f>BB185*$F$8</f>
        <v>0</v>
      </c>
      <c r="BD185" s="15"/>
      <c r="BE185" s="40">
        <f t="shared" ref="BE185:BG185" si="487">J185+N185+R185+V185+Z185+AD185+AH185+AL185+AP185+AT185+AX185+BB185</f>
        <v>13</v>
      </c>
      <c r="BF185" s="41">
        <f t="shared" si="487"/>
        <v>32.37</v>
      </c>
      <c r="BG185" s="34">
        <f t="shared" si="487"/>
        <v>0</v>
      </c>
      <c r="BH185" s="35">
        <f t="shared" si="486"/>
        <v>32.37</v>
      </c>
    </row>
    <row r="186" ht="15.75" customHeight="1" hidden="1" spans="1:60" x14ac:dyDescent="0.25">
      <c r="A186" s="29">
        <v>25</v>
      </c>
      <c r="B186" s="14"/>
      <c r="C186" s="73"/>
      <c r="D186" s="14" t="s">
        <v>47</v>
      </c>
      <c r="E186" s="2" t="s">
        <v>48</v>
      </c>
      <c r="F186" s="13">
        <v>17.16</v>
      </c>
      <c r="G186" s="28"/>
      <c r="H186" s="15"/>
      <c r="I186" s="13"/>
      <c r="J186" s="15"/>
      <c r="K186" s="15"/>
      <c r="L186" s="28"/>
      <c r="Q186" s="13"/>
      <c r="R186" s="15"/>
      <c r="S186" s="15"/>
      <c r="T186" s="28"/>
      <c r="Y186" s="13"/>
      <c r="Z186" s="15"/>
      <c r="AA186" s="15"/>
      <c r="AB186" s="28"/>
      <c r="AE186" s="34">
        <f>AD186*$F$10</f>
        <v>0</v>
      </c>
      <c r="AG186" s="13"/>
      <c r="AH186" s="15"/>
      <c r="AI186" s="45">
        <f>AH186*$G$10</f>
        <v>0</v>
      </c>
      <c r="AJ186" s="28"/>
      <c r="AK186" s="13"/>
      <c r="AL186" s="15"/>
      <c r="AM186" s="45">
        <f>AL186*$G$10</f>
        <v>0</v>
      </c>
      <c r="AN186" s="28"/>
      <c r="AO186" s="13"/>
      <c r="AP186" s="15"/>
      <c r="AQ186" s="45">
        <f>AP186*$G$10</f>
        <v>0</v>
      </c>
      <c r="AR186" s="28"/>
      <c r="AS186" s="15"/>
      <c r="AT186" s="15"/>
      <c r="AU186" s="15"/>
      <c r="AV186" s="15"/>
      <c r="AW186" s="13"/>
      <c r="AX186" s="15"/>
      <c r="AY186" s="15"/>
      <c r="AZ186" s="28"/>
      <c r="BA186" s="15"/>
      <c r="BB186" s="15"/>
      <c r="BC186" s="15"/>
      <c r="BD186" s="15"/>
      <c r="BE186" s="40">
        <f t="shared" ref="BE186:BG186" si="488">J186+N186+R186+V186+Z186+AD186+AH186+AL186+AP186+AT186+AX186+BB186</f>
        <v>0</v>
      </c>
      <c r="BF186" s="41">
        <f t="shared" si="488"/>
        <v>0</v>
      </c>
      <c r="BG186" s="34">
        <f t="shared" si="488"/>
        <v>0</v>
      </c>
      <c r="BH186" s="35">
        <f t="shared" si="486"/>
        <v>0</v>
      </c>
    </row>
    <row r="187" ht="15.75" customHeight="1" hidden="1" spans="1:60" x14ac:dyDescent="0.25">
      <c r="A187" s="29">
        <v>25</v>
      </c>
      <c r="B187" s="14"/>
      <c r="C187" s="73"/>
      <c r="D187" s="14" t="s">
        <v>47</v>
      </c>
      <c r="E187" s="2" t="s">
        <v>49</v>
      </c>
      <c r="F187" s="41">
        <v>300</v>
      </c>
      <c r="G187" s="28"/>
      <c r="H187" s="83"/>
      <c r="I187" s="13"/>
      <c r="J187" s="15"/>
      <c r="K187" s="15"/>
      <c r="L187" s="28"/>
      <c r="Q187" s="13"/>
      <c r="R187" s="15"/>
      <c r="S187" s="15"/>
      <c r="T187" s="28"/>
      <c r="Y187" s="13"/>
      <c r="Z187" s="15"/>
      <c r="AA187" s="15"/>
      <c r="AB187" s="28"/>
      <c r="AG187" s="13"/>
      <c r="AH187" s="15"/>
      <c r="AI187" s="15"/>
      <c r="AJ187" s="28"/>
      <c r="AK187" s="13"/>
      <c r="AL187" s="15"/>
      <c r="AM187" s="34"/>
      <c r="AN187" s="28"/>
      <c r="AO187" s="13"/>
      <c r="AP187" s="15"/>
      <c r="AQ187" s="34"/>
      <c r="AR187" s="28"/>
      <c r="AS187" s="15"/>
      <c r="AT187" s="15"/>
      <c r="AU187" s="15"/>
      <c r="AV187" s="15"/>
      <c r="AW187" s="13"/>
      <c r="AX187" s="15"/>
      <c r="AY187" s="15"/>
      <c r="AZ187" s="28"/>
      <c r="BA187" s="15"/>
      <c r="BB187" s="15"/>
      <c r="BC187" s="15"/>
      <c r="BD187" s="15"/>
      <c r="BE187" s="14"/>
      <c r="BF187" s="41">
        <f t="shared" ref="BF187:BG187" si="489">K187+O187+S187+W187+AA187+AE187+AI187+AM187+AQ187+AU187+AY187+BC187</f>
        <v>0</v>
      </c>
      <c r="BG187" s="34">
        <f t="shared" si="489"/>
        <v>0</v>
      </c>
      <c r="BH187" s="35">
        <f t="shared" si="486"/>
        <v>0</v>
      </c>
    </row>
    <row r="188" ht="15.75" customHeight="1" hidden="1" spans="1:60" x14ac:dyDescent="0.25">
      <c r="A188" s="29">
        <v>25</v>
      </c>
      <c r="B188" s="14"/>
      <c r="D188" s="14" t="s">
        <v>50</v>
      </c>
      <c r="E188" s="2" t="s">
        <v>49</v>
      </c>
      <c r="F188" s="41">
        <v>1062.88</v>
      </c>
      <c r="G188" s="28"/>
      <c r="I188" s="13"/>
      <c r="J188" s="15"/>
      <c r="K188" s="15"/>
      <c r="L188" s="28"/>
      <c r="Q188" s="13"/>
      <c r="R188" s="15"/>
      <c r="S188" s="15"/>
      <c r="T188" s="28"/>
      <c r="Y188" s="13"/>
      <c r="Z188" s="15"/>
      <c r="AA188" s="15"/>
      <c r="AB188" s="28"/>
      <c r="AE188" s="34">
        <f>B185*$F$12</f>
        <v>4251.52</v>
      </c>
      <c r="AG188" s="13"/>
      <c r="AH188" s="15"/>
      <c r="AI188" s="15"/>
      <c r="AJ188" s="28"/>
      <c r="AK188" s="13"/>
      <c r="AL188" s="15"/>
      <c r="AM188" s="15"/>
      <c r="AN188" s="28"/>
      <c r="AO188" s="13"/>
      <c r="AP188" s="15"/>
      <c r="AQ188" s="15"/>
      <c r="AR188" s="28"/>
      <c r="AS188" s="15"/>
      <c r="AT188" s="15"/>
      <c r="AU188" s="15"/>
      <c r="AV188" s="15"/>
      <c r="AW188" s="13"/>
      <c r="AX188" s="15"/>
      <c r="AY188" s="15"/>
      <c r="AZ188" s="28"/>
      <c r="BA188" s="15"/>
      <c r="BB188" s="15"/>
      <c r="BC188" s="15"/>
      <c r="BD188" s="15"/>
      <c r="BE188" s="14"/>
      <c r="BF188" s="41">
        <f>B185*$F$12</f>
        <v>4251.52</v>
      </c>
      <c r="BG188" s="34">
        <f t="shared" ref="BG188:BG190" si="490">L188+P188+T188+X188+AB188+AF188+AJ188+AN188+AR188+AV188+AZ188+BD188</f>
        <v>0</v>
      </c>
      <c r="BH188" s="35">
        <f t="shared" si="486"/>
        <v>4251.52</v>
      </c>
    </row>
    <row r="189" ht="15.75" customHeight="1" hidden="1" spans="1:60" x14ac:dyDescent="0.25">
      <c r="A189" s="29">
        <v>25</v>
      </c>
      <c r="B189" s="14"/>
      <c r="D189" s="14" t="s">
        <v>51</v>
      </c>
      <c r="E189" s="2" t="s">
        <v>49</v>
      </c>
      <c r="F189" s="41">
        <v>0</v>
      </c>
      <c r="G189" s="28"/>
      <c r="I189" s="13"/>
      <c r="J189" s="15"/>
      <c r="K189" s="15"/>
      <c r="L189" s="28"/>
      <c r="Q189" s="13"/>
      <c r="R189" s="15"/>
      <c r="S189" s="15"/>
      <c r="T189" s="28"/>
      <c r="Y189" s="13"/>
      <c r="Z189" s="15"/>
      <c r="AA189" s="15"/>
      <c r="AB189" s="28"/>
      <c r="AG189" s="13"/>
      <c r="AH189" s="15"/>
      <c r="AI189" s="15"/>
      <c r="AJ189" s="28"/>
      <c r="AK189" s="13"/>
      <c r="AL189" s="15"/>
      <c r="AM189" s="15"/>
      <c r="AN189" s="28"/>
      <c r="AO189" s="13"/>
      <c r="AP189" s="15"/>
      <c r="AQ189" s="15"/>
      <c r="AR189" s="28"/>
      <c r="AS189" s="15"/>
      <c r="AT189" s="15"/>
      <c r="AU189" s="15"/>
      <c r="AV189" s="15"/>
      <c r="AW189" s="13"/>
      <c r="AX189" s="15"/>
      <c r="AY189" s="15"/>
      <c r="AZ189" s="28"/>
      <c r="BA189" s="15"/>
      <c r="BB189" s="15"/>
      <c r="BC189" s="15"/>
      <c r="BD189" s="15"/>
      <c r="BE189" s="14"/>
      <c r="BF189" s="41">
        <f>B185*$F$13</f>
        <v>0</v>
      </c>
      <c r="BG189" s="34">
        <f t="shared" si="490"/>
        <v>0</v>
      </c>
      <c r="BH189" s="35">
        <f t="shared" si="486"/>
        <v>0</v>
      </c>
    </row>
    <row r="190" ht="15.75" customHeight="1" hidden="1" spans="1:60" x14ac:dyDescent="0.25">
      <c r="A190" s="29">
        <v>25</v>
      </c>
      <c r="B190" s="14"/>
      <c r="D190" s="14" t="s">
        <v>52</v>
      </c>
      <c r="E190" s="2" t="s">
        <v>39</v>
      </c>
      <c r="F190" s="41">
        <v>350</v>
      </c>
      <c r="G190" s="28"/>
      <c r="I190" s="13"/>
      <c r="J190" s="15"/>
      <c r="K190" s="15"/>
      <c r="L190" s="28"/>
      <c r="Q190" s="13"/>
      <c r="R190" s="15"/>
      <c r="S190" s="15"/>
      <c r="T190" s="28"/>
      <c r="Y190" s="13"/>
      <c r="Z190" s="15"/>
      <c r="AA190" s="34">
        <f>$F$14</f>
        <v>350</v>
      </c>
      <c r="AB190" s="28"/>
      <c r="AG190" s="13"/>
      <c r="AH190" s="15"/>
      <c r="AI190" s="15"/>
      <c r="AJ190" s="28"/>
      <c r="AK190" s="13"/>
      <c r="AL190" s="15"/>
      <c r="AM190" s="15"/>
      <c r="AN190" s="28"/>
      <c r="AO190" s="13"/>
      <c r="AP190" s="15"/>
      <c r="AQ190" s="15"/>
      <c r="AR190" s="28"/>
      <c r="AS190" s="15"/>
      <c r="AT190" s="15"/>
      <c r="AU190" s="15"/>
      <c r="AV190" s="15"/>
      <c r="AW190" s="13"/>
      <c r="AX190" s="15"/>
      <c r="AY190" s="15"/>
      <c r="AZ190" s="28"/>
      <c r="BA190" s="15"/>
      <c r="BB190" s="15"/>
      <c r="BC190" s="15"/>
      <c r="BD190" s="15"/>
      <c r="BE190" s="14"/>
      <c r="BF190" s="41">
        <f>$F$14</f>
        <v>350</v>
      </c>
      <c r="BG190" s="34">
        <f t="shared" si="490"/>
        <v>0</v>
      </c>
      <c r="BH190" s="35">
        <f t="shared" si="486"/>
        <v>350</v>
      </c>
    </row>
    <row r="191" ht="15.75" customHeight="1" hidden="1" spans="1:62" x14ac:dyDescent="0.25">
      <c r="A191" s="50">
        <v>25</v>
      </c>
      <c r="B191" s="21"/>
      <c r="C191" s="22" t="s">
        <v>53</v>
      </c>
      <c r="D191" s="21"/>
      <c r="E191" s="22"/>
      <c r="F191" s="20"/>
      <c r="G191" s="23"/>
      <c r="H191" s="51">
        <f>SUM(H184:H190)</f>
        <v>0</v>
      </c>
      <c r="I191" s="52"/>
      <c r="J191" s="53"/>
      <c r="K191" s="51">
        <f t="shared" ref="K191:L191" si="491">SUM(K184:K190)</f>
        <v>5000</v>
      </c>
      <c r="L191" s="68">
        <f t="shared" si="491"/>
        <v>5000</v>
      </c>
      <c r="M191" s="53"/>
      <c r="N191" s="53"/>
      <c r="O191" s="51">
        <f t="shared" ref="O191:P191" si="492">SUM(O185:O190)</f>
        <v>0</v>
      </c>
      <c r="P191" s="51">
        <f t="shared" si="492"/>
        <v>0</v>
      </c>
      <c r="Q191" s="52"/>
      <c r="R191" s="53"/>
      <c r="S191" s="51">
        <f t="shared" ref="S191:T191" si="493">SUM(S185:S190)</f>
        <v>0</v>
      </c>
      <c r="T191" s="68">
        <f t="shared" si="493"/>
        <v>0</v>
      </c>
      <c r="U191" s="53"/>
      <c r="V191" s="53"/>
      <c r="W191" s="51">
        <f t="shared" ref="W191:X191" si="494">SUM(W185:W190)</f>
        <v>0</v>
      </c>
      <c r="X191" s="51">
        <f t="shared" si="494"/>
        <v>0</v>
      </c>
      <c r="Y191" s="52"/>
      <c r="Z191" s="53"/>
      <c r="AA191" s="51">
        <f t="shared" ref="AA191:AB191" si="495">SUM(AA185:AA190)</f>
        <v>350</v>
      </c>
      <c r="AB191" s="68">
        <f t="shared" si="495"/>
        <v>0</v>
      </c>
      <c r="AC191" s="53"/>
      <c r="AD191" s="53"/>
      <c r="AE191" s="51">
        <f t="shared" ref="AE191:AF191" si="496">SUM(AE185:AE190)</f>
        <v>4251.52</v>
      </c>
      <c r="AF191" s="51">
        <f t="shared" si="496"/>
        <v>0</v>
      </c>
      <c r="AG191" s="52"/>
      <c r="AH191" s="53"/>
      <c r="AI191" s="51">
        <f t="shared" ref="AI191:AJ191" si="497">SUM(AI185:AI190)</f>
        <v>0</v>
      </c>
      <c r="AJ191" s="68">
        <f t="shared" si="497"/>
        <v>0</v>
      </c>
      <c r="AK191" s="52"/>
      <c r="AL191" s="53"/>
      <c r="AM191" s="51">
        <f t="shared" ref="AM191:AN191" si="498">SUM(AM185:AM190)</f>
        <v>12.45</v>
      </c>
      <c r="AN191" s="68">
        <f t="shared" si="498"/>
        <v>0</v>
      </c>
      <c r="AO191" s="52"/>
      <c r="AP191" s="53"/>
      <c r="AQ191" s="51">
        <f t="shared" ref="AQ191:AR191" si="499">SUM(AQ185:AQ190)</f>
        <v>2.49</v>
      </c>
      <c r="AR191" s="68">
        <f t="shared" si="499"/>
        <v>0</v>
      </c>
      <c r="AS191" s="53"/>
      <c r="AT191" s="53"/>
      <c r="AU191" s="51">
        <f t="shared" ref="AU191:AV191" si="500">SUM(AU185:AU190)</f>
        <v>17.43</v>
      </c>
      <c r="AV191" s="51">
        <f t="shared" si="500"/>
        <v>0</v>
      </c>
      <c r="AW191" s="52"/>
      <c r="AX191" s="53"/>
      <c r="AY191" s="51">
        <f t="shared" ref="AY191:AZ191" si="501">SUM(AY185:AY190)</f>
        <v>0</v>
      </c>
      <c r="AZ191" s="68">
        <f t="shared" si="501"/>
        <v>0</v>
      </c>
      <c r="BA191" s="53"/>
      <c r="BB191" s="53"/>
      <c r="BC191" s="51">
        <f t="shared" ref="BC191:BD191" si="502">SUM(BC185:BC190)</f>
        <v>0</v>
      </c>
      <c r="BD191" s="51">
        <f t="shared" si="502"/>
        <v>0</v>
      </c>
      <c r="BE191" s="69"/>
      <c r="BF191" s="70">
        <f t="shared" ref="BF191:BH191" si="503">SUM(BF184:BF190)</f>
        <v>9633.89</v>
      </c>
      <c r="BG191" s="71">
        <f t="shared" si="503"/>
        <v>5000</v>
      </c>
      <c r="BH191" s="72">
        <f t="shared" si="503"/>
        <v>4633.89</v>
      </c>
      <c r="BI191" s="34">
        <f>H191+BF191-BG191</f>
        <v>4633.89</v>
      </c>
      <c r="BJ191" s="34">
        <f>BH191-BI191</f>
        <v>0</v>
      </c>
    </row>
    <row r="192" ht="15.75" customHeight="1" hidden="1" spans="1:60" x14ac:dyDescent="0.25">
      <c r="A192" s="29">
        <v>26</v>
      </c>
      <c r="B192" s="14"/>
      <c r="D192" s="14" t="s">
        <v>132</v>
      </c>
      <c r="F192" s="13"/>
      <c r="G192" s="28"/>
      <c r="H192" s="34">
        <f>550+4280</f>
        <v>4830</v>
      </c>
      <c r="I192" s="13"/>
      <c r="J192" s="15"/>
      <c r="K192" s="15"/>
      <c r="L192" s="28"/>
      <c r="Q192" s="13"/>
      <c r="R192" s="15"/>
      <c r="S192" s="15"/>
      <c r="T192" s="28"/>
      <c r="Y192" s="13"/>
      <c r="Z192" s="15"/>
      <c r="AA192" s="15"/>
      <c r="AB192" s="28"/>
      <c r="AG192" s="13"/>
      <c r="AH192" s="15"/>
      <c r="AI192" s="15"/>
      <c r="AJ192" s="28"/>
      <c r="AK192" s="13"/>
      <c r="AL192" s="15"/>
      <c r="AM192" s="15"/>
      <c r="AN192" s="28"/>
      <c r="AO192" s="13"/>
      <c r="AP192" s="15"/>
      <c r="AQ192" s="15"/>
      <c r="AR192" s="28"/>
      <c r="AW192" s="13"/>
      <c r="AX192" s="15"/>
      <c r="AY192" s="15"/>
      <c r="AZ192" s="28"/>
      <c r="BE192" s="14"/>
      <c r="BF192" s="41">
        <f t="shared" ref="BF192:BG192" si="504">K192+O192+S192+W192+AA192+AE192+AI192+AM192+AQ192+AU192+AY192+BC192</f>
        <v>0</v>
      </c>
      <c r="BG192" s="34">
        <f t="shared" si="504"/>
        <v>0</v>
      </c>
      <c r="BH192" s="35">
        <f t="shared" ref="BH192:BH198" si="505">H192+BF192-BG192</f>
        <v>4830</v>
      </c>
    </row>
    <row r="193" ht="15.75" customHeight="1" hidden="1" spans="1:60" x14ac:dyDescent="0.25">
      <c r="A193" s="2">
        <v>26</v>
      </c>
      <c r="B193" s="14">
        <v>3.98</v>
      </c>
      <c r="C193" s="2" t="s">
        <v>133</v>
      </c>
      <c r="D193" s="14" t="s">
        <v>44</v>
      </c>
      <c r="E193" s="2" t="s">
        <v>45</v>
      </c>
      <c r="F193" s="13">
        <v>2.49</v>
      </c>
      <c r="G193" s="28"/>
      <c r="H193" s="74"/>
      <c r="I193" s="13"/>
      <c r="J193" s="15"/>
      <c r="K193" s="15"/>
      <c r="L193" s="28"/>
      <c r="Q193" s="13"/>
      <c r="R193" s="15"/>
      <c r="S193" s="15"/>
      <c r="T193" s="28"/>
      <c r="Y193" s="13"/>
      <c r="Z193" s="15">
        <f>Y193-U193</f>
        <v>0</v>
      </c>
      <c r="AA193" s="34">
        <f>Z193*$F$8</f>
        <v>0</v>
      </c>
      <c r="AB193" s="28"/>
      <c r="AC193" s="15"/>
      <c r="AD193" s="15">
        <f>AC193-Y193</f>
        <v>0</v>
      </c>
      <c r="AE193" s="34">
        <f>AD193*$F$8</f>
        <v>0</v>
      </c>
      <c r="AG193" s="13"/>
      <c r="AH193" s="15">
        <f>AG193-AC193</f>
        <v>0</v>
      </c>
      <c r="AI193" s="34">
        <f>AH193*$F$8</f>
        <v>0</v>
      </c>
      <c r="AJ193" s="28"/>
      <c r="AK193" s="13"/>
      <c r="AL193" s="15">
        <f>AK193-AG193</f>
        <v>0</v>
      </c>
      <c r="AM193" s="34">
        <f>AL193*$F$8</f>
        <v>0</v>
      </c>
      <c r="AN193" s="28"/>
      <c r="AO193" s="13"/>
      <c r="AP193" s="15"/>
      <c r="AQ193" s="34">
        <f>AP193*$F$8</f>
        <v>0</v>
      </c>
      <c r="AR193" s="28"/>
      <c r="AS193" s="15"/>
      <c r="AT193" s="15"/>
      <c r="AU193" s="34">
        <f>AT193*$F$8</f>
        <v>0</v>
      </c>
      <c r="AV193" s="15"/>
      <c r="AW193" s="13"/>
      <c r="AX193" s="15"/>
      <c r="AY193" s="34">
        <f>AX193*$F$8</f>
        <v>0</v>
      </c>
      <c r="AZ193" s="28"/>
      <c r="BA193" s="15"/>
      <c r="BB193" s="15"/>
      <c r="BC193" s="34">
        <f>BB193*$F$8</f>
        <v>0</v>
      </c>
      <c r="BD193" s="15"/>
      <c r="BE193" s="40">
        <f t="shared" ref="BE193:BG193" si="506">J193+N193+R193+V193+Z193+AD193+AH193+AL193+AP193+AT193+AX193+BB193</f>
        <v>0</v>
      </c>
      <c r="BF193" s="41">
        <f t="shared" si="506"/>
        <v>0</v>
      </c>
      <c r="BG193" s="34">
        <f t="shared" si="506"/>
        <v>0</v>
      </c>
      <c r="BH193" s="35">
        <f t="shared" si="505"/>
        <v>0</v>
      </c>
    </row>
    <row r="194" ht="15.75" customHeight="1" hidden="1" spans="1:60" x14ac:dyDescent="0.25">
      <c r="A194" s="29">
        <v>26</v>
      </c>
      <c r="B194" s="14"/>
      <c r="C194" s="2" t="s">
        <v>134</v>
      </c>
      <c r="D194" s="14" t="s">
        <v>47</v>
      </c>
      <c r="E194" s="2" t="s">
        <v>48</v>
      </c>
      <c r="F194" s="13">
        <v>17.16</v>
      </c>
      <c r="G194" s="28"/>
      <c r="I194" s="13"/>
      <c r="J194" s="15"/>
      <c r="K194" s="15"/>
      <c r="L194" s="28"/>
      <c r="Q194" s="13"/>
      <c r="R194" s="15"/>
      <c r="S194" s="15"/>
      <c r="T194" s="28"/>
      <c r="Y194" s="13"/>
      <c r="Z194" s="15"/>
      <c r="AA194" s="15"/>
      <c r="AB194" s="28"/>
      <c r="AC194" s="15"/>
      <c r="AE194" s="34">
        <f>AD194*$F$10</f>
        <v>0</v>
      </c>
      <c r="AG194" s="13"/>
      <c r="AH194" s="15"/>
      <c r="AI194" s="45">
        <f>AH194*$G$10</f>
        <v>0</v>
      </c>
      <c r="AJ194" s="28"/>
      <c r="AK194" s="13"/>
      <c r="AL194" s="15"/>
      <c r="AM194" s="45">
        <f>AL194*$G$10</f>
        <v>0</v>
      </c>
      <c r="AN194" s="28"/>
      <c r="AO194" s="13"/>
      <c r="AP194" s="15"/>
      <c r="AQ194" s="45">
        <f>AP194*$G$10</f>
        <v>0</v>
      </c>
      <c r="AR194" s="28"/>
      <c r="AS194" s="15"/>
      <c r="AT194" s="15"/>
      <c r="AU194" s="15"/>
      <c r="AV194" s="15"/>
      <c r="AW194" s="13"/>
      <c r="AX194" s="15"/>
      <c r="AY194" s="15"/>
      <c r="AZ194" s="28"/>
      <c r="BA194" s="15"/>
      <c r="BB194" s="15"/>
      <c r="BC194" s="15"/>
      <c r="BD194" s="15"/>
      <c r="BE194" s="40">
        <f t="shared" ref="BE194:BG194" si="507">J194+N194+R194+V194+Z194+AD194+AH194+AL194+AP194+AT194+AX194+BB194</f>
        <v>0</v>
      </c>
      <c r="BF194" s="41">
        <f t="shared" si="507"/>
        <v>0</v>
      </c>
      <c r="BG194" s="34">
        <f t="shared" si="507"/>
        <v>0</v>
      </c>
      <c r="BH194" s="35">
        <f t="shared" si="505"/>
        <v>0</v>
      </c>
    </row>
    <row r="195" ht="15.75" customHeight="1" hidden="1" spans="1:60" x14ac:dyDescent="0.25">
      <c r="A195" s="29">
        <v>26</v>
      </c>
      <c r="B195" s="14"/>
      <c r="C195" s="2" t="s">
        <v>135</v>
      </c>
      <c r="D195" s="14" t="s">
        <v>47</v>
      </c>
      <c r="E195" s="2" t="s">
        <v>49</v>
      </c>
      <c r="F195" s="41">
        <v>300</v>
      </c>
      <c r="G195" s="28"/>
      <c r="H195" s="83"/>
      <c r="I195" s="13"/>
      <c r="J195" s="15"/>
      <c r="K195" s="15"/>
      <c r="L195" s="28"/>
      <c r="Q195" s="13"/>
      <c r="R195" s="15"/>
      <c r="S195" s="15"/>
      <c r="T195" s="28"/>
      <c r="Y195" s="13"/>
      <c r="Z195" s="15"/>
      <c r="AA195" s="15"/>
      <c r="AB195" s="28"/>
      <c r="AC195" s="15"/>
      <c r="AG195" s="13"/>
      <c r="AH195" s="15"/>
      <c r="AI195" s="15"/>
      <c r="AJ195" s="28"/>
      <c r="AK195" s="13"/>
      <c r="AL195" s="15"/>
      <c r="AM195" s="34"/>
      <c r="AN195" s="28"/>
      <c r="AO195" s="13"/>
      <c r="AP195" s="15"/>
      <c r="AQ195" s="34"/>
      <c r="AR195" s="28"/>
      <c r="AS195" s="15"/>
      <c r="AT195" s="15"/>
      <c r="AU195" s="15"/>
      <c r="AV195" s="15"/>
      <c r="AW195" s="13"/>
      <c r="AX195" s="15"/>
      <c r="AY195" s="15"/>
      <c r="AZ195" s="28"/>
      <c r="BA195" s="15"/>
      <c r="BB195" s="15"/>
      <c r="BC195" s="15"/>
      <c r="BD195" s="15"/>
      <c r="BE195" s="14"/>
      <c r="BF195" s="41">
        <f t="shared" ref="BF195:BG195" si="508">K195+O195+S195+W195+AA195+AE195+AI195+AM195+AQ195+AU195+AY195+BC195</f>
        <v>0</v>
      </c>
      <c r="BG195" s="34">
        <f t="shared" si="508"/>
        <v>0</v>
      </c>
      <c r="BH195" s="35">
        <f t="shared" si="505"/>
        <v>0</v>
      </c>
    </row>
    <row r="196" ht="15.75" customHeight="1" hidden="1" spans="1:60" x14ac:dyDescent="0.25">
      <c r="A196" s="29">
        <v>26</v>
      </c>
      <c r="B196" s="14"/>
      <c r="D196" s="14" t="s">
        <v>50</v>
      </c>
      <c r="E196" s="2" t="s">
        <v>49</v>
      </c>
      <c r="F196" s="41">
        <v>1062.88</v>
      </c>
      <c r="G196" s="28"/>
      <c r="H196" s="34">
        <v>11144</v>
      </c>
      <c r="I196" s="13"/>
      <c r="J196" s="15"/>
      <c r="K196" s="15"/>
      <c r="L196" s="28"/>
      <c r="Q196" s="13"/>
      <c r="R196" s="15"/>
      <c r="S196" s="15"/>
      <c r="T196" s="28"/>
      <c r="Y196" s="13"/>
      <c r="Z196" s="15"/>
      <c r="AA196" s="15"/>
      <c r="AB196" s="28"/>
      <c r="AE196" s="34">
        <f>B193*$F$12</f>
        <v>4230.2624</v>
      </c>
      <c r="AG196" s="13"/>
      <c r="AH196" s="15"/>
      <c r="AI196" s="15"/>
      <c r="AJ196" s="28"/>
      <c r="AK196" s="13"/>
      <c r="AL196" s="15"/>
      <c r="AM196" s="15"/>
      <c r="AN196" s="28"/>
      <c r="AO196" s="13"/>
      <c r="AP196" s="15"/>
      <c r="AQ196" s="15"/>
      <c r="AR196" s="28"/>
      <c r="AS196" s="15"/>
      <c r="AT196" s="15"/>
      <c r="AU196" s="15"/>
      <c r="AV196" s="15"/>
      <c r="AW196" s="13"/>
      <c r="AX196" s="15"/>
      <c r="AY196" s="15"/>
      <c r="AZ196" s="28"/>
      <c r="BA196" s="15"/>
      <c r="BB196" s="15"/>
      <c r="BC196" s="15"/>
      <c r="BD196" s="15"/>
      <c r="BE196" s="14"/>
      <c r="BF196" s="41">
        <f>B193*$F$12</f>
        <v>4230.2624</v>
      </c>
      <c r="BG196" s="34">
        <f t="shared" ref="BG196:BG198" si="509">L196+P196+T196+X196+AB196+AF196+AJ196+AN196+AR196+AV196+AZ196+BD196</f>
        <v>0</v>
      </c>
      <c r="BH196" s="35">
        <f t="shared" si="505"/>
        <v>15374.2624</v>
      </c>
    </row>
    <row r="197" ht="15.75" customHeight="1" hidden="1" spans="1:60" x14ac:dyDescent="0.25">
      <c r="A197" s="29">
        <v>26</v>
      </c>
      <c r="B197" s="14"/>
      <c r="D197" s="14" t="s">
        <v>51</v>
      </c>
      <c r="E197" s="2" t="s">
        <v>49</v>
      </c>
      <c r="F197" s="41">
        <v>0</v>
      </c>
      <c r="G197" s="28"/>
      <c r="H197" s="34">
        <v>15527</v>
      </c>
      <c r="I197" s="13"/>
      <c r="J197" s="15"/>
      <c r="K197" s="15"/>
      <c r="L197" s="28"/>
      <c r="Q197" s="13"/>
      <c r="R197" s="15"/>
      <c r="S197" s="15"/>
      <c r="T197" s="28"/>
      <c r="Y197" s="13"/>
      <c r="Z197" s="15"/>
      <c r="AA197" s="15"/>
      <c r="AB197" s="28"/>
      <c r="AG197" s="13"/>
      <c r="AH197" s="15"/>
      <c r="AI197" s="15"/>
      <c r="AJ197" s="28"/>
      <c r="AK197" s="13"/>
      <c r="AL197" s="15"/>
      <c r="AM197" s="15"/>
      <c r="AN197" s="28"/>
      <c r="AO197" s="13"/>
      <c r="AP197" s="15"/>
      <c r="AQ197" s="15"/>
      <c r="AR197" s="28"/>
      <c r="AS197" s="15"/>
      <c r="AT197" s="15"/>
      <c r="AU197" s="15"/>
      <c r="AV197" s="15"/>
      <c r="AW197" s="13"/>
      <c r="AX197" s="15"/>
      <c r="AY197" s="15"/>
      <c r="AZ197" s="28"/>
      <c r="BA197" s="15"/>
      <c r="BB197" s="15"/>
      <c r="BC197" s="15"/>
      <c r="BD197" s="15"/>
      <c r="BE197" s="14"/>
      <c r="BF197" s="41">
        <f>B193*$F$13</f>
        <v>0</v>
      </c>
      <c r="BG197" s="34">
        <f t="shared" si="509"/>
        <v>0</v>
      </c>
      <c r="BH197" s="35">
        <f t="shared" si="505"/>
        <v>15527</v>
      </c>
    </row>
    <row r="198" ht="15.75" customHeight="1" hidden="1" spans="1:60" x14ac:dyDescent="0.25">
      <c r="A198" s="29">
        <v>26</v>
      </c>
      <c r="B198" s="14"/>
      <c r="D198" s="14" t="s">
        <v>52</v>
      </c>
      <c r="E198" s="2" t="s">
        <v>39</v>
      </c>
      <c r="F198" s="41">
        <v>350</v>
      </c>
      <c r="G198" s="28"/>
      <c r="H198" s="34">
        <v>1100</v>
      </c>
      <c r="I198" s="13"/>
      <c r="J198" s="15"/>
      <c r="K198" s="15"/>
      <c r="L198" s="28"/>
      <c r="Q198" s="13"/>
      <c r="R198" s="15"/>
      <c r="S198" s="15"/>
      <c r="T198" s="28"/>
      <c r="Y198" s="13"/>
      <c r="Z198" s="15"/>
      <c r="AA198" s="34">
        <f>$F$14</f>
        <v>350</v>
      </c>
      <c r="AB198" s="28"/>
      <c r="AG198" s="13"/>
      <c r="AH198" s="15"/>
      <c r="AI198" s="15"/>
      <c r="AJ198" s="28"/>
      <c r="AK198" s="13"/>
      <c r="AL198" s="15"/>
      <c r="AM198" s="15"/>
      <c r="AN198" s="28"/>
      <c r="AO198" s="13"/>
      <c r="AP198" s="15"/>
      <c r="AQ198" s="15"/>
      <c r="AR198" s="28"/>
      <c r="AS198" s="15"/>
      <c r="AT198" s="15"/>
      <c r="AU198" s="15"/>
      <c r="AV198" s="15"/>
      <c r="AW198" s="13"/>
      <c r="AX198" s="15"/>
      <c r="AY198" s="15"/>
      <c r="AZ198" s="28"/>
      <c r="BA198" s="15"/>
      <c r="BB198" s="15"/>
      <c r="BC198" s="15"/>
      <c r="BD198" s="15"/>
      <c r="BE198" s="14"/>
      <c r="BF198" s="41">
        <f>$F$14</f>
        <v>350</v>
      </c>
      <c r="BG198" s="34">
        <f t="shared" si="509"/>
        <v>0</v>
      </c>
      <c r="BH198" s="35">
        <f t="shared" si="505"/>
        <v>1450</v>
      </c>
    </row>
    <row r="199" ht="15.75" customHeight="1" hidden="1" spans="1:62" x14ac:dyDescent="0.25">
      <c r="A199" s="50">
        <v>26</v>
      </c>
      <c r="B199" s="21"/>
      <c r="C199" s="22" t="s">
        <v>53</v>
      </c>
      <c r="D199" s="21"/>
      <c r="E199" s="22"/>
      <c r="F199" s="20"/>
      <c r="G199" s="23"/>
      <c r="H199" s="51">
        <f>SUM(H192:H198)</f>
        <v>32601</v>
      </c>
      <c r="I199" s="52"/>
      <c r="J199" s="53"/>
      <c r="K199" s="51">
        <f t="shared" ref="K199:L199" si="510">SUM(K192:K198)</f>
        <v>0</v>
      </c>
      <c r="L199" s="68">
        <f t="shared" si="510"/>
        <v>0</v>
      </c>
      <c r="M199" s="53"/>
      <c r="N199" s="53"/>
      <c r="O199" s="51">
        <f t="shared" ref="O199:P199" si="511">SUM(O193:O198)</f>
        <v>0</v>
      </c>
      <c r="P199" s="51">
        <f t="shared" si="511"/>
        <v>0</v>
      </c>
      <c r="Q199" s="52"/>
      <c r="R199" s="53"/>
      <c r="S199" s="51">
        <f t="shared" ref="S199:T199" si="512">SUM(S193:S198)</f>
        <v>0</v>
      </c>
      <c r="T199" s="68">
        <f t="shared" si="512"/>
        <v>0</v>
      </c>
      <c r="U199" s="53"/>
      <c r="V199" s="53"/>
      <c r="W199" s="51">
        <f t="shared" ref="W199:X199" si="513">SUM(W193:W198)</f>
        <v>0</v>
      </c>
      <c r="X199" s="51">
        <f t="shared" si="513"/>
        <v>0</v>
      </c>
      <c r="Y199" s="52"/>
      <c r="Z199" s="53"/>
      <c r="AA199" s="51">
        <f t="shared" ref="AA199:AB199" si="514">SUM(AA193:AA198)</f>
        <v>350</v>
      </c>
      <c r="AB199" s="68">
        <f t="shared" si="514"/>
        <v>0</v>
      </c>
      <c r="AC199" s="53"/>
      <c r="AD199" s="53"/>
      <c r="AE199" s="51">
        <f t="shared" ref="AE199:AF199" si="515">SUM(AE193:AE198)</f>
        <v>4230.2624</v>
      </c>
      <c r="AF199" s="51">
        <f t="shared" si="515"/>
        <v>0</v>
      </c>
      <c r="AG199" s="52"/>
      <c r="AH199" s="53"/>
      <c r="AI199" s="51">
        <f t="shared" ref="AI199:AJ199" si="516">SUM(AI193:AI198)</f>
        <v>0</v>
      </c>
      <c r="AJ199" s="68">
        <f t="shared" si="516"/>
        <v>0</v>
      </c>
      <c r="AK199" s="52"/>
      <c r="AL199" s="53"/>
      <c r="AM199" s="51">
        <f t="shared" ref="AM199:AN199" si="517">SUM(AM193:AM198)</f>
        <v>0</v>
      </c>
      <c r="AN199" s="68">
        <f t="shared" si="517"/>
        <v>0</v>
      </c>
      <c r="AO199" s="52"/>
      <c r="AP199" s="53"/>
      <c r="AQ199" s="51">
        <f t="shared" ref="AQ199:AR199" si="518">SUM(AQ193:AQ198)</f>
        <v>0</v>
      </c>
      <c r="AR199" s="68">
        <f t="shared" si="518"/>
        <v>0</v>
      </c>
      <c r="AS199" s="53"/>
      <c r="AT199" s="53"/>
      <c r="AU199" s="51">
        <f t="shared" ref="AU199:AV199" si="519">SUM(AU193:AU198)</f>
        <v>0</v>
      </c>
      <c r="AV199" s="51">
        <f t="shared" si="519"/>
        <v>0</v>
      </c>
      <c r="AW199" s="52"/>
      <c r="AX199" s="53"/>
      <c r="AY199" s="51">
        <f t="shared" ref="AY199:AZ199" si="520">SUM(AY193:AY198)</f>
        <v>0</v>
      </c>
      <c r="AZ199" s="68">
        <f t="shared" si="520"/>
        <v>0</v>
      </c>
      <c r="BA199" s="53"/>
      <c r="BB199" s="53"/>
      <c r="BC199" s="51">
        <f t="shared" ref="BC199:BD199" si="521">SUM(BC193:BC198)</f>
        <v>0</v>
      </c>
      <c r="BD199" s="51">
        <f t="shared" si="521"/>
        <v>0</v>
      </c>
      <c r="BE199" s="69"/>
      <c r="BF199" s="70">
        <f t="shared" ref="BF199:BH199" si="522">SUM(BF192:BF198)</f>
        <v>4580.2624</v>
      </c>
      <c r="BG199" s="71">
        <f t="shared" si="522"/>
        <v>0</v>
      </c>
      <c r="BH199" s="72">
        <f t="shared" si="522"/>
        <v>37181.2624</v>
      </c>
      <c r="BI199" s="34">
        <f>H199+BF199-BG199</f>
        <v>37181.2624</v>
      </c>
      <c r="BJ199" s="34">
        <f>BH199-BI199</f>
        <v>0</v>
      </c>
    </row>
    <row r="200" ht="15.75" customHeight="1" hidden="1" spans="1:60" x14ac:dyDescent="0.25">
      <c r="A200" s="29">
        <v>27</v>
      </c>
      <c r="B200" s="14"/>
      <c r="D200" s="14" t="s">
        <v>42</v>
      </c>
      <c r="F200" s="13"/>
      <c r="G200" s="28"/>
      <c r="I200" s="13"/>
      <c r="J200" s="15"/>
      <c r="K200" s="15"/>
      <c r="L200" s="28"/>
      <c r="Q200" s="13"/>
      <c r="R200" s="15"/>
      <c r="S200" s="15"/>
      <c r="T200" s="28"/>
      <c r="Y200" s="13"/>
      <c r="Z200" s="15"/>
      <c r="AA200" s="15"/>
      <c r="AB200" s="28"/>
      <c r="AG200" s="13"/>
      <c r="AH200" s="15"/>
      <c r="AI200" s="15"/>
      <c r="AJ200" s="28"/>
      <c r="AK200" s="13"/>
      <c r="AL200" s="15"/>
      <c r="AM200" s="15"/>
      <c r="AN200" s="28"/>
      <c r="AO200" s="13"/>
      <c r="AP200" s="15"/>
      <c r="AQ200" s="15"/>
      <c r="AR200" s="28"/>
      <c r="AW200" s="13"/>
      <c r="AX200" s="15"/>
      <c r="AY200" s="15"/>
      <c r="AZ200" s="28"/>
      <c r="BE200" s="14"/>
      <c r="BF200" s="13"/>
      <c r="BG200" s="15"/>
      <c r="BH200" s="28"/>
    </row>
    <row r="201" ht="15.75" customHeight="1" hidden="1" spans="1:60" x14ac:dyDescent="0.25">
      <c r="A201" s="2">
        <v>27</v>
      </c>
      <c r="B201" s="14">
        <v>4.04</v>
      </c>
      <c r="C201" s="2" t="s">
        <v>136</v>
      </c>
      <c r="D201" s="14" t="s">
        <v>44</v>
      </c>
      <c r="E201" s="2" t="s">
        <v>45</v>
      </c>
      <c r="F201" s="13">
        <v>2.49</v>
      </c>
      <c r="G201" s="28"/>
      <c r="H201" s="74"/>
      <c r="I201" s="13"/>
      <c r="J201" s="15"/>
      <c r="K201" s="15"/>
      <c r="L201" s="28"/>
      <c r="Q201" s="13"/>
      <c r="R201" s="15"/>
      <c r="S201" s="15"/>
      <c r="T201" s="28"/>
      <c r="Y201" s="13"/>
      <c r="Z201" s="15">
        <f>Y201-U201</f>
        <v>0</v>
      </c>
      <c r="AA201" s="34">
        <f>Z201*$F$8</f>
        <v>0</v>
      </c>
      <c r="AB201" s="28"/>
      <c r="AC201" s="15"/>
      <c r="AD201" s="15">
        <f>AC201-Y201</f>
        <v>0</v>
      </c>
      <c r="AE201" s="34">
        <f>AD201*$F$8</f>
        <v>0</v>
      </c>
      <c r="AG201" s="13"/>
      <c r="AH201" s="15">
        <f>AG201-AC201</f>
        <v>0</v>
      </c>
      <c r="AI201" s="34">
        <f>AH201*$F$8</f>
        <v>0</v>
      </c>
      <c r="AJ201" s="28"/>
      <c r="AK201" s="13"/>
      <c r="AL201" s="15">
        <f>AK201-AG201</f>
        <v>0</v>
      </c>
      <c r="AM201" s="34">
        <f>AL201*$F$8</f>
        <v>0</v>
      </c>
      <c r="AN201" s="28"/>
      <c r="AO201" s="13"/>
      <c r="AP201" s="15"/>
      <c r="AQ201" s="34">
        <f>AP201*$F$8</f>
        <v>0</v>
      </c>
      <c r="AR201" s="28"/>
      <c r="AS201" s="15"/>
      <c r="AT201" s="15"/>
      <c r="AU201" s="34">
        <f>AT201*$F$8</f>
        <v>0</v>
      </c>
      <c r="AV201" s="15"/>
      <c r="AW201" s="13"/>
      <c r="AX201" s="15"/>
      <c r="AY201" s="34">
        <f>AX201*$F$8</f>
        <v>0</v>
      </c>
      <c r="AZ201" s="28"/>
      <c r="BA201" s="15"/>
      <c r="BB201" s="15"/>
      <c r="BC201" s="34">
        <f>BB201*$F$8</f>
        <v>0</v>
      </c>
      <c r="BD201" s="15"/>
      <c r="BE201" s="40">
        <f t="shared" ref="BE201:BG201" si="523">J201+N201+R201+V201+Z201+AD201+AH201+AL201+AP201+AT201+AX201+BB201</f>
        <v>0</v>
      </c>
      <c r="BF201" s="41">
        <f t="shared" si="523"/>
        <v>0</v>
      </c>
      <c r="BG201" s="34">
        <f t="shared" si="523"/>
        <v>0</v>
      </c>
      <c r="BH201" s="35">
        <f t="shared" ref="BH201:BH206" si="524">H201+BF201-BG201</f>
        <v>0</v>
      </c>
    </row>
    <row r="202" ht="15.75" customHeight="1" hidden="1" spans="1:60" x14ac:dyDescent="0.25">
      <c r="A202" s="29">
        <v>27</v>
      </c>
      <c r="B202" s="14"/>
      <c r="C202" s="2" t="s">
        <v>137</v>
      </c>
      <c r="D202" s="14" t="s">
        <v>47</v>
      </c>
      <c r="E202" s="2" t="s">
        <v>48</v>
      </c>
      <c r="F202" s="13">
        <v>17.16</v>
      </c>
      <c r="G202" s="28"/>
      <c r="I202" s="13"/>
      <c r="J202" s="15"/>
      <c r="K202" s="15"/>
      <c r="L202" s="28"/>
      <c r="Q202" s="13"/>
      <c r="R202" s="15"/>
      <c r="S202" s="15"/>
      <c r="T202" s="28"/>
      <c r="Y202" s="13"/>
      <c r="Z202" s="15"/>
      <c r="AA202" s="15"/>
      <c r="AB202" s="28"/>
      <c r="AC202" s="15"/>
      <c r="AE202" s="34">
        <f>AD202*$F$10</f>
        <v>0</v>
      </c>
      <c r="AG202" s="13"/>
      <c r="AH202" s="15"/>
      <c r="AI202" s="45">
        <f>AH202*$G$10</f>
        <v>0</v>
      </c>
      <c r="AJ202" s="28"/>
      <c r="AK202" s="13"/>
      <c r="AL202" s="15"/>
      <c r="AM202" s="45">
        <f>AL202*$G$10</f>
        <v>0</v>
      </c>
      <c r="AN202" s="28"/>
      <c r="AO202" s="13"/>
      <c r="AP202" s="15"/>
      <c r="AQ202" s="45">
        <f>AP202*$G$10</f>
        <v>0</v>
      </c>
      <c r="AR202" s="28"/>
      <c r="AS202" s="15"/>
      <c r="AT202" s="15"/>
      <c r="AU202" s="15"/>
      <c r="AV202" s="15"/>
      <c r="AW202" s="13"/>
      <c r="AX202" s="15"/>
      <c r="AY202" s="15"/>
      <c r="AZ202" s="28"/>
      <c r="BA202" s="15"/>
      <c r="BB202" s="15"/>
      <c r="BC202" s="15"/>
      <c r="BD202" s="15"/>
      <c r="BE202" s="40">
        <f t="shared" ref="BE202:BG202" si="525">J202+N202+R202+V202+Z202+AD202+AH202+AL202+AP202+AT202+AX202+BB202</f>
        <v>0</v>
      </c>
      <c r="BF202" s="41">
        <f t="shared" si="525"/>
        <v>0</v>
      </c>
      <c r="BG202" s="34">
        <f t="shared" si="525"/>
        <v>0</v>
      </c>
      <c r="BH202" s="35">
        <f t="shared" si="524"/>
        <v>0</v>
      </c>
    </row>
    <row r="203" ht="15.75" customHeight="1" hidden="1" spans="1:60" x14ac:dyDescent="0.25">
      <c r="A203" s="29">
        <v>27</v>
      </c>
      <c r="B203" s="14"/>
      <c r="C203" s="2" t="s">
        <v>138</v>
      </c>
      <c r="D203" s="14" t="s">
        <v>47</v>
      </c>
      <c r="E203" s="2" t="s">
        <v>49</v>
      </c>
      <c r="F203" s="41">
        <v>300</v>
      </c>
      <c r="G203" s="28"/>
      <c r="H203" s="83"/>
      <c r="I203" s="13"/>
      <c r="J203" s="15"/>
      <c r="K203" s="15"/>
      <c r="L203" s="28"/>
      <c r="Q203" s="13"/>
      <c r="R203" s="15"/>
      <c r="S203" s="15"/>
      <c r="T203" s="28"/>
      <c r="Y203" s="13"/>
      <c r="Z203" s="15"/>
      <c r="AA203" s="15"/>
      <c r="AB203" s="28"/>
      <c r="AC203" s="15"/>
      <c r="AG203" s="13"/>
      <c r="AH203" s="15"/>
      <c r="AI203" s="15"/>
      <c r="AJ203" s="28"/>
      <c r="AK203" s="13"/>
      <c r="AL203" s="15"/>
      <c r="AM203" s="34"/>
      <c r="AN203" s="28"/>
      <c r="AO203" s="13"/>
      <c r="AP203" s="15"/>
      <c r="AQ203" s="34"/>
      <c r="AR203" s="28"/>
      <c r="AS203" s="15"/>
      <c r="AT203" s="15"/>
      <c r="AU203" s="15"/>
      <c r="AV203" s="15"/>
      <c r="AW203" s="13"/>
      <c r="AX203" s="15"/>
      <c r="AY203" s="15"/>
      <c r="AZ203" s="28"/>
      <c r="BA203" s="15"/>
      <c r="BB203" s="15"/>
      <c r="BC203" s="15"/>
      <c r="BD203" s="15"/>
      <c r="BE203" s="14"/>
      <c r="BF203" s="41">
        <f t="shared" ref="BF203:BG203" si="526">K203+O203+S203+W203+AA203+AE203+AI203+AM203+AQ203+AU203+AY203+BC203</f>
        <v>0</v>
      </c>
      <c r="BG203" s="34">
        <f t="shared" si="526"/>
        <v>0</v>
      </c>
      <c r="BH203" s="35">
        <f t="shared" si="524"/>
        <v>0</v>
      </c>
    </row>
    <row r="204" ht="15.75" customHeight="1" hidden="1" spans="1:60" x14ac:dyDescent="0.25">
      <c r="A204" s="29">
        <v>27</v>
      </c>
      <c r="B204" s="14"/>
      <c r="D204" s="14" t="s">
        <v>50</v>
      </c>
      <c r="E204" s="2" t="s">
        <v>49</v>
      </c>
      <c r="F204" s="41">
        <v>1062.88</v>
      </c>
      <c r="G204" s="28"/>
      <c r="H204" s="34">
        <v>8792</v>
      </c>
      <c r="I204" s="13"/>
      <c r="J204" s="15"/>
      <c r="K204" s="15"/>
      <c r="L204" s="28"/>
      <c r="Q204" s="13"/>
      <c r="R204" s="15"/>
      <c r="S204" s="15"/>
      <c r="T204" s="28"/>
      <c r="Y204" s="13"/>
      <c r="Z204" s="15"/>
      <c r="AA204" s="15"/>
      <c r="AB204" s="28"/>
      <c r="AE204" s="34">
        <f>B201*$F$12</f>
        <v>4294.0352</v>
      </c>
      <c r="AG204" s="13"/>
      <c r="AH204" s="15"/>
      <c r="AI204" s="15"/>
      <c r="AJ204" s="28"/>
      <c r="AK204" s="13"/>
      <c r="AL204" s="15"/>
      <c r="AM204" s="15"/>
      <c r="AN204" s="28"/>
      <c r="AO204" s="13"/>
      <c r="AP204" s="15"/>
      <c r="AQ204" s="15"/>
      <c r="AR204" s="28"/>
      <c r="AS204" s="15"/>
      <c r="AT204" s="15"/>
      <c r="AU204" s="15"/>
      <c r="AV204" s="15"/>
      <c r="AW204" s="13"/>
      <c r="AX204" s="15"/>
      <c r="AY204" s="15"/>
      <c r="AZ204" s="28"/>
      <c r="BA204" s="15"/>
      <c r="BB204" s="15"/>
      <c r="BC204" s="15"/>
      <c r="BD204" s="15"/>
      <c r="BE204" s="14"/>
      <c r="BF204" s="41">
        <f>B201*$F$12</f>
        <v>4294.0352</v>
      </c>
      <c r="BG204" s="34">
        <f t="shared" ref="BG204:BG206" si="527">L204+P204+T204+X204+AB204+AF204+AJ204+AN204+AR204+AV204+AZ204+BD204</f>
        <v>0</v>
      </c>
      <c r="BH204" s="35">
        <f t="shared" si="524"/>
        <v>13086.0352</v>
      </c>
    </row>
    <row r="205" ht="15.75" customHeight="1" hidden="1" spans="1:60" x14ac:dyDescent="0.25">
      <c r="A205" s="29">
        <v>27</v>
      </c>
      <c r="B205" s="14"/>
      <c r="D205" s="14" t="s">
        <v>51</v>
      </c>
      <c r="E205" s="2" t="s">
        <v>49</v>
      </c>
      <c r="F205" s="41">
        <v>0</v>
      </c>
      <c r="G205" s="28"/>
      <c r="H205" s="34">
        <v>1808</v>
      </c>
      <c r="I205" s="13"/>
      <c r="J205" s="15"/>
      <c r="K205" s="15"/>
      <c r="L205" s="28"/>
      <c r="Q205" s="13"/>
      <c r="R205" s="15"/>
      <c r="S205" s="15"/>
      <c r="T205" s="28"/>
      <c r="Y205" s="13"/>
      <c r="Z205" s="15"/>
      <c r="AA205" s="15"/>
      <c r="AB205" s="28"/>
      <c r="AG205" s="13"/>
      <c r="AH205" s="15"/>
      <c r="AI205" s="15"/>
      <c r="AJ205" s="28"/>
      <c r="AK205" s="13"/>
      <c r="AL205" s="15"/>
      <c r="AM205" s="15"/>
      <c r="AN205" s="28"/>
      <c r="AO205" s="13"/>
      <c r="AP205" s="15"/>
      <c r="AQ205" s="15"/>
      <c r="AR205" s="28"/>
      <c r="AS205" s="15"/>
      <c r="AT205" s="15"/>
      <c r="AU205" s="15"/>
      <c r="AV205" s="15"/>
      <c r="AW205" s="13"/>
      <c r="AX205" s="15"/>
      <c r="AY205" s="15"/>
      <c r="AZ205" s="28"/>
      <c r="BA205" s="15"/>
      <c r="BB205" s="15"/>
      <c r="BC205" s="15"/>
      <c r="BD205" s="15"/>
      <c r="BE205" s="14"/>
      <c r="BF205" s="41">
        <f>B201*$F$13</f>
        <v>0</v>
      </c>
      <c r="BG205" s="34">
        <f t="shared" si="527"/>
        <v>0</v>
      </c>
      <c r="BH205" s="35">
        <f t="shared" si="524"/>
        <v>1808</v>
      </c>
    </row>
    <row r="206" ht="15.75" customHeight="1" hidden="1" spans="1:60" x14ac:dyDescent="0.25">
      <c r="A206" s="29">
        <v>27</v>
      </c>
      <c r="B206" s="14"/>
      <c r="D206" s="14" t="s">
        <v>52</v>
      </c>
      <c r="E206" s="2" t="s">
        <v>39</v>
      </c>
      <c r="F206" s="41">
        <v>350</v>
      </c>
      <c r="G206" s="28"/>
      <c r="H206" s="34">
        <v>850</v>
      </c>
      <c r="I206" s="13"/>
      <c r="J206" s="15"/>
      <c r="K206" s="15"/>
      <c r="L206" s="28"/>
      <c r="Q206" s="13"/>
      <c r="R206" s="15"/>
      <c r="S206" s="15"/>
      <c r="T206" s="28"/>
      <c r="Y206" s="13"/>
      <c r="Z206" s="15"/>
      <c r="AA206" s="34">
        <f>$F$14</f>
        <v>350</v>
      </c>
      <c r="AB206" s="28"/>
      <c r="AG206" s="13"/>
      <c r="AH206" s="15"/>
      <c r="AI206" s="15"/>
      <c r="AJ206" s="28"/>
      <c r="AK206" s="13"/>
      <c r="AL206" s="15"/>
      <c r="AM206" s="15"/>
      <c r="AN206" s="28"/>
      <c r="AO206" s="13"/>
      <c r="AP206" s="15"/>
      <c r="AQ206" s="15"/>
      <c r="AR206" s="28"/>
      <c r="AS206" s="15"/>
      <c r="AT206" s="15"/>
      <c r="AU206" s="15"/>
      <c r="AV206" s="15"/>
      <c r="AW206" s="13"/>
      <c r="AX206" s="15"/>
      <c r="AY206" s="15"/>
      <c r="AZ206" s="28"/>
      <c r="BA206" s="15"/>
      <c r="BB206" s="15"/>
      <c r="BC206" s="15"/>
      <c r="BD206" s="15"/>
      <c r="BE206" s="14"/>
      <c r="BF206" s="41">
        <f>$F$14</f>
        <v>350</v>
      </c>
      <c r="BG206" s="34">
        <f t="shared" si="527"/>
        <v>0</v>
      </c>
      <c r="BH206" s="35">
        <f t="shared" si="524"/>
        <v>1200</v>
      </c>
    </row>
    <row r="207" ht="15.75" customHeight="1" hidden="1" spans="1:62" x14ac:dyDescent="0.25">
      <c r="A207" s="50">
        <v>27</v>
      </c>
      <c r="B207" s="21"/>
      <c r="C207" s="22" t="s">
        <v>53</v>
      </c>
      <c r="D207" s="21"/>
      <c r="E207" s="22"/>
      <c r="F207" s="20"/>
      <c r="G207" s="23"/>
      <c r="H207" s="51">
        <f>SUM(H200:H206)</f>
        <v>11450</v>
      </c>
      <c r="I207" s="52"/>
      <c r="J207" s="53"/>
      <c r="K207" s="51">
        <f t="shared" ref="K207:L207" si="528">SUM(K200:K206)</f>
        <v>0</v>
      </c>
      <c r="L207" s="68">
        <f t="shared" si="528"/>
        <v>0</v>
      </c>
      <c r="M207" s="53"/>
      <c r="N207" s="53"/>
      <c r="O207" s="51">
        <f t="shared" ref="O207:P207" si="529">SUM(O201:O206)</f>
        <v>0</v>
      </c>
      <c r="P207" s="51">
        <f t="shared" si="529"/>
        <v>0</v>
      </c>
      <c r="Q207" s="52"/>
      <c r="R207" s="53"/>
      <c r="S207" s="51">
        <f t="shared" ref="S207:T207" si="530">SUM(S201:S206)</f>
        <v>0</v>
      </c>
      <c r="T207" s="68">
        <f t="shared" si="530"/>
        <v>0</v>
      </c>
      <c r="U207" s="53"/>
      <c r="V207" s="53"/>
      <c r="W207" s="51">
        <f t="shared" ref="W207:X207" si="531">SUM(W201:W206)</f>
        <v>0</v>
      </c>
      <c r="X207" s="51">
        <f t="shared" si="531"/>
        <v>0</v>
      </c>
      <c r="Y207" s="52"/>
      <c r="Z207" s="53"/>
      <c r="AA207" s="51">
        <f t="shared" ref="AA207:AB207" si="532">SUM(AA201:AA206)</f>
        <v>350</v>
      </c>
      <c r="AB207" s="68">
        <f t="shared" si="532"/>
        <v>0</v>
      </c>
      <c r="AC207" s="53"/>
      <c r="AD207" s="53"/>
      <c r="AE207" s="51">
        <f t="shared" ref="AE207:AF207" si="533">SUM(AE201:AE206)</f>
        <v>4294.0352</v>
      </c>
      <c r="AF207" s="51">
        <f t="shared" si="533"/>
        <v>0</v>
      </c>
      <c r="AG207" s="52"/>
      <c r="AH207" s="53"/>
      <c r="AI207" s="51">
        <f t="shared" ref="AI207:AJ207" si="534">SUM(AI201:AI206)</f>
        <v>0</v>
      </c>
      <c r="AJ207" s="68">
        <f t="shared" si="534"/>
        <v>0</v>
      </c>
      <c r="AK207" s="52"/>
      <c r="AL207" s="53"/>
      <c r="AM207" s="51">
        <f t="shared" ref="AM207:AN207" si="535">SUM(AM201:AM206)</f>
        <v>0</v>
      </c>
      <c r="AN207" s="68">
        <f t="shared" si="535"/>
        <v>0</v>
      </c>
      <c r="AO207" s="52"/>
      <c r="AP207" s="53"/>
      <c r="AQ207" s="51">
        <f t="shared" ref="AQ207:AR207" si="536">SUM(AQ201:AQ206)</f>
        <v>0</v>
      </c>
      <c r="AR207" s="68">
        <f t="shared" si="536"/>
        <v>0</v>
      </c>
      <c r="AS207" s="53"/>
      <c r="AT207" s="53"/>
      <c r="AU207" s="51">
        <f t="shared" ref="AU207:AV207" si="537">SUM(AU201:AU206)</f>
        <v>0</v>
      </c>
      <c r="AV207" s="51">
        <f t="shared" si="537"/>
        <v>0</v>
      </c>
      <c r="AW207" s="52"/>
      <c r="AX207" s="53"/>
      <c r="AY207" s="51">
        <f t="shared" ref="AY207:AZ207" si="538">SUM(AY201:AY206)</f>
        <v>0</v>
      </c>
      <c r="AZ207" s="68">
        <f t="shared" si="538"/>
        <v>0</v>
      </c>
      <c r="BA207" s="53"/>
      <c r="BB207" s="53"/>
      <c r="BC207" s="51">
        <f t="shared" ref="BC207:BD207" si="539">SUM(BC201:BC206)</f>
        <v>0</v>
      </c>
      <c r="BD207" s="51">
        <f t="shared" si="539"/>
        <v>0</v>
      </c>
      <c r="BE207" s="69"/>
      <c r="BF207" s="70">
        <f t="shared" ref="BF207:BH207" si="540">SUM(BF200:BF206)</f>
        <v>4644.0352</v>
      </c>
      <c r="BG207" s="71">
        <f t="shared" si="540"/>
        <v>0</v>
      </c>
      <c r="BH207" s="72">
        <f t="shared" si="540"/>
        <v>16094.0352</v>
      </c>
      <c r="BI207" s="34">
        <f>H207+BF207-BG207</f>
        <v>16094.0352</v>
      </c>
      <c r="BJ207" s="34">
        <f>BH207-BI207</f>
        <v>0</v>
      </c>
    </row>
    <row r="208" ht="15.75" customHeight="1" hidden="1" spans="1:60" x14ac:dyDescent="0.25">
      <c r="A208" s="79" t="s">
        <v>139</v>
      </c>
      <c r="B208" s="14"/>
      <c r="D208" s="14" t="s">
        <v>42</v>
      </c>
      <c r="F208" s="13"/>
      <c r="G208" s="28"/>
      <c r="I208" s="13"/>
      <c r="J208" s="15"/>
      <c r="K208" s="15"/>
      <c r="L208" s="28"/>
      <c r="Q208" s="13"/>
      <c r="R208" s="15"/>
      <c r="S208" s="15"/>
      <c r="T208" s="28"/>
      <c r="Y208" s="13"/>
      <c r="Z208" s="15"/>
      <c r="AA208" s="15"/>
      <c r="AB208" s="28"/>
      <c r="AG208" s="13"/>
      <c r="AH208" s="15"/>
      <c r="AI208" s="15"/>
      <c r="AJ208" s="28"/>
      <c r="AK208" s="13"/>
      <c r="AL208" s="15"/>
      <c r="AM208" s="15"/>
      <c r="AN208" s="28"/>
      <c r="AO208" s="13"/>
      <c r="AP208" s="15"/>
      <c r="AQ208" s="15"/>
      <c r="AR208" s="28"/>
      <c r="AW208" s="13"/>
      <c r="AX208" s="15"/>
      <c r="AY208" s="15"/>
      <c r="AZ208" s="28"/>
      <c r="BE208" s="14"/>
      <c r="BF208" s="13"/>
      <c r="BG208" s="15"/>
      <c r="BH208" s="28"/>
    </row>
    <row r="209" ht="15.75" customHeight="1" hidden="1" spans="1:64" x14ac:dyDescent="0.25">
      <c r="A209" s="89" t="s">
        <v>139</v>
      </c>
      <c r="B209" s="14">
        <f>3.96+4.05</f>
        <v>8.01</v>
      </c>
      <c r="C209" s="2" t="s">
        <v>140</v>
      </c>
      <c r="D209" s="14" t="s">
        <v>44</v>
      </c>
      <c r="E209" s="2" t="s">
        <v>45</v>
      </c>
      <c r="F209" s="13">
        <v>2.49</v>
      </c>
      <c r="G209" s="28"/>
      <c r="H209" s="34">
        <v>-1640.99</v>
      </c>
      <c r="I209" s="13">
        <v>8117</v>
      </c>
      <c r="J209" s="15">
        <v>1129</v>
      </c>
      <c r="K209" s="34">
        <f>J209*$F$8</f>
        <v>2811.21</v>
      </c>
      <c r="L209" s="35">
        <v>2000</v>
      </c>
      <c r="M209" s="37">
        <v>9121</v>
      </c>
      <c r="N209" s="37">
        <f>M209-I209</f>
        <v>1004</v>
      </c>
      <c r="O209" s="34">
        <f>N209*$F$8</f>
        <v>2499.96</v>
      </c>
      <c r="Q209" s="13">
        <v>9921</v>
      </c>
      <c r="R209" s="37">
        <f>Q209-M209</f>
        <v>800</v>
      </c>
      <c r="S209" s="34">
        <f>R209*$F$8</f>
        <v>1992</v>
      </c>
      <c r="T209" s="35">
        <v>2000</v>
      </c>
      <c r="U209" s="2">
        <v>10418</v>
      </c>
      <c r="V209" s="15">
        <f>U209-Q209</f>
        <v>497</v>
      </c>
      <c r="W209" s="34">
        <f>V209*$F$8</f>
        <v>1237.53</v>
      </c>
      <c r="X209" s="34">
        <v>2000</v>
      </c>
      <c r="Y209" s="36">
        <v>10638</v>
      </c>
      <c r="Z209" s="37">
        <f>Y209-U209</f>
        <v>220</v>
      </c>
      <c r="AA209" s="34">
        <f>Z209*$F$8</f>
        <v>547.8</v>
      </c>
      <c r="AB209" s="35">
        <v>2000</v>
      </c>
      <c r="AC209" s="37">
        <v>10785</v>
      </c>
      <c r="AD209" s="37">
        <f t="shared" ref="AD209:AD210" si="541">AC209-Y209</f>
        <v>147</v>
      </c>
      <c r="AE209" s="34">
        <f>AD209*$F$8</f>
        <v>366.03</v>
      </c>
      <c r="AG209" s="13">
        <v>10882</v>
      </c>
      <c r="AH209" s="37">
        <f t="shared" ref="AH209:AH210" si="542">AG209-AC209</f>
        <v>97</v>
      </c>
      <c r="AI209" s="34">
        <f>AH209*$F$8</f>
        <v>241.53</v>
      </c>
      <c r="AJ209" s="28"/>
      <c r="AK209" s="13">
        <v>11038</v>
      </c>
      <c r="AL209" s="15">
        <f t="shared" ref="AL209:AL210" si="543">AK209-AG209</f>
        <v>156</v>
      </c>
      <c r="AM209" s="34">
        <f>AL209*$F$8</f>
        <v>388.44</v>
      </c>
      <c r="AN209" s="28"/>
      <c r="AO209" s="13">
        <v>11295</v>
      </c>
      <c r="AP209" s="15">
        <f t="shared" ref="AP209:AP210" si="544">AO209-AK209</f>
        <v>257</v>
      </c>
      <c r="AQ209" s="34">
        <f>AP209*$F$8</f>
        <v>639.93</v>
      </c>
      <c r="AR209" s="32">
        <v>1083.44</v>
      </c>
      <c r="AS209" s="15">
        <v>11767</v>
      </c>
      <c r="AT209" s="15">
        <f>AS209-AO209</f>
        <v>472</v>
      </c>
      <c r="AU209" s="34">
        <f>AT209*$F$8</f>
        <v>1175.28</v>
      </c>
      <c r="AV209" s="15"/>
      <c r="AW209" s="13">
        <v>12187</v>
      </c>
      <c r="AX209" s="15">
        <f>AW209-AS209</f>
        <v>420</v>
      </c>
      <c r="AY209" s="34">
        <f>AX209*$F$8</f>
        <v>1045.8</v>
      </c>
      <c r="AZ209" s="38">
        <v>2000</v>
      </c>
      <c r="BA209" s="15">
        <v>12936</v>
      </c>
      <c r="BB209" s="15">
        <f>BA209-AW209</f>
        <v>749</v>
      </c>
      <c r="BC209" s="34">
        <f>BB209*$F$8</f>
        <v>1865.01</v>
      </c>
      <c r="BD209" s="39">
        <f>700+1772.04</f>
        <v>2472.04</v>
      </c>
      <c r="BE209" s="40">
        <f t="shared" ref="BE209:BG209" si="545">J209+N209+R209+V209+Z209+AD209+AH209+AL209+AP209+AT209+AX209+BB209</f>
        <v>5948</v>
      </c>
      <c r="BF209" s="41">
        <f t="shared" si="545"/>
        <v>14810.52</v>
      </c>
      <c r="BG209" s="34">
        <f t="shared" si="545"/>
        <v>13555.48</v>
      </c>
      <c r="BH209" s="35">
        <f t="shared" ref="BH209:BH214" si="546">H209+BF209-BG209</f>
        <v>-385.95</v>
      </c>
      <c r="BK209" s="2">
        <f t="shared" ref="BK209:BL209" si="547">700+1772.04</f>
        <v>2472.04</v>
      </c>
      <c r="BL209" s="2">
        <f t="shared" si="547"/>
        <v>2472.04</v>
      </c>
    </row>
    <row r="210" ht="15.75" customHeight="1" hidden="1" spans="1:60" x14ac:dyDescent="0.25">
      <c r="A210" s="79" t="s">
        <v>139</v>
      </c>
      <c r="B210" s="14"/>
      <c r="C210" s="2" t="s">
        <v>141</v>
      </c>
      <c r="D210" s="14" t="s">
        <v>47</v>
      </c>
      <c r="E210" s="2" t="s">
        <v>48</v>
      </c>
      <c r="F210" s="13">
        <v>17.16</v>
      </c>
      <c r="G210" s="28"/>
      <c r="H210" s="81">
        <f>1*17.16</f>
        <v>17.16</v>
      </c>
      <c r="I210" s="13"/>
      <c r="J210" s="15"/>
      <c r="K210" s="15"/>
      <c r="L210" s="28"/>
      <c r="Q210" s="13"/>
      <c r="R210" s="15"/>
      <c r="S210" s="15"/>
      <c r="T210" s="28"/>
      <c r="Y210" s="13">
        <f>19+45</f>
        <v>64</v>
      </c>
      <c r="Z210" s="15"/>
      <c r="AA210" s="15"/>
      <c r="AB210" s="28"/>
      <c r="AC210" s="13">
        <f>19+45</f>
        <v>64</v>
      </c>
      <c r="AD210" s="15">
        <f t="shared" si="541"/>
        <v>0</v>
      </c>
      <c r="AE210" s="34">
        <f>AD210*$F$10</f>
        <v>0</v>
      </c>
      <c r="AG210" s="13">
        <f>19+61</f>
        <v>80</v>
      </c>
      <c r="AH210" s="15">
        <f t="shared" si="542"/>
        <v>16</v>
      </c>
      <c r="AI210" s="45">
        <f>AH210*$G$10</f>
        <v>282.88</v>
      </c>
      <c r="AJ210" s="32">
        <v>300.04</v>
      </c>
      <c r="AK210" s="13">
        <f>19+61</f>
        <v>80</v>
      </c>
      <c r="AL210" s="15">
        <f t="shared" si="543"/>
        <v>0</v>
      </c>
      <c r="AM210" s="45">
        <f>AL210*$G$10</f>
        <v>0</v>
      </c>
      <c r="AN210" s="28"/>
      <c r="AO210" s="13">
        <f>19+66</f>
        <v>85</v>
      </c>
      <c r="AP210" s="15">
        <f t="shared" si="544"/>
        <v>5</v>
      </c>
      <c r="AQ210" s="45">
        <f>AP210*$G$10</f>
        <v>88.4</v>
      </c>
      <c r="AR210" s="38">
        <v>88.4</v>
      </c>
      <c r="AS210" s="15"/>
      <c r="AT210" s="15"/>
      <c r="AU210" s="15"/>
      <c r="AV210" s="15"/>
      <c r="AW210" s="13"/>
      <c r="AX210" s="15"/>
      <c r="AY210" s="15"/>
      <c r="AZ210" s="28"/>
      <c r="BA210" s="15"/>
      <c r="BB210" s="15"/>
      <c r="BC210" s="15"/>
      <c r="BD210" s="15"/>
      <c r="BE210" s="40">
        <f t="shared" ref="BE210:BG210" si="548">J210+N210+R210+V210+Z210+AD210+AH210+AL210+AP210+AT210+AX210+BB210</f>
        <v>21</v>
      </c>
      <c r="BF210" s="41">
        <f t="shared" si="548"/>
        <v>371.28</v>
      </c>
      <c r="BG210" s="34">
        <f t="shared" si="548"/>
        <v>388.44</v>
      </c>
      <c r="BH210" s="35">
        <f t="shared" si="546"/>
        <v>0</v>
      </c>
    </row>
    <row r="211" ht="15.75" customHeight="1" hidden="1" spans="1:60" x14ac:dyDescent="0.25">
      <c r="A211" s="79" t="s">
        <v>139</v>
      </c>
      <c r="B211" s="14"/>
      <c r="C211" s="2" t="s">
        <v>142</v>
      </c>
      <c r="D211" s="14" t="s">
        <v>47</v>
      </c>
      <c r="E211" s="2" t="s">
        <v>49</v>
      </c>
      <c r="F211" s="41">
        <v>300</v>
      </c>
      <c r="G211" s="28"/>
      <c r="I211" s="13"/>
      <c r="J211" s="15"/>
      <c r="K211" s="15"/>
      <c r="L211" s="28"/>
      <c r="Q211" s="13"/>
      <c r="R211" s="15"/>
      <c r="S211" s="15"/>
      <c r="T211" s="28"/>
      <c r="Y211" s="13"/>
      <c r="Z211" s="15"/>
      <c r="AA211" s="15"/>
      <c r="AB211" s="28"/>
      <c r="AG211" s="13"/>
      <c r="AH211" s="15"/>
      <c r="AI211" s="15"/>
      <c r="AJ211" s="28"/>
      <c r="AK211" s="13"/>
      <c r="AL211" s="15"/>
      <c r="AM211" s="34"/>
      <c r="AN211" s="28"/>
      <c r="AO211" s="13"/>
      <c r="AP211" s="15"/>
      <c r="AQ211" s="34"/>
      <c r="AR211" s="28"/>
      <c r="AS211" s="15"/>
      <c r="AT211" s="15"/>
      <c r="AU211" s="15"/>
      <c r="AV211" s="15"/>
      <c r="AW211" s="13"/>
      <c r="AX211" s="15"/>
      <c r="AY211" s="15"/>
      <c r="AZ211" s="28"/>
      <c r="BA211" s="15"/>
      <c r="BB211" s="15"/>
      <c r="BC211" s="15"/>
      <c r="BD211" s="15"/>
      <c r="BE211" s="14"/>
      <c r="BF211" s="41">
        <f t="shared" ref="BF211:BG211" si="549">K211+O211+S211+W211+AA211+AE211+AI211+AM211+AQ211+AU211+AY211+BC211</f>
        <v>0</v>
      </c>
      <c r="BG211" s="34">
        <f t="shared" si="549"/>
        <v>0</v>
      </c>
      <c r="BH211" s="35">
        <f t="shared" si="546"/>
        <v>0</v>
      </c>
    </row>
    <row r="212" ht="15.75" customHeight="1" hidden="1" spans="1:60" x14ac:dyDescent="0.25">
      <c r="A212" s="79" t="s">
        <v>139</v>
      </c>
      <c r="B212" s="14"/>
      <c r="C212" s="2" t="s">
        <v>143</v>
      </c>
      <c r="D212" s="14" t="s">
        <v>50</v>
      </c>
      <c r="E212" s="2" t="s">
        <v>49</v>
      </c>
      <c r="F212" s="41">
        <v>1062.88</v>
      </c>
      <c r="G212" s="28"/>
      <c r="I212" s="13"/>
      <c r="J212" s="15"/>
      <c r="K212" s="15"/>
      <c r="L212" s="28"/>
      <c r="Q212" s="13"/>
      <c r="R212" s="15"/>
      <c r="S212" s="15"/>
      <c r="T212" s="28"/>
      <c r="Y212" s="13"/>
      <c r="Z212" s="15"/>
      <c r="AA212" s="15"/>
      <c r="AB212" s="28"/>
      <c r="AE212" s="34">
        <f>B209*$F$12</f>
        <v>8513.6688</v>
      </c>
      <c r="AG212" s="13"/>
      <c r="AH212" s="15"/>
      <c r="AI212" s="15"/>
      <c r="AJ212" s="32">
        <v>2199.96</v>
      </c>
      <c r="AK212" s="13"/>
      <c r="AL212" s="15"/>
      <c r="AM212" s="15"/>
      <c r="AN212" s="38">
        <v>2000</v>
      </c>
      <c r="AO212" s="13"/>
      <c r="AP212" s="15"/>
      <c r="AQ212" s="15"/>
      <c r="AR212" s="32">
        <v>4313.71</v>
      </c>
      <c r="AS212" s="15"/>
      <c r="AT212" s="15"/>
      <c r="AU212" s="15"/>
      <c r="AV212" s="15"/>
      <c r="AW212" s="13"/>
      <c r="AX212" s="15"/>
      <c r="AY212" s="15"/>
      <c r="AZ212" s="28"/>
      <c r="BA212" s="15"/>
      <c r="BB212" s="15"/>
      <c r="BC212" s="15"/>
      <c r="BD212" s="15"/>
      <c r="BE212" s="14"/>
      <c r="BF212" s="41">
        <f>B209*$F$12</f>
        <v>8513.6688</v>
      </c>
      <c r="BG212" s="34">
        <f t="shared" ref="BG212:BG214" si="550">L212+P212+T212+X212+AB212+AF212+AJ212+AN212+AR212+AV212+AZ212+BD212</f>
        <v>8513.67</v>
      </c>
      <c r="BH212" s="35">
        <f t="shared" si="546"/>
        <v>-0.001199999999</v>
      </c>
    </row>
    <row r="213" ht="15.75" customHeight="1" hidden="1" spans="1:60" x14ac:dyDescent="0.25">
      <c r="A213" s="79" t="s">
        <v>139</v>
      </c>
      <c r="B213" s="14"/>
      <c r="C213" s="2" t="s">
        <v>144</v>
      </c>
      <c r="D213" s="14" t="s">
        <v>51</v>
      </c>
      <c r="E213" s="2" t="s">
        <v>49</v>
      </c>
      <c r="F213" s="41">
        <v>0</v>
      </c>
      <c r="G213" s="28"/>
      <c r="I213" s="13"/>
      <c r="J213" s="15"/>
      <c r="K213" s="15"/>
      <c r="L213" s="28"/>
      <c r="Q213" s="13"/>
      <c r="R213" s="15"/>
      <c r="S213" s="15"/>
      <c r="T213" s="28"/>
      <c r="Y213" s="13"/>
      <c r="Z213" s="15"/>
      <c r="AA213" s="15"/>
      <c r="AB213" s="28"/>
      <c r="AG213" s="13"/>
      <c r="AH213" s="15"/>
      <c r="AI213" s="15"/>
      <c r="AJ213" s="28"/>
      <c r="AK213" s="13"/>
      <c r="AL213" s="15"/>
      <c r="AM213" s="15"/>
      <c r="AN213" s="28"/>
      <c r="AO213" s="13"/>
      <c r="AP213" s="15"/>
      <c r="AQ213" s="15"/>
      <c r="AR213" s="28"/>
      <c r="AS213" s="15"/>
      <c r="AT213" s="15"/>
      <c r="AU213" s="15"/>
      <c r="AV213" s="15"/>
      <c r="AW213" s="13"/>
      <c r="AX213" s="15"/>
      <c r="AY213" s="15"/>
      <c r="AZ213" s="28"/>
      <c r="BA213" s="15"/>
      <c r="BB213" s="15"/>
      <c r="BC213" s="15"/>
      <c r="BD213" s="15"/>
      <c r="BE213" s="14"/>
      <c r="BF213" s="41">
        <f>B209*$F$13</f>
        <v>0</v>
      </c>
      <c r="BG213" s="34">
        <f t="shared" si="550"/>
        <v>0</v>
      </c>
      <c r="BH213" s="35">
        <f t="shared" si="546"/>
        <v>0</v>
      </c>
    </row>
    <row r="214" ht="15.75" customHeight="1" hidden="1" spans="1:60" x14ac:dyDescent="0.25">
      <c r="A214" s="79" t="s">
        <v>139</v>
      </c>
      <c r="B214" s="14"/>
      <c r="C214" s="2" t="s">
        <v>145</v>
      </c>
      <c r="D214" s="14" t="s">
        <v>52</v>
      </c>
      <c r="E214" s="2" t="s">
        <v>39</v>
      </c>
      <c r="F214" s="41">
        <v>350</v>
      </c>
      <c r="G214" s="28"/>
      <c r="H214" s="84">
        <f>-350*2</f>
        <v>-700</v>
      </c>
      <c r="I214" s="13"/>
      <c r="J214" s="15"/>
      <c r="K214" s="15"/>
      <c r="L214" s="28"/>
      <c r="Q214" s="13"/>
      <c r="R214" s="15"/>
      <c r="S214" s="15"/>
      <c r="T214" s="28"/>
      <c r="Y214" s="13"/>
      <c r="Z214" s="15"/>
      <c r="AA214" s="34">
        <f>$F$14*2</f>
        <v>700</v>
      </c>
      <c r="AB214" s="28"/>
      <c r="AG214" s="13"/>
      <c r="AH214" s="15"/>
      <c r="AI214" s="15"/>
      <c r="AJ214" s="28"/>
      <c r="AK214" s="13"/>
      <c r="AL214" s="15"/>
      <c r="AM214" s="15"/>
      <c r="AN214" s="28"/>
      <c r="AO214" s="13"/>
      <c r="AP214" s="15"/>
      <c r="AQ214" s="15"/>
      <c r="AR214" s="28"/>
      <c r="AS214" s="15"/>
      <c r="AT214" s="15"/>
      <c r="AU214" s="15"/>
      <c r="AV214" s="15"/>
      <c r="AW214" s="13"/>
      <c r="AX214" s="15"/>
      <c r="AY214" s="15"/>
      <c r="AZ214" s="28"/>
      <c r="BA214" s="15"/>
      <c r="BB214" s="15"/>
      <c r="BC214" s="15"/>
      <c r="BD214" s="15"/>
      <c r="BE214" s="14"/>
      <c r="BF214" s="41">
        <f>$F$14*2</f>
        <v>700</v>
      </c>
      <c r="BG214" s="34">
        <f t="shared" si="550"/>
        <v>0</v>
      </c>
      <c r="BH214" s="35">
        <f t="shared" si="546"/>
        <v>0</v>
      </c>
    </row>
    <row r="215" ht="15.75" customHeight="1" hidden="1" spans="1:62" x14ac:dyDescent="0.25">
      <c r="A215" s="50" t="s">
        <v>139</v>
      </c>
      <c r="B215" s="21"/>
      <c r="C215" s="22" t="s">
        <v>53</v>
      </c>
      <c r="D215" s="21"/>
      <c r="E215" s="22"/>
      <c r="F215" s="20"/>
      <c r="G215" s="23"/>
      <c r="H215" s="51">
        <f>SUM(H208:H214)</f>
        <v>-2323.83</v>
      </c>
      <c r="I215" s="52"/>
      <c r="J215" s="53"/>
      <c r="K215" s="51">
        <f t="shared" ref="K215:L215" si="551">SUM(K208:K214)</f>
        <v>2811.21</v>
      </c>
      <c r="L215" s="68">
        <f t="shared" si="551"/>
        <v>2000</v>
      </c>
      <c r="M215" s="53"/>
      <c r="N215" s="53"/>
      <c r="O215" s="51">
        <f t="shared" ref="O215:P215" si="552">SUM(O209:O214)</f>
        <v>2499.96</v>
      </c>
      <c r="P215" s="51">
        <f t="shared" si="552"/>
        <v>0</v>
      </c>
      <c r="Q215" s="52"/>
      <c r="R215" s="53"/>
      <c r="S215" s="51">
        <f t="shared" ref="S215:T215" si="553">SUM(S209:S214)</f>
        <v>1992</v>
      </c>
      <c r="T215" s="68">
        <f t="shared" si="553"/>
        <v>2000</v>
      </c>
      <c r="U215" s="53"/>
      <c r="V215" s="53"/>
      <c r="W215" s="51">
        <f t="shared" ref="W215:X215" si="554">SUM(W209:W214)</f>
        <v>1237.53</v>
      </c>
      <c r="X215" s="51">
        <f t="shared" si="554"/>
        <v>2000</v>
      </c>
      <c r="Y215" s="52"/>
      <c r="Z215" s="53"/>
      <c r="AA215" s="51">
        <f t="shared" ref="AA215:AB215" si="555">SUM(AA209:AA214)</f>
        <v>1247.8</v>
      </c>
      <c r="AB215" s="68">
        <f t="shared" si="555"/>
        <v>2000</v>
      </c>
      <c r="AC215" s="53"/>
      <c r="AD215" s="53"/>
      <c r="AE215" s="51">
        <f t="shared" ref="AE215:AF215" si="556">SUM(AE209:AE214)</f>
        <v>8879.6988</v>
      </c>
      <c r="AF215" s="51">
        <f t="shared" si="556"/>
        <v>0</v>
      </c>
      <c r="AG215" s="52"/>
      <c r="AH215" s="53"/>
      <c r="AI215" s="51">
        <f t="shared" ref="AI215:AJ215" si="557">SUM(AI209:AI214)</f>
        <v>524.41</v>
      </c>
      <c r="AJ215" s="68">
        <f t="shared" si="557"/>
        <v>2500</v>
      </c>
      <c r="AK215" s="52"/>
      <c r="AL215" s="53"/>
      <c r="AM215" s="51">
        <f t="shared" ref="AM215:AN215" si="558">SUM(AM209:AM214)</f>
        <v>388.44</v>
      </c>
      <c r="AN215" s="68">
        <f t="shared" si="558"/>
        <v>2000</v>
      </c>
      <c r="AO215" s="52"/>
      <c r="AP215" s="53"/>
      <c r="AQ215" s="51">
        <f t="shared" ref="AQ215:AR215" si="559">SUM(AQ209:AQ214)</f>
        <v>728.33</v>
      </c>
      <c r="AR215" s="68">
        <f t="shared" si="559"/>
        <v>5485.55</v>
      </c>
      <c r="AS215" s="53"/>
      <c r="AT215" s="53"/>
      <c r="AU215" s="51">
        <f t="shared" ref="AU215:AV215" si="560">SUM(AU209:AU214)</f>
        <v>1175.28</v>
      </c>
      <c r="AV215" s="51">
        <f t="shared" si="560"/>
        <v>0</v>
      </c>
      <c r="AW215" s="52"/>
      <c r="AX215" s="53"/>
      <c r="AY215" s="51">
        <f t="shared" ref="AY215:AZ215" si="561">SUM(AY209:AY214)</f>
        <v>1045.8</v>
      </c>
      <c r="AZ215" s="68">
        <f t="shared" si="561"/>
        <v>2000</v>
      </c>
      <c r="BA215" s="53"/>
      <c r="BB215" s="53"/>
      <c r="BC215" s="51">
        <f t="shared" ref="BC215:BD215" si="562">SUM(BC209:BC214)</f>
        <v>1865.01</v>
      </c>
      <c r="BD215" s="51">
        <f t="shared" si="562"/>
        <v>2472.04</v>
      </c>
      <c r="BE215" s="69"/>
      <c r="BF215" s="70">
        <f t="shared" ref="BF215:BH215" si="563">SUM(BF208:BF214)</f>
        <v>24395.4688</v>
      </c>
      <c r="BG215" s="71">
        <f t="shared" si="563"/>
        <v>22457.59</v>
      </c>
      <c r="BH215" s="72">
        <f t="shared" si="563"/>
        <v>-385.9512</v>
      </c>
      <c r="BI215" s="34">
        <f>H215+BF215-BG215</f>
        <v>-385.9512</v>
      </c>
      <c r="BJ215" s="34">
        <f>BH215-BI215</f>
        <v>0</v>
      </c>
    </row>
    <row r="216" ht="15.75" customHeight="1" hidden="1" spans="1:60" x14ac:dyDescent="0.25">
      <c r="A216" s="29">
        <v>29</v>
      </c>
      <c r="B216" s="14"/>
      <c r="D216" s="14" t="s">
        <v>42</v>
      </c>
      <c r="F216" s="13"/>
      <c r="G216" s="28"/>
      <c r="I216" s="13"/>
      <c r="J216" s="15"/>
      <c r="K216" s="15"/>
      <c r="L216" s="28"/>
      <c r="Q216" s="13"/>
      <c r="R216" s="15"/>
      <c r="S216" s="15"/>
      <c r="T216" s="28"/>
      <c r="Y216" s="13"/>
      <c r="Z216" s="15"/>
      <c r="AA216" s="15"/>
      <c r="AB216" s="28"/>
      <c r="AG216" s="13"/>
      <c r="AH216" s="15"/>
      <c r="AI216" s="15"/>
      <c r="AJ216" s="28"/>
      <c r="AK216" s="13"/>
      <c r="AL216" s="15"/>
      <c r="AM216" s="15"/>
      <c r="AN216" s="28"/>
      <c r="AO216" s="13"/>
      <c r="AP216" s="15"/>
      <c r="AQ216" s="15"/>
      <c r="AR216" s="28"/>
      <c r="AW216" s="13"/>
      <c r="AX216" s="15"/>
      <c r="AY216" s="15"/>
      <c r="AZ216" s="28"/>
      <c r="BE216" s="14"/>
      <c r="BF216" s="13"/>
      <c r="BG216" s="15"/>
      <c r="BH216" s="28"/>
    </row>
    <row r="217" ht="15.75" customHeight="1" hidden="1" spans="1:60" x14ac:dyDescent="0.25">
      <c r="A217" s="2">
        <v>29</v>
      </c>
      <c r="B217" s="14">
        <v>4.02</v>
      </c>
      <c r="C217" s="2" t="s">
        <v>146</v>
      </c>
      <c r="D217" s="14" t="s">
        <v>44</v>
      </c>
      <c r="E217" s="2" t="s">
        <v>45</v>
      </c>
      <c r="F217" s="13">
        <v>2.49</v>
      </c>
      <c r="G217" s="28"/>
      <c r="H217" s="74"/>
      <c r="I217" s="13"/>
      <c r="J217" s="15"/>
      <c r="K217" s="15"/>
      <c r="L217" s="28"/>
      <c r="Q217" s="13"/>
      <c r="R217" s="15"/>
      <c r="S217" s="15"/>
      <c r="T217" s="28"/>
      <c r="Y217" s="13"/>
      <c r="Z217" s="15">
        <f>Y217-U217</f>
        <v>0</v>
      </c>
      <c r="AA217" s="34">
        <f>Z217*$F$8</f>
        <v>0</v>
      </c>
      <c r="AB217" s="28"/>
      <c r="AC217" s="15"/>
      <c r="AD217" s="15">
        <f t="shared" ref="AD217:AD218" si="564">AC217-Y217</f>
        <v>0</v>
      </c>
      <c r="AE217" s="34">
        <f>AD217*$F$8</f>
        <v>0</v>
      </c>
      <c r="AG217" s="13"/>
      <c r="AH217" s="15">
        <f t="shared" ref="AH217:AH218" si="565">AG217-AC217</f>
        <v>0</v>
      </c>
      <c r="AI217" s="34">
        <f>AH217*$F$8</f>
        <v>0</v>
      </c>
      <c r="AJ217" s="28"/>
      <c r="AK217" s="13"/>
      <c r="AL217" s="15">
        <f t="shared" ref="AL217:AL218" si="566">AK217-AG217</f>
        <v>0</v>
      </c>
      <c r="AM217" s="34">
        <f>AL217*$F$8</f>
        <v>0</v>
      </c>
      <c r="AN217" s="28"/>
      <c r="AO217" s="13"/>
      <c r="AP217" s="15"/>
      <c r="AQ217" s="34">
        <f>AP217*$F$8</f>
        <v>0</v>
      </c>
      <c r="AR217" s="28"/>
      <c r="AS217" s="15"/>
      <c r="AT217" s="15"/>
      <c r="AU217" s="34">
        <f>AT217*$F$8</f>
        <v>0</v>
      </c>
      <c r="AV217" s="15"/>
      <c r="AW217" s="13"/>
      <c r="AX217" s="15"/>
      <c r="AY217" s="34">
        <f>AX217*$F$8</f>
        <v>0</v>
      </c>
      <c r="AZ217" s="28"/>
      <c r="BA217" s="15"/>
      <c r="BB217" s="15"/>
      <c r="BC217" s="34">
        <f>BB217*$F$8</f>
        <v>0</v>
      </c>
      <c r="BD217" s="15"/>
      <c r="BE217" s="40">
        <f t="shared" ref="BE217:BG217" si="567">J217+N217+R217+V217+Z217+AD217+AH217+AL217+AP217+AT217+AX217+BB217</f>
        <v>0</v>
      </c>
      <c r="BF217" s="41">
        <f t="shared" si="567"/>
        <v>0</v>
      </c>
      <c r="BG217" s="34">
        <f t="shared" si="567"/>
        <v>0</v>
      </c>
      <c r="BH217" s="35">
        <f t="shared" ref="BH217:BH222" si="568">H217+BF217-BG217</f>
        <v>0</v>
      </c>
    </row>
    <row r="218" ht="15.75" customHeight="1" hidden="1" spans="1:60" x14ac:dyDescent="0.25">
      <c r="A218" s="29">
        <v>29</v>
      </c>
      <c r="B218" s="14"/>
      <c r="C218" s="2" t="s">
        <v>87</v>
      </c>
      <c r="D218" s="14" t="s">
        <v>47</v>
      </c>
      <c r="E218" s="2" t="s">
        <v>48</v>
      </c>
      <c r="F218" s="13">
        <v>17.16</v>
      </c>
      <c r="G218" s="28"/>
      <c r="H218" s="73">
        <f>-(1*17.16)+2.64</f>
        <v>-14.52</v>
      </c>
      <c r="I218" s="13"/>
      <c r="J218" s="15"/>
      <c r="K218" s="15"/>
      <c r="L218" s="28"/>
      <c r="Q218" s="13"/>
      <c r="R218" s="15"/>
      <c r="S218" s="15"/>
      <c r="T218" s="28"/>
      <c r="Y218" s="13">
        <v>17</v>
      </c>
      <c r="Z218" s="15"/>
      <c r="AA218" s="15"/>
      <c r="AB218" s="28"/>
      <c r="AC218" s="2">
        <v>17</v>
      </c>
      <c r="AD218" s="15">
        <f t="shared" si="564"/>
        <v>0</v>
      </c>
      <c r="AE218" s="34">
        <f>AD218*$F$10</f>
        <v>0</v>
      </c>
      <c r="AG218" s="13">
        <v>18</v>
      </c>
      <c r="AH218" s="15">
        <f t="shared" si="565"/>
        <v>1</v>
      </c>
      <c r="AI218" s="45">
        <f>AH218*$G$10</f>
        <v>17.68</v>
      </c>
      <c r="AJ218" s="32">
        <v>3.16</v>
      </c>
      <c r="AK218" s="13">
        <v>18</v>
      </c>
      <c r="AL218" s="15">
        <f t="shared" si="566"/>
        <v>0</v>
      </c>
      <c r="AM218" s="45">
        <f>AL218*$G$10</f>
        <v>0</v>
      </c>
      <c r="AN218" s="28"/>
      <c r="AO218" s="13">
        <v>19</v>
      </c>
      <c r="AP218" s="15">
        <f>AO218-AK218</f>
        <v>1</v>
      </c>
      <c r="AQ218" s="45">
        <f>AP218*$G$10</f>
        <v>17.68</v>
      </c>
      <c r="AR218" s="32">
        <v>17.68</v>
      </c>
      <c r="AS218" s="15"/>
      <c r="AT218" s="15"/>
      <c r="AU218" s="15"/>
      <c r="AV218" s="15"/>
      <c r="AW218" s="13"/>
      <c r="AX218" s="15"/>
      <c r="AY218" s="15"/>
      <c r="AZ218" s="28"/>
      <c r="BA218" s="15"/>
      <c r="BB218" s="15"/>
      <c r="BC218" s="15"/>
      <c r="BD218" s="15"/>
      <c r="BE218" s="40">
        <f t="shared" ref="BE218:BG218" si="569">J218+N218+R218+V218+Z218+AD218+AH218+AL218+AP218+AT218+AX218+BB218</f>
        <v>2</v>
      </c>
      <c r="BF218" s="41">
        <f t="shared" si="569"/>
        <v>35.36</v>
      </c>
      <c r="BG218" s="34">
        <f t="shared" si="569"/>
        <v>20.84</v>
      </c>
      <c r="BH218" s="35">
        <f t="shared" si="568"/>
        <v>0</v>
      </c>
    </row>
    <row r="219" ht="15.75" customHeight="1" hidden="1" spans="1:60" x14ac:dyDescent="0.25">
      <c r="A219" s="29">
        <v>29</v>
      </c>
      <c r="B219" s="14"/>
      <c r="C219" s="15" t="s">
        <v>147</v>
      </c>
      <c r="D219" s="14" t="s">
        <v>47</v>
      </c>
      <c r="E219" s="2" t="s">
        <v>49</v>
      </c>
      <c r="F219" s="41">
        <v>300</v>
      </c>
      <c r="G219" s="28"/>
      <c r="I219" s="13"/>
      <c r="J219" s="15"/>
      <c r="K219" s="15"/>
      <c r="L219" s="28"/>
      <c r="Q219" s="13"/>
      <c r="R219" s="15"/>
      <c r="S219" s="15"/>
      <c r="T219" s="28"/>
      <c r="Y219" s="13"/>
      <c r="Z219" s="15"/>
      <c r="AA219" s="15"/>
      <c r="AB219" s="28"/>
      <c r="AG219" s="13"/>
      <c r="AH219" s="15"/>
      <c r="AI219" s="15"/>
      <c r="AJ219" s="28"/>
      <c r="AK219" s="13"/>
      <c r="AL219" s="15"/>
      <c r="AM219" s="34"/>
      <c r="AN219" s="28"/>
      <c r="AO219" s="13"/>
      <c r="AP219" s="15"/>
      <c r="AQ219" s="34"/>
      <c r="AR219" s="28"/>
      <c r="AS219" s="15"/>
      <c r="AT219" s="15"/>
      <c r="AU219" s="15"/>
      <c r="AV219" s="15"/>
      <c r="AW219" s="13"/>
      <c r="AX219" s="15"/>
      <c r="AY219" s="15"/>
      <c r="AZ219" s="28"/>
      <c r="BA219" s="15"/>
      <c r="BB219" s="15"/>
      <c r="BC219" s="15"/>
      <c r="BD219" s="15"/>
      <c r="BE219" s="14"/>
      <c r="BF219" s="41">
        <f t="shared" ref="BF219:BG219" si="570">K219+O219+S219+W219+AA219+AE219+AI219+AM219+AQ219+AU219+AY219+BC219</f>
        <v>0</v>
      </c>
      <c r="BG219" s="34">
        <f t="shared" si="570"/>
        <v>0</v>
      </c>
      <c r="BH219" s="35">
        <f t="shared" si="568"/>
        <v>0</v>
      </c>
    </row>
    <row r="220" ht="15.75" customHeight="1" hidden="1" spans="1:60" x14ac:dyDescent="0.25">
      <c r="A220" s="29">
        <v>29</v>
      </c>
      <c r="B220" s="14"/>
      <c r="C220" s="2" t="s">
        <v>148</v>
      </c>
      <c r="D220" s="14" t="s">
        <v>50</v>
      </c>
      <c r="E220" s="2" t="s">
        <v>49</v>
      </c>
      <c r="F220" s="41">
        <v>1062.88</v>
      </c>
      <c r="G220" s="28"/>
      <c r="I220" s="13"/>
      <c r="J220" s="15"/>
      <c r="K220" s="15"/>
      <c r="L220" s="28"/>
      <c r="Q220" s="13"/>
      <c r="R220" s="15"/>
      <c r="S220" s="15"/>
      <c r="T220" s="28"/>
      <c r="Y220" s="13"/>
      <c r="Z220" s="15"/>
      <c r="AA220" s="15"/>
      <c r="AB220" s="28"/>
      <c r="AE220" s="34">
        <f>B217*$F$12</f>
        <v>4272.7776</v>
      </c>
      <c r="AG220" s="13"/>
      <c r="AH220" s="15"/>
      <c r="AI220" s="15"/>
      <c r="AJ220" s="32">
        <v>4272.78</v>
      </c>
      <c r="AK220" s="13"/>
      <c r="AL220" s="15"/>
      <c r="AM220" s="15"/>
      <c r="AN220" s="28"/>
      <c r="AO220" s="13"/>
      <c r="AP220" s="15"/>
      <c r="AQ220" s="15"/>
      <c r="AR220" s="28"/>
      <c r="AS220" s="15"/>
      <c r="AT220" s="15"/>
      <c r="AU220" s="15"/>
      <c r="AV220" s="15"/>
      <c r="AW220" s="13"/>
      <c r="AX220" s="15"/>
      <c r="AY220" s="15"/>
      <c r="AZ220" s="28"/>
      <c r="BA220" s="15"/>
      <c r="BB220" s="15"/>
      <c r="BC220" s="15"/>
      <c r="BD220" s="15"/>
      <c r="BE220" s="14"/>
      <c r="BF220" s="41">
        <f>B217*$F$12</f>
        <v>4272.7776</v>
      </c>
      <c r="BG220" s="34">
        <f t="shared" ref="BG220:BG222" si="571">L220+P220+T220+X220+AB220+AF220+AJ220+AN220+AR220+AV220+AZ220+BD220</f>
        <v>4272.78</v>
      </c>
      <c r="BH220" s="35">
        <f t="shared" si="568"/>
        <v>-0.002399999999</v>
      </c>
    </row>
    <row r="221" ht="15.75" customHeight="1" hidden="1" spans="1:60" x14ac:dyDescent="0.25">
      <c r="A221" s="29">
        <v>29</v>
      </c>
      <c r="B221" s="14"/>
      <c r="D221" s="14" t="s">
        <v>51</v>
      </c>
      <c r="E221" s="2" t="s">
        <v>49</v>
      </c>
      <c r="F221" s="41">
        <v>0</v>
      </c>
      <c r="G221" s="28"/>
      <c r="I221" s="13"/>
      <c r="J221" s="15"/>
      <c r="K221" s="15"/>
      <c r="L221" s="28"/>
      <c r="Q221" s="13"/>
      <c r="R221" s="15"/>
      <c r="S221" s="15"/>
      <c r="T221" s="28"/>
      <c r="Y221" s="13"/>
      <c r="Z221" s="15"/>
      <c r="AA221" s="15"/>
      <c r="AB221" s="28"/>
      <c r="AG221" s="13"/>
      <c r="AH221" s="15"/>
      <c r="AI221" s="15"/>
      <c r="AJ221" s="28"/>
      <c r="AK221" s="13"/>
      <c r="AL221" s="15"/>
      <c r="AM221" s="15"/>
      <c r="AN221" s="28"/>
      <c r="AO221" s="13"/>
      <c r="AP221" s="15"/>
      <c r="AQ221" s="15"/>
      <c r="AR221" s="28"/>
      <c r="AS221" s="15"/>
      <c r="AT221" s="15"/>
      <c r="AU221" s="15"/>
      <c r="AV221" s="15"/>
      <c r="AW221" s="13"/>
      <c r="AX221" s="15"/>
      <c r="AY221" s="15"/>
      <c r="AZ221" s="28"/>
      <c r="BA221" s="15"/>
      <c r="BB221" s="15"/>
      <c r="BC221" s="15"/>
      <c r="BD221" s="15"/>
      <c r="BE221" s="14"/>
      <c r="BF221" s="41">
        <f>B217*$F$13</f>
        <v>0</v>
      </c>
      <c r="BG221" s="34">
        <f t="shared" si="571"/>
        <v>0</v>
      </c>
      <c r="BH221" s="35">
        <f t="shared" si="568"/>
        <v>0</v>
      </c>
    </row>
    <row r="222" ht="15.75" customHeight="1" hidden="1" spans="1:60" x14ac:dyDescent="0.25">
      <c r="A222" s="29">
        <v>29</v>
      </c>
      <c r="B222" s="14"/>
      <c r="D222" s="14" t="s">
        <v>52</v>
      </c>
      <c r="E222" s="2" t="s">
        <v>39</v>
      </c>
      <c r="F222" s="41">
        <v>350</v>
      </c>
      <c r="G222" s="28"/>
      <c r="I222" s="13"/>
      <c r="J222" s="15"/>
      <c r="K222" s="15"/>
      <c r="L222" s="28"/>
      <c r="Q222" s="13"/>
      <c r="R222" s="15"/>
      <c r="S222" s="15"/>
      <c r="T222" s="28"/>
      <c r="Y222" s="13"/>
      <c r="Z222" s="15"/>
      <c r="AA222" s="34">
        <f>$F$14</f>
        <v>350</v>
      </c>
      <c r="AB222" s="28"/>
      <c r="AG222" s="13"/>
      <c r="AH222" s="15"/>
      <c r="AI222" s="15"/>
      <c r="AJ222" s="38">
        <v>350</v>
      </c>
      <c r="AK222" s="13"/>
      <c r="AL222" s="15"/>
      <c r="AM222" s="15"/>
      <c r="AN222" s="28"/>
      <c r="AO222" s="13"/>
      <c r="AP222" s="15"/>
      <c r="AQ222" s="15"/>
      <c r="AR222" s="28"/>
      <c r="AS222" s="15"/>
      <c r="AT222" s="15"/>
      <c r="AU222" s="15"/>
      <c r="AV222" s="15"/>
      <c r="AW222" s="13"/>
      <c r="AX222" s="15"/>
      <c r="AY222" s="15"/>
      <c r="AZ222" s="28"/>
      <c r="BA222" s="15"/>
      <c r="BB222" s="15"/>
      <c r="BC222" s="15"/>
      <c r="BD222" s="15"/>
      <c r="BE222" s="14"/>
      <c r="BF222" s="41">
        <f>$F$14</f>
        <v>350</v>
      </c>
      <c r="BG222" s="34">
        <f t="shared" si="571"/>
        <v>350</v>
      </c>
      <c r="BH222" s="35">
        <f t="shared" si="568"/>
        <v>0</v>
      </c>
    </row>
    <row r="223" ht="15.75" customHeight="1" hidden="1" spans="1:62" x14ac:dyDescent="0.25">
      <c r="A223" s="50">
        <v>29</v>
      </c>
      <c r="B223" s="21"/>
      <c r="C223" s="22" t="s">
        <v>53</v>
      </c>
      <c r="D223" s="21"/>
      <c r="E223" s="22"/>
      <c r="F223" s="20"/>
      <c r="G223" s="23"/>
      <c r="H223" s="51">
        <f>SUM(H216:H222)</f>
        <v>-14.52</v>
      </c>
      <c r="I223" s="52"/>
      <c r="J223" s="53"/>
      <c r="K223" s="51">
        <f t="shared" ref="K223:L223" si="572">SUM(K216:K222)</f>
        <v>0</v>
      </c>
      <c r="L223" s="68">
        <f t="shared" si="572"/>
        <v>0</v>
      </c>
      <c r="M223" s="53"/>
      <c r="N223" s="53"/>
      <c r="O223" s="51">
        <f t="shared" ref="O223:P223" si="573">SUM(O217:O222)</f>
        <v>0</v>
      </c>
      <c r="P223" s="51">
        <f t="shared" si="573"/>
        <v>0</v>
      </c>
      <c r="Q223" s="52"/>
      <c r="R223" s="53"/>
      <c r="S223" s="51">
        <f t="shared" ref="S223:T223" si="574">SUM(S217:S222)</f>
        <v>0</v>
      </c>
      <c r="T223" s="68">
        <f t="shared" si="574"/>
        <v>0</v>
      </c>
      <c r="U223" s="53"/>
      <c r="V223" s="53"/>
      <c r="W223" s="51">
        <f t="shared" ref="W223:X223" si="575">SUM(W217:W222)</f>
        <v>0</v>
      </c>
      <c r="X223" s="51">
        <f t="shared" si="575"/>
        <v>0</v>
      </c>
      <c r="Y223" s="52"/>
      <c r="Z223" s="53"/>
      <c r="AA223" s="51">
        <f t="shared" ref="AA223:AB223" si="576">SUM(AA217:AA222)</f>
        <v>350</v>
      </c>
      <c r="AB223" s="68">
        <f t="shared" si="576"/>
        <v>0</v>
      </c>
      <c r="AC223" s="53"/>
      <c r="AD223" s="53"/>
      <c r="AE223" s="51">
        <f t="shared" ref="AE223:AF223" si="577">SUM(AE217:AE222)</f>
        <v>4272.7776</v>
      </c>
      <c r="AF223" s="51">
        <f t="shared" si="577"/>
        <v>0</v>
      </c>
      <c r="AG223" s="52"/>
      <c r="AH223" s="53"/>
      <c r="AI223" s="51">
        <f t="shared" ref="AI223:AJ223" si="578">SUM(AI217:AI222)</f>
        <v>17.68</v>
      </c>
      <c r="AJ223" s="68">
        <f t="shared" si="578"/>
        <v>4625.94</v>
      </c>
      <c r="AK223" s="52"/>
      <c r="AL223" s="53"/>
      <c r="AM223" s="51">
        <f t="shared" ref="AM223:AN223" si="579">SUM(AM217:AM222)</f>
        <v>0</v>
      </c>
      <c r="AN223" s="68">
        <f t="shared" si="579"/>
        <v>0</v>
      </c>
      <c r="AO223" s="52"/>
      <c r="AP223" s="53"/>
      <c r="AQ223" s="51">
        <f t="shared" ref="AQ223:AR223" si="580">SUM(AQ217:AQ222)</f>
        <v>17.68</v>
      </c>
      <c r="AR223" s="68">
        <f t="shared" si="580"/>
        <v>17.68</v>
      </c>
      <c r="AS223" s="53"/>
      <c r="AT223" s="53"/>
      <c r="AU223" s="51">
        <f t="shared" ref="AU223:AV223" si="581">SUM(AU217:AU222)</f>
        <v>0</v>
      </c>
      <c r="AV223" s="51">
        <f t="shared" si="581"/>
        <v>0</v>
      </c>
      <c r="AW223" s="52"/>
      <c r="AX223" s="53"/>
      <c r="AY223" s="51">
        <f t="shared" ref="AY223:AZ223" si="582">SUM(AY217:AY222)</f>
        <v>0</v>
      </c>
      <c r="AZ223" s="68">
        <f t="shared" si="582"/>
        <v>0</v>
      </c>
      <c r="BA223" s="53"/>
      <c r="BB223" s="53"/>
      <c r="BC223" s="51">
        <f t="shared" ref="BC223:BD223" si="583">SUM(BC217:BC222)</f>
        <v>0</v>
      </c>
      <c r="BD223" s="51">
        <f t="shared" si="583"/>
        <v>0</v>
      </c>
      <c r="BE223" s="69"/>
      <c r="BF223" s="70">
        <f t="shared" ref="BF223:BH223" si="584">SUM(BF216:BF222)</f>
        <v>4658.1376</v>
      </c>
      <c r="BG223" s="71">
        <f t="shared" si="584"/>
        <v>4643.62</v>
      </c>
      <c r="BH223" s="72">
        <f t="shared" si="584"/>
        <v>-0.002399999999</v>
      </c>
      <c r="BI223" s="34">
        <f>H223+BF223-BG223</f>
        <v>-0.0024</v>
      </c>
      <c r="BJ223" s="34">
        <f>BH223-BI223</f>
        <v>0</v>
      </c>
    </row>
    <row r="224" ht="15.75" customHeight="1" hidden="1" spans="1:60" x14ac:dyDescent="0.25">
      <c r="A224" s="29">
        <v>31</v>
      </c>
      <c r="B224" s="14"/>
      <c r="D224" s="14" t="s">
        <v>42</v>
      </c>
      <c r="F224" s="13"/>
      <c r="G224" s="28"/>
      <c r="I224" s="13"/>
      <c r="J224" s="15"/>
      <c r="K224" s="15"/>
      <c r="L224" s="28"/>
      <c r="Q224" s="13"/>
      <c r="R224" s="15"/>
      <c r="S224" s="15"/>
      <c r="T224" s="28"/>
      <c r="Y224" s="13"/>
      <c r="Z224" s="15"/>
      <c r="AA224" s="15"/>
      <c r="AB224" s="28"/>
      <c r="AG224" s="13"/>
      <c r="AH224" s="15"/>
      <c r="AI224" s="15"/>
      <c r="AJ224" s="28"/>
      <c r="AK224" s="13"/>
      <c r="AL224" s="15"/>
      <c r="AM224" s="15"/>
      <c r="AN224" s="28"/>
      <c r="AO224" s="13"/>
      <c r="AP224" s="15"/>
      <c r="AQ224" s="15"/>
      <c r="AR224" s="28"/>
      <c r="AW224" s="13"/>
      <c r="AX224" s="15"/>
      <c r="AY224" s="15"/>
      <c r="AZ224" s="28"/>
      <c r="BE224" s="14"/>
      <c r="BF224" s="13"/>
      <c r="BG224" s="15"/>
      <c r="BH224" s="28"/>
    </row>
    <row r="225" ht="15.75" customHeight="1" hidden="1" spans="1:60" x14ac:dyDescent="0.25">
      <c r="A225" s="2">
        <v>31</v>
      </c>
      <c r="B225" s="42">
        <v>4</v>
      </c>
      <c r="C225" s="2" t="s">
        <v>149</v>
      </c>
      <c r="D225" s="14" t="s">
        <v>44</v>
      </c>
      <c r="E225" s="2" t="s">
        <v>45</v>
      </c>
      <c r="F225" s="13">
        <v>2.49</v>
      </c>
      <c r="G225" s="28"/>
      <c r="H225" s="74"/>
      <c r="I225" s="13"/>
      <c r="J225" s="15"/>
      <c r="K225" s="15"/>
      <c r="L225" s="28"/>
      <c r="Q225" s="13"/>
      <c r="R225" s="15"/>
      <c r="S225" s="15"/>
      <c r="T225" s="28"/>
      <c r="Y225" s="13"/>
      <c r="Z225" s="15">
        <f>Y225-U225</f>
        <v>0</v>
      </c>
      <c r="AA225" s="34">
        <f>Z225*$F$8</f>
        <v>0</v>
      </c>
      <c r="AB225" s="28"/>
      <c r="AC225" s="15">
        <v>0</v>
      </c>
      <c r="AD225" s="15">
        <f>AC225-Y225</f>
        <v>0</v>
      </c>
      <c r="AE225" s="34">
        <f>AD225*$F$8</f>
        <v>0</v>
      </c>
      <c r="AG225" s="13"/>
      <c r="AH225" s="15">
        <f>AG225-AC225</f>
        <v>0</v>
      </c>
      <c r="AI225" s="34">
        <f>AH225*$F$8</f>
        <v>0</v>
      </c>
      <c r="AJ225" s="28"/>
      <c r="AK225" s="13"/>
      <c r="AL225" s="15">
        <f>AK225-AG225</f>
        <v>0</v>
      </c>
      <c r="AM225" s="34">
        <f>AL225*$F$8</f>
        <v>0</v>
      </c>
      <c r="AN225" s="28"/>
      <c r="AO225" s="13"/>
      <c r="AP225" s="15"/>
      <c r="AQ225" s="34">
        <f>AP225*$F$8</f>
        <v>0</v>
      </c>
      <c r="AR225" s="28"/>
      <c r="AS225" s="15"/>
      <c r="AT225" s="15"/>
      <c r="AU225" s="34">
        <f>AT225*$F$8</f>
        <v>0</v>
      </c>
      <c r="AV225" s="15"/>
      <c r="AW225" s="13"/>
      <c r="AX225" s="15"/>
      <c r="AY225" s="34">
        <f>AX225*$F$8</f>
        <v>0</v>
      </c>
      <c r="AZ225" s="28"/>
      <c r="BA225" s="15"/>
      <c r="BB225" s="15"/>
      <c r="BC225" s="34">
        <f>BB225*$F$8</f>
        <v>0</v>
      </c>
      <c r="BD225" s="15"/>
      <c r="BE225" s="40">
        <f t="shared" ref="BE225:BG225" si="585">J225+N225+R225+V225+Z225+AD225+AH225+AL225+AP225+AT225+AX225+BB225</f>
        <v>0</v>
      </c>
      <c r="BF225" s="41">
        <f t="shared" si="585"/>
        <v>0</v>
      </c>
      <c r="BG225" s="34">
        <f t="shared" si="585"/>
        <v>0</v>
      </c>
      <c r="BH225" s="35">
        <f t="shared" ref="BH225:BH230" si="586">H225+BF225-BG225</f>
        <v>0</v>
      </c>
    </row>
    <row r="226" ht="15.75" customHeight="1" hidden="1" spans="1:60" x14ac:dyDescent="0.25">
      <c r="A226" s="29">
        <v>31</v>
      </c>
      <c r="B226" s="14"/>
      <c r="C226" s="2" t="s">
        <v>150</v>
      </c>
      <c r="D226" s="14" t="s">
        <v>47</v>
      </c>
      <c r="E226" s="2" t="s">
        <v>48</v>
      </c>
      <c r="F226" s="13">
        <v>17.16</v>
      </c>
      <c r="G226" s="28"/>
      <c r="I226" s="13"/>
      <c r="J226" s="15"/>
      <c r="K226" s="15"/>
      <c r="L226" s="28"/>
      <c r="Q226" s="13"/>
      <c r="R226" s="15"/>
      <c r="S226" s="15"/>
      <c r="T226" s="28"/>
      <c r="Y226" s="13"/>
      <c r="Z226" s="15"/>
      <c r="AA226" s="15"/>
      <c r="AB226" s="28"/>
      <c r="AD226" s="15"/>
      <c r="AE226" s="34">
        <f>AD226*$F$10</f>
        <v>0</v>
      </c>
      <c r="AG226" s="13"/>
      <c r="AH226" s="15"/>
      <c r="AI226" s="45">
        <f>AH226*$G$10</f>
        <v>0</v>
      </c>
      <c r="AJ226" s="28"/>
      <c r="AK226" s="13"/>
      <c r="AL226" s="15"/>
      <c r="AM226" s="45">
        <f>AL226*$G$10</f>
        <v>0</v>
      </c>
      <c r="AN226" s="28"/>
      <c r="AO226" s="13"/>
      <c r="AP226" s="15"/>
      <c r="AQ226" s="45">
        <f>AP226*$G$10</f>
        <v>0</v>
      </c>
      <c r="AR226" s="28"/>
      <c r="AS226" s="15"/>
      <c r="AT226" s="15"/>
      <c r="AU226" s="15"/>
      <c r="AV226" s="15"/>
      <c r="AW226" s="13"/>
      <c r="AX226" s="15"/>
      <c r="AY226" s="15"/>
      <c r="AZ226" s="28"/>
      <c r="BA226" s="15"/>
      <c r="BB226" s="15"/>
      <c r="BC226" s="15"/>
      <c r="BD226" s="15"/>
      <c r="BE226" s="40">
        <f t="shared" ref="BE226:BG226" si="587">J226+N226+R226+V226+Z226+AD226+AH226+AL226+AP226+AT226+AX226+BB226</f>
        <v>0</v>
      </c>
      <c r="BF226" s="41">
        <f t="shared" si="587"/>
        <v>0</v>
      </c>
      <c r="BG226" s="34">
        <f t="shared" si="587"/>
        <v>0</v>
      </c>
      <c r="BH226" s="35">
        <f t="shared" si="586"/>
        <v>0</v>
      </c>
    </row>
    <row r="227" ht="15.75" customHeight="1" hidden="1" spans="1:60" x14ac:dyDescent="0.25">
      <c r="A227" s="29">
        <v>31</v>
      </c>
      <c r="B227" s="14"/>
      <c r="C227" s="2" t="s">
        <v>151</v>
      </c>
      <c r="D227" s="14" t="s">
        <v>47</v>
      </c>
      <c r="E227" s="2" t="s">
        <v>49</v>
      </c>
      <c r="F227" s="41">
        <v>300</v>
      </c>
      <c r="G227" s="28"/>
      <c r="H227" s="83"/>
      <c r="I227" s="13"/>
      <c r="J227" s="15"/>
      <c r="K227" s="15"/>
      <c r="L227" s="28"/>
      <c r="Q227" s="13"/>
      <c r="R227" s="15"/>
      <c r="S227" s="15"/>
      <c r="T227" s="28"/>
      <c r="Y227" s="13"/>
      <c r="Z227" s="15"/>
      <c r="AA227" s="34">
        <f>B225*$F$11</f>
        <v>1200</v>
      </c>
      <c r="AB227" s="28"/>
      <c r="AG227" s="13"/>
      <c r="AH227" s="15"/>
      <c r="AI227" s="15"/>
      <c r="AJ227" s="28"/>
      <c r="AK227" s="13"/>
      <c r="AL227" s="15"/>
      <c r="AM227" s="34"/>
      <c r="AN227" s="28"/>
      <c r="AO227" s="13"/>
      <c r="AP227" s="15"/>
      <c r="AQ227" s="34"/>
      <c r="AR227" s="38">
        <v>1200</v>
      </c>
      <c r="AS227" s="15"/>
      <c r="AT227" s="15"/>
      <c r="AU227" s="15"/>
      <c r="AV227" s="15"/>
      <c r="AW227" s="13"/>
      <c r="AX227" s="15"/>
      <c r="AY227" s="15"/>
      <c r="AZ227" s="28"/>
      <c r="BA227" s="15"/>
      <c r="BB227" s="15"/>
      <c r="BC227" s="15"/>
      <c r="BD227" s="15"/>
      <c r="BE227" s="14"/>
      <c r="BF227" s="41">
        <f t="shared" ref="BF227:BG227" si="588">K227+O227+S227+W227+AA227+AE227+AI227+AM227+AQ227+AU227+AY227+BC227</f>
        <v>1200</v>
      </c>
      <c r="BG227" s="34">
        <f t="shared" si="588"/>
        <v>1200</v>
      </c>
      <c r="BH227" s="35">
        <f t="shared" si="586"/>
        <v>0</v>
      </c>
    </row>
    <row r="228" ht="15.75" customHeight="1" hidden="1" spans="1:60" x14ac:dyDescent="0.25">
      <c r="A228" s="29">
        <v>31</v>
      </c>
      <c r="B228" s="14"/>
      <c r="D228" s="14" t="s">
        <v>50</v>
      </c>
      <c r="E228" s="2" t="s">
        <v>49</v>
      </c>
      <c r="F228" s="41">
        <v>1062.88</v>
      </c>
      <c r="G228" s="28"/>
      <c r="I228" s="13"/>
      <c r="J228" s="15"/>
      <c r="K228" s="15"/>
      <c r="L228" s="28"/>
      <c r="Q228" s="13"/>
      <c r="R228" s="15"/>
      <c r="S228" s="15"/>
      <c r="T228" s="28"/>
      <c r="Y228" s="13"/>
      <c r="Z228" s="15"/>
      <c r="AA228" s="15"/>
      <c r="AB228" s="28"/>
      <c r="AE228" s="34">
        <f>B225*$F$12</f>
        <v>4251.52</v>
      </c>
      <c r="AG228" s="13"/>
      <c r="AH228" s="15"/>
      <c r="AI228" s="15"/>
      <c r="AJ228" s="28"/>
      <c r="AK228" s="13"/>
      <c r="AL228" s="15"/>
      <c r="AM228" s="15"/>
      <c r="AN228" s="28"/>
      <c r="AO228" s="13"/>
      <c r="AP228" s="15"/>
      <c r="AQ228" s="15"/>
      <c r="AR228" s="32">
        <v>4251.52</v>
      </c>
      <c r="AS228" s="15"/>
      <c r="AT228" s="15"/>
      <c r="AU228" s="15"/>
      <c r="AV228" s="15"/>
      <c r="AW228" s="13"/>
      <c r="AX228" s="15"/>
      <c r="AY228" s="15"/>
      <c r="AZ228" s="28"/>
      <c r="BA228" s="15"/>
      <c r="BB228" s="15"/>
      <c r="BC228" s="15"/>
      <c r="BD228" s="15"/>
      <c r="BE228" s="14"/>
      <c r="BF228" s="41">
        <f>B225*$F$12</f>
        <v>4251.52</v>
      </c>
      <c r="BG228" s="34">
        <f t="shared" ref="BG228:BG230" si="589">L228+P228+T228+X228+AB228+AF228+AJ228+AN228+AR228+AV228+AZ228+BD228</f>
        <v>4251.52</v>
      </c>
      <c r="BH228" s="35">
        <f t="shared" si="586"/>
        <v>0</v>
      </c>
    </row>
    <row r="229" ht="15.75" customHeight="1" hidden="1" spans="1:60" x14ac:dyDescent="0.25">
      <c r="A229" s="29">
        <v>31</v>
      </c>
      <c r="B229" s="14"/>
      <c r="D229" s="14" t="s">
        <v>51</v>
      </c>
      <c r="E229" s="2" t="s">
        <v>49</v>
      </c>
      <c r="F229" s="41">
        <v>0</v>
      </c>
      <c r="G229" s="28"/>
      <c r="I229" s="13"/>
      <c r="J229" s="15"/>
      <c r="K229" s="15"/>
      <c r="L229" s="28"/>
      <c r="Q229" s="13"/>
      <c r="R229" s="15"/>
      <c r="S229" s="15"/>
      <c r="T229" s="28"/>
      <c r="Y229" s="13"/>
      <c r="Z229" s="15"/>
      <c r="AA229" s="15"/>
      <c r="AB229" s="28"/>
      <c r="AG229" s="13"/>
      <c r="AH229" s="15"/>
      <c r="AI229" s="15"/>
      <c r="AJ229" s="28"/>
      <c r="AK229" s="13"/>
      <c r="AL229" s="15"/>
      <c r="AM229" s="15"/>
      <c r="AN229" s="28"/>
      <c r="AO229" s="13"/>
      <c r="AP229" s="15"/>
      <c r="AQ229" s="15"/>
      <c r="AR229" s="28"/>
      <c r="AS229" s="15"/>
      <c r="AT229" s="15"/>
      <c r="AU229" s="15"/>
      <c r="AV229" s="15"/>
      <c r="AW229" s="13"/>
      <c r="AX229" s="15"/>
      <c r="AY229" s="15"/>
      <c r="AZ229" s="28"/>
      <c r="BA229" s="15"/>
      <c r="BB229" s="15"/>
      <c r="BC229" s="15"/>
      <c r="BD229" s="15"/>
      <c r="BE229" s="14"/>
      <c r="BF229" s="41">
        <f>B225*$F$13</f>
        <v>0</v>
      </c>
      <c r="BG229" s="34">
        <f t="shared" si="589"/>
        <v>0</v>
      </c>
      <c r="BH229" s="35">
        <f t="shared" si="586"/>
        <v>0</v>
      </c>
    </row>
    <row r="230" ht="15.75" customHeight="1" hidden="1" spans="1:60" x14ac:dyDescent="0.25">
      <c r="A230" s="29">
        <v>31</v>
      </c>
      <c r="B230" s="14"/>
      <c r="D230" s="14" t="s">
        <v>52</v>
      </c>
      <c r="E230" s="2" t="s">
        <v>39</v>
      </c>
      <c r="F230" s="41">
        <v>350</v>
      </c>
      <c r="G230" s="28"/>
      <c r="I230" s="13"/>
      <c r="J230" s="15"/>
      <c r="K230" s="15"/>
      <c r="L230" s="28"/>
      <c r="Q230" s="13"/>
      <c r="R230" s="15"/>
      <c r="S230" s="15"/>
      <c r="T230" s="28"/>
      <c r="Y230" s="13"/>
      <c r="Z230" s="15"/>
      <c r="AA230" s="34">
        <f>$F$14</f>
        <v>350</v>
      </c>
      <c r="AB230" s="28"/>
      <c r="AG230" s="13"/>
      <c r="AH230" s="15"/>
      <c r="AI230" s="15"/>
      <c r="AJ230" s="28"/>
      <c r="AK230" s="13"/>
      <c r="AL230" s="15"/>
      <c r="AM230" s="15"/>
      <c r="AN230" s="28"/>
      <c r="AO230" s="13"/>
      <c r="AP230" s="15"/>
      <c r="AQ230" s="15"/>
      <c r="AR230" s="38">
        <v>350</v>
      </c>
      <c r="AS230" s="15"/>
      <c r="AT230" s="15"/>
      <c r="AU230" s="15"/>
      <c r="AV230" s="15"/>
      <c r="AW230" s="13"/>
      <c r="AX230" s="15"/>
      <c r="AY230" s="15"/>
      <c r="AZ230" s="28"/>
      <c r="BA230" s="15"/>
      <c r="BB230" s="15"/>
      <c r="BC230" s="15"/>
      <c r="BD230" s="15"/>
      <c r="BE230" s="14"/>
      <c r="BF230" s="41">
        <f>$F$14</f>
        <v>350</v>
      </c>
      <c r="BG230" s="34">
        <f t="shared" si="589"/>
        <v>350</v>
      </c>
      <c r="BH230" s="35">
        <f t="shared" si="586"/>
        <v>0</v>
      </c>
    </row>
    <row r="231" ht="15.75" customHeight="1" hidden="1" spans="1:62" x14ac:dyDescent="0.25">
      <c r="A231" s="50">
        <v>31</v>
      </c>
      <c r="B231" s="21"/>
      <c r="C231" s="22" t="s">
        <v>53</v>
      </c>
      <c r="D231" s="21"/>
      <c r="E231" s="22"/>
      <c r="F231" s="20"/>
      <c r="G231" s="23"/>
      <c r="H231" s="51">
        <f>SUM(H224:H230)</f>
        <v>0</v>
      </c>
      <c r="I231" s="52"/>
      <c r="J231" s="53"/>
      <c r="K231" s="51">
        <f t="shared" ref="K231:L231" si="590">SUM(K224:K230)</f>
        <v>0</v>
      </c>
      <c r="L231" s="68">
        <f t="shared" si="590"/>
        <v>0</v>
      </c>
      <c r="M231" s="53"/>
      <c r="N231" s="53"/>
      <c r="O231" s="51">
        <f t="shared" ref="O231:P231" si="591">SUM(O225:O230)</f>
        <v>0</v>
      </c>
      <c r="P231" s="51">
        <f t="shared" si="591"/>
        <v>0</v>
      </c>
      <c r="Q231" s="52"/>
      <c r="R231" s="53"/>
      <c r="S231" s="51">
        <f t="shared" ref="S231:T231" si="592">SUM(S225:S230)</f>
        <v>0</v>
      </c>
      <c r="T231" s="68">
        <f t="shared" si="592"/>
        <v>0</v>
      </c>
      <c r="U231" s="53"/>
      <c r="V231" s="53"/>
      <c r="W231" s="51">
        <f t="shared" ref="W231:X231" si="593">SUM(W225:W230)</f>
        <v>0</v>
      </c>
      <c r="X231" s="51">
        <f t="shared" si="593"/>
        <v>0</v>
      </c>
      <c r="Y231" s="52"/>
      <c r="Z231" s="53"/>
      <c r="AA231" s="51">
        <f t="shared" ref="AA231:AB231" si="594">SUM(AA225:AA230)</f>
        <v>1550</v>
      </c>
      <c r="AB231" s="68">
        <f t="shared" si="594"/>
        <v>0</v>
      </c>
      <c r="AC231" s="53"/>
      <c r="AD231" s="53"/>
      <c r="AE231" s="51">
        <f t="shared" ref="AE231:AF231" si="595">SUM(AE225:AE230)</f>
        <v>4251.52</v>
      </c>
      <c r="AF231" s="51">
        <f t="shared" si="595"/>
        <v>0</v>
      </c>
      <c r="AG231" s="52"/>
      <c r="AH231" s="53"/>
      <c r="AI231" s="51">
        <f t="shared" ref="AI231:AJ231" si="596">SUM(AI225:AI230)</f>
        <v>0</v>
      </c>
      <c r="AJ231" s="68">
        <f t="shared" si="596"/>
        <v>0</v>
      </c>
      <c r="AK231" s="52"/>
      <c r="AL231" s="53"/>
      <c r="AM231" s="51">
        <f t="shared" ref="AM231:AN231" si="597">SUM(AM225:AM230)</f>
        <v>0</v>
      </c>
      <c r="AN231" s="68">
        <f t="shared" si="597"/>
        <v>0</v>
      </c>
      <c r="AO231" s="52"/>
      <c r="AP231" s="53"/>
      <c r="AQ231" s="51">
        <f t="shared" ref="AQ231:AR231" si="598">SUM(AQ225:AQ230)</f>
        <v>0</v>
      </c>
      <c r="AR231" s="68">
        <f t="shared" si="598"/>
        <v>5801.52</v>
      </c>
      <c r="AS231" s="53"/>
      <c r="AT231" s="53"/>
      <c r="AU231" s="51">
        <f t="shared" ref="AU231:AV231" si="599">SUM(AU225:AU230)</f>
        <v>0</v>
      </c>
      <c r="AV231" s="51">
        <f t="shared" si="599"/>
        <v>0</v>
      </c>
      <c r="AW231" s="52"/>
      <c r="AX231" s="53"/>
      <c r="AY231" s="51">
        <f t="shared" ref="AY231:AZ231" si="600">SUM(AY225:AY230)</f>
        <v>0</v>
      </c>
      <c r="AZ231" s="68">
        <f t="shared" si="600"/>
        <v>0</v>
      </c>
      <c r="BA231" s="53"/>
      <c r="BB231" s="53"/>
      <c r="BC231" s="51">
        <f t="shared" ref="BC231:BD231" si="601">SUM(BC225:BC230)</f>
        <v>0</v>
      </c>
      <c r="BD231" s="51">
        <f t="shared" si="601"/>
        <v>0</v>
      </c>
      <c r="BE231" s="69"/>
      <c r="BF231" s="70">
        <f t="shared" ref="BF231:BH231" si="602">SUM(BF224:BF230)</f>
        <v>5801.52</v>
      </c>
      <c r="BG231" s="71">
        <f t="shared" si="602"/>
        <v>5801.52</v>
      </c>
      <c r="BH231" s="72">
        <f t="shared" si="602"/>
        <v>0</v>
      </c>
      <c r="BI231" s="34">
        <f>H231+BF231-BG231</f>
        <v>0</v>
      </c>
      <c r="BJ231" s="34">
        <f>BH231-BI231</f>
        <v>0</v>
      </c>
    </row>
    <row r="232" ht="15.75" customHeight="1" hidden="1" spans="1:60" x14ac:dyDescent="0.25">
      <c r="A232" s="29">
        <v>32</v>
      </c>
      <c r="B232" s="14"/>
      <c r="D232" s="14" t="s">
        <v>42</v>
      </c>
      <c r="F232" s="13"/>
      <c r="G232" s="28"/>
      <c r="I232" s="13"/>
      <c r="J232" s="15"/>
      <c r="K232" s="15"/>
      <c r="L232" s="28"/>
      <c r="Q232" s="13"/>
      <c r="R232" s="15"/>
      <c r="S232" s="15"/>
      <c r="T232" s="28"/>
      <c r="Y232" s="13"/>
      <c r="Z232" s="15"/>
      <c r="AA232" s="15"/>
      <c r="AB232" s="28"/>
      <c r="AG232" s="13"/>
      <c r="AH232" s="15"/>
      <c r="AI232" s="15"/>
      <c r="AJ232" s="28"/>
      <c r="AK232" s="13"/>
      <c r="AL232" s="15"/>
      <c r="AM232" s="15"/>
      <c r="AN232" s="28"/>
      <c r="AO232" s="13"/>
      <c r="AP232" s="15"/>
      <c r="AQ232" s="15"/>
      <c r="AR232" s="28"/>
      <c r="AW232" s="13"/>
      <c r="AX232" s="15"/>
      <c r="AY232" s="15"/>
      <c r="AZ232" s="28"/>
      <c r="BE232" s="14"/>
      <c r="BF232" s="13"/>
      <c r="BG232" s="15"/>
      <c r="BH232" s="28"/>
    </row>
    <row r="233" ht="15.75" customHeight="1" hidden="1" spans="1:60" x14ac:dyDescent="0.25">
      <c r="A233" s="2">
        <v>32</v>
      </c>
      <c r="B233" s="14">
        <v>3.96</v>
      </c>
      <c r="C233" s="2" t="s">
        <v>152</v>
      </c>
      <c r="D233" s="14" t="s">
        <v>44</v>
      </c>
      <c r="E233" s="2" t="s">
        <v>45</v>
      </c>
      <c r="F233" s="13">
        <v>2.49</v>
      </c>
      <c r="G233" s="28"/>
      <c r="H233" s="2">
        <v>-581.68</v>
      </c>
      <c r="I233" s="13">
        <v>168</v>
      </c>
      <c r="J233" s="15">
        <v>0</v>
      </c>
      <c r="K233" s="34">
        <f>J233*$F$8</f>
        <v>0</v>
      </c>
      <c r="L233" s="28"/>
      <c r="M233" s="2">
        <v>168</v>
      </c>
      <c r="N233" s="15">
        <f>M233-I233</f>
        <v>0</v>
      </c>
      <c r="O233" s="34">
        <f>N233*$F$8</f>
        <v>0</v>
      </c>
      <c r="Q233" s="13">
        <v>168</v>
      </c>
      <c r="R233" s="15">
        <f>Q233-M233</f>
        <v>0</v>
      </c>
      <c r="S233" s="34">
        <f>R233*$F$8</f>
        <v>0</v>
      </c>
      <c r="T233" s="28"/>
      <c r="U233" s="2">
        <v>168</v>
      </c>
      <c r="V233" s="15">
        <f>U233-Q233</f>
        <v>0</v>
      </c>
      <c r="W233" s="34">
        <f>V233*$F$8</f>
        <v>0</v>
      </c>
      <c r="Y233" s="13">
        <v>171</v>
      </c>
      <c r="Z233" s="15">
        <f>Y233-U233</f>
        <v>3</v>
      </c>
      <c r="AA233" s="34">
        <f>Z233*$F$8</f>
        <v>7.47</v>
      </c>
      <c r="AB233" s="28">
        <v>7.47</v>
      </c>
      <c r="AC233" s="2">
        <v>205</v>
      </c>
      <c r="AD233" s="15">
        <f t="shared" ref="AD233:AD234" si="603">AC233-Y233</f>
        <v>34</v>
      </c>
      <c r="AE233" s="34">
        <f>AD233*$F$8</f>
        <v>84.66</v>
      </c>
      <c r="AG233" s="13">
        <v>257</v>
      </c>
      <c r="AH233" s="15">
        <f t="shared" ref="AH233:AH234" si="604">AG233-AC233</f>
        <v>52</v>
      </c>
      <c r="AI233" s="34">
        <f>AH233*$F$8</f>
        <v>129.48</v>
      </c>
      <c r="AJ233" s="28"/>
      <c r="AK233" s="13">
        <v>307</v>
      </c>
      <c r="AL233" s="15">
        <f>AK233-AG233</f>
        <v>50</v>
      </c>
      <c r="AM233" s="34">
        <f>AL233*$F$8</f>
        <v>124.5</v>
      </c>
      <c r="AN233" s="28"/>
      <c r="AO233" s="13">
        <v>354</v>
      </c>
      <c r="AP233" s="15">
        <f>AO233-AK233</f>
        <v>47</v>
      </c>
      <c r="AQ233" s="34">
        <f>AP233*$F$8</f>
        <v>117.03</v>
      </c>
      <c r="AR233" s="28"/>
      <c r="AS233" s="15">
        <v>381</v>
      </c>
      <c r="AT233" s="15">
        <f>AS233-AO233</f>
        <v>27</v>
      </c>
      <c r="AU233" s="34">
        <f>AT233*$F$8</f>
        <v>67.23</v>
      </c>
      <c r="AV233" s="15"/>
      <c r="AW233" s="13">
        <v>381</v>
      </c>
      <c r="AX233" s="15">
        <f>AW233-AS233</f>
        <v>0</v>
      </c>
      <c r="AY233" s="34">
        <f>AX233*$F$8</f>
        <v>0</v>
      </c>
      <c r="AZ233" s="28"/>
      <c r="BA233" s="13">
        <v>381</v>
      </c>
      <c r="BB233" s="15">
        <f>BA233-AW233</f>
        <v>0</v>
      </c>
      <c r="BC233" s="34">
        <f>BB233*$F$8</f>
        <v>0</v>
      </c>
      <c r="BD233" s="15"/>
      <c r="BE233" s="40">
        <f t="shared" ref="BE233:BG233" si="605">J233+N233+R233+V233+Z233+AD233+AH233+AL233+AP233+AT233+AX233+BB233</f>
        <v>213</v>
      </c>
      <c r="BF233" s="41">
        <f t="shared" si="605"/>
        <v>530.37</v>
      </c>
      <c r="BG233" s="34">
        <f t="shared" si="605"/>
        <v>7.47</v>
      </c>
      <c r="BH233" s="35">
        <f t="shared" ref="BH233:BH238" si="606">H233+BF233-BG233</f>
        <v>-58.78</v>
      </c>
    </row>
    <row r="234" ht="15.75" customHeight="1" hidden="1" spans="1:60" x14ac:dyDescent="0.25">
      <c r="A234" s="29">
        <v>32</v>
      </c>
      <c r="B234" s="14"/>
      <c r="C234" s="2" t="s">
        <v>153</v>
      </c>
      <c r="D234" s="14" t="s">
        <v>47</v>
      </c>
      <c r="E234" s="2" t="s">
        <v>48</v>
      </c>
      <c r="F234" s="13">
        <v>17.16</v>
      </c>
      <c r="G234" s="28"/>
      <c r="I234" s="13"/>
      <c r="J234" s="15"/>
      <c r="K234" s="15"/>
      <c r="L234" s="28"/>
      <c r="Q234" s="13"/>
      <c r="R234" s="15"/>
      <c r="S234" s="15"/>
      <c r="T234" s="28"/>
      <c r="Y234" s="13"/>
      <c r="Z234" s="15"/>
      <c r="AA234" s="15"/>
      <c r="AB234" s="28"/>
      <c r="AC234" s="15"/>
      <c r="AD234" s="15">
        <f t="shared" si="603"/>
        <v>0</v>
      </c>
      <c r="AE234" s="34">
        <f>AD234*$F$10</f>
        <v>0</v>
      </c>
      <c r="AG234" s="13"/>
      <c r="AH234" s="15">
        <f t="shared" si="604"/>
        <v>0</v>
      </c>
      <c r="AI234" s="45">
        <f>AH234*$G$10</f>
        <v>0</v>
      </c>
      <c r="AJ234" s="28"/>
      <c r="AK234" s="13"/>
      <c r="AL234" s="15"/>
      <c r="AM234" s="45">
        <f>AL234*$G$10</f>
        <v>0</v>
      </c>
      <c r="AN234" s="28"/>
      <c r="AO234" s="13"/>
      <c r="AP234" s="15"/>
      <c r="AQ234" s="45">
        <f>AP234*$G$10</f>
        <v>0</v>
      </c>
      <c r="AR234" s="28"/>
      <c r="AS234" s="15"/>
      <c r="AT234" s="15"/>
      <c r="AU234" s="15"/>
      <c r="AV234" s="15"/>
      <c r="AW234" s="13"/>
      <c r="AX234" s="15"/>
      <c r="AY234" s="15"/>
      <c r="AZ234" s="28"/>
      <c r="BA234" s="15"/>
      <c r="BB234" s="15"/>
      <c r="BC234" s="15"/>
      <c r="BD234" s="15"/>
      <c r="BE234" s="40">
        <f t="shared" ref="BE234:BG234" si="607">J234+N234+R234+V234+Z234+AD234+AH234+AL234+AP234+AT234+AX234+BB234</f>
        <v>0</v>
      </c>
      <c r="BF234" s="41">
        <f t="shared" si="607"/>
        <v>0</v>
      </c>
      <c r="BG234" s="34">
        <f t="shared" si="607"/>
        <v>0</v>
      </c>
      <c r="BH234" s="35">
        <f t="shared" si="606"/>
        <v>0</v>
      </c>
    </row>
    <row r="235" ht="15.75" customHeight="1" hidden="1" spans="1:60" x14ac:dyDescent="0.25">
      <c r="A235" s="29">
        <v>32</v>
      </c>
      <c r="B235" s="14"/>
      <c r="C235" s="15" t="s">
        <v>122</v>
      </c>
      <c r="D235" s="14" t="s">
        <v>47</v>
      </c>
      <c r="E235" s="2" t="s">
        <v>49</v>
      </c>
      <c r="F235" s="41">
        <v>300</v>
      </c>
      <c r="G235" s="28"/>
      <c r="H235" s="77">
        <f>B233*$F$11</f>
        <v>1188</v>
      </c>
      <c r="I235" s="13"/>
      <c r="J235" s="15"/>
      <c r="K235" s="15"/>
      <c r="L235" s="28"/>
      <c r="Q235" s="13"/>
      <c r="R235" s="15"/>
      <c r="S235" s="15"/>
      <c r="T235" s="28"/>
      <c r="Y235" s="13"/>
      <c r="Z235" s="15"/>
      <c r="AA235" s="34">
        <f>B233*$F$11</f>
        <v>1188</v>
      </c>
      <c r="AB235" s="28"/>
      <c r="AC235" s="15"/>
      <c r="AG235" s="13"/>
      <c r="AH235" s="15"/>
      <c r="AI235" s="15"/>
      <c r="AJ235" s="38">
        <v>1188</v>
      </c>
      <c r="AK235" s="13"/>
      <c r="AL235" s="15"/>
      <c r="AM235" s="34"/>
      <c r="AN235" s="28"/>
      <c r="AO235" s="13"/>
      <c r="AP235" s="15"/>
      <c r="AQ235" s="34"/>
      <c r="AR235" s="28"/>
      <c r="AS235" s="15"/>
      <c r="AT235" s="15"/>
      <c r="AU235" s="15"/>
      <c r="AV235" s="15"/>
      <c r="AW235" s="13"/>
      <c r="AX235" s="15"/>
      <c r="AY235" s="15"/>
      <c r="AZ235" s="28"/>
      <c r="BA235" s="15"/>
      <c r="BB235" s="15"/>
      <c r="BC235" s="15"/>
      <c r="BD235" s="15"/>
      <c r="BE235" s="14"/>
      <c r="BF235" s="41">
        <f t="shared" ref="BF235:BG235" si="608">K235+O235+S235+W235+AA235+AE235+AI235+AM235+AQ235+AU235+AY235+BC235</f>
        <v>1188</v>
      </c>
      <c r="BG235" s="34">
        <f t="shared" si="608"/>
        <v>1188</v>
      </c>
      <c r="BH235" s="35">
        <f t="shared" si="606"/>
        <v>1188</v>
      </c>
    </row>
    <row r="236" ht="15.75" customHeight="1" hidden="1" spans="1:60" x14ac:dyDescent="0.25">
      <c r="A236" s="29">
        <v>32</v>
      </c>
      <c r="B236" s="14"/>
      <c r="D236" s="14" t="s">
        <v>50</v>
      </c>
      <c r="E236" s="2" t="s">
        <v>49</v>
      </c>
      <c r="F236" s="41">
        <v>1062.88</v>
      </c>
      <c r="G236" s="28"/>
      <c r="I236" s="13"/>
      <c r="J236" s="15"/>
      <c r="K236" s="15"/>
      <c r="L236" s="28"/>
      <c r="Q236" s="13"/>
      <c r="R236" s="15"/>
      <c r="S236" s="15"/>
      <c r="T236" s="28"/>
      <c r="Y236" s="13"/>
      <c r="Z236" s="15"/>
      <c r="AA236" s="15"/>
      <c r="AB236" s="28"/>
      <c r="AE236" s="34">
        <f>B233*$F$12</f>
        <v>4209.0048</v>
      </c>
      <c r="AG236" s="13"/>
      <c r="AH236" s="15"/>
      <c r="AI236" s="15"/>
      <c r="AJ236" s="38">
        <v>4209</v>
      </c>
      <c r="AK236" s="13"/>
      <c r="AL236" s="15"/>
      <c r="AM236" s="15"/>
      <c r="AN236" s="28"/>
      <c r="AO236" s="13"/>
      <c r="AP236" s="15"/>
      <c r="AQ236" s="15"/>
      <c r="AR236" s="28"/>
      <c r="AS236" s="15"/>
      <c r="AT236" s="15"/>
      <c r="AU236" s="15"/>
      <c r="AV236" s="15"/>
      <c r="AW236" s="13"/>
      <c r="AX236" s="15"/>
      <c r="AY236" s="15"/>
      <c r="AZ236" s="28"/>
      <c r="BA236" s="15"/>
      <c r="BB236" s="15"/>
      <c r="BC236" s="15"/>
      <c r="BD236" s="15"/>
      <c r="BE236" s="14"/>
      <c r="BF236" s="41">
        <f>B233*$F$12</f>
        <v>4209.0048</v>
      </c>
      <c r="BG236" s="34">
        <f t="shared" ref="BG236:BG238" si="609">L236+P236+T236+X236+AB236+AF236+AJ236+AN236+AR236+AV236+AZ236+BD236</f>
        <v>4209</v>
      </c>
      <c r="BH236" s="35">
        <f t="shared" si="606"/>
        <v>0.004800000001</v>
      </c>
    </row>
    <row r="237" ht="15.75" customHeight="1" hidden="1" spans="1:60" x14ac:dyDescent="0.25">
      <c r="A237" s="29">
        <v>32</v>
      </c>
      <c r="B237" s="14"/>
      <c r="D237" s="14" t="s">
        <v>51</v>
      </c>
      <c r="E237" s="2" t="s">
        <v>49</v>
      </c>
      <c r="F237" s="41">
        <v>0</v>
      </c>
      <c r="G237" s="28"/>
      <c r="I237" s="13"/>
      <c r="J237" s="15"/>
      <c r="K237" s="15"/>
      <c r="L237" s="28"/>
      <c r="Q237" s="13"/>
      <c r="R237" s="15"/>
      <c r="S237" s="15"/>
      <c r="T237" s="28"/>
      <c r="Y237" s="13"/>
      <c r="Z237" s="15"/>
      <c r="AA237" s="15"/>
      <c r="AB237" s="28"/>
      <c r="AG237" s="13"/>
      <c r="AH237" s="15"/>
      <c r="AI237" s="15"/>
      <c r="AJ237" s="28"/>
      <c r="AK237" s="13"/>
      <c r="AL237" s="15"/>
      <c r="AM237" s="15"/>
      <c r="AN237" s="28"/>
      <c r="AO237" s="13"/>
      <c r="AP237" s="15"/>
      <c r="AQ237" s="15"/>
      <c r="AR237" s="28"/>
      <c r="AS237" s="15"/>
      <c r="AT237" s="15"/>
      <c r="AU237" s="15"/>
      <c r="AV237" s="15"/>
      <c r="AW237" s="13"/>
      <c r="AX237" s="15"/>
      <c r="AY237" s="15"/>
      <c r="AZ237" s="28"/>
      <c r="BA237" s="15"/>
      <c r="BB237" s="15"/>
      <c r="BC237" s="15"/>
      <c r="BD237" s="15"/>
      <c r="BE237" s="14"/>
      <c r="BF237" s="41">
        <f>B233*$F$13</f>
        <v>0</v>
      </c>
      <c r="BG237" s="34">
        <f t="shared" si="609"/>
        <v>0</v>
      </c>
      <c r="BH237" s="35">
        <f t="shared" si="606"/>
        <v>0</v>
      </c>
    </row>
    <row r="238" ht="15.75" customHeight="1" hidden="1" spans="1:60" x14ac:dyDescent="0.25">
      <c r="A238" s="29">
        <v>32</v>
      </c>
      <c r="B238" s="14"/>
      <c r="D238" s="14" t="s">
        <v>52</v>
      </c>
      <c r="E238" s="2" t="s">
        <v>39</v>
      </c>
      <c r="F238" s="41">
        <v>350</v>
      </c>
      <c r="G238" s="28"/>
      <c r="I238" s="13"/>
      <c r="J238" s="15"/>
      <c r="K238" s="15"/>
      <c r="L238" s="28"/>
      <c r="Q238" s="13"/>
      <c r="R238" s="15"/>
      <c r="S238" s="15"/>
      <c r="T238" s="28"/>
      <c r="Y238" s="13"/>
      <c r="Z238" s="15"/>
      <c r="AA238" s="34">
        <f>$F$14</f>
        <v>350</v>
      </c>
      <c r="AB238" s="28"/>
      <c r="AG238" s="13"/>
      <c r="AH238" s="15"/>
      <c r="AI238" s="15"/>
      <c r="AJ238" s="28"/>
      <c r="AK238" s="13"/>
      <c r="AL238" s="15"/>
      <c r="AM238" s="15"/>
      <c r="AN238" s="28"/>
      <c r="AO238" s="13"/>
      <c r="AP238" s="15"/>
      <c r="AQ238" s="15"/>
      <c r="AR238" s="28"/>
      <c r="AS238" s="15"/>
      <c r="AT238" s="15"/>
      <c r="AU238" s="15"/>
      <c r="AV238" s="15"/>
      <c r="AW238" s="13"/>
      <c r="AX238" s="15"/>
      <c r="AY238" s="15"/>
      <c r="AZ238" s="28"/>
      <c r="BA238" s="15"/>
      <c r="BB238" s="15"/>
      <c r="BC238" s="15"/>
      <c r="BD238" s="15"/>
      <c r="BE238" s="14"/>
      <c r="BF238" s="41">
        <f>$F$14</f>
        <v>350</v>
      </c>
      <c r="BG238" s="34">
        <f t="shared" si="609"/>
        <v>0</v>
      </c>
      <c r="BH238" s="35">
        <f t="shared" si="606"/>
        <v>350</v>
      </c>
    </row>
    <row r="239" ht="15.75" customHeight="1" hidden="1" spans="1:62" x14ac:dyDescent="0.25">
      <c r="A239" s="50">
        <v>32</v>
      </c>
      <c r="B239" s="21"/>
      <c r="C239" s="22" t="s">
        <v>53</v>
      </c>
      <c r="D239" s="21"/>
      <c r="E239" s="22"/>
      <c r="F239" s="20"/>
      <c r="G239" s="23"/>
      <c r="H239" s="51">
        <f>SUM(H232:H238)</f>
        <v>606.32</v>
      </c>
      <c r="I239" s="52"/>
      <c r="J239" s="53"/>
      <c r="K239" s="51">
        <f t="shared" ref="K239:L239" si="610">SUM(K232:K238)</f>
        <v>0</v>
      </c>
      <c r="L239" s="68">
        <f t="shared" si="610"/>
        <v>0</v>
      </c>
      <c r="M239" s="53"/>
      <c r="N239" s="53"/>
      <c r="O239" s="51">
        <f t="shared" ref="O239:P239" si="611">SUM(O233:O238)</f>
        <v>0</v>
      </c>
      <c r="P239" s="51">
        <f t="shared" si="611"/>
        <v>0</v>
      </c>
      <c r="Q239" s="52"/>
      <c r="R239" s="53"/>
      <c r="S239" s="51">
        <f t="shared" ref="S239:T239" si="612">SUM(S233:S238)</f>
        <v>0</v>
      </c>
      <c r="T239" s="68">
        <f t="shared" si="612"/>
        <v>0</v>
      </c>
      <c r="U239" s="53"/>
      <c r="V239" s="53"/>
      <c r="W239" s="51">
        <f t="shared" ref="W239:X239" si="613">SUM(W233:W238)</f>
        <v>0</v>
      </c>
      <c r="X239" s="51">
        <f t="shared" si="613"/>
        <v>0</v>
      </c>
      <c r="Y239" s="52"/>
      <c r="Z239" s="53"/>
      <c r="AA239" s="51">
        <f t="shared" ref="AA239:AB239" si="614">SUM(AA233:AA238)</f>
        <v>1545.47</v>
      </c>
      <c r="AB239" s="68">
        <f t="shared" si="614"/>
        <v>7.47</v>
      </c>
      <c r="AC239" s="53"/>
      <c r="AD239" s="53"/>
      <c r="AE239" s="51">
        <f t="shared" ref="AE239:AF239" si="615">SUM(AE233:AE238)</f>
        <v>4293.6648</v>
      </c>
      <c r="AF239" s="51">
        <f t="shared" si="615"/>
        <v>0</v>
      </c>
      <c r="AG239" s="52"/>
      <c r="AH239" s="53"/>
      <c r="AI239" s="51">
        <f t="shared" ref="AI239:AJ239" si="616">SUM(AI233:AI238)</f>
        <v>129.48</v>
      </c>
      <c r="AJ239" s="68">
        <f t="shared" si="616"/>
        <v>5397</v>
      </c>
      <c r="AK239" s="52"/>
      <c r="AL239" s="53"/>
      <c r="AM239" s="51">
        <f t="shared" ref="AM239:AN239" si="617">SUM(AM233:AM238)</f>
        <v>124.5</v>
      </c>
      <c r="AN239" s="68">
        <f t="shared" si="617"/>
        <v>0</v>
      </c>
      <c r="AO239" s="52"/>
      <c r="AP239" s="53"/>
      <c r="AQ239" s="51">
        <f t="shared" ref="AQ239:AR239" si="618">SUM(AQ233:AQ238)</f>
        <v>117.03</v>
      </c>
      <c r="AR239" s="68">
        <f t="shared" si="618"/>
        <v>0</v>
      </c>
      <c r="AS239" s="53"/>
      <c r="AT239" s="53"/>
      <c r="AU239" s="51">
        <f t="shared" ref="AU239:AV239" si="619">SUM(AU233:AU238)</f>
        <v>67.23</v>
      </c>
      <c r="AV239" s="51">
        <f t="shared" si="619"/>
        <v>0</v>
      </c>
      <c r="AW239" s="52"/>
      <c r="AX239" s="53"/>
      <c r="AY239" s="51">
        <f t="shared" ref="AY239:AZ239" si="620">SUM(AY233:AY238)</f>
        <v>0</v>
      </c>
      <c r="AZ239" s="68">
        <f t="shared" si="620"/>
        <v>0</v>
      </c>
      <c r="BA239" s="53"/>
      <c r="BB239" s="53"/>
      <c r="BC239" s="51">
        <f t="shared" ref="BC239:BD239" si="621">SUM(BC233:BC238)</f>
        <v>0</v>
      </c>
      <c r="BD239" s="51">
        <f t="shared" si="621"/>
        <v>0</v>
      </c>
      <c r="BE239" s="69"/>
      <c r="BF239" s="70">
        <f t="shared" ref="BF239:BH239" si="622">SUM(BF232:BF238)</f>
        <v>6277.3748</v>
      </c>
      <c r="BG239" s="71">
        <f t="shared" si="622"/>
        <v>5404.47</v>
      </c>
      <c r="BH239" s="72">
        <f t="shared" si="622"/>
        <v>1479.2248</v>
      </c>
      <c r="BI239" s="34">
        <f>H239+BF239-BG239</f>
        <v>1479.2248</v>
      </c>
      <c r="BJ239" s="34">
        <f>BH239-BI239</f>
        <v>0</v>
      </c>
    </row>
    <row r="240" ht="15.75" customHeight="1" hidden="1" spans="1:60" x14ac:dyDescent="0.25">
      <c r="A240" s="29">
        <v>33</v>
      </c>
      <c r="B240" s="14"/>
      <c r="D240" s="14" t="s">
        <v>42</v>
      </c>
      <c r="F240" s="13"/>
      <c r="G240" s="28"/>
      <c r="I240" s="13"/>
      <c r="J240" s="15"/>
      <c r="K240" s="15"/>
      <c r="L240" s="28"/>
      <c r="Q240" s="13"/>
      <c r="R240" s="15"/>
      <c r="S240" s="15"/>
      <c r="T240" s="28"/>
      <c r="Y240" s="13"/>
      <c r="Z240" s="15"/>
      <c r="AA240" s="15"/>
      <c r="AB240" s="28"/>
      <c r="AG240" s="13"/>
      <c r="AH240" s="15"/>
      <c r="AI240" s="15"/>
      <c r="AJ240" s="28"/>
      <c r="AK240" s="13"/>
      <c r="AL240" s="15"/>
      <c r="AM240" s="15"/>
      <c r="AN240" s="28"/>
      <c r="AO240" s="13"/>
      <c r="AP240" s="15"/>
      <c r="AQ240" s="15"/>
      <c r="AR240" s="28"/>
      <c r="AW240" s="13"/>
      <c r="AX240" s="15"/>
      <c r="AY240" s="15"/>
      <c r="AZ240" s="28"/>
      <c r="BE240" s="14"/>
      <c r="BF240" s="13"/>
      <c r="BG240" s="15"/>
      <c r="BH240" s="28"/>
    </row>
    <row r="241" ht="15.75" customHeight="1" hidden="1" spans="1:60" x14ac:dyDescent="0.25">
      <c r="A241" s="2">
        <v>33</v>
      </c>
      <c r="B241" s="14">
        <v>4.01</v>
      </c>
      <c r="C241" s="2" t="s">
        <v>154</v>
      </c>
      <c r="D241" s="14" t="s">
        <v>44</v>
      </c>
      <c r="E241" s="2" t="s">
        <v>45</v>
      </c>
      <c r="F241" s="13">
        <v>2.49</v>
      </c>
      <c r="G241" s="28"/>
      <c r="H241" s="2">
        <v>2.49</v>
      </c>
      <c r="I241" s="13">
        <v>1</v>
      </c>
      <c r="J241" s="15">
        <v>0</v>
      </c>
      <c r="K241" s="34">
        <f>J241*$F$8</f>
        <v>0</v>
      </c>
      <c r="L241" s="28"/>
      <c r="M241" s="2">
        <v>1</v>
      </c>
      <c r="N241" s="15">
        <f>M241-I241</f>
        <v>0</v>
      </c>
      <c r="O241" s="34">
        <f>N241*$F$8</f>
        <v>0</v>
      </c>
      <c r="Q241" s="13">
        <v>1</v>
      </c>
      <c r="R241" s="15">
        <f>Q241-M241</f>
        <v>0</v>
      </c>
      <c r="S241" s="34">
        <f>R241*$F$8</f>
        <v>0</v>
      </c>
      <c r="T241" s="28"/>
      <c r="U241" s="2">
        <v>1</v>
      </c>
      <c r="V241" s="15">
        <f>U241-Q241</f>
        <v>0</v>
      </c>
      <c r="W241" s="34">
        <f>V241*$F$8</f>
        <v>0</v>
      </c>
      <c r="Y241" s="13">
        <v>1</v>
      </c>
      <c r="Z241" s="15">
        <f>Y241-U241</f>
        <v>0</v>
      </c>
      <c r="AA241" s="34">
        <f>Z241*$F$8</f>
        <v>0</v>
      </c>
      <c r="AB241" s="28"/>
      <c r="AC241" s="2">
        <v>1</v>
      </c>
      <c r="AD241" s="15">
        <f t="shared" ref="AD241:AD242" si="623">AC241-Y241</f>
        <v>0</v>
      </c>
      <c r="AE241" s="34">
        <f>AD241*$F$8</f>
        <v>0</v>
      </c>
      <c r="AG241" s="13">
        <v>1</v>
      </c>
      <c r="AH241" s="15">
        <f t="shared" ref="AH241:AH242" si="624">AG241-AC241</f>
        <v>0</v>
      </c>
      <c r="AI241" s="34">
        <f>AH241*$F$8</f>
        <v>0</v>
      </c>
      <c r="AJ241" s="28"/>
      <c r="AK241" s="13">
        <v>1</v>
      </c>
      <c r="AL241" s="15">
        <f t="shared" ref="AL241:AL242" si="625">AK241-AG241</f>
        <v>0</v>
      </c>
      <c r="AM241" s="34">
        <f>AL241*$F$8</f>
        <v>0</v>
      </c>
      <c r="AN241" s="28"/>
      <c r="AO241" s="13">
        <v>1</v>
      </c>
      <c r="AP241" s="15"/>
      <c r="AQ241" s="34">
        <f>AP241*$F$8</f>
        <v>0</v>
      </c>
      <c r="AR241" s="28"/>
      <c r="AS241" s="15">
        <v>1</v>
      </c>
      <c r="AT241" s="15">
        <f>AS241-AO241</f>
        <v>0</v>
      </c>
      <c r="AU241" s="34">
        <f>AT241*$F$8</f>
        <v>0</v>
      </c>
      <c r="AV241" s="15"/>
      <c r="AW241" s="13">
        <v>1</v>
      </c>
      <c r="AX241" s="15">
        <f>AW241-AS241</f>
        <v>0</v>
      </c>
      <c r="AY241" s="34">
        <f>AX241*$F$8</f>
        <v>0</v>
      </c>
      <c r="AZ241" s="28"/>
      <c r="BA241" s="13">
        <v>1</v>
      </c>
      <c r="BB241" s="15">
        <f>BA241-AW241</f>
        <v>0</v>
      </c>
      <c r="BC241" s="34">
        <f>BB241*$F$8</f>
        <v>0</v>
      </c>
      <c r="BD241" s="15"/>
      <c r="BE241" s="40">
        <f t="shared" ref="BE241:BG241" si="626">J241+N241+R241+V241+Z241+AD241+AH241+AL241+AP241+AT241+AX241+BB241</f>
        <v>0</v>
      </c>
      <c r="BF241" s="41">
        <f t="shared" si="626"/>
        <v>0</v>
      </c>
      <c r="BG241" s="34">
        <f t="shared" si="626"/>
        <v>0</v>
      </c>
      <c r="BH241" s="35">
        <f t="shared" ref="BH241:BH246" si="627">H241+BF241-BG241</f>
        <v>2.49</v>
      </c>
    </row>
    <row r="242" ht="15.75" customHeight="1" hidden="1" spans="1:60" x14ac:dyDescent="0.25">
      <c r="A242" s="29">
        <v>33</v>
      </c>
      <c r="B242" s="14"/>
      <c r="C242" s="2" t="s">
        <v>93</v>
      </c>
      <c r="D242" s="14" t="s">
        <v>47</v>
      </c>
      <c r="E242" s="2" t="s">
        <v>48</v>
      </c>
      <c r="F242" s="13">
        <v>17.16</v>
      </c>
      <c r="G242" s="28"/>
      <c r="H242" s="34"/>
      <c r="I242" s="13"/>
      <c r="J242" s="15"/>
      <c r="K242" s="15"/>
      <c r="L242" s="28"/>
      <c r="Q242" s="13"/>
      <c r="R242" s="15"/>
      <c r="S242" s="15"/>
      <c r="T242" s="28"/>
      <c r="Y242" s="94">
        <v>12</v>
      </c>
      <c r="Z242" s="15"/>
      <c r="AA242" s="15"/>
      <c r="AB242" s="28"/>
      <c r="AC242" s="94">
        <v>12</v>
      </c>
      <c r="AD242" s="15">
        <f t="shared" si="623"/>
        <v>0</v>
      </c>
      <c r="AE242" s="34">
        <f>AD242*$F$10</f>
        <v>0</v>
      </c>
      <c r="AG242" s="94">
        <v>12</v>
      </c>
      <c r="AH242" s="15">
        <f t="shared" si="624"/>
        <v>0</v>
      </c>
      <c r="AI242" s="45">
        <f>AH242*$G$10</f>
        <v>0</v>
      </c>
      <c r="AJ242" s="28"/>
      <c r="AK242" s="13">
        <v>12</v>
      </c>
      <c r="AL242" s="15">
        <f t="shared" si="625"/>
        <v>0</v>
      </c>
      <c r="AM242" s="45">
        <f>AL242*$G$10</f>
        <v>0</v>
      </c>
      <c r="AN242" s="28"/>
      <c r="AO242" s="13">
        <v>12</v>
      </c>
      <c r="AP242" s="15">
        <f>AO242-AK242</f>
        <v>0</v>
      </c>
      <c r="AQ242" s="45">
        <f>AP242*$G$10</f>
        <v>0</v>
      </c>
      <c r="AR242" s="28"/>
      <c r="AS242" s="15"/>
      <c r="AT242" s="15"/>
      <c r="AU242" s="15"/>
      <c r="AV242" s="15"/>
      <c r="AW242" s="13"/>
      <c r="AX242" s="15"/>
      <c r="AY242" s="15"/>
      <c r="AZ242" s="28"/>
      <c r="BA242" s="15"/>
      <c r="BB242" s="15"/>
      <c r="BC242" s="15"/>
      <c r="BD242" s="15"/>
      <c r="BE242" s="40">
        <f t="shared" ref="BE242:BG242" si="628">J242+N242+R242+V242+Z242+AD242+AH242+AL242+AP242+AT242+AX242+BB242</f>
        <v>0</v>
      </c>
      <c r="BF242" s="41">
        <f t="shared" si="628"/>
        <v>0</v>
      </c>
      <c r="BG242" s="34">
        <f t="shared" si="628"/>
        <v>0</v>
      </c>
      <c r="BH242" s="35">
        <f t="shared" si="627"/>
        <v>0</v>
      </c>
    </row>
    <row r="243" ht="15.75" customHeight="1" hidden="1" spans="1:60" x14ac:dyDescent="0.25">
      <c r="A243" s="29">
        <v>33</v>
      </c>
      <c r="B243" s="14"/>
      <c r="C243" s="2" t="s">
        <v>68</v>
      </c>
      <c r="D243" s="14" t="s">
        <v>47</v>
      </c>
      <c r="E243" s="2" t="s">
        <v>49</v>
      </c>
      <c r="F243" s="41">
        <v>300</v>
      </c>
      <c r="G243" s="28"/>
      <c r="H243" s="77">
        <f>B241*$F$11</f>
        <v>1203</v>
      </c>
      <c r="I243" s="13"/>
      <c r="J243" s="15"/>
      <c r="K243" s="15"/>
      <c r="L243" s="28"/>
      <c r="Q243" s="13"/>
      <c r="R243" s="15"/>
      <c r="S243" s="15"/>
      <c r="T243" s="28"/>
      <c r="Y243" s="13"/>
      <c r="Z243" s="15"/>
      <c r="AA243" s="15"/>
      <c r="AB243" s="28"/>
      <c r="AG243" s="13"/>
      <c r="AH243" s="15"/>
      <c r="AI243" s="15"/>
      <c r="AJ243" s="28"/>
      <c r="AK243" s="13"/>
      <c r="AL243" s="15"/>
      <c r="AM243" s="34"/>
      <c r="AN243" s="28"/>
      <c r="AO243" s="13"/>
      <c r="AP243" s="15"/>
      <c r="AQ243" s="34"/>
      <c r="AR243" s="28"/>
      <c r="AS243" s="15"/>
      <c r="AT243" s="15"/>
      <c r="AU243" s="15"/>
      <c r="AV243" s="15"/>
      <c r="AW243" s="13"/>
      <c r="AX243" s="15"/>
      <c r="AY243" s="15"/>
      <c r="AZ243" s="28"/>
      <c r="BA243" s="15"/>
      <c r="BB243" s="15"/>
      <c r="BC243" s="15"/>
      <c r="BD243" s="15"/>
      <c r="BE243" s="14"/>
      <c r="BF243" s="41">
        <f t="shared" ref="BF243:BG243" si="629">K243+O243+S243+W243+AA243+AE243+AI243+AM243+AQ243+AU243+AY243+BC243</f>
        <v>0</v>
      </c>
      <c r="BG243" s="34">
        <f t="shared" si="629"/>
        <v>0</v>
      </c>
      <c r="BH243" s="35">
        <f t="shared" si="627"/>
        <v>1203</v>
      </c>
    </row>
    <row r="244" ht="15.75" customHeight="1" hidden="1" spans="1:60" x14ac:dyDescent="0.25">
      <c r="A244" s="29">
        <v>33</v>
      </c>
      <c r="B244" s="14"/>
      <c r="D244" s="14" t="s">
        <v>50</v>
      </c>
      <c r="E244" s="2" t="s">
        <v>49</v>
      </c>
      <c r="F244" s="41">
        <v>1062.88</v>
      </c>
      <c r="G244" s="28"/>
      <c r="I244" s="13"/>
      <c r="J244" s="15"/>
      <c r="K244" s="15"/>
      <c r="L244" s="28"/>
      <c r="Q244" s="13"/>
      <c r="R244" s="15"/>
      <c r="S244" s="15"/>
      <c r="T244" s="28"/>
      <c r="Y244" s="13"/>
      <c r="Z244" s="15"/>
      <c r="AA244" s="15"/>
      <c r="AB244" s="28"/>
      <c r="AE244" s="34">
        <f>B241*$F$12</f>
        <v>4262.1488</v>
      </c>
      <c r="AG244" s="13"/>
      <c r="AH244" s="15"/>
      <c r="AI244" s="15"/>
      <c r="AJ244" s="28"/>
      <c r="AK244" s="13"/>
      <c r="AL244" s="15"/>
      <c r="AM244" s="15"/>
      <c r="AN244" s="28"/>
      <c r="AO244" s="13"/>
      <c r="AP244" s="15"/>
      <c r="AQ244" s="15"/>
      <c r="AR244" s="28"/>
      <c r="AS244" s="15"/>
      <c r="AT244" s="15"/>
      <c r="AU244" s="15"/>
      <c r="AV244" s="15"/>
      <c r="AW244" s="13"/>
      <c r="AX244" s="15"/>
      <c r="AY244" s="15"/>
      <c r="AZ244" s="28"/>
      <c r="BA244" s="15"/>
      <c r="BB244" s="15"/>
      <c r="BC244" s="15"/>
      <c r="BD244" s="15"/>
      <c r="BE244" s="14"/>
      <c r="BF244" s="41">
        <f>B241*$F$12</f>
        <v>4262.1488</v>
      </c>
      <c r="BG244" s="34">
        <f t="shared" ref="BG244:BG246" si="630">L244+P244+T244+X244+AB244+AF244+AJ244+AN244+AR244+AV244+AZ244+BD244</f>
        <v>0</v>
      </c>
      <c r="BH244" s="35">
        <f t="shared" si="627"/>
        <v>4262.1488</v>
      </c>
    </row>
    <row r="245" ht="15.75" customHeight="1" hidden="1" spans="1:60" x14ac:dyDescent="0.25">
      <c r="A245" s="29">
        <v>33</v>
      </c>
      <c r="B245" s="14"/>
      <c r="D245" s="14" t="s">
        <v>51</v>
      </c>
      <c r="E245" s="2" t="s">
        <v>49</v>
      </c>
      <c r="F245" s="41">
        <v>0</v>
      </c>
      <c r="G245" s="28"/>
      <c r="I245" s="13"/>
      <c r="J245" s="15"/>
      <c r="K245" s="15"/>
      <c r="L245" s="28"/>
      <c r="Q245" s="13"/>
      <c r="R245" s="15"/>
      <c r="S245" s="15"/>
      <c r="T245" s="28"/>
      <c r="Y245" s="13"/>
      <c r="Z245" s="15"/>
      <c r="AA245" s="15"/>
      <c r="AB245" s="28"/>
      <c r="AG245" s="13"/>
      <c r="AH245" s="15"/>
      <c r="AI245" s="15"/>
      <c r="AJ245" s="28"/>
      <c r="AK245" s="13"/>
      <c r="AL245" s="15"/>
      <c r="AM245" s="15"/>
      <c r="AN245" s="28"/>
      <c r="AO245" s="13"/>
      <c r="AP245" s="15"/>
      <c r="AQ245" s="15"/>
      <c r="AR245" s="28"/>
      <c r="AS245" s="15"/>
      <c r="AT245" s="15"/>
      <c r="AU245" s="15"/>
      <c r="AV245" s="15"/>
      <c r="AW245" s="13"/>
      <c r="AX245" s="15"/>
      <c r="AY245" s="15"/>
      <c r="AZ245" s="28"/>
      <c r="BA245" s="15"/>
      <c r="BB245" s="15"/>
      <c r="BC245" s="15"/>
      <c r="BD245" s="15"/>
      <c r="BE245" s="14"/>
      <c r="BF245" s="41">
        <f>B241*$F$13</f>
        <v>0</v>
      </c>
      <c r="BG245" s="34">
        <f t="shared" si="630"/>
        <v>0</v>
      </c>
      <c r="BH245" s="35">
        <f t="shared" si="627"/>
        <v>0</v>
      </c>
    </row>
    <row r="246" ht="15.75" customHeight="1" hidden="1" spans="1:60" x14ac:dyDescent="0.25">
      <c r="A246" s="29">
        <v>33</v>
      </c>
      <c r="B246" s="14"/>
      <c r="D246" s="14" t="s">
        <v>52</v>
      </c>
      <c r="E246" s="2" t="s">
        <v>39</v>
      </c>
      <c r="F246" s="41">
        <v>350</v>
      </c>
      <c r="G246" s="28"/>
      <c r="I246" s="13"/>
      <c r="J246" s="15"/>
      <c r="K246" s="15"/>
      <c r="L246" s="28"/>
      <c r="Q246" s="13"/>
      <c r="R246" s="15"/>
      <c r="S246" s="15"/>
      <c r="T246" s="28"/>
      <c r="Y246" s="13"/>
      <c r="Z246" s="15"/>
      <c r="AA246" s="34">
        <f>$F$14</f>
        <v>350</v>
      </c>
      <c r="AB246" s="28"/>
      <c r="AG246" s="13"/>
      <c r="AH246" s="15"/>
      <c r="AI246" s="15"/>
      <c r="AJ246" s="28"/>
      <c r="AK246" s="13"/>
      <c r="AL246" s="15"/>
      <c r="AM246" s="15"/>
      <c r="AN246" s="28"/>
      <c r="AO246" s="13"/>
      <c r="AP246" s="15"/>
      <c r="AQ246" s="15"/>
      <c r="AR246" s="28"/>
      <c r="AS246" s="15"/>
      <c r="AT246" s="15"/>
      <c r="AU246" s="15"/>
      <c r="AV246" s="15"/>
      <c r="AW246" s="13"/>
      <c r="AX246" s="15"/>
      <c r="AY246" s="15"/>
      <c r="AZ246" s="28"/>
      <c r="BA246" s="15"/>
      <c r="BB246" s="15"/>
      <c r="BC246" s="15"/>
      <c r="BD246" s="15"/>
      <c r="BE246" s="14"/>
      <c r="BF246" s="41">
        <f>$F$14</f>
        <v>350</v>
      </c>
      <c r="BG246" s="34">
        <f t="shared" si="630"/>
        <v>0</v>
      </c>
      <c r="BH246" s="35">
        <f t="shared" si="627"/>
        <v>350</v>
      </c>
    </row>
    <row r="247" ht="15.75" customHeight="1" hidden="1" spans="1:62" x14ac:dyDescent="0.25">
      <c r="A247" s="50">
        <v>33</v>
      </c>
      <c r="B247" s="21"/>
      <c r="C247" s="22" t="s">
        <v>53</v>
      </c>
      <c r="D247" s="21"/>
      <c r="E247" s="22"/>
      <c r="F247" s="20"/>
      <c r="G247" s="23"/>
      <c r="H247" s="51">
        <f>SUM(H240:H246)</f>
        <v>1205.49</v>
      </c>
      <c r="I247" s="52"/>
      <c r="J247" s="53"/>
      <c r="K247" s="51">
        <f t="shared" ref="K247:L247" si="631">SUM(K240:K246)</f>
        <v>0</v>
      </c>
      <c r="L247" s="68">
        <f t="shared" si="631"/>
        <v>0</v>
      </c>
      <c r="M247" s="53"/>
      <c r="N247" s="53"/>
      <c r="O247" s="51">
        <f t="shared" ref="O247:P247" si="632">SUM(O241:O246)</f>
        <v>0</v>
      </c>
      <c r="P247" s="51">
        <f t="shared" si="632"/>
        <v>0</v>
      </c>
      <c r="Q247" s="52"/>
      <c r="R247" s="53"/>
      <c r="S247" s="51">
        <f t="shared" ref="S247:T247" si="633">SUM(S241:S246)</f>
        <v>0</v>
      </c>
      <c r="T247" s="68">
        <f t="shared" si="633"/>
        <v>0</v>
      </c>
      <c r="U247" s="53"/>
      <c r="V247" s="53"/>
      <c r="W247" s="51">
        <f t="shared" ref="W247:X247" si="634">SUM(W241:W246)</f>
        <v>0</v>
      </c>
      <c r="X247" s="51">
        <f t="shared" si="634"/>
        <v>0</v>
      </c>
      <c r="Y247" s="52"/>
      <c r="Z247" s="53"/>
      <c r="AA247" s="51">
        <f t="shared" ref="AA247:AB247" si="635">SUM(AA241:AA246)</f>
        <v>350</v>
      </c>
      <c r="AB247" s="68">
        <f t="shared" si="635"/>
        <v>0</v>
      </c>
      <c r="AC247" s="53"/>
      <c r="AD247" s="53"/>
      <c r="AE247" s="51">
        <f t="shared" ref="AE247:AF247" si="636">SUM(AE241:AE246)</f>
        <v>4262.1488</v>
      </c>
      <c r="AF247" s="51">
        <f t="shared" si="636"/>
        <v>0</v>
      </c>
      <c r="AG247" s="52"/>
      <c r="AH247" s="53"/>
      <c r="AI247" s="51">
        <f t="shared" ref="AI247:AJ247" si="637">SUM(AI241:AI246)</f>
        <v>0</v>
      </c>
      <c r="AJ247" s="68">
        <f t="shared" si="637"/>
        <v>0</v>
      </c>
      <c r="AK247" s="52"/>
      <c r="AL247" s="53"/>
      <c r="AM247" s="51">
        <f t="shared" ref="AM247:AN247" si="638">SUM(AM241:AM246)</f>
        <v>0</v>
      </c>
      <c r="AN247" s="68">
        <f t="shared" si="638"/>
        <v>0</v>
      </c>
      <c r="AO247" s="52"/>
      <c r="AP247" s="53"/>
      <c r="AQ247" s="51">
        <f t="shared" ref="AQ247:AR247" si="639">SUM(AQ241:AQ246)</f>
        <v>0</v>
      </c>
      <c r="AR247" s="68">
        <f t="shared" si="639"/>
        <v>0</v>
      </c>
      <c r="AS247" s="53"/>
      <c r="AT247" s="53"/>
      <c r="AU247" s="51">
        <f t="shared" ref="AU247:AV247" si="640">SUM(AU241:AU246)</f>
        <v>0</v>
      </c>
      <c r="AV247" s="51">
        <f t="shared" si="640"/>
        <v>0</v>
      </c>
      <c r="AW247" s="52"/>
      <c r="AX247" s="53"/>
      <c r="AY247" s="51">
        <f t="shared" ref="AY247:AZ247" si="641">SUM(AY241:AY246)</f>
        <v>0</v>
      </c>
      <c r="AZ247" s="68">
        <f t="shared" si="641"/>
        <v>0</v>
      </c>
      <c r="BA247" s="53"/>
      <c r="BB247" s="53"/>
      <c r="BC247" s="51">
        <f t="shared" ref="BC247:BD247" si="642">SUM(BC241:BC246)</f>
        <v>0</v>
      </c>
      <c r="BD247" s="51">
        <f t="shared" si="642"/>
        <v>0</v>
      </c>
      <c r="BE247" s="69"/>
      <c r="BF247" s="70">
        <f t="shared" ref="BF247:BH247" si="643">SUM(BF240:BF246)</f>
        <v>4612.1488</v>
      </c>
      <c r="BG247" s="71">
        <f t="shared" si="643"/>
        <v>0</v>
      </c>
      <c r="BH247" s="72">
        <f t="shared" si="643"/>
        <v>5817.6388</v>
      </c>
      <c r="BI247" s="34">
        <f>H247+BF247-BG247</f>
        <v>5817.6388</v>
      </c>
      <c r="BJ247" s="34">
        <f>BH247-BI247</f>
        <v>0</v>
      </c>
    </row>
    <row r="248" ht="15.75" customHeight="1" hidden="1" spans="1:60" x14ac:dyDescent="0.25">
      <c r="A248" s="29">
        <v>34</v>
      </c>
      <c r="B248" s="14"/>
      <c r="D248" s="14" t="s">
        <v>42</v>
      </c>
      <c r="F248" s="13"/>
      <c r="G248" s="28"/>
      <c r="I248" s="13"/>
      <c r="J248" s="15"/>
      <c r="K248" s="15"/>
      <c r="L248" s="28"/>
      <c r="Q248" s="13"/>
      <c r="R248" s="15"/>
      <c r="S248" s="15"/>
      <c r="T248" s="28"/>
      <c r="Y248" s="13"/>
      <c r="Z248" s="15"/>
      <c r="AA248" s="15"/>
      <c r="AB248" s="28"/>
      <c r="AG248" s="13"/>
      <c r="AH248" s="15"/>
      <c r="AI248" s="15"/>
      <c r="AJ248" s="28"/>
      <c r="AK248" s="13"/>
      <c r="AL248" s="15"/>
      <c r="AM248" s="15"/>
      <c r="AN248" s="28"/>
      <c r="AO248" s="13"/>
      <c r="AP248" s="15"/>
      <c r="AQ248" s="15"/>
      <c r="AR248" s="28"/>
      <c r="AW248" s="13"/>
      <c r="AX248" s="15"/>
      <c r="AY248" s="15"/>
      <c r="AZ248" s="28"/>
      <c r="BE248" s="14"/>
      <c r="BF248" s="13"/>
      <c r="BG248" s="15"/>
      <c r="BH248" s="28"/>
    </row>
    <row r="249" ht="15.75" customHeight="1" hidden="1" spans="1:60" x14ac:dyDescent="0.25">
      <c r="A249" s="2">
        <v>34</v>
      </c>
      <c r="B249" s="14">
        <v>4.01</v>
      </c>
      <c r="C249" s="2" t="s">
        <v>155</v>
      </c>
      <c r="D249" s="14" t="s">
        <v>44</v>
      </c>
      <c r="E249" s="2" t="s">
        <v>45</v>
      </c>
      <c r="F249" s="13">
        <v>2.49</v>
      </c>
      <c r="G249" s="28"/>
      <c r="H249" s="2">
        <v>1047.46</v>
      </c>
      <c r="I249" s="13">
        <v>434</v>
      </c>
      <c r="J249" s="15">
        <v>0</v>
      </c>
      <c r="K249" s="34">
        <f>J249*$F$8</f>
        <v>0</v>
      </c>
      <c r="L249" s="28"/>
      <c r="M249" s="2">
        <v>434</v>
      </c>
      <c r="N249" s="15">
        <f>M249-I249</f>
        <v>0</v>
      </c>
      <c r="O249" s="34">
        <f>N249*$F$8</f>
        <v>0</v>
      </c>
      <c r="Q249" s="13">
        <v>434</v>
      </c>
      <c r="R249" s="15">
        <f>Q249-M249</f>
        <v>0</v>
      </c>
      <c r="S249" s="34">
        <f>R249*$F$8</f>
        <v>0</v>
      </c>
      <c r="T249" s="28"/>
      <c r="U249" s="2">
        <v>434</v>
      </c>
      <c r="V249" s="15">
        <f>U249-Q249</f>
        <v>0</v>
      </c>
      <c r="W249" s="34">
        <f>V249*$F$8</f>
        <v>0</v>
      </c>
      <c r="X249" s="2">
        <v>1047.46</v>
      </c>
      <c r="Y249" s="13">
        <v>437</v>
      </c>
      <c r="Z249" s="15">
        <f>Y249-U249</f>
        <v>3</v>
      </c>
      <c r="AA249" s="34">
        <f>Z249*$F$8</f>
        <v>7.47</v>
      </c>
      <c r="AB249" s="28"/>
      <c r="AC249" s="2">
        <v>518</v>
      </c>
      <c r="AD249" s="15">
        <f>AC249-Y249</f>
        <v>81</v>
      </c>
      <c r="AE249" s="34">
        <f>AD249*$F$8</f>
        <v>201.69</v>
      </c>
      <c r="AG249" s="13">
        <v>612</v>
      </c>
      <c r="AH249" s="15">
        <f t="shared" ref="AH249:AH250" si="644">AG249-AC249</f>
        <v>94</v>
      </c>
      <c r="AI249" s="34">
        <f>AH249*$F$8</f>
        <v>234.06</v>
      </c>
      <c r="AJ249" s="28"/>
      <c r="AK249" s="13">
        <v>712</v>
      </c>
      <c r="AL249" s="15">
        <f t="shared" ref="AL249:AL250" si="645">AK249-AG249</f>
        <v>100</v>
      </c>
      <c r="AM249" s="34">
        <f>AL249*$F$8</f>
        <v>249</v>
      </c>
      <c r="AN249" s="32">
        <v>443.22</v>
      </c>
      <c r="AO249" s="13">
        <v>734</v>
      </c>
      <c r="AP249" s="15">
        <f t="shared" ref="AP249:AP250" si="646">AO249-AK249</f>
        <v>22</v>
      </c>
      <c r="AQ249" s="34">
        <f>AP249*$F$8</f>
        <v>54.78</v>
      </c>
      <c r="AR249" s="28"/>
      <c r="AS249" s="15">
        <v>743</v>
      </c>
      <c r="AT249" s="15">
        <f>AS249-AO249</f>
        <v>9</v>
      </c>
      <c r="AU249" s="34">
        <f>AT249*$F$8</f>
        <v>22.41</v>
      </c>
      <c r="AV249" s="15"/>
      <c r="AW249" s="13">
        <v>743</v>
      </c>
      <c r="AX249" s="15">
        <f>AW249-AS249</f>
        <v>0</v>
      </c>
      <c r="AY249" s="34">
        <f>AX249*$F$8</f>
        <v>0</v>
      </c>
      <c r="AZ249" s="28"/>
      <c r="BA249" s="13">
        <v>743</v>
      </c>
      <c r="BB249" s="15">
        <f>BA249-AW249</f>
        <v>0</v>
      </c>
      <c r="BC249" s="34">
        <f>BB249*$F$8</f>
        <v>0</v>
      </c>
      <c r="BD249" s="15"/>
      <c r="BE249" s="40">
        <f t="shared" ref="BE249:BG249" si="647">J249+N249+R249+V249+Z249+AD249+AH249+AL249+AP249+AT249+AX249+BB249</f>
        <v>309</v>
      </c>
      <c r="BF249" s="41">
        <f t="shared" si="647"/>
        <v>769.41</v>
      </c>
      <c r="BG249" s="34">
        <f t="shared" si="647"/>
        <v>1490.68</v>
      </c>
      <c r="BH249" s="35">
        <f t="shared" ref="BH249:BH254" si="648">H249+BF249-BG249</f>
        <v>326.19</v>
      </c>
    </row>
    <row r="250" ht="15.75" customHeight="1" hidden="1" spans="1:60" x14ac:dyDescent="0.25">
      <c r="A250" s="29">
        <v>34</v>
      </c>
      <c r="B250" s="14"/>
      <c r="C250" s="2" t="s">
        <v>114</v>
      </c>
      <c r="D250" s="14" t="s">
        <v>47</v>
      </c>
      <c r="E250" s="2" t="s">
        <v>48</v>
      </c>
      <c r="F250" s="13">
        <v>17.16</v>
      </c>
      <c r="G250" s="28"/>
      <c r="I250" s="13"/>
      <c r="J250" s="15"/>
      <c r="K250" s="15"/>
      <c r="L250" s="28"/>
      <c r="Q250" s="13"/>
      <c r="R250" s="15"/>
      <c r="S250" s="15"/>
      <c r="T250" s="28"/>
      <c r="Y250" s="13"/>
      <c r="Z250" s="15"/>
      <c r="AA250" s="15"/>
      <c r="AB250" s="28"/>
      <c r="AE250" s="34">
        <f>AD250*$F$10</f>
        <v>0</v>
      </c>
      <c r="AG250" s="13">
        <v>0</v>
      </c>
      <c r="AH250" s="15">
        <f t="shared" si="644"/>
        <v>0</v>
      </c>
      <c r="AI250" s="45">
        <f>AH250*$G$10</f>
        <v>0</v>
      </c>
      <c r="AJ250" s="28"/>
      <c r="AK250" s="13">
        <v>13</v>
      </c>
      <c r="AL250" s="15">
        <f t="shared" si="645"/>
        <v>13</v>
      </c>
      <c r="AM250" s="45">
        <f>AL250*$G$10</f>
        <v>229.84</v>
      </c>
      <c r="AN250" s="32">
        <v>229.84</v>
      </c>
      <c r="AO250" s="13">
        <v>33</v>
      </c>
      <c r="AP250" s="15">
        <f t="shared" si="646"/>
        <v>20</v>
      </c>
      <c r="AQ250" s="45">
        <f>AP250*$G$10</f>
        <v>353.6</v>
      </c>
      <c r="AR250" s="28"/>
      <c r="AS250" s="15"/>
      <c r="AT250" s="15"/>
      <c r="AU250" s="15"/>
      <c r="AV250" s="15"/>
      <c r="AW250" s="13"/>
      <c r="AX250" s="15"/>
      <c r="AY250" s="15"/>
      <c r="AZ250" s="28"/>
      <c r="BA250" s="15"/>
      <c r="BB250" s="15"/>
      <c r="BC250" s="15"/>
      <c r="BD250" s="15"/>
      <c r="BE250" s="40">
        <f t="shared" ref="BE250:BG250" si="649">J250+N250+R250+V250+Z250+AD250+AH250+AL250+AP250+AT250+AX250+BB250</f>
        <v>33</v>
      </c>
      <c r="BF250" s="41">
        <f t="shared" si="649"/>
        <v>583.44</v>
      </c>
      <c r="BG250" s="34">
        <f t="shared" si="649"/>
        <v>229.84</v>
      </c>
      <c r="BH250" s="35">
        <f t="shared" si="648"/>
        <v>353.6</v>
      </c>
    </row>
    <row r="251" ht="15.75" customHeight="1" hidden="1" spans="1:60" x14ac:dyDescent="0.25">
      <c r="A251" s="29">
        <v>34</v>
      </c>
      <c r="B251" s="14"/>
      <c r="C251" s="2" t="s">
        <v>115</v>
      </c>
      <c r="D251" s="14" t="s">
        <v>47</v>
      </c>
      <c r="E251" s="2" t="s">
        <v>49</v>
      </c>
      <c r="F251" s="41">
        <v>300</v>
      </c>
      <c r="G251" s="28"/>
      <c r="H251" s="15"/>
      <c r="I251" s="13"/>
      <c r="J251" s="15"/>
      <c r="K251" s="15"/>
      <c r="L251" s="28"/>
      <c r="Q251" s="13"/>
      <c r="R251" s="15"/>
      <c r="S251" s="15"/>
      <c r="T251" s="28"/>
      <c r="Y251" s="13"/>
      <c r="Z251" s="15"/>
      <c r="AA251" s="34"/>
      <c r="AB251" s="28"/>
      <c r="AG251" s="13"/>
      <c r="AH251" s="15"/>
      <c r="AI251" s="15"/>
      <c r="AJ251" s="28"/>
      <c r="AK251" s="13"/>
      <c r="AL251" s="15"/>
      <c r="AM251" s="34"/>
      <c r="AN251" s="28"/>
      <c r="AO251" s="13"/>
      <c r="AP251" s="15"/>
      <c r="AQ251" s="34"/>
      <c r="AR251" s="28"/>
      <c r="AS251" s="15"/>
      <c r="AT251" s="15"/>
      <c r="AU251" s="15"/>
      <c r="AV251" s="15"/>
      <c r="AW251" s="13"/>
      <c r="AX251" s="15"/>
      <c r="AY251" s="15"/>
      <c r="AZ251" s="28"/>
      <c r="BA251" s="15"/>
      <c r="BB251" s="15"/>
      <c r="BC251" s="15"/>
      <c r="BD251" s="15"/>
      <c r="BE251" s="14"/>
      <c r="BF251" s="41">
        <f t="shared" ref="BF251:BG251" si="650">K251+O251+S251+W251+AA251+AE251+AI251+AM251+AQ251+AU251+AY251+BC251</f>
        <v>0</v>
      </c>
      <c r="BG251" s="34">
        <f t="shared" si="650"/>
        <v>0</v>
      </c>
      <c r="BH251" s="35">
        <f t="shared" si="648"/>
        <v>0</v>
      </c>
    </row>
    <row r="252" ht="15.75" customHeight="1" hidden="1" spans="1:60" x14ac:dyDescent="0.25">
      <c r="A252" s="29">
        <v>34</v>
      </c>
      <c r="B252" s="14"/>
      <c r="C252" s="2" t="s">
        <v>156</v>
      </c>
      <c r="D252" s="14" t="s">
        <v>50</v>
      </c>
      <c r="E252" s="2" t="s">
        <v>49</v>
      </c>
      <c r="F252" s="41">
        <v>1062.88</v>
      </c>
      <c r="G252" s="28"/>
      <c r="I252" s="13"/>
      <c r="J252" s="15"/>
      <c r="K252" s="15"/>
      <c r="L252" s="28"/>
      <c r="Q252" s="13"/>
      <c r="R252" s="15"/>
      <c r="S252" s="15"/>
      <c r="T252" s="28"/>
      <c r="Y252" s="13"/>
      <c r="Z252" s="15"/>
      <c r="AA252" s="15"/>
      <c r="AB252" s="28"/>
      <c r="AE252" s="34">
        <f>B249*$F$12</f>
        <v>4262.1488</v>
      </c>
      <c r="AG252" s="13"/>
      <c r="AH252" s="15"/>
      <c r="AI252" s="15"/>
      <c r="AJ252" s="28"/>
      <c r="AK252" s="13"/>
      <c r="AL252" s="15"/>
      <c r="AM252" s="15"/>
      <c r="AN252" s="32">
        <v>2976.94</v>
      </c>
      <c r="AO252" s="13"/>
      <c r="AP252" s="15"/>
      <c r="AQ252" s="15"/>
      <c r="AR252" s="28"/>
      <c r="AS252" s="15"/>
      <c r="AT252" s="15"/>
      <c r="AU252" s="15"/>
      <c r="AV252" s="15"/>
      <c r="AW252" s="13"/>
      <c r="AX252" s="15"/>
      <c r="AY252" s="15"/>
      <c r="AZ252" s="28"/>
      <c r="BA252" s="15"/>
      <c r="BB252" s="15"/>
      <c r="BC252" s="15"/>
      <c r="BD252" s="15"/>
      <c r="BE252" s="14"/>
      <c r="BF252" s="41">
        <f>B249*$F$12</f>
        <v>4262.1488</v>
      </c>
      <c r="BG252" s="34">
        <f t="shared" ref="BG252:BG254" si="651">L252+P252+T252+X252+AB252+AF252+AJ252+AN252+AR252+AV252+AZ252+BD252</f>
        <v>2976.94</v>
      </c>
      <c r="BH252" s="35">
        <f t="shared" si="648"/>
        <v>1285.2088</v>
      </c>
    </row>
    <row r="253" ht="15.75" customHeight="1" hidden="1" spans="1:60" x14ac:dyDescent="0.25">
      <c r="A253" s="29">
        <v>34</v>
      </c>
      <c r="B253" s="14"/>
      <c r="D253" s="14" t="s">
        <v>51</v>
      </c>
      <c r="E253" s="2" t="s">
        <v>49</v>
      </c>
      <c r="F253" s="41">
        <v>0</v>
      </c>
      <c r="G253" s="28"/>
      <c r="I253" s="13"/>
      <c r="J253" s="15"/>
      <c r="K253" s="15"/>
      <c r="L253" s="28"/>
      <c r="Q253" s="13"/>
      <c r="R253" s="15"/>
      <c r="S253" s="15"/>
      <c r="T253" s="28"/>
      <c r="Y253" s="13"/>
      <c r="Z253" s="15"/>
      <c r="AA253" s="15"/>
      <c r="AB253" s="28"/>
      <c r="AG253" s="13"/>
      <c r="AH253" s="15"/>
      <c r="AI253" s="15"/>
      <c r="AJ253" s="28"/>
      <c r="AK253" s="13"/>
      <c r="AL253" s="15"/>
      <c r="AM253" s="15"/>
      <c r="AN253" s="28"/>
      <c r="AO253" s="13"/>
      <c r="AP253" s="15"/>
      <c r="AQ253" s="15"/>
      <c r="AR253" s="28"/>
      <c r="AS253" s="15"/>
      <c r="AT253" s="15"/>
      <c r="AU253" s="15"/>
      <c r="AV253" s="15"/>
      <c r="AW253" s="13"/>
      <c r="AX253" s="15"/>
      <c r="AY253" s="15"/>
      <c r="AZ253" s="28"/>
      <c r="BA253" s="15"/>
      <c r="BB253" s="15"/>
      <c r="BC253" s="15"/>
      <c r="BD253" s="15"/>
      <c r="BE253" s="14"/>
      <c r="BF253" s="41">
        <f>B249*$F$13</f>
        <v>0</v>
      </c>
      <c r="BG253" s="34">
        <f t="shared" si="651"/>
        <v>0</v>
      </c>
      <c r="BH253" s="35">
        <f t="shared" si="648"/>
        <v>0</v>
      </c>
    </row>
    <row r="254" ht="15.75" customHeight="1" hidden="1" spans="1:60" x14ac:dyDescent="0.25">
      <c r="A254" s="29">
        <v>34</v>
      </c>
      <c r="B254" s="14"/>
      <c r="D254" s="14" t="s">
        <v>52</v>
      </c>
      <c r="E254" s="2" t="s">
        <v>39</v>
      </c>
      <c r="F254" s="41">
        <v>350</v>
      </c>
      <c r="G254" s="28"/>
      <c r="I254" s="13"/>
      <c r="J254" s="15"/>
      <c r="K254" s="15"/>
      <c r="L254" s="28"/>
      <c r="Q254" s="13"/>
      <c r="R254" s="15"/>
      <c r="S254" s="15"/>
      <c r="T254" s="28"/>
      <c r="Y254" s="13"/>
      <c r="Z254" s="15"/>
      <c r="AA254" s="34">
        <f>$F$14</f>
        <v>350</v>
      </c>
      <c r="AB254" s="28"/>
      <c r="AG254" s="13"/>
      <c r="AH254" s="15"/>
      <c r="AI254" s="15"/>
      <c r="AJ254" s="28"/>
      <c r="AK254" s="13"/>
      <c r="AL254" s="15"/>
      <c r="AM254" s="15"/>
      <c r="AN254" s="38">
        <v>350</v>
      </c>
      <c r="AO254" s="13"/>
      <c r="AP254" s="15"/>
      <c r="AQ254" s="15"/>
      <c r="AR254" s="28"/>
      <c r="AS254" s="15"/>
      <c r="AT254" s="15"/>
      <c r="AU254" s="15"/>
      <c r="AV254" s="15"/>
      <c r="AW254" s="13"/>
      <c r="AX254" s="15"/>
      <c r="AY254" s="15"/>
      <c r="AZ254" s="28"/>
      <c r="BA254" s="15"/>
      <c r="BB254" s="15"/>
      <c r="BC254" s="15"/>
      <c r="BD254" s="15"/>
      <c r="BE254" s="14"/>
      <c r="BF254" s="41">
        <f>$F$14</f>
        <v>350</v>
      </c>
      <c r="BG254" s="34">
        <f t="shared" si="651"/>
        <v>350</v>
      </c>
      <c r="BH254" s="35">
        <f t="shared" si="648"/>
        <v>0</v>
      </c>
    </row>
    <row r="255" ht="15.75" customHeight="1" hidden="1" spans="1:62" x14ac:dyDescent="0.25">
      <c r="A255" s="50">
        <v>34</v>
      </c>
      <c r="B255" s="21"/>
      <c r="C255" s="22" t="s">
        <v>53</v>
      </c>
      <c r="D255" s="21"/>
      <c r="E255" s="22"/>
      <c r="F255" s="20"/>
      <c r="G255" s="23"/>
      <c r="H255" s="51">
        <f>SUM(H248:H254)</f>
        <v>1047.46</v>
      </c>
      <c r="I255" s="52"/>
      <c r="J255" s="53"/>
      <c r="K255" s="51">
        <f t="shared" ref="K255:L255" si="652">SUM(K248:K254)</f>
        <v>0</v>
      </c>
      <c r="L255" s="68">
        <f t="shared" si="652"/>
        <v>0</v>
      </c>
      <c r="M255" s="53"/>
      <c r="N255" s="53"/>
      <c r="O255" s="51">
        <f t="shared" ref="O255:P255" si="653">SUM(O249:O254)</f>
        <v>0</v>
      </c>
      <c r="P255" s="51">
        <f t="shared" si="653"/>
        <v>0</v>
      </c>
      <c r="Q255" s="52"/>
      <c r="R255" s="53"/>
      <c r="S255" s="51">
        <f t="shared" ref="S255:T255" si="654">SUM(S249:S254)</f>
        <v>0</v>
      </c>
      <c r="T255" s="68">
        <f t="shared" si="654"/>
        <v>0</v>
      </c>
      <c r="U255" s="53"/>
      <c r="V255" s="53"/>
      <c r="W255" s="51">
        <f t="shared" ref="W255:X255" si="655">SUM(W249:W254)</f>
        <v>0</v>
      </c>
      <c r="X255" s="51">
        <f t="shared" si="655"/>
        <v>1047.46</v>
      </c>
      <c r="Y255" s="52"/>
      <c r="Z255" s="53"/>
      <c r="AA255" s="51">
        <f t="shared" ref="AA255:AB255" si="656">SUM(AA249:AA254)</f>
        <v>357.47</v>
      </c>
      <c r="AB255" s="68">
        <f t="shared" si="656"/>
        <v>0</v>
      </c>
      <c r="AC255" s="53"/>
      <c r="AD255" s="53"/>
      <c r="AE255" s="51">
        <f t="shared" ref="AE255:AF255" si="657">SUM(AE249:AE254)</f>
        <v>4463.8388</v>
      </c>
      <c r="AF255" s="51">
        <f t="shared" si="657"/>
        <v>0</v>
      </c>
      <c r="AG255" s="52"/>
      <c r="AH255" s="53"/>
      <c r="AI255" s="51">
        <f t="shared" ref="AI255:AJ255" si="658">SUM(AI249:AI254)</f>
        <v>234.06</v>
      </c>
      <c r="AJ255" s="68">
        <f t="shared" si="658"/>
        <v>0</v>
      </c>
      <c r="AK255" s="52"/>
      <c r="AL255" s="53"/>
      <c r="AM255" s="51">
        <f t="shared" ref="AM255:AN255" si="659">SUM(AM249:AM254)</f>
        <v>478.84</v>
      </c>
      <c r="AN255" s="68">
        <f t="shared" si="659"/>
        <v>4000</v>
      </c>
      <c r="AO255" s="52"/>
      <c r="AP255" s="53"/>
      <c r="AQ255" s="51">
        <f t="shared" ref="AQ255:AR255" si="660">SUM(AQ249:AQ254)</f>
        <v>408.38</v>
      </c>
      <c r="AR255" s="68">
        <f t="shared" si="660"/>
        <v>0</v>
      </c>
      <c r="AS255" s="53"/>
      <c r="AT255" s="53"/>
      <c r="AU255" s="51">
        <f t="shared" ref="AU255:AV255" si="661">SUM(AU249:AU254)</f>
        <v>22.41</v>
      </c>
      <c r="AV255" s="51">
        <f t="shared" si="661"/>
        <v>0</v>
      </c>
      <c r="AW255" s="52"/>
      <c r="AX255" s="53"/>
      <c r="AY255" s="51">
        <f t="shared" ref="AY255:AZ255" si="662">SUM(AY249:AY254)</f>
        <v>0</v>
      </c>
      <c r="AZ255" s="68">
        <f t="shared" si="662"/>
        <v>0</v>
      </c>
      <c r="BA255" s="53"/>
      <c r="BB255" s="53"/>
      <c r="BC255" s="51">
        <f t="shared" ref="BC255:BD255" si="663">SUM(BC249:BC254)</f>
        <v>0</v>
      </c>
      <c r="BD255" s="51">
        <f t="shared" si="663"/>
        <v>0</v>
      </c>
      <c r="BE255" s="69"/>
      <c r="BF255" s="70">
        <f t="shared" ref="BF255:BH255" si="664">SUM(BF248:BF254)</f>
        <v>5964.9988</v>
      </c>
      <c r="BG255" s="71">
        <f t="shared" si="664"/>
        <v>5047.46</v>
      </c>
      <c r="BH255" s="72">
        <f t="shared" si="664"/>
        <v>1964.9988</v>
      </c>
      <c r="BI255" s="34">
        <f>H255+BF255-BG255</f>
        <v>1964.9988</v>
      </c>
      <c r="BJ255" s="34">
        <f>BH255-BI255</f>
        <v>0</v>
      </c>
    </row>
    <row r="256" ht="15.75" customHeight="1" hidden="1" spans="1:60" x14ac:dyDescent="0.25">
      <c r="A256" s="29">
        <v>35</v>
      </c>
      <c r="B256" s="14"/>
      <c r="D256" s="14" t="s">
        <v>42</v>
      </c>
      <c r="F256" s="13"/>
      <c r="G256" s="28"/>
      <c r="I256" s="13"/>
      <c r="J256" s="15"/>
      <c r="K256" s="15"/>
      <c r="L256" s="28"/>
      <c r="Q256" s="13"/>
      <c r="R256" s="15"/>
      <c r="S256" s="15"/>
      <c r="T256" s="28"/>
      <c r="Y256" s="13"/>
      <c r="Z256" s="15"/>
      <c r="AA256" s="15"/>
      <c r="AB256" s="28"/>
      <c r="AG256" s="13"/>
      <c r="AH256" s="15"/>
      <c r="AI256" s="15"/>
      <c r="AJ256" s="28"/>
      <c r="AK256" s="13"/>
      <c r="AL256" s="15"/>
      <c r="AM256" s="15"/>
      <c r="AN256" s="28"/>
      <c r="AO256" s="13"/>
      <c r="AP256" s="15"/>
      <c r="AQ256" s="15"/>
      <c r="AR256" s="28"/>
      <c r="AW256" s="13"/>
      <c r="AX256" s="15"/>
      <c r="AY256" s="15"/>
      <c r="AZ256" s="28"/>
      <c r="BE256" s="14"/>
      <c r="BF256" s="13"/>
      <c r="BG256" s="15"/>
      <c r="BH256" s="28"/>
    </row>
    <row r="257" ht="15.75" customHeight="1" hidden="1" spans="1:60" x14ac:dyDescent="0.25">
      <c r="A257" s="2">
        <v>35</v>
      </c>
      <c r="B257" s="14">
        <v>4.01</v>
      </c>
      <c r="C257" s="2" t="s">
        <v>157</v>
      </c>
      <c r="D257" s="14" t="s">
        <v>44</v>
      </c>
      <c r="E257" s="2" t="s">
        <v>45</v>
      </c>
      <c r="F257" s="13">
        <v>2.49</v>
      </c>
      <c r="G257" s="28"/>
      <c r="H257" s="2">
        <v>7.47</v>
      </c>
      <c r="I257" s="13">
        <v>33</v>
      </c>
      <c r="J257" s="15">
        <v>0</v>
      </c>
      <c r="K257" s="34">
        <f>J257*$F$8</f>
        <v>0</v>
      </c>
      <c r="L257" s="28"/>
      <c r="M257" s="2">
        <v>33</v>
      </c>
      <c r="N257" s="15">
        <f>M257-I257</f>
        <v>0</v>
      </c>
      <c r="O257" s="34">
        <f>N257*$F$8</f>
        <v>0</v>
      </c>
      <c r="Q257" s="13">
        <v>33</v>
      </c>
      <c r="R257" s="15">
        <f>Q257-M257</f>
        <v>0</v>
      </c>
      <c r="S257" s="34">
        <f>R257*$F$8</f>
        <v>0</v>
      </c>
      <c r="T257" s="28"/>
      <c r="U257" s="2">
        <v>33</v>
      </c>
      <c r="V257" s="15">
        <f>U257-Q257</f>
        <v>0</v>
      </c>
      <c r="W257" s="34">
        <f>V257*$F$8</f>
        <v>0</v>
      </c>
      <c r="X257" s="2">
        <v>7.47</v>
      </c>
      <c r="Y257" s="13">
        <v>33</v>
      </c>
      <c r="Z257" s="15">
        <f>Y257-U257</f>
        <v>0</v>
      </c>
      <c r="AA257" s="34">
        <f>Z257*$F$8</f>
        <v>0</v>
      </c>
      <c r="AB257" s="28"/>
      <c r="AC257" s="2">
        <v>33</v>
      </c>
      <c r="AD257" s="15">
        <f t="shared" ref="AD257:AD258" si="665">AC257-Y257</f>
        <v>0</v>
      </c>
      <c r="AE257" s="34">
        <f>AD257*$F$8</f>
        <v>0</v>
      </c>
      <c r="AG257" s="13">
        <v>33</v>
      </c>
      <c r="AH257" s="15">
        <f t="shared" ref="AH257:AH258" si="666">AG257-AC257</f>
        <v>0</v>
      </c>
      <c r="AI257" s="34">
        <f>AH257*$F$8</f>
        <v>0</v>
      </c>
      <c r="AJ257" s="28"/>
      <c r="AK257" s="13">
        <v>33</v>
      </c>
      <c r="AL257" s="15">
        <f t="shared" ref="AL257:AL258" si="667">AK257-AG257</f>
        <v>0</v>
      </c>
      <c r="AM257" s="34">
        <f>AL257*$F$8</f>
        <v>0</v>
      </c>
      <c r="AN257" s="28"/>
      <c r="AO257" s="13">
        <v>33</v>
      </c>
      <c r="AP257" s="15">
        <f t="shared" ref="AP257:AP258" si="668">AO257-AK257</f>
        <v>0</v>
      </c>
      <c r="AQ257" s="34">
        <f>AP257*$F$8</f>
        <v>0</v>
      </c>
      <c r="AR257" s="28"/>
      <c r="AS257" s="15">
        <v>33</v>
      </c>
      <c r="AT257" s="15">
        <f>AS257-AO257</f>
        <v>0</v>
      </c>
      <c r="AU257" s="34">
        <f>AT257*$F$8</f>
        <v>0</v>
      </c>
      <c r="AV257" s="15"/>
      <c r="AW257" s="13">
        <v>33</v>
      </c>
      <c r="AX257" s="15">
        <f>AW257-AS257</f>
        <v>0</v>
      </c>
      <c r="AY257" s="34">
        <f>AX257*$F$8</f>
        <v>0</v>
      </c>
      <c r="AZ257" s="28"/>
      <c r="BA257" s="13">
        <v>33</v>
      </c>
      <c r="BB257" s="15">
        <f>BA257-AW257</f>
        <v>0</v>
      </c>
      <c r="BC257" s="34">
        <f>BB257*$F$8</f>
        <v>0</v>
      </c>
      <c r="BD257" s="15"/>
      <c r="BE257" s="40">
        <f t="shared" ref="BE257:BG257" si="669">J257+N257+R257+V257+Z257+AD257+AH257+AL257+AP257+AT257+AX257+BB257</f>
        <v>0</v>
      </c>
      <c r="BF257" s="41">
        <f t="shared" si="669"/>
        <v>0</v>
      </c>
      <c r="BG257" s="34">
        <f t="shared" si="669"/>
        <v>7.47</v>
      </c>
      <c r="BH257" s="35">
        <f t="shared" ref="BH257:BH262" si="670">H257+BF257-BG257</f>
        <v>0</v>
      </c>
    </row>
    <row r="258" ht="15.75" customHeight="1" hidden="1" spans="1:60" x14ac:dyDescent="0.25">
      <c r="A258" s="29">
        <v>35</v>
      </c>
      <c r="B258" s="14"/>
      <c r="C258" s="2" t="s">
        <v>75</v>
      </c>
      <c r="D258" s="14" t="s">
        <v>47</v>
      </c>
      <c r="E258" s="2" t="s">
        <v>48</v>
      </c>
      <c r="F258" s="13">
        <v>17.16</v>
      </c>
      <c r="G258" s="28"/>
      <c r="H258" s="73">
        <f>1*17.16</f>
        <v>17.16</v>
      </c>
      <c r="I258" s="13"/>
      <c r="J258" s="15"/>
      <c r="K258" s="15"/>
      <c r="L258" s="28"/>
      <c r="Q258" s="13"/>
      <c r="R258" s="15"/>
      <c r="S258" s="15"/>
      <c r="T258" s="28"/>
      <c r="Y258" s="13">
        <v>90</v>
      </c>
      <c r="Z258" s="15"/>
      <c r="AA258" s="15"/>
      <c r="AB258" s="28"/>
      <c r="AC258" s="2">
        <v>94</v>
      </c>
      <c r="AD258" s="15">
        <f t="shared" si="665"/>
        <v>4</v>
      </c>
      <c r="AE258" s="34">
        <f>AD258*$F$10</f>
        <v>68.64</v>
      </c>
      <c r="AF258" s="2">
        <v>76.11</v>
      </c>
      <c r="AG258" s="13">
        <v>94</v>
      </c>
      <c r="AH258" s="15">
        <f t="shared" si="666"/>
        <v>0</v>
      </c>
      <c r="AI258" s="45">
        <f>AH258*$G$10</f>
        <v>0</v>
      </c>
      <c r="AJ258" s="28"/>
      <c r="AK258" s="13">
        <v>106</v>
      </c>
      <c r="AL258" s="15">
        <f t="shared" si="667"/>
        <v>12</v>
      </c>
      <c r="AM258" s="45">
        <f>AL258*$G$10</f>
        <v>212.16</v>
      </c>
      <c r="AN258" s="32">
        <f>168.81+53.04</f>
        <v>221.85</v>
      </c>
      <c r="AO258" s="13">
        <v>107</v>
      </c>
      <c r="AP258" s="15">
        <f t="shared" si="668"/>
        <v>1</v>
      </c>
      <c r="AQ258" s="45">
        <f>AP258*$G$10</f>
        <v>17.68</v>
      </c>
      <c r="AR258" s="32">
        <v>17.68</v>
      </c>
      <c r="AS258" s="15"/>
      <c r="AT258" s="15"/>
      <c r="AU258" s="15"/>
      <c r="AV258" s="15"/>
      <c r="AW258" s="13"/>
      <c r="AX258" s="15"/>
      <c r="AY258" s="15"/>
      <c r="AZ258" s="28"/>
      <c r="BA258" s="15"/>
      <c r="BB258" s="15"/>
      <c r="BC258" s="15"/>
      <c r="BD258" s="15"/>
      <c r="BE258" s="40">
        <f t="shared" ref="BE258:BG258" si="671">J258+N258+R258+V258+Z258+AD258+AH258+AL258+AP258+AT258+AX258+BB258</f>
        <v>17</v>
      </c>
      <c r="BF258" s="41">
        <f t="shared" si="671"/>
        <v>298.48</v>
      </c>
      <c r="BG258" s="34">
        <f t="shared" si="671"/>
        <v>315.64</v>
      </c>
      <c r="BH258" s="35">
        <f t="shared" si="670"/>
        <v>0</v>
      </c>
    </row>
    <row r="259" ht="15.75" customHeight="1" hidden="1" spans="1:60" x14ac:dyDescent="0.25">
      <c r="A259" s="29">
        <v>35</v>
      </c>
      <c r="B259" s="14"/>
      <c r="C259" s="2" t="s">
        <v>158</v>
      </c>
      <c r="D259" s="14" t="s">
        <v>47</v>
      </c>
      <c r="E259" s="2" t="s">
        <v>49</v>
      </c>
      <c r="F259" s="41">
        <v>300</v>
      </c>
      <c r="G259" s="28"/>
      <c r="I259" s="13"/>
      <c r="J259" s="15"/>
      <c r="K259" s="15"/>
      <c r="L259" s="28"/>
      <c r="Q259" s="13"/>
      <c r="R259" s="15"/>
      <c r="S259" s="15"/>
      <c r="T259" s="28"/>
      <c r="Y259" s="13"/>
      <c r="Z259" s="15"/>
      <c r="AA259" s="15"/>
      <c r="AB259" s="28"/>
      <c r="AG259" s="13"/>
      <c r="AH259" s="15"/>
      <c r="AI259" s="15"/>
      <c r="AJ259" s="28"/>
      <c r="AK259" s="13"/>
      <c r="AL259" s="15"/>
      <c r="AM259" s="34"/>
      <c r="AN259" s="28"/>
      <c r="AO259" s="13"/>
      <c r="AP259" s="15"/>
      <c r="AQ259" s="34"/>
      <c r="AR259" s="28"/>
      <c r="AS259" s="15"/>
      <c r="AT259" s="15"/>
      <c r="AU259" s="15"/>
      <c r="AV259" s="15"/>
      <c r="AW259" s="13"/>
      <c r="AX259" s="15"/>
      <c r="AY259" s="15"/>
      <c r="AZ259" s="28"/>
      <c r="BA259" s="15"/>
      <c r="BB259" s="15"/>
      <c r="BC259" s="15"/>
      <c r="BD259" s="15"/>
      <c r="BE259" s="14"/>
      <c r="BF259" s="41">
        <f t="shared" ref="BF259:BG259" si="672">K259+O259+S259+W259+AA259+AE259+AI259+AM259+AQ259+AU259+AY259+BC259</f>
        <v>0</v>
      </c>
      <c r="BG259" s="34">
        <f t="shared" si="672"/>
        <v>0</v>
      </c>
      <c r="BH259" s="35">
        <f t="shared" si="670"/>
        <v>0</v>
      </c>
    </row>
    <row r="260" ht="15.75" customHeight="1" hidden="1" spans="1:60" x14ac:dyDescent="0.25">
      <c r="A260" s="29">
        <v>35</v>
      </c>
      <c r="B260" s="14"/>
      <c r="C260" s="2" t="s">
        <v>159</v>
      </c>
      <c r="D260" s="14" t="s">
        <v>50</v>
      </c>
      <c r="E260" s="2" t="s">
        <v>49</v>
      </c>
      <c r="F260" s="41">
        <v>1062.88</v>
      </c>
      <c r="G260" s="28"/>
      <c r="I260" s="13"/>
      <c r="J260" s="15"/>
      <c r="K260" s="15"/>
      <c r="L260" s="28"/>
      <c r="Q260" s="13"/>
      <c r="R260" s="15"/>
      <c r="S260" s="15"/>
      <c r="T260" s="28"/>
      <c r="Y260" s="13"/>
      <c r="Z260" s="15"/>
      <c r="AA260" s="15"/>
      <c r="AB260" s="28"/>
      <c r="AE260" s="34">
        <f>B257*$F$12</f>
        <v>4262.1488</v>
      </c>
      <c r="AG260" s="13"/>
      <c r="AH260" s="15"/>
      <c r="AI260" s="15"/>
      <c r="AJ260" s="28"/>
      <c r="AK260" s="13"/>
      <c r="AL260" s="15"/>
      <c r="AM260" s="15"/>
      <c r="AN260" s="32">
        <v>4262.15</v>
      </c>
      <c r="AO260" s="13"/>
      <c r="AP260" s="15"/>
      <c r="AQ260" s="15"/>
      <c r="AR260" s="28"/>
      <c r="AS260" s="15"/>
      <c r="AT260" s="15"/>
      <c r="AU260" s="15"/>
      <c r="AV260" s="15"/>
      <c r="AW260" s="13"/>
      <c r="AX260" s="15"/>
      <c r="AY260" s="15"/>
      <c r="AZ260" s="28"/>
      <c r="BA260" s="15"/>
      <c r="BB260" s="15"/>
      <c r="BC260" s="15"/>
      <c r="BD260" s="15"/>
      <c r="BE260" s="14"/>
      <c r="BF260" s="41">
        <f>B257*$F$12</f>
        <v>4262.1488</v>
      </c>
      <c r="BG260" s="34">
        <f t="shared" ref="BG260:BG262" si="673">L260+P260+T260+X260+AB260+AF260+AJ260+AN260+AR260+AV260+AZ260+BD260</f>
        <v>4262.15</v>
      </c>
      <c r="BH260" s="35">
        <f t="shared" si="670"/>
        <v>-0.0012</v>
      </c>
    </row>
    <row r="261" ht="15.75" customHeight="1" hidden="1" spans="1:60" x14ac:dyDescent="0.25">
      <c r="A261" s="29">
        <v>35</v>
      </c>
      <c r="B261" s="14"/>
      <c r="D261" s="14" t="s">
        <v>51</v>
      </c>
      <c r="E261" s="2" t="s">
        <v>49</v>
      </c>
      <c r="F261" s="41">
        <v>0</v>
      </c>
      <c r="G261" s="28"/>
      <c r="I261" s="13"/>
      <c r="J261" s="15"/>
      <c r="K261" s="15"/>
      <c r="L261" s="28"/>
      <c r="Q261" s="13"/>
      <c r="R261" s="15"/>
      <c r="S261" s="15"/>
      <c r="T261" s="28"/>
      <c r="Y261" s="13"/>
      <c r="Z261" s="15"/>
      <c r="AA261" s="15"/>
      <c r="AB261" s="28"/>
      <c r="AG261" s="13"/>
      <c r="AH261" s="15"/>
      <c r="AI261" s="15"/>
      <c r="AJ261" s="28"/>
      <c r="AK261" s="13"/>
      <c r="AL261" s="15"/>
      <c r="AM261" s="15"/>
      <c r="AN261" s="28"/>
      <c r="AO261" s="13"/>
      <c r="AP261" s="15"/>
      <c r="AQ261" s="15"/>
      <c r="AR261" s="28"/>
      <c r="AS261" s="15"/>
      <c r="AT261" s="15"/>
      <c r="AU261" s="15"/>
      <c r="AV261" s="15"/>
      <c r="AW261" s="13"/>
      <c r="AX261" s="15"/>
      <c r="AY261" s="15"/>
      <c r="AZ261" s="28"/>
      <c r="BA261" s="15"/>
      <c r="BB261" s="15"/>
      <c r="BC261" s="15"/>
      <c r="BD261" s="15"/>
      <c r="BE261" s="14"/>
      <c r="BF261" s="41">
        <f>B257*$F$13</f>
        <v>0</v>
      </c>
      <c r="BG261" s="34">
        <f t="shared" si="673"/>
        <v>0</v>
      </c>
      <c r="BH261" s="35">
        <f t="shared" si="670"/>
        <v>0</v>
      </c>
    </row>
    <row r="262" ht="15.75" customHeight="1" hidden="1" spans="1:60" x14ac:dyDescent="0.25">
      <c r="A262" s="29">
        <v>35</v>
      </c>
      <c r="B262" s="14"/>
      <c r="D262" s="14" t="s">
        <v>52</v>
      </c>
      <c r="E262" s="2" t="s">
        <v>39</v>
      </c>
      <c r="F262" s="41">
        <v>350</v>
      </c>
      <c r="G262" s="28"/>
      <c r="I262" s="13"/>
      <c r="J262" s="15"/>
      <c r="K262" s="15"/>
      <c r="L262" s="28"/>
      <c r="Q262" s="13"/>
      <c r="R262" s="15"/>
      <c r="S262" s="15"/>
      <c r="T262" s="28"/>
      <c r="Y262" s="13"/>
      <c r="Z262" s="15"/>
      <c r="AA262" s="34">
        <f>$F$14</f>
        <v>350</v>
      </c>
      <c r="AB262" s="28"/>
      <c r="AG262" s="13"/>
      <c r="AH262" s="15"/>
      <c r="AI262" s="15"/>
      <c r="AJ262" s="28"/>
      <c r="AK262" s="13"/>
      <c r="AL262" s="15"/>
      <c r="AM262" s="15"/>
      <c r="AN262" s="38">
        <v>350</v>
      </c>
      <c r="AO262" s="13"/>
      <c r="AP262" s="15"/>
      <c r="AQ262" s="15"/>
      <c r="AR262" s="28"/>
      <c r="AS262" s="15"/>
      <c r="AT262" s="15"/>
      <c r="AU262" s="15"/>
      <c r="AV262" s="15"/>
      <c r="AW262" s="13"/>
      <c r="AX262" s="15"/>
      <c r="AY262" s="15"/>
      <c r="AZ262" s="28"/>
      <c r="BA262" s="15"/>
      <c r="BB262" s="15"/>
      <c r="BC262" s="15"/>
      <c r="BD262" s="15"/>
      <c r="BE262" s="14"/>
      <c r="BF262" s="41">
        <f>$F$14</f>
        <v>350</v>
      </c>
      <c r="BG262" s="34">
        <f t="shared" si="673"/>
        <v>350</v>
      </c>
      <c r="BH262" s="35">
        <f t="shared" si="670"/>
        <v>0</v>
      </c>
    </row>
    <row r="263" ht="15.75" customHeight="1" hidden="1" spans="1:62" x14ac:dyDescent="0.25">
      <c r="A263" s="50">
        <v>35</v>
      </c>
      <c r="B263" s="21"/>
      <c r="C263" s="22" t="s">
        <v>53</v>
      </c>
      <c r="D263" s="21"/>
      <c r="E263" s="22"/>
      <c r="F263" s="20"/>
      <c r="G263" s="23"/>
      <c r="H263" s="51">
        <f>SUM(H256:H262)</f>
        <v>24.63</v>
      </c>
      <c r="I263" s="52"/>
      <c r="J263" s="53"/>
      <c r="K263" s="51">
        <f t="shared" ref="K263:L263" si="674">SUM(K256:K262)</f>
        <v>0</v>
      </c>
      <c r="L263" s="68">
        <f t="shared" si="674"/>
        <v>0</v>
      </c>
      <c r="M263" s="53"/>
      <c r="N263" s="53"/>
      <c r="O263" s="51">
        <f t="shared" ref="O263:P263" si="675">SUM(O257:O262)</f>
        <v>0</v>
      </c>
      <c r="P263" s="51">
        <f t="shared" si="675"/>
        <v>0</v>
      </c>
      <c r="Q263" s="52"/>
      <c r="R263" s="53"/>
      <c r="S263" s="51">
        <f t="shared" ref="S263:T263" si="676">SUM(S257:S262)</f>
        <v>0</v>
      </c>
      <c r="T263" s="68">
        <f t="shared" si="676"/>
        <v>0</v>
      </c>
      <c r="U263" s="53"/>
      <c r="V263" s="53"/>
      <c r="W263" s="51">
        <f t="shared" ref="W263:X263" si="677">SUM(W257:W262)</f>
        <v>0</v>
      </c>
      <c r="X263" s="51">
        <f t="shared" si="677"/>
        <v>7.47</v>
      </c>
      <c r="Y263" s="52"/>
      <c r="Z263" s="53"/>
      <c r="AA263" s="51">
        <f t="shared" ref="AA263:AB263" si="678">SUM(AA257:AA262)</f>
        <v>350</v>
      </c>
      <c r="AB263" s="68">
        <f t="shared" si="678"/>
        <v>0</v>
      </c>
      <c r="AC263" s="53"/>
      <c r="AD263" s="53"/>
      <c r="AE263" s="51">
        <f t="shared" ref="AE263:AF263" si="679">SUM(AE257:AE262)</f>
        <v>4330.7888</v>
      </c>
      <c r="AF263" s="51">
        <f t="shared" si="679"/>
        <v>76.11</v>
      </c>
      <c r="AG263" s="52"/>
      <c r="AH263" s="53"/>
      <c r="AI263" s="51">
        <f t="shared" ref="AI263:AJ263" si="680">SUM(AI257:AI262)</f>
        <v>0</v>
      </c>
      <c r="AJ263" s="68">
        <f t="shared" si="680"/>
        <v>0</v>
      </c>
      <c r="AK263" s="52"/>
      <c r="AL263" s="53"/>
      <c r="AM263" s="51">
        <f t="shared" ref="AM263:AN263" si="681">SUM(AM257:AM262)</f>
        <v>212.16</v>
      </c>
      <c r="AN263" s="68">
        <f t="shared" si="681"/>
        <v>4834</v>
      </c>
      <c r="AO263" s="52"/>
      <c r="AP263" s="53"/>
      <c r="AQ263" s="51">
        <f t="shared" ref="AQ263:AR263" si="682">SUM(AQ257:AQ262)</f>
        <v>17.68</v>
      </c>
      <c r="AR263" s="68">
        <f t="shared" si="682"/>
        <v>17.68</v>
      </c>
      <c r="AS263" s="53"/>
      <c r="AT263" s="53"/>
      <c r="AU263" s="51">
        <f t="shared" ref="AU263:AV263" si="683">SUM(AU257:AU262)</f>
        <v>0</v>
      </c>
      <c r="AV263" s="51">
        <f t="shared" si="683"/>
        <v>0</v>
      </c>
      <c r="AW263" s="52"/>
      <c r="AX263" s="53"/>
      <c r="AY263" s="51">
        <f t="shared" ref="AY263:AZ263" si="684">SUM(AY257:AY262)</f>
        <v>0</v>
      </c>
      <c r="AZ263" s="68">
        <f t="shared" si="684"/>
        <v>0</v>
      </c>
      <c r="BA263" s="53"/>
      <c r="BB263" s="53"/>
      <c r="BC263" s="51">
        <f t="shared" ref="BC263:BD263" si="685">SUM(BC257:BC262)</f>
        <v>0</v>
      </c>
      <c r="BD263" s="51">
        <f t="shared" si="685"/>
        <v>0</v>
      </c>
      <c r="BE263" s="69"/>
      <c r="BF263" s="70">
        <f t="shared" ref="BF263:BH263" si="686">SUM(BF256:BF262)</f>
        <v>4910.6288</v>
      </c>
      <c r="BG263" s="71">
        <f t="shared" si="686"/>
        <v>4935.26</v>
      </c>
      <c r="BH263" s="72">
        <f t="shared" si="686"/>
        <v>-0.0012</v>
      </c>
      <c r="BI263" s="34">
        <f>H263+BF263-BG263</f>
        <v>-0.001199999999</v>
      </c>
      <c r="BJ263" s="34">
        <f>BH263-BI263</f>
        <v>0</v>
      </c>
    </row>
    <row r="264" ht="15.75" customHeight="1" hidden="1" spans="1:60" x14ac:dyDescent="0.25">
      <c r="A264" s="29">
        <v>36</v>
      </c>
      <c r="B264" s="14"/>
      <c r="D264" s="14" t="s">
        <v>42</v>
      </c>
      <c r="F264" s="13"/>
      <c r="G264" s="28"/>
      <c r="I264" s="13"/>
      <c r="J264" s="15"/>
      <c r="K264" s="15"/>
      <c r="L264" s="28"/>
      <c r="Q264" s="13"/>
      <c r="R264" s="15"/>
      <c r="S264" s="15"/>
      <c r="T264" s="28"/>
      <c r="Y264" s="13"/>
      <c r="Z264" s="15"/>
      <c r="AA264" s="15"/>
      <c r="AB264" s="28"/>
      <c r="AG264" s="13"/>
      <c r="AH264" s="15"/>
      <c r="AI264" s="15"/>
      <c r="AJ264" s="28"/>
      <c r="AK264" s="13"/>
      <c r="AL264" s="15"/>
      <c r="AM264" s="15"/>
      <c r="AN264" s="28"/>
      <c r="AO264" s="13"/>
      <c r="AP264" s="15"/>
      <c r="AQ264" s="15"/>
      <c r="AR264" s="28"/>
      <c r="AW264" s="13"/>
      <c r="AX264" s="15"/>
      <c r="AY264" s="15"/>
      <c r="AZ264" s="28"/>
      <c r="BE264" s="14"/>
      <c r="BF264" s="13"/>
      <c r="BG264" s="15"/>
      <c r="BH264" s="28"/>
    </row>
    <row r="265" ht="15.75" customHeight="1" hidden="1" spans="1:60" x14ac:dyDescent="0.25">
      <c r="A265" s="2">
        <v>36</v>
      </c>
      <c r="B265" s="14">
        <v>4.03</v>
      </c>
      <c r="C265" s="2" t="s">
        <v>160</v>
      </c>
      <c r="D265" s="14" t="s">
        <v>44</v>
      </c>
      <c r="E265" s="2" t="s">
        <v>45</v>
      </c>
      <c r="F265" s="13">
        <v>2.49</v>
      </c>
      <c r="G265" s="28"/>
      <c r="H265" s="2">
        <v>86.55</v>
      </c>
      <c r="I265" s="13">
        <v>186</v>
      </c>
      <c r="J265" s="15">
        <v>0</v>
      </c>
      <c r="K265" s="34">
        <f>J265*$F$8</f>
        <v>0</v>
      </c>
      <c r="L265" s="28"/>
      <c r="M265" s="2">
        <v>186</v>
      </c>
      <c r="N265" s="15">
        <f>M265-I265</f>
        <v>0</v>
      </c>
      <c r="O265" s="34">
        <f>N265*$F$8</f>
        <v>0</v>
      </c>
      <c r="Q265" s="13">
        <v>186</v>
      </c>
      <c r="R265" s="15">
        <f>Q265-M265</f>
        <v>0</v>
      </c>
      <c r="S265" s="34">
        <f>R265*$F$8</f>
        <v>0</v>
      </c>
      <c r="T265" s="28"/>
      <c r="U265" s="2">
        <v>188</v>
      </c>
      <c r="V265" s="15">
        <f>U265-Q265</f>
        <v>2</v>
      </c>
      <c r="W265" s="34">
        <f>V265*$F$8</f>
        <v>4.98</v>
      </c>
      <c r="X265" s="34">
        <v>200</v>
      </c>
      <c r="Y265" s="13">
        <v>193</v>
      </c>
      <c r="Z265" s="15">
        <f>Y265-U265</f>
        <v>5</v>
      </c>
      <c r="AA265" s="34">
        <f>Z265*$F$8</f>
        <v>12.45</v>
      </c>
      <c r="AB265" s="28"/>
      <c r="AC265" s="2">
        <v>203</v>
      </c>
      <c r="AD265" s="15">
        <f t="shared" ref="AD265:AD266" si="687">AC265-Y265</f>
        <v>10</v>
      </c>
      <c r="AE265" s="34">
        <f>AD265*$F$8</f>
        <v>24.9</v>
      </c>
      <c r="AG265" s="13">
        <v>213</v>
      </c>
      <c r="AH265" s="15">
        <f t="shared" ref="AH265:AH266" si="688">AG265-AC265</f>
        <v>10</v>
      </c>
      <c r="AI265" s="34">
        <f>AH265*$F$8</f>
        <v>24.9</v>
      </c>
      <c r="AJ265" s="28"/>
      <c r="AK265" s="13">
        <v>222</v>
      </c>
      <c r="AL265" s="15">
        <f t="shared" ref="AL265:AL266" si="689">AK265-AG265</f>
        <v>9</v>
      </c>
      <c r="AM265" s="34">
        <f>AL265*$F$8</f>
        <v>22.41</v>
      </c>
      <c r="AN265" s="28"/>
      <c r="AO265" s="13">
        <v>235</v>
      </c>
      <c r="AP265" s="15">
        <f t="shared" ref="AP265:AP266" si="690">AO265-AK265</f>
        <v>13</v>
      </c>
      <c r="AQ265" s="34">
        <f>AP265*$F$8</f>
        <v>32.37</v>
      </c>
      <c r="AR265" s="28"/>
      <c r="AS265" s="15">
        <v>251</v>
      </c>
      <c r="AT265" s="15">
        <f>AS265-AO265</f>
        <v>16</v>
      </c>
      <c r="AU265" s="34">
        <f>AT265*$F$8</f>
        <v>39.84</v>
      </c>
      <c r="AV265" s="15"/>
      <c r="AW265" s="13">
        <v>251</v>
      </c>
      <c r="AX265" s="15">
        <f>AW265-AS265</f>
        <v>0</v>
      </c>
      <c r="AY265" s="34">
        <f>AX265*$F$8</f>
        <v>0</v>
      </c>
      <c r="AZ265" s="28"/>
      <c r="BA265" s="13">
        <v>251</v>
      </c>
      <c r="BB265" s="15">
        <f>BA265-AW265</f>
        <v>0</v>
      </c>
      <c r="BC265" s="34">
        <f>BB265*$F$8</f>
        <v>0</v>
      </c>
      <c r="BD265" s="15"/>
      <c r="BE265" s="40">
        <f t="shared" ref="BE265:BG265" si="691">J265+N265+R265+V265+Z265+AD265+AH265+AL265+AP265+AT265+AX265+BB265</f>
        <v>65</v>
      </c>
      <c r="BF265" s="41">
        <f t="shared" si="691"/>
        <v>161.85</v>
      </c>
      <c r="BG265" s="34">
        <f t="shared" si="691"/>
        <v>200</v>
      </c>
      <c r="BH265" s="35">
        <f t="shared" ref="BH265:BH270" si="692">H265+BF265-BG265</f>
        <v>48.4</v>
      </c>
    </row>
    <row r="266" ht="15.75" customHeight="1" hidden="1" spans="1:60" x14ac:dyDescent="0.25">
      <c r="A266" s="29">
        <v>36</v>
      </c>
      <c r="B266" s="14"/>
      <c r="C266" s="2" t="s">
        <v>161</v>
      </c>
      <c r="D266" s="14" t="s">
        <v>47</v>
      </c>
      <c r="E266" s="2" t="s">
        <v>48</v>
      </c>
      <c r="F266" s="13">
        <v>17.16</v>
      </c>
      <c r="G266" s="28"/>
      <c r="I266" s="13"/>
      <c r="J266" s="15"/>
      <c r="K266" s="15"/>
      <c r="L266" s="28"/>
      <c r="Q266" s="13"/>
      <c r="R266" s="15"/>
      <c r="S266" s="15"/>
      <c r="T266" s="28"/>
      <c r="Y266" s="75">
        <v>0</v>
      </c>
      <c r="Z266" s="15"/>
      <c r="AA266" s="15"/>
      <c r="AB266" s="28"/>
      <c r="AC266" s="2">
        <v>20</v>
      </c>
      <c r="AD266" s="15">
        <f t="shared" si="687"/>
        <v>20</v>
      </c>
      <c r="AE266" s="34">
        <f>AD266*$F$10</f>
        <v>343.2</v>
      </c>
      <c r="AF266" s="34">
        <v>343.2</v>
      </c>
      <c r="AG266" s="13">
        <v>20</v>
      </c>
      <c r="AH266" s="15">
        <f t="shared" si="688"/>
        <v>0</v>
      </c>
      <c r="AI266" s="45">
        <f>AH266*$G$10</f>
        <v>0</v>
      </c>
      <c r="AJ266" s="28"/>
      <c r="AK266" s="13">
        <v>25</v>
      </c>
      <c r="AL266" s="15">
        <f t="shared" si="689"/>
        <v>5</v>
      </c>
      <c r="AM266" s="45">
        <f>AL266*$G$10</f>
        <v>88.4</v>
      </c>
      <c r="AN266" s="38">
        <v>88.4</v>
      </c>
      <c r="AO266" s="13">
        <v>25</v>
      </c>
      <c r="AP266" s="15">
        <f t="shared" si="690"/>
        <v>0</v>
      </c>
      <c r="AQ266" s="45">
        <f>AP266*$G$10</f>
        <v>0</v>
      </c>
      <c r="AR266" s="28"/>
      <c r="AS266" s="15"/>
      <c r="AT266" s="15"/>
      <c r="AU266" s="15"/>
      <c r="AV266" s="15"/>
      <c r="AW266" s="13"/>
      <c r="AX266" s="15"/>
      <c r="AY266" s="15"/>
      <c r="AZ266" s="28"/>
      <c r="BA266" s="15"/>
      <c r="BB266" s="15"/>
      <c r="BC266" s="15"/>
      <c r="BD266" s="15"/>
      <c r="BE266" s="40">
        <f t="shared" ref="BE266:BG266" si="693">J266+N266+R266+V266+Z266+AD266+AH266+AL266+AP266+AT266+AX266+BB266</f>
        <v>25</v>
      </c>
      <c r="BF266" s="41">
        <f t="shared" si="693"/>
        <v>431.6</v>
      </c>
      <c r="BG266" s="34">
        <f t="shared" si="693"/>
        <v>431.6</v>
      </c>
      <c r="BH266" s="35">
        <f t="shared" si="692"/>
        <v>0</v>
      </c>
    </row>
    <row r="267" ht="15.75" customHeight="1" hidden="1" spans="1:60" x14ac:dyDescent="0.25">
      <c r="A267" s="29">
        <v>36</v>
      </c>
      <c r="B267" s="14"/>
      <c r="C267" s="2" t="s">
        <v>68</v>
      </c>
      <c r="D267" s="14" t="s">
        <v>47</v>
      </c>
      <c r="E267" s="2" t="s">
        <v>49</v>
      </c>
      <c r="F267" s="41">
        <v>300</v>
      </c>
      <c r="G267" s="28"/>
      <c r="I267" s="13"/>
      <c r="J267" s="15"/>
      <c r="K267" s="15"/>
      <c r="L267" s="28"/>
      <c r="Q267" s="13"/>
      <c r="R267" s="15"/>
      <c r="S267" s="15"/>
      <c r="T267" s="28"/>
      <c r="Y267" s="13"/>
      <c r="Z267" s="15"/>
      <c r="AA267" s="15"/>
      <c r="AB267" s="28"/>
      <c r="AG267" s="13"/>
      <c r="AH267" s="15"/>
      <c r="AI267" s="15"/>
      <c r="AJ267" s="28"/>
      <c r="AK267" s="13"/>
      <c r="AL267" s="15"/>
      <c r="AM267" s="34"/>
      <c r="AN267" s="28"/>
      <c r="AO267" s="13"/>
      <c r="AP267" s="15"/>
      <c r="AQ267" s="34"/>
      <c r="AR267" s="28"/>
      <c r="AS267" s="15"/>
      <c r="AT267" s="15"/>
      <c r="AU267" s="15"/>
      <c r="AV267" s="15"/>
      <c r="AW267" s="13"/>
      <c r="AX267" s="15"/>
      <c r="AY267" s="15"/>
      <c r="AZ267" s="28"/>
      <c r="BA267" s="15"/>
      <c r="BB267" s="15"/>
      <c r="BC267" s="15"/>
      <c r="BD267" s="15"/>
      <c r="BE267" s="14"/>
      <c r="BF267" s="41">
        <f t="shared" ref="BF267:BG267" si="694">K267+O267+S267+W267+AA267+AE267+AI267+AM267+AQ267+AU267+AY267+BC267</f>
        <v>0</v>
      </c>
      <c r="BG267" s="34">
        <f t="shared" si="694"/>
        <v>0</v>
      </c>
      <c r="BH267" s="35">
        <f t="shared" si="692"/>
        <v>0</v>
      </c>
    </row>
    <row r="268" ht="15.75" customHeight="1" hidden="1" spans="1:60" x14ac:dyDescent="0.25">
      <c r="A268" s="29">
        <v>36</v>
      </c>
      <c r="B268" s="14"/>
      <c r="D268" s="14" t="s">
        <v>50</v>
      </c>
      <c r="E268" s="2" t="s">
        <v>49</v>
      </c>
      <c r="F268" s="41">
        <v>1062.88</v>
      </c>
      <c r="G268" s="28"/>
      <c r="I268" s="13"/>
      <c r="J268" s="15"/>
      <c r="K268" s="15"/>
      <c r="L268" s="28"/>
      <c r="Q268" s="13"/>
      <c r="R268" s="15"/>
      <c r="S268" s="15"/>
      <c r="T268" s="28"/>
      <c r="Y268" s="13"/>
      <c r="Z268" s="15"/>
      <c r="AA268" s="15"/>
      <c r="AB268" s="28"/>
      <c r="AE268" s="34">
        <f>B265*$F$12</f>
        <v>4283.4064</v>
      </c>
      <c r="AG268" s="13"/>
      <c r="AH268" s="15"/>
      <c r="AI268" s="15"/>
      <c r="AJ268" s="28"/>
      <c r="AK268" s="13"/>
      <c r="AL268" s="15"/>
      <c r="AM268" s="15"/>
      <c r="AN268" s="32">
        <v>4283.41</v>
      </c>
      <c r="AO268" s="13"/>
      <c r="AP268" s="15"/>
      <c r="AQ268" s="15"/>
      <c r="AR268" s="28"/>
      <c r="AS268" s="15"/>
      <c r="AT268" s="15"/>
      <c r="AU268" s="15"/>
      <c r="AV268" s="15"/>
      <c r="AW268" s="13"/>
      <c r="AX268" s="15"/>
      <c r="AY268" s="15"/>
      <c r="AZ268" s="28"/>
      <c r="BA268" s="15"/>
      <c r="BB268" s="15"/>
      <c r="BC268" s="15"/>
      <c r="BD268" s="15"/>
      <c r="BE268" s="14"/>
      <c r="BF268" s="41">
        <f>B265*$F$12</f>
        <v>4283.4064</v>
      </c>
      <c r="BG268" s="34">
        <f t="shared" ref="BG268:BG270" si="695">L268+P268+T268+X268+AB268+AF268+AJ268+AN268+AR268+AV268+AZ268+BD268</f>
        <v>4283.41</v>
      </c>
      <c r="BH268" s="35">
        <f t="shared" si="692"/>
        <v>-0.003599999999</v>
      </c>
    </row>
    <row r="269" ht="15.75" customHeight="1" hidden="1" spans="1:60" x14ac:dyDescent="0.25">
      <c r="A269" s="29">
        <v>36</v>
      </c>
      <c r="B269" s="14"/>
      <c r="D269" s="14" t="s">
        <v>51</v>
      </c>
      <c r="E269" s="2" t="s">
        <v>49</v>
      </c>
      <c r="F269" s="41">
        <v>0</v>
      </c>
      <c r="G269" s="28"/>
      <c r="I269" s="13"/>
      <c r="J269" s="15"/>
      <c r="K269" s="15"/>
      <c r="L269" s="28"/>
      <c r="Q269" s="13"/>
      <c r="R269" s="15"/>
      <c r="S269" s="15"/>
      <c r="T269" s="28"/>
      <c r="Y269" s="13"/>
      <c r="Z269" s="15"/>
      <c r="AA269" s="15"/>
      <c r="AB269" s="28"/>
      <c r="AG269" s="13"/>
      <c r="AH269" s="15"/>
      <c r="AI269" s="15"/>
      <c r="AJ269" s="28"/>
      <c r="AK269" s="13"/>
      <c r="AL269" s="15"/>
      <c r="AM269" s="15"/>
      <c r="AN269" s="28"/>
      <c r="AO269" s="13"/>
      <c r="AP269" s="15"/>
      <c r="AQ269" s="15"/>
      <c r="AR269" s="28"/>
      <c r="AS269" s="15"/>
      <c r="AT269" s="15"/>
      <c r="AU269" s="15"/>
      <c r="AV269" s="15"/>
      <c r="AW269" s="13"/>
      <c r="AX269" s="15"/>
      <c r="AY269" s="15"/>
      <c r="AZ269" s="28"/>
      <c r="BA269" s="15"/>
      <c r="BB269" s="15"/>
      <c r="BC269" s="15"/>
      <c r="BD269" s="15"/>
      <c r="BE269" s="14"/>
      <c r="BF269" s="41">
        <f>B265*$F$13</f>
        <v>0</v>
      </c>
      <c r="BG269" s="34">
        <f t="shared" si="695"/>
        <v>0</v>
      </c>
      <c r="BH269" s="35">
        <f t="shared" si="692"/>
        <v>0</v>
      </c>
    </row>
    <row r="270" ht="15.75" customHeight="1" hidden="1" spans="1:60" x14ac:dyDescent="0.25">
      <c r="A270" s="29">
        <v>36</v>
      </c>
      <c r="B270" s="14"/>
      <c r="D270" s="14" t="s">
        <v>52</v>
      </c>
      <c r="E270" s="2" t="s">
        <v>39</v>
      </c>
      <c r="F270" s="41">
        <v>350</v>
      </c>
      <c r="G270" s="28"/>
      <c r="H270" s="84">
        <v>-350</v>
      </c>
      <c r="I270" s="13"/>
      <c r="J270" s="15"/>
      <c r="K270" s="15"/>
      <c r="L270" s="28"/>
      <c r="Q270" s="13"/>
      <c r="R270" s="15"/>
      <c r="S270" s="15"/>
      <c r="T270" s="28"/>
      <c r="Y270" s="13"/>
      <c r="Z270" s="15"/>
      <c r="AA270" s="34">
        <f>$F$14</f>
        <v>350</v>
      </c>
      <c r="AB270" s="28"/>
      <c r="AG270" s="13"/>
      <c r="AH270" s="15"/>
      <c r="AI270" s="15"/>
      <c r="AJ270" s="28"/>
      <c r="AK270" s="13"/>
      <c r="AL270" s="15"/>
      <c r="AM270" s="15"/>
      <c r="AN270" s="28"/>
      <c r="AO270" s="13"/>
      <c r="AP270" s="15"/>
      <c r="AQ270" s="15"/>
      <c r="AR270" s="28"/>
      <c r="AS270" s="15"/>
      <c r="AT270" s="15"/>
      <c r="AU270" s="15"/>
      <c r="AV270" s="15"/>
      <c r="AW270" s="13"/>
      <c r="AX270" s="15"/>
      <c r="AY270" s="15"/>
      <c r="AZ270" s="28"/>
      <c r="BA270" s="15"/>
      <c r="BB270" s="15"/>
      <c r="BC270" s="15"/>
      <c r="BD270" s="15"/>
      <c r="BE270" s="14"/>
      <c r="BF270" s="41">
        <f>$F$14</f>
        <v>350</v>
      </c>
      <c r="BG270" s="34">
        <f t="shared" si="695"/>
        <v>0</v>
      </c>
      <c r="BH270" s="35">
        <f t="shared" si="692"/>
        <v>0</v>
      </c>
    </row>
    <row r="271" ht="15.75" customHeight="1" hidden="1" spans="1:62" x14ac:dyDescent="0.25">
      <c r="A271" s="50">
        <v>36</v>
      </c>
      <c r="B271" s="21"/>
      <c r="C271" s="22" t="s">
        <v>53</v>
      </c>
      <c r="D271" s="21"/>
      <c r="E271" s="22"/>
      <c r="F271" s="20"/>
      <c r="G271" s="23"/>
      <c r="H271" s="51">
        <f>SUM(H264:H270)</f>
        <v>-263.45</v>
      </c>
      <c r="I271" s="52"/>
      <c r="J271" s="53"/>
      <c r="K271" s="51">
        <f t="shared" ref="K271:L271" si="696">SUM(K264:K270)</f>
        <v>0</v>
      </c>
      <c r="L271" s="68">
        <f t="shared" si="696"/>
        <v>0</v>
      </c>
      <c r="M271" s="53"/>
      <c r="N271" s="53"/>
      <c r="O271" s="51">
        <f t="shared" ref="O271:P271" si="697">SUM(O265:O270)</f>
        <v>0</v>
      </c>
      <c r="P271" s="51">
        <f t="shared" si="697"/>
        <v>0</v>
      </c>
      <c r="Q271" s="52"/>
      <c r="R271" s="53"/>
      <c r="S271" s="51">
        <f t="shared" ref="S271:T271" si="698">SUM(S265:S270)</f>
        <v>0</v>
      </c>
      <c r="T271" s="68">
        <f t="shared" si="698"/>
        <v>0</v>
      </c>
      <c r="U271" s="53"/>
      <c r="V271" s="53"/>
      <c r="W271" s="51">
        <f t="shared" ref="W271:X271" si="699">SUM(W265:W270)</f>
        <v>4.98</v>
      </c>
      <c r="X271" s="51">
        <f t="shared" si="699"/>
        <v>200</v>
      </c>
      <c r="Y271" s="52"/>
      <c r="Z271" s="53"/>
      <c r="AA271" s="51">
        <f t="shared" ref="AA271:AB271" si="700">SUM(AA265:AA270)</f>
        <v>362.45</v>
      </c>
      <c r="AB271" s="68">
        <f t="shared" si="700"/>
        <v>0</v>
      </c>
      <c r="AC271" s="53"/>
      <c r="AD271" s="53"/>
      <c r="AE271" s="51">
        <f t="shared" ref="AE271:AF271" si="701">SUM(AE265:AE270)</f>
        <v>4651.5064</v>
      </c>
      <c r="AF271" s="51">
        <f t="shared" si="701"/>
        <v>343.2</v>
      </c>
      <c r="AG271" s="52"/>
      <c r="AH271" s="53"/>
      <c r="AI271" s="51">
        <f t="shared" ref="AI271:AJ271" si="702">SUM(AI265:AI270)</f>
        <v>24.9</v>
      </c>
      <c r="AJ271" s="68">
        <f t="shared" si="702"/>
        <v>0</v>
      </c>
      <c r="AK271" s="52"/>
      <c r="AL271" s="53"/>
      <c r="AM271" s="51">
        <f t="shared" ref="AM271:AN271" si="703">SUM(AM265:AM270)</f>
        <v>110.81</v>
      </c>
      <c r="AN271" s="68">
        <f t="shared" si="703"/>
        <v>4371.81</v>
      </c>
      <c r="AO271" s="52"/>
      <c r="AP271" s="53"/>
      <c r="AQ271" s="51">
        <f t="shared" ref="AQ271:AR271" si="704">SUM(AQ265:AQ270)</f>
        <v>32.37</v>
      </c>
      <c r="AR271" s="68">
        <f t="shared" si="704"/>
        <v>0</v>
      </c>
      <c r="AS271" s="53"/>
      <c r="AT271" s="53"/>
      <c r="AU271" s="51">
        <f t="shared" ref="AU271:AV271" si="705">SUM(AU265:AU270)</f>
        <v>39.84</v>
      </c>
      <c r="AV271" s="51">
        <f t="shared" si="705"/>
        <v>0</v>
      </c>
      <c r="AW271" s="52"/>
      <c r="AX271" s="53"/>
      <c r="AY271" s="51">
        <f t="shared" ref="AY271:AZ271" si="706">SUM(AY265:AY270)</f>
        <v>0</v>
      </c>
      <c r="AZ271" s="68">
        <f t="shared" si="706"/>
        <v>0</v>
      </c>
      <c r="BA271" s="53"/>
      <c r="BB271" s="53"/>
      <c r="BC271" s="51">
        <f t="shared" ref="BC271:BD271" si="707">SUM(BC265:BC270)</f>
        <v>0</v>
      </c>
      <c r="BD271" s="51">
        <f t="shared" si="707"/>
        <v>0</v>
      </c>
      <c r="BE271" s="69"/>
      <c r="BF271" s="70">
        <f t="shared" ref="BF271:BH271" si="708">SUM(BF264:BF270)</f>
        <v>5226.8564</v>
      </c>
      <c r="BG271" s="71">
        <f t="shared" si="708"/>
        <v>4915.01</v>
      </c>
      <c r="BH271" s="72">
        <f t="shared" si="708"/>
        <v>48.3964</v>
      </c>
      <c r="BI271" s="34">
        <f>H271+BF271-BG271</f>
        <v>48.3964</v>
      </c>
      <c r="BJ271" s="34">
        <f>BH271-BI271</f>
        <v>0</v>
      </c>
    </row>
    <row r="272" ht="15.75" customHeight="1" hidden="1" spans="1:60" x14ac:dyDescent="0.25">
      <c r="A272" s="29">
        <v>37</v>
      </c>
      <c r="B272" s="14"/>
      <c r="D272" s="14" t="s">
        <v>42</v>
      </c>
      <c r="F272" s="13"/>
      <c r="G272" s="28"/>
      <c r="I272" s="13"/>
      <c r="J272" s="15"/>
      <c r="K272" s="15"/>
      <c r="L272" s="28"/>
      <c r="Q272" s="13"/>
      <c r="R272" s="15"/>
      <c r="S272" s="15"/>
      <c r="T272" s="28"/>
      <c r="Y272" s="13"/>
      <c r="Z272" s="15"/>
      <c r="AA272" s="15"/>
      <c r="AB272" s="28"/>
      <c r="AG272" s="13"/>
      <c r="AH272" s="15"/>
      <c r="AI272" s="15"/>
      <c r="AJ272" s="28"/>
      <c r="AK272" s="13"/>
      <c r="AL272" s="15"/>
      <c r="AM272" s="15"/>
      <c r="AN272" s="28"/>
      <c r="AO272" s="13"/>
      <c r="AP272" s="15"/>
      <c r="AQ272" s="15"/>
      <c r="AR272" s="28"/>
      <c r="AW272" s="13"/>
      <c r="AX272" s="15"/>
      <c r="AY272" s="15"/>
      <c r="AZ272" s="28"/>
      <c r="BE272" s="14"/>
      <c r="BF272" s="13"/>
      <c r="BG272" s="15"/>
      <c r="BH272" s="28"/>
    </row>
    <row r="273" ht="15.75" customHeight="1" hidden="1" spans="1:60" x14ac:dyDescent="0.25">
      <c r="A273" s="2">
        <v>37</v>
      </c>
      <c r="B273" s="14">
        <v>4.06</v>
      </c>
      <c r="C273" s="2" t="s">
        <v>162</v>
      </c>
      <c r="D273" s="14" t="s">
        <v>44</v>
      </c>
      <c r="E273" s="2" t="s">
        <v>45</v>
      </c>
      <c r="F273" s="13">
        <v>2.49</v>
      </c>
      <c r="G273" s="28"/>
      <c r="H273" s="74"/>
      <c r="I273" s="13"/>
      <c r="J273" s="15"/>
      <c r="K273" s="15"/>
      <c r="L273" s="28"/>
      <c r="Q273" s="13"/>
      <c r="R273" s="15"/>
      <c r="S273" s="15"/>
      <c r="T273" s="28"/>
      <c r="Y273" s="13"/>
      <c r="Z273" s="15">
        <f>Y273-U273</f>
        <v>0</v>
      </c>
      <c r="AA273" s="34">
        <f>Z273*$F$8</f>
        <v>0</v>
      </c>
      <c r="AB273" s="28"/>
      <c r="AC273" s="15"/>
      <c r="AD273" s="15">
        <f t="shared" ref="AD273:AD274" si="709">AC273-Y273</f>
        <v>0</v>
      </c>
      <c r="AE273" s="34">
        <f>AD273*$F$8</f>
        <v>0</v>
      </c>
      <c r="AG273" s="13"/>
      <c r="AH273" s="15">
        <f t="shared" ref="AH273:AH274" si="710">AG273-AC273</f>
        <v>0</v>
      </c>
      <c r="AI273" s="34">
        <f>AH273*$F$8</f>
        <v>0</v>
      </c>
      <c r="AJ273" s="28"/>
      <c r="AK273" s="13"/>
      <c r="AL273" s="15">
        <f t="shared" ref="AL273:AL274" si="711">AK273-AG273</f>
        <v>0</v>
      </c>
      <c r="AM273" s="34">
        <f>AL273*$F$8</f>
        <v>0</v>
      </c>
      <c r="AN273" s="28"/>
      <c r="AO273" s="13"/>
      <c r="AP273" s="15"/>
      <c r="AQ273" s="34">
        <f>AP273*$F$8</f>
        <v>0</v>
      </c>
      <c r="AR273" s="28"/>
      <c r="AS273" s="15"/>
      <c r="AT273" s="15"/>
      <c r="AU273" s="34">
        <f>AT273*$F$8</f>
        <v>0</v>
      </c>
      <c r="AV273" s="15"/>
      <c r="AW273" s="13"/>
      <c r="AX273" s="15"/>
      <c r="AY273" s="34">
        <f>AX273*$F$8</f>
        <v>0</v>
      </c>
      <c r="AZ273" s="28"/>
      <c r="BA273" s="15"/>
      <c r="BB273" s="15"/>
      <c r="BC273" s="34">
        <f>BB273*$F$8</f>
        <v>0</v>
      </c>
      <c r="BD273" s="15"/>
      <c r="BE273" s="40">
        <f t="shared" ref="BE273:BG273" si="712">J273+N273+R273+V273+Z273+AD273+AH273+AL273+AP273+AT273+AX273+BB273</f>
        <v>0</v>
      </c>
      <c r="BF273" s="41">
        <f t="shared" si="712"/>
        <v>0</v>
      </c>
      <c r="BG273" s="34">
        <f t="shared" si="712"/>
        <v>0</v>
      </c>
      <c r="BH273" s="35">
        <f t="shared" ref="BH273:BH278" si="713">H273+BF273-BG273</f>
        <v>0</v>
      </c>
    </row>
    <row r="274" ht="15.75" customHeight="1" hidden="1" spans="1:60" x14ac:dyDescent="0.25">
      <c r="A274" s="29">
        <v>37</v>
      </c>
      <c r="B274" s="14"/>
      <c r="C274" s="2" t="s">
        <v>163</v>
      </c>
      <c r="D274" s="14" t="s">
        <v>47</v>
      </c>
      <c r="E274" s="2" t="s">
        <v>48</v>
      </c>
      <c r="F274" s="13">
        <v>17.16</v>
      </c>
      <c r="G274" s="28"/>
      <c r="I274" s="13"/>
      <c r="J274" s="15"/>
      <c r="K274" s="15"/>
      <c r="L274" s="28"/>
      <c r="Q274" s="13"/>
      <c r="R274" s="15"/>
      <c r="S274" s="15"/>
      <c r="T274" s="28"/>
      <c r="Y274" s="75">
        <v>117</v>
      </c>
      <c r="Z274" s="15"/>
      <c r="AA274" s="15"/>
      <c r="AB274" s="28"/>
      <c r="AC274" s="75">
        <v>119</v>
      </c>
      <c r="AD274" s="15">
        <f t="shared" si="709"/>
        <v>2</v>
      </c>
      <c r="AE274" s="34">
        <f>AD274*$F$10</f>
        <v>34.32</v>
      </c>
      <c r="AF274" s="34">
        <v>85.8</v>
      </c>
      <c r="AG274" s="13">
        <v>129</v>
      </c>
      <c r="AH274" s="15">
        <f t="shared" si="710"/>
        <v>10</v>
      </c>
      <c r="AI274" s="45">
        <f>AH274*$G$10</f>
        <v>176.8</v>
      </c>
      <c r="AJ274" s="28"/>
      <c r="AK274" s="13">
        <v>129</v>
      </c>
      <c r="AL274" s="15">
        <f t="shared" si="711"/>
        <v>0</v>
      </c>
      <c r="AM274" s="45">
        <f>AL274*$G$10</f>
        <v>0</v>
      </c>
      <c r="AN274" s="32">
        <v>125.32</v>
      </c>
      <c r="AO274" s="13">
        <v>137</v>
      </c>
      <c r="AP274" s="15">
        <f>AO274-AK274</f>
        <v>8</v>
      </c>
      <c r="AQ274" s="45">
        <f>AP274*$G$10</f>
        <v>141.44</v>
      </c>
      <c r="AR274" s="32">
        <v>141.44</v>
      </c>
      <c r="AS274" s="15"/>
      <c r="AT274" s="15"/>
      <c r="AU274" s="15"/>
      <c r="AV274" s="15"/>
      <c r="AW274" s="13"/>
      <c r="AX274" s="15"/>
      <c r="AY274" s="15"/>
      <c r="AZ274" s="28"/>
      <c r="BA274" s="15"/>
      <c r="BB274" s="15"/>
      <c r="BC274" s="15"/>
      <c r="BD274" s="15"/>
      <c r="BE274" s="40">
        <f t="shared" ref="BE274:BG274" si="714">J274+N274+R274+V274+Z274+AD274+AH274+AL274+AP274+AT274+AX274+BB274</f>
        <v>20</v>
      </c>
      <c r="BF274" s="41">
        <f t="shared" si="714"/>
        <v>352.56</v>
      </c>
      <c r="BG274" s="34">
        <f t="shared" si="714"/>
        <v>352.56</v>
      </c>
      <c r="BH274" s="35">
        <f t="shared" si="713"/>
        <v>0</v>
      </c>
    </row>
    <row r="275" ht="15.75" customHeight="1" hidden="1" spans="1:60" x14ac:dyDescent="0.25">
      <c r="A275" s="29">
        <v>37</v>
      </c>
      <c r="B275" s="14"/>
      <c r="C275" s="2" t="s">
        <v>164</v>
      </c>
      <c r="D275" s="14" t="s">
        <v>47</v>
      </c>
      <c r="E275" s="2" t="s">
        <v>49</v>
      </c>
      <c r="F275" s="41">
        <v>300</v>
      </c>
      <c r="G275" s="28"/>
      <c r="I275" s="13"/>
      <c r="J275" s="15"/>
      <c r="K275" s="15"/>
      <c r="L275" s="28"/>
      <c r="Q275" s="13"/>
      <c r="R275" s="15"/>
      <c r="S275" s="15"/>
      <c r="T275" s="28"/>
      <c r="Y275" s="13"/>
      <c r="Z275" s="15"/>
      <c r="AA275" s="15"/>
      <c r="AB275" s="28"/>
      <c r="AG275" s="13"/>
      <c r="AH275" s="15"/>
      <c r="AI275" s="15"/>
      <c r="AJ275" s="28"/>
      <c r="AK275" s="13"/>
      <c r="AL275" s="15"/>
      <c r="AM275" s="34"/>
      <c r="AN275" s="28"/>
      <c r="AO275" s="13"/>
      <c r="AP275" s="15"/>
      <c r="AQ275" s="34"/>
      <c r="AR275" s="28"/>
      <c r="AS275" s="15"/>
      <c r="AT275" s="15"/>
      <c r="AU275" s="15"/>
      <c r="AV275" s="15"/>
      <c r="AW275" s="13"/>
      <c r="AX275" s="15"/>
      <c r="AY275" s="15"/>
      <c r="AZ275" s="28"/>
      <c r="BA275" s="15"/>
      <c r="BB275" s="15"/>
      <c r="BC275" s="15"/>
      <c r="BD275" s="15"/>
      <c r="BE275" s="14"/>
      <c r="BF275" s="41">
        <f t="shared" ref="BF275:BG275" si="715">K275+O275+S275+W275+AA275+AE275+AI275+AM275+AQ275+AU275+AY275+BC275</f>
        <v>0</v>
      </c>
      <c r="BG275" s="34">
        <f t="shared" si="715"/>
        <v>0</v>
      </c>
      <c r="BH275" s="35">
        <f t="shared" si="713"/>
        <v>0</v>
      </c>
    </row>
    <row r="276" ht="15.75" customHeight="1" hidden="1" spans="1:60" x14ac:dyDescent="0.25">
      <c r="A276" s="29">
        <v>37</v>
      </c>
      <c r="B276" s="14"/>
      <c r="C276" s="15" t="s">
        <v>165</v>
      </c>
      <c r="D276" s="14" t="s">
        <v>50</v>
      </c>
      <c r="E276" s="2" t="s">
        <v>49</v>
      </c>
      <c r="F276" s="41">
        <v>1062.88</v>
      </c>
      <c r="G276" s="28"/>
      <c r="I276" s="13"/>
      <c r="J276" s="15"/>
      <c r="K276" s="15"/>
      <c r="L276" s="28"/>
      <c r="Q276" s="13"/>
      <c r="R276" s="15"/>
      <c r="S276" s="15"/>
      <c r="T276" s="28"/>
      <c r="Y276" s="13"/>
      <c r="Z276" s="15"/>
      <c r="AA276" s="15"/>
      <c r="AB276" s="28"/>
      <c r="AE276" s="34">
        <f>B273*$F$12</f>
        <v>4315.2928</v>
      </c>
      <c r="AF276" s="34">
        <v>2564.2</v>
      </c>
      <c r="AG276" s="13"/>
      <c r="AH276" s="15"/>
      <c r="AI276" s="15"/>
      <c r="AJ276" s="28"/>
      <c r="AK276" s="13"/>
      <c r="AL276" s="15"/>
      <c r="AM276" s="15"/>
      <c r="AN276" s="32">
        <v>1751.09</v>
      </c>
      <c r="AO276" s="13"/>
      <c r="AP276" s="15"/>
      <c r="AQ276" s="15"/>
      <c r="AR276" s="28"/>
      <c r="AS276" s="15"/>
      <c r="AT276" s="15"/>
      <c r="AU276" s="15"/>
      <c r="AV276" s="15"/>
      <c r="AW276" s="13"/>
      <c r="AX276" s="15"/>
      <c r="AY276" s="15"/>
      <c r="AZ276" s="28"/>
      <c r="BA276" s="15"/>
      <c r="BB276" s="15"/>
      <c r="BC276" s="15"/>
      <c r="BD276" s="15"/>
      <c r="BE276" s="14"/>
      <c r="BF276" s="41">
        <f>B273*$F$12</f>
        <v>4315.2928</v>
      </c>
      <c r="BG276" s="34">
        <f t="shared" ref="BG276:BG278" si="716">L276+P276+T276+X276+AB276+AF276+AJ276+AN276+AR276+AV276+AZ276+BD276</f>
        <v>4315.29</v>
      </c>
      <c r="BH276" s="35">
        <f t="shared" si="713"/>
        <v>0.0028</v>
      </c>
    </row>
    <row r="277" ht="15.75" customHeight="1" hidden="1" spans="1:60" x14ac:dyDescent="0.25">
      <c r="A277" s="29">
        <v>37</v>
      </c>
      <c r="B277" s="14"/>
      <c r="C277" s="2" t="s">
        <v>166</v>
      </c>
      <c r="D277" s="14" t="s">
        <v>51</v>
      </c>
      <c r="E277" s="2" t="s">
        <v>49</v>
      </c>
      <c r="F277" s="41">
        <v>0</v>
      </c>
      <c r="G277" s="28"/>
      <c r="I277" s="13"/>
      <c r="J277" s="15"/>
      <c r="K277" s="15"/>
      <c r="L277" s="28"/>
      <c r="Q277" s="13"/>
      <c r="R277" s="15"/>
      <c r="S277" s="15"/>
      <c r="T277" s="28"/>
      <c r="Y277" s="13"/>
      <c r="Z277" s="15"/>
      <c r="AA277" s="15"/>
      <c r="AB277" s="28"/>
      <c r="AG277" s="13"/>
      <c r="AH277" s="15"/>
      <c r="AI277" s="15"/>
      <c r="AJ277" s="28"/>
      <c r="AK277" s="13"/>
      <c r="AL277" s="15"/>
      <c r="AM277" s="15"/>
      <c r="AN277" s="28"/>
      <c r="AO277" s="13"/>
      <c r="AP277" s="15"/>
      <c r="AQ277" s="15"/>
      <c r="AR277" s="28"/>
      <c r="AS277" s="15"/>
      <c r="AT277" s="15"/>
      <c r="AU277" s="15"/>
      <c r="AV277" s="15"/>
      <c r="AW277" s="13"/>
      <c r="AX277" s="15"/>
      <c r="AY277" s="15"/>
      <c r="AZ277" s="28"/>
      <c r="BA277" s="15"/>
      <c r="BB277" s="15"/>
      <c r="BC277" s="15"/>
      <c r="BD277" s="15"/>
      <c r="BE277" s="14"/>
      <c r="BF277" s="41">
        <f>B273*$F$13</f>
        <v>0</v>
      </c>
      <c r="BG277" s="34">
        <f t="shared" si="716"/>
        <v>0</v>
      </c>
      <c r="BH277" s="35">
        <f t="shared" si="713"/>
        <v>0</v>
      </c>
    </row>
    <row r="278" ht="15.75" customHeight="1" hidden="1" spans="1:60" x14ac:dyDescent="0.25">
      <c r="A278" s="29">
        <v>37</v>
      </c>
      <c r="B278" s="14"/>
      <c r="D278" s="14" t="s">
        <v>52</v>
      </c>
      <c r="E278" s="2" t="s">
        <v>39</v>
      </c>
      <c r="F278" s="41">
        <v>350</v>
      </c>
      <c r="G278" s="28"/>
      <c r="I278" s="13"/>
      <c r="J278" s="15"/>
      <c r="K278" s="15"/>
      <c r="L278" s="28"/>
      <c r="Q278" s="13"/>
      <c r="R278" s="15"/>
      <c r="S278" s="15"/>
      <c r="T278" s="28"/>
      <c r="Y278" s="13"/>
      <c r="Z278" s="15"/>
      <c r="AA278" s="34">
        <f>$F$14</f>
        <v>350</v>
      </c>
      <c r="AB278" s="35">
        <v>350</v>
      </c>
      <c r="AG278" s="13"/>
      <c r="AH278" s="15"/>
      <c r="AI278" s="15"/>
      <c r="AJ278" s="28"/>
      <c r="AK278" s="13"/>
      <c r="AL278" s="15"/>
      <c r="AM278" s="15"/>
      <c r="AN278" s="28"/>
      <c r="AO278" s="13"/>
      <c r="AP278" s="15"/>
      <c r="AQ278" s="15"/>
      <c r="AR278" s="28"/>
      <c r="AS278" s="15"/>
      <c r="AT278" s="15"/>
      <c r="AU278" s="15"/>
      <c r="AV278" s="15"/>
      <c r="AW278" s="13"/>
      <c r="AX278" s="15"/>
      <c r="AY278" s="15"/>
      <c r="AZ278" s="28"/>
      <c r="BA278" s="15"/>
      <c r="BB278" s="15"/>
      <c r="BC278" s="15"/>
      <c r="BD278" s="15"/>
      <c r="BE278" s="14"/>
      <c r="BF278" s="41">
        <f>$F$14</f>
        <v>350</v>
      </c>
      <c r="BG278" s="34">
        <f t="shared" si="716"/>
        <v>350</v>
      </c>
      <c r="BH278" s="35">
        <f t="shared" si="713"/>
        <v>0</v>
      </c>
    </row>
    <row r="279" ht="15.75" customHeight="1" hidden="1" spans="1:62" x14ac:dyDescent="0.25">
      <c r="A279" s="50">
        <v>37</v>
      </c>
      <c r="B279" s="21"/>
      <c r="C279" s="22" t="s">
        <v>53</v>
      </c>
      <c r="D279" s="21"/>
      <c r="E279" s="22"/>
      <c r="F279" s="20"/>
      <c r="G279" s="23"/>
      <c r="H279" s="51">
        <f>SUM(H272:H278)</f>
        <v>0</v>
      </c>
      <c r="I279" s="52"/>
      <c r="J279" s="53"/>
      <c r="K279" s="51">
        <f t="shared" ref="K279:L279" si="717">SUM(K272:K278)</f>
        <v>0</v>
      </c>
      <c r="L279" s="68">
        <f t="shared" si="717"/>
        <v>0</v>
      </c>
      <c r="M279" s="53"/>
      <c r="N279" s="53"/>
      <c r="O279" s="51">
        <f t="shared" ref="O279:P279" si="718">SUM(O273:O278)</f>
        <v>0</v>
      </c>
      <c r="P279" s="51">
        <f t="shared" si="718"/>
        <v>0</v>
      </c>
      <c r="Q279" s="52"/>
      <c r="R279" s="53"/>
      <c r="S279" s="51">
        <f t="shared" ref="S279:T279" si="719">SUM(S273:S278)</f>
        <v>0</v>
      </c>
      <c r="T279" s="68">
        <f t="shared" si="719"/>
        <v>0</v>
      </c>
      <c r="U279" s="53"/>
      <c r="V279" s="53"/>
      <c r="W279" s="51">
        <f t="shared" ref="W279:X279" si="720">SUM(W273:W278)</f>
        <v>0</v>
      </c>
      <c r="X279" s="51">
        <f t="shared" si="720"/>
        <v>0</v>
      </c>
      <c r="Y279" s="52"/>
      <c r="Z279" s="53"/>
      <c r="AA279" s="51">
        <f t="shared" ref="AA279:AB279" si="721">SUM(AA273:AA278)</f>
        <v>350</v>
      </c>
      <c r="AB279" s="68">
        <f t="shared" si="721"/>
        <v>350</v>
      </c>
      <c r="AC279" s="53"/>
      <c r="AD279" s="53"/>
      <c r="AE279" s="51">
        <f t="shared" ref="AE279:AF279" si="722">SUM(AE273:AE278)</f>
        <v>4349.6128</v>
      </c>
      <c r="AF279" s="51">
        <f t="shared" si="722"/>
        <v>2650</v>
      </c>
      <c r="AG279" s="52"/>
      <c r="AH279" s="53"/>
      <c r="AI279" s="51">
        <f t="shared" ref="AI279:AJ279" si="723">SUM(AI273:AI278)</f>
        <v>176.8</v>
      </c>
      <c r="AJ279" s="68">
        <f t="shared" si="723"/>
        <v>0</v>
      </c>
      <c r="AK279" s="52"/>
      <c r="AL279" s="53"/>
      <c r="AM279" s="51">
        <f t="shared" ref="AM279:AN279" si="724">SUM(AM273:AM278)</f>
        <v>0</v>
      </c>
      <c r="AN279" s="68">
        <f t="shared" si="724"/>
        <v>1876.41</v>
      </c>
      <c r="AO279" s="52"/>
      <c r="AP279" s="53"/>
      <c r="AQ279" s="51">
        <f t="shared" ref="AQ279:AR279" si="725">SUM(AQ273:AQ278)</f>
        <v>141.44</v>
      </c>
      <c r="AR279" s="68">
        <f t="shared" si="725"/>
        <v>141.44</v>
      </c>
      <c r="AS279" s="53"/>
      <c r="AT279" s="53"/>
      <c r="AU279" s="51">
        <f t="shared" ref="AU279:AV279" si="726">SUM(AU273:AU278)</f>
        <v>0</v>
      </c>
      <c r="AV279" s="51">
        <f t="shared" si="726"/>
        <v>0</v>
      </c>
      <c r="AW279" s="52"/>
      <c r="AX279" s="53"/>
      <c r="AY279" s="51">
        <f t="shared" ref="AY279:AZ279" si="727">SUM(AY273:AY278)</f>
        <v>0</v>
      </c>
      <c r="AZ279" s="68">
        <f t="shared" si="727"/>
        <v>0</v>
      </c>
      <c r="BA279" s="53"/>
      <c r="BB279" s="53"/>
      <c r="BC279" s="51">
        <f t="shared" ref="BC279:BD279" si="728">SUM(BC273:BC278)</f>
        <v>0</v>
      </c>
      <c r="BD279" s="51">
        <f t="shared" si="728"/>
        <v>0</v>
      </c>
      <c r="BE279" s="69"/>
      <c r="BF279" s="70">
        <f t="shared" ref="BF279:BH279" si="729">SUM(BF272:BF278)</f>
        <v>5017.8528</v>
      </c>
      <c r="BG279" s="71">
        <f t="shared" si="729"/>
        <v>5017.85</v>
      </c>
      <c r="BH279" s="72">
        <f t="shared" si="729"/>
        <v>0.0028</v>
      </c>
      <c r="BI279" s="34">
        <f>H279+BF279-BG279</f>
        <v>0.0028</v>
      </c>
      <c r="BJ279" s="34">
        <f>BH279-BI279</f>
        <v>0</v>
      </c>
    </row>
    <row r="280" ht="15.75" customHeight="1" hidden="1" spans="1:60" x14ac:dyDescent="0.25">
      <c r="A280" s="29">
        <v>38</v>
      </c>
      <c r="B280" s="14"/>
      <c r="D280" s="14" t="s">
        <v>42</v>
      </c>
      <c r="F280" s="13"/>
      <c r="G280" s="28"/>
      <c r="I280" s="13"/>
      <c r="J280" s="15"/>
      <c r="K280" s="15"/>
      <c r="L280" s="28"/>
      <c r="Q280" s="13"/>
      <c r="R280" s="15"/>
      <c r="S280" s="15"/>
      <c r="T280" s="28"/>
      <c r="Y280" s="13"/>
      <c r="Z280" s="15"/>
      <c r="AA280" s="15"/>
      <c r="AB280" s="28"/>
      <c r="AG280" s="13"/>
      <c r="AH280" s="15"/>
      <c r="AI280" s="15"/>
      <c r="AJ280" s="28"/>
      <c r="AK280" s="13"/>
      <c r="AL280" s="15"/>
      <c r="AM280" s="15"/>
      <c r="AN280" s="28"/>
      <c r="AO280" s="13"/>
      <c r="AP280" s="15"/>
      <c r="AQ280" s="15"/>
      <c r="AR280" s="28"/>
      <c r="AW280" s="13"/>
      <c r="AX280" s="15"/>
      <c r="AY280" s="15"/>
      <c r="AZ280" s="28"/>
      <c r="BE280" s="14"/>
      <c r="BF280" s="13"/>
      <c r="BG280" s="15"/>
      <c r="BH280" s="28"/>
    </row>
    <row r="281" ht="15.75" customHeight="1" hidden="1" spans="1:60" x14ac:dyDescent="0.25">
      <c r="A281" s="2">
        <v>38</v>
      </c>
      <c r="B281" s="14">
        <v>4.34</v>
      </c>
      <c r="C281" s="2" t="s">
        <v>167</v>
      </c>
      <c r="D281" s="14" t="s">
        <v>44</v>
      </c>
      <c r="E281" s="2" t="s">
        <v>45</v>
      </c>
      <c r="F281" s="13">
        <v>2.49</v>
      </c>
      <c r="G281" s="28"/>
      <c r="I281" s="13">
        <v>17</v>
      </c>
      <c r="J281" s="15">
        <v>0</v>
      </c>
      <c r="K281" s="34">
        <f>J281*$F$8</f>
        <v>0</v>
      </c>
      <c r="L281" s="28"/>
      <c r="M281" s="2">
        <v>17</v>
      </c>
      <c r="N281" s="15">
        <f>M281-I281</f>
        <v>0</v>
      </c>
      <c r="O281" s="34">
        <f>N281*$F$8</f>
        <v>0</v>
      </c>
      <c r="Q281" s="13">
        <v>17</v>
      </c>
      <c r="R281" s="15">
        <f>Q281-M281</f>
        <v>0</v>
      </c>
      <c r="S281" s="34">
        <f>R281*$F$8</f>
        <v>0</v>
      </c>
      <c r="T281" s="28"/>
      <c r="U281" s="2">
        <v>17</v>
      </c>
      <c r="V281" s="15">
        <f>U281-Q281</f>
        <v>0</v>
      </c>
      <c r="W281" s="34">
        <f>V281*$F$8</f>
        <v>0</v>
      </c>
      <c r="Y281" s="13">
        <v>17</v>
      </c>
      <c r="Z281" s="15">
        <f>Y281-U281</f>
        <v>0</v>
      </c>
      <c r="AA281" s="34">
        <f>Z281*$F$8</f>
        <v>0</v>
      </c>
      <c r="AB281" s="28"/>
      <c r="AC281" s="2">
        <v>17</v>
      </c>
      <c r="AD281" s="15">
        <f t="shared" ref="AD281:AD282" si="730">AC281-Y281</f>
        <v>0</v>
      </c>
      <c r="AE281" s="34">
        <f>AD281*$F$8</f>
        <v>0</v>
      </c>
      <c r="AG281" s="13">
        <v>17</v>
      </c>
      <c r="AH281" s="15">
        <f t="shared" ref="AH281:AH282" si="731">AG281-AC281</f>
        <v>0</v>
      </c>
      <c r="AI281" s="34">
        <f>AH281*$F$8</f>
        <v>0</v>
      </c>
      <c r="AJ281" s="28"/>
      <c r="AK281" s="13">
        <v>17</v>
      </c>
      <c r="AL281" s="15">
        <f t="shared" ref="AL281:AL282" si="732">AK281-AG281</f>
        <v>0</v>
      </c>
      <c r="AM281" s="34">
        <f>AL281*$F$8</f>
        <v>0</v>
      </c>
      <c r="AN281" s="28"/>
      <c r="AO281" s="13">
        <v>17</v>
      </c>
      <c r="AP281" s="15">
        <f t="shared" ref="AP281:AP282" si="733">AO281-AK281</f>
        <v>0</v>
      </c>
      <c r="AQ281" s="34">
        <f>AP281*$F$8</f>
        <v>0</v>
      </c>
      <c r="AR281" s="28"/>
      <c r="AS281" s="15">
        <v>17</v>
      </c>
      <c r="AT281" s="15">
        <f>AS281-AO281</f>
        <v>0</v>
      </c>
      <c r="AU281" s="34">
        <f>AT281*$F$8</f>
        <v>0</v>
      </c>
      <c r="AV281" s="15"/>
      <c r="AW281" s="13">
        <v>17</v>
      </c>
      <c r="AX281" s="15">
        <f>AW281-AS281</f>
        <v>0</v>
      </c>
      <c r="AY281" s="34">
        <f>AX281*$F$8</f>
        <v>0</v>
      </c>
      <c r="AZ281" s="28"/>
      <c r="BA281" s="13">
        <v>17</v>
      </c>
      <c r="BB281" s="15">
        <f>BA281-AW281</f>
        <v>0</v>
      </c>
      <c r="BC281" s="34">
        <f>BB281*$F$8</f>
        <v>0</v>
      </c>
      <c r="BD281" s="15"/>
      <c r="BE281" s="40">
        <f t="shared" ref="BE281:BG281" si="734">J281+N281+R281+V281+Z281+AD281+AH281+AL281+AP281+AT281+AX281+BB281</f>
        <v>0</v>
      </c>
      <c r="BF281" s="41">
        <f t="shared" si="734"/>
        <v>0</v>
      </c>
      <c r="BG281" s="34">
        <f t="shared" si="734"/>
        <v>0</v>
      </c>
      <c r="BH281" s="35">
        <f t="shared" ref="BH281:BH286" si="735">H281+BF281-BG281</f>
        <v>0</v>
      </c>
    </row>
    <row r="282" ht="15.75" customHeight="1" hidden="1" spans="1:60" x14ac:dyDescent="0.25">
      <c r="A282" s="29">
        <v>38</v>
      </c>
      <c r="B282" s="14"/>
      <c r="C282" s="2" t="s">
        <v>83</v>
      </c>
      <c r="D282" s="14" t="s">
        <v>47</v>
      </c>
      <c r="E282" s="2" t="s">
        <v>48</v>
      </c>
      <c r="F282" s="13">
        <v>17.16</v>
      </c>
      <c r="G282" s="28"/>
      <c r="H282" s="73">
        <v>-17.16</v>
      </c>
      <c r="I282" s="13"/>
      <c r="J282" s="15"/>
      <c r="K282" s="15"/>
      <c r="L282" s="28"/>
      <c r="Q282" s="13"/>
      <c r="R282" s="15"/>
      <c r="S282" s="15"/>
      <c r="T282" s="28"/>
      <c r="Y282" s="13">
        <v>58</v>
      </c>
      <c r="Z282" s="15"/>
      <c r="AA282" s="15"/>
      <c r="AB282" s="28"/>
      <c r="AC282" s="2">
        <v>58</v>
      </c>
      <c r="AD282" s="15">
        <f t="shared" si="730"/>
        <v>0</v>
      </c>
      <c r="AE282" s="34">
        <f>AD282*$F$10</f>
        <v>0</v>
      </c>
      <c r="AG282" s="13">
        <v>58</v>
      </c>
      <c r="AH282" s="15">
        <f t="shared" si="731"/>
        <v>0</v>
      </c>
      <c r="AI282" s="45">
        <f>AH282*$G$10</f>
        <v>0</v>
      </c>
      <c r="AJ282" s="28"/>
      <c r="AK282" s="13">
        <v>75</v>
      </c>
      <c r="AL282" s="15">
        <f t="shared" si="732"/>
        <v>17</v>
      </c>
      <c r="AM282" s="45">
        <f>AL282*$G$10</f>
        <v>300.56</v>
      </c>
      <c r="AN282" s="32">
        <v>300.56</v>
      </c>
      <c r="AO282" s="13">
        <v>75</v>
      </c>
      <c r="AP282" s="15">
        <f t="shared" si="733"/>
        <v>0</v>
      </c>
      <c r="AQ282" s="45">
        <f>AP282*$G$10</f>
        <v>0</v>
      </c>
      <c r="AR282" s="28"/>
      <c r="AS282" s="15"/>
      <c r="AT282" s="15"/>
      <c r="AU282" s="15"/>
      <c r="AV282" s="15"/>
      <c r="AW282" s="13"/>
      <c r="AX282" s="15"/>
      <c r="AY282" s="15"/>
      <c r="AZ282" s="28"/>
      <c r="BA282" s="15"/>
      <c r="BB282" s="15"/>
      <c r="BC282" s="15"/>
      <c r="BD282" s="15"/>
      <c r="BE282" s="40">
        <f t="shared" ref="BE282:BG282" si="736">J282+N282+R282+V282+Z282+AD282+AH282+AL282+AP282+AT282+AX282+BB282</f>
        <v>17</v>
      </c>
      <c r="BF282" s="41">
        <f t="shared" si="736"/>
        <v>300.56</v>
      </c>
      <c r="BG282" s="34">
        <f t="shared" si="736"/>
        <v>300.56</v>
      </c>
      <c r="BH282" s="35">
        <f t="shared" si="735"/>
        <v>-17.16</v>
      </c>
    </row>
    <row r="283" ht="15.75" customHeight="1" hidden="1" spans="1:60" x14ac:dyDescent="0.25">
      <c r="A283" s="29">
        <v>38</v>
      </c>
      <c r="B283" s="14"/>
      <c r="C283" s="2" t="s">
        <v>168</v>
      </c>
      <c r="D283" s="14" t="s">
        <v>47</v>
      </c>
      <c r="E283" s="2" t="s">
        <v>49</v>
      </c>
      <c r="F283" s="41">
        <v>300</v>
      </c>
      <c r="G283" s="28"/>
      <c r="I283" s="13"/>
      <c r="J283" s="15"/>
      <c r="K283" s="15"/>
      <c r="L283" s="28"/>
      <c r="Q283" s="13"/>
      <c r="R283" s="15"/>
      <c r="S283" s="15"/>
      <c r="T283" s="28"/>
      <c r="Y283" s="13"/>
      <c r="Z283" s="15"/>
      <c r="AA283" s="15"/>
      <c r="AB283" s="28"/>
      <c r="AG283" s="13"/>
      <c r="AH283" s="15"/>
      <c r="AI283" s="15"/>
      <c r="AJ283" s="28"/>
      <c r="AK283" s="13"/>
      <c r="AL283" s="15"/>
      <c r="AM283" s="34"/>
      <c r="AN283" s="28"/>
      <c r="AO283" s="13"/>
      <c r="AP283" s="15"/>
      <c r="AQ283" s="34"/>
      <c r="AR283" s="28"/>
      <c r="AS283" s="15"/>
      <c r="AT283" s="15"/>
      <c r="AU283" s="15"/>
      <c r="AV283" s="15"/>
      <c r="AW283" s="13"/>
      <c r="AX283" s="15"/>
      <c r="AY283" s="15"/>
      <c r="AZ283" s="28"/>
      <c r="BA283" s="15"/>
      <c r="BB283" s="15"/>
      <c r="BC283" s="15"/>
      <c r="BD283" s="15"/>
      <c r="BE283" s="14"/>
      <c r="BF283" s="41">
        <f t="shared" ref="BF283:BG283" si="737">K283+O283+S283+W283+AA283+AE283+AI283+AM283+AQ283+AU283+AY283+BC283</f>
        <v>0</v>
      </c>
      <c r="BG283" s="34">
        <f t="shared" si="737"/>
        <v>0</v>
      </c>
      <c r="BH283" s="35">
        <f t="shared" si="735"/>
        <v>0</v>
      </c>
    </row>
    <row r="284" ht="15.75" customHeight="1" hidden="1" spans="1:60" x14ac:dyDescent="0.25">
      <c r="A284" s="29">
        <v>38</v>
      </c>
      <c r="B284" s="14"/>
      <c r="D284" s="14" t="s">
        <v>50</v>
      </c>
      <c r="E284" s="2" t="s">
        <v>49</v>
      </c>
      <c r="F284" s="41">
        <v>1062.88</v>
      </c>
      <c r="G284" s="28"/>
      <c r="I284" s="13"/>
      <c r="J284" s="15"/>
      <c r="K284" s="15"/>
      <c r="L284" s="28"/>
      <c r="Q284" s="13"/>
      <c r="R284" s="15"/>
      <c r="S284" s="15"/>
      <c r="T284" s="28"/>
      <c r="Y284" s="13"/>
      <c r="Z284" s="15"/>
      <c r="AA284" s="15"/>
      <c r="AB284" s="28"/>
      <c r="AE284" s="34">
        <f>B281*$F$12</f>
        <v>4612.8992</v>
      </c>
      <c r="AF284" s="2">
        <v>4612.89</v>
      </c>
      <c r="AG284" s="13"/>
      <c r="AH284" s="15"/>
      <c r="AI284" s="15"/>
      <c r="AJ284" s="28"/>
      <c r="AK284" s="13"/>
      <c r="AL284" s="15"/>
      <c r="AM284" s="15"/>
      <c r="AN284" s="28"/>
      <c r="AO284" s="13"/>
      <c r="AP284" s="15"/>
      <c r="AQ284" s="15"/>
      <c r="AR284" s="28"/>
      <c r="AS284" s="15"/>
      <c r="AT284" s="15"/>
      <c r="AU284" s="15"/>
      <c r="AV284" s="15"/>
      <c r="AW284" s="13"/>
      <c r="AX284" s="15"/>
      <c r="AY284" s="15"/>
      <c r="AZ284" s="28"/>
      <c r="BA284" s="15"/>
      <c r="BB284" s="15"/>
      <c r="BC284" s="15"/>
      <c r="BD284" s="15"/>
      <c r="BE284" s="14"/>
      <c r="BF284" s="41">
        <f>B281*$F$12</f>
        <v>4612.8992</v>
      </c>
      <c r="BG284" s="34">
        <f t="shared" ref="BG284:BG286" si="738">L284+P284+T284+X284+AB284+AF284+AJ284+AN284+AR284+AV284+AZ284+BD284</f>
        <v>4612.89</v>
      </c>
      <c r="BH284" s="35">
        <f t="shared" si="735"/>
        <v>0.0092</v>
      </c>
    </row>
    <row r="285" ht="15.75" customHeight="1" hidden="1" spans="1:60" x14ac:dyDescent="0.25">
      <c r="A285" s="29">
        <v>38</v>
      </c>
      <c r="B285" s="14"/>
      <c r="D285" s="14" t="s">
        <v>51</v>
      </c>
      <c r="E285" s="2" t="s">
        <v>49</v>
      </c>
      <c r="F285" s="41">
        <v>0</v>
      </c>
      <c r="G285" s="28"/>
      <c r="I285" s="13"/>
      <c r="J285" s="15"/>
      <c r="K285" s="15"/>
      <c r="L285" s="28"/>
      <c r="Q285" s="13"/>
      <c r="R285" s="15"/>
      <c r="S285" s="15"/>
      <c r="T285" s="28"/>
      <c r="Y285" s="13"/>
      <c r="Z285" s="15"/>
      <c r="AA285" s="15"/>
      <c r="AB285" s="28"/>
      <c r="AG285" s="13"/>
      <c r="AH285" s="15"/>
      <c r="AI285" s="15"/>
      <c r="AJ285" s="28"/>
      <c r="AK285" s="13"/>
      <c r="AL285" s="15"/>
      <c r="AM285" s="15"/>
      <c r="AN285" s="28"/>
      <c r="AO285" s="13"/>
      <c r="AP285" s="15"/>
      <c r="AQ285" s="15"/>
      <c r="AR285" s="28"/>
      <c r="AS285" s="15"/>
      <c r="AT285" s="15"/>
      <c r="AU285" s="15"/>
      <c r="AV285" s="15"/>
      <c r="AW285" s="13"/>
      <c r="AX285" s="15"/>
      <c r="AY285" s="15"/>
      <c r="AZ285" s="28"/>
      <c r="BA285" s="15"/>
      <c r="BB285" s="15"/>
      <c r="BC285" s="15"/>
      <c r="BD285" s="15"/>
      <c r="BE285" s="14"/>
      <c r="BF285" s="41">
        <f>B281*$F$13</f>
        <v>0</v>
      </c>
      <c r="BG285" s="34">
        <f t="shared" si="738"/>
        <v>0</v>
      </c>
      <c r="BH285" s="35">
        <f t="shared" si="735"/>
        <v>0</v>
      </c>
    </row>
    <row r="286" ht="15.75" customHeight="1" hidden="1" spans="1:60" x14ac:dyDescent="0.25">
      <c r="A286" s="29">
        <v>38</v>
      </c>
      <c r="B286" s="14"/>
      <c r="D286" s="14" t="s">
        <v>52</v>
      </c>
      <c r="E286" s="2" t="s">
        <v>39</v>
      </c>
      <c r="F286" s="41">
        <v>350</v>
      </c>
      <c r="G286" s="28"/>
      <c r="I286" s="13"/>
      <c r="J286" s="15"/>
      <c r="K286" s="15"/>
      <c r="L286" s="28"/>
      <c r="Q286" s="13"/>
      <c r="R286" s="15"/>
      <c r="S286" s="15"/>
      <c r="T286" s="28"/>
      <c r="Y286" s="13"/>
      <c r="Z286" s="15"/>
      <c r="AA286" s="34">
        <f>$F$14</f>
        <v>350</v>
      </c>
      <c r="AB286" s="35">
        <v>350</v>
      </c>
      <c r="AG286" s="13"/>
      <c r="AH286" s="15"/>
      <c r="AI286" s="15"/>
      <c r="AJ286" s="28"/>
      <c r="AK286" s="13"/>
      <c r="AL286" s="15"/>
      <c r="AM286" s="15"/>
      <c r="AN286" s="28"/>
      <c r="AO286" s="13"/>
      <c r="AP286" s="15"/>
      <c r="AQ286" s="15"/>
      <c r="AR286" s="28"/>
      <c r="AS286" s="15"/>
      <c r="AT286" s="15"/>
      <c r="AU286" s="15"/>
      <c r="AV286" s="15"/>
      <c r="AW286" s="13"/>
      <c r="AX286" s="15"/>
      <c r="AY286" s="15"/>
      <c r="AZ286" s="28"/>
      <c r="BA286" s="15"/>
      <c r="BB286" s="15"/>
      <c r="BC286" s="15"/>
      <c r="BD286" s="15"/>
      <c r="BE286" s="14"/>
      <c r="BF286" s="41">
        <f>$F$14</f>
        <v>350</v>
      </c>
      <c r="BG286" s="34">
        <f t="shared" si="738"/>
        <v>350</v>
      </c>
      <c r="BH286" s="35">
        <f t="shared" si="735"/>
        <v>0</v>
      </c>
    </row>
    <row r="287" ht="15.75" customHeight="1" hidden="1" spans="1:62" x14ac:dyDescent="0.25">
      <c r="A287" s="50">
        <v>38</v>
      </c>
      <c r="B287" s="21"/>
      <c r="C287" s="22" t="s">
        <v>53</v>
      </c>
      <c r="D287" s="21"/>
      <c r="E287" s="22"/>
      <c r="F287" s="20"/>
      <c r="G287" s="23"/>
      <c r="H287" s="51">
        <f>SUM(H280:H286)</f>
        <v>-17.16</v>
      </c>
      <c r="I287" s="52"/>
      <c r="J287" s="53"/>
      <c r="K287" s="51">
        <f t="shared" ref="K287:L287" si="739">SUM(K280:K286)</f>
        <v>0</v>
      </c>
      <c r="L287" s="68">
        <f t="shared" si="739"/>
        <v>0</v>
      </c>
      <c r="M287" s="53"/>
      <c r="N287" s="53"/>
      <c r="O287" s="51">
        <f t="shared" ref="O287:P287" si="740">SUM(O281:O286)</f>
        <v>0</v>
      </c>
      <c r="P287" s="51">
        <f t="shared" si="740"/>
        <v>0</v>
      </c>
      <c r="Q287" s="52"/>
      <c r="R287" s="53"/>
      <c r="S287" s="51">
        <f t="shared" ref="S287:T287" si="741">SUM(S281:S286)</f>
        <v>0</v>
      </c>
      <c r="T287" s="68">
        <f t="shared" si="741"/>
        <v>0</v>
      </c>
      <c r="U287" s="53"/>
      <c r="V287" s="53"/>
      <c r="W287" s="51">
        <f t="shared" ref="W287:X287" si="742">SUM(W281:W286)</f>
        <v>0</v>
      </c>
      <c r="X287" s="51">
        <f t="shared" si="742"/>
        <v>0</v>
      </c>
      <c r="Y287" s="52"/>
      <c r="Z287" s="53"/>
      <c r="AA287" s="51">
        <f t="shared" ref="AA287:AB287" si="743">SUM(AA281:AA286)</f>
        <v>350</v>
      </c>
      <c r="AB287" s="68">
        <f t="shared" si="743"/>
        <v>350</v>
      </c>
      <c r="AC287" s="53"/>
      <c r="AD287" s="53"/>
      <c r="AE287" s="51">
        <f t="shared" ref="AE287:AF287" si="744">SUM(AE281:AE286)</f>
        <v>4612.8992</v>
      </c>
      <c r="AF287" s="51">
        <f t="shared" si="744"/>
        <v>4612.89</v>
      </c>
      <c r="AG287" s="52"/>
      <c r="AH287" s="53"/>
      <c r="AI287" s="51">
        <f t="shared" ref="AI287:AJ287" si="745">SUM(AI281:AI286)</f>
        <v>0</v>
      </c>
      <c r="AJ287" s="68">
        <f t="shared" si="745"/>
        <v>0</v>
      </c>
      <c r="AK287" s="52"/>
      <c r="AL287" s="53"/>
      <c r="AM287" s="51">
        <f t="shared" ref="AM287:AN287" si="746">SUM(AM281:AM286)</f>
        <v>300.56</v>
      </c>
      <c r="AN287" s="68">
        <f t="shared" si="746"/>
        <v>300.56</v>
      </c>
      <c r="AO287" s="52"/>
      <c r="AP287" s="53"/>
      <c r="AQ287" s="51">
        <f t="shared" ref="AQ287:AR287" si="747">SUM(AQ281:AQ286)</f>
        <v>0</v>
      </c>
      <c r="AR287" s="68">
        <f t="shared" si="747"/>
        <v>0</v>
      </c>
      <c r="AS287" s="53"/>
      <c r="AT287" s="53"/>
      <c r="AU287" s="51">
        <f t="shared" ref="AU287:AV287" si="748">SUM(AU281:AU286)</f>
        <v>0</v>
      </c>
      <c r="AV287" s="51">
        <f t="shared" si="748"/>
        <v>0</v>
      </c>
      <c r="AW287" s="52"/>
      <c r="AX287" s="53"/>
      <c r="AY287" s="51">
        <f t="shared" ref="AY287:AZ287" si="749">SUM(AY281:AY286)</f>
        <v>0</v>
      </c>
      <c r="AZ287" s="68">
        <f t="shared" si="749"/>
        <v>0</v>
      </c>
      <c r="BA287" s="53"/>
      <c r="BB287" s="53"/>
      <c r="BC287" s="51">
        <f t="shared" ref="BC287:BD287" si="750">SUM(BC281:BC286)</f>
        <v>0</v>
      </c>
      <c r="BD287" s="51">
        <f t="shared" si="750"/>
        <v>0</v>
      </c>
      <c r="BE287" s="69"/>
      <c r="BF287" s="70">
        <f t="shared" ref="BF287:BH287" si="751">SUM(BF280:BF286)</f>
        <v>5263.4592</v>
      </c>
      <c r="BG287" s="71">
        <f t="shared" si="751"/>
        <v>5263.45</v>
      </c>
      <c r="BH287" s="72">
        <f t="shared" si="751"/>
        <v>-17.1508</v>
      </c>
      <c r="BI287" s="34">
        <f>H287+BF287-BG287</f>
        <v>-17.1508</v>
      </c>
      <c r="BJ287" s="34">
        <f>BH287-BI287</f>
        <v>0</v>
      </c>
    </row>
    <row r="288" ht="15.75" customHeight="1" hidden="1" spans="1:60" x14ac:dyDescent="0.25">
      <c r="A288" s="29">
        <v>39</v>
      </c>
      <c r="B288" s="14"/>
      <c r="D288" s="14" t="s">
        <v>42</v>
      </c>
      <c r="F288" s="13"/>
      <c r="G288" s="28"/>
      <c r="I288" s="13"/>
      <c r="J288" s="15"/>
      <c r="K288" s="15"/>
      <c r="L288" s="28"/>
      <c r="Q288" s="13"/>
      <c r="R288" s="15"/>
      <c r="S288" s="15"/>
      <c r="T288" s="28"/>
      <c r="Y288" s="13"/>
      <c r="Z288" s="15"/>
      <c r="AA288" s="15"/>
      <c r="AB288" s="28"/>
      <c r="AG288" s="13"/>
      <c r="AH288" s="15"/>
      <c r="AI288" s="15"/>
      <c r="AJ288" s="28"/>
      <c r="AK288" s="13"/>
      <c r="AL288" s="15"/>
      <c r="AM288" s="15"/>
      <c r="AN288" s="28"/>
      <c r="AO288" s="13"/>
      <c r="AP288" s="15"/>
      <c r="AQ288" s="15"/>
      <c r="AR288" s="28"/>
      <c r="AW288" s="13"/>
      <c r="AX288" s="15"/>
      <c r="AY288" s="15"/>
      <c r="AZ288" s="28"/>
      <c r="BE288" s="14"/>
      <c r="BF288" s="13"/>
      <c r="BG288" s="15"/>
      <c r="BH288" s="28"/>
    </row>
    <row r="289" ht="15.75" customHeight="1" hidden="1" spans="1:60" x14ac:dyDescent="0.25">
      <c r="A289" s="2">
        <v>39</v>
      </c>
      <c r="B289" s="42">
        <v>4</v>
      </c>
      <c r="C289" s="2" t="s">
        <v>169</v>
      </c>
      <c r="D289" s="14" t="s">
        <v>44</v>
      </c>
      <c r="E289" s="2" t="s">
        <v>45</v>
      </c>
      <c r="F289" s="13">
        <v>2.49</v>
      </c>
      <c r="G289" s="28"/>
      <c r="H289" s="74"/>
      <c r="I289" s="13"/>
      <c r="J289" s="15"/>
      <c r="K289" s="15"/>
      <c r="L289" s="28"/>
      <c r="Q289" s="13"/>
      <c r="R289" s="15"/>
      <c r="S289" s="15"/>
      <c r="T289" s="28"/>
      <c r="Y289" s="13"/>
      <c r="Z289" s="15">
        <f>Y289-U289</f>
        <v>0</v>
      </c>
      <c r="AA289" s="34">
        <f>Z289*$F$8</f>
        <v>0</v>
      </c>
      <c r="AB289" s="28"/>
      <c r="AC289" s="15"/>
      <c r="AD289" s="15">
        <f>AC289-Y289</f>
        <v>0</v>
      </c>
      <c r="AE289" s="34">
        <f>AD289*$F$8</f>
        <v>0</v>
      </c>
      <c r="AG289" s="13"/>
      <c r="AH289" s="15">
        <f>AG289-AC289</f>
        <v>0</v>
      </c>
      <c r="AI289" s="34">
        <f>AH289*$F$8</f>
        <v>0</v>
      </c>
      <c r="AJ289" s="28"/>
      <c r="AK289" s="13"/>
      <c r="AL289" s="15">
        <f>AK289-AG289</f>
        <v>0</v>
      </c>
      <c r="AM289" s="34">
        <f>AL289*$F$8</f>
        <v>0</v>
      </c>
      <c r="AN289" s="28"/>
      <c r="AO289" s="13"/>
      <c r="AP289" s="15"/>
      <c r="AQ289" s="34">
        <f>AP289*$F$8</f>
        <v>0</v>
      </c>
      <c r="AR289" s="28"/>
      <c r="AS289" s="15"/>
      <c r="AT289" s="15"/>
      <c r="AU289" s="34">
        <f>AT289*$F$8</f>
        <v>0</v>
      </c>
      <c r="AV289" s="15"/>
      <c r="AW289" s="13"/>
      <c r="AX289" s="15"/>
      <c r="AY289" s="34">
        <f>AX289*$F$8</f>
        <v>0</v>
      </c>
      <c r="AZ289" s="28"/>
      <c r="BA289" s="15"/>
      <c r="BB289" s="15"/>
      <c r="BC289" s="34">
        <f>BB289*$F$8</f>
        <v>0</v>
      </c>
      <c r="BD289" s="15"/>
      <c r="BE289" s="40">
        <f t="shared" ref="BE289:BG289" si="752">J289+N289+R289+V289+Z289+AD289+AH289+AL289+AP289+AT289+AX289+BB289</f>
        <v>0</v>
      </c>
      <c r="BF289" s="41">
        <f t="shared" si="752"/>
        <v>0</v>
      </c>
      <c r="BG289" s="34">
        <f t="shared" si="752"/>
        <v>0</v>
      </c>
      <c r="BH289" s="35">
        <f t="shared" ref="BH289:BH294" si="753">H289+BF289-BG289</f>
        <v>0</v>
      </c>
    </row>
    <row r="290" ht="15.75" customHeight="1" hidden="1" spans="1:60" x14ac:dyDescent="0.25">
      <c r="A290" s="29">
        <v>39</v>
      </c>
      <c r="B290" s="14"/>
      <c r="C290" s="2" t="s">
        <v>170</v>
      </c>
      <c r="D290" s="14" t="s">
        <v>47</v>
      </c>
      <c r="E290" s="2" t="s">
        <v>48</v>
      </c>
      <c r="F290" s="13">
        <v>17.16</v>
      </c>
      <c r="G290" s="28"/>
      <c r="I290" s="13"/>
      <c r="J290" s="15"/>
      <c r="K290" s="15"/>
      <c r="L290" s="28"/>
      <c r="Q290" s="13"/>
      <c r="R290" s="15"/>
      <c r="S290" s="15"/>
      <c r="T290" s="28"/>
      <c r="Y290" s="13"/>
      <c r="Z290" s="15"/>
      <c r="AA290" s="15"/>
      <c r="AB290" s="28"/>
      <c r="AC290" s="15"/>
      <c r="AD290" s="15"/>
      <c r="AE290" s="34">
        <f>AD290*$F$10</f>
        <v>0</v>
      </c>
      <c r="AG290" s="13"/>
      <c r="AH290" s="15"/>
      <c r="AI290" s="45">
        <f>AH290*$G$10</f>
        <v>0</v>
      </c>
      <c r="AJ290" s="28"/>
      <c r="AK290" s="13"/>
      <c r="AL290" s="15"/>
      <c r="AM290" s="45">
        <f>AL290*$G$10</f>
        <v>0</v>
      </c>
      <c r="AN290" s="28"/>
      <c r="AO290" s="13"/>
      <c r="AP290" s="15"/>
      <c r="AQ290" s="45">
        <f>AP290*$G$10</f>
        <v>0</v>
      </c>
      <c r="AR290" s="28"/>
      <c r="AS290" s="15"/>
      <c r="AT290" s="15"/>
      <c r="AU290" s="15"/>
      <c r="AV290" s="15"/>
      <c r="AW290" s="13"/>
      <c r="AX290" s="15"/>
      <c r="AY290" s="15"/>
      <c r="AZ290" s="28"/>
      <c r="BA290" s="15"/>
      <c r="BB290" s="15"/>
      <c r="BC290" s="15"/>
      <c r="BD290" s="15"/>
      <c r="BE290" s="40">
        <f t="shared" ref="BE290:BG290" si="754">J290+N290+R290+V290+Z290+AD290+AH290+AL290+AP290+AT290+AX290+BB290</f>
        <v>0</v>
      </c>
      <c r="BF290" s="41">
        <f t="shared" si="754"/>
        <v>0</v>
      </c>
      <c r="BG290" s="34">
        <f t="shared" si="754"/>
        <v>0</v>
      </c>
      <c r="BH290" s="35">
        <f t="shared" si="753"/>
        <v>0</v>
      </c>
    </row>
    <row r="291" ht="15.75" customHeight="1" hidden="1" spans="1:60" x14ac:dyDescent="0.25">
      <c r="A291" s="29">
        <v>39</v>
      </c>
      <c r="B291" s="14"/>
      <c r="C291" s="2" t="s">
        <v>171</v>
      </c>
      <c r="D291" s="14" t="s">
        <v>47</v>
      </c>
      <c r="E291" s="2" t="s">
        <v>49</v>
      </c>
      <c r="F291" s="41">
        <v>300</v>
      </c>
      <c r="G291" s="28"/>
      <c r="H291" s="77">
        <f>B289*$F$11</f>
        <v>1200</v>
      </c>
      <c r="I291" s="13"/>
      <c r="J291" s="15"/>
      <c r="K291" s="15"/>
      <c r="L291" s="28"/>
      <c r="Q291" s="13"/>
      <c r="R291" s="15"/>
      <c r="S291" s="15"/>
      <c r="T291" s="28"/>
      <c r="Y291" s="13"/>
      <c r="Z291" s="15"/>
      <c r="AA291" s="34">
        <f>B289*$F$11</f>
        <v>1200</v>
      </c>
      <c r="AB291" s="28"/>
      <c r="AC291" s="15"/>
      <c r="AG291" s="13"/>
      <c r="AH291" s="15"/>
      <c r="AI291" s="15"/>
      <c r="AJ291" s="28"/>
      <c r="AK291" s="13"/>
      <c r="AL291" s="15"/>
      <c r="AM291" s="34"/>
      <c r="AN291" s="28"/>
      <c r="AO291" s="13"/>
      <c r="AP291" s="15"/>
      <c r="AQ291" s="34"/>
      <c r="AR291" s="28"/>
      <c r="AS291" s="15"/>
      <c r="AT291" s="15"/>
      <c r="AU291" s="15"/>
      <c r="AV291" s="15"/>
      <c r="AW291" s="13"/>
      <c r="AX291" s="15"/>
      <c r="AY291" s="15"/>
      <c r="AZ291" s="28"/>
      <c r="BA291" s="15"/>
      <c r="BB291" s="15"/>
      <c r="BC291" s="15"/>
      <c r="BD291" s="15"/>
      <c r="BE291" s="14"/>
      <c r="BF291" s="41">
        <f t="shared" ref="BF291:BG291" si="755">K291+O291+S291+W291+AA291+AE291+AI291+AM291+AQ291+AU291+AY291+BC291</f>
        <v>1200</v>
      </c>
      <c r="BG291" s="34">
        <f t="shared" si="755"/>
        <v>0</v>
      </c>
      <c r="BH291" s="35">
        <f t="shared" si="753"/>
        <v>2400</v>
      </c>
    </row>
    <row r="292" ht="15.75" customHeight="1" hidden="1" spans="1:60" x14ac:dyDescent="0.25">
      <c r="A292" s="29">
        <v>39</v>
      </c>
      <c r="B292" s="14"/>
      <c r="D292" s="14" t="s">
        <v>50</v>
      </c>
      <c r="E292" s="2" t="s">
        <v>49</v>
      </c>
      <c r="F292" s="41">
        <v>1062.88</v>
      </c>
      <c r="G292" s="28"/>
      <c r="I292" s="13"/>
      <c r="J292" s="15"/>
      <c r="K292" s="15"/>
      <c r="L292" s="28"/>
      <c r="Q292" s="13"/>
      <c r="R292" s="15"/>
      <c r="S292" s="15"/>
      <c r="T292" s="28"/>
      <c r="Y292" s="13"/>
      <c r="Z292" s="15"/>
      <c r="AA292" s="15"/>
      <c r="AB292" s="28"/>
      <c r="AE292" s="34">
        <f>B289*$F$12</f>
        <v>4251.52</v>
      </c>
      <c r="AG292" s="13"/>
      <c r="AH292" s="15"/>
      <c r="AI292" s="15"/>
      <c r="AJ292" s="28"/>
      <c r="AK292" s="13"/>
      <c r="AL292" s="15"/>
      <c r="AM292" s="15"/>
      <c r="AN292" s="28"/>
      <c r="AO292" s="13"/>
      <c r="AP292" s="15"/>
      <c r="AQ292" s="15"/>
      <c r="AR292" s="28"/>
      <c r="AS292" s="15"/>
      <c r="AT292" s="15"/>
      <c r="AU292" s="15"/>
      <c r="AV292" s="15"/>
      <c r="AW292" s="13"/>
      <c r="AX292" s="15"/>
      <c r="AY292" s="15"/>
      <c r="AZ292" s="28"/>
      <c r="BA292" s="15"/>
      <c r="BB292" s="15"/>
      <c r="BC292" s="15"/>
      <c r="BD292" s="15"/>
      <c r="BE292" s="14"/>
      <c r="BF292" s="41">
        <f>B289*$F$12</f>
        <v>4251.52</v>
      </c>
      <c r="BG292" s="34">
        <f t="shared" ref="BG292:BG294" si="756">L292+P292+T292+X292+AB292+AF292+AJ292+AN292+AR292+AV292+AZ292+BD292</f>
        <v>0</v>
      </c>
      <c r="BH292" s="35">
        <f t="shared" si="753"/>
        <v>4251.52</v>
      </c>
    </row>
    <row r="293" ht="15.75" customHeight="1" hidden="1" spans="1:60" x14ac:dyDescent="0.25">
      <c r="A293" s="29">
        <v>39</v>
      </c>
      <c r="B293" s="14"/>
      <c r="C293" s="2" t="s">
        <v>172</v>
      </c>
      <c r="D293" s="14" t="s">
        <v>51</v>
      </c>
      <c r="E293" s="2" t="s">
        <v>49</v>
      </c>
      <c r="F293" s="41">
        <v>0</v>
      </c>
      <c r="G293" s="28"/>
      <c r="H293" s="90">
        <v>600</v>
      </c>
      <c r="I293" s="13"/>
      <c r="J293" s="15"/>
      <c r="K293" s="15"/>
      <c r="L293" s="28"/>
      <c r="Q293" s="13"/>
      <c r="R293" s="15"/>
      <c r="S293" s="15"/>
      <c r="T293" s="28"/>
      <c r="Y293" s="13"/>
      <c r="Z293" s="15"/>
      <c r="AA293" s="15"/>
      <c r="AB293" s="28"/>
      <c r="AG293" s="13"/>
      <c r="AH293" s="15"/>
      <c r="AI293" s="15"/>
      <c r="AJ293" s="28"/>
      <c r="AK293" s="13"/>
      <c r="AL293" s="15"/>
      <c r="AM293" s="15"/>
      <c r="AN293" s="28"/>
      <c r="AO293" s="13"/>
      <c r="AP293" s="15"/>
      <c r="AQ293" s="15"/>
      <c r="AR293" s="28"/>
      <c r="AS293" s="15"/>
      <c r="AT293" s="15"/>
      <c r="AU293" s="15"/>
      <c r="AV293" s="15"/>
      <c r="AW293" s="13"/>
      <c r="AX293" s="15"/>
      <c r="AY293" s="15"/>
      <c r="AZ293" s="28"/>
      <c r="BA293" s="15"/>
      <c r="BB293" s="15"/>
      <c r="BC293" s="15"/>
      <c r="BD293" s="15"/>
      <c r="BE293" s="14"/>
      <c r="BF293" s="41">
        <f>B289*$F$13</f>
        <v>0</v>
      </c>
      <c r="BG293" s="34">
        <f t="shared" si="756"/>
        <v>0</v>
      </c>
      <c r="BH293" s="35">
        <f t="shared" si="753"/>
        <v>600</v>
      </c>
    </row>
    <row r="294" ht="15.75" customHeight="1" hidden="1" spans="1:60" x14ac:dyDescent="0.25">
      <c r="A294" s="29">
        <v>39</v>
      </c>
      <c r="B294" s="14"/>
      <c r="D294" s="14" t="s">
        <v>52</v>
      </c>
      <c r="E294" s="2" t="s">
        <v>39</v>
      </c>
      <c r="F294" s="41">
        <v>350</v>
      </c>
      <c r="G294" s="28"/>
      <c r="I294" s="13"/>
      <c r="J294" s="15"/>
      <c r="K294" s="15"/>
      <c r="L294" s="28"/>
      <c r="Q294" s="13"/>
      <c r="R294" s="15"/>
      <c r="S294" s="15"/>
      <c r="T294" s="28"/>
      <c r="Y294" s="13"/>
      <c r="Z294" s="15"/>
      <c r="AA294" s="34">
        <f>$F$14</f>
        <v>350</v>
      </c>
      <c r="AB294" s="28"/>
      <c r="AG294" s="13"/>
      <c r="AH294" s="15"/>
      <c r="AI294" s="15"/>
      <c r="AJ294" s="28"/>
      <c r="AK294" s="13"/>
      <c r="AL294" s="15"/>
      <c r="AM294" s="15"/>
      <c r="AN294" s="28"/>
      <c r="AO294" s="13"/>
      <c r="AP294" s="15"/>
      <c r="AQ294" s="15"/>
      <c r="AR294" s="28"/>
      <c r="AS294" s="15"/>
      <c r="AT294" s="15"/>
      <c r="AU294" s="15"/>
      <c r="AV294" s="15"/>
      <c r="AW294" s="13"/>
      <c r="AX294" s="15"/>
      <c r="AY294" s="15"/>
      <c r="AZ294" s="28"/>
      <c r="BA294" s="15"/>
      <c r="BB294" s="15"/>
      <c r="BC294" s="15"/>
      <c r="BD294" s="15"/>
      <c r="BE294" s="14"/>
      <c r="BF294" s="41">
        <f>$F$14</f>
        <v>350</v>
      </c>
      <c r="BG294" s="34">
        <f t="shared" si="756"/>
        <v>0</v>
      </c>
      <c r="BH294" s="35">
        <f t="shared" si="753"/>
        <v>350</v>
      </c>
    </row>
    <row r="295" ht="15.75" customHeight="1" hidden="1" spans="1:62" x14ac:dyDescent="0.25">
      <c r="A295" s="88" t="s">
        <v>173</v>
      </c>
      <c r="B295" s="21"/>
      <c r="C295" s="22" t="s">
        <v>53</v>
      </c>
      <c r="D295" s="21"/>
      <c r="E295" s="22"/>
      <c r="F295" s="20"/>
      <c r="G295" s="23"/>
      <c r="H295" s="51">
        <f>SUM(H288:H294)</f>
        <v>1800</v>
      </c>
      <c r="I295" s="52"/>
      <c r="J295" s="53"/>
      <c r="K295" s="51">
        <f t="shared" ref="K295:L295" si="757">SUM(K288:K294)</f>
        <v>0</v>
      </c>
      <c r="L295" s="68">
        <f t="shared" si="757"/>
        <v>0</v>
      </c>
      <c r="M295" s="53"/>
      <c r="N295" s="53"/>
      <c r="O295" s="51">
        <f t="shared" ref="O295:P295" si="758">SUM(O289:O294)</f>
        <v>0</v>
      </c>
      <c r="P295" s="51">
        <f t="shared" si="758"/>
        <v>0</v>
      </c>
      <c r="Q295" s="52"/>
      <c r="R295" s="53"/>
      <c r="S295" s="51">
        <f t="shared" ref="S295:T295" si="759">SUM(S289:S294)</f>
        <v>0</v>
      </c>
      <c r="T295" s="68">
        <f t="shared" si="759"/>
        <v>0</v>
      </c>
      <c r="U295" s="53"/>
      <c r="V295" s="53"/>
      <c r="W295" s="51">
        <f t="shared" ref="W295:X295" si="760">SUM(W289:W294)</f>
        <v>0</v>
      </c>
      <c r="X295" s="51">
        <f t="shared" si="760"/>
        <v>0</v>
      </c>
      <c r="Y295" s="52"/>
      <c r="Z295" s="53"/>
      <c r="AA295" s="51">
        <f t="shared" ref="AA295:AB295" si="761">SUM(AA289:AA294)</f>
        <v>1550</v>
      </c>
      <c r="AB295" s="68">
        <f t="shared" si="761"/>
        <v>0</v>
      </c>
      <c r="AC295" s="53"/>
      <c r="AD295" s="53"/>
      <c r="AE295" s="51">
        <f t="shared" ref="AE295:AF295" si="762">SUM(AE289:AE294)</f>
        <v>4251.52</v>
      </c>
      <c r="AF295" s="51">
        <f t="shared" si="762"/>
        <v>0</v>
      </c>
      <c r="AG295" s="52"/>
      <c r="AH295" s="53"/>
      <c r="AI295" s="51">
        <f t="shared" ref="AI295:AJ295" si="763">SUM(AI289:AI294)</f>
        <v>0</v>
      </c>
      <c r="AJ295" s="68">
        <f t="shared" si="763"/>
        <v>0</v>
      </c>
      <c r="AK295" s="52"/>
      <c r="AL295" s="53"/>
      <c r="AM295" s="51">
        <f t="shared" ref="AM295:AN295" si="764">SUM(AM289:AM294)</f>
        <v>0</v>
      </c>
      <c r="AN295" s="68">
        <f t="shared" si="764"/>
        <v>0</v>
      </c>
      <c r="AO295" s="52"/>
      <c r="AP295" s="53"/>
      <c r="AQ295" s="51">
        <f t="shared" ref="AQ295:AR295" si="765">SUM(AQ289:AQ294)</f>
        <v>0</v>
      </c>
      <c r="AR295" s="68">
        <f t="shared" si="765"/>
        <v>0</v>
      </c>
      <c r="AS295" s="53"/>
      <c r="AT295" s="53"/>
      <c r="AU295" s="51">
        <f t="shared" ref="AU295:AV295" si="766">SUM(AU289:AU294)</f>
        <v>0</v>
      </c>
      <c r="AV295" s="51">
        <f t="shared" si="766"/>
        <v>0</v>
      </c>
      <c r="AW295" s="52"/>
      <c r="AX295" s="53"/>
      <c r="AY295" s="51">
        <f t="shared" ref="AY295:AZ295" si="767">SUM(AY289:AY294)</f>
        <v>0</v>
      </c>
      <c r="AZ295" s="68">
        <f t="shared" si="767"/>
        <v>0</v>
      </c>
      <c r="BA295" s="53"/>
      <c r="BB295" s="53"/>
      <c r="BC295" s="51">
        <f t="shared" ref="BC295:BD295" si="768">SUM(BC289:BC294)</f>
        <v>0</v>
      </c>
      <c r="BD295" s="51">
        <f t="shared" si="768"/>
        <v>0</v>
      </c>
      <c r="BE295" s="69"/>
      <c r="BF295" s="70">
        <f t="shared" ref="BF295:BH295" si="769">SUM(BF288:BF294)</f>
        <v>5801.52</v>
      </c>
      <c r="BG295" s="71">
        <f t="shared" si="769"/>
        <v>0</v>
      </c>
      <c r="BH295" s="72">
        <f t="shared" si="769"/>
        <v>7601.52</v>
      </c>
      <c r="BI295" s="34">
        <f>H295+BF295-BG295</f>
        <v>7601.52</v>
      </c>
      <c r="BJ295" s="34">
        <f>BH295-BI295</f>
        <v>0</v>
      </c>
    </row>
    <row r="296" ht="15.75" customHeight="1" hidden="1" spans="1:60" x14ac:dyDescent="0.25">
      <c r="A296" s="29">
        <v>40</v>
      </c>
      <c r="B296" s="14"/>
      <c r="D296" s="14" t="s">
        <v>42</v>
      </c>
      <c r="F296" s="13"/>
      <c r="G296" s="28"/>
      <c r="I296" s="13"/>
      <c r="J296" s="15"/>
      <c r="K296" s="15"/>
      <c r="L296" s="28"/>
      <c r="Q296" s="13"/>
      <c r="R296" s="15"/>
      <c r="S296" s="15"/>
      <c r="T296" s="28"/>
      <c r="Y296" s="13"/>
      <c r="Z296" s="15"/>
      <c r="AA296" s="15"/>
      <c r="AB296" s="28"/>
      <c r="AG296" s="13"/>
      <c r="AH296" s="15"/>
      <c r="AI296" s="15"/>
      <c r="AJ296" s="28"/>
      <c r="AK296" s="13"/>
      <c r="AL296" s="15"/>
      <c r="AM296" s="15"/>
      <c r="AN296" s="28"/>
      <c r="AO296" s="13"/>
      <c r="AP296" s="15"/>
      <c r="AQ296" s="15"/>
      <c r="AR296" s="28"/>
      <c r="AW296" s="13"/>
      <c r="AX296" s="15"/>
      <c r="AY296" s="15"/>
      <c r="AZ296" s="28"/>
      <c r="BE296" s="14"/>
      <c r="BF296" s="13"/>
      <c r="BG296" s="15"/>
      <c r="BH296" s="28"/>
    </row>
    <row r="297" ht="15.75" customHeight="1" hidden="1" spans="1:64" x14ac:dyDescent="0.25">
      <c r="A297" s="2">
        <v>40</v>
      </c>
      <c r="B297" s="14">
        <v>4.92</v>
      </c>
      <c r="C297" s="2" t="s">
        <v>174</v>
      </c>
      <c r="D297" s="14" t="s">
        <v>44</v>
      </c>
      <c r="E297" s="2" t="s">
        <v>45</v>
      </c>
      <c r="F297" s="13">
        <v>2.49</v>
      </c>
      <c r="G297" s="28"/>
      <c r="H297" s="15"/>
      <c r="I297" s="13">
        <v>16082</v>
      </c>
      <c r="J297" s="15">
        <v>1688</v>
      </c>
      <c r="K297" s="34">
        <f>J297*$F$8</f>
        <v>4203.12</v>
      </c>
      <c r="L297" s="28">
        <v>4203.12</v>
      </c>
      <c r="M297" s="2">
        <v>17130</v>
      </c>
      <c r="N297" s="15">
        <f>M297-I297</f>
        <v>1048</v>
      </c>
      <c r="O297" s="34">
        <f>N297*$F$8</f>
        <v>2609.52</v>
      </c>
      <c r="P297" s="2">
        <v>2609.52</v>
      </c>
      <c r="Q297" s="13">
        <v>18046</v>
      </c>
      <c r="R297" s="15">
        <f>Q297-M297</f>
        <v>916</v>
      </c>
      <c r="S297" s="34">
        <f>R297*$F$8</f>
        <v>2280.84</v>
      </c>
      <c r="T297" s="28"/>
      <c r="U297" s="2">
        <v>19043</v>
      </c>
      <c r="V297" s="15">
        <f>U297-Q297</f>
        <v>997</v>
      </c>
      <c r="W297" s="34">
        <f>V297*$F$8</f>
        <v>2482.53</v>
      </c>
      <c r="X297" s="34">
        <v>5000</v>
      </c>
      <c r="Y297" s="13">
        <v>19337</v>
      </c>
      <c r="Z297" s="15">
        <f>Y297-U297</f>
        <v>294</v>
      </c>
      <c r="AA297" s="34">
        <f>Z297*$F$8</f>
        <v>732.06</v>
      </c>
      <c r="AB297" s="28">
        <f>732.06-236.63</f>
        <v>495.43</v>
      </c>
      <c r="AC297" s="2">
        <v>19624</v>
      </c>
      <c r="AD297" s="15">
        <f t="shared" ref="AD297:AD298" si="770">AC297-Y297</f>
        <v>287</v>
      </c>
      <c r="AE297" s="34">
        <f>AD297*$F$8</f>
        <v>714.63</v>
      </c>
      <c r="AF297" s="34">
        <f>478-478</f>
        <v>0</v>
      </c>
      <c r="AG297" s="13">
        <v>19815</v>
      </c>
      <c r="AH297" s="15">
        <f t="shared" ref="AH297:AH298" si="771">AG297-AC297</f>
        <v>191</v>
      </c>
      <c r="AI297" s="34">
        <f>AH297*$F$8</f>
        <v>475.59</v>
      </c>
      <c r="AJ297" s="38">
        <f>236.63+478</f>
        <v>714.63</v>
      </c>
      <c r="AK297" s="13">
        <v>20075</v>
      </c>
      <c r="AL297" s="15">
        <f t="shared" ref="AL297:AL298" si="772">AK297-AG297</f>
        <v>260</v>
      </c>
      <c r="AM297" s="34">
        <f>AL297*$F$8</f>
        <v>647.4</v>
      </c>
      <c r="AN297" s="32">
        <v>475.59</v>
      </c>
      <c r="AO297" s="13">
        <v>20471</v>
      </c>
      <c r="AP297" s="15">
        <f t="shared" ref="AP297:AP298" si="773">AO297-AK297</f>
        <v>396</v>
      </c>
      <c r="AQ297" s="34">
        <f>AP297*$F$8</f>
        <v>986.04</v>
      </c>
      <c r="AR297" s="28"/>
      <c r="AS297" s="15">
        <v>20979</v>
      </c>
      <c r="AT297" s="15">
        <f>AS297-AO297</f>
        <v>508</v>
      </c>
      <c r="AU297" s="34">
        <f>AT297*$F$8</f>
        <v>1264.92</v>
      </c>
      <c r="AV297" s="15"/>
      <c r="AW297" s="13">
        <v>21274</v>
      </c>
      <c r="AX297" s="15">
        <f>AW297-AS297</f>
        <v>295</v>
      </c>
      <c r="AY297" s="34">
        <f>AX297*$F$8</f>
        <v>734.55</v>
      </c>
      <c r="AZ297" s="38">
        <v>3000</v>
      </c>
      <c r="BA297" s="15">
        <v>21986</v>
      </c>
      <c r="BB297" s="15">
        <f>BA297-AW297</f>
        <v>712</v>
      </c>
      <c r="BC297" s="34">
        <f>BB297*$F$8</f>
        <v>1772.88</v>
      </c>
      <c r="BD297" s="39">
        <f>385.95+1000</f>
        <v>1385.95</v>
      </c>
      <c r="BE297" s="40">
        <f t="shared" ref="BE297:BG297" si="774">J297+N297+R297+V297+Z297+AD297+AH297+AL297+AP297+AT297+AX297+BB297</f>
        <v>7592</v>
      </c>
      <c r="BF297" s="41">
        <f t="shared" si="774"/>
        <v>18904.08</v>
      </c>
      <c r="BG297" s="34">
        <f t="shared" si="774"/>
        <v>17884.24</v>
      </c>
      <c r="BH297" s="35">
        <f t="shared" ref="BH297:BH302" si="775">H297+BF297-BG297</f>
        <v>1019.84</v>
      </c>
      <c r="BK297" s="2">
        <f>385.95+1000</f>
        <v>1385.95</v>
      </c>
      <c r="BL297" s="2">
        <v>1000</v>
      </c>
    </row>
    <row r="298" ht="15.75" customHeight="1" hidden="1" spans="1:60" x14ac:dyDescent="0.25">
      <c r="A298" s="29">
        <v>40</v>
      </c>
      <c r="B298" s="14"/>
      <c r="C298" s="15" t="s">
        <v>175</v>
      </c>
      <c r="D298" s="14" t="s">
        <v>47</v>
      </c>
      <c r="E298" s="2" t="s">
        <v>48</v>
      </c>
      <c r="F298" s="13">
        <v>17.16</v>
      </c>
      <c r="G298" s="28"/>
      <c r="H298" s="73">
        <v>17.16</v>
      </c>
      <c r="I298" s="13"/>
      <c r="J298" s="15"/>
      <c r="K298" s="15"/>
      <c r="L298" s="28"/>
      <c r="Q298" s="13"/>
      <c r="R298" s="15"/>
      <c r="S298" s="15"/>
      <c r="T298" s="28"/>
      <c r="Y298" s="13">
        <v>91</v>
      </c>
      <c r="Z298" s="15"/>
      <c r="AA298" s="15"/>
      <c r="AB298" s="28"/>
      <c r="AC298" s="2">
        <v>91</v>
      </c>
      <c r="AD298" s="15">
        <f t="shared" si="770"/>
        <v>0</v>
      </c>
      <c r="AE298" s="34">
        <f>AD298*$F$10</f>
        <v>0</v>
      </c>
      <c r="AG298" s="13">
        <v>91</v>
      </c>
      <c r="AH298" s="15">
        <f t="shared" si="771"/>
        <v>0</v>
      </c>
      <c r="AI298" s="45">
        <f>AH298*$G$10</f>
        <v>0</v>
      </c>
      <c r="AJ298" s="28"/>
      <c r="AK298" s="13">
        <v>91</v>
      </c>
      <c r="AL298" s="15">
        <f t="shared" si="772"/>
        <v>0</v>
      </c>
      <c r="AM298" s="45">
        <f>AL298*$G$10</f>
        <v>0</v>
      </c>
      <c r="AN298" s="32">
        <f>17.16+7.25</f>
        <v>24.41</v>
      </c>
      <c r="AO298" s="13">
        <v>91</v>
      </c>
      <c r="AP298" s="15">
        <f t="shared" si="773"/>
        <v>0</v>
      </c>
      <c r="AQ298" s="45">
        <f>AP298*$G$10</f>
        <v>0</v>
      </c>
      <c r="AR298" s="28"/>
      <c r="AS298" s="15"/>
      <c r="AT298" s="15"/>
      <c r="AU298" s="15"/>
      <c r="AV298" s="15"/>
      <c r="AW298" s="13"/>
      <c r="AX298" s="15"/>
      <c r="AY298" s="15"/>
      <c r="AZ298" s="28"/>
      <c r="BA298" s="15"/>
      <c r="BB298" s="15"/>
      <c r="BC298" s="15"/>
      <c r="BD298" s="15"/>
      <c r="BE298" s="40">
        <f t="shared" ref="BE298:BG298" si="776">J298+N298+R298+V298+Z298+AD298+AH298+AL298+AP298+AT298+AX298+BB298</f>
        <v>0</v>
      </c>
      <c r="BF298" s="41">
        <f t="shared" si="776"/>
        <v>0</v>
      </c>
      <c r="BG298" s="34">
        <f t="shared" si="776"/>
        <v>24.41</v>
      </c>
      <c r="BH298" s="35">
        <f t="shared" si="775"/>
        <v>-7.25</v>
      </c>
    </row>
    <row r="299" ht="15.75" customHeight="1" hidden="1" spans="1:60" x14ac:dyDescent="0.25">
      <c r="A299" s="29">
        <v>40</v>
      </c>
      <c r="B299" s="14"/>
      <c r="C299" s="15" t="s">
        <v>176</v>
      </c>
      <c r="D299" s="14" t="s">
        <v>47</v>
      </c>
      <c r="E299" s="2" t="s">
        <v>49</v>
      </c>
      <c r="F299" s="41">
        <v>300</v>
      </c>
      <c r="G299" s="28"/>
      <c r="I299" s="13"/>
      <c r="J299" s="15"/>
      <c r="K299" s="15"/>
      <c r="L299" s="28"/>
      <c r="Q299" s="13"/>
      <c r="R299" s="15"/>
      <c r="S299" s="15"/>
      <c r="T299" s="28"/>
      <c r="Y299" s="13"/>
      <c r="Z299" s="15"/>
      <c r="AA299" s="15"/>
      <c r="AB299" s="28"/>
      <c r="AG299" s="13"/>
      <c r="AH299" s="15"/>
      <c r="AI299" s="15"/>
      <c r="AJ299" s="28"/>
      <c r="AK299" s="13"/>
      <c r="AL299" s="15"/>
      <c r="AM299" s="34"/>
      <c r="AN299" s="28"/>
      <c r="AO299" s="13"/>
      <c r="AP299" s="15"/>
      <c r="AQ299" s="34"/>
      <c r="AR299" s="28"/>
      <c r="AS299" s="15"/>
      <c r="AT299" s="15"/>
      <c r="AU299" s="15"/>
      <c r="AV299" s="15"/>
      <c r="AW299" s="13"/>
      <c r="AX299" s="15"/>
      <c r="AY299" s="15"/>
      <c r="AZ299" s="28"/>
      <c r="BA299" s="15"/>
      <c r="BB299" s="15"/>
      <c r="BC299" s="15"/>
      <c r="BD299" s="15"/>
      <c r="BE299" s="14"/>
      <c r="BF299" s="41">
        <f t="shared" ref="BF299:BG299" si="777">K299+O299+S299+W299+AA299+AE299+AI299+AM299+AQ299+AU299+AY299+BC299</f>
        <v>0</v>
      </c>
      <c r="BG299" s="34">
        <f t="shared" si="777"/>
        <v>0</v>
      </c>
      <c r="BH299" s="35">
        <f t="shared" si="775"/>
        <v>0</v>
      </c>
    </row>
    <row r="300" ht="15.75" customHeight="1" hidden="1" spans="1:60" x14ac:dyDescent="0.25">
      <c r="A300" s="29">
        <v>40</v>
      </c>
      <c r="B300" s="14"/>
      <c r="D300" s="14" t="s">
        <v>50</v>
      </c>
      <c r="E300" s="2" t="s">
        <v>49</v>
      </c>
      <c r="F300" s="41">
        <v>1062.88</v>
      </c>
      <c r="G300" s="28"/>
      <c r="I300" s="13"/>
      <c r="J300" s="15"/>
      <c r="K300" s="15"/>
      <c r="L300" s="28"/>
      <c r="Q300" s="13"/>
      <c r="R300" s="15"/>
      <c r="S300" s="15"/>
      <c r="T300" s="28"/>
      <c r="Y300" s="13"/>
      <c r="Z300" s="15"/>
      <c r="AA300" s="15"/>
      <c r="AB300" s="28"/>
      <c r="AE300" s="34">
        <f>B297*$F$12</f>
        <v>5229.3696</v>
      </c>
      <c r="AG300" s="13"/>
      <c r="AH300" s="15"/>
      <c r="AI300" s="15"/>
      <c r="AJ300" s="28"/>
      <c r="AK300" s="13"/>
      <c r="AL300" s="15"/>
      <c r="AM300" s="15"/>
      <c r="AN300" s="32">
        <v>5229.37</v>
      </c>
      <c r="AO300" s="13"/>
      <c r="AP300" s="15"/>
      <c r="AQ300" s="15"/>
      <c r="AR300" s="28"/>
      <c r="AS300" s="15"/>
      <c r="AT300" s="15"/>
      <c r="AU300" s="15"/>
      <c r="AV300" s="15"/>
      <c r="AW300" s="13"/>
      <c r="AX300" s="15"/>
      <c r="AY300" s="15"/>
      <c r="AZ300" s="28"/>
      <c r="BA300" s="15"/>
      <c r="BB300" s="15"/>
      <c r="BC300" s="15"/>
      <c r="BD300" s="15"/>
      <c r="BE300" s="14"/>
      <c r="BF300" s="41">
        <f>B297*$F$12</f>
        <v>5229.3696</v>
      </c>
      <c r="BG300" s="34">
        <f t="shared" ref="BG300:BG302" si="778">L300+P300+T300+X300+AB300+AF300+AJ300+AN300+AR300+AV300+AZ300+BD300</f>
        <v>5229.37</v>
      </c>
      <c r="BH300" s="35">
        <f t="shared" si="775"/>
        <v>-0.000399999999</v>
      </c>
    </row>
    <row r="301" ht="15.75" customHeight="1" hidden="1" spans="1:60" x14ac:dyDescent="0.25">
      <c r="A301" s="29">
        <v>40</v>
      </c>
      <c r="B301" s="14"/>
      <c r="D301" s="14" t="s">
        <v>51</v>
      </c>
      <c r="E301" s="2" t="s">
        <v>49</v>
      </c>
      <c r="F301" s="41">
        <v>0</v>
      </c>
      <c r="G301" s="28"/>
      <c r="I301" s="13"/>
      <c r="J301" s="15"/>
      <c r="K301" s="15"/>
      <c r="L301" s="28"/>
      <c r="Q301" s="13"/>
      <c r="R301" s="15"/>
      <c r="S301" s="15"/>
      <c r="T301" s="28"/>
      <c r="Y301" s="13"/>
      <c r="Z301" s="15"/>
      <c r="AA301" s="15"/>
      <c r="AB301" s="28"/>
      <c r="AG301" s="13"/>
      <c r="AH301" s="15"/>
      <c r="AI301" s="15"/>
      <c r="AJ301" s="28"/>
      <c r="AK301" s="13"/>
      <c r="AL301" s="15"/>
      <c r="AM301" s="15"/>
      <c r="AN301" s="28"/>
      <c r="AO301" s="13"/>
      <c r="AP301" s="15"/>
      <c r="AQ301" s="15"/>
      <c r="AR301" s="28"/>
      <c r="AS301" s="15"/>
      <c r="AT301" s="15"/>
      <c r="AU301" s="15"/>
      <c r="AV301" s="15"/>
      <c r="AW301" s="13"/>
      <c r="AX301" s="15"/>
      <c r="AY301" s="15"/>
      <c r="AZ301" s="28"/>
      <c r="BA301" s="15"/>
      <c r="BB301" s="15"/>
      <c r="BC301" s="15"/>
      <c r="BD301" s="15"/>
      <c r="BE301" s="14"/>
      <c r="BF301" s="41">
        <f>B297*$F$13</f>
        <v>0</v>
      </c>
      <c r="BG301" s="34">
        <f t="shared" si="778"/>
        <v>0</v>
      </c>
      <c r="BH301" s="35">
        <f t="shared" si="775"/>
        <v>0</v>
      </c>
    </row>
    <row r="302" ht="15.75" customHeight="1" hidden="1" spans="1:60" x14ac:dyDescent="0.25">
      <c r="A302" s="29">
        <v>40</v>
      </c>
      <c r="B302" s="14"/>
      <c r="D302" s="14" t="s">
        <v>52</v>
      </c>
      <c r="E302" s="2" t="s">
        <v>39</v>
      </c>
      <c r="F302" s="41">
        <v>350</v>
      </c>
      <c r="G302" s="28"/>
      <c r="I302" s="13"/>
      <c r="J302" s="15"/>
      <c r="K302" s="15"/>
      <c r="L302" s="28"/>
      <c r="Q302" s="13"/>
      <c r="R302" s="15"/>
      <c r="S302" s="15"/>
      <c r="T302" s="28"/>
      <c r="Y302" s="13"/>
      <c r="Z302" s="15"/>
      <c r="AA302" s="34">
        <f>$F$14</f>
        <v>350</v>
      </c>
      <c r="AB302" s="35">
        <v>350</v>
      </c>
      <c r="AG302" s="13"/>
      <c r="AH302" s="15"/>
      <c r="AI302" s="15"/>
      <c r="AJ302" s="28"/>
      <c r="AK302" s="13"/>
      <c r="AL302" s="15"/>
      <c r="AM302" s="15"/>
      <c r="AN302" s="28"/>
      <c r="AO302" s="13"/>
      <c r="AP302" s="15"/>
      <c r="AQ302" s="15"/>
      <c r="AR302" s="28"/>
      <c r="AS302" s="15"/>
      <c r="AT302" s="15"/>
      <c r="AU302" s="15"/>
      <c r="AV302" s="15"/>
      <c r="AW302" s="13"/>
      <c r="AX302" s="15"/>
      <c r="AY302" s="15"/>
      <c r="AZ302" s="28"/>
      <c r="BA302" s="15"/>
      <c r="BB302" s="15"/>
      <c r="BC302" s="15"/>
      <c r="BD302" s="15"/>
      <c r="BE302" s="14"/>
      <c r="BF302" s="41">
        <f>$F$14</f>
        <v>350</v>
      </c>
      <c r="BG302" s="34">
        <f t="shared" si="778"/>
        <v>350</v>
      </c>
      <c r="BH302" s="35">
        <f t="shared" si="775"/>
        <v>0</v>
      </c>
    </row>
    <row r="303" ht="15.75" customHeight="1" hidden="1" spans="1:62" x14ac:dyDescent="0.25">
      <c r="A303" s="50">
        <v>40</v>
      </c>
      <c r="B303" s="21"/>
      <c r="C303" s="22" t="s">
        <v>53</v>
      </c>
      <c r="D303" s="21"/>
      <c r="E303" s="22"/>
      <c r="F303" s="20"/>
      <c r="G303" s="23"/>
      <c r="H303" s="51">
        <f>SUM(H296:H302)</f>
        <v>17.16</v>
      </c>
      <c r="I303" s="52"/>
      <c r="J303" s="53"/>
      <c r="K303" s="51">
        <f t="shared" ref="K303:L303" si="779">SUM(K296:K302)</f>
        <v>4203.12</v>
      </c>
      <c r="L303" s="68">
        <f t="shared" si="779"/>
        <v>4203.12</v>
      </c>
      <c r="M303" s="53"/>
      <c r="N303" s="53"/>
      <c r="O303" s="51">
        <f t="shared" ref="O303:P303" si="780">SUM(O297:O302)</f>
        <v>2609.52</v>
      </c>
      <c r="P303" s="51">
        <f t="shared" si="780"/>
        <v>2609.52</v>
      </c>
      <c r="Q303" s="52"/>
      <c r="R303" s="53"/>
      <c r="S303" s="51">
        <f t="shared" ref="S303:T303" si="781">SUM(S297:S302)</f>
        <v>2280.84</v>
      </c>
      <c r="T303" s="68">
        <f t="shared" si="781"/>
        <v>0</v>
      </c>
      <c r="U303" s="53"/>
      <c r="V303" s="53"/>
      <c r="W303" s="51">
        <f t="shared" ref="W303:X303" si="782">SUM(W297:W302)</f>
        <v>2482.53</v>
      </c>
      <c r="X303" s="51">
        <f t="shared" si="782"/>
        <v>5000</v>
      </c>
      <c r="Y303" s="52"/>
      <c r="Z303" s="53"/>
      <c r="AA303" s="51">
        <f t="shared" ref="AA303:AB303" si="783">SUM(AA297:AA302)</f>
        <v>1082.06</v>
      </c>
      <c r="AB303" s="68">
        <f t="shared" si="783"/>
        <v>845.43</v>
      </c>
      <c r="AC303" s="53"/>
      <c r="AD303" s="53"/>
      <c r="AE303" s="51">
        <f t="shared" ref="AE303:AF303" si="784">SUM(AE297:AE302)</f>
        <v>5943.9996</v>
      </c>
      <c r="AF303" s="51">
        <f t="shared" si="784"/>
        <v>0</v>
      </c>
      <c r="AG303" s="52"/>
      <c r="AH303" s="53"/>
      <c r="AI303" s="51">
        <f t="shared" ref="AI303:AJ303" si="785">SUM(AI297:AI302)</f>
        <v>475.59</v>
      </c>
      <c r="AJ303" s="68">
        <f t="shared" si="785"/>
        <v>714.63</v>
      </c>
      <c r="AK303" s="52"/>
      <c r="AL303" s="53"/>
      <c r="AM303" s="51">
        <f t="shared" ref="AM303:AN303" si="786">SUM(AM297:AM302)</f>
        <v>647.4</v>
      </c>
      <c r="AN303" s="68">
        <f t="shared" si="786"/>
        <v>5729.37</v>
      </c>
      <c r="AO303" s="52"/>
      <c r="AP303" s="53"/>
      <c r="AQ303" s="51">
        <f t="shared" ref="AQ303:AR303" si="787">SUM(AQ297:AQ302)</f>
        <v>986.04</v>
      </c>
      <c r="AR303" s="68">
        <f t="shared" si="787"/>
        <v>0</v>
      </c>
      <c r="AS303" s="53"/>
      <c r="AT303" s="53"/>
      <c r="AU303" s="51">
        <f t="shared" ref="AU303:AV303" si="788">SUM(AU297:AU302)</f>
        <v>1264.92</v>
      </c>
      <c r="AV303" s="51">
        <f t="shared" si="788"/>
        <v>0</v>
      </c>
      <c r="AW303" s="52"/>
      <c r="AX303" s="53"/>
      <c r="AY303" s="51">
        <f t="shared" ref="AY303:AZ303" si="789">SUM(AY297:AY302)</f>
        <v>734.55</v>
      </c>
      <c r="AZ303" s="68">
        <f t="shared" si="789"/>
        <v>3000</v>
      </c>
      <c r="BA303" s="53"/>
      <c r="BB303" s="53"/>
      <c r="BC303" s="51">
        <f t="shared" ref="BC303:BD303" si="790">SUM(BC297:BC302)</f>
        <v>1772.88</v>
      </c>
      <c r="BD303" s="51">
        <f t="shared" si="790"/>
        <v>1385.95</v>
      </c>
      <c r="BE303" s="69"/>
      <c r="BF303" s="70">
        <f t="shared" ref="BF303:BH303" si="791">SUM(BF296:BF302)</f>
        <v>24483.4496</v>
      </c>
      <c r="BG303" s="71">
        <f t="shared" si="791"/>
        <v>23488.02</v>
      </c>
      <c r="BH303" s="72">
        <f t="shared" si="791"/>
        <v>1012.5896</v>
      </c>
      <c r="BI303" s="34">
        <f>H303+BF303-BG303</f>
        <v>1012.5896</v>
      </c>
      <c r="BJ303" s="34">
        <f>BH303-BI303</f>
        <v>0</v>
      </c>
    </row>
    <row r="304" ht="15.75" customHeight="1" hidden="1" spans="1:60" x14ac:dyDescent="0.25">
      <c r="A304" s="29">
        <v>41</v>
      </c>
      <c r="B304" s="14"/>
      <c r="D304" s="14" t="s">
        <v>42</v>
      </c>
      <c r="F304" s="13"/>
      <c r="G304" s="28"/>
      <c r="I304" s="13"/>
      <c r="J304" s="15"/>
      <c r="K304" s="15"/>
      <c r="L304" s="28"/>
      <c r="Q304" s="13"/>
      <c r="R304" s="15"/>
      <c r="S304" s="15"/>
      <c r="T304" s="28"/>
      <c r="Y304" s="13"/>
      <c r="Z304" s="15"/>
      <c r="AA304" s="15"/>
      <c r="AB304" s="28"/>
      <c r="AG304" s="13"/>
      <c r="AH304" s="15"/>
      <c r="AI304" s="15"/>
      <c r="AJ304" s="28"/>
      <c r="AK304" s="13"/>
      <c r="AL304" s="15"/>
      <c r="AM304" s="15"/>
      <c r="AN304" s="28"/>
      <c r="AO304" s="13"/>
      <c r="AP304" s="15"/>
      <c r="AQ304" s="15"/>
      <c r="AR304" s="28"/>
      <c r="AW304" s="13"/>
      <c r="AX304" s="15"/>
      <c r="AY304" s="15"/>
      <c r="AZ304" s="28"/>
      <c r="BE304" s="14"/>
      <c r="BF304" s="13"/>
      <c r="BG304" s="15"/>
      <c r="BH304" s="28"/>
    </row>
    <row r="305" ht="15.75" customHeight="1" hidden="1" spans="1:60" x14ac:dyDescent="0.25">
      <c r="A305" s="2">
        <v>41</v>
      </c>
      <c r="B305" s="14">
        <v>4.87</v>
      </c>
      <c r="C305" s="2" t="s">
        <v>177</v>
      </c>
      <c r="D305" s="14" t="s">
        <v>44</v>
      </c>
      <c r="E305" s="2" t="s">
        <v>45</v>
      </c>
      <c r="F305" s="13">
        <v>2.49</v>
      </c>
      <c r="G305" s="28"/>
      <c r="I305" s="13"/>
      <c r="J305" s="15"/>
      <c r="K305" s="15"/>
      <c r="L305" s="28"/>
      <c r="Q305" s="13"/>
      <c r="R305" s="15"/>
      <c r="S305" s="15"/>
      <c r="T305" s="28"/>
      <c r="U305" s="2">
        <v>2</v>
      </c>
      <c r="V305" s="2">
        <v>0</v>
      </c>
      <c r="W305" s="34">
        <f>V305*$F$8</f>
        <v>0</v>
      </c>
      <c r="Y305" s="13">
        <v>2</v>
      </c>
      <c r="Z305" s="15">
        <f>Y305-U305</f>
        <v>0</v>
      </c>
      <c r="AA305" s="34">
        <f>Z305*$F$8</f>
        <v>0</v>
      </c>
      <c r="AB305" s="28"/>
      <c r="AC305" s="2">
        <v>2</v>
      </c>
      <c r="AD305" s="15">
        <f t="shared" ref="AD305:AD306" si="792">AC305-Y305</f>
        <v>0</v>
      </c>
      <c r="AE305" s="34">
        <f>AD305*$F$8</f>
        <v>0</v>
      </c>
      <c r="AG305" s="13">
        <v>3</v>
      </c>
      <c r="AH305" s="15">
        <f t="shared" ref="AH305:AH306" si="793">AG305-AC305</f>
        <v>1</v>
      </c>
      <c r="AI305" s="34">
        <f>AH305*$F$8</f>
        <v>2.49</v>
      </c>
      <c r="AJ305" s="28"/>
      <c r="AK305" s="13">
        <v>4</v>
      </c>
      <c r="AL305" s="15">
        <f t="shared" ref="AL305:AL306" si="794">AK305-AG305</f>
        <v>1</v>
      </c>
      <c r="AM305" s="34">
        <f>AL305*$F$8</f>
        <v>2.49</v>
      </c>
      <c r="AN305" s="32">
        <v>4.98</v>
      </c>
      <c r="AO305" s="13">
        <v>17</v>
      </c>
      <c r="AP305" s="15">
        <f t="shared" ref="AP305:AP306" si="795">AO305-AK305</f>
        <v>13</v>
      </c>
      <c r="AQ305" s="34">
        <f>AP305*$F$8</f>
        <v>32.37</v>
      </c>
      <c r="AR305" s="28"/>
      <c r="AS305" s="15">
        <v>88</v>
      </c>
      <c r="AT305" s="15">
        <f>AS305-AO305</f>
        <v>71</v>
      </c>
      <c r="AU305" s="34">
        <f>AT305*$F$8</f>
        <v>176.79</v>
      </c>
      <c r="AV305" s="15"/>
      <c r="AW305" s="13">
        <v>88</v>
      </c>
      <c r="AX305" s="15">
        <f>AW305-AS305</f>
        <v>0</v>
      </c>
      <c r="AY305" s="34">
        <f>AX305*$F$8</f>
        <v>0</v>
      </c>
      <c r="AZ305" s="28"/>
      <c r="BA305" s="13">
        <v>88</v>
      </c>
      <c r="BB305" s="15">
        <f>BA305-AW305</f>
        <v>0</v>
      </c>
      <c r="BC305" s="34">
        <f>BB305*$F$8</f>
        <v>0</v>
      </c>
      <c r="BD305" s="15"/>
      <c r="BE305" s="40">
        <f t="shared" ref="BE305:BG305" si="796">J305+N305+R305+V305+Z305+AD305+AH305+AL305+AP305+AT305+AX305+BB305</f>
        <v>86</v>
      </c>
      <c r="BF305" s="41">
        <f t="shared" si="796"/>
        <v>214.14</v>
      </c>
      <c r="BG305" s="34">
        <f t="shared" si="796"/>
        <v>4.98</v>
      </c>
      <c r="BH305" s="35">
        <f t="shared" ref="BH305:BH310" si="797">H305+BF305-BG305</f>
        <v>209.16</v>
      </c>
    </row>
    <row r="306" ht="15.75" customHeight="1" hidden="1" spans="1:60" x14ac:dyDescent="0.25">
      <c r="A306" s="29">
        <v>41</v>
      </c>
      <c r="B306" s="14"/>
      <c r="C306" s="2" t="s">
        <v>75</v>
      </c>
      <c r="D306" s="14" t="s">
        <v>47</v>
      </c>
      <c r="E306" s="2" t="s">
        <v>48</v>
      </c>
      <c r="F306" s="13">
        <v>17.16</v>
      </c>
      <c r="G306" s="28"/>
      <c r="H306" s="33">
        <v>-99</v>
      </c>
      <c r="I306" s="13"/>
      <c r="J306" s="15"/>
      <c r="K306" s="15"/>
      <c r="L306" s="28"/>
      <c r="Q306" s="13"/>
      <c r="R306" s="15"/>
      <c r="S306" s="15"/>
      <c r="T306" s="28"/>
      <c r="Y306" s="13">
        <v>27</v>
      </c>
      <c r="Z306" s="15"/>
      <c r="AA306" s="15"/>
      <c r="AB306" s="28"/>
      <c r="AC306" s="2">
        <v>27</v>
      </c>
      <c r="AD306" s="15">
        <f t="shared" si="792"/>
        <v>0</v>
      </c>
      <c r="AE306" s="34">
        <f>AD306*$F$10</f>
        <v>0</v>
      </c>
      <c r="AG306" s="13">
        <v>27</v>
      </c>
      <c r="AH306" s="15">
        <f t="shared" si="793"/>
        <v>0</v>
      </c>
      <c r="AI306" s="45">
        <f>AH306*$G$10</f>
        <v>0</v>
      </c>
      <c r="AJ306" s="28"/>
      <c r="AK306" s="13">
        <v>27</v>
      </c>
      <c r="AL306" s="15">
        <f t="shared" si="794"/>
        <v>0</v>
      </c>
      <c r="AM306" s="45">
        <f>AL306*$G$10</f>
        <v>0</v>
      </c>
      <c r="AN306" s="28"/>
      <c r="AO306" s="13">
        <v>27</v>
      </c>
      <c r="AP306" s="15">
        <f t="shared" si="795"/>
        <v>0</v>
      </c>
      <c r="AQ306" s="45">
        <f>AP306*$G$10</f>
        <v>0</v>
      </c>
      <c r="AR306" s="28"/>
      <c r="AS306" s="15"/>
      <c r="AT306" s="15"/>
      <c r="AU306" s="15"/>
      <c r="AV306" s="15"/>
      <c r="AW306" s="13"/>
      <c r="AX306" s="15"/>
      <c r="AY306" s="15"/>
      <c r="AZ306" s="28"/>
      <c r="BA306" s="15"/>
      <c r="BB306" s="15"/>
      <c r="BC306" s="15"/>
      <c r="BD306" s="15"/>
      <c r="BE306" s="40">
        <f t="shared" ref="BE306:BG306" si="798">J306+N306+R306+V306+Z306+AD306+AH306+AL306+AP306+AT306+AX306+BB306</f>
        <v>0</v>
      </c>
      <c r="BF306" s="41">
        <f t="shared" si="798"/>
        <v>0</v>
      </c>
      <c r="BG306" s="34">
        <f t="shared" si="798"/>
        <v>0</v>
      </c>
      <c r="BH306" s="35">
        <f t="shared" si="797"/>
        <v>-99</v>
      </c>
    </row>
    <row r="307" ht="15.75" customHeight="1" hidden="1" spans="1:60" x14ac:dyDescent="0.25">
      <c r="A307" s="29">
        <v>41</v>
      </c>
      <c r="B307" s="14"/>
      <c r="C307" s="2" t="s">
        <v>178</v>
      </c>
      <c r="D307" s="14" t="s">
        <v>47</v>
      </c>
      <c r="E307" s="2" t="s">
        <v>49</v>
      </c>
      <c r="F307" s="41">
        <v>300</v>
      </c>
      <c r="G307" s="28"/>
      <c r="I307" s="13"/>
      <c r="J307" s="15"/>
      <c r="K307" s="15"/>
      <c r="L307" s="28"/>
      <c r="Q307" s="13"/>
      <c r="R307" s="15"/>
      <c r="S307" s="15"/>
      <c r="T307" s="28"/>
      <c r="Y307" s="13"/>
      <c r="Z307" s="15"/>
      <c r="AA307" s="15"/>
      <c r="AB307" s="28"/>
      <c r="AG307" s="13"/>
      <c r="AH307" s="15"/>
      <c r="AI307" s="15"/>
      <c r="AJ307" s="28"/>
      <c r="AK307" s="13"/>
      <c r="AL307" s="15"/>
      <c r="AM307" s="34"/>
      <c r="AN307" s="28"/>
      <c r="AO307" s="13"/>
      <c r="AP307" s="15"/>
      <c r="AQ307" s="34"/>
      <c r="AR307" s="28"/>
      <c r="AS307" s="15"/>
      <c r="AT307" s="15"/>
      <c r="AU307" s="15"/>
      <c r="AV307" s="15"/>
      <c r="AW307" s="13"/>
      <c r="AX307" s="15"/>
      <c r="AY307" s="15"/>
      <c r="AZ307" s="28"/>
      <c r="BA307" s="15"/>
      <c r="BB307" s="15"/>
      <c r="BC307" s="15"/>
      <c r="BD307" s="15"/>
      <c r="BE307" s="14"/>
      <c r="BF307" s="41">
        <f t="shared" ref="BF307:BG307" si="799">K307+O307+S307+W307+AA307+AE307+AI307+AM307+AQ307+AU307+AY307+BC307</f>
        <v>0</v>
      </c>
      <c r="BG307" s="34">
        <f t="shared" si="799"/>
        <v>0</v>
      </c>
      <c r="BH307" s="35">
        <f t="shared" si="797"/>
        <v>0</v>
      </c>
    </row>
    <row r="308" ht="15.75" customHeight="1" hidden="1" spans="1:60" x14ac:dyDescent="0.25">
      <c r="A308" s="29">
        <v>41</v>
      </c>
      <c r="B308" s="14"/>
      <c r="C308" s="2" t="s">
        <v>179</v>
      </c>
      <c r="D308" s="14" t="s">
        <v>50</v>
      </c>
      <c r="E308" s="2" t="s">
        <v>49</v>
      </c>
      <c r="F308" s="41">
        <v>1062.88</v>
      </c>
      <c r="G308" s="28"/>
      <c r="I308" s="13"/>
      <c r="J308" s="15"/>
      <c r="K308" s="15"/>
      <c r="L308" s="28"/>
      <c r="Q308" s="13"/>
      <c r="R308" s="15"/>
      <c r="S308" s="15"/>
      <c r="T308" s="28"/>
      <c r="Y308" s="13"/>
      <c r="Z308" s="15"/>
      <c r="AA308" s="15"/>
      <c r="AB308" s="28"/>
      <c r="AE308" s="34">
        <f>B305*$F$12</f>
        <v>5176.2256</v>
      </c>
      <c r="AG308" s="13"/>
      <c r="AH308" s="15"/>
      <c r="AI308" s="15"/>
      <c r="AJ308" s="28"/>
      <c r="AK308" s="13"/>
      <c r="AL308" s="15"/>
      <c r="AM308" s="15"/>
      <c r="AN308" s="32">
        <v>5176.23</v>
      </c>
      <c r="AO308" s="13"/>
      <c r="AP308" s="15"/>
      <c r="AQ308" s="15"/>
      <c r="AR308" s="28"/>
      <c r="AS308" s="15"/>
      <c r="AT308" s="15"/>
      <c r="AU308" s="15"/>
      <c r="AV308" s="15"/>
      <c r="AW308" s="13"/>
      <c r="AX308" s="15"/>
      <c r="AY308" s="15"/>
      <c r="AZ308" s="28"/>
      <c r="BA308" s="15"/>
      <c r="BB308" s="15"/>
      <c r="BC308" s="15"/>
      <c r="BD308" s="15"/>
      <c r="BE308" s="14"/>
      <c r="BF308" s="41">
        <f>B305*$F$12</f>
        <v>5176.2256</v>
      </c>
      <c r="BG308" s="34">
        <f t="shared" ref="BG308:BG310" si="800">L308+P308+T308+X308+AB308+AF308+AJ308+AN308+AR308+AV308+AZ308+BD308</f>
        <v>5176.23</v>
      </c>
      <c r="BH308" s="35">
        <f t="shared" si="797"/>
        <v>-0.004399999999</v>
      </c>
    </row>
    <row r="309" ht="15.75" customHeight="1" hidden="1" spans="1:60" x14ac:dyDescent="0.25">
      <c r="A309" s="29">
        <v>41</v>
      </c>
      <c r="B309" s="14"/>
      <c r="C309" s="2" t="s">
        <v>180</v>
      </c>
      <c r="D309" s="14" t="s">
        <v>51</v>
      </c>
      <c r="E309" s="2" t="s">
        <v>49</v>
      </c>
      <c r="F309" s="41">
        <v>0</v>
      </c>
      <c r="G309" s="28"/>
      <c r="I309" s="13"/>
      <c r="J309" s="15"/>
      <c r="K309" s="15"/>
      <c r="L309" s="28"/>
      <c r="Q309" s="13"/>
      <c r="R309" s="15"/>
      <c r="S309" s="15"/>
      <c r="T309" s="28"/>
      <c r="Y309" s="13"/>
      <c r="Z309" s="15"/>
      <c r="AA309" s="15"/>
      <c r="AB309" s="28"/>
      <c r="AG309" s="13"/>
      <c r="AH309" s="15"/>
      <c r="AI309" s="15"/>
      <c r="AJ309" s="28"/>
      <c r="AK309" s="13"/>
      <c r="AL309" s="15"/>
      <c r="AM309" s="15"/>
      <c r="AN309" s="28"/>
      <c r="AO309" s="13"/>
      <c r="AP309" s="15"/>
      <c r="AQ309" s="15"/>
      <c r="AR309" s="28"/>
      <c r="AS309" s="15"/>
      <c r="AT309" s="15"/>
      <c r="AU309" s="15"/>
      <c r="AV309" s="15"/>
      <c r="AW309" s="13"/>
      <c r="AX309" s="15"/>
      <c r="AY309" s="15"/>
      <c r="AZ309" s="28"/>
      <c r="BA309" s="15"/>
      <c r="BB309" s="15"/>
      <c r="BC309" s="15"/>
      <c r="BD309" s="15"/>
      <c r="BE309" s="14"/>
      <c r="BF309" s="41">
        <f>B305*$F$13</f>
        <v>0</v>
      </c>
      <c r="BG309" s="34">
        <f t="shared" si="800"/>
        <v>0</v>
      </c>
      <c r="BH309" s="35">
        <f t="shared" si="797"/>
        <v>0</v>
      </c>
    </row>
    <row r="310" ht="15.75" customHeight="1" hidden="1" spans="1:60" x14ac:dyDescent="0.25">
      <c r="A310" s="29">
        <v>41</v>
      </c>
      <c r="B310" s="14"/>
      <c r="D310" s="14" t="s">
        <v>52</v>
      </c>
      <c r="E310" s="2" t="s">
        <v>39</v>
      </c>
      <c r="F310" s="41">
        <v>350</v>
      </c>
      <c r="G310" s="28"/>
      <c r="I310" s="13"/>
      <c r="J310" s="15"/>
      <c r="K310" s="15"/>
      <c r="L310" s="28"/>
      <c r="Q310" s="13"/>
      <c r="R310" s="15"/>
      <c r="S310" s="15"/>
      <c r="T310" s="28"/>
      <c r="Y310" s="13"/>
      <c r="Z310" s="15"/>
      <c r="AA310" s="34">
        <f>$F$14</f>
        <v>350</v>
      </c>
      <c r="AB310" s="28"/>
      <c r="AG310" s="13"/>
      <c r="AH310" s="15"/>
      <c r="AI310" s="15"/>
      <c r="AJ310" s="28"/>
      <c r="AK310" s="13"/>
      <c r="AL310" s="15"/>
      <c r="AM310" s="15"/>
      <c r="AN310" s="38">
        <v>350</v>
      </c>
      <c r="AO310" s="13"/>
      <c r="AP310" s="15"/>
      <c r="AQ310" s="15"/>
      <c r="AR310" s="28"/>
      <c r="AS310" s="15"/>
      <c r="AT310" s="15"/>
      <c r="AU310" s="15"/>
      <c r="AV310" s="15"/>
      <c r="AW310" s="13"/>
      <c r="AX310" s="15"/>
      <c r="AY310" s="15"/>
      <c r="AZ310" s="28"/>
      <c r="BA310" s="15"/>
      <c r="BB310" s="15"/>
      <c r="BC310" s="15"/>
      <c r="BD310" s="15"/>
      <c r="BE310" s="14"/>
      <c r="BF310" s="41">
        <f>$F$14</f>
        <v>350</v>
      </c>
      <c r="BG310" s="34">
        <f t="shared" si="800"/>
        <v>350</v>
      </c>
      <c r="BH310" s="35">
        <f t="shared" si="797"/>
        <v>0</v>
      </c>
    </row>
    <row r="311" ht="15.75" customHeight="1" hidden="1" spans="1:62" x14ac:dyDescent="0.25">
      <c r="A311" s="50">
        <v>41</v>
      </c>
      <c r="B311" s="21"/>
      <c r="C311" s="22" t="s">
        <v>53</v>
      </c>
      <c r="D311" s="21"/>
      <c r="E311" s="22"/>
      <c r="F311" s="20"/>
      <c r="G311" s="23"/>
      <c r="H311" s="51">
        <f>SUM(H304:H310)</f>
        <v>-99</v>
      </c>
      <c r="I311" s="52"/>
      <c r="J311" s="53"/>
      <c r="K311" s="51">
        <f t="shared" ref="K311:L311" si="801">SUM(K304:K310)</f>
        <v>0</v>
      </c>
      <c r="L311" s="68">
        <f t="shared" si="801"/>
        <v>0</v>
      </c>
      <c r="M311" s="53"/>
      <c r="N311" s="53"/>
      <c r="O311" s="51">
        <f t="shared" ref="O311:P311" si="802">SUM(O305:O310)</f>
        <v>0</v>
      </c>
      <c r="P311" s="51">
        <f t="shared" si="802"/>
        <v>0</v>
      </c>
      <c r="Q311" s="52"/>
      <c r="R311" s="53"/>
      <c r="S311" s="51">
        <f t="shared" ref="S311:T311" si="803">SUM(S305:S310)</f>
        <v>0</v>
      </c>
      <c r="T311" s="68">
        <f t="shared" si="803"/>
        <v>0</v>
      </c>
      <c r="U311" s="53"/>
      <c r="V311" s="53"/>
      <c r="W311" s="51">
        <f t="shared" ref="W311:X311" si="804">SUM(W305:W310)</f>
        <v>0</v>
      </c>
      <c r="X311" s="51">
        <f t="shared" si="804"/>
        <v>0</v>
      </c>
      <c r="Y311" s="52"/>
      <c r="Z311" s="53"/>
      <c r="AA311" s="51">
        <f t="shared" ref="AA311:AB311" si="805">SUM(AA305:AA310)</f>
        <v>350</v>
      </c>
      <c r="AB311" s="68">
        <f t="shared" si="805"/>
        <v>0</v>
      </c>
      <c r="AC311" s="53"/>
      <c r="AD311" s="53"/>
      <c r="AE311" s="51">
        <f t="shared" ref="AE311:AF311" si="806">SUM(AE305:AE310)</f>
        <v>5176.2256</v>
      </c>
      <c r="AF311" s="51">
        <f t="shared" si="806"/>
        <v>0</v>
      </c>
      <c r="AG311" s="52"/>
      <c r="AH311" s="53"/>
      <c r="AI311" s="51">
        <f t="shared" ref="AI311:AJ311" si="807">SUM(AI305:AI310)</f>
        <v>2.49</v>
      </c>
      <c r="AJ311" s="68">
        <f t="shared" si="807"/>
        <v>0</v>
      </c>
      <c r="AK311" s="52"/>
      <c r="AL311" s="53"/>
      <c r="AM311" s="51">
        <f t="shared" ref="AM311:AN311" si="808">SUM(AM305:AM310)</f>
        <v>2.49</v>
      </c>
      <c r="AN311" s="68">
        <f t="shared" si="808"/>
        <v>5531.21</v>
      </c>
      <c r="AO311" s="52"/>
      <c r="AP311" s="53"/>
      <c r="AQ311" s="51">
        <f t="shared" ref="AQ311:AR311" si="809">SUM(AQ305:AQ310)</f>
        <v>32.37</v>
      </c>
      <c r="AR311" s="68">
        <f t="shared" si="809"/>
        <v>0</v>
      </c>
      <c r="AS311" s="53"/>
      <c r="AT311" s="53"/>
      <c r="AU311" s="51">
        <f t="shared" ref="AU311:AV311" si="810">SUM(AU305:AU310)</f>
        <v>176.79</v>
      </c>
      <c r="AV311" s="51">
        <f t="shared" si="810"/>
        <v>0</v>
      </c>
      <c r="AW311" s="52"/>
      <c r="AX311" s="53"/>
      <c r="AY311" s="51">
        <f t="shared" ref="AY311:AZ311" si="811">SUM(AY305:AY310)</f>
        <v>0</v>
      </c>
      <c r="AZ311" s="68">
        <f t="shared" si="811"/>
        <v>0</v>
      </c>
      <c r="BA311" s="53"/>
      <c r="BB311" s="53"/>
      <c r="BC311" s="51">
        <f t="shared" ref="BC311:BD311" si="812">SUM(BC305:BC310)</f>
        <v>0</v>
      </c>
      <c r="BD311" s="51">
        <f t="shared" si="812"/>
        <v>0</v>
      </c>
      <c r="BE311" s="69"/>
      <c r="BF311" s="70">
        <f t="shared" ref="BF311:BH311" si="813">SUM(BF304:BF310)</f>
        <v>5740.3656</v>
      </c>
      <c r="BG311" s="71">
        <f t="shared" si="813"/>
        <v>5531.21</v>
      </c>
      <c r="BH311" s="72">
        <f t="shared" si="813"/>
        <v>110.1556</v>
      </c>
      <c r="BI311" s="34">
        <f>H311+BF311-BG311</f>
        <v>110.1556</v>
      </c>
      <c r="BJ311" s="34">
        <f>BH311-BI311</f>
        <v>0</v>
      </c>
    </row>
    <row r="312" ht="15.75" customHeight="1" hidden="1" spans="1:60" x14ac:dyDescent="0.25">
      <c r="A312" s="29">
        <v>42</v>
      </c>
      <c r="B312" s="14"/>
      <c r="D312" s="14" t="s">
        <v>42</v>
      </c>
      <c r="E312" s="2" t="s">
        <v>39</v>
      </c>
      <c r="F312" s="41">
        <v>5000</v>
      </c>
      <c r="G312" s="28"/>
      <c r="I312" s="13"/>
      <c r="J312" s="15"/>
      <c r="K312" s="34">
        <v>5000</v>
      </c>
      <c r="L312" s="28"/>
      <c r="Q312" s="13"/>
      <c r="R312" s="15"/>
      <c r="S312" s="15"/>
      <c r="T312" s="28"/>
      <c r="Y312" s="13"/>
      <c r="Z312" s="15"/>
      <c r="AA312" s="15"/>
      <c r="AB312" s="28"/>
      <c r="AG312" s="13"/>
      <c r="AH312" s="15"/>
      <c r="AI312" s="15"/>
      <c r="AJ312" s="28"/>
      <c r="AK312" s="13"/>
      <c r="AL312" s="15"/>
      <c r="AM312" s="15"/>
      <c r="AN312" s="38">
        <v>5000</v>
      </c>
      <c r="AO312" s="13"/>
      <c r="AP312" s="15"/>
      <c r="AQ312" s="15"/>
      <c r="AR312" s="28"/>
      <c r="AW312" s="13"/>
      <c r="AX312" s="15"/>
      <c r="AY312" s="15"/>
      <c r="AZ312" s="28"/>
      <c r="BE312" s="14"/>
      <c r="BF312" s="41">
        <f t="shared" ref="BF312:BG312" si="814">K312+O312+S312+W312+AA312+AE312+AI312+AM312+AQ312+AU312+AY312+BC312</f>
        <v>5000</v>
      </c>
      <c r="BG312" s="34">
        <f t="shared" si="814"/>
        <v>5000</v>
      </c>
      <c r="BH312" s="35">
        <f t="shared" ref="BH312:BH318" si="815">H312+BF312-BG312</f>
        <v>0</v>
      </c>
    </row>
    <row r="313" ht="15.75" customHeight="1" hidden="1" spans="1:60" x14ac:dyDescent="0.25">
      <c r="A313" s="2">
        <v>42</v>
      </c>
      <c r="B313" s="42">
        <v>4.9</v>
      </c>
      <c r="C313" s="15" t="s">
        <v>181</v>
      </c>
      <c r="D313" s="14" t="s">
        <v>44</v>
      </c>
      <c r="E313" s="2" t="s">
        <v>45</v>
      </c>
      <c r="F313" s="13">
        <v>2.49</v>
      </c>
      <c r="G313" s="28"/>
      <c r="H313" s="74"/>
      <c r="I313" s="13"/>
      <c r="J313" s="15"/>
      <c r="K313" s="15"/>
      <c r="L313" s="28"/>
      <c r="Q313" s="13"/>
      <c r="R313" s="15"/>
      <c r="S313" s="15"/>
      <c r="T313" s="28"/>
      <c r="Y313" s="13"/>
      <c r="Z313" s="15">
        <f>Y313-U313</f>
        <v>0</v>
      </c>
      <c r="AA313" s="34">
        <f>Z313*$F$8</f>
        <v>0</v>
      </c>
      <c r="AB313" s="28"/>
      <c r="AC313" s="15"/>
      <c r="AD313" s="15">
        <f t="shared" ref="AD313:AD314" si="816">AC313-Y313</f>
        <v>0</v>
      </c>
      <c r="AE313" s="34">
        <f>AD313*$F$8</f>
        <v>0</v>
      </c>
      <c r="AG313" s="13"/>
      <c r="AH313" s="15">
        <f t="shared" ref="AH313:AH314" si="817">AG313-AC313</f>
        <v>0</v>
      </c>
      <c r="AI313" s="34">
        <f>AH313*$F$8</f>
        <v>0</v>
      </c>
      <c r="AJ313" s="28"/>
      <c r="AK313" s="13"/>
      <c r="AL313" s="15">
        <f>AK313-AG313</f>
        <v>0</v>
      </c>
      <c r="AM313" s="34">
        <f>AL313*$F$8</f>
        <v>0</v>
      </c>
      <c r="AN313" s="28"/>
      <c r="AO313" s="13"/>
      <c r="AP313" s="15"/>
      <c r="AQ313" s="34">
        <f>AP313*$F$8</f>
        <v>0</v>
      </c>
      <c r="AR313" s="28"/>
      <c r="AS313" s="15"/>
      <c r="AT313" s="15"/>
      <c r="AU313" s="34">
        <f>AT313*$F$8</f>
        <v>0</v>
      </c>
      <c r="AV313" s="15"/>
      <c r="AW313" s="13"/>
      <c r="AX313" s="15"/>
      <c r="AY313" s="34">
        <f>AX313*$F$8</f>
        <v>0</v>
      </c>
      <c r="AZ313" s="28"/>
      <c r="BA313" s="15"/>
      <c r="BB313" s="15"/>
      <c r="BC313" s="34">
        <f>BB313*$F$8</f>
        <v>0</v>
      </c>
      <c r="BD313" s="15"/>
      <c r="BE313" s="40">
        <f t="shared" ref="BE313:BG313" si="818">J313+N313+R313+V313+Z313+AD313+AH313+AL313+AP313+AT313+AX313+BB313</f>
        <v>0</v>
      </c>
      <c r="BF313" s="41">
        <f t="shared" si="818"/>
        <v>0</v>
      </c>
      <c r="BG313" s="34">
        <f t="shared" si="818"/>
        <v>0</v>
      </c>
      <c r="BH313" s="35">
        <f t="shared" si="815"/>
        <v>0</v>
      </c>
    </row>
    <row r="314" ht="15.75" customHeight="1" hidden="1" spans="1:60" x14ac:dyDescent="0.25">
      <c r="A314" s="29">
        <v>42</v>
      </c>
      <c r="B314" s="14"/>
      <c r="C314" s="15" t="s">
        <v>182</v>
      </c>
      <c r="D314" s="14" t="s">
        <v>47</v>
      </c>
      <c r="E314" s="2" t="s">
        <v>48</v>
      </c>
      <c r="F314" s="13">
        <v>17.16</v>
      </c>
      <c r="G314" s="28"/>
      <c r="I314" s="13"/>
      <c r="J314" s="15"/>
      <c r="K314" s="15"/>
      <c r="L314" s="28"/>
      <c r="Q314" s="13"/>
      <c r="R314" s="15"/>
      <c r="S314" s="15"/>
      <c r="T314" s="28"/>
      <c r="Y314" s="13"/>
      <c r="Z314" s="15"/>
      <c r="AA314" s="15"/>
      <c r="AB314" s="28"/>
      <c r="AC314" s="15"/>
      <c r="AD314" s="15">
        <f t="shared" si="816"/>
        <v>0</v>
      </c>
      <c r="AE314" s="34">
        <f>AD314*$F$10</f>
        <v>0</v>
      </c>
      <c r="AG314" s="13"/>
      <c r="AH314" s="15">
        <f t="shared" si="817"/>
        <v>0</v>
      </c>
      <c r="AI314" s="45">
        <f>AH314*$G$10</f>
        <v>0</v>
      </c>
      <c r="AJ314" s="28"/>
      <c r="AK314" s="13"/>
      <c r="AL314" s="15"/>
      <c r="AM314" s="45">
        <f>AL314*$G$10</f>
        <v>0</v>
      </c>
      <c r="AN314" s="28"/>
      <c r="AO314" s="13"/>
      <c r="AP314" s="15"/>
      <c r="AQ314" s="45">
        <f>AP314*$G$10</f>
        <v>0</v>
      </c>
      <c r="AR314" s="28"/>
      <c r="AS314" s="15"/>
      <c r="AT314" s="15"/>
      <c r="AU314" s="15"/>
      <c r="AV314" s="15"/>
      <c r="AW314" s="13"/>
      <c r="AX314" s="15"/>
      <c r="AY314" s="15"/>
      <c r="AZ314" s="28"/>
      <c r="BA314" s="15"/>
      <c r="BB314" s="15"/>
      <c r="BC314" s="15"/>
      <c r="BD314" s="15"/>
      <c r="BE314" s="40">
        <f t="shared" ref="BE314:BG314" si="819">J314+N314+R314+V314+Z314+AD314+AH314+AL314+AP314+AT314+AX314+BB314</f>
        <v>0</v>
      </c>
      <c r="BF314" s="41">
        <f t="shared" si="819"/>
        <v>0</v>
      </c>
      <c r="BG314" s="34">
        <f t="shared" si="819"/>
        <v>0</v>
      </c>
      <c r="BH314" s="35">
        <f t="shared" si="815"/>
        <v>0</v>
      </c>
    </row>
    <row r="315" ht="15.75" customHeight="1" hidden="1" spans="1:60" x14ac:dyDescent="0.25">
      <c r="A315" s="29">
        <v>42</v>
      </c>
      <c r="B315" s="14"/>
      <c r="C315" s="15" t="s">
        <v>183</v>
      </c>
      <c r="D315" s="14" t="s">
        <v>47</v>
      </c>
      <c r="E315" s="2" t="s">
        <v>49</v>
      </c>
      <c r="F315" s="41">
        <v>300</v>
      </c>
      <c r="G315" s="28"/>
      <c r="H315" s="83"/>
      <c r="I315" s="13"/>
      <c r="J315" s="15"/>
      <c r="K315" s="15"/>
      <c r="L315" s="28"/>
      <c r="Q315" s="13"/>
      <c r="R315" s="15"/>
      <c r="S315" s="15"/>
      <c r="T315" s="28"/>
      <c r="Y315" s="13"/>
      <c r="Z315" s="15"/>
      <c r="AA315" s="34"/>
      <c r="AB315" s="28"/>
      <c r="AC315" s="15"/>
      <c r="AG315" s="13"/>
      <c r="AH315" s="15"/>
      <c r="AI315" s="15"/>
      <c r="AJ315" s="28"/>
      <c r="AK315" s="13"/>
      <c r="AL315" s="15"/>
      <c r="AM315" s="34"/>
      <c r="AN315" s="28"/>
      <c r="AO315" s="13"/>
      <c r="AP315" s="15"/>
      <c r="AQ315" s="34"/>
      <c r="AR315" s="28"/>
      <c r="AS315" s="15"/>
      <c r="AT315" s="15"/>
      <c r="AU315" s="15"/>
      <c r="AV315" s="15"/>
      <c r="AW315" s="13"/>
      <c r="AX315" s="15"/>
      <c r="AY315" s="15"/>
      <c r="AZ315" s="28"/>
      <c r="BA315" s="15"/>
      <c r="BB315" s="15"/>
      <c r="BC315" s="15"/>
      <c r="BD315" s="15"/>
      <c r="BE315" s="14"/>
      <c r="BF315" s="41">
        <f t="shared" ref="BF315:BG315" si="820">K315+O315+S315+W315+AA315+AE315+AI315+AM315+AQ315+AU315+AY315+BC315</f>
        <v>0</v>
      </c>
      <c r="BG315" s="34">
        <f t="shared" si="820"/>
        <v>0</v>
      </c>
      <c r="BH315" s="35">
        <f t="shared" si="815"/>
        <v>0</v>
      </c>
    </row>
    <row r="316" ht="15.75" customHeight="1" hidden="1" spans="1:60" x14ac:dyDescent="0.25">
      <c r="A316" s="29">
        <v>42</v>
      </c>
      <c r="B316" s="14"/>
      <c r="C316" s="15" t="s">
        <v>184</v>
      </c>
      <c r="D316" s="14" t="s">
        <v>50</v>
      </c>
      <c r="E316" s="2" t="s">
        <v>49</v>
      </c>
      <c r="F316" s="41">
        <v>1062.88</v>
      </c>
      <c r="G316" s="28"/>
      <c r="I316" s="13"/>
      <c r="J316" s="15"/>
      <c r="K316" s="15"/>
      <c r="L316" s="28"/>
      <c r="Q316" s="13"/>
      <c r="R316" s="15"/>
      <c r="S316" s="15"/>
      <c r="T316" s="28"/>
      <c r="Y316" s="13"/>
      <c r="Z316" s="15"/>
      <c r="AA316" s="15"/>
      <c r="AB316" s="28"/>
      <c r="AE316" s="34">
        <f>B313*$F$12</f>
        <v>5208.112</v>
      </c>
      <c r="AG316" s="13"/>
      <c r="AH316" s="15"/>
      <c r="AI316" s="15"/>
      <c r="AJ316" s="28"/>
      <c r="AK316" s="13"/>
      <c r="AL316" s="15"/>
      <c r="AM316" s="15"/>
      <c r="AN316" s="32">
        <v>5208.11</v>
      </c>
      <c r="AO316" s="13"/>
      <c r="AP316" s="15"/>
      <c r="AQ316" s="15"/>
      <c r="AR316" s="28"/>
      <c r="AS316" s="15"/>
      <c r="AT316" s="15"/>
      <c r="AU316" s="15"/>
      <c r="AV316" s="15"/>
      <c r="AW316" s="13"/>
      <c r="AX316" s="15"/>
      <c r="AY316" s="15"/>
      <c r="AZ316" s="28"/>
      <c r="BA316" s="15"/>
      <c r="BB316" s="15"/>
      <c r="BC316" s="15"/>
      <c r="BD316" s="15"/>
      <c r="BE316" s="14"/>
      <c r="BF316" s="41">
        <f>B313*$F$12</f>
        <v>5208.112</v>
      </c>
      <c r="BG316" s="34">
        <f t="shared" ref="BG316:BG318" si="821">L316+P316+T316+X316+AB316+AF316+AJ316+AN316+AR316+AV316+AZ316+BD316</f>
        <v>5208.11</v>
      </c>
      <c r="BH316" s="35">
        <f t="shared" si="815"/>
        <v>0.002000000001</v>
      </c>
    </row>
    <row r="317" ht="15.75" customHeight="1" hidden="1" spans="1:60" x14ac:dyDescent="0.25">
      <c r="A317" s="29">
        <v>42</v>
      </c>
      <c r="B317" s="14"/>
      <c r="D317" s="14" t="s">
        <v>51</v>
      </c>
      <c r="E317" s="2" t="s">
        <v>49</v>
      </c>
      <c r="F317" s="41">
        <v>0</v>
      </c>
      <c r="G317" s="28"/>
      <c r="I317" s="13"/>
      <c r="J317" s="15"/>
      <c r="K317" s="15"/>
      <c r="L317" s="28"/>
      <c r="Q317" s="13"/>
      <c r="R317" s="15"/>
      <c r="S317" s="15"/>
      <c r="T317" s="28"/>
      <c r="Y317" s="13"/>
      <c r="Z317" s="15"/>
      <c r="AA317" s="15"/>
      <c r="AB317" s="28"/>
      <c r="AG317" s="13"/>
      <c r="AH317" s="15"/>
      <c r="AI317" s="15"/>
      <c r="AJ317" s="28"/>
      <c r="AK317" s="13"/>
      <c r="AL317" s="15"/>
      <c r="AM317" s="15"/>
      <c r="AN317" s="28"/>
      <c r="AO317" s="13"/>
      <c r="AP317" s="15"/>
      <c r="AQ317" s="15"/>
      <c r="AR317" s="28"/>
      <c r="AS317" s="15"/>
      <c r="AT317" s="15"/>
      <c r="AU317" s="15"/>
      <c r="AV317" s="15"/>
      <c r="AW317" s="13"/>
      <c r="AX317" s="15"/>
      <c r="AY317" s="15"/>
      <c r="AZ317" s="28"/>
      <c r="BA317" s="15"/>
      <c r="BB317" s="15"/>
      <c r="BC317" s="15"/>
      <c r="BD317" s="15"/>
      <c r="BE317" s="14"/>
      <c r="BF317" s="41">
        <f>B313*$F$13</f>
        <v>0</v>
      </c>
      <c r="BG317" s="34">
        <f t="shared" si="821"/>
        <v>0</v>
      </c>
      <c r="BH317" s="35">
        <f t="shared" si="815"/>
        <v>0</v>
      </c>
    </row>
    <row r="318" ht="15.75" customHeight="1" hidden="1" spans="1:60" x14ac:dyDescent="0.25">
      <c r="A318" s="29">
        <v>42</v>
      </c>
      <c r="B318" s="14"/>
      <c r="D318" s="14" t="s">
        <v>52</v>
      </c>
      <c r="E318" s="2" t="s">
        <v>39</v>
      </c>
      <c r="F318" s="41">
        <v>350</v>
      </c>
      <c r="G318" s="28"/>
      <c r="I318" s="13"/>
      <c r="J318" s="15"/>
      <c r="K318" s="15"/>
      <c r="L318" s="28"/>
      <c r="Q318" s="13"/>
      <c r="R318" s="15"/>
      <c r="S318" s="15"/>
      <c r="T318" s="28"/>
      <c r="Y318" s="13"/>
      <c r="Z318" s="15"/>
      <c r="AA318" s="34">
        <f>$F$14</f>
        <v>350</v>
      </c>
      <c r="AB318" s="28"/>
      <c r="AG318" s="13"/>
      <c r="AH318" s="15"/>
      <c r="AI318" s="15"/>
      <c r="AJ318" s="28"/>
      <c r="AK318" s="13"/>
      <c r="AL318" s="15"/>
      <c r="AM318" s="15"/>
      <c r="AN318" s="28"/>
      <c r="AO318" s="13"/>
      <c r="AP318" s="15"/>
      <c r="AQ318" s="15"/>
      <c r="AR318" s="38">
        <v>350</v>
      </c>
      <c r="AS318" s="15"/>
      <c r="AT318" s="15"/>
      <c r="AU318" s="15"/>
      <c r="AV318" s="15"/>
      <c r="AW318" s="13"/>
      <c r="AX318" s="15"/>
      <c r="AY318" s="15"/>
      <c r="AZ318" s="28"/>
      <c r="BA318" s="15"/>
      <c r="BB318" s="15"/>
      <c r="BC318" s="15"/>
      <c r="BD318" s="15"/>
      <c r="BE318" s="14"/>
      <c r="BF318" s="41">
        <f>$F$14</f>
        <v>350</v>
      </c>
      <c r="BG318" s="34">
        <f t="shared" si="821"/>
        <v>350</v>
      </c>
      <c r="BH318" s="35">
        <f t="shared" si="815"/>
        <v>0</v>
      </c>
    </row>
    <row r="319" ht="15.75" customHeight="1" hidden="1" spans="1:62" x14ac:dyDescent="0.25">
      <c r="A319" s="50">
        <v>42</v>
      </c>
      <c r="B319" s="21"/>
      <c r="C319" s="22" t="s">
        <v>53</v>
      </c>
      <c r="D319" s="21"/>
      <c r="E319" s="22"/>
      <c r="F319" s="20"/>
      <c r="G319" s="23"/>
      <c r="H319" s="51">
        <f>SUM(H312:H318)</f>
        <v>0</v>
      </c>
      <c r="I319" s="52"/>
      <c r="J319" s="53"/>
      <c r="K319" s="51">
        <f t="shared" ref="K319:L319" si="822">SUM(K312:K318)</f>
        <v>5000</v>
      </c>
      <c r="L319" s="68">
        <f t="shared" si="822"/>
        <v>0</v>
      </c>
      <c r="M319" s="53"/>
      <c r="N319" s="53"/>
      <c r="O319" s="51">
        <f t="shared" ref="O319:P319" si="823">SUM(O313:O318)</f>
        <v>0</v>
      </c>
      <c r="P319" s="51">
        <f t="shared" si="823"/>
        <v>0</v>
      </c>
      <c r="Q319" s="52"/>
      <c r="R319" s="53"/>
      <c r="S319" s="51">
        <f t="shared" ref="S319:T319" si="824">SUM(S313:S318)</f>
        <v>0</v>
      </c>
      <c r="T319" s="68">
        <f t="shared" si="824"/>
        <v>0</v>
      </c>
      <c r="U319" s="53"/>
      <c r="V319" s="53"/>
      <c r="W319" s="51">
        <f t="shared" ref="W319:X319" si="825">SUM(W313:W318)</f>
        <v>0</v>
      </c>
      <c r="X319" s="51">
        <f t="shared" si="825"/>
        <v>0</v>
      </c>
      <c r="Y319" s="52"/>
      <c r="Z319" s="53"/>
      <c r="AA319" s="51">
        <f t="shared" ref="AA319:AB319" si="826">SUM(AA313:AA318)</f>
        <v>350</v>
      </c>
      <c r="AB319" s="68">
        <f t="shared" si="826"/>
        <v>0</v>
      </c>
      <c r="AC319" s="53"/>
      <c r="AD319" s="53"/>
      <c r="AE319" s="51">
        <f t="shared" ref="AE319:AF319" si="827">SUM(AE313:AE318)</f>
        <v>5208.112</v>
      </c>
      <c r="AF319" s="51">
        <f t="shared" si="827"/>
        <v>0</v>
      </c>
      <c r="AG319" s="52"/>
      <c r="AH319" s="53"/>
      <c r="AI319" s="51">
        <f t="shared" ref="AI319:AJ319" si="828">SUM(AI313:AI318)</f>
        <v>0</v>
      </c>
      <c r="AJ319" s="68">
        <f t="shared" si="828"/>
        <v>0</v>
      </c>
      <c r="AK319" s="52"/>
      <c r="AL319" s="53"/>
      <c r="AM319" s="51">
        <f t="shared" ref="AM319:AN319" si="829">SUM(AM313:AM318)</f>
        <v>0</v>
      </c>
      <c r="AN319" s="68">
        <f t="shared" si="829"/>
        <v>5208.11</v>
      </c>
      <c r="AO319" s="52"/>
      <c r="AP319" s="53"/>
      <c r="AQ319" s="51">
        <f t="shared" ref="AQ319:AR319" si="830">SUM(AQ313:AQ318)</f>
        <v>0</v>
      </c>
      <c r="AR319" s="68">
        <f t="shared" si="830"/>
        <v>350</v>
      </c>
      <c r="AS319" s="53"/>
      <c r="AT319" s="53"/>
      <c r="AU319" s="51">
        <f t="shared" ref="AU319:AV319" si="831">SUM(AU313:AU318)</f>
        <v>0</v>
      </c>
      <c r="AV319" s="51">
        <f t="shared" si="831"/>
        <v>0</v>
      </c>
      <c r="AW319" s="52"/>
      <c r="AX319" s="53"/>
      <c r="AY319" s="51">
        <f t="shared" ref="AY319:AZ319" si="832">SUM(AY313:AY318)</f>
        <v>0</v>
      </c>
      <c r="AZ319" s="68">
        <f t="shared" si="832"/>
        <v>0</v>
      </c>
      <c r="BA319" s="53"/>
      <c r="BB319" s="53"/>
      <c r="BC319" s="51">
        <f t="shared" ref="BC319:BD319" si="833">SUM(BC313:BC318)</f>
        <v>0</v>
      </c>
      <c r="BD319" s="51">
        <f t="shared" si="833"/>
        <v>0</v>
      </c>
      <c r="BE319" s="69"/>
      <c r="BF319" s="70">
        <f t="shared" ref="BF319:BH319" si="834">SUM(BF312:BF318)</f>
        <v>10558.112</v>
      </c>
      <c r="BG319" s="71">
        <f t="shared" si="834"/>
        <v>10558.11</v>
      </c>
      <c r="BH319" s="72">
        <f t="shared" si="834"/>
        <v>0.002000000001</v>
      </c>
      <c r="BI319" s="34">
        <f>H319+BF319-BG319</f>
        <v>0.002</v>
      </c>
      <c r="BJ319" s="34">
        <f>BH319-BI319</f>
        <v>0</v>
      </c>
    </row>
    <row r="320" ht="15.75" customHeight="1" hidden="1" spans="1:60" x14ac:dyDescent="0.25">
      <c r="A320" s="29">
        <v>43</v>
      </c>
      <c r="B320" s="14"/>
      <c r="D320" s="14" t="s">
        <v>42</v>
      </c>
      <c r="F320" s="13"/>
      <c r="G320" s="28"/>
      <c r="I320" s="13"/>
      <c r="J320" s="15"/>
      <c r="K320" s="15"/>
      <c r="L320" s="28"/>
      <c r="Q320" s="13"/>
      <c r="R320" s="15"/>
      <c r="S320" s="15"/>
      <c r="T320" s="28"/>
      <c r="Y320" s="13"/>
      <c r="Z320" s="15"/>
      <c r="AA320" s="15"/>
      <c r="AB320" s="28"/>
      <c r="AG320" s="13"/>
      <c r="AH320" s="15"/>
      <c r="AI320" s="15"/>
      <c r="AJ320" s="28"/>
      <c r="AK320" s="13"/>
      <c r="AL320" s="15"/>
      <c r="AM320" s="15"/>
      <c r="AN320" s="28"/>
      <c r="AO320" s="13"/>
      <c r="AP320" s="15"/>
      <c r="AQ320" s="15"/>
      <c r="AR320" s="28"/>
      <c r="AW320" s="13"/>
      <c r="AX320" s="15"/>
      <c r="AY320" s="15"/>
      <c r="AZ320" s="28"/>
      <c r="BE320" s="14"/>
      <c r="BF320" s="13"/>
      <c r="BG320" s="15"/>
      <c r="BH320" s="28"/>
    </row>
    <row r="321" ht="15.75" customHeight="1" hidden="1" spans="1:60" x14ac:dyDescent="0.25">
      <c r="A321" s="2">
        <v>43</v>
      </c>
      <c r="B321" s="14">
        <v>4.96</v>
      </c>
      <c r="C321" s="2" t="s">
        <v>185</v>
      </c>
      <c r="D321" s="14" t="s">
        <v>44</v>
      </c>
      <c r="E321" s="2" t="s">
        <v>45</v>
      </c>
      <c r="F321" s="13">
        <v>2.49</v>
      </c>
      <c r="G321" s="28"/>
      <c r="H321" s="2">
        <v>87.15</v>
      </c>
      <c r="I321" s="13">
        <v>174</v>
      </c>
      <c r="J321" s="15">
        <v>0</v>
      </c>
      <c r="K321" s="34">
        <f>J321*$F$8</f>
        <v>0</v>
      </c>
      <c r="L321" s="28"/>
      <c r="M321" s="2">
        <v>174</v>
      </c>
      <c r="N321" s="15">
        <f>M321-I321</f>
        <v>0</v>
      </c>
      <c r="O321" s="34">
        <f>N321*$F$8</f>
        <v>0</v>
      </c>
      <c r="Q321" s="13">
        <v>174</v>
      </c>
      <c r="R321" s="15">
        <f>Q321-M321</f>
        <v>0</v>
      </c>
      <c r="S321" s="34">
        <f>R321*$F$8</f>
        <v>0</v>
      </c>
      <c r="T321" s="28"/>
      <c r="U321" s="2">
        <v>187</v>
      </c>
      <c r="V321" s="15">
        <f>U321-Q321</f>
        <v>13</v>
      </c>
      <c r="W321" s="34">
        <f>V321*$F$8</f>
        <v>32.37</v>
      </c>
      <c r="X321" s="2">
        <f>87.15+32.37</f>
        <v>119.52</v>
      </c>
      <c r="Y321" s="13">
        <v>301</v>
      </c>
      <c r="Z321" s="15">
        <f>Y321-U321</f>
        <v>114</v>
      </c>
      <c r="AA321" s="34">
        <f>Z321*$F$8</f>
        <v>283.86</v>
      </c>
      <c r="AB321" s="28">
        <v>283.86</v>
      </c>
      <c r="AC321" s="2">
        <v>319</v>
      </c>
      <c r="AD321" s="15">
        <f t="shared" ref="AD321:AD322" si="835">AC321-Y321</f>
        <v>18</v>
      </c>
      <c r="AE321" s="34">
        <f>AD321*$F$8</f>
        <v>44.82</v>
      </c>
      <c r="AG321" s="13">
        <v>335</v>
      </c>
      <c r="AH321" s="15">
        <f t="shared" ref="AH321:AH322" si="836">AG321-AC321</f>
        <v>16</v>
      </c>
      <c r="AI321" s="34">
        <f>AH321*$F$8</f>
        <v>39.84</v>
      </c>
      <c r="AJ321" s="28"/>
      <c r="AK321" s="13">
        <v>341</v>
      </c>
      <c r="AL321" s="15">
        <f t="shared" ref="AL321:AL322" si="837">AK321-AG321</f>
        <v>6</v>
      </c>
      <c r="AM321" s="34">
        <f>AL321*$F$8</f>
        <v>14.94</v>
      </c>
      <c r="AN321" s="32">
        <f>84.66+200</f>
        <v>284.66</v>
      </c>
      <c r="AO321" s="13">
        <v>347</v>
      </c>
      <c r="AP321" s="15">
        <f t="shared" ref="AP321:AP322" si="838">AO321-AK321</f>
        <v>6</v>
      </c>
      <c r="AQ321" s="34">
        <f>AP321*$F$8</f>
        <v>14.94</v>
      </c>
      <c r="AR321" s="28"/>
      <c r="AS321" s="15">
        <v>358</v>
      </c>
      <c r="AT321" s="15">
        <f>AS321-AO321</f>
        <v>11</v>
      </c>
      <c r="AU321" s="34">
        <f>AT321*$F$8</f>
        <v>27.39</v>
      </c>
      <c r="AV321" s="15"/>
      <c r="AW321" s="13">
        <v>358</v>
      </c>
      <c r="AX321" s="15">
        <f>AW321-AS321</f>
        <v>0</v>
      </c>
      <c r="AY321" s="34">
        <f>AX321*$F$8</f>
        <v>0</v>
      </c>
      <c r="AZ321" s="28"/>
      <c r="BA321" s="13">
        <v>358</v>
      </c>
      <c r="BB321" s="15">
        <f>BA321-AW321</f>
        <v>0</v>
      </c>
      <c r="BC321" s="34">
        <f>BB321*$F$8</f>
        <v>0</v>
      </c>
      <c r="BD321" s="15"/>
      <c r="BE321" s="40">
        <f t="shared" ref="BE321:BG321" si="839">J321+N321+R321+V321+Z321+AD321+AH321+AL321+AP321+AT321+AX321+BB321</f>
        <v>184</v>
      </c>
      <c r="BF321" s="41">
        <f t="shared" si="839"/>
        <v>458.16</v>
      </c>
      <c r="BG321" s="34">
        <f t="shared" si="839"/>
        <v>688.04</v>
      </c>
      <c r="BH321" s="35">
        <f t="shared" ref="BH321:BH326" si="840">H321+BF321-BG321</f>
        <v>-142.73</v>
      </c>
    </row>
    <row r="322" ht="15.75" customHeight="1" hidden="1" spans="1:60" x14ac:dyDescent="0.25">
      <c r="A322" s="29">
        <v>43</v>
      </c>
      <c r="B322" s="14"/>
      <c r="C322" s="2" t="s">
        <v>186</v>
      </c>
      <c r="D322" s="14" t="s">
        <v>47</v>
      </c>
      <c r="E322" s="2" t="s">
        <v>48</v>
      </c>
      <c r="F322" s="13">
        <v>17.16</v>
      </c>
      <c r="G322" s="28"/>
      <c r="H322" s="33">
        <v>18</v>
      </c>
      <c r="I322" s="13"/>
      <c r="J322" s="15"/>
      <c r="K322" s="15"/>
      <c r="L322" s="28"/>
      <c r="Q322" s="13"/>
      <c r="R322" s="15"/>
      <c r="S322" s="15"/>
      <c r="T322" s="28"/>
      <c r="Y322" s="13">
        <v>0</v>
      </c>
      <c r="Z322" s="15"/>
      <c r="AA322" s="15"/>
      <c r="AB322" s="28"/>
      <c r="AC322" s="2">
        <v>0</v>
      </c>
      <c r="AD322" s="15">
        <f t="shared" si="835"/>
        <v>0</v>
      </c>
      <c r="AE322" s="34">
        <f>AD322*$F$10</f>
        <v>0</v>
      </c>
      <c r="AG322" s="13">
        <v>0</v>
      </c>
      <c r="AH322" s="15">
        <f t="shared" si="836"/>
        <v>0</v>
      </c>
      <c r="AI322" s="45">
        <f>AH322*$G$10</f>
        <v>0</v>
      </c>
      <c r="AJ322" s="28"/>
      <c r="AK322" s="13">
        <v>37</v>
      </c>
      <c r="AL322" s="15">
        <f t="shared" si="837"/>
        <v>37</v>
      </c>
      <c r="AM322" s="45">
        <f>AL322*$G$10</f>
        <v>654.16</v>
      </c>
      <c r="AN322" s="32">
        <f>389.28+282.88</f>
        <v>672.16</v>
      </c>
      <c r="AO322" s="13">
        <v>37</v>
      </c>
      <c r="AP322" s="15">
        <f t="shared" si="838"/>
        <v>0</v>
      </c>
      <c r="AQ322" s="45">
        <f>AP322*$G$10</f>
        <v>0</v>
      </c>
      <c r="AR322" s="28"/>
      <c r="AS322" s="15"/>
      <c r="AT322" s="15"/>
      <c r="AU322" s="15"/>
      <c r="AV322" s="15"/>
      <c r="AW322" s="13"/>
      <c r="AX322" s="15"/>
      <c r="AY322" s="15"/>
      <c r="AZ322" s="28"/>
      <c r="BA322" s="15"/>
      <c r="BB322" s="15"/>
      <c r="BC322" s="15"/>
      <c r="BD322" s="15"/>
      <c r="BE322" s="40">
        <f t="shared" ref="BE322:BG322" si="841">J322+N322+R322+V322+Z322+AD322+AH322+AL322+AP322+AT322+AX322+BB322</f>
        <v>37</v>
      </c>
      <c r="BF322" s="41">
        <f t="shared" si="841"/>
        <v>654.16</v>
      </c>
      <c r="BG322" s="34">
        <f t="shared" si="841"/>
        <v>672.16</v>
      </c>
      <c r="BH322" s="35">
        <f t="shared" si="840"/>
        <v>0</v>
      </c>
    </row>
    <row r="323" ht="15.75" customHeight="1" hidden="1" spans="1:60" x14ac:dyDescent="0.25">
      <c r="A323" s="29">
        <v>43</v>
      </c>
      <c r="B323" s="14"/>
      <c r="C323" s="2" t="s">
        <v>187</v>
      </c>
      <c r="D323" s="14" t="s">
        <v>47</v>
      </c>
      <c r="E323" s="2" t="s">
        <v>49</v>
      </c>
      <c r="F323" s="41">
        <v>300</v>
      </c>
      <c r="G323" s="28"/>
      <c r="I323" s="13"/>
      <c r="J323" s="15"/>
      <c r="K323" s="15"/>
      <c r="L323" s="28"/>
      <c r="Q323" s="13"/>
      <c r="R323" s="15"/>
      <c r="S323" s="15"/>
      <c r="T323" s="28"/>
      <c r="Y323" s="13"/>
      <c r="Z323" s="15"/>
      <c r="AA323" s="15"/>
      <c r="AB323" s="28"/>
      <c r="AD323" s="15"/>
      <c r="AG323" s="13"/>
      <c r="AH323" s="15"/>
      <c r="AI323" s="15"/>
      <c r="AJ323" s="28"/>
      <c r="AK323" s="13"/>
      <c r="AL323" s="15"/>
      <c r="AM323" s="34"/>
      <c r="AN323" s="28"/>
      <c r="AO323" s="13"/>
      <c r="AP323" s="15"/>
      <c r="AQ323" s="34"/>
      <c r="AR323" s="28"/>
      <c r="AS323" s="15"/>
      <c r="AT323" s="15"/>
      <c r="AU323" s="15"/>
      <c r="AV323" s="15"/>
      <c r="AW323" s="13"/>
      <c r="AX323" s="15"/>
      <c r="AY323" s="15"/>
      <c r="AZ323" s="28"/>
      <c r="BA323" s="15"/>
      <c r="BB323" s="15"/>
      <c r="BC323" s="15"/>
      <c r="BD323" s="15"/>
      <c r="BE323" s="14"/>
      <c r="BF323" s="41">
        <f t="shared" ref="BF323:BG323" si="842">K323+O323+S323+W323+AA323+AE323+AI323+AM323+AQ323+AU323+AY323+BC323</f>
        <v>0</v>
      </c>
      <c r="BG323" s="34">
        <f t="shared" si="842"/>
        <v>0</v>
      </c>
      <c r="BH323" s="35">
        <f t="shared" si="840"/>
        <v>0</v>
      </c>
    </row>
    <row r="324" ht="15.75" customHeight="1" hidden="1" spans="1:60" x14ac:dyDescent="0.25">
      <c r="A324" s="29">
        <v>43</v>
      </c>
      <c r="B324" s="14"/>
      <c r="D324" s="14" t="s">
        <v>50</v>
      </c>
      <c r="E324" s="2" t="s">
        <v>49</v>
      </c>
      <c r="F324" s="41">
        <v>1062.88</v>
      </c>
      <c r="G324" s="28"/>
      <c r="M324" s="13"/>
      <c r="Q324" s="13"/>
      <c r="R324" s="15"/>
      <c r="S324" s="15"/>
      <c r="T324" s="28"/>
      <c r="Y324" s="13"/>
      <c r="Z324" s="15"/>
      <c r="AA324" s="15"/>
      <c r="AB324" s="28"/>
      <c r="AE324" s="34">
        <f>B321*$F$12</f>
        <v>5271.8848</v>
      </c>
      <c r="AF324" s="2">
        <v>1246.62</v>
      </c>
      <c r="AG324" s="13"/>
      <c r="AH324" s="15"/>
      <c r="AI324" s="15"/>
      <c r="AJ324" s="28"/>
      <c r="AK324" s="13"/>
      <c r="AL324" s="15"/>
      <c r="AM324" s="15"/>
      <c r="AN324" s="38">
        <f>3500.06+525.2</f>
        <v>4025.26</v>
      </c>
      <c r="AO324" s="13"/>
      <c r="AP324" s="15"/>
      <c r="AQ324" s="15"/>
      <c r="AR324" s="28"/>
      <c r="AS324" s="15"/>
      <c r="AT324" s="15"/>
      <c r="AU324" s="15"/>
      <c r="AV324" s="15"/>
      <c r="AW324" s="13"/>
      <c r="AX324" s="15"/>
      <c r="AY324" s="15"/>
      <c r="AZ324" s="28"/>
      <c r="BA324" s="15"/>
      <c r="BB324" s="15"/>
      <c r="BC324" s="15"/>
      <c r="BD324" s="15"/>
      <c r="BE324" s="14"/>
      <c r="BF324" s="41">
        <f>B321*$F$12</f>
        <v>5271.8848</v>
      </c>
      <c r="BG324" s="34">
        <f t="shared" ref="BG324:BG326" si="843">L324+P324+T324+X324+AB324+AF324+AJ324+AN324+AR324+AV324+AZ324+BD324</f>
        <v>5271.88</v>
      </c>
      <c r="BH324" s="35">
        <f t="shared" si="840"/>
        <v>0.004800000001</v>
      </c>
    </row>
    <row r="325" ht="15.75" customHeight="1" hidden="1" spans="1:60" x14ac:dyDescent="0.25">
      <c r="A325" s="29">
        <v>43</v>
      </c>
      <c r="B325" s="14"/>
      <c r="D325" s="14" t="s">
        <v>51</v>
      </c>
      <c r="E325" s="2" t="s">
        <v>49</v>
      </c>
      <c r="F325" s="41">
        <v>0</v>
      </c>
      <c r="G325" s="28"/>
      <c r="I325" s="13"/>
      <c r="J325" s="15"/>
      <c r="K325" s="15"/>
      <c r="L325" s="28"/>
      <c r="Q325" s="13"/>
      <c r="R325" s="15"/>
      <c r="S325" s="15"/>
      <c r="T325" s="28"/>
      <c r="Y325" s="13"/>
      <c r="Z325" s="15"/>
      <c r="AA325" s="15"/>
      <c r="AB325" s="28"/>
      <c r="AG325" s="13"/>
      <c r="AH325" s="15"/>
      <c r="AI325" s="15"/>
      <c r="AJ325" s="28"/>
      <c r="AK325" s="13"/>
      <c r="AL325" s="15"/>
      <c r="AM325" s="15"/>
      <c r="AN325" s="28"/>
      <c r="AO325" s="13"/>
      <c r="AP325" s="15"/>
      <c r="AQ325" s="15"/>
      <c r="AR325" s="28"/>
      <c r="AS325" s="15"/>
      <c r="AT325" s="15"/>
      <c r="AU325" s="15"/>
      <c r="AV325" s="15"/>
      <c r="AW325" s="13"/>
      <c r="AX325" s="15"/>
      <c r="AY325" s="15"/>
      <c r="AZ325" s="28"/>
      <c r="BA325" s="15"/>
      <c r="BB325" s="15"/>
      <c r="BC325" s="15"/>
      <c r="BD325" s="15"/>
      <c r="BE325" s="14"/>
      <c r="BF325" s="41">
        <f>B321*$F$13</f>
        <v>0</v>
      </c>
      <c r="BG325" s="34">
        <f t="shared" si="843"/>
        <v>0</v>
      </c>
      <c r="BH325" s="35">
        <f t="shared" si="840"/>
        <v>0</v>
      </c>
    </row>
    <row r="326" ht="15.75" customHeight="1" hidden="1" spans="1:60" x14ac:dyDescent="0.25">
      <c r="A326" s="29">
        <v>43</v>
      </c>
      <c r="B326" s="14"/>
      <c r="D326" s="14" t="s">
        <v>52</v>
      </c>
      <c r="E326" s="2" t="s">
        <v>39</v>
      </c>
      <c r="F326" s="41">
        <v>350</v>
      </c>
      <c r="G326" s="28"/>
      <c r="I326" s="13"/>
      <c r="J326" s="15"/>
      <c r="K326" s="15"/>
      <c r="L326" s="28"/>
      <c r="Q326" s="13"/>
      <c r="R326" s="15"/>
      <c r="S326" s="15"/>
      <c r="T326" s="28"/>
      <c r="Y326" s="13"/>
      <c r="Z326" s="15"/>
      <c r="AA326" s="34">
        <f>$F$14</f>
        <v>350</v>
      </c>
      <c r="AB326" s="35">
        <v>350</v>
      </c>
      <c r="AG326" s="13"/>
      <c r="AH326" s="15"/>
      <c r="AI326" s="15"/>
      <c r="AJ326" s="28"/>
      <c r="AK326" s="13"/>
      <c r="AL326" s="15"/>
      <c r="AM326" s="15"/>
      <c r="AN326" s="28"/>
      <c r="AO326" s="13"/>
      <c r="AP326" s="15"/>
      <c r="AQ326" s="15"/>
      <c r="AR326" s="28"/>
      <c r="AS326" s="15"/>
      <c r="AT326" s="15"/>
      <c r="AU326" s="15"/>
      <c r="AV326" s="15"/>
      <c r="AW326" s="13"/>
      <c r="AX326" s="15"/>
      <c r="AY326" s="15"/>
      <c r="AZ326" s="28"/>
      <c r="BA326" s="15"/>
      <c r="BB326" s="15"/>
      <c r="BC326" s="15"/>
      <c r="BD326" s="15"/>
      <c r="BE326" s="14"/>
      <c r="BF326" s="41">
        <f>$F$14</f>
        <v>350</v>
      </c>
      <c r="BG326" s="34">
        <f t="shared" si="843"/>
        <v>350</v>
      </c>
      <c r="BH326" s="35">
        <f t="shared" si="840"/>
        <v>0</v>
      </c>
    </row>
    <row r="327" ht="15.75" customHeight="1" hidden="1" spans="1:62" x14ac:dyDescent="0.25">
      <c r="A327" s="50">
        <v>43</v>
      </c>
      <c r="B327" s="21"/>
      <c r="C327" s="22" t="s">
        <v>53</v>
      </c>
      <c r="D327" s="21"/>
      <c r="E327" s="22"/>
      <c r="F327" s="20"/>
      <c r="G327" s="23"/>
      <c r="H327" s="51">
        <f>SUM(H320:H326)</f>
        <v>105.15</v>
      </c>
      <c r="I327" s="52"/>
      <c r="J327" s="53"/>
      <c r="K327" s="51">
        <f t="shared" ref="K327:L327" si="844">SUM(K320:K326)</f>
        <v>0</v>
      </c>
      <c r="L327" s="68">
        <f t="shared" si="844"/>
        <v>0</v>
      </c>
      <c r="M327" s="53"/>
      <c r="N327" s="53"/>
      <c r="O327" s="51">
        <f t="shared" ref="O327:P327" si="845">SUM(O321:O326)</f>
        <v>0</v>
      </c>
      <c r="P327" s="51">
        <f t="shared" si="845"/>
        <v>0</v>
      </c>
      <c r="Q327" s="52"/>
      <c r="R327" s="53"/>
      <c r="S327" s="51">
        <f t="shared" ref="S327:T327" si="846">SUM(S321:S326)</f>
        <v>0</v>
      </c>
      <c r="T327" s="68">
        <f t="shared" si="846"/>
        <v>0</v>
      </c>
      <c r="U327" s="53"/>
      <c r="V327" s="53"/>
      <c r="W327" s="51">
        <f t="shared" ref="W327:X327" si="847">SUM(W321:W326)</f>
        <v>32.37</v>
      </c>
      <c r="X327" s="51">
        <f t="shared" si="847"/>
        <v>119.52</v>
      </c>
      <c r="Y327" s="52"/>
      <c r="Z327" s="53"/>
      <c r="AA327" s="51">
        <f t="shared" ref="AA327:AB327" si="848">SUM(AA321:AA326)</f>
        <v>633.86</v>
      </c>
      <c r="AB327" s="68">
        <f t="shared" si="848"/>
        <v>633.86</v>
      </c>
      <c r="AC327" s="53"/>
      <c r="AD327" s="53"/>
      <c r="AE327" s="51">
        <f t="shared" ref="AE327:AF327" si="849">SUM(AE321:AE326)</f>
        <v>5316.7048</v>
      </c>
      <c r="AF327" s="51">
        <f t="shared" si="849"/>
        <v>1246.62</v>
      </c>
      <c r="AG327" s="52"/>
      <c r="AH327" s="53"/>
      <c r="AI327" s="51">
        <f t="shared" ref="AI327:AJ327" si="850">SUM(AI321:AI326)</f>
        <v>39.84</v>
      </c>
      <c r="AJ327" s="68">
        <f t="shared" si="850"/>
        <v>0</v>
      </c>
      <c r="AK327" s="52"/>
      <c r="AL327" s="53"/>
      <c r="AM327" s="51">
        <f t="shared" ref="AM327:AN327" si="851">SUM(AM321:AM326)</f>
        <v>669.1</v>
      </c>
      <c r="AN327" s="68">
        <f t="shared" si="851"/>
        <v>4982.08</v>
      </c>
      <c r="AO327" s="52"/>
      <c r="AP327" s="53"/>
      <c r="AQ327" s="51">
        <f t="shared" ref="AQ327:AR327" si="852">SUM(AQ321:AQ326)</f>
        <v>14.94</v>
      </c>
      <c r="AR327" s="68">
        <f t="shared" si="852"/>
        <v>0</v>
      </c>
      <c r="AS327" s="53"/>
      <c r="AT327" s="53"/>
      <c r="AU327" s="51">
        <f t="shared" ref="AU327:AV327" si="853">SUM(AU321:AU326)</f>
        <v>27.39</v>
      </c>
      <c r="AV327" s="51">
        <f t="shared" si="853"/>
        <v>0</v>
      </c>
      <c r="AW327" s="52"/>
      <c r="AX327" s="53"/>
      <c r="AY327" s="51">
        <f t="shared" ref="AY327:AZ327" si="854">SUM(AY321:AY326)</f>
        <v>0</v>
      </c>
      <c r="AZ327" s="68">
        <f t="shared" si="854"/>
        <v>0</v>
      </c>
      <c r="BA327" s="53"/>
      <c r="BB327" s="53"/>
      <c r="BC327" s="51">
        <f t="shared" ref="BC327:BD327" si="855">SUM(BC321:BC326)</f>
        <v>0</v>
      </c>
      <c r="BD327" s="51">
        <f t="shared" si="855"/>
        <v>0</v>
      </c>
      <c r="BE327" s="69"/>
      <c r="BF327" s="70">
        <f t="shared" ref="BF327:BH327" si="856">SUM(BF320:BF326)</f>
        <v>6734.2048</v>
      </c>
      <c r="BG327" s="71">
        <f t="shared" si="856"/>
        <v>6982.08</v>
      </c>
      <c r="BH327" s="72">
        <f t="shared" si="856"/>
        <v>-142.7252</v>
      </c>
      <c r="BI327" s="34">
        <f>H327+BF327-BG327</f>
        <v>-142.7252</v>
      </c>
      <c r="BJ327" s="34">
        <f>BH327-BI327</f>
        <v>0</v>
      </c>
    </row>
    <row r="328" ht="15.75" customHeight="1" hidden="1" spans="1:60" x14ac:dyDescent="0.25">
      <c r="A328" s="29">
        <v>44</v>
      </c>
      <c r="B328" s="14"/>
      <c r="D328" s="14" t="s">
        <v>42</v>
      </c>
      <c r="E328" s="2" t="s">
        <v>39</v>
      </c>
      <c r="F328" s="41">
        <v>5000</v>
      </c>
      <c r="G328" s="28"/>
      <c r="I328" s="13"/>
      <c r="J328" s="15"/>
      <c r="K328" s="34">
        <v>5000</v>
      </c>
      <c r="L328" s="28"/>
      <c r="Q328" s="13"/>
      <c r="R328" s="15"/>
      <c r="S328" s="15"/>
      <c r="T328" s="28"/>
      <c r="Y328" s="13"/>
      <c r="Z328" s="15"/>
      <c r="AA328" s="15"/>
      <c r="AB328" s="28"/>
      <c r="AG328" s="13"/>
      <c r="AH328" s="15"/>
      <c r="AI328" s="15"/>
      <c r="AJ328" s="28"/>
      <c r="AK328" s="13"/>
      <c r="AL328" s="15"/>
      <c r="AM328" s="15"/>
      <c r="AN328" s="28"/>
      <c r="AO328" s="13"/>
      <c r="AP328" s="15"/>
      <c r="AQ328" s="15"/>
      <c r="AR328" s="28"/>
      <c r="AW328" s="13"/>
      <c r="AX328" s="15"/>
      <c r="AY328" s="15"/>
      <c r="AZ328" s="28"/>
      <c r="BE328" s="14"/>
      <c r="BF328" s="41">
        <f t="shared" ref="BF328:BG328" si="857">K328+O328+S328+W328+AA328+AE328+AI328+AM328+AQ328+AU328+AY328+BC328</f>
        <v>5000</v>
      </c>
      <c r="BG328" s="34">
        <f t="shared" si="857"/>
        <v>0</v>
      </c>
      <c r="BH328" s="35">
        <f t="shared" ref="BH328:BH334" si="858">H328+BF328-BG328</f>
        <v>5000</v>
      </c>
    </row>
    <row r="329" ht="15.75" customHeight="1" hidden="1" spans="1:60" x14ac:dyDescent="0.25">
      <c r="A329" s="2">
        <v>44</v>
      </c>
      <c r="B329" s="14">
        <v>4.01</v>
      </c>
      <c r="C329" s="15" t="s">
        <v>188</v>
      </c>
      <c r="D329" s="14" t="s">
        <v>44</v>
      </c>
      <c r="E329" s="2" t="s">
        <v>45</v>
      </c>
      <c r="F329" s="13">
        <v>2.49</v>
      </c>
      <c r="G329" s="28"/>
      <c r="H329" s="74"/>
      <c r="I329" s="13"/>
      <c r="J329" s="15"/>
      <c r="K329" s="15"/>
      <c r="L329" s="28"/>
      <c r="Q329" s="13"/>
      <c r="R329" s="15"/>
      <c r="S329" s="15"/>
      <c r="T329" s="28"/>
      <c r="Y329" s="13"/>
      <c r="Z329" s="15">
        <f>Y329-U329</f>
        <v>0</v>
      </c>
      <c r="AA329" s="34">
        <f>Z329*$F$8</f>
        <v>0</v>
      </c>
      <c r="AB329" s="28"/>
      <c r="AC329" s="15"/>
      <c r="AD329" s="15">
        <f t="shared" ref="AD329:AD330" si="859">AC329-Y329</f>
        <v>0</v>
      </c>
      <c r="AE329" s="34">
        <f>AD329*$F$8</f>
        <v>0</v>
      </c>
      <c r="AG329" s="13"/>
      <c r="AH329" s="15">
        <f t="shared" ref="AH329:AH330" si="860">AG329-AC329</f>
        <v>0</v>
      </c>
      <c r="AI329" s="34">
        <f>AH329*$F$8</f>
        <v>0</v>
      </c>
      <c r="AJ329" s="28"/>
      <c r="AK329" s="13"/>
      <c r="AL329" s="15">
        <f t="shared" ref="AL329:AL330" si="861">AK329-AG329</f>
        <v>0</v>
      </c>
      <c r="AM329" s="34">
        <f>AL329*$F$8</f>
        <v>0</v>
      </c>
      <c r="AN329" s="28"/>
      <c r="AO329" s="13"/>
      <c r="AP329" s="15"/>
      <c r="AQ329" s="34">
        <f>AP329*$F$8</f>
        <v>0</v>
      </c>
      <c r="AR329" s="28"/>
      <c r="AS329" s="15"/>
      <c r="AT329" s="15"/>
      <c r="AU329" s="34">
        <f>AT329*$F$8</f>
        <v>0</v>
      </c>
      <c r="AV329" s="15"/>
      <c r="AW329" s="13"/>
      <c r="AX329" s="15"/>
      <c r="AY329" s="34">
        <f>AX329*$F$8</f>
        <v>0</v>
      </c>
      <c r="AZ329" s="28"/>
      <c r="BA329" s="15"/>
      <c r="BB329" s="15"/>
      <c r="BC329" s="34">
        <f>BB329*$F$8</f>
        <v>0</v>
      </c>
      <c r="BD329" s="15"/>
      <c r="BE329" s="40">
        <f t="shared" ref="BE329:BG329" si="862">J329+N329+R329+V329+Z329+AD329+AH329+AL329+AP329+AT329+AX329+BB329</f>
        <v>0</v>
      </c>
      <c r="BF329" s="41">
        <f t="shared" si="862"/>
        <v>0</v>
      </c>
      <c r="BG329" s="34">
        <f t="shared" si="862"/>
        <v>0</v>
      </c>
      <c r="BH329" s="35">
        <f t="shared" si="858"/>
        <v>0</v>
      </c>
    </row>
    <row r="330" ht="15.75" customHeight="1" hidden="1" spans="1:60" x14ac:dyDescent="0.25">
      <c r="A330" s="29">
        <v>44</v>
      </c>
      <c r="B330" s="14"/>
      <c r="C330" s="15" t="s">
        <v>75</v>
      </c>
      <c r="D330" s="14" t="s">
        <v>47</v>
      </c>
      <c r="E330" s="2" t="s">
        <v>48</v>
      </c>
      <c r="F330" s="13">
        <v>17.16</v>
      </c>
      <c r="G330" s="28"/>
      <c r="H330" s="73">
        <v>-17.16</v>
      </c>
      <c r="I330" s="13"/>
      <c r="J330" s="15"/>
      <c r="K330" s="15"/>
      <c r="L330" s="28"/>
      <c r="Q330" s="13"/>
      <c r="R330" s="15"/>
      <c r="S330" s="15"/>
      <c r="T330" s="28"/>
      <c r="Y330" s="13">
        <v>47</v>
      </c>
      <c r="Z330" s="15"/>
      <c r="AA330" s="15"/>
      <c r="AB330" s="28"/>
      <c r="AC330" s="2">
        <v>47</v>
      </c>
      <c r="AD330" s="15">
        <f t="shared" si="859"/>
        <v>0</v>
      </c>
      <c r="AE330" s="34">
        <f>AD330*$F$10</f>
        <v>0</v>
      </c>
      <c r="AG330" s="13">
        <v>47</v>
      </c>
      <c r="AH330" s="15">
        <f t="shared" si="860"/>
        <v>0</v>
      </c>
      <c r="AI330" s="45">
        <f>AH330*$G$10</f>
        <v>0</v>
      </c>
      <c r="AJ330" s="28"/>
      <c r="AK330" s="13">
        <v>47</v>
      </c>
      <c r="AL330" s="15">
        <f t="shared" si="861"/>
        <v>0</v>
      </c>
      <c r="AM330" s="45">
        <f>AL330*$G$10</f>
        <v>0</v>
      </c>
      <c r="AN330" s="28"/>
      <c r="AO330" s="13">
        <v>47</v>
      </c>
      <c r="AP330" s="15">
        <f>AO330-AK330</f>
        <v>0</v>
      </c>
      <c r="AQ330" s="45">
        <f>AP330*$G$10</f>
        <v>0</v>
      </c>
      <c r="AR330" s="28"/>
      <c r="AS330" s="15"/>
      <c r="AT330" s="15"/>
      <c r="AU330" s="15"/>
      <c r="AV330" s="15"/>
      <c r="AW330" s="13"/>
      <c r="AX330" s="15"/>
      <c r="AY330" s="15"/>
      <c r="AZ330" s="28"/>
      <c r="BA330" s="15"/>
      <c r="BB330" s="15"/>
      <c r="BC330" s="15"/>
      <c r="BD330" s="15"/>
      <c r="BE330" s="40">
        <f t="shared" ref="BE330:BG330" si="863">J330+N330+R330+V330+Z330+AD330+AH330+AL330+AP330+AT330+AX330+BB330</f>
        <v>0</v>
      </c>
      <c r="BF330" s="41">
        <f t="shared" si="863"/>
        <v>0</v>
      </c>
      <c r="BG330" s="34">
        <f t="shared" si="863"/>
        <v>0</v>
      </c>
      <c r="BH330" s="35">
        <f t="shared" si="858"/>
        <v>-17.16</v>
      </c>
    </row>
    <row r="331" ht="15.75" customHeight="1" hidden="1" spans="1:60" x14ac:dyDescent="0.25">
      <c r="A331" s="29">
        <v>44</v>
      </c>
      <c r="B331" s="14"/>
      <c r="C331" s="15" t="s">
        <v>80</v>
      </c>
      <c r="D331" s="14" t="s">
        <v>47</v>
      </c>
      <c r="E331" s="2" t="s">
        <v>49</v>
      </c>
      <c r="F331" s="41">
        <v>300</v>
      </c>
      <c r="G331" s="28"/>
      <c r="I331" s="13"/>
      <c r="J331" s="15"/>
      <c r="K331" s="15"/>
      <c r="L331" s="28"/>
      <c r="Q331" s="13"/>
      <c r="R331" s="15"/>
      <c r="S331" s="15"/>
      <c r="T331" s="28"/>
      <c r="Y331" s="13"/>
      <c r="Z331" s="15"/>
      <c r="AA331" s="15"/>
      <c r="AB331" s="28"/>
      <c r="AG331" s="13"/>
      <c r="AH331" s="15"/>
      <c r="AI331" s="15"/>
      <c r="AJ331" s="28"/>
      <c r="AK331" s="13"/>
      <c r="AL331" s="15"/>
      <c r="AM331" s="34"/>
      <c r="AN331" s="28"/>
      <c r="AO331" s="13"/>
      <c r="AP331" s="15"/>
      <c r="AQ331" s="34"/>
      <c r="AR331" s="28"/>
      <c r="AS331" s="15"/>
      <c r="AT331" s="15"/>
      <c r="AU331" s="15"/>
      <c r="AV331" s="15"/>
      <c r="AW331" s="13"/>
      <c r="AX331" s="15"/>
      <c r="AY331" s="15"/>
      <c r="AZ331" s="28"/>
      <c r="BA331" s="15"/>
      <c r="BB331" s="15"/>
      <c r="BC331" s="15"/>
      <c r="BD331" s="15"/>
      <c r="BE331" s="14"/>
      <c r="BF331" s="41">
        <f t="shared" ref="BF331:BG331" si="864">K331+O331+S331+W331+AA331+AE331+AI331+AM331+AQ331+AU331+AY331+BC331</f>
        <v>0</v>
      </c>
      <c r="BG331" s="34">
        <f t="shared" si="864"/>
        <v>0</v>
      </c>
      <c r="BH331" s="35">
        <f t="shared" si="858"/>
        <v>0</v>
      </c>
    </row>
    <row r="332" ht="15.75" customHeight="1" hidden="1" spans="1:60" x14ac:dyDescent="0.25">
      <c r="A332" s="29">
        <v>44</v>
      </c>
      <c r="B332" s="14"/>
      <c r="D332" s="14" t="s">
        <v>50</v>
      </c>
      <c r="E332" s="2" t="s">
        <v>49</v>
      </c>
      <c r="F332" s="41">
        <v>1062.88</v>
      </c>
      <c r="G332" s="28"/>
      <c r="I332" s="13"/>
      <c r="J332" s="15"/>
      <c r="K332" s="15"/>
      <c r="L332" s="28"/>
      <c r="Q332" s="13"/>
      <c r="R332" s="15"/>
      <c r="S332" s="15"/>
      <c r="T332" s="28"/>
      <c r="Y332" s="13"/>
      <c r="Z332" s="15"/>
      <c r="AA332" s="15"/>
      <c r="AB332" s="28"/>
      <c r="AE332" s="34">
        <f>B329*$F$12</f>
        <v>4262.1488</v>
      </c>
      <c r="AG332" s="13"/>
      <c r="AH332" s="15"/>
      <c r="AI332" s="15"/>
      <c r="AJ332" s="28"/>
      <c r="AK332" s="13"/>
      <c r="AL332" s="15"/>
      <c r="AM332" s="15"/>
      <c r="AN332" s="28"/>
      <c r="AO332" s="13"/>
      <c r="AP332" s="15"/>
      <c r="AQ332" s="15"/>
      <c r="AR332" s="28"/>
      <c r="AS332" s="15"/>
      <c r="AT332" s="15"/>
      <c r="AU332" s="15"/>
      <c r="AV332" s="15"/>
      <c r="AW332" s="13"/>
      <c r="AX332" s="15"/>
      <c r="AY332" s="15"/>
      <c r="AZ332" s="28"/>
      <c r="BA332" s="15"/>
      <c r="BB332" s="15"/>
      <c r="BC332" s="15"/>
      <c r="BD332" s="15"/>
      <c r="BE332" s="14"/>
      <c r="BF332" s="41">
        <f>B329*$F$12</f>
        <v>4262.1488</v>
      </c>
      <c r="BG332" s="34">
        <f t="shared" ref="BG332:BG334" si="865">L332+P332+T332+X332+AB332+AF332+AJ332+AN332+AR332+AV332+AZ332+BD332</f>
        <v>0</v>
      </c>
      <c r="BH332" s="35">
        <f t="shared" si="858"/>
        <v>4262.1488</v>
      </c>
    </row>
    <row r="333" ht="15.75" customHeight="1" hidden="1" spans="1:60" x14ac:dyDescent="0.25">
      <c r="A333" s="29">
        <v>44</v>
      </c>
      <c r="B333" s="14"/>
      <c r="D333" s="14" t="s">
        <v>51</v>
      </c>
      <c r="E333" s="2" t="s">
        <v>49</v>
      </c>
      <c r="F333" s="41">
        <v>0</v>
      </c>
      <c r="G333" s="28"/>
      <c r="I333" s="13"/>
      <c r="J333" s="15"/>
      <c r="K333" s="15"/>
      <c r="L333" s="28"/>
      <c r="Q333" s="13"/>
      <c r="R333" s="15"/>
      <c r="S333" s="15"/>
      <c r="T333" s="28"/>
      <c r="Y333" s="13"/>
      <c r="Z333" s="15"/>
      <c r="AA333" s="15"/>
      <c r="AB333" s="28"/>
      <c r="AG333" s="13"/>
      <c r="AH333" s="15"/>
      <c r="AI333" s="15"/>
      <c r="AJ333" s="28"/>
      <c r="AK333" s="13"/>
      <c r="AL333" s="15"/>
      <c r="AM333" s="15"/>
      <c r="AN333" s="28"/>
      <c r="AO333" s="13"/>
      <c r="AP333" s="15"/>
      <c r="AQ333" s="15"/>
      <c r="AR333" s="28"/>
      <c r="AS333" s="15"/>
      <c r="AT333" s="15"/>
      <c r="AU333" s="15"/>
      <c r="AV333" s="15"/>
      <c r="AW333" s="13"/>
      <c r="AX333" s="15"/>
      <c r="AY333" s="15"/>
      <c r="AZ333" s="28"/>
      <c r="BA333" s="15"/>
      <c r="BB333" s="15"/>
      <c r="BC333" s="15"/>
      <c r="BD333" s="15"/>
      <c r="BE333" s="14"/>
      <c r="BF333" s="41">
        <f>B329*$F$13</f>
        <v>0</v>
      </c>
      <c r="BG333" s="34">
        <f t="shared" si="865"/>
        <v>0</v>
      </c>
      <c r="BH333" s="35">
        <f t="shared" si="858"/>
        <v>0</v>
      </c>
    </row>
    <row r="334" ht="15.75" customHeight="1" hidden="1" spans="1:60" x14ac:dyDescent="0.25">
      <c r="A334" s="29">
        <v>44</v>
      </c>
      <c r="B334" s="14"/>
      <c r="D334" s="14" t="s">
        <v>52</v>
      </c>
      <c r="E334" s="2" t="s">
        <v>39</v>
      </c>
      <c r="F334" s="41">
        <v>350</v>
      </c>
      <c r="G334" s="28"/>
      <c r="I334" s="13"/>
      <c r="J334" s="15"/>
      <c r="K334" s="15"/>
      <c r="L334" s="28"/>
      <c r="Q334" s="13"/>
      <c r="R334" s="15"/>
      <c r="S334" s="15"/>
      <c r="T334" s="28"/>
      <c r="Y334" s="13"/>
      <c r="Z334" s="15"/>
      <c r="AA334" s="34">
        <f>$F$14</f>
        <v>350</v>
      </c>
      <c r="AB334" s="28"/>
      <c r="AG334" s="13"/>
      <c r="AH334" s="15"/>
      <c r="AI334" s="15"/>
      <c r="AJ334" s="28"/>
      <c r="AK334" s="13"/>
      <c r="AL334" s="15"/>
      <c r="AM334" s="15"/>
      <c r="AN334" s="28"/>
      <c r="AO334" s="13"/>
      <c r="AP334" s="15"/>
      <c r="AQ334" s="15"/>
      <c r="AR334" s="28"/>
      <c r="AS334" s="15"/>
      <c r="AT334" s="15"/>
      <c r="AU334" s="15"/>
      <c r="AV334" s="15"/>
      <c r="AW334" s="13"/>
      <c r="AX334" s="15"/>
      <c r="AY334" s="15"/>
      <c r="AZ334" s="28"/>
      <c r="BA334" s="15"/>
      <c r="BB334" s="15"/>
      <c r="BC334" s="15"/>
      <c r="BD334" s="15"/>
      <c r="BE334" s="14"/>
      <c r="BF334" s="41">
        <f>$F$14</f>
        <v>350</v>
      </c>
      <c r="BG334" s="34">
        <f t="shared" si="865"/>
        <v>0</v>
      </c>
      <c r="BH334" s="35">
        <f t="shared" si="858"/>
        <v>350</v>
      </c>
    </row>
    <row r="335" ht="15.75" customHeight="1" hidden="1" spans="1:62" x14ac:dyDescent="0.25">
      <c r="A335" s="50">
        <v>44</v>
      </c>
      <c r="B335" s="21"/>
      <c r="C335" s="22" t="s">
        <v>53</v>
      </c>
      <c r="D335" s="21"/>
      <c r="E335" s="22"/>
      <c r="F335" s="20"/>
      <c r="G335" s="23"/>
      <c r="H335" s="51">
        <f>SUM(H328:H334)</f>
        <v>-17.16</v>
      </c>
      <c r="I335" s="52"/>
      <c r="J335" s="53"/>
      <c r="K335" s="51">
        <f t="shared" ref="K335:L335" si="866">SUM(K328:K334)</f>
        <v>5000</v>
      </c>
      <c r="L335" s="68">
        <f t="shared" si="866"/>
        <v>0</v>
      </c>
      <c r="M335" s="53"/>
      <c r="N335" s="53"/>
      <c r="O335" s="51">
        <f t="shared" ref="O335:P335" si="867">SUM(O329:O334)</f>
        <v>0</v>
      </c>
      <c r="P335" s="51">
        <f t="shared" si="867"/>
        <v>0</v>
      </c>
      <c r="Q335" s="52"/>
      <c r="R335" s="53"/>
      <c r="S335" s="51">
        <f t="shared" ref="S335:T335" si="868">SUM(S329:S334)</f>
        <v>0</v>
      </c>
      <c r="T335" s="68">
        <f t="shared" si="868"/>
        <v>0</v>
      </c>
      <c r="U335" s="53"/>
      <c r="V335" s="53"/>
      <c r="W335" s="51">
        <f t="shared" ref="W335:X335" si="869">SUM(W329:W334)</f>
        <v>0</v>
      </c>
      <c r="X335" s="51">
        <f t="shared" si="869"/>
        <v>0</v>
      </c>
      <c r="Y335" s="52"/>
      <c r="Z335" s="53"/>
      <c r="AA335" s="51">
        <f t="shared" ref="AA335:AB335" si="870">SUM(AA329:AA334)</f>
        <v>350</v>
      </c>
      <c r="AB335" s="68">
        <f t="shared" si="870"/>
        <v>0</v>
      </c>
      <c r="AC335" s="53"/>
      <c r="AD335" s="53"/>
      <c r="AE335" s="51">
        <f t="shared" ref="AE335:AF335" si="871">SUM(AE329:AE334)</f>
        <v>4262.1488</v>
      </c>
      <c r="AF335" s="51">
        <f t="shared" si="871"/>
        <v>0</v>
      </c>
      <c r="AG335" s="52"/>
      <c r="AH335" s="53"/>
      <c r="AI335" s="51">
        <f t="shared" ref="AI335:AJ335" si="872">SUM(AI329:AI334)</f>
        <v>0</v>
      </c>
      <c r="AJ335" s="68">
        <f t="shared" si="872"/>
        <v>0</v>
      </c>
      <c r="AK335" s="52"/>
      <c r="AL335" s="53"/>
      <c r="AM335" s="51">
        <f t="shared" ref="AM335:AN335" si="873">SUM(AM329:AM334)</f>
        <v>0</v>
      </c>
      <c r="AN335" s="68">
        <f t="shared" si="873"/>
        <v>0</v>
      </c>
      <c r="AO335" s="52"/>
      <c r="AP335" s="53"/>
      <c r="AQ335" s="51">
        <f t="shared" ref="AQ335:AR335" si="874">SUM(AQ329:AQ334)</f>
        <v>0</v>
      </c>
      <c r="AR335" s="68">
        <f t="shared" si="874"/>
        <v>0</v>
      </c>
      <c r="AS335" s="53"/>
      <c r="AT335" s="53"/>
      <c r="AU335" s="51">
        <f t="shared" ref="AU335:AV335" si="875">SUM(AU329:AU334)</f>
        <v>0</v>
      </c>
      <c r="AV335" s="51">
        <f t="shared" si="875"/>
        <v>0</v>
      </c>
      <c r="AW335" s="52"/>
      <c r="AX335" s="53"/>
      <c r="AY335" s="51">
        <f t="shared" ref="AY335:AZ335" si="876">SUM(AY329:AY334)</f>
        <v>0</v>
      </c>
      <c r="AZ335" s="68">
        <f t="shared" si="876"/>
        <v>0</v>
      </c>
      <c r="BA335" s="53"/>
      <c r="BB335" s="53"/>
      <c r="BC335" s="51">
        <f t="shared" ref="BC335:BD335" si="877">SUM(BC329:BC334)</f>
        <v>0</v>
      </c>
      <c r="BD335" s="51">
        <f t="shared" si="877"/>
        <v>0</v>
      </c>
      <c r="BE335" s="69"/>
      <c r="BF335" s="70">
        <f t="shared" ref="BF335:BH335" si="878">SUM(BF328:BF334)</f>
        <v>9612.1488</v>
      </c>
      <c r="BG335" s="71">
        <f t="shared" si="878"/>
        <v>0</v>
      </c>
      <c r="BH335" s="72">
        <f t="shared" si="878"/>
        <v>9594.9888</v>
      </c>
      <c r="BI335" s="34">
        <f>H335+BF335-BG335</f>
        <v>9594.9888</v>
      </c>
      <c r="BJ335" s="34">
        <f>BH335-BI335</f>
        <v>0</v>
      </c>
    </row>
    <row r="336" ht="15.75" customHeight="1" hidden="1" spans="1:60" x14ac:dyDescent="0.25">
      <c r="A336" s="29">
        <v>45</v>
      </c>
      <c r="B336" s="14"/>
      <c r="D336" s="14" t="s">
        <v>42</v>
      </c>
      <c r="F336" s="13"/>
      <c r="G336" s="28"/>
      <c r="I336" s="13"/>
      <c r="J336" s="15"/>
      <c r="K336" s="15"/>
      <c r="L336" s="28"/>
      <c r="Q336" s="13"/>
      <c r="R336" s="15"/>
      <c r="S336" s="15"/>
      <c r="T336" s="28"/>
      <c r="Y336" s="13"/>
      <c r="Z336" s="15"/>
      <c r="AA336" s="15"/>
      <c r="AB336" s="28"/>
      <c r="AG336" s="13"/>
      <c r="AH336" s="15"/>
      <c r="AI336" s="15"/>
      <c r="AJ336" s="28"/>
      <c r="AK336" s="13"/>
      <c r="AL336" s="15"/>
      <c r="AM336" s="15"/>
      <c r="AN336" s="28"/>
      <c r="AO336" s="13"/>
      <c r="AP336" s="15"/>
      <c r="AQ336" s="15"/>
      <c r="AR336" s="28"/>
      <c r="AW336" s="13"/>
      <c r="AX336" s="15"/>
      <c r="AY336" s="15"/>
      <c r="AZ336" s="28"/>
      <c r="BE336" s="14"/>
      <c r="BF336" s="13"/>
      <c r="BG336" s="15"/>
      <c r="BH336" s="28"/>
    </row>
    <row r="337" ht="15.75" customHeight="1" hidden="1" spans="1:60" x14ac:dyDescent="0.25">
      <c r="A337" s="2">
        <v>45</v>
      </c>
      <c r="B337" s="14">
        <v>5.04</v>
      </c>
      <c r="C337" s="2" t="s">
        <v>189</v>
      </c>
      <c r="D337" s="14" t="s">
        <v>44</v>
      </c>
      <c r="E337" s="2" t="s">
        <v>45</v>
      </c>
      <c r="F337" s="13">
        <v>2.49</v>
      </c>
      <c r="G337" s="28"/>
      <c r="I337" s="13">
        <v>12</v>
      </c>
      <c r="J337" s="15">
        <v>0</v>
      </c>
      <c r="K337" s="34">
        <f>J337*$F$8</f>
        <v>0</v>
      </c>
      <c r="L337" s="28"/>
      <c r="M337" s="2">
        <v>12</v>
      </c>
      <c r="N337" s="15">
        <f>M337-I337</f>
        <v>0</v>
      </c>
      <c r="O337" s="34">
        <f>N337*$F$8</f>
        <v>0</v>
      </c>
      <c r="Q337" s="13">
        <v>12</v>
      </c>
      <c r="R337" s="15">
        <f>Q337-M337</f>
        <v>0</v>
      </c>
      <c r="S337" s="34">
        <f>R337*$F$8</f>
        <v>0</v>
      </c>
      <c r="T337" s="28"/>
      <c r="U337" s="2">
        <v>12</v>
      </c>
      <c r="V337" s="15">
        <f>U337-Q337</f>
        <v>0</v>
      </c>
      <c r="W337" s="34">
        <f>V337*$F$8</f>
        <v>0</v>
      </c>
      <c r="Y337" s="13">
        <v>12</v>
      </c>
      <c r="Z337" s="15">
        <f>Y337-U337</f>
        <v>0</v>
      </c>
      <c r="AA337" s="34">
        <f>Z337*$F$8</f>
        <v>0</v>
      </c>
      <c r="AB337" s="28"/>
      <c r="AC337" s="2">
        <v>12</v>
      </c>
      <c r="AD337" s="15">
        <f t="shared" ref="AD337:AD338" si="879">AC337-Y337</f>
        <v>0</v>
      </c>
      <c r="AE337" s="34">
        <f>AD337*$F$8</f>
        <v>0</v>
      </c>
      <c r="AG337" s="13">
        <v>12</v>
      </c>
      <c r="AH337" s="15">
        <f t="shared" ref="AH337:AH338" si="880">AG337-AC337</f>
        <v>0</v>
      </c>
      <c r="AI337" s="34">
        <f>AH337*$F$8</f>
        <v>0</v>
      </c>
      <c r="AJ337" s="28"/>
      <c r="AK337" s="13">
        <v>12</v>
      </c>
      <c r="AL337" s="15">
        <f t="shared" ref="AL337:AL338" si="881">AK337-AG337</f>
        <v>0</v>
      </c>
      <c r="AM337" s="34">
        <f>AL337*$F$8</f>
        <v>0</v>
      </c>
      <c r="AN337" s="28"/>
      <c r="AO337" s="13">
        <v>12</v>
      </c>
      <c r="AP337" s="15">
        <f t="shared" ref="AP337:AP338" si="882">AO337-AK337</f>
        <v>0</v>
      </c>
      <c r="AQ337" s="34">
        <f>AP337*$F$8</f>
        <v>0</v>
      </c>
      <c r="AR337" s="28"/>
      <c r="AS337" s="15">
        <v>12</v>
      </c>
      <c r="AT337" s="15">
        <f>AS337-AO337</f>
        <v>0</v>
      </c>
      <c r="AU337" s="34">
        <f>AT337*$F$8</f>
        <v>0</v>
      </c>
      <c r="AV337" s="15"/>
      <c r="AW337" s="13">
        <v>12</v>
      </c>
      <c r="AX337" s="15">
        <f>AW337-AS337</f>
        <v>0</v>
      </c>
      <c r="AY337" s="34">
        <f>AX337*$F$8</f>
        <v>0</v>
      </c>
      <c r="AZ337" s="28"/>
      <c r="BA337" s="13">
        <v>12</v>
      </c>
      <c r="BB337" s="15">
        <f>BA337-AW337</f>
        <v>0</v>
      </c>
      <c r="BC337" s="34">
        <f>BB337*$F$8</f>
        <v>0</v>
      </c>
      <c r="BD337" s="15"/>
      <c r="BE337" s="40">
        <f t="shared" ref="BE337:BG337" si="883">J337+N337+R337+V337+Z337+AD337+AH337+AL337+AP337+AT337+AX337+BB337</f>
        <v>0</v>
      </c>
      <c r="BF337" s="41">
        <f t="shared" si="883"/>
        <v>0</v>
      </c>
      <c r="BG337" s="34">
        <f t="shared" si="883"/>
        <v>0</v>
      </c>
      <c r="BH337" s="35">
        <f t="shared" ref="BH337:BH342" si="884">H337+BF337-BG337</f>
        <v>0</v>
      </c>
    </row>
    <row r="338" ht="15.75" customHeight="1" hidden="1" spans="1:60" x14ac:dyDescent="0.25">
      <c r="A338" s="29">
        <v>45</v>
      </c>
      <c r="B338" s="14"/>
      <c r="C338" s="2" t="s">
        <v>114</v>
      </c>
      <c r="D338" s="14" t="s">
        <v>47</v>
      </c>
      <c r="E338" s="2" t="s">
        <v>48</v>
      </c>
      <c r="F338" s="13">
        <v>17.16</v>
      </c>
      <c r="G338" s="28"/>
      <c r="H338" s="2">
        <v>-17.16</v>
      </c>
      <c r="I338" s="13"/>
      <c r="J338" s="15"/>
      <c r="K338" s="15"/>
      <c r="L338" s="28"/>
      <c r="Q338" s="13"/>
      <c r="R338" s="15"/>
      <c r="S338" s="15"/>
      <c r="T338" s="28"/>
      <c r="Y338" s="75">
        <v>0</v>
      </c>
      <c r="Z338" s="15"/>
      <c r="AA338" s="15"/>
      <c r="AB338" s="28"/>
      <c r="AC338" s="2">
        <v>3</v>
      </c>
      <c r="AD338" s="15">
        <f t="shared" si="879"/>
        <v>3</v>
      </c>
      <c r="AE338" s="34">
        <f>AD338*$F$10</f>
        <v>51.48</v>
      </c>
      <c r="AF338" s="2">
        <v>51.48</v>
      </c>
      <c r="AG338" s="13">
        <v>3</v>
      </c>
      <c r="AH338" s="15">
        <f t="shared" si="880"/>
        <v>0</v>
      </c>
      <c r="AI338" s="45">
        <f>AH338*$G$10</f>
        <v>0</v>
      </c>
      <c r="AJ338" s="28"/>
      <c r="AK338" s="13">
        <v>3</v>
      </c>
      <c r="AL338" s="15">
        <f t="shared" si="881"/>
        <v>0</v>
      </c>
      <c r="AM338" s="45">
        <f>AL338*$G$10</f>
        <v>0</v>
      </c>
      <c r="AN338" s="28"/>
      <c r="AO338" s="13">
        <v>3</v>
      </c>
      <c r="AP338" s="15">
        <f t="shared" si="882"/>
        <v>0</v>
      </c>
      <c r="AQ338" s="45">
        <f>AP338*$G$10</f>
        <v>0</v>
      </c>
      <c r="AR338" s="28"/>
      <c r="AS338" s="15"/>
      <c r="AT338" s="15"/>
      <c r="AU338" s="15"/>
      <c r="AV338" s="15"/>
      <c r="AW338" s="13"/>
      <c r="AX338" s="15"/>
      <c r="AY338" s="15"/>
      <c r="AZ338" s="28"/>
      <c r="BA338" s="15"/>
      <c r="BB338" s="15"/>
      <c r="BC338" s="15"/>
      <c r="BD338" s="15"/>
      <c r="BE338" s="40">
        <f t="shared" ref="BE338:BG338" si="885">J338+N338+R338+V338+Z338+AD338+AH338+AL338+AP338+AT338+AX338+BB338</f>
        <v>3</v>
      </c>
      <c r="BF338" s="41">
        <f t="shared" si="885"/>
        <v>51.48</v>
      </c>
      <c r="BG338" s="34">
        <f t="shared" si="885"/>
        <v>51.48</v>
      </c>
      <c r="BH338" s="35">
        <f t="shared" si="884"/>
        <v>-17.16</v>
      </c>
    </row>
    <row r="339" ht="15.75" customHeight="1" hidden="1" spans="1:60" x14ac:dyDescent="0.25">
      <c r="A339" s="29">
        <v>45</v>
      </c>
      <c r="B339" s="14"/>
      <c r="C339" s="2" t="s">
        <v>115</v>
      </c>
      <c r="D339" s="14" t="s">
        <v>47</v>
      </c>
      <c r="E339" s="2" t="s">
        <v>49</v>
      </c>
      <c r="F339" s="41">
        <v>300</v>
      </c>
      <c r="G339" s="28"/>
      <c r="I339" s="13"/>
      <c r="J339" s="15"/>
      <c r="K339" s="15"/>
      <c r="L339" s="28"/>
      <c r="Q339" s="13"/>
      <c r="R339" s="15"/>
      <c r="S339" s="15"/>
      <c r="T339" s="28"/>
      <c r="Y339" s="13"/>
      <c r="Z339" s="15"/>
      <c r="AA339" s="15"/>
      <c r="AB339" s="28"/>
      <c r="AG339" s="13"/>
      <c r="AH339" s="15"/>
      <c r="AI339" s="15"/>
      <c r="AJ339" s="28"/>
      <c r="AK339" s="13"/>
      <c r="AL339" s="15"/>
      <c r="AM339" s="34"/>
      <c r="AN339" s="28"/>
      <c r="AO339" s="13"/>
      <c r="AP339" s="15"/>
      <c r="AQ339" s="34"/>
      <c r="AR339" s="28"/>
      <c r="AS339" s="15"/>
      <c r="AT339" s="15"/>
      <c r="AU339" s="15"/>
      <c r="AV339" s="15"/>
      <c r="AW339" s="13"/>
      <c r="AX339" s="15"/>
      <c r="AY339" s="15"/>
      <c r="AZ339" s="28"/>
      <c r="BA339" s="15"/>
      <c r="BB339" s="15"/>
      <c r="BC339" s="15"/>
      <c r="BD339" s="15"/>
      <c r="BE339" s="14"/>
      <c r="BF339" s="41">
        <f t="shared" ref="BF339:BG339" si="886">K339+O339+S339+W339+AA339+AE339+AI339+AM339+AQ339+AU339+AY339+BC339</f>
        <v>0</v>
      </c>
      <c r="BG339" s="34">
        <f t="shared" si="886"/>
        <v>0</v>
      </c>
      <c r="BH339" s="35">
        <f t="shared" si="884"/>
        <v>0</v>
      </c>
    </row>
    <row r="340" ht="15.75" customHeight="1" hidden="1" spans="1:60" x14ac:dyDescent="0.25">
      <c r="A340" s="29">
        <v>45</v>
      </c>
      <c r="B340" s="14"/>
      <c r="D340" s="14" t="s">
        <v>50</v>
      </c>
      <c r="E340" s="2" t="s">
        <v>49</v>
      </c>
      <c r="F340" s="41">
        <v>1062.88</v>
      </c>
      <c r="G340" s="28"/>
      <c r="I340" s="13"/>
      <c r="J340" s="15"/>
      <c r="K340" s="15"/>
      <c r="L340" s="28"/>
      <c r="Q340" s="13"/>
      <c r="R340" s="15"/>
      <c r="S340" s="15"/>
      <c r="T340" s="28"/>
      <c r="Y340" s="13"/>
      <c r="Z340" s="15"/>
      <c r="AA340" s="15"/>
      <c r="AB340" s="28"/>
      <c r="AE340" s="34">
        <f>B337*$F$12</f>
        <v>5356.9152</v>
      </c>
      <c r="AF340" s="2">
        <v>5356.91</v>
      </c>
      <c r="AG340" s="13"/>
      <c r="AH340" s="15"/>
      <c r="AI340" s="15"/>
      <c r="AJ340" s="28"/>
      <c r="AK340" s="13"/>
      <c r="AL340" s="15"/>
      <c r="AM340" s="15"/>
      <c r="AN340" s="28"/>
      <c r="AO340" s="13"/>
      <c r="AP340" s="15"/>
      <c r="AQ340" s="15"/>
      <c r="AR340" s="28"/>
      <c r="AS340" s="15"/>
      <c r="AT340" s="15"/>
      <c r="AU340" s="15"/>
      <c r="AV340" s="15"/>
      <c r="AW340" s="13"/>
      <c r="AX340" s="15"/>
      <c r="AY340" s="15"/>
      <c r="AZ340" s="28"/>
      <c r="BA340" s="15"/>
      <c r="BB340" s="15"/>
      <c r="BC340" s="15"/>
      <c r="BD340" s="15"/>
      <c r="BE340" s="14"/>
      <c r="BF340" s="41">
        <f>B337*$F$12</f>
        <v>5356.9152</v>
      </c>
      <c r="BG340" s="34">
        <f t="shared" ref="BG340:BG342" si="887">L340+P340+T340+X340+AB340+AF340+AJ340+AN340+AR340+AV340+AZ340+BD340</f>
        <v>5356.91</v>
      </c>
      <c r="BH340" s="35">
        <f t="shared" si="884"/>
        <v>0.005200000001</v>
      </c>
    </row>
    <row r="341" ht="15.75" customHeight="1" hidden="1" spans="1:60" x14ac:dyDescent="0.25">
      <c r="A341" s="29">
        <v>45</v>
      </c>
      <c r="B341" s="14"/>
      <c r="D341" s="14" t="s">
        <v>51</v>
      </c>
      <c r="E341" s="2" t="s">
        <v>49</v>
      </c>
      <c r="F341" s="41">
        <v>0</v>
      </c>
      <c r="G341" s="28"/>
      <c r="I341" s="13"/>
      <c r="J341" s="15"/>
      <c r="K341" s="15"/>
      <c r="L341" s="28"/>
      <c r="Q341" s="13"/>
      <c r="R341" s="15"/>
      <c r="S341" s="15"/>
      <c r="T341" s="28"/>
      <c r="Y341" s="13"/>
      <c r="Z341" s="15"/>
      <c r="AA341" s="15"/>
      <c r="AB341" s="28"/>
      <c r="AG341" s="13"/>
      <c r="AH341" s="15"/>
      <c r="AI341" s="15"/>
      <c r="AJ341" s="28"/>
      <c r="AK341" s="13"/>
      <c r="AL341" s="15"/>
      <c r="AM341" s="15"/>
      <c r="AN341" s="28"/>
      <c r="AO341" s="13"/>
      <c r="AP341" s="15"/>
      <c r="AQ341" s="15"/>
      <c r="AR341" s="28"/>
      <c r="AS341" s="15"/>
      <c r="AT341" s="15"/>
      <c r="AU341" s="15"/>
      <c r="AV341" s="15"/>
      <c r="AW341" s="13"/>
      <c r="AX341" s="15"/>
      <c r="AY341" s="15"/>
      <c r="AZ341" s="28"/>
      <c r="BA341" s="15"/>
      <c r="BB341" s="15"/>
      <c r="BC341" s="15"/>
      <c r="BD341" s="15"/>
      <c r="BE341" s="14"/>
      <c r="BF341" s="41">
        <f>B337*$F$13</f>
        <v>0</v>
      </c>
      <c r="BG341" s="34">
        <f t="shared" si="887"/>
        <v>0</v>
      </c>
      <c r="BH341" s="35">
        <f t="shared" si="884"/>
        <v>0</v>
      </c>
    </row>
    <row r="342" ht="15.75" customHeight="1" hidden="1" spans="1:60" x14ac:dyDescent="0.25">
      <c r="A342" s="29">
        <v>45</v>
      </c>
      <c r="B342" s="14"/>
      <c r="D342" s="14" t="s">
        <v>52</v>
      </c>
      <c r="E342" s="2" t="s">
        <v>39</v>
      </c>
      <c r="F342" s="41">
        <v>350</v>
      </c>
      <c r="G342" s="28"/>
      <c r="I342" s="13"/>
      <c r="J342" s="15"/>
      <c r="K342" s="15"/>
      <c r="L342" s="28"/>
      <c r="Q342" s="13"/>
      <c r="R342" s="15"/>
      <c r="S342" s="15"/>
      <c r="T342" s="28"/>
      <c r="Y342" s="13"/>
      <c r="Z342" s="15"/>
      <c r="AA342" s="34">
        <f>$F$14</f>
        <v>350</v>
      </c>
      <c r="AB342" s="35">
        <v>350</v>
      </c>
      <c r="AG342" s="13"/>
      <c r="AH342" s="15"/>
      <c r="AI342" s="15"/>
      <c r="AJ342" s="28"/>
      <c r="AK342" s="13"/>
      <c r="AL342" s="15"/>
      <c r="AM342" s="15"/>
      <c r="AN342" s="28"/>
      <c r="AO342" s="13"/>
      <c r="AP342" s="15"/>
      <c r="AQ342" s="15"/>
      <c r="AR342" s="28"/>
      <c r="AS342" s="15"/>
      <c r="AT342" s="15"/>
      <c r="AU342" s="15"/>
      <c r="AV342" s="15"/>
      <c r="AW342" s="13"/>
      <c r="AX342" s="15"/>
      <c r="AY342" s="15"/>
      <c r="AZ342" s="28"/>
      <c r="BA342" s="15"/>
      <c r="BB342" s="15"/>
      <c r="BC342" s="15"/>
      <c r="BD342" s="15"/>
      <c r="BE342" s="14"/>
      <c r="BF342" s="41">
        <f>$F$14</f>
        <v>350</v>
      </c>
      <c r="BG342" s="34">
        <f t="shared" si="887"/>
        <v>350</v>
      </c>
      <c r="BH342" s="35">
        <f t="shared" si="884"/>
        <v>0</v>
      </c>
    </row>
    <row r="343" ht="15.75" customHeight="1" hidden="1" spans="1:62" x14ac:dyDescent="0.25">
      <c r="A343" s="50">
        <v>45</v>
      </c>
      <c r="B343" s="21"/>
      <c r="C343" s="22" t="s">
        <v>53</v>
      </c>
      <c r="D343" s="21"/>
      <c r="E343" s="22"/>
      <c r="F343" s="20"/>
      <c r="G343" s="23"/>
      <c r="H343" s="51">
        <f>SUM(H336:H342)</f>
        <v>-17.16</v>
      </c>
      <c r="I343" s="52"/>
      <c r="J343" s="53"/>
      <c r="K343" s="51">
        <f t="shared" ref="K343:L343" si="888">SUM(K336:K342)</f>
        <v>0</v>
      </c>
      <c r="L343" s="68">
        <f t="shared" si="888"/>
        <v>0</v>
      </c>
      <c r="M343" s="53"/>
      <c r="N343" s="53"/>
      <c r="O343" s="51">
        <f t="shared" ref="O343:P343" si="889">SUM(O337:O342)</f>
        <v>0</v>
      </c>
      <c r="P343" s="51">
        <f t="shared" si="889"/>
        <v>0</v>
      </c>
      <c r="Q343" s="52"/>
      <c r="R343" s="53"/>
      <c r="S343" s="51">
        <f t="shared" ref="S343:T343" si="890">SUM(S337:S342)</f>
        <v>0</v>
      </c>
      <c r="T343" s="68">
        <f t="shared" si="890"/>
        <v>0</v>
      </c>
      <c r="U343" s="53"/>
      <c r="V343" s="53"/>
      <c r="W343" s="51">
        <f t="shared" ref="W343:X343" si="891">SUM(W337:W342)</f>
        <v>0</v>
      </c>
      <c r="X343" s="51">
        <f t="shared" si="891"/>
        <v>0</v>
      </c>
      <c r="Y343" s="52"/>
      <c r="Z343" s="53"/>
      <c r="AA343" s="51">
        <f t="shared" ref="AA343:AB343" si="892">SUM(AA337:AA342)</f>
        <v>350</v>
      </c>
      <c r="AB343" s="68">
        <f t="shared" si="892"/>
        <v>350</v>
      </c>
      <c r="AC343" s="53"/>
      <c r="AD343" s="53"/>
      <c r="AE343" s="51">
        <f t="shared" ref="AE343:AF343" si="893">SUM(AE337:AE342)</f>
        <v>5408.3952</v>
      </c>
      <c r="AF343" s="51">
        <f t="shared" si="893"/>
        <v>5408.39</v>
      </c>
      <c r="AG343" s="52"/>
      <c r="AH343" s="53"/>
      <c r="AI343" s="51">
        <f t="shared" ref="AI343:AJ343" si="894">SUM(AI337:AI342)</f>
        <v>0</v>
      </c>
      <c r="AJ343" s="68">
        <f t="shared" si="894"/>
        <v>0</v>
      </c>
      <c r="AK343" s="52"/>
      <c r="AL343" s="53"/>
      <c r="AM343" s="51">
        <f t="shared" ref="AM343:AN343" si="895">SUM(AM337:AM342)</f>
        <v>0</v>
      </c>
      <c r="AN343" s="68">
        <f t="shared" si="895"/>
        <v>0</v>
      </c>
      <c r="AO343" s="52"/>
      <c r="AP343" s="53"/>
      <c r="AQ343" s="51">
        <f t="shared" ref="AQ343:AR343" si="896">SUM(AQ337:AQ342)</f>
        <v>0</v>
      </c>
      <c r="AR343" s="68">
        <f t="shared" si="896"/>
        <v>0</v>
      </c>
      <c r="AS343" s="53"/>
      <c r="AT343" s="53"/>
      <c r="AU343" s="51">
        <f t="shared" ref="AU343:AV343" si="897">SUM(AU337:AU342)</f>
        <v>0</v>
      </c>
      <c r="AV343" s="51">
        <f t="shared" si="897"/>
        <v>0</v>
      </c>
      <c r="AW343" s="52"/>
      <c r="AX343" s="53"/>
      <c r="AY343" s="51">
        <f t="shared" ref="AY343:AZ343" si="898">SUM(AY337:AY342)</f>
        <v>0</v>
      </c>
      <c r="AZ343" s="68">
        <f t="shared" si="898"/>
        <v>0</v>
      </c>
      <c r="BA343" s="53"/>
      <c r="BB343" s="53"/>
      <c r="BC343" s="51">
        <f t="shared" ref="BC343:BD343" si="899">SUM(BC337:BC342)</f>
        <v>0</v>
      </c>
      <c r="BD343" s="51">
        <f t="shared" si="899"/>
        <v>0</v>
      </c>
      <c r="BE343" s="69"/>
      <c r="BF343" s="70">
        <f t="shared" ref="BF343:BH343" si="900">SUM(BF336:BF342)</f>
        <v>5758.3952</v>
      </c>
      <c r="BG343" s="71">
        <f t="shared" si="900"/>
        <v>5758.39</v>
      </c>
      <c r="BH343" s="72">
        <f t="shared" si="900"/>
        <v>-17.1548</v>
      </c>
      <c r="BI343" s="34">
        <f>H343+BF343-BG343</f>
        <v>-17.1548</v>
      </c>
      <c r="BJ343" s="34">
        <f>BH343-BI343</f>
        <v>0</v>
      </c>
    </row>
    <row r="344" ht="15.75" customHeight="1" hidden="1" spans="1:60" x14ac:dyDescent="0.25">
      <c r="A344" s="29">
        <v>46</v>
      </c>
      <c r="B344" s="14"/>
      <c r="D344" s="14" t="s">
        <v>42</v>
      </c>
      <c r="F344" s="13"/>
      <c r="G344" s="28"/>
      <c r="I344" s="13"/>
      <c r="J344" s="15"/>
      <c r="K344" s="15"/>
      <c r="L344" s="28"/>
      <c r="Q344" s="13"/>
      <c r="R344" s="15"/>
      <c r="S344" s="15"/>
      <c r="T344" s="28"/>
      <c r="Y344" s="13"/>
      <c r="Z344" s="15"/>
      <c r="AA344" s="15"/>
      <c r="AB344" s="28"/>
      <c r="AG344" s="13"/>
      <c r="AH344" s="15"/>
      <c r="AI344" s="15"/>
      <c r="AJ344" s="28"/>
      <c r="AK344" s="13"/>
      <c r="AL344" s="15"/>
      <c r="AM344" s="15"/>
      <c r="AN344" s="28"/>
      <c r="AO344" s="13"/>
      <c r="AP344" s="15"/>
      <c r="AQ344" s="15"/>
      <c r="AR344" s="28"/>
      <c r="AW344" s="13"/>
      <c r="AX344" s="15"/>
      <c r="AY344" s="15"/>
      <c r="AZ344" s="28"/>
      <c r="BE344" s="14"/>
      <c r="BF344" s="13"/>
      <c r="BG344" s="15"/>
      <c r="BH344" s="28"/>
    </row>
    <row r="345" ht="15.75" customHeight="1" hidden="1" spans="1:60" x14ac:dyDescent="0.25">
      <c r="A345" s="2">
        <v>46</v>
      </c>
      <c r="B345" s="42">
        <v>4</v>
      </c>
      <c r="C345" s="2" t="s">
        <v>188</v>
      </c>
      <c r="D345" s="14" t="s">
        <v>44</v>
      </c>
      <c r="E345" s="2" t="s">
        <v>45</v>
      </c>
      <c r="F345" s="13">
        <v>2.49</v>
      </c>
      <c r="G345" s="28"/>
      <c r="H345" s="34">
        <v>74.7</v>
      </c>
      <c r="I345" s="13">
        <v>1506</v>
      </c>
      <c r="J345" s="15">
        <v>0</v>
      </c>
      <c r="K345" s="34">
        <f>J345*$F$8</f>
        <v>0</v>
      </c>
      <c r="L345" s="28"/>
      <c r="M345" s="2">
        <v>1506</v>
      </c>
      <c r="N345" s="15">
        <f>M345-I345</f>
        <v>0</v>
      </c>
      <c r="O345" s="34">
        <f>N345*$F$8</f>
        <v>0</v>
      </c>
      <c r="Q345" s="13">
        <v>1506</v>
      </c>
      <c r="R345" s="15">
        <f>Q345-M345</f>
        <v>0</v>
      </c>
      <c r="S345" s="34">
        <f>R345*$F$8</f>
        <v>0</v>
      </c>
      <c r="T345" s="28"/>
      <c r="U345" s="2">
        <v>1609</v>
      </c>
      <c r="V345" s="15">
        <f>U345-Q345</f>
        <v>103</v>
      </c>
      <c r="W345" s="34">
        <f>V345*$F$8</f>
        <v>256.47</v>
      </c>
      <c r="X345" s="34">
        <v>500</v>
      </c>
      <c r="Y345" s="13">
        <v>1693</v>
      </c>
      <c r="Z345" s="15">
        <f>Y345-U345</f>
        <v>84</v>
      </c>
      <c r="AA345" s="34">
        <f>Z345*$F$8</f>
        <v>209.16</v>
      </c>
      <c r="AB345" s="28">
        <v>40.33</v>
      </c>
      <c r="AC345" s="2">
        <v>1804</v>
      </c>
      <c r="AD345" s="15">
        <f t="shared" ref="AD345:AD346" si="901">AC345-Y345</f>
        <v>111</v>
      </c>
      <c r="AE345" s="34">
        <f>AD345*$F$8</f>
        <v>276.39</v>
      </c>
      <c r="AG345" s="13">
        <v>1915</v>
      </c>
      <c r="AH345" s="15">
        <f t="shared" ref="AH345:AH346" si="902">AG345-AC345</f>
        <v>111</v>
      </c>
      <c r="AI345" s="34">
        <f>AH345*$F$8</f>
        <v>276.39</v>
      </c>
      <c r="AJ345" s="32">
        <f>276.39+276.39</f>
        <v>552.78</v>
      </c>
      <c r="AK345" s="13">
        <v>2039</v>
      </c>
      <c r="AL345" s="15">
        <f t="shared" ref="AL345:AL346" si="903">AK345-AG345</f>
        <v>124</v>
      </c>
      <c r="AM345" s="34">
        <f>AL345*$F$8</f>
        <v>308.76</v>
      </c>
      <c r="AN345" s="28"/>
      <c r="AO345" s="13">
        <v>2163</v>
      </c>
      <c r="AP345" s="15">
        <f t="shared" ref="AP345:AP346" si="904">AO345-AK345</f>
        <v>124</v>
      </c>
      <c r="AQ345" s="34">
        <f>AP345*$F$8</f>
        <v>308.76</v>
      </c>
      <c r="AR345" s="38">
        <v>617.52</v>
      </c>
      <c r="AS345" s="15">
        <v>2215</v>
      </c>
      <c r="AT345" s="15">
        <f>AS345-AO345</f>
        <v>52</v>
      </c>
      <c r="AU345" s="34">
        <f>AT345*$F$8</f>
        <v>129.48</v>
      </c>
      <c r="AV345" s="15"/>
      <c r="AW345" s="13">
        <v>2215</v>
      </c>
      <c r="AX345" s="15">
        <f>AW345-AS345</f>
        <v>0</v>
      </c>
      <c r="AY345" s="34">
        <f>AX345*$F$8</f>
        <v>0</v>
      </c>
      <c r="AZ345" s="28"/>
      <c r="BA345" s="13">
        <v>2215</v>
      </c>
      <c r="BB345" s="15">
        <f>BA345-AW345</f>
        <v>0</v>
      </c>
      <c r="BC345" s="34">
        <f>BB345*$F$8</f>
        <v>0</v>
      </c>
      <c r="BD345" s="15"/>
      <c r="BE345" s="40">
        <f t="shared" ref="BE345:BG345" si="905">J345+N345+R345+V345+Z345+AD345+AH345+AL345+AP345+AT345+AX345+BB345</f>
        <v>709</v>
      </c>
      <c r="BF345" s="41">
        <f t="shared" si="905"/>
        <v>1765.41</v>
      </c>
      <c r="BG345" s="34">
        <f t="shared" si="905"/>
        <v>1710.63</v>
      </c>
      <c r="BH345" s="35">
        <f t="shared" ref="BH345:BH350" si="906">H345+BF345-BG345</f>
        <v>129.48</v>
      </c>
    </row>
    <row r="346" ht="15.75" customHeight="1" hidden="1" spans="1:60" x14ac:dyDescent="0.25">
      <c r="A346" s="29">
        <v>46</v>
      </c>
      <c r="B346" s="14"/>
      <c r="C346" s="2" t="s">
        <v>98</v>
      </c>
      <c r="D346" s="14" t="s">
        <v>47</v>
      </c>
      <c r="E346" s="2" t="s">
        <v>48</v>
      </c>
      <c r="F346" s="13">
        <v>17.16</v>
      </c>
      <c r="G346" s="35">
        <f>8*16.5</f>
        <v>132</v>
      </c>
      <c r="H346" s="33">
        <f>2*17.16-G346</f>
        <v>-97.68</v>
      </c>
      <c r="I346" s="13"/>
      <c r="J346" s="15"/>
      <c r="K346" s="15"/>
      <c r="L346" s="28"/>
      <c r="Q346" s="13"/>
      <c r="R346" s="15"/>
      <c r="S346" s="15"/>
      <c r="T346" s="28"/>
      <c r="Y346" s="13">
        <v>77</v>
      </c>
      <c r="Z346" s="15"/>
      <c r="AA346" s="15"/>
      <c r="AB346" s="28"/>
      <c r="AC346" s="2">
        <v>79</v>
      </c>
      <c r="AD346" s="15">
        <f t="shared" si="901"/>
        <v>2</v>
      </c>
      <c r="AE346" s="34">
        <f>AD346*$F$10</f>
        <v>34.32</v>
      </c>
      <c r="AG346" s="13">
        <v>81</v>
      </c>
      <c r="AH346" s="15">
        <f t="shared" si="902"/>
        <v>2</v>
      </c>
      <c r="AI346" s="45">
        <f>AH346*$G$10</f>
        <v>35.36</v>
      </c>
      <c r="AJ346" s="32">
        <v>34.32</v>
      </c>
      <c r="AK346" s="13">
        <v>81</v>
      </c>
      <c r="AL346" s="15">
        <f t="shared" si="903"/>
        <v>0</v>
      </c>
      <c r="AM346" s="45">
        <f>AL346*$G$10</f>
        <v>0</v>
      </c>
      <c r="AN346" s="28"/>
      <c r="AO346" s="13">
        <v>83</v>
      </c>
      <c r="AP346" s="15">
        <f t="shared" si="904"/>
        <v>2</v>
      </c>
      <c r="AQ346" s="45">
        <f>AP346*$G$10</f>
        <v>35.36</v>
      </c>
      <c r="AR346" s="28"/>
      <c r="AS346" s="15"/>
      <c r="AT346" s="15"/>
      <c r="AU346" s="15"/>
      <c r="AV346" s="15"/>
      <c r="AW346" s="13"/>
      <c r="AX346" s="15"/>
      <c r="AY346" s="15"/>
      <c r="AZ346" s="28"/>
      <c r="BA346" s="15"/>
      <c r="BB346" s="15"/>
      <c r="BC346" s="15"/>
      <c r="BD346" s="15"/>
      <c r="BE346" s="40">
        <f t="shared" ref="BE346:BG346" si="907">J346+N346+R346+V346+Z346+AD346+AH346+AL346+AP346+AT346+AX346+BB346</f>
        <v>6</v>
      </c>
      <c r="BF346" s="41">
        <f t="shared" si="907"/>
        <v>105.04</v>
      </c>
      <c r="BG346" s="34">
        <f t="shared" si="907"/>
        <v>34.32</v>
      </c>
      <c r="BH346" s="35">
        <f t="shared" si="906"/>
        <v>-26.96</v>
      </c>
    </row>
    <row r="347" ht="15.75" customHeight="1" hidden="1" spans="1:60" x14ac:dyDescent="0.25">
      <c r="A347" s="29">
        <v>46</v>
      </c>
      <c r="B347" s="14"/>
      <c r="C347" s="2" t="s">
        <v>190</v>
      </c>
      <c r="D347" s="14" t="s">
        <v>47</v>
      </c>
      <c r="E347" s="2" t="s">
        <v>49</v>
      </c>
      <c r="F347" s="41">
        <v>300</v>
      </c>
      <c r="G347" s="28"/>
      <c r="I347" s="13"/>
      <c r="J347" s="15"/>
      <c r="K347" s="15"/>
      <c r="L347" s="28"/>
      <c r="Q347" s="13"/>
      <c r="R347" s="15"/>
      <c r="S347" s="15"/>
      <c r="T347" s="28"/>
      <c r="Y347" s="13"/>
      <c r="Z347" s="15"/>
      <c r="AA347" s="15"/>
      <c r="AB347" s="28"/>
      <c r="AG347" s="13"/>
      <c r="AH347" s="15"/>
      <c r="AI347" s="15"/>
      <c r="AJ347" s="28"/>
      <c r="AK347" s="13"/>
      <c r="AL347" s="15"/>
      <c r="AM347" s="34"/>
      <c r="AN347" s="28"/>
      <c r="AO347" s="13"/>
      <c r="AP347" s="15"/>
      <c r="AQ347" s="34"/>
      <c r="AR347" s="28"/>
      <c r="AS347" s="15"/>
      <c r="AT347" s="15"/>
      <c r="AU347" s="15"/>
      <c r="AV347" s="15"/>
      <c r="AW347" s="13"/>
      <c r="AX347" s="15"/>
      <c r="AY347" s="15"/>
      <c r="AZ347" s="28"/>
      <c r="BA347" s="15"/>
      <c r="BB347" s="15"/>
      <c r="BC347" s="15"/>
      <c r="BD347" s="15"/>
      <c r="BE347" s="14"/>
      <c r="BF347" s="41">
        <f t="shared" ref="BF347:BG347" si="908">K347+O347+S347+W347+AA347+AE347+AI347+AM347+AQ347+AU347+AY347+BC347</f>
        <v>0</v>
      </c>
      <c r="BG347" s="34">
        <f t="shared" si="908"/>
        <v>0</v>
      </c>
      <c r="BH347" s="35">
        <f t="shared" si="906"/>
        <v>0</v>
      </c>
    </row>
    <row r="348" ht="15.75" customHeight="1" hidden="1" spans="1:60" x14ac:dyDescent="0.25">
      <c r="A348" s="29">
        <v>46</v>
      </c>
      <c r="B348" s="14"/>
      <c r="C348" s="2" t="s">
        <v>191</v>
      </c>
      <c r="D348" s="14" t="s">
        <v>50</v>
      </c>
      <c r="E348" s="2" t="s">
        <v>49</v>
      </c>
      <c r="F348" s="41">
        <v>1062.88</v>
      </c>
      <c r="G348" s="28"/>
      <c r="I348" s="13"/>
      <c r="J348" s="15"/>
      <c r="K348" s="15"/>
      <c r="L348" s="28"/>
      <c r="Q348" s="13"/>
      <c r="R348" s="15"/>
      <c r="S348" s="15"/>
      <c r="T348" s="28"/>
      <c r="Y348" s="13"/>
      <c r="Z348" s="15"/>
      <c r="AA348" s="15"/>
      <c r="AB348" s="28"/>
      <c r="AE348" s="34">
        <f>B345*$F$12</f>
        <v>4251.52</v>
      </c>
      <c r="AF348" s="34">
        <v>2000</v>
      </c>
      <c r="AG348" s="13"/>
      <c r="AH348" s="15"/>
      <c r="AI348" s="15"/>
      <c r="AJ348" s="32">
        <v>2251.52</v>
      </c>
      <c r="AK348" s="13"/>
      <c r="AL348" s="15"/>
      <c r="AM348" s="15"/>
      <c r="AN348" s="28"/>
      <c r="AO348" s="13"/>
      <c r="AP348" s="15"/>
      <c r="AQ348" s="15"/>
      <c r="AR348" s="28"/>
      <c r="AS348" s="15"/>
      <c r="AT348" s="15"/>
      <c r="AU348" s="15"/>
      <c r="AV348" s="15"/>
      <c r="AW348" s="13"/>
      <c r="AX348" s="15"/>
      <c r="AY348" s="15"/>
      <c r="AZ348" s="28"/>
      <c r="BA348" s="15"/>
      <c r="BB348" s="15"/>
      <c r="BC348" s="15"/>
      <c r="BD348" s="15"/>
      <c r="BE348" s="14"/>
      <c r="BF348" s="41">
        <f>B345*$F$12</f>
        <v>4251.52</v>
      </c>
      <c r="BG348" s="34">
        <f t="shared" ref="BG348:BG350" si="909">L348+P348+T348+X348+AB348+AF348+AJ348+AN348+AR348+AV348+AZ348+BD348</f>
        <v>4251.52</v>
      </c>
      <c r="BH348" s="35">
        <f t="shared" si="906"/>
        <v>0</v>
      </c>
    </row>
    <row r="349" ht="15.75" customHeight="1" hidden="1" spans="1:60" x14ac:dyDescent="0.25">
      <c r="A349" s="29">
        <v>46</v>
      </c>
      <c r="B349" s="14"/>
      <c r="D349" s="14" t="s">
        <v>51</v>
      </c>
      <c r="E349" s="2" t="s">
        <v>49</v>
      </c>
      <c r="F349" s="41">
        <v>0</v>
      </c>
      <c r="G349" s="28"/>
      <c r="I349" s="13"/>
      <c r="J349" s="15"/>
      <c r="K349" s="15"/>
      <c r="L349" s="28"/>
      <c r="Q349" s="13"/>
      <c r="R349" s="15"/>
      <c r="S349" s="15"/>
      <c r="T349" s="28"/>
      <c r="Y349" s="13"/>
      <c r="Z349" s="15"/>
      <c r="AA349" s="15"/>
      <c r="AB349" s="28"/>
      <c r="AG349" s="13"/>
      <c r="AH349" s="15"/>
      <c r="AI349" s="15"/>
      <c r="AJ349" s="28"/>
      <c r="AK349" s="13"/>
      <c r="AL349" s="15"/>
      <c r="AM349" s="15"/>
      <c r="AN349" s="28"/>
      <c r="AO349" s="13"/>
      <c r="AP349" s="15"/>
      <c r="AQ349" s="15"/>
      <c r="AR349" s="28"/>
      <c r="AS349" s="15"/>
      <c r="AT349" s="15"/>
      <c r="AU349" s="15"/>
      <c r="AV349" s="15"/>
      <c r="AW349" s="13"/>
      <c r="AX349" s="15"/>
      <c r="AY349" s="15"/>
      <c r="AZ349" s="28"/>
      <c r="BA349" s="15"/>
      <c r="BB349" s="15"/>
      <c r="BC349" s="15"/>
      <c r="BD349" s="15"/>
      <c r="BE349" s="14"/>
      <c r="BF349" s="41">
        <f>B345*$F$13</f>
        <v>0</v>
      </c>
      <c r="BG349" s="34">
        <f t="shared" si="909"/>
        <v>0</v>
      </c>
      <c r="BH349" s="35">
        <f t="shared" si="906"/>
        <v>0</v>
      </c>
    </row>
    <row r="350" ht="15.75" customHeight="1" hidden="1" spans="1:60" x14ac:dyDescent="0.25">
      <c r="A350" s="29">
        <v>46</v>
      </c>
      <c r="B350" s="14"/>
      <c r="D350" s="14" t="s">
        <v>52</v>
      </c>
      <c r="E350" s="2" t="s">
        <v>39</v>
      </c>
      <c r="F350" s="41">
        <v>350</v>
      </c>
      <c r="G350" s="28"/>
      <c r="H350" s="84">
        <v>-350</v>
      </c>
      <c r="I350" s="13"/>
      <c r="J350" s="15"/>
      <c r="K350" s="15"/>
      <c r="L350" s="28"/>
      <c r="Q350" s="13"/>
      <c r="R350" s="15"/>
      <c r="S350" s="15"/>
      <c r="T350" s="28"/>
      <c r="Y350" s="13"/>
      <c r="Z350" s="15"/>
      <c r="AA350" s="34">
        <f>$F$14</f>
        <v>350</v>
      </c>
      <c r="AB350" s="28"/>
      <c r="AG350" s="13"/>
      <c r="AH350" s="15"/>
      <c r="AI350" s="15"/>
      <c r="AJ350" s="28"/>
      <c r="AK350" s="13"/>
      <c r="AL350" s="15"/>
      <c r="AM350" s="15"/>
      <c r="AN350" s="28"/>
      <c r="AO350" s="13"/>
      <c r="AP350" s="15"/>
      <c r="AQ350" s="15"/>
      <c r="AR350" s="28"/>
      <c r="AS350" s="15"/>
      <c r="AT350" s="15"/>
      <c r="AU350" s="15"/>
      <c r="AV350" s="15"/>
      <c r="AW350" s="13"/>
      <c r="AX350" s="15"/>
      <c r="AY350" s="15"/>
      <c r="AZ350" s="28"/>
      <c r="BA350" s="15"/>
      <c r="BB350" s="15"/>
      <c r="BC350" s="15"/>
      <c r="BD350" s="15"/>
      <c r="BE350" s="14"/>
      <c r="BF350" s="41">
        <f>$F$14</f>
        <v>350</v>
      </c>
      <c r="BG350" s="34">
        <f t="shared" si="909"/>
        <v>0</v>
      </c>
      <c r="BH350" s="35">
        <f t="shared" si="906"/>
        <v>0</v>
      </c>
    </row>
    <row r="351" ht="15.75" customHeight="1" hidden="1" spans="1:62" x14ac:dyDescent="0.25">
      <c r="A351" s="50">
        <v>46</v>
      </c>
      <c r="B351" s="21"/>
      <c r="C351" s="22" t="s">
        <v>53</v>
      </c>
      <c r="D351" s="21"/>
      <c r="E351" s="22"/>
      <c r="F351" s="20"/>
      <c r="G351" s="23"/>
      <c r="H351" s="51">
        <f>SUM(H344:H350)</f>
        <v>-372.98</v>
      </c>
      <c r="I351" s="52"/>
      <c r="J351" s="53"/>
      <c r="K351" s="51">
        <f t="shared" ref="K351:L351" si="910">SUM(K344:K350)</f>
        <v>0</v>
      </c>
      <c r="L351" s="68">
        <f t="shared" si="910"/>
        <v>0</v>
      </c>
      <c r="M351" s="53"/>
      <c r="N351" s="53"/>
      <c r="O351" s="51">
        <f t="shared" ref="O351:P351" si="911">SUM(O345:O350)</f>
        <v>0</v>
      </c>
      <c r="P351" s="51">
        <f t="shared" si="911"/>
        <v>0</v>
      </c>
      <c r="Q351" s="52"/>
      <c r="R351" s="53"/>
      <c r="S351" s="51">
        <f t="shared" ref="S351:T351" si="912">SUM(S345:S350)</f>
        <v>0</v>
      </c>
      <c r="T351" s="68">
        <f t="shared" si="912"/>
        <v>0</v>
      </c>
      <c r="U351" s="53"/>
      <c r="V351" s="53"/>
      <c r="W351" s="51">
        <f t="shared" ref="W351:X351" si="913">SUM(W345:W350)</f>
        <v>256.47</v>
      </c>
      <c r="X351" s="51">
        <f t="shared" si="913"/>
        <v>500</v>
      </c>
      <c r="Y351" s="52"/>
      <c r="Z351" s="53"/>
      <c r="AA351" s="51">
        <f t="shared" ref="AA351:AB351" si="914">SUM(AA345:AA350)</f>
        <v>559.16</v>
      </c>
      <c r="AB351" s="68">
        <f t="shared" si="914"/>
        <v>40.33</v>
      </c>
      <c r="AC351" s="53"/>
      <c r="AD351" s="53"/>
      <c r="AE351" s="51">
        <f t="shared" ref="AE351:AF351" si="915">SUM(AE345:AE350)</f>
        <v>4562.23</v>
      </c>
      <c r="AF351" s="51">
        <f t="shared" si="915"/>
        <v>2000</v>
      </c>
      <c r="AG351" s="52"/>
      <c r="AH351" s="53"/>
      <c r="AI351" s="51">
        <f t="shared" ref="AI351:AJ351" si="916">SUM(AI345:AI350)</f>
        <v>311.75</v>
      </c>
      <c r="AJ351" s="68">
        <f t="shared" si="916"/>
        <v>2838.62</v>
      </c>
      <c r="AK351" s="52"/>
      <c r="AL351" s="53"/>
      <c r="AM351" s="51">
        <f t="shared" ref="AM351:AN351" si="917">SUM(AM345:AM350)</f>
        <v>308.76</v>
      </c>
      <c r="AN351" s="68">
        <f t="shared" si="917"/>
        <v>0</v>
      </c>
      <c r="AO351" s="52"/>
      <c r="AP351" s="53"/>
      <c r="AQ351" s="51">
        <f t="shared" ref="AQ351:AR351" si="918">SUM(AQ345:AQ350)</f>
        <v>344.12</v>
      </c>
      <c r="AR351" s="68">
        <f t="shared" si="918"/>
        <v>617.52</v>
      </c>
      <c r="AS351" s="53"/>
      <c r="AT351" s="53"/>
      <c r="AU351" s="51">
        <f t="shared" ref="AU351:AV351" si="919">SUM(AU345:AU350)</f>
        <v>129.48</v>
      </c>
      <c r="AV351" s="51">
        <f t="shared" si="919"/>
        <v>0</v>
      </c>
      <c r="AW351" s="52"/>
      <c r="AX351" s="53"/>
      <c r="AY351" s="51">
        <f t="shared" ref="AY351:AZ351" si="920">SUM(AY345:AY350)</f>
        <v>0</v>
      </c>
      <c r="AZ351" s="68">
        <f t="shared" si="920"/>
        <v>0</v>
      </c>
      <c r="BA351" s="53"/>
      <c r="BB351" s="53"/>
      <c r="BC351" s="51">
        <f t="shared" ref="BC351:BD351" si="921">SUM(BC345:BC350)</f>
        <v>0</v>
      </c>
      <c r="BD351" s="51">
        <f t="shared" si="921"/>
        <v>0</v>
      </c>
      <c r="BE351" s="69"/>
      <c r="BF351" s="70">
        <f t="shared" ref="BF351:BH351" si="922">SUM(BF344:BF350)</f>
        <v>6471.97</v>
      </c>
      <c r="BG351" s="71">
        <f t="shared" si="922"/>
        <v>5996.47</v>
      </c>
      <c r="BH351" s="72">
        <f t="shared" si="922"/>
        <v>102.52</v>
      </c>
      <c r="BI351" s="34">
        <f>H351+BF351-BG351</f>
        <v>102.52</v>
      </c>
      <c r="BJ351" s="34">
        <f>BH351-BI351</f>
        <v>0</v>
      </c>
    </row>
    <row r="352" ht="15.75" customHeight="1" hidden="1" spans="1:60" x14ac:dyDescent="0.25">
      <c r="A352" s="29">
        <v>47</v>
      </c>
      <c r="B352" s="14"/>
      <c r="D352" s="14" t="s">
        <v>42</v>
      </c>
      <c r="F352" s="13"/>
      <c r="G352" s="28"/>
      <c r="I352" s="13"/>
      <c r="J352" s="15"/>
      <c r="K352" s="15"/>
      <c r="L352" s="28"/>
      <c r="Q352" s="13"/>
      <c r="R352" s="15"/>
      <c r="S352" s="15"/>
      <c r="T352" s="28"/>
      <c r="Y352" s="13"/>
      <c r="Z352" s="15"/>
      <c r="AA352" s="15"/>
      <c r="AB352" s="28"/>
      <c r="AG352" s="13"/>
      <c r="AH352" s="15"/>
      <c r="AI352" s="15"/>
      <c r="AJ352" s="28"/>
      <c r="AK352" s="13"/>
      <c r="AL352" s="15"/>
      <c r="AM352" s="15"/>
      <c r="AN352" s="28"/>
      <c r="AO352" s="13"/>
      <c r="AP352" s="15"/>
      <c r="AQ352" s="15"/>
      <c r="AR352" s="28"/>
      <c r="AW352" s="13"/>
      <c r="AX352" s="15"/>
      <c r="AY352" s="15"/>
      <c r="AZ352" s="28"/>
      <c r="BE352" s="14"/>
      <c r="BF352" s="13"/>
      <c r="BG352" s="15"/>
      <c r="BH352" s="28"/>
    </row>
    <row r="353" ht="15.75" customHeight="1" hidden="1" spans="1:60" x14ac:dyDescent="0.25">
      <c r="A353" s="2">
        <v>47</v>
      </c>
      <c r="B353" s="42">
        <v>5</v>
      </c>
      <c r="C353" s="2" t="s">
        <v>192</v>
      </c>
      <c r="D353" s="14" t="s">
        <v>44</v>
      </c>
      <c r="E353" s="2" t="s">
        <v>45</v>
      </c>
      <c r="F353" s="13">
        <v>2.49</v>
      </c>
      <c r="G353" s="28"/>
      <c r="I353" s="13">
        <v>141</v>
      </c>
      <c r="J353" s="15">
        <v>0</v>
      </c>
      <c r="K353" s="34">
        <f>J353*$F$8</f>
        <v>0</v>
      </c>
      <c r="L353" s="28"/>
      <c r="M353" s="2">
        <v>141</v>
      </c>
      <c r="N353" s="15">
        <f>M353-I353</f>
        <v>0</v>
      </c>
      <c r="O353" s="34">
        <f>N353*$F$8</f>
        <v>0</v>
      </c>
      <c r="Q353" s="13">
        <v>141</v>
      </c>
      <c r="R353" s="15">
        <f>Q353-M353</f>
        <v>0</v>
      </c>
      <c r="S353" s="34">
        <f>R353*$F$8</f>
        <v>0</v>
      </c>
      <c r="T353" s="28"/>
      <c r="U353" s="2">
        <v>142</v>
      </c>
      <c r="V353" s="15">
        <f>U353-Q353</f>
        <v>1</v>
      </c>
      <c r="W353" s="34">
        <f>V353*$F$8</f>
        <v>2.49</v>
      </c>
      <c r="X353" s="2">
        <v>2.49</v>
      </c>
      <c r="Y353" s="13">
        <v>143</v>
      </c>
      <c r="Z353" s="15">
        <f>Y353-U353</f>
        <v>1</v>
      </c>
      <c r="AA353" s="34">
        <f>Z353*$F$8</f>
        <v>2.49</v>
      </c>
      <c r="AB353" s="28">
        <v>2.49</v>
      </c>
      <c r="AC353" s="2">
        <v>148</v>
      </c>
      <c r="AD353" s="15">
        <f t="shared" ref="AD353:AD354" si="923">AC353-Y353</f>
        <v>5</v>
      </c>
      <c r="AE353" s="34">
        <f>AD353*$F$8</f>
        <v>12.45</v>
      </c>
      <c r="AG353" s="13">
        <v>152</v>
      </c>
      <c r="AH353" s="15">
        <f t="shared" ref="AH353:AH354" si="924">AG353-AC353</f>
        <v>4</v>
      </c>
      <c r="AI353" s="34">
        <f>AH353*$F$8</f>
        <v>9.96</v>
      </c>
      <c r="AJ353" s="28"/>
      <c r="AK353" s="13">
        <v>160</v>
      </c>
      <c r="AL353" s="15">
        <f t="shared" ref="AL353:AL354" si="925">AK353-AG353</f>
        <v>8</v>
      </c>
      <c r="AM353" s="34">
        <f>AL353*$F$8</f>
        <v>19.92</v>
      </c>
      <c r="AN353" s="32">
        <v>22.41</v>
      </c>
      <c r="AO353" s="13">
        <v>165</v>
      </c>
      <c r="AP353" s="15">
        <f t="shared" ref="AP353:AP354" si="926">AO353-AK353</f>
        <v>5</v>
      </c>
      <c r="AQ353" s="34">
        <f>AP353*$F$8</f>
        <v>12.45</v>
      </c>
      <c r="AR353" s="32">
        <v>32.37</v>
      </c>
      <c r="AS353" s="15">
        <v>165</v>
      </c>
      <c r="AT353" s="15">
        <f>AS353-AO353</f>
        <v>0</v>
      </c>
      <c r="AU353" s="34">
        <f>AT353*$F$8</f>
        <v>0</v>
      </c>
      <c r="AV353" s="15"/>
      <c r="AW353" s="13">
        <v>165</v>
      </c>
      <c r="AX353" s="15">
        <f>AW353-AS353</f>
        <v>0</v>
      </c>
      <c r="AY353" s="34">
        <f>AX353*$F$8</f>
        <v>0</v>
      </c>
      <c r="AZ353" s="28"/>
      <c r="BA353" s="13">
        <v>165</v>
      </c>
      <c r="BB353" s="15">
        <f>BA353-AW353</f>
        <v>0</v>
      </c>
      <c r="BC353" s="34">
        <f>BB353*$F$8</f>
        <v>0</v>
      </c>
      <c r="BD353" s="15"/>
      <c r="BE353" s="40">
        <f t="shared" ref="BE353:BG353" si="927">J353+N353+R353+V353+Z353+AD353+AH353+AL353+AP353+AT353+AX353+BB353</f>
        <v>24</v>
      </c>
      <c r="BF353" s="41">
        <f t="shared" si="927"/>
        <v>59.76</v>
      </c>
      <c r="BG353" s="34">
        <f t="shared" si="927"/>
        <v>59.76</v>
      </c>
      <c r="BH353" s="35">
        <f t="shared" ref="BH353:BH358" si="928">H353+BF353-BG353</f>
        <v>0</v>
      </c>
    </row>
    <row r="354" ht="15.75" customHeight="1" hidden="1" spans="1:60" x14ac:dyDescent="0.25">
      <c r="A354" s="29">
        <v>47</v>
      </c>
      <c r="B354" s="14"/>
      <c r="C354" s="2" t="s">
        <v>193</v>
      </c>
      <c r="D354" s="14" t="s">
        <v>47</v>
      </c>
      <c r="E354" s="2" t="s">
        <v>48</v>
      </c>
      <c r="F354" s="13">
        <v>17.16</v>
      </c>
      <c r="G354" s="28"/>
      <c r="H354" s="33">
        <v>0</v>
      </c>
      <c r="I354" s="13"/>
      <c r="J354" s="15"/>
      <c r="K354" s="15"/>
      <c r="L354" s="28"/>
      <c r="Q354" s="13"/>
      <c r="R354" s="15"/>
      <c r="S354" s="15"/>
      <c r="T354" s="28"/>
      <c r="Y354" s="75">
        <v>0</v>
      </c>
      <c r="Z354" s="15"/>
      <c r="AA354" s="15"/>
      <c r="AB354" s="28"/>
      <c r="AC354" s="2">
        <v>0</v>
      </c>
      <c r="AD354" s="15">
        <f t="shared" si="923"/>
        <v>0</v>
      </c>
      <c r="AE354" s="34">
        <f>AD354*$F$10</f>
        <v>0</v>
      </c>
      <c r="AG354" s="13">
        <v>0</v>
      </c>
      <c r="AH354" s="15">
        <f t="shared" si="924"/>
        <v>0</v>
      </c>
      <c r="AI354" s="45">
        <f>AH354*$G$10</f>
        <v>0</v>
      </c>
      <c r="AJ354" s="28"/>
      <c r="AK354" s="13">
        <v>7</v>
      </c>
      <c r="AL354" s="15">
        <f t="shared" si="925"/>
        <v>7</v>
      </c>
      <c r="AM354" s="45">
        <f>AL354*$G$10</f>
        <v>123.76</v>
      </c>
      <c r="AN354" s="32">
        <v>123.76</v>
      </c>
      <c r="AO354" s="13">
        <v>9</v>
      </c>
      <c r="AP354" s="15">
        <f t="shared" si="926"/>
        <v>2</v>
      </c>
      <c r="AQ354" s="45">
        <f>AP354*$G$10</f>
        <v>35.36</v>
      </c>
      <c r="AR354" s="32">
        <v>35.36</v>
      </c>
      <c r="AS354" s="15"/>
      <c r="AT354" s="15"/>
      <c r="AU354" s="15"/>
      <c r="AV354" s="15"/>
      <c r="AW354" s="13"/>
      <c r="AX354" s="15"/>
      <c r="AY354" s="15"/>
      <c r="AZ354" s="28"/>
      <c r="BA354" s="15"/>
      <c r="BB354" s="15"/>
      <c r="BC354" s="15"/>
      <c r="BD354" s="15"/>
      <c r="BE354" s="40">
        <f t="shared" ref="BE354:BG354" si="929">J354+N354+R354+V354+Z354+AD354+AH354+AL354+AP354+AT354+AX354+BB354</f>
        <v>9</v>
      </c>
      <c r="BF354" s="41">
        <f t="shared" si="929"/>
        <v>159.12</v>
      </c>
      <c r="BG354" s="34">
        <f t="shared" si="929"/>
        <v>159.12</v>
      </c>
      <c r="BH354" s="35">
        <f t="shared" si="928"/>
        <v>0</v>
      </c>
    </row>
    <row r="355" ht="15.75" customHeight="1" hidden="1" spans="1:60" x14ac:dyDescent="0.25">
      <c r="A355" s="29">
        <v>47</v>
      </c>
      <c r="B355" s="14"/>
      <c r="C355" s="2" t="s">
        <v>194</v>
      </c>
      <c r="D355" s="14" t="s">
        <v>47</v>
      </c>
      <c r="E355" s="2" t="s">
        <v>49</v>
      </c>
      <c r="F355" s="41">
        <v>300</v>
      </c>
      <c r="G355" s="28"/>
      <c r="I355" s="13"/>
      <c r="J355" s="15"/>
      <c r="K355" s="15"/>
      <c r="L355" s="28"/>
      <c r="Q355" s="13"/>
      <c r="R355" s="15"/>
      <c r="S355" s="15"/>
      <c r="T355" s="28"/>
      <c r="Y355" s="13"/>
      <c r="Z355" s="15"/>
      <c r="AA355" s="15"/>
      <c r="AB355" s="28"/>
      <c r="AG355" s="13"/>
      <c r="AH355" s="15"/>
      <c r="AI355" s="15"/>
      <c r="AJ355" s="28"/>
      <c r="AK355" s="13"/>
      <c r="AL355" s="15"/>
      <c r="AM355" s="34"/>
      <c r="AN355" s="28"/>
      <c r="AO355" s="13"/>
      <c r="AP355" s="15"/>
      <c r="AQ355" s="34"/>
      <c r="AR355" s="28"/>
      <c r="AS355" s="15"/>
      <c r="AT355" s="15"/>
      <c r="AU355" s="15"/>
      <c r="AV355" s="15"/>
      <c r="AW355" s="13"/>
      <c r="AX355" s="15"/>
      <c r="AY355" s="15"/>
      <c r="AZ355" s="28"/>
      <c r="BA355" s="15"/>
      <c r="BB355" s="15"/>
      <c r="BC355" s="15"/>
      <c r="BD355" s="15"/>
      <c r="BE355" s="14"/>
      <c r="BF355" s="41">
        <f t="shared" ref="BF355:BG355" si="930">K355+O355+S355+W355+AA355+AE355+AI355+AM355+AQ355+AU355+AY355+BC355</f>
        <v>0</v>
      </c>
      <c r="BG355" s="34">
        <f t="shared" si="930"/>
        <v>0</v>
      </c>
      <c r="BH355" s="35">
        <f t="shared" si="928"/>
        <v>0</v>
      </c>
    </row>
    <row r="356" ht="15.75" customHeight="1" hidden="1" spans="1:60" x14ac:dyDescent="0.25">
      <c r="A356" s="29">
        <v>47</v>
      </c>
      <c r="B356" s="14"/>
      <c r="C356" s="2" t="s">
        <v>195</v>
      </c>
      <c r="D356" s="14" t="s">
        <v>50</v>
      </c>
      <c r="E356" s="2" t="s">
        <v>49</v>
      </c>
      <c r="F356" s="41">
        <v>1062.88</v>
      </c>
      <c r="G356" s="28"/>
      <c r="I356" s="13"/>
      <c r="J356" s="15"/>
      <c r="K356" s="15"/>
      <c r="L356" s="28"/>
      <c r="Q356" s="13"/>
      <c r="R356" s="15"/>
      <c r="S356" s="15"/>
      <c r="T356" s="28"/>
      <c r="Y356" s="13"/>
      <c r="Z356" s="15"/>
      <c r="AA356" s="15"/>
      <c r="AB356" s="28"/>
      <c r="AE356" s="34">
        <f>B353*$F$12</f>
        <v>5314.4</v>
      </c>
      <c r="AF356" s="34">
        <v>5314.4</v>
      </c>
      <c r="AG356" s="13"/>
      <c r="AH356" s="15"/>
      <c r="AI356" s="15"/>
      <c r="AJ356" s="28"/>
      <c r="AK356" s="13"/>
      <c r="AL356" s="15"/>
      <c r="AM356" s="15"/>
      <c r="AN356" s="28"/>
      <c r="AO356" s="13"/>
      <c r="AP356" s="15"/>
      <c r="AQ356" s="15"/>
      <c r="AR356" s="28"/>
      <c r="AS356" s="15"/>
      <c r="AT356" s="15"/>
      <c r="AU356" s="15"/>
      <c r="AV356" s="15"/>
      <c r="AW356" s="13"/>
      <c r="AX356" s="15"/>
      <c r="AY356" s="15"/>
      <c r="AZ356" s="28"/>
      <c r="BA356" s="15"/>
      <c r="BB356" s="15"/>
      <c r="BC356" s="15"/>
      <c r="BD356" s="15"/>
      <c r="BE356" s="14"/>
      <c r="BF356" s="41">
        <f>B353*$F$12</f>
        <v>5314.4</v>
      </c>
      <c r="BG356" s="34">
        <f t="shared" ref="BG356:BG358" si="931">L356+P356+T356+X356+AB356+AF356+AJ356+AN356+AR356+AV356+AZ356+BD356</f>
        <v>5314.4</v>
      </c>
      <c r="BH356" s="35">
        <f t="shared" si="928"/>
        <v>0</v>
      </c>
    </row>
    <row r="357" ht="15.75" customHeight="1" hidden="1" spans="1:60" x14ac:dyDescent="0.25">
      <c r="A357" s="29">
        <v>47</v>
      </c>
      <c r="B357" s="14"/>
      <c r="D357" s="14" t="s">
        <v>51</v>
      </c>
      <c r="E357" s="2" t="s">
        <v>49</v>
      </c>
      <c r="F357" s="41">
        <v>0</v>
      </c>
      <c r="G357" s="28"/>
      <c r="I357" s="13"/>
      <c r="J357" s="15"/>
      <c r="K357" s="15"/>
      <c r="L357" s="28"/>
      <c r="Q357" s="13"/>
      <c r="R357" s="15"/>
      <c r="S357" s="15"/>
      <c r="T357" s="28"/>
      <c r="Y357" s="13"/>
      <c r="Z357" s="15"/>
      <c r="AA357" s="15"/>
      <c r="AB357" s="28"/>
      <c r="AG357" s="13"/>
      <c r="AH357" s="15"/>
      <c r="AI357" s="15"/>
      <c r="AJ357" s="28"/>
      <c r="AK357" s="13"/>
      <c r="AL357" s="15"/>
      <c r="AM357" s="15"/>
      <c r="AN357" s="28"/>
      <c r="AO357" s="13"/>
      <c r="AP357" s="15"/>
      <c r="AQ357" s="15"/>
      <c r="AR357" s="28"/>
      <c r="AS357" s="15"/>
      <c r="AT357" s="15"/>
      <c r="AU357" s="15"/>
      <c r="AV357" s="15"/>
      <c r="AW357" s="13"/>
      <c r="AX357" s="15"/>
      <c r="AY357" s="15"/>
      <c r="AZ357" s="28"/>
      <c r="BA357" s="15"/>
      <c r="BB357" s="15"/>
      <c r="BC357" s="15"/>
      <c r="BD357" s="15"/>
      <c r="BE357" s="14"/>
      <c r="BF357" s="41">
        <f>B353*$F$13</f>
        <v>0</v>
      </c>
      <c r="BG357" s="34">
        <f t="shared" si="931"/>
        <v>0</v>
      </c>
      <c r="BH357" s="35">
        <f t="shared" si="928"/>
        <v>0</v>
      </c>
    </row>
    <row r="358" ht="15.75" customHeight="1" hidden="1" spans="1:60" x14ac:dyDescent="0.25">
      <c r="A358" s="29">
        <v>47</v>
      </c>
      <c r="B358" s="14"/>
      <c r="D358" s="14" t="s">
        <v>52</v>
      </c>
      <c r="E358" s="2" t="s">
        <v>39</v>
      </c>
      <c r="F358" s="41">
        <v>350</v>
      </c>
      <c r="G358" s="28"/>
      <c r="I358" s="13"/>
      <c r="J358" s="15"/>
      <c r="K358" s="15"/>
      <c r="L358" s="28"/>
      <c r="Q358" s="13"/>
      <c r="R358" s="15"/>
      <c r="S358" s="15"/>
      <c r="T358" s="28"/>
      <c r="Y358" s="13"/>
      <c r="Z358" s="15"/>
      <c r="AA358" s="34">
        <f>$F$14</f>
        <v>350</v>
      </c>
      <c r="AB358" s="35">
        <v>350</v>
      </c>
      <c r="AG358" s="13"/>
      <c r="AH358" s="15"/>
      <c r="AI358" s="15"/>
      <c r="AJ358" s="28"/>
      <c r="AK358" s="13"/>
      <c r="AL358" s="15"/>
      <c r="AM358" s="15"/>
      <c r="AN358" s="28"/>
      <c r="AO358" s="13"/>
      <c r="AP358" s="15"/>
      <c r="AQ358" s="15"/>
      <c r="AR358" s="28"/>
      <c r="AS358" s="15"/>
      <c r="AT358" s="15"/>
      <c r="AU358" s="15"/>
      <c r="AV358" s="15"/>
      <c r="AW358" s="13"/>
      <c r="AX358" s="15"/>
      <c r="AY358" s="15"/>
      <c r="AZ358" s="28"/>
      <c r="BA358" s="15"/>
      <c r="BB358" s="15"/>
      <c r="BC358" s="15"/>
      <c r="BD358" s="15"/>
      <c r="BE358" s="14"/>
      <c r="BF358" s="41">
        <f>$F$14</f>
        <v>350</v>
      </c>
      <c r="BG358" s="34">
        <f t="shared" si="931"/>
        <v>350</v>
      </c>
      <c r="BH358" s="35">
        <f t="shared" si="928"/>
        <v>0</v>
      </c>
    </row>
    <row r="359" ht="15.75" customHeight="1" hidden="1" spans="1:62" x14ac:dyDescent="0.25">
      <c r="A359" s="50">
        <v>47</v>
      </c>
      <c r="B359" s="21"/>
      <c r="C359" s="22" t="s">
        <v>53</v>
      </c>
      <c r="D359" s="21"/>
      <c r="E359" s="22"/>
      <c r="F359" s="20"/>
      <c r="G359" s="23"/>
      <c r="H359" s="51">
        <f>SUM(H352:H358)</f>
        <v>0</v>
      </c>
      <c r="I359" s="52"/>
      <c r="J359" s="53"/>
      <c r="K359" s="51">
        <f t="shared" ref="K359:L359" si="932">SUM(K352:K358)</f>
        <v>0</v>
      </c>
      <c r="L359" s="68">
        <f t="shared" si="932"/>
        <v>0</v>
      </c>
      <c r="M359" s="53"/>
      <c r="N359" s="53"/>
      <c r="O359" s="51">
        <f t="shared" ref="O359:P359" si="933">SUM(O353:O358)</f>
        <v>0</v>
      </c>
      <c r="P359" s="51">
        <f t="shared" si="933"/>
        <v>0</v>
      </c>
      <c r="Q359" s="52"/>
      <c r="R359" s="53"/>
      <c r="S359" s="51">
        <f t="shared" ref="S359:T359" si="934">SUM(S353:S358)</f>
        <v>0</v>
      </c>
      <c r="T359" s="68">
        <f t="shared" si="934"/>
        <v>0</v>
      </c>
      <c r="U359" s="53"/>
      <c r="V359" s="53"/>
      <c r="W359" s="51">
        <f t="shared" ref="W359:X359" si="935">SUM(W353:W358)</f>
        <v>2.49</v>
      </c>
      <c r="X359" s="51">
        <f t="shared" si="935"/>
        <v>2.49</v>
      </c>
      <c r="Y359" s="52"/>
      <c r="Z359" s="53"/>
      <c r="AA359" s="51">
        <f t="shared" ref="AA359:AB359" si="936">SUM(AA353:AA358)</f>
        <v>352.49</v>
      </c>
      <c r="AB359" s="68">
        <f t="shared" si="936"/>
        <v>352.49</v>
      </c>
      <c r="AC359" s="53"/>
      <c r="AD359" s="53"/>
      <c r="AE359" s="51">
        <f t="shared" ref="AE359:AF359" si="937">SUM(AE353:AE358)</f>
        <v>5326.85</v>
      </c>
      <c r="AF359" s="51">
        <f t="shared" si="937"/>
        <v>5314.4</v>
      </c>
      <c r="AG359" s="52"/>
      <c r="AH359" s="53"/>
      <c r="AI359" s="51">
        <f t="shared" ref="AI359:AJ359" si="938">SUM(AI353:AI358)</f>
        <v>9.96</v>
      </c>
      <c r="AJ359" s="68">
        <f t="shared" si="938"/>
        <v>0</v>
      </c>
      <c r="AK359" s="52"/>
      <c r="AL359" s="53"/>
      <c r="AM359" s="51">
        <f t="shared" ref="AM359:AN359" si="939">SUM(AM353:AM358)</f>
        <v>143.68</v>
      </c>
      <c r="AN359" s="68">
        <f t="shared" si="939"/>
        <v>146.17</v>
      </c>
      <c r="AO359" s="52"/>
      <c r="AP359" s="53"/>
      <c r="AQ359" s="51">
        <f t="shared" ref="AQ359:AR359" si="940">SUM(AQ353:AQ358)</f>
        <v>47.81</v>
      </c>
      <c r="AR359" s="68">
        <f t="shared" si="940"/>
        <v>67.73</v>
      </c>
      <c r="AS359" s="53"/>
      <c r="AT359" s="53"/>
      <c r="AU359" s="51">
        <f t="shared" ref="AU359:AV359" si="941">SUM(AU353:AU358)</f>
        <v>0</v>
      </c>
      <c r="AV359" s="51">
        <f t="shared" si="941"/>
        <v>0</v>
      </c>
      <c r="AW359" s="52"/>
      <c r="AX359" s="53"/>
      <c r="AY359" s="51">
        <f t="shared" ref="AY359:AZ359" si="942">SUM(AY353:AY358)</f>
        <v>0</v>
      </c>
      <c r="AZ359" s="68">
        <f t="shared" si="942"/>
        <v>0</v>
      </c>
      <c r="BA359" s="53"/>
      <c r="BB359" s="53"/>
      <c r="BC359" s="51">
        <f t="shared" ref="BC359:BD359" si="943">SUM(BC353:BC358)</f>
        <v>0</v>
      </c>
      <c r="BD359" s="51">
        <f t="shared" si="943"/>
        <v>0</v>
      </c>
      <c r="BE359" s="69"/>
      <c r="BF359" s="70">
        <f t="shared" ref="BF359:BH359" si="944">SUM(BF352:BF358)</f>
        <v>5883.28</v>
      </c>
      <c r="BG359" s="71">
        <f t="shared" si="944"/>
        <v>5883.28</v>
      </c>
      <c r="BH359" s="72">
        <f t="shared" si="944"/>
        <v>0</v>
      </c>
      <c r="BI359" s="34">
        <f>H359+BF359-BG359</f>
        <v>0</v>
      </c>
      <c r="BJ359" s="34">
        <f>BH359-BI359</f>
        <v>0</v>
      </c>
    </row>
    <row r="360" ht="15.75" customHeight="1" hidden="1" spans="1:60" x14ac:dyDescent="0.25">
      <c r="A360" s="29">
        <v>48</v>
      </c>
      <c r="B360" s="14"/>
      <c r="D360" s="14" t="s">
        <v>42</v>
      </c>
      <c r="F360" s="13"/>
      <c r="G360" s="28"/>
      <c r="I360" s="13"/>
      <c r="J360" s="15"/>
      <c r="K360" s="15"/>
      <c r="L360" s="28"/>
      <c r="Q360" s="13"/>
      <c r="R360" s="15"/>
      <c r="S360" s="15"/>
      <c r="T360" s="28"/>
      <c r="Y360" s="13"/>
      <c r="Z360" s="15"/>
      <c r="AA360" s="15"/>
      <c r="AB360" s="28"/>
      <c r="AG360" s="13"/>
      <c r="AH360" s="15"/>
      <c r="AI360" s="15"/>
      <c r="AJ360" s="28"/>
      <c r="AK360" s="13"/>
      <c r="AL360" s="15"/>
      <c r="AM360" s="15"/>
      <c r="AN360" s="28"/>
      <c r="AO360" s="13"/>
      <c r="AP360" s="15"/>
      <c r="AQ360" s="15"/>
      <c r="AR360" s="28"/>
      <c r="AW360" s="13"/>
      <c r="AX360" s="15"/>
      <c r="AY360" s="15"/>
      <c r="AZ360" s="28"/>
      <c r="BE360" s="14"/>
      <c r="BF360" s="13"/>
      <c r="BG360" s="15"/>
      <c r="BH360" s="28"/>
    </row>
    <row r="361" ht="15.75" customHeight="1" hidden="1" spans="1:60" x14ac:dyDescent="0.25">
      <c r="A361" s="2">
        <v>48</v>
      </c>
      <c r="B361" s="14">
        <v>5.93</v>
      </c>
      <c r="C361" s="73" t="s">
        <v>97</v>
      </c>
      <c r="D361" s="14" t="s">
        <v>44</v>
      </c>
      <c r="E361" s="2" t="s">
        <v>45</v>
      </c>
      <c r="F361" s="13">
        <v>2.49</v>
      </c>
      <c r="G361" s="28"/>
      <c r="H361" s="74"/>
      <c r="I361" s="13"/>
      <c r="J361" s="15"/>
      <c r="K361" s="15"/>
      <c r="L361" s="28"/>
      <c r="Q361" s="13"/>
      <c r="R361" s="15"/>
      <c r="S361" s="15"/>
      <c r="T361" s="28"/>
      <c r="Y361" s="13"/>
      <c r="Z361" s="15">
        <f>Y361-U361</f>
        <v>0</v>
      </c>
      <c r="AA361" s="34">
        <f>Z361*$F$8</f>
        <v>0</v>
      </c>
      <c r="AB361" s="28"/>
      <c r="AC361" s="15"/>
      <c r="AD361" s="15">
        <f t="shared" ref="AD361:AD362" si="945">AC361-Y361</f>
        <v>0</v>
      </c>
      <c r="AE361" s="34">
        <f>AD361*$F$8</f>
        <v>0</v>
      </c>
      <c r="AG361" s="13"/>
      <c r="AH361" s="15">
        <f t="shared" ref="AH361:AH362" si="946">AG361-AC361</f>
        <v>0</v>
      </c>
      <c r="AI361" s="34">
        <f>AH361*$F$8</f>
        <v>0</v>
      </c>
      <c r="AJ361" s="28"/>
      <c r="AK361" s="13"/>
      <c r="AL361" s="15">
        <f t="shared" ref="AL361:AL362" si="947">AK361-AG361</f>
        <v>0</v>
      </c>
      <c r="AM361" s="34">
        <f>AL361*$F$8</f>
        <v>0</v>
      </c>
      <c r="AN361" s="28"/>
      <c r="AO361" s="13"/>
      <c r="AP361" s="15"/>
      <c r="AQ361" s="34">
        <f>AP361*$F$8</f>
        <v>0</v>
      </c>
      <c r="AR361" s="28"/>
      <c r="AS361" s="15"/>
      <c r="AT361" s="15"/>
      <c r="AU361" s="34">
        <f>AT361*$F$8</f>
        <v>0</v>
      </c>
      <c r="AV361" s="15"/>
      <c r="AW361" s="13"/>
      <c r="AX361" s="15"/>
      <c r="AY361" s="34">
        <f>AX361*$F$8</f>
        <v>0</v>
      </c>
      <c r="AZ361" s="28"/>
      <c r="BA361" s="15"/>
      <c r="BB361" s="15"/>
      <c r="BC361" s="34">
        <f>BB361*$F$8</f>
        <v>0</v>
      </c>
      <c r="BD361" s="15"/>
      <c r="BE361" s="40">
        <f t="shared" ref="BE361:BG361" si="948">J361+N361+R361+V361+Z361+AD361+AH361+AL361+AP361+AT361+AX361+BB361</f>
        <v>0</v>
      </c>
      <c r="BF361" s="41">
        <f t="shared" si="948"/>
        <v>0</v>
      </c>
      <c r="BG361" s="34">
        <f t="shared" si="948"/>
        <v>0</v>
      </c>
      <c r="BH361" s="35">
        <f t="shared" ref="BH361:BH366" si="949">H361+BF361-BG361</f>
        <v>0</v>
      </c>
    </row>
    <row r="362" ht="15.75" customHeight="1" hidden="1" spans="1:60" x14ac:dyDescent="0.25">
      <c r="A362" s="29">
        <v>48</v>
      </c>
      <c r="B362" s="14"/>
      <c r="C362" s="2" t="s">
        <v>196</v>
      </c>
      <c r="D362" s="14" t="s">
        <v>47</v>
      </c>
      <c r="E362" s="2" t="s">
        <v>48</v>
      </c>
      <c r="F362" s="13">
        <v>17.16</v>
      </c>
      <c r="G362" s="28"/>
      <c r="H362" s="81">
        <f>17.16+17.16</f>
        <v>34.32</v>
      </c>
      <c r="I362" s="13"/>
      <c r="J362" s="15"/>
      <c r="K362" s="15"/>
      <c r="L362" s="28"/>
      <c r="Q362" s="13"/>
      <c r="R362" s="15"/>
      <c r="S362" s="15"/>
      <c r="T362" s="28"/>
      <c r="Y362" s="95">
        <f>16+49</f>
        <v>65</v>
      </c>
      <c r="Z362" s="15"/>
      <c r="AA362" s="15"/>
      <c r="AB362" s="28"/>
      <c r="AC362" s="13">
        <f>16+49</f>
        <v>65</v>
      </c>
      <c r="AD362" s="15">
        <f t="shared" si="945"/>
        <v>0</v>
      </c>
      <c r="AE362" s="34">
        <f>AD362*$F$10</f>
        <v>0</v>
      </c>
      <c r="AG362" s="13">
        <f>16+49</f>
        <v>65</v>
      </c>
      <c r="AH362" s="15">
        <f t="shared" si="946"/>
        <v>0</v>
      </c>
      <c r="AI362" s="45">
        <f>AH362*$G$10</f>
        <v>0</v>
      </c>
      <c r="AJ362" s="28"/>
      <c r="AK362" s="75">
        <f>(16+49)+18</f>
        <v>83</v>
      </c>
      <c r="AL362" s="15">
        <f t="shared" si="947"/>
        <v>18</v>
      </c>
      <c r="AM362" s="45">
        <f>AL362*$G$10</f>
        <v>318.24</v>
      </c>
      <c r="AN362" s="32">
        <v>318.24</v>
      </c>
      <c r="AO362" s="75">
        <f>(16+49)+18</f>
        <v>83</v>
      </c>
      <c r="AP362" s="15">
        <f>AO362-AK362</f>
        <v>0</v>
      </c>
      <c r="AQ362" s="45">
        <f>AP362*$G$10</f>
        <v>0</v>
      </c>
      <c r="AR362" s="28"/>
      <c r="AS362" s="15"/>
      <c r="AT362" s="15"/>
      <c r="AU362" s="15"/>
      <c r="AV362" s="15"/>
      <c r="AW362" s="13"/>
      <c r="AX362" s="15"/>
      <c r="AY362" s="15"/>
      <c r="AZ362" s="28"/>
      <c r="BA362" s="15"/>
      <c r="BB362" s="15"/>
      <c r="BC362" s="15"/>
      <c r="BD362" s="15"/>
      <c r="BE362" s="40">
        <f t="shared" ref="BE362:BG362" si="950">J362+N362+R362+V362+Z362+AD362+AH362+AL362+AP362+AT362+AX362+BB362</f>
        <v>18</v>
      </c>
      <c r="BF362" s="41">
        <f t="shared" si="950"/>
        <v>318.24</v>
      </c>
      <c r="BG362" s="34">
        <f t="shared" si="950"/>
        <v>318.24</v>
      </c>
      <c r="BH362" s="35">
        <f t="shared" si="949"/>
        <v>34.32</v>
      </c>
    </row>
    <row r="363" ht="15.75" customHeight="1" hidden="1" spans="1:60" x14ac:dyDescent="0.25">
      <c r="A363" s="29">
        <v>48</v>
      </c>
      <c r="B363" s="14"/>
      <c r="D363" s="14" t="s">
        <v>47</v>
      </c>
      <c r="E363" s="2" t="s">
        <v>49</v>
      </c>
      <c r="F363" s="41">
        <v>300</v>
      </c>
      <c r="G363" s="28"/>
      <c r="I363" s="13"/>
      <c r="J363" s="15"/>
      <c r="K363" s="15"/>
      <c r="L363" s="28"/>
      <c r="Q363" s="13"/>
      <c r="R363" s="15"/>
      <c r="S363" s="15"/>
      <c r="T363" s="28"/>
      <c r="Y363" s="13"/>
      <c r="Z363" s="15"/>
      <c r="AA363" s="15"/>
      <c r="AB363" s="28"/>
      <c r="AG363" s="13"/>
      <c r="AH363" s="15"/>
      <c r="AI363" s="15"/>
      <c r="AJ363" s="28"/>
      <c r="AK363" s="13"/>
      <c r="AL363" s="15"/>
      <c r="AM363" s="34"/>
      <c r="AN363" s="28"/>
      <c r="AO363" s="13"/>
      <c r="AP363" s="15"/>
      <c r="AQ363" s="34"/>
      <c r="AR363" s="28"/>
      <c r="AS363" s="15"/>
      <c r="AT363" s="15"/>
      <c r="AU363" s="15"/>
      <c r="AV363" s="15"/>
      <c r="AW363" s="13"/>
      <c r="AX363" s="15"/>
      <c r="AY363" s="15"/>
      <c r="AZ363" s="28"/>
      <c r="BA363" s="15"/>
      <c r="BB363" s="15"/>
      <c r="BC363" s="15"/>
      <c r="BD363" s="15"/>
      <c r="BE363" s="14"/>
      <c r="BF363" s="41">
        <f t="shared" ref="BF363:BG363" si="951">K363+O363+S363+W363+AA363+AE363+AI363+AM363+AQ363+AU363+AY363+BC363</f>
        <v>0</v>
      </c>
      <c r="BG363" s="34">
        <f t="shared" si="951"/>
        <v>0</v>
      </c>
      <c r="BH363" s="35">
        <f t="shared" si="949"/>
        <v>0</v>
      </c>
    </row>
    <row r="364" ht="15.75" customHeight="1" hidden="1" spans="1:60" x14ac:dyDescent="0.25">
      <c r="A364" s="29">
        <v>48</v>
      </c>
      <c r="B364" s="14"/>
      <c r="D364" s="14" t="s">
        <v>50</v>
      </c>
      <c r="E364" s="2" t="s">
        <v>49</v>
      </c>
      <c r="F364" s="41">
        <v>1062.88</v>
      </c>
      <c r="G364" s="28"/>
      <c r="I364" s="13"/>
      <c r="J364" s="15"/>
      <c r="K364" s="15"/>
      <c r="L364" s="28"/>
      <c r="Q364" s="13"/>
      <c r="R364" s="15"/>
      <c r="S364" s="15"/>
      <c r="T364" s="28"/>
      <c r="Y364" s="13"/>
      <c r="Z364" s="15"/>
      <c r="AA364" s="15"/>
      <c r="AB364" s="28"/>
      <c r="AE364" s="34">
        <f>B361*$F$12</f>
        <v>6302.8784</v>
      </c>
      <c r="AG364" s="13"/>
      <c r="AH364" s="15"/>
      <c r="AI364" s="15"/>
      <c r="AJ364" s="28"/>
      <c r="AK364" s="13"/>
      <c r="AL364" s="15"/>
      <c r="AM364" s="15"/>
      <c r="AN364" s="32">
        <v>6302.88</v>
      </c>
      <c r="AO364" s="13"/>
      <c r="AP364" s="15"/>
      <c r="AQ364" s="15"/>
      <c r="AR364" s="28"/>
      <c r="AS364" s="15"/>
      <c r="AT364" s="15"/>
      <c r="AU364" s="15"/>
      <c r="AV364" s="15"/>
      <c r="AW364" s="13"/>
      <c r="AX364" s="15"/>
      <c r="AY364" s="15"/>
      <c r="AZ364" s="28"/>
      <c r="BA364" s="15"/>
      <c r="BB364" s="15"/>
      <c r="BC364" s="15"/>
      <c r="BD364" s="15"/>
      <c r="BE364" s="14"/>
      <c r="BF364" s="41">
        <f>B361*$F$12</f>
        <v>6302.8784</v>
      </c>
      <c r="BG364" s="34">
        <f t="shared" ref="BG364:BG366" si="952">L364+P364+T364+X364+AB364+AF364+AJ364+AN364+AR364+AV364+AZ364+BD364</f>
        <v>6302.88</v>
      </c>
      <c r="BH364" s="35">
        <f t="shared" si="949"/>
        <v>-0.0016</v>
      </c>
    </row>
    <row r="365" ht="15.75" customHeight="1" hidden="1" spans="1:60" x14ac:dyDescent="0.25">
      <c r="A365" s="29">
        <v>48</v>
      </c>
      <c r="B365" s="14"/>
      <c r="D365" s="14" t="s">
        <v>51</v>
      </c>
      <c r="E365" s="2" t="s">
        <v>49</v>
      </c>
      <c r="F365" s="41">
        <v>0</v>
      </c>
      <c r="G365" s="28"/>
      <c r="I365" s="13"/>
      <c r="J365" s="15"/>
      <c r="K365" s="15"/>
      <c r="L365" s="28"/>
      <c r="Q365" s="13"/>
      <c r="R365" s="15"/>
      <c r="S365" s="15"/>
      <c r="T365" s="28"/>
      <c r="Y365" s="13"/>
      <c r="Z365" s="15"/>
      <c r="AA365" s="15"/>
      <c r="AB365" s="28"/>
      <c r="AG365" s="13"/>
      <c r="AH365" s="15"/>
      <c r="AI365" s="15"/>
      <c r="AJ365" s="28"/>
      <c r="AK365" s="13"/>
      <c r="AL365" s="15"/>
      <c r="AM365" s="15"/>
      <c r="AN365" s="28"/>
      <c r="AO365" s="13"/>
      <c r="AP365" s="15"/>
      <c r="AQ365" s="15"/>
      <c r="AR365" s="28"/>
      <c r="AS365" s="15"/>
      <c r="AT365" s="15"/>
      <c r="AU365" s="15"/>
      <c r="AV365" s="15"/>
      <c r="AW365" s="13"/>
      <c r="AX365" s="15"/>
      <c r="AY365" s="15"/>
      <c r="AZ365" s="28"/>
      <c r="BA365" s="15"/>
      <c r="BB365" s="15"/>
      <c r="BC365" s="15"/>
      <c r="BD365" s="15"/>
      <c r="BE365" s="14"/>
      <c r="BF365" s="41">
        <f>B361*$F$13</f>
        <v>0</v>
      </c>
      <c r="BG365" s="34">
        <f t="shared" si="952"/>
        <v>0</v>
      </c>
      <c r="BH365" s="35">
        <f t="shared" si="949"/>
        <v>0</v>
      </c>
    </row>
    <row r="366" ht="15.75" customHeight="1" hidden="1" spans="1:60" x14ac:dyDescent="0.25">
      <c r="A366" s="29">
        <v>48</v>
      </c>
      <c r="B366" s="14"/>
      <c r="D366" s="14" t="s">
        <v>52</v>
      </c>
      <c r="E366" s="2" t="s">
        <v>39</v>
      </c>
      <c r="F366" s="41">
        <v>350</v>
      </c>
      <c r="G366" s="28"/>
      <c r="I366" s="13"/>
      <c r="J366" s="15"/>
      <c r="K366" s="15"/>
      <c r="L366" s="28"/>
      <c r="Q366" s="13"/>
      <c r="R366" s="15"/>
      <c r="S366" s="15"/>
      <c r="T366" s="28"/>
      <c r="Y366" s="13"/>
      <c r="Z366" s="15"/>
      <c r="AA366" s="34">
        <f>$F$14</f>
        <v>350</v>
      </c>
      <c r="AB366" s="28"/>
      <c r="AG366" s="13"/>
      <c r="AH366" s="15"/>
      <c r="AI366" s="15"/>
      <c r="AJ366" s="28"/>
      <c r="AK366" s="13"/>
      <c r="AL366" s="15"/>
      <c r="AM366" s="15"/>
      <c r="AN366" s="38">
        <v>350</v>
      </c>
      <c r="AO366" s="13"/>
      <c r="AP366" s="15"/>
      <c r="AQ366" s="15"/>
      <c r="AR366" s="28"/>
      <c r="AS366" s="15"/>
      <c r="AT366" s="15"/>
      <c r="AU366" s="15"/>
      <c r="AV366" s="15"/>
      <c r="AW366" s="13"/>
      <c r="AX366" s="15"/>
      <c r="AY366" s="15"/>
      <c r="AZ366" s="28"/>
      <c r="BA366" s="15"/>
      <c r="BB366" s="15"/>
      <c r="BC366" s="15"/>
      <c r="BD366" s="15"/>
      <c r="BE366" s="14"/>
      <c r="BF366" s="41">
        <f>$F$14</f>
        <v>350</v>
      </c>
      <c r="BG366" s="34">
        <f t="shared" si="952"/>
        <v>350</v>
      </c>
      <c r="BH366" s="35">
        <f t="shared" si="949"/>
        <v>0</v>
      </c>
    </row>
    <row r="367" ht="15.75" customHeight="1" hidden="1" spans="1:62" x14ac:dyDescent="0.25">
      <c r="A367" s="50">
        <v>48</v>
      </c>
      <c r="B367" s="21"/>
      <c r="C367" s="22" t="s">
        <v>53</v>
      </c>
      <c r="D367" s="21"/>
      <c r="E367" s="22"/>
      <c r="F367" s="20"/>
      <c r="G367" s="23"/>
      <c r="H367" s="51">
        <f>SUM(H360:H366)</f>
        <v>34.32</v>
      </c>
      <c r="I367" s="52"/>
      <c r="J367" s="53"/>
      <c r="K367" s="51">
        <f t="shared" ref="K367:L367" si="953">SUM(K360:K366)</f>
        <v>0</v>
      </c>
      <c r="L367" s="68">
        <f t="shared" si="953"/>
        <v>0</v>
      </c>
      <c r="M367" s="53"/>
      <c r="N367" s="53"/>
      <c r="O367" s="51">
        <f t="shared" ref="O367:P367" si="954">SUM(O361:O366)</f>
        <v>0</v>
      </c>
      <c r="P367" s="51">
        <f t="shared" si="954"/>
        <v>0</v>
      </c>
      <c r="Q367" s="52"/>
      <c r="R367" s="53"/>
      <c r="S367" s="51">
        <f t="shared" ref="S367:T367" si="955">SUM(S361:S366)</f>
        <v>0</v>
      </c>
      <c r="T367" s="68">
        <f t="shared" si="955"/>
        <v>0</v>
      </c>
      <c r="U367" s="53"/>
      <c r="V367" s="53"/>
      <c r="W367" s="51">
        <f t="shared" ref="W367:X367" si="956">SUM(W361:W366)</f>
        <v>0</v>
      </c>
      <c r="X367" s="51">
        <f t="shared" si="956"/>
        <v>0</v>
      </c>
      <c r="Y367" s="52"/>
      <c r="Z367" s="53"/>
      <c r="AA367" s="51">
        <f t="shared" ref="AA367:AB367" si="957">SUM(AA361:AA366)</f>
        <v>350</v>
      </c>
      <c r="AB367" s="68">
        <f t="shared" si="957"/>
        <v>0</v>
      </c>
      <c r="AC367" s="53"/>
      <c r="AD367" s="53"/>
      <c r="AE367" s="51">
        <f t="shared" ref="AE367:AF367" si="958">SUM(AE361:AE366)</f>
        <v>6302.8784</v>
      </c>
      <c r="AF367" s="51">
        <f t="shared" si="958"/>
        <v>0</v>
      </c>
      <c r="AG367" s="52"/>
      <c r="AH367" s="53"/>
      <c r="AI367" s="51">
        <f t="shared" ref="AI367:AJ367" si="959">SUM(AI361:AI366)</f>
        <v>0</v>
      </c>
      <c r="AJ367" s="68">
        <f t="shared" si="959"/>
        <v>0</v>
      </c>
      <c r="AK367" s="52"/>
      <c r="AL367" s="53"/>
      <c r="AM367" s="51">
        <f t="shared" ref="AM367:AN367" si="960">SUM(AM361:AM366)</f>
        <v>318.24</v>
      </c>
      <c r="AN367" s="68">
        <f t="shared" si="960"/>
        <v>6971.12</v>
      </c>
      <c r="AO367" s="52"/>
      <c r="AP367" s="53"/>
      <c r="AQ367" s="51">
        <f t="shared" ref="AQ367:AR367" si="961">SUM(AQ361:AQ366)</f>
        <v>0</v>
      </c>
      <c r="AR367" s="68">
        <f t="shared" si="961"/>
        <v>0</v>
      </c>
      <c r="AS367" s="53"/>
      <c r="AT367" s="53"/>
      <c r="AU367" s="51">
        <f t="shared" ref="AU367:AV367" si="962">SUM(AU361:AU366)</f>
        <v>0</v>
      </c>
      <c r="AV367" s="51">
        <f t="shared" si="962"/>
        <v>0</v>
      </c>
      <c r="AW367" s="52"/>
      <c r="AX367" s="53"/>
      <c r="AY367" s="51">
        <f t="shared" ref="AY367:AZ367" si="963">SUM(AY361:AY366)</f>
        <v>0</v>
      </c>
      <c r="AZ367" s="68">
        <f t="shared" si="963"/>
        <v>0</v>
      </c>
      <c r="BA367" s="53"/>
      <c r="BB367" s="53"/>
      <c r="BC367" s="51">
        <f t="shared" ref="BC367:BD367" si="964">SUM(BC361:BC366)</f>
        <v>0</v>
      </c>
      <c r="BD367" s="51">
        <f t="shared" si="964"/>
        <v>0</v>
      </c>
      <c r="BE367" s="69"/>
      <c r="BF367" s="70">
        <f t="shared" ref="BF367:BH367" si="965">SUM(BF360:BF366)</f>
        <v>6971.1184</v>
      </c>
      <c r="BG367" s="71">
        <f t="shared" si="965"/>
        <v>6971.12</v>
      </c>
      <c r="BH367" s="72">
        <f t="shared" si="965"/>
        <v>34.3184</v>
      </c>
      <c r="BI367" s="34">
        <f>H367+BF367-BG367</f>
        <v>34.3184</v>
      </c>
      <c r="BJ367" s="34">
        <f>BH367-BI367</f>
        <v>0</v>
      </c>
    </row>
    <row r="368" ht="15.75" customHeight="1" hidden="1" spans="1:60" x14ac:dyDescent="0.25">
      <c r="A368" s="29">
        <v>49</v>
      </c>
      <c r="B368" s="14"/>
      <c r="D368" s="14" t="s">
        <v>42</v>
      </c>
      <c r="F368" s="13"/>
      <c r="G368" s="28"/>
      <c r="I368" s="13"/>
      <c r="J368" s="15"/>
      <c r="K368" s="15"/>
      <c r="L368" s="28"/>
      <c r="Q368" s="13"/>
      <c r="R368" s="15"/>
      <c r="S368" s="15"/>
      <c r="T368" s="28"/>
      <c r="Y368" s="13"/>
      <c r="Z368" s="15"/>
      <c r="AA368" s="15"/>
      <c r="AB368" s="28"/>
      <c r="AG368" s="13"/>
      <c r="AH368" s="15"/>
      <c r="AI368" s="15"/>
      <c r="AJ368" s="28"/>
      <c r="AK368" s="13"/>
      <c r="AL368" s="15"/>
      <c r="AM368" s="15"/>
      <c r="AN368" s="28"/>
      <c r="AO368" s="13"/>
      <c r="AP368" s="15"/>
      <c r="AQ368" s="15"/>
      <c r="AR368" s="28"/>
      <c r="AW368" s="13"/>
      <c r="AX368" s="15"/>
      <c r="AY368" s="15"/>
      <c r="AZ368" s="28"/>
      <c r="BE368" s="14"/>
      <c r="BF368" s="13"/>
      <c r="BG368" s="15"/>
      <c r="BH368" s="28"/>
    </row>
    <row r="369" ht="15.75" customHeight="1" hidden="1" spans="1:60" x14ac:dyDescent="0.25">
      <c r="A369" s="2">
        <v>49</v>
      </c>
      <c r="B369" s="14">
        <v>5.03</v>
      </c>
      <c r="C369" s="2" t="s">
        <v>197</v>
      </c>
      <c r="D369" s="14" t="s">
        <v>44</v>
      </c>
      <c r="E369" s="2" t="s">
        <v>45</v>
      </c>
      <c r="F369" s="13">
        <v>2.49</v>
      </c>
      <c r="G369" s="28"/>
      <c r="H369" s="74"/>
      <c r="I369" s="13"/>
      <c r="J369" s="15"/>
      <c r="K369" s="15"/>
      <c r="L369" s="28"/>
      <c r="Q369" s="13"/>
      <c r="R369" s="15"/>
      <c r="S369" s="15"/>
      <c r="T369" s="28"/>
      <c r="Y369" s="13"/>
      <c r="Z369" s="15">
        <f>Y369-U369</f>
        <v>0</v>
      </c>
      <c r="AA369" s="34">
        <f>Z369*$F$8</f>
        <v>0</v>
      </c>
      <c r="AB369" s="28"/>
      <c r="AC369" s="15"/>
      <c r="AD369" s="15">
        <f t="shared" ref="AD369:AD370" si="966">AC369-Y369</f>
        <v>0</v>
      </c>
      <c r="AE369" s="34">
        <f>AD369*$F$8</f>
        <v>0</v>
      </c>
      <c r="AG369" s="13"/>
      <c r="AH369" s="15">
        <f t="shared" ref="AH369:AH370" si="967">AG369-AC369</f>
        <v>0</v>
      </c>
      <c r="AI369" s="34">
        <f>AH369*$F$8</f>
        <v>0</v>
      </c>
      <c r="AJ369" s="28"/>
      <c r="AK369" s="13"/>
      <c r="AL369" s="15">
        <f t="shared" ref="AL369:AL370" si="968">AK369-AG369</f>
        <v>0</v>
      </c>
      <c r="AM369" s="34">
        <f>AL369*$F$8</f>
        <v>0</v>
      </c>
      <c r="AN369" s="28"/>
      <c r="AO369" s="13"/>
      <c r="AP369" s="15"/>
      <c r="AQ369" s="34">
        <f>AP369*$F$8</f>
        <v>0</v>
      </c>
      <c r="AR369" s="28"/>
      <c r="AS369" s="15"/>
      <c r="AT369" s="15"/>
      <c r="AU369" s="34">
        <f>AT369*$F$8</f>
        <v>0</v>
      </c>
      <c r="AV369" s="15"/>
      <c r="AW369" s="13"/>
      <c r="AX369" s="15"/>
      <c r="AY369" s="34">
        <f>AX369*$F$8</f>
        <v>0</v>
      </c>
      <c r="AZ369" s="28"/>
      <c r="BA369" s="15"/>
      <c r="BB369" s="15"/>
      <c r="BC369" s="34">
        <f>BB369*$F$8</f>
        <v>0</v>
      </c>
      <c r="BD369" s="15"/>
      <c r="BE369" s="40">
        <f t="shared" ref="BE369:BG369" si="969">J369+N369+R369+V369+Z369+AD369+AH369+AL369+AP369+AT369+AX369+BB369</f>
        <v>0</v>
      </c>
      <c r="BF369" s="41">
        <f t="shared" si="969"/>
        <v>0</v>
      </c>
      <c r="BG369" s="34">
        <f t="shared" si="969"/>
        <v>0</v>
      </c>
      <c r="BH369" s="35">
        <f t="shared" ref="BH369:BH374" si="970">H369+BF369-BG369</f>
        <v>0</v>
      </c>
    </row>
    <row r="370" ht="15.75" customHeight="1" hidden="1" spans="1:60" x14ac:dyDescent="0.25">
      <c r="A370" s="29">
        <v>49</v>
      </c>
      <c r="B370" s="14"/>
      <c r="C370" s="2" t="s">
        <v>198</v>
      </c>
      <c r="D370" s="14" t="s">
        <v>47</v>
      </c>
      <c r="E370" s="2" t="s">
        <v>48</v>
      </c>
      <c r="F370" s="13">
        <v>17.16</v>
      </c>
      <c r="G370" s="28"/>
      <c r="H370" s="73">
        <f>-(4*17.16)</f>
        <v>-68.64</v>
      </c>
      <c r="I370" s="13"/>
      <c r="J370" s="15"/>
      <c r="K370" s="15"/>
      <c r="L370" s="28"/>
      <c r="Q370" s="13"/>
      <c r="R370" s="15"/>
      <c r="S370" s="15"/>
      <c r="T370" s="28"/>
      <c r="Y370" s="13">
        <v>105</v>
      </c>
      <c r="Z370" s="15"/>
      <c r="AA370" s="15"/>
      <c r="AB370" s="28"/>
      <c r="AC370" s="2">
        <v>110</v>
      </c>
      <c r="AD370" s="15">
        <f t="shared" si="966"/>
        <v>5</v>
      </c>
      <c r="AE370" s="34">
        <f>AD370*$F$10</f>
        <v>85.8</v>
      </c>
      <c r="AF370" s="34">
        <v>85.8</v>
      </c>
      <c r="AG370" s="13">
        <v>110</v>
      </c>
      <c r="AH370" s="15">
        <f t="shared" si="967"/>
        <v>0</v>
      </c>
      <c r="AI370" s="45">
        <f>AH370*$G$10</f>
        <v>0</v>
      </c>
      <c r="AJ370" s="28"/>
      <c r="AK370" s="13">
        <v>125</v>
      </c>
      <c r="AL370" s="15">
        <f t="shared" si="968"/>
        <v>15</v>
      </c>
      <c r="AM370" s="45">
        <f>AL370*$G$10</f>
        <v>265.2</v>
      </c>
      <c r="AN370" s="32">
        <v>196.56</v>
      </c>
      <c r="AO370" s="13">
        <v>131</v>
      </c>
      <c r="AP370" s="15">
        <f>AO370-AK370</f>
        <v>6</v>
      </c>
      <c r="AQ370" s="45">
        <f>AP370*$G$10</f>
        <v>106.08</v>
      </c>
      <c r="AR370" s="32">
        <v>106.08</v>
      </c>
      <c r="AS370" s="15"/>
      <c r="AT370" s="15"/>
      <c r="AU370" s="15"/>
      <c r="AV370" s="15"/>
      <c r="AW370" s="13"/>
      <c r="AX370" s="15"/>
      <c r="AY370" s="15"/>
      <c r="AZ370" s="28"/>
      <c r="BA370" s="15"/>
      <c r="BB370" s="15"/>
      <c r="BC370" s="15"/>
      <c r="BD370" s="15"/>
      <c r="BE370" s="40">
        <f t="shared" ref="BE370:BG370" si="971">J370+N370+R370+V370+Z370+AD370+AH370+AL370+AP370+AT370+AX370+BB370</f>
        <v>26</v>
      </c>
      <c r="BF370" s="41">
        <f t="shared" si="971"/>
        <v>457.08</v>
      </c>
      <c r="BG370" s="34">
        <f t="shared" si="971"/>
        <v>388.44</v>
      </c>
      <c r="BH370" s="35">
        <f t="shared" si="970"/>
        <v>0</v>
      </c>
    </row>
    <row r="371" ht="15.75" customHeight="1" hidden="1" spans="1:60" x14ac:dyDescent="0.25">
      <c r="A371" s="29">
        <v>49</v>
      </c>
      <c r="B371" s="14"/>
      <c r="C371" s="2" t="s">
        <v>164</v>
      </c>
      <c r="D371" s="14" t="s">
        <v>47</v>
      </c>
      <c r="E371" s="2" t="s">
        <v>49</v>
      </c>
      <c r="F371" s="41">
        <v>300</v>
      </c>
      <c r="G371" s="28"/>
      <c r="I371" s="13"/>
      <c r="J371" s="15"/>
      <c r="K371" s="15"/>
      <c r="L371" s="28"/>
      <c r="Q371" s="13"/>
      <c r="R371" s="15"/>
      <c r="S371" s="15"/>
      <c r="T371" s="28"/>
      <c r="Y371" s="13"/>
      <c r="Z371" s="15"/>
      <c r="AA371" s="15"/>
      <c r="AB371" s="28"/>
      <c r="AG371" s="13"/>
      <c r="AH371" s="15"/>
      <c r="AI371" s="15"/>
      <c r="AJ371" s="28"/>
      <c r="AK371" s="13"/>
      <c r="AL371" s="15"/>
      <c r="AM371" s="34"/>
      <c r="AN371" s="28"/>
      <c r="AO371" s="13"/>
      <c r="AP371" s="15"/>
      <c r="AQ371" s="34"/>
      <c r="AR371" s="28"/>
      <c r="AS371" s="15"/>
      <c r="AT371" s="15"/>
      <c r="AU371" s="15"/>
      <c r="AV371" s="15"/>
      <c r="AW371" s="13"/>
      <c r="AX371" s="15"/>
      <c r="AY371" s="15"/>
      <c r="AZ371" s="28"/>
      <c r="BA371" s="15"/>
      <c r="BB371" s="15"/>
      <c r="BC371" s="15"/>
      <c r="BD371" s="15"/>
      <c r="BE371" s="14"/>
      <c r="BF371" s="41">
        <f t="shared" ref="BF371:BG371" si="972">K371+O371+S371+W371+AA371+AE371+AI371+AM371+AQ371+AU371+AY371+BC371</f>
        <v>0</v>
      </c>
      <c r="BG371" s="34">
        <f t="shared" si="972"/>
        <v>0</v>
      </c>
      <c r="BH371" s="35">
        <f t="shared" si="970"/>
        <v>0</v>
      </c>
    </row>
    <row r="372" ht="15.75" customHeight="1" hidden="1" spans="1:60" x14ac:dyDescent="0.25">
      <c r="A372" s="29">
        <v>49</v>
      </c>
      <c r="B372" s="14"/>
      <c r="C372" s="2" t="s">
        <v>199</v>
      </c>
      <c r="D372" s="14" t="s">
        <v>50</v>
      </c>
      <c r="E372" s="2" t="s">
        <v>49</v>
      </c>
      <c r="F372" s="41">
        <v>1062.88</v>
      </c>
      <c r="G372" s="28"/>
      <c r="I372" s="13"/>
      <c r="J372" s="15"/>
      <c r="K372" s="15"/>
      <c r="L372" s="28"/>
      <c r="Q372" s="13"/>
      <c r="R372" s="15"/>
      <c r="S372" s="15"/>
      <c r="T372" s="28"/>
      <c r="Y372" s="13"/>
      <c r="Z372" s="15"/>
      <c r="AA372" s="15"/>
      <c r="AB372" s="28"/>
      <c r="AE372" s="34">
        <f>B369*$F$12</f>
        <v>5346.2864</v>
      </c>
      <c r="AF372" s="34">
        <v>4000</v>
      </c>
      <c r="AG372" s="13"/>
      <c r="AH372" s="15"/>
      <c r="AI372" s="15"/>
      <c r="AJ372" s="28"/>
      <c r="AK372" s="13"/>
      <c r="AL372" s="15"/>
      <c r="AM372" s="15"/>
      <c r="AN372" s="28"/>
      <c r="AO372" s="13"/>
      <c r="AP372" s="15"/>
      <c r="AQ372" s="15"/>
      <c r="AR372" s="32">
        <v>1346.29</v>
      </c>
      <c r="AS372" s="15"/>
      <c r="AT372" s="15"/>
      <c r="AU372" s="15"/>
      <c r="AV372" s="15"/>
      <c r="AW372" s="13"/>
      <c r="AX372" s="15"/>
      <c r="AY372" s="15"/>
      <c r="AZ372" s="28"/>
      <c r="BA372" s="15"/>
      <c r="BB372" s="15"/>
      <c r="BC372" s="15"/>
      <c r="BD372" s="15"/>
      <c r="BE372" s="14"/>
      <c r="BF372" s="41">
        <f>B369*$F$12</f>
        <v>5346.2864</v>
      </c>
      <c r="BG372" s="34">
        <f t="shared" ref="BG372:BG374" si="973">L372+P372+T372+X372+AB372+AF372+AJ372+AN372+AR372+AV372+AZ372+BD372</f>
        <v>5346.29</v>
      </c>
      <c r="BH372" s="35">
        <f t="shared" si="970"/>
        <v>-0.003599999999</v>
      </c>
    </row>
    <row r="373" ht="15.75" customHeight="1" hidden="1" spans="1:60" x14ac:dyDescent="0.25">
      <c r="A373" s="29">
        <v>49</v>
      </c>
      <c r="B373" s="14"/>
      <c r="D373" s="14" t="s">
        <v>51</v>
      </c>
      <c r="E373" s="2" t="s">
        <v>49</v>
      </c>
      <c r="F373" s="41">
        <v>0</v>
      </c>
      <c r="G373" s="28"/>
      <c r="I373" s="13"/>
      <c r="J373" s="15"/>
      <c r="K373" s="15"/>
      <c r="L373" s="28"/>
      <c r="Q373" s="13"/>
      <c r="R373" s="15"/>
      <c r="S373" s="15"/>
      <c r="T373" s="28"/>
      <c r="Y373" s="13"/>
      <c r="Z373" s="15"/>
      <c r="AA373" s="15"/>
      <c r="AB373" s="28"/>
      <c r="AG373" s="13"/>
      <c r="AH373" s="15"/>
      <c r="AI373" s="15"/>
      <c r="AJ373" s="28"/>
      <c r="AK373" s="13"/>
      <c r="AL373" s="15"/>
      <c r="AM373" s="15"/>
      <c r="AN373" s="28"/>
      <c r="AO373" s="13"/>
      <c r="AP373" s="15"/>
      <c r="AQ373" s="15"/>
      <c r="AR373" s="28"/>
      <c r="AS373" s="15"/>
      <c r="AT373" s="15"/>
      <c r="AU373" s="15"/>
      <c r="AV373" s="15"/>
      <c r="AW373" s="13"/>
      <c r="AX373" s="15"/>
      <c r="AY373" s="15"/>
      <c r="AZ373" s="28"/>
      <c r="BA373" s="15"/>
      <c r="BB373" s="15"/>
      <c r="BC373" s="15"/>
      <c r="BD373" s="15"/>
      <c r="BE373" s="14"/>
      <c r="BF373" s="41">
        <f>B369*$F$13</f>
        <v>0</v>
      </c>
      <c r="BG373" s="34">
        <f t="shared" si="973"/>
        <v>0</v>
      </c>
      <c r="BH373" s="35">
        <f t="shared" si="970"/>
        <v>0</v>
      </c>
    </row>
    <row r="374" ht="15.75" customHeight="1" hidden="1" spans="1:60" x14ac:dyDescent="0.25">
      <c r="A374" s="29">
        <v>49</v>
      </c>
      <c r="B374" s="14"/>
      <c r="D374" s="14" t="s">
        <v>52</v>
      </c>
      <c r="E374" s="2" t="s">
        <v>39</v>
      </c>
      <c r="F374" s="41">
        <v>350</v>
      </c>
      <c r="G374" s="28"/>
      <c r="I374" s="13"/>
      <c r="J374" s="15"/>
      <c r="K374" s="15"/>
      <c r="L374" s="28"/>
      <c r="Q374" s="13"/>
      <c r="R374" s="15"/>
      <c r="S374" s="15"/>
      <c r="T374" s="28"/>
      <c r="Y374" s="13"/>
      <c r="Z374" s="15"/>
      <c r="AA374" s="34">
        <f>$F$14</f>
        <v>350</v>
      </c>
      <c r="AB374" s="35">
        <v>350</v>
      </c>
      <c r="AG374" s="13"/>
      <c r="AH374" s="15"/>
      <c r="AI374" s="15"/>
      <c r="AJ374" s="28"/>
      <c r="AK374" s="13"/>
      <c r="AL374" s="15"/>
      <c r="AM374" s="15"/>
      <c r="AN374" s="28"/>
      <c r="AO374" s="13"/>
      <c r="AP374" s="15"/>
      <c r="AQ374" s="15"/>
      <c r="AR374" s="28"/>
      <c r="AS374" s="15"/>
      <c r="AT374" s="15"/>
      <c r="AU374" s="15"/>
      <c r="AV374" s="15"/>
      <c r="AW374" s="13"/>
      <c r="AX374" s="15"/>
      <c r="AY374" s="15"/>
      <c r="AZ374" s="28"/>
      <c r="BA374" s="15"/>
      <c r="BB374" s="15"/>
      <c r="BC374" s="15"/>
      <c r="BD374" s="15"/>
      <c r="BE374" s="14"/>
      <c r="BF374" s="41">
        <f>$F$14</f>
        <v>350</v>
      </c>
      <c r="BG374" s="34">
        <f t="shared" si="973"/>
        <v>350</v>
      </c>
      <c r="BH374" s="35">
        <f t="shared" si="970"/>
        <v>0</v>
      </c>
    </row>
    <row r="375" ht="15.75" customHeight="1" hidden="1" spans="1:62" x14ac:dyDescent="0.25">
      <c r="A375" s="50">
        <v>49</v>
      </c>
      <c r="B375" s="21"/>
      <c r="C375" s="22" t="s">
        <v>53</v>
      </c>
      <c r="D375" s="21"/>
      <c r="E375" s="22"/>
      <c r="F375" s="20"/>
      <c r="G375" s="23"/>
      <c r="H375" s="51">
        <f>SUM(H368:H374)</f>
        <v>-68.64</v>
      </c>
      <c r="I375" s="52"/>
      <c r="J375" s="53"/>
      <c r="K375" s="51">
        <f t="shared" ref="K375:L375" si="974">SUM(K368:K374)</f>
        <v>0</v>
      </c>
      <c r="L375" s="68">
        <f t="shared" si="974"/>
        <v>0</v>
      </c>
      <c r="M375" s="53"/>
      <c r="N375" s="53"/>
      <c r="O375" s="51">
        <f t="shared" ref="O375:P375" si="975">SUM(O369:O374)</f>
        <v>0</v>
      </c>
      <c r="P375" s="51">
        <f t="shared" si="975"/>
        <v>0</v>
      </c>
      <c r="Q375" s="52"/>
      <c r="R375" s="53"/>
      <c r="S375" s="51">
        <f t="shared" ref="S375:T375" si="976">SUM(S369:S374)</f>
        <v>0</v>
      </c>
      <c r="T375" s="68">
        <f t="shared" si="976"/>
        <v>0</v>
      </c>
      <c r="U375" s="53"/>
      <c r="V375" s="53"/>
      <c r="W375" s="51">
        <f t="shared" ref="W375:X375" si="977">SUM(W369:W374)</f>
        <v>0</v>
      </c>
      <c r="X375" s="51">
        <f t="shared" si="977"/>
        <v>0</v>
      </c>
      <c r="Y375" s="52"/>
      <c r="Z375" s="53"/>
      <c r="AA375" s="51">
        <f t="shared" ref="AA375:AB375" si="978">SUM(AA369:AA374)</f>
        <v>350</v>
      </c>
      <c r="AB375" s="68">
        <f t="shared" si="978"/>
        <v>350</v>
      </c>
      <c r="AC375" s="53"/>
      <c r="AD375" s="53"/>
      <c r="AE375" s="51">
        <f t="shared" ref="AE375:AF375" si="979">SUM(AE369:AE374)</f>
        <v>5432.0864</v>
      </c>
      <c r="AF375" s="51">
        <f t="shared" si="979"/>
        <v>4085.8</v>
      </c>
      <c r="AG375" s="52"/>
      <c r="AH375" s="53"/>
      <c r="AI375" s="51">
        <f t="shared" ref="AI375:AJ375" si="980">SUM(AI369:AI374)</f>
        <v>0</v>
      </c>
      <c r="AJ375" s="68">
        <f t="shared" si="980"/>
        <v>0</v>
      </c>
      <c r="AK375" s="52"/>
      <c r="AL375" s="53"/>
      <c r="AM375" s="51">
        <f t="shared" ref="AM375:AN375" si="981">SUM(AM369:AM374)</f>
        <v>265.2</v>
      </c>
      <c r="AN375" s="68">
        <f t="shared" si="981"/>
        <v>196.56</v>
      </c>
      <c r="AO375" s="52"/>
      <c r="AP375" s="53"/>
      <c r="AQ375" s="51">
        <f t="shared" ref="AQ375:AR375" si="982">SUM(AQ369:AQ374)</f>
        <v>106.08</v>
      </c>
      <c r="AR375" s="68">
        <f t="shared" si="982"/>
        <v>1452.37</v>
      </c>
      <c r="AS375" s="53"/>
      <c r="AT375" s="53"/>
      <c r="AU375" s="51">
        <f t="shared" ref="AU375:AV375" si="983">SUM(AU369:AU374)</f>
        <v>0</v>
      </c>
      <c r="AV375" s="51">
        <f t="shared" si="983"/>
        <v>0</v>
      </c>
      <c r="AW375" s="52"/>
      <c r="AX375" s="53"/>
      <c r="AY375" s="51">
        <f t="shared" ref="AY375:AZ375" si="984">SUM(AY369:AY374)</f>
        <v>0</v>
      </c>
      <c r="AZ375" s="68">
        <f t="shared" si="984"/>
        <v>0</v>
      </c>
      <c r="BA375" s="53"/>
      <c r="BB375" s="53"/>
      <c r="BC375" s="51">
        <f t="shared" ref="BC375:BD375" si="985">SUM(BC369:BC374)</f>
        <v>0</v>
      </c>
      <c r="BD375" s="51">
        <f t="shared" si="985"/>
        <v>0</v>
      </c>
      <c r="BE375" s="69"/>
      <c r="BF375" s="70">
        <f t="shared" ref="BF375:BH375" si="986">SUM(BF368:BF374)</f>
        <v>6153.3664</v>
      </c>
      <c r="BG375" s="71">
        <f t="shared" si="986"/>
        <v>6084.73</v>
      </c>
      <c r="BH375" s="72">
        <f t="shared" si="986"/>
        <v>-0.003599999999</v>
      </c>
      <c r="BI375" s="34">
        <f>H375+BF375-BG375</f>
        <v>-0.003599999999</v>
      </c>
      <c r="BJ375" s="34">
        <f>BH375-BI375</f>
        <v>0</v>
      </c>
    </row>
    <row r="376" ht="15.75" customHeight="1" hidden="1" spans="1:60" x14ac:dyDescent="0.25">
      <c r="A376" s="29">
        <v>50</v>
      </c>
      <c r="B376" s="14"/>
      <c r="D376" s="14" t="s">
        <v>42</v>
      </c>
      <c r="F376" s="13"/>
      <c r="G376" s="28"/>
      <c r="I376" s="13"/>
      <c r="J376" s="15"/>
      <c r="K376" s="15"/>
      <c r="L376" s="28"/>
      <c r="Q376" s="13"/>
      <c r="R376" s="15"/>
      <c r="S376" s="15"/>
      <c r="T376" s="28"/>
      <c r="Y376" s="13"/>
      <c r="Z376" s="15"/>
      <c r="AA376" s="15"/>
      <c r="AB376" s="28"/>
      <c r="AG376" s="13"/>
      <c r="AH376" s="15"/>
      <c r="AI376" s="15"/>
      <c r="AJ376" s="28"/>
      <c r="AK376" s="13"/>
      <c r="AL376" s="15"/>
      <c r="AM376" s="15"/>
      <c r="AN376" s="28"/>
      <c r="AO376" s="13"/>
      <c r="AP376" s="15"/>
      <c r="AQ376" s="15"/>
      <c r="AR376" s="28"/>
      <c r="AW376" s="13"/>
      <c r="AX376" s="15"/>
      <c r="AY376" s="15"/>
      <c r="AZ376" s="28"/>
      <c r="BE376" s="14"/>
      <c r="BF376" s="13"/>
      <c r="BG376" s="15"/>
      <c r="BH376" s="28"/>
    </row>
    <row r="377" ht="15.75" customHeight="1" hidden="1" spans="1:60" x14ac:dyDescent="0.25">
      <c r="A377" s="2">
        <v>50</v>
      </c>
      <c r="B377" s="14">
        <v>6.05</v>
      </c>
      <c r="C377" s="15" t="s">
        <v>200</v>
      </c>
      <c r="D377" s="14" t="s">
        <v>44</v>
      </c>
      <c r="E377" s="2" t="s">
        <v>45</v>
      </c>
      <c r="F377" s="13">
        <v>2.49</v>
      </c>
      <c r="G377" s="28"/>
      <c r="H377" s="2">
        <v>59.76</v>
      </c>
      <c r="I377" s="13">
        <v>681</v>
      </c>
      <c r="J377" s="15">
        <v>0</v>
      </c>
      <c r="K377" s="34">
        <f>J377*$F$8</f>
        <v>0</v>
      </c>
      <c r="L377" s="28"/>
      <c r="M377" s="2">
        <v>681</v>
      </c>
      <c r="N377" s="15">
        <f>M377-I377</f>
        <v>0</v>
      </c>
      <c r="O377" s="34">
        <f>N377*$F$8</f>
        <v>0</v>
      </c>
      <c r="Q377" s="13">
        <v>681</v>
      </c>
      <c r="R377" s="15">
        <f>Q377-M377</f>
        <v>0</v>
      </c>
      <c r="S377" s="34">
        <f>R377*$F$8</f>
        <v>0</v>
      </c>
      <c r="T377" s="28"/>
      <c r="U377" s="2">
        <v>681</v>
      </c>
      <c r="V377" s="15">
        <f>U377-Q377</f>
        <v>0</v>
      </c>
      <c r="W377" s="34">
        <f>V377*$F$8</f>
        <v>0</v>
      </c>
      <c r="X377" s="2">
        <v>59.76</v>
      </c>
      <c r="Y377" s="13">
        <v>686</v>
      </c>
      <c r="Z377" s="15">
        <f>Y377-U377</f>
        <v>5</v>
      </c>
      <c r="AA377" s="34">
        <f>Z377*$F$8</f>
        <v>12.45</v>
      </c>
      <c r="AB377" s="28">
        <v>12.45</v>
      </c>
      <c r="AC377" s="2">
        <v>868</v>
      </c>
      <c r="AD377" s="15">
        <f t="shared" ref="AD377:AD378" si="987">AC377-Y377</f>
        <v>182</v>
      </c>
      <c r="AE377" s="34">
        <f>AD377*$F$8</f>
        <v>453.18</v>
      </c>
      <c r="AG377" s="13">
        <v>939</v>
      </c>
      <c r="AH377" s="15">
        <f t="shared" ref="AH377:AH378" si="988">AG377-AC377</f>
        <v>71</v>
      </c>
      <c r="AI377" s="34">
        <f>AH377*$F$8</f>
        <v>176.79</v>
      </c>
      <c r="AJ377" s="32">
        <v>453.18</v>
      </c>
      <c r="AK377" s="13">
        <v>1002</v>
      </c>
      <c r="AL377" s="15">
        <f t="shared" ref="AL377:AL378" si="989">AK377-AG377</f>
        <v>63</v>
      </c>
      <c r="AM377" s="34">
        <f>AL377*$F$8</f>
        <v>156.87</v>
      </c>
      <c r="AN377" s="28"/>
      <c r="AO377" s="13">
        <v>1209</v>
      </c>
      <c r="AP377" s="15">
        <f t="shared" ref="AP377:AP378" si="990">AO377-AK377</f>
        <v>207</v>
      </c>
      <c r="AQ377" s="34">
        <f>AP377*$F$8</f>
        <v>515.43</v>
      </c>
      <c r="AR377" s="32">
        <v>849.09</v>
      </c>
      <c r="AS377" s="15">
        <v>1387</v>
      </c>
      <c r="AT377" s="15">
        <f>AS377-AO377</f>
        <v>178</v>
      </c>
      <c r="AU377" s="34">
        <f>AT377*$F$8</f>
        <v>443.22</v>
      </c>
      <c r="AV377" s="15"/>
      <c r="AW377" s="13">
        <v>1387</v>
      </c>
      <c r="AX377" s="15">
        <f>AW377-AS377</f>
        <v>0</v>
      </c>
      <c r="AY377" s="34">
        <f>AX377*$F$8</f>
        <v>0</v>
      </c>
      <c r="AZ377" s="28"/>
      <c r="BA377" s="13">
        <v>1387</v>
      </c>
      <c r="BB377" s="15">
        <f>BA377-AW377</f>
        <v>0</v>
      </c>
      <c r="BC377" s="34">
        <f>BB377*$F$8</f>
        <v>0</v>
      </c>
      <c r="BD377" s="15"/>
      <c r="BE377" s="40">
        <f t="shared" ref="BE377:BG377" si="991">J377+N377+R377+V377+Z377+AD377+AH377+AL377+AP377+AT377+AX377+BB377</f>
        <v>706</v>
      </c>
      <c r="BF377" s="41">
        <f t="shared" si="991"/>
        <v>1757.94</v>
      </c>
      <c r="BG377" s="34">
        <f t="shared" si="991"/>
        <v>1374.48</v>
      </c>
      <c r="BH377" s="35">
        <f t="shared" ref="BH377:BH382" si="992">H377+BF377-BG377</f>
        <v>443.22</v>
      </c>
    </row>
    <row r="378" ht="15.75" customHeight="1" hidden="1" spans="1:60" x14ac:dyDescent="0.25">
      <c r="A378" s="29">
        <v>50</v>
      </c>
      <c r="B378" s="14"/>
      <c r="C378" s="15" t="s">
        <v>201</v>
      </c>
      <c r="D378" s="14" t="s">
        <v>47</v>
      </c>
      <c r="E378" s="2" t="s">
        <v>48</v>
      </c>
      <c r="F378" s="13">
        <v>17.16</v>
      </c>
      <c r="G378" s="28"/>
      <c r="H378" s="73">
        <f>2*17.16</f>
        <v>34.32</v>
      </c>
      <c r="I378" s="13"/>
      <c r="J378" s="15"/>
      <c r="K378" s="15"/>
      <c r="L378" s="28"/>
      <c r="Q378" s="13"/>
      <c r="R378" s="15"/>
      <c r="S378" s="15"/>
      <c r="T378" s="28"/>
      <c r="Y378" s="13">
        <v>161</v>
      </c>
      <c r="Z378" s="15"/>
      <c r="AA378" s="15"/>
      <c r="AB378" s="28"/>
      <c r="AC378" s="2">
        <v>165</v>
      </c>
      <c r="AD378" s="15">
        <f t="shared" si="987"/>
        <v>4</v>
      </c>
      <c r="AE378" s="34">
        <f>AD378*$F$10</f>
        <v>68.64</v>
      </c>
      <c r="AG378" s="13">
        <v>165</v>
      </c>
      <c r="AH378" s="15">
        <f t="shared" si="988"/>
        <v>0</v>
      </c>
      <c r="AI378" s="45">
        <f>AH378*$G$10</f>
        <v>0</v>
      </c>
      <c r="AJ378" s="32">
        <v>68.64</v>
      </c>
      <c r="AK378" s="13">
        <v>165</v>
      </c>
      <c r="AL378" s="15">
        <f t="shared" si="989"/>
        <v>0</v>
      </c>
      <c r="AM378" s="45">
        <f>AL378*$G$10</f>
        <v>0</v>
      </c>
      <c r="AN378" s="28"/>
      <c r="AO378" s="13">
        <v>179</v>
      </c>
      <c r="AP378" s="15">
        <f t="shared" si="990"/>
        <v>14</v>
      </c>
      <c r="AQ378" s="45">
        <f>AP378*$G$10</f>
        <v>247.52</v>
      </c>
      <c r="AR378" s="32">
        <v>281.84</v>
      </c>
      <c r="AS378" s="15"/>
      <c r="AT378" s="15"/>
      <c r="AU378" s="15"/>
      <c r="AV378" s="15"/>
      <c r="AW378" s="13"/>
      <c r="AX378" s="15"/>
      <c r="AY378" s="15"/>
      <c r="AZ378" s="28"/>
      <c r="BA378" s="15"/>
      <c r="BB378" s="15"/>
      <c r="BC378" s="15"/>
      <c r="BD378" s="15"/>
      <c r="BE378" s="40">
        <f t="shared" ref="BE378:BG378" si="993">J378+N378+R378+V378+Z378+AD378+AH378+AL378+AP378+AT378+AX378+BB378</f>
        <v>18</v>
      </c>
      <c r="BF378" s="41">
        <f t="shared" si="993"/>
        <v>316.16</v>
      </c>
      <c r="BG378" s="34">
        <f t="shared" si="993"/>
        <v>350.48</v>
      </c>
      <c r="BH378" s="35">
        <f t="shared" si="992"/>
        <v>0</v>
      </c>
    </row>
    <row r="379" ht="15.75" customHeight="1" hidden="1" spans="1:60" x14ac:dyDescent="0.25">
      <c r="A379" s="29">
        <v>50</v>
      </c>
      <c r="B379" s="14"/>
      <c r="C379" s="15" t="s">
        <v>115</v>
      </c>
      <c r="D379" s="14" t="s">
        <v>47</v>
      </c>
      <c r="E379" s="2" t="s">
        <v>49</v>
      </c>
      <c r="F379" s="41">
        <v>300</v>
      </c>
      <c r="G379" s="28"/>
      <c r="I379" s="13"/>
      <c r="J379" s="15"/>
      <c r="K379" s="15"/>
      <c r="L379" s="28"/>
      <c r="Q379" s="13"/>
      <c r="R379" s="15"/>
      <c r="S379" s="15"/>
      <c r="T379" s="28"/>
      <c r="Y379" s="13"/>
      <c r="Z379" s="15"/>
      <c r="AA379" s="15"/>
      <c r="AB379" s="28"/>
      <c r="AG379" s="13"/>
      <c r="AH379" s="15"/>
      <c r="AI379" s="15"/>
      <c r="AJ379" s="28"/>
      <c r="AK379" s="13"/>
      <c r="AL379" s="15"/>
      <c r="AM379" s="34"/>
      <c r="AN379" s="28"/>
      <c r="AO379" s="13"/>
      <c r="AP379" s="15"/>
      <c r="AQ379" s="34"/>
      <c r="AR379" s="28"/>
      <c r="AS379" s="15"/>
      <c r="AT379" s="15"/>
      <c r="AU379" s="15"/>
      <c r="AV379" s="15"/>
      <c r="AW379" s="13"/>
      <c r="AX379" s="15"/>
      <c r="AY379" s="15"/>
      <c r="AZ379" s="28"/>
      <c r="BA379" s="15"/>
      <c r="BB379" s="15"/>
      <c r="BC379" s="15"/>
      <c r="BD379" s="15"/>
      <c r="BE379" s="14"/>
      <c r="BF379" s="41">
        <f t="shared" ref="BF379:BG379" si="994">K379+O379+S379+W379+AA379+AE379+AI379+AM379+AQ379+AU379+AY379+BC379</f>
        <v>0</v>
      </c>
      <c r="BG379" s="34">
        <f t="shared" si="994"/>
        <v>0</v>
      </c>
      <c r="BH379" s="35">
        <f t="shared" si="992"/>
        <v>0</v>
      </c>
    </row>
    <row r="380" ht="15.75" customHeight="1" hidden="1" spans="1:60" x14ac:dyDescent="0.25">
      <c r="A380" s="29">
        <v>50</v>
      </c>
      <c r="B380" s="14"/>
      <c r="C380" s="15" t="s">
        <v>202</v>
      </c>
      <c r="D380" s="14" t="s">
        <v>50</v>
      </c>
      <c r="E380" s="2" t="s">
        <v>49</v>
      </c>
      <c r="F380" s="41">
        <v>1062.88</v>
      </c>
      <c r="G380" s="28"/>
      <c r="I380" s="13"/>
      <c r="J380" s="15"/>
      <c r="K380" s="15"/>
      <c r="L380" s="28"/>
      <c r="Q380" s="13"/>
      <c r="R380" s="15"/>
      <c r="S380" s="15"/>
      <c r="T380" s="28"/>
      <c r="Y380" s="13"/>
      <c r="Z380" s="15"/>
      <c r="AA380" s="15"/>
      <c r="AB380" s="28"/>
      <c r="AE380" s="34">
        <f>B377*$F$12</f>
        <v>6430.424</v>
      </c>
      <c r="AF380" s="34">
        <v>4000</v>
      </c>
      <c r="AG380" s="13"/>
      <c r="AH380" s="15"/>
      <c r="AI380" s="15"/>
      <c r="AJ380" s="28"/>
      <c r="AK380" s="13"/>
      <c r="AL380" s="15"/>
      <c r="AM380" s="15"/>
      <c r="AN380" s="28"/>
      <c r="AO380" s="13"/>
      <c r="AP380" s="15"/>
      <c r="AQ380" s="15"/>
      <c r="AR380" s="32">
        <v>2430.42</v>
      </c>
      <c r="AS380" s="15"/>
      <c r="AT380" s="15"/>
      <c r="AU380" s="15"/>
      <c r="AV380" s="15"/>
      <c r="AW380" s="13"/>
      <c r="AX380" s="15"/>
      <c r="AY380" s="15"/>
      <c r="AZ380" s="28"/>
      <c r="BA380" s="15"/>
      <c r="BB380" s="15"/>
      <c r="BC380" s="15"/>
      <c r="BD380" s="15"/>
      <c r="BE380" s="14"/>
      <c r="BF380" s="41">
        <f>B377*$F$12</f>
        <v>6430.424</v>
      </c>
      <c r="BG380" s="34">
        <f t="shared" ref="BG380:BG382" si="995">L380+P380+T380+X380+AB380+AF380+AJ380+AN380+AR380+AV380+AZ380+BD380</f>
        <v>6430.42</v>
      </c>
      <c r="BH380" s="35">
        <f t="shared" si="992"/>
        <v>0.004000000001</v>
      </c>
    </row>
    <row r="381" ht="15.75" customHeight="1" hidden="1" spans="1:60" x14ac:dyDescent="0.25">
      <c r="A381" s="29">
        <v>50</v>
      </c>
      <c r="B381" s="14"/>
      <c r="C381" s="15" t="s">
        <v>203</v>
      </c>
      <c r="D381" s="14" t="s">
        <v>51</v>
      </c>
      <c r="E381" s="2" t="s">
        <v>49</v>
      </c>
      <c r="F381" s="41">
        <v>0</v>
      </c>
      <c r="G381" s="28"/>
      <c r="I381" s="13"/>
      <c r="J381" s="15"/>
      <c r="K381" s="15"/>
      <c r="L381" s="28"/>
      <c r="Q381" s="13"/>
      <c r="R381" s="15"/>
      <c r="S381" s="15"/>
      <c r="T381" s="28"/>
      <c r="Y381" s="13"/>
      <c r="Z381" s="15"/>
      <c r="AA381" s="15"/>
      <c r="AB381" s="28"/>
      <c r="AG381" s="13"/>
      <c r="AH381" s="15"/>
      <c r="AI381" s="15"/>
      <c r="AJ381" s="28"/>
      <c r="AK381" s="13"/>
      <c r="AL381" s="15"/>
      <c r="AM381" s="15"/>
      <c r="AN381" s="28"/>
      <c r="AO381" s="13"/>
      <c r="AP381" s="15"/>
      <c r="AQ381" s="15"/>
      <c r="AR381" s="28"/>
      <c r="AS381" s="15"/>
      <c r="AT381" s="15"/>
      <c r="AU381" s="15"/>
      <c r="AV381" s="15"/>
      <c r="AW381" s="13"/>
      <c r="AX381" s="15"/>
      <c r="AY381" s="15"/>
      <c r="AZ381" s="28"/>
      <c r="BA381" s="15"/>
      <c r="BB381" s="15"/>
      <c r="BC381" s="15"/>
      <c r="BD381" s="15"/>
      <c r="BE381" s="14"/>
      <c r="BF381" s="41">
        <f>B377*$F$13</f>
        <v>0</v>
      </c>
      <c r="BG381" s="34">
        <f t="shared" si="995"/>
        <v>0</v>
      </c>
      <c r="BH381" s="35">
        <f t="shared" si="992"/>
        <v>0</v>
      </c>
    </row>
    <row r="382" ht="15.75" customHeight="1" hidden="1" spans="1:60" x14ac:dyDescent="0.25">
      <c r="A382" s="29">
        <v>50</v>
      </c>
      <c r="B382" s="14"/>
      <c r="D382" s="14" t="s">
        <v>52</v>
      </c>
      <c r="E382" s="2" t="s">
        <v>39</v>
      </c>
      <c r="F382" s="41">
        <v>350</v>
      </c>
      <c r="G382" s="28"/>
      <c r="I382" s="13"/>
      <c r="J382" s="15"/>
      <c r="K382" s="15"/>
      <c r="L382" s="28"/>
      <c r="Q382" s="13"/>
      <c r="R382" s="15"/>
      <c r="S382" s="15"/>
      <c r="T382" s="28"/>
      <c r="Y382" s="13"/>
      <c r="Z382" s="15"/>
      <c r="AA382" s="34">
        <f>$F$14</f>
        <v>350</v>
      </c>
      <c r="AB382" s="35">
        <v>350</v>
      </c>
      <c r="AG382" s="13"/>
      <c r="AH382" s="15"/>
      <c r="AI382" s="15"/>
      <c r="AJ382" s="28"/>
      <c r="AK382" s="13"/>
      <c r="AL382" s="15"/>
      <c r="AM382" s="15"/>
      <c r="AN382" s="28"/>
      <c r="AO382" s="13"/>
      <c r="AP382" s="15"/>
      <c r="AQ382" s="15"/>
      <c r="AR382" s="28"/>
      <c r="AS382" s="15"/>
      <c r="AT382" s="15"/>
      <c r="AU382" s="15"/>
      <c r="AV382" s="15"/>
      <c r="AW382" s="13"/>
      <c r="AX382" s="15"/>
      <c r="AY382" s="15"/>
      <c r="AZ382" s="28"/>
      <c r="BA382" s="15"/>
      <c r="BB382" s="15"/>
      <c r="BC382" s="15"/>
      <c r="BD382" s="15"/>
      <c r="BE382" s="14"/>
      <c r="BF382" s="41">
        <f>$F$14</f>
        <v>350</v>
      </c>
      <c r="BG382" s="34">
        <f t="shared" si="995"/>
        <v>350</v>
      </c>
      <c r="BH382" s="35">
        <f t="shared" si="992"/>
        <v>0</v>
      </c>
    </row>
    <row r="383" ht="15.75" customHeight="1" hidden="1" spans="1:62" x14ac:dyDescent="0.25">
      <c r="A383" s="50">
        <v>50</v>
      </c>
      <c r="B383" s="21"/>
      <c r="C383" s="22" t="s">
        <v>53</v>
      </c>
      <c r="D383" s="21"/>
      <c r="E383" s="22"/>
      <c r="F383" s="20"/>
      <c r="G383" s="23"/>
      <c r="H383" s="51">
        <f>SUM(H376:H382)</f>
        <v>94.08</v>
      </c>
      <c r="I383" s="52"/>
      <c r="J383" s="53"/>
      <c r="K383" s="51">
        <f t="shared" ref="K383:L383" si="996">SUM(K376:K382)</f>
        <v>0</v>
      </c>
      <c r="L383" s="68">
        <f t="shared" si="996"/>
        <v>0</v>
      </c>
      <c r="M383" s="53"/>
      <c r="N383" s="53"/>
      <c r="O383" s="51">
        <f t="shared" ref="O383:P383" si="997">SUM(O377:O382)</f>
        <v>0</v>
      </c>
      <c r="P383" s="51">
        <f t="shared" si="997"/>
        <v>0</v>
      </c>
      <c r="Q383" s="52"/>
      <c r="R383" s="53"/>
      <c r="S383" s="51">
        <f t="shared" ref="S383:T383" si="998">SUM(S377:S382)</f>
        <v>0</v>
      </c>
      <c r="T383" s="68">
        <f t="shared" si="998"/>
        <v>0</v>
      </c>
      <c r="U383" s="53"/>
      <c r="V383" s="53"/>
      <c r="W383" s="51">
        <f t="shared" ref="W383:X383" si="999">SUM(W377:W382)</f>
        <v>0</v>
      </c>
      <c r="X383" s="51">
        <f t="shared" si="999"/>
        <v>59.76</v>
      </c>
      <c r="Y383" s="52"/>
      <c r="Z383" s="53"/>
      <c r="AA383" s="51">
        <f t="shared" ref="AA383:AB383" si="1000">SUM(AA377:AA382)</f>
        <v>362.45</v>
      </c>
      <c r="AB383" s="68">
        <f t="shared" si="1000"/>
        <v>362.45</v>
      </c>
      <c r="AC383" s="53"/>
      <c r="AD383" s="53"/>
      <c r="AE383" s="51">
        <f t="shared" ref="AE383:AF383" si="1001">SUM(AE377:AE382)</f>
        <v>6952.244</v>
      </c>
      <c r="AF383" s="51">
        <f t="shared" si="1001"/>
        <v>4000</v>
      </c>
      <c r="AG383" s="52"/>
      <c r="AH383" s="53"/>
      <c r="AI383" s="51">
        <f t="shared" ref="AI383:AJ383" si="1002">SUM(AI377:AI382)</f>
        <v>176.79</v>
      </c>
      <c r="AJ383" s="68">
        <f t="shared" si="1002"/>
        <v>521.82</v>
      </c>
      <c r="AK383" s="52"/>
      <c r="AL383" s="53"/>
      <c r="AM383" s="51">
        <f t="shared" ref="AM383:AN383" si="1003">SUM(AM377:AM382)</f>
        <v>156.87</v>
      </c>
      <c r="AN383" s="68">
        <f t="shared" si="1003"/>
        <v>0</v>
      </c>
      <c r="AO383" s="52"/>
      <c r="AP383" s="53"/>
      <c r="AQ383" s="51">
        <f t="shared" ref="AQ383:AR383" si="1004">SUM(AQ377:AQ382)</f>
        <v>762.95</v>
      </c>
      <c r="AR383" s="68">
        <f t="shared" si="1004"/>
        <v>3561.35</v>
      </c>
      <c r="AS383" s="53"/>
      <c r="AT383" s="53"/>
      <c r="AU383" s="51">
        <f t="shared" ref="AU383:AV383" si="1005">SUM(AU377:AU382)</f>
        <v>443.22</v>
      </c>
      <c r="AV383" s="51">
        <f t="shared" si="1005"/>
        <v>0</v>
      </c>
      <c r="AW383" s="52"/>
      <c r="AX383" s="53"/>
      <c r="AY383" s="51">
        <f t="shared" ref="AY383:AZ383" si="1006">SUM(AY377:AY382)</f>
        <v>0</v>
      </c>
      <c r="AZ383" s="68">
        <f t="shared" si="1006"/>
        <v>0</v>
      </c>
      <c r="BA383" s="53"/>
      <c r="BB383" s="53"/>
      <c r="BC383" s="51">
        <f t="shared" ref="BC383:BD383" si="1007">SUM(BC377:BC382)</f>
        <v>0</v>
      </c>
      <c r="BD383" s="51">
        <f t="shared" si="1007"/>
        <v>0</v>
      </c>
      <c r="BE383" s="69"/>
      <c r="BF383" s="70">
        <f t="shared" ref="BF383:BH383" si="1008">SUM(BF376:BF382)</f>
        <v>8854.524</v>
      </c>
      <c r="BG383" s="71">
        <f t="shared" si="1008"/>
        <v>8505.38</v>
      </c>
      <c r="BH383" s="72">
        <f t="shared" si="1008"/>
        <v>443.224</v>
      </c>
      <c r="BI383" s="34">
        <f>H383+BF383-BG383</f>
        <v>443.224</v>
      </c>
      <c r="BJ383" s="34">
        <f>BH383-BI383</f>
        <v>0</v>
      </c>
    </row>
    <row r="384" ht="15.75" customHeight="1" hidden="1" spans="1:60" x14ac:dyDescent="0.25">
      <c r="A384" s="29">
        <v>51</v>
      </c>
      <c r="B384" s="14"/>
      <c r="D384" s="14" t="s">
        <v>42</v>
      </c>
      <c r="F384" s="13"/>
      <c r="G384" s="28"/>
      <c r="I384" s="13"/>
      <c r="J384" s="15"/>
      <c r="K384" s="15"/>
      <c r="L384" s="28"/>
      <c r="Q384" s="13"/>
      <c r="R384" s="15"/>
      <c r="S384" s="15"/>
      <c r="T384" s="28"/>
      <c r="Y384" s="13"/>
      <c r="Z384" s="15"/>
      <c r="AA384" s="15"/>
      <c r="AB384" s="28"/>
      <c r="AG384" s="13"/>
      <c r="AH384" s="15"/>
      <c r="AI384" s="15"/>
      <c r="AJ384" s="28"/>
      <c r="AK384" s="13"/>
      <c r="AL384" s="15"/>
      <c r="AM384" s="15"/>
      <c r="AN384" s="28"/>
      <c r="AO384" s="13"/>
      <c r="AP384" s="15"/>
      <c r="AQ384" s="15"/>
      <c r="AR384" s="28"/>
      <c r="AW384" s="13"/>
      <c r="AX384" s="15"/>
      <c r="AY384" s="15"/>
      <c r="AZ384" s="28"/>
      <c r="BE384" s="14"/>
      <c r="BF384" s="13"/>
      <c r="BG384" s="15"/>
      <c r="BH384" s="28"/>
    </row>
    <row r="385" ht="15.75" customHeight="1" hidden="1" spans="1:60" x14ac:dyDescent="0.25">
      <c r="A385" s="2">
        <v>51</v>
      </c>
      <c r="B385" s="14">
        <v>4.95</v>
      </c>
      <c r="C385" s="15" t="s">
        <v>204</v>
      </c>
      <c r="D385" s="14" t="s">
        <v>44</v>
      </c>
      <c r="E385" s="2" t="s">
        <v>45</v>
      </c>
      <c r="F385" s="13">
        <v>2.49</v>
      </c>
      <c r="G385" s="28"/>
      <c r="H385" s="74"/>
      <c r="I385" s="13"/>
      <c r="J385" s="15"/>
      <c r="K385" s="15"/>
      <c r="L385" s="28"/>
      <c r="Q385" s="13"/>
      <c r="R385" s="15"/>
      <c r="S385" s="15"/>
      <c r="T385" s="28"/>
      <c r="Y385" s="13"/>
      <c r="Z385" s="15">
        <f>Y385-U385</f>
        <v>0</v>
      </c>
      <c r="AA385" s="34">
        <f>Z385*$F$8</f>
        <v>0</v>
      </c>
      <c r="AB385" s="28"/>
      <c r="AC385" s="15"/>
      <c r="AD385" s="15">
        <f t="shared" ref="AD385:AD386" si="1009">AC385-Y385</f>
        <v>0</v>
      </c>
      <c r="AE385" s="34">
        <f>AD385*$F$8</f>
        <v>0</v>
      </c>
      <c r="AG385" s="13"/>
      <c r="AH385" s="15">
        <f t="shared" ref="AH385:AH386" si="1010">AG385-AC385</f>
        <v>0</v>
      </c>
      <c r="AI385" s="34">
        <f>AH385*$F$8</f>
        <v>0</v>
      </c>
      <c r="AJ385" s="28"/>
      <c r="AK385" s="13"/>
      <c r="AL385" s="15">
        <f t="shared" ref="AL385:AL386" si="1011">AK385-AG385</f>
        <v>0</v>
      </c>
      <c r="AM385" s="34">
        <f>AL385*$F$8</f>
        <v>0</v>
      </c>
      <c r="AN385" s="28"/>
      <c r="AO385" s="13"/>
      <c r="AP385" s="15"/>
      <c r="AQ385" s="34">
        <f>AP385*$F$8</f>
        <v>0</v>
      </c>
      <c r="AR385" s="28"/>
      <c r="AS385" s="15"/>
      <c r="AT385" s="15"/>
      <c r="AU385" s="34">
        <f>AT385*$F$8</f>
        <v>0</v>
      </c>
      <c r="AV385" s="15"/>
      <c r="AW385" s="13"/>
      <c r="AX385" s="15"/>
      <c r="AY385" s="34">
        <f>AX385*$F$8</f>
        <v>0</v>
      </c>
      <c r="AZ385" s="28"/>
      <c r="BA385" s="15"/>
      <c r="BB385" s="15"/>
      <c r="BC385" s="34">
        <f>BB385*$F$8</f>
        <v>0</v>
      </c>
      <c r="BD385" s="15"/>
      <c r="BE385" s="40">
        <f t="shared" ref="BE385:BG385" si="1012">J385+N385+R385+V385+Z385+AD385+AH385+AL385+AP385+AT385+AX385+BB385</f>
        <v>0</v>
      </c>
      <c r="BF385" s="41">
        <f t="shared" si="1012"/>
        <v>0</v>
      </c>
      <c r="BG385" s="34">
        <f t="shared" si="1012"/>
        <v>0</v>
      </c>
      <c r="BH385" s="35">
        <f t="shared" ref="BH385:BH390" si="1013">H385+BF385-BG385</f>
        <v>0</v>
      </c>
    </row>
    <row r="386" ht="15.75" customHeight="1" hidden="1" spans="1:60" x14ac:dyDescent="0.25">
      <c r="A386" s="29">
        <v>51</v>
      </c>
      <c r="B386" s="14"/>
      <c r="C386" s="15" t="s">
        <v>121</v>
      </c>
      <c r="D386" s="14" t="s">
        <v>47</v>
      </c>
      <c r="E386" s="2" t="s">
        <v>48</v>
      </c>
      <c r="F386" s="13">
        <v>17.16</v>
      </c>
      <c r="G386" s="28"/>
      <c r="H386" s="73">
        <f>2*17.16</f>
        <v>34.32</v>
      </c>
      <c r="I386" s="13"/>
      <c r="J386" s="15"/>
      <c r="K386" s="15"/>
      <c r="L386" s="28"/>
      <c r="Q386" s="13"/>
      <c r="R386" s="15"/>
      <c r="S386" s="15"/>
      <c r="T386" s="28"/>
      <c r="Y386" s="13">
        <v>5</v>
      </c>
      <c r="Z386" s="15"/>
      <c r="AA386" s="15"/>
      <c r="AB386" s="28"/>
      <c r="AC386" s="2">
        <v>5</v>
      </c>
      <c r="AD386" s="15">
        <f t="shared" si="1009"/>
        <v>0</v>
      </c>
      <c r="AE386" s="34">
        <f>AD386*$F$10</f>
        <v>0</v>
      </c>
      <c r="AG386" s="13">
        <v>5</v>
      </c>
      <c r="AH386" s="15">
        <f t="shared" si="1010"/>
        <v>0</v>
      </c>
      <c r="AI386" s="45">
        <f>AH386*$G$10</f>
        <v>0</v>
      </c>
      <c r="AJ386" s="28"/>
      <c r="AK386" s="13">
        <v>5</v>
      </c>
      <c r="AL386" s="15">
        <f t="shared" si="1011"/>
        <v>0</v>
      </c>
      <c r="AM386" s="45">
        <f>AL386*$G$10</f>
        <v>0</v>
      </c>
      <c r="AN386" s="28"/>
      <c r="AO386" s="13">
        <v>5</v>
      </c>
      <c r="AP386" s="15">
        <f>AO386-AK386</f>
        <v>0</v>
      </c>
      <c r="AQ386" s="45">
        <f>AP386*$G$10</f>
        <v>0</v>
      </c>
      <c r="AR386" s="28"/>
      <c r="AS386" s="15"/>
      <c r="AT386" s="15"/>
      <c r="AU386" s="15"/>
      <c r="AV386" s="15"/>
      <c r="AW386" s="13"/>
      <c r="AX386" s="15"/>
      <c r="AY386" s="15"/>
      <c r="AZ386" s="32">
        <v>34.32</v>
      </c>
      <c r="BA386" s="15"/>
      <c r="BB386" s="15"/>
      <c r="BC386" s="15"/>
      <c r="BD386" s="15"/>
      <c r="BE386" s="40">
        <f t="shared" ref="BE386:BG386" si="1014">J386+N386+R386+V386+Z386+AD386+AH386+AL386+AP386+AT386+AX386+BB386</f>
        <v>0</v>
      </c>
      <c r="BF386" s="41">
        <f t="shared" si="1014"/>
        <v>0</v>
      </c>
      <c r="BG386" s="34">
        <f t="shared" si="1014"/>
        <v>34.32</v>
      </c>
      <c r="BH386" s="35">
        <f t="shared" si="1013"/>
        <v>0</v>
      </c>
    </row>
    <row r="387" ht="15.75" customHeight="1" hidden="1" spans="1:60" x14ac:dyDescent="0.25">
      <c r="A387" s="29">
        <v>51</v>
      </c>
      <c r="B387" s="14"/>
      <c r="C387" s="15" t="s">
        <v>58</v>
      </c>
      <c r="D387" s="14" t="s">
        <v>47</v>
      </c>
      <c r="E387" s="2" t="s">
        <v>49</v>
      </c>
      <c r="F387" s="41">
        <v>300</v>
      </c>
      <c r="G387" s="28"/>
      <c r="I387" s="13"/>
      <c r="J387" s="15"/>
      <c r="K387" s="15"/>
      <c r="L387" s="28"/>
      <c r="Q387" s="13"/>
      <c r="R387" s="15"/>
      <c r="S387" s="15"/>
      <c r="T387" s="28"/>
      <c r="Y387" s="13"/>
      <c r="Z387" s="15"/>
      <c r="AA387" s="15"/>
      <c r="AB387" s="28"/>
      <c r="AG387" s="13"/>
      <c r="AH387" s="15"/>
      <c r="AI387" s="15"/>
      <c r="AJ387" s="28"/>
      <c r="AK387" s="13"/>
      <c r="AL387" s="15"/>
      <c r="AM387" s="34"/>
      <c r="AN387" s="28"/>
      <c r="AO387" s="13"/>
      <c r="AP387" s="15"/>
      <c r="AQ387" s="34"/>
      <c r="AR387" s="28"/>
      <c r="AS387" s="15"/>
      <c r="AT387" s="15"/>
      <c r="AU387" s="15"/>
      <c r="AV387" s="15"/>
      <c r="AW387" s="13"/>
      <c r="AX387" s="15"/>
      <c r="AY387" s="15"/>
      <c r="AZ387" s="28"/>
      <c r="BA387" s="15"/>
      <c r="BB387" s="15"/>
      <c r="BC387" s="15"/>
      <c r="BD387" s="15"/>
      <c r="BE387" s="14"/>
      <c r="BF387" s="41">
        <f t="shared" ref="BF387:BG387" si="1015">K387+O387+S387+W387+AA387+AE387+AI387+AM387+AQ387+AU387+AY387+BC387</f>
        <v>0</v>
      </c>
      <c r="BG387" s="34">
        <f t="shared" si="1015"/>
        <v>0</v>
      </c>
      <c r="BH387" s="35">
        <f t="shared" si="1013"/>
        <v>0</v>
      </c>
    </row>
    <row r="388" ht="15.75" customHeight="1" hidden="1" spans="1:60" x14ac:dyDescent="0.25">
      <c r="A388" s="29">
        <v>51</v>
      </c>
      <c r="B388" s="14"/>
      <c r="C388" s="73" t="s">
        <v>205</v>
      </c>
      <c r="D388" s="14" t="s">
        <v>50</v>
      </c>
      <c r="E388" s="2" t="s">
        <v>49</v>
      </c>
      <c r="F388" s="41">
        <v>1062.88</v>
      </c>
      <c r="G388" s="28"/>
      <c r="H388" s="73">
        <v>-218.52</v>
      </c>
      <c r="I388" s="13"/>
      <c r="J388" s="15"/>
      <c r="K388" s="15"/>
      <c r="L388" s="28"/>
      <c r="Q388" s="13"/>
      <c r="R388" s="15"/>
      <c r="S388" s="15"/>
      <c r="T388" s="28"/>
      <c r="Y388" s="13"/>
      <c r="Z388" s="15"/>
      <c r="AA388" s="15"/>
      <c r="AB388" s="28"/>
      <c r="AE388" s="34">
        <f>B385*$F$12</f>
        <v>5261.256</v>
      </c>
      <c r="AF388" s="34">
        <v>2000</v>
      </c>
      <c r="AG388" s="13"/>
      <c r="AH388" s="15"/>
      <c r="AI388" s="15"/>
      <c r="AJ388" s="28"/>
      <c r="AK388" s="13"/>
      <c r="AL388" s="15"/>
      <c r="AM388" s="15"/>
      <c r="AN388" s="28"/>
      <c r="AO388" s="13"/>
      <c r="AP388" s="15"/>
      <c r="AQ388" s="15"/>
      <c r="AR388" s="28"/>
      <c r="AS388" s="15"/>
      <c r="AT388" s="15"/>
      <c r="AU388" s="15"/>
      <c r="AV388" s="15"/>
      <c r="AW388" s="13"/>
      <c r="AX388" s="15"/>
      <c r="AY388" s="15"/>
      <c r="AZ388" s="38">
        <v>3042.74</v>
      </c>
      <c r="BA388" s="15"/>
      <c r="BB388" s="15"/>
      <c r="BC388" s="15"/>
      <c r="BD388" s="15"/>
      <c r="BE388" s="14"/>
      <c r="BF388" s="41">
        <f>B385*$F$12</f>
        <v>5261.256</v>
      </c>
      <c r="BG388" s="34">
        <f t="shared" ref="BG388:BG390" si="1016">L388+P388+T388+X388+AB388+AF388+AJ388+AN388+AR388+AV388+AZ388+BD388</f>
        <v>5042.74</v>
      </c>
      <c r="BH388" s="35">
        <f t="shared" si="1013"/>
        <v>-0.004</v>
      </c>
    </row>
    <row r="389" ht="15.75" customHeight="1" hidden="1" spans="1:60" x14ac:dyDescent="0.25">
      <c r="A389" s="29">
        <v>51</v>
      </c>
      <c r="B389" s="14"/>
      <c r="D389" s="14" t="s">
        <v>51</v>
      </c>
      <c r="E389" s="2" t="s">
        <v>49</v>
      </c>
      <c r="F389" s="41">
        <v>0</v>
      </c>
      <c r="G389" s="28"/>
      <c r="I389" s="13"/>
      <c r="J389" s="15"/>
      <c r="K389" s="15"/>
      <c r="L389" s="28"/>
      <c r="Q389" s="13"/>
      <c r="R389" s="15"/>
      <c r="S389" s="15"/>
      <c r="T389" s="28"/>
      <c r="Y389" s="13"/>
      <c r="Z389" s="15"/>
      <c r="AA389" s="15"/>
      <c r="AB389" s="28"/>
      <c r="AG389" s="13"/>
      <c r="AH389" s="15"/>
      <c r="AI389" s="15"/>
      <c r="AJ389" s="28"/>
      <c r="AK389" s="13"/>
      <c r="AL389" s="15"/>
      <c r="AM389" s="15"/>
      <c r="AN389" s="28"/>
      <c r="AO389" s="13"/>
      <c r="AP389" s="15"/>
      <c r="AQ389" s="15"/>
      <c r="AR389" s="28"/>
      <c r="AS389" s="15"/>
      <c r="AT389" s="15"/>
      <c r="AU389" s="15"/>
      <c r="AV389" s="15"/>
      <c r="AW389" s="13"/>
      <c r="AX389" s="15"/>
      <c r="AY389" s="15"/>
      <c r="AZ389" s="28"/>
      <c r="BA389" s="15"/>
      <c r="BB389" s="15"/>
      <c r="BC389" s="15"/>
      <c r="BD389" s="15"/>
      <c r="BE389" s="14"/>
      <c r="BF389" s="41">
        <f>B385*$F$13</f>
        <v>0</v>
      </c>
      <c r="BG389" s="34">
        <f t="shared" si="1016"/>
        <v>0</v>
      </c>
      <c r="BH389" s="35">
        <f t="shared" si="1013"/>
        <v>0</v>
      </c>
    </row>
    <row r="390" ht="15.75" customHeight="1" hidden="1" spans="1:60" x14ac:dyDescent="0.25">
      <c r="A390" s="29">
        <v>51</v>
      </c>
      <c r="B390" s="14"/>
      <c r="D390" s="14" t="s">
        <v>52</v>
      </c>
      <c r="E390" s="2" t="s">
        <v>39</v>
      </c>
      <c r="F390" s="41">
        <v>350</v>
      </c>
      <c r="G390" s="28"/>
      <c r="I390" s="13"/>
      <c r="J390" s="15"/>
      <c r="K390" s="15"/>
      <c r="L390" s="28"/>
      <c r="Q390" s="13"/>
      <c r="R390" s="15"/>
      <c r="S390" s="15"/>
      <c r="T390" s="28"/>
      <c r="Y390" s="13"/>
      <c r="Z390" s="15"/>
      <c r="AA390" s="34">
        <f>$F$14</f>
        <v>350</v>
      </c>
      <c r="AB390" s="28"/>
      <c r="AG390" s="13"/>
      <c r="AH390" s="15"/>
      <c r="AI390" s="15"/>
      <c r="AJ390" s="28"/>
      <c r="AK390" s="13"/>
      <c r="AL390" s="15"/>
      <c r="AM390" s="15"/>
      <c r="AN390" s="28"/>
      <c r="AO390" s="13"/>
      <c r="AP390" s="15"/>
      <c r="AQ390" s="15"/>
      <c r="AR390" s="28"/>
      <c r="AS390" s="15"/>
      <c r="AT390" s="15"/>
      <c r="AU390" s="15"/>
      <c r="AV390" s="15"/>
      <c r="AW390" s="13"/>
      <c r="AX390" s="15"/>
      <c r="AY390" s="15"/>
      <c r="AZ390" s="38">
        <v>350</v>
      </c>
      <c r="BA390" s="15"/>
      <c r="BB390" s="15"/>
      <c r="BC390" s="15"/>
      <c r="BD390" s="15"/>
      <c r="BE390" s="14"/>
      <c r="BF390" s="41">
        <f>$F$14</f>
        <v>350</v>
      </c>
      <c r="BG390" s="34">
        <f t="shared" si="1016"/>
        <v>350</v>
      </c>
      <c r="BH390" s="35">
        <f t="shared" si="1013"/>
        <v>0</v>
      </c>
    </row>
    <row r="391" ht="15.75" customHeight="1" hidden="1" spans="1:62" x14ac:dyDescent="0.25">
      <c r="A391" s="50">
        <v>51</v>
      </c>
      <c r="B391" s="21"/>
      <c r="C391" s="22" t="s">
        <v>53</v>
      </c>
      <c r="D391" s="21"/>
      <c r="E391" s="22"/>
      <c r="F391" s="20"/>
      <c r="G391" s="23"/>
      <c r="H391" s="51">
        <f>SUM(H384:H390)</f>
        <v>-184.2</v>
      </c>
      <c r="I391" s="52"/>
      <c r="J391" s="53"/>
      <c r="K391" s="51">
        <f t="shared" ref="K391:L391" si="1017">SUM(K384:K390)</f>
        <v>0</v>
      </c>
      <c r="L391" s="68">
        <f t="shared" si="1017"/>
        <v>0</v>
      </c>
      <c r="M391" s="53"/>
      <c r="N391" s="53"/>
      <c r="O391" s="51">
        <f t="shared" ref="O391:P391" si="1018">SUM(O385:O390)</f>
        <v>0</v>
      </c>
      <c r="P391" s="51">
        <f t="shared" si="1018"/>
        <v>0</v>
      </c>
      <c r="Q391" s="52"/>
      <c r="R391" s="53"/>
      <c r="S391" s="51">
        <f t="shared" ref="S391:T391" si="1019">SUM(S385:S390)</f>
        <v>0</v>
      </c>
      <c r="T391" s="68">
        <f t="shared" si="1019"/>
        <v>0</v>
      </c>
      <c r="U391" s="53"/>
      <c r="V391" s="53"/>
      <c r="W391" s="51">
        <f t="shared" ref="W391:X391" si="1020">SUM(W385:W390)</f>
        <v>0</v>
      </c>
      <c r="X391" s="51">
        <f t="shared" si="1020"/>
        <v>0</v>
      </c>
      <c r="Y391" s="52"/>
      <c r="Z391" s="53"/>
      <c r="AA391" s="51">
        <f t="shared" ref="AA391:AB391" si="1021">SUM(AA385:AA390)</f>
        <v>350</v>
      </c>
      <c r="AB391" s="68">
        <f t="shared" si="1021"/>
        <v>0</v>
      </c>
      <c r="AC391" s="53"/>
      <c r="AD391" s="53"/>
      <c r="AE391" s="51">
        <f t="shared" ref="AE391:AF391" si="1022">SUM(AE385:AE390)</f>
        <v>5261.256</v>
      </c>
      <c r="AF391" s="51">
        <f t="shared" si="1022"/>
        <v>2000</v>
      </c>
      <c r="AG391" s="52"/>
      <c r="AH391" s="53"/>
      <c r="AI391" s="51">
        <f t="shared" ref="AI391:AJ391" si="1023">SUM(AI385:AI390)</f>
        <v>0</v>
      </c>
      <c r="AJ391" s="68">
        <f t="shared" si="1023"/>
        <v>0</v>
      </c>
      <c r="AK391" s="52"/>
      <c r="AL391" s="53"/>
      <c r="AM391" s="51">
        <f t="shared" ref="AM391:AN391" si="1024">SUM(AM385:AM390)</f>
        <v>0</v>
      </c>
      <c r="AN391" s="68">
        <f t="shared" si="1024"/>
        <v>0</v>
      </c>
      <c r="AO391" s="52"/>
      <c r="AP391" s="53"/>
      <c r="AQ391" s="51">
        <f t="shared" ref="AQ391:AR391" si="1025">SUM(AQ385:AQ390)</f>
        <v>0</v>
      </c>
      <c r="AR391" s="68">
        <f t="shared" si="1025"/>
        <v>0</v>
      </c>
      <c r="AS391" s="53"/>
      <c r="AT391" s="53"/>
      <c r="AU391" s="51">
        <f t="shared" ref="AU391:AV391" si="1026">SUM(AU385:AU390)</f>
        <v>0</v>
      </c>
      <c r="AV391" s="51">
        <f t="shared" si="1026"/>
        <v>0</v>
      </c>
      <c r="AW391" s="52"/>
      <c r="AX391" s="53"/>
      <c r="AY391" s="51">
        <f t="shared" ref="AY391:AZ391" si="1027">SUM(AY385:AY390)</f>
        <v>0</v>
      </c>
      <c r="AZ391" s="68">
        <f t="shared" si="1027"/>
        <v>3427.06</v>
      </c>
      <c r="BA391" s="53"/>
      <c r="BB391" s="53"/>
      <c r="BC391" s="51">
        <f t="shared" ref="BC391:BD391" si="1028">SUM(BC385:BC390)</f>
        <v>0</v>
      </c>
      <c r="BD391" s="51">
        <f t="shared" si="1028"/>
        <v>0</v>
      </c>
      <c r="BE391" s="69"/>
      <c r="BF391" s="70">
        <f t="shared" ref="BF391:BH391" si="1029">SUM(BF384:BF390)</f>
        <v>5611.256</v>
      </c>
      <c r="BG391" s="71">
        <f t="shared" si="1029"/>
        <v>5427.06</v>
      </c>
      <c r="BH391" s="72">
        <f t="shared" si="1029"/>
        <v>-0.004</v>
      </c>
      <c r="BI391" s="34">
        <f>H391+BF391-BG391</f>
        <v>-0.003999999999</v>
      </c>
      <c r="BJ391" s="34">
        <f>BH391-BI391</f>
        <v>0</v>
      </c>
    </row>
    <row r="392" ht="15.75" customHeight="1" hidden="1" spans="1:60" x14ac:dyDescent="0.25">
      <c r="A392" s="29">
        <v>52</v>
      </c>
      <c r="B392" s="14"/>
      <c r="D392" s="14" t="s">
        <v>42</v>
      </c>
      <c r="F392" s="13"/>
      <c r="G392" s="28"/>
      <c r="I392" s="13"/>
      <c r="J392" s="15"/>
      <c r="K392" s="15"/>
      <c r="L392" s="28"/>
      <c r="Q392" s="13"/>
      <c r="R392" s="15"/>
      <c r="S392" s="15"/>
      <c r="T392" s="28"/>
      <c r="Y392" s="13"/>
      <c r="Z392" s="15"/>
      <c r="AA392" s="15"/>
      <c r="AB392" s="28"/>
      <c r="AG392" s="13"/>
      <c r="AH392" s="15"/>
      <c r="AI392" s="15"/>
      <c r="AJ392" s="28"/>
      <c r="AK392" s="13"/>
      <c r="AL392" s="15"/>
      <c r="AM392" s="15"/>
      <c r="AN392" s="28"/>
      <c r="AO392" s="13"/>
      <c r="AP392" s="15"/>
      <c r="AQ392" s="15"/>
      <c r="AR392" s="28"/>
      <c r="AW392" s="13"/>
      <c r="AX392" s="15"/>
      <c r="AY392" s="15"/>
      <c r="AZ392" s="28"/>
      <c r="BE392" s="14"/>
      <c r="BF392" s="13"/>
      <c r="BG392" s="15"/>
      <c r="BH392" s="28"/>
    </row>
    <row r="393" ht="15.75" customHeight="1" hidden="1" spans="1:60" x14ac:dyDescent="0.25">
      <c r="A393" s="2">
        <v>52</v>
      </c>
      <c r="B393" s="42">
        <v>5</v>
      </c>
      <c r="C393" s="15" t="s">
        <v>206</v>
      </c>
      <c r="D393" s="14" t="s">
        <v>44</v>
      </c>
      <c r="E393" s="2" t="s">
        <v>45</v>
      </c>
      <c r="F393" s="13">
        <v>2.49</v>
      </c>
      <c r="G393" s="28"/>
      <c r="H393" s="2">
        <v>4.98</v>
      </c>
      <c r="I393" s="13">
        <v>44</v>
      </c>
      <c r="J393" s="15">
        <v>0</v>
      </c>
      <c r="K393" s="34">
        <f>J393*$F$8</f>
        <v>0</v>
      </c>
      <c r="L393" s="28"/>
      <c r="M393" s="2">
        <v>44</v>
      </c>
      <c r="N393" s="15">
        <f>M393-I393</f>
        <v>0</v>
      </c>
      <c r="O393" s="34">
        <f>N393*$F$8</f>
        <v>0</v>
      </c>
      <c r="Q393" s="13">
        <v>44</v>
      </c>
      <c r="R393" s="15">
        <f>Q393-M393</f>
        <v>0</v>
      </c>
      <c r="S393" s="34">
        <f>R393*$F$8</f>
        <v>0</v>
      </c>
      <c r="T393" s="28"/>
      <c r="U393" s="2">
        <v>45</v>
      </c>
      <c r="V393" s="15">
        <f>U393-Q393</f>
        <v>1</v>
      </c>
      <c r="W393" s="34">
        <f>V393*$F$8</f>
        <v>2.49</v>
      </c>
      <c r="X393" s="2">
        <f>4.98+2.49</f>
        <v>7.47</v>
      </c>
      <c r="Y393" s="13">
        <v>47</v>
      </c>
      <c r="Z393" s="15">
        <f>Y393-U393</f>
        <v>2</v>
      </c>
      <c r="AA393" s="34">
        <f>Z393*$F$8</f>
        <v>4.98</v>
      </c>
      <c r="AB393" s="28">
        <v>4.98</v>
      </c>
      <c r="AC393" s="2">
        <v>52</v>
      </c>
      <c r="AD393" s="15">
        <f t="shared" ref="AD393:AD394" si="1030">AC393-Y393</f>
        <v>5</v>
      </c>
      <c r="AE393" s="34">
        <f>AD393*$F$8</f>
        <v>12.45</v>
      </c>
      <c r="AG393" s="13">
        <v>56</v>
      </c>
      <c r="AH393" s="15">
        <f t="shared" ref="AH393:AH394" si="1031">AG393-AC393</f>
        <v>4</v>
      </c>
      <c r="AI393" s="34">
        <f>AH393*$F$8</f>
        <v>9.96</v>
      </c>
      <c r="AJ393" s="32">
        <v>12.45</v>
      </c>
      <c r="AK393" s="13">
        <v>60</v>
      </c>
      <c r="AL393" s="15">
        <f t="shared" ref="AL393:AL394" si="1032">AK393-AG393</f>
        <v>4</v>
      </c>
      <c r="AM393" s="34">
        <f>AL393*$F$8</f>
        <v>9.96</v>
      </c>
      <c r="AN393" s="32">
        <v>9.96</v>
      </c>
      <c r="AO393" s="13">
        <v>62</v>
      </c>
      <c r="AP393" s="15">
        <f t="shared" ref="AP393:AP394" si="1033">AO393-AK393</f>
        <v>2</v>
      </c>
      <c r="AQ393" s="34">
        <f>AP393*$F$8</f>
        <v>4.98</v>
      </c>
      <c r="AR393" s="32">
        <v>14.94</v>
      </c>
      <c r="AS393" s="15">
        <v>63</v>
      </c>
      <c r="AT393" s="15">
        <f>AS393-AO393</f>
        <v>1</v>
      </c>
      <c r="AU393" s="34">
        <f>AT393*$F$8</f>
        <v>2.49</v>
      </c>
      <c r="AV393" s="15"/>
      <c r="AW393" s="13">
        <v>63</v>
      </c>
      <c r="AX393" s="15">
        <f>AW393-AS393</f>
        <v>0</v>
      </c>
      <c r="AY393" s="34">
        <f>AX393*$F$8</f>
        <v>0</v>
      </c>
      <c r="AZ393" s="28"/>
      <c r="BA393" s="13">
        <v>63</v>
      </c>
      <c r="BB393" s="15">
        <f>BA393-AW393</f>
        <v>0</v>
      </c>
      <c r="BC393" s="34">
        <f>BB393*$F$8</f>
        <v>0</v>
      </c>
      <c r="BD393" s="15"/>
      <c r="BE393" s="40">
        <f t="shared" ref="BE393:BG393" si="1034">J393+N393+R393+V393+Z393+AD393+AH393+AL393+AP393+AT393+AX393+BB393</f>
        <v>19</v>
      </c>
      <c r="BF393" s="41">
        <f t="shared" si="1034"/>
        <v>47.31</v>
      </c>
      <c r="BG393" s="34">
        <f t="shared" si="1034"/>
        <v>49.8</v>
      </c>
      <c r="BH393" s="35">
        <f t="shared" ref="BH393:BH398" si="1035">H393+BF393-BG393</f>
        <v>2.49</v>
      </c>
    </row>
    <row r="394" ht="15.75" customHeight="1" hidden="1" spans="1:62" x14ac:dyDescent="0.25">
      <c r="A394" s="29">
        <v>52</v>
      </c>
      <c r="B394" s="14"/>
      <c r="C394" s="2" t="s">
        <v>104</v>
      </c>
      <c r="D394" s="14" t="s">
        <v>47</v>
      </c>
      <c r="E394" s="2" t="s">
        <v>48</v>
      </c>
      <c r="F394" s="13">
        <v>17.16</v>
      </c>
      <c r="G394" s="28"/>
      <c r="H394" s="81">
        <f>2*17.16-34.32</f>
        <v>0</v>
      </c>
      <c r="I394" s="13"/>
      <c r="J394" s="15"/>
      <c r="K394" s="15"/>
      <c r="L394" s="28"/>
      <c r="Q394" s="13"/>
      <c r="R394" s="15"/>
      <c r="S394" s="15"/>
      <c r="T394" s="28"/>
      <c r="Y394" s="13">
        <f>51+93</f>
        <v>144</v>
      </c>
      <c r="Z394" s="15"/>
      <c r="AA394" s="15"/>
      <c r="AB394" s="28"/>
      <c r="AC394" s="13">
        <f>51+93</f>
        <v>144</v>
      </c>
      <c r="AD394" s="15">
        <f t="shared" si="1030"/>
        <v>0</v>
      </c>
      <c r="AE394" s="34">
        <f>AD394*$F$10</f>
        <v>0</v>
      </c>
      <c r="AG394" s="13">
        <f>57+100</f>
        <v>157</v>
      </c>
      <c r="AH394" s="15">
        <f t="shared" si="1031"/>
        <v>13</v>
      </c>
      <c r="AI394" s="45">
        <f>AH394*$G$10</f>
        <v>229.84</v>
      </c>
      <c r="AJ394" s="32">
        <v>229.84</v>
      </c>
      <c r="AK394" s="13">
        <f>59+104</f>
        <v>163</v>
      </c>
      <c r="AL394" s="15">
        <f t="shared" si="1032"/>
        <v>6</v>
      </c>
      <c r="AM394" s="45">
        <f>AL394*$G$10</f>
        <v>106.08</v>
      </c>
      <c r="AN394" s="32">
        <v>106.08</v>
      </c>
      <c r="AO394" s="13">
        <f>59+109</f>
        <v>168</v>
      </c>
      <c r="AP394" s="15">
        <f t="shared" si="1033"/>
        <v>5</v>
      </c>
      <c r="AQ394" s="45">
        <f>AP394*$G$10</f>
        <v>88.4</v>
      </c>
      <c r="AR394" s="38">
        <v>88.4</v>
      </c>
      <c r="AS394" s="15"/>
      <c r="AT394" s="15"/>
      <c r="AU394" s="15"/>
      <c r="AV394" s="15"/>
      <c r="AW394" s="13"/>
      <c r="AX394" s="15"/>
      <c r="AY394" s="15"/>
      <c r="AZ394" s="28"/>
      <c r="BA394" s="15"/>
      <c r="BB394" s="15"/>
      <c r="BC394" s="15"/>
      <c r="BD394" s="15"/>
      <c r="BE394" s="40">
        <f t="shared" ref="BE394:BG394" si="1036">J394+N394+R394+V394+Z394+AD394+AH394+AL394+AP394+AT394+AX394+BB394</f>
        <v>24</v>
      </c>
      <c r="BF394" s="41">
        <f t="shared" si="1036"/>
        <v>424.32</v>
      </c>
      <c r="BG394" s="34">
        <f t="shared" si="1036"/>
        <v>424.32</v>
      </c>
      <c r="BH394" s="35">
        <f t="shared" si="1035"/>
        <v>0</v>
      </c>
      <c r="BI394" s="34">
        <v>7</v>
      </c>
      <c r="BJ394" s="2" t="s">
        <v>207</v>
      </c>
    </row>
    <row r="395" ht="15.75" customHeight="1" hidden="1" spans="1:60" x14ac:dyDescent="0.25">
      <c r="A395" s="29">
        <v>52</v>
      </c>
      <c r="B395" s="14"/>
      <c r="C395" s="2" t="s">
        <v>208</v>
      </c>
      <c r="D395" s="14" t="s">
        <v>47</v>
      </c>
      <c r="E395" s="2" t="s">
        <v>49</v>
      </c>
      <c r="F395" s="41">
        <v>300</v>
      </c>
      <c r="G395" s="28"/>
      <c r="I395" s="13"/>
      <c r="J395" s="15"/>
      <c r="K395" s="15"/>
      <c r="L395" s="28"/>
      <c r="Q395" s="13"/>
      <c r="R395" s="15"/>
      <c r="S395" s="15"/>
      <c r="T395" s="28"/>
      <c r="Y395" s="13"/>
      <c r="Z395" s="15"/>
      <c r="AA395" s="15"/>
      <c r="AB395" s="28"/>
      <c r="AG395" s="13"/>
      <c r="AH395" s="15"/>
      <c r="AI395" s="15"/>
      <c r="AJ395" s="28"/>
      <c r="AK395" s="13"/>
      <c r="AL395" s="15"/>
      <c r="AM395" s="34"/>
      <c r="AN395" s="28"/>
      <c r="AO395" s="13"/>
      <c r="AP395" s="15"/>
      <c r="AQ395" s="34"/>
      <c r="AR395" s="28"/>
      <c r="AS395" s="15"/>
      <c r="AT395" s="15"/>
      <c r="AU395" s="15"/>
      <c r="AV395" s="15"/>
      <c r="AW395" s="13"/>
      <c r="AX395" s="15"/>
      <c r="AY395" s="15"/>
      <c r="AZ395" s="28"/>
      <c r="BA395" s="15"/>
      <c r="BB395" s="15"/>
      <c r="BC395" s="15"/>
      <c r="BD395" s="15"/>
      <c r="BE395" s="14"/>
      <c r="BF395" s="41">
        <f t="shared" ref="BF395:BG395" si="1037">K395+O395+S395+W395+AA395+AE395+AI395+AM395+AQ395+AU395+AY395+BC395</f>
        <v>0</v>
      </c>
      <c r="BG395" s="34">
        <f t="shared" si="1037"/>
        <v>0</v>
      </c>
      <c r="BH395" s="35">
        <f t="shared" si="1035"/>
        <v>0</v>
      </c>
    </row>
    <row r="396" ht="15.75" customHeight="1" hidden="1" spans="1:60" x14ac:dyDescent="0.25">
      <c r="A396" s="29">
        <v>52</v>
      </c>
      <c r="B396" s="14"/>
      <c r="C396" s="2" t="s">
        <v>209</v>
      </c>
      <c r="D396" s="14" t="s">
        <v>50</v>
      </c>
      <c r="E396" s="2" t="s">
        <v>49</v>
      </c>
      <c r="F396" s="41">
        <v>1062.88</v>
      </c>
      <c r="G396" s="28"/>
      <c r="I396" s="13"/>
      <c r="J396" s="15"/>
      <c r="K396" s="15"/>
      <c r="L396" s="28"/>
      <c r="Q396" s="13"/>
      <c r="R396" s="15"/>
      <c r="S396" s="15"/>
      <c r="T396" s="28"/>
      <c r="Y396" s="13"/>
      <c r="Z396" s="15"/>
      <c r="AA396" s="15"/>
      <c r="AB396" s="28"/>
      <c r="AE396" s="34">
        <f>B393*$F$12</f>
        <v>5314.4</v>
      </c>
      <c r="AG396" s="13"/>
      <c r="AH396" s="15"/>
      <c r="AI396" s="15"/>
      <c r="AJ396" s="38">
        <v>5314.4</v>
      </c>
      <c r="AK396" s="13"/>
      <c r="AL396" s="15"/>
      <c r="AM396" s="15"/>
      <c r="AN396" s="28"/>
      <c r="AO396" s="13"/>
      <c r="AP396" s="15"/>
      <c r="AQ396" s="15"/>
      <c r="AR396" s="28"/>
      <c r="AS396" s="15"/>
      <c r="AT396" s="15"/>
      <c r="AU396" s="15"/>
      <c r="AV396" s="15"/>
      <c r="AW396" s="13"/>
      <c r="AX396" s="15"/>
      <c r="AY396" s="15"/>
      <c r="AZ396" s="28"/>
      <c r="BA396" s="15"/>
      <c r="BB396" s="15"/>
      <c r="BC396" s="15"/>
      <c r="BD396" s="15"/>
      <c r="BE396" s="14"/>
      <c r="BF396" s="41">
        <f>B393*$F$12</f>
        <v>5314.4</v>
      </c>
      <c r="BG396" s="34">
        <f t="shared" ref="BG396:BG398" si="1038">L396+P396+T396+X396+AB396+AF396+AJ396+AN396+AR396+AV396+AZ396+BD396</f>
        <v>5314.4</v>
      </c>
      <c r="BH396" s="35">
        <f t="shared" si="1035"/>
        <v>0</v>
      </c>
    </row>
    <row r="397" ht="15.75" customHeight="1" hidden="1" spans="1:60" x14ac:dyDescent="0.25">
      <c r="A397" s="29">
        <v>52</v>
      </c>
      <c r="B397" s="14"/>
      <c r="D397" s="14" t="s">
        <v>51</v>
      </c>
      <c r="E397" s="2" t="s">
        <v>49</v>
      </c>
      <c r="F397" s="41">
        <v>0</v>
      </c>
      <c r="G397" s="28"/>
      <c r="I397" s="13"/>
      <c r="J397" s="15"/>
      <c r="K397" s="15"/>
      <c r="L397" s="28"/>
      <c r="Q397" s="13"/>
      <c r="R397" s="15"/>
      <c r="S397" s="15"/>
      <c r="T397" s="28"/>
      <c r="Y397" s="13"/>
      <c r="Z397" s="15"/>
      <c r="AA397" s="15"/>
      <c r="AB397" s="28"/>
      <c r="AG397" s="13"/>
      <c r="AH397" s="15"/>
      <c r="AI397" s="15"/>
      <c r="AJ397" s="28"/>
      <c r="AK397" s="13"/>
      <c r="AL397" s="15"/>
      <c r="AM397" s="15"/>
      <c r="AN397" s="28"/>
      <c r="AO397" s="13"/>
      <c r="AP397" s="15"/>
      <c r="AQ397" s="15"/>
      <c r="AR397" s="28"/>
      <c r="AS397" s="15"/>
      <c r="AT397" s="15"/>
      <c r="AU397" s="15"/>
      <c r="AV397" s="15"/>
      <c r="AW397" s="13"/>
      <c r="AX397" s="15"/>
      <c r="AY397" s="15"/>
      <c r="AZ397" s="28"/>
      <c r="BA397" s="15"/>
      <c r="BB397" s="15"/>
      <c r="BC397" s="15"/>
      <c r="BD397" s="15"/>
      <c r="BE397" s="14"/>
      <c r="BF397" s="41">
        <f>B393*$F$13</f>
        <v>0</v>
      </c>
      <c r="BG397" s="34">
        <f t="shared" si="1038"/>
        <v>0</v>
      </c>
      <c r="BH397" s="35">
        <f t="shared" si="1035"/>
        <v>0</v>
      </c>
    </row>
    <row r="398" ht="15.75" customHeight="1" hidden="1" spans="1:60" x14ac:dyDescent="0.25">
      <c r="A398" s="29">
        <v>52</v>
      </c>
      <c r="B398" s="14"/>
      <c r="D398" s="14" t="s">
        <v>52</v>
      </c>
      <c r="E398" s="2" t="s">
        <v>39</v>
      </c>
      <c r="F398" s="41">
        <v>350</v>
      </c>
      <c r="G398" s="28"/>
      <c r="I398" s="13"/>
      <c r="J398" s="15"/>
      <c r="K398" s="15"/>
      <c r="L398" s="28"/>
      <c r="Q398" s="13"/>
      <c r="R398" s="15"/>
      <c r="S398" s="15"/>
      <c r="T398" s="28"/>
      <c r="Y398" s="13"/>
      <c r="Z398" s="15"/>
      <c r="AA398" s="34">
        <f>$F$14</f>
        <v>350</v>
      </c>
      <c r="AB398" s="35">
        <v>350</v>
      </c>
      <c r="AG398" s="13"/>
      <c r="AH398" s="15"/>
      <c r="AI398" s="15"/>
      <c r="AJ398" s="28"/>
      <c r="AK398" s="13"/>
      <c r="AL398" s="15"/>
      <c r="AM398" s="15"/>
      <c r="AN398" s="28"/>
      <c r="AO398" s="13"/>
      <c r="AP398" s="15"/>
      <c r="AQ398" s="15"/>
      <c r="AR398" s="28"/>
      <c r="AS398" s="15"/>
      <c r="AT398" s="15"/>
      <c r="AU398" s="15"/>
      <c r="AV398" s="15"/>
      <c r="AW398" s="13"/>
      <c r="AX398" s="15"/>
      <c r="AY398" s="15"/>
      <c r="AZ398" s="28"/>
      <c r="BA398" s="15"/>
      <c r="BB398" s="15"/>
      <c r="BC398" s="15"/>
      <c r="BD398" s="15"/>
      <c r="BE398" s="14"/>
      <c r="BF398" s="41">
        <f>$F$14</f>
        <v>350</v>
      </c>
      <c r="BG398" s="34">
        <f t="shared" si="1038"/>
        <v>350</v>
      </c>
      <c r="BH398" s="35">
        <f t="shared" si="1035"/>
        <v>0</v>
      </c>
    </row>
    <row r="399" ht="15.75" customHeight="1" hidden="1" spans="1:62" x14ac:dyDescent="0.25">
      <c r="A399" s="50">
        <v>52</v>
      </c>
      <c r="B399" s="21"/>
      <c r="C399" s="22" t="s">
        <v>53</v>
      </c>
      <c r="D399" s="21"/>
      <c r="E399" s="22"/>
      <c r="F399" s="20"/>
      <c r="G399" s="23"/>
      <c r="H399" s="51">
        <f>SUM(H392:H398)</f>
        <v>4.98</v>
      </c>
      <c r="I399" s="52"/>
      <c r="J399" s="53"/>
      <c r="K399" s="51">
        <f t="shared" ref="K399:L399" si="1039">SUM(K392:K398)</f>
        <v>0</v>
      </c>
      <c r="L399" s="68">
        <f t="shared" si="1039"/>
        <v>0</v>
      </c>
      <c r="M399" s="53"/>
      <c r="N399" s="53"/>
      <c r="O399" s="51">
        <f t="shared" ref="O399:P399" si="1040">SUM(O393:O398)</f>
        <v>0</v>
      </c>
      <c r="P399" s="51">
        <f t="shared" si="1040"/>
        <v>0</v>
      </c>
      <c r="Q399" s="52"/>
      <c r="R399" s="53"/>
      <c r="S399" s="51">
        <f t="shared" ref="S399:T399" si="1041">SUM(S393:S398)</f>
        <v>0</v>
      </c>
      <c r="T399" s="68">
        <f t="shared" si="1041"/>
        <v>0</v>
      </c>
      <c r="U399" s="53"/>
      <c r="V399" s="53"/>
      <c r="W399" s="51">
        <f t="shared" ref="W399:X399" si="1042">SUM(W393:W398)</f>
        <v>2.49</v>
      </c>
      <c r="X399" s="51">
        <f t="shared" si="1042"/>
        <v>7.47</v>
      </c>
      <c r="Y399" s="52"/>
      <c r="Z399" s="53"/>
      <c r="AA399" s="51">
        <f t="shared" ref="AA399:AB399" si="1043">SUM(AA393:AA398)</f>
        <v>354.98</v>
      </c>
      <c r="AB399" s="68">
        <f t="shared" si="1043"/>
        <v>354.98</v>
      </c>
      <c r="AC399" s="53"/>
      <c r="AD399" s="53"/>
      <c r="AE399" s="51">
        <f t="shared" ref="AE399:AF399" si="1044">SUM(AE393:AE398)</f>
        <v>5326.85</v>
      </c>
      <c r="AF399" s="51">
        <f t="shared" si="1044"/>
        <v>0</v>
      </c>
      <c r="AG399" s="52"/>
      <c r="AH399" s="53"/>
      <c r="AI399" s="51">
        <f t="shared" ref="AI399:AJ399" si="1045">SUM(AI393:AI398)</f>
        <v>239.8</v>
      </c>
      <c r="AJ399" s="68">
        <f t="shared" si="1045"/>
        <v>5556.69</v>
      </c>
      <c r="AK399" s="52"/>
      <c r="AL399" s="53"/>
      <c r="AM399" s="51">
        <f t="shared" ref="AM399:AN399" si="1046">SUM(AM393:AM398)</f>
        <v>116.04</v>
      </c>
      <c r="AN399" s="68">
        <f t="shared" si="1046"/>
        <v>116.04</v>
      </c>
      <c r="AO399" s="52"/>
      <c r="AP399" s="53"/>
      <c r="AQ399" s="51">
        <f t="shared" ref="AQ399:AR399" si="1047">SUM(AQ393:AQ398)</f>
        <v>93.38</v>
      </c>
      <c r="AR399" s="68">
        <f t="shared" si="1047"/>
        <v>103.34</v>
      </c>
      <c r="AS399" s="53"/>
      <c r="AT399" s="53"/>
      <c r="AU399" s="51">
        <f t="shared" ref="AU399:AV399" si="1048">SUM(AU393:AU398)</f>
        <v>2.49</v>
      </c>
      <c r="AV399" s="51">
        <f t="shared" si="1048"/>
        <v>0</v>
      </c>
      <c r="AW399" s="52"/>
      <c r="AX399" s="53"/>
      <c r="AY399" s="51">
        <f t="shared" ref="AY399:AZ399" si="1049">SUM(AY393:AY398)</f>
        <v>0</v>
      </c>
      <c r="AZ399" s="68">
        <f t="shared" si="1049"/>
        <v>0</v>
      </c>
      <c r="BA399" s="53"/>
      <c r="BB399" s="53"/>
      <c r="BC399" s="51">
        <f t="shared" ref="BC399:BD399" si="1050">SUM(BC393:BC398)</f>
        <v>0</v>
      </c>
      <c r="BD399" s="51">
        <f t="shared" si="1050"/>
        <v>0</v>
      </c>
      <c r="BE399" s="69"/>
      <c r="BF399" s="70">
        <f t="shared" ref="BF399:BH399" si="1051">SUM(BF392:BF398)</f>
        <v>6136.03</v>
      </c>
      <c r="BG399" s="71">
        <f t="shared" si="1051"/>
        <v>6138.52</v>
      </c>
      <c r="BH399" s="72">
        <f t="shared" si="1051"/>
        <v>2.49</v>
      </c>
      <c r="BI399" s="34">
        <f>H399+BF399-BG399</f>
        <v>2.49</v>
      </c>
      <c r="BJ399" s="34">
        <f>BH399-BI399</f>
        <v>0</v>
      </c>
    </row>
    <row r="400" ht="15.75" customHeight="1" hidden="1" spans="1:60" x14ac:dyDescent="0.25">
      <c r="A400" s="29">
        <v>53</v>
      </c>
      <c r="B400" s="14"/>
      <c r="D400" s="14" t="s">
        <v>42</v>
      </c>
      <c r="F400" s="13"/>
      <c r="G400" s="28"/>
      <c r="I400" s="13"/>
      <c r="J400" s="15"/>
      <c r="K400" s="15"/>
      <c r="L400" s="28"/>
      <c r="Q400" s="13"/>
      <c r="R400" s="15"/>
      <c r="S400" s="15"/>
      <c r="T400" s="28"/>
      <c r="Y400" s="13"/>
      <c r="Z400" s="15"/>
      <c r="AA400" s="15"/>
      <c r="AB400" s="28"/>
      <c r="AG400" s="13"/>
      <c r="AH400" s="15"/>
      <c r="AI400" s="15"/>
      <c r="AJ400" s="28"/>
      <c r="AK400" s="13"/>
      <c r="AL400" s="15"/>
      <c r="AM400" s="15"/>
      <c r="AN400" s="28"/>
      <c r="AO400" s="13"/>
      <c r="AP400" s="15"/>
      <c r="AQ400" s="15"/>
      <c r="AR400" s="28"/>
      <c r="AW400" s="13"/>
      <c r="AX400" s="15"/>
      <c r="AY400" s="15"/>
      <c r="AZ400" s="28"/>
      <c r="BE400" s="14"/>
      <c r="BF400" s="13"/>
      <c r="BG400" s="15"/>
      <c r="BH400" s="28"/>
    </row>
    <row r="401" ht="15.75" customHeight="1" hidden="1" spans="1:64" x14ac:dyDescent="0.25">
      <c r="A401" s="2">
        <v>53</v>
      </c>
      <c r="B401" s="14">
        <v>5.05</v>
      </c>
      <c r="C401" s="2" t="s">
        <v>210</v>
      </c>
      <c r="D401" s="14" t="s">
        <v>44</v>
      </c>
      <c r="E401" s="2" t="s">
        <v>45</v>
      </c>
      <c r="F401" s="13">
        <v>2.49</v>
      </c>
      <c r="G401" s="28"/>
      <c r="H401" s="2">
        <v>-266.65</v>
      </c>
      <c r="I401" s="13">
        <v>1832</v>
      </c>
      <c r="J401" s="15">
        <v>107</v>
      </c>
      <c r="K401" s="34">
        <f>J401*$F$8</f>
        <v>266.43</v>
      </c>
      <c r="L401" s="28"/>
      <c r="M401" s="2">
        <v>2131</v>
      </c>
      <c r="N401" s="15">
        <f>M401-I401</f>
        <v>299</v>
      </c>
      <c r="O401" s="34">
        <f>N401*$F$8</f>
        <v>744.51</v>
      </c>
      <c r="P401" s="34">
        <v>1000</v>
      </c>
      <c r="Q401" s="13">
        <v>2591</v>
      </c>
      <c r="R401" s="15">
        <f>Q401-M401</f>
        <v>460</v>
      </c>
      <c r="S401" s="34">
        <f>R401*$F$8</f>
        <v>1145.4</v>
      </c>
      <c r="T401" s="35">
        <v>1000</v>
      </c>
      <c r="U401" s="34">
        <v>2864</v>
      </c>
      <c r="V401" s="34">
        <f>U401-Q401</f>
        <v>273</v>
      </c>
      <c r="W401" s="34">
        <f>V401*$F$8</f>
        <v>679.77</v>
      </c>
      <c r="X401" s="96">
        <f>1000-323.93</f>
        <v>676.07</v>
      </c>
      <c r="Y401" s="41">
        <v>3031</v>
      </c>
      <c r="Z401" s="34">
        <f>Y401-U401</f>
        <v>167</v>
      </c>
      <c r="AA401" s="34">
        <f>Z401*$F$8</f>
        <v>415.83</v>
      </c>
      <c r="AB401" s="28"/>
      <c r="AC401" s="2">
        <v>3167</v>
      </c>
      <c r="AD401" s="34">
        <f t="shared" ref="AD401:AD402" si="1052">AC401-Y401</f>
        <v>136</v>
      </c>
      <c r="AE401" s="34">
        <f>AD401*$F$8</f>
        <v>338.64</v>
      </c>
      <c r="AF401" s="34"/>
      <c r="AG401" s="13">
        <v>3251</v>
      </c>
      <c r="AH401" s="15">
        <f t="shared" ref="AH401:AH402" si="1053">AG401-AC401</f>
        <v>84</v>
      </c>
      <c r="AI401" s="34">
        <f>AH401*$F$8</f>
        <v>209.16</v>
      </c>
      <c r="AJ401" s="38">
        <f>323.93+1350</f>
        <v>1673.93</v>
      </c>
      <c r="AK401" s="13">
        <v>3435</v>
      </c>
      <c r="AL401" s="15">
        <f t="shared" ref="AL401:AL402" si="1054">AK401-AG401</f>
        <v>184</v>
      </c>
      <c r="AM401" s="34">
        <f>AL401*$F$8</f>
        <v>458.16</v>
      </c>
      <c r="AN401" s="28"/>
      <c r="AO401" s="13">
        <v>3505</v>
      </c>
      <c r="AP401" s="15">
        <f t="shared" ref="AP401:AP402" si="1055">AO401-AK401</f>
        <v>70</v>
      </c>
      <c r="AQ401" s="34">
        <f>AP401*$F$8</f>
        <v>174.3</v>
      </c>
      <c r="AR401" s="28"/>
      <c r="AS401" s="15">
        <v>3617</v>
      </c>
      <c r="AT401" s="15">
        <f>AS401-AO401</f>
        <v>112</v>
      </c>
      <c r="AU401" s="34">
        <f>AT401*$F$8</f>
        <v>278.88</v>
      </c>
      <c r="AV401" s="15"/>
      <c r="AW401" s="13">
        <v>3617</v>
      </c>
      <c r="AX401" s="15">
        <f>AW401-AS401</f>
        <v>0</v>
      </c>
      <c r="AY401" s="34">
        <f>AX401*$F$8</f>
        <v>0</v>
      </c>
      <c r="AZ401" s="38">
        <f>650+350</f>
        <v>1000</v>
      </c>
      <c r="BA401" s="15">
        <v>4040</v>
      </c>
      <c r="BB401" s="15">
        <f>BA401-AW401</f>
        <v>423</v>
      </c>
      <c r="BC401" s="34">
        <f>BB401*$F$8</f>
        <v>1053.27</v>
      </c>
      <c r="BD401" s="39">
        <f>390+750</f>
        <v>1140</v>
      </c>
      <c r="BE401" s="40">
        <f t="shared" ref="BE401:BG401" si="1056">J401+N401+R401+V401+Z401+AD401+AH401+AL401+AP401+AT401+AX401+BB401</f>
        <v>2315</v>
      </c>
      <c r="BF401" s="41">
        <f t="shared" si="1056"/>
        <v>5764.35</v>
      </c>
      <c r="BG401" s="34">
        <f t="shared" si="1056"/>
        <v>6490</v>
      </c>
      <c r="BH401" s="35">
        <f t="shared" ref="BH401:BH406" si="1057">H401+BF401-BG401</f>
        <v>-992.3</v>
      </c>
      <c r="BK401" s="2">
        <f t="shared" ref="BK401:BL401" si="1058">390+750</f>
        <v>1140</v>
      </c>
      <c r="BL401" s="2">
        <f t="shared" si="1058"/>
        <v>1140</v>
      </c>
    </row>
    <row r="402" ht="15.75" customHeight="1" hidden="1" spans="1:60" x14ac:dyDescent="0.25">
      <c r="A402" s="29">
        <v>53</v>
      </c>
      <c r="B402" s="14"/>
      <c r="C402" s="2" t="s">
        <v>153</v>
      </c>
      <c r="D402" s="14" t="s">
        <v>47</v>
      </c>
      <c r="E402" s="2" t="s">
        <v>48</v>
      </c>
      <c r="F402" s="13">
        <v>17.16</v>
      </c>
      <c r="G402" s="28"/>
      <c r="H402" s="73">
        <f>9*17.16</f>
        <v>154.44</v>
      </c>
      <c r="I402" s="13"/>
      <c r="J402" s="15"/>
      <c r="K402" s="15"/>
      <c r="L402" s="28"/>
      <c r="Q402" s="13"/>
      <c r="R402" s="15"/>
      <c r="S402" s="15"/>
      <c r="T402" s="28"/>
      <c r="Y402" s="13">
        <v>38</v>
      </c>
      <c r="Z402" s="15"/>
      <c r="AA402" s="15"/>
      <c r="AB402" s="28"/>
      <c r="AC402" s="2">
        <v>43</v>
      </c>
      <c r="AD402" s="15">
        <f t="shared" si="1052"/>
        <v>5</v>
      </c>
      <c r="AE402" s="34">
        <f>AD402*$F$10</f>
        <v>85.8</v>
      </c>
      <c r="AF402" s="34"/>
      <c r="AG402" s="13">
        <v>45</v>
      </c>
      <c r="AH402" s="15">
        <f t="shared" si="1053"/>
        <v>2</v>
      </c>
      <c r="AI402" s="45">
        <f>AH402*$G$10</f>
        <v>35.36</v>
      </c>
      <c r="AJ402" s="38">
        <f>85.8+189.8</f>
        <v>275.6</v>
      </c>
      <c r="AK402" s="13">
        <v>53</v>
      </c>
      <c r="AL402" s="15">
        <f t="shared" si="1054"/>
        <v>8</v>
      </c>
      <c r="AM402" s="45">
        <f>AL402*$G$10</f>
        <v>141.44</v>
      </c>
      <c r="AN402" s="32">
        <v>141.44</v>
      </c>
      <c r="AO402" s="13">
        <v>53</v>
      </c>
      <c r="AP402" s="15">
        <f t="shared" si="1055"/>
        <v>0</v>
      </c>
      <c r="AQ402" s="45">
        <f>AP402*$G$10</f>
        <v>0</v>
      </c>
      <c r="AR402" s="28"/>
      <c r="AS402" s="15"/>
      <c r="AT402" s="15"/>
      <c r="AU402" s="15"/>
      <c r="AV402" s="15"/>
      <c r="AW402" s="13"/>
      <c r="AX402" s="15"/>
      <c r="AY402" s="15"/>
      <c r="AZ402" s="28"/>
      <c r="BA402" s="15"/>
      <c r="BB402" s="15"/>
      <c r="BC402" s="15"/>
      <c r="BD402" s="15"/>
      <c r="BE402" s="40">
        <f t="shared" ref="BE402:BG402" si="1059">J402+N402+R402+V402+Z402+AD402+AH402+AL402+AP402+AT402+AX402+BB402</f>
        <v>15</v>
      </c>
      <c r="BF402" s="41">
        <f t="shared" si="1059"/>
        <v>262.6</v>
      </c>
      <c r="BG402" s="34">
        <f t="shared" si="1059"/>
        <v>417.04</v>
      </c>
      <c r="BH402" s="35">
        <f t="shared" si="1057"/>
        <v>0</v>
      </c>
    </row>
    <row r="403" ht="15.75" customHeight="1" hidden="1" spans="1:60" x14ac:dyDescent="0.25">
      <c r="A403" s="29">
        <v>53</v>
      </c>
      <c r="B403" s="14"/>
      <c r="C403" s="2" t="s">
        <v>58</v>
      </c>
      <c r="D403" s="14" t="s">
        <v>47</v>
      </c>
      <c r="E403" s="2" t="s">
        <v>49</v>
      </c>
      <c r="F403" s="41">
        <v>300</v>
      </c>
      <c r="G403" s="28"/>
      <c r="I403" s="13"/>
      <c r="J403" s="15"/>
      <c r="K403" s="15"/>
      <c r="L403" s="28"/>
      <c r="Q403" s="13"/>
      <c r="R403" s="15"/>
      <c r="S403" s="15"/>
      <c r="T403" s="28"/>
      <c r="Y403" s="13"/>
      <c r="Z403" s="15"/>
      <c r="AA403" s="15"/>
      <c r="AB403" s="28"/>
      <c r="AG403" s="13"/>
      <c r="AH403" s="15"/>
      <c r="AI403" s="15"/>
      <c r="AJ403" s="28"/>
      <c r="AK403" s="13"/>
      <c r="AL403" s="15"/>
      <c r="AM403" s="34"/>
      <c r="AN403" s="28"/>
      <c r="AO403" s="13"/>
      <c r="AP403" s="15"/>
      <c r="AQ403" s="34"/>
      <c r="AR403" s="28"/>
      <c r="AS403" s="15"/>
      <c r="AT403" s="15"/>
      <c r="AU403" s="15"/>
      <c r="AV403" s="15"/>
      <c r="AW403" s="13"/>
      <c r="AX403" s="15"/>
      <c r="AY403" s="15"/>
      <c r="AZ403" s="28"/>
      <c r="BA403" s="15"/>
      <c r="BB403" s="15"/>
      <c r="BC403" s="15"/>
      <c r="BD403" s="15"/>
      <c r="BE403" s="14"/>
      <c r="BF403" s="41">
        <f t="shared" ref="BF403:BG403" si="1060">K403+O403+S403+W403+AA403+AE403+AI403+AM403+AQ403+AU403+AY403+BC403</f>
        <v>0</v>
      </c>
      <c r="BG403" s="34">
        <f t="shared" si="1060"/>
        <v>0</v>
      </c>
      <c r="BH403" s="35">
        <f t="shared" si="1057"/>
        <v>0</v>
      </c>
    </row>
    <row r="404" ht="15.75" customHeight="1" hidden="1" spans="1:60" x14ac:dyDescent="0.25">
      <c r="A404" s="29">
        <v>53</v>
      </c>
      <c r="B404" s="14"/>
      <c r="C404" s="2" t="s">
        <v>193</v>
      </c>
      <c r="D404" s="14" t="s">
        <v>50</v>
      </c>
      <c r="E404" s="2" t="s">
        <v>49</v>
      </c>
      <c r="F404" s="41">
        <v>1062.88</v>
      </c>
      <c r="G404" s="28"/>
      <c r="I404" s="13"/>
      <c r="J404" s="15"/>
      <c r="K404" s="15"/>
      <c r="L404" s="28"/>
      <c r="Q404" s="13"/>
      <c r="R404" s="15"/>
      <c r="S404" s="15"/>
      <c r="T404" s="28"/>
      <c r="Y404" s="13"/>
      <c r="Z404" s="15"/>
      <c r="AA404" s="15"/>
      <c r="AB404" s="28"/>
      <c r="AE404" s="34">
        <f>B401*$F$12</f>
        <v>5367.544</v>
      </c>
      <c r="AF404" s="2">
        <v>5367.54</v>
      </c>
      <c r="AG404" s="13"/>
      <c r="AH404" s="15"/>
      <c r="AI404" s="15"/>
      <c r="AJ404" s="28"/>
      <c r="AK404" s="13"/>
      <c r="AL404" s="15"/>
      <c r="AM404" s="15"/>
      <c r="AN404" s="28"/>
      <c r="AO404" s="13"/>
      <c r="AP404" s="15"/>
      <c r="AQ404" s="15"/>
      <c r="AR404" s="28"/>
      <c r="AS404" s="15"/>
      <c r="AT404" s="15"/>
      <c r="AU404" s="15"/>
      <c r="AV404" s="15"/>
      <c r="AW404" s="13"/>
      <c r="AX404" s="15"/>
      <c r="AY404" s="15"/>
      <c r="AZ404" s="28"/>
      <c r="BA404" s="15"/>
      <c r="BB404" s="15"/>
      <c r="BC404" s="15"/>
      <c r="BD404" s="15"/>
      <c r="BE404" s="14"/>
      <c r="BF404" s="41">
        <f t="shared" ref="BF404:BF405" si="1061">B401*$F$12</f>
        <v>5367.544</v>
      </c>
      <c r="BG404" s="34">
        <f t="shared" ref="BG404:BG406" si="1062">L404+P404+T404+X404+AB404+AF404+AJ404+AN404+AR404+AV404+AZ404+BD404</f>
        <v>5367.54</v>
      </c>
      <c r="BH404" s="35">
        <f t="shared" si="1057"/>
        <v>0.004000000001</v>
      </c>
    </row>
    <row r="405" ht="15.75" customHeight="1" hidden="1" spans="1:60" x14ac:dyDescent="0.25">
      <c r="A405" s="29">
        <v>53</v>
      </c>
      <c r="B405" s="14"/>
      <c r="C405" s="2" t="s">
        <v>211</v>
      </c>
      <c r="D405" s="14" t="s">
        <v>51</v>
      </c>
      <c r="E405" s="2" t="s">
        <v>49</v>
      </c>
      <c r="F405" s="41">
        <v>0</v>
      </c>
      <c r="G405" s="28"/>
      <c r="I405" s="13"/>
      <c r="J405" s="15"/>
      <c r="K405" s="15"/>
      <c r="L405" s="28"/>
      <c r="Q405" s="13"/>
      <c r="R405" s="15"/>
      <c r="S405" s="15"/>
      <c r="T405" s="28"/>
      <c r="Y405" s="13"/>
      <c r="Z405" s="15"/>
      <c r="AA405" s="15"/>
      <c r="AB405" s="28"/>
      <c r="AG405" s="13"/>
      <c r="AH405" s="15"/>
      <c r="AI405" s="15"/>
      <c r="AJ405" s="28"/>
      <c r="AK405" s="13"/>
      <c r="AL405" s="15"/>
      <c r="AM405" s="15"/>
      <c r="AN405" s="28"/>
      <c r="AO405" s="13"/>
      <c r="AP405" s="15"/>
      <c r="AQ405" s="15"/>
      <c r="AR405" s="28"/>
      <c r="AS405" s="15"/>
      <c r="AT405" s="15"/>
      <c r="AU405" s="15"/>
      <c r="AV405" s="15"/>
      <c r="AW405" s="13"/>
      <c r="AX405" s="15"/>
      <c r="AY405" s="15"/>
      <c r="AZ405" s="28"/>
      <c r="BA405" s="15"/>
      <c r="BB405" s="15"/>
      <c r="BC405" s="15"/>
      <c r="BD405" s="15"/>
      <c r="BE405" s="14"/>
      <c r="BF405" s="41">
        <f t="shared" si="1061"/>
        <v>0</v>
      </c>
      <c r="BG405" s="34">
        <f t="shared" si="1062"/>
        <v>0</v>
      </c>
      <c r="BH405" s="35">
        <f t="shared" si="1057"/>
        <v>0</v>
      </c>
    </row>
    <row r="406" ht="15.75" customHeight="1" hidden="1" spans="1:60" x14ac:dyDescent="0.25">
      <c r="A406" s="29">
        <v>53</v>
      </c>
      <c r="B406" s="14"/>
      <c r="D406" s="14" t="s">
        <v>52</v>
      </c>
      <c r="E406" s="2" t="s">
        <v>39</v>
      </c>
      <c r="F406" s="41">
        <v>350</v>
      </c>
      <c r="G406" s="28"/>
      <c r="I406" s="13"/>
      <c r="J406" s="15"/>
      <c r="K406" s="15"/>
      <c r="L406" s="28"/>
      <c r="Q406" s="13"/>
      <c r="R406" s="15"/>
      <c r="S406" s="15"/>
      <c r="T406" s="28"/>
      <c r="Y406" s="13"/>
      <c r="Z406" s="15"/>
      <c r="AA406" s="34">
        <f>$F$14</f>
        <v>350</v>
      </c>
      <c r="AB406" s="28"/>
      <c r="AG406" s="13"/>
      <c r="AH406" s="15"/>
      <c r="AI406" s="15"/>
      <c r="AJ406" s="28"/>
      <c r="AK406" s="13"/>
      <c r="AL406" s="15"/>
      <c r="AM406" s="15"/>
      <c r="AN406" s="35">
        <v>350</v>
      </c>
      <c r="AO406" s="13"/>
      <c r="AP406" s="15"/>
      <c r="AQ406" s="15"/>
      <c r="AR406" s="28"/>
      <c r="AS406" s="15"/>
      <c r="AT406" s="15"/>
      <c r="AU406" s="15"/>
      <c r="AV406" s="15"/>
      <c r="AW406" s="13"/>
      <c r="AX406" s="15"/>
      <c r="AY406" s="15"/>
      <c r="AZ406" s="28"/>
      <c r="BA406" s="15"/>
      <c r="BB406" s="15"/>
      <c r="BC406" s="15"/>
      <c r="BD406" s="15"/>
      <c r="BE406" s="14"/>
      <c r="BF406" s="41">
        <f>$F$14</f>
        <v>350</v>
      </c>
      <c r="BG406" s="34">
        <f t="shared" si="1062"/>
        <v>350</v>
      </c>
      <c r="BH406" s="35">
        <f t="shared" si="1057"/>
        <v>0</v>
      </c>
    </row>
    <row r="407" ht="15.75" customHeight="1" hidden="1" spans="1:62" x14ac:dyDescent="0.25">
      <c r="A407" s="50">
        <v>53</v>
      </c>
      <c r="B407" s="21"/>
      <c r="C407" s="22" t="s">
        <v>53</v>
      </c>
      <c r="D407" s="21"/>
      <c r="E407" s="22"/>
      <c r="F407" s="20"/>
      <c r="G407" s="23"/>
      <c r="H407" s="51">
        <f>SUM(H400:H406)</f>
        <v>-112.21</v>
      </c>
      <c r="I407" s="52"/>
      <c r="J407" s="53"/>
      <c r="K407" s="51">
        <f t="shared" ref="K407:L407" si="1063">SUM(K400:K406)</f>
        <v>266.43</v>
      </c>
      <c r="L407" s="68">
        <f t="shared" si="1063"/>
        <v>0</v>
      </c>
      <c r="M407" s="53"/>
      <c r="N407" s="53"/>
      <c r="O407" s="51">
        <f t="shared" ref="O407:P407" si="1064">SUM(O401:O406)</f>
        <v>744.51</v>
      </c>
      <c r="P407" s="51">
        <f t="shared" si="1064"/>
        <v>1000</v>
      </c>
      <c r="Q407" s="52"/>
      <c r="R407" s="53"/>
      <c r="S407" s="51">
        <f t="shared" ref="S407:T407" si="1065">SUM(S401:S406)</f>
        <v>1145.4</v>
      </c>
      <c r="T407" s="68">
        <f t="shared" si="1065"/>
        <v>1000</v>
      </c>
      <c r="U407" s="53"/>
      <c r="V407" s="53"/>
      <c r="W407" s="51">
        <f t="shared" ref="W407:X407" si="1066">SUM(W401:W406)</f>
        <v>679.77</v>
      </c>
      <c r="X407" s="51">
        <f t="shared" si="1066"/>
        <v>676.07</v>
      </c>
      <c r="Y407" s="52"/>
      <c r="Z407" s="53"/>
      <c r="AA407" s="51">
        <f t="shared" ref="AA407:AB407" si="1067">SUM(AA401:AA406)</f>
        <v>765.83</v>
      </c>
      <c r="AB407" s="68">
        <f t="shared" si="1067"/>
        <v>0</v>
      </c>
      <c r="AC407" s="53"/>
      <c r="AD407" s="53"/>
      <c r="AE407" s="51">
        <f t="shared" ref="AE407:AF407" si="1068">SUM(AE401:AE406)</f>
        <v>5791.984</v>
      </c>
      <c r="AF407" s="51">
        <f t="shared" si="1068"/>
        <v>5367.54</v>
      </c>
      <c r="AG407" s="52"/>
      <c r="AH407" s="53"/>
      <c r="AI407" s="51">
        <f t="shared" ref="AI407:AJ407" si="1069">SUM(AI401:AI406)</f>
        <v>244.52</v>
      </c>
      <c r="AJ407" s="68">
        <f t="shared" si="1069"/>
        <v>1949.53</v>
      </c>
      <c r="AK407" s="52"/>
      <c r="AL407" s="53"/>
      <c r="AM407" s="51">
        <f t="shared" ref="AM407:AN407" si="1070">SUM(AM401:AM406)</f>
        <v>599.6</v>
      </c>
      <c r="AN407" s="68">
        <f t="shared" si="1070"/>
        <v>491.44</v>
      </c>
      <c r="AO407" s="52"/>
      <c r="AP407" s="53"/>
      <c r="AQ407" s="51">
        <f t="shared" ref="AQ407:AR407" si="1071">SUM(AQ401:AQ406)</f>
        <v>174.3</v>
      </c>
      <c r="AR407" s="68">
        <f t="shared" si="1071"/>
        <v>0</v>
      </c>
      <c r="AS407" s="53"/>
      <c r="AT407" s="53"/>
      <c r="AU407" s="51">
        <f t="shared" ref="AU407:AV407" si="1072">SUM(AU401:AU406)</f>
        <v>278.88</v>
      </c>
      <c r="AV407" s="51">
        <f t="shared" si="1072"/>
        <v>0</v>
      </c>
      <c r="AW407" s="52"/>
      <c r="AX407" s="53"/>
      <c r="AY407" s="51">
        <f t="shared" ref="AY407:AZ407" si="1073">SUM(AY401:AY406)</f>
        <v>0</v>
      </c>
      <c r="AZ407" s="68">
        <f t="shared" si="1073"/>
        <v>1000</v>
      </c>
      <c r="BA407" s="53"/>
      <c r="BB407" s="53"/>
      <c r="BC407" s="51">
        <f t="shared" ref="BC407:BD407" si="1074">SUM(BC401:BC406)</f>
        <v>1053.27</v>
      </c>
      <c r="BD407" s="51">
        <f t="shared" si="1074"/>
        <v>1140</v>
      </c>
      <c r="BE407" s="69"/>
      <c r="BF407" s="70">
        <f t="shared" ref="BF407:BH407" si="1075">SUM(BF400:BF406)</f>
        <v>11744.494</v>
      </c>
      <c r="BG407" s="71">
        <f t="shared" si="1075"/>
        <v>12624.58</v>
      </c>
      <c r="BH407" s="72">
        <f t="shared" si="1075"/>
        <v>-992.296</v>
      </c>
      <c r="BI407" s="34">
        <f>H407+BF407-BG407</f>
        <v>-992.296</v>
      </c>
      <c r="BJ407" s="34">
        <f>BH407-BI407</f>
        <v>0</v>
      </c>
    </row>
    <row r="408" ht="15.75" customHeight="1" hidden="1" spans="1:60" x14ac:dyDescent="0.25">
      <c r="A408" s="29">
        <v>54</v>
      </c>
      <c r="B408" s="14"/>
      <c r="D408" s="14" t="s">
        <v>42</v>
      </c>
      <c r="F408" s="13"/>
      <c r="G408" s="28"/>
      <c r="I408" s="13"/>
      <c r="J408" s="15"/>
      <c r="K408" s="15"/>
      <c r="L408" s="28"/>
      <c r="Q408" s="13"/>
      <c r="R408" s="15"/>
      <c r="S408" s="15"/>
      <c r="T408" s="28"/>
      <c r="Y408" s="13"/>
      <c r="Z408" s="15"/>
      <c r="AA408" s="15"/>
      <c r="AB408" s="28"/>
      <c r="AG408" s="13"/>
      <c r="AH408" s="15"/>
      <c r="AI408" s="15"/>
      <c r="AJ408" s="28"/>
      <c r="AK408" s="13"/>
      <c r="AL408" s="15"/>
      <c r="AM408" s="15"/>
      <c r="AN408" s="28"/>
      <c r="AO408" s="13"/>
      <c r="AP408" s="15"/>
      <c r="AQ408" s="15"/>
      <c r="AR408" s="28"/>
      <c r="AW408" s="13"/>
      <c r="AX408" s="15"/>
      <c r="AY408" s="15"/>
      <c r="AZ408" s="28"/>
      <c r="BE408" s="14"/>
      <c r="BF408" s="13"/>
      <c r="BG408" s="15"/>
      <c r="BH408" s="28"/>
    </row>
    <row r="409" ht="15.75" customHeight="1" hidden="1" spans="1:60" x14ac:dyDescent="0.25">
      <c r="A409" s="2">
        <v>54</v>
      </c>
      <c r="B409" s="14">
        <v>5.54</v>
      </c>
      <c r="C409" s="2" t="s">
        <v>212</v>
      </c>
      <c r="D409" s="14" t="s">
        <v>44</v>
      </c>
      <c r="E409" s="2" t="s">
        <v>45</v>
      </c>
      <c r="F409" s="13">
        <v>2.49</v>
      </c>
      <c r="G409" s="28"/>
      <c r="H409" s="34">
        <v>149.4</v>
      </c>
      <c r="I409" s="13">
        <v>156</v>
      </c>
      <c r="J409" s="15">
        <v>0</v>
      </c>
      <c r="K409" s="34">
        <f>J409*$F$8</f>
        <v>0</v>
      </c>
      <c r="L409" s="28"/>
      <c r="M409" s="2">
        <v>156</v>
      </c>
      <c r="N409" s="15">
        <f>M409-I409</f>
        <v>0</v>
      </c>
      <c r="O409" s="34">
        <f>N409*$F$8</f>
        <v>0</v>
      </c>
      <c r="Q409" s="13">
        <v>156</v>
      </c>
      <c r="R409" s="15">
        <f>Q409-M409</f>
        <v>0</v>
      </c>
      <c r="S409" s="34">
        <f>R409*$F$8</f>
        <v>0</v>
      </c>
      <c r="T409" s="28"/>
      <c r="U409" s="2">
        <v>156</v>
      </c>
      <c r="V409" s="15">
        <f>U409-Q409</f>
        <v>0</v>
      </c>
      <c r="W409" s="34">
        <f>V409*$F$8</f>
        <v>0</v>
      </c>
      <c r="X409" s="34">
        <v>149.4</v>
      </c>
      <c r="Y409" s="13">
        <v>156</v>
      </c>
      <c r="Z409" s="15">
        <f>Y409-U409</f>
        <v>0</v>
      </c>
      <c r="AA409" s="34">
        <f>Z409*$F$8</f>
        <v>0</v>
      </c>
      <c r="AB409" s="28"/>
      <c r="AC409" s="2">
        <v>162</v>
      </c>
      <c r="AD409" s="15">
        <f t="shared" ref="AD409:AD410" si="1076">AC409-Y409</f>
        <v>6</v>
      </c>
      <c r="AE409" s="34">
        <f>AD409*$F$8</f>
        <v>14.94</v>
      </c>
      <c r="AG409" s="13">
        <v>165</v>
      </c>
      <c r="AH409" s="15">
        <f t="shared" ref="AH409:AH410" si="1077">AG409-AC409</f>
        <v>3</v>
      </c>
      <c r="AI409" s="34">
        <f>AH409*$F$8</f>
        <v>7.47</v>
      </c>
      <c r="AJ409" s="28"/>
      <c r="AK409" s="13">
        <v>171</v>
      </c>
      <c r="AL409" s="15">
        <f t="shared" ref="AL409:AL410" si="1078">AK409-AG409</f>
        <v>6</v>
      </c>
      <c r="AM409" s="34">
        <f>AL409*$F$8</f>
        <v>14.94</v>
      </c>
      <c r="AN409" s="28"/>
      <c r="AO409" s="13">
        <v>172</v>
      </c>
      <c r="AP409" s="15">
        <f t="shared" ref="AP409:AP410" si="1079">AO409-AK409</f>
        <v>1</v>
      </c>
      <c r="AQ409" s="34">
        <f>AP409*$F$8</f>
        <v>2.49</v>
      </c>
      <c r="AR409" s="28"/>
      <c r="AS409" s="15">
        <v>176</v>
      </c>
      <c r="AT409" s="15">
        <f>AS409-AO409</f>
        <v>4</v>
      </c>
      <c r="AU409" s="34">
        <f>AT409*$F$8</f>
        <v>9.96</v>
      </c>
      <c r="AV409" s="15"/>
      <c r="AW409" s="13">
        <v>176</v>
      </c>
      <c r="AX409" s="15">
        <f>AW409-AS409</f>
        <v>0</v>
      </c>
      <c r="AY409" s="34">
        <f>AX409*$F$8</f>
        <v>0</v>
      </c>
      <c r="AZ409" s="28"/>
      <c r="BA409" s="13">
        <v>176</v>
      </c>
      <c r="BB409" s="15">
        <f>BA409-AW409</f>
        <v>0</v>
      </c>
      <c r="BC409" s="34">
        <f>BB409*$F$8</f>
        <v>0</v>
      </c>
      <c r="BD409" s="15"/>
      <c r="BE409" s="40">
        <f t="shared" ref="BE409:BG409" si="1080">J409+N409+R409+V409+Z409+AD409+AH409+AL409+AP409+AT409+AX409+BB409</f>
        <v>20</v>
      </c>
      <c r="BF409" s="41">
        <f t="shared" si="1080"/>
        <v>49.8</v>
      </c>
      <c r="BG409" s="34">
        <f t="shared" si="1080"/>
        <v>149.4</v>
      </c>
      <c r="BH409" s="35">
        <f t="shared" ref="BH409:BH414" si="1081">H409+BF409-BG409</f>
        <v>49.8</v>
      </c>
    </row>
    <row r="410" ht="15.75" customHeight="1" hidden="1" spans="1:60" x14ac:dyDescent="0.25">
      <c r="A410" s="29">
        <v>54</v>
      </c>
      <c r="B410" s="14"/>
      <c r="C410" s="2" t="s">
        <v>87</v>
      </c>
      <c r="D410" s="14" t="s">
        <v>47</v>
      </c>
      <c r="E410" s="2" t="s">
        <v>48</v>
      </c>
      <c r="F410" s="13">
        <v>17.16</v>
      </c>
      <c r="G410" s="28"/>
      <c r="H410" s="73">
        <v>-384.04</v>
      </c>
      <c r="I410" s="13"/>
      <c r="J410" s="15"/>
      <c r="K410" s="15"/>
      <c r="L410" s="28"/>
      <c r="Q410" s="13"/>
      <c r="R410" s="15"/>
      <c r="S410" s="15"/>
      <c r="T410" s="28"/>
      <c r="Y410" s="13">
        <v>89</v>
      </c>
      <c r="Z410" s="15"/>
      <c r="AA410" s="15"/>
      <c r="AB410" s="28"/>
      <c r="AC410" s="2">
        <v>89</v>
      </c>
      <c r="AD410" s="15">
        <f t="shared" si="1076"/>
        <v>0</v>
      </c>
      <c r="AE410" s="34">
        <f>AD410*$F$10</f>
        <v>0</v>
      </c>
      <c r="AG410" s="13">
        <v>89</v>
      </c>
      <c r="AH410" s="15">
        <f t="shared" si="1077"/>
        <v>0</v>
      </c>
      <c r="AI410" s="45">
        <f>AH410*$G$10</f>
        <v>0</v>
      </c>
      <c r="AJ410" s="28"/>
      <c r="AK410" s="13">
        <v>89</v>
      </c>
      <c r="AL410" s="15">
        <f t="shared" si="1078"/>
        <v>0</v>
      </c>
      <c r="AM410" s="45">
        <f>AL410*$G$10</f>
        <v>0</v>
      </c>
      <c r="AN410" s="28"/>
      <c r="AO410" s="13">
        <v>89</v>
      </c>
      <c r="AP410" s="15">
        <f t="shared" si="1079"/>
        <v>0</v>
      </c>
      <c r="AQ410" s="45">
        <f>AP410*$G$10</f>
        <v>0</v>
      </c>
      <c r="AR410" s="28"/>
      <c r="AS410" s="15"/>
      <c r="AT410" s="15"/>
      <c r="AU410" s="15"/>
      <c r="AV410" s="15"/>
      <c r="AW410" s="13"/>
      <c r="AX410" s="15"/>
      <c r="AY410" s="15"/>
      <c r="AZ410" s="28"/>
      <c r="BA410" s="15"/>
      <c r="BB410" s="15"/>
      <c r="BC410" s="15"/>
      <c r="BD410" s="15"/>
      <c r="BE410" s="40">
        <f t="shared" ref="BE410:BG410" si="1082">J410+N410+R410+V410+Z410+AD410+AH410+AL410+AP410+AT410+AX410+BB410</f>
        <v>0</v>
      </c>
      <c r="BF410" s="41">
        <f t="shared" si="1082"/>
        <v>0</v>
      </c>
      <c r="BG410" s="34">
        <f t="shared" si="1082"/>
        <v>0</v>
      </c>
      <c r="BH410" s="35">
        <f t="shared" si="1081"/>
        <v>-384.04</v>
      </c>
    </row>
    <row r="411" ht="15.75" customHeight="1" hidden="1" spans="1:60" x14ac:dyDescent="0.25">
      <c r="A411" s="29">
        <v>54</v>
      </c>
      <c r="B411" s="14"/>
      <c r="C411" s="73" t="s">
        <v>213</v>
      </c>
      <c r="D411" s="14" t="s">
        <v>47</v>
      </c>
      <c r="E411" s="2" t="s">
        <v>49</v>
      </c>
      <c r="F411" s="41">
        <v>300</v>
      </c>
      <c r="G411" s="28"/>
      <c r="I411" s="13"/>
      <c r="J411" s="15"/>
      <c r="K411" s="15"/>
      <c r="L411" s="28"/>
      <c r="Q411" s="13"/>
      <c r="R411" s="15"/>
      <c r="S411" s="15"/>
      <c r="T411" s="28"/>
      <c r="Y411" s="13"/>
      <c r="Z411" s="15"/>
      <c r="AA411" s="15"/>
      <c r="AB411" s="28"/>
      <c r="AG411" s="13"/>
      <c r="AH411" s="15"/>
      <c r="AI411" s="15"/>
      <c r="AJ411" s="28"/>
      <c r="AK411" s="13"/>
      <c r="AL411" s="15"/>
      <c r="AM411" s="34"/>
      <c r="AN411" s="28"/>
      <c r="AO411" s="13"/>
      <c r="AP411" s="15"/>
      <c r="AQ411" s="34"/>
      <c r="AR411" s="28"/>
      <c r="AS411" s="15"/>
      <c r="AT411" s="15"/>
      <c r="AU411" s="15"/>
      <c r="AV411" s="15"/>
      <c r="AW411" s="13"/>
      <c r="AX411" s="15"/>
      <c r="AY411" s="15"/>
      <c r="AZ411" s="28"/>
      <c r="BA411" s="15"/>
      <c r="BB411" s="15"/>
      <c r="BC411" s="15"/>
      <c r="BD411" s="15"/>
      <c r="BE411" s="14"/>
      <c r="BF411" s="41">
        <f t="shared" ref="BF411:BG411" si="1083">K411+O411+S411+W411+AA411+AE411+AI411+AM411+AQ411+AU411+AY411+BC411</f>
        <v>0</v>
      </c>
      <c r="BG411" s="34">
        <f t="shared" si="1083"/>
        <v>0</v>
      </c>
      <c r="BH411" s="35">
        <f t="shared" si="1081"/>
        <v>0</v>
      </c>
    </row>
    <row r="412" ht="15.75" customHeight="1" hidden="1" spans="1:60" x14ac:dyDescent="0.25">
      <c r="A412" s="29">
        <v>54</v>
      </c>
      <c r="B412" s="14"/>
      <c r="D412" s="14" t="s">
        <v>50</v>
      </c>
      <c r="E412" s="2" t="s">
        <v>49</v>
      </c>
      <c r="F412" s="41">
        <v>1062.88</v>
      </c>
      <c r="G412" s="28"/>
      <c r="I412" s="13"/>
      <c r="J412" s="15"/>
      <c r="K412" s="15"/>
      <c r="L412" s="28"/>
      <c r="Q412" s="13"/>
      <c r="R412" s="15"/>
      <c r="S412" s="15"/>
      <c r="T412" s="28"/>
      <c r="Y412" s="13"/>
      <c r="Z412" s="15"/>
      <c r="AA412" s="15"/>
      <c r="AB412" s="28"/>
      <c r="AE412" s="34">
        <f>B409*$F$12</f>
        <v>5888.3552</v>
      </c>
      <c r="AF412" s="34">
        <v>3000</v>
      </c>
      <c r="AG412" s="13"/>
      <c r="AH412" s="15"/>
      <c r="AI412" s="15"/>
      <c r="AJ412" s="28"/>
      <c r="AK412" s="13"/>
      <c r="AL412" s="15"/>
      <c r="AM412" s="15"/>
      <c r="AN412" s="32">
        <v>2888.36</v>
      </c>
      <c r="AO412" s="13"/>
      <c r="AP412" s="15"/>
      <c r="AQ412" s="15"/>
      <c r="AR412" s="28"/>
      <c r="AS412" s="15"/>
      <c r="AT412" s="15"/>
      <c r="AU412" s="15"/>
      <c r="AV412" s="15"/>
      <c r="AW412" s="13"/>
      <c r="AX412" s="15"/>
      <c r="AY412" s="15"/>
      <c r="AZ412" s="28"/>
      <c r="BA412" s="15"/>
      <c r="BB412" s="15"/>
      <c r="BC412" s="15"/>
      <c r="BD412" s="15"/>
      <c r="BE412" s="14"/>
      <c r="BF412" s="41">
        <f>B409*$F$12</f>
        <v>5888.3552</v>
      </c>
      <c r="BG412" s="34">
        <f t="shared" ref="BG412:BG414" si="1084">L412+P412+T412+X412+AB412+AF412+AJ412+AN412+AR412+AV412+AZ412+BD412</f>
        <v>5888.36</v>
      </c>
      <c r="BH412" s="35">
        <f t="shared" si="1081"/>
        <v>-0.0048</v>
      </c>
    </row>
    <row r="413" ht="15.75" customHeight="1" hidden="1" spans="1:60" x14ac:dyDescent="0.25">
      <c r="A413" s="29">
        <v>54</v>
      </c>
      <c r="B413" s="14"/>
      <c r="D413" s="14" t="s">
        <v>51</v>
      </c>
      <c r="E413" s="2" t="s">
        <v>49</v>
      </c>
      <c r="F413" s="41">
        <v>0</v>
      </c>
      <c r="G413" s="28"/>
      <c r="I413" s="13"/>
      <c r="J413" s="15"/>
      <c r="K413" s="15"/>
      <c r="L413" s="28"/>
      <c r="Q413" s="13"/>
      <c r="R413" s="15"/>
      <c r="S413" s="15"/>
      <c r="T413" s="28"/>
      <c r="Y413" s="13"/>
      <c r="Z413" s="15"/>
      <c r="AA413" s="15"/>
      <c r="AB413" s="28"/>
      <c r="AG413" s="13"/>
      <c r="AH413" s="15"/>
      <c r="AI413" s="15"/>
      <c r="AJ413" s="28"/>
      <c r="AK413" s="13"/>
      <c r="AL413" s="15"/>
      <c r="AM413" s="15"/>
      <c r="AN413" s="28"/>
      <c r="AO413" s="13"/>
      <c r="AP413" s="15"/>
      <c r="AQ413" s="15"/>
      <c r="AR413" s="28"/>
      <c r="AS413" s="15"/>
      <c r="AT413" s="15"/>
      <c r="AU413" s="15"/>
      <c r="AV413" s="15"/>
      <c r="AW413" s="13"/>
      <c r="AX413" s="15"/>
      <c r="AY413" s="15"/>
      <c r="AZ413" s="28"/>
      <c r="BA413" s="15"/>
      <c r="BB413" s="15"/>
      <c r="BC413" s="15"/>
      <c r="BD413" s="15"/>
      <c r="BE413" s="14"/>
      <c r="BF413" s="41">
        <f>B409*$F$13</f>
        <v>0</v>
      </c>
      <c r="BG413" s="34">
        <f t="shared" si="1084"/>
        <v>0</v>
      </c>
      <c r="BH413" s="35">
        <f t="shared" si="1081"/>
        <v>0</v>
      </c>
    </row>
    <row r="414" ht="15.75" customHeight="1" hidden="1" spans="1:60" x14ac:dyDescent="0.25">
      <c r="A414" s="29">
        <v>54</v>
      </c>
      <c r="B414" s="14"/>
      <c r="D414" s="14" t="s">
        <v>52</v>
      </c>
      <c r="E414" s="2" t="s">
        <v>39</v>
      </c>
      <c r="F414" s="41">
        <v>350</v>
      </c>
      <c r="G414" s="28"/>
      <c r="I414" s="13"/>
      <c r="J414" s="15"/>
      <c r="K414" s="15"/>
      <c r="L414" s="28"/>
      <c r="Q414" s="13"/>
      <c r="R414" s="15"/>
      <c r="S414" s="15"/>
      <c r="T414" s="28"/>
      <c r="Y414" s="13"/>
      <c r="Z414" s="15"/>
      <c r="AA414" s="34">
        <f>$F$14</f>
        <v>350</v>
      </c>
      <c r="AB414" s="28"/>
      <c r="AG414" s="13"/>
      <c r="AH414" s="15"/>
      <c r="AI414" s="15"/>
      <c r="AJ414" s="28"/>
      <c r="AK414" s="13"/>
      <c r="AL414" s="15"/>
      <c r="AM414" s="15"/>
      <c r="AN414" s="28"/>
      <c r="AO414" s="13"/>
      <c r="AP414" s="15"/>
      <c r="AQ414" s="15"/>
      <c r="AR414" s="28"/>
      <c r="AS414" s="15"/>
      <c r="AT414" s="15"/>
      <c r="AU414" s="15"/>
      <c r="AV414" s="15"/>
      <c r="AW414" s="13"/>
      <c r="AX414" s="15"/>
      <c r="AY414" s="15"/>
      <c r="AZ414" s="28"/>
      <c r="BA414" s="15"/>
      <c r="BB414" s="15"/>
      <c r="BC414" s="15"/>
      <c r="BD414" s="15"/>
      <c r="BE414" s="14"/>
      <c r="BF414" s="41">
        <f>$F$14</f>
        <v>350</v>
      </c>
      <c r="BG414" s="34">
        <f t="shared" si="1084"/>
        <v>0</v>
      </c>
      <c r="BH414" s="35">
        <f t="shared" si="1081"/>
        <v>350</v>
      </c>
    </row>
    <row r="415" ht="15.75" customHeight="1" hidden="1" spans="1:62" x14ac:dyDescent="0.25">
      <c r="A415" s="50">
        <v>54</v>
      </c>
      <c r="B415" s="21"/>
      <c r="C415" s="22" t="s">
        <v>53</v>
      </c>
      <c r="D415" s="21"/>
      <c r="E415" s="22"/>
      <c r="F415" s="20"/>
      <c r="G415" s="23"/>
      <c r="H415" s="51">
        <f>SUM(H408:H414)</f>
        <v>-234.64</v>
      </c>
      <c r="I415" s="52"/>
      <c r="J415" s="53"/>
      <c r="K415" s="51">
        <f t="shared" ref="K415:L415" si="1085">SUM(K408:K414)</f>
        <v>0</v>
      </c>
      <c r="L415" s="68">
        <f t="shared" si="1085"/>
        <v>0</v>
      </c>
      <c r="M415" s="53"/>
      <c r="N415" s="53"/>
      <c r="O415" s="51">
        <f t="shared" ref="O415:P415" si="1086">SUM(O409:O414)</f>
        <v>0</v>
      </c>
      <c r="P415" s="51">
        <f t="shared" si="1086"/>
        <v>0</v>
      </c>
      <c r="Q415" s="52"/>
      <c r="R415" s="53"/>
      <c r="S415" s="51">
        <f t="shared" ref="S415:T415" si="1087">SUM(S409:S414)</f>
        <v>0</v>
      </c>
      <c r="T415" s="68">
        <f t="shared" si="1087"/>
        <v>0</v>
      </c>
      <c r="U415" s="53"/>
      <c r="V415" s="53"/>
      <c r="W415" s="51">
        <f t="shared" ref="W415:X415" si="1088">SUM(W409:W414)</f>
        <v>0</v>
      </c>
      <c r="X415" s="51">
        <f t="shared" si="1088"/>
        <v>149.4</v>
      </c>
      <c r="Y415" s="52"/>
      <c r="Z415" s="53"/>
      <c r="AA415" s="51">
        <f t="shared" ref="AA415:AB415" si="1089">SUM(AA409:AA414)</f>
        <v>350</v>
      </c>
      <c r="AB415" s="68">
        <f t="shared" si="1089"/>
        <v>0</v>
      </c>
      <c r="AC415" s="53"/>
      <c r="AD415" s="53"/>
      <c r="AE415" s="51">
        <f t="shared" ref="AE415:AF415" si="1090">SUM(AE409:AE414)</f>
        <v>5903.2952</v>
      </c>
      <c r="AF415" s="51">
        <f t="shared" si="1090"/>
        <v>3000</v>
      </c>
      <c r="AG415" s="52"/>
      <c r="AH415" s="53"/>
      <c r="AI415" s="51">
        <f t="shared" ref="AI415:AJ415" si="1091">SUM(AI409:AI414)</f>
        <v>7.47</v>
      </c>
      <c r="AJ415" s="68">
        <f t="shared" si="1091"/>
        <v>0</v>
      </c>
      <c r="AK415" s="52"/>
      <c r="AL415" s="53"/>
      <c r="AM415" s="51">
        <f t="shared" ref="AM415:AN415" si="1092">SUM(AM409:AM414)</f>
        <v>14.94</v>
      </c>
      <c r="AN415" s="68">
        <f t="shared" si="1092"/>
        <v>2888.36</v>
      </c>
      <c r="AO415" s="52"/>
      <c r="AP415" s="53"/>
      <c r="AQ415" s="51">
        <f t="shared" ref="AQ415:AR415" si="1093">SUM(AQ409:AQ414)</f>
        <v>2.49</v>
      </c>
      <c r="AR415" s="68">
        <f t="shared" si="1093"/>
        <v>0</v>
      </c>
      <c r="AS415" s="53"/>
      <c r="AT415" s="53"/>
      <c r="AU415" s="51">
        <f t="shared" ref="AU415:AV415" si="1094">SUM(AU409:AU414)</f>
        <v>9.96</v>
      </c>
      <c r="AV415" s="51">
        <f t="shared" si="1094"/>
        <v>0</v>
      </c>
      <c r="AW415" s="52"/>
      <c r="AX415" s="53"/>
      <c r="AY415" s="51">
        <f t="shared" ref="AY415:AZ415" si="1095">SUM(AY409:AY414)</f>
        <v>0</v>
      </c>
      <c r="AZ415" s="68">
        <f t="shared" si="1095"/>
        <v>0</v>
      </c>
      <c r="BA415" s="53"/>
      <c r="BB415" s="53"/>
      <c r="BC415" s="51">
        <f t="shared" ref="BC415:BD415" si="1096">SUM(BC409:BC414)</f>
        <v>0</v>
      </c>
      <c r="BD415" s="51">
        <f t="shared" si="1096"/>
        <v>0</v>
      </c>
      <c r="BE415" s="69"/>
      <c r="BF415" s="70">
        <f t="shared" ref="BF415:BH415" si="1097">SUM(BF408:BF414)</f>
        <v>6288.1552</v>
      </c>
      <c r="BG415" s="71">
        <f t="shared" si="1097"/>
        <v>6037.76</v>
      </c>
      <c r="BH415" s="72">
        <f t="shared" si="1097"/>
        <v>15.7552</v>
      </c>
      <c r="BI415" s="34">
        <f>H415+BF415-BG415</f>
        <v>15.7552</v>
      </c>
      <c r="BJ415" s="34">
        <f>BH415-BI415</f>
        <v>0</v>
      </c>
    </row>
    <row r="416" ht="15.75" customHeight="1" hidden="1" spans="1:60" x14ac:dyDescent="0.25">
      <c r="A416" s="29">
        <v>55</v>
      </c>
      <c r="B416" s="14"/>
      <c r="D416" s="14" t="s">
        <v>42</v>
      </c>
      <c r="F416" s="13"/>
      <c r="G416" s="28"/>
      <c r="I416" s="13"/>
      <c r="J416" s="15"/>
      <c r="K416" s="15"/>
      <c r="L416" s="28"/>
      <c r="Q416" s="13"/>
      <c r="R416" s="15"/>
      <c r="S416" s="15"/>
      <c r="T416" s="28"/>
      <c r="Y416" s="13"/>
      <c r="Z416" s="15"/>
      <c r="AA416" s="15"/>
      <c r="AB416" s="28"/>
      <c r="AG416" s="13"/>
      <c r="AH416" s="15"/>
      <c r="AI416" s="15"/>
      <c r="AJ416" s="28"/>
      <c r="AK416" s="13"/>
      <c r="AL416" s="15"/>
      <c r="AM416" s="15"/>
      <c r="AN416" s="28"/>
      <c r="AO416" s="13"/>
      <c r="AP416" s="15"/>
      <c r="AQ416" s="15"/>
      <c r="AR416" s="28"/>
      <c r="AW416" s="13"/>
      <c r="AX416" s="15"/>
      <c r="AY416" s="15"/>
      <c r="AZ416" s="28"/>
      <c r="BE416" s="14"/>
      <c r="BF416" s="13"/>
      <c r="BG416" s="15"/>
      <c r="BH416" s="28"/>
    </row>
    <row r="417" ht="15.75" customHeight="1" hidden="1" spans="1:60" x14ac:dyDescent="0.25">
      <c r="A417" s="2">
        <v>55</v>
      </c>
      <c r="B417" s="42">
        <v>5.5</v>
      </c>
      <c r="C417" s="2" t="s">
        <v>214</v>
      </c>
      <c r="D417" s="14" t="s">
        <v>44</v>
      </c>
      <c r="E417" s="2" t="s">
        <v>45</v>
      </c>
      <c r="F417" s="13">
        <v>2.49</v>
      </c>
      <c r="G417" s="28"/>
      <c r="H417" s="2">
        <v>71.41</v>
      </c>
      <c r="I417" s="13">
        <v>195</v>
      </c>
      <c r="J417" s="15">
        <v>0</v>
      </c>
      <c r="K417" s="34">
        <f>J417*$F$8</f>
        <v>0</v>
      </c>
      <c r="L417" s="28"/>
      <c r="M417" s="2">
        <v>195</v>
      </c>
      <c r="N417" s="15">
        <f>M417-I417</f>
        <v>0</v>
      </c>
      <c r="O417" s="34">
        <f>N417*$F$8</f>
        <v>0</v>
      </c>
      <c r="Q417" s="13">
        <v>195</v>
      </c>
      <c r="R417" s="15">
        <f>Q417-M417</f>
        <v>0</v>
      </c>
      <c r="S417" s="34">
        <f>R417*$F$8</f>
        <v>0</v>
      </c>
      <c r="T417" s="28"/>
      <c r="U417" s="2">
        <v>195</v>
      </c>
      <c r="V417" s="15">
        <f>U417-Q417</f>
        <v>0</v>
      </c>
      <c r="W417" s="34">
        <f>V417*$F$8</f>
        <v>0</v>
      </c>
      <c r="X417" s="2">
        <v>71.41</v>
      </c>
      <c r="Y417" s="13">
        <v>212</v>
      </c>
      <c r="Z417" s="15">
        <f>Y417-U417</f>
        <v>17</v>
      </c>
      <c r="AA417" s="34">
        <f>Z417*$F$8</f>
        <v>42.33</v>
      </c>
      <c r="AB417" s="28">
        <v>42.33</v>
      </c>
      <c r="AC417" s="2">
        <v>227</v>
      </c>
      <c r="AD417" s="15">
        <f t="shared" ref="AD417:AD418" si="1098">AC417-Y417</f>
        <v>15</v>
      </c>
      <c r="AE417" s="34">
        <f>AD417*$F$8</f>
        <v>37.35</v>
      </c>
      <c r="AG417" s="13">
        <v>230</v>
      </c>
      <c r="AH417" s="15">
        <f t="shared" ref="AH417:AH418" si="1099">AG417-AC417</f>
        <v>3</v>
      </c>
      <c r="AI417" s="34">
        <f>AH417*$F$8</f>
        <v>7.47</v>
      </c>
      <c r="AJ417" s="28"/>
      <c r="AK417" s="13">
        <v>241</v>
      </c>
      <c r="AL417" s="15">
        <f t="shared" ref="AL417:AL418" si="1100">AK417-AG417</f>
        <v>11</v>
      </c>
      <c r="AM417" s="34">
        <f>AL417*$F$8</f>
        <v>27.39</v>
      </c>
      <c r="AN417" s="28"/>
      <c r="AO417" s="13">
        <v>249</v>
      </c>
      <c r="AP417" s="15">
        <f t="shared" ref="AP417:AP418" si="1101">AO417-AK417</f>
        <v>8</v>
      </c>
      <c r="AQ417" s="34">
        <f>AP417*$F$8</f>
        <v>19.92</v>
      </c>
      <c r="AR417" s="32">
        <v>92.13</v>
      </c>
      <c r="AS417" s="15">
        <v>267</v>
      </c>
      <c r="AT417" s="15">
        <f>AS417-AO417</f>
        <v>18</v>
      </c>
      <c r="AU417" s="34">
        <f>AT417*$F$8</f>
        <v>44.82</v>
      </c>
      <c r="AV417" s="15"/>
      <c r="AW417" s="13">
        <v>267</v>
      </c>
      <c r="AX417" s="15">
        <f>AW417-AS417</f>
        <v>0</v>
      </c>
      <c r="AY417" s="34">
        <f>AX417*$F$8</f>
        <v>0</v>
      </c>
      <c r="AZ417" s="28"/>
      <c r="BA417" s="13">
        <v>267</v>
      </c>
      <c r="BB417" s="15">
        <f>BA417-AW417</f>
        <v>0</v>
      </c>
      <c r="BC417" s="34">
        <f>BB417*$F$8</f>
        <v>0</v>
      </c>
      <c r="BD417" s="15"/>
      <c r="BE417" s="40">
        <f t="shared" ref="BE417:BG417" si="1102">J417+N417+R417+V417+Z417+AD417+AH417+AL417+AP417+AT417+AX417+BB417</f>
        <v>72</v>
      </c>
      <c r="BF417" s="41">
        <f t="shared" si="1102"/>
        <v>179.28</v>
      </c>
      <c r="BG417" s="34">
        <f t="shared" si="1102"/>
        <v>205.87</v>
      </c>
      <c r="BH417" s="35">
        <f t="shared" ref="BH417:BH422" si="1103">H417+BF417-BG417</f>
        <v>44.82</v>
      </c>
    </row>
    <row r="418" ht="15.75" customHeight="1" hidden="1" spans="1:60" x14ac:dyDescent="0.25">
      <c r="A418" s="29">
        <v>55</v>
      </c>
      <c r="B418" s="14"/>
      <c r="C418" s="2" t="s">
        <v>101</v>
      </c>
      <c r="D418" s="14" t="s">
        <v>47</v>
      </c>
      <c r="E418" s="2" t="s">
        <v>48</v>
      </c>
      <c r="F418" s="13">
        <v>17.16</v>
      </c>
      <c r="G418" s="28"/>
      <c r="H418" s="81"/>
      <c r="I418" s="13"/>
      <c r="J418" s="15"/>
      <c r="K418" s="15"/>
      <c r="L418" s="28"/>
      <c r="Q418" s="13"/>
      <c r="R418" s="15"/>
      <c r="S418" s="15"/>
      <c r="T418" s="28"/>
      <c r="Y418" s="95">
        <v>0</v>
      </c>
      <c r="Z418" s="15"/>
      <c r="AA418" s="15"/>
      <c r="AB418" s="28"/>
      <c r="AC418" s="2">
        <v>0</v>
      </c>
      <c r="AD418" s="15">
        <f t="shared" si="1098"/>
        <v>0</v>
      </c>
      <c r="AE418" s="34">
        <f>AD418*$F$10</f>
        <v>0</v>
      </c>
      <c r="AG418" s="13">
        <v>0</v>
      </c>
      <c r="AH418" s="15">
        <f t="shared" si="1099"/>
        <v>0</v>
      </c>
      <c r="AI418" s="45">
        <f>AH418*$G$10</f>
        <v>0</v>
      </c>
      <c r="AJ418" s="28"/>
      <c r="AK418" s="13">
        <v>0</v>
      </c>
      <c r="AL418" s="15">
        <f t="shared" si="1100"/>
        <v>0</v>
      </c>
      <c r="AM418" s="45">
        <f>AL418*$G$10</f>
        <v>0</v>
      </c>
      <c r="AN418" s="28"/>
      <c r="AO418" s="13">
        <v>4</v>
      </c>
      <c r="AP418" s="15">
        <f t="shared" si="1101"/>
        <v>4</v>
      </c>
      <c r="AQ418" s="45">
        <f>AP418*$G$10</f>
        <v>70.72</v>
      </c>
      <c r="AR418" s="32">
        <v>70.72</v>
      </c>
      <c r="AS418" s="15"/>
      <c r="AT418" s="15"/>
      <c r="AU418" s="15"/>
      <c r="AV418" s="15"/>
      <c r="AW418" s="13"/>
      <c r="AX418" s="15"/>
      <c r="AY418" s="15"/>
      <c r="AZ418" s="28"/>
      <c r="BA418" s="15"/>
      <c r="BB418" s="15"/>
      <c r="BC418" s="15"/>
      <c r="BD418" s="15"/>
      <c r="BE418" s="40">
        <f t="shared" ref="BE418:BG418" si="1104">J418+N418+R418+V418+Z418+AD418+AH418+AL418+AP418+AT418+AX418+BB418</f>
        <v>4</v>
      </c>
      <c r="BF418" s="41">
        <f t="shared" si="1104"/>
        <v>70.72</v>
      </c>
      <c r="BG418" s="34">
        <f t="shared" si="1104"/>
        <v>70.72</v>
      </c>
      <c r="BH418" s="35">
        <f t="shared" si="1103"/>
        <v>0</v>
      </c>
    </row>
    <row r="419" ht="15.75" customHeight="1" hidden="1" spans="1:60" x14ac:dyDescent="0.25">
      <c r="A419" s="29">
        <v>55</v>
      </c>
      <c r="B419" s="14"/>
      <c r="C419" s="2" t="s">
        <v>178</v>
      </c>
      <c r="D419" s="14" t="s">
        <v>47</v>
      </c>
      <c r="E419" s="2" t="s">
        <v>49</v>
      </c>
      <c r="F419" s="41">
        <v>300</v>
      </c>
      <c r="G419" s="28"/>
      <c r="I419" s="13"/>
      <c r="J419" s="15"/>
      <c r="K419" s="15"/>
      <c r="L419" s="28"/>
      <c r="Q419" s="13"/>
      <c r="R419" s="15"/>
      <c r="S419" s="15"/>
      <c r="T419" s="28"/>
      <c r="Y419" s="13"/>
      <c r="Z419" s="15"/>
      <c r="AA419" s="15"/>
      <c r="AB419" s="28"/>
      <c r="AG419" s="13"/>
      <c r="AH419" s="15"/>
      <c r="AI419" s="15"/>
      <c r="AJ419" s="28"/>
      <c r="AK419" s="13"/>
      <c r="AL419" s="15"/>
      <c r="AM419" s="34"/>
      <c r="AN419" s="28"/>
      <c r="AO419" s="13"/>
      <c r="AP419" s="15"/>
      <c r="AQ419" s="34"/>
      <c r="AR419" s="28"/>
      <c r="AS419" s="15"/>
      <c r="AT419" s="15"/>
      <c r="AU419" s="15"/>
      <c r="AV419" s="15"/>
      <c r="AW419" s="13"/>
      <c r="AX419" s="15"/>
      <c r="AY419" s="15"/>
      <c r="AZ419" s="28"/>
      <c r="BA419" s="15"/>
      <c r="BB419" s="15"/>
      <c r="BC419" s="15"/>
      <c r="BD419" s="15"/>
      <c r="BE419" s="14"/>
      <c r="BF419" s="41">
        <f t="shared" ref="BF419:BG419" si="1105">K419+O419+S419+W419+AA419+AE419+AI419+AM419+AQ419+AU419+AY419+BC419</f>
        <v>0</v>
      </c>
      <c r="BG419" s="34">
        <f t="shared" si="1105"/>
        <v>0</v>
      </c>
      <c r="BH419" s="35">
        <f t="shared" si="1103"/>
        <v>0</v>
      </c>
    </row>
    <row r="420" ht="15.75" customHeight="1" hidden="1" spans="1:60" x14ac:dyDescent="0.25">
      <c r="A420" s="29">
        <v>55</v>
      </c>
      <c r="B420" s="14"/>
      <c r="C420" s="2" t="s">
        <v>215</v>
      </c>
      <c r="D420" s="14" t="s">
        <v>50</v>
      </c>
      <c r="E420" s="2" t="s">
        <v>49</v>
      </c>
      <c r="F420" s="41">
        <v>1062.88</v>
      </c>
      <c r="G420" s="28"/>
      <c r="I420" s="13"/>
      <c r="J420" s="15"/>
      <c r="K420" s="15"/>
      <c r="L420" s="28"/>
      <c r="Q420" s="13"/>
      <c r="R420" s="15"/>
      <c r="S420" s="15"/>
      <c r="T420" s="28"/>
      <c r="Y420" s="13"/>
      <c r="Z420" s="15"/>
      <c r="AA420" s="15"/>
      <c r="AB420" s="28"/>
      <c r="AE420" s="34">
        <f>B417*$F$12</f>
        <v>5845.84</v>
      </c>
      <c r="AG420" s="13"/>
      <c r="AH420" s="15"/>
      <c r="AI420" s="15"/>
      <c r="AJ420" s="28"/>
      <c r="AK420" s="13"/>
      <c r="AL420" s="15"/>
      <c r="AM420" s="15"/>
      <c r="AN420" s="28"/>
      <c r="AO420" s="13"/>
      <c r="AP420" s="15"/>
      <c r="AQ420" s="15"/>
      <c r="AR420" s="32">
        <v>5845.84</v>
      </c>
      <c r="AS420" s="15"/>
      <c r="AT420" s="15"/>
      <c r="AU420" s="15"/>
      <c r="AV420" s="15"/>
      <c r="AW420" s="13"/>
      <c r="AX420" s="15"/>
      <c r="AY420" s="15"/>
      <c r="AZ420" s="28"/>
      <c r="BA420" s="15"/>
      <c r="BB420" s="15"/>
      <c r="BC420" s="15"/>
      <c r="BD420" s="15"/>
      <c r="BE420" s="14"/>
      <c r="BF420" s="41">
        <f>B417*$F$12</f>
        <v>5845.84</v>
      </c>
      <c r="BG420" s="34">
        <f t="shared" ref="BG420:BG422" si="1106">L420+P420+T420+X420+AB420+AF420+AJ420+AN420+AR420+AV420+AZ420+BD420</f>
        <v>5845.84</v>
      </c>
      <c r="BH420" s="35">
        <f t="shared" si="1103"/>
        <v>0</v>
      </c>
    </row>
    <row r="421" ht="15.75" customHeight="1" hidden="1" spans="1:60" x14ac:dyDescent="0.25">
      <c r="A421" s="29">
        <v>55</v>
      </c>
      <c r="B421" s="14"/>
      <c r="C421" s="2" t="s">
        <v>216</v>
      </c>
      <c r="D421" s="14" t="s">
        <v>51</v>
      </c>
      <c r="E421" s="2" t="s">
        <v>49</v>
      </c>
      <c r="F421" s="41">
        <v>0</v>
      </c>
      <c r="G421" s="28"/>
      <c r="I421" s="13"/>
      <c r="J421" s="15"/>
      <c r="K421" s="15"/>
      <c r="L421" s="28"/>
      <c r="Q421" s="13"/>
      <c r="R421" s="15"/>
      <c r="S421" s="15"/>
      <c r="T421" s="28"/>
      <c r="Y421" s="13"/>
      <c r="Z421" s="15"/>
      <c r="AA421" s="15"/>
      <c r="AB421" s="28"/>
      <c r="AG421" s="13"/>
      <c r="AH421" s="15"/>
      <c r="AI421" s="15"/>
      <c r="AJ421" s="28"/>
      <c r="AK421" s="13"/>
      <c r="AL421" s="15"/>
      <c r="AM421" s="15"/>
      <c r="AN421" s="28"/>
      <c r="AO421" s="13"/>
      <c r="AP421" s="15"/>
      <c r="AQ421" s="15"/>
      <c r="AR421" s="28"/>
      <c r="AS421" s="15"/>
      <c r="AT421" s="15"/>
      <c r="AU421" s="15"/>
      <c r="AV421" s="15"/>
      <c r="AW421" s="13"/>
      <c r="AX421" s="15"/>
      <c r="AY421" s="15"/>
      <c r="AZ421" s="28"/>
      <c r="BA421" s="15"/>
      <c r="BB421" s="15"/>
      <c r="BC421" s="15"/>
      <c r="BD421" s="15"/>
      <c r="BE421" s="14"/>
      <c r="BF421" s="41">
        <f>B417*$F$13</f>
        <v>0</v>
      </c>
      <c r="BG421" s="34">
        <f t="shared" si="1106"/>
        <v>0</v>
      </c>
      <c r="BH421" s="35">
        <f t="shared" si="1103"/>
        <v>0</v>
      </c>
    </row>
    <row r="422" ht="15.75" customHeight="1" hidden="1" spans="1:60" x14ac:dyDescent="0.25">
      <c r="A422" s="29">
        <v>55</v>
      </c>
      <c r="B422" s="14"/>
      <c r="D422" s="14" t="s">
        <v>52</v>
      </c>
      <c r="E422" s="2" t="s">
        <v>39</v>
      </c>
      <c r="F422" s="41">
        <v>350</v>
      </c>
      <c r="G422" s="28"/>
      <c r="H422" s="84">
        <v>-350</v>
      </c>
      <c r="I422" s="13"/>
      <c r="J422" s="15"/>
      <c r="K422" s="15"/>
      <c r="L422" s="28"/>
      <c r="Q422" s="13"/>
      <c r="R422" s="15"/>
      <c r="S422" s="15"/>
      <c r="T422" s="28"/>
      <c r="Y422" s="13"/>
      <c r="Z422" s="15"/>
      <c r="AA422" s="34">
        <f>$F$14</f>
        <v>350</v>
      </c>
      <c r="AB422" s="28"/>
      <c r="AG422" s="13"/>
      <c r="AH422" s="15"/>
      <c r="AI422" s="15"/>
      <c r="AJ422" s="28"/>
      <c r="AK422" s="13"/>
      <c r="AL422" s="15"/>
      <c r="AM422" s="15"/>
      <c r="AN422" s="28"/>
      <c r="AO422" s="13"/>
      <c r="AP422" s="15"/>
      <c r="AQ422" s="15"/>
      <c r="AR422" s="35"/>
      <c r="AS422" s="15"/>
      <c r="AT422" s="15"/>
      <c r="AU422" s="15"/>
      <c r="AV422" s="15"/>
      <c r="AW422" s="13"/>
      <c r="AX422" s="15"/>
      <c r="AY422" s="15"/>
      <c r="AZ422" s="28"/>
      <c r="BA422" s="15"/>
      <c r="BB422" s="15"/>
      <c r="BC422" s="15"/>
      <c r="BD422" s="15"/>
      <c r="BE422" s="14"/>
      <c r="BF422" s="41">
        <f>$F$14</f>
        <v>350</v>
      </c>
      <c r="BG422" s="34">
        <f t="shared" si="1106"/>
        <v>0</v>
      </c>
      <c r="BH422" s="35">
        <f t="shared" si="1103"/>
        <v>0</v>
      </c>
    </row>
    <row r="423" ht="15.75" customHeight="1" hidden="1" spans="1:62" x14ac:dyDescent="0.25">
      <c r="A423" s="97" t="s">
        <v>217</v>
      </c>
      <c r="B423" s="21"/>
      <c r="C423" s="22" t="s">
        <v>53</v>
      </c>
      <c r="D423" s="21"/>
      <c r="E423" s="22"/>
      <c r="F423" s="20"/>
      <c r="G423" s="23"/>
      <c r="H423" s="51">
        <f>SUM(H416:H422)</f>
        <v>-278.59</v>
      </c>
      <c r="I423" s="52"/>
      <c r="J423" s="53"/>
      <c r="K423" s="51">
        <f t="shared" ref="K423:L423" si="1107">SUM(K416:K422)</f>
        <v>0</v>
      </c>
      <c r="L423" s="68">
        <f t="shared" si="1107"/>
        <v>0</v>
      </c>
      <c r="M423" s="53"/>
      <c r="N423" s="53"/>
      <c r="O423" s="51">
        <f t="shared" ref="O423:P423" si="1108">SUM(O417:O422)</f>
        <v>0</v>
      </c>
      <c r="P423" s="51">
        <f t="shared" si="1108"/>
        <v>0</v>
      </c>
      <c r="Q423" s="52"/>
      <c r="R423" s="53"/>
      <c r="S423" s="51">
        <f t="shared" ref="S423:T423" si="1109">SUM(S417:S422)</f>
        <v>0</v>
      </c>
      <c r="T423" s="68">
        <f t="shared" si="1109"/>
        <v>0</v>
      </c>
      <c r="U423" s="53"/>
      <c r="V423" s="53"/>
      <c r="W423" s="51">
        <f t="shared" ref="W423:X423" si="1110">SUM(W417:W422)</f>
        <v>0</v>
      </c>
      <c r="X423" s="51">
        <f t="shared" si="1110"/>
        <v>71.41</v>
      </c>
      <c r="Y423" s="52"/>
      <c r="Z423" s="53"/>
      <c r="AA423" s="51">
        <f t="shared" ref="AA423:AB423" si="1111">SUM(AA417:AA422)</f>
        <v>392.33</v>
      </c>
      <c r="AB423" s="68">
        <f t="shared" si="1111"/>
        <v>42.33</v>
      </c>
      <c r="AC423" s="53"/>
      <c r="AD423" s="53"/>
      <c r="AE423" s="51">
        <f t="shared" ref="AE423:AF423" si="1112">SUM(AE417:AE422)</f>
        <v>5883.19</v>
      </c>
      <c r="AF423" s="51">
        <f t="shared" si="1112"/>
        <v>0</v>
      </c>
      <c r="AG423" s="52"/>
      <c r="AH423" s="53"/>
      <c r="AI423" s="51">
        <f t="shared" ref="AI423:AJ423" si="1113">SUM(AI417:AI422)</f>
        <v>7.47</v>
      </c>
      <c r="AJ423" s="68">
        <f t="shared" si="1113"/>
        <v>0</v>
      </c>
      <c r="AK423" s="52"/>
      <c r="AL423" s="53"/>
      <c r="AM423" s="51">
        <f t="shared" ref="AM423:AN423" si="1114">SUM(AM417:AM422)</f>
        <v>27.39</v>
      </c>
      <c r="AN423" s="68">
        <f t="shared" si="1114"/>
        <v>0</v>
      </c>
      <c r="AO423" s="52"/>
      <c r="AP423" s="53"/>
      <c r="AQ423" s="51">
        <f t="shared" ref="AQ423:AR423" si="1115">SUM(AQ417:AQ422)</f>
        <v>90.64</v>
      </c>
      <c r="AR423" s="68">
        <f t="shared" si="1115"/>
        <v>6008.69</v>
      </c>
      <c r="AS423" s="53"/>
      <c r="AT423" s="53"/>
      <c r="AU423" s="51">
        <f t="shared" ref="AU423:AV423" si="1116">SUM(AU417:AU422)</f>
        <v>44.82</v>
      </c>
      <c r="AV423" s="51">
        <f t="shared" si="1116"/>
        <v>0</v>
      </c>
      <c r="AW423" s="52"/>
      <c r="AX423" s="53"/>
      <c r="AY423" s="51">
        <f t="shared" ref="AY423:AZ423" si="1117">SUM(AY417:AY422)</f>
        <v>0</v>
      </c>
      <c r="AZ423" s="68">
        <f t="shared" si="1117"/>
        <v>0</v>
      </c>
      <c r="BA423" s="53"/>
      <c r="BB423" s="53"/>
      <c r="BC423" s="51">
        <f t="shared" ref="BC423:BD423" si="1118">SUM(BC417:BC422)</f>
        <v>0</v>
      </c>
      <c r="BD423" s="51">
        <f t="shared" si="1118"/>
        <v>0</v>
      </c>
      <c r="BE423" s="69"/>
      <c r="BF423" s="70">
        <f t="shared" ref="BF423:BH423" si="1119">SUM(BF416:BF422)</f>
        <v>6445.84</v>
      </c>
      <c r="BG423" s="71">
        <f t="shared" si="1119"/>
        <v>6122.43</v>
      </c>
      <c r="BH423" s="72">
        <f t="shared" si="1119"/>
        <v>44.82</v>
      </c>
      <c r="BI423" s="34">
        <f>H423+BF423-BG423</f>
        <v>44.82</v>
      </c>
      <c r="BJ423" s="34">
        <f>BH423-BI423</f>
        <v>0</v>
      </c>
    </row>
    <row r="424" ht="15.75" customHeight="1" hidden="1" spans="1:60" x14ac:dyDescent="0.25">
      <c r="A424" s="29">
        <v>56</v>
      </c>
      <c r="B424" s="14"/>
      <c r="D424" s="14" t="s">
        <v>42</v>
      </c>
      <c r="F424" s="13"/>
      <c r="G424" s="28"/>
      <c r="I424" s="13"/>
      <c r="J424" s="15"/>
      <c r="K424" s="15"/>
      <c r="L424" s="28"/>
      <c r="Q424" s="13"/>
      <c r="R424" s="15"/>
      <c r="S424" s="15"/>
      <c r="T424" s="28"/>
      <c r="Y424" s="13"/>
      <c r="Z424" s="15"/>
      <c r="AA424" s="15"/>
      <c r="AB424" s="28"/>
      <c r="AG424" s="13"/>
      <c r="AH424" s="15"/>
      <c r="AI424" s="15"/>
      <c r="AJ424" s="28"/>
      <c r="AK424" s="13"/>
      <c r="AL424" s="15"/>
      <c r="AM424" s="15"/>
      <c r="AN424" s="28"/>
      <c r="AO424" s="13"/>
      <c r="AP424" s="15"/>
      <c r="AQ424" s="15"/>
      <c r="AR424" s="28"/>
      <c r="AW424" s="13"/>
      <c r="AX424" s="15"/>
      <c r="AY424" s="34">
        <v>5000</v>
      </c>
      <c r="AZ424" s="38">
        <v>5000</v>
      </c>
      <c r="BE424" s="14"/>
      <c r="BF424" s="41">
        <f t="shared" ref="BF424:BG424" si="1120">K424+O424+S424+W424+AA424+AE424+AI424+AM424+AQ424+AU424+AY424+BC424</f>
        <v>5000</v>
      </c>
      <c r="BG424" s="34">
        <f t="shared" si="1120"/>
        <v>5000</v>
      </c>
      <c r="BH424" s="35">
        <f t="shared" ref="BH424:BH430" si="1121">H424+BF424-BG424</f>
        <v>0</v>
      </c>
    </row>
    <row r="425" ht="15.75" customHeight="1" hidden="1" spans="1:64" x14ac:dyDescent="0.25">
      <c r="A425" s="2">
        <v>56</v>
      </c>
      <c r="B425" s="14">
        <v>6.23</v>
      </c>
      <c r="C425" s="15" t="s">
        <v>218</v>
      </c>
      <c r="D425" s="14" t="s">
        <v>44</v>
      </c>
      <c r="E425" s="2" t="s">
        <v>45</v>
      </c>
      <c r="F425" s="13">
        <v>2.49</v>
      </c>
      <c r="G425" s="28"/>
      <c r="H425" s="74"/>
      <c r="I425" s="13"/>
      <c r="J425" s="15"/>
      <c r="K425" s="15"/>
      <c r="L425" s="28"/>
      <c r="Q425" s="13"/>
      <c r="R425" s="15"/>
      <c r="S425" s="15"/>
      <c r="T425" s="28"/>
      <c r="Y425" s="13"/>
      <c r="Z425" s="15">
        <f>Y425-U425</f>
        <v>0</v>
      </c>
      <c r="AA425" s="34">
        <f>Z425*$F$8</f>
        <v>0</v>
      </c>
      <c r="AB425" s="28"/>
      <c r="AC425" s="15"/>
      <c r="AD425" s="15">
        <f>AC425-Y425</f>
        <v>0</v>
      </c>
      <c r="AE425" s="34">
        <f>AD425*$F$8</f>
        <v>0</v>
      </c>
      <c r="AG425" s="13"/>
      <c r="AH425" s="15">
        <f>AG425-AC425</f>
        <v>0</v>
      </c>
      <c r="AI425" s="34">
        <f>AH425*$F$8</f>
        <v>0</v>
      </c>
      <c r="AJ425" s="28"/>
      <c r="AK425" s="13"/>
      <c r="AL425" s="15">
        <f>AK425-AG425</f>
        <v>0</v>
      </c>
      <c r="AM425" s="34">
        <f>AL425*$F$8</f>
        <v>0</v>
      </c>
      <c r="AN425" s="28"/>
      <c r="AO425" s="13"/>
      <c r="AP425" s="15"/>
      <c r="AQ425" s="34">
        <f>AP425*$F$8</f>
        <v>0</v>
      </c>
      <c r="AR425" s="28"/>
      <c r="AS425" s="15"/>
      <c r="AT425" s="15"/>
      <c r="AU425" s="34">
        <f>AT425*$F$8</f>
        <v>0</v>
      </c>
      <c r="AV425" s="15"/>
      <c r="AW425" s="13"/>
      <c r="AX425" s="15"/>
      <c r="AY425" s="34">
        <f>AX425*$F$8</f>
        <v>0</v>
      </c>
      <c r="AZ425" s="28"/>
      <c r="BA425" s="15">
        <v>14</v>
      </c>
      <c r="BB425" s="15">
        <f>BA425-AW425</f>
        <v>14</v>
      </c>
      <c r="BC425" s="34">
        <f>BB425*$F$8</f>
        <v>34.86</v>
      </c>
      <c r="BD425" s="39">
        <v>150</v>
      </c>
      <c r="BE425" s="40">
        <f t="shared" ref="BE425:BG425" si="1122">J425+N425+R425+V425+Z425+AD425+AH425+AL425+AP425+AT425+AX425+BB425</f>
        <v>14</v>
      </c>
      <c r="BF425" s="41">
        <f t="shared" si="1122"/>
        <v>34.86</v>
      </c>
      <c r="BG425" s="34">
        <f t="shared" si="1122"/>
        <v>150</v>
      </c>
      <c r="BH425" s="35">
        <f t="shared" si="1121"/>
        <v>-115.14</v>
      </c>
      <c r="BK425" s="2">
        <v>150</v>
      </c>
      <c r="BL425" s="2">
        <v>150</v>
      </c>
    </row>
    <row r="426" ht="15.75" customHeight="1" hidden="1" spans="1:60" x14ac:dyDescent="0.25">
      <c r="A426" s="29">
        <v>56</v>
      </c>
      <c r="B426" s="14"/>
      <c r="C426" s="15" t="s">
        <v>121</v>
      </c>
      <c r="D426" s="14" t="s">
        <v>47</v>
      </c>
      <c r="E426" s="2" t="s">
        <v>48</v>
      </c>
      <c r="F426" s="13">
        <v>17.16</v>
      </c>
      <c r="G426" s="28"/>
      <c r="I426" s="13"/>
      <c r="J426" s="15"/>
      <c r="K426" s="15"/>
      <c r="L426" s="28"/>
      <c r="Q426" s="13"/>
      <c r="R426" s="15"/>
      <c r="S426" s="15"/>
      <c r="T426" s="28"/>
      <c r="Y426" s="13"/>
      <c r="Z426" s="15"/>
      <c r="AA426" s="15"/>
      <c r="AB426" s="28"/>
      <c r="AC426" s="15"/>
      <c r="AE426" s="34">
        <f>AD426*$F$10</f>
        <v>0</v>
      </c>
      <c r="AG426" s="13"/>
      <c r="AH426" s="15"/>
      <c r="AI426" s="45">
        <f>AH426*$G$10</f>
        <v>0</v>
      </c>
      <c r="AJ426" s="28"/>
      <c r="AK426" s="13"/>
      <c r="AL426" s="15"/>
      <c r="AM426" s="45">
        <f>AL426*$G$10</f>
        <v>0</v>
      </c>
      <c r="AN426" s="28"/>
      <c r="AO426" s="13"/>
      <c r="AP426" s="15"/>
      <c r="AQ426" s="45">
        <f>AP426*$G$10</f>
        <v>0</v>
      </c>
      <c r="AR426" s="28"/>
      <c r="AS426" s="15"/>
      <c r="AT426" s="15"/>
      <c r="AU426" s="15"/>
      <c r="AV426" s="15"/>
      <c r="AW426" s="13"/>
      <c r="AX426" s="15"/>
      <c r="AY426" s="15"/>
      <c r="AZ426" s="28"/>
      <c r="BA426" s="15"/>
      <c r="BB426" s="15"/>
      <c r="BC426" s="15"/>
      <c r="BD426" s="15"/>
      <c r="BE426" s="40">
        <f t="shared" ref="BE426:BG426" si="1123">J426+N426+R426+V426+Z426+AD426+AH426+AL426+AP426+AT426+AX426+BB426</f>
        <v>0</v>
      </c>
      <c r="BF426" s="41">
        <f t="shared" si="1123"/>
        <v>0</v>
      </c>
      <c r="BG426" s="34">
        <f t="shared" si="1123"/>
        <v>0</v>
      </c>
      <c r="BH426" s="35">
        <f t="shared" si="1121"/>
        <v>0</v>
      </c>
    </row>
    <row r="427" ht="15.75" customHeight="1" hidden="1" spans="1:60" x14ac:dyDescent="0.25">
      <c r="A427" s="29">
        <v>56</v>
      </c>
      <c r="B427" s="14"/>
      <c r="C427" s="15" t="s">
        <v>115</v>
      </c>
      <c r="D427" s="14" t="s">
        <v>47</v>
      </c>
      <c r="E427" s="2" t="s">
        <v>49</v>
      </c>
      <c r="F427" s="41">
        <v>300</v>
      </c>
      <c r="G427" s="28"/>
      <c r="H427" s="98"/>
      <c r="I427" s="13"/>
      <c r="J427" s="15"/>
      <c r="K427" s="15"/>
      <c r="L427" s="28"/>
      <c r="Q427" s="13"/>
      <c r="R427" s="15"/>
      <c r="S427" s="15"/>
      <c r="T427" s="28"/>
      <c r="Y427" s="13"/>
      <c r="Z427" s="15"/>
      <c r="AA427" s="34"/>
      <c r="AB427" s="28"/>
      <c r="AC427" s="15"/>
      <c r="AG427" s="13"/>
      <c r="AH427" s="15"/>
      <c r="AI427" s="15"/>
      <c r="AJ427" s="28"/>
      <c r="AK427" s="13"/>
      <c r="AL427" s="15"/>
      <c r="AM427" s="34"/>
      <c r="AN427" s="28"/>
      <c r="AO427" s="13"/>
      <c r="AP427" s="15"/>
      <c r="AQ427" s="34"/>
      <c r="AR427" s="28"/>
      <c r="AS427" s="15"/>
      <c r="AT427" s="15"/>
      <c r="AU427" s="15"/>
      <c r="AV427" s="15"/>
      <c r="AW427" s="13"/>
      <c r="AX427" s="15"/>
      <c r="AY427" s="15"/>
      <c r="AZ427" s="28"/>
      <c r="BA427" s="15"/>
      <c r="BB427" s="15"/>
      <c r="BC427" s="15"/>
      <c r="BD427" s="15"/>
      <c r="BE427" s="14"/>
      <c r="BF427" s="41">
        <f t="shared" ref="BF427:BG427" si="1124">K427+O427+S427+W427+AA427+AE427+AI427+AM427+AQ427+AU427+AY427+BC427</f>
        <v>0</v>
      </c>
      <c r="BG427" s="34">
        <f t="shared" si="1124"/>
        <v>0</v>
      </c>
      <c r="BH427" s="35">
        <f t="shared" si="1121"/>
        <v>0</v>
      </c>
    </row>
    <row r="428" ht="15.75" customHeight="1" hidden="1" spans="1:60" x14ac:dyDescent="0.25">
      <c r="A428" s="29">
        <v>56</v>
      </c>
      <c r="B428" s="14"/>
      <c r="C428" s="73" t="s">
        <v>219</v>
      </c>
      <c r="D428" s="14" t="s">
        <v>50</v>
      </c>
      <c r="E428" s="2" t="s">
        <v>49</v>
      </c>
      <c r="F428" s="41">
        <v>1062.88</v>
      </c>
      <c r="G428" s="28"/>
      <c r="I428" s="13"/>
      <c r="J428" s="15"/>
      <c r="K428" s="15"/>
      <c r="L428" s="28"/>
      <c r="Q428" s="13"/>
      <c r="R428" s="15"/>
      <c r="S428" s="15"/>
      <c r="T428" s="28"/>
      <c r="Y428" s="13"/>
      <c r="Z428" s="15"/>
      <c r="AA428" s="15"/>
      <c r="AB428" s="28"/>
      <c r="AE428" s="34">
        <f>B425*$F$12</f>
        <v>6621.7424</v>
      </c>
      <c r="AG428" s="13"/>
      <c r="AH428" s="15"/>
      <c r="AI428" s="15"/>
      <c r="AJ428" s="28"/>
      <c r="AK428" s="13"/>
      <c r="AL428" s="15"/>
      <c r="AM428" s="15"/>
      <c r="AN428" s="28"/>
      <c r="AO428" s="13"/>
      <c r="AP428" s="15"/>
      <c r="AQ428" s="15"/>
      <c r="AR428" s="28"/>
      <c r="AS428" s="15"/>
      <c r="AT428" s="15"/>
      <c r="AU428" s="15"/>
      <c r="AV428" s="15"/>
      <c r="AW428" s="13"/>
      <c r="AX428" s="15"/>
      <c r="AY428" s="15"/>
      <c r="AZ428" s="38">
        <v>6621.74</v>
      </c>
      <c r="BA428" s="15"/>
      <c r="BB428" s="15"/>
      <c r="BC428" s="15"/>
      <c r="BD428" s="15"/>
      <c r="BE428" s="14"/>
      <c r="BF428" s="41">
        <f>B425*$F$12</f>
        <v>6621.7424</v>
      </c>
      <c r="BG428" s="34">
        <f t="shared" ref="BG428:BG430" si="1125">L428+P428+T428+X428+AB428+AF428+AJ428+AN428+AR428+AV428+AZ428+BD428</f>
        <v>6621.74</v>
      </c>
      <c r="BH428" s="35">
        <f t="shared" si="1121"/>
        <v>0.002400000001</v>
      </c>
    </row>
    <row r="429" ht="15.75" customHeight="1" hidden="1" spans="1:60" x14ac:dyDescent="0.25">
      <c r="A429" s="29">
        <v>56</v>
      </c>
      <c r="B429" s="14"/>
      <c r="C429" s="73" t="s">
        <v>220</v>
      </c>
      <c r="D429" s="14" t="s">
        <v>51</v>
      </c>
      <c r="E429" s="2" t="s">
        <v>49</v>
      </c>
      <c r="F429" s="41">
        <v>0</v>
      </c>
      <c r="G429" s="28"/>
      <c r="I429" s="13"/>
      <c r="J429" s="15"/>
      <c r="K429" s="15"/>
      <c r="L429" s="28"/>
      <c r="Q429" s="13"/>
      <c r="R429" s="15"/>
      <c r="S429" s="15"/>
      <c r="T429" s="28"/>
      <c r="Y429" s="13"/>
      <c r="Z429" s="15"/>
      <c r="AA429" s="15"/>
      <c r="AB429" s="28"/>
      <c r="AG429" s="13"/>
      <c r="AH429" s="15"/>
      <c r="AI429" s="15"/>
      <c r="AJ429" s="28"/>
      <c r="AK429" s="13"/>
      <c r="AL429" s="15"/>
      <c r="AM429" s="15"/>
      <c r="AN429" s="28"/>
      <c r="AO429" s="13"/>
      <c r="AP429" s="15"/>
      <c r="AQ429" s="15"/>
      <c r="AR429" s="28"/>
      <c r="AS429" s="15"/>
      <c r="AT429" s="15"/>
      <c r="AU429" s="15"/>
      <c r="AV429" s="15"/>
      <c r="AW429" s="13"/>
      <c r="AX429" s="15"/>
      <c r="AY429" s="15"/>
      <c r="AZ429" s="28"/>
      <c r="BA429" s="15"/>
      <c r="BB429" s="15"/>
      <c r="BC429" s="15"/>
      <c r="BD429" s="15"/>
      <c r="BE429" s="14"/>
      <c r="BF429" s="41">
        <f>B425*$F$13</f>
        <v>0</v>
      </c>
      <c r="BG429" s="34">
        <f t="shared" si="1125"/>
        <v>0</v>
      </c>
      <c r="BH429" s="35">
        <f t="shared" si="1121"/>
        <v>0</v>
      </c>
    </row>
    <row r="430" ht="15.75" customHeight="1" hidden="1" spans="1:60" x14ac:dyDescent="0.25">
      <c r="A430" s="29">
        <v>56</v>
      </c>
      <c r="B430" s="14"/>
      <c r="C430" s="73" t="s">
        <v>58</v>
      </c>
      <c r="D430" s="14" t="s">
        <v>52</v>
      </c>
      <c r="E430" s="2" t="s">
        <v>39</v>
      </c>
      <c r="F430" s="41">
        <v>350</v>
      </c>
      <c r="G430" s="28"/>
      <c r="I430" s="13"/>
      <c r="J430" s="15"/>
      <c r="K430" s="15"/>
      <c r="L430" s="28"/>
      <c r="Q430" s="13"/>
      <c r="R430" s="15"/>
      <c r="S430" s="15"/>
      <c r="T430" s="28"/>
      <c r="Y430" s="13"/>
      <c r="Z430" s="15"/>
      <c r="AA430" s="34">
        <f>$F$14</f>
        <v>350</v>
      </c>
      <c r="AB430" s="28"/>
      <c r="AG430" s="13"/>
      <c r="AH430" s="15"/>
      <c r="AI430" s="15"/>
      <c r="AJ430" s="28"/>
      <c r="AK430" s="13"/>
      <c r="AL430" s="15"/>
      <c r="AM430" s="15"/>
      <c r="AN430" s="28"/>
      <c r="AO430" s="13"/>
      <c r="AP430" s="15"/>
      <c r="AQ430" s="15"/>
      <c r="AR430" s="28"/>
      <c r="AS430" s="15"/>
      <c r="AT430" s="15"/>
      <c r="AU430" s="15"/>
      <c r="AV430" s="15"/>
      <c r="AW430" s="13"/>
      <c r="AX430" s="15"/>
      <c r="AY430" s="15"/>
      <c r="AZ430" s="38">
        <v>350</v>
      </c>
      <c r="BA430" s="15"/>
      <c r="BB430" s="15"/>
      <c r="BC430" s="15"/>
      <c r="BD430" s="15"/>
      <c r="BE430" s="14"/>
      <c r="BF430" s="41">
        <f>$F$14</f>
        <v>350</v>
      </c>
      <c r="BG430" s="34">
        <f t="shared" si="1125"/>
        <v>350</v>
      </c>
      <c r="BH430" s="35">
        <f t="shared" si="1121"/>
        <v>0</v>
      </c>
    </row>
    <row r="431" ht="15.75" customHeight="1" hidden="1" spans="1:62" x14ac:dyDescent="0.25">
      <c r="A431" s="50">
        <v>56</v>
      </c>
      <c r="B431" s="21"/>
      <c r="C431" s="22" t="s">
        <v>53</v>
      </c>
      <c r="D431" s="21"/>
      <c r="E431" s="22"/>
      <c r="F431" s="20"/>
      <c r="G431" s="23"/>
      <c r="H431" s="51">
        <f>SUM(H424:H430)</f>
        <v>0</v>
      </c>
      <c r="I431" s="52"/>
      <c r="J431" s="53"/>
      <c r="K431" s="51">
        <f t="shared" ref="K431:L431" si="1126">SUM(K424:K430)</f>
        <v>0</v>
      </c>
      <c r="L431" s="68">
        <f t="shared" si="1126"/>
        <v>0</v>
      </c>
      <c r="M431" s="53"/>
      <c r="N431" s="53"/>
      <c r="O431" s="51">
        <f>SUM(O425:O430)</f>
        <v>0</v>
      </c>
      <c r="P431" s="68">
        <f>SUM(P424:P430)</f>
        <v>0</v>
      </c>
      <c r="Q431" s="52"/>
      <c r="R431" s="53"/>
      <c r="S431" s="51">
        <f>SUM(S425:S430)</f>
        <v>0</v>
      </c>
      <c r="T431" s="68">
        <f>SUM(T424:T430)</f>
        <v>0</v>
      </c>
      <c r="U431" s="53"/>
      <c r="V431" s="53"/>
      <c r="W431" s="51">
        <f>SUM(W425:W430)</f>
        <v>0</v>
      </c>
      <c r="X431" s="68">
        <f>SUM(X424:X430)</f>
        <v>0</v>
      </c>
      <c r="Y431" s="52"/>
      <c r="Z431" s="53"/>
      <c r="AA431" s="51">
        <f>SUM(AA425:AA430)</f>
        <v>350</v>
      </c>
      <c r="AB431" s="68">
        <f>SUM(AB424:AB430)</f>
        <v>0</v>
      </c>
      <c r="AC431" s="53"/>
      <c r="AD431" s="53"/>
      <c r="AE431" s="51">
        <f>SUM(AE425:AE430)</f>
        <v>6621.7424</v>
      </c>
      <c r="AF431" s="68">
        <f>SUM(AF424:AF430)</f>
        <v>0</v>
      </c>
      <c r="AG431" s="52"/>
      <c r="AH431" s="53"/>
      <c r="AI431" s="51">
        <f>SUM(AI425:AI430)</f>
        <v>0</v>
      </c>
      <c r="AJ431" s="68">
        <f>SUM(AJ424:AJ430)</f>
        <v>0</v>
      </c>
      <c r="AK431" s="52"/>
      <c r="AL431" s="53"/>
      <c r="AM431" s="51">
        <f>SUM(AM425:AM430)</f>
        <v>0</v>
      </c>
      <c r="AN431" s="68">
        <f>SUM(AN424:AN430)</f>
        <v>0</v>
      </c>
      <c r="AO431" s="52"/>
      <c r="AP431" s="53"/>
      <c r="AQ431" s="51">
        <f>SUM(AQ425:AQ430)</f>
        <v>0</v>
      </c>
      <c r="AR431" s="68">
        <f>SUM(AR424:AR430)</f>
        <v>0</v>
      </c>
      <c r="AS431" s="53"/>
      <c r="AT431" s="53"/>
      <c r="AU431" s="51">
        <f>SUM(AU425:AU430)</f>
        <v>0</v>
      </c>
      <c r="AV431" s="68">
        <f>SUM(AV424:AV430)</f>
        <v>0</v>
      </c>
      <c r="AW431" s="52"/>
      <c r="AX431" s="53"/>
      <c r="AY431" s="51">
        <f>SUM(AY425:AY430)</f>
        <v>0</v>
      </c>
      <c r="AZ431" s="68">
        <f>SUM(AZ424:AZ430)</f>
        <v>11971.74</v>
      </c>
      <c r="BA431" s="53"/>
      <c r="BB431" s="53"/>
      <c r="BC431" s="51">
        <f>SUM(BC425:BC430)</f>
        <v>34.86</v>
      </c>
      <c r="BD431" s="68">
        <f>SUM(BD424:BD430)</f>
        <v>150</v>
      </c>
      <c r="BE431" s="69"/>
      <c r="BF431" s="70">
        <f t="shared" ref="BF431:BH431" si="1127">SUM(BF424:BF430)</f>
        <v>12006.6024</v>
      </c>
      <c r="BG431" s="71">
        <f t="shared" si="1127"/>
        <v>12121.74</v>
      </c>
      <c r="BH431" s="72">
        <f t="shared" si="1127"/>
        <v>-115.1376</v>
      </c>
      <c r="BI431" s="34">
        <f>H431+BF431-BG431</f>
        <v>-115.1376</v>
      </c>
      <c r="BJ431" s="34">
        <f>BH431-BI431</f>
        <v>0</v>
      </c>
    </row>
    <row r="432" ht="15.75" customHeight="1" hidden="1" spans="1:60" x14ac:dyDescent="0.25">
      <c r="A432" s="29">
        <v>57</v>
      </c>
      <c r="B432" s="14"/>
      <c r="D432" s="14" t="s">
        <v>42</v>
      </c>
      <c r="F432" s="13"/>
      <c r="G432" s="28"/>
      <c r="I432" s="13"/>
      <c r="J432" s="15"/>
      <c r="K432" s="15"/>
      <c r="L432" s="28"/>
      <c r="Q432" s="13"/>
      <c r="R432" s="15"/>
      <c r="S432" s="15"/>
      <c r="T432" s="28"/>
      <c r="Y432" s="13"/>
      <c r="Z432" s="15"/>
      <c r="AA432" s="15"/>
      <c r="AB432" s="28"/>
      <c r="AG432" s="13"/>
      <c r="AH432" s="15"/>
      <c r="AI432" s="15"/>
      <c r="AJ432" s="28"/>
      <c r="AK432" s="13"/>
      <c r="AL432" s="15"/>
      <c r="AM432" s="15"/>
      <c r="AN432" s="28"/>
      <c r="AO432" s="13"/>
      <c r="AP432" s="15"/>
      <c r="AQ432" s="15"/>
      <c r="AR432" s="28"/>
      <c r="AW432" s="13"/>
      <c r="AX432" s="15"/>
      <c r="AY432" s="15"/>
      <c r="AZ432" s="28"/>
      <c r="BE432" s="14"/>
      <c r="BF432" s="13"/>
      <c r="BG432" s="15"/>
      <c r="BH432" s="28"/>
    </row>
    <row r="433" ht="15.75" customHeight="1" hidden="1" spans="1:60" x14ac:dyDescent="0.25">
      <c r="A433" s="2">
        <v>57</v>
      </c>
      <c r="B433" s="30">
        <v>4</v>
      </c>
      <c r="C433" s="2" t="s">
        <v>221</v>
      </c>
      <c r="D433" s="14" t="s">
        <v>44</v>
      </c>
      <c r="E433" s="2" t="s">
        <v>45</v>
      </c>
      <c r="F433" s="13">
        <v>2.49</v>
      </c>
      <c r="G433" s="28"/>
      <c r="H433" s="34">
        <v>584.9</v>
      </c>
      <c r="I433" s="13">
        <v>460</v>
      </c>
      <c r="J433" s="15">
        <v>0</v>
      </c>
      <c r="K433" s="34">
        <f>J433*$F$8</f>
        <v>0</v>
      </c>
      <c r="L433" s="28"/>
      <c r="M433" s="2">
        <v>460</v>
      </c>
      <c r="N433" s="15">
        <f>M433-I433</f>
        <v>0</v>
      </c>
      <c r="O433" s="34">
        <f>N433*$F$8</f>
        <v>0</v>
      </c>
      <c r="Q433" s="13">
        <v>460</v>
      </c>
      <c r="R433" s="15">
        <f>Q433-M433</f>
        <v>0</v>
      </c>
      <c r="S433" s="34">
        <f>R433*$F$8</f>
        <v>0</v>
      </c>
      <c r="T433" s="28"/>
      <c r="U433" s="2">
        <v>460</v>
      </c>
      <c r="V433" s="15">
        <f>U433-Q433</f>
        <v>0</v>
      </c>
      <c r="W433" s="34">
        <f>V433*$F$8</f>
        <v>0</v>
      </c>
      <c r="Y433" s="13">
        <v>460</v>
      </c>
      <c r="Z433" s="15">
        <f>Y433-U433</f>
        <v>0</v>
      </c>
      <c r="AA433" s="34">
        <f>Z433*$F$8</f>
        <v>0</v>
      </c>
      <c r="AB433" s="28"/>
      <c r="AC433" s="2">
        <v>460</v>
      </c>
      <c r="AD433" s="15">
        <f t="shared" ref="AD433:AD434" si="1128">AC433-Y433</f>
        <v>0</v>
      </c>
      <c r="AE433" s="34">
        <f>AD433*$F$8</f>
        <v>0</v>
      </c>
      <c r="AG433" s="13">
        <v>460</v>
      </c>
      <c r="AH433" s="15">
        <f t="shared" ref="AH433:AH434" si="1129">AG433-AC433</f>
        <v>0</v>
      </c>
      <c r="AI433" s="34">
        <f>AH433*$F$8</f>
        <v>0</v>
      </c>
      <c r="AJ433" s="28"/>
      <c r="AK433" s="13">
        <v>460</v>
      </c>
      <c r="AL433" s="15">
        <f t="shared" ref="AL433:AL434" si="1130">AK433-AG433</f>
        <v>0</v>
      </c>
      <c r="AM433" s="34">
        <f>AL433*$F$8</f>
        <v>0</v>
      </c>
      <c r="AN433" s="38">
        <v>584.9</v>
      </c>
      <c r="AO433" s="13">
        <v>461</v>
      </c>
      <c r="AP433" s="15">
        <f t="shared" ref="AP433:AP434" si="1131">AO433-AK433</f>
        <v>1</v>
      </c>
      <c r="AQ433" s="34">
        <f>AP433*$F$8</f>
        <v>2.49</v>
      </c>
      <c r="AR433" s="28"/>
      <c r="AS433" s="15">
        <v>462</v>
      </c>
      <c r="AT433" s="15">
        <f>AS433-AO433</f>
        <v>1</v>
      </c>
      <c r="AU433" s="34">
        <f>AT433*$F$8</f>
        <v>2.49</v>
      </c>
      <c r="AV433" s="15"/>
      <c r="AW433" s="13">
        <v>462</v>
      </c>
      <c r="AX433" s="15">
        <f>AW433-AS433</f>
        <v>0</v>
      </c>
      <c r="AY433" s="34">
        <f>AX433*$F$8</f>
        <v>0</v>
      </c>
      <c r="AZ433" s="28"/>
      <c r="BA433" s="13">
        <v>462</v>
      </c>
      <c r="BB433" s="15">
        <f>BA433-AW433</f>
        <v>0</v>
      </c>
      <c r="BC433" s="34">
        <f>BB433*$F$8</f>
        <v>0</v>
      </c>
      <c r="BD433" s="15"/>
      <c r="BE433" s="40">
        <f t="shared" ref="BE433:BG433" si="1132">J433+N433+R433+V433+Z433+AD433+AH433+AL433+AP433+AT433+AX433+BB433</f>
        <v>2</v>
      </c>
      <c r="BF433" s="41">
        <f t="shared" si="1132"/>
        <v>4.98</v>
      </c>
      <c r="BG433" s="34">
        <f t="shared" si="1132"/>
        <v>584.9</v>
      </c>
      <c r="BH433" s="35">
        <f t="shared" ref="BH433:BH438" si="1133">H433+BF433-BG433</f>
        <v>4.98</v>
      </c>
    </row>
    <row r="434" ht="15.75" customHeight="1" hidden="1" spans="1:60" x14ac:dyDescent="0.25">
      <c r="A434" s="29">
        <v>57</v>
      </c>
      <c r="B434" s="14"/>
      <c r="C434" s="73"/>
      <c r="D434" s="14" t="s">
        <v>47</v>
      </c>
      <c r="E434" s="2" t="s">
        <v>48</v>
      </c>
      <c r="F434" s="13">
        <v>17.16</v>
      </c>
      <c r="G434" s="28"/>
      <c r="H434" s="81"/>
      <c r="I434" s="13"/>
      <c r="J434" s="15"/>
      <c r="K434" s="15"/>
      <c r="L434" s="28"/>
      <c r="Q434" s="13"/>
      <c r="R434" s="15"/>
      <c r="S434" s="15"/>
      <c r="T434" s="28"/>
      <c r="Y434" s="95">
        <v>1</v>
      </c>
      <c r="Z434" s="15"/>
      <c r="AA434" s="15"/>
      <c r="AB434" s="28"/>
      <c r="AC434" s="2">
        <v>1</v>
      </c>
      <c r="AD434" s="15">
        <f t="shared" si="1128"/>
        <v>0</v>
      </c>
      <c r="AE434" s="34">
        <f>AD434*$F$10</f>
        <v>0</v>
      </c>
      <c r="AG434" s="13">
        <v>21</v>
      </c>
      <c r="AH434" s="15">
        <f t="shared" si="1129"/>
        <v>20</v>
      </c>
      <c r="AI434" s="45">
        <f>AH434*$G$10</f>
        <v>353.6</v>
      </c>
      <c r="AJ434" s="28"/>
      <c r="AK434" s="13">
        <v>21</v>
      </c>
      <c r="AL434" s="15">
        <f t="shared" si="1130"/>
        <v>0</v>
      </c>
      <c r="AM434" s="45">
        <f>AL434*$G$10</f>
        <v>0</v>
      </c>
      <c r="AN434" s="38">
        <v>353.6</v>
      </c>
      <c r="AO434" s="13">
        <v>21</v>
      </c>
      <c r="AP434" s="15">
        <f t="shared" si="1131"/>
        <v>0</v>
      </c>
      <c r="AQ434" s="45">
        <f>AP434*$G$10</f>
        <v>0</v>
      </c>
      <c r="AR434" s="28"/>
      <c r="AS434" s="15"/>
      <c r="AT434" s="15"/>
      <c r="AU434" s="15"/>
      <c r="AV434" s="15"/>
      <c r="AW434" s="13"/>
      <c r="AX434" s="15"/>
      <c r="AY434" s="15"/>
      <c r="AZ434" s="28"/>
      <c r="BA434" s="15"/>
      <c r="BB434" s="15"/>
      <c r="BC434" s="15"/>
      <c r="BD434" s="15"/>
      <c r="BE434" s="40">
        <f t="shared" ref="BE434:BG434" si="1134">J434+N434+R434+V434+Z434+AD434+AH434+AL434+AP434+AT434+AX434+BB434</f>
        <v>20</v>
      </c>
      <c r="BF434" s="41">
        <f t="shared" si="1134"/>
        <v>353.6</v>
      </c>
      <c r="BG434" s="34">
        <f t="shared" si="1134"/>
        <v>353.6</v>
      </c>
      <c r="BH434" s="35">
        <f t="shared" si="1133"/>
        <v>0</v>
      </c>
    </row>
    <row r="435" ht="15.75" customHeight="1" hidden="1" spans="1:60" x14ac:dyDescent="0.25">
      <c r="A435" s="29">
        <v>57</v>
      </c>
      <c r="B435" s="14"/>
      <c r="C435" s="73"/>
      <c r="D435" s="14" t="s">
        <v>47</v>
      </c>
      <c r="E435" s="2" t="s">
        <v>49</v>
      </c>
      <c r="F435" s="41">
        <v>300</v>
      </c>
      <c r="G435" s="28"/>
      <c r="H435" s="34">
        <f>B433*$F$11</f>
        <v>1200</v>
      </c>
      <c r="I435" s="13"/>
      <c r="J435" s="15"/>
      <c r="K435" s="15"/>
      <c r="L435" s="28"/>
      <c r="Q435" s="13"/>
      <c r="R435" s="15"/>
      <c r="S435" s="15"/>
      <c r="T435" s="28"/>
      <c r="Y435" s="13"/>
      <c r="Z435" s="15"/>
      <c r="AA435" s="15"/>
      <c r="AB435" s="28"/>
      <c r="AC435" s="15"/>
      <c r="AG435" s="13"/>
      <c r="AH435" s="15"/>
      <c r="AI435" s="15"/>
      <c r="AJ435" s="28"/>
      <c r="AK435" s="13"/>
      <c r="AL435" s="15"/>
      <c r="AM435" s="34"/>
      <c r="AN435" s="28"/>
      <c r="AO435" s="13"/>
      <c r="AP435" s="15"/>
      <c r="AQ435" s="34"/>
      <c r="AR435" s="28"/>
      <c r="AS435" s="15"/>
      <c r="AT435" s="15"/>
      <c r="AU435" s="15"/>
      <c r="AV435" s="15"/>
      <c r="AW435" s="13"/>
      <c r="AX435" s="15"/>
      <c r="AY435" s="15"/>
      <c r="AZ435" s="28"/>
      <c r="BA435" s="15"/>
      <c r="BB435" s="15"/>
      <c r="BC435" s="15"/>
      <c r="BD435" s="15"/>
      <c r="BE435" s="14"/>
      <c r="BF435" s="41">
        <f t="shared" ref="BF435:BG435" si="1135">K435+O435+S435+W435+AA435+AE435+AI435+AM435+AQ435+AU435+AY435+BC435</f>
        <v>0</v>
      </c>
      <c r="BG435" s="34">
        <f t="shared" si="1135"/>
        <v>0</v>
      </c>
      <c r="BH435" s="35">
        <f t="shared" si="1133"/>
        <v>1200</v>
      </c>
    </row>
    <row r="436" ht="15.75" customHeight="1" hidden="1" spans="1:60" x14ac:dyDescent="0.25">
      <c r="A436" s="29">
        <v>57</v>
      </c>
      <c r="B436" s="14"/>
      <c r="C436" s="73" t="s">
        <v>222</v>
      </c>
      <c r="D436" s="14" t="s">
        <v>50</v>
      </c>
      <c r="E436" s="2" t="s">
        <v>49</v>
      </c>
      <c r="F436" s="41">
        <v>1062.88</v>
      </c>
      <c r="G436" s="28"/>
      <c r="H436" s="33">
        <v>3000</v>
      </c>
      <c r="I436" s="13"/>
      <c r="J436" s="15"/>
      <c r="K436" s="15"/>
      <c r="L436" s="28"/>
      <c r="Q436" s="13"/>
      <c r="R436" s="15"/>
      <c r="S436" s="15"/>
      <c r="T436" s="28"/>
      <c r="Y436" s="13"/>
      <c r="Z436" s="15"/>
      <c r="AA436" s="15"/>
      <c r="AB436" s="28"/>
      <c r="AE436" s="34">
        <f>B433*$F$12</f>
        <v>4251.52</v>
      </c>
      <c r="AG436" s="13"/>
      <c r="AH436" s="15"/>
      <c r="AI436" s="15"/>
      <c r="AJ436" s="28"/>
      <c r="AK436" s="13"/>
      <c r="AL436" s="15"/>
      <c r="AM436" s="15"/>
      <c r="AN436" s="38">
        <f>3000+261.5</f>
        <v>3261.5</v>
      </c>
      <c r="AO436" s="13"/>
      <c r="AP436" s="15"/>
      <c r="AQ436" s="15"/>
      <c r="AR436" s="28"/>
      <c r="AS436" s="15"/>
      <c r="AT436" s="15"/>
      <c r="AU436" s="15"/>
      <c r="AV436" s="15"/>
      <c r="AW436" s="13"/>
      <c r="AX436" s="15"/>
      <c r="AY436" s="15"/>
      <c r="AZ436" s="28"/>
      <c r="BA436" s="15"/>
      <c r="BB436" s="15"/>
      <c r="BC436" s="15"/>
      <c r="BD436" s="15"/>
      <c r="BE436" s="14"/>
      <c r="BF436" s="41">
        <f>B433*$F$12</f>
        <v>4251.52</v>
      </c>
      <c r="BG436" s="34">
        <f t="shared" ref="BG436:BG438" si="1136">L436+P436+T436+X436+AB436+AF436+AJ436+AN436+AR436+AV436+AZ436+BD436</f>
        <v>3261.5</v>
      </c>
      <c r="BH436" s="35">
        <f t="shared" si="1133"/>
        <v>3990.02</v>
      </c>
    </row>
    <row r="437" ht="15.75" customHeight="1" hidden="1" spans="1:60" x14ac:dyDescent="0.25">
      <c r="A437" s="29">
        <v>57</v>
      </c>
      <c r="B437" s="14"/>
      <c r="D437" s="14" t="s">
        <v>51</v>
      </c>
      <c r="E437" s="2" t="s">
        <v>49</v>
      </c>
      <c r="F437" s="41">
        <v>0</v>
      </c>
      <c r="G437" s="28"/>
      <c r="H437" s="33">
        <v>800</v>
      </c>
      <c r="I437" s="13"/>
      <c r="J437" s="15"/>
      <c r="K437" s="15"/>
      <c r="L437" s="28"/>
      <c r="Q437" s="13"/>
      <c r="R437" s="15"/>
      <c r="S437" s="15"/>
      <c r="T437" s="28"/>
      <c r="Y437" s="13"/>
      <c r="Z437" s="15"/>
      <c r="AA437" s="15"/>
      <c r="AB437" s="28"/>
      <c r="AG437" s="13"/>
      <c r="AH437" s="15"/>
      <c r="AI437" s="15"/>
      <c r="AJ437" s="28"/>
      <c r="AK437" s="13"/>
      <c r="AL437" s="15"/>
      <c r="AM437" s="15"/>
      <c r="AN437" s="38">
        <v>800</v>
      </c>
      <c r="AO437" s="13"/>
      <c r="AP437" s="15"/>
      <c r="AQ437" s="15"/>
      <c r="AR437" s="28"/>
      <c r="AS437" s="15"/>
      <c r="AT437" s="15"/>
      <c r="AU437" s="15"/>
      <c r="AV437" s="15"/>
      <c r="AW437" s="13"/>
      <c r="AX437" s="15"/>
      <c r="AY437" s="15"/>
      <c r="AZ437" s="28"/>
      <c r="BA437" s="15"/>
      <c r="BB437" s="15"/>
      <c r="BC437" s="15"/>
      <c r="BD437" s="15"/>
      <c r="BE437" s="14"/>
      <c r="BF437" s="41">
        <f>B433*$F$13</f>
        <v>0</v>
      </c>
      <c r="BG437" s="34">
        <f t="shared" si="1136"/>
        <v>800</v>
      </c>
      <c r="BH437" s="35">
        <f t="shared" si="1133"/>
        <v>0</v>
      </c>
    </row>
    <row r="438" ht="15.75" customHeight="1" hidden="1" spans="1:60" x14ac:dyDescent="0.25">
      <c r="A438" s="29">
        <v>57</v>
      </c>
      <c r="B438" s="14"/>
      <c r="D438" s="14" t="s">
        <v>52</v>
      </c>
      <c r="E438" s="2" t="s">
        <v>39</v>
      </c>
      <c r="F438" s="41">
        <v>350</v>
      </c>
      <c r="G438" s="28"/>
      <c r="I438" s="13"/>
      <c r="J438" s="15"/>
      <c r="K438" s="15"/>
      <c r="L438" s="28"/>
      <c r="Q438" s="13"/>
      <c r="R438" s="15"/>
      <c r="S438" s="15"/>
      <c r="T438" s="28"/>
      <c r="Y438" s="13"/>
      <c r="Z438" s="15"/>
      <c r="AA438" s="34">
        <f>$F$14</f>
        <v>350</v>
      </c>
      <c r="AB438" s="28"/>
      <c r="AG438" s="13"/>
      <c r="AH438" s="15"/>
      <c r="AI438" s="15"/>
      <c r="AJ438" s="28"/>
      <c r="AK438" s="13"/>
      <c r="AL438" s="15"/>
      <c r="AM438" s="15"/>
      <c r="AN438" s="28"/>
      <c r="AO438" s="13"/>
      <c r="AP438" s="15"/>
      <c r="AQ438" s="15"/>
      <c r="AR438" s="28"/>
      <c r="AS438" s="15"/>
      <c r="AT438" s="15"/>
      <c r="AU438" s="15"/>
      <c r="AV438" s="15"/>
      <c r="AW438" s="13"/>
      <c r="AX438" s="15"/>
      <c r="AY438" s="15"/>
      <c r="AZ438" s="28"/>
      <c r="BA438" s="15"/>
      <c r="BB438" s="15"/>
      <c r="BC438" s="15"/>
      <c r="BD438" s="15"/>
      <c r="BE438" s="14"/>
      <c r="BF438" s="41">
        <f>$F$14</f>
        <v>350</v>
      </c>
      <c r="BG438" s="34">
        <f t="shared" si="1136"/>
        <v>0</v>
      </c>
      <c r="BH438" s="35">
        <f t="shared" si="1133"/>
        <v>350</v>
      </c>
    </row>
    <row r="439" ht="15.75" customHeight="1" hidden="1" spans="1:62" x14ac:dyDescent="0.25">
      <c r="A439" s="50">
        <v>57</v>
      </c>
      <c r="B439" s="21"/>
      <c r="C439" s="22" t="s">
        <v>53</v>
      </c>
      <c r="D439" s="21"/>
      <c r="E439" s="22"/>
      <c r="F439" s="20"/>
      <c r="G439" s="23"/>
      <c r="H439" s="51">
        <f>SUM(H432:H438)</f>
        <v>5584.9</v>
      </c>
      <c r="I439" s="52"/>
      <c r="J439" s="53"/>
      <c r="K439" s="51">
        <f t="shared" ref="K439:L439" si="1137">SUM(K432:K438)</f>
        <v>0</v>
      </c>
      <c r="L439" s="68">
        <f t="shared" si="1137"/>
        <v>0</v>
      </c>
      <c r="M439" s="53"/>
      <c r="N439" s="53"/>
      <c r="O439" s="51">
        <f t="shared" ref="O439:P439" si="1138">SUM(O433:O438)</f>
        <v>0</v>
      </c>
      <c r="P439" s="51">
        <f t="shared" si="1138"/>
        <v>0</v>
      </c>
      <c r="Q439" s="52"/>
      <c r="R439" s="53"/>
      <c r="S439" s="51">
        <f t="shared" ref="S439:T439" si="1139">SUM(S433:S438)</f>
        <v>0</v>
      </c>
      <c r="T439" s="68">
        <f t="shared" si="1139"/>
        <v>0</v>
      </c>
      <c r="U439" s="53"/>
      <c r="V439" s="53"/>
      <c r="W439" s="51">
        <f t="shared" ref="W439:X439" si="1140">SUM(W433:W438)</f>
        <v>0</v>
      </c>
      <c r="X439" s="51">
        <f t="shared" si="1140"/>
        <v>0</v>
      </c>
      <c r="Y439" s="52"/>
      <c r="Z439" s="53"/>
      <c r="AA439" s="51">
        <f t="shared" ref="AA439:AB439" si="1141">SUM(AA433:AA438)</f>
        <v>350</v>
      </c>
      <c r="AB439" s="68">
        <f t="shared" si="1141"/>
        <v>0</v>
      </c>
      <c r="AC439" s="53"/>
      <c r="AD439" s="53"/>
      <c r="AE439" s="51">
        <f t="shared" ref="AE439:AF439" si="1142">SUM(AE433:AE438)</f>
        <v>4251.52</v>
      </c>
      <c r="AF439" s="51">
        <f t="shared" si="1142"/>
        <v>0</v>
      </c>
      <c r="AG439" s="52"/>
      <c r="AH439" s="53"/>
      <c r="AI439" s="51">
        <f t="shared" ref="AI439:AJ439" si="1143">SUM(AI433:AI438)</f>
        <v>353.6</v>
      </c>
      <c r="AJ439" s="68">
        <f t="shared" si="1143"/>
        <v>0</v>
      </c>
      <c r="AK439" s="52"/>
      <c r="AL439" s="53"/>
      <c r="AM439" s="51">
        <f t="shared" ref="AM439:AN439" si="1144">SUM(AM433:AM438)</f>
        <v>0</v>
      </c>
      <c r="AN439" s="68">
        <f t="shared" si="1144"/>
        <v>5000</v>
      </c>
      <c r="AO439" s="52"/>
      <c r="AP439" s="53"/>
      <c r="AQ439" s="51">
        <f t="shared" ref="AQ439:AR439" si="1145">SUM(AQ433:AQ438)</f>
        <v>2.49</v>
      </c>
      <c r="AR439" s="68">
        <f t="shared" si="1145"/>
        <v>0</v>
      </c>
      <c r="AS439" s="53"/>
      <c r="AT439" s="53"/>
      <c r="AU439" s="51">
        <f t="shared" ref="AU439:AV439" si="1146">SUM(AU433:AU438)</f>
        <v>2.49</v>
      </c>
      <c r="AV439" s="51">
        <f t="shared" si="1146"/>
        <v>0</v>
      </c>
      <c r="AW439" s="52"/>
      <c r="AX439" s="53"/>
      <c r="AY439" s="51">
        <f t="shared" ref="AY439:AZ439" si="1147">SUM(AY433:AY438)</f>
        <v>0</v>
      </c>
      <c r="AZ439" s="68">
        <f t="shared" si="1147"/>
        <v>0</v>
      </c>
      <c r="BA439" s="53"/>
      <c r="BB439" s="53"/>
      <c r="BC439" s="51">
        <f t="shared" ref="BC439:BD439" si="1148">SUM(BC433:BC438)</f>
        <v>0</v>
      </c>
      <c r="BD439" s="51">
        <f t="shared" si="1148"/>
        <v>0</v>
      </c>
      <c r="BE439" s="69"/>
      <c r="BF439" s="70">
        <f t="shared" ref="BF439:BH439" si="1149">SUM(BF432:BF438)</f>
        <v>4960.1</v>
      </c>
      <c r="BG439" s="71">
        <f t="shared" si="1149"/>
        <v>5000</v>
      </c>
      <c r="BH439" s="72">
        <f t="shared" si="1149"/>
        <v>5545</v>
      </c>
      <c r="BI439" s="34">
        <f>H439+BF439-BG439</f>
        <v>5545</v>
      </c>
      <c r="BJ439" s="34">
        <f>BH439-BI439</f>
        <v>0</v>
      </c>
    </row>
    <row r="440" ht="15.75" customHeight="1" hidden="1" spans="1:60" x14ac:dyDescent="0.25">
      <c r="A440" s="29">
        <v>59</v>
      </c>
      <c r="B440" s="14"/>
      <c r="D440" s="99" t="s">
        <v>132</v>
      </c>
      <c r="F440" s="13"/>
      <c r="G440" s="28"/>
      <c r="H440" s="33">
        <v>550</v>
      </c>
      <c r="I440" s="13"/>
      <c r="J440" s="15"/>
      <c r="K440" s="15"/>
      <c r="L440" s="28"/>
      <c r="Q440" s="13"/>
      <c r="R440" s="15"/>
      <c r="S440" s="15"/>
      <c r="T440" s="28"/>
      <c r="Y440" s="13"/>
      <c r="Z440" s="15"/>
      <c r="AA440" s="15"/>
      <c r="AB440" s="28"/>
      <c r="AG440" s="13"/>
      <c r="AH440" s="15"/>
      <c r="AI440" s="15"/>
      <c r="AJ440" s="28"/>
      <c r="AK440" s="13"/>
      <c r="AL440" s="15"/>
      <c r="AM440" s="15"/>
      <c r="AN440" s="28"/>
      <c r="AO440" s="13"/>
      <c r="AP440" s="15"/>
      <c r="AQ440" s="15"/>
      <c r="AR440" s="28"/>
      <c r="AW440" s="13"/>
      <c r="AX440" s="15"/>
      <c r="AY440" s="15"/>
      <c r="AZ440" s="28"/>
      <c r="BE440" s="14"/>
      <c r="BF440" s="41">
        <f t="shared" ref="BF440:BG440" si="1150">K440+O440+S440+W440+AA440+AE440+AI440+AM440+AQ440+AU440+AY440+BC440</f>
        <v>0</v>
      </c>
      <c r="BG440" s="34">
        <f t="shared" si="1150"/>
        <v>0</v>
      </c>
      <c r="BH440" s="35">
        <f t="shared" ref="BH440:BH446" si="1151">H440+BF440-BG440</f>
        <v>550</v>
      </c>
    </row>
    <row r="441" ht="15.75" customHeight="1" hidden="1" spans="1:60" x14ac:dyDescent="0.25">
      <c r="A441" s="2">
        <v>59</v>
      </c>
      <c r="B441" s="30">
        <v>4</v>
      </c>
      <c r="C441" s="2" t="s">
        <v>221</v>
      </c>
      <c r="D441" s="14" t="s">
        <v>44</v>
      </c>
      <c r="E441" s="2" t="s">
        <v>45</v>
      </c>
      <c r="F441" s="13">
        <v>2.49</v>
      </c>
      <c r="G441" s="28"/>
      <c r="H441" s="74"/>
      <c r="I441" s="13"/>
      <c r="J441" s="15">
        <v>0</v>
      </c>
      <c r="K441" s="34">
        <f>J441*$F$8</f>
        <v>0</v>
      </c>
      <c r="L441" s="28"/>
      <c r="N441" s="15">
        <f>M441-I441</f>
        <v>0</v>
      </c>
      <c r="O441" s="34">
        <f>N441*$F$8</f>
        <v>0</v>
      </c>
      <c r="Q441" s="13"/>
      <c r="R441" s="15">
        <f>Q441-M441</f>
        <v>0</v>
      </c>
      <c r="S441" s="34">
        <f>R441*$F$8</f>
        <v>0</v>
      </c>
      <c r="T441" s="28"/>
      <c r="V441" s="15">
        <f>U441-Q441</f>
        <v>0</v>
      </c>
      <c r="W441" s="34">
        <f>V441*$F$8</f>
        <v>0</v>
      </c>
      <c r="Y441" s="13"/>
      <c r="Z441" s="15">
        <f>Y441-U441</f>
        <v>0</v>
      </c>
      <c r="AA441" s="34">
        <f>Z441*$F$8</f>
        <v>0</v>
      </c>
      <c r="AB441" s="28"/>
      <c r="AC441" s="15"/>
      <c r="AD441" s="15">
        <f>AC441-Y441</f>
        <v>0</v>
      </c>
      <c r="AE441" s="34">
        <f>AD441*$F$8</f>
        <v>0</v>
      </c>
      <c r="AG441" s="13"/>
      <c r="AH441" s="15">
        <f>AG441-AC441</f>
        <v>0</v>
      </c>
      <c r="AI441" s="34">
        <f>AH441*$F$8</f>
        <v>0</v>
      </c>
      <c r="AJ441" s="28"/>
      <c r="AK441" s="13"/>
      <c r="AL441" s="15">
        <f>AK441-AG441</f>
        <v>0</v>
      </c>
      <c r="AM441" s="34">
        <f>AL441*$F$8</f>
        <v>0</v>
      </c>
      <c r="AN441" s="28"/>
      <c r="AO441" s="13"/>
      <c r="AP441" s="15"/>
      <c r="AQ441" s="34">
        <f>AP441*$F$8</f>
        <v>0</v>
      </c>
      <c r="AR441" s="28"/>
      <c r="AS441" s="15"/>
      <c r="AT441" s="15"/>
      <c r="AU441" s="34">
        <f>AT441*$F$8</f>
        <v>0</v>
      </c>
      <c r="AV441" s="15"/>
      <c r="AW441" s="13"/>
      <c r="AX441" s="15"/>
      <c r="AY441" s="34">
        <f>AX441*$F$8</f>
        <v>0</v>
      </c>
      <c r="AZ441" s="28"/>
      <c r="BA441" s="15"/>
      <c r="BB441" s="15"/>
      <c r="BC441" s="34">
        <f>BB441*$F$8</f>
        <v>0</v>
      </c>
      <c r="BD441" s="15"/>
      <c r="BE441" s="40">
        <f t="shared" ref="BE441:BG441" si="1152">J441+N441+R441+V441+Z441+AD441+AH441+AL441+AP441+AT441+AX441+BB441</f>
        <v>0</v>
      </c>
      <c r="BF441" s="41">
        <f t="shared" si="1152"/>
        <v>0</v>
      </c>
      <c r="BG441" s="34">
        <f t="shared" si="1152"/>
        <v>0</v>
      </c>
      <c r="BH441" s="35">
        <f t="shared" si="1151"/>
        <v>0</v>
      </c>
    </row>
    <row r="442" ht="15.75" customHeight="1" hidden="1" spans="1:60" x14ac:dyDescent="0.25">
      <c r="A442" s="29">
        <v>59</v>
      </c>
      <c r="B442" s="14"/>
      <c r="C442" s="73"/>
      <c r="D442" s="14" t="s">
        <v>47</v>
      </c>
      <c r="E442" s="2" t="s">
        <v>48</v>
      </c>
      <c r="F442" s="13">
        <v>17.16</v>
      </c>
      <c r="G442" s="28"/>
      <c r="I442" s="13"/>
      <c r="J442" s="15"/>
      <c r="K442" s="15"/>
      <c r="L442" s="28"/>
      <c r="Q442" s="13"/>
      <c r="R442" s="15"/>
      <c r="S442" s="15"/>
      <c r="T442" s="28"/>
      <c r="Y442" s="13"/>
      <c r="Z442" s="15"/>
      <c r="AA442" s="15"/>
      <c r="AB442" s="28"/>
      <c r="AC442" s="15"/>
      <c r="AE442" s="34">
        <f>AD442*$F$10</f>
        <v>0</v>
      </c>
      <c r="AG442" s="13"/>
      <c r="AH442" s="15"/>
      <c r="AI442" s="45">
        <f>AH442*$G$10</f>
        <v>0</v>
      </c>
      <c r="AJ442" s="28"/>
      <c r="AK442" s="13"/>
      <c r="AL442" s="15"/>
      <c r="AM442" s="45">
        <f>AL442*$G$10</f>
        <v>0</v>
      </c>
      <c r="AN442" s="28"/>
      <c r="AO442" s="13"/>
      <c r="AP442" s="15"/>
      <c r="AQ442" s="45">
        <f>AP442*$G$10</f>
        <v>0</v>
      </c>
      <c r="AR442" s="28"/>
      <c r="AS442" s="15"/>
      <c r="AT442" s="15"/>
      <c r="AU442" s="15"/>
      <c r="AV442" s="15"/>
      <c r="AW442" s="13"/>
      <c r="AX442" s="15"/>
      <c r="AY442" s="15"/>
      <c r="AZ442" s="28"/>
      <c r="BA442" s="15"/>
      <c r="BB442" s="15"/>
      <c r="BC442" s="15"/>
      <c r="BD442" s="15"/>
      <c r="BE442" s="40">
        <f t="shared" ref="BE442:BG442" si="1153">J442+N442+R442+V442+Z442+AD442+AH442+AL442+AP442+AT442+AX442+BB442</f>
        <v>0</v>
      </c>
      <c r="BF442" s="41">
        <f t="shared" si="1153"/>
        <v>0</v>
      </c>
      <c r="BG442" s="34">
        <f t="shared" si="1153"/>
        <v>0</v>
      </c>
      <c r="BH442" s="35">
        <f t="shared" si="1151"/>
        <v>0</v>
      </c>
    </row>
    <row r="443" ht="15.75" customHeight="1" hidden="1" spans="1:60" x14ac:dyDescent="0.25">
      <c r="A443" s="29">
        <v>59</v>
      </c>
      <c r="B443" s="14"/>
      <c r="C443" s="73"/>
      <c r="D443" s="14" t="s">
        <v>47</v>
      </c>
      <c r="E443" s="2" t="s">
        <v>49</v>
      </c>
      <c r="F443" s="41">
        <v>300</v>
      </c>
      <c r="G443" s="28"/>
      <c r="H443" s="83"/>
      <c r="I443" s="13"/>
      <c r="J443" s="15"/>
      <c r="K443" s="15"/>
      <c r="L443" s="28"/>
      <c r="Q443" s="13"/>
      <c r="R443" s="15"/>
      <c r="S443" s="15"/>
      <c r="T443" s="28"/>
      <c r="Y443" s="13"/>
      <c r="Z443" s="15"/>
      <c r="AA443" s="34"/>
      <c r="AB443" s="28"/>
      <c r="AC443" s="15"/>
      <c r="AG443" s="13"/>
      <c r="AH443" s="15"/>
      <c r="AI443" s="15"/>
      <c r="AJ443" s="28"/>
      <c r="AK443" s="13"/>
      <c r="AL443" s="15"/>
      <c r="AM443" s="34"/>
      <c r="AN443" s="28"/>
      <c r="AO443" s="13"/>
      <c r="AP443" s="15"/>
      <c r="AQ443" s="34"/>
      <c r="AR443" s="28"/>
      <c r="AS443" s="15"/>
      <c r="AT443" s="15"/>
      <c r="AU443" s="15"/>
      <c r="AV443" s="15"/>
      <c r="AW443" s="13"/>
      <c r="AX443" s="15"/>
      <c r="AY443" s="15"/>
      <c r="AZ443" s="28"/>
      <c r="BA443" s="15"/>
      <c r="BB443" s="15"/>
      <c r="BC443" s="15"/>
      <c r="BD443" s="15"/>
      <c r="BE443" s="14"/>
      <c r="BF443" s="41">
        <f t="shared" ref="BF443:BG443" si="1154">K443+O443+S443+W443+AA443+AE443+AI443+AM443+AQ443+AU443+AY443+BC443</f>
        <v>0</v>
      </c>
      <c r="BG443" s="34">
        <f t="shared" si="1154"/>
        <v>0</v>
      </c>
      <c r="BH443" s="35">
        <f t="shared" si="1151"/>
        <v>0</v>
      </c>
    </row>
    <row r="444" ht="15.75" customHeight="1" hidden="1" spans="1:60" x14ac:dyDescent="0.25">
      <c r="A444" s="29">
        <v>59</v>
      </c>
      <c r="B444" s="14"/>
      <c r="C444" s="73" t="s">
        <v>222</v>
      </c>
      <c r="D444" s="14" t="s">
        <v>50</v>
      </c>
      <c r="E444" s="2" t="s">
        <v>49</v>
      </c>
      <c r="F444" s="41">
        <v>1062.88</v>
      </c>
      <c r="G444" s="28"/>
      <c r="H444" s="33">
        <f>2400+3200+3200</f>
        <v>8800</v>
      </c>
      <c r="I444" s="13"/>
      <c r="J444" s="15"/>
      <c r="K444" s="15"/>
      <c r="L444" s="28"/>
      <c r="Q444" s="13"/>
      <c r="R444" s="15"/>
      <c r="S444" s="15"/>
      <c r="T444" s="28"/>
      <c r="Y444" s="13"/>
      <c r="Z444" s="15"/>
      <c r="AA444" s="15"/>
      <c r="AB444" s="28"/>
      <c r="AE444" s="34">
        <f>B441*$F$12</f>
        <v>4251.52</v>
      </c>
      <c r="AG444" s="13"/>
      <c r="AH444" s="15"/>
      <c r="AI444" s="15"/>
      <c r="AJ444" s="28"/>
      <c r="AK444" s="13"/>
      <c r="AL444" s="15"/>
      <c r="AM444" s="15"/>
      <c r="AN444" s="28"/>
      <c r="AO444" s="13"/>
      <c r="AP444" s="15"/>
      <c r="AQ444" s="15"/>
      <c r="AR444" s="28"/>
      <c r="AS444" s="15"/>
      <c r="AT444" s="15"/>
      <c r="AU444" s="15"/>
      <c r="AV444" s="15"/>
      <c r="AW444" s="13"/>
      <c r="AX444" s="15"/>
      <c r="AY444" s="15"/>
      <c r="AZ444" s="28"/>
      <c r="BA444" s="15"/>
      <c r="BB444" s="15"/>
      <c r="BC444" s="15"/>
      <c r="BD444" s="15"/>
      <c r="BE444" s="14"/>
      <c r="BF444" s="41">
        <f>B441*$F$12</f>
        <v>4251.52</v>
      </c>
      <c r="BG444" s="34">
        <f t="shared" ref="BG444:BG446" si="1155">L444+P444+T444+X444+AB444+AF444+AJ444+AN444+AR444+AV444+AZ444+BD444</f>
        <v>0</v>
      </c>
      <c r="BH444" s="35">
        <f t="shared" si="1151"/>
        <v>13051.52</v>
      </c>
    </row>
    <row r="445" ht="15.75" customHeight="1" hidden="1" spans="1:60" x14ac:dyDescent="0.25">
      <c r="A445" s="29">
        <v>59</v>
      </c>
      <c r="B445" s="14"/>
      <c r="D445" s="14" t="s">
        <v>51</v>
      </c>
      <c r="E445" s="2" t="s">
        <v>49</v>
      </c>
      <c r="F445" s="41">
        <v>0</v>
      </c>
      <c r="G445" s="28"/>
      <c r="H445" s="33">
        <f>13800+1000+200</f>
        <v>15000</v>
      </c>
      <c r="I445" s="13"/>
      <c r="J445" s="15"/>
      <c r="K445" s="15"/>
      <c r="L445" s="28"/>
      <c r="Q445" s="13"/>
      <c r="R445" s="15"/>
      <c r="S445" s="15"/>
      <c r="T445" s="28"/>
      <c r="Y445" s="13"/>
      <c r="Z445" s="15"/>
      <c r="AA445" s="15"/>
      <c r="AB445" s="28"/>
      <c r="AG445" s="13"/>
      <c r="AH445" s="15"/>
      <c r="AI445" s="15"/>
      <c r="AJ445" s="28"/>
      <c r="AK445" s="13"/>
      <c r="AL445" s="15"/>
      <c r="AM445" s="15"/>
      <c r="AN445" s="28"/>
      <c r="AO445" s="13"/>
      <c r="AP445" s="15"/>
      <c r="AQ445" s="15"/>
      <c r="AR445" s="28"/>
      <c r="AS445" s="15"/>
      <c r="AT445" s="15"/>
      <c r="AU445" s="15"/>
      <c r="AV445" s="15"/>
      <c r="AW445" s="13"/>
      <c r="AX445" s="15"/>
      <c r="AY445" s="15"/>
      <c r="AZ445" s="28"/>
      <c r="BA445" s="15"/>
      <c r="BB445" s="15"/>
      <c r="BC445" s="15"/>
      <c r="BD445" s="15"/>
      <c r="BE445" s="14"/>
      <c r="BF445" s="41">
        <f>B441*$F$13</f>
        <v>0</v>
      </c>
      <c r="BG445" s="34">
        <f t="shared" si="1155"/>
        <v>0</v>
      </c>
      <c r="BH445" s="35">
        <f t="shared" si="1151"/>
        <v>15000</v>
      </c>
    </row>
    <row r="446" ht="15.75" customHeight="1" hidden="1" spans="1:60" x14ac:dyDescent="0.25">
      <c r="A446" s="29">
        <v>59</v>
      </c>
      <c r="B446" s="14"/>
      <c r="D446" s="14" t="s">
        <v>52</v>
      </c>
      <c r="E446" s="2" t="s">
        <v>39</v>
      </c>
      <c r="F446" s="41">
        <v>350</v>
      </c>
      <c r="G446" s="28"/>
      <c r="H446" s="33">
        <f>250+300+300</f>
        <v>850</v>
      </c>
      <c r="I446" s="13"/>
      <c r="J446" s="15"/>
      <c r="K446" s="15"/>
      <c r="L446" s="28"/>
      <c r="Q446" s="13"/>
      <c r="R446" s="15"/>
      <c r="S446" s="15"/>
      <c r="T446" s="28"/>
      <c r="Y446" s="13"/>
      <c r="Z446" s="15"/>
      <c r="AA446" s="34">
        <f>$F$14</f>
        <v>350</v>
      </c>
      <c r="AB446" s="28"/>
      <c r="AG446" s="13"/>
      <c r="AH446" s="15"/>
      <c r="AI446" s="15"/>
      <c r="AJ446" s="28"/>
      <c r="AK446" s="13"/>
      <c r="AL446" s="15"/>
      <c r="AM446" s="15"/>
      <c r="AN446" s="28"/>
      <c r="AO446" s="13"/>
      <c r="AP446" s="15"/>
      <c r="AQ446" s="15"/>
      <c r="AR446" s="28"/>
      <c r="AS446" s="15"/>
      <c r="AT446" s="15"/>
      <c r="AU446" s="15"/>
      <c r="AV446" s="15"/>
      <c r="AW446" s="13"/>
      <c r="AX446" s="15"/>
      <c r="AY446" s="15"/>
      <c r="AZ446" s="28"/>
      <c r="BA446" s="15"/>
      <c r="BB446" s="15"/>
      <c r="BC446" s="15"/>
      <c r="BD446" s="15"/>
      <c r="BE446" s="14"/>
      <c r="BF446" s="41">
        <f>$F$14</f>
        <v>350</v>
      </c>
      <c r="BG446" s="34">
        <f t="shared" si="1155"/>
        <v>0</v>
      </c>
      <c r="BH446" s="35">
        <f t="shared" si="1151"/>
        <v>1200</v>
      </c>
    </row>
    <row r="447" ht="15.75" customHeight="1" hidden="1" spans="1:62" x14ac:dyDescent="0.25">
      <c r="A447" s="50">
        <v>59</v>
      </c>
      <c r="B447" s="21"/>
      <c r="C447" s="22" t="s">
        <v>53</v>
      </c>
      <c r="D447" s="21"/>
      <c r="E447" s="22"/>
      <c r="F447" s="20"/>
      <c r="G447" s="23"/>
      <c r="H447" s="100">
        <f>SUM(H440:H446)</f>
        <v>25200</v>
      </c>
      <c r="I447" s="52"/>
      <c r="J447" s="53"/>
      <c r="K447" s="51">
        <f t="shared" ref="K447:L447" si="1156">SUM(K440:K446)</f>
        <v>0</v>
      </c>
      <c r="L447" s="68">
        <f t="shared" si="1156"/>
        <v>0</v>
      </c>
      <c r="M447" s="53"/>
      <c r="N447" s="53"/>
      <c r="O447" s="51">
        <f t="shared" ref="O447:P447" si="1157">SUM(O441:O446)</f>
        <v>0</v>
      </c>
      <c r="P447" s="51">
        <f t="shared" si="1157"/>
        <v>0</v>
      </c>
      <c r="Q447" s="52"/>
      <c r="R447" s="53"/>
      <c r="S447" s="51">
        <f t="shared" ref="S447:T447" si="1158">SUM(S441:S446)</f>
        <v>0</v>
      </c>
      <c r="T447" s="68">
        <f t="shared" si="1158"/>
        <v>0</v>
      </c>
      <c r="U447" s="53"/>
      <c r="V447" s="53"/>
      <c r="W447" s="51">
        <f t="shared" ref="W447:X447" si="1159">SUM(W441:W446)</f>
        <v>0</v>
      </c>
      <c r="X447" s="51">
        <f t="shared" si="1159"/>
        <v>0</v>
      </c>
      <c r="Y447" s="52"/>
      <c r="Z447" s="53"/>
      <c r="AA447" s="51">
        <f t="shared" ref="AA447:AB447" si="1160">SUM(AA441:AA446)</f>
        <v>350</v>
      </c>
      <c r="AB447" s="68">
        <f t="shared" si="1160"/>
        <v>0</v>
      </c>
      <c r="AC447" s="53"/>
      <c r="AD447" s="53"/>
      <c r="AE447" s="51">
        <f t="shared" ref="AE447:AF447" si="1161">SUM(AE441:AE446)</f>
        <v>4251.52</v>
      </c>
      <c r="AF447" s="51">
        <f t="shared" si="1161"/>
        <v>0</v>
      </c>
      <c r="AG447" s="52"/>
      <c r="AH447" s="53"/>
      <c r="AI447" s="51">
        <f t="shared" ref="AI447:AJ447" si="1162">SUM(AI441:AI446)</f>
        <v>0</v>
      </c>
      <c r="AJ447" s="68">
        <f t="shared" si="1162"/>
        <v>0</v>
      </c>
      <c r="AK447" s="52"/>
      <c r="AL447" s="53"/>
      <c r="AM447" s="51">
        <f t="shared" ref="AM447:AN447" si="1163">SUM(AM441:AM446)</f>
        <v>0</v>
      </c>
      <c r="AN447" s="68">
        <f t="shared" si="1163"/>
        <v>0</v>
      </c>
      <c r="AO447" s="52"/>
      <c r="AP447" s="53"/>
      <c r="AQ447" s="51">
        <f t="shared" ref="AQ447:AR447" si="1164">SUM(AQ441:AQ446)</f>
        <v>0</v>
      </c>
      <c r="AR447" s="68">
        <f t="shared" si="1164"/>
        <v>0</v>
      </c>
      <c r="AS447" s="53"/>
      <c r="AT447" s="53"/>
      <c r="AU447" s="51">
        <f t="shared" ref="AU447:AV447" si="1165">SUM(AU441:AU446)</f>
        <v>0</v>
      </c>
      <c r="AV447" s="51">
        <f t="shared" si="1165"/>
        <v>0</v>
      </c>
      <c r="AW447" s="52"/>
      <c r="AX447" s="53"/>
      <c r="AY447" s="51">
        <f t="shared" ref="AY447:AZ447" si="1166">SUM(AY441:AY446)</f>
        <v>0</v>
      </c>
      <c r="AZ447" s="68">
        <f t="shared" si="1166"/>
        <v>0</v>
      </c>
      <c r="BA447" s="53"/>
      <c r="BB447" s="53"/>
      <c r="BC447" s="51">
        <f t="shared" ref="BC447:BD447" si="1167">SUM(BC441:BC446)</f>
        <v>0</v>
      </c>
      <c r="BD447" s="51">
        <f t="shared" si="1167"/>
        <v>0</v>
      </c>
      <c r="BE447" s="69"/>
      <c r="BF447" s="70">
        <f t="shared" ref="BF447:BH447" si="1168">SUM(BF440:BF446)</f>
        <v>4601.52</v>
      </c>
      <c r="BG447" s="71">
        <f t="shared" si="1168"/>
        <v>0</v>
      </c>
      <c r="BH447" s="72">
        <f t="shared" si="1168"/>
        <v>29801.52</v>
      </c>
      <c r="BI447" s="34">
        <f>H447+BF447-BG447</f>
        <v>29801.52</v>
      </c>
      <c r="BJ447" s="34">
        <f>BH447-BI447</f>
        <v>0</v>
      </c>
    </row>
    <row r="448" ht="15.75" customHeight="1" hidden="1" spans="1:60" x14ac:dyDescent="0.25">
      <c r="A448" s="29">
        <v>58</v>
      </c>
      <c r="B448" s="14"/>
      <c r="D448" s="14" t="s">
        <v>42</v>
      </c>
      <c r="F448" s="13"/>
      <c r="G448" s="28"/>
      <c r="I448" s="13"/>
      <c r="J448" s="15"/>
      <c r="K448" s="15"/>
      <c r="L448" s="28"/>
      <c r="Q448" s="13"/>
      <c r="R448" s="15"/>
      <c r="S448" s="15"/>
      <c r="T448" s="28"/>
      <c r="Y448" s="13"/>
      <c r="Z448" s="15"/>
      <c r="AA448" s="15"/>
      <c r="AB448" s="28"/>
      <c r="AG448" s="13"/>
      <c r="AH448" s="15"/>
      <c r="AI448" s="15"/>
      <c r="AJ448" s="28"/>
      <c r="AK448" s="13"/>
      <c r="AL448" s="15"/>
      <c r="AM448" s="15"/>
      <c r="AN448" s="28"/>
      <c r="AO448" s="13"/>
      <c r="AP448" s="15"/>
      <c r="AQ448" s="15"/>
      <c r="AR448" s="28"/>
      <c r="AW448" s="13"/>
      <c r="AX448" s="15"/>
      <c r="AY448" s="15"/>
      <c r="AZ448" s="28"/>
      <c r="BE448" s="14"/>
      <c r="BF448" s="13"/>
      <c r="BG448" s="15"/>
      <c r="BH448" s="28"/>
    </row>
    <row r="449" ht="15.75" customHeight="1" hidden="1" spans="1:62" x14ac:dyDescent="0.25">
      <c r="A449" s="2">
        <v>58</v>
      </c>
      <c r="B449" s="14">
        <v>5.08</v>
      </c>
      <c r="C449" s="2" t="s">
        <v>223</v>
      </c>
      <c r="D449" s="14" t="s">
        <v>44</v>
      </c>
      <c r="E449" s="2" t="s">
        <v>45</v>
      </c>
      <c r="F449" s="13">
        <v>2.49</v>
      </c>
      <c r="G449" s="28"/>
      <c r="H449" s="34">
        <v>-322.3</v>
      </c>
      <c r="I449" s="13">
        <v>720</v>
      </c>
      <c r="J449" s="15">
        <v>0</v>
      </c>
      <c r="K449" s="34">
        <f>J449*$F$8</f>
        <v>0</v>
      </c>
      <c r="L449" s="28"/>
      <c r="M449" s="2">
        <v>720</v>
      </c>
      <c r="N449" s="15">
        <f>M449-I449</f>
        <v>0</v>
      </c>
      <c r="O449" s="34">
        <f>N449*$F$8</f>
        <v>0</v>
      </c>
      <c r="Q449" s="13">
        <v>833</v>
      </c>
      <c r="R449" s="15">
        <f>Q449-M449</f>
        <v>113</v>
      </c>
      <c r="S449" s="34">
        <f>R449*$F$8</f>
        <v>281.37</v>
      </c>
      <c r="T449" s="28"/>
      <c r="U449" s="2">
        <v>883</v>
      </c>
      <c r="V449" s="15">
        <f>U449-Q449</f>
        <v>50</v>
      </c>
      <c r="W449" s="34">
        <f>V449*$F$8</f>
        <v>124.5</v>
      </c>
      <c r="Y449" s="13">
        <v>1017</v>
      </c>
      <c r="Z449" s="15">
        <f>Y449-U449</f>
        <v>134</v>
      </c>
      <c r="AA449" s="34">
        <f>Z449*$F$8</f>
        <v>333.66</v>
      </c>
      <c r="AB449" s="28">
        <v>333.66</v>
      </c>
      <c r="AC449" s="2">
        <v>1094</v>
      </c>
      <c r="AD449" s="15">
        <f t="shared" ref="AD449:AD450" si="1169">AC449-Y449</f>
        <v>77</v>
      </c>
      <c r="AE449" s="34">
        <f>AD449*$F$8</f>
        <v>191.73</v>
      </c>
      <c r="AF449" s="34"/>
      <c r="AG449" s="13">
        <v>1139</v>
      </c>
      <c r="AH449" s="15">
        <f t="shared" ref="AH449:AH450" si="1170">AG449-AC449</f>
        <v>45</v>
      </c>
      <c r="AI449" s="34">
        <f>AH449*$F$8</f>
        <v>112.05</v>
      </c>
      <c r="AJ449" s="32">
        <f>150.8+112.05</f>
        <v>262.85</v>
      </c>
      <c r="AK449" s="13">
        <v>1227</v>
      </c>
      <c r="AL449" s="15">
        <f t="shared" ref="AL449:AL450" si="1171">AK449-AG449</f>
        <v>88</v>
      </c>
      <c r="AM449" s="34">
        <f>AL449*$F$8</f>
        <v>219.12</v>
      </c>
      <c r="AN449" s="38">
        <f>124.5+219.12</f>
        <v>343.62</v>
      </c>
      <c r="AO449" s="13">
        <v>1567</v>
      </c>
      <c r="AP449" s="15">
        <f t="shared" ref="AP449:AP450" si="1172">AO449-AK449</f>
        <v>340</v>
      </c>
      <c r="AQ449" s="34">
        <f>AP449*$F$8</f>
        <v>846.6</v>
      </c>
      <c r="AR449" s="38">
        <v>846.6</v>
      </c>
      <c r="AS449" s="15">
        <v>1902</v>
      </c>
      <c r="AT449" s="15">
        <f>AS449-AO449</f>
        <v>335</v>
      </c>
      <c r="AU449" s="34">
        <f>AT449*$F$8</f>
        <v>834.15</v>
      </c>
      <c r="AV449" s="15"/>
      <c r="AW449" s="13">
        <v>1910</v>
      </c>
      <c r="AX449" s="15">
        <f>AW449-AS449</f>
        <v>8</v>
      </c>
      <c r="AY449" s="34">
        <f>AX449*$F$8</f>
        <v>19.92</v>
      </c>
      <c r="AZ449" s="38">
        <f>835+500</f>
        <v>1335</v>
      </c>
      <c r="BA449" s="81">
        <v>1910</v>
      </c>
      <c r="BB449" s="15">
        <f>BA449-AW449</f>
        <v>0</v>
      </c>
      <c r="BC449" s="34">
        <f>BB449*$F$8</f>
        <v>0</v>
      </c>
      <c r="BD449" s="15"/>
      <c r="BE449" s="40">
        <f t="shared" ref="BE449:BG449" si="1173">J449+N449+R449+V449+Z449+AD449+AH449+AL449+AP449+AT449+AX449+BB449</f>
        <v>1190</v>
      </c>
      <c r="BF449" s="41">
        <f t="shared" si="1173"/>
        <v>2963.1</v>
      </c>
      <c r="BG449" s="34">
        <f t="shared" si="1173"/>
        <v>3121.73</v>
      </c>
      <c r="BH449" s="35">
        <f t="shared" ref="BH449:BH454" si="1174">H449+BF449-BG449</f>
        <v>-480.93</v>
      </c>
      <c r="BJ449" s="34"/>
    </row>
    <row r="450" ht="15.75" customHeight="1" hidden="1" spans="1:60" x14ac:dyDescent="0.25">
      <c r="A450" s="29">
        <v>58</v>
      </c>
      <c r="B450" s="14"/>
      <c r="C450" s="2" t="s">
        <v>71</v>
      </c>
      <c r="D450" s="14" t="s">
        <v>47</v>
      </c>
      <c r="E450" s="2" t="s">
        <v>48</v>
      </c>
      <c r="F450" s="13">
        <v>17.16</v>
      </c>
      <c r="G450" s="28"/>
      <c r="H450" s="33">
        <f>-17.16+17.16</f>
        <v>0</v>
      </c>
      <c r="I450" s="13"/>
      <c r="J450" s="15"/>
      <c r="K450" s="15"/>
      <c r="L450" s="28"/>
      <c r="Q450" s="13"/>
      <c r="R450" s="15"/>
      <c r="S450" s="15"/>
      <c r="T450" s="28"/>
      <c r="Y450" s="13">
        <v>1402</v>
      </c>
      <c r="Z450" s="15"/>
      <c r="AA450" s="15"/>
      <c r="AB450" s="28"/>
      <c r="AC450" s="2">
        <v>1406</v>
      </c>
      <c r="AD450" s="15">
        <f t="shared" si="1169"/>
        <v>4</v>
      </c>
      <c r="AE450" s="34">
        <f>AD450*$F$10</f>
        <v>68.64</v>
      </c>
      <c r="AG450" s="13">
        <v>1422</v>
      </c>
      <c r="AH450" s="15">
        <f t="shared" si="1170"/>
        <v>16</v>
      </c>
      <c r="AI450" s="45">
        <f>AH450*$G$10</f>
        <v>282.88</v>
      </c>
      <c r="AJ450" s="32">
        <f>68.64+282.88</f>
        <v>351.52</v>
      </c>
      <c r="AK450" s="13">
        <v>1435</v>
      </c>
      <c r="AL450" s="15">
        <f t="shared" si="1171"/>
        <v>13</v>
      </c>
      <c r="AM450" s="45">
        <f>AL450*$G$10</f>
        <v>229.84</v>
      </c>
      <c r="AN450" s="32">
        <v>229.84</v>
      </c>
      <c r="AO450" s="13">
        <v>1438</v>
      </c>
      <c r="AP450" s="15">
        <f t="shared" si="1172"/>
        <v>3</v>
      </c>
      <c r="AQ450" s="45">
        <f>AP450*$G$10</f>
        <v>53.04</v>
      </c>
      <c r="AR450" s="32">
        <v>53.04</v>
      </c>
      <c r="AS450" s="15"/>
      <c r="AT450" s="15"/>
      <c r="AU450" s="15"/>
      <c r="AV450" s="15"/>
      <c r="AW450" s="13"/>
      <c r="AX450" s="15"/>
      <c r="AY450" s="15"/>
      <c r="AZ450" s="28"/>
      <c r="BA450" s="15"/>
      <c r="BB450" s="15"/>
      <c r="BC450" s="15"/>
      <c r="BD450" s="15"/>
      <c r="BE450" s="40">
        <f t="shared" ref="BE450:BG450" si="1175">J450+N450+R450+V450+Z450+AD450+AH450+AL450+AP450+AT450+AX450+BB450</f>
        <v>36</v>
      </c>
      <c r="BF450" s="41">
        <f t="shared" si="1175"/>
        <v>634.4</v>
      </c>
      <c r="BG450" s="34">
        <f t="shared" si="1175"/>
        <v>634.4</v>
      </c>
      <c r="BH450" s="35">
        <f t="shared" si="1174"/>
        <v>0</v>
      </c>
    </row>
    <row r="451" ht="15.75" customHeight="1" hidden="1" spans="1:60" x14ac:dyDescent="0.25">
      <c r="A451" s="29">
        <v>58</v>
      </c>
      <c r="B451" s="14"/>
      <c r="C451" s="15" t="s">
        <v>168</v>
      </c>
      <c r="D451" s="14" t="s">
        <v>47</v>
      </c>
      <c r="E451" s="2" t="s">
        <v>49</v>
      </c>
      <c r="F451" s="41">
        <v>300</v>
      </c>
      <c r="G451" s="28"/>
      <c r="I451" s="13"/>
      <c r="J451" s="15"/>
      <c r="K451" s="15"/>
      <c r="L451" s="28"/>
      <c r="Q451" s="13"/>
      <c r="R451" s="15"/>
      <c r="S451" s="15"/>
      <c r="T451" s="28"/>
      <c r="Y451" s="13"/>
      <c r="Z451" s="15"/>
      <c r="AA451" s="15"/>
      <c r="AB451" s="28"/>
      <c r="AG451" s="13"/>
      <c r="AH451" s="15"/>
      <c r="AI451" s="15"/>
      <c r="AJ451" s="28"/>
      <c r="AK451" s="13"/>
      <c r="AL451" s="15"/>
      <c r="AM451" s="34"/>
      <c r="AN451" s="28"/>
      <c r="AO451" s="13"/>
      <c r="AP451" s="15"/>
      <c r="AQ451" s="34"/>
      <c r="AR451" s="28"/>
      <c r="AS451" s="15"/>
      <c r="AT451" s="15"/>
      <c r="AU451" s="15"/>
      <c r="AV451" s="15"/>
      <c r="AW451" s="13"/>
      <c r="AX451" s="15"/>
      <c r="AY451" s="15"/>
      <c r="AZ451" s="28"/>
      <c r="BA451" s="15"/>
      <c r="BB451" s="15"/>
      <c r="BC451" s="15"/>
      <c r="BD451" s="15"/>
      <c r="BE451" s="14"/>
      <c r="BF451" s="41">
        <f t="shared" ref="BF451:BG451" si="1176">K451+O451+S451+W451+AA451+AE451+AI451+AM451+AQ451+AU451+AY451+BC451</f>
        <v>0</v>
      </c>
      <c r="BG451" s="34">
        <f t="shared" si="1176"/>
        <v>0</v>
      </c>
      <c r="BH451" s="35">
        <f t="shared" si="1174"/>
        <v>0</v>
      </c>
    </row>
    <row r="452" ht="15.75" customHeight="1" hidden="1" spans="1:60" x14ac:dyDescent="0.25">
      <c r="A452" s="29">
        <v>58</v>
      </c>
      <c r="B452" s="14"/>
      <c r="C452" s="2" t="s">
        <v>224</v>
      </c>
      <c r="D452" s="14" t="s">
        <v>50</v>
      </c>
      <c r="E452" s="2" t="s">
        <v>49</v>
      </c>
      <c r="F452" s="41">
        <v>1062.88</v>
      </c>
      <c r="G452" s="28"/>
      <c r="I452" s="13"/>
      <c r="J452" s="15"/>
      <c r="K452" s="15"/>
      <c r="L452" s="28"/>
      <c r="Q452" s="13"/>
      <c r="R452" s="15"/>
      <c r="S452" s="15"/>
      <c r="T452" s="28"/>
      <c r="Y452" s="13"/>
      <c r="Z452" s="15"/>
      <c r="AA452" s="15"/>
      <c r="AB452" s="28"/>
      <c r="AE452" s="34">
        <f>B449*$F$12</f>
        <v>5399.4304</v>
      </c>
      <c r="AF452" s="34">
        <v>4000</v>
      </c>
      <c r="AG452" s="13"/>
      <c r="AH452" s="15"/>
      <c r="AI452" s="15"/>
      <c r="AJ452" s="32">
        <v>1399.43</v>
      </c>
      <c r="AK452" s="13"/>
      <c r="AL452" s="15"/>
      <c r="AM452" s="15"/>
      <c r="AN452" s="28"/>
      <c r="AO452" s="13"/>
      <c r="AP452" s="15"/>
      <c r="AQ452" s="15"/>
      <c r="AR452" s="28"/>
      <c r="AS452" s="15"/>
      <c r="AT452" s="15"/>
      <c r="AU452" s="15"/>
      <c r="AV452" s="15"/>
      <c r="AW452" s="13"/>
      <c r="AX452" s="15"/>
      <c r="AY452" s="15"/>
      <c r="AZ452" s="28"/>
      <c r="BA452" s="15"/>
      <c r="BB452" s="15"/>
      <c r="BC452" s="15"/>
      <c r="BD452" s="15"/>
      <c r="BE452" s="14"/>
      <c r="BF452" s="41">
        <f>B449*$F$12</f>
        <v>5399.4304</v>
      </c>
      <c r="BG452" s="34">
        <f t="shared" ref="BG452:BG454" si="1177">L452+P452+T452+X452+AB452+AF452+AJ452+AN452+AR452+AV452+AZ452+BD452</f>
        <v>5399.43</v>
      </c>
      <c r="BH452" s="35">
        <f t="shared" si="1174"/>
        <v>0.0003999999999</v>
      </c>
    </row>
    <row r="453" ht="15.75" customHeight="1" hidden="1" spans="1:60" x14ac:dyDescent="0.25">
      <c r="A453" s="29">
        <v>58</v>
      </c>
      <c r="B453" s="14"/>
      <c r="C453" s="2" t="s">
        <v>225</v>
      </c>
      <c r="D453" s="14" t="s">
        <v>51</v>
      </c>
      <c r="E453" s="2" t="s">
        <v>49</v>
      </c>
      <c r="F453" s="41">
        <v>0</v>
      </c>
      <c r="G453" s="28"/>
      <c r="I453" s="13"/>
      <c r="J453" s="15"/>
      <c r="K453" s="15"/>
      <c r="L453" s="28"/>
      <c r="Q453" s="13"/>
      <c r="R453" s="15"/>
      <c r="S453" s="15"/>
      <c r="T453" s="28"/>
      <c r="Y453" s="13"/>
      <c r="Z453" s="15"/>
      <c r="AA453" s="15"/>
      <c r="AB453" s="28"/>
      <c r="AF453" s="34"/>
      <c r="AG453" s="13"/>
      <c r="AH453" s="15"/>
      <c r="AI453" s="15"/>
      <c r="AJ453" s="28"/>
      <c r="AK453" s="13"/>
      <c r="AL453" s="15"/>
      <c r="AM453" s="15"/>
      <c r="AN453" s="28"/>
      <c r="AO453" s="13"/>
      <c r="AP453" s="15"/>
      <c r="AQ453" s="15"/>
      <c r="AR453" s="28"/>
      <c r="AS453" s="15"/>
      <c r="AT453" s="15"/>
      <c r="AU453" s="15"/>
      <c r="AV453" s="15"/>
      <c r="AW453" s="13"/>
      <c r="AX453" s="15"/>
      <c r="AY453" s="15"/>
      <c r="AZ453" s="28"/>
      <c r="BA453" s="15"/>
      <c r="BB453" s="15"/>
      <c r="BC453" s="15"/>
      <c r="BD453" s="15"/>
      <c r="BE453" s="14"/>
      <c r="BF453" s="41">
        <f>B449*$F$13</f>
        <v>0</v>
      </c>
      <c r="BG453" s="34">
        <f t="shared" si="1177"/>
        <v>0</v>
      </c>
      <c r="BH453" s="35">
        <f t="shared" si="1174"/>
        <v>0</v>
      </c>
    </row>
    <row r="454" ht="15.75" customHeight="1" hidden="1" spans="1:60" x14ac:dyDescent="0.25">
      <c r="A454" s="29">
        <v>58</v>
      </c>
      <c r="B454" s="14"/>
      <c r="C454" s="2" t="s">
        <v>226</v>
      </c>
      <c r="D454" s="14" t="s">
        <v>52</v>
      </c>
      <c r="E454" s="2" t="s">
        <v>39</v>
      </c>
      <c r="F454" s="41">
        <v>350</v>
      </c>
      <c r="G454" s="28"/>
      <c r="I454" s="13"/>
      <c r="J454" s="15"/>
      <c r="K454" s="15"/>
      <c r="L454" s="28"/>
      <c r="Q454" s="13"/>
      <c r="R454" s="15"/>
      <c r="S454" s="15"/>
      <c r="T454" s="28"/>
      <c r="Y454" s="13"/>
      <c r="Z454" s="15"/>
      <c r="AA454" s="34">
        <f>$F$14</f>
        <v>350</v>
      </c>
      <c r="AB454" s="35">
        <v>350</v>
      </c>
      <c r="AG454" s="13"/>
      <c r="AH454" s="15"/>
      <c r="AI454" s="15"/>
      <c r="AJ454" s="28"/>
      <c r="AK454" s="13"/>
      <c r="AL454" s="15"/>
      <c r="AM454" s="15"/>
      <c r="AN454" s="28"/>
      <c r="AO454" s="13"/>
      <c r="AP454" s="15"/>
      <c r="AQ454" s="15"/>
      <c r="AR454" s="28"/>
      <c r="AS454" s="15"/>
      <c r="AT454" s="15"/>
      <c r="AU454" s="15"/>
      <c r="AV454" s="15"/>
      <c r="AW454" s="13"/>
      <c r="AX454" s="15"/>
      <c r="AY454" s="15"/>
      <c r="AZ454" s="28"/>
      <c r="BA454" s="15"/>
      <c r="BB454" s="15"/>
      <c r="BC454" s="15"/>
      <c r="BD454" s="15"/>
      <c r="BE454" s="14"/>
      <c r="BF454" s="41">
        <f>$F$14</f>
        <v>350</v>
      </c>
      <c r="BG454" s="34">
        <f t="shared" si="1177"/>
        <v>350</v>
      </c>
      <c r="BH454" s="35">
        <f t="shared" si="1174"/>
        <v>0</v>
      </c>
    </row>
    <row r="455" ht="15.75" customHeight="1" hidden="1" spans="1:62" x14ac:dyDescent="0.25">
      <c r="A455" s="50">
        <v>58</v>
      </c>
      <c r="B455" s="21"/>
      <c r="C455" s="22" t="s">
        <v>53</v>
      </c>
      <c r="D455" s="21"/>
      <c r="E455" s="22"/>
      <c r="F455" s="20"/>
      <c r="G455" s="23"/>
      <c r="H455" s="51">
        <f>SUM(H448:H454)</f>
        <v>-322.3</v>
      </c>
      <c r="I455" s="52"/>
      <c r="J455" s="53"/>
      <c r="K455" s="51">
        <f t="shared" ref="K455:L455" si="1178">SUM(K448:K454)</f>
        <v>0</v>
      </c>
      <c r="L455" s="68">
        <f t="shared" si="1178"/>
        <v>0</v>
      </c>
      <c r="M455" s="53"/>
      <c r="N455" s="53"/>
      <c r="O455" s="51">
        <f t="shared" ref="O455:P455" si="1179">SUM(O449:O454)</f>
        <v>0</v>
      </c>
      <c r="P455" s="51">
        <f t="shared" si="1179"/>
        <v>0</v>
      </c>
      <c r="Q455" s="52"/>
      <c r="R455" s="53"/>
      <c r="S455" s="51">
        <f t="shared" ref="S455:T455" si="1180">SUM(S449:S454)</f>
        <v>281.37</v>
      </c>
      <c r="T455" s="68">
        <f t="shared" si="1180"/>
        <v>0</v>
      </c>
      <c r="U455" s="53"/>
      <c r="V455" s="53"/>
      <c r="W455" s="51">
        <f t="shared" ref="W455:X455" si="1181">SUM(W449:W454)</f>
        <v>124.5</v>
      </c>
      <c r="X455" s="51">
        <f t="shared" si="1181"/>
        <v>0</v>
      </c>
      <c r="Y455" s="52"/>
      <c r="Z455" s="53"/>
      <c r="AA455" s="51">
        <f t="shared" ref="AA455:AB455" si="1182">SUM(AA449:AA454)</f>
        <v>683.66</v>
      </c>
      <c r="AB455" s="68">
        <f t="shared" si="1182"/>
        <v>683.66</v>
      </c>
      <c r="AC455" s="53"/>
      <c r="AD455" s="53"/>
      <c r="AE455" s="51">
        <f t="shared" ref="AE455:AF455" si="1183">SUM(AE449:AE454)</f>
        <v>5659.8004</v>
      </c>
      <c r="AF455" s="51">
        <f t="shared" si="1183"/>
        <v>4000</v>
      </c>
      <c r="AG455" s="52"/>
      <c r="AH455" s="53"/>
      <c r="AI455" s="51">
        <f t="shared" ref="AI455:AJ455" si="1184">SUM(AI449:AI454)</f>
        <v>394.93</v>
      </c>
      <c r="AJ455" s="68">
        <f t="shared" si="1184"/>
        <v>2013.8</v>
      </c>
      <c r="AK455" s="52"/>
      <c r="AL455" s="53"/>
      <c r="AM455" s="51">
        <f t="shared" ref="AM455:AN455" si="1185">SUM(AM449:AM454)</f>
        <v>448.96</v>
      </c>
      <c r="AN455" s="68">
        <f t="shared" si="1185"/>
        <v>573.46</v>
      </c>
      <c r="AO455" s="52"/>
      <c r="AP455" s="53"/>
      <c r="AQ455" s="51">
        <f t="shared" ref="AQ455:AR455" si="1186">SUM(AQ449:AQ454)</f>
        <v>899.64</v>
      </c>
      <c r="AR455" s="68">
        <f t="shared" si="1186"/>
        <v>899.64</v>
      </c>
      <c r="AS455" s="53"/>
      <c r="AT455" s="53"/>
      <c r="AU455" s="51">
        <f t="shared" ref="AU455:AV455" si="1187">SUM(AU449:AU454)</f>
        <v>834.15</v>
      </c>
      <c r="AV455" s="51">
        <f t="shared" si="1187"/>
        <v>0</v>
      </c>
      <c r="AW455" s="52"/>
      <c r="AX455" s="53"/>
      <c r="AY455" s="51">
        <f t="shared" ref="AY455:AZ455" si="1188">SUM(AY449:AY454)</f>
        <v>19.92</v>
      </c>
      <c r="AZ455" s="68">
        <f t="shared" si="1188"/>
        <v>1335</v>
      </c>
      <c r="BA455" s="53"/>
      <c r="BB455" s="53"/>
      <c r="BC455" s="51">
        <f t="shared" ref="BC455:BD455" si="1189">SUM(BC449:BC454)</f>
        <v>0</v>
      </c>
      <c r="BD455" s="51">
        <f t="shared" si="1189"/>
        <v>0</v>
      </c>
      <c r="BE455" s="69"/>
      <c r="BF455" s="70">
        <f t="shared" ref="BF455:BH455" si="1190">SUM(BF448:BF454)</f>
        <v>9346.9304</v>
      </c>
      <c r="BG455" s="71">
        <f t="shared" si="1190"/>
        <v>9505.56</v>
      </c>
      <c r="BH455" s="72">
        <f t="shared" si="1190"/>
        <v>-480.9296</v>
      </c>
      <c r="BI455" s="34">
        <f>H455+BF455-BG455</f>
        <v>-480.9296</v>
      </c>
      <c r="BJ455" s="34">
        <f>BH455-BI455</f>
        <v>0</v>
      </c>
    </row>
    <row r="456" ht="15.75" customHeight="1" hidden="1" spans="1:60" x14ac:dyDescent="0.25">
      <c r="A456" s="29">
        <v>60</v>
      </c>
      <c r="B456" s="14"/>
      <c r="D456" s="14" t="s">
        <v>42</v>
      </c>
      <c r="F456" s="13"/>
      <c r="G456" s="28"/>
      <c r="I456" s="13"/>
      <c r="J456" s="15"/>
      <c r="K456" s="15"/>
      <c r="L456" s="28"/>
      <c r="Q456" s="13"/>
      <c r="R456" s="15"/>
      <c r="S456" s="15"/>
      <c r="T456" s="28"/>
      <c r="Y456" s="13"/>
      <c r="Z456" s="15"/>
      <c r="AA456" s="15"/>
      <c r="AB456" s="28"/>
      <c r="AG456" s="13"/>
      <c r="AH456" s="15"/>
      <c r="AI456" s="15"/>
      <c r="AJ456" s="28"/>
      <c r="AK456" s="13"/>
      <c r="AL456" s="15"/>
      <c r="AM456" s="15"/>
      <c r="AN456" s="28"/>
      <c r="AO456" s="13"/>
      <c r="AP456" s="15"/>
      <c r="AQ456" s="15"/>
      <c r="AR456" s="28"/>
      <c r="AW456" s="13"/>
      <c r="AX456" s="15"/>
      <c r="AY456" s="15"/>
      <c r="AZ456" s="28"/>
      <c r="BE456" s="14"/>
      <c r="BF456" s="13"/>
      <c r="BG456" s="15"/>
      <c r="BH456" s="28"/>
    </row>
    <row r="457" ht="15.75" customHeight="1" hidden="1" spans="1:62" x14ac:dyDescent="0.25">
      <c r="A457" s="2">
        <v>60</v>
      </c>
      <c r="B457" s="42">
        <v>4.4</v>
      </c>
      <c r="C457" s="2" t="s">
        <v>227</v>
      </c>
      <c r="D457" s="14" t="s">
        <v>44</v>
      </c>
      <c r="E457" s="2" t="s">
        <v>45</v>
      </c>
      <c r="F457" s="13">
        <v>2.49</v>
      </c>
      <c r="G457" s="28"/>
      <c r="H457" s="2">
        <v>-870.52</v>
      </c>
      <c r="I457" s="13">
        <v>237</v>
      </c>
      <c r="J457" s="15">
        <v>5</v>
      </c>
      <c r="K457" s="34">
        <f>J457*$F$8</f>
        <v>12.45</v>
      </c>
      <c r="L457" s="28"/>
      <c r="M457" s="2">
        <v>250</v>
      </c>
      <c r="N457" s="15">
        <f>M457-I457</f>
        <v>13</v>
      </c>
      <c r="O457" s="34">
        <f>N457*$F$8</f>
        <v>32.37</v>
      </c>
      <c r="Q457" s="13">
        <v>275</v>
      </c>
      <c r="R457" s="15">
        <f>Q457-M457</f>
        <v>25</v>
      </c>
      <c r="S457" s="34">
        <f>R457*$F$8</f>
        <v>62.25</v>
      </c>
      <c r="T457" s="28"/>
      <c r="U457" s="81">
        <v>306</v>
      </c>
      <c r="V457" s="15">
        <f>U457-Q457</f>
        <v>31</v>
      </c>
      <c r="W457" s="34">
        <f>V457*$F$8</f>
        <v>77.19</v>
      </c>
      <c r="Y457" s="13">
        <v>376</v>
      </c>
      <c r="Z457" s="81">
        <f>Y457-U457</f>
        <v>70</v>
      </c>
      <c r="AA457" s="34">
        <f>Z457*$F$8</f>
        <v>174.3</v>
      </c>
      <c r="AB457" s="28"/>
      <c r="AC457" s="2">
        <v>393</v>
      </c>
      <c r="AD457" s="15">
        <f t="shared" ref="AD457:AD458" si="1191">AC457-Y457</f>
        <v>17</v>
      </c>
      <c r="AE457" s="34">
        <f>AD457*$F$8</f>
        <v>42.33</v>
      </c>
      <c r="AG457" s="13">
        <v>426</v>
      </c>
      <c r="AH457" s="15">
        <f t="shared" ref="AH457:AH458" si="1192">AG457-AC457</f>
        <v>33</v>
      </c>
      <c r="AI457" s="34">
        <f>AH457*$F$8</f>
        <v>82.17</v>
      </c>
      <c r="AJ457" s="28"/>
      <c r="AK457" s="13">
        <v>458</v>
      </c>
      <c r="AL457" s="15">
        <f t="shared" ref="AL457:AL458" si="1193">AK457-AG457</f>
        <v>32</v>
      </c>
      <c r="AM457" s="34">
        <f>AL457*$F$8</f>
        <v>79.68</v>
      </c>
      <c r="AN457" s="28"/>
      <c r="AO457" s="13">
        <v>495</v>
      </c>
      <c r="AP457" s="15">
        <f t="shared" ref="AP457:AP458" si="1194">AO457-AK457</f>
        <v>37</v>
      </c>
      <c r="AQ457" s="34">
        <f>AP457*$F$8</f>
        <v>92.13</v>
      </c>
      <c r="AR457" s="28"/>
      <c r="AS457" s="15">
        <v>508</v>
      </c>
      <c r="AT457" s="15">
        <f>AS457-AO457</f>
        <v>13</v>
      </c>
      <c r="AU457" s="34">
        <f>AT457*$F$8</f>
        <v>32.37</v>
      </c>
      <c r="AV457" s="15"/>
      <c r="AW457" s="13">
        <v>508</v>
      </c>
      <c r="AX457" s="15">
        <f>AW457-AS457</f>
        <v>0</v>
      </c>
      <c r="AY457" s="34">
        <f>AX457*$F$8</f>
        <v>0</v>
      </c>
      <c r="AZ457" s="28"/>
      <c r="BA457" s="15">
        <v>510</v>
      </c>
      <c r="BB457" s="15">
        <f>BA457-AW457</f>
        <v>2</v>
      </c>
      <c r="BC457" s="34">
        <f>BB457*$F$8</f>
        <v>4.98</v>
      </c>
      <c r="BD457" s="15"/>
      <c r="BE457" s="40">
        <f t="shared" ref="BE457:BG457" si="1195">J457+N457+R457+V457+Z457+AD457+AH457+AL457+AP457+AT457+AX457+BB457</f>
        <v>278</v>
      </c>
      <c r="BF457" s="41">
        <f t="shared" si="1195"/>
        <v>692.22</v>
      </c>
      <c r="BG457" s="34">
        <f t="shared" si="1195"/>
        <v>0</v>
      </c>
      <c r="BH457" s="35">
        <f t="shared" ref="BH457:BH462" si="1196">H457+BF457-BG457</f>
        <v>-178.3</v>
      </c>
      <c r="BI457" s="34"/>
      <c r="BJ457" s="34"/>
    </row>
    <row r="458" ht="15.75" customHeight="1" hidden="1" spans="1:60" x14ac:dyDescent="0.25">
      <c r="A458" s="29">
        <v>60</v>
      </c>
      <c r="B458" s="14"/>
      <c r="C458" s="2" t="s">
        <v>228</v>
      </c>
      <c r="D458" s="14" t="s">
        <v>47</v>
      </c>
      <c r="E458" s="2" t="s">
        <v>48</v>
      </c>
      <c r="F458" s="13">
        <v>17.16</v>
      </c>
      <c r="G458" s="28"/>
      <c r="I458" s="13"/>
      <c r="J458" s="15"/>
      <c r="K458" s="15"/>
      <c r="L458" s="28"/>
      <c r="Q458" s="13"/>
      <c r="R458" s="15"/>
      <c r="S458" s="15"/>
      <c r="T458" s="28"/>
      <c r="Y458" s="13">
        <v>81</v>
      </c>
      <c r="Z458" s="15"/>
      <c r="AA458" s="15"/>
      <c r="AB458" s="28"/>
      <c r="AC458" s="15">
        <v>86</v>
      </c>
      <c r="AD458" s="15">
        <f t="shared" si="1191"/>
        <v>5</v>
      </c>
      <c r="AE458" s="34">
        <f>AD458*$F$10</f>
        <v>85.8</v>
      </c>
      <c r="AF458" s="34">
        <v>85.8</v>
      </c>
      <c r="AG458" s="13">
        <v>90</v>
      </c>
      <c r="AH458" s="15">
        <f t="shared" si="1192"/>
        <v>4</v>
      </c>
      <c r="AI458" s="45">
        <f>AH458*$G$10</f>
        <v>70.72</v>
      </c>
      <c r="AJ458" s="32">
        <v>70.72</v>
      </c>
      <c r="AK458" s="13">
        <v>90</v>
      </c>
      <c r="AL458" s="15">
        <f t="shared" si="1193"/>
        <v>0</v>
      </c>
      <c r="AM458" s="45">
        <f>AL458*$G$10</f>
        <v>0</v>
      </c>
      <c r="AN458" s="28"/>
      <c r="AO458" s="13">
        <v>94</v>
      </c>
      <c r="AP458" s="15">
        <f t="shared" si="1194"/>
        <v>4</v>
      </c>
      <c r="AQ458" s="45">
        <f>AP458*$G$10</f>
        <v>70.72</v>
      </c>
      <c r="AR458" s="32">
        <v>70.72</v>
      </c>
      <c r="AS458" s="15"/>
      <c r="AT458" s="15"/>
      <c r="AU458" s="15"/>
      <c r="AV458" s="15"/>
      <c r="AW458" s="13"/>
      <c r="AX458" s="15"/>
      <c r="AY458" s="15"/>
      <c r="AZ458" s="28"/>
      <c r="BA458" s="15"/>
      <c r="BB458" s="15"/>
      <c r="BC458" s="15"/>
      <c r="BD458" s="15"/>
      <c r="BE458" s="40">
        <f t="shared" ref="BE458:BG458" si="1197">J458+N458+R458+V458+Z458+AD458+AH458+AL458+AP458+AT458+AX458+BB458</f>
        <v>13</v>
      </c>
      <c r="BF458" s="41">
        <f t="shared" si="1197"/>
        <v>227.24</v>
      </c>
      <c r="BG458" s="34">
        <f t="shared" si="1197"/>
        <v>227.24</v>
      </c>
      <c r="BH458" s="35">
        <f t="shared" si="1196"/>
        <v>0</v>
      </c>
    </row>
    <row r="459" ht="15.75" customHeight="1" hidden="1" spans="1:60" x14ac:dyDescent="0.25">
      <c r="A459" s="29">
        <v>60</v>
      </c>
      <c r="B459" s="14"/>
      <c r="C459" s="15" t="s">
        <v>229</v>
      </c>
      <c r="D459" s="14" t="s">
        <v>47</v>
      </c>
      <c r="E459" s="2" t="s">
        <v>49</v>
      </c>
      <c r="F459" s="41">
        <v>300</v>
      </c>
      <c r="G459" s="28"/>
      <c r="H459" s="15"/>
      <c r="I459" s="13"/>
      <c r="J459" s="15"/>
      <c r="K459" s="15"/>
      <c r="L459" s="28"/>
      <c r="Q459" s="13"/>
      <c r="R459" s="15"/>
      <c r="S459" s="15"/>
      <c r="T459" s="28"/>
      <c r="Y459" s="13"/>
      <c r="Z459" s="15"/>
      <c r="AA459" s="34"/>
      <c r="AB459" s="28"/>
      <c r="AC459" s="15"/>
      <c r="AG459" s="13"/>
      <c r="AH459" s="15"/>
      <c r="AI459" s="15"/>
      <c r="AJ459" s="28"/>
      <c r="AK459" s="13"/>
      <c r="AL459" s="15"/>
      <c r="AM459" s="34"/>
      <c r="AN459" s="28"/>
      <c r="AO459" s="13"/>
      <c r="AP459" s="15"/>
      <c r="AQ459" s="34"/>
      <c r="AR459" s="28"/>
      <c r="AS459" s="15"/>
      <c r="AT459" s="15"/>
      <c r="AU459" s="15"/>
      <c r="AV459" s="15"/>
      <c r="AW459" s="13"/>
      <c r="AX459" s="15"/>
      <c r="AY459" s="15"/>
      <c r="AZ459" s="28"/>
      <c r="BA459" s="15"/>
      <c r="BB459" s="15"/>
      <c r="BC459" s="15"/>
      <c r="BD459" s="15"/>
      <c r="BE459" s="14"/>
      <c r="BF459" s="41">
        <f t="shared" ref="BF459:BG459" si="1198">K459+O459+S459+W459+AA459+AE459+AI459+AM459+AQ459+AU459+AY459+BC459</f>
        <v>0</v>
      </c>
      <c r="BG459" s="34">
        <f t="shared" si="1198"/>
        <v>0</v>
      </c>
      <c r="BH459" s="35">
        <f t="shared" si="1196"/>
        <v>0</v>
      </c>
    </row>
    <row r="460" ht="15.75" customHeight="1" hidden="1" spans="1:60" x14ac:dyDescent="0.25">
      <c r="A460" s="29">
        <v>60</v>
      </c>
      <c r="B460" s="14"/>
      <c r="C460" s="2" t="s">
        <v>230</v>
      </c>
      <c r="D460" s="14" t="s">
        <v>50</v>
      </c>
      <c r="E460" s="2" t="s">
        <v>49</v>
      </c>
      <c r="F460" s="41">
        <v>1062.88</v>
      </c>
      <c r="G460" s="28"/>
      <c r="I460" s="13"/>
      <c r="J460" s="15"/>
      <c r="K460" s="15"/>
      <c r="L460" s="28"/>
      <c r="Q460" s="13"/>
      <c r="R460" s="15"/>
      <c r="S460" s="15"/>
      <c r="T460" s="28"/>
      <c r="Y460" s="13"/>
      <c r="Z460" s="15"/>
      <c r="AA460" s="15"/>
      <c r="AB460" s="28"/>
      <c r="AE460" s="34">
        <f>B457*$F$12</f>
        <v>4676.672</v>
      </c>
      <c r="AF460" s="2">
        <v>4676.67</v>
      </c>
      <c r="AG460" s="13"/>
      <c r="AH460" s="15"/>
      <c r="AI460" s="15"/>
      <c r="AJ460" s="28"/>
      <c r="AK460" s="13"/>
      <c r="AL460" s="15"/>
      <c r="AM460" s="15"/>
      <c r="AN460" s="28"/>
      <c r="AO460" s="13"/>
      <c r="AP460" s="15"/>
      <c r="AQ460" s="15"/>
      <c r="AR460" s="28"/>
      <c r="AS460" s="15"/>
      <c r="AT460" s="15"/>
      <c r="AU460" s="15"/>
      <c r="AV460" s="15"/>
      <c r="AW460" s="13"/>
      <c r="AX460" s="15"/>
      <c r="AY460" s="15"/>
      <c r="AZ460" s="28"/>
      <c r="BA460" s="15"/>
      <c r="BB460" s="15"/>
      <c r="BC460" s="15"/>
      <c r="BD460" s="15"/>
      <c r="BE460" s="14"/>
      <c r="BF460" s="41">
        <f>B457*$F$12</f>
        <v>4676.672</v>
      </c>
      <c r="BG460" s="34">
        <f t="shared" ref="BG460:BG462" si="1199">L460+P460+T460+X460+AB460+AF460+AJ460+AN460+AR460+AV460+AZ460+BD460</f>
        <v>4676.67</v>
      </c>
      <c r="BH460" s="35">
        <f t="shared" si="1196"/>
        <v>0.002</v>
      </c>
    </row>
    <row r="461" ht="15.75" customHeight="1" hidden="1" spans="1:60" x14ac:dyDescent="0.25">
      <c r="A461" s="29">
        <v>60</v>
      </c>
      <c r="B461" s="14"/>
      <c r="D461" s="14" t="s">
        <v>51</v>
      </c>
      <c r="E461" s="2" t="s">
        <v>49</v>
      </c>
      <c r="F461" s="41">
        <v>0</v>
      </c>
      <c r="G461" s="28"/>
      <c r="I461" s="13"/>
      <c r="J461" s="15"/>
      <c r="K461" s="15"/>
      <c r="L461" s="28"/>
      <c r="Q461" s="13"/>
      <c r="R461" s="15"/>
      <c r="S461" s="15"/>
      <c r="T461" s="28"/>
      <c r="Y461" s="13"/>
      <c r="Z461" s="15"/>
      <c r="AA461" s="15"/>
      <c r="AB461" s="28"/>
      <c r="AG461" s="13"/>
      <c r="AH461" s="15"/>
      <c r="AI461" s="15"/>
      <c r="AJ461" s="28"/>
      <c r="AK461" s="13"/>
      <c r="AL461" s="15"/>
      <c r="AM461" s="15"/>
      <c r="AN461" s="28"/>
      <c r="AO461" s="13"/>
      <c r="AP461" s="15"/>
      <c r="AQ461" s="15"/>
      <c r="AR461" s="28"/>
      <c r="AS461" s="15"/>
      <c r="AT461" s="15"/>
      <c r="AU461" s="15"/>
      <c r="AV461" s="15"/>
      <c r="AW461" s="13"/>
      <c r="AX461" s="15"/>
      <c r="AY461" s="15"/>
      <c r="AZ461" s="28"/>
      <c r="BA461" s="15"/>
      <c r="BB461" s="15"/>
      <c r="BC461" s="15"/>
      <c r="BD461" s="15"/>
      <c r="BE461" s="14"/>
      <c r="BF461" s="41">
        <f>B457*$F$13</f>
        <v>0</v>
      </c>
      <c r="BG461" s="34">
        <f t="shared" si="1199"/>
        <v>0</v>
      </c>
      <c r="BH461" s="35">
        <f t="shared" si="1196"/>
        <v>0</v>
      </c>
    </row>
    <row r="462" ht="15.75" customHeight="1" hidden="1" spans="1:60" x14ac:dyDescent="0.25">
      <c r="A462" s="29">
        <v>60</v>
      </c>
      <c r="B462" s="14"/>
      <c r="D462" s="14" t="s">
        <v>52</v>
      </c>
      <c r="E462" s="2" t="s">
        <v>39</v>
      </c>
      <c r="F462" s="41">
        <v>350</v>
      </c>
      <c r="G462" s="28"/>
      <c r="I462" s="13"/>
      <c r="J462" s="15"/>
      <c r="K462" s="15"/>
      <c r="L462" s="28"/>
      <c r="Q462" s="13"/>
      <c r="R462" s="15"/>
      <c r="S462" s="15"/>
      <c r="T462" s="28"/>
      <c r="Y462" s="13"/>
      <c r="Z462" s="15"/>
      <c r="AA462" s="34">
        <f>$F$14</f>
        <v>350</v>
      </c>
      <c r="AB462" s="35">
        <v>350</v>
      </c>
      <c r="AG462" s="13"/>
      <c r="AH462" s="15"/>
      <c r="AI462" s="15"/>
      <c r="AJ462" s="28"/>
      <c r="AK462" s="13"/>
      <c r="AL462" s="15"/>
      <c r="AM462" s="15"/>
      <c r="AN462" s="28"/>
      <c r="AO462" s="13"/>
      <c r="AP462" s="15"/>
      <c r="AQ462" s="15"/>
      <c r="AR462" s="28"/>
      <c r="AS462" s="15"/>
      <c r="AT462" s="15"/>
      <c r="AU462" s="15"/>
      <c r="AV462" s="15"/>
      <c r="AW462" s="13"/>
      <c r="AX462" s="15"/>
      <c r="AY462" s="15"/>
      <c r="AZ462" s="28"/>
      <c r="BA462" s="15"/>
      <c r="BB462" s="15"/>
      <c r="BC462" s="15"/>
      <c r="BD462" s="15"/>
      <c r="BE462" s="14"/>
      <c r="BF462" s="41">
        <f>$F$14</f>
        <v>350</v>
      </c>
      <c r="BG462" s="34">
        <f t="shared" si="1199"/>
        <v>350</v>
      </c>
      <c r="BH462" s="35">
        <f t="shared" si="1196"/>
        <v>0</v>
      </c>
    </row>
    <row r="463" ht="15.75" customHeight="1" hidden="1" spans="1:62" x14ac:dyDescent="0.25">
      <c r="A463" s="50">
        <v>60</v>
      </c>
      <c r="B463" s="21"/>
      <c r="C463" s="22" t="s">
        <v>53</v>
      </c>
      <c r="D463" s="21"/>
      <c r="E463" s="22"/>
      <c r="F463" s="20"/>
      <c r="G463" s="23"/>
      <c r="H463" s="51">
        <f>SUM(H456:H462)</f>
        <v>-870.52</v>
      </c>
      <c r="I463" s="52"/>
      <c r="J463" s="53"/>
      <c r="K463" s="51">
        <f t="shared" ref="K463:L463" si="1200">SUM(K456:K462)</f>
        <v>12.45</v>
      </c>
      <c r="L463" s="68">
        <f t="shared" si="1200"/>
        <v>0</v>
      </c>
      <c r="M463" s="53"/>
      <c r="N463" s="53"/>
      <c r="O463" s="51">
        <f t="shared" ref="O463:P463" si="1201">SUM(O457:O462)</f>
        <v>32.37</v>
      </c>
      <c r="P463" s="51">
        <f t="shared" si="1201"/>
        <v>0</v>
      </c>
      <c r="Q463" s="52"/>
      <c r="R463" s="53"/>
      <c r="S463" s="51">
        <f t="shared" ref="S463:T463" si="1202">SUM(S457:S462)</f>
        <v>62.25</v>
      </c>
      <c r="T463" s="68">
        <f t="shared" si="1202"/>
        <v>0</v>
      </c>
      <c r="U463" s="53"/>
      <c r="V463" s="53"/>
      <c r="W463" s="51">
        <f t="shared" ref="W463:X463" si="1203">SUM(W457:W462)</f>
        <v>77.19</v>
      </c>
      <c r="X463" s="51">
        <f t="shared" si="1203"/>
        <v>0</v>
      </c>
      <c r="Y463" s="52"/>
      <c r="Z463" s="53"/>
      <c r="AA463" s="51">
        <f t="shared" ref="AA463:AB463" si="1204">SUM(AA457:AA462)</f>
        <v>524.3</v>
      </c>
      <c r="AB463" s="68">
        <f t="shared" si="1204"/>
        <v>350</v>
      </c>
      <c r="AC463" s="53"/>
      <c r="AD463" s="53"/>
      <c r="AE463" s="51">
        <f t="shared" ref="AE463:AF463" si="1205">SUM(AE457:AE462)</f>
        <v>4804.802</v>
      </c>
      <c r="AF463" s="51">
        <f t="shared" si="1205"/>
        <v>4762.47</v>
      </c>
      <c r="AG463" s="52"/>
      <c r="AH463" s="53"/>
      <c r="AI463" s="51">
        <f t="shared" ref="AI463:AJ463" si="1206">SUM(AI457:AI462)</f>
        <v>152.89</v>
      </c>
      <c r="AJ463" s="68">
        <f t="shared" si="1206"/>
        <v>70.72</v>
      </c>
      <c r="AK463" s="52"/>
      <c r="AL463" s="53"/>
      <c r="AM463" s="51">
        <f t="shared" ref="AM463:AN463" si="1207">SUM(AM457:AM462)</f>
        <v>79.68</v>
      </c>
      <c r="AN463" s="68">
        <f t="shared" si="1207"/>
        <v>0</v>
      </c>
      <c r="AO463" s="52"/>
      <c r="AP463" s="53"/>
      <c r="AQ463" s="51">
        <f t="shared" ref="AQ463:AR463" si="1208">SUM(AQ457:AQ462)</f>
        <v>162.85</v>
      </c>
      <c r="AR463" s="68">
        <f t="shared" si="1208"/>
        <v>70.72</v>
      </c>
      <c r="AS463" s="53"/>
      <c r="AT463" s="53"/>
      <c r="AU463" s="51">
        <f t="shared" ref="AU463:AV463" si="1209">SUM(AU457:AU462)</f>
        <v>32.37</v>
      </c>
      <c r="AV463" s="51">
        <f t="shared" si="1209"/>
        <v>0</v>
      </c>
      <c r="AW463" s="52"/>
      <c r="AX463" s="53"/>
      <c r="AY463" s="51">
        <f t="shared" ref="AY463:AZ463" si="1210">SUM(AY457:AY462)</f>
        <v>0</v>
      </c>
      <c r="AZ463" s="68">
        <f t="shared" si="1210"/>
        <v>0</v>
      </c>
      <c r="BA463" s="53"/>
      <c r="BB463" s="53"/>
      <c r="BC463" s="51">
        <f t="shared" ref="BC463:BD463" si="1211">SUM(BC457:BC462)</f>
        <v>4.98</v>
      </c>
      <c r="BD463" s="51">
        <f t="shared" si="1211"/>
        <v>0</v>
      </c>
      <c r="BE463" s="69"/>
      <c r="BF463" s="70">
        <f t="shared" ref="BF463:BH463" si="1212">SUM(BF456:BF462)</f>
        <v>5946.132</v>
      </c>
      <c r="BG463" s="71">
        <f t="shared" si="1212"/>
        <v>5253.91</v>
      </c>
      <c r="BH463" s="72">
        <f t="shared" si="1212"/>
        <v>-178.298</v>
      </c>
      <c r="BI463" s="34">
        <f>H463+BF463-BG463</f>
        <v>-178.298</v>
      </c>
      <c r="BJ463" s="34">
        <f>BH463-BI463</f>
        <v>0</v>
      </c>
    </row>
    <row r="464" ht="15.75" customHeight="1" hidden="1" spans="1:60" x14ac:dyDescent="0.25">
      <c r="A464" s="29">
        <v>61</v>
      </c>
      <c r="B464" s="14"/>
      <c r="D464" s="14" t="s">
        <v>42</v>
      </c>
      <c r="F464" s="13"/>
      <c r="G464" s="28"/>
      <c r="I464" s="13"/>
      <c r="J464" s="15"/>
      <c r="K464" s="15"/>
      <c r="L464" s="28"/>
      <c r="Q464" s="13"/>
      <c r="R464" s="15"/>
      <c r="S464" s="15"/>
      <c r="T464" s="28"/>
      <c r="Y464" s="13"/>
      <c r="Z464" s="15"/>
      <c r="AA464" s="15"/>
      <c r="AB464" s="28"/>
      <c r="AG464" s="13"/>
      <c r="AH464" s="15"/>
      <c r="AI464" s="15"/>
      <c r="AJ464" s="28"/>
      <c r="AK464" s="13"/>
      <c r="AL464" s="15"/>
      <c r="AM464" s="15"/>
      <c r="AN464" s="28"/>
      <c r="AO464" s="13"/>
      <c r="AP464" s="15"/>
      <c r="AQ464" s="15"/>
      <c r="AR464" s="28"/>
      <c r="AW464" s="13"/>
      <c r="AX464" s="15"/>
      <c r="AY464" s="15"/>
      <c r="AZ464" s="28"/>
      <c r="BE464" s="14"/>
      <c r="BF464" s="13"/>
      <c r="BG464" s="15"/>
      <c r="BH464" s="28"/>
    </row>
    <row r="465" ht="15.75" customHeight="1" hidden="1" spans="1:60" x14ac:dyDescent="0.25">
      <c r="A465" s="2">
        <v>61</v>
      </c>
      <c r="B465" s="14">
        <v>4.71</v>
      </c>
      <c r="C465" s="2" t="s">
        <v>231</v>
      </c>
      <c r="D465" s="14" t="s">
        <v>44</v>
      </c>
      <c r="E465" s="2" t="s">
        <v>45</v>
      </c>
      <c r="F465" s="13">
        <v>2.49</v>
      </c>
      <c r="G465" s="28"/>
      <c r="H465" s="2">
        <v>37.35</v>
      </c>
      <c r="I465" s="13">
        <v>127</v>
      </c>
      <c r="J465" s="15">
        <v>0</v>
      </c>
      <c r="K465" s="34">
        <f>J465*$F$8</f>
        <v>0</v>
      </c>
      <c r="L465" s="28"/>
      <c r="M465" s="2">
        <v>127</v>
      </c>
      <c r="N465" s="15">
        <f>M465-I465</f>
        <v>0</v>
      </c>
      <c r="O465" s="34">
        <f>N465*$F$8</f>
        <v>0</v>
      </c>
      <c r="Q465" s="13">
        <v>127</v>
      </c>
      <c r="R465" s="15">
        <f>Q465-M465</f>
        <v>0</v>
      </c>
      <c r="S465" s="34">
        <f>R465*$F$8</f>
        <v>0</v>
      </c>
      <c r="T465" s="28"/>
      <c r="U465" s="2">
        <v>129</v>
      </c>
      <c r="V465" s="15">
        <f>U465-Q465</f>
        <v>2</v>
      </c>
      <c r="W465" s="34">
        <f>V465*$F$8</f>
        <v>4.98</v>
      </c>
      <c r="X465" s="2">
        <f>37.35+4.98</f>
        <v>42.33</v>
      </c>
      <c r="Y465" s="13">
        <v>148</v>
      </c>
      <c r="Z465" s="15">
        <f>Y465-U465</f>
        <v>19</v>
      </c>
      <c r="AA465" s="34">
        <f>Z465*$F$8</f>
        <v>47.31</v>
      </c>
      <c r="AB465" s="28">
        <v>47.31</v>
      </c>
      <c r="AC465" s="2">
        <v>184</v>
      </c>
      <c r="AD465" s="15">
        <f t="shared" ref="AD465:AD466" si="1213">AC465-Y465</f>
        <v>36</v>
      </c>
      <c r="AE465" s="34">
        <f>AD465*$F$8</f>
        <v>89.64</v>
      </c>
      <c r="AG465" s="13">
        <v>194</v>
      </c>
      <c r="AH465" s="15">
        <f t="shared" ref="AH465:AH466" si="1214">AG465-AC465</f>
        <v>10</v>
      </c>
      <c r="AI465" s="34">
        <f>AH465*$F$8</f>
        <v>24.9</v>
      </c>
      <c r="AJ465" s="28"/>
      <c r="AK465" s="13">
        <v>206</v>
      </c>
      <c r="AL465" s="15">
        <f t="shared" ref="AL465:AL466" si="1215">AK465-AG465</f>
        <v>12</v>
      </c>
      <c r="AM465" s="34">
        <f>AL465*$F$8</f>
        <v>29.88</v>
      </c>
      <c r="AN465" s="28"/>
      <c r="AO465" s="13">
        <v>217</v>
      </c>
      <c r="AP465" s="15">
        <f t="shared" ref="AP465:AP466" si="1216">AO465-AK465</f>
        <v>11</v>
      </c>
      <c r="AQ465" s="34">
        <f>AP465*$F$8</f>
        <v>27.39</v>
      </c>
      <c r="AR465" s="32">
        <v>171.81</v>
      </c>
      <c r="AS465" s="15">
        <v>222</v>
      </c>
      <c r="AT465" s="15">
        <f>AS465-AO465</f>
        <v>5</v>
      </c>
      <c r="AU465" s="34">
        <f>AT465*$F$8</f>
        <v>12.45</v>
      </c>
      <c r="AV465" s="15"/>
      <c r="AW465" s="13">
        <v>222</v>
      </c>
      <c r="AX465" s="15">
        <f>AW465-AS465</f>
        <v>0</v>
      </c>
      <c r="AY465" s="34">
        <f>AX465*$F$8</f>
        <v>0</v>
      </c>
      <c r="AZ465" s="28"/>
      <c r="BA465" s="13">
        <v>222</v>
      </c>
      <c r="BB465" s="15">
        <f>BA465-AW465</f>
        <v>0</v>
      </c>
      <c r="BC465" s="34">
        <f>BB465*$F$8</f>
        <v>0</v>
      </c>
      <c r="BD465" s="15"/>
      <c r="BE465" s="40">
        <f t="shared" ref="BE465:BG465" si="1217">J465+N465+R465+V465+Z465+AD465+AH465+AL465+AP465+AT465+AX465+BB465</f>
        <v>95</v>
      </c>
      <c r="BF465" s="41">
        <f t="shared" si="1217"/>
        <v>236.55</v>
      </c>
      <c r="BG465" s="34">
        <f t="shared" si="1217"/>
        <v>261.45</v>
      </c>
      <c r="BH465" s="35">
        <f t="shared" ref="BH465:BH470" si="1218">H465+BF465-BG465</f>
        <v>12.45</v>
      </c>
    </row>
    <row r="466" ht="15.75" customHeight="1" hidden="1" spans="1:60" x14ac:dyDescent="0.25">
      <c r="A466" s="29">
        <v>61</v>
      </c>
      <c r="B466" s="14"/>
      <c r="C466" s="2" t="s">
        <v>75</v>
      </c>
      <c r="D466" s="14" t="s">
        <v>47</v>
      </c>
      <c r="E466" s="2" t="s">
        <v>48</v>
      </c>
      <c r="F466" s="13">
        <v>17.16</v>
      </c>
      <c r="G466" s="28"/>
      <c r="H466" s="81">
        <f>-17.16-2*17.16</f>
        <v>-51.48</v>
      </c>
      <c r="I466" s="13"/>
      <c r="J466" s="15"/>
      <c r="K466" s="15"/>
      <c r="L466" s="28"/>
      <c r="Q466" s="13"/>
      <c r="R466" s="15"/>
      <c r="S466" s="15"/>
      <c r="T466" s="28"/>
      <c r="Y466" s="95">
        <f>55+176</f>
        <v>231</v>
      </c>
      <c r="Z466" s="15"/>
      <c r="AA466" s="15"/>
      <c r="AB466" s="28"/>
      <c r="AC466" s="2">
        <f>59+180</f>
        <v>239</v>
      </c>
      <c r="AD466" s="15">
        <f t="shared" si="1213"/>
        <v>8</v>
      </c>
      <c r="AE466" s="34">
        <f>AD466*$F$10</f>
        <v>137.28</v>
      </c>
      <c r="AG466" s="13">
        <f>59+180</f>
        <v>239</v>
      </c>
      <c r="AH466" s="15">
        <f t="shared" si="1214"/>
        <v>0</v>
      </c>
      <c r="AI466" s="45">
        <f>AH466*$G$10</f>
        <v>0</v>
      </c>
      <c r="AJ466" s="32">
        <v>137.28</v>
      </c>
      <c r="AK466" s="13">
        <f>59+180</f>
        <v>239</v>
      </c>
      <c r="AL466" s="15">
        <f t="shared" si="1215"/>
        <v>0</v>
      </c>
      <c r="AM466" s="45">
        <f>AL466*$G$10</f>
        <v>0</v>
      </c>
      <c r="AN466" s="28"/>
      <c r="AO466" s="13">
        <f>65+183</f>
        <v>248</v>
      </c>
      <c r="AP466" s="15">
        <f t="shared" si="1216"/>
        <v>9</v>
      </c>
      <c r="AQ466" s="45">
        <f>AP466*$G$10</f>
        <v>159.12</v>
      </c>
      <c r="AR466" s="32">
        <v>107.64</v>
      </c>
      <c r="AS466" s="15"/>
      <c r="AT466" s="15"/>
      <c r="AU466" s="15"/>
      <c r="AV466" s="15"/>
      <c r="AW466" s="13"/>
      <c r="AX466" s="15"/>
      <c r="AY466" s="15"/>
      <c r="AZ466" s="28"/>
      <c r="BA466" s="15"/>
      <c r="BB466" s="15"/>
      <c r="BC466" s="15"/>
      <c r="BD466" s="15"/>
      <c r="BE466" s="40">
        <f t="shared" ref="BE466:BG466" si="1219">J466+N466+R466+V466+Z466+AD466+AH466+AL466+AP466+AT466+AX466+BB466</f>
        <v>17</v>
      </c>
      <c r="BF466" s="41">
        <f t="shared" si="1219"/>
        <v>296.4</v>
      </c>
      <c r="BG466" s="34">
        <f t="shared" si="1219"/>
        <v>244.92</v>
      </c>
      <c r="BH466" s="35">
        <f t="shared" si="1218"/>
        <v>0</v>
      </c>
    </row>
    <row r="467" ht="15.75" customHeight="1" hidden="1" spans="1:60" x14ac:dyDescent="0.25">
      <c r="A467" s="29">
        <v>61</v>
      </c>
      <c r="B467" s="14"/>
      <c r="C467" s="2" t="s">
        <v>232</v>
      </c>
      <c r="D467" s="14" t="s">
        <v>47</v>
      </c>
      <c r="E467" s="2" t="s">
        <v>49</v>
      </c>
      <c r="F467" s="41">
        <v>300</v>
      </c>
      <c r="G467" s="28"/>
      <c r="I467" s="13"/>
      <c r="J467" s="15"/>
      <c r="K467" s="15"/>
      <c r="L467" s="28"/>
      <c r="Q467" s="13"/>
      <c r="R467" s="15"/>
      <c r="S467" s="15"/>
      <c r="T467" s="28"/>
      <c r="Y467" s="13"/>
      <c r="Z467" s="15"/>
      <c r="AA467" s="15"/>
      <c r="AB467" s="28"/>
      <c r="AG467" s="13"/>
      <c r="AH467" s="15"/>
      <c r="AI467" s="15"/>
      <c r="AJ467" s="28"/>
      <c r="AK467" s="13"/>
      <c r="AL467" s="15"/>
      <c r="AM467" s="34"/>
      <c r="AN467" s="28"/>
      <c r="AO467" s="13"/>
      <c r="AP467" s="15"/>
      <c r="AQ467" s="34"/>
      <c r="AR467" s="28"/>
      <c r="AS467" s="15"/>
      <c r="AT467" s="15"/>
      <c r="AU467" s="15"/>
      <c r="AV467" s="15"/>
      <c r="AW467" s="13"/>
      <c r="AX467" s="15"/>
      <c r="AY467" s="15"/>
      <c r="AZ467" s="28"/>
      <c r="BA467" s="15"/>
      <c r="BB467" s="15"/>
      <c r="BC467" s="15"/>
      <c r="BD467" s="15"/>
      <c r="BE467" s="14"/>
      <c r="BF467" s="41">
        <f t="shared" ref="BF467:BG467" si="1220">K467+O467+S467+W467+AA467+AE467+AI467+AM467+AQ467+AU467+AY467+BC467</f>
        <v>0</v>
      </c>
      <c r="BG467" s="34">
        <f t="shared" si="1220"/>
        <v>0</v>
      </c>
      <c r="BH467" s="35">
        <f t="shared" si="1218"/>
        <v>0</v>
      </c>
    </row>
    <row r="468" ht="15.75" customHeight="1" hidden="1" spans="1:60" x14ac:dyDescent="0.25">
      <c r="A468" s="29">
        <v>61</v>
      </c>
      <c r="B468" s="14"/>
      <c r="C468" s="2" t="s">
        <v>233</v>
      </c>
      <c r="D468" s="14" t="s">
        <v>50</v>
      </c>
      <c r="E468" s="2" t="s">
        <v>49</v>
      </c>
      <c r="F468" s="41">
        <v>1062.88</v>
      </c>
      <c r="G468" s="28"/>
      <c r="I468" s="13"/>
      <c r="J468" s="15"/>
      <c r="K468" s="15"/>
      <c r="L468" s="28"/>
      <c r="Q468" s="13"/>
      <c r="R468" s="15"/>
      <c r="S468" s="15"/>
      <c r="T468" s="28"/>
      <c r="Y468" s="13"/>
      <c r="Z468" s="15"/>
      <c r="AA468" s="15"/>
      <c r="AB468" s="28"/>
      <c r="AE468" s="34">
        <f>B465*$F$12</f>
        <v>5006.1648</v>
      </c>
      <c r="AG468" s="13"/>
      <c r="AH468" s="15"/>
      <c r="AI468" s="15"/>
      <c r="AJ468" s="32">
        <v>5006.16</v>
      </c>
      <c r="AK468" s="13"/>
      <c r="AL468" s="15"/>
      <c r="AM468" s="15"/>
      <c r="AN468" s="28"/>
      <c r="AO468" s="13"/>
      <c r="AP468" s="15"/>
      <c r="AQ468" s="15"/>
      <c r="AR468" s="28"/>
      <c r="AS468" s="15"/>
      <c r="AT468" s="15"/>
      <c r="AU468" s="15"/>
      <c r="AV468" s="15"/>
      <c r="AW468" s="13"/>
      <c r="AX468" s="15"/>
      <c r="AY468" s="15"/>
      <c r="AZ468" s="28"/>
      <c r="BA468" s="15"/>
      <c r="BB468" s="15"/>
      <c r="BC468" s="15"/>
      <c r="BD468" s="15"/>
      <c r="BE468" s="14"/>
      <c r="BF468" s="41">
        <f>B465*$F$12</f>
        <v>5006.1648</v>
      </c>
      <c r="BG468" s="34">
        <f t="shared" ref="BG468:BG470" si="1221">L468+P468+T468+X468+AB468+AF468+AJ468+AN468+AR468+AV468+AZ468+BD468</f>
        <v>5006.16</v>
      </c>
      <c r="BH468" s="35">
        <f t="shared" si="1218"/>
        <v>0.004800000001</v>
      </c>
    </row>
    <row r="469" ht="15.75" customHeight="1" hidden="1" spans="1:60" x14ac:dyDescent="0.25">
      <c r="A469" s="29">
        <v>61</v>
      </c>
      <c r="B469" s="14"/>
      <c r="D469" s="14" t="s">
        <v>51</v>
      </c>
      <c r="E469" s="2" t="s">
        <v>49</v>
      </c>
      <c r="F469" s="41">
        <v>0</v>
      </c>
      <c r="G469" s="28"/>
      <c r="I469" s="13"/>
      <c r="J469" s="15"/>
      <c r="K469" s="15"/>
      <c r="L469" s="28"/>
      <c r="Q469" s="13"/>
      <c r="R469" s="15"/>
      <c r="S469" s="15"/>
      <c r="T469" s="28"/>
      <c r="Y469" s="13"/>
      <c r="Z469" s="15"/>
      <c r="AA469" s="15"/>
      <c r="AB469" s="28"/>
      <c r="AG469" s="13"/>
      <c r="AH469" s="15"/>
      <c r="AI469" s="15"/>
      <c r="AJ469" s="28"/>
      <c r="AK469" s="13"/>
      <c r="AL469" s="15"/>
      <c r="AM469" s="15"/>
      <c r="AN469" s="28"/>
      <c r="AO469" s="13"/>
      <c r="AP469" s="15"/>
      <c r="AQ469" s="15"/>
      <c r="AR469" s="28"/>
      <c r="AS469" s="15"/>
      <c r="AT469" s="15"/>
      <c r="AU469" s="15"/>
      <c r="AV469" s="15"/>
      <c r="AW469" s="13"/>
      <c r="AX469" s="15"/>
      <c r="AY469" s="15"/>
      <c r="AZ469" s="28"/>
      <c r="BA469" s="15"/>
      <c r="BB469" s="15"/>
      <c r="BC469" s="15"/>
      <c r="BD469" s="15"/>
      <c r="BE469" s="14"/>
      <c r="BF469" s="41">
        <f>B465*$F$13</f>
        <v>0</v>
      </c>
      <c r="BG469" s="34">
        <f t="shared" si="1221"/>
        <v>0</v>
      </c>
      <c r="BH469" s="35">
        <f t="shared" si="1218"/>
        <v>0</v>
      </c>
    </row>
    <row r="470" ht="15.75" customHeight="1" hidden="1" spans="1:60" x14ac:dyDescent="0.25">
      <c r="A470" s="29">
        <v>61</v>
      </c>
      <c r="B470" s="14"/>
      <c r="D470" s="14" t="s">
        <v>52</v>
      </c>
      <c r="E470" s="2" t="s">
        <v>39</v>
      </c>
      <c r="F470" s="41">
        <v>350</v>
      </c>
      <c r="G470" s="28"/>
      <c r="I470" s="13"/>
      <c r="J470" s="15"/>
      <c r="K470" s="15"/>
      <c r="L470" s="28"/>
      <c r="Q470" s="13"/>
      <c r="R470" s="15"/>
      <c r="S470" s="15"/>
      <c r="T470" s="28"/>
      <c r="Y470" s="13"/>
      <c r="Z470" s="15"/>
      <c r="AA470" s="34">
        <f>$F$14</f>
        <v>350</v>
      </c>
      <c r="AB470" s="28"/>
      <c r="AG470" s="13"/>
      <c r="AH470" s="15"/>
      <c r="AI470" s="15"/>
      <c r="AJ470" s="28"/>
      <c r="AK470" s="13"/>
      <c r="AL470" s="15"/>
      <c r="AM470" s="15"/>
      <c r="AN470" s="28"/>
      <c r="AO470" s="13"/>
      <c r="AP470" s="15"/>
      <c r="AQ470" s="15"/>
      <c r="AR470" s="38">
        <v>350</v>
      </c>
      <c r="AS470" s="15"/>
      <c r="AT470" s="15"/>
      <c r="AU470" s="15"/>
      <c r="AV470" s="15"/>
      <c r="AW470" s="13"/>
      <c r="AX470" s="15"/>
      <c r="AY470" s="15"/>
      <c r="AZ470" s="28"/>
      <c r="BA470" s="15"/>
      <c r="BB470" s="15"/>
      <c r="BC470" s="15"/>
      <c r="BD470" s="15"/>
      <c r="BE470" s="14"/>
      <c r="BF470" s="41">
        <f>$F$14</f>
        <v>350</v>
      </c>
      <c r="BG470" s="34">
        <f t="shared" si="1221"/>
        <v>350</v>
      </c>
      <c r="BH470" s="35">
        <f t="shared" si="1218"/>
        <v>0</v>
      </c>
    </row>
    <row r="471" ht="15.75" customHeight="1" hidden="1" spans="1:62" x14ac:dyDescent="0.25">
      <c r="A471" s="50">
        <v>61</v>
      </c>
      <c r="B471" s="21"/>
      <c r="C471" s="22" t="s">
        <v>53</v>
      </c>
      <c r="D471" s="21"/>
      <c r="E471" s="22"/>
      <c r="F471" s="20"/>
      <c r="G471" s="23"/>
      <c r="H471" s="51">
        <f>SUM(H464:H470)</f>
        <v>-14.13</v>
      </c>
      <c r="I471" s="52"/>
      <c r="J471" s="53"/>
      <c r="K471" s="51">
        <f t="shared" ref="K471:L471" si="1222">SUM(K464:K470)</f>
        <v>0</v>
      </c>
      <c r="L471" s="68">
        <f t="shared" si="1222"/>
        <v>0</v>
      </c>
      <c r="M471" s="53"/>
      <c r="N471" s="53"/>
      <c r="O471" s="51">
        <f t="shared" ref="O471:P471" si="1223">SUM(O465:O470)</f>
        <v>0</v>
      </c>
      <c r="P471" s="51">
        <f t="shared" si="1223"/>
        <v>0</v>
      </c>
      <c r="Q471" s="52"/>
      <c r="R471" s="53"/>
      <c r="S471" s="51">
        <f t="shared" ref="S471:T471" si="1224">SUM(S465:S470)</f>
        <v>0</v>
      </c>
      <c r="T471" s="68">
        <f t="shared" si="1224"/>
        <v>0</v>
      </c>
      <c r="U471" s="53"/>
      <c r="V471" s="53"/>
      <c r="W471" s="51">
        <f t="shared" ref="W471:X471" si="1225">SUM(W465:W470)</f>
        <v>4.98</v>
      </c>
      <c r="X471" s="51">
        <f t="shared" si="1225"/>
        <v>42.33</v>
      </c>
      <c r="Y471" s="52"/>
      <c r="Z471" s="53"/>
      <c r="AA471" s="51">
        <f t="shared" ref="AA471:AB471" si="1226">SUM(AA465:AA470)</f>
        <v>397.31</v>
      </c>
      <c r="AB471" s="68">
        <f t="shared" si="1226"/>
        <v>47.31</v>
      </c>
      <c r="AC471" s="53"/>
      <c r="AD471" s="53"/>
      <c r="AE471" s="51">
        <f t="shared" ref="AE471:AF471" si="1227">SUM(AE465:AE470)</f>
        <v>5233.0848</v>
      </c>
      <c r="AF471" s="51">
        <f t="shared" si="1227"/>
        <v>0</v>
      </c>
      <c r="AG471" s="52"/>
      <c r="AH471" s="53"/>
      <c r="AI471" s="51">
        <f t="shared" ref="AI471:AJ471" si="1228">SUM(AI465:AI470)</f>
        <v>24.9</v>
      </c>
      <c r="AJ471" s="68">
        <f t="shared" si="1228"/>
        <v>5143.44</v>
      </c>
      <c r="AK471" s="52"/>
      <c r="AL471" s="53"/>
      <c r="AM471" s="51">
        <f t="shared" ref="AM471:AN471" si="1229">SUM(AM465:AM470)</f>
        <v>29.88</v>
      </c>
      <c r="AN471" s="68">
        <f t="shared" si="1229"/>
        <v>0</v>
      </c>
      <c r="AO471" s="52"/>
      <c r="AP471" s="53"/>
      <c r="AQ471" s="51">
        <f t="shared" ref="AQ471:AR471" si="1230">SUM(AQ465:AQ470)</f>
        <v>186.51</v>
      </c>
      <c r="AR471" s="68">
        <f t="shared" si="1230"/>
        <v>629.45</v>
      </c>
      <c r="AS471" s="53"/>
      <c r="AT471" s="53"/>
      <c r="AU471" s="51">
        <f t="shared" ref="AU471:AV471" si="1231">SUM(AU465:AU470)</f>
        <v>12.45</v>
      </c>
      <c r="AV471" s="51">
        <f t="shared" si="1231"/>
        <v>0</v>
      </c>
      <c r="AW471" s="52"/>
      <c r="AX471" s="53"/>
      <c r="AY471" s="51">
        <f t="shared" ref="AY471:AZ471" si="1232">SUM(AY465:AY470)</f>
        <v>0</v>
      </c>
      <c r="AZ471" s="68">
        <f t="shared" si="1232"/>
        <v>0</v>
      </c>
      <c r="BA471" s="53"/>
      <c r="BB471" s="53"/>
      <c r="BC471" s="51">
        <f t="shared" ref="BC471:BD471" si="1233">SUM(BC465:BC470)</f>
        <v>0</v>
      </c>
      <c r="BD471" s="51">
        <f t="shared" si="1233"/>
        <v>0</v>
      </c>
      <c r="BE471" s="69"/>
      <c r="BF471" s="70">
        <f t="shared" ref="BF471:BH471" si="1234">SUM(BF464:BF470)</f>
        <v>5889.1148</v>
      </c>
      <c r="BG471" s="71">
        <f t="shared" si="1234"/>
        <v>5862.53</v>
      </c>
      <c r="BH471" s="72">
        <f t="shared" si="1234"/>
        <v>12.4548</v>
      </c>
      <c r="BI471" s="34">
        <f>H471+BF471-BG471</f>
        <v>12.4548</v>
      </c>
      <c r="BJ471" s="34">
        <f>BH471-BI471</f>
        <v>0</v>
      </c>
    </row>
    <row r="472" ht="15.75" customHeight="1" hidden="1" spans="1:60" x14ac:dyDescent="0.25">
      <c r="A472" s="29">
        <v>62</v>
      </c>
      <c r="B472" s="14"/>
      <c r="D472" s="14" t="s">
        <v>42</v>
      </c>
      <c r="F472" s="13"/>
      <c r="G472" s="28"/>
      <c r="I472" s="13"/>
      <c r="J472" s="15"/>
      <c r="K472" s="15"/>
      <c r="L472" s="28"/>
      <c r="Q472" s="13"/>
      <c r="R472" s="15"/>
      <c r="S472" s="15"/>
      <c r="T472" s="28"/>
      <c r="Y472" s="13"/>
      <c r="Z472" s="15"/>
      <c r="AA472" s="15"/>
      <c r="AB472" s="28"/>
      <c r="AG472" s="13"/>
      <c r="AH472" s="15"/>
      <c r="AI472" s="15"/>
      <c r="AJ472" s="28"/>
      <c r="AK472" s="13"/>
      <c r="AL472" s="15"/>
      <c r="AM472" s="15"/>
      <c r="AN472" s="28"/>
      <c r="AO472" s="13"/>
      <c r="AP472" s="15"/>
      <c r="AQ472" s="15"/>
      <c r="AR472" s="28"/>
      <c r="AW472" s="13"/>
      <c r="AX472" s="15"/>
      <c r="AY472" s="15"/>
      <c r="AZ472" s="28"/>
      <c r="BE472" s="14"/>
      <c r="BF472" s="13"/>
      <c r="BG472" s="15"/>
      <c r="BH472" s="28"/>
    </row>
    <row r="473" ht="15.75" customHeight="1" hidden="1" spans="1:60" x14ac:dyDescent="0.25">
      <c r="A473" s="2">
        <v>62</v>
      </c>
      <c r="B473" s="42">
        <v>4.6</v>
      </c>
      <c r="C473" s="2" t="s">
        <v>234</v>
      </c>
      <c r="D473" s="14" t="s">
        <v>44</v>
      </c>
      <c r="E473" s="2" t="s">
        <v>45</v>
      </c>
      <c r="F473" s="13">
        <v>2.49</v>
      </c>
      <c r="G473" s="28"/>
      <c r="I473" s="13">
        <v>219</v>
      </c>
      <c r="J473" s="15">
        <v>0</v>
      </c>
      <c r="K473" s="34">
        <f>J473*$F$8</f>
        <v>0</v>
      </c>
      <c r="L473" s="28"/>
      <c r="M473" s="2">
        <v>219</v>
      </c>
      <c r="N473" s="15">
        <f>M473-I473</f>
        <v>0</v>
      </c>
      <c r="O473" s="34">
        <f>N473*$F$8</f>
        <v>0</v>
      </c>
      <c r="Q473" s="13">
        <v>219</v>
      </c>
      <c r="R473" s="15">
        <f>Q473-M473</f>
        <v>0</v>
      </c>
      <c r="S473" s="34">
        <f>R473*$F$8</f>
        <v>0</v>
      </c>
      <c r="T473" s="28"/>
      <c r="U473" s="2">
        <v>221</v>
      </c>
      <c r="V473" s="15">
        <f>U473-Q473</f>
        <v>2</v>
      </c>
      <c r="W473" s="34">
        <f>V473*$F$8</f>
        <v>4.98</v>
      </c>
      <c r="X473" s="2">
        <v>4.98</v>
      </c>
      <c r="Y473" s="13">
        <v>224</v>
      </c>
      <c r="Z473" s="15">
        <f>Y473-U473</f>
        <v>3</v>
      </c>
      <c r="AA473" s="34">
        <f>Z473*$F$8</f>
        <v>7.47</v>
      </c>
      <c r="AB473" s="28">
        <v>7.47</v>
      </c>
      <c r="AC473" s="2">
        <v>251</v>
      </c>
      <c r="AD473" s="15">
        <f t="shared" ref="AD473:AD474" si="1235">AC473-Y473</f>
        <v>27</v>
      </c>
      <c r="AE473" s="34">
        <f>AD473*$F$8</f>
        <v>67.23</v>
      </c>
      <c r="AG473" s="13">
        <v>281</v>
      </c>
      <c r="AH473" s="15">
        <f t="shared" ref="AH473:AH474" si="1236">AG473-AC473</f>
        <v>30</v>
      </c>
      <c r="AI473" s="34">
        <f>AH473*$F$8</f>
        <v>74.7</v>
      </c>
      <c r="AJ473" s="32">
        <v>67.23</v>
      </c>
      <c r="AK473" s="13">
        <v>301</v>
      </c>
      <c r="AL473" s="15">
        <f t="shared" ref="AL473:AL474" si="1237">AK473-AG473</f>
        <v>20</v>
      </c>
      <c r="AM473" s="34">
        <f>AL473*$F$8</f>
        <v>49.8</v>
      </c>
      <c r="AN473" s="38">
        <v>124.5</v>
      </c>
      <c r="AO473" s="13">
        <v>307</v>
      </c>
      <c r="AP473" s="15">
        <f t="shared" ref="AP473:AP474" si="1238">AO473-AK473</f>
        <v>6</v>
      </c>
      <c r="AQ473" s="34">
        <f>AP473*$F$8</f>
        <v>14.94</v>
      </c>
      <c r="AR473" s="28"/>
      <c r="AS473" s="15">
        <v>307</v>
      </c>
      <c r="AT473" s="15">
        <f>AS473-AO473</f>
        <v>0</v>
      </c>
      <c r="AU473" s="34">
        <f>AT473*$F$8</f>
        <v>0</v>
      </c>
      <c r="AV473" s="15"/>
      <c r="AW473" s="13">
        <v>307</v>
      </c>
      <c r="AX473" s="15">
        <f>AW473-AS473</f>
        <v>0</v>
      </c>
      <c r="AY473" s="34">
        <f>AX473*$F$8</f>
        <v>0</v>
      </c>
      <c r="AZ473" s="28"/>
      <c r="BA473" s="13">
        <v>307</v>
      </c>
      <c r="BB473" s="15">
        <f>BA473-AW473</f>
        <v>0</v>
      </c>
      <c r="BC473" s="34">
        <f>BB473*$F$8</f>
        <v>0</v>
      </c>
      <c r="BD473" s="15"/>
      <c r="BE473" s="40">
        <f t="shared" ref="BE473:BG473" si="1239">J473+N473+R473+V473+Z473+AD473+AH473+AL473+AP473+AT473+AX473+BB473</f>
        <v>88</v>
      </c>
      <c r="BF473" s="41">
        <f t="shared" si="1239"/>
        <v>219.12</v>
      </c>
      <c r="BG473" s="34">
        <f t="shared" si="1239"/>
        <v>204.18</v>
      </c>
      <c r="BH473" s="35">
        <f t="shared" ref="BH473:BH478" si="1240">H473+BF473-BG473</f>
        <v>14.94</v>
      </c>
    </row>
    <row r="474" ht="15.75" customHeight="1" hidden="1" spans="1:60" x14ac:dyDescent="0.25">
      <c r="A474" s="29">
        <v>62</v>
      </c>
      <c r="B474" s="14"/>
      <c r="C474" s="2" t="s">
        <v>235</v>
      </c>
      <c r="D474" s="14" t="s">
        <v>47</v>
      </c>
      <c r="E474" s="2" t="s">
        <v>48</v>
      </c>
      <c r="F474" s="13">
        <v>17.16</v>
      </c>
      <c r="G474" s="28"/>
      <c r="H474" s="2">
        <v>17.16</v>
      </c>
      <c r="I474" s="13"/>
      <c r="J474" s="15"/>
      <c r="K474" s="15"/>
      <c r="L474" s="28"/>
      <c r="Q474" s="13"/>
      <c r="R474" s="15"/>
      <c r="S474" s="15"/>
      <c r="T474" s="28"/>
      <c r="Y474" s="13">
        <v>136</v>
      </c>
      <c r="Z474" s="15"/>
      <c r="AA474" s="15"/>
      <c r="AB474" s="28"/>
      <c r="AC474" s="2">
        <v>150</v>
      </c>
      <c r="AD474" s="15">
        <f t="shared" si="1235"/>
        <v>14</v>
      </c>
      <c r="AE474" s="34">
        <f>AD474*$F$10</f>
        <v>240.24</v>
      </c>
      <c r="AG474" s="13">
        <v>150</v>
      </c>
      <c r="AH474" s="15">
        <f t="shared" si="1236"/>
        <v>0</v>
      </c>
      <c r="AI474" s="45">
        <f>AH474*$G$10</f>
        <v>0</v>
      </c>
      <c r="AJ474" s="32">
        <v>240.24</v>
      </c>
      <c r="AK474" s="13">
        <v>160</v>
      </c>
      <c r="AL474" s="15">
        <f t="shared" si="1237"/>
        <v>10</v>
      </c>
      <c r="AM474" s="45">
        <f>AL474*$G$10</f>
        <v>176.8</v>
      </c>
      <c r="AN474" s="38">
        <v>176.8</v>
      </c>
      <c r="AO474" s="13">
        <v>160</v>
      </c>
      <c r="AP474" s="15">
        <f t="shared" si="1238"/>
        <v>0</v>
      </c>
      <c r="AQ474" s="45">
        <f>AP474*$G$10</f>
        <v>0</v>
      </c>
      <c r="AR474" s="28"/>
      <c r="AS474" s="15"/>
      <c r="AT474" s="15"/>
      <c r="AU474" s="15"/>
      <c r="AV474" s="15"/>
      <c r="AW474" s="13"/>
      <c r="AX474" s="15"/>
      <c r="AY474" s="15"/>
      <c r="AZ474" s="28"/>
      <c r="BA474" s="15"/>
      <c r="BB474" s="15"/>
      <c r="BC474" s="15"/>
      <c r="BD474" s="15"/>
      <c r="BE474" s="40">
        <f t="shared" ref="BE474:BG474" si="1241">J474+N474+R474+V474+Z474+AD474+AH474+AL474+AP474+AT474+AX474+BB474</f>
        <v>24</v>
      </c>
      <c r="BF474" s="41">
        <f t="shared" si="1241"/>
        <v>417.04</v>
      </c>
      <c r="BG474" s="34">
        <f t="shared" si="1241"/>
        <v>417.04</v>
      </c>
      <c r="BH474" s="35">
        <f t="shared" si="1240"/>
        <v>17.16</v>
      </c>
    </row>
    <row r="475" ht="15.75" customHeight="1" hidden="1" spans="1:60" x14ac:dyDescent="0.25">
      <c r="A475" s="29">
        <v>62</v>
      </c>
      <c r="B475" s="14"/>
      <c r="C475" s="2" t="s">
        <v>80</v>
      </c>
      <c r="D475" s="14" t="s">
        <v>47</v>
      </c>
      <c r="E475" s="2" t="s">
        <v>49</v>
      </c>
      <c r="F475" s="41">
        <v>300</v>
      </c>
      <c r="G475" s="28"/>
      <c r="I475" s="13"/>
      <c r="J475" s="15"/>
      <c r="K475" s="15"/>
      <c r="L475" s="28"/>
      <c r="Q475" s="13"/>
      <c r="R475" s="15"/>
      <c r="S475" s="15"/>
      <c r="T475" s="28"/>
      <c r="Y475" s="13"/>
      <c r="Z475" s="15"/>
      <c r="AA475" s="15"/>
      <c r="AB475" s="28"/>
      <c r="AG475" s="13"/>
      <c r="AH475" s="15"/>
      <c r="AI475" s="15"/>
      <c r="AJ475" s="28"/>
      <c r="AK475" s="13"/>
      <c r="AL475" s="15"/>
      <c r="AM475" s="34"/>
      <c r="AN475" s="28"/>
      <c r="AO475" s="13"/>
      <c r="AP475" s="15"/>
      <c r="AQ475" s="34"/>
      <c r="AR475" s="28"/>
      <c r="AS475" s="15"/>
      <c r="AT475" s="15"/>
      <c r="AU475" s="15"/>
      <c r="AV475" s="15"/>
      <c r="AW475" s="13"/>
      <c r="AX475" s="15"/>
      <c r="AY475" s="15"/>
      <c r="AZ475" s="28"/>
      <c r="BA475" s="15"/>
      <c r="BB475" s="15"/>
      <c r="BC475" s="15"/>
      <c r="BD475" s="15"/>
      <c r="BE475" s="14"/>
      <c r="BF475" s="41">
        <f t="shared" ref="BF475:BG475" si="1242">K475+O475+S475+W475+AA475+AE475+AI475+AM475+AQ475+AU475+AY475+BC475</f>
        <v>0</v>
      </c>
      <c r="BG475" s="34">
        <f t="shared" si="1242"/>
        <v>0</v>
      </c>
      <c r="BH475" s="35">
        <f t="shared" si="1240"/>
        <v>0</v>
      </c>
    </row>
    <row r="476" ht="15.75" customHeight="1" hidden="1" spans="1:60" x14ac:dyDescent="0.25">
      <c r="A476" s="29">
        <v>62</v>
      </c>
      <c r="B476" s="14"/>
      <c r="C476" s="15" t="s">
        <v>236</v>
      </c>
      <c r="D476" s="14" t="s">
        <v>50</v>
      </c>
      <c r="E476" s="2" t="s">
        <v>49</v>
      </c>
      <c r="F476" s="41">
        <v>1062.88</v>
      </c>
      <c r="G476" s="28"/>
      <c r="I476" s="13"/>
      <c r="J476" s="15"/>
      <c r="K476" s="15"/>
      <c r="L476" s="28"/>
      <c r="Q476" s="13"/>
      <c r="R476" s="15"/>
      <c r="S476" s="15"/>
      <c r="T476" s="28"/>
      <c r="Y476" s="13"/>
      <c r="Z476" s="15"/>
      <c r="AA476" s="15"/>
      <c r="AB476" s="28"/>
      <c r="AE476" s="34">
        <f>B473*$F$12</f>
        <v>4889.248</v>
      </c>
      <c r="AF476" s="34">
        <f>1000+3000</f>
        <v>4000</v>
      </c>
      <c r="AG476" s="13"/>
      <c r="AH476" s="15"/>
      <c r="AI476" s="15"/>
      <c r="AJ476" s="101">
        <v>889.24</v>
      </c>
      <c r="AK476" s="13"/>
      <c r="AL476" s="15"/>
      <c r="AM476" s="15"/>
      <c r="AN476" s="28"/>
      <c r="AO476" s="13"/>
      <c r="AP476" s="15"/>
      <c r="AQ476" s="15"/>
      <c r="AR476" s="28"/>
      <c r="AS476" s="15"/>
      <c r="AT476" s="15"/>
      <c r="AU476" s="15"/>
      <c r="AV476" s="15"/>
      <c r="AW476" s="13"/>
      <c r="AX476" s="15"/>
      <c r="AY476" s="15"/>
      <c r="AZ476" s="28"/>
      <c r="BA476" s="15"/>
      <c r="BB476" s="15"/>
      <c r="BC476" s="15"/>
      <c r="BD476" s="15"/>
      <c r="BE476" s="14"/>
      <c r="BF476" s="41">
        <f>B473*$F$12</f>
        <v>4889.248</v>
      </c>
      <c r="BG476" s="34">
        <f t="shared" ref="BG476:BG478" si="1243">L476+P476+T476+X476+AB476+AF476+AJ476+AN476+AR476+AV476+AZ476+BD476</f>
        <v>4889.24</v>
      </c>
      <c r="BH476" s="35">
        <f t="shared" si="1240"/>
        <v>0.008000000001</v>
      </c>
    </row>
    <row r="477" ht="15.75" customHeight="1" hidden="1" spans="1:60" x14ac:dyDescent="0.25">
      <c r="A477" s="29">
        <v>62</v>
      </c>
      <c r="B477" s="14"/>
      <c r="C477" s="15" t="s">
        <v>79</v>
      </c>
      <c r="D477" s="14" t="s">
        <v>51</v>
      </c>
      <c r="E477" s="2" t="s">
        <v>49</v>
      </c>
      <c r="F477" s="41">
        <v>0</v>
      </c>
      <c r="G477" s="28"/>
      <c r="I477" s="13"/>
      <c r="J477" s="15"/>
      <c r="K477" s="15"/>
      <c r="L477" s="28"/>
      <c r="Q477" s="13"/>
      <c r="R477" s="15"/>
      <c r="S477" s="15"/>
      <c r="T477" s="28"/>
      <c r="Y477" s="13"/>
      <c r="Z477" s="15"/>
      <c r="AA477" s="15"/>
      <c r="AB477" s="28"/>
      <c r="AG477" s="13"/>
      <c r="AH477" s="15"/>
      <c r="AI477" s="15"/>
      <c r="AJ477" s="28"/>
      <c r="AK477" s="13"/>
      <c r="AL477" s="15"/>
      <c r="AM477" s="15"/>
      <c r="AN477" s="28"/>
      <c r="AO477" s="13"/>
      <c r="AP477" s="15"/>
      <c r="AQ477" s="15"/>
      <c r="AR477" s="28"/>
      <c r="AS477" s="15"/>
      <c r="AT477" s="15"/>
      <c r="AU477" s="15"/>
      <c r="AV477" s="15"/>
      <c r="AW477" s="13"/>
      <c r="AX477" s="15"/>
      <c r="AY477" s="15"/>
      <c r="AZ477" s="28"/>
      <c r="BA477" s="15"/>
      <c r="BB477" s="15"/>
      <c r="BC477" s="15"/>
      <c r="BD477" s="15"/>
      <c r="BE477" s="14"/>
      <c r="BF477" s="41">
        <f>B473*$F$13</f>
        <v>0</v>
      </c>
      <c r="BG477" s="34">
        <f t="shared" si="1243"/>
        <v>0</v>
      </c>
      <c r="BH477" s="35">
        <f t="shared" si="1240"/>
        <v>0</v>
      </c>
    </row>
    <row r="478" ht="15.75" customHeight="1" hidden="1" spans="1:60" x14ac:dyDescent="0.25">
      <c r="A478" s="29">
        <v>62</v>
      </c>
      <c r="B478" s="14"/>
      <c r="C478" s="15" t="s">
        <v>84</v>
      </c>
      <c r="D478" s="14" t="s">
        <v>52</v>
      </c>
      <c r="E478" s="2" t="s">
        <v>39</v>
      </c>
      <c r="F478" s="41">
        <v>350</v>
      </c>
      <c r="G478" s="28"/>
      <c r="I478" s="13"/>
      <c r="J478" s="15"/>
      <c r="K478" s="15"/>
      <c r="L478" s="28"/>
      <c r="Q478" s="13"/>
      <c r="R478" s="15"/>
      <c r="S478" s="15"/>
      <c r="T478" s="28"/>
      <c r="Y478" s="13"/>
      <c r="Z478" s="15"/>
      <c r="AA478" s="34">
        <f>$F$14</f>
        <v>350</v>
      </c>
      <c r="AB478" s="35">
        <v>350</v>
      </c>
      <c r="AG478" s="13"/>
      <c r="AH478" s="15"/>
      <c r="AI478" s="15"/>
      <c r="AJ478" s="28"/>
      <c r="AK478" s="13"/>
      <c r="AL478" s="15"/>
      <c r="AM478" s="15"/>
      <c r="AN478" s="28"/>
      <c r="AO478" s="13"/>
      <c r="AP478" s="15"/>
      <c r="AQ478" s="15"/>
      <c r="AR478" s="28"/>
      <c r="AS478" s="15"/>
      <c r="AT478" s="15"/>
      <c r="AU478" s="15"/>
      <c r="AV478" s="15"/>
      <c r="AW478" s="13"/>
      <c r="AX478" s="15"/>
      <c r="AY478" s="15"/>
      <c r="AZ478" s="28"/>
      <c r="BA478" s="15"/>
      <c r="BB478" s="15"/>
      <c r="BC478" s="15"/>
      <c r="BD478" s="15"/>
      <c r="BE478" s="14"/>
      <c r="BF478" s="41">
        <f>$F$14</f>
        <v>350</v>
      </c>
      <c r="BG478" s="34">
        <f t="shared" si="1243"/>
        <v>350</v>
      </c>
      <c r="BH478" s="35">
        <f t="shared" si="1240"/>
        <v>0</v>
      </c>
    </row>
    <row r="479" ht="15.75" customHeight="1" hidden="1" spans="1:62" x14ac:dyDescent="0.25">
      <c r="A479" s="50">
        <v>62</v>
      </c>
      <c r="B479" s="21"/>
      <c r="C479" s="22" t="s">
        <v>53</v>
      </c>
      <c r="D479" s="21"/>
      <c r="E479" s="22"/>
      <c r="F479" s="20"/>
      <c r="G479" s="23"/>
      <c r="H479" s="51">
        <f>SUM(H472:H478)</f>
        <v>17.16</v>
      </c>
      <c r="I479" s="52"/>
      <c r="J479" s="53"/>
      <c r="K479" s="51">
        <f t="shared" ref="K479:L479" si="1244">SUM(K472:K478)</f>
        <v>0</v>
      </c>
      <c r="L479" s="68">
        <f t="shared" si="1244"/>
        <v>0</v>
      </c>
      <c r="M479" s="53"/>
      <c r="N479" s="53"/>
      <c r="O479" s="51">
        <f t="shared" ref="O479:P479" si="1245">SUM(O473:O478)</f>
        <v>0</v>
      </c>
      <c r="P479" s="51">
        <f t="shared" si="1245"/>
        <v>0</v>
      </c>
      <c r="Q479" s="52"/>
      <c r="R479" s="53"/>
      <c r="S479" s="51">
        <f t="shared" ref="S479:T479" si="1246">SUM(S473:S478)</f>
        <v>0</v>
      </c>
      <c r="T479" s="68">
        <f t="shared" si="1246"/>
        <v>0</v>
      </c>
      <c r="U479" s="53"/>
      <c r="V479" s="53"/>
      <c r="W479" s="51">
        <f t="shared" ref="W479:X479" si="1247">SUM(W473:W478)</f>
        <v>4.98</v>
      </c>
      <c r="X479" s="51">
        <f t="shared" si="1247"/>
        <v>4.98</v>
      </c>
      <c r="Y479" s="52"/>
      <c r="Z479" s="53"/>
      <c r="AA479" s="51">
        <f t="shared" ref="AA479:AB479" si="1248">SUM(AA473:AA478)</f>
        <v>357.47</v>
      </c>
      <c r="AB479" s="68">
        <f t="shared" si="1248"/>
        <v>357.47</v>
      </c>
      <c r="AC479" s="53"/>
      <c r="AD479" s="53"/>
      <c r="AE479" s="51">
        <f t="shared" ref="AE479:AF479" si="1249">SUM(AE473:AE478)</f>
        <v>5196.718</v>
      </c>
      <c r="AF479" s="51">
        <f t="shared" si="1249"/>
        <v>4000</v>
      </c>
      <c r="AG479" s="52"/>
      <c r="AH479" s="53"/>
      <c r="AI479" s="51">
        <f t="shared" ref="AI479:AJ479" si="1250">SUM(AI473:AI478)</f>
        <v>74.7</v>
      </c>
      <c r="AJ479" s="68">
        <f t="shared" si="1250"/>
        <v>1196.71</v>
      </c>
      <c r="AK479" s="52"/>
      <c r="AL479" s="53"/>
      <c r="AM479" s="51">
        <f t="shared" ref="AM479:AN479" si="1251">SUM(AM473:AM478)</f>
        <v>226.6</v>
      </c>
      <c r="AN479" s="68">
        <f t="shared" si="1251"/>
        <v>301.3</v>
      </c>
      <c r="AO479" s="52"/>
      <c r="AP479" s="53"/>
      <c r="AQ479" s="51">
        <f t="shared" ref="AQ479:AR479" si="1252">SUM(AQ473:AQ478)</f>
        <v>14.94</v>
      </c>
      <c r="AR479" s="68">
        <f t="shared" si="1252"/>
        <v>0</v>
      </c>
      <c r="AS479" s="53"/>
      <c r="AT479" s="53"/>
      <c r="AU479" s="51">
        <f t="shared" ref="AU479:AV479" si="1253">SUM(AU473:AU478)</f>
        <v>0</v>
      </c>
      <c r="AV479" s="51">
        <f t="shared" si="1253"/>
        <v>0</v>
      </c>
      <c r="AW479" s="52"/>
      <c r="AX479" s="53"/>
      <c r="AY479" s="51">
        <f t="shared" ref="AY479:AZ479" si="1254">SUM(AY473:AY478)</f>
        <v>0</v>
      </c>
      <c r="AZ479" s="68">
        <f t="shared" si="1254"/>
        <v>0</v>
      </c>
      <c r="BA479" s="53"/>
      <c r="BB479" s="53"/>
      <c r="BC479" s="51">
        <f t="shared" ref="BC479:BD479" si="1255">SUM(BC473:BC478)</f>
        <v>0</v>
      </c>
      <c r="BD479" s="51">
        <f t="shared" si="1255"/>
        <v>0</v>
      </c>
      <c r="BE479" s="69"/>
      <c r="BF479" s="70">
        <f t="shared" ref="BF479:BH479" si="1256">SUM(BF472:BF478)</f>
        <v>5875.408</v>
      </c>
      <c r="BG479" s="71">
        <f t="shared" si="1256"/>
        <v>5860.46</v>
      </c>
      <c r="BH479" s="72">
        <f t="shared" si="1256"/>
        <v>32.108</v>
      </c>
      <c r="BI479" s="34">
        <f>H479+BF479-BG479</f>
        <v>32.108</v>
      </c>
      <c r="BJ479" s="34">
        <f>BH479-BI479</f>
        <v>0</v>
      </c>
    </row>
    <row r="480" ht="15.75" customHeight="1" hidden="1" spans="1:60" x14ac:dyDescent="0.25">
      <c r="A480" s="79" t="s">
        <v>237</v>
      </c>
      <c r="B480" s="14"/>
      <c r="D480" s="14" t="s">
        <v>42</v>
      </c>
      <c r="F480" s="13"/>
      <c r="G480" s="28"/>
      <c r="I480" s="13"/>
      <c r="J480" s="15"/>
      <c r="K480" s="15"/>
      <c r="L480" s="28"/>
      <c r="Q480" s="13"/>
      <c r="R480" s="15"/>
      <c r="S480" s="15"/>
      <c r="T480" s="28"/>
      <c r="Y480" s="13"/>
      <c r="Z480" s="15"/>
      <c r="AA480" s="15"/>
      <c r="AB480" s="28"/>
      <c r="AG480" s="13"/>
      <c r="AH480" s="15"/>
      <c r="AI480" s="15"/>
      <c r="AJ480" s="28"/>
      <c r="AK480" s="13"/>
      <c r="AL480" s="15"/>
      <c r="AM480" s="15"/>
      <c r="AN480" s="28"/>
      <c r="AO480" s="13"/>
      <c r="AP480" s="15"/>
      <c r="AQ480" s="15"/>
      <c r="AR480" s="28"/>
      <c r="AW480" s="13"/>
      <c r="AX480" s="15"/>
      <c r="AY480" s="15"/>
      <c r="AZ480" s="28"/>
      <c r="BE480" s="14"/>
      <c r="BF480" s="13"/>
      <c r="BG480" s="15"/>
      <c r="BH480" s="28"/>
    </row>
    <row r="481" ht="15.75" customHeight="1" hidden="1" spans="1:60" x14ac:dyDescent="0.25">
      <c r="A481" s="89" t="s">
        <v>237</v>
      </c>
      <c r="B481" s="14">
        <f>4.01+4.01</f>
        <v>8.02</v>
      </c>
      <c r="C481" s="15" t="s">
        <v>238</v>
      </c>
      <c r="D481" s="14" t="s">
        <v>44</v>
      </c>
      <c r="E481" s="2" t="s">
        <v>45</v>
      </c>
      <c r="F481" s="13">
        <v>2.49</v>
      </c>
      <c r="G481" s="28"/>
      <c r="I481" s="13">
        <v>12</v>
      </c>
      <c r="J481" s="15">
        <v>0</v>
      </c>
      <c r="K481" s="34">
        <f>J481*$F$8</f>
        <v>0</v>
      </c>
      <c r="L481" s="28"/>
      <c r="M481" s="2">
        <v>12</v>
      </c>
      <c r="N481" s="15">
        <f>M481-I481</f>
        <v>0</v>
      </c>
      <c r="O481" s="34">
        <f>N481*$F$8</f>
        <v>0</v>
      </c>
      <c r="Q481" s="13">
        <v>12</v>
      </c>
      <c r="R481" s="15">
        <f>Q481-M481</f>
        <v>0</v>
      </c>
      <c r="S481" s="34">
        <f>R481*$F$8</f>
        <v>0</v>
      </c>
      <c r="T481" s="28"/>
      <c r="U481" s="2">
        <v>12</v>
      </c>
      <c r="V481" s="15">
        <f>U481-Q481</f>
        <v>0</v>
      </c>
      <c r="W481" s="34">
        <f>V481*$F$8</f>
        <v>0</v>
      </c>
      <c r="Y481" s="13">
        <v>14</v>
      </c>
      <c r="Z481" s="15">
        <f>Y481-U481</f>
        <v>2</v>
      </c>
      <c r="AA481" s="34">
        <f>Z481*$F$8</f>
        <v>4.98</v>
      </c>
      <c r="AB481" s="28">
        <v>4.98</v>
      </c>
      <c r="AC481" s="2">
        <v>15</v>
      </c>
      <c r="AD481" s="15">
        <f t="shared" ref="AD481:AD482" si="1257">AC481-Y481</f>
        <v>1</v>
      </c>
      <c r="AE481" s="34">
        <f>AD481*$F$8</f>
        <v>2.49</v>
      </c>
      <c r="AG481" s="13">
        <v>17</v>
      </c>
      <c r="AH481" s="15">
        <f t="shared" ref="AH481:AH482" si="1258">AG481-AC481</f>
        <v>2</v>
      </c>
      <c r="AI481" s="34">
        <f>AH481*$F$8</f>
        <v>4.98</v>
      </c>
      <c r="AJ481" s="28"/>
      <c r="AK481" s="13">
        <v>19</v>
      </c>
      <c r="AL481" s="15">
        <f t="shared" ref="AL481:AL482" si="1259">AK481-AG481</f>
        <v>2</v>
      </c>
      <c r="AM481" s="34">
        <f>AL481*$F$8</f>
        <v>4.98</v>
      </c>
      <c r="AN481" s="32">
        <v>12.45</v>
      </c>
      <c r="AO481" s="13">
        <v>22</v>
      </c>
      <c r="AP481" s="15">
        <f t="shared" ref="AP481:AP482" si="1260">AO481-AK481</f>
        <v>3</v>
      </c>
      <c r="AQ481" s="34">
        <f>AP481*$F$8</f>
        <v>7.47</v>
      </c>
      <c r="AR481" s="32">
        <v>7.47</v>
      </c>
      <c r="AS481" s="15">
        <v>23</v>
      </c>
      <c r="AT481" s="15">
        <f>AS481-AO481</f>
        <v>1</v>
      </c>
      <c r="AU481" s="34">
        <f>AT481*$F$8</f>
        <v>2.49</v>
      </c>
      <c r="AV481" s="15"/>
      <c r="AW481" s="13">
        <v>23</v>
      </c>
      <c r="AX481" s="15">
        <f>AW481-AS481</f>
        <v>0</v>
      </c>
      <c r="AY481" s="34">
        <f>AX481*$F$8</f>
        <v>0</v>
      </c>
      <c r="AZ481" s="28"/>
      <c r="BA481" s="13">
        <v>23</v>
      </c>
      <c r="BB481" s="15">
        <f>BA481-AW481</f>
        <v>0</v>
      </c>
      <c r="BC481" s="34">
        <f>BB481*$F$8</f>
        <v>0</v>
      </c>
      <c r="BD481" s="15"/>
      <c r="BE481" s="40">
        <f t="shared" ref="BE481:BG481" si="1261">J481+N481+R481+V481+Z481+AD481+AH481+AL481+AP481+AT481+AX481+BB481</f>
        <v>11</v>
      </c>
      <c r="BF481" s="41">
        <f t="shared" si="1261"/>
        <v>27.39</v>
      </c>
      <c r="BG481" s="34">
        <f t="shared" si="1261"/>
        <v>24.9</v>
      </c>
      <c r="BH481" s="35">
        <f t="shared" ref="BH481:BH486" si="1262">H481+BF481-BG481</f>
        <v>2.49</v>
      </c>
    </row>
    <row r="482" ht="15.75" customHeight="1" hidden="1" spans="1:60" x14ac:dyDescent="0.25">
      <c r="A482" s="79" t="s">
        <v>237</v>
      </c>
      <c r="B482" s="14"/>
      <c r="C482" s="15" t="s">
        <v>239</v>
      </c>
      <c r="D482" s="14" t="s">
        <v>47</v>
      </c>
      <c r="E482" s="2" t="s">
        <v>48</v>
      </c>
      <c r="F482" s="13">
        <v>17.16</v>
      </c>
      <c r="G482" s="28"/>
      <c r="H482" s="73">
        <f>-3*17.16</f>
        <v>-51.48</v>
      </c>
      <c r="I482" s="13"/>
      <c r="J482" s="15"/>
      <c r="K482" s="15"/>
      <c r="L482" s="28"/>
      <c r="Q482" s="13"/>
      <c r="R482" s="15"/>
      <c r="S482" s="15"/>
      <c r="T482" s="28"/>
      <c r="Y482" s="13">
        <v>104</v>
      </c>
      <c r="Z482" s="15"/>
      <c r="AA482" s="15"/>
      <c r="AB482" s="28"/>
      <c r="AC482" s="2">
        <v>107</v>
      </c>
      <c r="AD482" s="15">
        <f t="shared" si="1257"/>
        <v>3</v>
      </c>
      <c r="AE482" s="34">
        <f>AD482*$F$10</f>
        <v>51.48</v>
      </c>
      <c r="AG482" s="13">
        <v>107</v>
      </c>
      <c r="AH482" s="15">
        <f t="shared" si="1258"/>
        <v>0</v>
      </c>
      <c r="AI482" s="45">
        <f>AH482*$G$10</f>
        <v>0</v>
      </c>
      <c r="AJ482" s="32">
        <v>51.48</v>
      </c>
      <c r="AK482" s="13">
        <v>107</v>
      </c>
      <c r="AL482" s="15">
        <f t="shared" si="1259"/>
        <v>0</v>
      </c>
      <c r="AM482" s="45">
        <f>AL482*$G$10</f>
        <v>0</v>
      </c>
      <c r="AN482" s="28"/>
      <c r="AO482" s="13">
        <v>113</v>
      </c>
      <c r="AP482" s="15">
        <f t="shared" si="1260"/>
        <v>6</v>
      </c>
      <c r="AQ482" s="45">
        <f>AP482*$G$10</f>
        <v>106.08</v>
      </c>
      <c r="AR482" s="38">
        <v>54.6</v>
      </c>
      <c r="AS482" s="15"/>
      <c r="AT482" s="15"/>
      <c r="AU482" s="15"/>
      <c r="AV482" s="15"/>
      <c r="AW482" s="13"/>
      <c r="AX482" s="15"/>
      <c r="AY482" s="15"/>
      <c r="AZ482" s="28"/>
      <c r="BA482" s="15"/>
      <c r="BB482" s="15"/>
      <c r="BC482" s="15"/>
      <c r="BD482" s="15"/>
      <c r="BE482" s="40">
        <f t="shared" ref="BE482:BG482" si="1263">J482+N482+R482+V482+Z482+AD482+AH482+AL482+AP482+AT482+AX482+BB482</f>
        <v>9</v>
      </c>
      <c r="BF482" s="41">
        <f t="shared" si="1263"/>
        <v>157.56</v>
      </c>
      <c r="BG482" s="34">
        <f t="shared" si="1263"/>
        <v>106.08</v>
      </c>
      <c r="BH482" s="35">
        <f t="shared" si="1262"/>
        <v>0</v>
      </c>
    </row>
    <row r="483" ht="15.75" customHeight="1" hidden="1" spans="1:60" x14ac:dyDescent="0.25">
      <c r="A483" s="79" t="s">
        <v>237</v>
      </c>
      <c r="B483" s="14"/>
      <c r="C483" s="15" t="s">
        <v>68</v>
      </c>
      <c r="D483" s="14" t="s">
        <v>47</v>
      </c>
      <c r="E483" s="2" t="s">
        <v>49</v>
      </c>
      <c r="F483" s="41">
        <v>300</v>
      </c>
      <c r="G483" s="28"/>
      <c r="I483" s="13"/>
      <c r="J483" s="15"/>
      <c r="K483" s="15"/>
      <c r="L483" s="28"/>
      <c r="Q483" s="13"/>
      <c r="R483" s="15"/>
      <c r="S483" s="15"/>
      <c r="T483" s="28"/>
      <c r="Y483" s="13"/>
      <c r="Z483" s="15"/>
      <c r="AA483" s="15"/>
      <c r="AB483" s="28"/>
      <c r="AG483" s="13"/>
      <c r="AH483" s="15"/>
      <c r="AI483" s="15"/>
      <c r="AJ483" s="28"/>
      <c r="AK483" s="13"/>
      <c r="AL483" s="15"/>
      <c r="AM483" s="34"/>
      <c r="AN483" s="28"/>
      <c r="AO483" s="13"/>
      <c r="AP483" s="15"/>
      <c r="AQ483" s="34"/>
      <c r="AR483" s="28"/>
      <c r="AS483" s="15"/>
      <c r="AT483" s="15"/>
      <c r="AU483" s="15"/>
      <c r="AV483" s="15"/>
      <c r="AW483" s="13"/>
      <c r="AX483" s="15"/>
      <c r="AY483" s="15"/>
      <c r="AZ483" s="28"/>
      <c r="BA483" s="15"/>
      <c r="BB483" s="15"/>
      <c r="BC483" s="15"/>
      <c r="BD483" s="15"/>
      <c r="BE483" s="14"/>
      <c r="BF483" s="41">
        <f t="shared" ref="BF483:BG483" si="1264">K483+O483+S483+W483+AA483+AE483+AI483+AM483+AQ483+AU483+AY483+BC483</f>
        <v>0</v>
      </c>
      <c r="BG483" s="34">
        <f t="shared" si="1264"/>
        <v>0</v>
      </c>
      <c r="BH483" s="35">
        <f t="shared" si="1262"/>
        <v>0</v>
      </c>
    </row>
    <row r="484" ht="15.75" customHeight="1" hidden="1" spans="1:60" x14ac:dyDescent="0.25">
      <c r="A484" s="79" t="s">
        <v>237</v>
      </c>
      <c r="B484" s="14"/>
      <c r="C484" s="15" t="s">
        <v>240</v>
      </c>
      <c r="D484" s="14" t="s">
        <v>50</v>
      </c>
      <c r="E484" s="2" t="s">
        <v>49</v>
      </c>
      <c r="F484" s="41">
        <v>1062.88</v>
      </c>
      <c r="G484" s="28"/>
      <c r="I484" s="13"/>
      <c r="J484" s="15"/>
      <c r="K484" s="15"/>
      <c r="L484" s="28"/>
      <c r="Q484" s="13"/>
      <c r="R484" s="15"/>
      <c r="S484" s="15"/>
      <c r="T484" s="28"/>
      <c r="Y484" s="13"/>
      <c r="Z484" s="15"/>
      <c r="AA484" s="15"/>
      <c r="AB484" s="28"/>
      <c r="AE484" s="34">
        <f>B481*$F$12</f>
        <v>8524.2976</v>
      </c>
      <c r="AG484" s="13"/>
      <c r="AH484" s="15"/>
      <c r="AI484" s="15"/>
      <c r="AJ484" s="32">
        <f>4262.14+1686.37</f>
        <v>5948.51</v>
      </c>
      <c r="AK484" s="13"/>
      <c r="AL484" s="15"/>
      <c r="AM484" s="15"/>
      <c r="AN484" s="32">
        <v>2575.79</v>
      </c>
      <c r="AO484" s="13"/>
      <c r="AP484" s="15"/>
      <c r="AQ484" s="15"/>
      <c r="AR484" s="28"/>
      <c r="AS484" s="15"/>
      <c r="AT484" s="15"/>
      <c r="AU484" s="15"/>
      <c r="AV484" s="15"/>
      <c r="AW484" s="13"/>
      <c r="AX484" s="15"/>
      <c r="AY484" s="15"/>
      <c r="AZ484" s="28"/>
      <c r="BA484" s="15"/>
      <c r="BB484" s="15"/>
      <c r="BC484" s="15"/>
      <c r="BD484" s="15"/>
      <c r="BE484" s="14"/>
      <c r="BF484" s="41">
        <f>B481*$F$12</f>
        <v>8524.2976</v>
      </c>
      <c r="BG484" s="34">
        <f t="shared" ref="BG484:BG486" si="1265">L484+P484+T484+X484+AB484+AF484+AJ484+AN484+AR484+AV484+AZ484+BD484</f>
        <v>8524.3</v>
      </c>
      <c r="BH484" s="35">
        <f t="shared" si="1262"/>
        <v>-0.002399999999</v>
      </c>
    </row>
    <row r="485" ht="15.75" customHeight="1" hidden="1" spans="1:60" x14ac:dyDescent="0.25">
      <c r="A485" s="79" t="s">
        <v>237</v>
      </c>
      <c r="B485" s="14"/>
      <c r="D485" s="14" t="s">
        <v>51</v>
      </c>
      <c r="E485" s="2" t="s">
        <v>49</v>
      </c>
      <c r="F485" s="41">
        <v>0</v>
      </c>
      <c r="G485" s="28"/>
      <c r="I485" s="13"/>
      <c r="J485" s="15"/>
      <c r="K485" s="15"/>
      <c r="L485" s="28"/>
      <c r="Q485" s="13"/>
      <c r="R485" s="15"/>
      <c r="S485" s="15"/>
      <c r="T485" s="28"/>
      <c r="Y485" s="13"/>
      <c r="Z485" s="15"/>
      <c r="AA485" s="15"/>
      <c r="AB485" s="28"/>
      <c r="AG485" s="13"/>
      <c r="AH485" s="15"/>
      <c r="AI485" s="15"/>
      <c r="AJ485" s="28"/>
      <c r="AK485" s="13"/>
      <c r="AL485" s="15"/>
      <c r="AM485" s="15"/>
      <c r="AN485" s="28"/>
      <c r="AO485" s="13"/>
      <c r="AP485" s="15"/>
      <c r="AQ485" s="15"/>
      <c r="AR485" s="28"/>
      <c r="AS485" s="15"/>
      <c r="AT485" s="15"/>
      <c r="AU485" s="15"/>
      <c r="AV485" s="15"/>
      <c r="AW485" s="13"/>
      <c r="AX485" s="15"/>
      <c r="AY485" s="15"/>
      <c r="AZ485" s="28"/>
      <c r="BA485" s="15"/>
      <c r="BB485" s="15"/>
      <c r="BC485" s="15"/>
      <c r="BD485" s="15"/>
      <c r="BE485" s="14"/>
      <c r="BF485" s="41">
        <f>B481*$F$13</f>
        <v>0</v>
      </c>
      <c r="BG485" s="34">
        <f t="shared" si="1265"/>
        <v>0</v>
      </c>
      <c r="BH485" s="35">
        <f t="shared" si="1262"/>
        <v>0</v>
      </c>
    </row>
    <row r="486" ht="15.75" customHeight="1" hidden="1" spans="1:60" x14ac:dyDescent="0.25">
      <c r="A486" s="79" t="s">
        <v>237</v>
      </c>
      <c r="B486" s="14"/>
      <c r="D486" s="14" t="s">
        <v>52</v>
      </c>
      <c r="E486" s="2" t="s">
        <v>39</v>
      </c>
      <c r="F486" s="41">
        <v>350</v>
      </c>
      <c r="G486" s="28"/>
      <c r="H486" s="84">
        <v>-350</v>
      </c>
      <c r="I486" s="13"/>
      <c r="J486" s="15"/>
      <c r="K486" s="15"/>
      <c r="L486" s="28"/>
      <c r="Q486" s="13"/>
      <c r="R486" s="15"/>
      <c r="S486" s="15"/>
      <c r="T486" s="28"/>
      <c r="Y486" s="13"/>
      <c r="Z486" s="15"/>
      <c r="AA486" s="34">
        <f>$F$14*2</f>
        <v>700</v>
      </c>
      <c r="AB486" s="28"/>
      <c r="AG486" s="13"/>
      <c r="AH486" s="15"/>
      <c r="AI486" s="15"/>
      <c r="AJ486" s="28"/>
      <c r="AK486" s="13"/>
      <c r="AL486" s="15"/>
      <c r="AM486" s="15"/>
      <c r="AN486" s="38">
        <v>350</v>
      </c>
      <c r="AO486" s="13"/>
      <c r="AP486" s="15"/>
      <c r="AQ486" s="15"/>
      <c r="AR486" s="28"/>
      <c r="AS486" s="15"/>
      <c r="AT486" s="15"/>
      <c r="AU486" s="15"/>
      <c r="AV486" s="15"/>
      <c r="AW486" s="13"/>
      <c r="AX486" s="15"/>
      <c r="AY486" s="15"/>
      <c r="AZ486" s="28"/>
      <c r="BA486" s="15"/>
      <c r="BB486" s="15"/>
      <c r="BC486" s="15"/>
      <c r="BD486" s="15"/>
      <c r="BE486" s="14"/>
      <c r="BF486" s="41">
        <f>$F$14*2</f>
        <v>700</v>
      </c>
      <c r="BG486" s="34">
        <f t="shared" si="1265"/>
        <v>350</v>
      </c>
      <c r="BH486" s="35">
        <f t="shared" si="1262"/>
        <v>0</v>
      </c>
    </row>
    <row r="487" ht="15.75" customHeight="1" hidden="1" spans="1:62" x14ac:dyDescent="0.25">
      <c r="A487" s="50" t="s">
        <v>237</v>
      </c>
      <c r="B487" s="21"/>
      <c r="C487" s="22" t="s">
        <v>53</v>
      </c>
      <c r="D487" s="21"/>
      <c r="E487" s="22"/>
      <c r="F487" s="20"/>
      <c r="G487" s="23"/>
      <c r="H487" s="51">
        <f>SUM(H480:H486)</f>
        <v>-401.48</v>
      </c>
      <c r="I487" s="52"/>
      <c r="J487" s="53"/>
      <c r="K487" s="51">
        <f t="shared" ref="K487:L487" si="1266">SUM(K480:K486)</f>
        <v>0</v>
      </c>
      <c r="L487" s="68">
        <f t="shared" si="1266"/>
        <v>0</v>
      </c>
      <c r="M487" s="53"/>
      <c r="N487" s="53"/>
      <c r="O487" s="51">
        <f t="shared" ref="O487:P487" si="1267">SUM(O481:O486)</f>
        <v>0</v>
      </c>
      <c r="P487" s="51">
        <f t="shared" si="1267"/>
        <v>0</v>
      </c>
      <c r="Q487" s="52"/>
      <c r="R487" s="53"/>
      <c r="S487" s="51">
        <f t="shared" ref="S487:T487" si="1268">SUM(S481:S486)</f>
        <v>0</v>
      </c>
      <c r="T487" s="68">
        <f t="shared" si="1268"/>
        <v>0</v>
      </c>
      <c r="U487" s="53"/>
      <c r="V487" s="53"/>
      <c r="W487" s="51">
        <f t="shared" ref="W487:X487" si="1269">SUM(W481:W486)</f>
        <v>0</v>
      </c>
      <c r="X487" s="51">
        <f t="shared" si="1269"/>
        <v>0</v>
      </c>
      <c r="Y487" s="52"/>
      <c r="Z487" s="53"/>
      <c r="AA487" s="51">
        <f t="shared" ref="AA487:AB487" si="1270">SUM(AA481:AA486)</f>
        <v>704.98</v>
      </c>
      <c r="AB487" s="68">
        <f t="shared" si="1270"/>
        <v>4.98</v>
      </c>
      <c r="AC487" s="53"/>
      <c r="AD487" s="53"/>
      <c r="AE487" s="51">
        <f t="shared" ref="AE487:AF487" si="1271">SUM(AE481:AE486)</f>
        <v>8578.2676</v>
      </c>
      <c r="AF487" s="51">
        <f t="shared" si="1271"/>
        <v>0</v>
      </c>
      <c r="AG487" s="52"/>
      <c r="AH487" s="53"/>
      <c r="AI487" s="51">
        <f t="shared" ref="AI487:AJ487" si="1272">SUM(AI481:AI486)</f>
        <v>4.98</v>
      </c>
      <c r="AJ487" s="68">
        <f t="shared" si="1272"/>
        <v>5999.99</v>
      </c>
      <c r="AK487" s="52"/>
      <c r="AL487" s="53"/>
      <c r="AM487" s="51">
        <f t="shared" ref="AM487:AN487" si="1273">SUM(AM481:AM486)</f>
        <v>4.98</v>
      </c>
      <c r="AN487" s="68">
        <f t="shared" si="1273"/>
        <v>2938.24</v>
      </c>
      <c r="AO487" s="52"/>
      <c r="AP487" s="53"/>
      <c r="AQ487" s="51">
        <f t="shared" ref="AQ487:AR487" si="1274">SUM(AQ481:AQ486)</f>
        <v>113.55</v>
      </c>
      <c r="AR487" s="68">
        <f t="shared" si="1274"/>
        <v>62.07</v>
      </c>
      <c r="AS487" s="53"/>
      <c r="AT487" s="53"/>
      <c r="AU487" s="51">
        <f t="shared" ref="AU487:AV487" si="1275">SUM(AU481:AU486)</f>
        <v>2.49</v>
      </c>
      <c r="AV487" s="51">
        <f t="shared" si="1275"/>
        <v>0</v>
      </c>
      <c r="AW487" s="52"/>
      <c r="AX487" s="53"/>
      <c r="AY487" s="51">
        <f t="shared" ref="AY487:AZ487" si="1276">SUM(AY481:AY486)</f>
        <v>0</v>
      </c>
      <c r="AZ487" s="68">
        <f t="shared" si="1276"/>
        <v>0</v>
      </c>
      <c r="BA487" s="53"/>
      <c r="BB487" s="53"/>
      <c r="BC487" s="51">
        <f t="shared" ref="BC487:BD487" si="1277">SUM(BC481:BC486)</f>
        <v>0</v>
      </c>
      <c r="BD487" s="51">
        <f t="shared" si="1277"/>
        <v>0</v>
      </c>
      <c r="BE487" s="69"/>
      <c r="BF487" s="70">
        <f t="shared" ref="BF487:BH487" si="1278">SUM(BF480:BF486)</f>
        <v>9409.2476</v>
      </c>
      <c r="BG487" s="71">
        <f t="shared" si="1278"/>
        <v>9005.28</v>
      </c>
      <c r="BH487" s="72">
        <f t="shared" si="1278"/>
        <v>2.4876</v>
      </c>
      <c r="BI487" s="34">
        <f>H487+BF487-BG487</f>
        <v>2.4876</v>
      </c>
      <c r="BJ487" s="34">
        <f>BH487-BI487</f>
        <v>0</v>
      </c>
    </row>
    <row r="488" ht="15.75" customHeight="1" hidden="1" spans="1:60" x14ac:dyDescent="0.25">
      <c r="A488" s="29">
        <v>64</v>
      </c>
      <c r="B488" s="14"/>
      <c r="D488" s="14" t="s">
        <v>42</v>
      </c>
      <c r="F488" s="13"/>
      <c r="G488" s="28"/>
      <c r="I488" s="13"/>
      <c r="J488" s="15"/>
      <c r="K488" s="15"/>
      <c r="L488" s="28"/>
      <c r="Q488" s="13"/>
      <c r="R488" s="15"/>
      <c r="S488" s="15"/>
      <c r="T488" s="28"/>
      <c r="Y488" s="13"/>
      <c r="Z488" s="15"/>
      <c r="AA488" s="15"/>
      <c r="AB488" s="28"/>
      <c r="AG488" s="13"/>
      <c r="AH488" s="15"/>
      <c r="AI488" s="15"/>
      <c r="AJ488" s="28"/>
      <c r="AK488" s="13"/>
      <c r="AL488" s="15"/>
      <c r="AM488" s="15"/>
      <c r="AN488" s="28"/>
      <c r="AO488" s="13"/>
      <c r="AP488" s="15"/>
      <c r="AQ488" s="15"/>
      <c r="AR488" s="28"/>
      <c r="AW488" s="13"/>
      <c r="AX488" s="15"/>
      <c r="AY488" s="15"/>
      <c r="AZ488" s="28"/>
      <c r="BE488" s="14"/>
      <c r="BF488" s="13"/>
      <c r="BG488" s="15"/>
      <c r="BH488" s="28"/>
    </row>
    <row r="489" ht="15.75" customHeight="1" hidden="1" spans="1:60" x14ac:dyDescent="0.25">
      <c r="A489" s="2">
        <v>64</v>
      </c>
      <c r="B489" s="14">
        <v>4.24</v>
      </c>
      <c r="C489" s="2" t="s">
        <v>241</v>
      </c>
      <c r="D489" s="14" t="s">
        <v>44</v>
      </c>
      <c r="E489" s="2" t="s">
        <v>45</v>
      </c>
      <c r="F489" s="13">
        <v>2.49</v>
      </c>
      <c r="G489" s="28"/>
      <c r="H489" s="2">
        <v>-85.64</v>
      </c>
      <c r="I489" s="13">
        <v>144</v>
      </c>
      <c r="J489" s="15">
        <v>0</v>
      </c>
      <c r="K489" s="34">
        <f>J489*$F$8</f>
        <v>0</v>
      </c>
      <c r="L489" s="28"/>
      <c r="M489" s="2">
        <v>144</v>
      </c>
      <c r="N489" s="15">
        <f>M489-I489</f>
        <v>0</v>
      </c>
      <c r="O489" s="34">
        <f>N489*$F$8</f>
        <v>0</v>
      </c>
      <c r="Q489" s="13">
        <v>144</v>
      </c>
      <c r="R489" s="15">
        <f>Q489-M489</f>
        <v>0</v>
      </c>
      <c r="S489" s="34">
        <f>R489*$F$8</f>
        <v>0</v>
      </c>
      <c r="T489" s="28"/>
      <c r="U489" s="2">
        <v>144</v>
      </c>
      <c r="V489" s="15">
        <f>U489-Q489</f>
        <v>0</v>
      </c>
      <c r="W489" s="34">
        <f>V489*$F$8</f>
        <v>0</v>
      </c>
      <c r="Y489" s="13">
        <v>156</v>
      </c>
      <c r="Z489" s="15">
        <f>Y489-U489</f>
        <v>12</v>
      </c>
      <c r="AA489" s="34">
        <f>Z489*$F$8</f>
        <v>29.88</v>
      </c>
      <c r="AB489" s="28"/>
      <c r="AC489" s="2">
        <v>172</v>
      </c>
      <c r="AD489" s="15">
        <f t="shared" ref="AD489:AD490" si="1279">AC489-Y489</f>
        <v>16</v>
      </c>
      <c r="AE489" s="34">
        <f>AD489*$F$8</f>
        <v>39.84</v>
      </c>
      <c r="AF489" s="34">
        <v>300</v>
      </c>
      <c r="AG489" s="13">
        <v>193</v>
      </c>
      <c r="AH489" s="15">
        <f t="shared" ref="AH489:AH490" si="1280">AG489-AC489</f>
        <v>21</v>
      </c>
      <c r="AI489" s="34">
        <f>AH489*$F$8</f>
        <v>52.29</v>
      </c>
      <c r="AJ489" s="28"/>
      <c r="AK489" s="13">
        <v>218</v>
      </c>
      <c r="AL489" s="15">
        <f t="shared" ref="AL489:AL490" si="1281">AK489-AG489</f>
        <v>25</v>
      </c>
      <c r="AM489" s="34">
        <f>AL489*$F$8</f>
        <v>62.25</v>
      </c>
      <c r="AN489" s="28"/>
      <c r="AO489" s="13">
        <v>233</v>
      </c>
      <c r="AP489" s="15">
        <f t="shared" ref="AP489:AP490" si="1282">AO489-AK489</f>
        <v>15</v>
      </c>
      <c r="AQ489" s="34">
        <f>AP489*$F$8</f>
        <v>37.35</v>
      </c>
      <c r="AR489" s="28"/>
      <c r="AS489" s="15">
        <v>239</v>
      </c>
      <c r="AT489" s="15">
        <f>AS489-AO489</f>
        <v>6</v>
      </c>
      <c r="AU489" s="34">
        <f>AT489*$F$8</f>
        <v>14.94</v>
      </c>
      <c r="AV489" s="15"/>
      <c r="AW489" s="13">
        <v>239</v>
      </c>
      <c r="AX489" s="15">
        <f>AW489-AS489</f>
        <v>0</v>
      </c>
      <c r="AY489" s="34">
        <f>AX489*$F$8</f>
        <v>0</v>
      </c>
      <c r="AZ489" s="28"/>
      <c r="BA489" s="13">
        <v>239</v>
      </c>
      <c r="BB489" s="15">
        <f>BA489-AW489</f>
        <v>0</v>
      </c>
      <c r="BC489" s="34">
        <f>BB489*$F$8</f>
        <v>0</v>
      </c>
      <c r="BD489" s="15"/>
      <c r="BE489" s="40">
        <f t="shared" ref="BE489:BG489" si="1283">J489+N489+R489+V489+Z489+AD489+AH489+AL489+AP489+AT489+AX489+BB489</f>
        <v>95</v>
      </c>
      <c r="BF489" s="41">
        <f t="shared" si="1283"/>
        <v>236.55</v>
      </c>
      <c r="BG489" s="34">
        <f t="shared" si="1283"/>
        <v>300</v>
      </c>
      <c r="BH489" s="35">
        <f t="shared" ref="BH489:BH494" si="1284">H489+BF489-BG489</f>
        <v>-149.09</v>
      </c>
    </row>
    <row r="490" ht="15.75" customHeight="1" hidden="1" spans="1:60" x14ac:dyDescent="0.25">
      <c r="A490" s="29">
        <v>64</v>
      </c>
      <c r="B490" s="14"/>
      <c r="C490" s="2" t="s">
        <v>153</v>
      </c>
      <c r="D490" s="14" t="s">
        <v>47</v>
      </c>
      <c r="E490" s="2" t="s">
        <v>48</v>
      </c>
      <c r="F490" s="13">
        <v>17.16</v>
      </c>
      <c r="G490" s="28"/>
      <c r="H490" s="73">
        <v>-17.16</v>
      </c>
      <c r="I490" s="13"/>
      <c r="J490" s="15"/>
      <c r="K490" s="15"/>
      <c r="L490" s="28"/>
      <c r="Q490" s="13"/>
      <c r="R490" s="15"/>
      <c r="S490" s="15"/>
      <c r="T490" s="28"/>
      <c r="Y490" s="13">
        <v>29</v>
      </c>
      <c r="Z490" s="15"/>
      <c r="AA490" s="15"/>
      <c r="AB490" s="35"/>
      <c r="AC490" s="15">
        <v>29</v>
      </c>
      <c r="AD490" s="15">
        <f t="shared" si="1279"/>
        <v>0</v>
      </c>
      <c r="AE490" s="34">
        <f>AD490*$F$10</f>
        <v>0</v>
      </c>
      <c r="AF490" s="34">
        <v>300</v>
      </c>
      <c r="AG490" s="13">
        <v>29</v>
      </c>
      <c r="AH490" s="15">
        <f t="shared" si="1280"/>
        <v>0</v>
      </c>
      <c r="AI490" s="45">
        <f>AH490*$G$10</f>
        <v>0</v>
      </c>
      <c r="AJ490" s="28"/>
      <c r="AK490" s="13">
        <v>44</v>
      </c>
      <c r="AL490" s="15">
        <f t="shared" si="1281"/>
        <v>15</v>
      </c>
      <c r="AM490" s="45">
        <f>AL490*$G$10</f>
        <v>265.2</v>
      </c>
      <c r="AN490" s="28"/>
      <c r="AO490" s="13">
        <v>44</v>
      </c>
      <c r="AP490" s="15">
        <f t="shared" si="1282"/>
        <v>0</v>
      </c>
      <c r="AQ490" s="45">
        <f>AP490*$G$10</f>
        <v>0</v>
      </c>
      <c r="AR490" s="28"/>
      <c r="AS490" s="15"/>
      <c r="AT490" s="15"/>
      <c r="AU490" s="15"/>
      <c r="AV490" s="15"/>
      <c r="AW490" s="13"/>
      <c r="AX490" s="15"/>
      <c r="AY490" s="15"/>
      <c r="AZ490" s="28"/>
      <c r="BA490" s="15"/>
      <c r="BB490" s="15"/>
      <c r="BC490" s="15"/>
      <c r="BD490" s="15"/>
      <c r="BE490" s="40">
        <f t="shared" ref="BE490:BG490" si="1285">J490+N490+R490+V490+Z490+AD490+AH490+AL490+AP490+AT490+AX490+BB490</f>
        <v>15</v>
      </c>
      <c r="BF490" s="41">
        <f t="shared" si="1285"/>
        <v>265.2</v>
      </c>
      <c r="BG490" s="34">
        <f t="shared" si="1285"/>
        <v>300</v>
      </c>
      <c r="BH490" s="35">
        <f t="shared" si="1284"/>
        <v>-51.96</v>
      </c>
    </row>
    <row r="491" ht="15.75" customHeight="1" hidden="1" spans="1:60" x14ac:dyDescent="0.25">
      <c r="A491" s="29">
        <v>64</v>
      </c>
      <c r="B491" s="14"/>
      <c r="C491" s="2" t="s">
        <v>242</v>
      </c>
      <c r="D491" s="14" t="s">
        <v>47</v>
      </c>
      <c r="E491" s="2" t="s">
        <v>49</v>
      </c>
      <c r="F491" s="41">
        <v>300</v>
      </c>
      <c r="G491" s="28"/>
      <c r="I491" s="13"/>
      <c r="J491" s="15"/>
      <c r="K491" s="15"/>
      <c r="L491" s="28"/>
      <c r="Q491" s="13"/>
      <c r="R491" s="15"/>
      <c r="S491" s="15"/>
      <c r="T491" s="28"/>
      <c r="Y491" s="13"/>
      <c r="Z491" s="15"/>
      <c r="AA491" s="15"/>
      <c r="AB491" s="28"/>
      <c r="AG491" s="13"/>
      <c r="AH491" s="15"/>
      <c r="AI491" s="15"/>
      <c r="AJ491" s="28"/>
      <c r="AK491" s="13"/>
      <c r="AL491" s="15"/>
      <c r="AM491" s="34"/>
      <c r="AN491" s="28"/>
      <c r="AO491" s="13"/>
      <c r="AP491" s="15"/>
      <c r="AQ491" s="34"/>
      <c r="AR491" s="28"/>
      <c r="AS491" s="15"/>
      <c r="AT491" s="15"/>
      <c r="AU491" s="15"/>
      <c r="AV491" s="15"/>
      <c r="AW491" s="13"/>
      <c r="AX491" s="15"/>
      <c r="AY491" s="15"/>
      <c r="AZ491" s="28"/>
      <c r="BA491" s="15"/>
      <c r="BB491" s="15"/>
      <c r="BC491" s="15"/>
      <c r="BD491" s="15"/>
      <c r="BE491" s="14"/>
      <c r="BF491" s="41">
        <f t="shared" ref="BF491:BG491" si="1286">K491+O491+S491+W491+AA491+AE491+AI491+AM491+AQ491+AU491+AY491+BC491</f>
        <v>0</v>
      </c>
      <c r="BG491" s="34">
        <f t="shared" si="1286"/>
        <v>0</v>
      </c>
      <c r="BH491" s="35">
        <f t="shared" si="1284"/>
        <v>0</v>
      </c>
    </row>
    <row r="492" ht="15.75" customHeight="1" hidden="1" spans="1:60" x14ac:dyDescent="0.25">
      <c r="A492" s="29">
        <v>64</v>
      </c>
      <c r="B492" s="14"/>
      <c r="C492" s="2" t="s">
        <v>243</v>
      </c>
      <c r="D492" s="14" t="s">
        <v>50</v>
      </c>
      <c r="E492" s="2" t="s">
        <v>49</v>
      </c>
      <c r="F492" s="41">
        <v>1062.88</v>
      </c>
      <c r="G492" s="28"/>
      <c r="I492" s="13"/>
      <c r="J492" s="15"/>
      <c r="K492" s="15"/>
      <c r="L492" s="28"/>
      <c r="Q492" s="13"/>
      <c r="R492" s="15"/>
      <c r="S492" s="15"/>
      <c r="T492" s="28"/>
      <c r="Y492" s="13"/>
      <c r="Z492" s="15"/>
      <c r="AA492" s="15"/>
      <c r="AB492" s="28"/>
      <c r="AE492" s="34">
        <f>B489*$F$12</f>
        <v>4506.6112</v>
      </c>
      <c r="AF492" s="34">
        <v>2350</v>
      </c>
      <c r="AG492" s="13"/>
      <c r="AH492" s="15"/>
      <c r="AI492" s="15"/>
      <c r="AJ492" s="35"/>
      <c r="AK492" s="13"/>
      <c r="AL492" s="15"/>
      <c r="AM492" s="15"/>
      <c r="AN492" s="87">
        <v>2156.51</v>
      </c>
      <c r="AO492" s="13"/>
      <c r="AP492" s="15"/>
      <c r="AQ492" s="15"/>
      <c r="AR492" s="28"/>
      <c r="AS492" s="15"/>
      <c r="AT492" s="15"/>
      <c r="AU492" s="15"/>
      <c r="AV492" s="15"/>
      <c r="AW492" s="13"/>
      <c r="AX492" s="15"/>
      <c r="AY492" s="15"/>
      <c r="AZ492" s="28"/>
      <c r="BA492" s="15"/>
      <c r="BB492" s="15"/>
      <c r="BC492" s="15"/>
      <c r="BD492" s="15"/>
      <c r="BE492" s="14"/>
      <c r="BF492" s="41">
        <f>B489*$F$12</f>
        <v>4506.6112</v>
      </c>
      <c r="BG492" s="34">
        <f t="shared" ref="BG492:BG494" si="1287">L492+P492+T492+X492+AB492+AF492+AJ492+AN492+AR492+AV492+AZ492+BD492</f>
        <v>4506.51</v>
      </c>
      <c r="BH492" s="35">
        <f t="shared" si="1284"/>
        <v>0.1012</v>
      </c>
    </row>
    <row r="493" ht="15.75" customHeight="1" hidden="1" spans="1:60" x14ac:dyDescent="0.25">
      <c r="A493" s="29">
        <v>64</v>
      </c>
      <c r="B493" s="14"/>
      <c r="D493" s="14" t="s">
        <v>51</v>
      </c>
      <c r="E493" s="2" t="s">
        <v>49</v>
      </c>
      <c r="F493" s="41">
        <v>0</v>
      </c>
      <c r="G493" s="28"/>
      <c r="I493" s="13"/>
      <c r="J493" s="15"/>
      <c r="K493" s="15"/>
      <c r="L493" s="28"/>
      <c r="Q493" s="13"/>
      <c r="R493" s="15"/>
      <c r="S493" s="15"/>
      <c r="T493" s="28"/>
      <c r="Y493" s="13"/>
      <c r="Z493" s="15"/>
      <c r="AA493" s="15"/>
      <c r="AB493" s="28"/>
      <c r="AG493" s="13"/>
      <c r="AH493" s="15"/>
      <c r="AI493" s="15"/>
      <c r="AJ493" s="28"/>
      <c r="AK493" s="13"/>
      <c r="AL493" s="15"/>
      <c r="AM493" s="15"/>
      <c r="AN493" s="28"/>
      <c r="AO493" s="13"/>
      <c r="AP493" s="15"/>
      <c r="AQ493" s="15"/>
      <c r="AR493" s="28"/>
      <c r="AS493" s="15"/>
      <c r="AT493" s="15"/>
      <c r="AU493" s="15"/>
      <c r="AV493" s="15"/>
      <c r="AW493" s="13"/>
      <c r="AX493" s="15"/>
      <c r="AY493" s="15"/>
      <c r="AZ493" s="28"/>
      <c r="BA493" s="15"/>
      <c r="BB493" s="15"/>
      <c r="BC493" s="15"/>
      <c r="BD493" s="15"/>
      <c r="BE493" s="14"/>
      <c r="BF493" s="41">
        <f>B489*$F$13</f>
        <v>0</v>
      </c>
      <c r="BG493" s="34">
        <f t="shared" si="1287"/>
        <v>0</v>
      </c>
      <c r="BH493" s="35">
        <f t="shared" si="1284"/>
        <v>0</v>
      </c>
    </row>
    <row r="494" ht="15.75" customHeight="1" hidden="1" spans="1:60" x14ac:dyDescent="0.25">
      <c r="A494" s="29">
        <v>64</v>
      </c>
      <c r="B494" s="14"/>
      <c r="D494" s="14" t="s">
        <v>52</v>
      </c>
      <c r="E494" s="2" t="s">
        <v>39</v>
      </c>
      <c r="F494" s="41">
        <v>350</v>
      </c>
      <c r="G494" s="28"/>
      <c r="I494" s="13"/>
      <c r="J494" s="15"/>
      <c r="K494" s="15"/>
      <c r="L494" s="28"/>
      <c r="Q494" s="13"/>
      <c r="R494" s="15"/>
      <c r="S494" s="15"/>
      <c r="T494" s="28"/>
      <c r="Y494" s="13"/>
      <c r="Z494" s="15"/>
      <c r="AA494" s="34">
        <f>$F$14</f>
        <v>350</v>
      </c>
      <c r="AB494" s="28"/>
      <c r="AG494" s="13"/>
      <c r="AH494" s="15"/>
      <c r="AI494" s="15"/>
      <c r="AJ494" s="28"/>
      <c r="AK494" s="13"/>
      <c r="AL494" s="15"/>
      <c r="AM494" s="15"/>
      <c r="AN494" s="38">
        <v>350</v>
      </c>
      <c r="AO494" s="13"/>
      <c r="AP494" s="15"/>
      <c r="AQ494" s="15"/>
      <c r="AR494" s="28"/>
      <c r="AS494" s="15"/>
      <c r="AT494" s="15"/>
      <c r="AU494" s="15"/>
      <c r="AV494" s="15"/>
      <c r="AW494" s="13"/>
      <c r="AX494" s="15"/>
      <c r="AY494" s="15"/>
      <c r="AZ494" s="28"/>
      <c r="BA494" s="15"/>
      <c r="BB494" s="15"/>
      <c r="BC494" s="15"/>
      <c r="BD494" s="15"/>
      <c r="BE494" s="14"/>
      <c r="BF494" s="41">
        <f>$F$14</f>
        <v>350</v>
      </c>
      <c r="BG494" s="34">
        <f t="shared" si="1287"/>
        <v>350</v>
      </c>
      <c r="BH494" s="35">
        <f t="shared" si="1284"/>
        <v>0</v>
      </c>
    </row>
    <row r="495" ht="15.75" customHeight="1" hidden="1" spans="1:62" x14ac:dyDescent="0.25">
      <c r="A495" s="50">
        <v>64</v>
      </c>
      <c r="B495" s="21"/>
      <c r="C495" s="22" t="s">
        <v>53</v>
      </c>
      <c r="D495" s="21"/>
      <c r="E495" s="22"/>
      <c r="F495" s="20"/>
      <c r="G495" s="23"/>
      <c r="H495" s="51">
        <f>SUM(H488:H494)</f>
        <v>-102.8</v>
      </c>
      <c r="I495" s="52"/>
      <c r="J495" s="53"/>
      <c r="K495" s="51">
        <f t="shared" ref="K495:L495" si="1288">SUM(K488:K494)</f>
        <v>0</v>
      </c>
      <c r="L495" s="68">
        <f t="shared" si="1288"/>
        <v>0</v>
      </c>
      <c r="M495" s="53"/>
      <c r="N495" s="53"/>
      <c r="O495" s="51">
        <f t="shared" ref="O495:P495" si="1289">SUM(O489:O494)</f>
        <v>0</v>
      </c>
      <c r="P495" s="51">
        <f t="shared" si="1289"/>
        <v>0</v>
      </c>
      <c r="Q495" s="52"/>
      <c r="R495" s="53"/>
      <c r="S495" s="51">
        <f t="shared" ref="S495:T495" si="1290">SUM(S489:S494)</f>
        <v>0</v>
      </c>
      <c r="T495" s="68">
        <f t="shared" si="1290"/>
        <v>0</v>
      </c>
      <c r="U495" s="53"/>
      <c r="V495" s="53"/>
      <c r="W495" s="51">
        <f t="shared" ref="W495:X495" si="1291">SUM(W489:W494)</f>
        <v>0</v>
      </c>
      <c r="X495" s="51">
        <f t="shared" si="1291"/>
        <v>0</v>
      </c>
      <c r="Y495" s="52"/>
      <c r="Z495" s="53"/>
      <c r="AA495" s="51">
        <f t="shared" ref="AA495:AB495" si="1292">SUM(AA489:AA494)</f>
        <v>379.88</v>
      </c>
      <c r="AB495" s="68">
        <f t="shared" si="1292"/>
        <v>0</v>
      </c>
      <c r="AC495" s="53"/>
      <c r="AD495" s="53"/>
      <c r="AE495" s="51">
        <f t="shared" ref="AE495:AF495" si="1293">SUM(AE489:AE494)</f>
        <v>4546.4512</v>
      </c>
      <c r="AF495" s="51">
        <f t="shared" si="1293"/>
        <v>2950</v>
      </c>
      <c r="AG495" s="52"/>
      <c r="AH495" s="53"/>
      <c r="AI495" s="51">
        <f t="shared" ref="AI495:AJ495" si="1294">SUM(AI489:AI494)</f>
        <v>52.29</v>
      </c>
      <c r="AJ495" s="68">
        <f t="shared" si="1294"/>
        <v>0</v>
      </c>
      <c r="AK495" s="52"/>
      <c r="AL495" s="53"/>
      <c r="AM495" s="51">
        <f t="shared" ref="AM495:AN495" si="1295">SUM(AM489:AM494)</f>
        <v>327.45</v>
      </c>
      <c r="AN495" s="68">
        <f t="shared" si="1295"/>
        <v>2506.51</v>
      </c>
      <c r="AO495" s="52"/>
      <c r="AP495" s="53"/>
      <c r="AQ495" s="51">
        <f t="shared" ref="AQ495:AR495" si="1296">SUM(AQ489:AQ494)</f>
        <v>37.35</v>
      </c>
      <c r="AR495" s="68">
        <f t="shared" si="1296"/>
        <v>0</v>
      </c>
      <c r="AS495" s="53"/>
      <c r="AT495" s="53"/>
      <c r="AU495" s="51">
        <f t="shared" ref="AU495:AV495" si="1297">SUM(AU489:AU494)</f>
        <v>14.94</v>
      </c>
      <c r="AV495" s="51">
        <f t="shared" si="1297"/>
        <v>0</v>
      </c>
      <c r="AW495" s="52"/>
      <c r="AX495" s="53"/>
      <c r="AY495" s="51">
        <f t="shared" ref="AY495:AZ495" si="1298">SUM(AY489:AY494)</f>
        <v>0</v>
      </c>
      <c r="AZ495" s="68">
        <f t="shared" si="1298"/>
        <v>0</v>
      </c>
      <c r="BA495" s="53"/>
      <c r="BB495" s="53"/>
      <c r="BC495" s="51">
        <f t="shared" ref="BC495:BD495" si="1299">SUM(BC489:BC494)</f>
        <v>0</v>
      </c>
      <c r="BD495" s="51">
        <f t="shared" si="1299"/>
        <v>0</v>
      </c>
      <c r="BE495" s="69"/>
      <c r="BF495" s="70">
        <f t="shared" ref="BF495:BH495" si="1300">SUM(BF488:BF494)</f>
        <v>5358.3612</v>
      </c>
      <c r="BG495" s="71">
        <f t="shared" si="1300"/>
        <v>5456.51</v>
      </c>
      <c r="BH495" s="72">
        <f t="shared" si="1300"/>
        <v>-200.9488</v>
      </c>
      <c r="BI495" s="34">
        <f>H495+BF495-BG495</f>
        <v>-200.9488</v>
      </c>
      <c r="BJ495" s="34">
        <f>BH495-BI495</f>
        <v>0</v>
      </c>
    </row>
    <row r="496" ht="15.75" customHeight="1" hidden="1" spans="1:60" x14ac:dyDescent="0.25">
      <c r="A496" s="29">
        <v>66</v>
      </c>
      <c r="B496" s="14"/>
      <c r="D496" s="14" t="s">
        <v>42</v>
      </c>
      <c r="F496" s="13"/>
      <c r="G496" s="28"/>
      <c r="I496" s="13"/>
      <c r="J496" s="15"/>
      <c r="K496" s="15"/>
      <c r="L496" s="28"/>
      <c r="Q496" s="13"/>
      <c r="R496" s="15"/>
      <c r="S496" s="15"/>
      <c r="T496" s="28"/>
      <c r="Y496" s="13"/>
      <c r="Z496" s="15"/>
      <c r="AA496" s="15"/>
      <c r="AB496" s="28"/>
      <c r="AG496" s="13"/>
      <c r="AH496" s="15"/>
      <c r="AI496" s="15"/>
      <c r="AJ496" s="28"/>
      <c r="AK496" s="13"/>
      <c r="AL496" s="15"/>
      <c r="AM496" s="15"/>
      <c r="AN496" s="28"/>
      <c r="AO496" s="13"/>
      <c r="AP496" s="15"/>
      <c r="AQ496" s="15"/>
      <c r="AR496" s="28"/>
      <c r="AW496" s="13"/>
      <c r="AX496" s="15"/>
      <c r="AY496" s="15"/>
      <c r="AZ496" s="28"/>
      <c r="BE496" s="14"/>
      <c r="BF496" s="13"/>
      <c r="BG496" s="15"/>
      <c r="BH496" s="28"/>
    </row>
    <row r="497" ht="15.75" customHeight="1" hidden="1" spans="1:60" x14ac:dyDescent="0.25">
      <c r="A497" s="2">
        <v>66</v>
      </c>
      <c r="B497" s="14">
        <v>4.66</v>
      </c>
      <c r="C497" s="2" t="s">
        <v>244</v>
      </c>
      <c r="D497" s="14" t="s">
        <v>44</v>
      </c>
      <c r="E497" s="2" t="s">
        <v>45</v>
      </c>
      <c r="F497" s="13">
        <v>2.49</v>
      </c>
      <c r="G497" s="28"/>
      <c r="I497" s="13">
        <v>1</v>
      </c>
      <c r="J497" s="15">
        <v>0</v>
      </c>
      <c r="K497" s="34">
        <f>J497*$F$8</f>
        <v>0</v>
      </c>
      <c r="L497" s="28"/>
      <c r="M497" s="2">
        <v>1</v>
      </c>
      <c r="N497" s="15">
        <f>M497-I497</f>
        <v>0</v>
      </c>
      <c r="O497" s="34">
        <f>N497*$F$8</f>
        <v>0</v>
      </c>
      <c r="Q497" s="13">
        <v>1</v>
      </c>
      <c r="R497" s="15">
        <f>Q497-M497</f>
        <v>0</v>
      </c>
      <c r="S497" s="34">
        <f>R497*$F$8</f>
        <v>0</v>
      </c>
      <c r="T497" s="28"/>
      <c r="U497" s="2">
        <v>1</v>
      </c>
      <c r="V497" s="15">
        <f>U497-Q497</f>
        <v>0</v>
      </c>
      <c r="W497" s="34">
        <f>V497*$F$8</f>
        <v>0</v>
      </c>
      <c r="Y497" s="13">
        <v>1</v>
      </c>
      <c r="Z497" s="15">
        <f>Y497-U497</f>
        <v>0</v>
      </c>
      <c r="AA497" s="34">
        <f>Z497*$F$8</f>
        <v>0</v>
      </c>
      <c r="AB497" s="28"/>
      <c r="AC497" s="2">
        <v>1</v>
      </c>
      <c r="AD497" s="15">
        <f t="shared" ref="AD497:AD498" si="1301">AC497-Y497</f>
        <v>0</v>
      </c>
      <c r="AE497" s="34">
        <f>AD497*$F$8</f>
        <v>0</v>
      </c>
      <c r="AG497" s="13">
        <v>1</v>
      </c>
      <c r="AH497" s="15">
        <f t="shared" ref="AH497:AH498" si="1302">AG497-AC497</f>
        <v>0</v>
      </c>
      <c r="AI497" s="34">
        <f>AH497*$F$8</f>
        <v>0</v>
      </c>
      <c r="AJ497" s="28"/>
      <c r="AK497" s="13">
        <v>1</v>
      </c>
      <c r="AL497" s="15">
        <f t="shared" ref="AL497:AL498" si="1303">AK497-AG497</f>
        <v>0</v>
      </c>
      <c r="AM497" s="34">
        <f>AL497*$F$8</f>
        <v>0</v>
      </c>
      <c r="AN497" s="28"/>
      <c r="AO497" s="13">
        <v>1</v>
      </c>
      <c r="AP497" s="15">
        <f t="shared" ref="AP497:AP498" si="1304">AO497-AK497</f>
        <v>0</v>
      </c>
      <c r="AQ497" s="34">
        <f>AP497*$F$8</f>
        <v>0</v>
      </c>
      <c r="AR497" s="28"/>
      <c r="AS497" s="15">
        <v>1</v>
      </c>
      <c r="AT497" s="15">
        <f>AS497-AO497</f>
        <v>0</v>
      </c>
      <c r="AU497" s="34">
        <f>AT497*$F$8</f>
        <v>0</v>
      </c>
      <c r="AV497" s="15"/>
      <c r="AW497" s="13">
        <v>1</v>
      </c>
      <c r="AX497" s="15">
        <f>AW497-AS497</f>
        <v>0</v>
      </c>
      <c r="AY497" s="34">
        <f>AX497*$F$8</f>
        <v>0</v>
      </c>
      <c r="AZ497" s="28"/>
      <c r="BA497" s="13">
        <v>1</v>
      </c>
      <c r="BB497" s="15">
        <f>BA497-AW497</f>
        <v>0</v>
      </c>
      <c r="BC497" s="34">
        <f>BB497*$F$8</f>
        <v>0</v>
      </c>
      <c r="BD497" s="15"/>
      <c r="BE497" s="40">
        <f t="shared" ref="BE497:BG497" si="1305">J497+N497+R497+V497+Z497+AD497+AH497+AL497+AP497+AT497+AX497+BB497</f>
        <v>0</v>
      </c>
      <c r="BF497" s="41">
        <f t="shared" si="1305"/>
        <v>0</v>
      </c>
      <c r="BG497" s="34">
        <f t="shared" si="1305"/>
        <v>0</v>
      </c>
      <c r="BH497" s="35">
        <f t="shared" ref="BH497:BH502" si="1306">H497+BF497-BG497</f>
        <v>0</v>
      </c>
    </row>
    <row r="498" ht="15.75" customHeight="1" hidden="1" spans="1:60" x14ac:dyDescent="0.25">
      <c r="A498" s="29">
        <v>66</v>
      </c>
      <c r="B498" s="14"/>
      <c r="C498" s="2" t="s">
        <v>87</v>
      </c>
      <c r="D498" s="14" t="s">
        <v>47</v>
      </c>
      <c r="E498" s="2" t="s">
        <v>48</v>
      </c>
      <c r="F498" s="13">
        <v>17.16</v>
      </c>
      <c r="G498" s="28"/>
      <c r="H498" s="81">
        <f>-17.16</f>
        <v>-17.16</v>
      </c>
      <c r="I498" s="13"/>
      <c r="J498" s="15"/>
      <c r="K498" s="15"/>
      <c r="L498" s="28"/>
      <c r="Q498" s="13"/>
      <c r="R498" s="15"/>
      <c r="S498" s="15"/>
      <c r="T498" s="28"/>
      <c r="Y498" s="95">
        <v>32</v>
      </c>
      <c r="Z498" s="15"/>
      <c r="AA498" s="15"/>
      <c r="AB498" s="28"/>
      <c r="AC498" s="2">
        <v>32</v>
      </c>
      <c r="AD498" s="15">
        <f t="shared" si="1301"/>
        <v>0</v>
      </c>
      <c r="AE498" s="34">
        <f>AD498*$F$10</f>
        <v>0</v>
      </c>
      <c r="AG498" s="13">
        <v>32</v>
      </c>
      <c r="AH498" s="15">
        <f t="shared" si="1302"/>
        <v>0</v>
      </c>
      <c r="AI498" s="45">
        <f>AH498*$G$10</f>
        <v>0</v>
      </c>
      <c r="AJ498" s="28"/>
      <c r="AK498" s="13">
        <v>37</v>
      </c>
      <c r="AL498" s="15">
        <f t="shared" si="1303"/>
        <v>5</v>
      </c>
      <c r="AM498" s="45">
        <f>AL498*$G$10</f>
        <v>88.4</v>
      </c>
      <c r="AN498" s="38">
        <v>88.4</v>
      </c>
      <c r="AO498" s="13">
        <v>37</v>
      </c>
      <c r="AP498" s="15">
        <f t="shared" si="1304"/>
        <v>0</v>
      </c>
      <c r="AQ498" s="45">
        <f>AP498*$G$10</f>
        <v>0</v>
      </c>
      <c r="AR498" s="28"/>
      <c r="AS498" s="15"/>
      <c r="AT498" s="15"/>
      <c r="AU498" s="15"/>
      <c r="AV498" s="15"/>
      <c r="AW498" s="13"/>
      <c r="AX498" s="15"/>
      <c r="AY498" s="15"/>
      <c r="AZ498" s="28"/>
      <c r="BA498" s="15"/>
      <c r="BB498" s="15"/>
      <c r="BC498" s="15"/>
      <c r="BD498" s="15"/>
      <c r="BE498" s="40">
        <f t="shared" ref="BE498:BG498" si="1307">J498+N498+R498+V498+Z498+AD498+AH498+AL498+AP498+AT498+AX498+BB498</f>
        <v>5</v>
      </c>
      <c r="BF498" s="41">
        <f t="shared" si="1307"/>
        <v>88.4</v>
      </c>
      <c r="BG498" s="34">
        <f t="shared" si="1307"/>
        <v>88.4</v>
      </c>
      <c r="BH498" s="35">
        <f t="shared" si="1306"/>
        <v>-17.16</v>
      </c>
    </row>
    <row r="499" ht="15.75" customHeight="1" hidden="1" spans="1:60" x14ac:dyDescent="0.25">
      <c r="A499" s="29">
        <v>66</v>
      </c>
      <c r="B499" s="14"/>
      <c r="C499" s="2" t="s">
        <v>158</v>
      </c>
      <c r="D499" s="14" t="s">
        <v>47</v>
      </c>
      <c r="E499" s="2" t="s">
        <v>49</v>
      </c>
      <c r="F499" s="41">
        <v>300</v>
      </c>
      <c r="G499" s="28"/>
      <c r="I499" s="13"/>
      <c r="J499" s="15"/>
      <c r="K499" s="15"/>
      <c r="L499" s="28"/>
      <c r="Q499" s="13"/>
      <c r="R499" s="15"/>
      <c r="S499" s="15"/>
      <c r="T499" s="28"/>
      <c r="Y499" s="13"/>
      <c r="Z499" s="15"/>
      <c r="AA499" s="15"/>
      <c r="AB499" s="28"/>
      <c r="AG499" s="13"/>
      <c r="AH499" s="15"/>
      <c r="AI499" s="15"/>
      <c r="AJ499" s="28"/>
      <c r="AK499" s="13"/>
      <c r="AL499" s="15"/>
      <c r="AM499" s="34"/>
      <c r="AN499" s="28"/>
      <c r="AO499" s="13"/>
      <c r="AP499" s="15"/>
      <c r="AQ499" s="34"/>
      <c r="AR499" s="28"/>
      <c r="AS499" s="15"/>
      <c r="AT499" s="15"/>
      <c r="AU499" s="15"/>
      <c r="AV499" s="15"/>
      <c r="AW499" s="13"/>
      <c r="AX499" s="15"/>
      <c r="AY499" s="15"/>
      <c r="AZ499" s="28"/>
      <c r="BA499" s="15"/>
      <c r="BB499" s="15"/>
      <c r="BC499" s="15"/>
      <c r="BD499" s="15"/>
      <c r="BE499" s="14"/>
      <c r="BF499" s="41">
        <f t="shared" ref="BF499:BG499" si="1308">K499+O499+S499+W499+AA499+AE499+AI499+AM499+AQ499+AU499+AY499+BC499</f>
        <v>0</v>
      </c>
      <c r="BG499" s="34">
        <f t="shared" si="1308"/>
        <v>0</v>
      </c>
      <c r="BH499" s="35">
        <f t="shared" si="1306"/>
        <v>0</v>
      </c>
    </row>
    <row r="500" ht="15.75" customHeight="1" hidden="1" spans="1:60" x14ac:dyDescent="0.25">
      <c r="A500" s="29">
        <v>66</v>
      </c>
      <c r="B500" s="14"/>
      <c r="D500" s="14" t="s">
        <v>50</v>
      </c>
      <c r="E500" s="2" t="s">
        <v>49</v>
      </c>
      <c r="F500" s="41">
        <v>1062.88</v>
      </c>
      <c r="G500" s="28"/>
      <c r="I500" s="13"/>
      <c r="J500" s="15"/>
      <c r="K500" s="15"/>
      <c r="L500" s="28"/>
      <c r="Q500" s="13"/>
      <c r="R500" s="15"/>
      <c r="S500" s="15"/>
      <c r="T500" s="28"/>
      <c r="Y500" s="13"/>
      <c r="Z500" s="15"/>
      <c r="AA500" s="15"/>
      <c r="AB500" s="28"/>
      <c r="AE500" s="34">
        <f>B497*$F$12</f>
        <v>4953.0208</v>
      </c>
      <c r="AG500" s="13"/>
      <c r="AH500" s="15"/>
      <c r="AI500" s="15"/>
      <c r="AJ500" s="35"/>
      <c r="AK500" s="13"/>
      <c r="AL500" s="15"/>
      <c r="AM500" s="15"/>
      <c r="AN500" s="32">
        <v>4953.02</v>
      </c>
      <c r="AO500" s="13"/>
      <c r="AP500" s="15"/>
      <c r="AQ500" s="15"/>
      <c r="AR500" s="28"/>
      <c r="AS500" s="15"/>
      <c r="AT500" s="15"/>
      <c r="AU500" s="15"/>
      <c r="AV500" s="15"/>
      <c r="AW500" s="13"/>
      <c r="AX500" s="15"/>
      <c r="AY500" s="15"/>
      <c r="AZ500" s="28"/>
      <c r="BA500" s="15"/>
      <c r="BB500" s="15"/>
      <c r="BC500" s="15"/>
      <c r="BD500" s="15"/>
      <c r="BE500" s="14"/>
      <c r="BF500" s="41">
        <f>B497*$F$12</f>
        <v>4953.0208</v>
      </c>
      <c r="BG500" s="34">
        <f t="shared" ref="BG500:BG502" si="1309">L500+P500+T500+X500+AB500+AF500+AJ500+AN500+AR500+AV500+AZ500+BD500</f>
        <v>4953.02</v>
      </c>
      <c r="BH500" s="35">
        <f t="shared" si="1306"/>
        <v>0.0007999999998</v>
      </c>
    </row>
    <row r="501" ht="15.75" customHeight="1" hidden="1" spans="1:60" x14ac:dyDescent="0.25">
      <c r="A501" s="29">
        <v>66</v>
      </c>
      <c r="B501" s="14"/>
      <c r="D501" s="14" t="s">
        <v>51</v>
      </c>
      <c r="E501" s="2" t="s">
        <v>49</v>
      </c>
      <c r="F501" s="41">
        <v>0</v>
      </c>
      <c r="G501" s="28"/>
      <c r="I501" s="13"/>
      <c r="J501" s="15"/>
      <c r="K501" s="15"/>
      <c r="L501" s="28"/>
      <c r="Q501" s="13"/>
      <c r="R501" s="15"/>
      <c r="S501" s="15"/>
      <c r="T501" s="28"/>
      <c r="Y501" s="13"/>
      <c r="Z501" s="15"/>
      <c r="AA501" s="15"/>
      <c r="AB501" s="28"/>
      <c r="AG501" s="13"/>
      <c r="AH501" s="15"/>
      <c r="AI501" s="15"/>
      <c r="AJ501" s="28"/>
      <c r="AK501" s="13"/>
      <c r="AL501" s="15"/>
      <c r="AM501" s="15"/>
      <c r="AN501" s="28"/>
      <c r="AO501" s="13"/>
      <c r="AP501" s="15"/>
      <c r="AQ501" s="15"/>
      <c r="AR501" s="28"/>
      <c r="AS501" s="15"/>
      <c r="AT501" s="15"/>
      <c r="AU501" s="15"/>
      <c r="AV501" s="15"/>
      <c r="AW501" s="13"/>
      <c r="AX501" s="15"/>
      <c r="AY501" s="15"/>
      <c r="AZ501" s="28"/>
      <c r="BA501" s="15"/>
      <c r="BB501" s="15"/>
      <c r="BC501" s="15"/>
      <c r="BD501" s="15"/>
      <c r="BE501" s="14"/>
      <c r="BF501" s="41">
        <f>B497*$F$13</f>
        <v>0</v>
      </c>
      <c r="BG501" s="34">
        <f t="shared" si="1309"/>
        <v>0</v>
      </c>
      <c r="BH501" s="35">
        <f t="shared" si="1306"/>
        <v>0</v>
      </c>
    </row>
    <row r="502" ht="15.75" customHeight="1" hidden="1" spans="1:60" x14ac:dyDescent="0.25">
      <c r="A502" s="29">
        <v>66</v>
      </c>
      <c r="B502" s="14"/>
      <c r="D502" s="14" t="s">
        <v>52</v>
      </c>
      <c r="E502" s="2" t="s">
        <v>39</v>
      </c>
      <c r="F502" s="41">
        <v>350</v>
      </c>
      <c r="G502" s="28"/>
      <c r="I502" s="13"/>
      <c r="J502" s="15"/>
      <c r="K502" s="15"/>
      <c r="L502" s="28"/>
      <c r="Q502" s="13"/>
      <c r="R502" s="15"/>
      <c r="S502" s="15"/>
      <c r="T502" s="28"/>
      <c r="Y502" s="13"/>
      <c r="Z502" s="15"/>
      <c r="AA502" s="34">
        <f>$F$14</f>
        <v>350</v>
      </c>
      <c r="AB502" s="28"/>
      <c r="AG502" s="13"/>
      <c r="AH502" s="15"/>
      <c r="AI502" s="15"/>
      <c r="AJ502" s="28"/>
      <c r="AK502" s="13"/>
      <c r="AL502" s="15"/>
      <c r="AM502" s="15"/>
      <c r="AN502" s="38">
        <v>350</v>
      </c>
      <c r="AO502" s="13"/>
      <c r="AP502" s="15"/>
      <c r="AQ502" s="15"/>
      <c r="AR502" s="28"/>
      <c r="AS502" s="15"/>
      <c r="AT502" s="15"/>
      <c r="AU502" s="15"/>
      <c r="AV502" s="15"/>
      <c r="AW502" s="13"/>
      <c r="AX502" s="15"/>
      <c r="AY502" s="15"/>
      <c r="AZ502" s="28"/>
      <c r="BA502" s="15"/>
      <c r="BB502" s="15"/>
      <c r="BC502" s="15"/>
      <c r="BD502" s="15"/>
      <c r="BE502" s="14"/>
      <c r="BF502" s="41">
        <f>$F$14</f>
        <v>350</v>
      </c>
      <c r="BG502" s="34">
        <f t="shared" si="1309"/>
        <v>350</v>
      </c>
      <c r="BH502" s="35">
        <f t="shared" si="1306"/>
        <v>0</v>
      </c>
    </row>
    <row r="503" ht="15.75" customHeight="1" hidden="1" spans="1:62" x14ac:dyDescent="0.25">
      <c r="A503" s="50">
        <v>66</v>
      </c>
      <c r="B503" s="21"/>
      <c r="C503" s="22" t="s">
        <v>53</v>
      </c>
      <c r="D503" s="21"/>
      <c r="E503" s="22"/>
      <c r="F503" s="20"/>
      <c r="G503" s="23"/>
      <c r="H503" s="51">
        <f>SUM(H496:H502)</f>
        <v>-17.16</v>
      </c>
      <c r="I503" s="52"/>
      <c r="J503" s="53"/>
      <c r="K503" s="51">
        <f t="shared" ref="K503:L503" si="1310">SUM(K496:K502)</f>
        <v>0</v>
      </c>
      <c r="L503" s="68">
        <f t="shared" si="1310"/>
        <v>0</v>
      </c>
      <c r="M503" s="53"/>
      <c r="N503" s="53"/>
      <c r="O503" s="51">
        <f t="shared" ref="O503:P503" si="1311">SUM(O497:O502)</f>
        <v>0</v>
      </c>
      <c r="P503" s="51">
        <f t="shared" si="1311"/>
        <v>0</v>
      </c>
      <c r="Q503" s="52"/>
      <c r="R503" s="53"/>
      <c r="S503" s="51">
        <f t="shared" ref="S503:T503" si="1312">SUM(S497:S502)</f>
        <v>0</v>
      </c>
      <c r="T503" s="68">
        <f t="shared" si="1312"/>
        <v>0</v>
      </c>
      <c r="U503" s="53"/>
      <c r="V503" s="53"/>
      <c r="W503" s="51">
        <f t="shared" ref="W503:X503" si="1313">SUM(W497:W502)</f>
        <v>0</v>
      </c>
      <c r="X503" s="51">
        <f t="shared" si="1313"/>
        <v>0</v>
      </c>
      <c r="Y503" s="52"/>
      <c r="Z503" s="53"/>
      <c r="AA503" s="51">
        <f t="shared" ref="AA503:AB503" si="1314">SUM(AA497:AA502)</f>
        <v>350</v>
      </c>
      <c r="AB503" s="68">
        <f t="shared" si="1314"/>
        <v>0</v>
      </c>
      <c r="AC503" s="53"/>
      <c r="AD503" s="53"/>
      <c r="AE503" s="51">
        <f t="shared" ref="AE503:AF503" si="1315">SUM(AE497:AE502)</f>
        <v>4953.0208</v>
      </c>
      <c r="AF503" s="51">
        <f t="shared" si="1315"/>
        <v>0</v>
      </c>
      <c r="AG503" s="52"/>
      <c r="AH503" s="53"/>
      <c r="AI503" s="51">
        <f t="shared" ref="AI503:AJ503" si="1316">SUM(AI497:AI502)</f>
        <v>0</v>
      </c>
      <c r="AJ503" s="68">
        <f t="shared" si="1316"/>
        <v>0</v>
      </c>
      <c r="AK503" s="52"/>
      <c r="AL503" s="53"/>
      <c r="AM503" s="51">
        <f t="shared" ref="AM503:AN503" si="1317">SUM(AM497:AM502)</f>
        <v>88.4</v>
      </c>
      <c r="AN503" s="68">
        <f t="shared" si="1317"/>
        <v>5391.42</v>
      </c>
      <c r="AO503" s="52"/>
      <c r="AP503" s="53"/>
      <c r="AQ503" s="51">
        <f t="shared" ref="AQ503:AR503" si="1318">SUM(AQ497:AQ502)</f>
        <v>0</v>
      </c>
      <c r="AR503" s="68">
        <f t="shared" si="1318"/>
        <v>0</v>
      </c>
      <c r="AS503" s="53"/>
      <c r="AT503" s="53"/>
      <c r="AU503" s="51">
        <f t="shared" ref="AU503:AV503" si="1319">SUM(AU497:AU502)</f>
        <v>0</v>
      </c>
      <c r="AV503" s="51">
        <f t="shared" si="1319"/>
        <v>0</v>
      </c>
      <c r="AW503" s="52"/>
      <c r="AX503" s="53"/>
      <c r="AY503" s="51">
        <f t="shared" ref="AY503:AZ503" si="1320">SUM(AY497:AY502)</f>
        <v>0</v>
      </c>
      <c r="AZ503" s="68">
        <f t="shared" si="1320"/>
        <v>0</v>
      </c>
      <c r="BA503" s="53"/>
      <c r="BB503" s="53"/>
      <c r="BC503" s="51">
        <f t="shared" ref="BC503:BD503" si="1321">SUM(BC497:BC502)</f>
        <v>0</v>
      </c>
      <c r="BD503" s="51">
        <f t="shared" si="1321"/>
        <v>0</v>
      </c>
      <c r="BE503" s="69"/>
      <c r="BF503" s="70">
        <f t="shared" ref="BF503:BH503" si="1322">SUM(BF496:BF502)</f>
        <v>5391.4208</v>
      </c>
      <c r="BG503" s="71">
        <f t="shared" si="1322"/>
        <v>5391.42</v>
      </c>
      <c r="BH503" s="72">
        <f t="shared" si="1322"/>
        <v>-17.1592</v>
      </c>
      <c r="BI503" s="34">
        <f>H503+BF503-BG503</f>
        <v>-17.1592</v>
      </c>
      <c r="BJ503" s="34">
        <f>BH503-BI503</f>
        <v>0</v>
      </c>
    </row>
    <row r="504" ht="15.75" customHeight="1" hidden="1" spans="1:60" x14ac:dyDescent="0.25">
      <c r="A504" s="29">
        <v>67</v>
      </c>
      <c r="B504" s="14"/>
      <c r="D504" s="14" t="s">
        <v>42</v>
      </c>
      <c r="F504" s="13"/>
      <c r="G504" s="28"/>
      <c r="I504" s="13"/>
      <c r="J504" s="15"/>
      <c r="K504" s="15"/>
      <c r="L504" s="28"/>
      <c r="Q504" s="13"/>
      <c r="R504" s="15"/>
      <c r="S504" s="15"/>
      <c r="T504" s="28"/>
      <c r="Y504" s="13"/>
      <c r="Z504" s="15"/>
      <c r="AA504" s="15"/>
      <c r="AB504" s="28"/>
      <c r="AG504" s="13"/>
      <c r="AH504" s="15"/>
      <c r="AI504" s="15"/>
      <c r="AJ504" s="28"/>
      <c r="AK504" s="13"/>
      <c r="AL504" s="15"/>
      <c r="AM504" s="15"/>
      <c r="AN504" s="28"/>
      <c r="AO504" s="13"/>
      <c r="AP504" s="15"/>
      <c r="AQ504" s="15"/>
      <c r="AR504" s="28"/>
      <c r="AW504" s="13"/>
      <c r="AX504" s="15"/>
      <c r="AY504" s="15"/>
      <c r="AZ504" s="28"/>
      <c r="BE504" s="14"/>
      <c r="BF504" s="13"/>
      <c r="BG504" s="15"/>
      <c r="BH504" s="28"/>
    </row>
    <row r="505" ht="15.75" customHeight="1" hidden="1" spans="1:63" x14ac:dyDescent="0.25">
      <c r="A505" s="2">
        <v>67</v>
      </c>
      <c r="B505" s="14">
        <v>6.08</v>
      </c>
      <c r="C505" s="2" t="s">
        <v>245</v>
      </c>
      <c r="D505" s="14" t="s">
        <v>44</v>
      </c>
      <c r="E505" s="2" t="s">
        <v>45</v>
      </c>
      <c r="F505" s="13">
        <v>2.49</v>
      </c>
      <c r="G505" s="28"/>
      <c r="H505" s="34">
        <v>149.4</v>
      </c>
      <c r="I505" s="13">
        <v>796</v>
      </c>
      <c r="J505" s="15">
        <v>0</v>
      </c>
      <c r="K505" s="34">
        <f>J505*$F$8</f>
        <v>0</v>
      </c>
      <c r="L505" s="28"/>
      <c r="M505" s="2">
        <v>796</v>
      </c>
      <c r="N505" s="15">
        <f>M505-I505</f>
        <v>0</v>
      </c>
      <c r="O505" s="34">
        <f>N505*$F$8</f>
        <v>0</v>
      </c>
      <c r="Q505" s="13">
        <v>796</v>
      </c>
      <c r="R505" s="15">
        <f>Q505-M505</f>
        <v>0</v>
      </c>
      <c r="S505" s="34">
        <f>R505*$F$8</f>
        <v>0</v>
      </c>
      <c r="T505" s="28"/>
      <c r="U505" s="2">
        <v>857</v>
      </c>
      <c r="V505" s="15">
        <f>U505-Q505</f>
        <v>61</v>
      </c>
      <c r="W505" s="34">
        <f>V505*$F$8</f>
        <v>151.89</v>
      </c>
      <c r="X505" s="2">
        <f>149.4+151.89</f>
        <v>301.29</v>
      </c>
      <c r="Y505" s="13">
        <v>959</v>
      </c>
      <c r="Z505" s="15">
        <f>Y505-U505</f>
        <v>102</v>
      </c>
      <c r="AA505" s="34">
        <f>Z505*$F$8</f>
        <v>253.98</v>
      </c>
      <c r="AB505" s="28">
        <v>253.98</v>
      </c>
      <c r="AC505" s="2">
        <v>1059</v>
      </c>
      <c r="AD505" s="15">
        <f t="shared" ref="AD505:AD506" si="1323">AC505-Y505</f>
        <v>100</v>
      </c>
      <c r="AE505" s="34">
        <f>AD505*$F$8</f>
        <v>249</v>
      </c>
      <c r="AG505" s="13">
        <v>1159</v>
      </c>
      <c r="AH505" s="15">
        <f t="shared" ref="AH505:AH506" si="1324">AG505-AC505</f>
        <v>100</v>
      </c>
      <c r="AI505" s="34">
        <f>AH505*$F$8</f>
        <v>249</v>
      </c>
      <c r="AJ505" s="38">
        <v>249</v>
      </c>
      <c r="AK505" s="13">
        <v>1287</v>
      </c>
      <c r="AL505" s="15">
        <f t="shared" ref="AL505:AL506" si="1325">AK505-AG505</f>
        <v>128</v>
      </c>
      <c r="AM505" s="34">
        <f>AL505*$F$8</f>
        <v>318.72</v>
      </c>
      <c r="AN505" s="38">
        <v>249</v>
      </c>
      <c r="AO505" s="13">
        <v>1370</v>
      </c>
      <c r="AP505" s="15">
        <f t="shared" ref="AP505:AP506" si="1326">AO505-AK505</f>
        <v>83</v>
      </c>
      <c r="AQ505" s="34">
        <f>AP505*$F$8</f>
        <v>206.67</v>
      </c>
      <c r="AR505" s="32">
        <v>525.39</v>
      </c>
      <c r="AS505" s="15">
        <v>1425</v>
      </c>
      <c r="AT505" s="15">
        <f>AS505-AO505</f>
        <v>55</v>
      </c>
      <c r="AU505" s="34">
        <f>AT505*$F$8</f>
        <v>136.95</v>
      </c>
      <c r="AV505" s="15"/>
      <c r="AW505" s="13">
        <v>1425</v>
      </c>
      <c r="AX505" s="15">
        <f>AW505-AS505</f>
        <v>0</v>
      </c>
      <c r="AY505" s="34">
        <f>AX505*$F$8</f>
        <v>0</v>
      </c>
      <c r="AZ505" s="32">
        <v>136.95</v>
      </c>
      <c r="BA505" s="13">
        <v>1425</v>
      </c>
      <c r="BB505" s="15">
        <f>BA505-AW505</f>
        <v>0</v>
      </c>
      <c r="BC505" s="34">
        <f>BB505*$F$8</f>
        <v>0</v>
      </c>
      <c r="BD505" s="39">
        <v>200</v>
      </c>
      <c r="BE505" s="40">
        <f t="shared" ref="BE505:BG505" si="1327">J505+N505+R505+V505+Z505+AD505+AH505+AL505+AP505+AT505+AX505+BB505</f>
        <v>629</v>
      </c>
      <c r="BF505" s="41">
        <f t="shared" si="1327"/>
        <v>1566.21</v>
      </c>
      <c r="BG505" s="34">
        <f t="shared" si="1327"/>
        <v>1915.61</v>
      </c>
      <c r="BH505" s="35">
        <f t="shared" ref="BH505:BH510" si="1328">H505+BF505-BG505</f>
        <v>-200</v>
      </c>
      <c r="BK505" s="2">
        <v>200</v>
      </c>
    </row>
    <row r="506" ht="15.75" customHeight="1" hidden="1" spans="1:60" x14ac:dyDescent="0.25">
      <c r="A506" s="29">
        <v>67</v>
      </c>
      <c r="B506" s="14"/>
      <c r="C506" s="2" t="s">
        <v>98</v>
      </c>
      <c r="D506" s="14" t="s">
        <v>47</v>
      </c>
      <c r="E506" s="2" t="s">
        <v>48</v>
      </c>
      <c r="F506" s="13">
        <v>17.16</v>
      </c>
      <c r="G506" s="28"/>
      <c r="H506" s="81">
        <f>4*17.16</f>
        <v>68.64</v>
      </c>
      <c r="I506" s="13"/>
      <c r="J506" s="15"/>
      <c r="K506" s="15"/>
      <c r="L506" s="28"/>
      <c r="Q506" s="13"/>
      <c r="R506" s="15"/>
      <c r="S506" s="15"/>
      <c r="T506" s="28"/>
      <c r="Y506" s="95">
        <f>76+90</f>
        <v>166</v>
      </c>
      <c r="Z506" s="15"/>
      <c r="AA506" s="15"/>
      <c r="AB506" s="28"/>
      <c r="AC506" s="13">
        <f>76+90</f>
        <v>166</v>
      </c>
      <c r="AD506" s="15">
        <f t="shared" si="1323"/>
        <v>0</v>
      </c>
      <c r="AE506" s="34">
        <f>AD506*$F$10</f>
        <v>0</v>
      </c>
      <c r="AG506" s="13">
        <f>76+100</f>
        <v>176</v>
      </c>
      <c r="AH506" s="15">
        <f t="shared" si="1324"/>
        <v>10</v>
      </c>
      <c r="AI506" s="45">
        <f>AH506*$G$10</f>
        <v>176.8</v>
      </c>
      <c r="AJ506" s="32">
        <f>68.64+176.8</f>
        <v>245.44</v>
      </c>
      <c r="AK506" s="13">
        <f>85+100</f>
        <v>185</v>
      </c>
      <c r="AL506" s="15">
        <f t="shared" si="1325"/>
        <v>9</v>
      </c>
      <c r="AM506" s="45">
        <f>AL506*$G$10</f>
        <v>159.12</v>
      </c>
      <c r="AN506" s="32">
        <v>159.12</v>
      </c>
      <c r="AO506" s="13">
        <f>88+104</f>
        <v>192</v>
      </c>
      <c r="AP506" s="15">
        <f t="shared" si="1326"/>
        <v>7</v>
      </c>
      <c r="AQ506" s="45">
        <f>AP506*$G$10</f>
        <v>123.76</v>
      </c>
      <c r="AR506" s="32">
        <v>123.76</v>
      </c>
      <c r="AS506" s="15"/>
      <c r="AT506" s="15"/>
      <c r="AU506" s="15"/>
      <c r="AV506" s="15"/>
      <c r="AW506" s="13"/>
      <c r="AX506" s="15"/>
      <c r="AY506" s="15"/>
      <c r="AZ506" s="28"/>
      <c r="BA506" s="15"/>
      <c r="BB506" s="15"/>
      <c r="BC506" s="15"/>
      <c r="BD506" s="15"/>
      <c r="BE506" s="40">
        <f t="shared" ref="BE506:BG506" si="1329">J506+N506+R506+V506+Z506+AD506+AH506+AL506+AP506+AT506+AX506+BB506</f>
        <v>26</v>
      </c>
      <c r="BF506" s="41">
        <f t="shared" si="1329"/>
        <v>459.68</v>
      </c>
      <c r="BG506" s="34">
        <f t="shared" si="1329"/>
        <v>528.32</v>
      </c>
      <c r="BH506" s="35">
        <f t="shared" si="1328"/>
        <v>0</v>
      </c>
    </row>
    <row r="507" ht="15.75" customHeight="1" hidden="1" spans="1:60" x14ac:dyDescent="0.25">
      <c r="A507" s="29">
        <v>67</v>
      </c>
      <c r="B507" s="14"/>
      <c r="C507" s="2" t="s">
        <v>246</v>
      </c>
      <c r="D507" s="14" t="s">
        <v>47</v>
      </c>
      <c r="E507" s="2" t="s">
        <v>49</v>
      </c>
      <c r="F507" s="41">
        <v>300</v>
      </c>
      <c r="G507" s="28"/>
      <c r="I507" s="13"/>
      <c r="J507" s="15"/>
      <c r="K507" s="15"/>
      <c r="L507" s="28"/>
      <c r="Q507" s="13"/>
      <c r="R507" s="15"/>
      <c r="S507" s="15"/>
      <c r="T507" s="28"/>
      <c r="Y507" s="13"/>
      <c r="Z507" s="15"/>
      <c r="AA507" s="15"/>
      <c r="AB507" s="28"/>
      <c r="AG507" s="13"/>
      <c r="AH507" s="15"/>
      <c r="AI507" s="15"/>
      <c r="AJ507" s="28"/>
      <c r="AK507" s="13"/>
      <c r="AL507" s="15"/>
      <c r="AM507" s="34"/>
      <c r="AN507" s="28"/>
      <c r="AO507" s="13"/>
      <c r="AP507" s="15"/>
      <c r="AQ507" s="34"/>
      <c r="AR507" s="28"/>
      <c r="AS507" s="15"/>
      <c r="AT507" s="15"/>
      <c r="AU507" s="15"/>
      <c r="AV507" s="15"/>
      <c r="AW507" s="13"/>
      <c r="AX507" s="15"/>
      <c r="AY507" s="15"/>
      <c r="AZ507" s="28"/>
      <c r="BA507" s="15"/>
      <c r="BB507" s="15"/>
      <c r="BC507" s="15"/>
      <c r="BD507" s="15"/>
      <c r="BE507" s="14"/>
      <c r="BF507" s="41">
        <f t="shared" ref="BF507:BG507" si="1330">K507+O507+S507+W507+AA507+AE507+AI507+AM507+AQ507+AU507+AY507+BC507</f>
        <v>0</v>
      </c>
      <c r="BG507" s="34">
        <f t="shared" si="1330"/>
        <v>0</v>
      </c>
      <c r="BH507" s="35">
        <f t="shared" si="1328"/>
        <v>0</v>
      </c>
    </row>
    <row r="508" ht="15.75" customHeight="1" hidden="1" spans="1:60" x14ac:dyDescent="0.25">
      <c r="A508" s="29">
        <v>67</v>
      </c>
      <c r="B508" s="14"/>
      <c r="C508" s="2" t="s">
        <v>161</v>
      </c>
      <c r="D508" s="14" t="s">
        <v>50</v>
      </c>
      <c r="E508" s="2" t="s">
        <v>49</v>
      </c>
      <c r="F508" s="41">
        <v>1062.88</v>
      </c>
      <c r="G508" s="28"/>
      <c r="I508" s="13"/>
      <c r="J508" s="15"/>
      <c r="K508" s="15"/>
      <c r="L508" s="28"/>
      <c r="Q508" s="13"/>
      <c r="R508" s="15"/>
      <c r="S508" s="15"/>
      <c r="T508" s="28"/>
      <c r="Y508" s="13"/>
      <c r="Z508" s="15"/>
      <c r="AA508" s="15"/>
      <c r="AB508" s="28"/>
      <c r="AE508" s="34">
        <f>B505*$F$12</f>
        <v>6462.3104</v>
      </c>
      <c r="AF508" s="34">
        <v>2000</v>
      </c>
      <c r="AG508" s="13"/>
      <c r="AH508" s="15"/>
      <c r="AI508" s="15"/>
      <c r="AJ508" s="38">
        <v>4462.31</v>
      </c>
      <c r="AK508" s="13"/>
      <c r="AL508" s="15"/>
      <c r="AM508" s="15"/>
      <c r="AN508" s="28"/>
      <c r="AO508" s="13"/>
      <c r="AP508" s="15"/>
      <c r="AQ508" s="15"/>
      <c r="AR508" s="28"/>
      <c r="AS508" s="15"/>
      <c r="AT508" s="15"/>
      <c r="AU508" s="15"/>
      <c r="AV508" s="15"/>
      <c r="AW508" s="13"/>
      <c r="AX508" s="15"/>
      <c r="AY508" s="15"/>
      <c r="AZ508" s="28"/>
      <c r="BA508" s="15"/>
      <c r="BB508" s="15"/>
      <c r="BC508" s="15"/>
      <c r="BD508" s="15"/>
      <c r="BE508" s="14"/>
      <c r="BF508" s="41">
        <f>B505*$F$12</f>
        <v>6462.3104</v>
      </c>
      <c r="BG508" s="34">
        <f t="shared" ref="BG508:BG510" si="1331">L508+P508+T508+X508+AB508+AF508+AJ508+AN508+AR508+AV508+AZ508+BD508</f>
        <v>6462.31</v>
      </c>
      <c r="BH508" s="35">
        <f t="shared" si="1328"/>
        <v>0.0003999999999</v>
      </c>
    </row>
    <row r="509" ht="15.75" customHeight="1" hidden="1" spans="1:60" x14ac:dyDescent="0.25">
      <c r="A509" s="29">
        <v>67</v>
      </c>
      <c r="B509" s="14"/>
      <c r="C509" s="2" t="s">
        <v>247</v>
      </c>
      <c r="D509" s="14" t="s">
        <v>51</v>
      </c>
      <c r="E509" s="2" t="s">
        <v>49</v>
      </c>
      <c r="F509" s="41">
        <v>0</v>
      </c>
      <c r="G509" s="28"/>
      <c r="I509" s="13"/>
      <c r="J509" s="15"/>
      <c r="K509" s="15"/>
      <c r="L509" s="28"/>
      <c r="Q509" s="13"/>
      <c r="R509" s="15"/>
      <c r="S509" s="15"/>
      <c r="T509" s="28"/>
      <c r="Y509" s="13"/>
      <c r="Z509" s="15"/>
      <c r="AA509" s="15"/>
      <c r="AB509" s="28"/>
      <c r="AG509" s="13"/>
      <c r="AH509" s="15"/>
      <c r="AI509" s="15"/>
      <c r="AJ509" s="28"/>
      <c r="AK509" s="13"/>
      <c r="AL509" s="15"/>
      <c r="AM509" s="15"/>
      <c r="AN509" s="28"/>
      <c r="AO509" s="13"/>
      <c r="AP509" s="15"/>
      <c r="AQ509" s="15"/>
      <c r="AR509" s="28"/>
      <c r="AS509" s="15"/>
      <c r="AT509" s="15"/>
      <c r="AU509" s="15"/>
      <c r="AV509" s="15"/>
      <c r="AW509" s="13"/>
      <c r="AX509" s="15"/>
      <c r="AY509" s="15"/>
      <c r="AZ509" s="28"/>
      <c r="BA509" s="15"/>
      <c r="BB509" s="15"/>
      <c r="BC509" s="15"/>
      <c r="BD509" s="15"/>
      <c r="BE509" s="14"/>
      <c r="BF509" s="41">
        <f>B505*$F$13</f>
        <v>0</v>
      </c>
      <c r="BG509" s="34">
        <f t="shared" si="1331"/>
        <v>0</v>
      </c>
      <c r="BH509" s="35">
        <f t="shared" si="1328"/>
        <v>0</v>
      </c>
    </row>
    <row r="510" ht="15.75" customHeight="1" hidden="1" spans="1:60" x14ac:dyDescent="0.25">
      <c r="A510" s="29">
        <v>67</v>
      </c>
      <c r="B510" s="14"/>
      <c r="D510" s="14" t="s">
        <v>52</v>
      </c>
      <c r="E510" s="2" t="s">
        <v>39</v>
      </c>
      <c r="F510" s="41">
        <v>350</v>
      </c>
      <c r="G510" s="28"/>
      <c r="I510" s="13"/>
      <c r="J510" s="15"/>
      <c r="K510" s="15"/>
      <c r="L510" s="28"/>
      <c r="Q510" s="13"/>
      <c r="R510" s="15"/>
      <c r="S510" s="15"/>
      <c r="T510" s="28"/>
      <c r="Y510" s="13"/>
      <c r="Z510" s="15"/>
      <c r="AA510" s="34">
        <f>$F$14</f>
        <v>350</v>
      </c>
      <c r="AB510" s="28"/>
      <c r="AG510" s="13"/>
      <c r="AH510" s="15"/>
      <c r="AI510" s="15"/>
      <c r="AJ510" s="38">
        <v>350</v>
      </c>
      <c r="AK510" s="13"/>
      <c r="AL510" s="15"/>
      <c r="AM510" s="15"/>
      <c r="AN510" s="28"/>
      <c r="AO510" s="13"/>
      <c r="AP510" s="15"/>
      <c r="AQ510" s="15"/>
      <c r="AR510" s="28"/>
      <c r="AS510" s="15"/>
      <c r="AT510" s="15"/>
      <c r="AU510" s="15"/>
      <c r="AV510" s="15"/>
      <c r="AW510" s="13"/>
      <c r="AX510" s="15"/>
      <c r="AY510" s="15"/>
      <c r="AZ510" s="28"/>
      <c r="BA510" s="15"/>
      <c r="BB510" s="15"/>
      <c r="BC510" s="15"/>
      <c r="BD510" s="15"/>
      <c r="BE510" s="14"/>
      <c r="BF510" s="41">
        <f>$F$14</f>
        <v>350</v>
      </c>
      <c r="BG510" s="34">
        <f t="shared" si="1331"/>
        <v>350</v>
      </c>
      <c r="BH510" s="35">
        <f t="shared" si="1328"/>
        <v>0</v>
      </c>
    </row>
    <row r="511" ht="15.75" customHeight="1" hidden="1" spans="1:62" x14ac:dyDescent="0.25">
      <c r="A511" s="50">
        <v>67</v>
      </c>
      <c r="B511" s="21"/>
      <c r="C511" s="22" t="s">
        <v>53</v>
      </c>
      <c r="D511" s="21"/>
      <c r="E511" s="22"/>
      <c r="F511" s="20"/>
      <c r="G511" s="23"/>
      <c r="H511" s="51">
        <f>SUM(H504:H510)</f>
        <v>218.04</v>
      </c>
      <c r="I511" s="52"/>
      <c r="J511" s="53"/>
      <c r="K511" s="51">
        <f t="shared" ref="K511:L511" si="1332">SUM(K504:K510)</f>
        <v>0</v>
      </c>
      <c r="L511" s="68">
        <f t="shared" si="1332"/>
        <v>0</v>
      </c>
      <c r="M511" s="53"/>
      <c r="N511" s="53"/>
      <c r="O511" s="51">
        <f t="shared" ref="O511:P511" si="1333">SUM(O505:O510)</f>
        <v>0</v>
      </c>
      <c r="P511" s="51">
        <f t="shared" si="1333"/>
        <v>0</v>
      </c>
      <c r="Q511" s="52"/>
      <c r="R511" s="53"/>
      <c r="S511" s="51">
        <f t="shared" ref="S511:T511" si="1334">SUM(S505:S510)</f>
        <v>0</v>
      </c>
      <c r="T511" s="68">
        <f t="shared" si="1334"/>
        <v>0</v>
      </c>
      <c r="U511" s="53"/>
      <c r="V511" s="53"/>
      <c r="W511" s="51">
        <f t="shared" ref="W511:X511" si="1335">SUM(W505:W510)</f>
        <v>151.89</v>
      </c>
      <c r="X511" s="51">
        <f t="shared" si="1335"/>
        <v>301.29</v>
      </c>
      <c r="Y511" s="52"/>
      <c r="Z511" s="53"/>
      <c r="AA511" s="51">
        <f t="shared" ref="AA511:AB511" si="1336">SUM(AA505:AA510)</f>
        <v>603.98</v>
      </c>
      <c r="AB511" s="68">
        <f t="shared" si="1336"/>
        <v>253.98</v>
      </c>
      <c r="AC511" s="53"/>
      <c r="AD511" s="53"/>
      <c r="AE511" s="51">
        <f t="shared" ref="AE511:AF511" si="1337">SUM(AE505:AE510)</f>
        <v>6711.3104</v>
      </c>
      <c r="AF511" s="51">
        <f t="shared" si="1337"/>
        <v>2000</v>
      </c>
      <c r="AG511" s="52"/>
      <c r="AH511" s="53"/>
      <c r="AI511" s="51">
        <f t="shared" ref="AI511:AJ511" si="1338">SUM(AI505:AI510)</f>
        <v>425.8</v>
      </c>
      <c r="AJ511" s="68">
        <f t="shared" si="1338"/>
        <v>5306.75</v>
      </c>
      <c r="AK511" s="52"/>
      <c r="AL511" s="53"/>
      <c r="AM511" s="51">
        <f t="shared" ref="AM511:AN511" si="1339">SUM(AM505:AM510)</f>
        <v>477.84</v>
      </c>
      <c r="AN511" s="68">
        <f t="shared" si="1339"/>
        <v>408.12</v>
      </c>
      <c r="AO511" s="52"/>
      <c r="AP511" s="53"/>
      <c r="AQ511" s="51">
        <f t="shared" ref="AQ511:AR511" si="1340">SUM(AQ505:AQ510)</f>
        <v>330.43</v>
      </c>
      <c r="AR511" s="68">
        <f t="shared" si="1340"/>
        <v>649.15</v>
      </c>
      <c r="AS511" s="53"/>
      <c r="AT511" s="53"/>
      <c r="AU511" s="51">
        <f t="shared" ref="AU511:AV511" si="1341">SUM(AU505:AU510)</f>
        <v>136.95</v>
      </c>
      <c r="AV511" s="51">
        <f t="shared" si="1341"/>
        <v>0</v>
      </c>
      <c r="AW511" s="52"/>
      <c r="AX511" s="53"/>
      <c r="AY511" s="51">
        <f t="shared" ref="AY511:AZ511" si="1342">SUM(AY505:AY510)</f>
        <v>0</v>
      </c>
      <c r="AZ511" s="68">
        <f t="shared" si="1342"/>
        <v>136.95</v>
      </c>
      <c r="BA511" s="53"/>
      <c r="BB511" s="53"/>
      <c r="BC511" s="51">
        <f t="shared" ref="BC511:BD511" si="1343">SUM(BC505:BC510)</f>
        <v>0</v>
      </c>
      <c r="BD511" s="51">
        <f t="shared" si="1343"/>
        <v>200</v>
      </c>
      <c r="BE511" s="69"/>
      <c r="BF511" s="70">
        <f t="shared" ref="BF511:BH511" si="1344">SUM(BF504:BF510)</f>
        <v>8838.2004</v>
      </c>
      <c r="BG511" s="71">
        <f t="shared" si="1344"/>
        <v>9256.24</v>
      </c>
      <c r="BH511" s="72">
        <f t="shared" si="1344"/>
        <v>-199.9996</v>
      </c>
      <c r="BI511" s="34">
        <f>H511+BF511-BG511</f>
        <v>-199.9996</v>
      </c>
      <c r="BJ511" s="34">
        <f>BH511-BI511</f>
        <v>0</v>
      </c>
    </row>
    <row r="512" ht="15.75" customHeight="1" hidden="1" spans="1:60" x14ac:dyDescent="0.25">
      <c r="A512" s="79" t="s">
        <v>248</v>
      </c>
      <c r="B512" s="14"/>
      <c r="D512" s="14" t="s">
        <v>42</v>
      </c>
      <c r="F512" s="13"/>
      <c r="G512" s="28"/>
      <c r="I512" s="13"/>
      <c r="J512" s="15"/>
      <c r="K512" s="15"/>
      <c r="L512" s="28"/>
      <c r="Q512" s="13"/>
      <c r="R512" s="15"/>
      <c r="S512" s="15"/>
      <c r="T512" s="28"/>
      <c r="Y512" s="13"/>
      <c r="Z512" s="15"/>
      <c r="AA512" s="15"/>
      <c r="AB512" s="28"/>
      <c r="AG512" s="13"/>
      <c r="AH512" s="15"/>
      <c r="AI512" s="15"/>
      <c r="AJ512" s="28"/>
      <c r="AK512" s="13"/>
      <c r="AL512" s="15"/>
      <c r="AM512" s="15"/>
      <c r="AN512" s="28"/>
      <c r="AO512" s="13"/>
      <c r="AP512" s="15"/>
      <c r="AQ512" s="15"/>
      <c r="AR512" s="28"/>
      <c r="AW512" s="13"/>
      <c r="AX512" s="15"/>
      <c r="AY512" s="15"/>
      <c r="AZ512" s="28"/>
      <c r="BE512" s="14"/>
      <c r="BF512" s="13"/>
      <c r="BG512" s="15"/>
      <c r="BH512" s="28"/>
    </row>
    <row r="513" ht="15.75" customHeight="1" hidden="1" spans="1:60" x14ac:dyDescent="0.25">
      <c r="A513" s="102" t="s">
        <v>248</v>
      </c>
      <c r="B513" s="14">
        <f>4.01+4.02</f>
        <v>8.03</v>
      </c>
      <c r="C513" s="2" t="s">
        <v>249</v>
      </c>
      <c r="D513" s="14" t="s">
        <v>44</v>
      </c>
      <c r="E513" s="2" t="s">
        <v>45</v>
      </c>
      <c r="F513" s="13">
        <v>2.49</v>
      </c>
      <c r="G513" s="28"/>
      <c r="H513" s="2">
        <v>238.46</v>
      </c>
      <c r="I513" s="13">
        <v>1118</v>
      </c>
      <c r="J513" s="15">
        <v>0</v>
      </c>
      <c r="K513" s="34">
        <f>J513*$F$8</f>
        <v>0</v>
      </c>
      <c r="L513" s="28"/>
      <c r="M513" s="2">
        <v>1118</v>
      </c>
      <c r="N513" s="15">
        <f>M513-I513</f>
        <v>0</v>
      </c>
      <c r="O513" s="34">
        <f>N513*$F$8</f>
        <v>0</v>
      </c>
      <c r="Q513" s="13">
        <v>1118</v>
      </c>
      <c r="R513" s="15">
        <f>Q513-M513</f>
        <v>0</v>
      </c>
      <c r="S513" s="34">
        <f>R513*$F$8</f>
        <v>0</v>
      </c>
      <c r="T513" s="28"/>
      <c r="U513" s="2">
        <v>1119</v>
      </c>
      <c r="V513" s="15">
        <f>U513-Q513</f>
        <v>1</v>
      </c>
      <c r="W513" s="34">
        <f>V513*$F$8</f>
        <v>2.49</v>
      </c>
      <c r="Y513" s="13">
        <v>1129</v>
      </c>
      <c r="Z513" s="15">
        <f>Y513-U513</f>
        <v>10</v>
      </c>
      <c r="AA513" s="34">
        <f>Z513*$F$8</f>
        <v>24.9</v>
      </c>
      <c r="AB513" s="28"/>
      <c r="AC513" s="2">
        <v>1153</v>
      </c>
      <c r="AD513" s="15">
        <f t="shared" ref="AD513:AD514" si="1345">AC513-Y513</f>
        <v>24</v>
      </c>
      <c r="AE513" s="34">
        <f>AD513*$F$8</f>
        <v>59.76</v>
      </c>
      <c r="AG513" s="13">
        <v>1177</v>
      </c>
      <c r="AH513" s="15">
        <f t="shared" ref="AH513:AH514" si="1346">AG513-AC513</f>
        <v>24</v>
      </c>
      <c r="AI513" s="34">
        <f>AH513*$F$8</f>
        <v>59.76</v>
      </c>
      <c r="AJ513" s="28"/>
      <c r="AK513" s="13">
        <v>1211</v>
      </c>
      <c r="AL513" s="15">
        <f t="shared" ref="AL513:AL514" si="1347">AK513-AG513</f>
        <v>34</v>
      </c>
      <c r="AM513" s="34">
        <f>AL513*$F$8</f>
        <v>84.66</v>
      </c>
      <c r="AN513" s="32">
        <v>385.37</v>
      </c>
      <c r="AO513" s="13">
        <v>1241</v>
      </c>
      <c r="AP513" s="15">
        <f t="shared" ref="AP513:AP514" si="1348">AO513-AK513</f>
        <v>30</v>
      </c>
      <c r="AQ513" s="34">
        <f>AP513*$F$8</f>
        <v>74.7</v>
      </c>
      <c r="AR513" s="32">
        <v>159.36</v>
      </c>
      <c r="AS513" s="15">
        <v>1247</v>
      </c>
      <c r="AT513" s="15">
        <f>AS513-AO513</f>
        <v>6</v>
      </c>
      <c r="AU513" s="34">
        <f>AT513*$F$8</f>
        <v>14.94</v>
      </c>
      <c r="AV513" s="15"/>
      <c r="AW513" s="13">
        <v>1247</v>
      </c>
      <c r="AX513" s="15">
        <f>AW513-AS513</f>
        <v>0</v>
      </c>
      <c r="AY513" s="34">
        <f>AX513*$F$8</f>
        <v>0</v>
      </c>
      <c r="AZ513" s="28"/>
      <c r="BA513" s="13">
        <v>1247</v>
      </c>
      <c r="BB513" s="15">
        <f>BA513-AW513</f>
        <v>0</v>
      </c>
      <c r="BC513" s="34">
        <f>BB513*$F$8</f>
        <v>0</v>
      </c>
      <c r="BD513" s="15"/>
      <c r="BE513" s="40">
        <f t="shared" ref="BE513:BG513" si="1349">J513+N513+R513+V513+Z513+AD513+AH513+AL513+AP513+AT513+AX513+BB513</f>
        <v>129</v>
      </c>
      <c r="BF513" s="41">
        <f t="shared" si="1349"/>
        <v>321.21</v>
      </c>
      <c r="BG513" s="34">
        <f t="shared" si="1349"/>
        <v>544.73</v>
      </c>
      <c r="BH513" s="35">
        <f t="shared" ref="BH513:BH518" si="1350">H513+BF513-BG513</f>
        <v>14.94</v>
      </c>
    </row>
    <row r="514" ht="15.75" customHeight="1" hidden="1" spans="1:60" x14ac:dyDescent="0.25">
      <c r="A514" s="79" t="s">
        <v>248</v>
      </c>
      <c r="B514" s="14"/>
      <c r="C514" s="2" t="s">
        <v>250</v>
      </c>
      <c r="D514" s="14" t="s">
        <v>47</v>
      </c>
      <c r="E514" s="2" t="s">
        <v>48</v>
      </c>
      <c r="F514" s="13">
        <v>17.16</v>
      </c>
      <c r="G514" s="28"/>
      <c r="H514" s="81"/>
      <c r="I514" s="13"/>
      <c r="J514" s="15"/>
      <c r="K514" s="15"/>
      <c r="L514" s="28"/>
      <c r="Q514" s="13"/>
      <c r="R514" s="15"/>
      <c r="S514" s="15"/>
      <c r="T514" s="28"/>
      <c r="Y514" s="94">
        <f>(107+25)+67</f>
        <v>199</v>
      </c>
      <c r="Z514" s="15"/>
      <c r="AA514" s="15"/>
      <c r="AB514" s="28"/>
      <c r="AC514" s="94">
        <f>(107+25)+67</f>
        <v>199</v>
      </c>
      <c r="AD514" s="15">
        <f t="shared" si="1345"/>
        <v>0</v>
      </c>
      <c r="AE514" s="34">
        <f>AD514*$F$10</f>
        <v>0</v>
      </c>
      <c r="AG514" s="94">
        <f>(107+25)+67</f>
        <v>199</v>
      </c>
      <c r="AH514" s="15">
        <f t="shared" si="1346"/>
        <v>0</v>
      </c>
      <c r="AI514" s="45">
        <f>AH514*$G$10</f>
        <v>0</v>
      </c>
      <c r="AJ514" s="28"/>
      <c r="AK514" s="75">
        <f>(107+25+11)+67+4</f>
        <v>214</v>
      </c>
      <c r="AL514" s="15">
        <f t="shared" si="1347"/>
        <v>15</v>
      </c>
      <c r="AM514" s="45">
        <f>AL514*$G$10</f>
        <v>265.2</v>
      </c>
      <c r="AN514" s="38">
        <v>265.2</v>
      </c>
      <c r="AO514" s="95">
        <f>215+74</f>
        <v>289</v>
      </c>
      <c r="AP514" s="15">
        <f t="shared" si="1348"/>
        <v>75</v>
      </c>
      <c r="AQ514" s="45">
        <f>AP514*$G$10</f>
        <v>1326</v>
      </c>
      <c r="AR514" s="93"/>
      <c r="AS514" s="15"/>
      <c r="AT514" s="15"/>
      <c r="AU514" s="15"/>
      <c r="AV514" s="15"/>
      <c r="AW514" s="13"/>
      <c r="AX514" s="15"/>
      <c r="AY514" s="15"/>
      <c r="AZ514" s="28"/>
      <c r="BA514" s="15"/>
      <c r="BB514" s="15"/>
      <c r="BC514" s="15"/>
      <c r="BD514" s="15"/>
      <c r="BE514" s="40">
        <f t="shared" ref="BE514:BG514" si="1351">J514+N514+R514+V514+Z514+AD514+AH514+AL514+AP514+AT514+AX514+BB514</f>
        <v>90</v>
      </c>
      <c r="BF514" s="41">
        <f t="shared" si="1351"/>
        <v>1591.2</v>
      </c>
      <c r="BG514" s="34">
        <f t="shared" si="1351"/>
        <v>265.2</v>
      </c>
      <c r="BH514" s="35">
        <f t="shared" si="1350"/>
        <v>1326</v>
      </c>
    </row>
    <row r="515" ht="15.75" customHeight="1" hidden="1" spans="1:60" x14ac:dyDescent="0.25">
      <c r="A515" s="79" t="s">
        <v>248</v>
      </c>
      <c r="B515" s="14"/>
      <c r="C515" s="2" t="s">
        <v>251</v>
      </c>
      <c r="D515" s="14" t="s">
        <v>47</v>
      </c>
      <c r="E515" s="2" t="s">
        <v>49</v>
      </c>
      <c r="F515" s="41">
        <v>300</v>
      </c>
      <c r="G515" s="28"/>
      <c r="I515" s="13"/>
      <c r="J515" s="15"/>
      <c r="K515" s="15"/>
      <c r="L515" s="28"/>
      <c r="Q515" s="13"/>
      <c r="R515" s="15"/>
      <c r="S515" s="15"/>
      <c r="T515" s="28"/>
      <c r="Y515" s="13"/>
      <c r="Z515" s="15"/>
      <c r="AA515" s="15"/>
      <c r="AB515" s="28"/>
      <c r="AG515" s="13"/>
      <c r="AH515" s="15"/>
      <c r="AI515" s="15"/>
      <c r="AJ515" s="28"/>
      <c r="AK515" s="13"/>
      <c r="AL515" s="15"/>
      <c r="AM515" s="34"/>
      <c r="AN515" s="28"/>
      <c r="AO515" s="13"/>
      <c r="AP515" s="15"/>
      <c r="AQ515" s="34"/>
      <c r="AR515" s="28"/>
      <c r="AS515" s="15"/>
      <c r="AT515" s="15"/>
      <c r="AU515" s="15"/>
      <c r="AV515" s="15"/>
      <c r="AW515" s="13"/>
      <c r="AX515" s="15"/>
      <c r="AY515" s="15"/>
      <c r="AZ515" s="28"/>
      <c r="BA515" s="15"/>
      <c r="BB515" s="15"/>
      <c r="BC515" s="15"/>
      <c r="BD515" s="15"/>
      <c r="BE515" s="14"/>
      <c r="BF515" s="41">
        <f t="shared" ref="BF515:BG515" si="1352">K515+O515+S515+W515+AA515+AE515+AI515+AM515+AQ515+AU515+AY515+BC515</f>
        <v>0</v>
      </c>
      <c r="BG515" s="34">
        <f t="shared" si="1352"/>
        <v>0</v>
      </c>
      <c r="BH515" s="35">
        <f t="shared" si="1350"/>
        <v>0</v>
      </c>
    </row>
    <row r="516" ht="15.75" customHeight="1" hidden="1" spans="1:60" x14ac:dyDescent="0.25">
      <c r="A516" s="79" t="s">
        <v>248</v>
      </c>
      <c r="B516" s="14"/>
      <c r="C516" s="2" t="s">
        <v>61</v>
      </c>
      <c r="D516" s="14" t="s">
        <v>50</v>
      </c>
      <c r="E516" s="2" t="s">
        <v>49</v>
      </c>
      <c r="F516" s="41">
        <v>1062.88</v>
      </c>
      <c r="G516" s="28"/>
      <c r="I516" s="13"/>
      <c r="J516" s="15"/>
      <c r="K516" s="15"/>
      <c r="L516" s="28"/>
      <c r="Q516" s="13"/>
      <c r="R516" s="15"/>
      <c r="S516" s="15"/>
      <c r="T516" s="28"/>
      <c r="Y516" s="13"/>
      <c r="Z516" s="15"/>
      <c r="AA516" s="15"/>
      <c r="AB516" s="28"/>
      <c r="AE516" s="34">
        <f>B513*$F$12</f>
        <v>8534.9264</v>
      </c>
      <c r="AG516" s="13"/>
      <c r="AH516" s="15"/>
      <c r="AI516" s="15"/>
      <c r="AJ516" s="38">
        <v>1500</v>
      </c>
      <c r="AK516" s="13"/>
      <c r="AL516" s="15"/>
      <c r="AM516" s="15"/>
      <c r="AN516" s="28"/>
      <c r="AO516" s="13"/>
      <c r="AP516" s="15"/>
      <c r="AQ516" s="15"/>
      <c r="AR516" s="32">
        <v>7034.93</v>
      </c>
      <c r="AS516" s="15"/>
      <c r="AT516" s="15"/>
      <c r="AU516" s="15"/>
      <c r="AV516" s="15"/>
      <c r="AW516" s="13"/>
      <c r="AX516" s="15"/>
      <c r="AY516" s="15"/>
      <c r="AZ516" s="28"/>
      <c r="BA516" s="15"/>
      <c r="BB516" s="15"/>
      <c r="BC516" s="15"/>
      <c r="BD516" s="15"/>
      <c r="BE516" s="14"/>
      <c r="BF516" s="41">
        <f>B513*$F$12</f>
        <v>8534.9264</v>
      </c>
      <c r="BG516" s="34">
        <f t="shared" ref="BG516:BG518" si="1353">L516+P516+T516+X516+AB516+AF516+AJ516+AN516+AR516+AV516+AZ516+BD516</f>
        <v>8534.93</v>
      </c>
      <c r="BH516" s="35">
        <f t="shared" si="1350"/>
        <v>-0.0036</v>
      </c>
    </row>
    <row r="517" ht="15.75" customHeight="1" hidden="1" spans="1:60" x14ac:dyDescent="0.25">
      <c r="A517" s="79" t="s">
        <v>248</v>
      </c>
      <c r="B517" s="14"/>
      <c r="C517" s="2" t="s">
        <v>252</v>
      </c>
      <c r="D517" s="14" t="s">
        <v>51</v>
      </c>
      <c r="E517" s="2" t="s">
        <v>49</v>
      </c>
      <c r="F517" s="41">
        <v>0</v>
      </c>
      <c r="G517" s="28"/>
      <c r="I517" s="13"/>
      <c r="J517" s="15"/>
      <c r="K517" s="15"/>
      <c r="L517" s="28"/>
      <c r="Q517" s="13"/>
      <c r="R517" s="15"/>
      <c r="S517" s="15"/>
      <c r="T517" s="28"/>
      <c r="Y517" s="13"/>
      <c r="Z517" s="15"/>
      <c r="AA517" s="15"/>
      <c r="AB517" s="28"/>
      <c r="AG517" s="13"/>
      <c r="AH517" s="15"/>
      <c r="AI517" s="15"/>
      <c r="AJ517" s="28"/>
      <c r="AK517" s="13"/>
      <c r="AL517" s="15"/>
      <c r="AM517" s="15"/>
      <c r="AN517" s="28"/>
      <c r="AO517" s="13"/>
      <c r="AP517" s="15"/>
      <c r="AQ517" s="15"/>
      <c r="AR517" s="28"/>
      <c r="AS517" s="15"/>
      <c r="AT517" s="15"/>
      <c r="AU517" s="15"/>
      <c r="AV517" s="15"/>
      <c r="AW517" s="13"/>
      <c r="AX517" s="15"/>
      <c r="AY517" s="15"/>
      <c r="AZ517" s="28"/>
      <c r="BA517" s="15"/>
      <c r="BB517" s="15"/>
      <c r="BC517" s="15"/>
      <c r="BD517" s="15"/>
      <c r="BE517" s="14"/>
      <c r="BF517" s="41">
        <f>B513*$F$13</f>
        <v>0</v>
      </c>
      <c r="BG517" s="34">
        <f t="shared" si="1353"/>
        <v>0</v>
      </c>
      <c r="BH517" s="35">
        <f t="shared" si="1350"/>
        <v>0</v>
      </c>
    </row>
    <row r="518" ht="15.75" customHeight="1" hidden="1" spans="1:60" x14ac:dyDescent="0.25">
      <c r="A518" s="79" t="s">
        <v>248</v>
      </c>
      <c r="B518" s="14"/>
      <c r="D518" s="14" t="s">
        <v>52</v>
      </c>
      <c r="E518" s="2" t="s">
        <v>39</v>
      </c>
      <c r="F518" s="41">
        <v>350</v>
      </c>
      <c r="G518" s="28"/>
      <c r="I518" s="13"/>
      <c r="J518" s="15"/>
      <c r="K518" s="15"/>
      <c r="L518" s="28"/>
      <c r="Q518" s="13"/>
      <c r="R518" s="15"/>
      <c r="S518" s="15"/>
      <c r="T518" s="28"/>
      <c r="Y518" s="13"/>
      <c r="Z518" s="15"/>
      <c r="AA518" s="34">
        <f>$F$14*2</f>
        <v>700</v>
      </c>
      <c r="AB518" s="28"/>
      <c r="AG518" s="13"/>
      <c r="AH518" s="15"/>
      <c r="AI518" s="15"/>
      <c r="AJ518" s="28"/>
      <c r="AK518" s="13"/>
      <c r="AL518" s="15"/>
      <c r="AM518" s="15"/>
      <c r="AN518" s="28"/>
      <c r="AO518" s="13"/>
      <c r="AP518" s="15"/>
      <c r="AQ518" s="15"/>
      <c r="AR518" s="38">
        <v>700</v>
      </c>
      <c r="AS518" s="15"/>
      <c r="AT518" s="15"/>
      <c r="AU518" s="15"/>
      <c r="AV518" s="15"/>
      <c r="AW518" s="13"/>
      <c r="AX518" s="15"/>
      <c r="AY518" s="15"/>
      <c r="AZ518" s="28"/>
      <c r="BA518" s="15"/>
      <c r="BB518" s="15"/>
      <c r="BC518" s="15"/>
      <c r="BD518" s="15"/>
      <c r="BE518" s="14"/>
      <c r="BF518" s="41">
        <f>$F$14*2</f>
        <v>700</v>
      </c>
      <c r="BG518" s="34">
        <f t="shared" si="1353"/>
        <v>700</v>
      </c>
      <c r="BH518" s="35">
        <f t="shared" si="1350"/>
        <v>0</v>
      </c>
    </row>
    <row r="519" ht="15.75" customHeight="1" hidden="1" spans="1:62" x14ac:dyDescent="0.25">
      <c r="A519" s="50" t="s">
        <v>248</v>
      </c>
      <c r="B519" s="21"/>
      <c r="C519" s="22" t="s">
        <v>53</v>
      </c>
      <c r="D519" s="21"/>
      <c r="E519" s="22"/>
      <c r="F519" s="20"/>
      <c r="G519" s="23"/>
      <c r="H519" s="51">
        <f>SUM(H512:H518)</f>
        <v>238.46</v>
      </c>
      <c r="I519" s="52"/>
      <c r="J519" s="53"/>
      <c r="K519" s="51">
        <f t="shared" ref="K519:L519" si="1354">SUM(K512:K518)</f>
        <v>0</v>
      </c>
      <c r="L519" s="68">
        <f t="shared" si="1354"/>
        <v>0</v>
      </c>
      <c r="M519" s="53"/>
      <c r="N519" s="53"/>
      <c r="O519" s="51">
        <f t="shared" ref="O519:P519" si="1355">SUM(O513:O518)</f>
        <v>0</v>
      </c>
      <c r="P519" s="51">
        <f t="shared" si="1355"/>
        <v>0</v>
      </c>
      <c r="Q519" s="52"/>
      <c r="R519" s="53"/>
      <c r="S519" s="51">
        <f t="shared" ref="S519:T519" si="1356">SUM(S513:S518)</f>
        <v>0</v>
      </c>
      <c r="T519" s="68">
        <f t="shared" si="1356"/>
        <v>0</v>
      </c>
      <c r="U519" s="53"/>
      <c r="V519" s="53"/>
      <c r="W519" s="51">
        <f t="shared" ref="W519:X519" si="1357">SUM(W513:W518)</f>
        <v>2.49</v>
      </c>
      <c r="X519" s="51">
        <f t="shared" si="1357"/>
        <v>0</v>
      </c>
      <c r="Y519" s="52"/>
      <c r="Z519" s="53"/>
      <c r="AA519" s="51">
        <f t="shared" ref="AA519:AB519" si="1358">SUM(AA513:AA518)</f>
        <v>724.9</v>
      </c>
      <c r="AB519" s="68">
        <f t="shared" si="1358"/>
        <v>0</v>
      </c>
      <c r="AC519" s="53"/>
      <c r="AD519" s="53"/>
      <c r="AE519" s="51">
        <f t="shared" ref="AE519:AF519" si="1359">SUM(AE513:AE518)</f>
        <v>8594.6864</v>
      </c>
      <c r="AF519" s="51">
        <f t="shared" si="1359"/>
        <v>0</v>
      </c>
      <c r="AG519" s="52"/>
      <c r="AH519" s="53"/>
      <c r="AI519" s="51">
        <f t="shared" ref="AI519:AJ519" si="1360">SUM(AI513:AI518)</f>
        <v>59.76</v>
      </c>
      <c r="AJ519" s="68">
        <f t="shared" si="1360"/>
        <v>1500</v>
      </c>
      <c r="AK519" s="52"/>
      <c r="AL519" s="53"/>
      <c r="AM519" s="51">
        <f t="shared" ref="AM519:AN519" si="1361">SUM(AM513:AM518)</f>
        <v>349.86</v>
      </c>
      <c r="AN519" s="68">
        <f t="shared" si="1361"/>
        <v>650.57</v>
      </c>
      <c r="AO519" s="52"/>
      <c r="AP519" s="53"/>
      <c r="AQ519" s="51">
        <f t="shared" ref="AQ519:AR519" si="1362">SUM(AQ513:AQ518)</f>
        <v>1400.7</v>
      </c>
      <c r="AR519" s="68">
        <f t="shared" si="1362"/>
        <v>7894.29</v>
      </c>
      <c r="AS519" s="53"/>
      <c r="AT519" s="53"/>
      <c r="AU519" s="51">
        <f t="shared" ref="AU519:AV519" si="1363">SUM(AU513:AU518)</f>
        <v>14.94</v>
      </c>
      <c r="AV519" s="51">
        <f t="shared" si="1363"/>
        <v>0</v>
      </c>
      <c r="AW519" s="52"/>
      <c r="AX519" s="53"/>
      <c r="AY519" s="51">
        <f t="shared" ref="AY519:AZ519" si="1364">SUM(AY513:AY518)</f>
        <v>0</v>
      </c>
      <c r="AZ519" s="68">
        <f t="shared" si="1364"/>
        <v>0</v>
      </c>
      <c r="BA519" s="53"/>
      <c r="BB519" s="53"/>
      <c r="BC519" s="51">
        <f t="shared" ref="BC519:BD519" si="1365">SUM(BC513:BC518)</f>
        <v>0</v>
      </c>
      <c r="BD519" s="51">
        <f t="shared" si="1365"/>
        <v>0</v>
      </c>
      <c r="BE519" s="69"/>
      <c r="BF519" s="70">
        <f t="shared" ref="BF519:BH519" si="1366">SUM(BF512:BF518)</f>
        <v>11147.3364</v>
      </c>
      <c r="BG519" s="71">
        <f t="shared" si="1366"/>
        <v>10044.86</v>
      </c>
      <c r="BH519" s="72">
        <f t="shared" si="1366"/>
        <v>1340.9364</v>
      </c>
      <c r="BI519" s="34">
        <f>H519+BF519-BG519</f>
        <v>1340.9364</v>
      </c>
      <c r="BJ519" s="34">
        <f>BH519-BI519</f>
        <v>0</v>
      </c>
    </row>
    <row r="520" ht="15.75" customHeight="1" hidden="1" spans="1:60" x14ac:dyDescent="0.25">
      <c r="A520" s="29">
        <v>69</v>
      </c>
      <c r="B520" s="14"/>
      <c r="D520" s="14" t="s">
        <v>42</v>
      </c>
      <c r="F520" s="13"/>
      <c r="G520" s="28"/>
      <c r="I520" s="13"/>
      <c r="J520" s="15"/>
      <c r="K520" s="15"/>
      <c r="L520" s="28"/>
      <c r="Q520" s="13"/>
      <c r="R520" s="15"/>
      <c r="S520" s="15"/>
      <c r="T520" s="28"/>
      <c r="Y520" s="13"/>
      <c r="Z520" s="15"/>
      <c r="AA520" s="15"/>
      <c r="AB520" s="28"/>
      <c r="AG520" s="13"/>
      <c r="AH520" s="15"/>
      <c r="AI520" s="15"/>
      <c r="AJ520" s="28"/>
      <c r="AK520" s="13"/>
      <c r="AL520" s="15"/>
      <c r="AM520" s="15"/>
      <c r="AN520" s="28"/>
      <c r="AO520" s="13"/>
      <c r="AP520" s="15"/>
      <c r="AQ520" s="15"/>
      <c r="AR520" s="28"/>
      <c r="AW520" s="13"/>
      <c r="AX520" s="15"/>
      <c r="AY520" s="15"/>
      <c r="AZ520" s="28"/>
      <c r="BE520" s="14"/>
      <c r="BF520" s="13"/>
      <c r="BG520" s="15"/>
      <c r="BH520" s="28"/>
    </row>
    <row r="521" ht="15.75" customHeight="1" hidden="1" spans="1:64" x14ac:dyDescent="0.25">
      <c r="A521" s="2">
        <v>69</v>
      </c>
      <c r="B521" s="14">
        <v>4.03</v>
      </c>
      <c r="C521" s="2" t="s">
        <v>253</v>
      </c>
      <c r="D521" s="14" t="s">
        <v>44</v>
      </c>
      <c r="E521" s="2" t="s">
        <v>45</v>
      </c>
      <c r="F521" s="13">
        <v>2.49</v>
      </c>
      <c r="G521" s="28"/>
      <c r="H521" s="34">
        <v>175.2</v>
      </c>
      <c r="I521" s="13">
        <v>9900</v>
      </c>
      <c r="J521" s="15">
        <v>1380</v>
      </c>
      <c r="K521" s="34">
        <f>J521*$F$8</f>
        <v>3436.2</v>
      </c>
      <c r="L521" s="35">
        <v>3436.2</v>
      </c>
      <c r="M521" s="2">
        <v>11017</v>
      </c>
      <c r="N521" s="15">
        <f>M521-I521</f>
        <v>1117</v>
      </c>
      <c r="O521" s="34">
        <f>N521*$F$8</f>
        <v>2781.33</v>
      </c>
      <c r="P521" s="2">
        <v>2956.53</v>
      </c>
      <c r="Q521" s="13">
        <v>12117</v>
      </c>
      <c r="R521" s="15">
        <f>Q521-M521</f>
        <v>1100</v>
      </c>
      <c r="S521" s="34">
        <f>R521*$F$8</f>
        <v>2739</v>
      </c>
      <c r="T521" s="35">
        <v>2739</v>
      </c>
      <c r="U521" s="73">
        <f>13020+87</f>
        <v>13107</v>
      </c>
      <c r="V521" s="15">
        <f>U521-Q521</f>
        <v>990</v>
      </c>
      <c r="W521" s="34">
        <f>V521*$F$8</f>
        <v>2465.1</v>
      </c>
      <c r="X521" s="33">
        <f>2250+216.63</f>
        <v>2466.63</v>
      </c>
      <c r="Y521" s="13">
        <v>13392</v>
      </c>
      <c r="Z521" s="15">
        <f>Y521-U521</f>
        <v>285</v>
      </c>
      <c r="AA521" s="34">
        <f>Z521*$F$8</f>
        <v>709.65</v>
      </c>
      <c r="AB521" s="28">
        <v>709.65</v>
      </c>
      <c r="AC521" s="2">
        <v>13709</v>
      </c>
      <c r="AD521" s="15">
        <f t="shared" ref="AD521:AD522" si="1367">AC521-Y521</f>
        <v>317</v>
      </c>
      <c r="AE521" s="34">
        <f>AD521*$F$8</f>
        <v>789.33</v>
      </c>
      <c r="AG521" s="13">
        <v>13967</v>
      </c>
      <c r="AH521" s="15">
        <f t="shared" ref="AH521:AH522" si="1368">AG521-AC521</f>
        <v>258</v>
      </c>
      <c r="AI521" s="34">
        <f>AH521*$F$8</f>
        <v>642.42</v>
      </c>
      <c r="AJ521" s="32">
        <f>789.33+642.42</f>
        <v>1431.75</v>
      </c>
      <c r="AK521" s="13">
        <v>14269</v>
      </c>
      <c r="AL521" s="15">
        <f t="shared" ref="AL521:AL522" si="1369">AK521-AG521</f>
        <v>302</v>
      </c>
      <c r="AM521" s="34">
        <f>AL521*$F$8</f>
        <v>751.98</v>
      </c>
      <c r="AN521" s="32">
        <v>750.45</v>
      </c>
      <c r="AO521" s="13">
        <v>14667</v>
      </c>
      <c r="AP521" s="15">
        <f t="shared" ref="AP521:AP522" si="1370">AO521-AK521</f>
        <v>398</v>
      </c>
      <c r="AQ521" s="34">
        <f>AP521*$F$8</f>
        <v>991.02</v>
      </c>
      <c r="AR521" s="32">
        <v>991.02</v>
      </c>
      <c r="AS521" s="15">
        <v>15050</v>
      </c>
      <c r="AT521" s="15">
        <f>AS521-AO521</f>
        <v>383</v>
      </c>
      <c r="AU521" s="34">
        <f>AT521*$F$8</f>
        <v>953.67</v>
      </c>
      <c r="AV521" s="39">
        <v>747</v>
      </c>
      <c r="AW521" s="13">
        <v>15253</v>
      </c>
      <c r="AX521" s="15">
        <f>AW521-AS521</f>
        <v>203</v>
      </c>
      <c r="AY521" s="34">
        <f>AX521*$F$8</f>
        <v>505.47</v>
      </c>
      <c r="AZ521" s="38">
        <v>747</v>
      </c>
      <c r="BA521" s="15">
        <v>15790</v>
      </c>
      <c r="BB521" s="15">
        <f>BA521-AW521</f>
        <v>537</v>
      </c>
      <c r="BC521" s="34">
        <f>BB521*$F$8</f>
        <v>1337.13</v>
      </c>
      <c r="BD521" s="39">
        <f>386+1370</f>
        <v>1756</v>
      </c>
      <c r="BE521" s="40">
        <f t="shared" ref="BE521:BG521" si="1371">J521+N521+R521+V521+Z521+AD521+AH521+AL521+AP521+AT521+AX521+BB521</f>
        <v>7270</v>
      </c>
      <c r="BF521" s="41">
        <f t="shared" si="1371"/>
        <v>18102.3</v>
      </c>
      <c r="BG521" s="34">
        <f t="shared" si="1371"/>
        <v>18731.23</v>
      </c>
      <c r="BH521" s="35">
        <f t="shared" ref="BH521:BH526" si="1372">H521+BF521-BG521</f>
        <v>-453.73</v>
      </c>
      <c r="BK521" s="2">
        <f t="shared" ref="BK521:BL521" si="1373">386+1370</f>
        <v>1756</v>
      </c>
      <c r="BL521" s="2">
        <f t="shared" si="1373"/>
        <v>1756</v>
      </c>
    </row>
    <row r="522" ht="15.75" customHeight="1" hidden="1" spans="1:60" x14ac:dyDescent="0.25">
      <c r="A522" s="29">
        <v>69</v>
      </c>
      <c r="B522" s="14"/>
      <c r="C522" s="2" t="s">
        <v>87</v>
      </c>
      <c r="D522" s="14" t="s">
        <v>47</v>
      </c>
      <c r="E522" s="2" t="s">
        <v>48</v>
      </c>
      <c r="F522" s="13">
        <v>17.16</v>
      </c>
      <c r="G522" s="28"/>
      <c r="H522" s="73">
        <f>-2*17.16</f>
        <v>-34.32</v>
      </c>
      <c r="I522" s="13"/>
      <c r="J522" s="15"/>
      <c r="K522" s="15"/>
      <c r="L522" s="28"/>
      <c r="Q522" s="13"/>
      <c r="R522" s="15"/>
      <c r="S522" s="15"/>
      <c r="T522" s="28"/>
      <c r="Y522" s="95">
        <v>0</v>
      </c>
      <c r="Z522" s="15"/>
      <c r="AA522" s="15"/>
      <c r="AB522" s="28"/>
      <c r="AC522" s="2">
        <v>2</v>
      </c>
      <c r="AD522" s="15">
        <f t="shared" si="1367"/>
        <v>2</v>
      </c>
      <c r="AE522" s="34">
        <f>AD522*$F$10</f>
        <v>34.32</v>
      </c>
      <c r="AG522" s="13">
        <v>4</v>
      </c>
      <c r="AH522" s="15">
        <f t="shared" si="1368"/>
        <v>2</v>
      </c>
      <c r="AI522" s="45">
        <f>AH522*$G$10</f>
        <v>35.36</v>
      </c>
      <c r="AJ522" s="32">
        <f>34.32+35.36</f>
        <v>69.68</v>
      </c>
      <c r="AK522" s="13">
        <v>4</v>
      </c>
      <c r="AL522" s="15">
        <f t="shared" si="1369"/>
        <v>0</v>
      </c>
      <c r="AM522" s="45">
        <f>AL522*$G$10</f>
        <v>0</v>
      </c>
      <c r="AN522" s="28"/>
      <c r="AO522" s="13">
        <v>5</v>
      </c>
      <c r="AP522" s="15">
        <f t="shared" si="1370"/>
        <v>1</v>
      </c>
      <c r="AQ522" s="45">
        <f>AP522*$G$10</f>
        <v>17.68</v>
      </c>
      <c r="AR522" s="28"/>
      <c r="AS522" s="15"/>
      <c r="AT522" s="15"/>
      <c r="AU522" s="15"/>
      <c r="AV522" s="15"/>
      <c r="AW522" s="13"/>
      <c r="AX522" s="15"/>
      <c r="AY522" s="15"/>
      <c r="AZ522" s="28"/>
      <c r="BA522" s="15"/>
      <c r="BB522" s="15"/>
      <c r="BC522" s="15"/>
      <c r="BD522" s="15"/>
      <c r="BE522" s="40">
        <f t="shared" ref="BE522:BG522" si="1374">J522+N522+R522+V522+Z522+AD522+AH522+AL522+AP522+AT522+AX522+BB522</f>
        <v>5</v>
      </c>
      <c r="BF522" s="41">
        <f t="shared" si="1374"/>
        <v>87.36</v>
      </c>
      <c r="BG522" s="34">
        <f t="shared" si="1374"/>
        <v>69.68</v>
      </c>
      <c r="BH522" s="35">
        <f t="shared" si="1372"/>
        <v>-16.64</v>
      </c>
    </row>
    <row r="523" ht="15.75" customHeight="1" hidden="1" spans="1:60" x14ac:dyDescent="0.25">
      <c r="A523" s="29">
        <v>69</v>
      </c>
      <c r="B523" s="14"/>
      <c r="C523" s="2" t="s">
        <v>119</v>
      </c>
      <c r="D523" s="14" t="s">
        <v>47</v>
      </c>
      <c r="E523" s="2" t="s">
        <v>49</v>
      </c>
      <c r="F523" s="41">
        <v>300</v>
      </c>
      <c r="G523" s="28"/>
      <c r="I523" s="13"/>
      <c r="J523" s="15"/>
      <c r="K523" s="15"/>
      <c r="L523" s="28"/>
      <c r="Q523" s="13"/>
      <c r="R523" s="15"/>
      <c r="S523" s="15"/>
      <c r="T523" s="28"/>
      <c r="Y523" s="13"/>
      <c r="Z523" s="15"/>
      <c r="AA523" s="15"/>
      <c r="AB523" s="28"/>
      <c r="AG523" s="13"/>
      <c r="AH523" s="15"/>
      <c r="AI523" s="15"/>
      <c r="AJ523" s="28"/>
      <c r="AK523" s="13"/>
      <c r="AL523" s="15"/>
      <c r="AM523" s="34"/>
      <c r="AN523" s="28"/>
      <c r="AO523" s="13"/>
      <c r="AP523" s="15"/>
      <c r="AQ523" s="34"/>
      <c r="AR523" s="28"/>
      <c r="AS523" s="15"/>
      <c r="AT523" s="15"/>
      <c r="AU523" s="15"/>
      <c r="AV523" s="15"/>
      <c r="AW523" s="13"/>
      <c r="AX523" s="15"/>
      <c r="AY523" s="15"/>
      <c r="AZ523" s="28"/>
      <c r="BA523" s="15"/>
      <c r="BB523" s="15"/>
      <c r="BC523" s="15"/>
      <c r="BD523" s="15"/>
      <c r="BE523" s="14"/>
      <c r="BF523" s="41">
        <f t="shared" ref="BF523:BG523" si="1375">K523+O523+S523+W523+AA523+AE523+AI523+AM523+AQ523+AU523+AY523+BC523</f>
        <v>0</v>
      </c>
      <c r="BG523" s="34">
        <f t="shared" si="1375"/>
        <v>0</v>
      </c>
      <c r="BH523" s="35">
        <f t="shared" si="1372"/>
        <v>0</v>
      </c>
    </row>
    <row r="524" ht="15.75" customHeight="1" hidden="1" spans="1:60" x14ac:dyDescent="0.25">
      <c r="A524" s="29">
        <v>69</v>
      </c>
      <c r="B524" s="14"/>
      <c r="C524" s="2" t="s">
        <v>254</v>
      </c>
      <c r="D524" s="14" t="s">
        <v>50</v>
      </c>
      <c r="E524" s="2" t="s">
        <v>49</v>
      </c>
      <c r="F524" s="41">
        <v>1062.88</v>
      </c>
      <c r="G524" s="28"/>
      <c r="I524" s="13"/>
      <c r="J524" s="15"/>
      <c r="K524" s="15"/>
      <c r="L524" s="28"/>
      <c r="Q524" s="13"/>
      <c r="R524" s="15"/>
      <c r="S524" s="15"/>
      <c r="T524" s="28"/>
      <c r="Y524" s="13"/>
      <c r="Z524" s="15"/>
      <c r="AA524" s="15"/>
      <c r="AB524" s="28"/>
      <c r="AE524" s="34">
        <f>B521*$F$12</f>
        <v>4283.4064</v>
      </c>
      <c r="AG524" s="13"/>
      <c r="AH524" s="15"/>
      <c r="AI524" s="15"/>
      <c r="AJ524" s="38">
        <v>322.22</v>
      </c>
      <c r="AK524" s="13"/>
      <c r="AL524" s="15"/>
      <c r="AM524" s="15"/>
      <c r="AN524" s="32">
        <v>3961.19</v>
      </c>
      <c r="AO524" s="13"/>
      <c r="AP524" s="15"/>
      <c r="AQ524" s="15"/>
      <c r="AR524" s="28"/>
      <c r="AS524" s="15"/>
      <c r="AT524" s="15"/>
      <c r="AU524" s="15"/>
      <c r="AV524" s="15"/>
      <c r="AW524" s="13"/>
      <c r="AX524" s="15"/>
      <c r="AY524" s="15"/>
      <c r="AZ524" s="28"/>
      <c r="BA524" s="15"/>
      <c r="BB524" s="15"/>
      <c r="BC524" s="15"/>
      <c r="BD524" s="15"/>
      <c r="BE524" s="14"/>
      <c r="BF524" s="41">
        <f>B521*$F$12</f>
        <v>4283.4064</v>
      </c>
      <c r="BG524" s="34">
        <f t="shared" ref="BG524:BG526" si="1376">L524+P524+T524+X524+AB524+AF524+AJ524+AN524+AR524+AV524+AZ524+BD524</f>
        <v>4283.41</v>
      </c>
      <c r="BH524" s="35">
        <f t="shared" si="1372"/>
        <v>-0.003599999999</v>
      </c>
    </row>
    <row r="525" ht="15.75" customHeight="1" hidden="1" spans="1:60" x14ac:dyDescent="0.25">
      <c r="A525" s="29">
        <v>69</v>
      </c>
      <c r="B525" s="14"/>
      <c r="D525" s="14" t="s">
        <v>51</v>
      </c>
      <c r="E525" s="2" t="s">
        <v>49</v>
      </c>
      <c r="F525" s="41">
        <v>0</v>
      </c>
      <c r="G525" s="28"/>
      <c r="I525" s="13"/>
      <c r="J525" s="15"/>
      <c r="K525" s="15"/>
      <c r="L525" s="28"/>
      <c r="Q525" s="13"/>
      <c r="R525" s="15"/>
      <c r="S525" s="15"/>
      <c r="T525" s="28"/>
      <c r="Y525" s="13"/>
      <c r="Z525" s="15"/>
      <c r="AA525" s="15"/>
      <c r="AB525" s="28"/>
      <c r="AG525" s="13"/>
      <c r="AH525" s="15"/>
      <c r="AI525" s="15"/>
      <c r="AJ525" s="28"/>
      <c r="AK525" s="13"/>
      <c r="AL525" s="15"/>
      <c r="AM525" s="15"/>
      <c r="AN525" s="28"/>
      <c r="AO525" s="13"/>
      <c r="AP525" s="15"/>
      <c r="AQ525" s="15"/>
      <c r="AR525" s="28"/>
      <c r="AS525" s="15"/>
      <c r="AT525" s="15"/>
      <c r="AU525" s="15"/>
      <c r="AV525" s="15"/>
      <c r="AW525" s="13"/>
      <c r="AX525" s="15"/>
      <c r="AY525" s="15"/>
      <c r="AZ525" s="28"/>
      <c r="BA525" s="15"/>
      <c r="BB525" s="15"/>
      <c r="BC525" s="15"/>
      <c r="BD525" s="15"/>
      <c r="BE525" s="14"/>
      <c r="BF525" s="41">
        <f>B521*$F$13</f>
        <v>0</v>
      </c>
      <c r="BG525" s="34">
        <f t="shared" si="1376"/>
        <v>0</v>
      </c>
      <c r="BH525" s="35">
        <f t="shared" si="1372"/>
        <v>0</v>
      </c>
    </row>
    <row r="526" ht="15.75" customHeight="1" hidden="1" spans="1:60" x14ac:dyDescent="0.25">
      <c r="A526" s="29">
        <v>69</v>
      </c>
      <c r="B526" s="14"/>
      <c r="D526" s="14" t="s">
        <v>52</v>
      </c>
      <c r="E526" s="2" t="s">
        <v>39</v>
      </c>
      <c r="F526" s="41">
        <v>350</v>
      </c>
      <c r="G526" s="28"/>
      <c r="H526" s="84">
        <v>-350</v>
      </c>
      <c r="I526" s="13"/>
      <c r="J526" s="15"/>
      <c r="K526" s="15"/>
      <c r="L526" s="28"/>
      <c r="Q526" s="13"/>
      <c r="R526" s="15"/>
      <c r="S526" s="15"/>
      <c r="T526" s="28"/>
      <c r="Y526" s="13"/>
      <c r="Z526" s="15"/>
      <c r="AA526" s="34">
        <f>$F$14</f>
        <v>350</v>
      </c>
      <c r="AB526" s="28"/>
      <c r="AG526" s="13"/>
      <c r="AH526" s="15"/>
      <c r="AI526" s="15"/>
      <c r="AJ526" s="28"/>
      <c r="AK526" s="13"/>
      <c r="AL526" s="15"/>
      <c r="AM526" s="15"/>
      <c r="AN526" s="28"/>
      <c r="AO526" s="13"/>
      <c r="AP526" s="15"/>
      <c r="AQ526" s="15"/>
      <c r="AR526" s="28"/>
      <c r="AS526" s="15"/>
      <c r="AT526" s="15"/>
      <c r="AU526" s="15"/>
      <c r="AV526" s="15"/>
      <c r="AW526" s="13"/>
      <c r="AX526" s="15"/>
      <c r="AY526" s="15"/>
      <c r="AZ526" s="28"/>
      <c r="BA526" s="15"/>
      <c r="BB526" s="15"/>
      <c r="BC526" s="15"/>
      <c r="BD526" s="15"/>
      <c r="BE526" s="14"/>
      <c r="BF526" s="41">
        <f>$F$14</f>
        <v>350</v>
      </c>
      <c r="BG526" s="34">
        <f t="shared" si="1376"/>
        <v>0</v>
      </c>
      <c r="BH526" s="35">
        <f t="shared" si="1372"/>
        <v>0</v>
      </c>
    </row>
    <row r="527" ht="15.75" customHeight="1" hidden="1" spans="1:62" x14ac:dyDescent="0.25">
      <c r="A527" s="50">
        <v>69</v>
      </c>
      <c r="B527" s="21"/>
      <c r="C527" s="22" t="s">
        <v>53</v>
      </c>
      <c r="D527" s="21"/>
      <c r="E527" s="22"/>
      <c r="F527" s="20"/>
      <c r="G527" s="23"/>
      <c r="H527" s="51">
        <f>SUM(H520:H526)</f>
        <v>-209.12</v>
      </c>
      <c r="I527" s="52"/>
      <c r="J527" s="53"/>
      <c r="K527" s="51">
        <f t="shared" ref="K527:L527" si="1377">SUM(K520:K526)</f>
        <v>3436.2</v>
      </c>
      <c r="L527" s="68">
        <f t="shared" si="1377"/>
        <v>3436.2</v>
      </c>
      <c r="M527" s="53"/>
      <c r="N527" s="53"/>
      <c r="O527" s="51">
        <f t="shared" ref="O527:P527" si="1378">SUM(O521:O526)</f>
        <v>2781.33</v>
      </c>
      <c r="P527" s="51">
        <f t="shared" si="1378"/>
        <v>2956.53</v>
      </c>
      <c r="Q527" s="52"/>
      <c r="R527" s="53"/>
      <c r="S527" s="51">
        <f t="shared" ref="S527:T527" si="1379">SUM(S521:S526)</f>
        <v>2739</v>
      </c>
      <c r="T527" s="68">
        <f t="shared" si="1379"/>
        <v>2739</v>
      </c>
      <c r="U527" s="53"/>
      <c r="V527" s="53"/>
      <c r="W527" s="51">
        <f t="shared" ref="W527:X527" si="1380">SUM(W521:W526)</f>
        <v>2465.1</v>
      </c>
      <c r="X527" s="51">
        <f t="shared" si="1380"/>
        <v>2466.63</v>
      </c>
      <c r="Y527" s="52"/>
      <c r="Z527" s="53"/>
      <c r="AA527" s="51">
        <f t="shared" ref="AA527:AB527" si="1381">SUM(AA521:AA526)</f>
        <v>1059.65</v>
      </c>
      <c r="AB527" s="68">
        <f t="shared" si="1381"/>
        <v>709.65</v>
      </c>
      <c r="AC527" s="53"/>
      <c r="AD527" s="53"/>
      <c r="AE527" s="51">
        <f t="shared" ref="AE527:AF527" si="1382">SUM(AE521:AE526)</f>
        <v>5107.0564</v>
      </c>
      <c r="AF527" s="51">
        <f t="shared" si="1382"/>
        <v>0</v>
      </c>
      <c r="AG527" s="52"/>
      <c r="AH527" s="53"/>
      <c r="AI527" s="51">
        <f t="shared" ref="AI527:AJ527" si="1383">SUM(AI521:AI526)</f>
        <v>677.78</v>
      </c>
      <c r="AJ527" s="68">
        <f t="shared" si="1383"/>
        <v>1823.65</v>
      </c>
      <c r="AK527" s="52"/>
      <c r="AL527" s="53"/>
      <c r="AM527" s="51">
        <f t="shared" ref="AM527:AN527" si="1384">SUM(AM521:AM526)</f>
        <v>751.98</v>
      </c>
      <c r="AN527" s="68">
        <f t="shared" si="1384"/>
        <v>4711.64</v>
      </c>
      <c r="AO527" s="52"/>
      <c r="AP527" s="53"/>
      <c r="AQ527" s="51">
        <f t="shared" ref="AQ527:AR527" si="1385">SUM(AQ521:AQ526)</f>
        <v>1008.7</v>
      </c>
      <c r="AR527" s="68">
        <f t="shared" si="1385"/>
        <v>991.02</v>
      </c>
      <c r="AS527" s="53"/>
      <c r="AT527" s="53"/>
      <c r="AU527" s="51">
        <f t="shared" ref="AU527:AV527" si="1386">SUM(AU521:AU526)</f>
        <v>953.67</v>
      </c>
      <c r="AV527" s="51">
        <f t="shared" si="1386"/>
        <v>747</v>
      </c>
      <c r="AW527" s="52"/>
      <c r="AX527" s="53"/>
      <c r="AY527" s="51">
        <f t="shared" ref="AY527:AZ527" si="1387">SUM(AY521:AY526)</f>
        <v>505.47</v>
      </c>
      <c r="AZ527" s="68">
        <f t="shared" si="1387"/>
        <v>747</v>
      </c>
      <c r="BA527" s="53"/>
      <c r="BB527" s="53"/>
      <c r="BC527" s="51">
        <f t="shared" ref="BC527:BD527" si="1388">SUM(BC521:BC526)</f>
        <v>1337.13</v>
      </c>
      <c r="BD527" s="51">
        <f t="shared" si="1388"/>
        <v>1756</v>
      </c>
      <c r="BE527" s="69"/>
      <c r="BF527" s="70">
        <f t="shared" ref="BF527:BH527" si="1389">SUM(BF520:BF526)</f>
        <v>22823.0664</v>
      </c>
      <c r="BG527" s="71">
        <f t="shared" si="1389"/>
        <v>23084.32</v>
      </c>
      <c r="BH527" s="72">
        <f t="shared" si="1389"/>
        <v>-470.3736</v>
      </c>
      <c r="BI527" s="34">
        <f>H527+BF527-BG527</f>
        <v>-470.3736</v>
      </c>
      <c r="BJ527" s="34">
        <f>BH527-BI527</f>
        <v>0</v>
      </c>
    </row>
    <row r="528" ht="15.75" customHeight="1" hidden="1" spans="1:60" x14ac:dyDescent="0.25">
      <c r="A528" s="29">
        <v>71</v>
      </c>
      <c r="B528" s="14"/>
      <c r="D528" s="14" t="s">
        <v>42</v>
      </c>
      <c r="F528" s="13"/>
      <c r="G528" s="28"/>
      <c r="I528" s="13"/>
      <c r="J528" s="15"/>
      <c r="K528" s="15"/>
      <c r="L528" s="28"/>
      <c r="Q528" s="13"/>
      <c r="R528" s="15"/>
      <c r="S528" s="15"/>
      <c r="T528" s="28"/>
      <c r="Y528" s="13"/>
      <c r="Z528" s="15"/>
      <c r="AA528" s="15"/>
      <c r="AB528" s="28"/>
      <c r="AG528" s="13"/>
      <c r="AH528" s="15"/>
      <c r="AI528" s="15"/>
      <c r="AJ528" s="28"/>
      <c r="AK528" s="13"/>
      <c r="AL528" s="15"/>
      <c r="AM528" s="15"/>
      <c r="AN528" s="28"/>
      <c r="AO528" s="13"/>
      <c r="AP528" s="15"/>
      <c r="AQ528" s="15"/>
      <c r="AR528" s="28"/>
      <c r="AW528" s="13"/>
      <c r="AX528" s="15"/>
      <c r="AY528" s="15"/>
      <c r="AZ528" s="28"/>
      <c r="BE528" s="14"/>
      <c r="BF528" s="13"/>
      <c r="BG528" s="15"/>
      <c r="BH528" s="28"/>
    </row>
    <row r="529" ht="15.75" customHeight="1" hidden="1" spans="1:60" x14ac:dyDescent="0.25">
      <c r="A529" s="2">
        <v>71</v>
      </c>
      <c r="B529" s="14">
        <v>5.98</v>
      </c>
      <c r="C529" s="2" t="s">
        <v>255</v>
      </c>
      <c r="D529" s="14" t="s">
        <v>44</v>
      </c>
      <c r="E529" s="2" t="s">
        <v>45</v>
      </c>
      <c r="F529" s="13">
        <v>2.49</v>
      </c>
      <c r="G529" s="28"/>
      <c r="H529" s="2">
        <v>2.49</v>
      </c>
      <c r="I529" s="13">
        <v>61</v>
      </c>
      <c r="J529" s="15">
        <v>0</v>
      </c>
      <c r="K529" s="34">
        <f>J529*$F$8</f>
        <v>0</v>
      </c>
      <c r="L529" s="28"/>
      <c r="M529" s="2">
        <v>61</v>
      </c>
      <c r="N529" s="15">
        <f>M529-I529</f>
        <v>0</v>
      </c>
      <c r="O529" s="34">
        <f>N529*$F$8</f>
        <v>0</v>
      </c>
      <c r="Q529" s="13">
        <v>61</v>
      </c>
      <c r="R529" s="15">
        <f>Q529-M529</f>
        <v>0</v>
      </c>
      <c r="S529" s="34">
        <f>R529*$F$8</f>
        <v>0</v>
      </c>
      <c r="T529" s="28"/>
      <c r="U529" s="2">
        <v>62</v>
      </c>
      <c r="V529" s="15">
        <f>U529-Q529</f>
        <v>1</v>
      </c>
      <c r="W529" s="34">
        <f>V529*$F$8</f>
        <v>2.49</v>
      </c>
      <c r="X529" s="2">
        <f>2.49+2.49</f>
        <v>4.98</v>
      </c>
      <c r="Y529" s="13">
        <v>65</v>
      </c>
      <c r="Z529" s="15">
        <f>Y529-U529</f>
        <v>3</v>
      </c>
      <c r="AA529" s="34">
        <f>Z529*$F$8</f>
        <v>7.47</v>
      </c>
      <c r="AB529" s="28">
        <v>7.47</v>
      </c>
      <c r="AC529" s="2">
        <v>70</v>
      </c>
      <c r="AD529" s="15">
        <f t="shared" ref="AD529:AD530" si="1390">AC529-Y529</f>
        <v>5</v>
      </c>
      <c r="AE529" s="34">
        <f>AD529*$F$8</f>
        <v>12.45</v>
      </c>
      <c r="AF529" s="2">
        <v>12.45</v>
      </c>
      <c r="AG529" s="13">
        <v>71</v>
      </c>
      <c r="AH529" s="15">
        <f t="shared" ref="AH529:AH530" si="1391">AG529-AC529</f>
        <v>1</v>
      </c>
      <c r="AI529" s="34">
        <f>AH529*$F$8</f>
        <v>2.49</v>
      </c>
      <c r="AJ529" s="32">
        <v>2.49</v>
      </c>
      <c r="AK529" s="13">
        <v>75</v>
      </c>
      <c r="AL529" s="15">
        <f t="shared" ref="AL529:AL530" si="1392">AK529-AG529</f>
        <v>4</v>
      </c>
      <c r="AM529" s="34">
        <f>AL529*$F$8</f>
        <v>9.96</v>
      </c>
      <c r="AN529" s="32">
        <v>9.96</v>
      </c>
      <c r="AO529" s="13">
        <v>79</v>
      </c>
      <c r="AP529" s="15">
        <f t="shared" ref="AP529:AP530" si="1393">AO529-AK529</f>
        <v>4</v>
      </c>
      <c r="AQ529" s="34">
        <f>AP529*$F$8</f>
        <v>9.96</v>
      </c>
      <c r="AR529" s="32">
        <v>9.96</v>
      </c>
      <c r="AS529" s="15">
        <v>85</v>
      </c>
      <c r="AT529" s="15">
        <f>AS529-AO529</f>
        <v>6</v>
      </c>
      <c r="AU529" s="34">
        <f>AT529*$F$8</f>
        <v>14.94</v>
      </c>
      <c r="AV529" s="15"/>
      <c r="AW529" s="13">
        <v>85</v>
      </c>
      <c r="AX529" s="15">
        <f>AW529-AS529</f>
        <v>0</v>
      </c>
      <c r="AY529" s="34">
        <f>AX529*$F$8</f>
        <v>0</v>
      </c>
      <c r="AZ529" s="28"/>
      <c r="BA529" s="13">
        <v>85</v>
      </c>
      <c r="BB529" s="15">
        <f>BA529-AW529</f>
        <v>0</v>
      </c>
      <c r="BC529" s="34">
        <f>BB529*$F$8</f>
        <v>0</v>
      </c>
      <c r="BD529" s="15"/>
      <c r="BE529" s="40">
        <f t="shared" ref="BE529:BG529" si="1394">J529+N529+R529+V529+Z529+AD529+AH529+AL529+AP529+AT529+AX529+BB529</f>
        <v>24</v>
      </c>
      <c r="BF529" s="41">
        <f t="shared" si="1394"/>
        <v>59.76</v>
      </c>
      <c r="BG529" s="34">
        <f t="shared" si="1394"/>
        <v>47.31</v>
      </c>
      <c r="BH529" s="35">
        <f t="shared" ref="BH529:BH534" si="1395">H529+BF529-BG529</f>
        <v>14.94</v>
      </c>
    </row>
    <row r="530" ht="15.75" customHeight="1" hidden="1" spans="1:60" x14ac:dyDescent="0.25">
      <c r="A530" s="29">
        <v>71</v>
      </c>
      <c r="B530" s="14"/>
      <c r="C530" s="2" t="s">
        <v>75</v>
      </c>
      <c r="D530" s="14" t="s">
        <v>47</v>
      </c>
      <c r="E530" s="2" t="s">
        <v>48</v>
      </c>
      <c r="F530" s="13">
        <v>17.16</v>
      </c>
      <c r="G530" s="28"/>
      <c r="I530" s="13"/>
      <c r="J530" s="15"/>
      <c r="K530" s="15"/>
      <c r="L530" s="28"/>
      <c r="Q530" s="13"/>
      <c r="R530" s="15"/>
      <c r="S530" s="15"/>
      <c r="T530" s="28"/>
      <c r="Y530" s="13">
        <v>145</v>
      </c>
      <c r="Z530" s="15"/>
      <c r="AA530" s="15"/>
      <c r="AB530" s="28"/>
      <c r="AC530" s="2">
        <v>151</v>
      </c>
      <c r="AD530" s="15">
        <f t="shared" si="1390"/>
        <v>6</v>
      </c>
      <c r="AE530" s="34">
        <f>AD530*$F$10</f>
        <v>102.96</v>
      </c>
      <c r="AF530" s="2">
        <v>102.96</v>
      </c>
      <c r="AG530" s="13">
        <v>164</v>
      </c>
      <c r="AH530" s="15">
        <f t="shared" si="1391"/>
        <v>13</v>
      </c>
      <c r="AI530" s="45">
        <f>AH530*$G$10</f>
        <v>229.84</v>
      </c>
      <c r="AJ530" s="32">
        <v>229.84</v>
      </c>
      <c r="AK530" s="13">
        <v>175</v>
      </c>
      <c r="AL530" s="15">
        <f t="shared" si="1392"/>
        <v>11</v>
      </c>
      <c r="AM530" s="45">
        <f>AL530*$G$10</f>
        <v>194.48</v>
      </c>
      <c r="AN530" s="93">
        <v>194.48</v>
      </c>
      <c r="AO530" s="13">
        <v>176</v>
      </c>
      <c r="AP530" s="15">
        <f t="shared" si="1393"/>
        <v>1</v>
      </c>
      <c r="AQ530" s="45">
        <f>AP530*$G$10</f>
        <v>17.68</v>
      </c>
      <c r="AR530" s="32">
        <v>17.68</v>
      </c>
      <c r="AS530" s="15"/>
      <c r="AT530" s="15"/>
      <c r="AU530" s="15"/>
      <c r="AV530" s="15"/>
      <c r="AW530" s="13"/>
      <c r="AX530" s="15"/>
      <c r="AY530" s="15"/>
      <c r="AZ530" s="28"/>
      <c r="BA530" s="15"/>
      <c r="BB530" s="15"/>
      <c r="BC530" s="15"/>
      <c r="BD530" s="15"/>
      <c r="BE530" s="40">
        <f t="shared" ref="BE530:BG530" si="1396">J530+N530+R530+V530+Z530+AD530+AH530+AL530+AP530+AT530+AX530+BB530</f>
        <v>31</v>
      </c>
      <c r="BF530" s="41">
        <f t="shared" si="1396"/>
        <v>544.96</v>
      </c>
      <c r="BG530" s="34">
        <f t="shared" si="1396"/>
        <v>544.96</v>
      </c>
      <c r="BH530" s="35">
        <f t="shared" si="1395"/>
        <v>0</v>
      </c>
    </row>
    <row r="531" ht="15.75" customHeight="1" hidden="1" spans="1:60" x14ac:dyDescent="0.25">
      <c r="A531" s="29">
        <v>71</v>
      </c>
      <c r="B531" s="14"/>
      <c r="C531" s="15" t="s">
        <v>151</v>
      </c>
      <c r="D531" s="14" t="s">
        <v>47</v>
      </c>
      <c r="E531" s="2" t="s">
        <v>49</v>
      </c>
      <c r="F531" s="41">
        <v>300</v>
      </c>
      <c r="G531" s="28"/>
      <c r="I531" s="13"/>
      <c r="J531" s="15"/>
      <c r="K531" s="15"/>
      <c r="L531" s="28"/>
      <c r="Q531" s="13"/>
      <c r="R531" s="15"/>
      <c r="S531" s="15"/>
      <c r="T531" s="28"/>
      <c r="Y531" s="13"/>
      <c r="Z531" s="15"/>
      <c r="AA531" s="15"/>
      <c r="AB531" s="28"/>
      <c r="AG531" s="13"/>
      <c r="AH531" s="15"/>
      <c r="AI531" s="15"/>
      <c r="AJ531" s="28"/>
      <c r="AK531" s="13"/>
      <c r="AL531" s="15"/>
      <c r="AM531" s="34"/>
      <c r="AN531" s="28"/>
      <c r="AO531" s="13"/>
      <c r="AP531" s="15"/>
      <c r="AQ531" s="34"/>
      <c r="AR531" s="28"/>
      <c r="AS531" s="15"/>
      <c r="AT531" s="15"/>
      <c r="AU531" s="15"/>
      <c r="AV531" s="15"/>
      <c r="AW531" s="13"/>
      <c r="AX531" s="15"/>
      <c r="AY531" s="15"/>
      <c r="AZ531" s="28"/>
      <c r="BA531" s="15"/>
      <c r="BB531" s="15"/>
      <c r="BC531" s="15"/>
      <c r="BD531" s="15"/>
      <c r="BE531" s="14"/>
      <c r="BF531" s="41">
        <f t="shared" ref="BF531:BG531" si="1397">K531+O531+S531+W531+AA531+AE531+AI531+AM531+AQ531+AU531+AY531+BC531</f>
        <v>0</v>
      </c>
      <c r="BG531" s="34">
        <f t="shared" si="1397"/>
        <v>0</v>
      </c>
      <c r="BH531" s="35">
        <f t="shared" si="1395"/>
        <v>0</v>
      </c>
    </row>
    <row r="532" ht="15.75" customHeight="1" hidden="1" spans="1:60" x14ac:dyDescent="0.25">
      <c r="A532" s="29">
        <v>71</v>
      </c>
      <c r="B532" s="14"/>
      <c r="C532" s="15" t="s">
        <v>256</v>
      </c>
      <c r="D532" s="14" t="s">
        <v>50</v>
      </c>
      <c r="E532" s="2" t="s">
        <v>49</v>
      </c>
      <c r="F532" s="41">
        <v>1062.88</v>
      </c>
      <c r="G532" s="28"/>
      <c r="I532" s="13"/>
      <c r="J532" s="15"/>
      <c r="K532" s="15"/>
      <c r="L532" s="28"/>
      <c r="Q532" s="13"/>
      <c r="R532" s="15"/>
      <c r="S532" s="15"/>
      <c r="T532" s="28"/>
      <c r="Y532" s="13"/>
      <c r="Z532" s="15"/>
      <c r="AA532" s="15"/>
      <c r="AB532" s="28"/>
      <c r="AE532" s="34">
        <f>B529*$F$12</f>
        <v>6356.0224</v>
      </c>
      <c r="AF532" s="2">
        <v>6356.02</v>
      </c>
      <c r="AG532" s="13"/>
      <c r="AH532" s="15"/>
      <c r="AI532" s="15"/>
      <c r="AJ532" s="35"/>
      <c r="AK532" s="13"/>
      <c r="AL532" s="15"/>
      <c r="AM532" s="15"/>
      <c r="AN532" s="28"/>
      <c r="AO532" s="13"/>
      <c r="AP532" s="15"/>
      <c r="AQ532" s="15"/>
      <c r="AR532" s="28"/>
      <c r="AS532" s="15"/>
      <c r="AT532" s="15"/>
      <c r="AU532" s="15"/>
      <c r="AV532" s="15"/>
      <c r="AW532" s="13"/>
      <c r="AX532" s="15"/>
      <c r="AY532" s="15"/>
      <c r="AZ532" s="28"/>
      <c r="BA532" s="15"/>
      <c r="BB532" s="15"/>
      <c r="BC532" s="15"/>
      <c r="BD532" s="15"/>
      <c r="BE532" s="14"/>
      <c r="BF532" s="41">
        <f>B529*$F$12</f>
        <v>6356.0224</v>
      </c>
      <c r="BG532" s="34">
        <f t="shared" ref="BG532:BG534" si="1398">L532+P532+T532+X532+AB532+AF532+AJ532+AN532+AR532+AV532+AZ532+BD532</f>
        <v>6356.02</v>
      </c>
      <c r="BH532" s="35">
        <f t="shared" si="1395"/>
        <v>0.0024</v>
      </c>
    </row>
    <row r="533" ht="15.75" customHeight="1" hidden="1" spans="1:60" x14ac:dyDescent="0.25">
      <c r="A533" s="29">
        <v>71</v>
      </c>
      <c r="B533" s="14"/>
      <c r="D533" s="14" t="s">
        <v>51</v>
      </c>
      <c r="E533" s="2" t="s">
        <v>49</v>
      </c>
      <c r="F533" s="41">
        <v>0</v>
      </c>
      <c r="G533" s="28"/>
      <c r="I533" s="13"/>
      <c r="J533" s="15"/>
      <c r="K533" s="15"/>
      <c r="L533" s="28"/>
      <c r="Q533" s="13"/>
      <c r="R533" s="15"/>
      <c r="S533" s="15"/>
      <c r="T533" s="28"/>
      <c r="Y533" s="13"/>
      <c r="Z533" s="15"/>
      <c r="AA533" s="15"/>
      <c r="AB533" s="28"/>
      <c r="AG533" s="13"/>
      <c r="AH533" s="15"/>
      <c r="AI533" s="15"/>
      <c r="AJ533" s="28"/>
      <c r="AK533" s="13"/>
      <c r="AL533" s="15"/>
      <c r="AM533" s="15"/>
      <c r="AN533" s="28"/>
      <c r="AO533" s="13"/>
      <c r="AP533" s="15"/>
      <c r="AQ533" s="15"/>
      <c r="AR533" s="28"/>
      <c r="AS533" s="15"/>
      <c r="AT533" s="15"/>
      <c r="AU533" s="15"/>
      <c r="AV533" s="15"/>
      <c r="AW533" s="13"/>
      <c r="AX533" s="15"/>
      <c r="AY533" s="15"/>
      <c r="AZ533" s="28"/>
      <c r="BA533" s="15"/>
      <c r="BB533" s="15"/>
      <c r="BC533" s="15"/>
      <c r="BD533" s="15"/>
      <c r="BE533" s="14"/>
      <c r="BF533" s="41">
        <f>B529*$F$13</f>
        <v>0</v>
      </c>
      <c r="BG533" s="34">
        <f t="shared" si="1398"/>
        <v>0</v>
      </c>
      <c r="BH533" s="35">
        <f t="shared" si="1395"/>
        <v>0</v>
      </c>
    </row>
    <row r="534" ht="15.75" customHeight="1" hidden="1" spans="1:60" x14ac:dyDescent="0.25">
      <c r="A534" s="29">
        <v>71</v>
      </c>
      <c r="B534" s="14"/>
      <c r="D534" s="14" t="s">
        <v>52</v>
      </c>
      <c r="E534" s="2" t="s">
        <v>39</v>
      </c>
      <c r="F534" s="41">
        <v>350</v>
      </c>
      <c r="G534" s="28"/>
      <c r="I534" s="13"/>
      <c r="J534" s="15"/>
      <c r="K534" s="15"/>
      <c r="L534" s="28"/>
      <c r="Q534" s="13"/>
      <c r="R534" s="15"/>
      <c r="S534" s="15"/>
      <c r="T534" s="28"/>
      <c r="Y534" s="13"/>
      <c r="Z534" s="15"/>
      <c r="AA534" s="34">
        <f>$F$14</f>
        <v>350</v>
      </c>
      <c r="AB534" s="35">
        <v>350</v>
      </c>
      <c r="AG534" s="13"/>
      <c r="AH534" s="15"/>
      <c r="AI534" s="15"/>
      <c r="AJ534" s="28"/>
      <c r="AK534" s="13"/>
      <c r="AL534" s="15"/>
      <c r="AM534" s="15"/>
      <c r="AN534" s="28"/>
      <c r="AO534" s="13"/>
      <c r="AP534" s="15"/>
      <c r="AQ534" s="15"/>
      <c r="AR534" s="28"/>
      <c r="AS534" s="15"/>
      <c r="AT534" s="15"/>
      <c r="AU534" s="15"/>
      <c r="AV534" s="15"/>
      <c r="AW534" s="13"/>
      <c r="AX534" s="15"/>
      <c r="AY534" s="15"/>
      <c r="AZ534" s="28"/>
      <c r="BA534" s="15"/>
      <c r="BB534" s="15"/>
      <c r="BC534" s="15"/>
      <c r="BD534" s="15"/>
      <c r="BE534" s="14"/>
      <c r="BF534" s="41">
        <f>$F$14</f>
        <v>350</v>
      </c>
      <c r="BG534" s="34">
        <f t="shared" si="1398"/>
        <v>350</v>
      </c>
      <c r="BH534" s="35">
        <f t="shared" si="1395"/>
        <v>0</v>
      </c>
    </row>
    <row r="535" ht="15.75" customHeight="1" hidden="1" spans="1:62" x14ac:dyDescent="0.25">
      <c r="A535" s="50">
        <v>71</v>
      </c>
      <c r="B535" s="21"/>
      <c r="C535" s="22" t="s">
        <v>53</v>
      </c>
      <c r="D535" s="21"/>
      <c r="E535" s="22"/>
      <c r="F535" s="20"/>
      <c r="G535" s="23"/>
      <c r="H535" s="51">
        <f>SUM(H528:H534)</f>
        <v>2.49</v>
      </c>
      <c r="I535" s="52"/>
      <c r="J535" s="53"/>
      <c r="K535" s="51">
        <f t="shared" ref="K535:L535" si="1399">SUM(K528:K534)</f>
        <v>0</v>
      </c>
      <c r="L535" s="68">
        <f t="shared" si="1399"/>
        <v>0</v>
      </c>
      <c r="M535" s="53"/>
      <c r="N535" s="53"/>
      <c r="O535" s="51">
        <f t="shared" ref="O535:P535" si="1400">SUM(O529:O534)</f>
        <v>0</v>
      </c>
      <c r="P535" s="51">
        <f t="shared" si="1400"/>
        <v>0</v>
      </c>
      <c r="Q535" s="52"/>
      <c r="R535" s="53"/>
      <c r="S535" s="51">
        <f t="shared" ref="S535:T535" si="1401">SUM(S529:S534)</f>
        <v>0</v>
      </c>
      <c r="T535" s="68">
        <f t="shared" si="1401"/>
        <v>0</v>
      </c>
      <c r="U535" s="53"/>
      <c r="V535" s="53"/>
      <c r="W535" s="51">
        <f t="shared" ref="W535:X535" si="1402">SUM(W529:W534)</f>
        <v>2.49</v>
      </c>
      <c r="X535" s="51">
        <f t="shared" si="1402"/>
        <v>4.98</v>
      </c>
      <c r="Y535" s="52"/>
      <c r="Z535" s="53"/>
      <c r="AA535" s="51">
        <f t="shared" ref="AA535:AB535" si="1403">SUM(AA529:AA534)</f>
        <v>357.47</v>
      </c>
      <c r="AB535" s="68">
        <f t="shared" si="1403"/>
        <v>357.47</v>
      </c>
      <c r="AC535" s="53"/>
      <c r="AD535" s="53"/>
      <c r="AE535" s="51">
        <f t="shared" ref="AE535:AF535" si="1404">SUM(AE529:AE534)</f>
        <v>6471.4324</v>
      </c>
      <c r="AF535" s="51">
        <f t="shared" si="1404"/>
        <v>6471.43</v>
      </c>
      <c r="AG535" s="52"/>
      <c r="AH535" s="53"/>
      <c r="AI535" s="51">
        <f t="shared" ref="AI535:AJ535" si="1405">SUM(AI529:AI534)</f>
        <v>232.33</v>
      </c>
      <c r="AJ535" s="68">
        <f t="shared" si="1405"/>
        <v>232.33</v>
      </c>
      <c r="AK535" s="52"/>
      <c r="AL535" s="53"/>
      <c r="AM535" s="51">
        <f t="shared" ref="AM535:AN535" si="1406">SUM(AM529:AM534)</f>
        <v>204.44</v>
      </c>
      <c r="AN535" s="68">
        <f t="shared" si="1406"/>
        <v>204.44</v>
      </c>
      <c r="AO535" s="52"/>
      <c r="AP535" s="53"/>
      <c r="AQ535" s="51">
        <f t="shared" ref="AQ535:AR535" si="1407">SUM(AQ529:AQ534)</f>
        <v>27.64</v>
      </c>
      <c r="AR535" s="68">
        <f t="shared" si="1407"/>
        <v>27.64</v>
      </c>
      <c r="AS535" s="53"/>
      <c r="AT535" s="53"/>
      <c r="AU535" s="51">
        <f t="shared" ref="AU535:AV535" si="1408">SUM(AU529:AU534)</f>
        <v>14.94</v>
      </c>
      <c r="AV535" s="51">
        <f t="shared" si="1408"/>
        <v>0</v>
      </c>
      <c r="AW535" s="52"/>
      <c r="AX535" s="53"/>
      <c r="AY535" s="51">
        <f t="shared" ref="AY535:AZ535" si="1409">SUM(AY529:AY534)</f>
        <v>0</v>
      </c>
      <c r="AZ535" s="68">
        <f t="shared" si="1409"/>
        <v>0</v>
      </c>
      <c r="BA535" s="53"/>
      <c r="BB535" s="53"/>
      <c r="BC535" s="51">
        <f t="shared" ref="BC535:BD535" si="1410">SUM(BC529:BC534)</f>
        <v>0</v>
      </c>
      <c r="BD535" s="51">
        <f t="shared" si="1410"/>
        <v>0</v>
      </c>
      <c r="BE535" s="69"/>
      <c r="BF535" s="70">
        <f t="shared" ref="BF535:BH535" si="1411">SUM(BF528:BF534)</f>
        <v>7310.7424</v>
      </c>
      <c r="BG535" s="71">
        <f t="shared" si="1411"/>
        <v>7298.29</v>
      </c>
      <c r="BH535" s="72">
        <f t="shared" si="1411"/>
        <v>14.9424</v>
      </c>
      <c r="BI535" s="34">
        <f>H535+BF535-BG535</f>
        <v>14.9424</v>
      </c>
      <c r="BJ535" s="34">
        <f>BH535-BI535</f>
        <v>0</v>
      </c>
    </row>
    <row r="536" ht="15.75" customHeight="1" hidden="1" spans="1:60" x14ac:dyDescent="0.25">
      <c r="A536" s="29">
        <v>72</v>
      </c>
      <c r="B536" s="14"/>
      <c r="D536" s="14" t="s">
        <v>42</v>
      </c>
      <c r="F536" s="13"/>
      <c r="G536" s="28"/>
      <c r="I536" s="13"/>
      <c r="J536" s="15"/>
      <c r="K536" s="15"/>
      <c r="L536" s="28"/>
      <c r="Q536" s="13"/>
      <c r="R536" s="15"/>
      <c r="S536" s="15"/>
      <c r="T536" s="28"/>
      <c r="Y536" s="13"/>
      <c r="Z536" s="15"/>
      <c r="AA536" s="15"/>
      <c r="AB536" s="28"/>
      <c r="AG536" s="13"/>
      <c r="AH536" s="15"/>
      <c r="AI536" s="15"/>
      <c r="AJ536" s="28"/>
      <c r="AK536" s="13"/>
      <c r="AL536" s="15"/>
      <c r="AM536" s="15"/>
      <c r="AN536" s="28"/>
      <c r="AO536" s="13"/>
      <c r="AP536" s="15"/>
      <c r="AQ536" s="15"/>
      <c r="AR536" s="28"/>
      <c r="AW536" s="13"/>
      <c r="AX536" s="15"/>
      <c r="AY536" s="15"/>
      <c r="AZ536" s="28"/>
      <c r="BE536" s="14"/>
      <c r="BF536" s="13"/>
      <c r="BG536" s="15"/>
      <c r="BH536" s="28"/>
    </row>
    <row r="537" ht="15.75" customHeight="1" hidden="1" spans="1:60" x14ac:dyDescent="0.25">
      <c r="A537" s="2">
        <v>72</v>
      </c>
      <c r="B537" s="14">
        <v>4.03</v>
      </c>
      <c r="C537" s="73" t="s">
        <v>257</v>
      </c>
      <c r="D537" s="14" t="s">
        <v>44</v>
      </c>
      <c r="E537" s="2" t="s">
        <v>45</v>
      </c>
      <c r="F537" s="13">
        <v>2.49</v>
      </c>
      <c r="G537" s="28"/>
      <c r="I537" s="13">
        <v>1</v>
      </c>
      <c r="J537" s="15">
        <v>0</v>
      </c>
      <c r="K537" s="34">
        <f>J537*$F$8</f>
        <v>0</v>
      </c>
      <c r="L537" s="28"/>
      <c r="M537" s="2">
        <v>1</v>
      </c>
      <c r="N537" s="15">
        <f>M537-I537</f>
        <v>0</v>
      </c>
      <c r="O537" s="34">
        <f>N537*$F$8</f>
        <v>0</v>
      </c>
      <c r="Q537" s="13">
        <v>1</v>
      </c>
      <c r="R537" s="15">
        <f>Q537-M537</f>
        <v>0</v>
      </c>
      <c r="S537" s="34">
        <f>R537*$F$8</f>
        <v>0</v>
      </c>
      <c r="T537" s="28"/>
      <c r="U537" s="2">
        <v>1</v>
      </c>
      <c r="V537" s="15">
        <f>U537-Q537</f>
        <v>0</v>
      </c>
      <c r="W537" s="34">
        <f>V537*$F$8</f>
        <v>0</v>
      </c>
      <c r="Y537" s="13">
        <v>1</v>
      </c>
      <c r="Z537" s="15">
        <f>Y537-U537</f>
        <v>0</v>
      </c>
      <c r="AA537" s="34">
        <f>Z537*$F$8</f>
        <v>0</v>
      </c>
      <c r="AB537" s="28"/>
      <c r="AC537" s="2">
        <v>1</v>
      </c>
      <c r="AD537" s="15">
        <f t="shared" ref="AD537:AD538" si="1412">AC537-Y537</f>
        <v>0</v>
      </c>
      <c r="AE537" s="34">
        <f>AD537*$F$8</f>
        <v>0</v>
      </c>
      <c r="AG537" s="13">
        <v>1</v>
      </c>
      <c r="AH537" s="15">
        <f t="shared" ref="AH537:AH538" si="1413">AG537-AC537</f>
        <v>0</v>
      </c>
      <c r="AI537" s="34">
        <f>AH537*$F$8</f>
        <v>0</v>
      </c>
      <c r="AJ537" s="28"/>
      <c r="AK537" s="13">
        <v>2</v>
      </c>
      <c r="AL537" s="15">
        <f t="shared" ref="AL537:AL538" si="1414">AK537-AG537</f>
        <v>1</v>
      </c>
      <c r="AM537" s="34">
        <f>AL537*$F$8</f>
        <v>2.49</v>
      </c>
      <c r="AN537" s="28"/>
      <c r="AO537" s="13">
        <v>2</v>
      </c>
      <c r="AP537" s="15">
        <f t="shared" ref="AP537:AP538" si="1415">AO537-AK537</f>
        <v>0</v>
      </c>
      <c r="AQ537" s="34">
        <f>AP537*$F$8</f>
        <v>0</v>
      </c>
      <c r="AR537" s="28"/>
      <c r="AS537" s="81">
        <v>2</v>
      </c>
      <c r="AT537" s="15">
        <f>AS537-AO537</f>
        <v>0</v>
      </c>
      <c r="AU537" s="34">
        <f>AT537*$F$8</f>
        <v>0</v>
      </c>
      <c r="AV537" s="15"/>
      <c r="AW537" s="81">
        <v>2</v>
      </c>
      <c r="AX537" s="15">
        <f>AW537-AS537</f>
        <v>0</v>
      </c>
      <c r="AY537" s="34">
        <f>AX537*$F$8</f>
        <v>0</v>
      </c>
      <c r="AZ537" s="28"/>
      <c r="BA537" s="81">
        <v>2</v>
      </c>
      <c r="BB537" s="15">
        <f>BA537-AW537</f>
        <v>0</v>
      </c>
      <c r="BC537" s="34">
        <f>BB537*$F$8</f>
        <v>0</v>
      </c>
      <c r="BD537" s="15"/>
      <c r="BE537" s="40">
        <f t="shared" ref="BE537:BG537" si="1416">J537+N537+R537+V537+Z537+AD537+AH537+AL537+AP537+AT537+AX537+BB537</f>
        <v>1</v>
      </c>
      <c r="BF537" s="41">
        <f t="shared" si="1416"/>
        <v>2.49</v>
      </c>
      <c r="BG537" s="34">
        <f t="shared" si="1416"/>
        <v>0</v>
      </c>
      <c r="BH537" s="35">
        <f t="shared" ref="BH537:BH542" si="1417">H537+BF537-BG537</f>
        <v>2.49</v>
      </c>
    </row>
    <row r="538" ht="15.75" customHeight="1" hidden="1" spans="1:60" x14ac:dyDescent="0.25">
      <c r="A538" s="29">
        <v>72</v>
      </c>
      <c r="B538" s="14"/>
      <c r="C538" s="2" t="s">
        <v>258</v>
      </c>
      <c r="D538" s="14" t="s">
        <v>47</v>
      </c>
      <c r="E538" s="2" t="s">
        <v>48</v>
      </c>
      <c r="F538" s="13">
        <v>17.16</v>
      </c>
      <c r="G538" s="28"/>
      <c r="H538" s="33">
        <v>-313.4</v>
      </c>
      <c r="I538" s="13"/>
      <c r="J538" s="15"/>
      <c r="K538" s="15"/>
      <c r="L538" s="28"/>
      <c r="Q538" s="13"/>
      <c r="R538" s="15"/>
      <c r="S538" s="15"/>
      <c r="T538" s="28"/>
      <c r="Y538" s="13">
        <v>35</v>
      </c>
      <c r="Z538" s="15"/>
      <c r="AA538" s="15"/>
      <c r="AB538" s="28"/>
      <c r="AC538" s="2">
        <v>35</v>
      </c>
      <c r="AD538" s="15">
        <f t="shared" si="1412"/>
        <v>0</v>
      </c>
      <c r="AE538" s="34">
        <f>AD538*$F$10</f>
        <v>0</v>
      </c>
      <c r="AG538" s="13">
        <v>35</v>
      </c>
      <c r="AH538" s="15">
        <f t="shared" si="1413"/>
        <v>0</v>
      </c>
      <c r="AI538" s="45">
        <f>AH538*$G$10</f>
        <v>0</v>
      </c>
      <c r="AJ538" s="28"/>
      <c r="AK538" s="13">
        <v>35</v>
      </c>
      <c r="AL538" s="15">
        <f t="shared" si="1414"/>
        <v>0</v>
      </c>
      <c r="AM538" s="45">
        <f>AL538*$G$10</f>
        <v>0</v>
      </c>
      <c r="AN538" s="28"/>
      <c r="AO538" s="13">
        <v>35</v>
      </c>
      <c r="AP538" s="15">
        <f t="shared" si="1415"/>
        <v>0</v>
      </c>
      <c r="AQ538" s="45">
        <f>AP538*$G$10</f>
        <v>0</v>
      </c>
      <c r="AR538" s="28"/>
      <c r="AS538" s="15"/>
      <c r="AT538" s="15"/>
      <c r="AU538" s="15"/>
      <c r="AV538" s="15"/>
      <c r="AW538" s="13"/>
      <c r="AX538" s="15"/>
      <c r="AY538" s="15"/>
      <c r="AZ538" s="28"/>
      <c r="BA538" s="15"/>
      <c r="BB538" s="15"/>
      <c r="BC538" s="15"/>
      <c r="BD538" s="15"/>
      <c r="BE538" s="40">
        <f t="shared" ref="BE538:BG538" si="1418">J538+N538+R538+V538+Z538+AD538+AH538+AL538+AP538+AT538+AX538+BB538</f>
        <v>0</v>
      </c>
      <c r="BF538" s="41">
        <f t="shared" si="1418"/>
        <v>0</v>
      </c>
      <c r="BG538" s="34">
        <f t="shared" si="1418"/>
        <v>0</v>
      </c>
      <c r="BH538" s="35">
        <f t="shared" si="1417"/>
        <v>-313.4</v>
      </c>
    </row>
    <row r="539" ht="15.75" customHeight="1" hidden="1" spans="1:60" x14ac:dyDescent="0.25">
      <c r="A539" s="29">
        <v>72</v>
      </c>
      <c r="B539" s="14"/>
      <c r="C539" s="73"/>
      <c r="D539" s="14" t="s">
        <v>47</v>
      </c>
      <c r="E539" s="2" t="s">
        <v>49</v>
      </c>
      <c r="F539" s="41">
        <v>300</v>
      </c>
      <c r="G539" s="28"/>
      <c r="I539" s="13"/>
      <c r="J539" s="15"/>
      <c r="K539" s="15"/>
      <c r="L539" s="28"/>
      <c r="Q539" s="13"/>
      <c r="R539" s="15"/>
      <c r="S539" s="15"/>
      <c r="T539" s="28"/>
      <c r="Y539" s="13"/>
      <c r="Z539" s="15"/>
      <c r="AA539" s="15"/>
      <c r="AB539" s="28"/>
      <c r="AG539" s="13"/>
      <c r="AH539" s="15"/>
      <c r="AI539" s="15"/>
      <c r="AJ539" s="28"/>
      <c r="AK539" s="13"/>
      <c r="AL539" s="15"/>
      <c r="AM539" s="34"/>
      <c r="AN539" s="28"/>
      <c r="AO539" s="13"/>
      <c r="AP539" s="15"/>
      <c r="AQ539" s="34"/>
      <c r="AR539" s="28"/>
      <c r="AS539" s="15"/>
      <c r="AT539" s="15"/>
      <c r="AU539" s="15"/>
      <c r="AV539" s="15"/>
      <c r="AW539" s="13"/>
      <c r="AX539" s="15"/>
      <c r="AY539" s="15"/>
      <c r="AZ539" s="28"/>
      <c r="BA539" s="15"/>
      <c r="BB539" s="15"/>
      <c r="BC539" s="15"/>
      <c r="BD539" s="15"/>
      <c r="BE539" s="14"/>
      <c r="BF539" s="41">
        <f t="shared" ref="BF539:BG539" si="1419">K539+O539+S539+W539+AA539+AE539+AI539+AM539+AQ539+AU539+AY539+BC539</f>
        <v>0</v>
      </c>
      <c r="BG539" s="34">
        <f t="shared" si="1419"/>
        <v>0</v>
      </c>
      <c r="BH539" s="35">
        <f t="shared" si="1417"/>
        <v>0</v>
      </c>
    </row>
    <row r="540" ht="15.75" customHeight="1" hidden="1" spans="1:60" x14ac:dyDescent="0.25">
      <c r="A540" s="29">
        <v>72</v>
      </c>
      <c r="B540" s="14"/>
      <c r="D540" s="14" t="s">
        <v>50</v>
      </c>
      <c r="E540" s="2" t="s">
        <v>49</v>
      </c>
      <c r="F540" s="41">
        <v>1062.88</v>
      </c>
      <c r="G540" s="28"/>
      <c r="I540" s="13"/>
      <c r="J540" s="15"/>
      <c r="K540" s="15"/>
      <c r="L540" s="28"/>
      <c r="Q540" s="13"/>
      <c r="R540" s="15"/>
      <c r="S540" s="15"/>
      <c r="T540" s="28"/>
      <c r="Y540" s="13"/>
      <c r="Z540" s="15"/>
      <c r="AA540" s="15"/>
      <c r="AB540" s="28"/>
      <c r="AE540" s="34">
        <f>B537*$F$12</f>
        <v>4283.4064</v>
      </c>
      <c r="AF540" s="34">
        <v>3000</v>
      </c>
      <c r="AG540" s="13"/>
      <c r="AH540" s="15"/>
      <c r="AI540" s="15"/>
      <c r="AJ540" s="35"/>
      <c r="AK540" s="13"/>
      <c r="AL540" s="15"/>
      <c r="AM540" s="15"/>
      <c r="AN540" s="28"/>
      <c r="AO540" s="13"/>
      <c r="AP540" s="15"/>
      <c r="AQ540" s="15"/>
      <c r="AR540" s="28"/>
      <c r="AS540" s="15"/>
      <c r="AT540" s="15"/>
      <c r="AU540" s="15"/>
      <c r="AV540" s="15"/>
      <c r="AW540" s="13"/>
      <c r="AX540" s="15"/>
      <c r="AY540" s="15"/>
      <c r="AZ540" s="28"/>
      <c r="BA540" s="15"/>
      <c r="BB540" s="15"/>
      <c r="BC540" s="15"/>
      <c r="BD540" s="15"/>
      <c r="BE540" s="14"/>
      <c r="BF540" s="41">
        <f>B537*$F$12</f>
        <v>4283.4064</v>
      </c>
      <c r="BG540" s="34">
        <f t="shared" ref="BG540:BG542" si="1420">L540+P540+T540+X540+AB540+AF540+AJ540+AN540+AR540+AV540+AZ540+BD540</f>
        <v>3000</v>
      </c>
      <c r="BH540" s="35">
        <f t="shared" si="1417"/>
        <v>1283.4064</v>
      </c>
    </row>
    <row r="541" ht="15.75" customHeight="1" hidden="1" spans="1:60" x14ac:dyDescent="0.25">
      <c r="A541" s="29">
        <v>72</v>
      </c>
      <c r="B541" s="14"/>
      <c r="D541" s="14" t="s">
        <v>51</v>
      </c>
      <c r="E541" s="2" t="s">
        <v>49</v>
      </c>
      <c r="F541" s="41">
        <v>0</v>
      </c>
      <c r="G541" s="28"/>
      <c r="I541" s="13"/>
      <c r="J541" s="15"/>
      <c r="K541" s="15"/>
      <c r="L541" s="28"/>
      <c r="Q541" s="13"/>
      <c r="R541" s="15"/>
      <c r="S541" s="15"/>
      <c r="T541" s="28"/>
      <c r="Y541" s="13"/>
      <c r="Z541" s="15"/>
      <c r="AA541" s="15"/>
      <c r="AB541" s="28"/>
      <c r="AG541" s="13"/>
      <c r="AH541" s="15"/>
      <c r="AI541" s="15"/>
      <c r="AJ541" s="28"/>
      <c r="AK541" s="13"/>
      <c r="AL541" s="15"/>
      <c r="AM541" s="15"/>
      <c r="AN541" s="28"/>
      <c r="AO541" s="13"/>
      <c r="AP541" s="15"/>
      <c r="AQ541" s="15"/>
      <c r="AR541" s="28"/>
      <c r="AS541" s="15"/>
      <c r="AT541" s="15"/>
      <c r="AU541" s="15"/>
      <c r="AV541" s="15"/>
      <c r="AW541" s="13"/>
      <c r="AX541" s="15"/>
      <c r="AY541" s="15"/>
      <c r="AZ541" s="28"/>
      <c r="BA541" s="15"/>
      <c r="BB541" s="15"/>
      <c r="BC541" s="15"/>
      <c r="BD541" s="15"/>
      <c r="BE541" s="14"/>
      <c r="BF541" s="41">
        <f>B537*$F$13</f>
        <v>0</v>
      </c>
      <c r="BG541" s="34">
        <f t="shared" si="1420"/>
        <v>0</v>
      </c>
      <c r="BH541" s="35">
        <f t="shared" si="1417"/>
        <v>0</v>
      </c>
    </row>
    <row r="542" ht="15.75" customHeight="1" hidden="1" spans="1:60" x14ac:dyDescent="0.25">
      <c r="A542" s="29">
        <v>72</v>
      </c>
      <c r="B542" s="14"/>
      <c r="D542" s="14" t="s">
        <v>52</v>
      </c>
      <c r="E542" s="2" t="s">
        <v>39</v>
      </c>
      <c r="F542" s="41">
        <v>350</v>
      </c>
      <c r="G542" s="28"/>
      <c r="I542" s="13"/>
      <c r="J542" s="15"/>
      <c r="K542" s="15"/>
      <c r="L542" s="28"/>
      <c r="Q542" s="13"/>
      <c r="R542" s="15"/>
      <c r="S542" s="15"/>
      <c r="T542" s="28"/>
      <c r="Y542" s="13"/>
      <c r="Z542" s="15"/>
      <c r="AA542" s="34">
        <f>$F$14</f>
        <v>350</v>
      </c>
      <c r="AB542" s="28"/>
      <c r="AG542" s="13"/>
      <c r="AH542" s="15"/>
      <c r="AI542" s="15"/>
      <c r="AJ542" s="28"/>
      <c r="AK542" s="13"/>
      <c r="AL542" s="15"/>
      <c r="AM542" s="15"/>
      <c r="AN542" s="28"/>
      <c r="AO542" s="13"/>
      <c r="AP542" s="15"/>
      <c r="AQ542" s="15"/>
      <c r="AR542" s="28"/>
      <c r="AS542" s="15"/>
      <c r="AT542" s="15"/>
      <c r="AU542" s="15"/>
      <c r="AV542" s="15"/>
      <c r="AW542" s="13"/>
      <c r="AX542" s="15"/>
      <c r="AY542" s="15"/>
      <c r="AZ542" s="28"/>
      <c r="BA542" s="15"/>
      <c r="BB542" s="15"/>
      <c r="BC542" s="15"/>
      <c r="BD542" s="15"/>
      <c r="BE542" s="14"/>
      <c r="BF542" s="41">
        <f>$F$14</f>
        <v>350</v>
      </c>
      <c r="BG542" s="34">
        <f t="shared" si="1420"/>
        <v>0</v>
      </c>
      <c r="BH542" s="35">
        <f t="shared" si="1417"/>
        <v>350</v>
      </c>
    </row>
    <row r="543" ht="15.75" customHeight="1" hidden="1" spans="1:62" x14ac:dyDescent="0.25">
      <c r="A543" s="50">
        <v>72</v>
      </c>
      <c r="B543" s="21"/>
      <c r="C543" s="22" t="s">
        <v>53</v>
      </c>
      <c r="D543" s="21"/>
      <c r="E543" s="22"/>
      <c r="F543" s="20"/>
      <c r="G543" s="23"/>
      <c r="H543" s="51">
        <f>SUM(H536:H542)</f>
        <v>-313.4</v>
      </c>
      <c r="I543" s="52"/>
      <c r="J543" s="53"/>
      <c r="K543" s="51">
        <f t="shared" ref="K543:L543" si="1421">SUM(K536:K542)</f>
        <v>0</v>
      </c>
      <c r="L543" s="68">
        <f t="shared" si="1421"/>
        <v>0</v>
      </c>
      <c r="M543" s="53"/>
      <c r="N543" s="53"/>
      <c r="O543" s="51">
        <f t="shared" ref="O543:P543" si="1422">SUM(O537:O542)</f>
        <v>0</v>
      </c>
      <c r="P543" s="51">
        <f t="shared" si="1422"/>
        <v>0</v>
      </c>
      <c r="Q543" s="52"/>
      <c r="R543" s="53"/>
      <c r="S543" s="51">
        <f t="shared" ref="S543:T543" si="1423">SUM(S537:S542)</f>
        <v>0</v>
      </c>
      <c r="T543" s="68">
        <f t="shared" si="1423"/>
        <v>0</v>
      </c>
      <c r="U543" s="53"/>
      <c r="V543" s="53"/>
      <c r="W543" s="51">
        <f t="shared" ref="W543:X543" si="1424">SUM(W537:W542)</f>
        <v>0</v>
      </c>
      <c r="X543" s="51">
        <f t="shared" si="1424"/>
        <v>0</v>
      </c>
      <c r="Y543" s="52"/>
      <c r="Z543" s="53"/>
      <c r="AA543" s="51">
        <f t="shared" ref="AA543:AB543" si="1425">SUM(AA537:AA542)</f>
        <v>350</v>
      </c>
      <c r="AB543" s="68">
        <f t="shared" si="1425"/>
        <v>0</v>
      </c>
      <c r="AC543" s="53"/>
      <c r="AD543" s="53"/>
      <c r="AE543" s="51">
        <f t="shared" ref="AE543:AF543" si="1426">SUM(AE537:AE542)</f>
        <v>4283.4064</v>
      </c>
      <c r="AF543" s="51">
        <f t="shared" si="1426"/>
        <v>3000</v>
      </c>
      <c r="AG543" s="52"/>
      <c r="AH543" s="53"/>
      <c r="AI543" s="51">
        <f t="shared" ref="AI543:AJ543" si="1427">SUM(AI537:AI542)</f>
        <v>0</v>
      </c>
      <c r="AJ543" s="68">
        <f t="shared" si="1427"/>
        <v>0</v>
      </c>
      <c r="AK543" s="52"/>
      <c r="AL543" s="53"/>
      <c r="AM543" s="51">
        <f t="shared" ref="AM543:AN543" si="1428">SUM(AM537:AM542)</f>
        <v>2.49</v>
      </c>
      <c r="AN543" s="68">
        <f t="shared" si="1428"/>
        <v>0</v>
      </c>
      <c r="AO543" s="52"/>
      <c r="AP543" s="53"/>
      <c r="AQ543" s="51">
        <f t="shared" ref="AQ543:AR543" si="1429">SUM(AQ537:AQ542)</f>
        <v>0</v>
      </c>
      <c r="AR543" s="68">
        <f t="shared" si="1429"/>
        <v>0</v>
      </c>
      <c r="AS543" s="53"/>
      <c r="AT543" s="53"/>
      <c r="AU543" s="51">
        <f t="shared" ref="AU543:AV543" si="1430">SUM(AU537:AU542)</f>
        <v>0</v>
      </c>
      <c r="AV543" s="51">
        <f t="shared" si="1430"/>
        <v>0</v>
      </c>
      <c r="AW543" s="52"/>
      <c r="AX543" s="53"/>
      <c r="AY543" s="51">
        <f t="shared" ref="AY543:AZ543" si="1431">SUM(AY537:AY542)</f>
        <v>0</v>
      </c>
      <c r="AZ543" s="68">
        <f t="shared" si="1431"/>
        <v>0</v>
      </c>
      <c r="BA543" s="53"/>
      <c r="BB543" s="53"/>
      <c r="BC543" s="51">
        <f t="shared" ref="BC543:BD543" si="1432">SUM(BC537:BC542)</f>
        <v>0</v>
      </c>
      <c r="BD543" s="51">
        <f t="shared" si="1432"/>
        <v>0</v>
      </c>
      <c r="BE543" s="69"/>
      <c r="BF543" s="70">
        <f t="shared" ref="BF543:BH543" si="1433">SUM(BF536:BF542)</f>
        <v>4635.8964</v>
      </c>
      <c r="BG543" s="71">
        <f t="shared" si="1433"/>
        <v>3000</v>
      </c>
      <c r="BH543" s="72">
        <f t="shared" si="1433"/>
        <v>1322.4964</v>
      </c>
      <c r="BI543" s="34">
        <f>H543+BF543-BG543</f>
        <v>1322.4964</v>
      </c>
      <c r="BJ543" s="34">
        <f>BH543-BI543</f>
        <v>0</v>
      </c>
    </row>
    <row r="544" ht="15.75" customHeight="1" hidden="1" spans="1:60" x14ac:dyDescent="0.25">
      <c r="A544" s="29">
        <v>73</v>
      </c>
      <c r="B544" s="14"/>
      <c r="D544" s="14" t="s">
        <v>42</v>
      </c>
      <c r="F544" s="13"/>
      <c r="G544" s="28"/>
      <c r="I544" s="13"/>
      <c r="J544" s="15"/>
      <c r="K544" s="15"/>
      <c r="L544" s="28"/>
      <c r="Q544" s="13"/>
      <c r="R544" s="15"/>
      <c r="S544" s="15"/>
      <c r="T544" s="28"/>
      <c r="Y544" s="13"/>
      <c r="Z544" s="15"/>
      <c r="AA544" s="15"/>
      <c r="AB544" s="28"/>
      <c r="AG544" s="13"/>
      <c r="AH544" s="15"/>
      <c r="AI544" s="15"/>
      <c r="AJ544" s="28"/>
      <c r="AK544" s="13"/>
      <c r="AL544" s="15"/>
      <c r="AM544" s="15"/>
      <c r="AN544" s="28"/>
      <c r="AO544" s="13"/>
      <c r="AP544" s="15"/>
      <c r="AQ544" s="15"/>
      <c r="AR544" s="28"/>
      <c r="AW544" s="13"/>
      <c r="AX544" s="15"/>
      <c r="AY544" s="15"/>
      <c r="AZ544" s="28"/>
      <c r="BE544" s="14"/>
      <c r="BF544" s="13"/>
      <c r="BG544" s="15"/>
      <c r="BH544" s="28"/>
    </row>
    <row r="545" ht="15.75" customHeight="1" hidden="1" spans="1:60" x14ac:dyDescent="0.25">
      <c r="A545" s="2">
        <v>73</v>
      </c>
      <c r="B545" s="14">
        <v>4.02</v>
      </c>
      <c r="C545" s="2" t="s">
        <v>259</v>
      </c>
      <c r="D545" s="14" t="s">
        <v>44</v>
      </c>
      <c r="E545" s="2" t="s">
        <v>45</v>
      </c>
      <c r="F545" s="13">
        <v>2.49</v>
      </c>
      <c r="G545" s="28"/>
      <c r="H545" s="74"/>
      <c r="I545" s="13"/>
      <c r="J545" s="15"/>
      <c r="K545" s="15"/>
      <c r="L545" s="28"/>
      <c r="Q545" s="13"/>
      <c r="R545" s="15"/>
      <c r="S545" s="15"/>
      <c r="T545" s="28"/>
      <c r="Y545" s="13"/>
      <c r="Z545" s="15">
        <f>Y545-U545</f>
        <v>0</v>
      </c>
      <c r="AA545" s="34">
        <f>Z545*$F$8</f>
        <v>0</v>
      </c>
      <c r="AB545" s="28"/>
      <c r="AC545" s="15"/>
      <c r="AD545" s="15">
        <f t="shared" ref="AD545:AD546" si="1434">AC545-Y545</f>
        <v>0</v>
      </c>
      <c r="AE545" s="34">
        <f>AD545*$F$8</f>
        <v>0</v>
      </c>
      <c r="AG545" s="13"/>
      <c r="AH545" s="15">
        <f t="shared" ref="AH545:AH546" si="1435">AG545-AC545</f>
        <v>0</v>
      </c>
      <c r="AI545" s="34">
        <f>AH545*$F$8</f>
        <v>0</v>
      </c>
      <c r="AJ545" s="28"/>
      <c r="AK545" s="13"/>
      <c r="AL545" s="15">
        <f t="shared" ref="AL545:AL546" si="1436">AK545-AG545</f>
        <v>0</v>
      </c>
      <c r="AM545" s="34">
        <f>AL545*$F$8</f>
        <v>0</v>
      </c>
      <c r="AN545" s="28"/>
      <c r="AO545" s="13"/>
      <c r="AP545" s="15"/>
      <c r="AQ545" s="34">
        <f>AP545*$F$8</f>
        <v>0</v>
      </c>
      <c r="AR545" s="28"/>
      <c r="AS545" s="15"/>
      <c r="AT545" s="15"/>
      <c r="AU545" s="34">
        <f>AT545*$F$8</f>
        <v>0</v>
      </c>
      <c r="AV545" s="15"/>
      <c r="AW545" s="13"/>
      <c r="AX545" s="15"/>
      <c r="AY545" s="34">
        <f>AX545*$F$8</f>
        <v>0</v>
      </c>
      <c r="AZ545" s="28"/>
      <c r="BA545" s="15"/>
      <c r="BB545" s="15"/>
      <c r="BC545" s="34">
        <f>BB545*$F$8</f>
        <v>0</v>
      </c>
      <c r="BD545" s="15"/>
      <c r="BE545" s="40">
        <f t="shared" ref="BE545:BG545" si="1437">J545+N545+R545+V545+Z545+AD545+AH545+AL545+AP545+AT545+AX545+BB545</f>
        <v>0</v>
      </c>
      <c r="BF545" s="41">
        <f t="shared" si="1437"/>
        <v>0</v>
      </c>
      <c r="BG545" s="34">
        <f t="shared" si="1437"/>
        <v>0</v>
      </c>
      <c r="BH545" s="35">
        <f t="shared" ref="BH545:BH550" si="1438">H545+BF545-BG545</f>
        <v>0</v>
      </c>
    </row>
    <row r="546" ht="15.75" customHeight="1" hidden="1" spans="1:60" x14ac:dyDescent="0.25">
      <c r="A546" s="29">
        <v>73</v>
      </c>
      <c r="B546" s="14"/>
      <c r="C546" s="2" t="s">
        <v>260</v>
      </c>
      <c r="D546" s="14" t="s">
        <v>47</v>
      </c>
      <c r="E546" s="2" t="s">
        <v>48</v>
      </c>
      <c r="F546" s="13">
        <v>17.16</v>
      </c>
      <c r="G546" s="28"/>
      <c r="H546" s="73">
        <v>-17.16</v>
      </c>
      <c r="I546" s="13"/>
      <c r="J546" s="15"/>
      <c r="K546" s="15"/>
      <c r="L546" s="28"/>
      <c r="Q546" s="13"/>
      <c r="R546" s="15"/>
      <c r="S546" s="15"/>
      <c r="T546" s="28"/>
      <c r="Y546" s="13">
        <v>48</v>
      </c>
      <c r="Z546" s="15"/>
      <c r="AA546" s="15"/>
      <c r="AB546" s="28"/>
      <c r="AC546" s="2">
        <v>50</v>
      </c>
      <c r="AD546" s="15">
        <f t="shared" si="1434"/>
        <v>2</v>
      </c>
      <c r="AE546" s="34">
        <f>AD546*$F$10</f>
        <v>34.32</v>
      </c>
      <c r="AF546" s="2">
        <v>34.32</v>
      </c>
      <c r="AG546" s="13">
        <v>54</v>
      </c>
      <c r="AH546" s="15">
        <f t="shared" si="1435"/>
        <v>4</v>
      </c>
      <c r="AI546" s="45">
        <f>AH546*$G$10</f>
        <v>70.72</v>
      </c>
      <c r="AJ546" s="32">
        <v>70.72</v>
      </c>
      <c r="AK546" s="13">
        <v>58</v>
      </c>
      <c r="AL546" s="15">
        <f t="shared" si="1436"/>
        <v>4</v>
      </c>
      <c r="AM546" s="45">
        <f>AL546*$G$10</f>
        <v>70.72</v>
      </c>
      <c r="AN546" s="32">
        <v>70.72</v>
      </c>
      <c r="AO546" s="13">
        <v>61</v>
      </c>
      <c r="AP546" s="15">
        <f>AO546-AK546</f>
        <v>3</v>
      </c>
      <c r="AQ546" s="45">
        <f>AP546*$G$10</f>
        <v>53.04</v>
      </c>
      <c r="AR546" s="32">
        <v>35.88</v>
      </c>
      <c r="AS546" s="15"/>
      <c r="AT546" s="15"/>
      <c r="AU546" s="15"/>
      <c r="AV546" s="15"/>
      <c r="AW546" s="13"/>
      <c r="AX546" s="15"/>
      <c r="AY546" s="15"/>
      <c r="AZ546" s="28"/>
      <c r="BA546" s="15"/>
      <c r="BB546" s="15"/>
      <c r="BC546" s="15"/>
      <c r="BD546" s="15"/>
      <c r="BE546" s="40">
        <f t="shared" ref="BE546:BG546" si="1439">J546+N546+R546+V546+Z546+AD546+AH546+AL546+AP546+AT546+AX546+BB546</f>
        <v>13</v>
      </c>
      <c r="BF546" s="41">
        <f t="shared" si="1439"/>
        <v>228.8</v>
      </c>
      <c r="BG546" s="34">
        <f t="shared" si="1439"/>
        <v>211.64</v>
      </c>
      <c r="BH546" s="35">
        <f t="shared" si="1438"/>
        <v>0</v>
      </c>
    </row>
    <row r="547" ht="15.75" customHeight="1" hidden="1" spans="1:60" x14ac:dyDescent="0.25">
      <c r="A547" s="29">
        <v>73</v>
      </c>
      <c r="B547" s="14"/>
      <c r="C547" s="15" t="s">
        <v>84</v>
      </c>
      <c r="D547" s="14" t="s">
        <v>47</v>
      </c>
      <c r="E547" s="2" t="s">
        <v>49</v>
      </c>
      <c r="F547" s="41">
        <v>300</v>
      </c>
      <c r="G547" s="28"/>
      <c r="I547" s="13"/>
      <c r="J547" s="15"/>
      <c r="K547" s="15"/>
      <c r="L547" s="28"/>
      <c r="Q547" s="13"/>
      <c r="R547" s="15"/>
      <c r="S547" s="15"/>
      <c r="T547" s="28"/>
      <c r="Y547" s="13"/>
      <c r="Z547" s="15"/>
      <c r="AA547" s="15"/>
      <c r="AB547" s="28"/>
      <c r="AG547" s="13"/>
      <c r="AH547" s="15"/>
      <c r="AI547" s="15"/>
      <c r="AJ547" s="28"/>
      <c r="AK547" s="13"/>
      <c r="AL547" s="15"/>
      <c r="AM547" s="34"/>
      <c r="AN547" s="28"/>
      <c r="AO547" s="13"/>
      <c r="AP547" s="15"/>
      <c r="AQ547" s="34"/>
      <c r="AR547" s="28"/>
      <c r="AS547" s="15"/>
      <c r="AT547" s="15"/>
      <c r="AU547" s="15"/>
      <c r="AV547" s="15"/>
      <c r="AW547" s="13"/>
      <c r="AX547" s="15"/>
      <c r="AY547" s="15"/>
      <c r="AZ547" s="28"/>
      <c r="BA547" s="15"/>
      <c r="BB547" s="15"/>
      <c r="BC547" s="15"/>
      <c r="BD547" s="15"/>
      <c r="BE547" s="14"/>
      <c r="BF547" s="41">
        <f t="shared" ref="BF547:BG547" si="1440">K547+O547+S547+W547+AA547+AE547+AI547+AM547+AQ547+AU547+AY547+BC547</f>
        <v>0</v>
      </c>
      <c r="BG547" s="34">
        <f t="shared" si="1440"/>
        <v>0</v>
      </c>
      <c r="BH547" s="35">
        <f t="shared" si="1438"/>
        <v>0</v>
      </c>
    </row>
    <row r="548" ht="15.75" customHeight="1" hidden="1" spans="1:60" x14ac:dyDescent="0.25">
      <c r="A548" s="29">
        <v>73</v>
      </c>
      <c r="B548" s="14"/>
      <c r="C548" s="2" t="s">
        <v>261</v>
      </c>
      <c r="D548" s="14" t="s">
        <v>50</v>
      </c>
      <c r="E548" s="2" t="s">
        <v>49</v>
      </c>
      <c r="F548" s="41">
        <v>1062.88</v>
      </c>
      <c r="G548" s="28"/>
      <c r="I548" s="13"/>
      <c r="J548" s="15"/>
      <c r="K548" s="15"/>
      <c r="L548" s="28"/>
      <c r="Q548" s="13"/>
      <c r="R548" s="15"/>
      <c r="S548" s="15"/>
      <c r="T548" s="28"/>
      <c r="Y548" s="13"/>
      <c r="Z548" s="15"/>
      <c r="AA548" s="15"/>
      <c r="AB548" s="28"/>
      <c r="AE548" s="34">
        <f>B545*$F$12</f>
        <v>4272.7776</v>
      </c>
      <c r="AG548" s="13"/>
      <c r="AH548" s="15"/>
      <c r="AI548" s="15"/>
      <c r="AJ548" s="35"/>
      <c r="AK548" s="13"/>
      <c r="AL548" s="15"/>
      <c r="AM548" s="15"/>
      <c r="AN548" s="32">
        <v>4272.78</v>
      </c>
      <c r="AO548" s="13"/>
      <c r="AP548" s="15"/>
      <c r="AQ548" s="15"/>
      <c r="AR548" s="28"/>
      <c r="AS548" s="15"/>
      <c r="AT548" s="15"/>
      <c r="AU548" s="15"/>
      <c r="AV548" s="15"/>
      <c r="AW548" s="13"/>
      <c r="AX548" s="15"/>
      <c r="AY548" s="15"/>
      <c r="AZ548" s="28"/>
      <c r="BA548" s="15"/>
      <c r="BB548" s="15"/>
      <c r="BC548" s="15"/>
      <c r="BD548" s="15"/>
      <c r="BE548" s="14"/>
      <c r="BF548" s="41">
        <f>B545*$F$12</f>
        <v>4272.7776</v>
      </c>
      <c r="BG548" s="34">
        <f t="shared" ref="BG548:BG550" si="1441">L548+P548+T548+X548+AB548+AF548+AJ548+AN548+AR548+AV548+AZ548+BD548</f>
        <v>4272.78</v>
      </c>
      <c r="BH548" s="35">
        <f t="shared" si="1438"/>
        <v>-0.002399999999</v>
      </c>
    </row>
    <row r="549" ht="15.75" customHeight="1" hidden="1" spans="1:60" x14ac:dyDescent="0.25">
      <c r="A549" s="29">
        <v>73</v>
      </c>
      <c r="B549" s="14"/>
      <c r="D549" s="14" t="s">
        <v>51</v>
      </c>
      <c r="E549" s="2" t="s">
        <v>49</v>
      </c>
      <c r="F549" s="41">
        <v>0</v>
      </c>
      <c r="G549" s="28"/>
      <c r="I549" s="13"/>
      <c r="J549" s="15"/>
      <c r="K549" s="15"/>
      <c r="L549" s="28"/>
      <c r="Q549" s="13"/>
      <c r="R549" s="15"/>
      <c r="S549" s="15"/>
      <c r="T549" s="28"/>
      <c r="Y549" s="13"/>
      <c r="Z549" s="15"/>
      <c r="AA549" s="15"/>
      <c r="AB549" s="28"/>
      <c r="AG549" s="13"/>
      <c r="AH549" s="15"/>
      <c r="AI549" s="15"/>
      <c r="AJ549" s="28"/>
      <c r="AK549" s="13"/>
      <c r="AL549" s="15"/>
      <c r="AM549" s="15"/>
      <c r="AN549" s="28"/>
      <c r="AO549" s="13"/>
      <c r="AP549" s="15"/>
      <c r="AQ549" s="15"/>
      <c r="AR549" s="28"/>
      <c r="AS549" s="15"/>
      <c r="AT549" s="15"/>
      <c r="AU549" s="15"/>
      <c r="AV549" s="15"/>
      <c r="AW549" s="13"/>
      <c r="AX549" s="15"/>
      <c r="AY549" s="15"/>
      <c r="AZ549" s="28"/>
      <c r="BA549" s="15"/>
      <c r="BB549" s="15"/>
      <c r="BC549" s="15"/>
      <c r="BD549" s="15"/>
      <c r="BE549" s="14"/>
      <c r="BF549" s="41">
        <f>B545*$F$13</f>
        <v>0</v>
      </c>
      <c r="BG549" s="34">
        <f t="shared" si="1441"/>
        <v>0</v>
      </c>
      <c r="BH549" s="35">
        <f t="shared" si="1438"/>
        <v>0</v>
      </c>
    </row>
    <row r="550" ht="15.75" customHeight="1" hidden="1" spans="1:60" x14ac:dyDescent="0.25">
      <c r="A550" s="29">
        <v>73</v>
      </c>
      <c r="B550" s="14"/>
      <c r="D550" s="14" t="s">
        <v>52</v>
      </c>
      <c r="E550" s="2" t="s">
        <v>39</v>
      </c>
      <c r="F550" s="41">
        <v>350</v>
      </c>
      <c r="G550" s="28"/>
      <c r="I550" s="13"/>
      <c r="J550" s="15"/>
      <c r="K550" s="15"/>
      <c r="L550" s="28"/>
      <c r="Q550" s="13"/>
      <c r="R550" s="15"/>
      <c r="S550" s="15"/>
      <c r="T550" s="28"/>
      <c r="Y550" s="13"/>
      <c r="Z550" s="15"/>
      <c r="AA550" s="34">
        <f>$F$14</f>
        <v>350</v>
      </c>
      <c r="AB550" s="28"/>
      <c r="AG550" s="13"/>
      <c r="AH550" s="15"/>
      <c r="AI550" s="15"/>
      <c r="AJ550" s="28"/>
      <c r="AK550" s="13"/>
      <c r="AL550" s="15"/>
      <c r="AM550" s="15"/>
      <c r="AN550" s="38">
        <v>350</v>
      </c>
      <c r="AO550" s="13"/>
      <c r="AP550" s="15"/>
      <c r="AQ550" s="15"/>
      <c r="AR550" s="28"/>
      <c r="AS550" s="15"/>
      <c r="AT550" s="15"/>
      <c r="AU550" s="15"/>
      <c r="AV550" s="15"/>
      <c r="AW550" s="13"/>
      <c r="AX550" s="15"/>
      <c r="AY550" s="15"/>
      <c r="AZ550" s="28"/>
      <c r="BA550" s="15"/>
      <c r="BB550" s="15"/>
      <c r="BC550" s="15"/>
      <c r="BD550" s="15"/>
      <c r="BE550" s="14"/>
      <c r="BF550" s="41">
        <f>$F$14</f>
        <v>350</v>
      </c>
      <c r="BG550" s="34">
        <f t="shared" si="1441"/>
        <v>350</v>
      </c>
      <c r="BH550" s="35">
        <f t="shared" si="1438"/>
        <v>0</v>
      </c>
    </row>
    <row r="551" ht="15.75" customHeight="1" hidden="1" spans="1:62" x14ac:dyDescent="0.25">
      <c r="A551" s="50">
        <v>73</v>
      </c>
      <c r="B551" s="21"/>
      <c r="C551" s="22" t="s">
        <v>53</v>
      </c>
      <c r="D551" s="21"/>
      <c r="E551" s="22"/>
      <c r="F551" s="20"/>
      <c r="G551" s="23"/>
      <c r="H551" s="51">
        <f>SUM(H544:H550)</f>
        <v>-17.16</v>
      </c>
      <c r="I551" s="52"/>
      <c r="J551" s="53"/>
      <c r="K551" s="51">
        <f t="shared" ref="K551:L551" si="1442">SUM(K544:K550)</f>
        <v>0</v>
      </c>
      <c r="L551" s="68">
        <f t="shared" si="1442"/>
        <v>0</v>
      </c>
      <c r="M551" s="53"/>
      <c r="N551" s="53"/>
      <c r="O551" s="51">
        <f t="shared" ref="O551:P551" si="1443">SUM(O545:O550)</f>
        <v>0</v>
      </c>
      <c r="P551" s="51">
        <f t="shared" si="1443"/>
        <v>0</v>
      </c>
      <c r="Q551" s="52"/>
      <c r="R551" s="53"/>
      <c r="S551" s="51">
        <f t="shared" ref="S551:T551" si="1444">SUM(S545:S550)</f>
        <v>0</v>
      </c>
      <c r="T551" s="68">
        <f t="shared" si="1444"/>
        <v>0</v>
      </c>
      <c r="U551" s="53"/>
      <c r="V551" s="53"/>
      <c r="W551" s="51">
        <f t="shared" ref="W551:X551" si="1445">SUM(W545:W550)</f>
        <v>0</v>
      </c>
      <c r="X551" s="51">
        <f t="shared" si="1445"/>
        <v>0</v>
      </c>
      <c r="Y551" s="52"/>
      <c r="Z551" s="53"/>
      <c r="AA551" s="51">
        <f t="shared" ref="AA551:AB551" si="1446">SUM(AA545:AA550)</f>
        <v>350</v>
      </c>
      <c r="AB551" s="68">
        <f t="shared" si="1446"/>
        <v>0</v>
      </c>
      <c r="AC551" s="53"/>
      <c r="AD551" s="53"/>
      <c r="AE551" s="51">
        <f t="shared" ref="AE551:AF551" si="1447">SUM(AE545:AE550)</f>
        <v>4307.0976</v>
      </c>
      <c r="AF551" s="51">
        <f t="shared" si="1447"/>
        <v>34.32</v>
      </c>
      <c r="AG551" s="52"/>
      <c r="AH551" s="53"/>
      <c r="AI551" s="51">
        <f t="shared" ref="AI551:AJ551" si="1448">SUM(AI545:AI550)</f>
        <v>70.72</v>
      </c>
      <c r="AJ551" s="68">
        <f t="shared" si="1448"/>
        <v>70.72</v>
      </c>
      <c r="AK551" s="52"/>
      <c r="AL551" s="53"/>
      <c r="AM551" s="51">
        <f t="shared" ref="AM551:AN551" si="1449">SUM(AM545:AM550)</f>
        <v>70.72</v>
      </c>
      <c r="AN551" s="68">
        <f t="shared" si="1449"/>
        <v>4693.5</v>
      </c>
      <c r="AO551" s="52"/>
      <c r="AP551" s="53"/>
      <c r="AQ551" s="51">
        <f t="shared" ref="AQ551:AR551" si="1450">SUM(AQ545:AQ550)</f>
        <v>53.04</v>
      </c>
      <c r="AR551" s="68">
        <f t="shared" si="1450"/>
        <v>35.88</v>
      </c>
      <c r="AS551" s="53"/>
      <c r="AT551" s="53"/>
      <c r="AU551" s="51">
        <f t="shared" ref="AU551:AV551" si="1451">SUM(AU545:AU550)</f>
        <v>0</v>
      </c>
      <c r="AV551" s="51">
        <f t="shared" si="1451"/>
        <v>0</v>
      </c>
      <c r="AW551" s="52"/>
      <c r="AX551" s="53"/>
      <c r="AY551" s="51">
        <f t="shared" ref="AY551:AZ551" si="1452">SUM(AY545:AY550)</f>
        <v>0</v>
      </c>
      <c r="AZ551" s="68">
        <f t="shared" si="1452"/>
        <v>0</v>
      </c>
      <c r="BA551" s="53"/>
      <c r="BB551" s="53"/>
      <c r="BC551" s="51">
        <f t="shared" ref="BC551:BD551" si="1453">SUM(BC545:BC550)</f>
        <v>0</v>
      </c>
      <c r="BD551" s="51">
        <f t="shared" si="1453"/>
        <v>0</v>
      </c>
      <c r="BE551" s="69"/>
      <c r="BF551" s="70">
        <f t="shared" ref="BF551:BH551" si="1454">SUM(BF544:BF550)</f>
        <v>4851.5776</v>
      </c>
      <c r="BG551" s="71">
        <f t="shared" si="1454"/>
        <v>4834.42</v>
      </c>
      <c r="BH551" s="72">
        <f t="shared" si="1454"/>
        <v>-0.002399999999</v>
      </c>
      <c r="BI551" s="34">
        <f>H551+BF551-BG551</f>
        <v>-0.002399999999</v>
      </c>
      <c r="BJ551" s="34">
        <f>BH551-BI551</f>
        <v>0</v>
      </c>
    </row>
    <row r="552" ht="15.75" customHeight="1" hidden="1" spans="1:60" x14ac:dyDescent="0.25">
      <c r="A552" s="29">
        <v>74</v>
      </c>
      <c r="B552" s="14"/>
      <c r="D552" s="14" t="s">
        <v>42</v>
      </c>
      <c r="F552" s="13"/>
      <c r="G552" s="28"/>
      <c r="I552" s="13"/>
      <c r="J552" s="15"/>
      <c r="K552" s="15"/>
      <c r="L552" s="28"/>
      <c r="Q552" s="13"/>
      <c r="R552" s="15"/>
      <c r="S552" s="15"/>
      <c r="T552" s="28"/>
      <c r="Y552" s="13"/>
      <c r="Z552" s="15"/>
      <c r="AA552" s="15"/>
      <c r="AB552" s="28"/>
      <c r="AG552" s="13"/>
      <c r="AH552" s="15"/>
      <c r="AI552" s="15"/>
      <c r="AJ552" s="28"/>
      <c r="AK552" s="13"/>
      <c r="AL552" s="15"/>
      <c r="AM552" s="15"/>
      <c r="AN552" s="28"/>
      <c r="AO552" s="13"/>
      <c r="AP552" s="15"/>
      <c r="AQ552" s="15"/>
      <c r="AR552" s="28"/>
      <c r="AW552" s="13"/>
      <c r="AX552" s="15"/>
      <c r="AY552" s="15"/>
      <c r="AZ552" s="28"/>
      <c r="BE552" s="14"/>
      <c r="BF552" s="13"/>
      <c r="BG552" s="15"/>
      <c r="BH552" s="28"/>
    </row>
    <row r="553" ht="15.75" customHeight="1" hidden="1" spans="1:60" x14ac:dyDescent="0.25">
      <c r="A553" s="2">
        <v>74</v>
      </c>
      <c r="B553" s="14">
        <v>4.97</v>
      </c>
      <c r="C553" s="2" t="s">
        <v>262</v>
      </c>
      <c r="D553" s="14" t="s">
        <v>44</v>
      </c>
      <c r="E553" s="2" t="s">
        <v>45</v>
      </c>
      <c r="F553" s="13">
        <v>2.49</v>
      </c>
      <c r="G553" s="28"/>
      <c r="H553" s="74"/>
      <c r="I553" s="13"/>
      <c r="J553" s="15"/>
      <c r="K553" s="15"/>
      <c r="L553" s="28"/>
      <c r="Q553" s="13"/>
      <c r="R553" s="15"/>
      <c r="S553" s="15"/>
      <c r="T553" s="28"/>
      <c r="Y553" s="13"/>
      <c r="Z553" s="15">
        <f>Y553-U553</f>
        <v>0</v>
      </c>
      <c r="AA553" s="34">
        <f>Z553*$F$8</f>
        <v>0</v>
      </c>
      <c r="AB553" s="28"/>
      <c r="AC553" s="15"/>
      <c r="AD553" s="15">
        <f t="shared" ref="AD553:AD554" si="1455">AC553-Y553</f>
        <v>0</v>
      </c>
      <c r="AE553" s="34">
        <f>AD553*$F$8</f>
        <v>0</v>
      </c>
      <c r="AG553" s="13"/>
      <c r="AH553" s="15">
        <f t="shared" ref="AH553:AH554" si="1456">AG553-AC553</f>
        <v>0</v>
      </c>
      <c r="AI553" s="34">
        <f>AH553*$F$8</f>
        <v>0</v>
      </c>
      <c r="AJ553" s="28"/>
      <c r="AK553" s="13"/>
      <c r="AL553" s="15">
        <f t="shared" ref="AL553:AL554" si="1457">AK553-AG553</f>
        <v>0</v>
      </c>
      <c r="AM553" s="34">
        <f>AL553*$F$8</f>
        <v>0</v>
      </c>
      <c r="AN553" s="28"/>
      <c r="AO553" s="13"/>
      <c r="AP553" s="15"/>
      <c r="AQ553" s="34">
        <f>AP553*$F$8</f>
        <v>0</v>
      </c>
      <c r="AR553" s="28"/>
      <c r="AS553" s="15"/>
      <c r="AT553" s="15"/>
      <c r="AU553" s="34">
        <f>AT553*$F$8</f>
        <v>0</v>
      </c>
      <c r="AV553" s="15"/>
      <c r="AW553" s="13"/>
      <c r="AX553" s="15"/>
      <c r="AY553" s="34">
        <f>AX553*$F$8</f>
        <v>0</v>
      </c>
      <c r="AZ553" s="28"/>
      <c r="BA553" s="15"/>
      <c r="BB553" s="15"/>
      <c r="BC553" s="34">
        <f>BB553*$F$8</f>
        <v>0</v>
      </c>
      <c r="BD553" s="15"/>
      <c r="BE553" s="40">
        <f t="shared" ref="BE553:BG553" si="1458">J553+N553+R553+V553+Z553+AD553+AH553+AL553+AP553+AT553+AX553+BB553</f>
        <v>0</v>
      </c>
      <c r="BF553" s="41">
        <f t="shared" si="1458"/>
        <v>0</v>
      </c>
      <c r="BG553" s="34">
        <f t="shared" si="1458"/>
        <v>0</v>
      </c>
      <c r="BH553" s="35">
        <f t="shared" ref="BH553:BH558" si="1459">H553+BF553-BG553</f>
        <v>0</v>
      </c>
    </row>
    <row r="554" ht="15.75" customHeight="1" hidden="1" spans="1:60" x14ac:dyDescent="0.25">
      <c r="A554" s="29">
        <v>74</v>
      </c>
      <c r="B554" s="14"/>
      <c r="C554" s="2" t="s">
        <v>161</v>
      </c>
      <c r="D554" s="14" t="s">
        <v>47</v>
      </c>
      <c r="E554" s="2" t="s">
        <v>48</v>
      </c>
      <c r="F554" s="13">
        <v>17.16</v>
      </c>
      <c r="G554" s="28"/>
      <c r="H554" s="73">
        <v>17.16</v>
      </c>
      <c r="I554" s="13"/>
      <c r="J554" s="15"/>
      <c r="K554" s="15"/>
      <c r="L554" s="28"/>
      <c r="Q554" s="13"/>
      <c r="R554" s="15"/>
      <c r="S554" s="15"/>
      <c r="T554" s="28"/>
      <c r="Y554" s="13">
        <v>97</v>
      </c>
      <c r="Z554" s="15"/>
      <c r="AA554" s="15"/>
      <c r="AB554" s="28"/>
      <c r="AC554" s="2">
        <v>98</v>
      </c>
      <c r="AD554" s="15">
        <f t="shared" si="1455"/>
        <v>1</v>
      </c>
      <c r="AE554" s="34">
        <f>AD554*$F$10</f>
        <v>17.16</v>
      </c>
      <c r="AG554" s="13">
        <v>104</v>
      </c>
      <c r="AH554" s="15">
        <f t="shared" si="1456"/>
        <v>6</v>
      </c>
      <c r="AI554" s="45">
        <f>AH554*$G$10</f>
        <v>106.08</v>
      </c>
      <c r="AJ554" s="38">
        <f>17.16+123.24</f>
        <v>140.4</v>
      </c>
      <c r="AK554" s="13">
        <v>109</v>
      </c>
      <c r="AL554" s="15">
        <f t="shared" si="1457"/>
        <v>5</v>
      </c>
      <c r="AM554" s="45">
        <f>AL554*$G$10</f>
        <v>88.4</v>
      </c>
      <c r="AN554" s="38">
        <v>88.4</v>
      </c>
      <c r="AO554" s="13">
        <v>110</v>
      </c>
      <c r="AP554" s="15">
        <f>AO554-AK554</f>
        <v>1</v>
      </c>
      <c r="AQ554" s="45">
        <f>AP554*$G$10</f>
        <v>17.68</v>
      </c>
      <c r="AR554" s="32">
        <v>17.68</v>
      </c>
      <c r="AS554" s="15"/>
      <c r="AT554" s="15"/>
      <c r="AU554" s="15"/>
      <c r="AV554" s="15"/>
      <c r="AW554" s="13"/>
      <c r="AX554" s="15"/>
      <c r="AY554" s="15"/>
      <c r="AZ554" s="28"/>
      <c r="BA554" s="15"/>
      <c r="BB554" s="15"/>
      <c r="BC554" s="15"/>
      <c r="BD554" s="15"/>
      <c r="BE554" s="40">
        <f t="shared" ref="BE554:BG554" si="1460">J554+N554+R554+V554+Z554+AD554+AH554+AL554+AP554+AT554+AX554+BB554</f>
        <v>13</v>
      </c>
      <c r="BF554" s="41">
        <f t="shared" si="1460"/>
        <v>229.32</v>
      </c>
      <c r="BG554" s="34">
        <f t="shared" si="1460"/>
        <v>246.48</v>
      </c>
      <c r="BH554" s="35">
        <f t="shared" si="1459"/>
        <v>0</v>
      </c>
    </row>
    <row r="555" ht="15.75" customHeight="1" hidden="1" spans="1:60" x14ac:dyDescent="0.25">
      <c r="A555" s="29">
        <v>74</v>
      </c>
      <c r="B555" s="14"/>
      <c r="C555" s="2" t="s">
        <v>107</v>
      </c>
      <c r="D555" s="14" t="s">
        <v>47</v>
      </c>
      <c r="E555" s="2" t="s">
        <v>49</v>
      </c>
      <c r="F555" s="41">
        <v>300</v>
      </c>
      <c r="G555" s="28"/>
      <c r="I555" s="13"/>
      <c r="J555" s="15"/>
      <c r="K555" s="15"/>
      <c r="L555" s="28"/>
      <c r="Q555" s="13"/>
      <c r="R555" s="15"/>
      <c r="S555" s="15"/>
      <c r="T555" s="28"/>
      <c r="Y555" s="13"/>
      <c r="Z555" s="15"/>
      <c r="AA555" s="15"/>
      <c r="AB555" s="28"/>
      <c r="AG555" s="13"/>
      <c r="AH555" s="15"/>
      <c r="AI555" s="15"/>
      <c r="AJ555" s="28"/>
      <c r="AK555" s="13"/>
      <c r="AL555" s="15"/>
      <c r="AM555" s="34"/>
      <c r="AN555" s="28"/>
      <c r="AO555" s="13"/>
      <c r="AP555" s="15"/>
      <c r="AQ555" s="34"/>
      <c r="AR555" s="28"/>
      <c r="AS555" s="15"/>
      <c r="AT555" s="15"/>
      <c r="AU555" s="15"/>
      <c r="AV555" s="15"/>
      <c r="AW555" s="13"/>
      <c r="AX555" s="15"/>
      <c r="AY555" s="15"/>
      <c r="AZ555" s="28"/>
      <c r="BA555" s="15"/>
      <c r="BB555" s="15"/>
      <c r="BC555" s="15"/>
      <c r="BD555" s="15"/>
      <c r="BE555" s="14"/>
      <c r="BF555" s="41">
        <f t="shared" ref="BF555:BG555" si="1461">K555+O555+S555+W555+AA555+AE555+AI555+AM555+AQ555+AU555+AY555+BC555</f>
        <v>0</v>
      </c>
      <c r="BG555" s="34">
        <f t="shared" si="1461"/>
        <v>0</v>
      </c>
      <c r="BH555" s="35">
        <f t="shared" si="1459"/>
        <v>0</v>
      </c>
    </row>
    <row r="556" ht="15.75" customHeight="1" hidden="1" spans="1:60" x14ac:dyDescent="0.25">
      <c r="A556" s="29">
        <v>74</v>
      </c>
      <c r="B556" s="14"/>
      <c r="C556" s="2" t="s">
        <v>263</v>
      </c>
      <c r="D556" s="14" t="s">
        <v>50</v>
      </c>
      <c r="E556" s="2" t="s">
        <v>49</v>
      </c>
      <c r="F556" s="41">
        <v>1062.88</v>
      </c>
      <c r="G556" s="28"/>
      <c r="I556" s="13"/>
      <c r="J556" s="15"/>
      <c r="K556" s="15"/>
      <c r="L556" s="28"/>
      <c r="Q556" s="13"/>
      <c r="R556" s="15"/>
      <c r="S556" s="15"/>
      <c r="T556" s="28"/>
      <c r="Y556" s="13"/>
      <c r="Z556" s="15"/>
      <c r="AA556" s="15"/>
      <c r="AB556" s="28"/>
      <c r="AE556" s="34">
        <f>B553*$F$12</f>
        <v>5282.5136</v>
      </c>
      <c r="AF556" s="34">
        <v>4000</v>
      </c>
      <c r="AG556" s="13"/>
      <c r="AH556" s="15"/>
      <c r="AI556" s="15"/>
      <c r="AJ556" s="38">
        <v>1282.51</v>
      </c>
      <c r="AK556" s="13"/>
      <c r="AL556" s="15"/>
      <c r="AM556" s="15"/>
      <c r="AN556" s="28"/>
      <c r="AO556" s="13"/>
      <c r="AP556" s="15"/>
      <c r="AQ556" s="15"/>
      <c r="AR556" s="28"/>
      <c r="AS556" s="15"/>
      <c r="AT556" s="15"/>
      <c r="AU556" s="15"/>
      <c r="AV556" s="15"/>
      <c r="AW556" s="13"/>
      <c r="AX556" s="15"/>
      <c r="AY556" s="15"/>
      <c r="AZ556" s="28"/>
      <c r="BA556" s="15"/>
      <c r="BB556" s="15"/>
      <c r="BC556" s="15"/>
      <c r="BD556" s="15"/>
      <c r="BE556" s="14"/>
      <c r="BF556" s="41">
        <f>B553*$F$12</f>
        <v>5282.5136</v>
      </c>
      <c r="BG556" s="34">
        <f t="shared" ref="BG556:BG558" si="1462">L556+P556+T556+X556+AB556+AF556+AJ556+AN556+AR556+AV556+AZ556+BD556</f>
        <v>5282.51</v>
      </c>
      <c r="BH556" s="35">
        <f t="shared" si="1459"/>
        <v>0.0036</v>
      </c>
    </row>
    <row r="557" ht="15.75" customHeight="1" hidden="1" spans="1:60" x14ac:dyDescent="0.25">
      <c r="A557" s="29">
        <v>74</v>
      </c>
      <c r="B557" s="14"/>
      <c r="D557" s="14" t="s">
        <v>51</v>
      </c>
      <c r="E557" s="2" t="s">
        <v>49</v>
      </c>
      <c r="F557" s="41">
        <v>0</v>
      </c>
      <c r="G557" s="28"/>
      <c r="I557" s="13"/>
      <c r="J557" s="15"/>
      <c r="K557" s="15"/>
      <c r="L557" s="28"/>
      <c r="Q557" s="13"/>
      <c r="R557" s="15"/>
      <c r="S557" s="15"/>
      <c r="T557" s="28"/>
      <c r="Y557" s="13"/>
      <c r="Z557" s="15"/>
      <c r="AA557" s="15"/>
      <c r="AB557" s="28"/>
      <c r="AG557" s="13"/>
      <c r="AH557" s="15"/>
      <c r="AI557" s="15"/>
      <c r="AJ557" s="28"/>
      <c r="AK557" s="13"/>
      <c r="AL557" s="15"/>
      <c r="AM557" s="15"/>
      <c r="AN557" s="28"/>
      <c r="AO557" s="13"/>
      <c r="AP557" s="15"/>
      <c r="AQ557" s="15"/>
      <c r="AR557" s="28"/>
      <c r="AS557" s="15"/>
      <c r="AT557" s="15"/>
      <c r="AU557" s="15"/>
      <c r="AV557" s="15"/>
      <c r="AW557" s="13"/>
      <c r="AX557" s="15"/>
      <c r="AY557" s="15"/>
      <c r="AZ557" s="28"/>
      <c r="BA557" s="15"/>
      <c r="BB557" s="15"/>
      <c r="BC557" s="15"/>
      <c r="BD557" s="15"/>
      <c r="BE557" s="14"/>
      <c r="BF557" s="41">
        <f>B553*$F$13</f>
        <v>0</v>
      </c>
      <c r="BG557" s="34">
        <f t="shared" si="1462"/>
        <v>0</v>
      </c>
      <c r="BH557" s="35">
        <f t="shared" si="1459"/>
        <v>0</v>
      </c>
    </row>
    <row r="558" ht="15.75" customHeight="1" hidden="1" spans="1:60" x14ac:dyDescent="0.25">
      <c r="A558" s="29">
        <v>74</v>
      </c>
      <c r="B558" s="14"/>
      <c r="D558" s="14" t="s">
        <v>52</v>
      </c>
      <c r="E558" s="2" t="s">
        <v>39</v>
      </c>
      <c r="F558" s="41">
        <v>350</v>
      </c>
      <c r="G558" s="28"/>
      <c r="I558" s="13"/>
      <c r="J558" s="15"/>
      <c r="K558" s="15"/>
      <c r="L558" s="28"/>
      <c r="Q558" s="13"/>
      <c r="R558" s="15"/>
      <c r="S558" s="15"/>
      <c r="T558" s="28"/>
      <c r="Y558" s="13"/>
      <c r="Z558" s="15"/>
      <c r="AA558" s="34">
        <f>$F$14</f>
        <v>350</v>
      </c>
      <c r="AB558" s="28"/>
      <c r="AG558" s="13"/>
      <c r="AH558" s="15"/>
      <c r="AI558" s="15"/>
      <c r="AJ558" s="38">
        <v>350</v>
      </c>
      <c r="AK558" s="13"/>
      <c r="AL558" s="15"/>
      <c r="AM558" s="15"/>
      <c r="AN558" s="28"/>
      <c r="AO558" s="13"/>
      <c r="AP558" s="15"/>
      <c r="AQ558" s="15"/>
      <c r="AR558" s="28"/>
      <c r="AS558" s="15"/>
      <c r="AT558" s="15"/>
      <c r="AU558" s="15"/>
      <c r="AV558" s="15"/>
      <c r="AW558" s="13"/>
      <c r="AX558" s="15"/>
      <c r="AY558" s="15"/>
      <c r="AZ558" s="28"/>
      <c r="BA558" s="15"/>
      <c r="BB558" s="15"/>
      <c r="BC558" s="15"/>
      <c r="BD558" s="15"/>
      <c r="BE558" s="14"/>
      <c r="BF558" s="41">
        <f>$F$14</f>
        <v>350</v>
      </c>
      <c r="BG558" s="34">
        <f t="shared" si="1462"/>
        <v>350</v>
      </c>
      <c r="BH558" s="35">
        <f t="shared" si="1459"/>
        <v>0</v>
      </c>
    </row>
    <row r="559" ht="15.75" customHeight="1" hidden="1" spans="1:62" x14ac:dyDescent="0.25">
      <c r="A559" s="88" t="s">
        <v>264</v>
      </c>
      <c r="B559" s="21"/>
      <c r="C559" s="22" t="s">
        <v>53</v>
      </c>
      <c r="D559" s="21"/>
      <c r="E559" s="22"/>
      <c r="F559" s="20"/>
      <c r="G559" s="23"/>
      <c r="H559" s="51">
        <f>SUM(H552:H558)</f>
        <v>17.16</v>
      </c>
      <c r="I559" s="52"/>
      <c r="J559" s="53"/>
      <c r="K559" s="51">
        <f t="shared" ref="K559:L559" si="1463">SUM(K552:K558)</f>
        <v>0</v>
      </c>
      <c r="L559" s="68">
        <f t="shared" si="1463"/>
        <v>0</v>
      </c>
      <c r="M559" s="53"/>
      <c r="N559" s="53"/>
      <c r="O559" s="51">
        <f t="shared" ref="O559:P559" si="1464">SUM(O553:O558)</f>
        <v>0</v>
      </c>
      <c r="P559" s="51">
        <f t="shared" si="1464"/>
        <v>0</v>
      </c>
      <c r="Q559" s="52"/>
      <c r="R559" s="53"/>
      <c r="S559" s="51">
        <f t="shared" ref="S559:T559" si="1465">SUM(S553:S558)</f>
        <v>0</v>
      </c>
      <c r="T559" s="68">
        <f t="shared" si="1465"/>
        <v>0</v>
      </c>
      <c r="U559" s="53"/>
      <c r="V559" s="53"/>
      <c r="W559" s="51">
        <f t="shared" ref="W559:X559" si="1466">SUM(W553:W558)</f>
        <v>0</v>
      </c>
      <c r="X559" s="51">
        <f t="shared" si="1466"/>
        <v>0</v>
      </c>
      <c r="Y559" s="52"/>
      <c r="Z559" s="53"/>
      <c r="AA559" s="51">
        <f t="shared" ref="AA559:AB559" si="1467">SUM(AA553:AA558)</f>
        <v>350</v>
      </c>
      <c r="AB559" s="68">
        <f t="shared" si="1467"/>
        <v>0</v>
      </c>
      <c r="AC559" s="53"/>
      <c r="AD559" s="53"/>
      <c r="AE559" s="51">
        <f t="shared" ref="AE559:AF559" si="1468">SUM(AE553:AE558)</f>
        <v>5299.6736</v>
      </c>
      <c r="AF559" s="51">
        <f t="shared" si="1468"/>
        <v>4000</v>
      </c>
      <c r="AG559" s="52"/>
      <c r="AH559" s="53"/>
      <c r="AI559" s="51">
        <f t="shared" ref="AI559:AJ559" si="1469">SUM(AI553:AI558)</f>
        <v>106.08</v>
      </c>
      <c r="AJ559" s="68">
        <f t="shared" si="1469"/>
        <v>1772.91</v>
      </c>
      <c r="AK559" s="52"/>
      <c r="AL559" s="53"/>
      <c r="AM559" s="51">
        <f t="shared" ref="AM559:AN559" si="1470">SUM(AM553:AM558)</f>
        <v>88.4</v>
      </c>
      <c r="AN559" s="68">
        <f t="shared" si="1470"/>
        <v>88.4</v>
      </c>
      <c r="AO559" s="52"/>
      <c r="AP559" s="53"/>
      <c r="AQ559" s="51">
        <f t="shared" ref="AQ559:AR559" si="1471">SUM(AQ553:AQ558)</f>
        <v>17.68</v>
      </c>
      <c r="AR559" s="68">
        <f t="shared" si="1471"/>
        <v>17.68</v>
      </c>
      <c r="AS559" s="53"/>
      <c r="AT559" s="53"/>
      <c r="AU559" s="51">
        <f t="shared" ref="AU559:AV559" si="1472">SUM(AU553:AU558)</f>
        <v>0</v>
      </c>
      <c r="AV559" s="51">
        <f t="shared" si="1472"/>
        <v>0</v>
      </c>
      <c r="AW559" s="52"/>
      <c r="AX559" s="53"/>
      <c r="AY559" s="51">
        <f t="shared" ref="AY559:AZ559" si="1473">SUM(AY553:AY558)</f>
        <v>0</v>
      </c>
      <c r="AZ559" s="68">
        <f t="shared" si="1473"/>
        <v>0</v>
      </c>
      <c r="BA559" s="53"/>
      <c r="BB559" s="53"/>
      <c r="BC559" s="51">
        <f t="shared" ref="BC559:BD559" si="1474">SUM(BC553:BC558)</f>
        <v>0</v>
      </c>
      <c r="BD559" s="51">
        <f t="shared" si="1474"/>
        <v>0</v>
      </c>
      <c r="BE559" s="69"/>
      <c r="BF559" s="70">
        <f t="shared" ref="BF559:BH559" si="1475">SUM(BF552:BF558)</f>
        <v>5861.8336</v>
      </c>
      <c r="BG559" s="71">
        <f t="shared" si="1475"/>
        <v>5878.99</v>
      </c>
      <c r="BH559" s="72">
        <f t="shared" si="1475"/>
        <v>0.0036</v>
      </c>
      <c r="BI559" s="34">
        <f>H559+BF559-BG559</f>
        <v>0.0036</v>
      </c>
      <c r="BJ559" s="34">
        <f>BH559-BI559</f>
        <v>0</v>
      </c>
    </row>
    <row r="560" ht="15.75" customHeight="1" hidden="1" spans="1:60" x14ac:dyDescent="0.25">
      <c r="A560" s="29">
        <v>75</v>
      </c>
      <c r="B560" s="14"/>
      <c r="D560" s="14" t="s">
        <v>42</v>
      </c>
      <c r="F560" s="13"/>
      <c r="G560" s="28"/>
      <c r="I560" s="13"/>
      <c r="J560" s="15"/>
      <c r="K560" s="15"/>
      <c r="L560" s="28"/>
      <c r="Q560" s="13"/>
      <c r="R560" s="15"/>
      <c r="S560" s="15"/>
      <c r="T560" s="28"/>
      <c r="Y560" s="13"/>
      <c r="Z560" s="15"/>
      <c r="AA560" s="15"/>
      <c r="AB560" s="28"/>
      <c r="AG560" s="13"/>
      <c r="AH560" s="15"/>
      <c r="AI560" s="15"/>
      <c r="AJ560" s="28"/>
      <c r="AK560" s="13"/>
      <c r="AL560" s="15"/>
      <c r="AM560" s="15"/>
      <c r="AN560" s="28"/>
      <c r="AO560" s="13"/>
      <c r="AP560" s="15"/>
      <c r="AQ560" s="15"/>
      <c r="AR560" s="28"/>
      <c r="AW560" s="13"/>
      <c r="AX560" s="15"/>
      <c r="AY560" s="15"/>
      <c r="AZ560" s="28"/>
      <c r="BE560" s="14"/>
      <c r="BF560" s="13"/>
      <c r="BG560" s="15"/>
      <c r="BH560" s="28"/>
    </row>
    <row r="561" ht="15.75" customHeight="1" hidden="1" spans="1:60" x14ac:dyDescent="0.25">
      <c r="A561" s="2">
        <v>75</v>
      </c>
      <c r="B561" s="14">
        <v>4.15</v>
      </c>
      <c r="C561" s="2" t="s">
        <v>265</v>
      </c>
      <c r="D561" s="14" t="s">
        <v>44</v>
      </c>
      <c r="E561" s="2" t="s">
        <v>45</v>
      </c>
      <c r="F561" s="13">
        <v>2.49</v>
      </c>
      <c r="G561" s="28"/>
      <c r="H561" s="74"/>
      <c r="I561" s="13"/>
      <c r="J561" s="15"/>
      <c r="K561" s="15"/>
      <c r="L561" s="28"/>
      <c r="Q561" s="13"/>
      <c r="R561" s="15"/>
      <c r="S561" s="15"/>
      <c r="T561" s="28"/>
      <c r="Y561" s="13"/>
      <c r="Z561" s="15">
        <f>Y561-U561</f>
        <v>0</v>
      </c>
      <c r="AA561" s="34">
        <f>Z561*$F$8</f>
        <v>0</v>
      </c>
      <c r="AB561" s="28"/>
      <c r="AC561" s="15"/>
      <c r="AD561" s="15">
        <f t="shared" ref="AD561:AD562" si="1476">AC561-Y561</f>
        <v>0</v>
      </c>
      <c r="AE561" s="34">
        <f>AD561*$F$8</f>
        <v>0</v>
      </c>
      <c r="AG561" s="13"/>
      <c r="AH561" s="15">
        <f t="shared" ref="AH561:AH562" si="1477">AG561-AC561</f>
        <v>0</v>
      </c>
      <c r="AI561" s="34">
        <f>AH561*$F$8</f>
        <v>0</v>
      </c>
      <c r="AJ561" s="28"/>
      <c r="AK561" s="13"/>
      <c r="AL561" s="15">
        <f t="shared" ref="AL561:AL562" si="1478">AK561-AG561</f>
        <v>0</v>
      </c>
      <c r="AM561" s="34">
        <f>AL561*$F$8</f>
        <v>0</v>
      </c>
      <c r="AN561" s="28"/>
      <c r="AO561" s="13"/>
      <c r="AP561" s="15"/>
      <c r="AQ561" s="34">
        <f>AP561*$F$8</f>
        <v>0</v>
      </c>
      <c r="AR561" s="28"/>
      <c r="AS561" s="15"/>
      <c r="AT561" s="15"/>
      <c r="AU561" s="34">
        <f>AT561*$F$8</f>
        <v>0</v>
      </c>
      <c r="AV561" s="15"/>
      <c r="AW561" s="13"/>
      <c r="AX561" s="15"/>
      <c r="AY561" s="34">
        <f>AX561*$F$8</f>
        <v>0</v>
      </c>
      <c r="AZ561" s="28"/>
      <c r="BA561" s="15"/>
      <c r="BB561" s="15"/>
      <c r="BC561" s="34">
        <f>BB561*$F$8</f>
        <v>0</v>
      </c>
      <c r="BD561" s="15"/>
      <c r="BE561" s="40">
        <f t="shared" ref="BE561:BG561" si="1479">J561+N561+R561+V561+Z561+AD561+AH561+AL561+AP561+AT561+AX561+BB561</f>
        <v>0</v>
      </c>
      <c r="BF561" s="41">
        <f t="shared" si="1479"/>
        <v>0</v>
      </c>
      <c r="BG561" s="34">
        <f t="shared" si="1479"/>
        <v>0</v>
      </c>
      <c r="BH561" s="35">
        <f t="shared" ref="BH561:BH566" si="1480">H561+BF561-BG561</f>
        <v>0</v>
      </c>
    </row>
    <row r="562" ht="15.75" customHeight="1" hidden="1" spans="1:60" x14ac:dyDescent="0.25">
      <c r="A562" s="29">
        <v>75</v>
      </c>
      <c r="B562" s="14"/>
      <c r="C562" s="2" t="s">
        <v>61</v>
      </c>
      <c r="D562" s="14" t="s">
        <v>47</v>
      </c>
      <c r="E562" s="2" t="s">
        <v>48</v>
      </c>
      <c r="F562" s="13">
        <v>17.16</v>
      </c>
      <c r="G562" s="28"/>
      <c r="I562" s="13"/>
      <c r="J562" s="15"/>
      <c r="K562" s="15"/>
      <c r="L562" s="28"/>
      <c r="Q562" s="13"/>
      <c r="R562" s="15"/>
      <c r="S562" s="15"/>
      <c r="T562" s="28"/>
      <c r="Y562" s="13">
        <v>55</v>
      </c>
      <c r="Z562" s="15"/>
      <c r="AA562" s="15"/>
      <c r="AB562" s="28"/>
      <c r="AC562" s="2">
        <v>55</v>
      </c>
      <c r="AD562" s="15">
        <f t="shared" si="1476"/>
        <v>0</v>
      </c>
      <c r="AE562" s="34">
        <f>AD562*$F$10</f>
        <v>0</v>
      </c>
      <c r="AG562" s="13">
        <v>58</v>
      </c>
      <c r="AH562" s="15">
        <f t="shared" si="1477"/>
        <v>3</v>
      </c>
      <c r="AI562" s="45">
        <f>AH562*$G$10</f>
        <v>53.04</v>
      </c>
      <c r="AJ562" s="32">
        <v>53.04</v>
      </c>
      <c r="AK562" s="13">
        <v>58</v>
      </c>
      <c r="AL562" s="15">
        <f t="shared" si="1478"/>
        <v>0</v>
      </c>
      <c r="AM562" s="45">
        <f>AL562*$G$10</f>
        <v>0</v>
      </c>
      <c r="AN562" s="28"/>
      <c r="AO562" s="13">
        <v>61</v>
      </c>
      <c r="AP562" s="15">
        <f>AO562-AK562</f>
        <v>3</v>
      </c>
      <c r="AQ562" s="45">
        <f>AP562*$G$10</f>
        <v>53.04</v>
      </c>
      <c r="AR562" s="32">
        <v>53.04</v>
      </c>
      <c r="AS562" s="15"/>
      <c r="AT562" s="15"/>
      <c r="AU562" s="15"/>
      <c r="AV562" s="15"/>
      <c r="AW562" s="13"/>
      <c r="AX562" s="15"/>
      <c r="AY562" s="15"/>
      <c r="AZ562" s="28"/>
      <c r="BA562" s="15"/>
      <c r="BB562" s="15"/>
      <c r="BC562" s="15"/>
      <c r="BD562" s="15"/>
      <c r="BE562" s="40">
        <f t="shared" ref="BE562:BG562" si="1481">J562+N562+R562+V562+Z562+AD562+AH562+AL562+AP562+AT562+AX562+BB562</f>
        <v>6</v>
      </c>
      <c r="BF562" s="41">
        <f t="shared" si="1481"/>
        <v>106.08</v>
      </c>
      <c r="BG562" s="34">
        <f t="shared" si="1481"/>
        <v>106.08</v>
      </c>
      <c r="BH562" s="35">
        <f t="shared" si="1480"/>
        <v>0</v>
      </c>
    </row>
    <row r="563" ht="15.75" customHeight="1" hidden="1" spans="1:60" x14ac:dyDescent="0.25">
      <c r="A563" s="29">
        <v>75</v>
      </c>
      <c r="B563" s="14"/>
      <c r="C563" s="2" t="s">
        <v>68</v>
      </c>
      <c r="D563" s="14" t="s">
        <v>47</v>
      </c>
      <c r="E563" s="2" t="s">
        <v>49</v>
      </c>
      <c r="F563" s="41">
        <v>300</v>
      </c>
      <c r="G563" s="28"/>
      <c r="I563" s="13"/>
      <c r="J563" s="15"/>
      <c r="K563" s="15"/>
      <c r="L563" s="28"/>
      <c r="Q563" s="13"/>
      <c r="R563" s="15"/>
      <c r="S563" s="15"/>
      <c r="T563" s="28"/>
      <c r="Y563" s="13"/>
      <c r="Z563" s="15"/>
      <c r="AA563" s="15"/>
      <c r="AB563" s="28"/>
      <c r="AG563" s="13"/>
      <c r="AH563" s="15"/>
      <c r="AI563" s="15"/>
      <c r="AJ563" s="28"/>
      <c r="AK563" s="13"/>
      <c r="AL563" s="15"/>
      <c r="AM563" s="34"/>
      <c r="AN563" s="28"/>
      <c r="AO563" s="13"/>
      <c r="AP563" s="15"/>
      <c r="AQ563" s="34"/>
      <c r="AR563" s="28"/>
      <c r="AS563" s="15"/>
      <c r="AT563" s="15"/>
      <c r="AU563" s="15"/>
      <c r="AV563" s="15"/>
      <c r="AW563" s="13"/>
      <c r="AX563" s="15"/>
      <c r="AY563" s="15"/>
      <c r="AZ563" s="28"/>
      <c r="BA563" s="15"/>
      <c r="BB563" s="15"/>
      <c r="BC563" s="15"/>
      <c r="BD563" s="15"/>
      <c r="BE563" s="14"/>
      <c r="BF563" s="41">
        <f t="shared" ref="BF563:BG563" si="1482">K563+O563+S563+W563+AA563+AE563+AI563+AM563+AQ563+AU563+AY563+BC563</f>
        <v>0</v>
      </c>
      <c r="BG563" s="34">
        <f t="shared" si="1482"/>
        <v>0</v>
      </c>
      <c r="BH563" s="35">
        <f t="shared" si="1480"/>
        <v>0</v>
      </c>
    </row>
    <row r="564" ht="15.75" customHeight="1" hidden="1" spans="1:60" x14ac:dyDescent="0.25">
      <c r="A564" s="29">
        <v>75</v>
      </c>
      <c r="B564" s="14"/>
      <c r="C564" s="2" t="s">
        <v>266</v>
      </c>
      <c r="D564" s="14" t="s">
        <v>50</v>
      </c>
      <c r="E564" s="2" t="s">
        <v>49</v>
      </c>
      <c r="F564" s="41">
        <v>1062.88</v>
      </c>
      <c r="G564" s="28"/>
      <c r="I564" s="13"/>
      <c r="J564" s="15"/>
      <c r="K564" s="15"/>
      <c r="L564" s="28"/>
      <c r="Q564" s="13"/>
      <c r="R564" s="15"/>
      <c r="S564" s="15"/>
      <c r="T564" s="28"/>
      <c r="Y564" s="13"/>
      <c r="Z564" s="15"/>
      <c r="AA564" s="15"/>
      <c r="AB564" s="28"/>
      <c r="AE564" s="34">
        <f>B561*$F$12</f>
        <v>4410.952</v>
      </c>
      <c r="AF564" s="34">
        <v>2000</v>
      </c>
      <c r="AG564" s="13"/>
      <c r="AH564" s="15"/>
      <c r="AI564" s="15"/>
      <c r="AJ564" s="38">
        <v>2410.95</v>
      </c>
      <c r="AK564" s="13"/>
      <c r="AL564" s="15"/>
      <c r="AM564" s="15"/>
      <c r="AN564" s="28"/>
      <c r="AO564" s="13"/>
      <c r="AP564" s="15"/>
      <c r="AQ564" s="15"/>
      <c r="AR564" s="28"/>
      <c r="AS564" s="15"/>
      <c r="AT564" s="15"/>
      <c r="AU564" s="15"/>
      <c r="AV564" s="15"/>
      <c r="AW564" s="13"/>
      <c r="AX564" s="15"/>
      <c r="AY564" s="15"/>
      <c r="AZ564" s="28"/>
      <c r="BA564" s="15"/>
      <c r="BB564" s="15"/>
      <c r="BC564" s="15"/>
      <c r="BD564" s="15"/>
      <c r="BE564" s="14"/>
      <c r="BF564" s="41">
        <f>B561*$F$12</f>
        <v>4410.952</v>
      </c>
      <c r="BG564" s="34">
        <f t="shared" ref="BG564:BG566" si="1483">L564+P564+T564+X564+AB564+AF564+AJ564+AN564+AR564+AV564+AZ564+BD564</f>
        <v>4410.95</v>
      </c>
      <c r="BH564" s="35">
        <f t="shared" si="1480"/>
        <v>0.002000000001</v>
      </c>
    </row>
    <row r="565" ht="15.75" customHeight="1" hidden="1" spans="1:60" x14ac:dyDescent="0.25">
      <c r="A565" s="29">
        <v>75</v>
      </c>
      <c r="B565" s="14"/>
      <c r="D565" s="14" t="s">
        <v>51</v>
      </c>
      <c r="E565" s="2" t="s">
        <v>49</v>
      </c>
      <c r="F565" s="41">
        <v>0</v>
      </c>
      <c r="G565" s="28"/>
      <c r="I565" s="13"/>
      <c r="J565" s="15"/>
      <c r="K565" s="15"/>
      <c r="L565" s="28"/>
      <c r="Q565" s="13"/>
      <c r="R565" s="15"/>
      <c r="S565" s="15"/>
      <c r="T565" s="28"/>
      <c r="Y565" s="13"/>
      <c r="Z565" s="15"/>
      <c r="AA565" s="15"/>
      <c r="AB565" s="28"/>
      <c r="AG565" s="13"/>
      <c r="AH565" s="15"/>
      <c r="AI565" s="15"/>
      <c r="AJ565" s="28"/>
      <c r="AK565" s="13"/>
      <c r="AL565" s="15"/>
      <c r="AM565" s="15"/>
      <c r="AN565" s="28"/>
      <c r="AO565" s="13"/>
      <c r="AP565" s="15"/>
      <c r="AQ565" s="15"/>
      <c r="AR565" s="28"/>
      <c r="AS565" s="15"/>
      <c r="AT565" s="15"/>
      <c r="AU565" s="15"/>
      <c r="AV565" s="15"/>
      <c r="AW565" s="13"/>
      <c r="AX565" s="15"/>
      <c r="AY565" s="15"/>
      <c r="AZ565" s="28"/>
      <c r="BA565" s="15"/>
      <c r="BB565" s="15"/>
      <c r="BC565" s="15"/>
      <c r="BD565" s="15"/>
      <c r="BE565" s="14"/>
      <c r="BF565" s="41">
        <f>B561*$F$13</f>
        <v>0</v>
      </c>
      <c r="BG565" s="34">
        <f t="shared" si="1483"/>
        <v>0</v>
      </c>
      <c r="BH565" s="35">
        <f t="shared" si="1480"/>
        <v>0</v>
      </c>
    </row>
    <row r="566" ht="15.75" customHeight="1" hidden="1" spans="1:60" x14ac:dyDescent="0.25">
      <c r="A566" s="29">
        <v>75</v>
      </c>
      <c r="B566" s="14"/>
      <c r="D566" s="14" t="s">
        <v>52</v>
      </c>
      <c r="E566" s="2" t="s">
        <v>39</v>
      </c>
      <c r="F566" s="41">
        <v>350</v>
      </c>
      <c r="G566" s="28"/>
      <c r="I566" s="13"/>
      <c r="J566" s="15"/>
      <c r="K566" s="15"/>
      <c r="L566" s="28"/>
      <c r="Q566" s="13"/>
      <c r="R566" s="15"/>
      <c r="S566" s="15"/>
      <c r="T566" s="28"/>
      <c r="Y566" s="13"/>
      <c r="Z566" s="15"/>
      <c r="AA566" s="34">
        <f>$F$14</f>
        <v>350</v>
      </c>
      <c r="AB566" s="35">
        <v>350</v>
      </c>
      <c r="AG566" s="13"/>
      <c r="AH566" s="15"/>
      <c r="AI566" s="15"/>
      <c r="AJ566" s="28"/>
      <c r="AK566" s="13"/>
      <c r="AL566" s="15"/>
      <c r="AM566" s="15"/>
      <c r="AN566" s="28"/>
      <c r="AO566" s="13"/>
      <c r="AP566" s="15"/>
      <c r="AQ566" s="15"/>
      <c r="AR566" s="28"/>
      <c r="AS566" s="15"/>
      <c r="AT566" s="15"/>
      <c r="AU566" s="15"/>
      <c r="AV566" s="15"/>
      <c r="AW566" s="13"/>
      <c r="AX566" s="15"/>
      <c r="AY566" s="15"/>
      <c r="AZ566" s="28"/>
      <c r="BA566" s="15"/>
      <c r="BB566" s="15"/>
      <c r="BC566" s="15"/>
      <c r="BD566" s="15"/>
      <c r="BE566" s="14"/>
      <c r="BF566" s="41">
        <f>$F$14</f>
        <v>350</v>
      </c>
      <c r="BG566" s="34">
        <f t="shared" si="1483"/>
        <v>350</v>
      </c>
      <c r="BH566" s="35">
        <f t="shared" si="1480"/>
        <v>0</v>
      </c>
    </row>
    <row r="567" ht="15.75" customHeight="1" hidden="1" spans="1:62" x14ac:dyDescent="0.25">
      <c r="A567" s="50">
        <v>75</v>
      </c>
      <c r="B567" s="21"/>
      <c r="C567" s="22" t="s">
        <v>53</v>
      </c>
      <c r="D567" s="21"/>
      <c r="E567" s="22"/>
      <c r="F567" s="20"/>
      <c r="G567" s="23"/>
      <c r="H567" s="51">
        <f>SUM(H560:H566)</f>
        <v>0</v>
      </c>
      <c r="I567" s="52"/>
      <c r="J567" s="53"/>
      <c r="K567" s="51">
        <f t="shared" ref="K567:L567" si="1484">SUM(K560:K566)</f>
        <v>0</v>
      </c>
      <c r="L567" s="68">
        <f t="shared" si="1484"/>
        <v>0</v>
      </c>
      <c r="M567" s="53"/>
      <c r="N567" s="53"/>
      <c r="O567" s="51">
        <f t="shared" ref="O567:P567" si="1485">SUM(O561:O566)</f>
        <v>0</v>
      </c>
      <c r="P567" s="51">
        <f t="shared" si="1485"/>
        <v>0</v>
      </c>
      <c r="Q567" s="52"/>
      <c r="R567" s="53"/>
      <c r="S567" s="51">
        <f t="shared" ref="S567:T567" si="1486">SUM(S561:S566)</f>
        <v>0</v>
      </c>
      <c r="T567" s="68">
        <f t="shared" si="1486"/>
        <v>0</v>
      </c>
      <c r="U567" s="53"/>
      <c r="V567" s="53"/>
      <c r="W567" s="51">
        <f t="shared" ref="W567:X567" si="1487">SUM(W561:W566)</f>
        <v>0</v>
      </c>
      <c r="X567" s="51">
        <f t="shared" si="1487"/>
        <v>0</v>
      </c>
      <c r="Y567" s="52"/>
      <c r="Z567" s="53"/>
      <c r="AA567" s="51">
        <f t="shared" ref="AA567:AB567" si="1488">SUM(AA561:AA566)</f>
        <v>350</v>
      </c>
      <c r="AB567" s="68">
        <f t="shared" si="1488"/>
        <v>350</v>
      </c>
      <c r="AC567" s="53"/>
      <c r="AD567" s="53"/>
      <c r="AE567" s="51">
        <f t="shared" ref="AE567:AF567" si="1489">SUM(AE561:AE566)</f>
        <v>4410.952</v>
      </c>
      <c r="AF567" s="51">
        <f t="shared" si="1489"/>
        <v>2000</v>
      </c>
      <c r="AG567" s="52"/>
      <c r="AH567" s="53"/>
      <c r="AI567" s="51">
        <f t="shared" ref="AI567:AJ567" si="1490">SUM(AI561:AI566)</f>
        <v>53.04</v>
      </c>
      <c r="AJ567" s="68">
        <f t="shared" si="1490"/>
        <v>2463.99</v>
      </c>
      <c r="AK567" s="52"/>
      <c r="AL567" s="53"/>
      <c r="AM567" s="51">
        <f t="shared" ref="AM567:AN567" si="1491">SUM(AM561:AM566)</f>
        <v>0</v>
      </c>
      <c r="AN567" s="68">
        <f t="shared" si="1491"/>
        <v>0</v>
      </c>
      <c r="AO567" s="52"/>
      <c r="AP567" s="53"/>
      <c r="AQ567" s="51">
        <f t="shared" ref="AQ567:AR567" si="1492">SUM(AQ561:AQ566)</f>
        <v>53.04</v>
      </c>
      <c r="AR567" s="68">
        <f t="shared" si="1492"/>
        <v>53.04</v>
      </c>
      <c r="AS567" s="53"/>
      <c r="AT567" s="53"/>
      <c r="AU567" s="51">
        <f t="shared" ref="AU567:AV567" si="1493">SUM(AU561:AU566)</f>
        <v>0</v>
      </c>
      <c r="AV567" s="51">
        <f t="shared" si="1493"/>
        <v>0</v>
      </c>
      <c r="AW567" s="52"/>
      <c r="AX567" s="53"/>
      <c r="AY567" s="51">
        <f t="shared" ref="AY567:AZ567" si="1494">SUM(AY561:AY566)</f>
        <v>0</v>
      </c>
      <c r="AZ567" s="68">
        <f t="shared" si="1494"/>
        <v>0</v>
      </c>
      <c r="BA567" s="53"/>
      <c r="BB567" s="53"/>
      <c r="BC567" s="51">
        <f t="shared" ref="BC567:BD567" si="1495">SUM(BC561:BC566)</f>
        <v>0</v>
      </c>
      <c r="BD567" s="51">
        <f t="shared" si="1495"/>
        <v>0</v>
      </c>
      <c r="BE567" s="69"/>
      <c r="BF567" s="70">
        <f t="shared" ref="BF567:BH567" si="1496">SUM(BF560:BF566)</f>
        <v>4867.032</v>
      </c>
      <c r="BG567" s="71">
        <f t="shared" si="1496"/>
        <v>4867.03</v>
      </c>
      <c r="BH567" s="72">
        <f t="shared" si="1496"/>
        <v>0.002000000001</v>
      </c>
      <c r="BI567" s="34">
        <f>H567+BF567-BG567</f>
        <v>0.002000000001</v>
      </c>
      <c r="BJ567" s="34">
        <f>BH567-BI567</f>
        <v>0</v>
      </c>
    </row>
    <row r="568" ht="15.75" customHeight="1" hidden="1" spans="1:60" x14ac:dyDescent="0.25">
      <c r="A568" s="29">
        <v>76</v>
      </c>
      <c r="B568" s="14"/>
      <c r="D568" s="14" t="s">
        <v>42</v>
      </c>
      <c r="F568" s="13"/>
      <c r="G568" s="28"/>
      <c r="I568" s="13"/>
      <c r="J568" s="15"/>
      <c r="K568" s="15"/>
      <c r="L568" s="28"/>
      <c r="Q568" s="13"/>
      <c r="R568" s="15"/>
      <c r="S568" s="15"/>
      <c r="T568" s="28"/>
      <c r="Y568" s="13"/>
      <c r="Z568" s="15"/>
      <c r="AA568" s="15"/>
      <c r="AB568" s="28"/>
      <c r="AG568" s="13"/>
      <c r="AH568" s="15"/>
      <c r="AI568" s="15"/>
      <c r="AJ568" s="28"/>
      <c r="AK568" s="13"/>
      <c r="AL568" s="15"/>
      <c r="AM568" s="15"/>
      <c r="AN568" s="28"/>
      <c r="AO568" s="13"/>
      <c r="AP568" s="15"/>
      <c r="AQ568" s="15"/>
      <c r="AR568" s="28"/>
      <c r="AW568" s="13"/>
      <c r="AX568" s="15"/>
      <c r="AY568" s="15"/>
      <c r="AZ568" s="28"/>
      <c r="BE568" s="14"/>
      <c r="BF568" s="13"/>
      <c r="BG568" s="15"/>
      <c r="BH568" s="28"/>
    </row>
    <row r="569" ht="15.75" customHeight="1" hidden="1" spans="1:60" x14ac:dyDescent="0.25">
      <c r="A569" s="2">
        <v>76</v>
      </c>
      <c r="B569" s="14">
        <v>4.15</v>
      </c>
      <c r="C569" s="2" t="s">
        <v>267</v>
      </c>
      <c r="D569" s="14" t="s">
        <v>44</v>
      </c>
      <c r="E569" s="2" t="s">
        <v>45</v>
      </c>
      <c r="F569" s="13">
        <v>2.49</v>
      </c>
      <c r="G569" s="28"/>
      <c r="H569" s="74"/>
      <c r="I569" s="13"/>
      <c r="J569" s="15"/>
      <c r="K569" s="15"/>
      <c r="L569" s="28"/>
      <c r="Q569" s="13"/>
      <c r="R569" s="15"/>
      <c r="S569" s="15"/>
      <c r="T569" s="28"/>
      <c r="Y569" s="13"/>
      <c r="Z569" s="15">
        <f>Y569-U569</f>
        <v>0</v>
      </c>
      <c r="AA569" s="34">
        <f>Z569*$F$8</f>
        <v>0</v>
      </c>
      <c r="AB569" s="28"/>
      <c r="AC569" s="15"/>
      <c r="AD569" s="15">
        <f t="shared" ref="AD569:AD570" si="1497">AC569-Y569</f>
        <v>0</v>
      </c>
      <c r="AE569" s="34">
        <f>AD569*$F$8</f>
        <v>0</v>
      </c>
      <c r="AG569" s="13"/>
      <c r="AH569" s="15">
        <f t="shared" ref="AH569:AH570" si="1498">AG569-AC569</f>
        <v>0</v>
      </c>
      <c r="AI569" s="34">
        <f>AH569*$F$8</f>
        <v>0</v>
      </c>
      <c r="AJ569" s="28"/>
      <c r="AK569" s="13"/>
      <c r="AL569" s="15">
        <f t="shared" ref="AL569:AL570" si="1499">AK569-AG569</f>
        <v>0</v>
      </c>
      <c r="AM569" s="34">
        <f>AL569*$F$8</f>
        <v>0</v>
      </c>
      <c r="AN569" s="28"/>
      <c r="AO569" s="13"/>
      <c r="AP569" s="15"/>
      <c r="AQ569" s="34">
        <f>AP569*$F$8</f>
        <v>0</v>
      </c>
      <c r="AR569" s="28"/>
      <c r="AS569" s="15"/>
      <c r="AT569" s="15"/>
      <c r="AU569" s="34">
        <f>AT569*$F$8</f>
        <v>0</v>
      </c>
      <c r="AV569" s="15"/>
      <c r="AW569" s="13"/>
      <c r="AX569" s="15"/>
      <c r="AY569" s="34">
        <f>AX569*$F$8</f>
        <v>0</v>
      </c>
      <c r="AZ569" s="28"/>
      <c r="BA569" s="15"/>
      <c r="BB569" s="15"/>
      <c r="BC569" s="34">
        <f>BB569*$F$8</f>
        <v>0</v>
      </c>
      <c r="BD569" s="15"/>
      <c r="BE569" s="40">
        <f t="shared" ref="BE569:BG569" si="1500">J569+N569+R569+V569+Z569+AD569+AH569+AL569+AP569+AT569+AX569+BB569</f>
        <v>0</v>
      </c>
      <c r="BF569" s="41">
        <f t="shared" si="1500"/>
        <v>0</v>
      </c>
      <c r="BG569" s="34">
        <f t="shared" si="1500"/>
        <v>0</v>
      </c>
      <c r="BH569" s="35">
        <f t="shared" ref="BH569:BH574" si="1501">H569+BF569-BG569</f>
        <v>0</v>
      </c>
    </row>
    <row r="570" ht="15.75" customHeight="1" hidden="1" spans="1:60" x14ac:dyDescent="0.25">
      <c r="A570" s="29">
        <v>76</v>
      </c>
      <c r="B570" s="14"/>
      <c r="C570" s="2" t="s">
        <v>198</v>
      </c>
      <c r="D570" s="14" t="s">
        <v>47</v>
      </c>
      <c r="E570" s="2" t="s">
        <v>48</v>
      </c>
      <c r="F570" s="13">
        <v>17.16</v>
      </c>
      <c r="G570" s="28"/>
      <c r="H570" s="73">
        <v>17.16</v>
      </c>
      <c r="I570" s="13"/>
      <c r="J570" s="15"/>
      <c r="K570" s="15"/>
      <c r="L570" s="28"/>
      <c r="Q570" s="13"/>
      <c r="R570" s="15"/>
      <c r="S570" s="15"/>
      <c r="T570" s="28"/>
      <c r="Y570" s="13">
        <v>43</v>
      </c>
      <c r="Z570" s="15"/>
      <c r="AA570" s="15"/>
      <c r="AB570" s="28"/>
      <c r="AC570" s="2">
        <v>43</v>
      </c>
      <c r="AD570" s="15">
        <f t="shared" si="1497"/>
        <v>0</v>
      </c>
      <c r="AE570" s="34">
        <f>AD570*$F$10</f>
        <v>0</v>
      </c>
      <c r="AG570" s="13">
        <v>43</v>
      </c>
      <c r="AH570" s="15">
        <f t="shared" si="1498"/>
        <v>0</v>
      </c>
      <c r="AI570" s="45">
        <f>AH570*$G$10</f>
        <v>0</v>
      </c>
      <c r="AJ570" s="28"/>
      <c r="AK570" s="13">
        <v>51</v>
      </c>
      <c r="AL570" s="15">
        <f t="shared" si="1499"/>
        <v>8</v>
      </c>
      <c r="AM570" s="45">
        <f>AL570*$G$10</f>
        <v>141.44</v>
      </c>
      <c r="AN570" s="32">
        <v>140.92</v>
      </c>
      <c r="AO570" s="13">
        <v>51</v>
      </c>
      <c r="AP570" s="15">
        <f>AO570-AK570</f>
        <v>0</v>
      </c>
      <c r="AQ570" s="45">
        <f>AP570*$G$10</f>
        <v>0</v>
      </c>
      <c r="AR570" s="28"/>
      <c r="AS570" s="15"/>
      <c r="AT570" s="15"/>
      <c r="AU570" s="15"/>
      <c r="AV570" s="15"/>
      <c r="AW570" s="13"/>
      <c r="AX570" s="15"/>
      <c r="AY570" s="15"/>
      <c r="AZ570" s="28"/>
      <c r="BA570" s="15"/>
      <c r="BB570" s="15"/>
      <c r="BC570" s="15"/>
      <c r="BD570" s="15"/>
      <c r="BE570" s="40">
        <f t="shared" ref="BE570:BG570" si="1502">J570+N570+R570+V570+Z570+AD570+AH570+AL570+AP570+AT570+AX570+BB570</f>
        <v>8</v>
      </c>
      <c r="BF570" s="41">
        <f t="shared" si="1502"/>
        <v>141.44</v>
      </c>
      <c r="BG570" s="34">
        <f t="shared" si="1502"/>
        <v>140.92</v>
      </c>
      <c r="BH570" s="35">
        <f t="shared" si="1501"/>
        <v>17.68</v>
      </c>
    </row>
    <row r="571" ht="15.75" customHeight="1" hidden="1" spans="1:60" x14ac:dyDescent="0.25">
      <c r="A571" s="29">
        <v>76</v>
      </c>
      <c r="B571" s="14"/>
      <c r="C571" s="2" t="s">
        <v>178</v>
      </c>
      <c r="D571" s="14" t="s">
        <v>47</v>
      </c>
      <c r="E571" s="2" t="s">
        <v>49</v>
      </c>
      <c r="F571" s="41">
        <v>300</v>
      </c>
      <c r="G571" s="28"/>
      <c r="I571" s="13"/>
      <c r="J571" s="15"/>
      <c r="K571" s="15"/>
      <c r="L571" s="28"/>
      <c r="Q571" s="13"/>
      <c r="R571" s="15"/>
      <c r="S571" s="15"/>
      <c r="T571" s="28"/>
      <c r="Y571" s="13"/>
      <c r="Z571" s="15"/>
      <c r="AA571" s="15"/>
      <c r="AB571" s="28"/>
      <c r="AG571" s="13"/>
      <c r="AH571" s="15"/>
      <c r="AI571" s="15"/>
      <c r="AJ571" s="28"/>
      <c r="AK571" s="13"/>
      <c r="AL571" s="15"/>
      <c r="AM571" s="34"/>
      <c r="AN571" s="28"/>
      <c r="AO571" s="13"/>
      <c r="AP571" s="15"/>
      <c r="AQ571" s="34"/>
      <c r="AR571" s="28"/>
      <c r="AS571" s="15"/>
      <c r="AT571" s="15"/>
      <c r="AU571" s="15"/>
      <c r="AV571" s="15"/>
      <c r="AW571" s="13"/>
      <c r="AX571" s="15"/>
      <c r="AY571" s="15"/>
      <c r="AZ571" s="28"/>
      <c r="BA571" s="15"/>
      <c r="BB571" s="15"/>
      <c r="BC571" s="15"/>
      <c r="BD571" s="15"/>
      <c r="BE571" s="14"/>
      <c r="BF571" s="41">
        <f t="shared" ref="BF571:BG571" si="1503">K571+O571+S571+W571+AA571+AE571+AI571+AM571+AQ571+AU571+AY571+BC571</f>
        <v>0</v>
      </c>
      <c r="BG571" s="34">
        <f t="shared" si="1503"/>
        <v>0</v>
      </c>
      <c r="BH571" s="35">
        <f t="shared" si="1501"/>
        <v>0</v>
      </c>
    </row>
    <row r="572" ht="15.75" customHeight="1" hidden="1" spans="1:60" x14ac:dyDescent="0.25">
      <c r="A572" s="29">
        <v>76</v>
      </c>
      <c r="B572" s="14"/>
      <c r="D572" s="14" t="s">
        <v>50</v>
      </c>
      <c r="E572" s="2" t="s">
        <v>49</v>
      </c>
      <c r="F572" s="41">
        <v>1062.88</v>
      </c>
      <c r="G572" s="28"/>
      <c r="I572" s="13"/>
      <c r="J572" s="15"/>
      <c r="K572" s="15"/>
      <c r="L572" s="28"/>
      <c r="Q572" s="13"/>
      <c r="R572" s="15"/>
      <c r="S572" s="15"/>
      <c r="T572" s="28"/>
      <c r="Y572" s="13"/>
      <c r="Z572" s="15"/>
      <c r="AA572" s="15"/>
      <c r="AB572" s="28"/>
      <c r="AE572" s="34">
        <f>B569*$F$12</f>
        <v>4410.952</v>
      </c>
      <c r="AG572" s="13"/>
      <c r="AH572" s="15"/>
      <c r="AI572" s="15"/>
      <c r="AJ572" s="38">
        <v>2000</v>
      </c>
      <c r="AK572" s="13"/>
      <c r="AL572" s="15"/>
      <c r="AM572" s="15"/>
      <c r="AN572" s="32">
        <v>2410.95</v>
      </c>
      <c r="AO572" s="13"/>
      <c r="AP572" s="15"/>
      <c r="AQ572" s="15"/>
      <c r="AR572" s="28"/>
      <c r="AS572" s="15"/>
      <c r="AT572" s="15"/>
      <c r="AU572" s="15"/>
      <c r="AV572" s="15"/>
      <c r="AW572" s="13"/>
      <c r="AX572" s="15"/>
      <c r="AY572" s="15"/>
      <c r="AZ572" s="28"/>
      <c r="BA572" s="15"/>
      <c r="BB572" s="15"/>
      <c r="BC572" s="15"/>
      <c r="BD572" s="15"/>
      <c r="BE572" s="14"/>
      <c r="BF572" s="41">
        <f>B569*$F$12</f>
        <v>4410.952</v>
      </c>
      <c r="BG572" s="34">
        <f t="shared" ref="BG572:BG574" si="1504">L572+P572+T572+X572+AB572+AF572+AJ572+AN572+AR572+AV572+AZ572+BD572</f>
        <v>4410.95</v>
      </c>
      <c r="BH572" s="35">
        <f t="shared" si="1501"/>
        <v>0.002000000001</v>
      </c>
    </row>
    <row r="573" ht="15.75" customHeight="1" hidden="1" spans="1:60" x14ac:dyDescent="0.25">
      <c r="A573" s="29">
        <v>76</v>
      </c>
      <c r="B573" s="14"/>
      <c r="D573" s="14" t="s">
        <v>51</v>
      </c>
      <c r="E573" s="2" t="s">
        <v>49</v>
      </c>
      <c r="F573" s="41">
        <v>0</v>
      </c>
      <c r="G573" s="28"/>
      <c r="I573" s="13"/>
      <c r="J573" s="15"/>
      <c r="K573" s="15"/>
      <c r="L573" s="28"/>
      <c r="Q573" s="13"/>
      <c r="R573" s="15"/>
      <c r="S573" s="15"/>
      <c r="T573" s="28"/>
      <c r="Y573" s="13"/>
      <c r="Z573" s="15"/>
      <c r="AA573" s="15"/>
      <c r="AB573" s="28"/>
      <c r="AG573" s="13"/>
      <c r="AH573" s="15"/>
      <c r="AI573" s="15"/>
      <c r="AJ573" s="28"/>
      <c r="AK573" s="13"/>
      <c r="AL573" s="15"/>
      <c r="AM573" s="15"/>
      <c r="AN573" s="28"/>
      <c r="AO573" s="13"/>
      <c r="AP573" s="15"/>
      <c r="AQ573" s="15"/>
      <c r="AR573" s="28"/>
      <c r="AS573" s="15"/>
      <c r="AT573" s="15"/>
      <c r="AU573" s="15"/>
      <c r="AV573" s="15"/>
      <c r="AW573" s="13"/>
      <c r="AX573" s="15"/>
      <c r="AY573" s="15"/>
      <c r="AZ573" s="28"/>
      <c r="BA573" s="15"/>
      <c r="BB573" s="15"/>
      <c r="BC573" s="15"/>
      <c r="BD573" s="15"/>
      <c r="BE573" s="14"/>
      <c r="BF573" s="41">
        <f>B569*$F$13</f>
        <v>0</v>
      </c>
      <c r="BG573" s="34">
        <f t="shared" si="1504"/>
        <v>0</v>
      </c>
      <c r="BH573" s="35">
        <f t="shared" si="1501"/>
        <v>0</v>
      </c>
    </row>
    <row r="574" ht="15.75" customHeight="1" hidden="1" spans="1:60" x14ac:dyDescent="0.25">
      <c r="A574" s="29">
        <v>76</v>
      </c>
      <c r="B574" s="14"/>
      <c r="D574" s="14" t="s">
        <v>52</v>
      </c>
      <c r="E574" s="2" t="s">
        <v>39</v>
      </c>
      <c r="F574" s="41">
        <v>350</v>
      </c>
      <c r="G574" s="28"/>
      <c r="I574" s="13"/>
      <c r="J574" s="15"/>
      <c r="K574" s="15"/>
      <c r="L574" s="28"/>
      <c r="Q574" s="13"/>
      <c r="R574" s="15"/>
      <c r="S574" s="15"/>
      <c r="T574" s="28"/>
      <c r="Y574" s="13"/>
      <c r="Z574" s="15"/>
      <c r="AA574" s="34">
        <f>$F$14</f>
        <v>350</v>
      </c>
      <c r="AB574" s="28"/>
      <c r="AG574" s="13"/>
      <c r="AH574" s="15"/>
      <c r="AI574" s="15"/>
      <c r="AJ574" s="28"/>
      <c r="AK574" s="13"/>
      <c r="AL574" s="15"/>
      <c r="AM574" s="15"/>
      <c r="AN574" s="38">
        <v>350</v>
      </c>
      <c r="AO574" s="13"/>
      <c r="AP574" s="15"/>
      <c r="AQ574" s="15"/>
      <c r="AR574" s="28"/>
      <c r="AS574" s="15"/>
      <c r="AT574" s="15"/>
      <c r="AU574" s="15"/>
      <c r="AV574" s="15"/>
      <c r="AW574" s="13"/>
      <c r="AX574" s="15"/>
      <c r="AY574" s="15"/>
      <c r="AZ574" s="28"/>
      <c r="BA574" s="15"/>
      <c r="BB574" s="15"/>
      <c r="BC574" s="15"/>
      <c r="BD574" s="15"/>
      <c r="BE574" s="14"/>
      <c r="BF574" s="41">
        <f>$F$14</f>
        <v>350</v>
      </c>
      <c r="BG574" s="34">
        <f t="shared" si="1504"/>
        <v>350</v>
      </c>
      <c r="BH574" s="35">
        <f t="shared" si="1501"/>
        <v>0</v>
      </c>
    </row>
    <row r="575" ht="15.75" customHeight="1" hidden="1" spans="1:62" x14ac:dyDescent="0.25">
      <c r="A575" s="50">
        <v>76</v>
      </c>
      <c r="B575" s="21"/>
      <c r="C575" s="22" t="s">
        <v>53</v>
      </c>
      <c r="D575" s="21"/>
      <c r="E575" s="22"/>
      <c r="F575" s="20"/>
      <c r="G575" s="23"/>
      <c r="H575" s="51">
        <f>SUM(H568:H574)</f>
        <v>17.16</v>
      </c>
      <c r="I575" s="52"/>
      <c r="J575" s="53"/>
      <c r="K575" s="51">
        <f t="shared" ref="K575:L575" si="1505">SUM(K568:K574)</f>
        <v>0</v>
      </c>
      <c r="L575" s="68">
        <f t="shared" si="1505"/>
        <v>0</v>
      </c>
      <c r="M575" s="53"/>
      <c r="N575" s="53"/>
      <c r="O575" s="51">
        <f t="shared" ref="O575:P575" si="1506">SUM(O569:O574)</f>
        <v>0</v>
      </c>
      <c r="P575" s="51">
        <f t="shared" si="1506"/>
        <v>0</v>
      </c>
      <c r="Q575" s="52"/>
      <c r="R575" s="53"/>
      <c r="S575" s="51">
        <f t="shared" ref="S575:T575" si="1507">SUM(S569:S574)</f>
        <v>0</v>
      </c>
      <c r="T575" s="68">
        <f t="shared" si="1507"/>
        <v>0</v>
      </c>
      <c r="U575" s="53"/>
      <c r="V575" s="53"/>
      <c r="W575" s="51">
        <f t="shared" ref="W575:X575" si="1508">SUM(W569:W574)</f>
        <v>0</v>
      </c>
      <c r="X575" s="51">
        <f t="shared" si="1508"/>
        <v>0</v>
      </c>
      <c r="Y575" s="52"/>
      <c r="Z575" s="53"/>
      <c r="AA575" s="51">
        <f t="shared" ref="AA575:AB575" si="1509">SUM(AA569:AA574)</f>
        <v>350</v>
      </c>
      <c r="AB575" s="68">
        <f t="shared" si="1509"/>
        <v>0</v>
      </c>
      <c r="AC575" s="53"/>
      <c r="AD575" s="53"/>
      <c r="AE575" s="51">
        <f t="shared" ref="AE575:AF575" si="1510">SUM(AE569:AE574)</f>
        <v>4410.952</v>
      </c>
      <c r="AF575" s="51">
        <f t="shared" si="1510"/>
        <v>0</v>
      </c>
      <c r="AG575" s="52"/>
      <c r="AH575" s="53"/>
      <c r="AI575" s="51">
        <f t="shared" ref="AI575:AJ575" si="1511">SUM(AI569:AI574)</f>
        <v>0</v>
      </c>
      <c r="AJ575" s="68">
        <f t="shared" si="1511"/>
        <v>2000</v>
      </c>
      <c r="AK575" s="52"/>
      <c r="AL575" s="53"/>
      <c r="AM575" s="51">
        <f t="shared" ref="AM575:AN575" si="1512">SUM(AM569:AM574)</f>
        <v>141.44</v>
      </c>
      <c r="AN575" s="68">
        <f t="shared" si="1512"/>
        <v>2901.87</v>
      </c>
      <c r="AO575" s="52"/>
      <c r="AP575" s="53"/>
      <c r="AQ575" s="51">
        <f t="shared" ref="AQ575:AR575" si="1513">SUM(AQ569:AQ574)</f>
        <v>0</v>
      </c>
      <c r="AR575" s="68">
        <f t="shared" si="1513"/>
        <v>0</v>
      </c>
      <c r="AS575" s="53"/>
      <c r="AT575" s="53"/>
      <c r="AU575" s="51">
        <f t="shared" ref="AU575:AV575" si="1514">SUM(AU569:AU574)</f>
        <v>0</v>
      </c>
      <c r="AV575" s="51">
        <f t="shared" si="1514"/>
        <v>0</v>
      </c>
      <c r="AW575" s="52"/>
      <c r="AX575" s="53"/>
      <c r="AY575" s="51">
        <f t="shared" ref="AY575:AZ575" si="1515">SUM(AY569:AY574)</f>
        <v>0</v>
      </c>
      <c r="AZ575" s="68">
        <f t="shared" si="1515"/>
        <v>0</v>
      </c>
      <c r="BA575" s="53"/>
      <c r="BB575" s="53"/>
      <c r="BC575" s="51">
        <f t="shared" ref="BC575:BD575" si="1516">SUM(BC569:BC574)</f>
        <v>0</v>
      </c>
      <c r="BD575" s="51">
        <f t="shared" si="1516"/>
        <v>0</v>
      </c>
      <c r="BE575" s="69"/>
      <c r="BF575" s="70">
        <f t="shared" ref="BF575:BH575" si="1517">SUM(BF568:BF574)</f>
        <v>4902.392</v>
      </c>
      <c r="BG575" s="71">
        <f t="shared" si="1517"/>
        <v>4901.87</v>
      </c>
      <c r="BH575" s="72">
        <f t="shared" si="1517"/>
        <v>17.682</v>
      </c>
      <c r="BI575" s="34">
        <f>H575+BF575-BG575</f>
        <v>17.682</v>
      </c>
      <c r="BJ575" s="34">
        <f>BH575-BI575</f>
        <v>0</v>
      </c>
    </row>
    <row r="576" ht="15.75" customHeight="1" hidden="1" spans="1:60" x14ac:dyDescent="0.25">
      <c r="A576" s="29">
        <v>77</v>
      </c>
      <c r="B576" s="14"/>
      <c r="D576" s="14" t="s">
        <v>42</v>
      </c>
      <c r="F576" s="13"/>
      <c r="G576" s="28"/>
      <c r="I576" s="13"/>
      <c r="J576" s="15"/>
      <c r="K576" s="15"/>
      <c r="L576" s="28"/>
      <c r="Q576" s="13"/>
      <c r="R576" s="15"/>
      <c r="S576" s="15"/>
      <c r="T576" s="28"/>
      <c r="Y576" s="13"/>
      <c r="Z576" s="15"/>
      <c r="AA576" s="15"/>
      <c r="AB576" s="28"/>
      <c r="AG576" s="13"/>
      <c r="AH576" s="15"/>
      <c r="AI576" s="15"/>
      <c r="AJ576" s="28"/>
      <c r="AK576" s="13"/>
      <c r="AL576" s="15"/>
      <c r="AM576" s="15"/>
      <c r="AN576" s="28"/>
      <c r="AO576" s="13"/>
      <c r="AP576" s="15"/>
      <c r="AQ576" s="15"/>
      <c r="AR576" s="28"/>
      <c r="AW576" s="13"/>
      <c r="AX576" s="15"/>
      <c r="AY576" s="15"/>
      <c r="AZ576" s="28"/>
      <c r="BE576" s="14"/>
      <c r="BF576" s="13"/>
      <c r="BG576" s="15"/>
      <c r="BH576" s="28"/>
    </row>
    <row r="577" ht="15.75" customHeight="1" hidden="1" spans="1:60" x14ac:dyDescent="0.25">
      <c r="A577" s="2">
        <v>77</v>
      </c>
      <c r="B577" s="14">
        <v>4.12</v>
      </c>
      <c r="C577" s="2" t="s">
        <v>268</v>
      </c>
      <c r="D577" s="14" t="s">
        <v>44</v>
      </c>
      <c r="E577" s="2" t="s">
        <v>45</v>
      </c>
      <c r="F577" s="13">
        <v>2.49</v>
      </c>
      <c r="G577" s="28"/>
      <c r="H577" s="34">
        <v>74.7</v>
      </c>
      <c r="I577" s="13">
        <v>608</v>
      </c>
      <c r="J577" s="15">
        <v>0</v>
      </c>
      <c r="K577" s="34">
        <f>J577*$F$8</f>
        <v>0</v>
      </c>
      <c r="L577" s="28"/>
      <c r="M577" s="2">
        <v>608</v>
      </c>
      <c r="N577" s="15">
        <f>M577-I577</f>
        <v>0</v>
      </c>
      <c r="O577" s="34">
        <f>N577*$F$8</f>
        <v>0</v>
      </c>
      <c r="Q577" s="13">
        <v>608</v>
      </c>
      <c r="R577" s="15">
        <f>Q577-M577</f>
        <v>0</v>
      </c>
      <c r="S577" s="34">
        <f>R577*$F$8</f>
        <v>0</v>
      </c>
      <c r="T577" s="28"/>
      <c r="U577" s="2">
        <v>608</v>
      </c>
      <c r="V577" s="15">
        <f>U577-Q577</f>
        <v>0</v>
      </c>
      <c r="W577" s="34">
        <f>V577*$F$8</f>
        <v>0</v>
      </c>
      <c r="X577" s="34">
        <f>74.7</f>
        <v>74.7</v>
      </c>
      <c r="Y577" s="13">
        <v>613</v>
      </c>
      <c r="Z577" s="15">
        <f>Y577-U577</f>
        <v>5</v>
      </c>
      <c r="AA577" s="34">
        <f>Z577*$F$8</f>
        <v>12.45</v>
      </c>
      <c r="AB577" s="28">
        <v>12.45</v>
      </c>
      <c r="AC577" s="2">
        <v>643</v>
      </c>
      <c r="AD577" s="15">
        <f t="shared" ref="AD577:AD578" si="1518">AC577-Y577</f>
        <v>30</v>
      </c>
      <c r="AE577" s="34">
        <f>AD577*$F$8</f>
        <v>74.7</v>
      </c>
      <c r="AG577" s="13">
        <v>721</v>
      </c>
      <c r="AH577" s="15">
        <f>AG577-AC577</f>
        <v>78</v>
      </c>
      <c r="AI577" s="34">
        <f>AH577*$F$8</f>
        <v>194.22</v>
      </c>
      <c r="AJ577" s="38">
        <v>74.7</v>
      </c>
      <c r="AK577" s="13">
        <v>887</v>
      </c>
      <c r="AL577" s="15">
        <f>AK577-AG577</f>
        <v>166</v>
      </c>
      <c r="AM577" s="34">
        <f>AL577*$F$8</f>
        <v>413.34</v>
      </c>
      <c r="AN577" s="32">
        <f>194.22+413.34</f>
        <v>607.56</v>
      </c>
      <c r="AO577" s="13">
        <v>918</v>
      </c>
      <c r="AP577" s="15">
        <f t="shared" ref="AP577:AP578" si="1519">AO577-AK577</f>
        <v>31</v>
      </c>
      <c r="AQ577" s="34">
        <f>AP577*$F$8</f>
        <v>77.19</v>
      </c>
      <c r="AR577" s="32">
        <v>77.19</v>
      </c>
      <c r="AS577" s="15">
        <v>922</v>
      </c>
      <c r="AT577" s="15">
        <f>AS577-AO577</f>
        <v>4</v>
      </c>
      <c r="AU577" s="34">
        <f>AT577*$F$8</f>
        <v>9.96</v>
      </c>
      <c r="AV577" s="15"/>
      <c r="AW577" s="13">
        <v>922</v>
      </c>
      <c r="AX577" s="15">
        <f>AW577-AS577</f>
        <v>0</v>
      </c>
      <c r="AY577" s="34">
        <f>AX577*$F$8</f>
        <v>0</v>
      </c>
      <c r="AZ577" s="28"/>
      <c r="BA577" s="13">
        <v>922</v>
      </c>
      <c r="BB577" s="15">
        <f>BA577-AW577</f>
        <v>0</v>
      </c>
      <c r="BC577" s="34">
        <f>BB577*$F$8</f>
        <v>0</v>
      </c>
      <c r="BD577" s="15"/>
      <c r="BE577" s="40">
        <f t="shared" ref="BE577:BG577" si="1520">J577+N577+R577+V577+Z577+AD577+AH577+AL577+AP577+AT577+AX577+BB577</f>
        <v>314</v>
      </c>
      <c r="BF577" s="41">
        <f t="shared" si="1520"/>
        <v>781.86</v>
      </c>
      <c r="BG577" s="34">
        <f t="shared" si="1520"/>
        <v>846.6</v>
      </c>
      <c r="BH577" s="35">
        <f t="shared" ref="BH577:BH582" si="1521">H577+BF577-BG577</f>
        <v>9.96</v>
      </c>
    </row>
    <row r="578" ht="15.75" customHeight="1" hidden="1" spans="1:60" x14ac:dyDescent="0.25">
      <c r="A578" s="29">
        <v>77</v>
      </c>
      <c r="B578" s="14"/>
      <c r="C578" s="2" t="s">
        <v>269</v>
      </c>
      <c r="D578" s="14" t="s">
        <v>47</v>
      </c>
      <c r="E578" s="2" t="s">
        <v>48</v>
      </c>
      <c r="F578" s="13">
        <v>17.16</v>
      </c>
      <c r="G578" s="28"/>
      <c r="H578" s="81"/>
      <c r="I578" s="13"/>
      <c r="J578" s="15"/>
      <c r="K578" s="15"/>
      <c r="L578" s="28"/>
      <c r="Q578" s="13"/>
      <c r="R578" s="15"/>
      <c r="S578" s="15"/>
      <c r="T578" s="28"/>
      <c r="Y578" s="95">
        <v>375</v>
      </c>
      <c r="Z578" s="15"/>
      <c r="AA578" s="15"/>
      <c r="AB578" s="28"/>
      <c r="AC578" s="2">
        <v>375</v>
      </c>
      <c r="AD578" s="15">
        <f t="shared" si="1518"/>
        <v>0</v>
      </c>
      <c r="AE578" s="34">
        <f>AD578*$F$10</f>
        <v>0</v>
      </c>
      <c r="AG578" s="94">
        <v>370</v>
      </c>
      <c r="AH578" s="103">
        <v>5</v>
      </c>
      <c r="AI578" s="45">
        <f>AH578*$G$10</f>
        <v>88.4</v>
      </c>
      <c r="AJ578" s="38">
        <v>88.4</v>
      </c>
      <c r="AK578" s="94">
        <v>366</v>
      </c>
      <c r="AL578" s="15">
        <v>4</v>
      </c>
      <c r="AM578" s="45">
        <f>AL578*$G$10</f>
        <v>70.72</v>
      </c>
      <c r="AN578" s="32">
        <v>70.72</v>
      </c>
      <c r="AO578" s="94">
        <v>366</v>
      </c>
      <c r="AP578" s="15">
        <f t="shared" si="1519"/>
        <v>0</v>
      </c>
      <c r="AQ578" s="45">
        <f>AP578*$G$10</f>
        <v>0</v>
      </c>
      <c r="AR578" s="28"/>
      <c r="AS578" s="15"/>
      <c r="AT578" s="15"/>
      <c r="AU578" s="15"/>
      <c r="AV578" s="15"/>
      <c r="AW578" s="13"/>
      <c r="AX578" s="15"/>
      <c r="AY578" s="15"/>
      <c r="AZ578" s="28"/>
      <c r="BA578" s="15"/>
      <c r="BB578" s="15"/>
      <c r="BC578" s="15"/>
      <c r="BD578" s="15"/>
      <c r="BE578" s="40">
        <f t="shared" ref="BE578:BG578" si="1522">J578+N578+R578+V578+Z578+AD578+AH578+AL578+AP578+AT578+AX578+BB578</f>
        <v>9</v>
      </c>
      <c r="BF578" s="41">
        <f t="shared" si="1522"/>
        <v>159.12</v>
      </c>
      <c r="BG578" s="34">
        <f t="shared" si="1522"/>
        <v>159.12</v>
      </c>
      <c r="BH578" s="35">
        <f t="shared" si="1521"/>
        <v>0</v>
      </c>
    </row>
    <row r="579" ht="15.75" customHeight="1" hidden="1" spans="1:60" x14ac:dyDescent="0.25">
      <c r="A579" s="29">
        <v>77</v>
      </c>
      <c r="B579" s="14"/>
      <c r="C579" s="15" t="s">
        <v>158</v>
      </c>
      <c r="D579" s="14" t="s">
        <v>47</v>
      </c>
      <c r="E579" s="2" t="s">
        <v>49</v>
      </c>
      <c r="F579" s="41">
        <v>300</v>
      </c>
      <c r="G579" s="28"/>
      <c r="I579" s="13"/>
      <c r="J579" s="15"/>
      <c r="K579" s="15"/>
      <c r="L579" s="28"/>
      <c r="Q579" s="13"/>
      <c r="R579" s="15"/>
      <c r="S579" s="15"/>
      <c r="T579" s="28"/>
      <c r="Y579" s="13"/>
      <c r="Z579" s="15"/>
      <c r="AA579" s="15"/>
      <c r="AB579" s="28"/>
      <c r="AG579" s="13"/>
      <c r="AH579" s="15"/>
      <c r="AI579" s="15"/>
      <c r="AJ579" s="28"/>
      <c r="AK579" s="13"/>
      <c r="AL579" s="15"/>
      <c r="AM579" s="34"/>
      <c r="AN579" s="28"/>
      <c r="AO579" s="13"/>
      <c r="AP579" s="15"/>
      <c r="AQ579" s="34"/>
      <c r="AR579" s="28"/>
      <c r="AS579" s="15"/>
      <c r="AT579" s="15"/>
      <c r="AU579" s="15"/>
      <c r="AV579" s="15"/>
      <c r="AW579" s="13"/>
      <c r="AX579" s="15"/>
      <c r="AY579" s="15"/>
      <c r="AZ579" s="28"/>
      <c r="BA579" s="15"/>
      <c r="BB579" s="15"/>
      <c r="BC579" s="15"/>
      <c r="BD579" s="15"/>
      <c r="BE579" s="14"/>
      <c r="BF579" s="41">
        <f t="shared" ref="BF579:BG579" si="1523">K579+O579+S579+W579+AA579+AE579+AI579+AM579+AQ579+AU579+AY579+BC579</f>
        <v>0</v>
      </c>
      <c r="BG579" s="34">
        <f t="shared" si="1523"/>
        <v>0</v>
      </c>
      <c r="BH579" s="35">
        <f t="shared" si="1521"/>
        <v>0</v>
      </c>
    </row>
    <row r="580" ht="15.75" customHeight="1" hidden="1" spans="1:60" x14ac:dyDescent="0.25">
      <c r="A580" s="29">
        <v>77</v>
      </c>
      <c r="B580" s="14"/>
      <c r="C580" s="2" t="s">
        <v>270</v>
      </c>
      <c r="D580" s="14" t="s">
        <v>50</v>
      </c>
      <c r="E580" s="2" t="s">
        <v>49</v>
      </c>
      <c r="F580" s="41">
        <v>1062.88</v>
      </c>
      <c r="G580" s="28"/>
      <c r="I580" s="13"/>
      <c r="J580" s="15"/>
      <c r="K580" s="15"/>
      <c r="L580" s="28"/>
      <c r="Q580" s="13"/>
      <c r="R580" s="15"/>
      <c r="S580" s="15"/>
      <c r="T580" s="28"/>
      <c r="Y580" s="13"/>
      <c r="Z580" s="15"/>
      <c r="AA580" s="15"/>
      <c r="AB580" s="28"/>
      <c r="AE580" s="34">
        <f>B577*$F$12</f>
        <v>4379.0656</v>
      </c>
      <c r="AF580" s="2">
        <v>4379.06</v>
      </c>
      <c r="AG580" s="13"/>
      <c r="AH580" s="15"/>
      <c r="AI580" s="15"/>
      <c r="AJ580" s="35"/>
      <c r="AK580" s="13"/>
      <c r="AL580" s="15"/>
      <c r="AM580" s="15"/>
      <c r="AN580" s="28"/>
      <c r="AO580" s="13"/>
      <c r="AP580" s="15"/>
      <c r="AQ580" s="15"/>
      <c r="AR580" s="28"/>
      <c r="AS580" s="15"/>
      <c r="AT580" s="15"/>
      <c r="AU580" s="15"/>
      <c r="AV580" s="15"/>
      <c r="AW580" s="13"/>
      <c r="AX580" s="15"/>
      <c r="AY580" s="15"/>
      <c r="AZ580" s="28"/>
      <c r="BA580" s="15"/>
      <c r="BB580" s="15"/>
      <c r="BC580" s="15"/>
      <c r="BD580" s="15"/>
      <c r="BE580" s="14"/>
      <c r="BF580" s="41">
        <f>B577*$F$12</f>
        <v>4379.0656</v>
      </c>
      <c r="BG580" s="34">
        <f t="shared" ref="BG580:BG582" si="1524">L580+P580+T580+X580+AB580+AF580+AJ580+AN580+AR580+AV580+AZ580+BD580</f>
        <v>4379.06</v>
      </c>
      <c r="BH580" s="35">
        <f t="shared" si="1521"/>
        <v>0.0056</v>
      </c>
    </row>
    <row r="581" ht="15.75" customHeight="1" hidden="1" spans="1:60" x14ac:dyDescent="0.25">
      <c r="A581" s="29">
        <v>77</v>
      </c>
      <c r="B581" s="14"/>
      <c r="D581" s="14" t="s">
        <v>51</v>
      </c>
      <c r="E581" s="2" t="s">
        <v>49</v>
      </c>
      <c r="F581" s="41">
        <v>0</v>
      </c>
      <c r="G581" s="28"/>
      <c r="I581" s="13"/>
      <c r="J581" s="15"/>
      <c r="K581" s="15"/>
      <c r="L581" s="28"/>
      <c r="Q581" s="13"/>
      <c r="R581" s="15"/>
      <c r="S581" s="15"/>
      <c r="T581" s="28"/>
      <c r="Y581" s="13"/>
      <c r="Z581" s="15"/>
      <c r="AA581" s="15"/>
      <c r="AB581" s="28"/>
      <c r="AG581" s="13"/>
      <c r="AH581" s="15"/>
      <c r="AI581" s="15"/>
      <c r="AJ581" s="28"/>
      <c r="AK581" s="13"/>
      <c r="AL581" s="15"/>
      <c r="AM581" s="15"/>
      <c r="AN581" s="28"/>
      <c r="AO581" s="13"/>
      <c r="AP581" s="15"/>
      <c r="AQ581" s="15"/>
      <c r="AR581" s="28"/>
      <c r="AS581" s="15"/>
      <c r="AT581" s="15"/>
      <c r="AU581" s="15"/>
      <c r="AV581" s="15"/>
      <c r="AW581" s="13"/>
      <c r="AX581" s="15"/>
      <c r="AY581" s="15"/>
      <c r="AZ581" s="28"/>
      <c r="BA581" s="15"/>
      <c r="BB581" s="15"/>
      <c r="BC581" s="15"/>
      <c r="BD581" s="15"/>
      <c r="BE581" s="14"/>
      <c r="BF581" s="41">
        <f>B577*$F$13</f>
        <v>0</v>
      </c>
      <c r="BG581" s="34">
        <f t="shared" si="1524"/>
        <v>0</v>
      </c>
      <c r="BH581" s="35">
        <f t="shared" si="1521"/>
        <v>0</v>
      </c>
    </row>
    <row r="582" ht="15.75" customHeight="1" hidden="1" spans="1:60" x14ac:dyDescent="0.25">
      <c r="A582" s="29">
        <v>77</v>
      </c>
      <c r="B582" s="14"/>
      <c r="D582" s="14" t="s">
        <v>52</v>
      </c>
      <c r="E582" s="2" t="s">
        <v>39</v>
      </c>
      <c r="F582" s="41">
        <v>350</v>
      </c>
      <c r="G582" s="28"/>
      <c r="I582" s="13"/>
      <c r="J582" s="15"/>
      <c r="K582" s="15"/>
      <c r="L582" s="28"/>
      <c r="Q582" s="13"/>
      <c r="R582" s="15"/>
      <c r="S582" s="15"/>
      <c r="T582" s="28"/>
      <c r="Y582" s="13"/>
      <c r="Z582" s="15"/>
      <c r="AA582" s="34">
        <f>$F$14</f>
        <v>350</v>
      </c>
      <c r="AB582" s="35">
        <v>350</v>
      </c>
      <c r="AG582" s="13"/>
      <c r="AH582" s="15"/>
      <c r="AI582" s="15"/>
      <c r="AJ582" s="28"/>
      <c r="AK582" s="13"/>
      <c r="AL582" s="15"/>
      <c r="AM582" s="15"/>
      <c r="AN582" s="28"/>
      <c r="AO582" s="13"/>
      <c r="AP582" s="15"/>
      <c r="AQ582" s="15"/>
      <c r="AR582" s="28"/>
      <c r="AS582" s="15"/>
      <c r="AT582" s="15"/>
      <c r="AU582" s="15"/>
      <c r="AV582" s="15"/>
      <c r="AW582" s="13"/>
      <c r="AX582" s="15"/>
      <c r="AY582" s="15"/>
      <c r="AZ582" s="28"/>
      <c r="BA582" s="15"/>
      <c r="BB582" s="15"/>
      <c r="BC582" s="15"/>
      <c r="BD582" s="15"/>
      <c r="BE582" s="14"/>
      <c r="BF582" s="41">
        <f>$F$14</f>
        <v>350</v>
      </c>
      <c r="BG582" s="34">
        <f t="shared" si="1524"/>
        <v>350</v>
      </c>
      <c r="BH582" s="35">
        <f t="shared" si="1521"/>
        <v>0</v>
      </c>
    </row>
    <row r="583" ht="15.75" customHeight="1" hidden="1" spans="1:62" x14ac:dyDescent="0.25">
      <c r="A583" s="50">
        <v>77</v>
      </c>
      <c r="B583" s="21"/>
      <c r="C583" s="22" t="s">
        <v>53</v>
      </c>
      <c r="D583" s="21"/>
      <c r="E583" s="22"/>
      <c r="F583" s="20"/>
      <c r="G583" s="23"/>
      <c r="H583" s="51">
        <f>SUM(H576:H582)</f>
        <v>74.7</v>
      </c>
      <c r="I583" s="52"/>
      <c r="J583" s="53"/>
      <c r="K583" s="51">
        <f t="shared" ref="K583:L583" si="1525">SUM(K576:K582)</f>
        <v>0</v>
      </c>
      <c r="L583" s="68">
        <f t="shared" si="1525"/>
        <v>0</v>
      </c>
      <c r="M583" s="53"/>
      <c r="N583" s="53"/>
      <c r="O583" s="51">
        <f t="shared" ref="O583:P583" si="1526">SUM(O577:O582)</f>
        <v>0</v>
      </c>
      <c r="P583" s="51">
        <f t="shared" si="1526"/>
        <v>0</v>
      </c>
      <c r="Q583" s="52"/>
      <c r="R583" s="53"/>
      <c r="S583" s="51">
        <f t="shared" ref="S583:T583" si="1527">SUM(S577:S582)</f>
        <v>0</v>
      </c>
      <c r="T583" s="68">
        <f t="shared" si="1527"/>
        <v>0</v>
      </c>
      <c r="U583" s="53"/>
      <c r="V583" s="53"/>
      <c r="W583" s="51">
        <f t="shared" ref="W583:X583" si="1528">SUM(W577:W582)</f>
        <v>0</v>
      </c>
      <c r="X583" s="51">
        <f t="shared" si="1528"/>
        <v>74.7</v>
      </c>
      <c r="Y583" s="52"/>
      <c r="Z583" s="53"/>
      <c r="AA583" s="51">
        <f t="shared" ref="AA583:AB583" si="1529">SUM(AA577:AA582)</f>
        <v>362.45</v>
      </c>
      <c r="AB583" s="68">
        <f t="shared" si="1529"/>
        <v>362.45</v>
      </c>
      <c r="AC583" s="53"/>
      <c r="AD583" s="53"/>
      <c r="AE583" s="51">
        <f t="shared" ref="AE583:AF583" si="1530">SUM(AE577:AE582)</f>
        <v>4453.7656</v>
      </c>
      <c r="AF583" s="51">
        <f t="shared" si="1530"/>
        <v>4379.06</v>
      </c>
      <c r="AG583" s="52"/>
      <c r="AH583" s="53"/>
      <c r="AI583" s="51">
        <f t="shared" ref="AI583:AJ583" si="1531">SUM(AI577:AI582)</f>
        <v>282.62</v>
      </c>
      <c r="AJ583" s="68">
        <f t="shared" si="1531"/>
        <v>163.1</v>
      </c>
      <c r="AK583" s="52"/>
      <c r="AL583" s="53"/>
      <c r="AM583" s="51">
        <f t="shared" ref="AM583:AN583" si="1532">SUM(AM577:AM582)</f>
        <v>484.06</v>
      </c>
      <c r="AN583" s="68">
        <f t="shared" si="1532"/>
        <v>678.28</v>
      </c>
      <c r="AO583" s="52"/>
      <c r="AP583" s="53"/>
      <c r="AQ583" s="51">
        <f t="shared" ref="AQ583:AR583" si="1533">SUM(AQ577:AQ582)</f>
        <v>77.19</v>
      </c>
      <c r="AR583" s="68">
        <f t="shared" si="1533"/>
        <v>77.19</v>
      </c>
      <c r="AS583" s="53"/>
      <c r="AT583" s="53"/>
      <c r="AU583" s="51">
        <f t="shared" ref="AU583:AV583" si="1534">SUM(AU577:AU582)</f>
        <v>9.96</v>
      </c>
      <c r="AV583" s="51">
        <f t="shared" si="1534"/>
        <v>0</v>
      </c>
      <c r="AW583" s="52"/>
      <c r="AX583" s="53"/>
      <c r="AY583" s="51">
        <f t="shared" ref="AY583:AZ583" si="1535">SUM(AY577:AY582)</f>
        <v>0</v>
      </c>
      <c r="AZ583" s="68">
        <f t="shared" si="1535"/>
        <v>0</v>
      </c>
      <c r="BA583" s="53"/>
      <c r="BB583" s="53"/>
      <c r="BC583" s="51">
        <f t="shared" ref="BC583:BD583" si="1536">SUM(BC577:BC582)</f>
        <v>0</v>
      </c>
      <c r="BD583" s="51">
        <f t="shared" si="1536"/>
        <v>0</v>
      </c>
      <c r="BE583" s="69"/>
      <c r="BF583" s="70">
        <f t="shared" ref="BF583:BH583" si="1537">SUM(BF576:BF582)</f>
        <v>5670.0456</v>
      </c>
      <c r="BG583" s="71">
        <f t="shared" si="1537"/>
        <v>5734.78</v>
      </c>
      <c r="BH583" s="72">
        <f t="shared" si="1537"/>
        <v>9.9656</v>
      </c>
      <c r="BI583" s="34">
        <f>H583+BF583-BG583</f>
        <v>9.9656</v>
      </c>
      <c r="BJ583" s="34">
        <f>BH583-BI583</f>
        <v>0</v>
      </c>
    </row>
    <row r="584" ht="15.75" customHeight="1" hidden="1" spans="1:60" x14ac:dyDescent="0.25">
      <c r="A584" s="29">
        <v>78</v>
      </c>
      <c r="B584" s="14"/>
      <c r="D584" s="14" t="s">
        <v>42</v>
      </c>
      <c r="F584" s="13"/>
      <c r="G584" s="28"/>
      <c r="I584" s="13"/>
      <c r="J584" s="15"/>
      <c r="K584" s="15"/>
      <c r="L584" s="28"/>
      <c r="Q584" s="13"/>
      <c r="R584" s="15"/>
      <c r="S584" s="15"/>
      <c r="T584" s="28"/>
      <c r="Y584" s="13"/>
      <c r="Z584" s="15"/>
      <c r="AA584" s="15"/>
      <c r="AB584" s="28"/>
      <c r="AG584" s="13"/>
      <c r="AH584" s="15"/>
      <c r="AI584" s="15"/>
      <c r="AJ584" s="28"/>
      <c r="AK584" s="13"/>
      <c r="AL584" s="15"/>
      <c r="AM584" s="15"/>
      <c r="AN584" s="28"/>
      <c r="AO584" s="13"/>
      <c r="AP584" s="15"/>
      <c r="AQ584" s="15"/>
      <c r="AR584" s="28"/>
      <c r="AW584" s="13"/>
      <c r="AX584" s="15"/>
      <c r="AY584" s="15"/>
      <c r="AZ584" s="28"/>
      <c r="BE584" s="14"/>
      <c r="BF584" s="13"/>
      <c r="BG584" s="15"/>
      <c r="BH584" s="28"/>
    </row>
    <row r="585" ht="15.75" customHeight="1" hidden="1" spans="1:60" x14ac:dyDescent="0.25">
      <c r="A585" s="2">
        <v>78</v>
      </c>
      <c r="B585" s="14">
        <v>4.03</v>
      </c>
      <c r="C585" s="2" t="s">
        <v>271</v>
      </c>
      <c r="D585" s="14" t="s">
        <v>44</v>
      </c>
      <c r="E585" s="2" t="s">
        <v>45</v>
      </c>
      <c r="F585" s="13">
        <v>2.49</v>
      </c>
      <c r="G585" s="28"/>
      <c r="H585" s="2">
        <v>44.82</v>
      </c>
      <c r="I585" s="13">
        <v>28</v>
      </c>
      <c r="J585" s="15">
        <v>0</v>
      </c>
      <c r="K585" s="34">
        <f>J585*$F$8</f>
        <v>0</v>
      </c>
      <c r="L585" s="28"/>
      <c r="M585" s="2">
        <v>28</v>
      </c>
      <c r="N585" s="15">
        <f>M585-I585</f>
        <v>0</v>
      </c>
      <c r="O585" s="34">
        <f>N585*$F$8</f>
        <v>0</v>
      </c>
      <c r="Q585" s="13">
        <v>28</v>
      </c>
      <c r="R585" s="15">
        <f>Q585-M585</f>
        <v>0</v>
      </c>
      <c r="S585" s="34">
        <f>R585*$F$8</f>
        <v>0</v>
      </c>
      <c r="T585" s="28"/>
      <c r="U585" s="2">
        <v>28</v>
      </c>
      <c r="V585" s="15">
        <f>U585-Q585</f>
        <v>0</v>
      </c>
      <c r="W585" s="34">
        <f>V585*$F$8</f>
        <v>0</v>
      </c>
      <c r="X585" s="2">
        <f>44.82</f>
        <v>44.82</v>
      </c>
      <c r="Y585" s="13">
        <v>29</v>
      </c>
      <c r="Z585" s="15">
        <f>Y585-U585</f>
        <v>1</v>
      </c>
      <c r="AA585" s="34">
        <f>Z585*$F$8</f>
        <v>2.49</v>
      </c>
      <c r="AB585" s="28">
        <v>2.49</v>
      </c>
      <c r="AC585" s="2">
        <v>30</v>
      </c>
      <c r="AD585" s="15">
        <f t="shared" ref="AD585:AD586" si="1538">AC585-Y585</f>
        <v>1</v>
      </c>
      <c r="AE585" s="34">
        <f>AD585*$F$8</f>
        <v>2.49</v>
      </c>
      <c r="AG585" s="13">
        <v>31</v>
      </c>
      <c r="AH585" s="15">
        <f t="shared" ref="AH585:AH586" si="1539">AG585-AC585</f>
        <v>1</v>
      </c>
      <c r="AI585" s="34">
        <f>AH585*$F$8</f>
        <v>2.49</v>
      </c>
      <c r="AJ585" s="32">
        <v>2.49</v>
      </c>
      <c r="AK585" s="13">
        <v>32</v>
      </c>
      <c r="AL585" s="15">
        <f t="shared" ref="AL585:AL586" si="1540">AK585-AG585</f>
        <v>1</v>
      </c>
      <c r="AM585" s="34">
        <f>AL585*$F$8</f>
        <v>2.49</v>
      </c>
      <c r="AN585" s="32">
        <v>4.98</v>
      </c>
      <c r="AO585" s="13">
        <v>39</v>
      </c>
      <c r="AP585" s="15">
        <f t="shared" ref="AP585:AP586" si="1541">AO585-AK585</f>
        <v>7</v>
      </c>
      <c r="AQ585" s="34">
        <f>AP585*$F$8</f>
        <v>17.43</v>
      </c>
      <c r="AR585" s="32">
        <v>17.43</v>
      </c>
      <c r="AS585" s="15">
        <v>44</v>
      </c>
      <c r="AT585" s="15">
        <f>AS585-AO585</f>
        <v>5</v>
      </c>
      <c r="AU585" s="34">
        <f>AT585*$F$8</f>
        <v>12.45</v>
      </c>
      <c r="AV585" s="15"/>
      <c r="AW585" s="13">
        <v>44</v>
      </c>
      <c r="AX585" s="15">
        <f>AW585-AS585</f>
        <v>0</v>
      </c>
      <c r="AY585" s="34">
        <f>AX585*$F$8</f>
        <v>0</v>
      </c>
      <c r="AZ585" s="28"/>
      <c r="BA585" s="13">
        <v>44</v>
      </c>
      <c r="BB585" s="15">
        <f>BA585-AW585</f>
        <v>0</v>
      </c>
      <c r="BC585" s="34">
        <f>BB585*$F$8</f>
        <v>0</v>
      </c>
      <c r="BD585" s="15"/>
      <c r="BE585" s="40">
        <f t="shared" ref="BE585:BG585" si="1542">J585+N585+R585+V585+Z585+AD585+AH585+AL585+AP585+AT585+AX585+BB585</f>
        <v>16</v>
      </c>
      <c r="BF585" s="41">
        <f t="shared" si="1542"/>
        <v>39.84</v>
      </c>
      <c r="BG585" s="34">
        <f t="shared" si="1542"/>
        <v>72.21</v>
      </c>
      <c r="BH585" s="35">
        <f t="shared" ref="BH585:BH590" si="1543">H585+BF585-BG585</f>
        <v>12.45</v>
      </c>
    </row>
    <row r="586" ht="15.75" customHeight="1" hidden="1" spans="1:60" x14ac:dyDescent="0.25">
      <c r="A586" s="29">
        <v>78</v>
      </c>
      <c r="B586" s="14"/>
      <c r="C586" s="2" t="s">
        <v>61</v>
      </c>
      <c r="D586" s="14" t="s">
        <v>47</v>
      </c>
      <c r="E586" s="2" t="s">
        <v>48</v>
      </c>
      <c r="F586" s="13">
        <v>17.16</v>
      </c>
      <c r="G586" s="28"/>
      <c r="I586" s="13"/>
      <c r="J586" s="15"/>
      <c r="K586" s="15"/>
      <c r="L586" s="28"/>
      <c r="Q586" s="13"/>
      <c r="R586" s="15"/>
      <c r="S586" s="15"/>
      <c r="T586" s="28"/>
      <c r="Y586" s="13">
        <v>91</v>
      </c>
      <c r="Z586" s="15"/>
      <c r="AA586" s="15"/>
      <c r="AB586" s="28"/>
      <c r="AC586" s="2">
        <v>91</v>
      </c>
      <c r="AD586" s="15">
        <f t="shared" si="1538"/>
        <v>0</v>
      </c>
      <c r="AE586" s="34">
        <f>AD586*$F$10</f>
        <v>0</v>
      </c>
      <c r="AG586" s="13">
        <v>101</v>
      </c>
      <c r="AH586" s="15">
        <f t="shared" si="1539"/>
        <v>10</v>
      </c>
      <c r="AI586" s="45">
        <f>AH586*$G$10</f>
        <v>176.8</v>
      </c>
      <c r="AJ586" s="38">
        <v>176.8</v>
      </c>
      <c r="AK586" s="13">
        <v>106</v>
      </c>
      <c r="AL586" s="15">
        <f t="shared" si="1540"/>
        <v>5</v>
      </c>
      <c r="AM586" s="45">
        <f>AL586*$G$10</f>
        <v>88.4</v>
      </c>
      <c r="AN586" s="38">
        <v>88.4</v>
      </c>
      <c r="AO586" s="13">
        <v>108</v>
      </c>
      <c r="AP586" s="15">
        <f t="shared" si="1541"/>
        <v>2</v>
      </c>
      <c r="AQ586" s="45">
        <f>AP586*$G$10</f>
        <v>35.36</v>
      </c>
      <c r="AR586" s="32">
        <v>35.36</v>
      </c>
      <c r="AS586" s="15"/>
      <c r="AT586" s="15"/>
      <c r="AU586" s="15"/>
      <c r="AV586" s="15"/>
      <c r="AW586" s="13"/>
      <c r="AX586" s="15"/>
      <c r="AY586" s="15"/>
      <c r="AZ586" s="28"/>
      <c r="BA586" s="15"/>
      <c r="BB586" s="15"/>
      <c r="BC586" s="15"/>
      <c r="BD586" s="15"/>
      <c r="BE586" s="40">
        <f t="shared" ref="BE586:BG586" si="1544">J586+N586+R586+V586+Z586+AD586+AH586+AL586+AP586+AT586+AX586+BB586</f>
        <v>17</v>
      </c>
      <c r="BF586" s="41">
        <f t="shared" si="1544"/>
        <v>300.56</v>
      </c>
      <c r="BG586" s="34">
        <f t="shared" si="1544"/>
        <v>300.56</v>
      </c>
      <c r="BH586" s="35">
        <f t="shared" si="1543"/>
        <v>0</v>
      </c>
    </row>
    <row r="587" ht="15.75" customHeight="1" hidden="1" spans="1:60" x14ac:dyDescent="0.25">
      <c r="A587" s="29">
        <v>78</v>
      </c>
      <c r="B587" s="14"/>
      <c r="C587" s="15" t="s">
        <v>272</v>
      </c>
      <c r="D587" s="14" t="s">
        <v>47</v>
      </c>
      <c r="E587" s="2" t="s">
        <v>49</v>
      </c>
      <c r="F587" s="41">
        <v>300</v>
      </c>
      <c r="G587" s="28"/>
      <c r="I587" s="13"/>
      <c r="J587" s="15"/>
      <c r="K587" s="15"/>
      <c r="L587" s="28"/>
      <c r="Q587" s="13"/>
      <c r="R587" s="15"/>
      <c r="S587" s="15"/>
      <c r="T587" s="28"/>
      <c r="Y587" s="13"/>
      <c r="Z587" s="15"/>
      <c r="AA587" s="15"/>
      <c r="AB587" s="28"/>
      <c r="AG587" s="13"/>
      <c r="AH587" s="15"/>
      <c r="AI587" s="15"/>
      <c r="AJ587" s="28"/>
      <c r="AK587" s="13"/>
      <c r="AL587" s="15"/>
      <c r="AM587" s="34"/>
      <c r="AN587" s="28"/>
      <c r="AO587" s="13"/>
      <c r="AP587" s="15"/>
      <c r="AQ587" s="34"/>
      <c r="AR587" s="28"/>
      <c r="AS587" s="15"/>
      <c r="AT587" s="15"/>
      <c r="AU587" s="15"/>
      <c r="AV587" s="15"/>
      <c r="AW587" s="13"/>
      <c r="AX587" s="15"/>
      <c r="AY587" s="15"/>
      <c r="AZ587" s="28"/>
      <c r="BA587" s="15"/>
      <c r="BB587" s="15"/>
      <c r="BC587" s="15"/>
      <c r="BD587" s="15"/>
      <c r="BE587" s="14"/>
      <c r="BF587" s="41">
        <f t="shared" ref="BF587:BG587" si="1545">K587+O587+S587+W587+AA587+AE587+AI587+AM587+AQ587+AU587+AY587+BC587</f>
        <v>0</v>
      </c>
      <c r="BG587" s="34">
        <f t="shared" si="1545"/>
        <v>0</v>
      </c>
      <c r="BH587" s="35">
        <f t="shared" si="1543"/>
        <v>0</v>
      </c>
    </row>
    <row r="588" ht="15.75" customHeight="1" hidden="1" spans="1:60" x14ac:dyDescent="0.25">
      <c r="A588" s="29">
        <v>78</v>
      </c>
      <c r="B588" s="14"/>
      <c r="C588" s="2" t="s">
        <v>273</v>
      </c>
      <c r="D588" s="14" t="s">
        <v>50</v>
      </c>
      <c r="E588" s="2" t="s">
        <v>49</v>
      </c>
      <c r="F588" s="41">
        <v>1062.88</v>
      </c>
      <c r="G588" s="28"/>
      <c r="I588" s="13"/>
      <c r="J588" s="15"/>
      <c r="K588" s="15"/>
      <c r="L588" s="28"/>
      <c r="Q588" s="13"/>
      <c r="R588" s="15"/>
      <c r="S588" s="15"/>
      <c r="T588" s="28"/>
      <c r="Y588" s="13"/>
      <c r="Z588" s="15"/>
      <c r="AA588" s="15"/>
      <c r="AB588" s="28"/>
      <c r="AE588" s="34">
        <f>B585*$F$12</f>
        <v>4283.4064</v>
      </c>
      <c r="AF588" s="34">
        <v>4000</v>
      </c>
      <c r="AG588" s="13"/>
      <c r="AH588" s="15"/>
      <c r="AI588" s="15"/>
      <c r="AJ588" s="38">
        <v>283.41</v>
      </c>
      <c r="AK588" s="13"/>
      <c r="AL588" s="15"/>
      <c r="AM588" s="15"/>
      <c r="AN588" s="28"/>
      <c r="AO588" s="13"/>
      <c r="AP588" s="15"/>
      <c r="AQ588" s="15"/>
      <c r="AR588" s="28"/>
      <c r="AS588" s="15"/>
      <c r="AT588" s="15"/>
      <c r="AU588" s="15"/>
      <c r="AV588" s="15"/>
      <c r="AW588" s="13"/>
      <c r="AX588" s="15"/>
      <c r="AY588" s="15"/>
      <c r="AZ588" s="28"/>
      <c r="BA588" s="15"/>
      <c r="BB588" s="15"/>
      <c r="BC588" s="15"/>
      <c r="BD588" s="15"/>
      <c r="BE588" s="14"/>
      <c r="BF588" s="41">
        <f>B585*$F$12</f>
        <v>4283.4064</v>
      </c>
      <c r="BG588" s="34">
        <f t="shared" ref="BG588:BG590" si="1546">L588+P588+T588+X588+AB588+AF588+AJ588+AN588+AR588+AV588+AZ588+BD588</f>
        <v>4283.41</v>
      </c>
      <c r="BH588" s="35">
        <f t="shared" si="1543"/>
        <v>-0.003599999999</v>
      </c>
    </row>
    <row r="589" ht="15.75" customHeight="1" hidden="1" spans="1:60" x14ac:dyDescent="0.25">
      <c r="A589" s="29">
        <v>78</v>
      </c>
      <c r="B589" s="14"/>
      <c r="C589" s="2" t="s">
        <v>274</v>
      </c>
      <c r="D589" s="14" t="s">
        <v>51</v>
      </c>
      <c r="E589" s="2" t="s">
        <v>49</v>
      </c>
      <c r="F589" s="41">
        <v>0</v>
      </c>
      <c r="G589" s="28"/>
      <c r="I589" s="13"/>
      <c r="J589" s="15"/>
      <c r="K589" s="15"/>
      <c r="L589" s="28"/>
      <c r="Q589" s="13"/>
      <c r="R589" s="15"/>
      <c r="S589" s="15"/>
      <c r="T589" s="28"/>
      <c r="Y589" s="13"/>
      <c r="Z589" s="15"/>
      <c r="AA589" s="15"/>
      <c r="AB589" s="28"/>
      <c r="AG589" s="13"/>
      <c r="AH589" s="15"/>
      <c r="AI589" s="15"/>
      <c r="AJ589" s="28"/>
      <c r="AK589" s="13"/>
      <c r="AL589" s="15"/>
      <c r="AM589" s="15"/>
      <c r="AN589" s="28"/>
      <c r="AO589" s="13"/>
      <c r="AP589" s="15"/>
      <c r="AQ589" s="15"/>
      <c r="AR589" s="28"/>
      <c r="AS589" s="15"/>
      <c r="AT589" s="15"/>
      <c r="AU589" s="15"/>
      <c r="AV589" s="15"/>
      <c r="AW589" s="13"/>
      <c r="AX589" s="15"/>
      <c r="AY589" s="15"/>
      <c r="AZ589" s="28"/>
      <c r="BA589" s="15"/>
      <c r="BB589" s="15"/>
      <c r="BC589" s="15"/>
      <c r="BD589" s="15"/>
      <c r="BE589" s="14"/>
      <c r="BF589" s="41">
        <f>B585*$F$13</f>
        <v>0</v>
      </c>
      <c r="BG589" s="34">
        <f t="shared" si="1546"/>
        <v>0</v>
      </c>
      <c r="BH589" s="35">
        <f t="shared" si="1543"/>
        <v>0</v>
      </c>
    </row>
    <row r="590" ht="15.75" customHeight="1" hidden="1" spans="1:60" x14ac:dyDescent="0.25">
      <c r="A590" s="29">
        <v>78</v>
      </c>
      <c r="B590" s="14"/>
      <c r="D590" s="14" t="s">
        <v>52</v>
      </c>
      <c r="E590" s="2" t="s">
        <v>39</v>
      </c>
      <c r="F590" s="41">
        <v>350</v>
      </c>
      <c r="G590" s="28"/>
      <c r="I590" s="13"/>
      <c r="J590" s="15"/>
      <c r="K590" s="15"/>
      <c r="L590" s="28"/>
      <c r="Q590" s="13"/>
      <c r="R590" s="15"/>
      <c r="S590" s="15"/>
      <c r="T590" s="28"/>
      <c r="Y590" s="13"/>
      <c r="Z590" s="15"/>
      <c r="AA590" s="34">
        <f>$F$14</f>
        <v>350</v>
      </c>
      <c r="AB590" s="35">
        <v>350</v>
      </c>
      <c r="AG590" s="13"/>
      <c r="AH590" s="15"/>
      <c r="AI590" s="15"/>
      <c r="AJ590" s="28"/>
      <c r="AK590" s="13"/>
      <c r="AL590" s="15"/>
      <c r="AM590" s="15"/>
      <c r="AN590" s="28"/>
      <c r="AO590" s="13"/>
      <c r="AP590" s="15"/>
      <c r="AQ590" s="15"/>
      <c r="AR590" s="28"/>
      <c r="AS590" s="15"/>
      <c r="AT590" s="15"/>
      <c r="AU590" s="15"/>
      <c r="AV590" s="15"/>
      <c r="AW590" s="13"/>
      <c r="AX590" s="15"/>
      <c r="AY590" s="15"/>
      <c r="AZ590" s="28"/>
      <c r="BA590" s="15"/>
      <c r="BB590" s="15"/>
      <c r="BC590" s="15"/>
      <c r="BD590" s="15"/>
      <c r="BE590" s="14"/>
      <c r="BF590" s="41">
        <f>$F$14</f>
        <v>350</v>
      </c>
      <c r="BG590" s="34">
        <f t="shared" si="1546"/>
        <v>350</v>
      </c>
      <c r="BH590" s="35">
        <f t="shared" si="1543"/>
        <v>0</v>
      </c>
    </row>
    <row r="591" ht="15.75" customHeight="1" hidden="1" spans="1:62" x14ac:dyDescent="0.25">
      <c r="A591" s="50">
        <v>78</v>
      </c>
      <c r="B591" s="21"/>
      <c r="C591" s="22" t="s">
        <v>53</v>
      </c>
      <c r="D591" s="21"/>
      <c r="E591" s="22"/>
      <c r="F591" s="20"/>
      <c r="G591" s="23"/>
      <c r="H591" s="51">
        <f>SUM(H584:H590)</f>
        <v>44.82</v>
      </c>
      <c r="I591" s="52"/>
      <c r="J591" s="53"/>
      <c r="K591" s="51">
        <f t="shared" ref="K591:L591" si="1547">SUM(K584:K590)</f>
        <v>0</v>
      </c>
      <c r="L591" s="68">
        <f t="shared" si="1547"/>
        <v>0</v>
      </c>
      <c r="M591" s="53"/>
      <c r="N591" s="53"/>
      <c r="O591" s="51">
        <f t="shared" ref="O591:P591" si="1548">SUM(O585:O590)</f>
        <v>0</v>
      </c>
      <c r="P591" s="51">
        <f t="shared" si="1548"/>
        <v>0</v>
      </c>
      <c r="Q591" s="52"/>
      <c r="R591" s="53"/>
      <c r="S591" s="51">
        <f t="shared" ref="S591:T591" si="1549">SUM(S585:S590)</f>
        <v>0</v>
      </c>
      <c r="T591" s="68">
        <f t="shared" si="1549"/>
        <v>0</v>
      </c>
      <c r="U591" s="53"/>
      <c r="V591" s="53"/>
      <c r="W591" s="51">
        <f t="shared" ref="W591:X591" si="1550">SUM(W585:W590)</f>
        <v>0</v>
      </c>
      <c r="X591" s="51">
        <f t="shared" si="1550"/>
        <v>44.82</v>
      </c>
      <c r="Y591" s="52"/>
      <c r="Z591" s="53"/>
      <c r="AA591" s="51">
        <f t="shared" ref="AA591:AB591" si="1551">SUM(AA585:AA590)</f>
        <v>352.49</v>
      </c>
      <c r="AB591" s="68">
        <f t="shared" si="1551"/>
        <v>352.49</v>
      </c>
      <c r="AC591" s="53"/>
      <c r="AD591" s="53"/>
      <c r="AE591" s="51">
        <f t="shared" ref="AE591:AF591" si="1552">SUM(AE585:AE590)</f>
        <v>4285.8964</v>
      </c>
      <c r="AF591" s="51">
        <f t="shared" si="1552"/>
        <v>4000</v>
      </c>
      <c r="AG591" s="52"/>
      <c r="AH591" s="53"/>
      <c r="AI591" s="51">
        <f t="shared" ref="AI591:AJ591" si="1553">SUM(AI585:AI590)</f>
        <v>179.29</v>
      </c>
      <c r="AJ591" s="68">
        <f t="shared" si="1553"/>
        <v>462.7</v>
      </c>
      <c r="AK591" s="52"/>
      <c r="AL591" s="53"/>
      <c r="AM591" s="51">
        <f t="shared" ref="AM591:AN591" si="1554">SUM(AM585:AM590)</f>
        <v>90.89</v>
      </c>
      <c r="AN591" s="68">
        <f t="shared" si="1554"/>
        <v>93.38</v>
      </c>
      <c r="AO591" s="52"/>
      <c r="AP591" s="53"/>
      <c r="AQ591" s="51">
        <f t="shared" ref="AQ591:AR591" si="1555">SUM(AQ585:AQ590)</f>
        <v>52.79</v>
      </c>
      <c r="AR591" s="68">
        <f t="shared" si="1555"/>
        <v>52.79</v>
      </c>
      <c r="AS591" s="53"/>
      <c r="AT591" s="53"/>
      <c r="AU591" s="51">
        <f t="shared" ref="AU591:AV591" si="1556">SUM(AU585:AU590)</f>
        <v>12.45</v>
      </c>
      <c r="AV591" s="51">
        <f t="shared" si="1556"/>
        <v>0</v>
      </c>
      <c r="AW591" s="52"/>
      <c r="AX591" s="53"/>
      <c r="AY591" s="51">
        <f t="shared" ref="AY591:AZ591" si="1557">SUM(AY585:AY590)</f>
        <v>0</v>
      </c>
      <c r="AZ591" s="68">
        <f t="shared" si="1557"/>
        <v>0</v>
      </c>
      <c r="BA591" s="53"/>
      <c r="BB591" s="53"/>
      <c r="BC591" s="51">
        <f t="shared" ref="BC591:BD591" si="1558">SUM(BC585:BC590)</f>
        <v>0</v>
      </c>
      <c r="BD591" s="51">
        <f t="shared" si="1558"/>
        <v>0</v>
      </c>
      <c r="BE591" s="69"/>
      <c r="BF591" s="70">
        <f t="shared" ref="BF591:BH591" si="1559">SUM(BF584:BF590)</f>
        <v>4973.8064</v>
      </c>
      <c r="BG591" s="71">
        <f t="shared" si="1559"/>
        <v>5006.18</v>
      </c>
      <c r="BH591" s="72">
        <f t="shared" si="1559"/>
        <v>12.4464</v>
      </c>
      <c r="BI591" s="34">
        <f>H591+BF591-BG591</f>
        <v>12.4464</v>
      </c>
      <c r="BJ591" s="34">
        <f>BH591-BI591</f>
        <v>0</v>
      </c>
    </row>
    <row r="592" ht="15.75" customHeight="1" hidden="1" spans="1:60" x14ac:dyDescent="0.25">
      <c r="A592" s="29">
        <v>79</v>
      </c>
      <c r="B592" s="14"/>
      <c r="D592" s="14" t="s">
        <v>42</v>
      </c>
      <c r="E592" s="2" t="s">
        <v>39</v>
      </c>
      <c r="F592" s="41">
        <v>5000</v>
      </c>
      <c r="G592" s="28"/>
      <c r="I592" s="13"/>
      <c r="J592" s="15"/>
      <c r="K592" s="34">
        <v>5000</v>
      </c>
      <c r="L592" s="28"/>
      <c r="Q592" s="13"/>
      <c r="R592" s="15"/>
      <c r="S592" s="15"/>
      <c r="T592" s="28"/>
      <c r="Y592" s="13"/>
      <c r="Z592" s="15"/>
      <c r="AA592" s="15"/>
      <c r="AB592" s="28"/>
      <c r="AG592" s="13"/>
      <c r="AH592" s="15"/>
      <c r="AI592" s="15"/>
      <c r="AJ592" s="28"/>
      <c r="AK592" s="13"/>
      <c r="AL592" s="15"/>
      <c r="AM592" s="15"/>
      <c r="AN592" s="28"/>
      <c r="AO592" s="13"/>
      <c r="AP592" s="15"/>
      <c r="AQ592" s="15"/>
      <c r="AR592" s="28"/>
      <c r="AW592" s="13"/>
      <c r="AX592" s="15"/>
      <c r="AY592" s="15"/>
      <c r="AZ592" s="28"/>
      <c r="BE592" s="14"/>
      <c r="BF592" s="41">
        <f t="shared" ref="BF592:BG592" si="1560">K592+O592+S592+W592+AA592+AE592+AI592+AM592+AQ592+AU592+AY592+BC592</f>
        <v>5000</v>
      </c>
      <c r="BG592" s="34">
        <f t="shared" si="1560"/>
        <v>0</v>
      </c>
      <c r="BH592" s="35">
        <f t="shared" ref="BH592:BH598" si="1561">H592+BF592-BG592</f>
        <v>5000</v>
      </c>
    </row>
    <row r="593" ht="15.75" customHeight="1" hidden="1" spans="1:60" x14ac:dyDescent="0.25">
      <c r="A593" s="2">
        <v>79</v>
      </c>
      <c r="B593" s="14">
        <v>4.24</v>
      </c>
      <c r="C593" s="2" t="s">
        <v>275</v>
      </c>
      <c r="D593" s="14" t="s">
        <v>44</v>
      </c>
      <c r="E593" s="2" t="s">
        <v>45</v>
      </c>
      <c r="F593" s="13">
        <v>2.49</v>
      </c>
      <c r="G593" s="28"/>
      <c r="H593" s="74"/>
      <c r="I593" s="13"/>
      <c r="J593" s="15"/>
      <c r="K593" s="15"/>
      <c r="L593" s="28"/>
      <c r="Q593" s="13"/>
      <c r="R593" s="15"/>
      <c r="S593" s="15"/>
      <c r="T593" s="28"/>
      <c r="Y593" s="13"/>
      <c r="Z593" s="15">
        <f>Y593-U593</f>
        <v>0</v>
      </c>
      <c r="AA593" s="34">
        <f>Z593*$F$8</f>
        <v>0</v>
      </c>
      <c r="AB593" s="28"/>
      <c r="AC593" s="15"/>
      <c r="AD593" s="15">
        <f>AC593-Y593</f>
        <v>0</v>
      </c>
      <c r="AE593" s="34">
        <f>AD593*$F$8</f>
        <v>0</v>
      </c>
      <c r="AG593" s="13"/>
      <c r="AH593" s="15">
        <f t="shared" ref="AH593:AH594" si="1562">AG593-AC593</f>
        <v>0</v>
      </c>
      <c r="AI593" s="34">
        <f>AH593*$F$8</f>
        <v>0</v>
      </c>
      <c r="AJ593" s="28"/>
      <c r="AK593" s="94">
        <v>5</v>
      </c>
      <c r="AL593" s="15">
        <f t="shared" ref="AL593:AL594" si="1563">AK593-AG593</f>
        <v>5</v>
      </c>
      <c r="AM593" s="34">
        <f>AL593*$F$8</f>
        <v>12.45</v>
      </c>
      <c r="AN593" s="28"/>
      <c r="AO593" s="94">
        <v>5</v>
      </c>
      <c r="AP593" s="15">
        <f>AO593-AK593</f>
        <v>0</v>
      </c>
      <c r="AQ593" s="34">
        <f>AP593*$F$8</f>
        <v>0</v>
      </c>
      <c r="AR593" s="28"/>
      <c r="AS593" s="94">
        <v>5</v>
      </c>
      <c r="AT593" s="15">
        <f>AS593-AO593</f>
        <v>0</v>
      </c>
      <c r="AU593" s="34">
        <f>AT593*$F$8</f>
        <v>0</v>
      </c>
      <c r="AV593" s="15"/>
      <c r="AW593" s="94">
        <v>5</v>
      </c>
      <c r="AX593" s="15">
        <f>AW593-AS593</f>
        <v>0</v>
      </c>
      <c r="AY593" s="34">
        <f>AX593*$F$8</f>
        <v>0</v>
      </c>
      <c r="AZ593" s="28"/>
      <c r="BA593" s="94">
        <v>5</v>
      </c>
      <c r="BB593" s="15">
        <f>BA593-AW593</f>
        <v>0</v>
      </c>
      <c r="BC593" s="34">
        <f>BB593*$F$8</f>
        <v>0</v>
      </c>
      <c r="BD593" s="15"/>
      <c r="BE593" s="40">
        <f t="shared" ref="BE593:BG593" si="1564">J593+N593+R593+V593+Z593+AD593+AH593+AL593+AP593+AT593+AX593+BB593</f>
        <v>5</v>
      </c>
      <c r="BF593" s="41">
        <f t="shared" si="1564"/>
        <v>12.45</v>
      </c>
      <c r="BG593" s="34">
        <f t="shared" si="1564"/>
        <v>0</v>
      </c>
      <c r="BH593" s="35">
        <f t="shared" si="1561"/>
        <v>12.45</v>
      </c>
    </row>
    <row r="594" ht="15.75" customHeight="1" hidden="1" spans="1:60" x14ac:dyDescent="0.25">
      <c r="A594" s="29">
        <v>79</v>
      </c>
      <c r="B594" s="14"/>
      <c r="C594" s="2" t="s">
        <v>193</v>
      </c>
      <c r="D594" s="14" t="s">
        <v>47</v>
      </c>
      <c r="E594" s="2" t="s">
        <v>48</v>
      </c>
      <c r="F594" s="13">
        <v>17.16</v>
      </c>
      <c r="G594" s="28"/>
      <c r="I594" s="13"/>
      <c r="J594" s="15"/>
      <c r="K594" s="15"/>
      <c r="L594" s="28"/>
      <c r="Q594" s="13"/>
      <c r="R594" s="15"/>
      <c r="S594" s="15"/>
      <c r="T594" s="28"/>
      <c r="Y594" s="13"/>
      <c r="Z594" s="15"/>
      <c r="AA594" s="15"/>
      <c r="AB594" s="28"/>
      <c r="AC594" s="15"/>
      <c r="AE594" s="34">
        <f>AD594*$F$10</f>
        <v>0</v>
      </c>
      <c r="AG594" s="13"/>
      <c r="AH594" s="15">
        <f t="shared" si="1562"/>
        <v>0</v>
      </c>
      <c r="AI594" s="45">
        <f>AH594*$G$10</f>
        <v>0</v>
      </c>
      <c r="AJ594" s="28"/>
      <c r="AK594" s="13"/>
      <c r="AL594" s="15">
        <f t="shared" si="1563"/>
        <v>0</v>
      </c>
      <c r="AM594" s="45">
        <f>AL594*$G$10</f>
        <v>0</v>
      </c>
      <c r="AN594" s="28"/>
      <c r="AO594" s="13"/>
      <c r="AP594" s="15"/>
      <c r="AQ594" s="45">
        <f>AP594*$G$10</f>
        <v>0</v>
      </c>
      <c r="AR594" s="28"/>
      <c r="AS594" s="15"/>
      <c r="AT594" s="15"/>
      <c r="AU594" s="15"/>
      <c r="AV594" s="15"/>
      <c r="AW594" s="13"/>
      <c r="AX594" s="15"/>
      <c r="AY594" s="15"/>
      <c r="AZ594" s="28"/>
      <c r="BA594" s="15"/>
      <c r="BB594" s="15"/>
      <c r="BC594" s="15"/>
      <c r="BD594" s="15"/>
      <c r="BE594" s="40">
        <f t="shared" ref="BE594:BG594" si="1565">J594+N594+R594+V594+Z594+AD594+AH594+AL594+AP594+AT594+AX594+BB594</f>
        <v>0</v>
      </c>
      <c r="BF594" s="41">
        <f t="shared" si="1565"/>
        <v>0</v>
      </c>
      <c r="BG594" s="34">
        <f t="shared" si="1565"/>
        <v>0</v>
      </c>
      <c r="BH594" s="35">
        <f t="shared" si="1561"/>
        <v>0</v>
      </c>
    </row>
    <row r="595" ht="15.75" customHeight="1" hidden="1" spans="1:60" x14ac:dyDescent="0.25">
      <c r="A595" s="29">
        <v>79</v>
      </c>
      <c r="B595" s="14"/>
      <c r="C595" s="73" t="s">
        <v>276</v>
      </c>
      <c r="D595" s="14" t="s">
        <v>47</v>
      </c>
      <c r="E595" s="2" t="s">
        <v>49</v>
      </c>
      <c r="F595" s="41">
        <v>300</v>
      </c>
      <c r="G595" s="28"/>
      <c r="H595" s="83"/>
      <c r="I595" s="13"/>
      <c r="J595" s="15"/>
      <c r="K595" s="15"/>
      <c r="L595" s="28"/>
      <c r="Q595" s="13"/>
      <c r="R595" s="15"/>
      <c r="S595" s="15"/>
      <c r="T595" s="28"/>
      <c r="Y595" s="13"/>
      <c r="Z595" s="15"/>
      <c r="AA595" s="34"/>
      <c r="AB595" s="28"/>
      <c r="AC595" s="15"/>
      <c r="AG595" s="13"/>
      <c r="AH595" s="15"/>
      <c r="AI595" s="15"/>
      <c r="AJ595" s="28"/>
      <c r="AK595" s="13"/>
      <c r="AL595" s="15"/>
      <c r="AM595" s="34"/>
      <c r="AN595" s="28"/>
      <c r="AO595" s="13"/>
      <c r="AP595" s="15"/>
      <c r="AQ595" s="34"/>
      <c r="AR595" s="28"/>
      <c r="AS595" s="15"/>
      <c r="AT595" s="15"/>
      <c r="AU595" s="15"/>
      <c r="AV595" s="15"/>
      <c r="AW595" s="13"/>
      <c r="AX595" s="15"/>
      <c r="AY595" s="15"/>
      <c r="AZ595" s="28"/>
      <c r="BA595" s="15"/>
      <c r="BB595" s="15"/>
      <c r="BC595" s="15"/>
      <c r="BD595" s="15"/>
      <c r="BE595" s="14"/>
      <c r="BF595" s="41">
        <f t="shared" ref="BF595:BG595" si="1566">K595+O595+S595+W595+AA595+AE595+AI595+AM595+AQ595+AU595+AY595+BC595</f>
        <v>0</v>
      </c>
      <c r="BG595" s="34">
        <f t="shared" si="1566"/>
        <v>0</v>
      </c>
      <c r="BH595" s="35">
        <f t="shared" si="1561"/>
        <v>0</v>
      </c>
    </row>
    <row r="596" ht="15.75" customHeight="1" hidden="1" spans="1:60" x14ac:dyDescent="0.25">
      <c r="A596" s="29">
        <v>79</v>
      </c>
      <c r="B596" s="14"/>
      <c r="C596" s="73" t="s">
        <v>277</v>
      </c>
      <c r="D596" s="14" t="s">
        <v>50</v>
      </c>
      <c r="E596" s="2" t="s">
        <v>49</v>
      </c>
      <c r="F596" s="41">
        <v>1062.88</v>
      </c>
      <c r="G596" s="28"/>
      <c r="I596" s="13"/>
      <c r="J596" s="15"/>
      <c r="K596" s="15"/>
      <c r="L596" s="28"/>
      <c r="Q596" s="13"/>
      <c r="R596" s="15"/>
      <c r="S596" s="15"/>
      <c r="T596" s="28"/>
      <c r="Y596" s="13"/>
      <c r="Z596" s="15"/>
      <c r="AA596" s="15"/>
      <c r="AB596" s="28"/>
      <c r="AE596" s="34">
        <f>B593*$F$12</f>
        <v>4506.6112</v>
      </c>
      <c r="AF596" s="34">
        <v>2150</v>
      </c>
      <c r="AG596" s="13"/>
      <c r="AH596" s="15"/>
      <c r="AI596" s="15"/>
      <c r="AJ596" s="35"/>
      <c r="AK596" s="13"/>
      <c r="AL596" s="15"/>
      <c r="AM596" s="15"/>
      <c r="AN596" s="28"/>
      <c r="AO596" s="13"/>
      <c r="AP596" s="15"/>
      <c r="AQ596" s="15"/>
      <c r="AR596" s="28"/>
      <c r="AS596" s="15"/>
      <c r="AT596" s="15"/>
      <c r="AU596" s="15"/>
      <c r="AV596" s="15"/>
      <c r="AW596" s="13"/>
      <c r="AX596" s="15"/>
      <c r="AY596" s="15"/>
      <c r="AZ596" s="28"/>
      <c r="BA596" s="15"/>
      <c r="BB596" s="15"/>
      <c r="BC596" s="15"/>
      <c r="BD596" s="15"/>
      <c r="BE596" s="14"/>
      <c r="BF596" s="41">
        <f>B593*$F$12</f>
        <v>4506.6112</v>
      </c>
      <c r="BG596" s="34">
        <f t="shared" ref="BG596:BG598" si="1567">L596+P596+T596+X596+AB596+AF596+AJ596+AN596+AR596+AV596+AZ596+BD596</f>
        <v>2150</v>
      </c>
      <c r="BH596" s="35">
        <f t="shared" si="1561"/>
        <v>2356.6112</v>
      </c>
    </row>
    <row r="597" ht="15.75" customHeight="1" hidden="1" spans="1:60" x14ac:dyDescent="0.25">
      <c r="A597" s="29">
        <v>79</v>
      </c>
      <c r="B597" s="14"/>
      <c r="C597" s="73"/>
      <c r="D597" s="14" t="s">
        <v>51</v>
      </c>
      <c r="E597" s="2" t="s">
        <v>49</v>
      </c>
      <c r="F597" s="41">
        <v>0</v>
      </c>
      <c r="G597" s="28"/>
      <c r="I597" s="13"/>
      <c r="J597" s="15"/>
      <c r="K597" s="15"/>
      <c r="L597" s="28"/>
      <c r="Q597" s="13"/>
      <c r="R597" s="15"/>
      <c r="S597" s="15"/>
      <c r="T597" s="28"/>
      <c r="Y597" s="13"/>
      <c r="Z597" s="15"/>
      <c r="AA597" s="15"/>
      <c r="AB597" s="28"/>
      <c r="AG597" s="13"/>
      <c r="AH597" s="15"/>
      <c r="AI597" s="15"/>
      <c r="AJ597" s="28"/>
      <c r="AK597" s="13"/>
      <c r="AL597" s="15"/>
      <c r="AM597" s="15"/>
      <c r="AN597" s="28"/>
      <c r="AO597" s="13"/>
      <c r="AP597" s="15"/>
      <c r="AQ597" s="15"/>
      <c r="AR597" s="28"/>
      <c r="AS597" s="15"/>
      <c r="AT597" s="15"/>
      <c r="AU597" s="15"/>
      <c r="AV597" s="15"/>
      <c r="AW597" s="13"/>
      <c r="AX597" s="15"/>
      <c r="AY597" s="15"/>
      <c r="AZ597" s="28"/>
      <c r="BA597" s="15"/>
      <c r="BB597" s="15"/>
      <c r="BC597" s="15"/>
      <c r="BD597" s="15"/>
      <c r="BE597" s="14"/>
      <c r="BF597" s="41">
        <f>B593*$F$13</f>
        <v>0</v>
      </c>
      <c r="BG597" s="34">
        <f t="shared" si="1567"/>
        <v>0</v>
      </c>
      <c r="BH597" s="35">
        <f t="shared" si="1561"/>
        <v>0</v>
      </c>
    </row>
    <row r="598" ht="15.75" customHeight="1" hidden="1" spans="1:60" x14ac:dyDescent="0.25">
      <c r="A598" s="29">
        <v>79</v>
      </c>
      <c r="B598" s="14"/>
      <c r="C598" s="73"/>
      <c r="D598" s="14" t="s">
        <v>52</v>
      </c>
      <c r="E598" s="2" t="s">
        <v>39</v>
      </c>
      <c r="F598" s="41">
        <v>350</v>
      </c>
      <c r="G598" s="28"/>
      <c r="I598" s="13"/>
      <c r="J598" s="15"/>
      <c r="K598" s="15"/>
      <c r="L598" s="28"/>
      <c r="Q598" s="13"/>
      <c r="R598" s="15"/>
      <c r="S598" s="15"/>
      <c r="T598" s="28"/>
      <c r="Y598" s="13"/>
      <c r="Z598" s="15"/>
      <c r="AA598" s="34">
        <f>$F$14</f>
        <v>350</v>
      </c>
      <c r="AB598" s="35">
        <v>350</v>
      </c>
      <c r="AG598" s="13"/>
      <c r="AH598" s="15"/>
      <c r="AI598" s="15"/>
      <c r="AJ598" s="28"/>
      <c r="AK598" s="13"/>
      <c r="AL598" s="15"/>
      <c r="AM598" s="15"/>
      <c r="AN598" s="28"/>
      <c r="AO598" s="13"/>
      <c r="AP598" s="15"/>
      <c r="AQ598" s="15"/>
      <c r="AR598" s="28"/>
      <c r="AS598" s="15"/>
      <c r="AT598" s="15"/>
      <c r="AU598" s="15"/>
      <c r="AV598" s="15"/>
      <c r="AW598" s="13"/>
      <c r="AX598" s="15"/>
      <c r="AY598" s="15"/>
      <c r="AZ598" s="28"/>
      <c r="BA598" s="15"/>
      <c r="BB598" s="15"/>
      <c r="BC598" s="15"/>
      <c r="BD598" s="15"/>
      <c r="BE598" s="14"/>
      <c r="BF598" s="41">
        <f>$F$14</f>
        <v>350</v>
      </c>
      <c r="BG598" s="34">
        <f t="shared" si="1567"/>
        <v>350</v>
      </c>
      <c r="BH598" s="35">
        <f t="shared" si="1561"/>
        <v>0</v>
      </c>
    </row>
    <row r="599" ht="15.75" customHeight="1" hidden="1" spans="1:62" x14ac:dyDescent="0.25">
      <c r="A599" s="50">
        <v>79</v>
      </c>
      <c r="B599" s="21"/>
      <c r="C599" s="22" t="s">
        <v>53</v>
      </c>
      <c r="D599" s="21"/>
      <c r="E599" s="22"/>
      <c r="F599" s="20"/>
      <c r="G599" s="23"/>
      <c r="H599" s="51">
        <f>SUM(H592:H598)</f>
        <v>0</v>
      </c>
      <c r="I599" s="52"/>
      <c r="J599" s="53"/>
      <c r="K599" s="51">
        <f t="shared" ref="K599:L599" si="1568">SUM(K592:K598)</f>
        <v>5000</v>
      </c>
      <c r="L599" s="68">
        <f t="shared" si="1568"/>
        <v>0</v>
      </c>
      <c r="M599" s="53"/>
      <c r="N599" s="53"/>
      <c r="O599" s="51">
        <f t="shared" ref="O599:P599" si="1569">SUM(O593:O598)</f>
        <v>0</v>
      </c>
      <c r="P599" s="51">
        <f t="shared" si="1569"/>
        <v>0</v>
      </c>
      <c r="Q599" s="52"/>
      <c r="R599" s="53"/>
      <c r="S599" s="51">
        <f t="shared" ref="S599:T599" si="1570">SUM(S593:S598)</f>
        <v>0</v>
      </c>
      <c r="T599" s="68">
        <f t="shared" si="1570"/>
        <v>0</v>
      </c>
      <c r="U599" s="53"/>
      <c r="V599" s="53"/>
      <c r="W599" s="51">
        <f t="shared" ref="W599:X599" si="1571">SUM(W593:W598)</f>
        <v>0</v>
      </c>
      <c r="X599" s="51">
        <f t="shared" si="1571"/>
        <v>0</v>
      </c>
      <c r="Y599" s="52"/>
      <c r="Z599" s="53"/>
      <c r="AA599" s="51">
        <f t="shared" ref="AA599:AB599" si="1572">SUM(AA593:AA598)</f>
        <v>350</v>
      </c>
      <c r="AB599" s="68">
        <f t="shared" si="1572"/>
        <v>350</v>
      </c>
      <c r="AC599" s="53"/>
      <c r="AD599" s="53"/>
      <c r="AE599" s="51">
        <f t="shared" ref="AE599:AF599" si="1573">SUM(AE593:AE598)</f>
        <v>4506.6112</v>
      </c>
      <c r="AF599" s="51">
        <f t="shared" si="1573"/>
        <v>2150</v>
      </c>
      <c r="AG599" s="52"/>
      <c r="AH599" s="53"/>
      <c r="AI599" s="51">
        <f t="shared" ref="AI599:AJ599" si="1574">SUM(AI593:AI598)</f>
        <v>0</v>
      </c>
      <c r="AJ599" s="68">
        <f t="shared" si="1574"/>
        <v>0</v>
      </c>
      <c r="AK599" s="52"/>
      <c r="AL599" s="53"/>
      <c r="AM599" s="51">
        <f t="shared" ref="AM599:AN599" si="1575">SUM(AM593:AM598)</f>
        <v>12.45</v>
      </c>
      <c r="AN599" s="68">
        <f t="shared" si="1575"/>
        <v>0</v>
      </c>
      <c r="AO599" s="52"/>
      <c r="AP599" s="53"/>
      <c r="AQ599" s="51">
        <f t="shared" ref="AQ599:AR599" si="1576">SUM(AQ593:AQ598)</f>
        <v>0</v>
      </c>
      <c r="AR599" s="68">
        <f t="shared" si="1576"/>
        <v>0</v>
      </c>
      <c r="AS599" s="53"/>
      <c r="AT599" s="53"/>
      <c r="AU599" s="51">
        <f t="shared" ref="AU599:AV599" si="1577">SUM(AU593:AU598)</f>
        <v>0</v>
      </c>
      <c r="AV599" s="51">
        <f t="shared" si="1577"/>
        <v>0</v>
      </c>
      <c r="AW599" s="52"/>
      <c r="AX599" s="53"/>
      <c r="AY599" s="51">
        <f t="shared" ref="AY599:AZ599" si="1578">SUM(AY593:AY598)</f>
        <v>0</v>
      </c>
      <c r="AZ599" s="68">
        <f t="shared" si="1578"/>
        <v>0</v>
      </c>
      <c r="BA599" s="53"/>
      <c r="BB599" s="53"/>
      <c r="BC599" s="51">
        <f t="shared" ref="BC599:BD599" si="1579">SUM(BC593:BC598)</f>
        <v>0</v>
      </c>
      <c r="BD599" s="51">
        <f t="shared" si="1579"/>
        <v>0</v>
      </c>
      <c r="BE599" s="69"/>
      <c r="BF599" s="70">
        <f t="shared" ref="BF599:BH599" si="1580">SUM(BF592:BF598)</f>
        <v>9869.0612</v>
      </c>
      <c r="BG599" s="71">
        <f t="shared" si="1580"/>
        <v>2500</v>
      </c>
      <c r="BH599" s="72">
        <f t="shared" si="1580"/>
        <v>7369.0612</v>
      </c>
      <c r="BI599" s="34">
        <f>H599+BF599-BG599</f>
        <v>7369.0612</v>
      </c>
      <c r="BJ599" s="34">
        <f>BH599-BI599</f>
        <v>0</v>
      </c>
    </row>
    <row r="600" ht="15.75" customHeight="1" hidden="1" spans="1:64" x14ac:dyDescent="0.25">
      <c r="A600" s="29">
        <v>81</v>
      </c>
      <c r="B600" s="14"/>
      <c r="C600" s="15"/>
      <c r="D600" s="14" t="s">
        <v>42</v>
      </c>
      <c r="E600" s="15"/>
      <c r="F600" s="13"/>
      <c r="G600" s="28"/>
      <c r="H600" s="34"/>
      <c r="I600" s="13"/>
      <c r="J600" s="15"/>
      <c r="K600" s="34"/>
      <c r="L600" s="35"/>
      <c r="M600" s="15"/>
      <c r="N600" s="15"/>
      <c r="O600" s="34"/>
      <c r="P600" s="34"/>
      <c r="Q600" s="13"/>
      <c r="R600" s="15"/>
      <c r="S600" s="34"/>
      <c r="T600" s="35"/>
      <c r="U600" s="15"/>
      <c r="V600" s="15"/>
      <c r="W600" s="34"/>
      <c r="X600" s="34"/>
      <c r="Y600" s="13"/>
      <c r="Z600" s="15"/>
      <c r="AA600" s="34"/>
      <c r="AB600" s="35"/>
      <c r="AC600" s="15"/>
      <c r="AD600" s="15"/>
      <c r="AE600" s="34"/>
      <c r="AF600" s="34"/>
      <c r="AG600" s="13"/>
      <c r="AH600" s="15"/>
      <c r="AI600" s="34"/>
      <c r="AJ600" s="35"/>
      <c r="AK600" s="13"/>
      <c r="AL600" s="15"/>
      <c r="AM600" s="34"/>
      <c r="AN600" s="35"/>
      <c r="AO600" s="13"/>
      <c r="AP600" s="15"/>
      <c r="AQ600" s="34"/>
      <c r="AR600" s="35"/>
      <c r="AS600" s="15"/>
      <c r="AT600" s="15"/>
      <c r="AU600" s="34"/>
      <c r="AV600" s="34"/>
      <c r="AW600" s="13"/>
      <c r="AX600" s="15"/>
      <c r="AY600" s="34"/>
      <c r="AZ600" s="35"/>
      <c r="BA600" s="15"/>
      <c r="BB600" s="15"/>
      <c r="BC600" s="34"/>
      <c r="BD600" s="34"/>
      <c r="BE600" s="42"/>
      <c r="BF600" s="46"/>
      <c r="BG600" s="39"/>
      <c r="BH600" s="38"/>
      <c r="BI600" s="15"/>
      <c r="BJ600" s="15"/>
      <c r="BK600" s="15"/>
      <c r="BL600" s="15"/>
    </row>
    <row r="601" ht="15.75" customHeight="1" hidden="1" spans="1:64" x14ac:dyDescent="0.25">
      <c r="A601" s="2">
        <v>81</v>
      </c>
      <c r="B601" s="42">
        <v>4.3</v>
      </c>
      <c r="C601" s="15" t="s">
        <v>278</v>
      </c>
      <c r="D601" s="14" t="s">
        <v>44</v>
      </c>
      <c r="E601" s="15" t="s">
        <v>45</v>
      </c>
      <c r="F601" s="13">
        <v>2.49</v>
      </c>
      <c r="G601" s="28"/>
      <c r="H601" s="104"/>
      <c r="I601" s="13"/>
      <c r="J601" s="15"/>
      <c r="K601" s="34"/>
      <c r="L601" s="35"/>
      <c r="M601" s="15"/>
      <c r="N601" s="15"/>
      <c r="O601" s="34"/>
      <c r="P601" s="34"/>
      <c r="Q601" s="13"/>
      <c r="R601" s="15"/>
      <c r="S601" s="34"/>
      <c r="T601" s="35"/>
      <c r="U601" s="15"/>
      <c r="V601" s="15"/>
      <c r="W601" s="34"/>
      <c r="X601" s="34"/>
      <c r="Y601" s="13"/>
      <c r="Z601" s="15">
        <f>Y601-U601</f>
        <v>0</v>
      </c>
      <c r="AA601" s="34">
        <f>Z601*$F$8</f>
        <v>0</v>
      </c>
      <c r="AB601" s="35"/>
      <c r="AC601" s="15"/>
      <c r="AD601" s="15">
        <f>AC601-Y601</f>
        <v>0</v>
      </c>
      <c r="AE601" s="34">
        <f>AD601*$F$8</f>
        <v>0</v>
      </c>
      <c r="AF601" s="34"/>
      <c r="AG601" s="13"/>
      <c r="AH601" s="15">
        <f>AG601-AC601</f>
        <v>0</v>
      </c>
      <c r="AI601" s="34">
        <f>AH601*$F$8</f>
        <v>0</v>
      </c>
      <c r="AJ601" s="28"/>
      <c r="AK601" s="13"/>
      <c r="AL601" s="15">
        <f t="shared" ref="AL601:AL602" si="1581">AK601-AG601</f>
        <v>0</v>
      </c>
      <c r="AM601" s="34">
        <f>AL601*$F$8</f>
        <v>0</v>
      </c>
      <c r="AN601" s="28"/>
      <c r="AO601" s="13"/>
      <c r="AP601" s="15"/>
      <c r="AQ601" s="34">
        <f>AP601*$F$8</f>
        <v>0</v>
      </c>
      <c r="AR601" s="28"/>
      <c r="AS601" s="15"/>
      <c r="AT601" s="15"/>
      <c r="AU601" s="34">
        <f>AT601*$F$8</f>
        <v>0</v>
      </c>
      <c r="AV601" s="15"/>
      <c r="AW601" s="13"/>
      <c r="AX601" s="15"/>
      <c r="AY601" s="34">
        <f>AX601*$F$8</f>
        <v>0</v>
      </c>
      <c r="AZ601" s="28"/>
      <c r="BA601" s="15"/>
      <c r="BB601" s="15"/>
      <c r="BC601" s="34">
        <f>BB601*$F$8</f>
        <v>0</v>
      </c>
      <c r="BD601" s="15"/>
      <c r="BE601" s="40">
        <f t="shared" ref="BE601:BG601" si="1582">J601+N601+R601+V601+Z601+AD601+AH601+AL601+AP601+AT601+AX601+BB601</f>
        <v>0</v>
      </c>
      <c r="BF601" s="41">
        <f t="shared" si="1582"/>
        <v>0</v>
      </c>
      <c r="BG601" s="34">
        <f t="shared" si="1582"/>
        <v>0</v>
      </c>
      <c r="BH601" s="35">
        <f t="shared" ref="BH601:BH606" si="1583">H601+BF601-BG601</f>
        <v>0</v>
      </c>
      <c r="BI601" s="15"/>
      <c r="BJ601" s="15"/>
      <c r="BK601" s="15"/>
      <c r="BL601" s="15"/>
    </row>
    <row r="602" ht="15.75" customHeight="1" hidden="1" spans="1:64" x14ac:dyDescent="0.25">
      <c r="A602" s="29">
        <v>81</v>
      </c>
      <c r="B602" s="14"/>
      <c r="C602" s="15" t="s">
        <v>67</v>
      </c>
      <c r="D602" s="14" t="s">
        <v>47</v>
      </c>
      <c r="E602" s="15" t="s">
        <v>48</v>
      </c>
      <c r="F602" s="13">
        <v>17.16</v>
      </c>
      <c r="G602" s="28"/>
      <c r="H602" s="34"/>
      <c r="I602" s="13"/>
      <c r="J602" s="15"/>
      <c r="K602" s="34"/>
      <c r="L602" s="35"/>
      <c r="M602" s="15"/>
      <c r="N602" s="15"/>
      <c r="O602" s="34"/>
      <c r="P602" s="34"/>
      <c r="Q602" s="13"/>
      <c r="R602" s="15"/>
      <c r="S602" s="34"/>
      <c r="T602" s="35"/>
      <c r="U602" s="15"/>
      <c r="V602" s="15"/>
      <c r="W602" s="34"/>
      <c r="X602" s="34"/>
      <c r="Y602" s="13">
        <v>12</v>
      </c>
      <c r="Z602" s="15"/>
      <c r="AA602" s="34"/>
      <c r="AB602" s="35"/>
      <c r="AC602" s="103">
        <v>16</v>
      </c>
      <c r="AD602" s="15"/>
      <c r="AE602" s="34">
        <f>AD602*$F$10</f>
        <v>0</v>
      </c>
      <c r="AF602" s="34"/>
      <c r="AG602" s="13">
        <v>13</v>
      </c>
      <c r="AH602" s="15">
        <v>9</v>
      </c>
      <c r="AI602" s="45">
        <f>AH602*$G$10</f>
        <v>159.12</v>
      </c>
      <c r="AJ602" s="32">
        <v>159.12</v>
      </c>
      <c r="AK602" s="13">
        <v>17</v>
      </c>
      <c r="AL602" s="15">
        <f t="shared" si="1581"/>
        <v>4</v>
      </c>
      <c r="AM602" s="45">
        <f>AL602*$G$10</f>
        <v>70.72</v>
      </c>
      <c r="AN602" s="38">
        <v>100</v>
      </c>
      <c r="AO602" s="13">
        <v>22</v>
      </c>
      <c r="AP602" s="15">
        <f>AO602-AK602</f>
        <v>5</v>
      </c>
      <c r="AQ602" s="45">
        <f>AP602*$G$10</f>
        <v>88.4</v>
      </c>
      <c r="AR602" s="38">
        <v>59.12</v>
      </c>
      <c r="AS602" s="15"/>
      <c r="AT602" s="15"/>
      <c r="AU602" s="15"/>
      <c r="AV602" s="15"/>
      <c r="AW602" s="13"/>
      <c r="AX602" s="15"/>
      <c r="AY602" s="15"/>
      <c r="AZ602" s="28"/>
      <c r="BA602" s="15"/>
      <c r="BB602" s="15"/>
      <c r="BC602" s="15"/>
      <c r="BD602" s="15"/>
      <c r="BE602" s="40">
        <f t="shared" ref="BE602:BG602" si="1584">J602+N602+R602+V602+Z602+AD602+AH602+AL602+AP602+AT602+AX602+BB602</f>
        <v>18</v>
      </c>
      <c r="BF602" s="41">
        <f t="shared" si="1584"/>
        <v>318.24</v>
      </c>
      <c r="BG602" s="34">
        <f t="shared" si="1584"/>
        <v>318.24</v>
      </c>
      <c r="BH602" s="35">
        <f t="shared" si="1583"/>
        <v>0</v>
      </c>
      <c r="BI602" s="15"/>
      <c r="BJ602" s="15"/>
      <c r="BK602" s="15"/>
      <c r="BL602" s="15"/>
    </row>
    <row r="603" ht="15.75" customHeight="1" hidden="1" spans="1:64" x14ac:dyDescent="0.25">
      <c r="A603" s="29">
        <v>81</v>
      </c>
      <c r="B603" s="14"/>
      <c r="C603" s="15" t="s">
        <v>279</v>
      </c>
      <c r="D603" s="14" t="s">
        <v>47</v>
      </c>
      <c r="E603" s="15" t="s">
        <v>49</v>
      </c>
      <c r="F603" s="41">
        <v>300</v>
      </c>
      <c r="G603" s="28"/>
      <c r="H603" s="34"/>
      <c r="I603" s="13"/>
      <c r="J603" s="15"/>
      <c r="K603" s="34"/>
      <c r="L603" s="35"/>
      <c r="M603" s="15"/>
      <c r="N603" s="15"/>
      <c r="O603" s="34"/>
      <c r="P603" s="34"/>
      <c r="Q603" s="13"/>
      <c r="R603" s="15"/>
      <c r="S603" s="34"/>
      <c r="T603" s="35"/>
      <c r="U603" s="15"/>
      <c r="V603" s="15"/>
      <c r="W603" s="34"/>
      <c r="X603" s="34"/>
      <c r="Y603" s="13"/>
      <c r="Z603" s="15"/>
      <c r="AA603" s="34"/>
      <c r="AB603" s="35"/>
      <c r="AC603" s="15"/>
      <c r="AD603" s="15"/>
      <c r="AE603" s="34"/>
      <c r="AF603" s="34"/>
      <c r="AG603" s="13"/>
      <c r="AH603" s="15"/>
      <c r="AI603" s="15"/>
      <c r="AJ603" s="28"/>
      <c r="AK603" s="13"/>
      <c r="AL603" s="15"/>
      <c r="AM603" s="34"/>
      <c r="AN603" s="28"/>
      <c r="AO603" s="13"/>
      <c r="AP603" s="15"/>
      <c r="AQ603" s="34"/>
      <c r="AR603" s="28"/>
      <c r="AS603" s="15"/>
      <c r="AT603" s="15"/>
      <c r="AU603" s="15"/>
      <c r="AV603" s="15"/>
      <c r="AW603" s="13"/>
      <c r="AX603" s="15"/>
      <c r="AY603" s="15"/>
      <c r="AZ603" s="28"/>
      <c r="BA603" s="15"/>
      <c r="BB603" s="15"/>
      <c r="BC603" s="15"/>
      <c r="BD603" s="15"/>
      <c r="BE603" s="14"/>
      <c r="BF603" s="41">
        <f t="shared" ref="BF603:BG603" si="1585">K603+O603+S603+W603+AA603+AE603+AI603+AM603+AQ603+AU603+AY603+BC603</f>
        <v>0</v>
      </c>
      <c r="BG603" s="34">
        <f t="shared" si="1585"/>
        <v>0</v>
      </c>
      <c r="BH603" s="35">
        <f t="shared" si="1583"/>
        <v>0</v>
      </c>
      <c r="BI603" s="15"/>
      <c r="BJ603" s="15"/>
      <c r="BK603" s="15"/>
      <c r="BL603" s="15"/>
    </row>
    <row r="604" ht="15.75" customHeight="1" hidden="1" spans="1:64" x14ac:dyDescent="0.25">
      <c r="A604" s="29">
        <v>81</v>
      </c>
      <c r="B604" s="14"/>
      <c r="C604" s="15"/>
      <c r="D604" s="14" t="s">
        <v>50</v>
      </c>
      <c r="E604" s="15" t="s">
        <v>49</v>
      </c>
      <c r="F604" s="41">
        <v>1062.88</v>
      </c>
      <c r="G604" s="28"/>
      <c r="H604" s="34"/>
      <c r="I604" s="13"/>
      <c r="J604" s="15"/>
      <c r="K604" s="34"/>
      <c r="L604" s="35"/>
      <c r="M604" s="15"/>
      <c r="N604" s="15"/>
      <c r="O604" s="34"/>
      <c r="P604" s="34"/>
      <c r="Q604" s="13"/>
      <c r="R604" s="15"/>
      <c r="S604" s="34"/>
      <c r="T604" s="35"/>
      <c r="U604" s="15"/>
      <c r="V604" s="15"/>
      <c r="W604" s="34"/>
      <c r="X604" s="34"/>
      <c r="Y604" s="13"/>
      <c r="Z604" s="15"/>
      <c r="AA604" s="34"/>
      <c r="AB604" s="35"/>
      <c r="AC604" s="15"/>
      <c r="AD604" s="15"/>
      <c r="AE604" s="34">
        <f>B601*$F$12</f>
        <v>4570.384</v>
      </c>
      <c r="AF604" s="34"/>
      <c r="AG604" s="13"/>
      <c r="AH604" s="15"/>
      <c r="AI604" s="15"/>
      <c r="AJ604" s="38">
        <v>4570.38</v>
      </c>
      <c r="AK604" s="13"/>
      <c r="AL604" s="15"/>
      <c r="AM604" s="15"/>
      <c r="AN604" s="28"/>
      <c r="AO604" s="13"/>
      <c r="AP604" s="15"/>
      <c r="AQ604" s="15"/>
      <c r="AR604" s="28"/>
      <c r="AS604" s="15"/>
      <c r="AT604" s="15"/>
      <c r="AU604" s="15"/>
      <c r="AV604" s="15"/>
      <c r="AW604" s="13"/>
      <c r="AX604" s="15"/>
      <c r="AY604" s="15"/>
      <c r="AZ604" s="28"/>
      <c r="BA604" s="15"/>
      <c r="BB604" s="15"/>
      <c r="BC604" s="15"/>
      <c r="BD604" s="15"/>
      <c r="BE604" s="14"/>
      <c r="BF604" s="41">
        <f>B601*$F$12</f>
        <v>4570.384</v>
      </c>
      <c r="BG604" s="34">
        <f t="shared" ref="BG604:BG606" si="1586">L604+P604+T604+X604+AB604+AF604+AJ604+AN604+AR604+AV604+AZ604+BD604</f>
        <v>4570.38</v>
      </c>
      <c r="BH604" s="35">
        <f t="shared" si="1583"/>
        <v>0.004</v>
      </c>
      <c r="BI604" s="15"/>
      <c r="BJ604" s="15"/>
      <c r="BK604" s="15"/>
      <c r="BL604" s="15"/>
    </row>
    <row r="605" ht="15.75" customHeight="1" hidden="1" spans="1:64" x14ac:dyDescent="0.25">
      <c r="A605" s="29">
        <v>81</v>
      </c>
      <c r="B605" s="14"/>
      <c r="C605" s="15"/>
      <c r="D605" s="14" t="s">
        <v>51</v>
      </c>
      <c r="E605" s="15" t="s">
        <v>49</v>
      </c>
      <c r="F605" s="41">
        <v>0</v>
      </c>
      <c r="G605" s="28"/>
      <c r="H605" s="34"/>
      <c r="I605" s="13"/>
      <c r="J605" s="15"/>
      <c r="K605" s="34"/>
      <c r="L605" s="35"/>
      <c r="M605" s="15"/>
      <c r="N605" s="15"/>
      <c r="O605" s="34"/>
      <c r="P605" s="34"/>
      <c r="Q605" s="13"/>
      <c r="R605" s="15"/>
      <c r="S605" s="34"/>
      <c r="T605" s="35"/>
      <c r="U605" s="15"/>
      <c r="V605" s="15"/>
      <c r="W605" s="34"/>
      <c r="X605" s="34"/>
      <c r="Y605" s="13"/>
      <c r="Z605" s="15"/>
      <c r="AA605" s="34"/>
      <c r="AB605" s="35"/>
      <c r="AC605" s="15"/>
      <c r="AD605" s="15"/>
      <c r="AE605" s="34"/>
      <c r="AF605" s="34"/>
      <c r="AG605" s="13"/>
      <c r="AH605" s="15"/>
      <c r="AI605" s="15"/>
      <c r="AJ605" s="28"/>
      <c r="AK605" s="13"/>
      <c r="AL605" s="15"/>
      <c r="AM605" s="15"/>
      <c r="AN605" s="28"/>
      <c r="AO605" s="13"/>
      <c r="AP605" s="15"/>
      <c r="AQ605" s="15"/>
      <c r="AR605" s="28"/>
      <c r="AS605" s="15"/>
      <c r="AT605" s="15"/>
      <c r="AU605" s="15"/>
      <c r="AV605" s="15"/>
      <c r="AW605" s="13"/>
      <c r="AX605" s="15"/>
      <c r="AY605" s="15"/>
      <c r="AZ605" s="28"/>
      <c r="BA605" s="15"/>
      <c r="BB605" s="15"/>
      <c r="BC605" s="15"/>
      <c r="BD605" s="15"/>
      <c r="BE605" s="14"/>
      <c r="BF605" s="41">
        <f>B601*$F$13</f>
        <v>0</v>
      </c>
      <c r="BG605" s="34">
        <f t="shared" si="1586"/>
        <v>0</v>
      </c>
      <c r="BH605" s="35">
        <f t="shared" si="1583"/>
        <v>0</v>
      </c>
      <c r="BI605" s="15"/>
      <c r="BJ605" s="15"/>
      <c r="BK605" s="15"/>
      <c r="BL605" s="15"/>
    </row>
    <row r="606" ht="15.75" customHeight="1" hidden="1" spans="1:64" x14ac:dyDescent="0.25">
      <c r="A606" s="29">
        <v>81</v>
      </c>
      <c r="B606" s="14"/>
      <c r="C606" s="15"/>
      <c r="D606" s="14" t="s">
        <v>52</v>
      </c>
      <c r="E606" s="15" t="s">
        <v>39</v>
      </c>
      <c r="F606" s="41">
        <v>350</v>
      </c>
      <c r="G606" s="28"/>
      <c r="H606" s="84">
        <v>-350</v>
      </c>
      <c r="I606" s="13"/>
      <c r="J606" s="15"/>
      <c r="K606" s="34"/>
      <c r="L606" s="35"/>
      <c r="M606" s="15"/>
      <c r="N606" s="15"/>
      <c r="O606" s="34"/>
      <c r="P606" s="34"/>
      <c r="Q606" s="13"/>
      <c r="R606" s="15"/>
      <c r="S606" s="34"/>
      <c r="T606" s="35"/>
      <c r="U606" s="15"/>
      <c r="V606" s="15"/>
      <c r="W606" s="34"/>
      <c r="X606" s="34"/>
      <c r="Y606" s="13"/>
      <c r="Z606" s="15"/>
      <c r="AA606" s="34">
        <f>$F$14</f>
        <v>350</v>
      </c>
      <c r="AB606" s="35"/>
      <c r="AC606" s="15"/>
      <c r="AD606" s="15"/>
      <c r="AE606" s="34"/>
      <c r="AF606" s="34"/>
      <c r="AG606" s="13"/>
      <c r="AH606" s="15"/>
      <c r="AI606" s="15"/>
      <c r="AJ606" s="28"/>
      <c r="AK606" s="13"/>
      <c r="AL606" s="15"/>
      <c r="AM606" s="15"/>
      <c r="AN606" s="28"/>
      <c r="AO606" s="13"/>
      <c r="AP606" s="15"/>
      <c r="AQ606" s="15"/>
      <c r="AR606" s="28"/>
      <c r="AS606" s="15"/>
      <c r="AT606" s="15"/>
      <c r="AU606" s="15"/>
      <c r="AV606" s="15"/>
      <c r="AW606" s="13"/>
      <c r="AX606" s="15"/>
      <c r="AY606" s="15"/>
      <c r="AZ606" s="28"/>
      <c r="BA606" s="15"/>
      <c r="BB606" s="15"/>
      <c r="BC606" s="15"/>
      <c r="BD606" s="15"/>
      <c r="BE606" s="14"/>
      <c r="BF606" s="41">
        <f>$F$14</f>
        <v>350</v>
      </c>
      <c r="BG606" s="34">
        <f t="shared" si="1586"/>
        <v>0</v>
      </c>
      <c r="BH606" s="35">
        <f t="shared" si="1583"/>
        <v>0</v>
      </c>
      <c r="BI606" s="15"/>
      <c r="BJ606" s="15"/>
      <c r="BK606" s="15"/>
      <c r="BL606" s="15"/>
    </row>
    <row r="607" ht="15.75" customHeight="1" hidden="1" spans="1:62" x14ac:dyDescent="0.25">
      <c r="A607" s="50">
        <v>81</v>
      </c>
      <c r="B607" s="21"/>
      <c r="C607" s="22" t="s">
        <v>53</v>
      </c>
      <c r="D607" s="21"/>
      <c r="E607" s="22"/>
      <c r="F607" s="20"/>
      <c r="G607" s="23"/>
      <c r="H607" s="51">
        <f>SUM(H600:H606)</f>
        <v>-350</v>
      </c>
      <c r="I607" s="52"/>
      <c r="J607" s="53"/>
      <c r="K607" s="51">
        <f t="shared" ref="K607:L607" si="1587">SUM(K600:K606)</f>
        <v>0</v>
      </c>
      <c r="L607" s="68">
        <f t="shared" si="1587"/>
        <v>0</v>
      </c>
      <c r="M607" s="53"/>
      <c r="N607" s="53"/>
      <c r="O607" s="51">
        <f t="shared" ref="O607:P607" si="1588">SUM(O601:O606)</f>
        <v>0</v>
      </c>
      <c r="P607" s="51">
        <f t="shared" si="1588"/>
        <v>0</v>
      </c>
      <c r="Q607" s="52"/>
      <c r="R607" s="53"/>
      <c r="S607" s="51">
        <f t="shared" ref="S607:T607" si="1589">SUM(S601:S606)</f>
        <v>0</v>
      </c>
      <c r="T607" s="68">
        <f t="shared" si="1589"/>
        <v>0</v>
      </c>
      <c r="U607" s="53"/>
      <c r="V607" s="53"/>
      <c r="W607" s="51">
        <f t="shared" ref="W607:X607" si="1590">SUM(W601:W606)</f>
        <v>0</v>
      </c>
      <c r="X607" s="51">
        <f t="shared" si="1590"/>
        <v>0</v>
      </c>
      <c r="Y607" s="52"/>
      <c r="Z607" s="53"/>
      <c r="AA607" s="51">
        <f t="shared" ref="AA607:AB607" si="1591">SUM(AA601:AA606)</f>
        <v>350</v>
      </c>
      <c r="AB607" s="68">
        <f t="shared" si="1591"/>
        <v>0</v>
      </c>
      <c r="AC607" s="53"/>
      <c r="AD607" s="53"/>
      <c r="AE607" s="51">
        <f t="shared" ref="AE607:AF607" si="1592">SUM(AE601:AE606)</f>
        <v>4570.384</v>
      </c>
      <c r="AF607" s="51">
        <f t="shared" si="1592"/>
        <v>0</v>
      </c>
      <c r="AG607" s="52"/>
      <c r="AH607" s="53"/>
      <c r="AI607" s="51">
        <f t="shared" ref="AI607:AJ607" si="1593">SUM(AI601:AI606)</f>
        <v>159.12</v>
      </c>
      <c r="AJ607" s="68">
        <f t="shared" si="1593"/>
        <v>4729.5</v>
      </c>
      <c r="AK607" s="52"/>
      <c r="AL607" s="53"/>
      <c r="AM607" s="51">
        <f t="shared" ref="AM607:AN607" si="1594">SUM(AM601:AM606)</f>
        <v>70.72</v>
      </c>
      <c r="AN607" s="68">
        <f t="shared" si="1594"/>
        <v>100</v>
      </c>
      <c r="AO607" s="52"/>
      <c r="AP607" s="53"/>
      <c r="AQ607" s="51">
        <f t="shared" ref="AQ607:AR607" si="1595">SUM(AQ601:AQ606)</f>
        <v>88.4</v>
      </c>
      <c r="AR607" s="68">
        <f t="shared" si="1595"/>
        <v>59.12</v>
      </c>
      <c r="AS607" s="53"/>
      <c r="AT607" s="53"/>
      <c r="AU607" s="51">
        <f t="shared" ref="AU607:AV607" si="1596">SUM(AU601:AU606)</f>
        <v>0</v>
      </c>
      <c r="AV607" s="51">
        <f t="shared" si="1596"/>
        <v>0</v>
      </c>
      <c r="AW607" s="52"/>
      <c r="AX607" s="53"/>
      <c r="AY607" s="51">
        <f t="shared" ref="AY607:AZ607" si="1597">SUM(AY601:AY606)</f>
        <v>0</v>
      </c>
      <c r="AZ607" s="68">
        <f t="shared" si="1597"/>
        <v>0</v>
      </c>
      <c r="BA607" s="53"/>
      <c r="BB607" s="53"/>
      <c r="BC607" s="51">
        <f t="shared" ref="BC607:BD607" si="1598">SUM(BC601:BC606)</f>
        <v>0</v>
      </c>
      <c r="BD607" s="51">
        <f t="shared" si="1598"/>
        <v>0</v>
      </c>
      <c r="BE607" s="69"/>
      <c r="BF607" s="70">
        <f t="shared" ref="BF607:BH607" si="1599">SUM(BF600:BF606)</f>
        <v>5238.624</v>
      </c>
      <c r="BG607" s="71">
        <f t="shared" si="1599"/>
        <v>4888.62</v>
      </c>
      <c r="BH607" s="72">
        <f t="shared" si="1599"/>
        <v>0.004</v>
      </c>
      <c r="BI607" s="34">
        <f>H607+BF607-BG607</f>
        <v>0.004</v>
      </c>
      <c r="BJ607" s="34">
        <f>BH607-BI607</f>
        <v>0</v>
      </c>
    </row>
    <row r="608" ht="15.75" customHeight="1" hidden="1" spans="1:64" x14ac:dyDescent="0.25">
      <c r="A608" s="29">
        <v>83</v>
      </c>
      <c r="B608" s="14"/>
      <c r="C608" s="15"/>
      <c r="D608" s="14" t="s">
        <v>42</v>
      </c>
      <c r="E608" s="15"/>
      <c r="F608" s="13"/>
      <c r="G608" s="28"/>
      <c r="H608" s="34"/>
      <c r="I608" s="13"/>
      <c r="J608" s="15"/>
      <c r="K608" s="34"/>
      <c r="L608" s="35"/>
      <c r="M608" s="15"/>
      <c r="N608" s="15"/>
      <c r="O608" s="34"/>
      <c r="P608" s="34"/>
      <c r="Q608" s="13"/>
      <c r="R608" s="15"/>
      <c r="S608" s="34"/>
      <c r="T608" s="35"/>
      <c r="U608" s="15"/>
      <c r="V608" s="15"/>
      <c r="W608" s="34"/>
      <c r="X608" s="34"/>
      <c r="Y608" s="13"/>
      <c r="Z608" s="15"/>
      <c r="AA608" s="34"/>
      <c r="AB608" s="35"/>
      <c r="AC608" s="15"/>
      <c r="AD608" s="15"/>
      <c r="AE608" s="34"/>
      <c r="AF608" s="34"/>
      <c r="AG608" s="13"/>
      <c r="AH608" s="15"/>
      <c r="AI608" s="34"/>
      <c r="AJ608" s="35"/>
      <c r="AK608" s="13"/>
      <c r="AL608" s="15"/>
      <c r="AM608" s="34"/>
      <c r="AN608" s="35"/>
      <c r="AO608" s="13"/>
      <c r="AP608" s="15"/>
      <c r="AQ608" s="34"/>
      <c r="AR608" s="35"/>
      <c r="AS608" s="15"/>
      <c r="AT608" s="15"/>
      <c r="AU608" s="34"/>
      <c r="AV608" s="34"/>
      <c r="AW608" s="13"/>
      <c r="AX608" s="15"/>
      <c r="AY608" s="34"/>
      <c r="AZ608" s="35"/>
      <c r="BA608" s="15"/>
      <c r="BB608" s="15"/>
      <c r="BC608" s="34"/>
      <c r="BD608" s="34"/>
      <c r="BE608" s="42"/>
      <c r="BF608" s="46"/>
      <c r="BG608" s="39"/>
      <c r="BH608" s="38"/>
      <c r="BI608" s="15"/>
      <c r="BJ608" s="15"/>
      <c r="BK608" s="15"/>
      <c r="BL608" s="15"/>
    </row>
    <row r="609" ht="15.75" customHeight="1" hidden="1" spans="1:64" x14ac:dyDescent="0.25">
      <c r="A609" s="2">
        <v>83</v>
      </c>
      <c r="B609" s="14">
        <v>4.29</v>
      </c>
      <c r="C609" s="15" t="s">
        <v>280</v>
      </c>
      <c r="D609" s="14" t="s">
        <v>44</v>
      </c>
      <c r="E609" s="15" t="s">
        <v>45</v>
      </c>
      <c r="F609" s="13">
        <v>2.49</v>
      </c>
      <c r="G609" s="28"/>
      <c r="H609" s="34">
        <v>46.89</v>
      </c>
      <c r="I609" s="13">
        <v>38</v>
      </c>
      <c r="J609" s="15">
        <v>0</v>
      </c>
      <c r="K609" s="34">
        <f>J609*$F$8</f>
        <v>0</v>
      </c>
      <c r="L609" s="35"/>
      <c r="M609" s="15">
        <v>38</v>
      </c>
      <c r="N609" s="15">
        <f>M609-I609</f>
        <v>0</v>
      </c>
      <c r="O609" s="34">
        <f>N609*$F$8</f>
        <v>0</v>
      </c>
      <c r="P609" s="34"/>
      <c r="Q609" s="13">
        <v>38</v>
      </c>
      <c r="R609" s="15">
        <f>Q609-M609</f>
        <v>0</v>
      </c>
      <c r="S609" s="34">
        <f>R609*$F$8</f>
        <v>0</v>
      </c>
      <c r="T609" s="35"/>
      <c r="U609" s="15">
        <v>38</v>
      </c>
      <c r="V609" s="15">
        <f>U609-Q609</f>
        <v>0</v>
      </c>
      <c r="W609" s="34">
        <f>V609*$F$8</f>
        <v>0</v>
      </c>
      <c r="X609" s="34"/>
      <c r="Y609" s="13">
        <v>38</v>
      </c>
      <c r="Z609" s="15">
        <f>Y609-U609</f>
        <v>0</v>
      </c>
      <c r="AA609" s="34">
        <f>Z609*$F$8</f>
        <v>0</v>
      </c>
      <c r="AB609" s="35"/>
      <c r="AC609" s="15">
        <v>44</v>
      </c>
      <c r="AD609" s="15">
        <f t="shared" ref="AD609:AD610" si="1600">AC609-Y609</f>
        <v>6</v>
      </c>
      <c r="AE609" s="34">
        <f>AD609*$F$8</f>
        <v>14.94</v>
      </c>
      <c r="AF609" s="34"/>
      <c r="AG609" s="13">
        <v>49</v>
      </c>
      <c r="AH609" s="15">
        <f t="shared" ref="AH609:AH610" si="1601">AG609-AC609</f>
        <v>5</v>
      </c>
      <c r="AI609" s="34">
        <f>AH609*$F$8</f>
        <v>12.45</v>
      </c>
      <c r="AJ609" s="28"/>
      <c r="AK609" s="13">
        <v>54</v>
      </c>
      <c r="AL609" s="15">
        <f t="shared" ref="AL609:AL610" si="1602">AK609-AG609</f>
        <v>5</v>
      </c>
      <c r="AM609" s="34">
        <f>AL609*$F$8</f>
        <v>12.45</v>
      </c>
      <c r="AN609" s="28"/>
      <c r="AO609" s="13">
        <v>55</v>
      </c>
      <c r="AP609" s="15">
        <f t="shared" ref="AP609:AP610" si="1603">AO609-AK609</f>
        <v>1</v>
      </c>
      <c r="AQ609" s="34">
        <f>AP609*$F$8</f>
        <v>2.49</v>
      </c>
      <c r="AR609" s="32">
        <v>89.22</v>
      </c>
      <c r="AS609" s="15">
        <v>61</v>
      </c>
      <c r="AT609" s="15">
        <f>AS609-AO609</f>
        <v>6</v>
      </c>
      <c r="AU609" s="34">
        <f>AT609*$F$8</f>
        <v>14.94</v>
      </c>
      <c r="AV609" s="15"/>
      <c r="AW609" s="13">
        <v>61</v>
      </c>
      <c r="AX609" s="15">
        <f>AW609-AS609</f>
        <v>0</v>
      </c>
      <c r="AY609" s="34">
        <f>AX609*$F$8</f>
        <v>0</v>
      </c>
      <c r="AZ609" s="28"/>
      <c r="BA609" s="13">
        <v>61</v>
      </c>
      <c r="BB609" s="15">
        <f>BA609-AW609</f>
        <v>0</v>
      </c>
      <c r="BC609" s="34">
        <f>BB609*$F$8</f>
        <v>0</v>
      </c>
      <c r="BD609" s="15"/>
      <c r="BE609" s="40">
        <f t="shared" ref="BE609:BG609" si="1604">J609+N609+R609+V609+Z609+AD609+AH609+AL609+AP609+AT609+AX609+BB609</f>
        <v>23</v>
      </c>
      <c r="BF609" s="41">
        <f t="shared" si="1604"/>
        <v>57.27</v>
      </c>
      <c r="BG609" s="34">
        <f t="shared" si="1604"/>
        <v>89.22</v>
      </c>
      <c r="BH609" s="35">
        <f t="shared" ref="BH609:BH614" si="1605">H609+BF609-BG609</f>
        <v>14.94</v>
      </c>
      <c r="BI609" s="15"/>
      <c r="BJ609" s="15"/>
      <c r="BK609" s="15"/>
      <c r="BL609" s="15"/>
    </row>
    <row r="610" ht="15.75" customHeight="1" hidden="1" spans="1:64" x14ac:dyDescent="0.25">
      <c r="A610" s="29">
        <v>83</v>
      </c>
      <c r="B610" s="14"/>
      <c r="C610" s="15" t="s">
        <v>61</v>
      </c>
      <c r="D610" s="14" t="s">
        <v>47</v>
      </c>
      <c r="E610" s="15" t="s">
        <v>48</v>
      </c>
      <c r="F610" s="13">
        <v>17.16</v>
      </c>
      <c r="G610" s="28"/>
      <c r="H610" s="33">
        <f>-2*17.16</f>
        <v>-34.32</v>
      </c>
      <c r="I610" s="13"/>
      <c r="J610" s="15"/>
      <c r="K610" s="34"/>
      <c r="L610" s="35"/>
      <c r="M610" s="15"/>
      <c r="N610" s="15"/>
      <c r="O610" s="34"/>
      <c r="P610" s="34"/>
      <c r="Q610" s="13"/>
      <c r="R610" s="15"/>
      <c r="S610" s="34"/>
      <c r="T610" s="35"/>
      <c r="U610" s="15"/>
      <c r="V610" s="15"/>
      <c r="W610" s="34"/>
      <c r="X610" s="34"/>
      <c r="Y610" s="13">
        <v>32</v>
      </c>
      <c r="Z610" s="15"/>
      <c r="AA610" s="34"/>
      <c r="AB610" s="35"/>
      <c r="AC610" s="15">
        <v>32</v>
      </c>
      <c r="AD610" s="15">
        <f t="shared" si="1600"/>
        <v>0</v>
      </c>
      <c r="AE610" s="34">
        <f>AD610*$F$10</f>
        <v>0</v>
      </c>
      <c r="AF610" s="34"/>
      <c r="AG610" s="13">
        <v>32</v>
      </c>
      <c r="AH610" s="15">
        <f t="shared" si="1601"/>
        <v>0</v>
      </c>
      <c r="AI610" s="45">
        <f>AH610*$G$10</f>
        <v>0</v>
      </c>
      <c r="AJ610" s="28"/>
      <c r="AK610" s="13">
        <v>32</v>
      </c>
      <c r="AL610" s="15">
        <f t="shared" si="1602"/>
        <v>0</v>
      </c>
      <c r="AM610" s="45">
        <f>AL610*$G$10</f>
        <v>0</v>
      </c>
      <c r="AN610" s="28"/>
      <c r="AO610" s="13">
        <v>37</v>
      </c>
      <c r="AP610" s="15">
        <f t="shared" si="1603"/>
        <v>5</v>
      </c>
      <c r="AQ610" s="45">
        <f>AP610*$G$10</f>
        <v>88.4</v>
      </c>
      <c r="AR610" s="32">
        <v>54.08</v>
      </c>
      <c r="AS610" s="15"/>
      <c r="AT610" s="15"/>
      <c r="AU610" s="15"/>
      <c r="AV610" s="15"/>
      <c r="AW610" s="13"/>
      <c r="AX610" s="15"/>
      <c r="AY610" s="15"/>
      <c r="AZ610" s="28"/>
      <c r="BA610" s="15"/>
      <c r="BB610" s="15"/>
      <c r="BC610" s="15"/>
      <c r="BD610" s="15"/>
      <c r="BE610" s="40">
        <f t="shared" ref="BE610:BG610" si="1606">J610+N610+R610+V610+Z610+AD610+AH610+AL610+AP610+AT610+AX610+BB610</f>
        <v>5</v>
      </c>
      <c r="BF610" s="41">
        <f t="shared" si="1606"/>
        <v>88.4</v>
      </c>
      <c r="BG610" s="34">
        <f t="shared" si="1606"/>
        <v>54.08</v>
      </c>
      <c r="BH610" s="35">
        <f t="shared" si="1605"/>
        <v>0</v>
      </c>
      <c r="BI610" s="15"/>
      <c r="BJ610" s="15"/>
      <c r="BK610" s="15"/>
      <c r="BL610" s="15"/>
    </row>
    <row r="611" ht="15.75" customHeight="1" hidden="1" spans="1:64" x14ac:dyDescent="0.25">
      <c r="A611" s="29">
        <v>83</v>
      </c>
      <c r="B611" s="14"/>
      <c r="C611" s="15" t="s">
        <v>102</v>
      </c>
      <c r="D611" s="14" t="s">
        <v>47</v>
      </c>
      <c r="E611" s="15" t="s">
        <v>49</v>
      </c>
      <c r="F611" s="41">
        <v>300</v>
      </c>
      <c r="G611" s="28"/>
      <c r="H611" s="34"/>
      <c r="I611" s="13"/>
      <c r="J611" s="15"/>
      <c r="K611" s="34"/>
      <c r="L611" s="35"/>
      <c r="M611" s="15"/>
      <c r="N611" s="15"/>
      <c r="O611" s="34"/>
      <c r="P611" s="34"/>
      <c r="Q611" s="13"/>
      <c r="R611" s="15"/>
      <c r="S611" s="34"/>
      <c r="T611" s="35"/>
      <c r="U611" s="15"/>
      <c r="V611" s="15"/>
      <c r="W611" s="34"/>
      <c r="X611" s="34"/>
      <c r="Y611" s="13"/>
      <c r="Z611" s="15"/>
      <c r="AA611" s="34"/>
      <c r="AB611" s="35"/>
      <c r="AC611" s="15"/>
      <c r="AD611" s="15"/>
      <c r="AE611" s="34"/>
      <c r="AF611" s="34"/>
      <c r="AG611" s="13"/>
      <c r="AH611" s="15"/>
      <c r="AI611" s="15"/>
      <c r="AJ611" s="28"/>
      <c r="AK611" s="13"/>
      <c r="AL611" s="15"/>
      <c r="AM611" s="34"/>
      <c r="AN611" s="28"/>
      <c r="AO611" s="13"/>
      <c r="AP611" s="15"/>
      <c r="AQ611" s="34"/>
      <c r="AR611" s="28"/>
      <c r="AS611" s="15"/>
      <c r="AT611" s="15"/>
      <c r="AU611" s="15"/>
      <c r="AV611" s="15"/>
      <c r="AW611" s="13"/>
      <c r="AX611" s="15"/>
      <c r="AY611" s="15"/>
      <c r="AZ611" s="28"/>
      <c r="BA611" s="15"/>
      <c r="BB611" s="15"/>
      <c r="BC611" s="15"/>
      <c r="BD611" s="15"/>
      <c r="BE611" s="14"/>
      <c r="BF611" s="41">
        <f t="shared" ref="BF611:BG611" si="1607">K611+O611+S611+W611+AA611+AE611+AI611+AM611+AQ611+AU611+AY611+BC611</f>
        <v>0</v>
      </c>
      <c r="BG611" s="34">
        <f t="shared" si="1607"/>
        <v>0</v>
      </c>
      <c r="BH611" s="35">
        <f t="shared" si="1605"/>
        <v>0</v>
      </c>
      <c r="BI611" s="15"/>
      <c r="BJ611" s="15"/>
      <c r="BK611" s="15"/>
      <c r="BL611" s="15"/>
    </row>
    <row r="612" ht="15.75" customHeight="1" hidden="1" spans="1:64" x14ac:dyDescent="0.25">
      <c r="A612" s="29">
        <v>83</v>
      </c>
      <c r="B612" s="14"/>
      <c r="C612" s="15" t="s">
        <v>153</v>
      </c>
      <c r="D612" s="14" t="s">
        <v>50</v>
      </c>
      <c r="E612" s="15" t="s">
        <v>49</v>
      </c>
      <c r="F612" s="41">
        <v>1062.88</v>
      </c>
      <c r="G612" s="28"/>
      <c r="H612" s="34"/>
      <c r="I612" s="13"/>
      <c r="J612" s="15"/>
      <c r="K612" s="34"/>
      <c r="L612" s="35"/>
      <c r="M612" s="15"/>
      <c r="N612" s="15"/>
      <c r="O612" s="34"/>
      <c r="P612" s="34"/>
      <c r="Q612" s="13"/>
      <c r="R612" s="15"/>
      <c r="S612" s="34"/>
      <c r="T612" s="35"/>
      <c r="U612" s="15"/>
      <c r="V612" s="15"/>
      <c r="W612" s="34"/>
      <c r="X612" s="34"/>
      <c r="Y612" s="13"/>
      <c r="Z612" s="15"/>
      <c r="AA612" s="34"/>
      <c r="AB612" s="35"/>
      <c r="AC612" s="15"/>
      <c r="AD612" s="15"/>
      <c r="AE612" s="34">
        <f>B609*$F$12</f>
        <v>4559.7552</v>
      </c>
      <c r="AF612" s="34"/>
      <c r="AG612" s="13"/>
      <c r="AH612" s="15"/>
      <c r="AI612" s="15"/>
      <c r="AJ612" s="35"/>
      <c r="AK612" s="13"/>
      <c r="AL612" s="15"/>
      <c r="AM612" s="15"/>
      <c r="AN612" s="28"/>
      <c r="AO612" s="13"/>
      <c r="AP612" s="15"/>
      <c r="AQ612" s="15"/>
      <c r="AR612" s="32">
        <v>4559.76</v>
      </c>
      <c r="AS612" s="15"/>
      <c r="AT612" s="15"/>
      <c r="AU612" s="15"/>
      <c r="AV612" s="15"/>
      <c r="AW612" s="13"/>
      <c r="AX612" s="15"/>
      <c r="AY612" s="15"/>
      <c r="AZ612" s="28"/>
      <c r="BA612" s="15"/>
      <c r="BB612" s="15"/>
      <c r="BC612" s="15"/>
      <c r="BD612" s="15"/>
      <c r="BE612" s="14"/>
      <c r="BF612" s="41">
        <f>B609*$F$12</f>
        <v>4559.7552</v>
      </c>
      <c r="BG612" s="34">
        <f t="shared" ref="BG612:BG614" si="1608">L612+P612+T612+X612+AB612+AF612+AJ612+AN612+AR612+AV612+AZ612+BD612</f>
        <v>4559.76</v>
      </c>
      <c r="BH612" s="35">
        <f t="shared" si="1605"/>
        <v>-0.0048</v>
      </c>
      <c r="BI612" s="15"/>
      <c r="BJ612" s="15"/>
      <c r="BK612" s="15"/>
      <c r="BL612" s="15"/>
    </row>
    <row r="613" ht="15.75" customHeight="1" hidden="1" spans="1:64" x14ac:dyDescent="0.25">
      <c r="A613" s="29">
        <v>83</v>
      </c>
      <c r="B613" s="14"/>
      <c r="C613" s="15" t="s">
        <v>281</v>
      </c>
      <c r="D613" s="14" t="s">
        <v>51</v>
      </c>
      <c r="E613" s="15" t="s">
        <v>49</v>
      </c>
      <c r="F613" s="41">
        <v>0</v>
      </c>
      <c r="G613" s="28"/>
      <c r="H613" s="34"/>
      <c r="I613" s="13"/>
      <c r="J613" s="15"/>
      <c r="K613" s="34"/>
      <c r="L613" s="35"/>
      <c r="M613" s="15"/>
      <c r="N613" s="15"/>
      <c r="O613" s="34"/>
      <c r="P613" s="34"/>
      <c r="Q613" s="13"/>
      <c r="R613" s="15"/>
      <c r="S613" s="34"/>
      <c r="T613" s="35"/>
      <c r="U613" s="15"/>
      <c r="V613" s="15"/>
      <c r="W613" s="34"/>
      <c r="X613" s="34"/>
      <c r="Y613" s="13"/>
      <c r="Z613" s="15"/>
      <c r="AA613" s="34"/>
      <c r="AB613" s="35"/>
      <c r="AC613" s="15"/>
      <c r="AD613" s="15"/>
      <c r="AE613" s="34"/>
      <c r="AF613" s="34"/>
      <c r="AG613" s="13"/>
      <c r="AH613" s="15"/>
      <c r="AI613" s="15"/>
      <c r="AJ613" s="28"/>
      <c r="AK613" s="13"/>
      <c r="AL613" s="15"/>
      <c r="AM613" s="15"/>
      <c r="AN613" s="28"/>
      <c r="AO613" s="13"/>
      <c r="AP613" s="15"/>
      <c r="AQ613" s="15"/>
      <c r="AR613" s="28"/>
      <c r="AS613" s="15"/>
      <c r="AT613" s="15"/>
      <c r="AU613" s="15"/>
      <c r="AV613" s="15"/>
      <c r="AW613" s="13"/>
      <c r="AX613" s="15"/>
      <c r="AY613" s="15"/>
      <c r="AZ613" s="28"/>
      <c r="BA613" s="15"/>
      <c r="BB613" s="15"/>
      <c r="BC613" s="15"/>
      <c r="BD613" s="15"/>
      <c r="BE613" s="14"/>
      <c r="BF613" s="41">
        <f>B609*$F$13</f>
        <v>0</v>
      </c>
      <c r="BG613" s="34">
        <f t="shared" si="1608"/>
        <v>0</v>
      </c>
      <c r="BH613" s="35">
        <f t="shared" si="1605"/>
        <v>0</v>
      </c>
      <c r="BI613" s="15"/>
      <c r="BJ613" s="15"/>
      <c r="BK613" s="15"/>
      <c r="BL613" s="15"/>
    </row>
    <row r="614" ht="15.75" customHeight="1" hidden="1" spans="1:64" x14ac:dyDescent="0.25">
      <c r="A614" s="29">
        <v>83</v>
      </c>
      <c r="B614" s="14"/>
      <c r="C614" s="15"/>
      <c r="D614" s="14" t="s">
        <v>52</v>
      </c>
      <c r="E614" s="15" t="s">
        <v>39</v>
      </c>
      <c r="F614" s="41">
        <v>350</v>
      </c>
      <c r="G614" s="28"/>
      <c r="H614" s="34"/>
      <c r="I614" s="13"/>
      <c r="J614" s="15"/>
      <c r="K614" s="34"/>
      <c r="L614" s="35"/>
      <c r="M614" s="15"/>
      <c r="N614" s="15"/>
      <c r="O614" s="34"/>
      <c r="P614" s="34"/>
      <c r="Q614" s="13"/>
      <c r="R614" s="15"/>
      <c r="S614" s="34"/>
      <c r="T614" s="35"/>
      <c r="U614" s="15"/>
      <c r="V614" s="15"/>
      <c r="W614" s="34"/>
      <c r="X614" s="34"/>
      <c r="Y614" s="13"/>
      <c r="Z614" s="15"/>
      <c r="AA614" s="34">
        <f>$F$14</f>
        <v>350</v>
      </c>
      <c r="AB614" s="35"/>
      <c r="AC614" s="15"/>
      <c r="AD614" s="15"/>
      <c r="AE614" s="34"/>
      <c r="AF614" s="34"/>
      <c r="AG614" s="13"/>
      <c r="AH614" s="15"/>
      <c r="AI614" s="15"/>
      <c r="AJ614" s="28"/>
      <c r="AK614" s="13"/>
      <c r="AL614" s="15"/>
      <c r="AM614" s="15"/>
      <c r="AN614" s="28"/>
      <c r="AO614" s="13"/>
      <c r="AP614" s="15"/>
      <c r="AQ614" s="15"/>
      <c r="AR614" s="38">
        <v>350</v>
      </c>
      <c r="AS614" s="15"/>
      <c r="AT614" s="15"/>
      <c r="AU614" s="15"/>
      <c r="AV614" s="15"/>
      <c r="AW614" s="13"/>
      <c r="AX614" s="15"/>
      <c r="AY614" s="15"/>
      <c r="AZ614" s="28"/>
      <c r="BA614" s="15"/>
      <c r="BB614" s="15"/>
      <c r="BC614" s="15"/>
      <c r="BD614" s="15"/>
      <c r="BE614" s="14"/>
      <c r="BF614" s="41">
        <f>$F$14</f>
        <v>350</v>
      </c>
      <c r="BG614" s="34">
        <f t="shared" si="1608"/>
        <v>350</v>
      </c>
      <c r="BH614" s="35">
        <f t="shared" si="1605"/>
        <v>0</v>
      </c>
      <c r="BI614" s="15"/>
      <c r="BJ614" s="15"/>
      <c r="BK614" s="15"/>
      <c r="BL614" s="15"/>
    </row>
    <row r="615" ht="15.75" customHeight="1" hidden="1" spans="1:62" x14ac:dyDescent="0.25">
      <c r="A615" s="50">
        <v>83</v>
      </c>
      <c r="B615" s="21"/>
      <c r="C615" s="22" t="s">
        <v>53</v>
      </c>
      <c r="D615" s="21"/>
      <c r="E615" s="22"/>
      <c r="F615" s="20"/>
      <c r="G615" s="23"/>
      <c r="H615" s="51">
        <f>SUM(H608:H614)</f>
        <v>12.57</v>
      </c>
      <c r="I615" s="52"/>
      <c r="J615" s="53"/>
      <c r="K615" s="51">
        <f t="shared" ref="K615:L615" si="1609">SUM(K608:K614)</f>
        <v>0</v>
      </c>
      <c r="L615" s="68">
        <f t="shared" si="1609"/>
        <v>0</v>
      </c>
      <c r="M615" s="53"/>
      <c r="N615" s="53"/>
      <c r="O615" s="51">
        <f t="shared" ref="O615:P615" si="1610">SUM(O609:O614)</f>
        <v>0</v>
      </c>
      <c r="P615" s="51">
        <f t="shared" si="1610"/>
        <v>0</v>
      </c>
      <c r="Q615" s="52"/>
      <c r="R615" s="53"/>
      <c r="S615" s="51">
        <f t="shared" ref="S615:T615" si="1611">SUM(S609:S614)</f>
        <v>0</v>
      </c>
      <c r="T615" s="68">
        <f t="shared" si="1611"/>
        <v>0</v>
      </c>
      <c r="U615" s="53"/>
      <c r="V615" s="53"/>
      <c r="W615" s="51">
        <f t="shared" ref="W615:X615" si="1612">SUM(W609:W614)</f>
        <v>0</v>
      </c>
      <c r="X615" s="51">
        <f t="shared" si="1612"/>
        <v>0</v>
      </c>
      <c r="Y615" s="52"/>
      <c r="Z615" s="53"/>
      <c r="AA615" s="51">
        <f t="shared" ref="AA615:AB615" si="1613">SUM(AA609:AA614)</f>
        <v>350</v>
      </c>
      <c r="AB615" s="68">
        <f t="shared" si="1613"/>
        <v>0</v>
      </c>
      <c r="AC615" s="53"/>
      <c r="AD615" s="53"/>
      <c r="AE615" s="51">
        <f t="shared" ref="AE615:AF615" si="1614">SUM(AE609:AE614)</f>
        <v>4574.6952</v>
      </c>
      <c r="AF615" s="51">
        <f t="shared" si="1614"/>
        <v>0</v>
      </c>
      <c r="AG615" s="52"/>
      <c r="AH615" s="53"/>
      <c r="AI615" s="51">
        <f t="shared" ref="AI615:AJ615" si="1615">SUM(AI609:AI614)</f>
        <v>12.45</v>
      </c>
      <c r="AJ615" s="68">
        <f t="shared" si="1615"/>
        <v>0</v>
      </c>
      <c r="AK615" s="52"/>
      <c r="AL615" s="53"/>
      <c r="AM615" s="51">
        <f t="shared" ref="AM615:AN615" si="1616">SUM(AM609:AM614)</f>
        <v>12.45</v>
      </c>
      <c r="AN615" s="68">
        <f t="shared" si="1616"/>
        <v>0</v>
      </c>
      <c r="AO615" s="52"/>
      <c r="AP615" s="53"/>
      <c r="AQ615" s="51">
        <f t="shared" ref="AQ615:AR615" si="1617">SUM(AQ609:AQ614)</f>
        <v>90.89</v>
      </c>
      <c r="AR615" s="68">
        <f t="shared" si="1617"/>
        <v>5053.06</v>
      </c>
      <c r="AS615" s="53"/>
      <c r="AT615" s="53"/>
      <c r="AU615" s="51">
        <f t="shared" ref="AU615:AV615" si="1618">SUM(AU609:AU614)</f>
        <v>14.94</v>
      </c>
      <c r="AV615" s="51">
        <f t="shared" si="1618"/>
        <v>0</v>
      </c>
      <c r="AW615" s="52"/>
      <c r="AX615" s="53"/>
      <c r="AY615" s="51">
        <f t="shared" ref="AY615:AZ615" si="1619">SUM(AY609:AY614)</f>
        <v>0</v>
      </c>
      <c r="AZ615" s="68">
        <f t="shared" si="1619"/>
        <v>0</v>
      </c>
      <c r="BA615" s="53"/>
      <c r="BB615" s="53"/>
      <c r="BC615" s="51">
        <f t="shared" ref="BC615:BD615" si="1620">SUM(BC609:BC614)</f>
        <v>0</v>
      </c>
      <c r="BD615" s="51">
        <f t="shared" si="1620"/>
        <v>0</v>
      </c>
      <c r="BE615" s="69"/>
      <c r="BF615" s="70">
        <f t="shared" ref="BF615:BH615" si="1621">SUM(BF608:BF614)</f>
        <v>5055.4252</v>
      </c>
      <c r="BG615" s="71">
        <f t="shared" si="1621"/>
        <v>5053.06</v>
      </c>
      <c r="BH615" s="72">
        <f t="shared" si="1621"/>
        <v>14.9352</v>
      </c>
      <c r="BI615" s="34">
        <f>H615+BF615-BG615</f>
        <v>14.9352</v>
      </c>
      <c r="BJ615" s="34">
        <f>BH615-BI615</f>
        <v>0</v>
      </c>
    </row>
    <row r="616" ht="15.75" customHeight="1" hidden="1" spans="1:64" x14ac:dyDescent="0.25">
      <c r="A616" s="29">
        <v>85</v>
      </c>
      <c r="B616" s="14"/>
      <c r="C616" s="15"/>
      <c r="D616" s="14" t="s">
        <v>42</v>
      </c>
      <c r="E616" s="15"/>
      <c r="F616" s="13"/>
      <c r="G616" s="28"/>
      <c r="H616" s="34"/>
      <c r="I616" s="13"/>
      <c r="J616" s="15"/>
      <c r="K616" s="34"/>
      <c r="L616" s="35"/>
      <c r="M616" s="15"/>
      <c r="N616" s="15"/>
      <c r="O616" s="34"/>
      <c r="P616" s="34"/>
      <c r="Q616" s="13"/>
      <c r="R616" s="15"/>
      <c r="S616" s="34"/>
      <c r="T616" s="35"/>
      <c r="U616" s="15"/>
      <c r="V616" s="15"/>
      <c r="W616" s="34"/>
      <c r="X616" s="34"/>
      <c r="Y616" s="13"/>
      <c r="Z616" s="15"/>
      <c r="AA616" s="34"/>
      <c r="AB616" s="35"/>
      <c r="AC616" s="15"/>
      <c r="AD616" s="15"/>
      <c r="AE616" s="34"/>
      <c r="AF616" s="34"/>
      <c r="AG616" s="13"/>
      <c r="AH616" s="15"/>
      <c r="AI616" s="34"/>
      <c r="AJ616" s="35"/>
      <c r="AK616" s="13"/>
      <c r="AL616" s="15"/>
      <c r="AM616" s="34"/>
      <c r="AN616" s="35"/>
      <c r="AO616" s="13"/>
      <c r="AP616" s="15"/>
      <c r="AQ616" s="34"/>
      <c r="AR616" s="35"/>
      <c r="AS616" s="15"/>
      <c r="AT616" s="15"/>
      <c r="AU616" s="34"/>
      <c r="AV616" s="34"/>
      <c r="AW616" s="13"/>
      <c r="AX616" s="15"/>
      <c r="AY616" s="34"/>
      <c r="AZ616" s="35"/>
      <c r="BA616" s="15"/>
      <c r="BB616" s="15"/>
      <c r="BC616" s="34"/>
      <c r="BD616" s="34"/>
      <c r="BE616" s="42"/>
      <c r="BF616" s="46"/>
      <c r="BG616" s="39"/>
      <c r="BH616" s="38"/>
      <c r="BI616" s="15"/>
      <c r="BJ616" s="15"/>
      <c r="BK616" s="15"/>
      <c r="BL616" s="15"/>
    </row>
    <row r="617" ht="15.75" customHeight="1" hidden="1" spans="1:64" x14ac:dyDescent="0.25">
      <c r="A617" s="2">
        <v>85</v>
      </c>
      <c r="B617" s="14">
        <v>4.27</v>
      </c>
      <c r="C617" s="15" t="s">
        <v>282</v>
      </c>
      <c r="D617" s="14" t="s">
        <v>44</v>
      </c>
      <c r="E617" s="15" t="s">
        <v>45</v>
      </c>
      <c r="F617" s="13">
        <v>2.49</v>
      </c>
      <c r="G617" s="28"/>
      <c r="H617" s="34">
        <v>2.49</v>
      </c>
      <c r="I617" s="13">
        <v>431</v>
      </c>
      <c r="J617" s="15">
        <v>0</v>
      </c>
      <c r="K617" s="34">
        <f>J617*$F$8</f>
        <v>0</v>
      </c>
      <c r="L617" s="35"/>
      <c r="M617" s="15">
        <v>431</v>
      </c>
      <c r="N617" s="15">
        <f>M617-I617</f>
        <v>0</v>
      </c>
      <c r="O617" s="34">
        <f>N617*$F$8</f>
        <v>0</v>
      </c>
      <c r="P617" s="34"/>
      <c r="Q617" s="13">
        <v>431</v>
      </c>
      <c r="R617" s="15">
        <f>Q617-M617</f>
        <v>0</v>
      </c>
      <c r="S617" s="34">
        <f>R617*$F$8</f>
        <v>0</v>
      </c>
      <c r="T617" s="35"/>
      <c r="U617" s="15">
        <v>457</v>
      </c>
      <c r="V617" s="15">
        <f>U617-Q617</f>
        <v>26</v>
      </c>
      <c r="W617" s="34">
        <f>V617*$F$8</f>
        <v>64.74</v>
      </c>
      <c r="X617" s="34">
        <f>2.49+64.74</f>
        <v>67.23</v>
      </c>
      <c r="Y617" s="13">
        <v>568</v>
      </c>
      <c r="Z617" s="15">
        <f>Y617-U617</f>
        <v>111</v>
      </c>
      <c r="AA617" s="34">
        <f>Z617*$F$8</f>
        <v>276.39</v>
      </c>
      <c r="AB617" s="35">
        <v>276.39</v>
      </c>
      <c r="AC617" s="15">
        <v>636</v>
      </c>
      <c r="AD617" s="15">
        <f t="shared" ref="AD617:AD618" si="1622">AC617-Y617</f>
        <v>68</v>
      </c>
      <c r="AE617" s="34">
        <f>AD617*$F$8</f>
        <v>169.32</v>
      </c>
      <c r="AF617" s="34">
        <v>169.32</v>
      </c>
      <c r="AG617" s="13">
        <v>692</v>
      </c>
      <c r="AH617" s="15">
        <f t="shared" ref="AH617:AH618" si="1623">AG617-AC617</f>
        <v>56</v>
      </c>
      <c r="AI617" s="34">
        <f>AH617*$F$8</f>
        <v>139.44</v>
      </c>
      <c r="AJ617" s="28"/>
      <c r="AK617" s="13">
        <v>775</v>
      </c>
      <c r="AL617" s="15">
        <f t="shared" ref="AL617:AL618" si="1624">AK617-AG617</f>
        <v>83</v>
      </c>
      <c r="AM617" s="34">
        <f>AL617*$F$8</f>
        <v>206.67</v>
      </c>
      <c r="AN617" s="32">
        <v>139.44</v>
      </c>
      <c r="AO617" s="13">
        <v>1031</v>
      </c>
      <c r="AP617" s="15">
        <f t="shared" ref="AP617:AP618" si="1625">AO617-AK617</f>
        <v>256</v>
      </c>
      <c r="AQ617" s="34">
        <f>AP617*$F$8</f>
        <v>637.44</v>
      </c>
      <c r="AR617" s="32">
        <v>844.11</v>
      </c>
      <c r="AS617" s="15">
        <v>1032</v>
      </c>
      <c r="AT617" s="15">
        <f>AS617-AO617</f>
        <v>1</v>
      </c>
      <c r="AU617" s="34">
        <f>AT617*$F$8</f>
        <v>2.49</v>
      </c>
      <c r="AV617" s="15"/>
      <c r="AW617" s="13">
        <v>1032</v>
      </c>
      <c r="AX617" s="15">
        <f>AW617-AS617</f>
        <v>0</v>
      </c>
      <c r="AY617" s="34">
        <f>AX617*$F$8</f>
        <v>0</v>
      </c>
      <c r="AZ617" s="28"/>
      <c r="BA617" s="13">
        <v>1032</v>
      </c>
      <c r="BB617" s="15">
        <f>BA617-AW617</f>
        <v>0</v>
      </c>
      <c r="BC617" s="34">
        <f>BB617*$F$8</f>
        <v>0</v>
      </c>
      <c r="BD617" s="15"/>
      <c r="BE617" s="40">
        <f t="shared" ref="BE617:BG617" si="1626">J617+N617+R617+V617+Z617+AD617+AH617+AL617+AP617+AT617+AX617+BB617</f>
        <v>601</v>
      </c>
      <c r="BF617" s="41">
        <f t="shared" si="1626"/>
        <v>1496.49</v>
      </c>
      <c r="BG617" s="34">
        <f t="shared" si="1626"/>
        <v>1496.49</v>
      </c>
      <c r="BH617" s="35">
        <f t="shared" ref="BH617:BH622" si="1627">H617+BF617-BG617</f>
        <v>2.49</v>
      </c>
      <c r="BI617" s="15"/>
      <c r="BJ617" s="15"/>
      <c r="BK617" s="15"/>
      <c r="BL617" s="15"/>
    </row>
    <row r="618" ht="15.75" customHeight="1" hidden="1" spans="1:64" x14ac:dyDescent="0.25">
      <c r="A618" s="29">
        <v>85</v>
      </c>
      <c r="B618" s="14"/>
      <c r="C618" s="15" t="s">
        <v>114</v>
      </c>
      <c r="D618" s="14" t="s">
        <v>47</v>
      </c>
      <c r="E618" s="15" t="s">
        <v>48</v>
      </c>
      <c r="F618" s="13">
        <v>17.16</v>
      </c>
      <c r="G618" s="28"/>
      <c r="H618" s="33">
        <f>-15*17.16</f>
        <v>-257.4</v>
      </c>
      <c r="I618" s="13"/>
      <c r="J618" s="15"/>
      <c r="K618" s="34"/>
      <c r="L618" s="35"/>
      <c r="M618" s="15"/>
      <c r="N618" s="15"/>
      <c r="O618" s="34"/>
      <c r="P618" s="34"/>
      <c r="Q618" s="13"/>
      <c r="R618" s="15"/>
      <c r="S618" s="34"/>
      <c r="T618" s="35"/>
      <c r="U618" s="15"/>
      <c r="V618" s="15"/>
      <c r="W618" s="34"/>
      <c r="X618" s="34"/>
      <c r="Y618" s="94">
        <v>77</v>
      </c>
      <c r="Z618" s="15"/>
      <c r="AA618" s="34"/>
      <c r="AB618" s="35"/>
      <c r="AC618" s="94">
        <v>77</v>
      </c>
      <c r="AD618" s="15">
        <f t="shared" si="1622"/>
        <v>0</v>
      </c>
      <c r="AE618" s="34">
        <f>AD618*$F$10</f>
        <v>0</v>
      </c>
      <c r="AF618" s="34"/>
      <c r="AG618" s="94">
        <v>77</v>
      </c>
      <c r="AH618" s="15">
        <f t="shared" si="1623"/>
        <v>0</v>
      </c>
      <c r="AI618" s="45">
        <f>AH618*$G$10</f>
        <v>0</v>
      </c>
      <c r="AJ618" s="28"/>
      <c r="AK618" s="95">
        <v>77</v>
      </c>
      <c r="AL618" s="15">
        <f t="shared" si="1624"/>
        <v>0</v>
      </c>
      <c r="AM618" s="45">
        <f>AL618*$G$10</f>
        <v>0</v>
      </c>
      <c r="AN618" s="28"/>
      <c r="AO618" s="13">
        <v>91</v>
      </c>
      <c r="AP618" s="15">
        <f t="shared" si="1625"/>
        <v>14</v>
      </c>
      <c r="AQ618" s="45">
        <f>AP618*$G$10</f>
        <v>247.52</v>
      </c>
      <c r="AR618" s="28"/>
      <c r="AS618" s="15"/>
      <c r="AT618" s="15"/>
      <c r="AU618" s="15"/>
      <c r="AV618" s="15"/>
      <c r="AW618" s="13"/>
      <c r="AX618" s="15"/>
      <c r="AY618" s="15"/>
      <c r="AZ618" s="28"/>
      <c r="BA618" s="15"/>
      <c r="BB618" s="15"/>
      <c r="BC618" s="15"/>
      <c r="BD618" s="15"/>
      <c r="BE618" s="40">
        <f t="shared" ref="BE618:BG618" si="1628">J618+N618+R618+V618+Z618+AD618+AH618+AL618+AP618+AT618+AX618+BB618</f>
        <v>14</v>
      </c>
      <c r="BF618" s="41">
        <f t="shared" si="1628"/>
        <v>247.52</v>
      </c>
      <c r="BG618" s="34">
        <f t="shared" si="1628"/>
        <v>0</v>
      </c>
      <c r="BH618" s="35">
        <f t="shared" si="1627"/>
        <v>-9.88</v>
      </c>
      <c r="BI618" s="15"/>
      <c r="BJ618" s="15"/>
      <c r="BK618" s="15"/>
      <c r="BL618" s="15"/>
    </row>
    <row r="619" ht="15.75" customHeight="1" hidden="1" spans="1:64" x14ac:dyDescent="0.25">
      <c r="A619" s="29">
        <v>85</v>
      </c>
      <c r="B619" s="14"/>
      <c r="C619" s="15" t="s">
        <v>102</v>
      </c>
      <c r="D619" s="14" t="s">
        <v>47</v>
      </c>
      <c r="E619" s="15" t="s">
        <v>49</v>
      </c>
      <c r="F619" s="41">
        <v>300</v>
      </c>
      <c r="G619" s="28"/>
      <c r="H619" s="34"/>
      <c r="I619" s="13"/>
      <c r="J619" s="15"/>
      <c r="K619" s="34"/>
      <c r="L619" s="35"/>
      <c r="M619" s="15"/>
      <c r="N619" s="15"/>
      <c r="O619" s="34"/>
      <c r="P619" s="34"/>
      <c r="Q619" s="13"/>
      <c r="R619" s="15"/>
      <c r="S619" s="34"/>
      <c r="T619" s="35"/>
      <c r="U619" s="15"/>
      <c r="V619" s="15"/>
      <c r="W619" s="34"/>
      <c r="X619" s="34"/>
      <c r="Y619" s="13"/>
      <c r="Z619" s="15"/>
      <c r="AA619" s="34"/>
      <c r="AB619" s="35"/>
      <c r="AC619" s="15"/>
      <c r="AD619" s="15"/>
      <c r="AE619" s="34"/>
      <c r="AF619" s="34"/>
      <c r="AG619" s="13"/>
      <c r="AH619" s="15"/>
      <c r="AI619" s="15"/>
      <c r="AJ619" s="28"/>
      <c r="AK619" s="13"/>
      <c r="AL619" s="15"/>
      <c r="AM619" s="34"/>
      <c r="AN619" s="28"/>
      <c r="AO619" s="13"/>
      <c r="AP619" s="15"/>
      <c r="AQ619" s="34"/>
      <c r="AR619" s="28"/>
      <c r="AS619" s="15"/>
      <c r="AT619" s="15"/>
      <c r="AU619" s="15"/>
      <c r="AV619" s="15"/>
      <c r="AW619" s="13"/>
      <c r="AX619" s="15"/>
      <c r="AY619" s="15"/>
      <c r="AZ619" s="28"/>
      <c r="BA619" s="15"/>
      <c r="BB619" s="15"/>
      <c r="BC619" s="15"/>
      <c r="BD619" s="15"/>
      <c r="BE619" s="14"/>
      <c r="BF619" s="41">
        <f t="shared" ref="BF619:BG619" si="1629">K619+O619+S619+W619+AA619+AE619+AI619+AM619+AQ619+AU619+AY619+BC619</f>
        <v>0</v>
      </c>
      <c r="BG619" s="34">
        <f t="shared" si="1629"/>
        <v>0</v>
      </c>
      <c r="BH619" s="35">
        <f t="shared" si="1627"/>
        <v>0</v>
      </c>
      <c r="BI619" s="15"/>
      <c r="BJ619" s="15"/>
      <c r="BK619" s="15"/>
      <c r="BL619" s="15"/>
    </row>
    <row r="620" ht="15.75" customHeight="1" hidden="1" spans="1:64" x14ac:dyDescent="0.25">
      <c r="A620" s="29">
        <v>85</v>
      </c>
      <c r="B620" s="14"/>
      <c r="C620" s="15" t="s">
        <v>283</v>
      </c>
      <c r="D620" s="14" t="s">
        <v>50</v>
      </c>
      <c r="E620" s="15" t="s">
        <v>49</v>
      </c>
      <c r="F620" s="41">
        <v>1062.88</v>
      </c>
      <c r="G620" s="28"/>
      <c r="H620" s="34"/>
      <c r="I620" s="13"/>
      <c r="J620" s="15"/>
      <c r="K620" s="34"/>
      <c r="L620" s="35"/>
      <c r="M620" s="15"/>
      <c r="N620" s="15"/>
      <c r="O620" s="34"/>
      <c r="P620" s="34"/>
      <c r="Q620" s="13"/>
      <c r="R620" s="15"/>
      <c r="S620" s="34"/>
      <c r="T620" s="35"/>
      <c r="U620" s="15"/>
      <c r="V620" s="15"/>
      <c r="W620" s="34"/>
      <c r="X620" s="34"/>
      <c r="Y620" s="13"/>
      <c r="Z620" s="15"/>
      <c r="AA620" s="34"/>
      <c r="AB620" s="35"/>
      <c r="AC620" s="15"/>
      <c r="AD620" s="15"/>
      <c r="AE620" s="34">
        <f>B617*$F$12</f>
        <v>4538.4976</v>
      </c>
      <c r="AF620" s="34"/>
      <c r="AG620" s="13"/>
      <c r="AH620" s="15"/>
      <c r="AI620" s="15"/>
      <c r="AJ620" s="35"/>
      <c r="AK620" s="13"/>
      <c r="AL620" s="15"/>
      <c r="AM620" s="15"/>
      <c r="AN620" s="38">
        <v>4538.5</v>
      </c>
      <c r="AO620" s="13"/>
      <c r="AP620" s="15"/>
      <c r="AQ620" s="15"/>
      <c r="AR620" s="28"/>
      <c r="AS620" s="15"/>
      <c r="AT620" s="15"/>
      <c r="AU620" s="15"/>
      <c r="AV620" s="15"/>
      <c r="AW620" s="13"/>
      <c r="AX620" s="15"/>
      <c r="AY620" s="15"/>
      <c r="AZ620" s="28"/>
      <c r="BA620" s="15"/>
      <c r="BB620" s="15"/>
      <c r="BC620" s="15"/>
      <c r="BD620" s="15"/>
      <c r="BE620" s="14"/>
      <c r="BF620" s="41">
        <f>B617*$F$12</f>
        <v>4538.4976</v>
      </c>
      <c r="BG620" s="34">
        <f t="shared" ref="BG620:BG622" si="1630">L620+P620+T620+X620+AB620+AF620+AJ620+AN620+AR620+AV620+AZ620+BD620</f>
        <v>4538.5</v>
      </c>
      <c r="BH620" s="35">
        <f t="shared" si="1627"/>
        <v>-0.0024</v>
      </c>
      <c r="BI620" s="15"/>
      <c r="BJ620" s="15"/>
      <c r="BK620" s="15"/>
      <c r="BL620" s="15"/>
    </row>
    <row r="621" ht="15.75" customHeight="1" hidden="1" spans="1:64" x14ac:dyDescent="0.25">
      <c r="A621" s="29">
        <v>85</v>
      </c>
      <c r="B621" s="14"/>
      <c r="C621" s="15"/>
      <c r="D621" s="14" t="s">
        <v>51</v>
      </c>
      <c r="E621" s="15" t="s">
        <v>49</v>
      </c>
      <c r="F621" s="41">
        <v>0</v>
      </c>
      <c r="G621" s="28"/>
      <c r="H621" s="34"/>
      <c r="I621" s="13"/>
      <c r="J621" s="15"/>
      <c r="K621" s="34"/>
      <c r="L621" s="35"/>
      <c r="M621" s="15"/>
      <c r="N621" s="15"/>
      <c r="O621" s="34"/>
      <c r="P621" s="34"/>
      <c r="Q621" s="13"/>
      <c r="R621" s="15"/>
      <c r="S621" s="34"/>
      <c r="T621" s="35"/>
      <c r="U621" s="15"/>
      <c r="V621" s="15"/>
      <c r="W621" s="34"/>
      <c r="X621" s="34"/>
      <c r="Y621" s="13"/>
      <c r="Z621" s="15"/>
      <c r="AA621" s="34"/>
      <c r="AB621" s="35"/>
      <c r="AC621" s="15"/>
      <c r="AD621" s="15"/>
      <c r="AE621" s="34"/>
      <c r="AF621" s="34"/>
      <c r="AG621" s="13"/>
      <c r="AH621" s="15"/>
      <c r="AI621" s="15"/>
      <c r="AJ621" s="28"/>
      <c r="AK621" s="13"/>
      <c r="AL621" s="15"/>
      <c r="AM621" s="15"/>
      <c r="AN621" s="28"/>
      <c r="AO621" s="13"/>
      <c r="AP621" s="15"/>
      <c r="AQ621" s="15"/>
      <c r="AR621" s="28"/>
      <c r="AS621" s="15"/>
      <c r="AT621" s="15"/>
      <c r="AU621" s="15"/>
      <c r="AV621" s="15"/>
      <c r="AW621" s="13"/>
      <c r="AX621" s="15"/>
      <c r="AY621" s="15"/>
      <c r="AZ621" s="28"/>
      <c r="BA621" s="15"/>
      <c r="BB621" s="15"/>
      <c r="BC621" s="15"/>
      <c r="BD621" s="15"/>
      <c r="BE621" s="14"/>
      <c r="BF621" s="41">
        <f>B617*$F$13</f>
        <v>0</v>
      </c>
      <c r="BG621" s="34">
        <f t="shared" si="1630"/>
        <v>0</v>
      </c>
      <c r="BH621" s="35">
        <f t="shared" si="1627"/>
        <v>0</v>
      </c>
      <c r="BI621" s="15"/>
      <c r="BJ621" s="15"/>
      <c r="BK621" s="15"/>
      <c r="BL621" s="15"/>
    </row>
    <row r="622" ht="15.75" customHeight="1" hidden="1" spans="1:64" x14ac:dyDescent="0.25">
      <c r="A622" s="29">
        <v>85</v>
      </c>
      <c r="B622" s="14"/>
      <c r="C622" s="15"/>
      <c r="D622" s="14" t="s">
        <v>52</v>
      </c>
      <c r="E622" s="15" t="s">
        <v>39</v>
      </c>
      <c r="F622" s="41">
        <v>350</v>
      </c>
      <c r="G622" s="28"/>
      <c r="H622" s="84">
        <v>-350</v>
      </c>
      <c r="I622" s="13"/>
      <c r="J622" s="15"/>
      <c r="K622" s="34"/>
      <c r="L622" s="35"/>
      <c r="M622" s="15"/>
      <c r="N622" s="15"/>
      <c r="O622" s="34"/>
      <c r="P622" s="34"/>
      <c r="Q622" s="13"/>
      <c r="R622" s="15"/>
      <c r="S622" s="34"/>
      <c r="T622" s="35"/>
      <c r="U622" s="15"/>
      <c r="V622" s="15"/>
      <c r="W622" s="34"/>
      <c r="X622" s="34"/>
      <c r="Y622" s="13"/>
      <c r="Z622" s="15"/>
      <c r="AA622" s="34">
        <f>$F$14</f>
        <v>350</v>
      </c>
      <c r="AB622" s="35"/>
      <c r="AC622" s="15"/>
      <c r="AD622" s="15"/>
      <c r="AE622" s="34"/>
      <c r="AF622" s="34"/>
      <c r="AG622" s="13"/>
      <c r="AH622" s="15"/>
      <c r="AI622" s="15"/>
      <c r="AJ622" s="28"/>
      <c r="AK622" s="13"/>
      <c r="AL622" s="15"/>
      <c r="AM622" s="15"/>
      <c r="AN622" s="28"/>
      <c r="AO622" s="13"/>
      <c r="AP622" s="15"/>
      <c r="AQ622" s="15"/>
      <c r="AR622" s="28"/>
      <c r="AS622" s="15"/>
      <c r="AT622" s="15"/>
      <c r="AU622" s="15"/>
      <c r="AV622" s="15"/>
      <c r="AW622" s="13"/>
      <c r="AX622" s="15"/>
      <c r="AY622" s="15"/>
      <c r="AZ622" s="28"/>
      <c r="BA622" s="15"/>
      <c r="BB622" s="15"/>
      <c r="BC622" s="15"/>
      <c r="BD622" s="15"/>
      <c r="BE622" s="14"/>
      <c r="BF622" s="41">
        <f>$F$14</f>
        <v>350</v>
      </c>
      <c r="BG622" s="34">
        <f t="shared" si="1630"/>
        <v>0</v>
      </c>
      <c r="BH622" s="35">
        <f t="shared" si="1627"/>
        <v>0</v>
      </c>
      <c r="BI622" s="15"/>
      <c r="BJ622" s="15"/>
      <c r="BK622" s="15"/>
      <c r="BL622" s="15"/>
    </row>
    <row r="623" ht="15.75" customHeight="1" hidden="1" spans="1:62" x14ac:dyDescent="0.25">
      <c r="A623" s="50">
        <v>85</v>
      </c>
      <c r="B623" s="21"/>
      <c r="C623" s="22" t="s">
        <v>53</v>
      </c>
      <c r="D623" s="21"/>
      <c r="E623" s="22"/>
      <c r="F623" s="20"/>
      <c r="G623" s="23"/>
      <c r="H623" s="51">
        <f>SUM(H616:H622)</f>
        <v>-604.91</v>
      </c>
      <c r="I623" s="52"/>
      <c r="J623" s="53"/>
      <c r="K623" s="51">
        <f t="shared" ref="K623:L623" si="1631">SUM(K616:K622)</f>
        <v>0</v>
      </c>
      <c r="L623" s="68">
        <f t="shared" si="1631"/>
        <v>0</v>
      </c>
      <c r="M623" s="53"/>
      <c r="N623" s="53"/>
      <c r="O623" s="51">
        <f t="shared" ref="O623:P623" si="1632">SUM(O617:O622)</f>
        <v>0</v>
      </c>
      <c r="P623" s="51">
        <f t="shared" si="1632"/>
        <v>0</v>
      </c>
      <c r="Q623" s="52"/>
      <c r="R623" s="53"/>
      <c r="S623" s="51">
        <f t="shared" ref="S623:T623" si="1633">SUM(S617:S622)</f>
        <v>0</v>
      </c>
      <c r="T623" s="68">
        <f t="shared" si="1633"/>
        <v>0</v>
      </c>
      <c r="U623" s="53"/>
      <c r="V623" s="53"/>
      <c r="W623" s="51">
        <f t="shared" ref="W623:X623" si="1634">SUM(W617:W622)</f>
        <v>64.74</v>
      </c>
      <c r="X623" s="51">
        <f t="shared" si="1634"/>
        <v>67.23</v>
      </c>
      <c r="Y623" s="52"/>
      <c r="Z623" s="53"/>
      <c r="AA623" s="51">
        <f t="shared" ref="AA623:AB623" si="1635">SUM(AA617:AA622)</f>
        <v>626.39</v>
      </c>
      <c r="AB623" s="68">
        <f t="shared" si="1635"/>
        <v>276.39</v>
      </c>
      <c r="AC623" s="53"/>
      <c r="AD623" s="53"/>
      <c r="AE623" s="51">
        <f t="shared" ref="AE623:AF623" si="1636">SUM(AE617:AE622)</f>
        <v>4707.8176</v>
      </c>
      <c r="AF623" s="51">
        <f t="shared" si="1636"/>
        <v>169.32</v>
      </c>
      <c r="AG623" s="52"/>
      <c r="AH623" s="53"/>
      <c r="AI623" s="51">
        <f t="shared" ref="AI623:AJ623" si="1637">SUM(AI617:AI622)</f>
        <v>139.44</v>
      </c>
      <c r="AJ623" s="68">
        <f t="shared" si="1637"/>
        <v>0</v>
      </c>
      <c r="AK623" s="52"/>
      <c r="AL623" s="53"/>
      <c r="AM623" s="51">
        <f t="shared" ref="AM623:AN623" si="1638">SUM(AM617:AM622)</f>
        <v>206.67</v>
      </c>
      <c r="AN623" s="68">
        <f t="shared" si="1638"/>
        <v>4677.94</v>
      </c>
      <c r="AO623" s="52"/>
      <c r="AP623" s="53"/>
      <c r="AQ623" s="51">
        <f t="shared" ref="AQ623:AR623" si="1639">SUM(AQ617:AQ622)</f>
        <v>884.96</v>
      </c>
      <c r="AR623" s="68">
        <f t="shared" si="1639"/>
        <v>844.11</v>
      </c>
      <c r="AS623" s="53"/>
      <c r="AT623" s="53"/>
      <c r="AU623" s="51">
        <f t="shared" ref="AU623:AV623" si="1640">SUM(AU617:AU622)</f>
        <v>2.49</v>
      </c>
      <c r="AV623" s="51">
        <f t="shared" si="1640"/>
        <v>0</v>
      </c>
      <c r="AW623" s="52"/>
      <c r="AX623" s="53"/>
      <c r="AY623" s="51">
        <f t="shared" ref="AY623:AZ623" si="1641">SUM(AY617:AY622)</f>
        <v>0</v>
      </c>
      <c r="AZ623" s="68">
        <f t="shared" si="1641"/>
        <v>0</v>
      </c>
      <c r="BA623" s="53"/>
      <c r="BB623" s="53"/>
      <c r="BC623" s="51">
        <f t="shared" ref="BC623:BD623" si="1642">SUM(BC617:BC622)</f>
        <v>0</v>
      </c>
      <c r="BD623" s="51">
        <f t="shared" si="1642"/>
        <v>0</v>
      </c>
      <c r="BE623" s="69"/>
      <c r="BF623" s="70">
        <f t="shared" ref="BF623:BH623" si="1643">SUM(BF616:BF622)</f>
        <v>6632.5076</v>
      </c>
      <c r="BG623" s="71">
        <f t="shared" si="1643"/>
        <v>6034.99</v>
      </c>
      <c r="BH623" s="72">
        <f t="shared" si="1643"/>
        <v>-7.3924</v>
      </c>
      <c r="BI623" s="34">
        <f>H623+BF623-BG623</f>
        <v>-7.3924</v>
      </c>
      <c r="BJ623" s="34">
        <f>BH623-BI623</f>
        <v>0</v>
      </c>
    </row>
    <row r="624" ht="15.75" customHeight="1" hidden="1" spans="1:64" x14ac:dyDescent="0.25">
      <c r="A624" s="29">
        <v>87</v>
      </c>
      <c r="B624" s="14"/>
      <c r="C624" s="15"/>
      <c r="D624" s="14" t="s">
        <v>42</v>
      </c>
      <c r="E624" s="15"/>
      <c r="F624" s="13"/>
      <c r="G624" s="28"/>
      <c r="H624" s="34"/>
      <c r="I624" s="13"/>
      <c r="J624" s="15"/>
      <c r="K624" s="34"/>
      <c r="L624" s="35"/>
      <c r="M624" s="15"/>
      <c r="N624" s="15"/>
      <c r="O624" s="34"/>
      <c r="P624" s="34"/>
      <c r="Q624" s="13"/>
      <c r="R624" s="15"/>
      <c r="S624" s="34"/>
      <c r="T624" s="35"/>
      <c r="U624" s="15"/>
      <c r="V624" s="15"/>
      <c r="W624" s="34"/>
      <c r="X624" s="34"/>
      <c r="Y624" s="13"/>
      <c r="Z624" s="15"/>
      <c r="AA624" s="34"/>
      <c r="AB624" s="35"/>
      <c r="AC624" s="15"/>
      <c r="AD624" s="15"/>
      <c r="AE624" s="34"/>
      <c r="AF624" s="34"/>
      <c r="AG624" s="13"/>
      <c r="AH624" s="15"/>
      <c r="AI624" s="34"/>
      <c r="AJ624" s="35"/>
      <c r="AK624" s="13"/>
      <c r="AL624" s="15"/>
      <c r="AM624" s="34"/>
      <c r="AN624" s="35"/>
      <c r="AO624" s="13"/>
      <c r="AP624" s="15"/>
      <c r="AQ624" s="34"/>
      <c r="AR624" s="35"/>
      <c r="AS624" s="15"/>
      <c r="AT624" s="15"/>
      <c r="AU624" s="34"/>
      <c r="AV624" s="34"/>
      <c r="AW624" s="13"/>
      <c r="AX624" s="15"/>
      <c r="AY624" s="34"/>
      <c r="AZ624" s="35"/>
      <c r="BA624" s="15"/>
      <c r="BB624" s="15"/>
      <c r="BC624" s="34"/>
      <c r="BD624" s="34"/>
      <c r="BE624" s="42"/>
      <c r="BF624" s="46"/>
      <c r="BG624" s="39"/>
      <c r="BH624" s="38"/>
      <c r="BI624" s="15"/>
      <c r="BJ624" s="15"/>
      <c r="BK624" s="15"/>
      <c r="BL624" s="15"/>
    </row>
    <row r="625" ht="15.75" customHeight="1" hidden="1" spans="1:64" x14ac:dyDescent="0.25">
      <c r="A625" s="2">
        <v>87</v>
      </c>
      <c r="B625" s="14">
        <v>4.23</v>
      </c>
      <c r="C625" s="15" t="s">
        <v>284</v>
      </c>
      <c r="D625" s="14" t="s">
        <v>44</v>
      </c>
      <c r="E625" s="15" t="s">
        <v>45</v>
      </c>
      <c r="F625" s="13">
        <v>2.49</v>
      </c>
      <c r="G625" s="28"/>
      <c r="H625" s="34"/>
      <c r="I625" s="13">
        <v>155</v>
      </c>
      <c r="J625" s="15">
        <v>0</v>
      </c>
      <c r="K625" s="34">
        <f>J625*$F$8</f>
        <v>0</v>
      </c>
      <c r="L625" s="35"/>
      <c r="M625" s="15">
        <v>155</v>
      </c>
      <c r="N625" s="15">
        <f>M625-I625</f>
        <v>0</v>
      </c>
      <c r="O625" s="34">
        <f>N625*$F$8</f>
        <v>0</v>
      </c>
      <c r="P625" s="34"/>
      <c r="Q625" s="13">
        <v>155</v>
      </c>
      <c r="R625" s="15">
        <f>Q625-M625</f>
        <v>0</v>
      </c>
      <c r="S625" s="34">
        <f>R625*$F$8</f>
        <v>0</v>
      </c>
      <c r="T625" s="35"/>
      <c r="U625" s="15">
        <v>155</v>
      </c>
      <c r="V625" s="15">
        <f>U625-Q625</f>
        <v>0</v>
      </c>
      <c r="W625" s="34">
        <f>V625*$F$8</f>
        <v>0</v>
      </c>
      <c r="X625" s="34"/>
      <c r="Y625" s="13">
        <v>160</v>
      </c>
      <c r="Z625" s="15">
        <f>Y625-U625</f>
        <v>5</v>
      </c>
      <c r="AA625" s="34">
        <f>Z625*$F$8</f>
        <v>12.45</v>
      </c>
      <c r="AB625" s="35"/>
      <c r="AC625" s="15">
        <v>184</v>
      </c>
      <c r="AD625" s="15">
        <f t="shared" ref="AD625:AD626" si="1644">AC625-Y625</f>
        <v>24</v>
      </c>
      <c r="AE625" s="34">
        <f>AD625*$F$8</f>
        <v>59.76</v>
      </c>
      <c r="AF625" s="34"/>
      <c r="AG625" s="13">
        <v>201</v>
      </c>
      <c r="AH625" s="15">
        <f t="shared" ref="AH625:AH626" si="1645">AG625-AC625</f>
        <v>17</v>
      </c>
      <c r="AI625" s="34">
        <f>AH625*$F$8</f>
        <v>42.33</v>
      </c>
      <c r="AJ625" s="28"/>
      <c r="AK625" s="13">
        <v>222</v>
      </c>
      <c r="AL625" s="15">
        <f t="shared" ref="AL625:AL626" si="1646">AK625-AG625</f>
        <v>21</v>
      </c>
      <c r="AM625" s="34">
        <f>AL625*$F$8</f>
        <v>52.29</v>
      </c>
      <c r="AN625" s="32">
        <v>114.54</v>
      </c>
      <c r="AO625" s="13">
        <v>235</v>
      </c>
      <c r="AP625" s="15">
        <f t="shared" ref="AP625:AP626" si="1647">AO625-AK625</f>
        <v>13</v>
      </c>
      <c r="AQ625" s="34">
        <f>AP625*$F$8</f>
        <v>32.37</v>
      </c>
      <c r="AR625" s="28"/>
      <c r="AS625" s="15">
        <v>241</v>
      </c>
      <c r="AT625" s="15">
        <f>AS625-AO625</f>
        <v>6</v>
      </c>
      <c r="AU625" s="34">
        <f>AT625*$F$8</f>
        <v>14.94</v>
      </c>
      <c r="AV625" s="15"/>
      <c r="AW625" s="13">
        <v>241</v>
      </c>
      <c r="AX625" s="15">
        <f>AW625-AS625</f>
        <v>0</v>
      </c>
      <c r="AY625" s="34">
        <f>AX625*$F$8</f>
        <v>0</v>
      </c>
      <c r="AZ625" s="28"/>
      <c r="BA625" s="13">
        <v>241</v>
      </c>
      <c r="BB625" s="15">
        <f>BA625-AW625</f>
        <v>0</v>
      </c>
      <c r="BC625" s="34">
        <f>BB625*$F$8</f>
        <v>0</v>
      </c>
      <c r="BD625" s="15"/>
      <c r="BE625" s="40">
        <f t="shared" ref="BE625:BG625" si="1648">J625+N625+R625+V625+Z625+AD625+AH625+AL625+AP625+AT625+AX625+BB625</f>
        <v>86</v>
      </c>
      <c r="BF625" s="41">
        <f t="shared" si="1648"/>
        <v>214.14</v>
      </c>
      <c r="BG625" s="34">
        <f t="shared" si="1648"/>
        <v>114.54</v>
      </c>
      <c r="BH625" s="35">
        <f t="shared" ref="BH625:BH630" si="1649">H625+BF625-BG625</f>
        <v>99.6</v>
      </c>
      <c r="BI625" s="15"/>
      <c r="BJ625" s="15"/>
      <c r="BK625" s="15"/>
      <c r="BL625" s="15"/>
    </row>
    <row r="626" ht="15.75" customHeight="1" hidden="1" spans="1:64" x14ac:dyDescent="0.25">
      <c r="A626" s="29">
        <v>87</v>
      </c>
      <c r="B626" s="14"/>
      <c r="C626" s="15" t="s">
        <v>153</v>
      </c>
      <c r="D626" s="14" t="s">
        <v>47</v>
      </c>
      <c r="E626" s="15" t="s">
        <v>48</v>
      </c>
      <c r="F626" s="13">
        <v>17.16</v>
      </c>
      <c r="G626" s="28"/>
      <c r="H626" s="34"/>
      <c r="I626" s="13"/>
      <c r="J626" s="15"/>
      <c r="K626" s="34"/>
      <c r="L626" s="35"/>
      <c r="M626" s="15"/>
      <c r="N626" s="15"/>
      <c r="O626" s="34"/>
      <c r="P626" s="34"/>
      <c r="Q626" s="13"/>
      <c r="R626" s="15"/>
      <c r="S626" s="34"/>
      <c r="T626" s="35"/>
      <c r="U626" s="15"/>
      <c r="V626" s="15"/>
      <c r="W626" s="34"/>
      <c r="X626" s="34"/>
      <c r="Y626" s="13">
        <v>132</v>
      </c>
      <c r="Z626" s="15"/>
      <c r="AA626" s="34"/>
      <c r="AB626" s="35"/>
      <c r="AC626" s="15">
        <v>132</v>
      </c>
      <c r="AD626" s="15">
        <f t="shared" si="1644"/>
        <v>0</v>
      </c>
      <c r="AE626" s="34">
        <f>AD626*$F$10</f>
        <v>0</v>
      </c>
      <c r="AF626" s="34"/>
      <c r="AG626" s="13">
        <v>132</v>
      </c>
      <c r="AH626" s="15">
        <f t="shared" si="1645"/>
        <v>0</v>
      </c>
      <c r="AI626" s="45">
        <f>AH626*$G$10</f>
        <v>0</v>
      </c>
      <c r="AJ626" s="28"/>
      <c r="AK626" s="13">
        <v>145</v>
      </c>
      <c r="AL626" s="15">
        <f t="shared" si="1646"/>
        <v>13</v>
      </c>
      <c r="AM626" s="45">
        <f>AL626*$G$10</f>
        <v>229.84</v>
      </c>
      <c r="AN626" s="32">
        <v>229.84</v>
      </c>
      <c r="AO626" s="13">
        <v>145</v>
      </c>
      <c r="AP626" s="15">
        <f t="shared" si="1647"/>
        <v>0</v>
      </c>
      <c r="AQ626" s="45">
        <f>AP626*$G$10</f>
        <v>0</v>
      </c>
      <c r="AR626" s="28"/>
      <c r="AS626" s="15"/>
      <c r="AT626" s="15"/>
      <c r="AU626" s="15"/>
      <c r="AV626" s="15"/>
      <c r="AW626" s="13"/>
      <c r="AX626" s="15"/>
      <c r="AY626" s="15"/>
      <c r="AZ626" s="28"/>
      <c r="BA626" s="15"/>
      <c r="BB626" s="15"/>
      <c r="BC626" s="15"/>
      <c r="BD626" s="15"/>
      <c r="BE626" s="40">
        <f t="shared" ref="BE626:BG626" si="1650">J626+N626+R626+V626+Z626+AD626+AH626+AL626+AP626+AT626+AX626+BB626</f>
        <v>13</v>
      </c>
      <c r="BF626" s="41">
        <f t="shared" si="1650"/>
        <v>229.84</v>
      </c>
      <c r="BG626" s="34">
        <f t="shared" si="1650"/>
        <v>229.84</v>
      </c>
      <c r="BH626" s="35">
        <f t="shared" si="1649"/>
        <v>0</v>
      </c>
      <c r="BI626" s="15"/>
      <c r="BJ626" s="15"/>
      <c r="BK626" s="15"/>
      <c r="BL626" s="15"/>
    </row>
    <row r="627" ht="15.75" customHeight="1" hidden="1" spans="1:64" x14ac:dyDescent="0.25">
      <c r="A627" s="29">
        <v>87</v>
      </c>
      <c r="B627" s="14"/>
      <c r="C627" s="15" t="s">
        <v>102</v>
      </c>
      <c r="D627" s="14" t="s">
        <v>47</v>
      </c>
      <c r="E627" s="15" t="s">
        <v>49</v>
      </c>
      <c r="F627" s="41">
        <v>300</v>
      </c>
      <c r="G627" s="28"/>
      <c r="H627" s="34"/>
      <c r="I627" s="13"/>
      <c r="J627" s="15"/>
      <c r="K627" s="34"/>
      <c r="L627" s="35"/>
      <c r="M627" s="15"/>
      <c r="N627" s="15"/>
      <c r="O627" s="34"/>
      <c r="P627" s="34"/>
      <c r="Q627" s="13"/>
      <c r="R627" s="15"/>
      <c r="S627" s="34"/>
      <c r="T627" s="35"/>
      <c r="U627" s="15"/>
      <c r="V627" s="15"/>
      <c r="W627" s="34"/>
      <c r="X627" s="34"/>
      <c r="Y627" s="13"/>
      <c r="Z627" s="15"/>
      <c r="AA627" s="34"/>
      <c r="AB627" s="35"/>
      <c r="AC627" s="15"/>
      <c r="AD627" s="15"/>
      <c r="AE627" s="34"/>
      <c r="AF627" s="34"/>
      <c r="AG627" s="13"/>
      <c r="AH627" s="15"/>
      <c r="AI627" s="15"/>
      <c r="AJ627" s="28"/>
      <c r="AK627" s="13"/>
      <c r="AL627" s="15"/>
      <c r="AM627" s="34"/>
      <c r="AN627" s="28"/>
      <c r="AO627" s="13"/>
      <c r="AP627" s="15"/>
      <c r="AQ627" s="34"/>
      <c r="AR627" s="28"/>
      <c r="AS627" s="15"/>
      <c r="AT627" s="15"/>
      <c r="AU627" s="15"/>
      <c r="AV627" s="15"/>
      <c r="AW627" s="13"/>
      <c r="AX627" s="15"/>
      <c r="AY627" s="15"/>
      <c r="AZ627" s="28"/>
      <c r="BA627" s="15"/>
      <c r="BB627" s="15"/>
      <c r="BC627" s="15"/>
      <c r="BD627" s="15"/>
      <c r="BE627" s="14"/>
      <c r="BF627" s="41">
        <f t="shared" ref="BF627:BG627" si="1651">K627+O627+S627+W627+AA627+AE627+AI627+AM627+AQ627+AU627+AY627+BC627</f>
        <v>0</v>
      </c>
      <c r="BG627" s="34">
        <f t="shared" si="1651"/>
        <v>0</v>
      </c>
      <c r="BH627" s="35">
        <f t="shared" si="1649"/>
        <v>0</v>
      </c>
      <c r="BI627" s="15"/>
      <c r="BJ627" s="15"/>
      <c r="BK627" s="15"/>
      <c r="BL627" s="15"/>
    </row>
    <row r="628" ht="15.75" customHeight="1" hidden="1" spans="1:64" x14ac:dyDescent="0.25">
      <c r="A628" s="29">
        <v>87</v>
      </c>
      <c r="B628" s="14"/>
      <c r="C628" s="15" t="s">
        <v>285</v>
      </c>
      <c r="D628" s="14" t="s">
        <v>50</v>
      </c>
      <c r="E628" s="15" t="s">
        <v>49</v>
      </c>
      <c r="F628" s="41">
        <v>1062.88</v>
      </c>
      <c r="G628" s="28"/>
      <c r="H628" s="34"/>
      <c r="I628" s="13"/>
      <c r="J628" s="15"/>
      <c r="K628" s="34"/>
      <c r="L628" s="35"/>
      <c r="M628" s="15"/>
      <c r="N628" s="15"/>
      <c r="O628" s="34"/>
      <c r="P628" s="34"/>
      <c r="Q628" s="13"/>
      <c r="R628" s="15"/>
      <c r="S628" s="34"/>
      <c r="T628" s="35"/>
      <c r="U628" s="15"/>
      <c r="V628" s="15"/>
      <c r="W628" s="34"/>
      <c r="X628" s="34"/>
      <c r="Y628" s="13"/>
      <c r="Z628" s="15"/>
      <c r="AA628" s="34"/>
      <c r="AB628" s="35"/>
      <c r="AC628" s="15"/>
      <c r="AD628" s="15"/>
      <c r="AE628" s="34">
        <f>B625*$F$12</f>
        <v>4495.9824</v>
      </c>
      <c r="AF628" s="34"/>
      <c r="AG628" s="13"/>
      <c r="AH628" s="15"/>
      <c r="AI628" s="15"/>
      <c r="AJ628" s="35"/>
      <c r="AK628" s="13"/>
      <c r="AL628" s="15"/>
      <c r="AM628" s="15"/>
      <c r="AN628" s="87">
        <v>4495.76</v>
      </c>
      <c r="AO628" s="13"/>
      <c r="AP628" s="15"/>
      <c r="AQ628" s="15"/>
      <c r="AR628" s="28"/>
      <c r="AS628" s="15"/>
      <c r="AT628" s="15"/>
      <c r="AU628" s="15"/>
      <c r="AV628" s="15"/>
      <c r="AW628" s="13"/>
      <c r="AX628" s="15"/>
      <c r="AY628" s="15"/>
      <c r="AZ628" s="28"/>
      <c r="BA628" s="15"/>
      <c r="BB628" s="15"/>
      <c r="BC628" s="15"/>
      <c r="BD628" s="15"/>
      <c r="BE628" s="14"/>
      <c r="BF628" s="41">
        <f>B625*$F$12</f>
        <v>4495.9824</v>
      </c>
      <c r="BG628" s="34">
        <f t="shared" ref="BG628:BG630" si="1652">L628+P628+T628+X628+AB628+AF628+AJ628+AN628+AR628+AV628+AZ628+BD628</f>
        <v>4495.76</v>
      </c>
      <c r="BH628" s="35">
        <f t="shared" si="1649"/>
        <v>0.2224</v>
      </c>
      <c r="BI628" s="15"/>
      <c r="BJ628" s="15"/>
      <c r="BK628" s="15"/>
      <c r="BL628" s="15"/>
    </row>
    <row r="629" ht="15.75" customHeight="1" hidden="1" spans="1:64" x14ac:dyDescent="0.25">
      <c r="A629" s="29">
        <v>87</v>
      </c>
      <c r="B629" s="14"/>
      <c r="C629" s="15"/>
      <c r="D629" s="14" t="s">
        <v>51</v>
      </c>
      <c r="E629" s="15" t="s">
        <v>49</v>
      </c>
      <c r="F629" s="41">
        <v>0</v>
      </c>
      <c r="G629" s="28"/>
      <c r="H629" s="34"/>
      <c r="I629" s="13"/>
      <c r="J629" s="15"/>
      <c r="K629" s="34"/>
      <c r="L629" s="35"/>
      <c r="M629" s="15"/>
      <c r="N629" s="15"/>
      <c r="O629" s="34"/>
      <c r="P629" s="34"/>
      <c r="Q629" s="13"/>
      <c r="R629" s="15"/>
      <c r="S629" s="34"/>
      <c r="T629" s="35"/>
      <c r="U629" s="15"/>
      <c r="V629" s="15"/>
      <c r="W629" s="34"/>
      <c r="X629" s="34"/>
      <c r="Y629" s="13"/>
      <c r="Z629" s="15"/>
      <c r="AA629" s="34"/>
      <c r="AB629" s="35"/>
      <c r="AC629" s="15"/>
      <c r="AD629" s="15"/>
      <c r="AE629" s="34"/>
      <c r="AF629" s="34"/>
      <c r="AG629" s="13"/>
      <c r="AH629" s="15"/>
      <c r="AI629" s="15"/>
      <c r="AJ629" s="28"/>
      <c r="AK629" s="13"/>
      <c r="AL629" s="15"/>
      <c r="AM629" s="15"/>
      <c r="AN629" s="28"/>
      <c r="AO629" s="13"/>
      <c r="AP629" s="15"/>
      <c r="AQ629" s="15"/>
      <c r="AR629" s="28"/>
      <c r="AS629" s="15"/>
      <c r="AT629" s="15"/>
      <c r="AU629" s="15"/>
      <c r="AV629" s="15"/>
      <c r="AW629" s="13"/>
      <c r="AX629" s="15"/>
      <c r="AY629" s="15"/>
      <c r="AZ629" s="28"/>
      <c r="BA629" s="15"/>
      <c r="BB629" s="15"/>
      <c r="BC629" s="15"/>
      <c r="BD629" s="15"/>
      <c r="BE629" s="14"/>
      <c r="BF629" s="41">
        <f>B625*$F$13</f>
        <v>0</v>
      </c>
      <c r="BG629" s="34">
        <f t="shared" si="1652"/>
        <v>0</v>
      </c>
      <c r="BH629" s="35">
        <f t="shared" si="1649"/>
        <v>0</v>
      </c>
      <c r="BI629" s="15"/>
      <c r="BJ629" s="15"/>
      <c r="BK629" s="15"/>
      <c r="BL629" s="15"/>
    </row>
    <row r="630" ht="15.75" customHeight="1" hidden="1" spans="1:64" x14ac:dyDescent="0.25">
      <c r="A630" s="29">
        <v>87</v>
      </c>
      <c r="B630" s="14"/>
      <c r="C630" s="15"/>
      <c r="D630" s="14" t="s">
        <v>52</v>
      </c>
      <c r="E630" s="15" t="s">
        <v>39</v>
      </c>
      <c r="F630" s="41">
        <v>350</v>
      </c>
      <c r="G630" s="28"/>
      <c r="H630" s="34"/>
      <c r="I630" s="13"/>
      <c r="J630" s="15"/>
      <c r="K630" s="34"/>
      <c r="L630" s="35"/>
      <c r="M630" s="15"/>
      <c r="N630" s="15"/>
      <c r="O630" s="34"/>
      <c r="P630" s="34"/>
      <c r="Q630" s="13"/>
      <c r="R630" s="15"/>
      <c r="S630" s="34"/>
      <c r="T630" s="35"/>
      <c r="U630" s="15"/>
      <c r="V630" s="15"/>
      <c r="W630" s="34"/>
      <c r="X630" s="34"/>
      <c r="Y630" s="13"/>
      <c r="Z630" s="15"/>
      <c r="AA630" s="34">
        <f>$F$14</f>
        <v>350</v>
      </c>
      <c r="AB630" s="35"/>
      <c r="AC630" s="15"/>
      <c r="AD630" s="15"/>
      <c r="AE630" s="34"/>
      <c r="AF630" s="34"/>
      <c r="AG630" s="13"/>
      <c r="AH630" s="15"/>
      <c r="AI630" s="15"/>
      <c r="AJ630" s="28"/>
      <c r="AK630" s="13"/>
      <c r="AL630" s="15"/>
      <c r="AM630" s="15"/>
      <c r="AN630" s="38">
        <v>350</v>
      </c>
      <c r="AO630" s="13"/>
      <c r="AP630" s="15"/>
      <c r="AQ630" s="15"/>
      <c r="AR630" s="28"/>
      <c r="AS630" s="15"/>
      <c r="AT630" s="15"/>
      <c r="AU630" s="15"/>
      <c r="AV630" s="15"/>
      <c r="AW630" s="13"/>
      <c r="AX630" s="15"/>
      <c r="AY630" s="15"/>
      <c r="AZ630" s="28"/>
      <c r="BA630" s="15"/>
      <c r="BB630" s="15"/>
      <c r="BC630" s="15"/>
      <c r="BD630" s="15"/>
      <c r="BE630" s="14"/>
      <c r="BF630" s="41">
        <f>$F$14</f>
        <v>350</v>
      </c>
      <c r="BG630" s="34">
        <f t="shared" si="1652"/>
        <v>350</v>
      </c>
      <c r="BH630" s="35">
        <f t="shared" si="1649"/>
        <v>0</v>
      </c>
      <c r="BI630" s="15"/>
      <c r="BJ630" s="15"/>
      <c r="BK630" s="15"/>
      <c r="BL630" s="15"/>
    </row>
    <row r="631" ht="15.75" customHeight="1" hidden="1" spans="1:62" x14ac:dyDescent="0.25">
      <c r="A631" s="50">
        <v>87</v>
      </c>
      <c r="B631" s="21"/>
      <c r="C631" s="22" t="s">
        <v>53</v>
      </c>
      <c r="D631" s="21"/>
      <c r="E631" s="22"/>
      <c r="F631" s="20"/>
      <c r="G631" s="23"/>
      <c r="H631" s="51">
        <f>SUM(H624:H630)</f>
        <v>0</v>
      </c>
      <c r="I631" s="52"/>
      <c r="J631" s="53"/>
      <c r="K631" s="51">
        <f t="shared" ref="K631:L631" si="1653">SUM(K624:K630)</f>
        <v>0</v>
      </c>
      <c r="L631" s="68">
        <f t="shared" si="1653"/>
        <v>0</v>
      </c>
      <c r="M631" s="53"/>
      <c r="N631" s="53"/>
      <c r="O631" s="51">
        <f t="shared" ref="O631:P631" si="1654">SUM(O625:O630)</f>
        <v>0</v>
      </c>
      <c r="P631" s="51">
        <f t="shared" si="1654"/>
        <v>0</v>
      </c>
      <c r="Q631" s="52"/>
      <c r="R631" s="53"/>
      <c r="S631" s="51">
        <f t="shared" ref="S631:T631" si="1655">SUM(S625:S630)</f>
        <v>0</v>
      </c>
      <c r="T631" s="68">
        <f t="shared" si="1655"/>
        <v>0</v>
      </c>
      <c r="U631" s="53"/>
      <c r="V631" s="53"/>
      <c r="W631" s="51">
        <f t="shared" ref="W631:X631" si="1656">SUM(W625:W630)</f>
        <v>0</v>
      </c>
      <c r="X631" s="51">
        <f t="shared" si="1656"/>
        <v>0</v>
      </c>
      <c r="Y631" s="52"/>
      <c r="Z631" s="53"/>
      <c r="AA631" s="51">
        <f t="shared" ref="AA631:AB631" si="1657">SUM(AA625:AA630)</f>
        <v>362.45</v>
      </c>
      <c r="AB631" s="68">
        <f t="shared" si="1657"/>
        <v>0</v>
      </c>
      <c r="AC631" s="53"/>
      <c r="AD631" s="53"/>
      <c r="AE631" s="51">
        <f t="shared" ref="AE631:AF631" si="1658">SUM(AE625:AE630)</f>
        <v>4555.7424</v>
      </c>
      <c r="AF631" s="51">
        <f t="shared" si="1658"/>
        <v>0</v>
      </c>
      <c r="AG631" s="52"/>
      <c r="AH631" s="53"/>
      <c r="AI631" s="51">
        <f t="shared" ref="AI631:AJ631" si="1659">SUM(AI625:AI630)</f>
        <v>42.33</v>
      </c>
      <c r="AJ631" s="68">
        <f t="shared" si="1659"/>
        <v>0</v>
      </c>
      <c r="AK631" s="52"/>
      <c r="AL631" s="53"/>
      <c r="AM631" s="51">
        <f t="shared" ref="AM631:AN631" si="1660">SUM(AM625:AM630)</f>
        <v>282.13</v>
      </c>
      <c r="AN631" s="68">
        <f t="shared" si="1660"/>
        <v>5190.14</v>
      </c>
      <c r="AO631" s="52"/>
      <c r="AP631" s="53"/>
      <c r="AQ631" s="51">
        <f t="shared" ref="AQ631:AR631" si="1661">SUM(AQ625:AQ630)</f>
        <v>32.37</v>
      </c>
      <c r="AR631" s="68">
        <f t="shared" si="1661"/>
        <v>0</v>
      </c>
      <c r="AS631" s="53"/>
      <c r="AT631" s="53"/>
      <c r="AU631" s="51">
        <f t="shared" ref="AU631:AV631" si="1662">SUM(AU625:AU630)</f>
        <v>14.94</v>
      </c>
      <c r="AV631" s="51">
        <f t="shared" si="1662"/>
        <v>0</v>
      </c>
      <c r="AW631" s="52"/>
      <c r="AX631" s="53"/>
      <c r="AY631" s="51">
        <f t="shared" ref="AY631:AZ631" si="1663">SUM(AY625:AY630)</f>
        <v>0</v>
      </c>
      <c r="AZ631" s="68">
        <f t="shared" si="1663"/>
        <v>0</v>
      </c>
      <c r="BA631" s="53"/>
      <c r="BB631" s="53"/>
      <c r="BC631" s="51">
        <f t="shared" ref="BC631:BD631" si="1664">SUM(BC625:BC630)</f>
        <v>0</v>
      </c>
      <c r="BD631" s="51">
        <f t="shared" si="1664"/>
        <v>0</v>
      </c>
      <c r="BE631" s="69"/>
      <c r="BF631" s="70">
        <f t="shared" ref="BF631:BH631" si="1665">SUM(BF624:BF630)</f>
        <v>5289.9624</v>
      </c>
      <c r="BG631" s="71">
        <f t="shared" si="1665"/>
        <v>5190.14</v>
      </c>
      <c r="BH631" s="72">
        <f t="shared" si="1665"/>
        <v>99.8224</v>
      </c>
      <c r="BI631" s="34">
        <f>H631+BF631-BG631</f>
        <v>99.8224</v>
      </c>
      <c r="BJ631" s="34">
        <f>BH631-BI631</f>
        <v>0</v>
      </c>
    </row>
    <row r="632" ht="15.75" customHeight="1" hidden="1" spans="1:64" x14ac:dyDescent="0.25">
      <c r="A632" s="29">
        <v>89</v>
      </c>
      <c r="B632" s="14"/>
      <c r="C632" s="15"/>
      <c r="D632" s="14" t="s">
        <v>42</v>
      </c>
      <c r="E632" s="15"/>
      <c r="F632" s="13"/>
      <c r="G632" s="28"/>
      <c r="H632" s="34"/>
      <c r="I632" s="13"/>
      <c r="J632" s="15"/>
      <c r="K632" s="34"/>
      <c r="L632" s="35"/>
      <c r="M632" s="15"/>
      <c r="N632" s="15"/>
      <c r="O632" s="34"/>
      <c r="P632" s="34"/>
      <c r="Q632" s="13"/>
      <c r="R632" s="15"/>
      <c r="S632" s="34"/>
      <c r="T632" s="35"/>
      <c r="U632" s="15"/>
      <c r="V632" s="15"/>
      <c r="W632" s="34"/>
      <c r="X632" s="34"/>
      <c r="Y632" s="13"/>
      <c r="Z632" s="15"/>
      <c r="AA632" s="34"/>
      <c r="AB632" s="35"/>
      <c r="AC632" s="15"/>
      <c r="AD632" s="15"/>
      <c r="AE632" s="34"/>
      <c r="AF632" s="34"/>
      <c r="AG632" s="13"/>
      <c r="AH632" s="15"/>
      <c r="AI632" s="34"/>
      <c r="AJ632" s="35"/>
      <c r="AK632" s="13"/>
      <c r="AL632" s="15"/>
      <c r="AM632" s="34"/>
      <c r="AN632" s="35"/>
      <c r="AO632" s="13"/>
      <c r="AP632" s="15"/>
      <c r="AQ632" s="34"/>
      <c r="AR632" s="35"/>
      <c r="AS632" s="15"/>
      <c r="AT632" s="15"/>
      <c r="AU632" s="34"/>
      <c r="AV632" s="34"/>
      <c r="AW632" s="13"/>
      <c r="AX632" s="15"/>
      <c r="AY632" s="34"/>
      <c r="AZ632" s="35"/>
      <c r="BA632" s="15"/>
      <c r="BB632" s="15"/>
      <c r="BC632" s="34"/>
      <c r="BD632" s="34"/>
      <c r="BE632" s="42"/>
      <c r="BF632" s="46"/>
      <c r="BG632" s="39"/>
      <c r="BH632" s="38"/>
      <c r="BI632" s="15"/>
      <c r="BJ632" s="15"/>
      <c r="BK632" s="15"/>
      <c r="BL632" s="15"/>
    </row>
    <row r="633" ht="15.75" customHeight="1" hidden="1" spans="1:64" x14ac:dyDescent="0.25">
      <c r="A633" s="2">
        <v>89</v>
      </c>
      <c r="B633" s="14">
        <v>4.25</v>
      </c>
      <c r="C633" s="15" t="s">
        <v>286</v>
      </c>
      <c r="D633" s="14" t="s">
        <v>44</v>
      </c>
      <c r="E633" s="15" t="s">
        <v>45</v>
      </c>
      <c r="F633" s="13">
        <v>2.49</v>
      </c>
      <c r="G633" s="28"/>
      <c r="H633" s="104"/>
      <c r="I633" s="13"/>
      <c r="J633" s="15"/>
      <c r="K633" s="34"/>
      <c r="L633" s="35"/>
      <c r="M633" s="15"/>
      <c r="N633" s="15"/>
      <c r="O633" s="34"/>
      <c r="P633" s="34"/>
      <c r="Q633" s="13"/>
      <c r="R633" s="15"/>
      <c r="S633" s="34"/>
      <c r="T633" s="35"/>
      <c r="U633" s="15"/>
      <c r="V633" s="15"/>
      <c r="W633" s="34"/>
      <c r="X633" s="34"/>
      <c r="Y633" s="13"/>
      <c r="Z633" s="15">
        <f>Y633-U633</f>
        <v>0</v>
      </c>
      <c r="AA633" s="34">
        <f>Z633*$F$8</f>
        <v>0</v>
      </c>
      <c r="AB633" s="35"/>
      <c r="AC633" s="15"/>
      <c r="AD633" s="15">
        <f t="shared" ref="AD633:AD634" si="1666">AC633-Y633</f>
        <v>0</v>
      </c>
      <c r="AE633" s="34">
        <f>AD633*$F$8</f>
        <v>0</v>
      </c>
      <c r="AF633" s="34"/>
      <c r="AG633" s="13"/>
      <c r="AH633" s="15">
        <f t="shared" ref="AH633:AH634" si="1667">AG633-AC633</f>
        <v>0</v>
      </c>
      <c r="AI633" s="34">
        <f>AH633*$F$8</f>
        <v>0</v>
      </c>
      <c r="AJ633" s="28"/>
      <c r="AK633" s="13"/>
      <c r="AL633" s="15">
        <f t="shared" ref="AL633:AL634" si="1668">AK633-AG633</f>
        <v>0</v>
      </c>
      <c r="AM633" s="34">
        <f>AL633*$F$8</f>
        <v>0</v>
      </c>
      <c r="AN633" s="28"/>
      <c r="AO633" s="13"/>
      <c r="AP633" s="15"/>
      <c r="AQ633" s="34">
        <f>AP633*$F$8</f>
        <v>0</v>
      </c>
      <c r="AR633" s="28"/>
      <c r="AS633" s="15"/>
      <c r="AT633" s="15"/>
      <c r="AU633" s="34">
        <f>AT633*$F$8</f>
        <v>0</v>
      </c>
      <c r="AV633" s="15"/>
      <c r="AW633" s="13"/>
      <c r="AX633" s="15"/>
      <c r="AY633" s="34">
        <f>AX633*$F$8</f>
        <v>0</v>
      </c>
      <c r="AZ633" s="28"/>
      <c r="BA633" s="15"/>
      <c r="BB633" s="15"/>
      <c r="BC633" s="34">
        <f>BB633*$F$8</f>
        <v>0</v>
      </c>
      <c r="BD633" s="15"/>
      <c r="BE633" s="40">
        <f t="shared" ref="BE633:BG633" si="1669">J633+N633+R633+V633+Z633+AD633+AH633+AL633+AP633+AT633+AX633+BB633</f>
        <v>0</v>
      </c>
      <c r="BF633" s="41">
        <f t="shared" si="1669"/>
        <v>0</v>
      </c>
      <c r="BG633" s="34">
        <f t="shared" si="1669"/>
        <v>0</v>
      </c>
      <c r="BH633" s="35">
        <f t="shared" ref="BH633:BH638" si="1670">H633+BF633-BG633</f>
        <v>0</v>
      </c>
      <c r="BI633" s="15"/>
      <c r="BJ633" s="15"/>
      <c r="BK633" s="15"/>
      <c r="BL633" s="15"/>
    </row>
    <row r="634" ht="15.75" customHeight="1" hidden="1" spans="1:64" x14ac:dyDescent="0.25">
      <c r="A634" s="29">
        <v>89</v>
      </c>
      <c r="B634" s="14"/>
      <c r="C634" s="15" t="s">
        <v>163</v>
      </c>
      <c r="D634" s="14" t="s">
        <v>47</v>
      </c>
      <c r="E634" s="15" t="s">
        <v>48</v>
      </c>
      <c r="F634" s="13">
        <v>17.16</v>
      </c>
      <c r="G634" s="28"/>
      <c r="H634" s="33">
        <v>-17.16</v>
      </c>
      <c r="I634" s="13"/>
      <c r="J634" s="15"/>
      <c r="K634" s="34"/>
      <c r="L634" s="35"/>
      <c r="M634" s="15"/>
      <c r="N634" s="15"/>
      <c r="O634" s="34"/>
      <c r="P634" s="34"/>
      <c r="Q634" s="13"/>
      <c r="R634" s="15"/>
      <c r="S634" s="34"/>
      <c r="T634" s="35"/>
      <c r="U634" s="15"/>
      <c r="V634" s="15"/>
      <c r="W634" s="34"/>
      <c r="X634" s="34"/>
      <c r="Y634" s="13">
        <v>81</v>
      </c>
      <c r="Z634" s="15"/>
      <c r="AA634" s="34"/>
      <c r="AB634" s="35"/>
      <c r="AC634" s="15">
        <v>81</v>
      </c>
      <c r="AD634" s="15">
        <f t="shared" si="1666"/>
        <v>0</v>
      </c>
      <c r="AE634" s="34">
        <f>AD634*$F$10</f>
        <v>0</v>
      </c>
      <c r="AF634" s="34"/>
      <c r="AG634" s="13">
        <v>81</v>
      </c>
      <c r="AH634" s="15">
        <f t="shared" si="1667"/>
        <v>0</v>
      </c>
      <c r="AI634" s="45">
        <f>AH634*$G$10</f>
        <v>0</v>
      </c>
      <c r="AJ634" s="28"/>
      <c r="AK634" s="13">
        <v>89</v>
      </c>
      <c r="AL634" s="15">
        <f t="shared" si="1668"/>
        <v>8</v>
      </c>
      <c r="AM634" s="45">
        <f>AL634*$G$10</f>
        <v>141.44</v>
      </c>
      <c r="AN634" s="32">
        <v>124.28</v>
      </c>
      <c r="AO634" s="13">
        <v>96</v>
      </c>
      <c r="AP634" s="15">
        <f>AO634-AK634</f>
        <v>7</v>
      </c>
      <c r="AQ634" s="45">
        <f>AP634*$G$10</f>
        <v>123.76</v>
      </c>
      <c r="AR634" s="32">
        <v>123.76</v>
      </c>
      <c r="AS634" s="15"/>
      <c r="AT634" s="15"/>
      <c r="AU634" s="15"/>
      <c r="AV634" s="15"/>
      <c r="AW634" s="13"/>
      <c r="AX634" s="15"/>
      <c r="AY634" s="15"/>
      <c r="AZ634" s="28"/>
      <c r="BA634" s="15"/>
      <c r="BB634" s="15"/>
      <c r="BC634" s="15"/>
      <c r="BD634" s="15"/>
      <c r="BE634" s="40">
        <f t="shared" ref="BE634:BG634" si="1671">J634+N634+R634+V634+Z634+AD634+AH634+AL634+AP634+AT634+AX634+BB634</f>
        <v>15</v>
      </c>
      <c r="BF634" s="41">
        <f t="shared" si="1671"/>
        <v>265.2</v>
      </c>
      <c r="BG634" s="34">
        <f t="shared" si="1671"/>
        <v>248.04</v>
      </c>
      <c r="BH634" s="35">
        <f t="shared" si="1670"/>
        <v>0</v>
      </c>
      <c r="BI634" s="15"/>
      <c r="BJ634" s="15"/>
      <c r="BK634" s="15"/>
      <c r="BL634" s="15"/>
    </row>
    <row r="635" ht="15.75" customHeight="1" hidden="1" spans="1:64" x14ac:dyDescent="0.25">
      <c r="A635" s="29">
        <v>89</v>
      </c>
      <c r="B635" s="14"/>
      <c r="C635" s="15" t="s">
        <v>107</v>
      </c>
      <c r="D635" s="14" t="s">
        <v>47</v>
      </c>
      <c r="E635" s="15" t="s">
        <v>49</v>
      </c>
      <c r="F635" s="41">
        <v>300</v>
      </c>
      <c r="G635" s="28"/>
      <c r="H635" s="34"/>
      <c r="I635" s="13"/>
      <c r="J635" s="15"/>
      <c r="K635" s="34"/>
      <c r="L635" s="35"/>
      <c r="M635" s="15"/>
      <c r="N635" s="15"/>
      <c r="O635" s="34"/>
      <c r="P635" s="34"/>
      <c r="Q635" s="13"/>
      <c r="R635" s="15"/>
      <c r="S635" s="34"/>
      <c r="T635" s="35"/>
      <c r="U635" s="15"/>
      <c r="V635" s="15"/>
      <c r="W635" s="34"/>
      <c r="X635" s="34"/>
      <c r="Y635" s="13"/>
      <c r="Z635" s="15"/>
      <c r="AA635" s="34"/>
      <c r="AB635" s="35"/>
      <c r="AC635" s="15"/>
      <c r="AD635" s="15"/>
      <c r="AE635" s="34"/>
      <c r="AF635" s="34"/>
      <c r="AG635" s="13"/>
      <c r="AH635" s="15"/>
      <c r="AI635" s="15"/>
      <c r="AJ635" s="28"/>
      <c r="AK635" s="13"/>
      <c r="AL635" s="15"/>
      <c r="AM635" s="34"/>
      <c r="AN635" s="28"/>
      <c r="AO635" s="13"/>
      <c r="AP635" s="15"/>
      <c r="AQ635" s="34"/>
      <c r="AR635" s="28"/>
      <c r="AS635" s="15"/>
      <c r="AT635" s="15"/>
      <c r="AU635" s="15"/>
      <c r="AV635" s="15"/>
      <c r="AW635" s="13"/>
      <c r="AX635" s="15"/>
      <c r="AY635" s="15"/>
      <c r="AZ635" s="28"/>
      <c r="BA635" s="15"/>
      <c r="BB635" s="15"/>
      <c r="BC635" s="15"/>
      <c r="BD635" s="15"/>
      <c r="BE635" s="14"/>
      <c r="BF635" s="41">
        <f t="shared" ref="BF635:BG635" si="1672">K635+O635+S635+W635+AA635+AE635+AI635+AM635+AQ635+AU635+AY635+BC635</f>
        <v>0</v>
      </c>
      <c r="BG635" s="34">
        <f t="shared" si="1672"/>
        <v>0</v>
      </c>
      <c r="BH635" s="35">
        <f t="shared" si="1670"/>
        <v>0</v>
      </c>
      <c r="BI635" s="15"/>
      <c r="BJ635" s="15"/>
      <c r="BK635" s="15"/>
      <c r="BL635" s="15"/>
    </row>
    <row r="636" ht="15.75" customHeight="1" hidden="1" spans="1:64" x14ac:dyDescent="0.25">
      <c r="A636" s="29">
        <v>89</v>
      </c>
      <c r="B636" s="14"/>
      <c r="C636" s="15" t="s">
        <v>287</v>
      </c>
      <c r="D636" s="14" t="s">
        <v>50</v>
      </c>
      <c r="E636" s="15" t="s">
        <v>49</v>
      </c>
      <c r="F636" s="41">
        <v>1062.88</v>
      </c>
      <c r="G636" s="28"/>
      <c r="H636" s="34"/>
      <c r="I636" s="13"/>
      <c r="J636" s="15"/>
      <c r="K636" s="34"/>
      <c r="L636" s="35"/>
      <c r="M636" s="15"/>
      <c r="N636" s="15"/>
      <c r="O636" s="34"/>
      <c r="P636" s="34"/>
      <c r="Q636" s="13"/>
      <c r="R636" s="15"/>
      <c r="S636" s="34"/>
      <c r="T636" s="35"/>
      <c r="U636" s="15"/>
      <c r="V636" s="15"/>
      <c r="W636" s="34"/>
      <c r="X636" s="34"/>
      <c r="Y636" s="13"/>
      <c r="Z636" s="15"/>
      <c r="AA636" s="34"/>
      <c r="AB636" s="35"/>
      <c r="AC636" s="15"/>
      <c r="AD636" s="15"/>
      <c r="AE636" s="34">
        <f>B633*$F$12</f>
        <v>4517.24</v>
      </c>
      <c r="AF636" s="34">
        <v>4517.24</v>
      </c>
      <c r="AG636" s="13"/>
      <c r="AH636" s="15"/>
      <c r="AI636" s="15"/>
      <c r="AJ636" s="35"/>
      <c r="AK636" s="13"/>
      <c r="AL636" s="15"/>
      <c r="AM636" s="15"/>
      <c r="AN636" s="28"/>
      <c r="AO636" s="13"/>
      <c r="AP636" s="15"/>
      <c r="AQ636" s="15"/>
      <c r="AR636" s="28"/>
      <c r="AS636" s="15"/>
      <c r="AT636" s="15"/>
      <c r="AU636" s="15"/>
      <c r="AV636" s="15"/>
      <c r="AW636" s="13"/>
      <c r="AX636" s="15"/>
      <c r="AY636" s="15"/>
      <c r="AZ636" s="28"/>
      <c r="BA636" s="15"/>
      <c r="BB636" s="15"/>
      <c r="BC636" s="15"/>
      <c r="BD636" s="15"/>
      <c r="BE636" s="14"/>
      <c r="BF636" s="41">
        <f>B633*$F$12</f>
        <v>4517.24</v>
      </c>
      <c r="BG636" s="34">
        <f t="shared" ref="BG636:BG638" si="1673">L636+P636+T636+X636+AB636+AF636+AJ636+AN636+AR636+AV636+AZ636+BD636</f>
        <v>4517.24</v>
      </c>
      <c r="BH636" s="35">
        <f t="shared" si="1670"/>
        <v>0</v>
      </c>
      <c r="BI636" s="15"/>
      <c r="BJ636" s="15"/>
      <c r="BK636" s="15"/>
      <c r="BL636" s="15"/>
    </row>
    <row r="637" ht="15.75" customHeight="1" hidden="1" spans="1:64" x14ac:dyDescent="0.25">
      <c r="A637" s="29">
        <v>89</v>
      </c>
      <c r="B637" s="14"/>
      <c r="C637" s="15"/>
      <c r="D637" s="14" t="s">
        <v>51</v>
      </c>
      <c r="E637" s="15" t="s">
        <v>49</v>
      </c>
      <c r="F637" s="41">
        <v>0</v>
      </c>
      <c r="G637" s="28"/>
      <c r="H637" s="34"/>
      <c r="I637" s="13"/>
      <c r="J637" s="15"/>
      <c r="K637" s="34"/>
      <c r="L637" s="35"/>
      <c r="M637" s="15"/>
      <c r="N637" s="15"/>
      <c r="O637" s="34"/>
      <c r="P637" s="34"/>
      <c r="Q637" s="13"/>
      <c r="R637" s="15"/>
      <c r="S637" s="34"/>
      <c r="T637" s="35"/>
      <c r="U637" s="15"/>
      <c r="V637" s="15"/>
      <c r="W637" s="34"/>
      <c r="X637" s="34"/>
      <c r="Y637" s="13"/>
      <c r="Z637" s="15"/>
      <c r="AA637" s="34"/>
      <c r="AB637" s="35"/>
      <c r="AC637" s="15"/>
      <c r="AD637" s="15"/>
      <c r="AE637" s="34"/>
      <c r="AF637" s="34"/>
      <c r="AG637" s="13"/>
      <c r="AH637" s="15"/>
      <c r="AI637" s="15"/>
      <c r="AJ637" s="28"/>
      <c r="AK637" s="13"/>
      <c r="AL637" s="15"/>
      <c r="AM637" s="15"/>
      <c r="AN637" s="28"/>
      <c r="AO637" s="13"/>
      <c r="AP637" s="15"/>
      <c r="AQ637" s="15"/>
      <c r="AR637" s="28"/>
      <c r="AS637" s="15"/>
      <c r="AT637" s="15"/>
      <c r="AU637" s="15"/>
      <c r="AV637" s="15"/>
      <c r="AW637" s="13"/>
      <c r="AX637" s="15"/>
      <c r="AY637" s="15"/>
      <c r="AZ637" s="28"/>
      <c r="BA637" s="15"/>
      <c r="BB637" s="15"/>
      <c r="BC637" s="15"/>
      <c r="BD637" s="15"/>
      <c r="BE637" s="14"/>
      <c r="BF637" s="41">
        <f>B633*$F$13</f>
        <v>0</v>
      </c>
      <c r="BG637" s="34">
        <f t="shared" si="1673"/>
        <v>0</v>
      </c>
      <c r="BH637" s="35">
        <f t="shared" si="1670"/>
        <v>0</v>
      </c>
      <c r="BI637" s="15"/>
      <c r="BJ637" s="15"/>
      <c r="BK637" s="15"/>
      <c r="BL637" s="15"/>
    </row>
    <row r="638" ht="15.75" customHeight="1" hidden="1" spans="1:64" x14ac:dyDescent="0.25">
      <c r="A638" s="29">
        <v>89</v>
      </c>
      <c r="B638" s="14"/>
      <c r="C638" s="15"/>
      <c r="D638" s="14" t="s">
        <v>52</v>
      </c>
      <c r="E638" s="15" t="s">
        <v>39</v>
      </c>
      <c r="F638" s="41">
        <v>350</v>
      </c>
      <c r="G638" s="28"/>
      <c r="H638" s="34"/>
      <c r="I638" s="13"/>
      <c r="J638" s="15"/>
      <c r="K638" s="34"/>
      <c r="L638" s="35"/>
      <c r="M638" s="15"/>
      <c r="N638" s="15"/>
      <c r="O638" s="34"/>
      <c r="P638" s="34"/>
      <c r="Q638" s="13"/>
      <c r="R638" s="15"/>
      <c r="S638" s="34"/>
      <c r="T638" s="35"/>
      <c r="U638" s="15"/>
      <c r="V638" s="15"/>
      <c r="W638" s="34"/>
      <c r="X638" s="34"/>
      <c r="Y638" s="13"/>
      <c r="Z638" s="15"/>
      <c r="AA638" s="34">
        <f>$F$14</f>
        <v>350</v>
      </c>
      <c r="AB638" s="35">
        <v>350</v>
      </c>
      <c r="AC638" s="15"/>
      <c r="AD638" s="15"/>
      <c r="AE638" s="34"/>
      <c r="AF638" s="34"/>
      <c r="AG638" s="13"/>
      <c r="AH638" s="15"/>
      <c r="AI638" s="15"/>
      <c r="AJ638" s="28"/>
      <c r="AK638" s="13"/>
      <c r="AL638" s="15"/>
      <c r="AM638" s="15"/>
      <c r="AN638" s="28"/>
      <c r="AO638" s="13"/>
      <c r="AP638" s="15"/>
      <c r="AQ638" s="15"/>
      <c r="AR638" s="28"/>
      <c r="AS638" s="15"/>
      <c r="AT638" s="15"/>
      <c r="AU638" s="15"/>
      <c r="AV638" s="15"/>
      <c r="AW638" s="13"/>
      <c r="AX638" s="15"/>
      <c r="AY638" s="15"/>
      <c r="AZ638" s="28"/>
      <c r="BA638" s="15"/>
      <c r="BB638" s="15"/>
      <c r="BC638" s="15"/>
      <c r="BD638" s="15"/>
      <c r="BE638" s="14"/>
      <c r="BF638" s="41">
        <f>$F$14</f>
        <v>350</v>
      </c>
      <c r="BG638" s="34">
        <f t="shared" si="1673"/>
        <v>350</v>
      </c>
      <c r="BH638" s="35">
        <f t="shared" si="1670"/>
        <v>0</v>
      </c>
      <c r="BI638" s="15"/>
      <c r="BJ638" s="15"/>
      <c r="BK638" s="15"/>
      <c r="BL638" s="15"/>
    </row>
    <row r="639" ht="15.75" customHeight="1" hidden="1" spans="1:62" x14ac:dyDescent="0.25">
      <c r="A639" s="50">
        <v>89</v>
      </c>
      <c r="B639" s="21"/>
      <c r="C639" s="22" t="s">
        <v>53</v>
      </c>
      <c r="D639" s="21"/>
      <c r="E639" s="22"/>
      <c r="F639" s="20"/>
      <c r="G639" s="23"/>
      <c r="H639" s="51">
        <f>SUM(H632:H638)</f>
        <v>-17.16</v>
      </c>
      <c r="I639" s="52"/>
      <c r="J639" s="53"/>
      <c r="K639" s="51">
        <f t="shared" ref="K639:L639" si="1674">SUM(K632:K638)</f>
        <v>0</v>
      </c>
      <c r="L639" s="68">
        <f t="shared" si="1674"/>
        <v>0</v>
      </c>
      <c r="M639" s="53"/>
      <c r="N639" s="53"/>
      <c r="O639" s="51">
        <f t="shared" ref="O639:P639" si="1675">SUM(O633:O638)</f>
        <v>0</v>
      </c>
      <c r="P639" s="51">
        <f t="shared" si="1675"/>
        <v>0</v>
      </c>
      <c r="Q639" s="52"/>
      <c r="R639" s="53"/>
      <c r="S639" s="51">
        <f t="shared" ref="S639:T639" si="1676">SUM(S633:S638)</f>
        <v>0</v>
      </c>
      <c r="T639" s="68">
        <f t="shared" si="1676"/>
        <v>0</v>
      </c>
      <c r="U639" s="53"/>
      <c r="V639" s="53"/>
      <c r="W639" s="51">
        <f t="shared" ref="W639:X639" si="1677">SUM(W633:W638)</f>
        <v>0</v>
      </c>
      <c r="X639" s="51">
        <f t="shared" si="1677"/>
        <v>0</v>
      </c>
      <c r="Y639" s="52"/>
      <c r="Z639" s="53"/>
      <c r="AA639" s="51">
        <f t="shared" ref="AA639:AB639" si="1678">SUM(AA633:AA638)</f>
        <v>350</v>
      </c>
      <c r="AB639" s="68">
        <f t="shared" si="1678"/>
        <v>350</v>
      </c>
      <c r="AC639" s="53"/>
      <c r="AD639" s="53"/>
      <c r="AE639" s="51">
        <f t="shared" ref="AE639:AF639" si="1679">SUM(AE633:AE638)</f>
        <v>4517.24</v>
      </c>
      <c r="AF639" s="51">
        <f t="shared" si="1679"/>
        <v>4517.24</v>
      </c>
      <c r="AG639" s="52"/>
      <c r="AH639" s="53"/>
      <c r="AI639" s="51">
        <f t="shared" ref="AI639:AJ639" si="1680">SUM(AI633:AI638)</f>
        <v>0</v>
      </c>
      <c r="AJ639" s="68">
        <f t="shared" si="1680"/>
        <v>0</v>
      </c>
      <c r="AK639" s="52"/>
      <c r="AL639" s="53"/>
      <c r="AM639" s="51">
        <f t="shared" ref="AM639:AN639" si="1681">SUM(AM633:AM638)</f>
        <v>141.44</v>
      </c>
      <c r="AN639" s="68">
        <f t="shared" si="1681"/>
        <v>124.28</v>
      </c>
      <c r="AO639" s="52"/>
      <c r="AP639" s="53"/>
      <c r="AQ639" s="51">
        <f t="shared" ref="AQ639:AR639" si="1682">SUM(AQ633:AQ638)</f>
        <v>123.76</v>
      </c>
      <c r="AR639" s="68">
        <f t="shared" si="1682"/>
        <v>123.76</v>
      </c>
      <c r="AS639" s="53"/>
      <c r="AT639" s="53"/>
      <c r="AU639" s="51">
        <f t="shared" ref="AU639:AV639" si="1683">SUM(AU633:AU638)</f>
        <v>0</v>
      </c>
      <c r="AV639" s="51">
        <f t="shared" si="1683"/>
        <v>0</v>
      </c>
      <c r="AW639" s="52"/>
      <c r="AX639" s="53"/>
      <c r="AY639" s="51">
        <f t="shared" ref="AY639:AZ639" si="1684">SUM(AY633:AY638)</f>
        <v>0</v>
      </c>
      <c r="AZ639" s="68">
        <f t="shared" si="1684"/>
        <v>0</v>
      </c>
      <c r="BA639" s="53"/>
      <c r="BB639" s="53"/>
      <c r="BC639" s="51">
        <f t="shared" ref="BC639:BD639" si="1685">SUM(BC633:BC638)</f>
        <v>0</v>
      </c>
      <c r="BD639" s="51">
        <f t="shared" si="1685"/>
        <v>0</v>
      </c>
      <c r="BE639" s="69"/>
      <c r="BF639" s="70">
        <f t="shared" ref="BF639:BH639" si="1686">SUM(BF632:BF638)</f>
        <v>5132.44</v>
      </c>
      <c r="BG639" s="71">
        <f t="shared" si="1686"/>
        <v>5115.28</v>
      </c>
      <c r="BH639" s="72">
        <f t="shared" si="1686"/>
        <v>0</v>
      </c>
      <c r="BI639" s="34">
        <f>H639+BF639-BG639</f>
        <v>0</v>
      </c>
      <c r="BJ639" s="34">
        <f>BH639-BI639</f>
        <v>0</v>
      </c>
    </row>
    <row r="640" ht="15.75" customHeight="1" hidden="1" spans="1:64" x14ac:dyDescent="0.25">
      <c r="A640" s="29">
        <v>91</v>
      </c>
      <c r="B640" s="14"/>
      <c r="C640" s="15"/>
      <c r="D640" s="14" t="s">
        <v>42</v>
      </c>
      <c r="E640" s="15"/>
      <c r="F640" s="13"/>
      <c r="G640" s="28"/>
      <c r="H640" s="34"/>
      <c r="I640" s="13"/>
      <c r="J640" s="15"/>
      <c r="K640" s="34"/>
      <c r="L640" s="35"/>
      <c r="M640" s="15"/>
      <c r="N640" s="15"/>
      <c r="O640" s="34"/>
      <c r="P640" s="34"/>
      <c r="Q640" s="13"/>
      <c r="R640" s="15"/>
      <c r="S640" s="34"/>
      <c r="T640" s="35"/>
      <c r="U640" s="15"/>
      <c r="V640" s="15"/>
      <c r="W640" s="34"/>
      <c r="X640" s="34"/>
      <c r="Y640" s="13"/>
      <c r="Z640" s="15"/>
      <c r="AA640" s="34"/>
      <c r="AB640" s="35"/>
      <c r="AC640" s="15"/>
      <c r="AD640" s="15"/>
      <c r="AE640" s="34"/>
      <c r="AF640" s="34"/>
      <c r="AG640" s="13"/>
      <c r="AH640" s="15"/>
      <c r="AI640" s="34"/>
      <c r="AJ640" s="35"/>
      <c r="AK640" s="13"/>
      <c r="AL640" s="15"/>
      <c r="AM640" s="34"/>
      <c r="AN640" s="35"/>
      <c r="AO640" s="13"/>
      <c r="AP640" s="15"/>
      <c r="AQ640" s="34"/>
      <c r="AR640" s="35"/>
      <c r="AS640" s="15"/>
      <c r="AT640" s="15"/>
      <c r="AU640" s="34"/>
      <c r="AV640" s="34"/>
      <c r="AW640" s="13"/>
      <c r="AX640" s="15"/>
      <c r="AY640" s="34"/>
      <c r="AZ640" s="35"/>
      <c r="BA640" s="15"/>
      <c r="BB640" s="15"/>
      <c r="BC640" s="34"/>
      <c r="BD640" s="34"/>
      <c r="BE640" s="42"/>
      <c r="BF640" s="46"/>
      <c r="BG640" s="39"/>
      <c r="BH640" s="38"/>
      <c r="BI640" s="15"/>
      <c r="BJ640" s="15"/>
      <c r="BK640" s="15"/>
      <c r="BL640" s="15"/>
    </row>
    <row r="641" ht="15.75" customHeight="1" hidden="1" spans="1:64" x14ac:dyDescent="0.25">
      <c r="A641" s="2">
        <v>91</v>
      </c>
      <c r="B641" s="14">
        <v>4.23</v>
      </c>
      <c r="C641" s="15" t="s">
        <v>288</v>
      </c>
      <c r="D641" s="14" t="s">
        <v>44</v>
      </c>
      <c r="E641" s="15" t="s">
        <v>45</v>
      </c>
      <c r="F641" s="13">
        <v>2.49</v>
      </c>
      <c r="G641" s="28"/>
      <c r="H641" s="34">
        <v>27.39</v>
      </c>
      <c r="I641" s="13">
        <v>113</v>
      </c>
      <c r="J641" s="15">
        <v>0</v>
      </c>
      <c r="K641" s="34">
        <f>J641*$F$8</f>
        <v>0</v>
      </c>
      <c r="L641" s="35"/>
      <c r="M641" s="15">
        <v>113</v>
      </c>
      <c r="N641" s="15">
        <f>M641-I641</f>
        <v>0</v>
      </c>
      <c r="O641" s="34">
        <f>N641*$F$8</f>
        <v>0</v>
      </c>
      <c r="P641" s="34"/>
      <c r="Q641" s="13">
        <v>113</v>
      </c>
      <c r="R641" s="15">
        <f>Q641-M641</f>
        <v>0</v>
      </c>
      <c r="S641" s="34">
        <f>R641*$F$8</f>
        <v>0</v>
      </c>
      <c r="T641" s="35"/>
      <c r="U641" s="15">
        <v>114</v>
      </c>
      <c r="V641" s="15">
        <f>U641-Q641</f>
        <v>1</v>
      </c>
      <c r="W641" s="34">
        <f>V641*$F$8</f>
        <v>2.49</v>
      </c>
      <c r="X641" s="34">
        <f>27.39+2.49</f>
        <v>29.88</v>
      </c>
      <c r="Y641" s="13">
        <v>118</v>
      </c>
      <c r="Z641" s="15">
        <f>Y641-U641</f>
        <v>4</v>
      </c>
      <c r="AA641" s="34">
        <f>Z641*$F$8</f>
        <v>9.96</v>
      </c>
      <c r="AB641" s="35">
        <v>9.96</v>
      </c>
      <c r="AC641" s="15">
        <v>122</v>
      </c>
      <c r="AD641" s="15">
        <f t="shared" ref="AD641:AD642" si="1687">AC641-Y641</f>
        <v>4</v>
      </c>
      <c r="AE641" s="34">
        <f>AD641*$F$8</f>
        <v>9.96</v>
      </c>
      <c r="AF641" s="34">
        <v>9.96</v>
      </c>
      <c r="AG641" s="13">
        <v>133</v>
      </c>
      <c r="AH641" s="15">
        <f t="shared" ref="AH641:AH642" si="1688">AG641-AC641</f>
        <v>11</v>
      </c>
      <c r="AI641" s="34">
        <f>AH641*$F$8</f>
        <v>27.39</v>
      </c>
      <c r="AJ641" s="32">
        <v>27.39</v>
      </c>
      <c r="AK641" s="13">
        <v>137</v>
      </c>
      <c r="AL641" s="15">
        <f t="shared" ref="AL641:AL642" si="1689">AK641-AG641</f>
        <v>4</v>
      </c>
      <c r="AM641" s="34">
        <f>AL641*$F$8</f>
        <v>9.96</v>
      </c>
      <c r="AN641" s="28"/>
      <c r="AO641" s="13">
        <v>141</v>
      </c>
      <c r="AP641" s="15">
        <f t="shared" ref="AP641:AP642" si="1690">AO641-AK641</f>
        <v>4</v>
      </c>
      <c r="AQ641" s="34">
        <f>AP641*$F$8</f>
        <v>9.96</v>
      </c>
      <c r="AR641" s="32">
        <v>19.92</v>
      </c>
      <c r="AS641" s="15">
        <v>143</v>
      </c>
      <c r="AT641" s="15">
        <f>AS641-AO641</f>
        <v>2</v>
      </c>
      <c r="AU641" s="34">
        <f>AT641*$F$8</f>
        <v>4.98</v>
      </c>
      <c r="AV641" s="15"/>
      <c r="AW641" s="13">
        <v>143</v>
      </c>
      <c r="AX641" s="15">
        <f>AW641-AS641</f>
        <v>0</v>
      </c>
      <c r="AY641" s="34">
        <f>AX641*$F$8</f>
        <v>0</v>
      </c>
      <c r="AZ641" s="28"/>
      <c r="BA641" s="13">
        <v>143</v>
      </c>
      <c r="BB641" s="15">
        <f>BA641-AW641</f>
        <v>0</v>
      </c>
      <c r="BC641" s="34">
        <f>BB641*$F$8</f>
        <v>0</v>
      </c>
      <c r="BD641" s="15"/>
      <c r="BE641" s="40">
        <f t="shared" ref="BE641:BG641" si="1691">J641+N641+R641+V641+Z641+AD641+AH641+AL641+AP641+AT641+AX641+BB641</f>
        <v>30</v>
      </c>
      <c r="BF641" s="41">
        <f t="shared" si="1691"/>
        <v>74.7</v>
      </c>
      <c r="BG641" s="34">
        <f t="shared" si="1691"/>
        <v>97.11</v>
      </c>
      <c r="BH641" s="35">
        <f t="shared" ref="BH641:BH646" si="1692">H641+BF641-BG641</f>
        <v>4.98</v>
      </c>
      <c r="BI641" s="15"/>
      <c r="BJ641" s="15"/>
      <c r="BK641" s="15"/>
      <c r="BL641" s="15"/>
    </row>
    <row r="642" ht="15.75" customHeight="1" hidden="1" spans="1:64" x14ac:dyDescent="0.25">
      <c r="A642" s="29">
        <v>91</v>
      </c>
      <c r="B642" s="14"/>
      <c r="C642" s="15" t="s">
        <v>170</v>
      </c>
      <c r="D642" s="14" t="s">
        <v>47</v>
      </c>
      <c r="E642" s="15" t="s">
        <v>48</v>
      </c>
      <c r="F642" s="13">
        <v>17.16</v>
      </c>
      <c r="G642" s="28"/>
      <c r="H642" s="33">
        <f>-2*17.16</f>
        <v>-34.32</v>
      </c>
      <c r="I642" s="13"/>
      <c r="J642" s="15"/>
      <c r="K642" s="34"/>
      <c r="L642" s="35"/>
      <c r="M642" s="15"/>
      <c r="N642" s="15"/>
      <c r="O642" s="34"/>
      <c r="P642" s="34"/>
      <c r="Q642" s="13"/>
      <c r="R642" s="15"/>
      <c r="S642" s="34"/>
      <c r="T642" s="35"/>
      <c r="U642" s="15"/>
      <c r="V642" s="15"/>
      <c r="W642" s="34"/>
      <c r="X642" s="34"/>
      <c r="Y642" s="13">
        <v>59</v>
      </c>
      <c r="Z642" s="15"/>
      <c r="AA642" s="34"/>
      <c r="AB642" s="35"/>
      <c r="AC642" s="15">
        <v>59</v>
      </c>
      <c r="AD642" s="15">
        <f t="shared" si="1687"/>
        <v>0</v>
      </c>
      <c r="AE642" s="34">
        <f>AD642*$F$10</f>
        <v>0</v>
      </c>
      <c r="AF642" s="34"/>
      <c r="AG642" s="13">
        <v>62</v>
      </c>
      <c r="AH642" s="15">
        <f t="shared" si="1688"/>
        <v>3</v>
      </c>
      <c r="AI642" s="45">
        <f>AH642*$G$10</f>
        <v>53.04</v>
      </c>
      <c r="AJ642" s="32">
        <v>53.04</v>
      </c>
      <c r="AK642" s="13">
        <v>62</v>
      </c>
      <c r="AL642" s="15">
        <f t="shared" si="1689"/>
        <v>0</v>
      </c>
      <c r="AM642" s="45">
        <f>AL642*$G$10</f>
        <v>0</v>
      </c>
      <c r="AN642" s="28"/>
      <c r="AO642" s="13">
        <v>70</v>
      </c>
      <c r="AP642" s="15">
        <f t="shared" si="1690"/>
        <v>8</v>
      </c>
      <c r="AQ642" s="45">
        <f>AP642*$G$10</f>
        <v>141.44</v>
      </c>
      <c r="AR642" s="32">
        <v>107.12</v>
      </c>
      <c r="AS642" s="15"/>
      <c r="AT642" s="15"/>
      <c r="AU642" s="15"/>
      <c r="AV642" s="15"/>
      <c r="AW642" s="13"/>
      <c r="AX642" s="15"/>
      <c r="AY642" s="15"/>
      <c r="AZ642" s="28"/>
      <c r="BA642" s="15"/>
      <c r="BB642" s="15"/>
      <c r="BC642" s="15"/>
      <c r="BD642" s="15"/>
      <c r="BE642" s="40">
        <f t="shared" ref="BE642:BG642" si="1693">J642+N642+R642+V642+Z642+AD642+AH642+AL642+AP642+AT642+AX642+BB642</f>
        <v>11</v>
      </c>
      <c r="BF642" s="41">
        <f t="shared" si="1693"/>
        <v>194.48</v>
      </c>
      <c r="BG642" s="34">
        <f t="shared" si="1693"/>
        <v>160.16</v>
      </c>
      <c r="BH642" s="35">
        <f t="shared" si="1692"/>
        <v>0</v>
      </c>
      <c r="BI642" s="15"/>
      <c r="BJ642" s="15"/>
      <c r="BK642" s="15"/>
      <c r="BL642" s="15"/>
    </row>
    <row r="643" ht="15.75" customHeight="1" hidden="1" spans="1:64" x14ac:dyDescent="0.25">
      <c r="A643" s="29">
        <v>91</v>
      </c>
      <c r="B643" s="14"/>
      <c r="C643" s="15" t="s">
        <v>289</v>
      </c>
      <c r="D643" s="14" t="s">
        <v>47</v>
      </c>
      <c r="E643" s="15" t="s">
        <v>49</v>
      </c>
      <c r="F643" s="41">
        <v>300</v>
      </c>
      <c r="G643" s="28"/>
      <c r="H643" s="34"/>
      <c r="I643" s="13"/>
      <c r="J643" s="15"/>
      <c r="K643" s="34"/>
      <c r="L643" s="35"/>
      <c r="M643" s="15"/>
      <c r="N643" s="15"/>
      <c r="O643" s="34"/>
      <c r="P643" s="34"/>
      <c r="Q643" s="13"/>
      <c r="R643" s="15"/>
      <c r="S643" s="34"/>
      <c r="T643" s="35"/>
      <c r="U643" s="15"/>
      <c r="V643" s="15"/>
      <c r="W643" s="34"/>
      <c r="X643" s="34"/>
      <c r="Y643" s="13"/>
      <c r="Z643" s="15"/>
      <c r="AA643" s="34"/>
      <c r="AB643" s="35"/>
      <c r="AC643" s="15"/>
      <c r="AD643" s="15"/>
      <c r="AE643" s="34"/>
      <c r="AF643" s="34"/>
      <c r="AG643" s="13"/>
      <c r="AH643" s="15"/>
      <c r="AI643" s="15"/>
      <c r="AJ643" s="28"/>
      <c r="AK643" s="13"/>
      <c r="AL643" s="15"/>
      <c r="AM643" s="34"/>
      <c r="AN643" s="28"/>
      <c r="AO643" s="13"/>
      <c r="AP643" s="15"/>
      <c r="AQ643" s="34"/>
      <c r="AR643" s="28"/>
      <c r="AS643" s="15"/>
      <c r="AT643" s="15"/>
      <c r="AU643" s="15"/>
      <c r="AV643" s="15"/>
      <c r="AW643" s="13"/>
      <c r="AX643" s="15"/>
      <c r="AY643" s="15"/>
      <c r="AZ643" s="28"/>
      <c r="BA643" s="15"/>
      <c r="BB643" s="15"/>
      <c r="BC643" s="15"/>
      <c r="BD643" s="15"/>
      <c r="BE643" s="14"/>
      <c r="BF643" s="41">
        <f t="shared" ref="BF643:BG643" si="1694">K643+O643+S643+W643+AA643+AE643+AI643+AM643+AQ643+AU643+AY643+BC643</f>
        <v>0</v>
      </c>
      <c r="BG643" s="34">
        <f t="shared" si="1694"/>
        <v>0</v>
      </c>
      <c r="BH643" s="35">
        <f t="shared" si="1692"/>
        <v>0</v>
      </c>
      <c r="BI643" s="15"/>
      <c r="BJ643" s="15"/>
      <c r="BK643" s="15"/>
      <c r="BL643" s="15"/>
    </row>
    <row r="644" ht="15.75" customHeight="1" hidden="1" spans="1:64" x14ac:dyDescent="0.25">
      <c r="A644" s="29">
        <v>91</v>
      </c>
      <c r="B644" s="14"/>
      <c r="C644" s="15" t="s">
        <v>290</v>
      </c>
      <c r="D644" s="14" t="s">
        <v>50</v>
      </c>
      <c r="E644" s="15" t="s">
        <v>49</v>
      </c>
      <c r="F644" s="41">
        <v>1062.88</v>
      </c>
      <c r="G644" s="28"/>
      <c r="H644" s="34"/>
      <c r="I644" s="13"/>
      <c r="J644" s="15"/>
      <c r="K644" s="34"/>
      <c r="L644" s="35"/>
      <c r="M644" s="15"/>
      <c r="N644" s="15"/>
      <c r="O644" s="34"/>
      <c r="P644" s="34"/>
      <c r="Q644" s="13"/>
      <c r="R644" s="15"/>
      <c r="S644" s="34"/>
      <c r="T644" s="35"/>
      <c r="U644" s="15"/>
      <c r="V644" s="15"/>
      <c r="W644" s="34"/>
      <c r="X644" s="34"/>
      <c r="Y644" s="13"/>
      <c r="Z644" s="15"/>
      <c r="AA644" s="34"/>
      <c r="AB644" s="35"/>
      <c r="AC644" s="15"/>
      <c r="AD644" s="15"/>
      <c r="AE644" s="34">
        <f>B641*$F$12</f>
        <v>4495.9824</v>
      </c>
      <c r="AF644" s="34">
        <v>4495.98</v>
      </c>
      <c r="AG644" s="13"/>
      <c r="AH644" s="15"/>
      <c r="AI644" s="15"/>
      <c r="AJ644" s="35"/>
      <c r="AK644" s="13"/>
      <c r="AL644" s="15"/>
      <c r="AM644" s="15"/>
      <c r="AN644" s="28"/>
      <c r="AO644" s="13"/>
      <c r="AP644" s="15"/>
      <c r="AQ644" s="15"/>
      <c r="AR644" s="28"/>
      <c r="AS644" s="15"/>
      <c r="AT644" s="15"/>
      <c r="AU644" s="15"/>
      <c r="AV644" s="15"/>
      <c r="AW644" s="13"/>
      <c r="AX644" s="15"/>
      <c r="AY644" s="15"/>
      <c r="AZ644" s="28"/>
      <c r="BA644" s="15"/>
      <c r="BB644" s="15"/>
      <c r="BC644" s="15"/>
      <c r="BD644" s="15"/>
      <c r="BE644" s="14"/>
      <c r="BF644" s="41">
        <f>B641*$F$12</f>
        <v>4495.9824</v>
      </c>
      <c r="BG644" s="34">
        <f t="shared" ref="BG644:BG646" si="1695">L644+P644+T644+X644+AB644+AF644+AJ644+AN644+AR644+AV644+AZ644+BD644</f>
        <v>4495.98</v>
      </c>
      <c r="BH644" s="35">
        <f t="shared" si="1692"/>
        <v>0.002400000001</v>
      </c>
      <c r="BI644" s="15"/>
      <c r="BJ644" s="15"/>
      <c r="BK644" s="15"/>
      <c r="BL644" s="15"/>
    </row>
    <row r="645" ht="15.75" customHeight="1" hidden="1" spans="1:64" x14ac:dyDescent="0.25">
      <c r="A645" s="29">
        <v>91</v>
      </c>
      <c r="B645" s="14"/>
      <c r="C645" s="15" t="s">
        <v>291</v>
      </c>
      <c r="D645" s="14" t="s">
        <v>51</v>
      </c>
      <c r="E645" s="15" t="s">
        <v>49</v>
      </c>
      <c r="F645" s="41">
        <v>0</v>
      </c>
      <c r="G645" s="28"/>
      <c r="H645" s="34"/>
      <c r="I645" s="13"/>
      <c r="J645" s="15"/>
      <c r="K645" s="34"/>
      <c r="L645" s="35"/>
      <c r="M645" s="15"/>
      <c r="N645" s="15"/>
      <c r="O645" s="34"/>
      <c r="P645" s="34"/>
      <c r="Q645" s="13"/>
      <c r="R645" s="15"/>
      <c r="S645" s="34"/>
      <c r="T645" s="35"/>
      <c r="U645" s="15"/>
      <c r="V645" s="15"/>
      <c r="W645" s="34"/>
      <c r="X645" s="34"/>
      <c r="Y645" s="13"/>
      <c r="Z645" s="15"/>
      <c r="AA645" s="34"/>
      <c r="AB645" s="35"/>
      <c r="AC645" s="15"/>
      <c r="AD645" s="15"/>
      <c r="AE645" s="34"/>
      <c r="AF645" s="34"/>
      <c r="AG645" s="13"/>
      <c r="AH645" s="15"/>
      <c r="AI645" s="15"/>
      <c r="AJ645" s="28"/>
      <c r="AK645" s="13"/>
      <c r="AL645" s="15"/>
      <c r="AM645" s="15"/>
      <c r="AN645" s="28"/>
      <c r="AO645" s="13"/>
      <c r="AP645" s="15"/>
      <c r="AQ645" s="15"/>
      <c r="AR645" s="28"/>
      <c r="AS645" s="15"/>
      <c r="AT645" s="15"/>
      <c r="AU645" s="15"/>
      <c r="AV645" s="15"/>
      <c r="AW645" s="13"/>
      <c r="AX645" s="15"/>
      <c r="AY645" s="15"/>
      <c r="AZ645" s="28"/>
      <c r="BA645" s="15"/>
      <c r="BB645" s="15"/>
      <c r="BC645" s="15"/>
      <c r="BD645" s="15"/>
      <c r="BE645" s="14"/>
      <c r="BF645" s="41">
        <f>B641*$F$13</f>
        <v>0</v>
      </c>
      <c r="BG645" s="34">
        <f t="shared" si="1695"/>
        <v>0</v>
      </c>
      <c r="BH645" s="35">
        <f t="shared" si="1692"/>
        <v>0</v>
      </c>
      <c r="BI645" s="15"/>
      <c r="BJ645" s="15"/>
      <c r="BK645" s="15"/>
      <c r="BL645" s="15"/>
    </row>
    <row r="646" ht="15.75" customHeight="1" hidden="1" spans="1:64" x14ac:dyDescent="0.25">
      <c r="A646" s="29">
        <v>91</v>
      </c>
      <c r="B646" s="14"/>
      <c r="C646" s="15"/>
      <c r="D646" s="14" t="s">
        <v>52</v>
      </c>
      <c r="E646" s="15" t="s">
        <v>39</v>
      </c>
      <c r="F646" s="41">
        <v>350</v>
      </c>
      <c r="G646" s="28"/>
      <c r="H646" s="34"/>
      <c r="I646" s="13"/>
      <c r="J646" s="15"/>
      <c r="K646" s="34"/>
      <c r="L646" s="35"/>
      <c r="M646" s="15"/>
      <c r="N646" s="15"/>
      <c r="O646" s="34"/>
      <c r="P646" s="34"/>
      <c r="Q646" s="13"/>
      <c r="R646" s="15"/>
      <c r="S646" s="34"/>
      <c r="T646" s="35"/>
      <c r="U646" s="15"/>
      <c r="V646" s="15"/>
      <c r="W646" s="34"/>
      <c r="X646" s="34"/>
      <c r="Y646" s="13"/>
      <c r="Z646" s="15"/>
      <c r="AA646" s="34">
        <f>$F$14</f>
        <v>350</v>
      </c>
      <c r="AB646" s="35">
        <v>350</v>
      </c>
      <c r="AC646" s="15"/>
      <c r="AD646" s="15"/>
      <c r="AE646" s="34"/>
      <c r="AF646" s="34"/>
      <c r="AG646" s="13"/>
      <c r="AH646" s="15"/>
      <c r="AI646" s="15"/>
      <c r="AJ646" s="28"/>
      <c r="AK646" s="13"/>
      <c r="AL646" s="15"/>
      <c r="AM646" s="15"/>
      <c r="AN646" s="28"/>
      <c r="AO646" s="13"/>
      <c r="AP646" s="15"/>
      <c r="AQ646" s="15"/>
      <c r="AR646" s="28"/>
      <c r="AS646" s="15"/>
      <c r="AT646" s="15"/>
      <c r="AU646" s="15"/>
      <c r="AV646" s="15"/>
      <c r="AW646" s="13"/>
      <c r="AX646" s="15"/>
      <c r="AY646" s="15"/>
      <c r="AZ646" s="28"/>
      <c r="BA646" s="15"/>
      <c r="BB646" s="15"/>
      <c r="BC646" s="15"/>
      <c r="BD646" s="15"/>
      <c r="BE646" s="14"/>
      <c r="BF646" s="41">
        <f>$F$14</f>
        <v>350</v>
      </c>
      <c r="BG646" s="34">
        <f t="shared" si="1695"/>
        <v>350</v>
      </c>
      <c r="BH646" s="35">
        <f t="shared" si="1692"/>
        <v>0</v>
      </c>
      <c r="BI646" s="15"/>
      <c r="BJ646" s="15"/>
      <c r="BK646" s="15"/>
      <c r="BL646" s="15"/>
    </row>
    <row r="647" ht="15.75" customHeight="1" hidden="1" spans="1:62" x14ac:dyDescent="0.25">
      <c r="A647" s="50">
        <v>91</v>
      </c>
      <c r="B647" s="21"/>
      <c r="C647" s="22" t="s">
        <v>53</v>
      </c>
      <c r="D647" s="21"/>
      <c r="E647" s="22"/>
      <c r="F647" s="20"/>
      <c r="G647" s="23"/>
      <c r="H647" s="51">
        <f>SUM(H640:H646)</f>
        <v>-6.93</v>
      </c>
      <c r="I647" s="52"/>
      <c r="J647" s="53"/>
      <c r="K647" s="51">
        <f t="shared" ref="K647:L647" si="1696">SUM(K640:K646)</f>
        <v>0</v>
      </c>
      <c r="L647" s="68">
        <f t="shared" si="1696"/>
        <v>0</v>
      </c>
      <c r="M647" s="53"/>
      <c r="N647" s="53"/>
      <c r="O647" s="51">
        <f t="shared" ref="O647:P647" si="1697">SUM(O641:O646)</f>
        <v>0</v>
      </c>
      <c r="P647" s="51">
        <f t="shared" si="1697"/>
        <v>0</v>
      </c>
      <c r="Q647" s="52"/>
      <c r="R647" s="53"/>
      <c r="S647" s="51">
        <f t="shared" ref="S647:T647" si="1698">SUM(S641:S646)</f>
        <v>0</v>
      </c>
      <c r="T647" s="68">
        <f t="shared" si="1698"/>
        <v>0</v>
      </c>
      <c r="U647" s="53"/>
      <c r="V647" s="53"/>
      <c r="W647" s="51">
        <f t="shared" ref="W647:X647" si="1699">SUM(W641:W646)</f>
        <v>2.49</v>
      </c>
      <c r="X647" s="51">
        <f t="shared" si="1699"/>
        <v>29.88</v>
      </c>
      <c r="Y647" s="52"/>
      <c r="Z647" s="53"/>
      <c r="AA647" s="51">
        <f t="shared" ref="AA647:AB647" si="1700">SUM(AA641:AA646)</f>
        <v>359.96</v>
      </c>
      <c r="AB647" s="68">
        <f t="shared" si="1700"/>
        <v>359.96</v>
      </c>
      <c r="AC647" s="53"/>
      <c r="AD647" s="53"/>
      <c r="AE647" s="51">
        <f t="shared" ref="AE647:AF647" si="1701">SUM(AE641:AE646)</f>
        <v>4505.9424</v>
      </c>
      <c r="AF647" s="51">
        <f t="shared" si="1701"/>
        <v>4505.94</v>
      </c>
      <c r="AG647" s="52"/>
      <c r="AH647" s="53"/>
      <c r="AI647" s="51">
        <f t="shared" ref="AI647:AJ647" si="1702">SUM(AI641:AI646)</f>
        <v>80.43</v>
      </c>
      <c r="AJ647" s="68">
        <f t="shared" si="1702"/>
        <v>80.43</v>
      </c>
      <c r="AK647" s="52"/>
      <c r="AL647" s="53"/>
      <c r="AM647" s="51">
        <f t="shared" ref="AM647:AN647" si="1703">SUM(AM641:AM646)</f>
        <v>9.96</v>
      </c>
      <c r="AN647" s="68">
        <f t="shared" si="1703"/>
        <v>0</v>
      </c>
      <c r="AO647" s="52"/>
      <c r="AP647" s="53"/>
      <c r="AQ647" s="51">
        <f t="shared" ref="AQ647:AR647" si="1704">SUM(AQ641:AQ646)</f>
        <v>151.4</v>
      </c>
      <c r="AR647" s="68">
        <f t="shared" si="1704"/>
        <v>127.04</v>
      </c>
      <c r="AS647" s="53"/>
      <c r="AT647" s="53"/>
      <c r="AU647" s="51">
        <f t="shared" ref="AU647:AV647" si="1705">SUM(AU641:AU646)</f>
        <v>4.98</v>
      </c>
      <c r="AV647" s="51">
        <f t="shared" si="1705"/>
        <v>0</v>
      </c>
      <c r="AW647" s="52"/>
      <c r="AX647" s="53"/>
      <c r="AY647" s="51">
        <f t="shared" ref="AY647:AZ647" si="1706">SUM(AY641:AY646)</f>
        <v>0</v>
      </c>
      <c r="AZ647" s="68">
        <f t="shared" si="1706"/>
        <v>0</v>
      </c>
      <c r="BA647" s="53"/>
      <c r="BB647" s="53"/>
      <c r="BC647" s="51">
        <f t="shared" ref="BC647:BD647" si="1707">SUM(BC641:BC646)</f>
        <v>0</v>
      </c>
      <c r="BD647" s="51">
        <f t="shared" si="1707"/>
        <v>0</v>
      </c>
      <c r="BE647" s="69"/>
      <c r="BF647" s="70">
        <f t="shared" ref="BF647:BH647" si="1708">SUM(BF640:BF646)</f>
        <v>5115.1624</v>
      </c>
      <c r="BG647" s="71">
        <f t="shared" si="1708"/>
        <v>5103.25</v>
      </c>
      <c r="BH647" s="72">
        <f t="shared" si="1708"/>
        <v>4.9824</v>
      </c>
      <c r="BI647" s="34">
        <f>H647+BF647-BG647</f>
        <v>4.9824</v>
      </c>
      <c r="BJ647" s="34">
        <f>BH647-BI647</f>
        <v>0</v>
      </c>
    </row>
    <row r="648" ht="15.75" customHeight="1" hidden="1" spans="1:64" x14ac:dyDescent="0.25">
      <c r="A648" s="79" t="s">
        <v>292</v>
      </c>
      <c r="B648" s="14"/>
      <c r="C648" s="15"/>
      <c r="D648" s="14" t="s">
        <v>42</v>
      </c>
      <c r="E648" s="15"/>
      <c r="F648" s="13"/>
      <c r="G648" s="28"/>
      <c r="H648" s="34"/>
      <c r="I648" s="13"/>
      <c r="J648" s="15"/>
      <c r="K648" s="34"/>
      <c r="L648" s="35"/>
      <c r="M648" s="15"/>
      <c r="N648" s="15"/>
      <c r="O648" s="34"/>
      <c r="P648" s="34"/>
      <c r="Q648" s="13"/>
      <c r="R648" s="15"/>
      <c r="S648" s="34"/>
      <c r="T648" s="35"/>
      <c r="U648" s="15"/>
      <c r="V648" s="15"/>
      <c r="W648" s="34"/>
      <c r="X648" s="34"/>
      <c r="Y648" s="13"/>
      <c r="Z648" s="15"/>
      <c r="AA648" s="34"/>
      <c r="AB648" s="35"/>
      <c r="AC648" s="15"/>
      <c r="AD648" s="15"/>
      <c r="AE648" s="34"/>
      <c r="AF648" s="34"/>
      <c r="AG648" s="13"/>
      <c r="AH648" s="15"/>
      <c r="AI648" s="34"/>
      <c r="AJ648" s="35"/>
      <c r="AK648" s="13"/>
      <c r="AL648" s="15"/>
      <c r="AM648" s="34"/>
      <c r="AN648" s="35"/>
      <c r="AO648" s="13"/>
      <c r="AP648" s="15"/>
      <c r="AQ648" s="34"/>
      <c r="AR648" s="35"/>
      <c r="AS648" s="15"/>
      <c r="AT648" s="15"/>
      <c r="AU648" s="34"/>
      <c r="AV648" s="34"/>
      <c r="AW648" s="13"/>
      <c r="AX648" s="15"/>
      <c r="AY648" s="34"/>
      <c r="AZ648" s="35"/>
      <c r="BA648" s="15"/>
      <c r="BB648" s="15"/>
      <c r="BC648" s="34"/>
      <c r="BD648" s="34"/>
      <c r="BE648" s="42"/>
      <c r="BF648" s="46"/>
      <c r="BG648" s="39"/>
      <c r="BH648" s="38"/>
      <c r="BI648" s="15"/>
      <c r="BJ648" s="15"/>
      <c r="BK648" s="15"/>
      <c r="BL648" s="15"/>
    </row>
    <row r="649" ht="15.75" customHeight="1" hidden="1" spans="1:64" x14ac:dyDescent="0.25">
      <c r="A649" s="89" t="s">
        <v>292</v>
      </c>
      <c r="B649" s="14">
        <f>4.31+4.25</f>
        <v>8.56</v>
      </c>
      <c r="C649" s="15" t="s">
        <v>293</v>
      </c>
      <c r="D649" s="14" t="s">
        <v>44</v>
      </c>
      <c r="E649" s="15" t="s">
        <v>45</v>
      </c>
      <c r="F649" s="13">
        <v>2.49</v>
      </c>
      <c r="G649" s="28"/>
      <c r="H649" s="34">
        <v>-413.11</v>
      </c>
      <c r="I649" s="13">
        <v>489</v>
      </c>
      <c r="J649" s="15">
        <v>0</v>
      </c>
      <c r="K649" s="34">
        <f>J649*$F$8</f>
        <v>0</v>
      </c>
      <c r="L649" s="35"/>
      <c r="M649" s="15">
        <v>489</v>
      </c>
      <c r="N649" s="15">
        <f>M649-I649</f>
        <v>0</v>
      </c>
      <c r="O649" s="34">
        <f>N649*$F$8</f>
        <v>0</v>
      </c>
      <c r="P649" s="34"/>
      <c r="Q649" s="13">
        <v>489</v>
      </c>
      <c r="R649" s="15">
        <f>Q649-M649</f>
        <v>0</v>
      </c>
      <c r="S649" s="34">
        <f>R649*$F$8</f>
        <v>0</v>
      </c>
      <c r="T649" s="35"/>
      <c r="U649" s="15">
        <v>490</v>
      </c>
      <c r="V649" s="15">
        <f>U649-Q649</f>
        <v>1</v>
      </c>
      <c r="W649" s="34">
        <f>V649*$F$8</f>
        <v>2.49</v>
      </c>
      <c r="X649" s="34"/>
      <c r="Y649" s="13">
        <v>491</v>
      </c>
      <c r="Z649" s="15">
        <f>Y649-U649</f>
        <v>1</v>
      </c>
      <c r="AA649" s="34">
        <f>Z649*$F$8</f>
        <v>2.49</v>
      </c>
      <c r="AB649" s="35"/>
      <c r="AC649" s="15">
        <v>538</v>
      </c>
      <c r="AD649" s="15">
        <f t="shared" ref="AD649:AD650" si="1709">AC649-Y649</f>
        <v>47</v>
      </c>
      <c r="AE649" s="34">
        <f>AD649*$F$8</f>
        <v>117.03</v>
      </c>
      <c r="AF649" s="34"/>
      <c r="AG649" s="13">
        <v>692</v>
      </c>
      <c r="AH649" s="15">
        <f t="shared" ref="AH649:AH650" si="1710">AG649-AC649</f>
        <v>154</v>
      </c>
      <c r="AI649" s="34">
        <f>AH649*$F$8</f>
        <v>383.46</v>
      </c>
      <c r="AJ649" s="28"/>
      <c r="AK649" s="13">
        <v>813</v>
      </c>
      <c r="AL649" s="15">
        <f t="shared" ref="AL649:AL650" si="1711">AK649-AG649</f>
        <v>121</v>
      </c>
      <c r="AM649" s="34">
        <f>AL649*$F$8</f>
        <v>301.29</v>
      </c>
      <c r="AN649" s="32">
        <v>15.17</v>
      </c>
      <c r="AO649" s="13">
        <v>863</v>
      </c>
      <c r="AP649" s="15">
        <f t="shared" ref="AP649:AP650" si="1712">AO649-AK649</f>
        <v>50</v>
      </c>
      <c r="AQ649" s="34">
        <f>AP649*$F$8</f>
        <v>124.5</v>
      </c>
      <c r="AR649" s="28"/>
      <c r="AS649" s="13">
        <v>871</v>
      </c>
      <c r="AT649" s="15">
        <f>AS649-AO649</f>
        <v>8</v>
      </c>
      <c r="AU649" s="34">
        <f>AT649*$F$8</f>
        <v>19.92</v>
      </c>
      <c r="AV649" s="15"/>
      <c r="AW649" s="13">
        <v>871</v>
      </c>
      <c r="AX649" s="15">
        <f>AW649-AS649</f>
        <v>0</v>
      </c>
      <c r="AY649" s="34">
        <f>AX649*$F$8</f>
        <v>0</v>
      </c>
      <c r="AZ649" s="28"/>
      <c r="BA649" s="13">
        <v>871</v>
      </c>
      <c r="BB649" s="15">
        <f>BA649-AW649</f>
        <v>0</v>
      </c>
      <c r="BC649" s="34">
        <f>BB649*$F$8</f>
        <v>0</v>
      </c>
      <c r="BD649" s="15"/>
      <c r="BE649" s="40">
        <f t="shared" ref="BE649:BG649" si="1713">J649+N649+R649+V649+Z649+AD649+AH649+AL649+AP649+AT649+AX649+BB649</f>
        <v>382</v>
      </c>
      <c r="BF649" s="41">
        <f t="shared" si="1713"/>
        <v>951.18</v>
      </c>
      <c r="BG649" s="34">
        <f t="shared" si="1713"/>
        <v>15.17</v>
      </c>
      <c r="BH649" s="35">
        <f t="shared" ref="BH649:BH654" si="1714">H649+BF649-BG649</f>
        <v>522.9</v>
      </c>
      <c r="BI649" s="15"/>
      <c r="BJ649" s="15"/>
      <c r="BK649" s="15"/>
      <c r="BL649" s="15"/>
    </row>
    <row r="650" ht="15.75" customHeight="1" hidden="1" spans="1:64" x14ac:dyDescent="0.25">
      <c r="A650" s="79" t="s">
        <v>292</v>
      </c>
      <c r="B650" s="14"/>
      <c r="C650" s="15" t="s">
        <v>294</v>
      </c>
      <c r="D650" s="14" t="s">
        <v>47</v>
      </c>
      <c r="E650" s="15" t="s">
        <v>48</v>
      </c>
      <c r="F650" s="13">
        <v>17.16</v>
      </c>
      <c r="G650" s="28"/>
      <c r="H650" s="90"/>
      <c r="I650" s="13"/>
      <c r="J650" s="15"/>
      <c r="K650" s="34"/>
      <c r="L650" s="35"/>
      <c r="M650" s="15"/>
      <c r="N650" s="15"/>
      <c r="O650" s="34"/>
      <c r="P650" s="34"/>
      <c r="Q650" s="13"/>
      <c r="R650" s="15"/>
      <c r="S650" s="34"/>
      <c r="T650" s="35"/>
      <c r="U650" s="15"/>
      <c r="V650" s="15"/>
      <c r="W650" s="34"/>
      <c r="X650" s="34"/>
      <c r="Y650" s="94">
        <f>18+69</f>
        <v>87</v>
      </c>
      <c r="Z650" s="15"/>
      <c r="AA650" s="34"/>
      <c r="AB650" s="35"/>
      <c r="AC650" s="103">
        <f>24+74</f>
        <v>98</v>
      </c>
      <c r="AD650" s="15">
        <f t="shared" si="1709"/>
        <v>11</v>
      </c>
      <c r="AE650" s="34">
        <f>AD650*$F$10</f>
        <v>188.76</v>
      </c>
      <c r="AF650" s="34"/>
      <c r="AG650" s="94">
        <f>24+74</f>
        <v>98</v>
      </c>
      <c r="AH650" s="15">
        <f t="shared" si="1710"/>
        <v>0</v>
      </c>
      <c r="AI650" s="45">
        <f>AH650*$G$10</f>
        <v>0</v>
      </c>
      <c r="AJ650" s="32">
        <f>85.8+102.96</f>
        <v>188.76</v>
      </c>
      <c r="AK650" s="13">
        <f>24+86</f>
        <v>110</v>
      </c>
      <c r="AL650" s="15">
        <f t="shared" si="1711"/>
        <v>12</v>
      </c>
      <c r="AM650" s="45">
        <f>AL650*$G$10</f>
        <v>212.16</v>
      </c>
      <c r="AN650" s="32">
        <v>212.16</v>
      </c>
      <c r="AO650" s="13">
        <f>24+86</f>
        <v>110</v>
      </c>
      <c r="AP650" s="15">
        <f t="shared" si="1712"/>
        <v>0</v>
      </c>
      <c r="AQ650" s="45">
        <f>AP650*$G$10</f>
        <v>0</v>
      </c>
      <c r="AR650" s="28"/>
      <c r="AS650" s="15"/>
      <c r="AT650" s="15"/>
      <c r="AU650" s="15"/>
      <c r="AV650" s="15"/>
      <c r="AW650" s="13"/>
      <c r="AX650" s="15"/>
      <c r="AY650" s="15"/>
      <c r="AZ650" s="28"/>
      <c r="BA650" s="15"/>
      <c r="BB650" s="15"/>
      <c r="BC650" s="15"/>
      <c r="BD650" s="15"/>
      <c r="BE650" s="40">
        <f t="shared" ref="BE650:BG650" si="1715">J650+N650+R650+V650+Z650+AD650+AH650+AL650+AP650+AT650+AX650+BB650</f>
        <v>23</v>
      </c>
      <c r="BF650" s="41">
        <f t="shared" si="1715"/>
        <v>400.92</v>
      </c>
      <c r="BG650" s="34">
        <f t="shared" si="1715"/>
        <v>400.92</v>
      </c>
      <c r="BH650" s="35">
        <f t="shared" si="1714"/>
        <v>0</v>
      </c>
      <c r="BI650" s="15"/>
      <c r="BJ650" s="15"/>
      <c r="BK650" s="15"/>
      <c r="BL650" s="15"/>
    </row>
    <row r="651" ht="15.75" customHeight="1" hidden="1" spans="1:64" x14ac:dyDescent="0.25">
      <c r="A651" s="79" t="s">
        <v>292</v>
      </c>
      <c r="B651" s="14"/>
      <c r="C651" s="15" t="s">
        <v>295</v>
      </c>
      <c r="D651" s="14" t="s">
        <v>47</v>
      </c>
      <c r="E651" s="15" t="s">
        <v>49</v>
      </c>
      <c r="F651" s="41">
        <v>300</v>
      </c>
      <c r="G651" s="28"/>
      <c r="H651" s="34"/>
      <c r="I651" s="13"/>
      <c r="J651" s="15"/>
      <c r="K651" s="34"/>
      <c r="L651" s="35"/>
      <c r="M651" s="15"/>
      <c r="N651" s="15"/>
      <c r="O651" s="34"/>
      <c r="P651" s="34"/>
      <c r="Q651" s="13"/>
      <c r="R651" s="15"/>
      <c r="S651" s="34"/>
      <c r="T651" s="35"/>
      <c r="U651" s="15"/>
      <c r="V651" s="15"/>
      <c r="W651" s="34"/>
      <c r="X651" s="34"/>
      <c r="Y651" s="13"/>
      <c r="Z651" s="15"/>
      <c r="AA651" s="34"/>
      <c r="AB651" s="35"/>
      <c r="AC651" s="15"/>
      <c r="AD651" s="15"/>
      <c r="AE651" s="34"/>
      <c r="AF651" s="34"/>
      <c r="AG651" s="13"/>
      <c r="AH651" s="15"/>
      <c r="AI651" s="15"/>
      <c r="AJ651" s="28"/>
      <c r="AK651" s="13"/>
      <c r="AL651" s="15"/>
      <c r="AM651" s="34"/>
      <c r="AN651" s="28"/>
      <c r="AO651" s="13"/>
      <c r="AP651" s="15"/>
      <c r="AQ651" s="34"/>
      <c r="AR651" s="28"/>
      <c r="AS651" s="15"/>
      <c r="AT651" s="15"/>
      <c r="AU651" s="15"/>
      <c r="AV651" s="15"/>
      <c r="AW651" s="13"/>
      <c r="AX651" s="15"/>
      <c r="AY651" s="15"/>
      <c r="AZ651" s="28"/>
      <c r="BA651" s="15"/>
      <c r="BB651" s="15"/>
      <c r="BC651" s="15"/>
      <c r="BD651" s="15"/>
      <c r="BE651" s="14"/>
      <c r="BF651" s="41">
        <f t="shared" ref="BF651:BG651" si="1716">K651+O651+S651+W651+AA651+AE651+AI651+AM651+AQ651+AU651+AY651+BC651</f>
        <v>0</v>
      </c>
      <c r="BG651" s="34">
        <f t="shared" si="1716"/>
        <v>0</v>
      </c>
      <c r="BH651" s="35">
        <f t="shared" si="1714"/>
        <v>0</v>
      </c>
      <c r="BI651" s="15"/>
      <c r="BJ651" s="15"/>
      <c r="BK651" s="15"/>
      <c r="BL651" s="15"/>
    </row>
    <row r="652" ht="15.75" customHeight="1" hidden="1" spans="1:64" x14ac:dyDescent="0.25">
      <c r="A652" s="79" t="s">
        <v>292</v>
      </c>
      <c r="B652" s="14"/>
      <c r="C652" s="15" t="s">
        <v>296</v>
      </c>
      <c r="D652" s="14" t="s">
        <v>50</v>
      </c>
      <c r="E652" s="15" t="s">
        <v>49</v>
      </c>
      <c r="F652" s="41">
        <v>1062.88</v>
      </c>
      <c r="G652" s="28"/>
      <c r="H652" s="34"/>
      <c r="I652" s="13"/>
      <c r="J652" s="15"/>
      <c r="K652" s="34"/>
      <c r="L652" s="35"/>
      <c r="M652" s="15"/>
      <c r="N652" s="15"/>
      <c r="O652" s="34"/>
      <c r="P652" s="34"/>
      <c r="Q652" s="13"/>
      <c r="R652" s="15"/>
      <c r="S652" s="34"/>
      <c r="T652" s="35"/>
      <c r="U652" s="15"/>
      <c r="V652" s="15"/>
      <c r="W652" s="34"/>
      <c r="X652" s="34"/>
      <c r="Y652" s="13"/>
      <c r="Z652" s="15"/>
      <c r="AA652" s="34"/>
      <c r="AB652" s="35"/>
      <c r="AC652" s="15"/>
      <c r="AD652" s="15"/>
      <c r="AE652" s="34">
        <f>B649*$F$12</f>
        <v>9098.2528</v>
      </c>
      <c r="AF652" s="34">
        <v>4581.01</v>
      </c>
      <c r="AG652" s="13"/>
      <c r="AH652" s="15"/>
      <c r="AI652" s="15"/>
      <c r="AJ652" s="35"/>
      <c r="AK652" s="13"/>
      <c r="AL652" s="15"/>
      <c r="AM652" s="15"/>
      <c r="AN652" s="32">
        <v>4517.24</v>
      </c>
      <c r="AO652" s="13"/>
      <c r="AP652" s="15"/>
      <c r="AQ652" s="15"/>
      <c r="AR652" s="28"/>
      <c r="AS652" s="15"/>
      <c r="AT652" s="15"/>
      <c r="AU652" s="15"/>
      <c r="AV652" s="15"/>
      <c r="AW652" s="13"/>
      <c r="AX652" s="15"/>
      <c r="AY652" s="15"/>
      <c r="AZ652" s="28"/>
      <c r="BA652" s="15"/>
      <c r="BB652" s="15"/>
      <c r="BC652" s="15"/>
      <c r="BD652" s="15"/>
      <c r="BE652" s="14"/>
      <c r="BF652" s="41">
        <f>B649*$F$12</f>
        <v>9098.2528</v>
      </c>
      <c r="BG652" s="34">
        <f t="shared" ref="BG652:BG654" si="1717">L652+P652+T652+X652+AB652+AF652+AJ652+AN652+AR652+AV652+AZ652+BD652</f>
        <v>9098.25</v>
      </c>
      <c r="BH652" s="35">
        <f t="shared" si="1714"/>
        <v>0.0028</v>
      </c>
      <c r="BI652" s="15"/>
      <c r="BJ652" s="15"/>
      <c r="BK652" s="15"/>
      <c r="BL652" s="15"/>
    </row>
    <row r="653" ht="15.75" customHeight="1" hidden="1" spans="1:64" x14ac:dyDescent="0.25">
      <c r="A653" s="79" t="s">
        <v>292</v>
      </c>
      <c r="B653" s="14"/>
      <c r="C653" s="15"/>
      <c r="D653" s="14" t="s">
        <v>51</v>
      </c>
      <c r="E653" s="15" t="s">
        <v>49</v>
      </c>
      <c r="F653" s="41">
        <v>0</v>
      </c>
      <c r="G653" s="28"/>
      <c r="H653" s="34"/>
      <c r="I653" s="13"/>
      <c r="J653" s="15"/>
      <c r="K653" s="34"/>
      <c r="L653" s="35"/>
      <c r="M653" s="15"/>
      <c r="N653" s="15"/>
      <c r="O653" s="34"/>
      <c r="P653" s="34"/>
      <c r="Q653" s="13"/>
      <c r="R653" s="15"/>
      <c r="S653" s="34"/>
      <c r="T653" s="35"/>
      <c r="U653" s="15"/>
      <c r="V653" s="15"/>
      <c r="W653" s="34"/>
      <c r="X653" s="34"/>
      <c r="Y653" s="13"/>
      <c r="Z653" s="15"/>
      <c r="AA653" s="34"/>
      <c r="AB653" s="35"/>
      <c r="AC653" s="15"/>
      <c r="AD653" s="15"/>
      <c r="AE653" s="34"/>
      <c r="AF653" s="34"/>
      <c r="AG653" s="13"/>
      <c r="AH653" s="15"/>
      <c r="AI653" s="15"/>
      <c r="AJ653" s="28"/>
      <c r="AK653" s="13"/>
      <c r="AL653" s="15"/>
      <c r="AM653" s="15"/>
      <c r="AN653" s="28"/>
      <c r="AO653" s="13"/>
      <c r="AP653" s="15"/>
      <c r="AQ653" s="15"/>
      <c r="AR653" s="28"/>
      <c r="AS653" s="15"/>
      <c r="AT653" s="15"/>
      <c r="AU653" s="15"/>
      <c r="AV653" s="15"/>
      <c r="AW653" s="13"/>
      <c r="AX653" s="15"/>
      <c r="AY653" s="15"/>
      <c r="AZ653" s="28"/>
      <c r="BA653" s="15"/>
      <c r="BB653" s="15"/>
      <c r="BC653" s="15"/>
      <c r="BD653" s="15"/>
      <c r="BE653" s="14"/>
      <c r="BF653" s="41">
        <f>B649*$F$13</f>
        <v>0</v>
      </c>
      <c r="BG653" s="34">
        <f t="shared" si="1717"/>
        <v>0</v>
      </c>
      <c r="BH653" s="35">
        <f t="shared" si="1714"/>
        <v>0</v>
      </c>
      <c r="BI653" s="15"/>
      <c r="BJ653" s="15"/>
      <c r="BK653" s="15"/>
      <c r="BL653" s="15"/>
    </row>
    <row r="654" ht="15.75" customHeight="1" hidden="1" spans="1:64" x14ac:dyDescent="0.25">
      <c r="A654" s="79" t="s">
        <v>292</v>
      </c>
      <c r="B654" s="14"/>
      <c r="C654" s="15"/>
      <c r="D654" s="14" t="s">
        <v>52</v>
      </c>
      <c r="E654" s="15" t="s">
        <v>39</v>
      </c>
      <c r="F654" s="41">
        <v>350</v>
      </c>
      <c r="G654" s="28"/>
      <c r="H654" s="84">
        <v>-700</v>
      </c>
      <c r="I654" s="13"/>
      <c r="J654" s="15"/>
      <c r="K654" s="34"/>
      <c r="L654" s="35"/>
      <c r="M654" s="15"/>
      <c r="N654" s="15"/>
      <c r="O654" s="34"/>
      <c r="P654" s="34"/>
      <c r="Q654" s="13"/>
      <c r="R654" s="15"/>
      <c r="S654" s="34"/>
      <c r="T654" s="35"/>
      <c r="U654" s="15"/>
      <c r="V654" s="15"/>
      <c r="W654" s="34"/>
      <c r="X654" s="34"/>
      <c r="Y654" s="13"/>
      <c r="Z654" s="15"/>
      <c r="AA654" s="34">
        <f>$F$14*2</f>
        <v>700</v>
      </c>
      <c r="AB654" s="35"/>
      <c r="AC654" s="15"/>
      <c r="AD654" s="15"/>
      <c r="AE654" s="34"/>
      <c r="AF654" s="34"/>
      <c r="AG654" s="13"/>
      <c r="AH654" s="15"/>
      <c r="AI654" s="15"/>
      <c r="AJ654" s="28"/>
      <c r="AK654" s="13"/>
      <c r="AL654" s="15"/>
      <c r="AM654" s="15"/>
      <c r="AN654" s="28"/>
      <c r="AO654" s="13"/>
      <c r="AP654" s="15"/>
      <c r="AQ654" s="15"/>
      <c r="AR654" s="28"/>
      <c r="AS654" s="15"/>
      <c r="AT654" s="15"/>
      <c r="AU654" s="15"/>
      <c r="AV654" s="15"/>
      <c r="AW654" s="13"/>
      <c r="AX654" s="15"/>
      <c r="AY654" s="15"/>
      <c r="AZ654" s="28"/>
      <c r="BA654" s="15"/>
      <c r="BB654" s="15"/>
      <c r="BC654" s="15"/>
      <c r="BD654" s="15"/>
      <c r="BE654" s="14"/>
      <c r="BF654" s="41">
        <f>$F$14*2</f>
        <v>700</v>
      </c>
      <c r="BG654" s="34">
        <f t="shared" si="1717"/>
        <v>0</v>
      </c>
      <c r="BH654" s="35">
        <f t="shared" si="1714"/>
        <v>0</v>
      </c>
      <c r="BI654" s="15"/>
      <c r="BJ654" s="15"/>
      <c r="BK654" s="15"/>
      <c r="BL654" s="15"/>
    </row>
    <row r="655" ht="15.75" customHeight="1" hidden="1" spans="1:62" x14ac:dyDescent="0.25">
      <c r="A655" s="88" t="s">
        <v>297</v>
      </c>
      <c r="B655" s="21"/>
      <c r="C655" s="22" t="s">
        <v>53</v>
      </c>
      <c r="D655" s="21"/>
      <c r="E655" s="22"/>
      <c r="F655" s="20"/>
      <c r="G655" s="23"/>
      <c r="H655" s="51">
        <f>SUM(H648:H654)</f>
        <v>-1113.11</v>
      </c>
      <c r="I655" s="52"/>
      <c r="J655" s="53"/>
      <c r="K655" s="51">
        <f t="shared" ref="K655:L655" si="1718">SUM(K648:K654)</f>
        <v>0</v>
      </c>
      <c r="L655" s="68">
        <f t="shared" si="1718"/>
        <v>0</v>
      </c>
      <c r="M655" s="53"/>
      <c r="N655" s="53"/>
      <c r="O655" s="51">
        <f t="shared" ref="O655:P655" si="1719">SUM(O649:O654)</f>
        <v>0</v>
      </c>
      <c r="P655" s="51">
        <f t="shared" si="1719"/>
        <v>0</v>
      </c>
      <c r="Q655" s="52"/>
      <c r="R655" s="53"/>
      <c r="S655" s="51">
        <f t="shared" ref="S655:T655" si="1720">SUM(S649:S654)</f>
        <v>0</v>
      </c>
      <c r="T655" s="68">
        <f t="shared" si="1720"/>
        <v>0</v>
      </c>
      <c r="U655" s="53"/>
      <c r="V655" s="53"/>
      <c r="W655" s="51">
        <f t="shared" ref="W655:X655" si="1721">SUM(W649:W654)</f>
        <v>2.49</v>
      </c>
      <c r="X655" s="51">
        <f t="shared" si="1721"/>
        <v>0</v>
      </c>
      <c r="Y655" s="52"/>
      <c r="Z655" s="53"/>
      <c r="AA655" s="51">
        <f t="shared" ref="AA655:AB655" si="1722">SUM(AA649:AA654)</f>
        <v>702.49</v>
      </c>
      <c r="AB655" s="68">
        <f t="shared" si="1722"/>
        <v>0</v>
      </c>
      <c r="AC655" s="53"/>
      <c r="AD655" s="53"/>
      <c r="AE655" s="51">
        <f t="shared" ref="AE655:AF655" si="1723">SUM(AE649:AE654)</f>
        <v>9404.0428</v>
      </c>
      <c r="AF655" s="51">
        <f t="shared" si="1723"/>
        <v>4581.01</v>
      </c>
      <c r="AG655" s="52"/>
      <c r="AH655" s="53"/>
      <c r="AI655" s="51">
        <f t="shared" ref="AI655:AJ655" si="1724">SUM(AI649:AI654)</f>
        <v>383.46</v>
      </c>
      <c r="AJ655" s="68">
        <f t="shared" si="1724"/>
        <v>188.76</v>
      </c>
      <c r="AK655" s="52"/>
      <c r="AL655" s="53"/>
      <c r="AM655" s="51">
        <f t="shared" ref="AM655:AN655" si="1725">SUM(AM649:AM654)</f>
        <v>513.45</v>
      </c>
      <c r="AN655" s="68">
        <f t="shared" si="1725"/>
        <v>4744.57</v>
      </c>
      <c r="AO655" s="52"/>
      <c r="AP655" s="53"/>
      <c r="AQ655" s="51">
        <f t="shared" ref="AQ655:AR655" si="1726">SUM(AQ649:AQ654)</f>
        <v>124.5</v>
      </c>
      <c r="AR655" s="68">
        <f t="shared" si="1726"/>
        <v>0</v>
      </c>
      <c r="AS655" s="53"/>
      <c r="AT655" s="53"/>
      <c r="AU655" s="51">
        <f t="shared" ref="AU655:AV655" si="1727">SUM(AU649:AU654)</f>
        <v>19.92</v>
      </c>
      <c r="AV655" s="51">
        <f t="shared" si="1727"/>
        <v>0</v>
      </c>
      <c r="AW655" s="52"/>
      <c r="AX655" s="53"/>
      <c r="AY655" s="51">
        <f t="shared" ref="AY655:AZ655" si="1728">SUM(AY649:AY654)</f>
        <v>0</v>
      </c>
      <c r="AZ655" s="68">
        <f t="shared" si="1728"/>
        <v>0</v>
      </c>
      <c r="BA655" s="53"/>
      <c r="BB655" s="53"/>
      <c r="BC655" s="51">
        <f t="shared" ref="BC655:BD655" si="1729">SUM(BC649:BC654)</f>
        <v>0</v>
      </c>
      <c r="BD655" s="51">
        <f t="shared" si="1729"/>
        <v>0</v>
      </c>
      <c r="BE655" s="69"/>
      <c r="BF655" s="70">
        <f t="shared" ref="BF655:BH655" si="1730">SUM(BF648:BF654)</f>
        <v>11150.3528</v>
      </c>
      <c r="BG655" s="71">
        <f t="shared" si="1730"/>
        <v>9514.34</v>
      </c>
      <c r="BH655" s="72">
        <f t="shared" si="1730"/>
        <v>522.9028</v>
      </c>
      <c r="BI655" s="34">
        <f>H655+BF655-BG655</f>
        <v>522.9028</v>
      </c>
      <c r="BJ655" s="34">
        <f>BH655-BI655</f>
        <v>0</v>
      </c>
    </row>
    <row r="656" ht="15.75" customHeight="1" hidden="1" spans="1:60" x14ac:dyDescent="0.25">
      <c r="A656" s="29">
        <v>80</v>
      </c>
      <c r="B656" s="14"/>
      <c r="D656" s="14" t="s">
        <v>42</v>
      </c>
      <c r="F656" s="13"/>
      <c r="G656" s="28"/>
      <c r="I656" s="13"/>
      <c r="J656" s="15"/>
      <c r="K656" s="15"/>
      <c r="L656" s="28"/>
      <c r="Q656" s="13"/>
      <c r="R656" s="15"/>
      <c r="S656" s="15"/>
      <c r="T656" s="28"/>
      <c r="Y656" s="13"/>
      <c r="Z656" s="15"/>
      <c r="AA656" s="15"/>
      <c r="AB656" s="28"/>
      <c r="AG656" s="13"/>
      <c r="AH656" s="15"/>
      <c r="AI656" s="15"/>
      <c r="AJ656" s="28"/>
      <c r="AK656" s="13"/>
      <c r="AL656" s="15"/>
      <c r="AM656" s="15"/>
      <c r="AN656" s="28"/>
      <c r="AO656" s="13"/>
      <c r="AP656" s="15"/>
      <c r="AQ656" s="15"/>
      <c r="AR656" s="28"/>
      <c r="AW656" s="13"/>
      <c r="AX656" s="15"/>
      <c r="AY656" s="15"/>
      <c r="AZ656" s="28"/>
      <c r="BE656" s="14"/>
      <c r="BF656" s="13"/>
      <c r="BG656" s="15"/>
      <c r="BH656" s="28"/>
    </row>
    <row r="657" ht="15.75" customHeight="1" hidden="1" spans="1:62" x14ac:dyDescent="0.25">
      <c r="A657" s="2">
        <v>80</v>
      </c>
      <c r="B657" s="14">
        <v>4.28</v>
      </c>
      <c r="C657" s="2" t="s">
        <v>298</v>
      </c>
      <c r="D657" s="14" t="s">
        <v>44</v>
      </c>
      <c r="E657" s="2" t="s">
        <v>45</v>
      </c>
      <c r="F657" s="13">
        <v>2.49</v>
      </c>
      <c r="G657" s="28"/>
      <c r="H657" s="2">
        <v>4.18</v>
      </c>
      <c r="I657" s="13">
        <v>553</v>
      </c>
      <c r="J657" s="15">
        <v>0</v>
      </c>
      <c r="K657" s="34">
        <f>J657*$F$8</f>
        <v>0</v>
      </c>
      <c r="L657" s="28"/>
      <c r="M657" s="2">
        <v>553</v>
      </c>
      <c r="N657" s="15">
        <f>M657-I657</f>
        <v>0</v>
      </c>
      <c r="O657" s="34">
        <f>N657*$F$8</f>
        <v>0</v>
      </c>
      <c r="Q657" s="13">
        <v>553</v>
      </c>
      <c r="R657" s="15">
        <f>Q657-M657</f>
        <v>0</v>
      </c>
      <c r="S657" s="34">
        <f>R657*$F$8</f>
        <v>0</v>
      </c>
      <c r="T657" s="28"/>
      <c r="U657" s="2">
        <v>561</v>
      </c>
      <c r="V657" s="15">
        <f>U657-Q657</f>
        <v>8</v>
      </c>
      <c r="W657" s="33">
        <f>V657*$F$8</f>
        <v>19.92</v>
      </c>
      <c r="X657" s="96">
        <f>4.18-4.18</f>
        <v>0</v>
      </c>
      <c r="Y657" s="13">
        <v>568</v>
      </c>
      <c r="Z657" s="15">
        <f>Y657-U657</f>
        <v>7</v>
      </c>
      <c r="AA657" s="34">
        <f>Z657*$F$8</f>
        <v>17.43</v>
      </c>
      <c r="AB657" s="105">
        <f>17.43-17.43</f>
        <v>0</v>
      </c>
      <c r="AC657" s="2">
        <v>599</v>
      </c>
      <c r="AD657" s="15">
        <f t="shared" ref="AD657:AD658" si="1731">AC657-Y657</f>
        <v>31</v>
      </c>
      <c r="AE657" s="34">
        <f>AD657*$F$8</f>
        <v>77.19</v>
      </c>
      <c r="AF657" s="96">
        <f>77.19-77.19</f>
        <v>0</v>
      </c>
      <c r="AG657" s="13">
        <v>657</v>
      </c>
      <c r="AH657" s="15">
        <f t="shared" ref="AH657:AH658" si="1732">AG657-AC657</f>
        <v>58</v>
      </c>
      <c r="AI657" s="34">
        <f>AH657*$F$8</f>
        <v>144.42</v>
      </c>
      <c r="AJ657" s="87">
        <v>101.29</v>
      </c>
      <c r="AK657" s="13">
        <v>703</v>
      </c>
      <c r="AL657" s="15">
        <f t="shared" ref="AL657:AL658" si="1733">AK657-AG657</f>
        <v>46</v>
      </c>
      <c r="AM657" s="34">
        <f>AL657*$F$8</f>
        <v>114.54</v>
      </c>
      <c r="AN657" s="32">
        <f>276.39+200</f>
        <v>476.39</v>
      </c>
      <c r="AO657" s="13">
        <v>729</v>
      </c>
      <c r="AP657" s="15">
        <f t="shared" ref="AP657:AP658" si="1734">AO657-AK657</f>
        <v>26</v>
      </c>
      <c r="AQ657" s="34">
        <f>AP657*$F$8</f>
        <v>64.74</v>
      </c>
      <c r="AR657" s="28"/>
      <c r="AS657" s="15">
        <v>743</v>
      </c>
      <c r="AT657" s="15">
        <f>AS657-AO657</f>
        <v>14</v>
      </c>
      <c r="AU657" s="34">
        <f>AT657*$F$8</f>
        <v>34.86</v>
      </c>
      <c r="AV657" s="15"/>
      <c r="AW657" s="13">
        <v>743</v>
      </c>
      <c r="AX657" s="15">
        <f>AW657-AS657</f>
        <v>0</v>
      </c>
      <c r="AY657" s="34">
        <f>AX657*$F$8</f>
        <v>0</v>
      </c>
      <c r="AZ657" s="28"/>
      <c r="BA657" s="13">
        <v>743</v>
      </c>
      <c r="BB657" s="15">
        <f>BA657-AW657</f>
        <v>0</v>
      </c>
      <c r="BC657" s="34">
        <f>BB657*$F$8</f>
        <v>0</v>
      </c>
      <c r="BD657" s="15"/>
      <c r="BE657" s="40">
        <f t="shared" ref="BE657:BG657" si="1735">J657+N657+R657+V657+Z657+AD657+AH657+AL657+AP657+AT657+AX657+BB657</f>
        <v>190</v>
      </c>
      <c r="BF657" s="41">
        <f t="shared" si="1735"/>
        <v>473.1</v>
      </c>
      <c r="BG657" s="34">
        <f t="shared" si="1735"/>
        <v>577.68</v>
      </c>
      <c r="BH657" s="35">
        <f t="shared" ref="BH657:BH662" si="1736">H657+BF657-BG657</f>
        <v>-100.4</v>
      </c>
      <c r="BI657" s="34"/>
      <c r="BJ657" s="34"/>
    </row>
    <row r="658" ht="15.75" customHeight="1" hidden="1" spans="1:60" x14ac:dyDescent="0.25">
      <c r="A658" s="29">
        <v>80</v>
      </c>
      <c r="B658" s="14"/>
      <c r="C658" s="2" t="s">
        <v>215</v>
      </c>
      <c r="D658" s="14" t="s">
        <v>47</v>
      </c>
      <c r="E658" s="2" t="s">
        <v>48</v>
      </c>
      <c r="F658" s="13">
        <v>17.16</v>
      </c>
      <c r="G658" s="28"/>
      <c r="H658" s="2">
        <v>-17.16</v>
      </c>
      <c r="I658" s="13"/>
      <c r="J658" s="15"/>
      <c r="K658" s="15"/>
      <c r="L658" s="28"/>
      <c r="Q658" s="13"/>
      <c r="R658" s="15"/>
      <c r="S658" s="15"/>
      <c r="T658" s="28"/>
      <c r="Y658" s="94">
        <v>0</v>
      </c>
      <c r="Z658" s="15"/>
      <c r="AA658" s="15"/>
      <c r="AB658" s="28"/>
      <c r="AC658" s="2">
        <v>1</v>
      </c>
      <c r="AD658" s="15">
        <f t="shared" si="1731"/>
        <v>1</v>
      </c>
      <c r="AE658" s="34">
        <f>AD658*$F$10</f>
        <v>17.16</v>
      </c>
      <c r="AG658" s="13">
        <v>1</v>
      </c>
      <c r="AH658" s="15">
        <f t="shared" si="1732"/>
        <v>0</v>
      </c>
      <c r="AI658" s="45">
        <f>AH658*$G$10</f>
        <v>0</v>
      </c>
      <c r="AJ658" s="32">
        <v>17.16</v>
      </c>
      <c r="AK658" s="13">
        <v>12</v>
      </c>
      <c r="AL658" s="15">
        <f t="shared" si="1733"/>
        <v>11</v>
      </c>
      <c r="AM658" s="45">
        <f>AL658*$G$10</f>
        <v>194.48</v>
      </c>
      <c r="AN658" s="32">
        <v>194.48</v>
      </c>
      <c r="AO658" s="13">
        <v>12</v>
      </c>
      <c r="AP658" s="15">
        <f t="shared" si="1734"/>
        <v>0</v>
      </c>
      <c r="AQ658" s="45">
        <f>AP658*$G$10</f>
        <v>0</v>
      </c>
      <c r="AR658" s="28"/>
      <c r="AS658" s="15"/>
      <c r="AT658" s="15"/>
      <c r="AU658" s="15"/>
      <c r="AV658" s="15"/>
      <c r="AW658" s="13"/>
      <c r="AX658" s="15"/>
      <c r="AY658" s="15"/>
      <c r="AZ658" s="28"/>
      <c r="BA658" s="15"/>
      <c r="BB658" s="15"/>
      <c r="BC658" s="15"/>
      <c r="BD658" s="15"/>
      <c r="BE658" s="40">
        <f t="shared" ref="BE658:BG658" si="1737">J658+N658+R658+V658+Z658+AD658+AH658+AL658+AP658+AT658+AX658+BB658</f>
        <v>12</v>
      </c>
      <c r="BF658" s="41">
        <f t="shared" si="1737"/>
        <v>211.64</v>
      </c>
      <c r="BG658" s="34">
        <f t="shared" si="1737"/>
        <v>211.64</v>
      </c>
      <c r="BH658" s="35">
        <f t="shared" si="1736"/>
        <v>-17.16</v>
      </c>
    </row>
    <row r="659" ht="15.75" customHeight="1" hidden="1" spans="1:60" x14ac:dyDescent="0.25">
      <c r="A659" s="29">
        <v>80</v>
      </c>
      <c r="B659" s="14"/>
      <c r="C659" s="2" t="s">
        <v>299</v>
      </c>
      <c r="D659" s="14" t="s">
        <v>47</v>
      </c>
      <c r="E659" s="2" t="s">
        <v>49</v>
      </c>
      <c r="F659" s="41">
        <v>300</v>
      </c>
      <c r="G659" s="28"/>
      <c r="I659" s="13"/>
      <c r="J659" s="15"/>
      <c r="K659" s="15"/>
      <c r="L659" s="28"/>
      <c r="Q659" s="13"/>
      <c r="R659" s="15"/>
      <c r="S659" s="15"/>
      <c r="T659" s="28"/>
      <c r="Y659" s="13"/>
      <c r="Z659" s="15"/>
      <c r="AA659" s="15"/>
      <c r="AB659" s="28"/>
      <c r="AG659" s="13"/>
      <c r="AH659" s="15"/>
      <c r="AI659" s="15"/>
      <c r="AJ659" s="28"/>
      <c r="AK659" s="13"/>
      <c r="AL659" s="15"/>
      <c r="AM659" s="34"/>
      <c r="AN659" s="28"/>
      <c r="AO659" s="13"/>
      <c r="AP659" s="15"/>
      <c r="AQ659" s="34"/>
      <c r="AR659" s="28"/>
      <c r="AS659" s="15"/>
      <c r="AT659" s="15"/>
      <c r="AU659" s="15"/>
      <c r="AV659" s="15"/>
      <c r="AW659" s="13"/>
      <c r="AX659" s="15"/>
      <c r="AY659" s="15"/>
      <c r="AZ659" s="28"/>
      <c r="BA659" s="15"/>
      <c r="BB659" s="15"/>
      <c r="BC659" s="15"/>
      <c r="BD659" s="15"/>
      <c r="BE659" s="14"/>
      <c r="BF659" s="41">
        <f t="shared" ref="BF659:BG659" si="1738">K659+O659+S659+W659+AA659+AE659+AI659+AM659+AQ659+AU659+AY659+BC659</f>
        <v>0</v>
      </c>
      <c r="BG659" s="34">
        <f t="shared" si="1738"/>
        <v>0</v>
      </c>
      <c r="BH659" s="35">
        <f t="shared" si="1736"/>
        <v>0</v>
      </c>
    </row>
    <row r="660" ht="15.75" customHeight="1" hidden="1" spans="1:60" x14ac:dyDescent="0.25">
      <c r="A660" s="29">
        <v>80</v>
      </c>
      <c r="B660" s="14"/>
      <c r="D660" s="14" t="s">
        <v>50</v>
      </c>
      <c r="E660" s="2" t="s">
        <v>49</v>
      </c>
      <c r="F660" s="41">
        <v>1062.88</v>
      </c>
      <c r="G660" s="28"/>
      <c r="I660" s="13"/>
      <c r="J660" s="15"/>
      <c r="K660" s="15"/>
      <c r="L660" s="28"/>
      <c r="Q660" s="13"/>
      <c r="R660" s="15"/>
      <c r="S660" s="15"/>
      <c r="T660" s="28"/>
      <c r="Y660" s="13"/>
      <c r="Z660" s="15"/>
      <c r="AA660" s="15"/>
      <c r="AB660" s="28"/>
      <c r="AE660" s="34">
        <f>B657*$F$12</f>
        <v>4549.1264</v>
      </c>
      <c r="AF660" s="2">
        <v>4549.12</v>
      </c>
      <c r="AG660" s="13"/>
      <c r="AH660" s="15"/>
      <c r="AI660" s="15"/>
      <c r="AJ660" s="35"/>
      <c r="AK660" s="13"/>
      <c r="AL660" s="15"/>
      <c r="AM660" s="15"/>
      <c r="AN660" s="28"/>
      <c r="AO660" s="13"/>
      <c r="AP660" s="15"/>
      <c r="AQ660" s="15"/>
      <c r="AR660" s="28"/>
      <c r="AS660" s="15"/>
      <c r="AT660" s="15"/>
      <c r="AU660" s="15"/>
      <c r="AV660" s="15"/>
      <c r="AW660" s="13"/>
      <c r="AX660" s="15"/>
      <c r="AY660" s="15"/>
      <c r="AZ660" s="28"/>
      <c r="BA660" s="15"/>
      <c r="BB660" s="15"/>
      <c r="BC660" s="15"/>
      <c r="BD660" s="15"/>
      <c r="BE660" s="14"/>
      <c r="BF660" s="41">
        <f>B657*$F$12</f>
        <v>4549.1264</v>
      </c>
      <c r="BG660" s="34">
        <f t="shared" ref="BG660:BG662" si="1739">L660+P660+T660+X660+AB660+AF660+AJ660+AN660+AR660+AV660+AZ660+BD660</f>
        <v>4549.12</v>
      </c>
      <c r="BH660" s="35">
        <f t="shared" si="1736"/>
        <v>0.006400000001</v>
      </c>
    </row>
    <row r="661" ht="15.75" customHeight="1" hidden="1" spans="1:60" x14ac:dyDescent="0.25">
      <c r="A661" s="29">
        <v>80</v>
      </c>
      <c r="B661" s="14"/>
      <c r="D661" s="14" t="s">
        <v>51</v>
      </c>
      <c r="E661" s="2" t="s">
        <v>49</v>
      </c>
      <c r="F661" s="41">
        <v>0</v>
      </c>
      <c r="G661" s="28"/>
      <c r="I661" s="13"/>
      <c r="J661" s="15"/>
      <c r="K661" s="15"/>
      <c r="L661" s="28"/>
      <c r="Q661" s="13"/>
      <c r="R661" s="15"/>
      <c r="S661" s="15"/>
      <c r="T661" s="28"/>
      <c r="Y661" s="13"/>
      <c r="Z661" s="15"/>
      <c r="AA661" s="15"/>
      <c r="AB661" s="28"/>
      <c r="AG661" s="13"/>
      <c r="AH661" s="15"/>
      <c r="AI661" s="15"/>
      <c r="AJ661" s="28"/>
      <c r="AK661" s="13"/>
      <c r="AL661" s="15"/>
      <c r="AM661" s="15"/>
      <c r="AN661" s="28"/>
      <c r="AO661" s="13"/>
      <c r="AP661" s="15"/>
      <c r="AQ661" s="15"/>
      <c r="AR661" s="28"/>
      <c r="AS661" s="15"/>
      <c r="AT661" s="15"/>
      <c r="AU661" s="15"/>
      <c r="AV661" s="15"/>
      <c r="AW661" s="13"/>
      <c r="AX661" s="15"/>
      <c r="AY661" s="15"/>
      <c r="AZ661" s="28"/>
      <c r="BA661" s="15"/>
      <c r="BB661" s="15"/>
      <c r="BC661" s="15"/>
      <c r="BD661" s="15"/>
      <c r="BE661" s="14"/>
      <c r="BF661" s="41">
        <f>B657*$F$13</f>
        <v>0</v>
      </c>
      <c r="BG661" s="34">
        <f t="shared" si="1739"/>
        <v>0</v>
      </c>
      <c r="BH661" s="35">
        <f t="shared" si="1736"/>
        <v>0</v>
      </c>
    </row>
    <row r="662" ht="15.75" customHeight="1" hidden="1" spans="1:60" x14ac:dyDescent="0.25">
      <c r="A662" s="29">
        <v>80</v>
      </c>
      <c r="B662" s="14"/>
      <c r="D662" s="14" t="s">
        <v>52</v>
      </c>
      <c r="E662" s="2" t="s">
        <v>39</v>
      </c>
      <c r="F662" s="41">
        <v>350</v>
      </c>
      <c r="G662" s="28"/>
      <c r="H662" s="84">
        <v>-350</v>
      </c>
      <c r="I662" s="13"/>
      <c r="J662" s="15"/>
      <c r="K662" s="15"/>
      <c r="L662" s="28"/>
      <c r="Q662" s="13"/>
      <c r="R662" s="15"/>
      <c r="S662" s="15"/>
      <c r="T662" s="28"/>
      <c r="Y662" s="13"/>
      <c r="Z662" s="15"/>
      <c r="AA662" s="34">
        <f>$F$14</f>
        <v>350</v>
      </c>
      <c r="AB662" s="28"/>
      <c r="AG662" s="13"/>
      <c r="AH662" s="15"/>
      <c r="AI662" s="15"/>
      <c r="AJ662" s="28"/>
      <c r="AK662" s="13"/>
      <c r="AL662" s="15"/>
      <c r="AM662" s="15"/>
      <c r="AN662" s="28"/>
      <c r="AO662" s="13"/>
      <c r="AP662" s="15"/>
      <c r="AQ662" s="15"/>
      <c r="AR662" s="28"/>
      <c r="AS662" s="15"/>
      <c r="AT662" s="15"/>
      <c r="AU662" s="15"/>
      <c r="AV662" s="15"/>
      <c r="AW662" s="13"/>
      <c r="AX662" s="15"/>
      <c r="AY662" s="15"/>
      <c r="AZ662" s="28"/>
      <c r="BA662" s="15"/>
      <c r="BB662" s="15"/>
      <c r="BC662" s="15"/>
      <c r="BD662" s="15"/>
      <c r="BE662" s="14"/>
      <c r="BF662" s="41">
        <f>$F$14</f>
        <v>350</v>
      </c>
      <c r="BG662" s="34">
        <f t="shared" si="1739"/>
        <v>0</v>
      </c>
      <c r="BH662" s="35">
        <f t="shared" si="1736"/>
        <v>0</v>
      </c>
    </row>
    <row r="663" ht="15.75" customHeight="1" hidden="1" spans="1:62" x14ac:dyDescent="0.25">
      <c r="A663" s="50">
        <v>80</v>
      </c>
      <c r="B663" s="21"/>
      <c r="C663" s="22" t="s">
        <v>53</v>
      </c>
      <c r="D663" s="21"/>
      <c r="E663" s="22"/>
      <c r="F663" s="20"/>
      <c r="G663" s="23"/>
      <c r="H663" s="51">
        <f>SUM(H656:H662)</f>
        <v>-362.98</v>
      </c>
      <c r="I663" s="52"/>
      <c r="J663" s="53"/>
      <c r="K663" s="51">
        <f t="shared" ref="K663:L663" si="1740">SUM(K656:K662)</f>
        <v>0</v>
      </c>
      <c r="L663" s="68">
        <f t="shared" si="1740"/>
        <v>0</v>
      </c>
      <c r="M663" s="53"/>
      <c r="N663" s="53"/>
      <c r="O663" s="51">
        <f t="shared" ref="O663:P663" si="1741">SUM(O657:O662)</f>
        <v>0</v>
      </c>
      <c r="P663" s="51">
        <f t="shared" si="1741"/>
        <v>0</v>
      </c>
      <c r="Q663" s="52"/>
      <c r="R663" s="53"/>
      <c r="S663" s="51">
        <f t="shared" ref="S663:T663" si="1742">SUM(S657:S662)</f>
        <v>0</v>
      </c>
      <c r="T663" s="68">
        <f t="shared" si="1742"/>
        <v>0</v>
      </c>
      <c r="U663" s="53"/>
      <c r="V663" s="53"/>
      <c r="W663" s="51">
        <f t="shared" ref="W663:X663" si="1743">SUM(W657:W662)</f>
        <v>19.92</v>
      </c>
      <c r="X663" s="51">
        <f t="shared" si="1743"/>
        <v>0</v>
      </c>
      <c r="Y663" s="52"/>
      <c r="Z663" s="53"/>
      <c r="AA663" s="51">
        <f t="shared" ref="AA663:AB663" si="1744">SUM(AA657:AA662)</f>
        <v>367.43</v>
      </c>
      <c r="AB663" s="68">
        <f t="shared" si="1744"/>
        <v>0</v>
      </c>
      <c r="AC663" s="53"/>
      <c r="AD663" s="53"/>
      <c r="AE663" s="51">
        <f t="shared" ref="AE663:AF663" si="1745">SUM(AE657:AE662)</f>
        <v>4643.4764</v>
      </c>
      <c r="AF663" s="51">
        <f t="shared" si="1745"/>
        <v>4549.12</v>
      </c>
      <c r="AG663" s="52"/>
      <c r="AH663" s="53"/>
      <c r="AI663" s="51">
        <f t="shared" ref="AI663:AJ663" si="1746">SUM(AI657:AI662)</f>
        <v>144.42</v>
      </c>
      <c r="AJ663" s="68">
        <f t="shared" si="1746"/>
        <v>118.45</v>
      </c>
      <c r="AK663" s="52"/>
      <c r="AL663" s="53"/>
      <c r="AM663" s="51">
        <f t="shared" ref="AM663:AN663" si="1747">SUM(AM657:AM662)</f>
        <v>309.02</v>
      </c>
      <c r="AN663" s="68">
        <f t="shared" si="1747"/>
        <v>670.87</v>
      </c>
      <c r="AO663" s="52"/>
      <c r="AP663" s="53"/>
      <c r="AQ663" s="51">
        <f t="shared" ref="AQ663:AR663" si="1748">SUM(AQ657:AQ662)</f>
        <v>64.74</v>
      </c>
      <c r="AR663" s="68">
        <f t="shared" si="1748"/>
        <v>0</v>
      </c>
      <c r="AS663" s="53"/>
      <c r="AT663" s="53"/>
      <c r="AU663" s="51">
        <f t="shared" ref="AU663:AV663" si="1749">SUM(AU657:AU662)</f>
        <v>34.86</v>
      </c>
      <c r="AV663" s="51">
        <f t="shared" si="1749"/>
        <v>0</v>
      </c>
      <c r="AW663" s="52"/>
      <c r="AX663" s="53"/>
      <c r="AY663" s="51">
        <f t="shared" ref="AY663:AZ663" si="1750">SUM(AY657:AY662)</f>
        <v>0</v>
      </c>
      <c r="AZ663" s="68">
        <f t="shared" si="1750"/>
        <v>0</v>
      </c>
      <c r="BA663" s="53"/>
      <c r="BB663" s="53"/>
      <c r="BC663" s="51">
        <f t="shared" ref="BC663:BD663" si="1751">SUM(BC657:BC662)</f>
        <v>0</v>
      </c>
      <c r="BD663" s="51">
        <f t="shared" si="1751"/>
        <v>0</v>
      </c>
      <c r="BE663" s="69"/>
      <c r="BF663" s="70">
        <f t="shared" ref="BF663:BH663" si="1752">SUM(BF656:BF662)</f>
        <v>5583.8664</v>
      </c>
      <c r="BG663" s="71">
        <f t="shared" si="1752"/>
        <v>5338.44</v>
      </c>
      <c r="BH663" s="72">
        <f t="shared" si="1752"/>
        <v>-117.5536</v>
      </c>
      <c r="BI663" s="34">
        <f>H663+BF663-BG663</f>
        <v>-117.5536</v>
      </c>
      <c r="BJ663" s="34">
        <f>BH663-BI663</f>
        <v>0</v>
      </c>
    </row>
    <row r="664" ht="15.75" customHeight="1" hidden="1" spans="1:60" x14ac:dyDescent="0.25">
      <c r="A664" s="29">
        <v>82</v>
      </c>
      <c r="B664" s="14"/>
      <c r="D664" s="14" t="s">
        <v>42</v>
      </c>
      <c r="F664" s="13"/>
      <c r="G664" s="28"/>
      <c r="I664" s="13"/>
      <c r="J664" s="15"/>
      <c r="K664" s="15"/>
      <c r="L664" s="28"/>
      <c r="Q664" s="13"/>
      <c r="R664" s="15"/>
      <c r="S664" s="15"/>
      <c r="T664" s="28"/>
      <c r="Y664" s="13"/>
      <c r="Z664" s="15"/>
      <c r="AA664" s="15"/>
      <c r="AB664" s="28"/>
      <c r="AG664" s="13"/>
      <c r="AH664" s="15"/>
      <c r="AI664" s="15"/>
      <c r="AJ664" s="28"/>
      <c r="AK664" s="13"/>
      <c r="AL664" s="15"/>
      <c r="AM664" s="15"/>
      <c r="AN664" s="28"/>
      <c r="AO664" s="13"/>
      <c r="AP664" s="15"/>
      <c r="AQ664" s="15"/>
      <c r="AR664" s="28"/>
      <c r="AW664" s="13"/>
      <c r="AX664" s="15"/>
      <c r="AY664" s="15"/>
      <c r="AZ664" s="28"/>
      <c r="BE664" s="14"/>
      <c r="BF664" s="13"/>
      <c r="BG664" s="15"/>
      <c r="BH664" s="28"/>
    </row>
    <row r="665" ht="15.75" customHeight="1" hidden="1" spans="1:60" x14ac:dyDescent="0.25">
      <c r="A665" s="80">
        <v>82</v>
      </c>
      <c r="B665" s="14">
        <v>4.28</v>
      </c>
      <c r="C665" s="2" t="s">
        <v>300</v>
      </c>
      <c r="D665" s="14" t="s">
        <v>44</v>
      </c>
      <c r="E665" s="2" t="s">
        <v>45</v>
      </c>
      <c r="F665" s="13">
        <v>2.49</v>
      </c>
      <c r="G665" s="28"/>
      <c r="H665" s="74"/>
      <c r="I665" s="13"/>
      <c r="J665" s="15"/>
      <c r="K665" s="15"/>
      <c r="L665" s="28"/>
      <c r="Q665" s="13"/>
      <c r="R665" s="15"/>
      <c r="S665" s="15"/>
      <c r="T665" s="28"/>
      <c r="Y665" s="13"/>
      <c r="Z665" s="15">
        <f>Y665-U665</f>
        <v>0</v>
      </c>
      <c r="AA665" s="34">
        <f>Z665*$F$8</f>
        <v>0</v>
      </c>
      <c r="AB665" s="28"/>
      <c r="AC665" s="15"/>
      <c r="AD665" s="15">
        <f t="shared" ref="AD665:AD666" si="1753">AC665-Y665</f>
        <v>0</v>
      </c>
      <c r="AE665" s="34">
        <f>AD665*$F$8</f>
        <v>0</v>
      </c>
      <c r="AG665" s="13"/>
      <c r="AH665" s="15">
        <f t="shared" ref="AH665:AH666" si="1754">AG665-AC665</f>
        <v>0</v>
      </c>
      <c r="AI665" s="34">
        <f>AH665*$F$8</f>
        <v>0</v>
      </c>
      <c r="AJ665" s="28"/>
      <c r="AK665" s="13"/>
      <c r="AL665" s="15">
        <f t="shared" ref="AL665:AL666" si="1755">AK665-AG665</f>
        <v>0</v>
      </c>
      <c r="AM665" s="34">
        <f>AL665*$F$8</f>
        <v>0</v>
      </c>
      <c r="AN665" s="28"/>
      <c r="AO665" s="13"/>
      <c r="AP665" s="15"/>
      <c r="AQ665" s="34">
        <f>AP665*$F$8</f>
        <v>0</v>
      </c>
      <c r="AR665" s="28"/>
      <c r="AS665" s="15"/>
      <c r="AT665" s="15"/>
      <c r="AU665" s="34">
        <f>AT665*$F$8</f>
        <v>0</v>
      </c>
      <c r="AV665" s="15"/>
      <c r="AW665" s="13"/>
      <c r="AX665" s="15"/>
      <c r="AY665" s="34">
        <f>AX665*$F$8</f>
        <v>0</v>
      </c>
      <c r="AZ665" s="28"/>
      <c r="BA665" s="15"/>
      <c r="BB665" s="15"/>
      <c r="BC665" s="34">
        <f>BB665*$F$8</f>
        <v>0</v>
      </c>
      <c r="BD665" s="15"/>
      <c r="BE665" s="40">
        <f t="shared" ref="BE665:BG665" si="1756">J665+N665+R665+V665+Z665+AD665+AH665+AL665+AP665+AT665+AX665+BB665</f>
        <v>0</v>
      </c>
      <c r="BF665" s="41">
        <f t="shared" si="1756"/>
        <v>0</v>
      </c>
      <c r="BG665" s="34">
        <f t="shared" si="1756"/>
        <v>0</v>
      </c>
      <c r="BH665" s="35">
        <f t="shared" ref="BH665:BH670" si="1757">H665+BF665-BG665</f>
        <v>0</v>
      </c>
    </row>
    <row r="666" ht="15.75" customHeight="1" hidden="1" spans="1:60" x14ac:dyDescent="0.25">
      <c r="A666" s="79">
        <v>82</v>
      </c>
      <c r="B666" s="14"/>
      <c r="C666" s="2" t="s">
        <v>87</v>
      </c>
      <c r="D666" s="14" t="s">
        <v>47</v>
      </c>
      <c r="E666" s="2" t="s">
        <v>48</v>
      </c>
      <c r="F666" s="13">
        <v>17.16</v>
      </c>
      <c r="G666" s="28"/>
      <c r="I666" s="13"/>
      <c r="J666" s="15"/>
      <c r="K666" s="15"/>
      <c r="L666" s="28"/>
      <c r="Q666" s="13"/>
      <c r="R666" s="15"/>
      <c r="S666" s="15"/>
      <c r="T666" s="28"/>
      <c r="Y666" s="13">
        <v>44</v>
      </c>
      <c r="Z666" s="15"/>
      <c r="AA666" s="15"/>
      <c r="AB666" s="28"/>
      <c r="AC666" s="2">
        <v>44</v>
      </c>
      <c r="AD666" s="15">
        <f t="shared" si="1753"/>
        <v>0</v>
      </c>
      <c r="AE666" s="34">
        <f>AD666*$F$10</f>
        <v>0</v>
      </c>
      <c r="AG666" s="13">
        <v>44</v>
      </c>
      <c r="AH666" s="15">
        <f t="shared" si="1754"/>
        <v>0</v>
      </c>
      <c r="AI666" s="45">
        <f>AH666*$G$10</f>
        <v>0</v>
      </c>
      <c r="AJ666" s="28"/>
      <c r="AK666" s="13">
        <v>44</v>
      </c>
      <c r="AL666" s="15">
        <f t="shared" si="1755"/>
        <v>0</v>
      </c>
      <c r="AM666" s="45">
        <f>AL666*$G$10</f>
        <v>0</v>
      </c>
      <c r="AN666" s="28"/>
      <c r="AO666" s="13">
        <v>44</v>
      </c>
      <c r="AP666" s="15">
        <f>AO666-AK666</f>
        <v>0</v>
      </c>
      <c r="AQ666" s="45">
        <f>AP666*$G$10</f>
        <v>0</v>
      </c>
      <c r="AR666" s="28"/>
      <c r="AS666" s="15"/>
      <c r="AT666" s="15"/>
      <c r="AU666" s="15"/>
      <c r="AV666" s="15"/>
      <c r="AW666" s="13"/>
      <c r="AX666" s="15"/>
      <c r="AY666" s="15"/>
      <c r="AZ666" s="28"/>
      <c r="BA666" s="15"/>
      <c r="BB666" s="15"/>
      <c r="BC666" s="15"/>
      <c r="BD666" s="15"/>
      <c r="BE666" s="40">
        <f t="shared" ref="BE666:BG666" si="1758">J666+N666+R666+V666+Z666+AD666+AH666+AL666+AP666+AT666+AX666+BB666</f>
        <v>0</v>
      </c>
      <c r="BF666" s="41">
        <f t="shared" si="1758"/>
        <v>0</v>
      </c>
      <c r="BG666" s="34">
        <f t="shared" si="1758"/>
        <v>0</v>
      </c>
      <c r="BH666" s="35">
        <f t="shared" si="1757"/>
        <v>0</v>
      </c>
    </row>
    <row r="667" ht="15.75" customHeight="1" hidden="1" spans="1:60" x14ac:dyDescent="0.25">
      <c r="A667" s="79">
        <v>82</v>
      </c>
      <c r="B667" s="14"/>
      <c r="C667" s="73"/>
      <c r="D667" s="14" t="s">
        <v>47</v>
      </c>
      <c r="E667" s="2" t="s">
        <v>49</v>
      </c>
      <c r="F667" s="41">
        <v>300</v>
      </c>
      <c r="G667" s="28"/>
      <c r="I667" s="13"/>
      <c r="J667" s="15"/>
      <c r="K667" s="15"/>
      <c r="L667" s="28"/>
      <c r="Q667" s="13"/>
      <c r="R667" s="15"/>
      <c r="S667" s="15"/>
      <c r="T667" s="28"/>
      <c r="Y667" s="13"/>
      <c r="Z667" s="15"/>
      <c r="AA667" s="15"/>
      <c r="AB667" s="28"/>
      <c r="AG667" s="13"/>
      <c r="AH667" s="15"/>
      <c r="AI667" s="15"/>
      <c r="AJ667" s="28"/>
      <c r="AK667" s="13"/>
      <c r="AL667" s="15"/>
      <c r="AM667" s="34"/>
      <c r="AN667" s="28"/>
      <c r="AO667" s="13"/>
      <c r="AP667" s="15"/>
      <c r="AQ667" s="34"/>
      <c r="AR667" s="28"/>
      <c r="AS667" s="15"/>
      <c r="AT667" s="15"/>
      <c r="AU667" s="15"/>
      <c r="AV667" s="15"/>
      <c r="AW667" s="13"/>
      <c r="AX667" s="15"/>
      <c r="AY667" s="15"/>
      <c r="AZ667" s="28"/>
      <c r="BA667" s="15"/>
      <c r="BB667" s="15"/>
      <c r="BC667" s="15"/>
      <c r="BD667" s="15"/>
      <c r="BE667" s="14"/>
      <c r="BF667" s="41">
        <f t="shared" ref="BF667:BG667" si="1759">K667+O667+S667+W667+AA667+AE667+AI667+AM667+AQ667+AU667+AY667+BC667</f>
        <v>0</v>
      </c>
      <c r="BG667" s="34">
        <f t="shared" si="1759"/>
        <v>0</v>
      </c>
      <c r="BH667" s="35">
        <f t="shared" si="1757"/>
        <v>0</v>
      </c>
    </row>
    <row r="668" ht="15.75" customHeight="1" hidden="1" spans="1:60" x14ac:dyDescent="0.25">
      <c r="A668" s="79">
        <v>82</v>
      </c>
      <c r="B668" s="14"/>
      <c r="D668" s="14" t="s">
        <v>50</v>
      </c>
      <c r="E668" s="2" t="s">
        <v>49</v>
      </c>
      <c r="F668" s="41">
        <v>1062.88</v>
      </c>
      <c r="G668" s="28"/>
      <c r="I668" s="13"/>
      <c r="J668" s="15"/>
      <c r="K668" s="15"/>
      <c r="L668" s="28"/>
      <c r="Q668" s="13"/>
      <c r="R668" s="15"/>
      <c r="S668" s="15"/>
      <c r="T668" s="28"/>
      <c r="Y668" s="13"/>
      <c r="Z668" s="15"/>
      <c r="AA668" s="15"/>
      <c r="AB668" s="28"/>
      <c r="AE668" s="34">
        <f>B665*$F$12</f>
        <v>4549.1264</v>
      </c>
      <c r="AF668" s="2">
        <v>4549.12</v>
      </c>
      <c r="AG668" s="13"/>
      <c r="AH668" s="15"/>
      <c r="AI668" s="15"/>
      <c r="AJ668" s="35"/>
      <c r="AK668" s="13"/>
      <c r="AL668" s="15"/>
      <c r="AM668" s="15"/>
      <c r="AN668" s="28"/>
      <c r="AO668" s="13"/>
      <c r="AP668" s="15"/>
      <c r="AQ668" s="15"/>
      <c r="AR668" s="28"/>
      <c r="AS668" s="15"/>
      <c r="AT668" s="15"/>
      <c r="AU668" s="15"/>
      <c r="AV668" s="15"/>
      <c r="AW668" s="13"/>
      <c r="AX668" s="15"/>
      <c r="AY668" s="15"/>
      <c r="AZ668" s="28"/>
      <c r="BA668" s="15"/>
      <c r="BB668" s="15"/>
      <c r="BC668" s="15"/>
      <c r="BD668" s="15"/>
      <c r="BE668" s="14"/>
      <c r="BF668" s="41">
        <f>B665*$F$12</f>
        <v>4549.1264</v>
      </c>
      <c r="BG668" s="34">
        <f t="shared" ref="BG668:BG670" si="1760">L668+P668+T668+X668+AB668+AF668+AJ668+AN668+AR668+AV668+AZ668+BD668</f>
        <v>4549.12</v>
      </c>
      <c r="BH668" s="35">
        <f t="shared" si="1757"/>
        <v>0.006400000001</v>
      </c>
    </row>
    <row r="669" ht="15.75" customHeight="1" hidden="1" spans="1:60" x14ac:dyDescent="0.25">
      <c r="A669" s="79">
        <v>82</v>
      </c>
      <c r="B669" s="14"/>
      <c r="D669" s="14" t="s">
        <v>51</v>
      </c>
      <c r="E669" s="2" t="s">
        <v>49</v>
      </c>
      <c r="F669" s="41">
        <v>0</v>
      </c>
      <c r="G669" s="28"/>
      <c r="I669" s="13"/>
      <c r="J669" s="15"/>
      <c r="K669" s="15"/>
      <c r="L669" s="28"/>
      <c r="Q669" s="13"/>
      <c r="R669" s="15"/>
      <c r="S669" s="15"/>
      <c r="T669" s="28"/>
      <c r="Y669" s="13"/>
      <c r="Z669" s="15"/>
      <c r="AA669" s="15"/>
      <c r="AB669" s="28"/>
      <c r="AG669" s="13"/>
      <c r="AH669" s="15"/>
      <c r="AI669" s="15"/>
      <c r="AJ669" s="28"/>
      <c r="AK669" s="13"/>
      <c r="AL669" s="15"/>
      <c r="AM669" s="15"/>
      <c r="AN669" s="28"/>
      <c r="AO669" s="13"/>
      <c r="AP669" s="15"/>
      <c r="AQ669" s="15"/>
      <c r="AR669" s="28"/>
      <c r="AS669" s="15"/>
      <c r="AT669" s="15"/>
      <c r="AU669" s="15"/>
      <c r="AV669" s="15"/>
      <c r="AW669" s="13"/>
      <c r="AX669" s="15"/>
      <c r="AY669" s="15"/>
      <c r="AZ669" s="28"/>
      <c r="BA669" s="15"/>
      <c r="BB669" s="15"/>
      <c r="BC669" s="15"/>
      <c r="BD669" s="15"/>
      <c r="BE669" s="14"/>
      <c r="BF669" s="41">
        <f>B665*$F$13</f>
        <v>0</v>
      </c>
      <c r="BG669" s="34">
        <f t="shared" si="1760"/>
        <v>0</v>
      </c>
      <c r="BH669" s="35">
        <f t="shared" si="1757"/>
        <v>0</v>
      </c>
    </row>
    <row r="670" ht="15.75" customHeight="1" hidden="1" spans="1:60" x14ac:dyDescent="0.25">
      <c r="A670" s="79">
        <v>82</v>
      </c>
      <c r="B670" s="14"/>
      <c r="D670" s="14" t="s">
        <v>52</v>
      </c>
      <c r="E670" s="2" t="s">
        <v>39</v>
      </c>
      <c r="F670" s="41">
        <v>350</v>
      </c>
      <c r="G670" s="28"/>
      <c r="I670" s="13"/>
      <c r="J670" s="15"/>
      <c r="K670" s="15"/>
      <c r="L670" s="28"/>
      <c r="Q670" s="13"/>
      <c r="R670" s="15"/>
      <c r="S670" s="15"/>
      <c r="T670" s="28"/>
      <c r="Y670" s="13"/>
      <c r="Z670" s="15"/>
      <c r="AA670" s="34">
        <f>$F$14</f>
        <v>350</v>
      </c>
      <c r="AB670" s="67">
        <v>300</v>
      </c>
      <c r="AG670" s="13"/>
      <c r="AH670" s="15"/>
      <c r="AI670" s="15"/>
      <c r="AJ670" s="28"/>
      <c r="AK670" s="13"/>
      <c r="AL670" s="15"/>
      <c r="AM670" s="15"/>
      <c r="AN670" s="28"/>
      <c r="AO670" s="13"/>
      <c r="AP670" s="15"/>
      <c r="AQ670" s="15"/>
      <c r="AR670" s="28"/>
      <c r="AS670" s="15"/>
      <c r="AT670" s="15"/>
      <c r="AU670" s="15"/>
      <c r="AV670" s="15"/>
      <c r="AW670" s="13"/>
      <c r="AX670" s="15"/>
      <c r="AY670" s="15"/>
      <c r="AZ670" s="28"/>
      <c r="BA670" s="15"/>
      <c r="BB670" s="15"/>
      <c r="BC670" s="15"/>
      <c r="BD670" s="15"/>
      <c r="BE670" s="14"/>
      <c r="BF670" s="41">
        <f>$F$14</f>
        <v>350</v>
      </c>
      <c r="BG670" s="34">
        <f t="shared" si="1760"/>
        <v>300</v>
      </c>
      <c r="BH670" s="35">
        <f t="shared" si="1757"/>
        <v>50</v>
      </c>
    </row>
    <row r="671" ht="15.75" customHeight="1" hidden="1" spans="1:62" x14ac:dyDescent="0.25">
      <c r="A671" s="50">
        <v>82</v>
      </c>
      <c r="B671" s="21"/>
      <c r="C671" s="22" t="s">
        <v>53</v>
      </c>
      <c r="D671" s="21"/>
      <c r="E671" s="22"/>
      <c r="F671" s="20"/>
      <c r="G671" s="23"/>
      <c r="H671" s="51">
        <f>SUM(H664:H670)</f>
        <v>0</v>
      </c>
      <c r="I671" s="52"/>
      <c r="J671" s="53"/>
      <c r="K671" s="51">
        <f t="shared" ref="K671:L671" si="1761">SUM(K664:K670)</f>
        <v>0</v>
      </c>
      <c r="L671" s="68">
        <f t="shared" si="1761"/>
        <v>0</v>
      </c>
      <c r="M671" s="53"/>
      <c r="N671" s="53"/>
      <c r="O671" s="51">
        <f t="shared" ref="O671:P671" si="1762">SUM(O665:O670)</f>
        <v>0</v>
      </c>
      <c r="P671" s="51">
        <f t="shared" si="1762"/>
        <v>0</v>
      </c>
      <c r="Q671" s="52"/>
      <c r="R671" s="53"/>
      <c r="S671" s="51">
        <f t="shared" ref="S671:T671" si="1763">SUM(S665:S670)</f>
        <v>0</v>
      </c>
      <c r="T671" s="68">
        <f t="shared" si="1763"/>
        <v>0</v>
      </c>
      <c r="U671" s="53"/>
      <c r="V671" s="53"/>
      <c r="W671" s="51">
        <f t="shared" ref="W671:X671" si="1764">SUM(W665:W670)</f>
        <v>0</v>
      </c>
      <c r="X671" s="51">
        <f t="shared" si="1764"/>
        <v>0</v>
      </c>
      <c r="Y671" s="52"/>
      <c r="Z671" s="53"/>
      <c r="AA671" s="51">
        <f t="shared" ref="AA671:AB671" si="1765">SUM(AA665:AA670)</f>
        <v>350</v>
      </c>
      <c r="AB671" s="68">
        <f t="shared" si="1765"/>
        <v>300</v>
      </c>
      <c r="AC671" s="53"/>
      <c r="AD671" s="53"/>
      <c r="AE671" s="51">
        <f t="shared" ref="AE671:AF671" si="1766">SUM(AE665:AE670)</f>
        <v>4549.1264</v>
      </c>
      <c r="AF671" s="51">
        <f t="shared" si="1766"/>
        <v>4549.12</v>
      </c>
      <c r="AG671" s="52"/>
      <c r="AH671" s="53"/>
      <c r="AI671" s="51">
        <f t="shared" ref="AI671:AJ671" si="1767">SUM(AI665:AI670)</f>
        <v>0</v>
      </c>
      <c r="AJ671" s="68">
        <f t="shared" si="1767"/>
        <v>0</v>
      </c>
      <c r="AK671" s="52"/>
      <c r="AL671" s="53"/>
      <c r="AM671" s="51">
        <f t="shared" ref="AM671:AN671" si="1768">SUM(AM665:AM670)</f>
        <v>0</v>
      </c>
      <c r="AN671" s="68">
        <f t="shared" si="1768"/>
        <v>0</v>
      </c>
      <c r="AO671" s="52"/>
      <c r="AP671" s="53"/>
      <c r="AQ671" s="51">
        <f t="shared" ref="AQ671:AR671" si="1769">SUM(AQ665:AQ670)</f>
        <v>0</v>
      </c>
      <c r="AR671" s="68">
        <f t="shared" si="1769"/>
        <v>0</v>
      </c>
      <c r="AS671" s="53"/>
      <c r="AT671" s="53"/>
      <c r="AU671" s="51">
        <f t="shared" ref="AU671:AV671" si="1770">SUM(AU665:AU670)</f>
        <v>0</v>
      </c>
      <c r="AV671" s="51">
        <f t="shared" si="1770"/>
        <v>0</v>
      </c>
      <c r="AW671" s="52"/>
      <c r="AX671" s="53"/>
      <c r="AY671" s="51">
        <f t="shared" ref="AY671:AZ671" si="1771">SUM(AY665:AY670)</f>
        <v>0</v>
      </c>
      <c r="AZ671" s="68">
        <f t="shared" si="1771"/>
        <v>0</v>
      </c>
      <c r="BA671" s="53"/>
      <c r="BB671" s="53"/>
      <c r="BC671" s="51">
        <f t="shared" ref="BC671:BD671" si="1772">SUM(BC665:BC670)</f>
        <v>0</v>
      </c>
      <c r="BD671" s="51">
        <f t="shared" si="1772"/>
        <v>0</v>
      </c>
      <c r="BE671" s="69"/>
      <c r="BF671" s="70">
        <f t="shared" ref="BF671:BH671" si="1773">SUM(BF664:BF670)</f>
        <v>4899.1264</v>
      </c>
      <c r="BG671" s="71">
        <f t="shared" si="1773"/>
        <v>4849.12</v>
      </c>
      <c r="BH671" s="72">
        <f t="shared" si="1773"/>
        <v>50.0064</v>
      </c>
      <c r="BI671" s="34">
        <f>H671+BF671-BG671</f>
        <v>50.0064</v>
      </c>
      <c r="BJ671" s="34">
        <f>BH671-BI671</f>
        <v>0</v>
      </c>
    </row>
    <row r="672" ht="15.75" customHeight="1" hidden="1" spans="1:60" x14ac:dyDescent="0.25">
      <c r="A672" s="29">
        <v>84</v>
      </c>
      <c r="B672" s="14"/>
      <c r="D672" s="14" t="s">
        <v>42</v>
      </c>
      <c r="E672" s="2" t="s">
        <v>39</v>
      </c>
      <c r="F672" s="41">
        <v>5000</v>
      </c>
      <c r="G672" s="28"/>
      <c r="I672" s="13"/>
      <c r="J672" s="15"/>
      <c r="K672" s="34">
        <v>5000</v>
      </c>
      <c r="L672" s="28"/>
      <c r="Q672" s="13"/>
      <c r="R672" s="15"/>
      <c r="S672" s="15"/>
      <c r="T672" s="28"/>
      <c r="Y672" s="13"/>
      <c r="Z672" s="15"/>
      <c r="AA672" s="15"/>
      <c r="AB672" s="28"/>
      <c r="AG672" s="13"/>
      <c r="AH672" s="15"/>
      <c r="AI672" s="15"/>
      <c r="AJ672" s="35">
        <v>3500</v>
      </c>
      <c r="AK672" s="13"/>
      <c r="AL672" s="15"/>
      <c r="AM672" s="15"/>
      <c r="AN672" s="28"/>
      <c r="AO672" s="13"/>
      <c r="AP672" s="15"/>
      <c r="AQ672" s="15"/>
      <c r="AR672" s="28"/>
      <c r="AW672" s="13"/>
      <c r="AX672" s="15"/>
      <c r="AY672" s="15"/>
      <c r="AZ672" s="28"/>
      <c r="BE672" s="14"/>
      <c r="BF672" s="41">
        <f t="shared" ref="BF672:BG672" si="1774">K672+O672+S672+W672+AA672+AE672+AI672+AM672+AQ672+AU672+AY672+BC672</f>
        <v>5000</v>
      </c>
      <c r="BG672" s="34">
        <f t="shared" si="1774"/>
        <v>3500</v>
      </c>
      <c r="BH672" s="35">
        <f t="shared" ref="BH672:BH678" si="1775">H672+BF672-BG672</f>
        <v>1500</v>
      </c>
    </row>
    <row r="673" ht="15.75" customHeight="1" hidden="1" spans="1:60" x14ac:dyDescent="0.25">
      <c r="A673" s="89">
        <v>84</v>
      </c>
      <c r="B673" s="14">
        <v>4.18</v>
      </c>
      <c r="C673" s="2" t="s">
        <v>301</v>
      </c>
      <c r="D673" s="14" t="s">
        <v>44</v>
      </c>
      <c r="E673" s="2" t="s">
        <v>45</v>
      </c>
      <c r="F673" s="13">
        <v>2.49</v>
      </c>
      <c r="G673" s="28"/>
      <c r="H673" s="74"/>
      <c r="I673" s="13"/>
      <c r="J673" s="15"/>
      <c r="K673" s="15"/>
      <c r="L673" s="28"/>
      <c r="Q673" s="13"/>
      <c r="R673" s="15"/>
      <c r="S673" s="15"/>
      <c r="T673" s="28"/>
      <c r="Y673" s="13"/>
      <c r="Z673" s="15">
        <f>Y673-U673</f>
        <v>0</v>
      </c>
      <c r="AA673" s="34">
        <f>Z673*$F$8</f>
        <v>0</v>
      </c>
      <c r="AB673" s="28"/>
      <c r="AC673" s="15"/>
      <c r="AD673" s="15">
        <f t="shared" ref="AD673:AD674" si="1776">AC673-Y673</f>
        <v>0</v>
      </c>
      <c r="AE673" s="34">
        <f>AD673*$F$8</f>
        <v>0</v>
      </c>
      <c r="AG673" s="13"/>
      <c r="AH673" s="15">
        <f t="shared" ref="AH673:AH674" si="1777">AG673-AC673</f>
        <v>0</v>
      </c>
      <c r="AI673" s="34">
        <f>AH673*$F$8</f>
        <v>0</v>
      </c>
      <c r="AJ673" s="28"/>
      <c r="AK673" s="13"/>
      <c r="AL673" s="15">
        <f t="shared" ref="AL673:AL674" si="1778">AK673-AG673</f>
        <v>0</v>
      </c>
      <c r="AM673" s="34">
        <f>AL673*$F$8</f>
        <v>0</v>
      </c>
      <c r="AN673" s="28"/>
      <c r="AO673" s="13"/>
      <c r="AP673" s="15"/>
      <c r="AQ673" s="34">
        <f>AP673*$F$8</f>
        <v>0</v>
      </c>
      <c r="AR673" s="28"/>
      <c r="AS673" s="15"/>
      <c r="AT673" s="15"/>
      <c r="AU673" s="34">
        <f>AT673*$F$8</f>
        <v>0</v>
      </c>
      <c r="AV673" s="15"/>
      <c r="AW673" s="13"/>
      <c r="AX673" s="15"/>
      <c r="AY673" s="34">
        <f>AX673*$F$8</f>
        <v>0</v>
      </c>
      <c r="AZ673" s="28"/>
      <c r="BA673" s="15"/>
      <c r="BB673" s="15"/>
      <c r="BC673" s="34">
        <f>BB673*$F$8</f>
        <v>0</v>
      </c>
      <c r="BD673" s="15"/>
      <c r="BE673" s="40">
        <f t="shared" ref="BE673:BG673" si="1779">J673+N673+R673+V673+Z673+AD673+AH673+AL673+AP673+AT673+AX673+BB673</f>
        <v>0</v>
      </c>
      <c r="BF673" s="41">
        <f t="shared" si="1779"/>
        <v>0</v>
      </c>
      <c r="BG673" s="34">
        <f t="shared" si="1779"/>
        <v>0</v>
      </c>
      <c r="BH673" s="35">
        <f t="shared" si="1775"/>
        <v>0</v>
      </c>
    </row>
    <row r="674" ht="15.75" customHeight="1" hidden="1" spans="1:60" x14ac:dyDescent="0.25">
      <c r="A674" s="79">
        <v>84</v>
      </c>
      <c r="B674" s="14"/>
      <c r="C674" s="15" t="s">
        <v>87</v>
      </c>
      <c r="D674" s="14" t="s">
        <v>47</v>
      </c>
      <c r="E674" s="2" t="s">
        <v>48</v>
      </c>
      <c r="F674" s="13">
        <v>17.16</v>
      </c>
      <c r="G674" s="28"/>
      <c r="H674" s="15"/>
      <c r="I674" s="13"/>
      <c r="J674" s="15"/>
      <c r="K674" s="15"/>
      <c r="L674" s="28"/>
      <c r="Q674" s="13"/>
      <c r="R674" s="15"/>
      <c r="S674" s="15"/>
      <c r="T674" s="28"/>
      <c r="Y674" s="13"/>
      <c r="Z674" s="15"/>
      <c r="AA674" s="15"/>
      <c r="AB674" s="28"/>
      <c r="AC674" s="15"/>
      <c r="AD674" s="15">
        <f t="shared" si="1776"/>
        <v>0</v>
      </c>
      <c r="AE674" s="34">
        <f>AD674*$F$10</f>
        <v>0</v>
      </c>
      <c r="AG674" s="13">
        <v>2</v>
      </c>
      <c r="AH674" s="15">
        <f t="shared" si="1777"/>
        <v>2</v>
      </c>
      <c r="AI674" s="45">
        <f>AH674*$G$10</f>
        <v>35.36</v>
      </c>
      <c r="AJ674" s="38">
        <v>50</v>
      </c>
      <c r="AK674" s="13">
        <v>2</v>
      </c>
      <c r="AL674" s="15">
        <f t="shared" si="1778"/>
        <v>0</v>
      </c>
      <c r="AM674" s="45">
        <f>AL674*$G$10</f>
        <v>0</v>
      </c>
      <c r="AN674" s="28"/>
      <c r="AO674" s="13">
        <v>2</v>
      </c>
      <c r="AP674" s="15">
        <f>AO674-AK674</f>
        <v>0</v>
      </c>
      <c r="AQ674" s="45">
        <f>AP674*$G$10</f>
        <v>0</v>
      </c>
      <c r="AR674" s="28"/>
      <c r="AS674" s="15"/>
      <c r="AT674" s="15"/>
      <c r="AU674" s="15"/>
      <c r="AV674" s="15"/>
      <c r="AW674" s="13"/>
      <c r="AX674" s="15"/>
      <c r="AY674" s="15"/>
      <c r="AZ674" s="28"/>
      <c r="BA674" s="15"/>
      <c r="BB674" s="15"/>
      <c r="BC674" s="15"/>
      <c r="BD674" s="15"/>
      <c r="BE674" s="40">
        <f t="shared" ref="BE674:BG674" si="1780">J674+N674+R674+V674+Z674+AD674+AH674+AL674+AP674+AT674+AX674+BB674</f>
        <v>2</v>
      </c>
      <c r="BF674" s="41">
        <f t="shared" si="1780"/>
        <v>35.36</v>
      </c>
      <c r="BG674" s="34">
        <f t="shared" si="1780"/>
        <v>50</v>
      </c>
      <c r="BH674" s="35">
        <f t="shared" si="1775"/>
        <v>-14.64</v>
      </c>
    </row>
    <row r="675" ht="15.75" customHeight="1" hidden="1" spans="1:60" x14ac:dyDescent="0.25">
      <c r="A675" s="79">
        <v>84</v>
      </c>
      <c r="B675" s="14"/>
      <c r="C675" s="15" t="s">
        <v>302</v>
      </c>
      <c r="D675" s="14" t="s">
        <v>47</v>
      </c>
      <c r="E675" s="2" t="s">
        <v>49</v>
      </c>
      <c r="F675" s="41">
        <v>300</v>
      </c>
      <c r="G675" s="28"/>
      <c r="I675" s="13"/>
      <c r="J675" s="15"/>
      <c r="K675" s="15"/>
      <c r="L675" s="28"/>
      <c r="Q675" s="13"/>
      <c r="R675" s="15"/>
      <c r="S675" s="15"/>
      <c r="T675" s="28"/>
      <c r="Y675" s="13"/>
      <c r="Z675" s="15"/>
      <c r="AA675" s="15"/>
      <c r="AB675" s="28"/>
      <c r="AG675" s="13"/>
      <c r="AH675" s="15"/>
      <c r="AI675" s="15"/>
      <c r="AJ675" s="28"/>
      <c r="AK675" s="13"/>
      <c r="AL675" s="15"/>
      <c r="AM675" s="34"/>
      <c r="AN675" s="28"/>
      <c r="AO675" s="13"/>
      <c r="AP675" s="15"/>
      <c r="AQ675" s="34"/>
      <c r="AR675" s="28"/>
      <c r="AS675" s="15"/>
      <c r="AT675" s="15"/>
      <c r="AU675" s="15"/>
      <c r="AV675" s="15"/>
      <c r="AW675" s="13"/>
      <c r="AX675" s="15"/>
      <c r="AY675" s="15"/>
      <c r="AZ675" s="28"/>
      <c r="BA675" s="15"/>
      <c r="BB675" s="15"/>
      <c r="BC675" s="15"/>
      <c r="BD675" s="15"/>
      <c r="BE675" s="14"/>
      <c r="BF675" s="41">
        <f t="shared" ref="BF675:BG675" si="1781">K675+O675+S675+W675+AA675+AE675+AI675+AM675+AQ675+AU675+AY675+BC675</f>
        <v>0</v>
      </c>
      <c r="BG675" s="34">
        <f t="shared" si="1781"/>
        <v>0</v>
      </c>
      <c r="BH675" s="35">
        <f t="shared" si="1775"/>
        <v>0</v>
      </c>
    </row>
    <row r="676" ht="15.75" customHeight="1" hidden="1" spans="1:60" x14ac:dyDescent="0.25">
      <c r="A676" s="79">
        <v>84</v>
      </c>
      <c r="B676" s="14"/>
      <c r="C676" s="2" t="s">
        <v>303</v>
      </c>
      <c r="D676" s="14" t="s">
        <v>50</v>
      </c>
      <c r="E676" s="2" t="s">
        <v>49</v>
      </c>
      <c r="F676" s="41">
        <v>1062.88</v>
      </c>
      <c r="G676" s="28"/>
      <c r="I676" s="13"/>
      <c r="J676" s="15"/>
      <c r="K676" s="15"/>
      <c r="L676" s="28"/>
      <c r="Q676" s="13"/>
      <c r="R676" s="15"/>
      <c r="S676" s="15"/>
      <c r="T676" s="28"/>
      <c r="Y676" s="13"/>
      <c r="Z676" s="15"/>
      <c r="AA676" s="15"/>
      <c r="AB676" s="28"/>
      <c r="AE676" s="34">
        <f>B673*$F$12</f>
        <v>4442.8384</v>
      </c>
      <c r="AF676" s="34">
        <v>1000</v>
      </c>
      <c r="AG676" s="13"/>
      <c r="AH676" s="15"/>
      <c r="AI676" s="15"/>
      <c r="AJ676" s="38">
        <v>1000</v>
      </c>
      <c r="AK676" s="13"/>
      <c r="AL676" s="15"/>
      <c r="AM676" s="15"/>
      <c r="AN676" s="38">
        <v>2000</v>
      </c>
      <c r="AO676" s="13"/>
      <c r="AP676" s="15"/>
      <c r="AQ676" s="15"/>
      <c r="AR676" s="28"/>
      <c r="AS676" s="15"/>
      <c r="AT676" s="15"/>
      <c r="AU676" s="15"/>
      <c r="AV676" s="15"/>
      <c r="AW676" s="13"/>
      <c r="AX676" s="15"/>
      <c r="AY676" s="15"/>
      <c r="AZ676" s="28"/>
      <c r="BA676" s="15"/>
      <c r="BB676" s="15"/>
      <c r="BC676" s="15"/>
      <c r="BD676" s="15"/>
      <c r="BE676" s="14"/>
      <c r="BF676" s="41">
        <f>B673*$F$12</f>
        <v>4442.8384</v>
      </c>
      <c r="BG676" s="34">
        <f t="shared" ref="BG676:BG678" si="1782">L676+P676+T676+X676+AB676+AF676+AJ676+AN676+AR676+AV676+AZ676+BD676</f>
        <v>4000</v>
      </c>
      <c r="BH676" s="35">
        <f t="shared" si="1775"/>
        <v>442.8384</v>
      </c>
    </row>
    <row r="677" ht="15.75" customHeight="1" hidden="1" spans="1:60" x14ac:dyDescent="0.25">
      <c r="A677" s="79">
        <v>84</v>
      </c>
      <c r="B677" s="14"/>
      <c r="D677" s="14" t="s">
        <v>51</v>
      </c>
      <c r="E677" s="2" t="s">
        <v>49</v>
      </c>
      <c r="F677" s="41">
        <v>0</v>
      </c>
      <c r="G677" s="28"/>
      <c r="I677" s="13"/>
      <c r="J677" s="15"/>
      <c r="K677" s="15"/>
      <c r="L677" s="28"/>
      <c r="Q677" s="13"/>
      <c r="R677" s="15"/>
      <c r="S677" s="15"/>
      <c r="T677" s="28"/>
      <c r="Y677" s="13"/>
      <c r="Z677" s="15"/>
      <c r="AA677" s="15"/>
      <c r="AB677" s="28"/>
      <c r="AG677" s="13"/>
      <c r="AH677" s="15"/>
      <c r="AI677" s="15"/>
      <c r="AJ677" s="28"/>
      <c r="AK677" s="13"/>
      <c r="AL677" s="15"/>
      <c r="AM677" s="15"/>
      <c r="AN677" s="28"/>
      <c r="AO677" s="13"/>
      <c r="AP677" s="15"/>
      <c r="AQ677" s="15"/>
      <c r="AR677" s="28"/>
      <c r="AS677" s="15"/>
      <c r="AT677" s="15"/>
      <c r="AU677" s="15"/>
      <c r="AV677" s="15"/>
      <c r="AW677" s="13"/>
      <c r="AX677" s="15"/>
      <c r="AY677" s="15"/>
      <c r="AZ677" s="28"/>
      <c r="BA677" s="15"/>
      <c r="BB677" s="15"/>
      <c r="BC677" s="15"/>
      <c r="BD677" s="15"/>
      <c r="BE677" s="14"/>
      <c r="BF677" s="41">
        <f>B673*$F$13</f>
        <v>0</v>
      </c>
      <c r="BG677" s="34">
        <f t="shared" si="1782"/>
        <v>0</v>
      </c>
      <c r="BH677" s="35">
        <f t="shared" si="1775"/>
        <v>0</v>
      </c>
    </row>
    <row r="678" ht="15.75" customHeight="1" hidden="1" spans="1:60" x14ac:dyDescent="0.25">
      <c r="A678" s="79">
        <v>84</v>
      </c>
      <c r="B678" s="14"/>
      <c r="D678" s="14" t="s">
        <v>52</v>
      </c>
      <c r="E678" s="2" t="s">
        <v>39</v>
      </c>
      <c r="F678" s="41">
        <v>350</v>
      </c>
      <c r="G678" s="28"/>
      <c r="I678" s="13"/>
      <c r="J678" s="15"/>
      <c r="K678" s="15"/>
      <c r="L678" s="28"/>
      <c r="Q678" s="13"/>
      <c r="R678" s="15"/>
      <c r="S678" s="15"/>
      <c r="T678" s="28"/>
      <c r="Y678" s="13"/>
      <c r="Z678" s="15"/>
      <c r="AA678" s="34">
        <f>$F$14</f>
        <v>350</v>
      </c>
      <c r="AB678" s="28"/>
      <c r="AG678" s="13"/>
      <c r="AH678" s="15"/>
      <c r="AI678" s="15"/>
      <c r="AJ678" s="28"/>
      <c r="AK678" s="13"/>
      <c r="AL678" s="15"/>
      <c r="AM678" s="15"/>
      <c r="AN678" s="28"/>
      <c r="AO678" s="13"/>
      <c r="AP678" s="15"/>
      <c r="AQ678" s="15"/>
      <c r="AR678" s="28"/>
      <c r="AS678" s="15"/>
      <c r="AT678" s="15"/>
      <c r="AU678" s="15"/>
      <c r="AV678" s="15"/>
      <c r="AW678" s="13"/>
      <c r="AX678" s="15"/>
      <c r="AY678" s="15"/>
      <c r="AZ678" s="28"/>
      <c r="BA678" s="15"/>
      <c r="BB678" s="15"/>
      <c r="BC678" s="15"/>
      <c r="BD678" s="15"/>
      <c r="BE678" s="14"/>
      <c r="BF678" s="41">
        <f>$F$14</f>
        <v>350</v>
      </c>
      <c r="BG678" s="34">
        <f t="shared" si="1782"/>
        <v>0</v>
      </c>
      <c r="BH678" s="35">
        <f t="shared" si="1775"/>
        <v>350</v>
      </c>
    </row>
    <row r="679" ht="15.75" customHeight="1" hidden="1" spans="1:62" x14ac:dyDescent="0.25">
      <c r="A679" s="50">
        <v>84</v>
      </c>
      <c r="B679" s="21"/>
      <c r="C679" s="22" t="s">
        <v>53</v>
      </c>
      <c r="D679" s="21"/>
      <c r="E679" s="22"/>
      <c r="F679" s="20"/>
      <c r="G679" s="23"/>
      <c r="H679" s="51">
        <f>SUM(H672:H678)</f>
        <v>0</v>
      </c>
      <c r="I679" s="52"/>
      <c r="J679" s="53"/>
      <c r="K679" s="51">
        <f t="shared" ref="K679:L679" si="1783">SUM(K672:K678)</f>
        <v>5000</v>
      </c>
      <c r="L679" s="68">
        <f t="shared" si="1783"/>
        <v>0</v>
      </c>
      <c r="M679" s="53"/>
      <c r="N679" s="53"/>
      <c r="O679" s="51">
        <f t="shared" ref="O679:P679" si="1784">SUM(O673:O678)</f>
        <v>0</v>
      </c>
      <c r="P679" s="51">
        <f t="shared" si="1784"/>
        <v>0</v>
      </c>
      <c r="Q679" s="52"/>
      <c r="R679" s="53"/>
      <c r="S679" s="51">
        <f t="shared" ref="S679:T679" si="1785">SUM(S673:S678)</f>
        <v>0</v>
      </c>
      <c r="T679" s="68">
        <f t="shared" si="1785"/>
        <v>0</v>
      </c>
      <c r="U679" s="53"/>
      <c r="V679" s="53"/>
      <c r="W679" s="51">
        <f t="shared" ref="W679:X679" si="1786">SUM(W673:W678)</f>
        <v>0</v>
      </c>
      <c r="X679" s="51">
        <f t="shared" si="1786"/>
        <v>0</v>
      </c>
      <c r="Y679" s="52"/>
      <c r="Z679" s="53"/>
      <c r="AA679" s="51">
        <f t="shared" ref="AA679:AB679" si="1787">SUM(AA673:AA678)</f>
        <v>350</v>
      </c>
      <c r="AB679" s="68">
        <f t="shared" si="1787"/>
        <v>0</v>
      </c>
      <c r="AC679" s="53"/>
      <c r="AD679" s="53"/>
      <c r="AE679" s="51">
        <f t="shared" ref="AE679:AF679" si="1788">SUM(AE673:AE678)</f>
        <v>4442.8384</v>
      </c>
      <c r="AF679" s="51">
        <f t="shared" si="1788"/>
        <v>1000</v>
      </c>
      <c r="AG679" s="52"/>
      <c r="AH679" s="53"/>
      <c r="AI679" s="51">
        <f>SUM(AI673:AI678)</f>
        <v>35.36</v>
      </c>
      <c r="AJ679" s="68">
        <f>SUM(AJ672:AJ678)</f>
        <v>4550</v>
      </c>
      <c r="AK679" s="52"/>
      <c r="AL679" s="53"/>
      <c r="AM679" s="51">
        <f t="shared" ref="AM679:AN679" si="1789">SUM(AM673:AM678)</f>
        <v>0</v>
      </c>
      <c r="AN679" s="68">
        <f t="shared" si="1789"/>
        <v>2000</v>
      </c>
      <c r="AO679" s="52"/>
      <c r="AP679" s="53"/>
      <c r="AQ679" s="51">
        <f t="shared" ref="AQ679:AR679" si="1790">SUM(AQ673:AQ678)</f>
        <v>0</v>
      </c>
      <c r="AR679" s="68">
        <f t="shared" si="1790"/>
        <v>0</v>
      </c>
      <c r="AS679" s="53"/>
      <c r="AT679" s="53"/>
      <c r="AU679" s="51">
        <f t="shared" ref="AU679:AV679" si="1791">SUM(AU673:AU678)</f>
        <v>0</v>
      </c>
      <c r="AV679" s="51">
        <f t="shared" si="1791"/>
        <v>0</v>
      </c>
      <c r="AW679" s="52"/>
      <c r="AX679" s="53"/>
      <c r="AY679" s="51">
        <f t="shared" ref="AY679:AZ679" si="1792">SUM(AY673:AY678)</f>
        <v>0</v>
      </c>
      <c r="AZ679" s="68">
        <f t="shared" si="1792"/>
        <v>0</v>
      </c>
      <c r="BA679" s="53"/>
      <c r="BB679" s="53"/>
      <c r="BC679" s="51">
        <f t="shared" ref="BC679:BD679" si="1793">SUM(BC673:BC678)</f>
        <v>0</v>
      </c>
      <c r="BD679" s="51">
        <f t="shared" si="1793"/>
        <v>0</v>
      </c>
      <c r="BE679" s="69"/>
      <c r="BF679" s="70">
        <f t="shared" ref="BF679:BH679" si="1794">SUM(BF672:BF678)</f>
        <v>9828.1984</v>
      </c>
      <c r="BG679" s="71">
        <f t="shared" si="1794"/>
        <v>7550</v>
      </c>
      <c r="BH679" s="72">
        <f t="shared" si="1794"/>
        <v>2278.1984</v>
      </c>
      <c r="BI679" s="34">
        <f>H679+BF679-BG679</f>
        <v>2278.1984</v>
      </c>
      <c r="BJ679" s="34">
        <f>BH679-BI679</f>
        <v>0</v>
      </c>
    </row>
    <row r="680" ht="15.75" customHeight="1" hidden="1" spans="1:60" x14ac:dyDescent="0.25">
      <c r="A680" s="79">
        <v>86</v>
      </c>
      <c r="B680" s="14"/>
      <c r="D680" s="14" t="s">
        <v>42</v>
      </c>
      <c r="F680" s="13"/>
      <c r="G680" s="28"/>
      <c r="I680" s="13"/>
      <c r="J680" s="15"/>
      <c r="K680" s="15"/>
      <c r="L680" s="28"/>
      <c r="Q680" s="13"/>
      <c r="R680" s="15"/>
      <c r="S680" s="15"/>
      <c r="T680" s="28"/>
      <c r="Y680" s="13"/>
      <c r="Z680" s="15"/>
      <c r="AA680" s="15"/>
      <c r="AB680" s="28"/>
      <c r="AG680" s="13"/>
      <c r="AH680" s="15"/>
      <c r="AI680" s="15"/>
      <c r="AJ680" s="28"/>
      <c r="AK680" s="13"/>
      <c r="AL680" s="15"/>
      <c r="AM680" s="15"/>
      <c r="AN680" s="28"/>
      <c r="AO680" s="13"/>
      <c r="AP680" s="15"/>
      <c r="AQ680" s="15"/>
      <c r="AR680" s="28"/>
      <c r="AW680" s="13"/>
      <c r="AX680" s="15"/>
      <c r="AY680" s="15"/>
      <c r="AZ680" s="28"/>
      <c r="BE680" s="14"/>
      <c r="BF680" s="13"/>
      <c r="BG680" s="15"/>
      <c r="BH680" s="28"/>
    </row>
    <row r="681" ht="15.75" customHeight="1" hidden="1" spans="1:60" x14ac:dyDescent="0.25">
      <c r="A681" s="89">
        <v>86</v>
      </c>
      <c r="B681" s="14">
        <v>4.23</v>
      </c>
      <c r="C681" s="2" t="s">
        <v>304</v>
      </c>
      <c r="D681" s="14" t="s">
        <v>44</v>
      </c>
      <c r="E681" s="2" t="s">
        <v>45</v>
      </c>
      <c r="F681" s="13">
        <v>2.49</v>
      </c>
      <c r="G681" s="28"/>
      <c r="H681" s="74"/>
      <c r="I681" s="13"/>
      <c r="J681" s="15"/>
      <c r="K681" s="15"/>
      <c r="L681" s="28"/>
      <c r="Q681" s="13"/>
      <c r="R681" s="15"/>
      <c r="S681" s="15"/>
      <c r="T681" s="28"/>
      <c r="Y681" s="13"/>
      <c r="Z681" s="15">
        <f>Y681-U681</f>
        <v>0</v>
      </c>
      <c r="AA681" s="34">
        <f>Z681*$F$8</f>
        <v>0</v>
      </c>
      <c r="AB681" s="28"/>
      <c r="AC681" s="15"/>
      <c r="AD681" s="15">
        <f t="shared" ref="AD681:AD682" si="1795">AC681-Y681</f>
        <v>0</v>
      </c>
      <c r="AE681" s="34">
        <f>AD681*$F$8</f>
        <v>0</v>
      </c>
      <c r="AG681" s="13"/>
      <c r="AH681" s="15">
        <f t="shared" ref="AH681:AH682" si="1796">AG681-AC681</f>
        <v>0</v>
      </c>
      <c r="AI681" s="34">
        <f>AH681*$F$8</f>
        <v>0</v>
      </c>
      <c r="AJ681" s="28"/>
      <c r="AK681" s="13"/>
      <c r="AL681" s="15">
        <f t="shared" ref="AL681:AL682" si="1797">AK681-AG681</f>
        <v>0</v>
      </c>
      <c r="AM681" s="34">
        <f>AL681*$F$8</f>
        <v>0</v>
      </c>
      <c r="AN681" s="28"/>
      <c r="AO681" s="13"/>
      <c r="AP681" s="15"/>
      <c r="AQ681" s="34">
        <f>AP681*$F$8</f>
        <v>0</v>
      </c>
      <c r="AR681" s="28"/>
      <c r="AS681" s="15"/>
      <c r="AT681" s="15"/>
      <c r="AU681" s="34">
        <f>AT681*$F$8</f>
        <v>0</v>
      </c>
      <c r="AV681" s="15"/>
      <c r="AW681" s="13"/>
      <c r="AX681" s="15"/>
      <c r="AY681" s="34">
        <f>AX681*$F$8</f>
        <v>0</v>
      </c>
      <c r="AZ681" s="28"/>
      <c r="BA681" s="15"/>
      <c r="BB681" s="15"/>
      <c r="BC681" s="34">
        <f>BB681*$F$8</f>
        <v>0</v>
      </c>
      <c r="BD681" s="15"/>
      <c r="BE681" s="40">
        <f t="shared" ref="BE681:BG681" si="1798">J681+N681+R681+V681+Z681+AD681+AH681+AL681+AP681+AT681+AX681+BB681</f>
        <v>0</v>
      </c>
      <c r="BF681" s="41">
        <f t="shared" si="1798"/>
        <v>0</v>
      </c>
      <c r="BG681" s="34">
        <f t="shared" si="1798"/>
        <v>0</v>
      </c>
      <c r="BH681" s="35">
        <f t="shared" ref="BH681:BH686" si="1799">H681+BF681-BG681</f>
        <v>0</v>
      </c>
    </row>
    <row r="682" ht="15.75" customHeight="1" hidden="1" spans="1:60" x14ac:dyDescent="0.25">
      <c r="A682" s="79">
        <v>86</v>
      </c>
      <c r="B682" s="14"/>
      <c r="C682" s="15" t="s">
        <v>305</v>
      </c>
      <c r="D682" s="14" t="s">
        <v>47</v>
      </c>
      <c r="E682" s="2" t="s">
        <v>48</v>
      </c>
      <c r="F682" s="13">
        <v>17.16</v>
      </c>
      <c r="G682" s="28"/>
      <c r="I682" s="13"/>
      <c r="J682" s="15"/>
      <c r="K682" s="15"/>
      <c r="L682" s="28"/>
      <c r="Q682" s="13"/>
      <c r="R682" s="15"/>
      <c r="S682" s="15"/>
      <c r="T682" s="28"/>
      <c r="Y682" s="13"/>
      <c r="Z682" s="15"/>
      <c r="AA682" s="15"/>
      <c r="AB682" s="28"/>
      <c r="AC682" s="15"/>
      <c r="AD682" s="15">
        <f t="shared" si="1795"/>
        <v>0</v>
      </c>
      <c r="AE682" s="34">
        <f>AD682*$F$10</f>
        <v>0</v>
      </c>
      <c r="AG682" s="13"/>
      <c r="AH682" s="15">
        <f t="shared" si="1796"/>
        <v>0</v>
      </c>
      <c r="AI682" s="45">
        <f>AH682*$G$10</f>
        <v>0</v>
      </c>
      <c r="AJ682" s="28"/>
      <c r="AK682" s="13"/>
      <c r="AL682" s="15">
        <f t="shared" si="1797"/>
        <v>0</v>
      </c>
      <c r="AM682" s="45">
        <f>AL682*$G$10</f>
        <v>0</v>
      </c>
      <c r="AN682" s="28"/>
      <c r="AO682" s="13"/>
      <c r="AP682" s="15"/>
      <c r="AQ682" s="45">
        <f>AP682*$G$10</f>
        <v>0</v>
      </c>
      <c r="AR682" s="28"/>
      <c r="AS682" s="15"/>
      <c r="AT682" s="15"/>
      <c r="AU682" s="15"/>
      <c r="AV682" s="15"/>
      <c r="AW682" s="13"/>
      <c r="AX682" s="15"/>
      <c r="AY682" s="15"/>
      <c r="AZ682" s="28"/>
      <c r="BA682" s="15"/>
      <c r="BB682" s="15"/>
      <c r="BC682" s="15"/>
      <c r="BD682" s="15"/>
      <c r="BE682" s="40">
        <f t="shared" ref="BE682:BG682" si="1800">J682+N682+R682+V682+Z682+AD682+AH682+AL682+AP682+AT682+AX682+BB682</f>
        <v>0</v>
      </c>
      <c r="BF682" s="41">
        <f t="shared" si="1800"/>
        <v>0</v>
      </c>
      <c r="BG682" s="34">
        <f t="shared" si="1800"/>
        <v>0</v>
      </c>
      <c r="BH682" s="35">
        <f t="shared" si="1799"/>
        <v>0</v>
      </c>
    </row>
    <row r="683" ht="15.75" customHeight="1" hidden="1" spans="1:60" x14ac:dyDescent="0.25">
      <c r="A683" s="79">
        <v>86</v>
      </c>
      <c r="B683" s="14"/>
      <c r="C683" s="15" t="s">
        <v>306</v>
      </c>
      <c r="D683" s="14" t="s">
        <v>47</v>
      </c>
      <c r="E683" s="2" t="s">
        <v>49</v>
      </c>
      <c r="F683" s="41">
        <v>300</v>
      </c>
      <c r="G683" s="28"/>
      <c r="H683" s="83"/>
      <c r="I683" s="13"/>
      <c r="J683" s="15"/>
      <c r="K683" s="15"/>
      <c r="L683" s="28"/>
      <c r="Q683" s="13"/>
      <c r="R683" s="15"/>
      <c r="S683" s="15"/>
      <c r="T683" s="28"/>
      <c r="Y683" s="13"/>
      <c r="Z683" s="15"/>
      <c r="AA683" s="15"/>
      <c r="AB683" s="28"/>
      <c r="AC683" s="15"/>
      <c r="AG683" s="13"/>
      <c r="AH683" s="15"/>
      <c r="AI683" s="15"/>
      <c r="AJ683" s="28"/>
      <c r="AK683" s="13"/>
      <c r="AL683" s="15"/>
      <c r="AM683" s="34"/>
      <c r="AN683" s="28"/>
      <c r="AO683" s="13"/>
      <c r="AP683" s="15"/>
      <c r="AQ683" s="34"/>
      <c r="AR683" s="28"/>
      <c r="AS683" s="15"/>
      <c r="AT683" s="15"/>
      <c r="AU683" s="15"/>
      <c r="AV683" s="15"/>
      <c r="AW683" s="13"/>
      <c r="AX683" s="15"/>
      <c r="AY683" s="15"/>
      <c r="AZ683" s="28"/>
      <c r="BA683" s="15"/>
      <c r="BB683" s="15"/>
      <c r="BC683" s="15"/>
      <c r="BD683" s="15"/>
      <c r="BE683" s="14"/>
      <c r="BF683" s="41">
        <f t="shared" ref="BF683:BG683" si="1801">K683+O683+S683+W683+AA683+AE683+AI683+AM683+AQ683+AU683+AY683+BC683</f>
        <v>0</v>
      </c>
      <c r="BG683" s="34">
        <f t="shared" si="1801"/>
        <v>0</v>
      </c>
      <c r="BH683" s="35">
        <f t="shared" si="1799"/>
        <v>0</v>
      </c>
    </row>
    <row r="684" ht="15.75" customHeight="1" hidden="1" spans="1:60" x14ac:dyDescent="0.25">
      <c r="A684" s="79">
        <v>86</v>
      </c>
      <c r="B684" s="14"/>
      <c r="C684" s="2" t="s">
        <v>307</v>
      </c>
      <c r="D684" s="14" t="s">
        <v>50</v>
      </c>
      <c r="E684" s="2" t="s">
        <v>49</v>
      </c>
      <c r="F684" s="41">
        <v>1062.88</v>
      </c>
      <c r="G684" s="28"/>
      <c r="H684" s="34">
        <f>3384+3384</f>
        <v>6768</v>
      </c>
      <c r="I684" s="13"/>
      <c r="J684" s="15"/>
      <c r="K684" s="15"/>
      <c r="L684" s="28"/>
      <c r="Q684" s="13"/>
      <c r="R684" s="15"/>
      <c r="S684" s="15"/>
      <c r="T684" s="28"/>
      <c r="Y684" s="13"/>
      <c r="Z684" s="15"/>
      <c r="AA684" s="15"/>
      <c r="AB684" s="28"/>
      <c r="AE684" s="34">
        <f>B681*$F$12</f>
        <v>4495.9824</v>
      </c>
      <c r="AG684" s="13"/>
      <c r="AH684" s="15"/>
      <c r="AI684" s="15"/>
      <c r="AJ684" s="38">
        <v>11263.98</v>
      </c>
      <c r="AK684" s="13"/>
      <c r="AL684" s="15"/>
      <c r="AM684" s="15"/>
      <c r="AN684" s="28"/>
      <c r="AO684" s="13"/>
      <c r="AP684" s="15"/>
      <c r="AQ684" s="15"/>
      <c r="AR684" s="28"/>
      <c r="AS684" s="15"/>
      <c r="AT684" s="15"/>
      <c r="AU684" s="15"/>
      <c r="AV684" s="15"/>
      <c r="AW684" s="13"/>
      <c r="AX684" s="15"/>
      <c r="AY684" s="15"/>
      <c r="AZ684" s="28"/>
      <c r="BA684" s="15"/>
      <c r="BB684" s="15"/>
      <c r="BC684" s="15"/>
      <c r="BD684" s="15"/>
      <c r="BE684" s="14"/>
      <c r="BF684" s="41">
        <f>B681*$F$12</f>
        <v>4495.9824</v>
      </c>
      <c r="BG684" s="34">
        <f t="shared" ref="BG684:BG686" si="1802">L684+P684+T684+X684+AB684+AF684+AJ684+AN684+AR684+AV684+AZ684+BD684</f>
        <v>11263.98</v>
      </c>
      <c r="BH684" s="35">
        <f t="shared" si="1799"/>
        <v>0.002400000001</v>
      </c>
    </row>
    <row r="685" ht="15.75" customHeight="1" hidden="1" spans="1:60" x14ac:dyDescent="0.25">
      <c r="A685" s="79">
        <v>86</v>
      </c>
      <c r="B685" s="14"/>
      <c r="D685" s="14" t="s">
        <v>51</v>
      </c>
      <c r="E685" s="2" t="s">
        <v>49</v>
      </c>
      <c r="F685" s="41">
        <v>0</v>
      </c>
      <c r="G685" s="28"/>
      <c r="H685" s="34">
        <f>1000+846</f>
        <v>1846</v>
      </c>
      <c r="I685" s="13"/>
      <c r="J685" s="15"/>
      <c r="K685" s="15"/>
      <c r="L685" s="28"/>
      <c r="Q685" s="13"/>
      <c r="R685" s="15"/>
      <c r="S685" s="15"/>
      <c r="T685" s="28"/>
      <c r="Y685" s="13"/>
      <c r="Z685" s="15"/>
      <c r="AA685" s="15"/>
      <c r="AB685" s="28"/>
      <c r="AG685" s="13"/>
      <c r="AH685" s="15"/>
      <c r="AI685" s="15"/>
      <c r="AJ685" s="38">
        <v>1846</v>
      </c>
      <c r="AK685" s="13"/>
      <c r="AL685" s="15"/>
      <c r="AM685" s="15"/>
      <c r="AN685" s="28"/>
      <c r="AO685" s="13"/>
      <c r="AP685" s="15"/>
      <c r="AQ685" s="15"/>
      <c r="AR685" s="28"/>
      <c r="AS685" s="15"/>
      <c r="AT685" s="15"/>
      <c r="AU685" s="15"/>
      <c r="AV685" s="15"/>
      <c r="AW685" s="13"/>
      <c r="AX685" s="15"/>
      <c r="AY685" s="15"/>
      <c r="AZ685" s="28"/>
      <c r="BA685" s="15"/>
      <c r="BB685" s="15"/>
      <c r="BC685" s="15"/>
      <c r="BD685" s="15"/>
      <c r="BE685" s="14"/>
      <c r="BF685" s="41">
        <f>B681*$F$13</f>
        <v>0</v>
      </c>
      <c r="BG685" s="34">
        <f t="shared" si="1802"/>
        <v>1846</v>
      </c>
      <c r="BH685" s="35">
        <f t="shared" si="1799"/>
        <v>0</v>
      </c>
    </row>
    <row r="686" ht="15.75" customHeight="1" hidden="1" spans="1:60" x14ac:dyDescent="0.25">
      <c r="A686" s="79">
        <v>86</v>
      </c>
      <c r="B686" s="14"/>
      <c r="D686" s="14" t="s">
        <v>52</v>
      </c>
      <c r="E686" s="2" t="s">
        <v>39</v>
      </c>
      <c r="F686" s="41">
        <v>350</v>
      </c>
      <c r="G686" s="28"/>
      <c r="H686" s="34">
        <f>300+300</f>
        <v>600</v>
      </c>
      <c r="I686" s="13"/>
      <c r="J686" s="15"/>
      <c r="K686" s="15"/>
      <c r="L686" s="28"/>
      <c r="Q686" s="13"/>
      <c r="R686" s="15"/>
      <c r="S686" s="15"/>
      <c r="T686" s="28"/>
      <c r="Y686" s="13"/>
      <c r="Z686" s="15"/>
      <c r="AA686" s="34">
        <f>$F$14</f>
        <v>350</v>
      </c>
      <c r="AB686" s="28"/>
      <c r="AG686" s="13"/>
      <c r="AH686" s="15"/>
      <c r="AI686" s="15"/>
      <c r="AJ686" s="38">
        <v>950</v>
      </c>
      <c r="AK686" s="13"/>
      <c r="AL686" s="15"/>
      <c r="AM686" s="15"/>
      <c r="AN686" s="28"/>
      <c r="AO686" s="13"/>
      <c r="AP686" s="15"/>
      <c r="AQ686" s="15"/>
      <c r="AR686" s="28"/>
      <c r="AS686" s="15"/>
      <c r="AT686" s="15"/>
      <c r="AU686" s="15"/>
      <c r="AV686" s="15"/>
      <c r="AW686" s="13"/>
      <c r="AX686" s="15"/>
      <c r="AY686" s="15"/>
      <c r="AZ686" s="28"/>
      <c r="BA686" s="15"/>
      <c r="BB686" s="15"/>
      <c r="BC686" s="15"/>
      <c r="BD686" s="15"/>
      <c r="BE686" s="14"/>
      <c r="BF686" s="41">
        <f>$F$14</f>
        <v>350</v>
      </c>
      <c r="BG686" s="34">
        <f t="shared" si="1802"/>
        <v>950</v>
      </c>
      <c r="BH686" s="35">
        <f t="shared" si="1799"/>
        <v>0</v>
      </c>
    </row>
    <row r="687" ht="15.75" customHeight="1" hidden="1" spans="1:62" x14ac:dyDescent="0.25">
      <c r="A687" s="50">
        <v>86</v>
      </c>
      <c r="B687" s="21"/>
      <c r="C687" s="22" t="s">
        <v>53</v>
      </c>
      <c r="D687" s="21"/>
      <c r="E687" s="22"/>
      <c r="F687" s="20"/>
      <c r="G687" s="23"/>
      <c r="H687" s="51">
        <f>SUM(H680:H686)</f>
        <v>9214</v>
      </c>
      <c r="I687" s="52"/>
      <c r="J687" s="53"/>
      <c r="K687" s="51">
        <f t="shared" ref="K687:L687" si="1803">SUM(K680:K686)</f>
        <v>0</v>
      </c>
      <c r="L687" s="68">
        <f t="shared" si="1803"/>
        <v>0</v>
      </c>
      <c r="M687" s="53"/>
      <c r="N687" s="53"/>
      <c r="O687" s="51">
        <f t="shared" ref="O687:P687" si="1804">SUM(O681:O686)</f>
        <v>0</v>
      </c>
      <c r="P687" s="51">
        <f t="shared" si="1804"/>
        <v>0</v>
      </c>
      <c r="Q687" s="52"/>
      <c r="R687" s="53"/>
      <c r="S687" s="51">
        <f t="shared" ref="S687:T687" si="1805">SUM(S681:S686)</f>
        <v>0</v>
      </c>
      <c r="T687" s="68">
        <f t="shared" si="1805"/>
        <v>0</v>
      </c>
      <c r="U687" s="53"/>
      <c r="V687" s="53"/>
      <c r="W687" s="51">
        <f t="shared" ref="W687:X687" si="1806">SUM(W681:W686)</f>
        <v>0</v>
      </c>
      <c r="X687" s="51">
        <f t="shared" si="1806"/>
        <v>0</v>
      </c>
      <c r="Y687" s="52"/>
      <c r="Z687" s="53"/>
      <c r="AA687" s="51">
        <f t="shared" ref="AA687:AB687" si="1807">SUM(AA681:AA686)</f>
        <v>350</v>
      </c>
      <c r="AB687" s="68">
        <f t="shared" si="1807"/>
        <v>0</v>
      </c>
      <c r="AC687" s="53"/>
      <c r="AD687" s="53"/>
      <c r="AE687" s="51">
        <f t="shared" ref="AE687:AF687" si="1808">SUM(AE681:AE686)</f>
        <v>4495.9824</v>
      </c>
      <c r="AF687" s="51">
        <f t="shared" si="1808"/>
        <v>0</v>
      </c>
      <c r="AG687" s="52"/>
      <c r="AH687" s="53"/>
      <c r="AI687" s="51">
        <f t="shared" ref="AI687:AJ687" si="1809">SUM(AI681:AI686)</f>
        <v>0</v>
      </c>
      <c r="AJ687" s="68">
        <f t="shared" si="1809"/>
        <v>14059.98</v>
      </c>
      <c r="AK687" s="52"/>
      <c r="AL687" s="53"/>
      <c r="AM687" s="51">
        <f t="shared" ref="AM687:AN687" si="1810">SUM(AM681:AM686)</f>
        <v>0</v>
      </c>
      <c r="AN687" s="68">
        <f t="shared" si="1810"/>
        <v>0</v>
      </c>
      <c r="AO687" s="52"/>
      <c r="AP687" s="53"/>
      <c r="AQ687" s="51">
        <f t="shared" ref="AQ687:AR687" si="1811">SUM(AQ681:AQ686)</f>
        <v>0</v>
      </c>
      <c r="AR687" s="68">
        <f t="shared" si="1811"/>
        <v>0</v>
      </c>
      <c r="AS687" s="53"/>
      <c r="AT687" s="53"/>
      <c r="AU687" s="51">
        <f t="shared" ref="AU687:AV687" si="1812">SUM(AU681:AU686)</f>
        <v>0</v>
      </c>
      <c r="AV687" s="51">
        <f t="shared" si="1812"/>
        <v>0</v>
      </c>
      <c r="AW687" s="52"/>
      <c r="AX687" s="53"/>
      <c r="AY687" s="51">
        <f t="shared" ref="AY687:AZ687" si="1813">SUM(AY681:AY686)</f>
        <v>0</v>
      </c>
      <c r="AZ687" s="68">
        <f t="shared" si="1813"/>
        <v>0</v>
      </c>
      <c r="BA687" s="53"/>
      <c r="BB687" s="53"/>
      <c r="BC687" s="51">
        <f t="shared" ref="BC687:BD687" si="1814">SUM(BC681:BC686)</f>
        <v>0</v>
      </c>
      <c r="BD687" s="51">
        <f t="shared" si="1814"/>
        <v>0</v>
      </c>
      <c r="BE687" s="69"/>
      <c r="BF687" s="70">
        <f t="shared" ref="BF687:BH687" si="1815">SUM(BF680:BF686)</f>
        <v>4845.9824</v>
      </c>
      <c r="BG687" s="71">
        <f t="shared" si="1815"/>
        <v>14059.98</v>
      </c>
      <c r="BH687" s="72">
        <f t="shared" si="1815"/>
        <v>0.002400000001</v>
      </c>
      <c r="BI687" s="34">
        <f>H687+BF687-BG687</f>
        <v>0.002400000001</v>
      </c>
      <c r="BJ687" s="34">
        <f>BH687-BI687</f>
        <v>0</v>
      </c>
    </row>
    <row r="688" ht="15.75" customHeight="1" hidden="1" spans="1:60" x14ac:dyDescent="0.25">
      <c r="A688" s="79">
        <v>88</v>
      </c>
      <c r="B688" s="14"/>
      <c r="D688" s="14" t="s">
        <v>42</v>
      </c>
      <c r="F688" s="13"/>
      <c r="G688" s="28"/>
      <c r="I688" s="13"/>
      <c r="J688" s="15"/>
      <c r="K688" s="15"/>
      <c r="L688" s="28"/>
      <c r="Q688" s="13"/>
      <c r="R688" s="15"/>
      <c r="S688" s="15"/>
      <c r="T688" s="28"/>
      <c r="Y688" s="13"/>
      <c r="Z688" s="15"/>
      <c r="AA688" s="15"/>
      <c r="AB688" s="28"/>
      <c r="AG688" s="13"/>
      <c r="AH688" s="15"/>
      <c r="AI688" s="15"/>
      <c r="AJ688" s="28"/>
      <c r="AK688" s="13"/>
      <c r="AL688" s="15"/>
      <c r="AM688" s="15"/>
      <c r="AN688" s="28"/>
      <c r="AO688" s="13"/>
      <c r="AP688" s="15"/>
      <c r="AQ688" s="15"/>
      <c r="AR688" s="28"/>
      <c r="AW688" s="13"/>
      <c r="AX688" s="15"/>
      <c r="AY688" s="15"/>
      <c r="AZ688" s="28"/>
      <c r="BE688" s="14"/>
      <c r="BF688" s="13"/>
      <c r="BG688" s="15"/>
      <c r="BH688" s="28"/>
    </row>
    <row r="689" ht="15.75" customHeight="1" hidden="1" spans="1:60" x14ac:dyDescent="0.25">
      <c r="A689" s="89">
        <v>88</v>
      </c>
      <c r="B689" s="14">
        <v>4.23</v>
      </c>
      <c r="C689" s="2" t="s">
        <v>308</v>
      </c>
      <c r="D689" s="14" t="s">
        <v>44</v>
      </c>
      <c r="E689" s="2" t="s">
        <v>45</v>
      </c>
      <c r="F689" s="13">
        <v>2.49</v>
      </c>
      <c r="G689" s="28"/>
      <c r="H689" s="74"/>
      <c r="I689" s="13"/>
      <c r="J689" s="15"/>
      <c r="K689" s="15"/>
      <c r="L689" s="28"/>
      <c r="Q689" s="13"/>
      <c r="R689" s="15"/>
      <c r="S689" s="15"/>
      <c r="T689" s="28"/>
      <c r="Y689" s="13"/>
      <c r="Z689" s="15">
        <f>Y689-U689</f>
        <v>0</v>
      </c>
      <c r="AA689" s="34">
        <f>Z689*$F$8</f>
        <v>0</v>
      </c>
      <c r="AB689" s="28"/>
      <c r="AC689" s="15"/>
      <c r="AD689" s="15">
        <f t="shared" ref="AD689:AD690" si="1816">AC689-Y689</f>
        <v>0</v>
      </c>
      <c r="AE689" s="34">
        <f>AD689*$F$8</f>
        <v>0</v>
      </c>
      <c r="AG689" s="13"/>
      <c r="AH689" s="15">
        <f t="shared" ref="AH689:AH690" si="1817">AG689-AC689</f>
        <v>0</v>
      </c>
      <c r="AI689" s="34">
        <f>AH689*$F$8</f>
        <v>0</v>
      </c>
      <c r="AJ689" s="28"/>
      <c r="AK689" s="13"/>
      <c r="AL689" s="15">
        <f t="shared" ref="AL689:AL690" si="1818">AK689-AG689</f>
        <v>0</v>
      </c>
      <c r="AM689" s="34">
        <f>AL689*$F$8</f>
        <v>0</v>
      </c>
      <c r="AN689" s="28"/>
      <c r="AO689" s="13"/>
      <c r="AP689" s="15"/>
      <c r="AQ689" s="34">
        <f>AP689*$F$8</f>
        <v>0</v>
      </c>
      <c r="AR689" s="28"/>
      <c r="AS689" s="15"/>
      <c r="AT689" s="15"/>
      <c r="AU689" s="34">
        <f>AT689*$F$8</f>
        <v>0</v>
      </c>
      <c r="AV689" s="15"/>
      <c r="AW689" s="13"/>
      <c r="AX689" s="15"/>
      <c r="AY689" s="34">
        <f>AX689*$F$8</f>
        <v>0</v>
      </c>
      <c r="AZ689" s="28"/>
      <c r="BA689" s="15"/>
      <c r="BB689" s="15"/>
      <c r="BC689" s="34">
        <f>BB689*$F$8</f>
        <v>0</v>
      </c>
      <c r="BD689" s="15"/>
      <c r="BE689" s="40">
        <f t="shared" ref="BE689:BG689" si="1819">J689+N689+R689+V689+Z689+AD689+AH689+AL689+AP689+AT689+AX689+BB689</f>
        <v>0</v>
      </c>
      <c r="BF689" s="41">
        <f t="shared" si="1819"/>
        <v>0</v>
      </c>
      <c r="BG689" s="34">
        <f t="shared" si="1819"/>
        <v>0</v>
      </c>
      <c r="BH689" s="35">
        <f t="shared" ref="BH689:BH694" si="1820">H689+BF689-BG689</f>
        <v>0</v>
      </c>
    </row>
    <row r="690" ht="15.75" customHeight="1" hidden="1" spans="1:60" x14ac:dyDescent="0.25">
      <c r="A690" s="79">
        <v>88</v>
      </c>
      <c r="B690" s="14"/>
      <c r="C690" s="2" t="s">
        <v>309</v>
      </c>
      <c r="D690" s="14" t="s">
        <v>47</v>
      </c>
      <c r="E690" s="2" t="s">
        <v>48</v>
      </c>
      <c r="F690" s="13">
        <v>17.16</v>
      </c>
      <c r="G690" s="28"/>
      <c r="I690" s="13"/>
      <c r="J690" s="15"/>
      <c r="K690" s="15"/>
      <c r="L690" s="28"/>
      <c r="Q690" s="13"/>
      <c r="R690" s="15"/>
      <c r="S690" s="15"/>
      <c r="T690" s="28"/>
      <c r="Y690" s="13"/>
      <c r="Z690" s="15"/>
      <c r="AA690" s="15"/>
      <c r="AB690" s="28"/>
      <c r="AC690" s="15"/>
      <c r="AD690" s="15">
        <f t="shared" si="1816"/>
        <v>0</v>
      </c>
      <c r="AE690" s="34">
        <f>AD690*$F$10</f>
        <v>0</v>
      </c>
      <c r="AG690" s="13"/>
      <c r="AH690" s="15">
        <f t="shared" si="1817"/>
        <v>0</v>
      </c>
      <c r="AI690" s="45">
        <f>AH690*$G$10</f>
        <v>0</v>
      </c>
      <c r="AJ690" s="28"/>
      <c r="AK690" s="13"/>
      <c r="AL690" s="15">
        <f t="shared" si="1818"/>
        <v>0</v>
      </c>
      <c r="AM690" s="45">
        <f>AL690*$G$10</f>
        <v>0</v>
      </c>
      <c r="AN690" s="28"/>
      <c r="AO690" s="13"/>
      <c r="AP690" s="15"/>
      <c r="AQ690" s="45">
        <f>AP690*$G$10</f>
        <v>0</v>
      </c>
      <c r="AR690" s="28"/>
      <c r="AS690" s="15"/>
      <c r="AT690" s="15"/>
      <c r="AU690" s="15"/>
      <c r="AV690" s="15"/>
      <c r="AW690" s="13"/>
      <c r="AX690" s="15"/>
      <c r="AY690" s="15"/>
      <c r="AZ690" s="28"/>
      <c r="BA690" s="15"/>
      <c r="BB690" s="15"/>
      <c r="BC690" s="15"/>
      <c r="BD690" s="15"/>
      <c r="BE690" s="40">
        <f t="shared" ref="BE690:BG690" si="1821">J690+N690+R690+V690+Z690+AD690+AH690+AL690+AP690+AT690+AX690+BB690</f>
        <v>0</v>
      </c>
      <c r="BF690" s="41">
        <f t="shared" si="1821"/>
        <v>0</v>
      </c>
      <c r="BG690" s="34">
        <f t="shared" si="1821"/>
        <v>0</v>
      </c>
      <c r="BH690" s="35">
        <f t="shared" si="1820"/>
        <v>0</v>
      </c>
    </row>
    <row r="691" ht="15.75" customHeight="1" hidden="1" spans="1:60" x14ac:dyDescent="0.25">
      <c r="A691" s="79">
        <v>88</v>
      </c>
      <c r="B691" s="14"/>
      <c r="C691" s="15" t="s">
        <v>72</v>
      </c>
      <c r="D691" s="14" t="s">
        <v>47</v>
      </c>
      <c r="E691" s="2" t="s">
        <v>49</v>
      </c>
      <c r="F691" s="41">
        <v>300</v>
      </c>
      <c r="G691" s="28"/>
      <c r="H691" s="83"/>
      <c r="I691" s="13"/>
      <c r="J691" s="15"/>
      <c r="K691" s="15"/>
      <c r="L691" s="28"/>
      <c r="Q691" s="13"/>
      <c r="R691" s="15"/>
      <c r="S691" s="15"/>
      <c r="T691" s="28"/>
      <c r="Y691" s="13"/>
      <c r="Z691" s="15"/>
      <c r="AA691" s="34"/>
      <c r="AB691" s="28"/>
      <c r="AC691" s="15"/>
      <c r="AG691" s="13"/>
      <c r="AH691" s="15"/>
      <c r="AI691" s="15"/>
      <c r="AJ691" s="28"/>
      <c r="AK691" s="13"/>
      <c r="AL691" s="15"/>
      <c r="AM691" s="34"/>
      <c r="AN691" s="28"/>
      <c r="AO691" s="13"/>
      <c r="AP691" s="15"/>
      <c r="AQ691" s="34"/>
      <c r="AR691" s="28"/>
      <c r="AS691" s="15"/>
      <c r="AT691" s="15"/>
      <c r="AU691" s="15"/>
      <c r="AV691" s="15"/>
      <c r="AW691" s="13"/>
      <c r="AX691" s="15"/>
      <c r="AY691" s="15"/>
      <c r="AZ691" s="28"/>
      <c r="BA691" s="15"/>
      <c r="BB691" s="15"/>
      <c r="BC691" s="15"/>
      <c r="BD691" s="15"/>
      <c r="BE691" s="14"/>
      <c r="BF691" s="41">
        <f t="shared" ref="BF691:BG691" si="1822">K691+O691+S691+W691+AA691+AE691+AI691+AM691+AQ691+AU691+AY691+BC691</f>
        <v>0</v>
      </c>
      <c r="BG691" s="34">
        <f t="shared" si="1822"/>
        <v>0</v>
      </c>
      <c r="BH691" s="35">
        <f t="shared" si="1820"/>
        <v>0</v>
      </c>
    </row>
    <row r="692" ht="15.75" customHeight="1" hidden="1" spans="1:60" x14ac:dyDescent="0.25">
      <c r="A692" s="79">
        <v>88</v>
      </c>
      <c r="B692" s="14"/>
      <c r="C692" s="2" t="s">
        <v>310</v>
      </c>
      <c r="D692" s="14" t="s">
        <v>50</v>
      </c>
      <c r="E692" s="2" t="s">
        <v>49</v>
      </c>
      <c r="F692" s="41">
        <v>1062.88</v>
      </c>
      <c r="G692" s="28"/>
      <c r="I692" s="13"/>
      <c r="J692" s="15"/>
      <c r="K692" s="15"/>
      <c r="L692" s="28"/>
      <c r="Q692" s="13"/>
      <c r="R692" s="15"/>
      <c r="S692" s="15"/>
      <c r="T692" s="28"/>
      <c r="Y692" s="13"/>
      <c r="Z692" s="15"/>
      <c r="AA692" s="15"/>
      <c r="AB692" s="28"/>
      <c r="AE692" s="34">
        <f>B689*$F$12</f>
        <v>4495.9824</v>
      </c>
      <c r="AG692" s="13"/>
      <c r="AH692" s="15"/>
      <c r="AI692" s="15"/>
      <c r="AJ692" s="35"/>
      <c r="AK692" s="13"/>
      <c r="AL692" s="15"/>
      <c r="AM692" s="15"/>
      <c r="AN692" s="28"/>
      <c r="AO692" s="13"/>
      <c r="AP692" s="15"/>
      <c r="AQ692" s="15"/>
      <c r="AR692" s="32">
        <v>4495.98</v>
      </c>
      <c r="AS692" s="15"/>
      <c r="AT692" s="15"/>
      <c r="AU692" s="15"/>
      <c r="AV692" s="15"/>
      <c r="AW692" s="13"/>
      <c r="AX692" s="15"/>
      <c r="AY692" s="15"/>
      <c r="AZ692" s="28"/>
      <c r="BA692" s="15"/>
      <c r="BB692" s="15"/>
      <c r="BC692" s="15"/>
      <c r="BD692" s="15"/>
      <c r="BE692" s="14"/>
      <c r="BF692" s="41">
        <f>B689*$F$12</f>
        <v>4495.9824</v>
      </c>
      <c r="BG692" s="34">
        <f t="shared" ref="BG692:BG694" si="1823">L692+P692+T692+X692+AB692+AF692+AJ692+AN692+AR692+AV692+AZ692+BD692</f>
        <v>4495.98</v>
      </c>
      <c r="BH692" s="35">
        <f t="shared" si="1820"/>
        <v>0.002400000001</v>
      </c>
    </row>
    <row r="693" ht="15.75" customHeight="1" hidden="1" spans="1:60" x14ac:dyDescent="0.25">
      <c r="A693" s="79">
        <v>88</v>
      </c>
      <c r="B693" s="14"/>
      <c r="D693" s="14" t="s">
        <v>51</v>
      </c>
      <c r="E693" s="2" t="s">
        <v>49</v>
      </c>
      <c r="F693" s="41">
        <v>0</v>
      </c>
      <c r="G693" s="28"/>
      <c r="I693" s="13"/>
      <c r="J693" s="15"/>
      <c r="K693" s="15"/>
      <c r="L693" s="28"/>
      <c r="Q693" s="13"/>
      <c r="R693" s="15"/>
      <c r="S693" s="15"/>
      <c r="T693" s="28"/>
      <c r="Y693" s="13"/>
      <c r="Z693" s="15"/>
      <c r="AA693" s="15"/>
      <c r="AB693" s="28"/>
      <c r="AG693" s="13"/>
      <c r="AH693" s="15"/>
      <c r="AI693" s="15"/>
      <c r="AJ693" s="28"/>
      <c r="AK693" s="13"/>
      <c r="AL693" s="15"/>
      <c r="AM693" s="15"/>
      <c r="AN693" s="28"/>
      <c r="AO693" s="13"/>
      <c r="AP693" s="15"/>
      <c r="AQ693" s="15"/>
      <c r="AR693" s="28"/>
      <c r="AS693" s="15"/>
      <c r="AT693" s="15"/>
      <c r="AU693" s="15"/>
      <c r="AV693" s="15"/>
      <c r="AW693" s="13"/>
      <c r="AX693" s="15"/>
      <c r="AY693" s="15"/>
      <c r="AZ693" s="28"/>
      <c r="BA693" s="15"/>
      <c r="BB693" s="15"/>
      <c r="BC693" s="15"/>
      <c r="BD693" s="15"/>
      <c r="BE693" s="14"/>
      <c r="BF693" s="41">
        <f>B689*$F$13</f>
        <v>0</v>
      </c>
      <c r="BG693" s="34">
        <f t="shared" si="1823"/>
        <v>0</v>
      </c>
      <c r="BH693" s="35">
        <f t="shared" si="1820"/>
        <v>0</v>
      </c>
    </row>
    <row r="694" ht="15.75" customHeight="1" hidden="1" spans="1:60" x14ac:dyDescent="0.25">
      <c r="A694" s="79">
        <v>88</v>
      </c>
      <c r="B694" s="14"/>
      <c r="D694" s="14" t="s">
        <v>52</v>
      </c>
      <c r="E694" s="2" t="s">
        <v>39</v>
      </c>
      <c r="F694" s="41">
        <v>350</v>
      </c>
      <c r="G694" s="28"/>
      <c r="I694" s="13"/>
      <c r="J694" s="15"/>
      <c r="K694" s="15"/>
      <c r="L694" s="28"/>
      <c r="Q694" s="13"/>
      <c r="R694" s="15"/>
      <c r="S694" s="15"/>
      <c r="T694" s="28"/>
      <c r="Y694" s="13"/>
      <c r="Z694" s="15"/>
      <c r="AA694" s="34">
        <f>$F$14</f>
        <v>350</v>
      </c>
      <c r="AB694" s="28"/>
      <c r="AG694" s="13"/>
      <c r="AH694" s="15"/>
      <c r="AI694" s="15"/>
      <c r="AJ694" s="28"/>
      <c r="AK694" s="13"/>
      <c r="AL694" s="15"/>
      <c r="AM694" s="15"/>
      <c r="AN694" s="28"/>
      <c r="AO694" s="13"/>
      <c r="AP694" s="15"/>
      <c r="AQ694" s="15"/>
      <c r="AR694" s="38">
        <v>350</v>
      </c>
      <c r="AS694" s="15"/>
      <c r="AT694" s="15"/>
      <c r="AU694" s="15"/>
      <c r="AV694" s="15"/>
      <c r="AW694" s="13"/>
      <c r="AX694" s="15"/>
      <c r="AY694" s="15"/>
      <c r="AZ694" s="28"/>
      <c r="BA694" s="15"/>
      <c r="BB694" s="15"/>
      <c r="BC694" s="15"/>
      <c r="BD694" s="15"/>
      <c r="BE694" s="14"/>
      <c r="BF694" s="41">
        <f>$F$14</f>
        <v>350</v>
      </c>
      <c r="BG694" s="34">
        <f t="shared" si="1823"/>
        <v>350</v>
      </c>
      <c r="BH694" s="35">
        <f t="shared" si="1820"/>
        <v>0</v>
      </c>
    </row>
    <row r="695" ht="15.75" customHeight="1" hidden="1" spans="1:62" x14ac:dyDescent="0.25">
      <c r="A695" s="50">
        <v>88</v>
      </c>
      <c r="B695" s="21"/>
      <c r="C695" s="22" t="s">
        <v>53</v>
      </c>
      <c r="D695" s="21"/>
      <c r="E695" s="22"/>
      <c r="F695" s="20"/>
      <c r="G695" s="23"/>
      <c r="H695" s="51">
        <f>SUM(H688:H694)</f>
        <v>0</v>
      </c>
      <c r="I695" s="52"/>
      <c r="J695" s="53"/>
      <c r="K695" s="51">
        <f t="shared" ref="K695:L695" si="1824">SUM(K688:K694)</f>
        <v>0</v>
      </c>
      <c r="L695" s="68">
        <f t="shared" si="1824"/>
        <v>0</v>
      </c>
      <c r="M695" s="53"/>
      <c r="N695" s="53"/>
      <c r="O695" s="51">
        <f t="shared" ref="O695:P695" si="1825">SUM(O689:O694)</f>
        <v>0</v>
      </c>
      <c r="P695" s="51">
        <f t="shared" si="1825"/>
        <v>0</v>
      </c>
      <c r="Q695" s="52"/>
      <c r="R695" s="53"/>
      <c r="S695" s="51">
        <f t="shared" ref="S695:T695" si="1826">SUM(S689:S694)</f>
        <v>0</v>
      </c>
      <c r="T695" s="68">
        <f t="shared" si="1826"/>
        <v>0</v>
      </c>
      <c r="U695" s="53"/>
      <c r="V695" s="53"/>
      <c r="W695" s="51">
        <f t="shared" ref="W695:X695" si="1827">SUM(W689:W694)</f>
        <v>0</v>
      </c>
      <c r="X695" s="51">
        <f t="shared" si="1827"/>
        <v>0</v>
      </c>
      <c r="Y695" s="52"/>
      <c r="Z695" s="53"/>
      <c r="AA695" s="51">
        <f t="shared" ref="AA695:AB695" si="1828">SUM(AA689:AA694)</f>
        <v>350</v>
      </c>
      <c r="AB695" s="68">
        <f t="shared" si="1828"/>
        <v>0</v>
      </c>
      <c r="AC695" s="53"/>
      <c r="AD695" s="53"/>
      <c r="AE695" s="51">
        <f t="shared" ref="AE695:AF695" si="1829">SUM(AE689:AE694)</f>
        <v>4495.9824</v>
      </c>
      <c r="AF695" s="51">
        <f t="shared" si="1829"/>
        <v>0</v>
      </c>
      <c r="AG695" s="52"/>
      <c r="AH695" s="53"/>
      <c r="AI695" s="51">
        <f t="shared" ref="AI695:AJ695" si="1830">SUM(AI689:AI694)</f>
        <v>0</v>
      </c>
      <c r="AJ695" s="68">
        <f t="shared" si="1830"/>
        <v>0</v>
      </c>
      <c r="AK695" s="52"/>
      <c r="AL695" s="53"/>
      <c r="AM695" s="51">
        <f t="shared" ref="AM695:AN695" si="1831">SUM(AM689:AM694)</f>
        <v>0</v>
      </c>
      <c r="AN695" s="68">
        <f t="shared" si="1831"/>
        <v>0</v>
      </c>
      <c r="AO695" s="52"/>
      <c r="AP695" s="53"/>
      <c r="AQ695" s="51">
        <f t="shared" ref="AQ695:AR695" si="1832">SUM(AQ689:AQ694)</f>
        <v>0</v>
      </c>
      <c r="AR695" s="68">
        <f t="shared" si="1832"/>
        <v>4845.98</v>
      </c>
      <c r="AS695" s="53"/>
      <c r="AT695" s="53"/>
      <c r="AU695" s="51">
        <f t="shared" ref="AU695:AV695" si="1833">SUM(AU689:AU694)</f>
        <v>0</v>
      </c>
      <c r="AV695" s="51">
        <f t="shared" si="1833"/>
        <v>0</v>
      </c>
      <c r="AW695" s="52"/>
      <c r="AX695" s="53"/>
      <c r="AY695" s="51">
        <f t="shared" ref="AY695:AZ695" si="1834">SUM(AY689:AY694)</f>
        <v>0</v>
      </c>
      <c r="AZ695" s="68">
        <f t="shared" si="1834"/>
        <v>0</v>
      </c>
      <c r="BA695" s="53"/>
      <c r="BB695" s="53"/>
      <c r="BC695" s="51">
        <f t="shared" ref="BC695:BD695" si="1835">SUM(BC689:BC694)</f>
        <v>0</v>
      </c>
      <c r="BD695" s="51">
        <f t="shared" si="1835"/>
        <v>0</v>
      </c>
      <c r="BE695" s="69"/>
      <c r="BF695" s="70">
        <f t="shared" ref="BF695:BH695" si="1836">SUM(BF688:BF694)</f>
        <v>4845.9824</v>
      </c>
      <c r="BG695" s="71">
        <f t="shared" si="1836"/>
        <v>4845.98</v>
      </c>
      <c r="BH695" s="72">
        <f t="shared" si="1836"/>
        <v>0.002400000001</v>
      </c>
      <c r="BI695" s="34">
        <f>H695+BF695-BG695</f>
        <v>0.002400000001</v>
      </c>
      <c r="BJ695" s="34">
        <f>BH695-BI695</f>
        <v>0</v>
      </c>
    </row>
    <row r="696" ht="15.75" customHeight="1" hidden="1" spans="1:60" x14ac:dyDescent="0.25">
      <c r="A696" s="79">
        <v>90</v>
      </c>
      <c r="B696" s="14"/>
      <c r="D696" s="14" t="s">
        <v>42</v>
      </c>
      <c r="F696" s="13"/>
      <c r="G696" s="28"/>
      <c r="I696" s="13"/>
      <c r="J696" s="15"/>
      <c r="K696" s="15"/>
      <c r="L696" s="28"/>
      <c r="Q696" s="13"/>
      <c r="R696" s="15"/>
      <c r="S696" s="15"/>
      <c r="T696" s="28"/>
      <c r="Y696" s="13"/>
      <c r="Z696" s="15"/>
      <c r="AA696" s="15"/>
      <c r="AB696" s="28"/>
      <c r="AG696" s="13"/>
      <c r="AH696" s="15"/>
      <c r="AI696" s="15"/>
      <c r="AJ696" s="28"/>
      <c r="AK696" s="13"/>
      <c r="AL696" s="15"/>
      <c r="AM696" s="15"/>
      <c r="AN696" s="28"/>
      <c r="AO696" s="13"/>
      <c r="AP696" s="15"/>
      <c r="AQ696" s="15"/>
      <c r="AR696" s="28"/>
      <c r="AW696" s="13"/>
      <c r="AX696" s="15"/>
      <c r="AY696" s="15"/>
      <c r="AZ696" s="28"/>
      <c r="BE696" s="14"/>
      <c r="BF696" s="13"/>
      <c r="BG696" s="15"/>
      <c r="BH696" s="28"/>
    </row>
    <row r="697" ht="15.75" customHeight="1" hidden="1" spans="1:60" x14ac:dyDescent="0.25">
      <c r="A697" s="89">
        <v>90</v>
      </c>
      <c r="B697" s="14">
        <v>4.23</v>
      </c>
      <c r="C697" s="2" t="s">
        <v>311</v>
      </c>
      <c r="D697" s="14" t="s">
        <v>44</v>
      </c>
      <c r="E697" s="2" t="s">
        <v>45</v>
      </c>
      <c r="F697" s="13">
        <v>2.49</v>
      </c>
      <c r="G697" s="28"/>
      <c r="H697" s="74"/>
      <c r="I697" s="13"/>
      <c r="J697" s="15"/>
      <c r="K697" s="15"/>
      <c r="L697" s="28"/>
      <c r="Q697" s="13"/>
      <c r="R697" s="15"/>
      <c r="S697" s="15"/>
      <c r="T697" s="28"/>
      <c r="Y697" s="13"/>
      <c r="Z697" s="15">
        <f>Y697-U697</f>
        <v>0</v>
      </c>
      <c r="AA697" s="34">
        <f>Z697*$F$8</f>
        <v>0</v>
      </c>
      <c r="AB697" s="28"/>
      <c r="AC697" s="15"/>
      <c r="AD697" s="15">
        <f t="shared" ref="AD697:AD698" si="1837">AC697-Y697</f>
        <v>0</v>
      </c>
      <c r="AE697" s="34">
        <f>AD697*$F$8</f>
        <v>0</v>
      </c>
      <c r="AG697" s="13"/>
      <c r="AH697" s="15">
        <f t="shared" ref="AH697:AH698" si="1838">AG697-AC697</f>
        <v>0</v>
      </c>
      <c r="AI697" s="34">
        <f>AH697*$F$8</f>
        <v>0</v>
      </c>
      <c r="AJ697" s="28"/>
      <c r="AK697" s="13"/>
      <c r="AL697" s="15">
        <f t="shared" ref="AL697:AL698" si="1839">AK697-AG697</f>
        <v>0</v>
      </c>
      <c r="AM697" s="34">
        <f>AL697*$F$8</f>
        <v>0</v>
      </c>
      <c r="AN697" s="28"/>
      <c r="AO697" s="13"/>
      <c r="AP697" s="15"/>
      <c r="AQ697" s="34">
        <f>AP697*$F$8</f>
        <v>0</v>
      </c>
      <c r="AR697" s="28"/>
      <c r="AS697" s="15"/>
      <c r="AT697" s="15"/>
      <c r="AU697" s="34">
        <f>AT697*$F$8</f>
        <v>0</v>
      </c>
      <c r="AV697" s="15"/>
      <c r="AW697" s="13"/>
      <c r="AX697" s="15"/>
      <c r="AY697" s="34">
        <f>AX697*$F$8</f>
        <v>0</v>
      </c>
      <c r="AZ697" s="28"/>
      <c r="BA697" s="15"/>
      <c r="BB697" s="15"/>
      <c r="BC697" s="34">
        <f>BB697*$F$8</f>
        <v>0</v>
      </c>
      <c r="BD697" s="15"/>
      <c r="BE697" s="40">
        <f t="shared" ref="BE697:BG697" si="1840">J697+N697+R697+V697+Z697+AD697+AH697+AL697+AP697+AT697+AX697+BB697</f>
        <v>0</v>
      </c>
      <c r="BF697" s="41">
        <f t="shared" si="1840"/>
        <v>0</v>
      </c>
      <c r="BG697" s="34">
        <f t="shared" si="1840"/>
        <v>0</v>
      </c>
      <c r="BH697" s="35">
        <f t="shared" ref="BH697:BH702" si="1841">H697+BF697-BG697</f>
        <v>0</v>
      </c>
    </row>
    <row r="698" ht="15.75" customHeight="1" hidden="1" spans="1:60" x14ac:dyDescent="0.25">
      <c r="A698" s="79">
        <v>90</v>
      </c>
      <c r="B698" s="14"/>
      <c r="C698" s="2" t="s">
        <v>83</v>
      </c>
      <c r="D698" s="14" t="s">
        <v>47</v>
      </c>
      <c r="E698" s="2" t="s">
        <v>48</v>
      </c>
      <c r="F698" s="13">
        <v>17.16</v>
      </c>
      <c r="G698" s="28"/>
      <c r="I698" s="13"/>
      <c r="J698" s="15"/>
      <c r="K698" s="15"/>
      <c r="L698" s="28"/>
      <c r="Q698" s="13"/>
      <c r="R698" s="15"/>
      <c r="S698" s="15"/>
      <c r="T698" s="28"/>
      <c r="Y698" s="13"/>
      <c r="Z698" s="15"/>
      <c r="AA698" s="15"/>
      <c r="AB698" s="28"/>
      <c r="AC698" s="15"/>
      <c r="AD698" s="15">
        <f t="shared" si="1837"/>
        <v>0</v>
      </c>
      <c r="AE698" s="34">
        <f>AD698*$F$10</f>
        <v>0</v>
      </c>
      <c r="AG698" s="13"/>
      <c r="AH698" s="15">
        <f t="shared" si="1838"/>
        <v>0</v>
      </c>
      <c r="AI698" s="45">
        <f>AH698*$G$10</f>
        <v>0</v>
      </c>
      <c r="AJ698" s="28"/>
      <c r="AK698" s="13"/>
      <c r="AL698" s="15">
        <f t="shared" si="1839"/>
        <v>0</v>
      </c>
      <c r="AM698" s="45">
        <f>AL698*$G$10</f>
        <v>0</v>
      </c>
      <c r="AN698" s="28"/>
      <c r="AO698" s="13"/>
      <c r="AP698" s="15"/>
      <c r="AQ698" s="45">
        <f>AP698*$G$10</f>
        <v>0</v>
      </c>
      <c r="AR698" s="28"/>
      <c r="AS698" s="15"/>
      <c r="AT698" s="15"/>
      <c r="AU698" s="15"/>
      <c r="AV698" s="15"/>
      <c r="AW698" s="13"/>
      <c r="AX698" s="15"/>
      <c r="AY698" s="15"/>
      <c r="AZ698" s="28"/>
      <c r="BA698" s="15"/>
      <c r="BB698" s="15"/>
      <c r="BC698" s="15"/>
      <c r="BD698" s="15"/>
      <c r="BE698" s="40">
        <f t="shared" ref="BE698:BG698" si="1842">J698+N698+R698+V698+Z698+AD698+AH698+AL698+AP698+AT698+AX698+BB698</f>
        <v>0</v>
      </c>
      <c r="BF698" s="41">
        <f t="shared" si="1842"/>
        <v>0</v>
      </c>
      <c r="BG698" s="34">
        <f t="shared" si="1842"/>
        <v>0</v>
      </c>
      <c r="BH698" s="35">
        <f t="shared" si="1841"/>
        <v>0</v>
      </c>
    </row>
    <row r="699" ht="15.75" customHeight="1" hidden="1" spans="1:60" x14ac:dyDescent="0.25">
      <c r="A699" s="79">
        <v>90</v>
      </c>
      <c r="B699" s="14"/>
      <c r="C699" s="15" t="s">
        <v>107</v>
      </c>
      <c r="D699" s="14" t="s">
        <v>47</v>
      </c>
      <c r="E699" s="2" t="s">
        <v>49</v>
      </c>
      <c r="F699" s="41">
        <v>300</v>
      </c>
      <c r="G699" s="28"/>
      <c r="H699" s="83"/>
      <c r="I699" s="13"/>
      <c r="J699" s="15"/>
      <c r="K699" s="15"/>
      <c r="L699" s="28"/>
      <c r="Q699" s="13"/>
      <c r="R699" s="15"/>
      <c r="S699" s="15"/>
      <c r="T699" s="28"/>
      <c r="Y699" s="13"/>
      <c r="Z699" s="15"/>
      <c r="AA699" s="34"/>
      <c r="AB699" s="28"/>
      <c r="AC699" s="15"/>
      <c r="AG699" s="13"/>
      <c r="AH699" s="15"/>
      <c r="AI699" s="15"/>
      <c r="AJ699" s="28"/>
      <c r="AK699" s="13"/>
      <c r="AL699" s="15"/>
      <c r="AM699" s="34"/>
      <c r="AN699" s="28"/>
      <c r="AO699" s="13"/>
      <c r="AP699" s="15"/>
      <c r="AQ699" s="34"/>
      <c r="AR699" s="28"/>
      <c r="AS699" s="15"/>
      <c r="AT699" s="15"/>
      <c r="AU699" s="15"/>
      <c r="AV699" s="15"/>
      <c r="AW699" s="13"/>
      <c r="AX699" s="15"/>
      <c r="AY699" s="15"/>
      <c r="AZ699" s="28"/>
      <c r="BA699" s="15"/>
      <c r="BB699" s="15"/>
      <c r="BC699" s="15"/>
      <c r="BD699" s="15"/>
      <c r="BE699" s="14"/>
      <c r="BF699" s="41">
        <f t="shared" ref="BF699:BG699" si="1843">K699+O699+S699+W699+AA699+AE699+AI699+AM699+AQ699+AU699+AY699+BC699</f>
        <v>0</v>
      </c>
      <c r="BG699" s="34">
        <f t="shared" si="1843"/>
        <v>0</v>
      </c>
      <c r="BH699" s="35">
        <f t="shared" si="1841"/>
        <v>0</v>
      </c>
    </row>
    <row r="700" ht="15.75" customHeight="1" hidden="1" spans="1:60" x14ac:dyDescent="0.25">
      <c r="A700" s="79">
        <v>90</v>
      </c>
      <c r="B700" s="14"/>
      <c r="D700" s="14" t="s">
        <v>50</v>
      </c>
      <c r="E700" s="2" t="s">
        <v>49</v>
      </c>
      <c r="F700" s="41">
        <v>1062.88</v>
      </c>
      <c r="G700" s="28"/>
      <c r="I700" s="13"/>
      <c r="J700" s="15"/>
      <c r="K700" s="15"/>
      <c r="L700" s="28"/>
      <c r="Q700" s="13"/>
      <c r="R700" s="15"/>
      <c r="S700" s="15"/>
      <c r="T700" s="28"/>
      <c r="Y700" s="13"/>
      <c r="Z700" s="15"/>
      <c r="AA700" s="15"/>
      <c r="AB700" s="28"/>
      <c r="AE700" s="34">
        <f>B697*$F$12</f>
        <v>4495.9824</v>
      </c>
      <c r="AG700" s="13"/>
      <c r="AH700" s="15"/>
      <c r="AI700" s="15"/>
      <c r="AJ700" s="35"/>
      <c r="AK700" s="13"/>
      <c r="AL700" s="15"/>
      <c r="AM700" s="15"/>
      <c r="AN700" s="28"/>
      <c r="AO700" s="13"/>
      <c r="AP700" s="15"/>
      <c r="AQ700" s="15"/>
      <c r="AR700" s="32">
        <v>4495.98</v>
      </c>
      <c r="AS700" s="15"/>
      <c r="AT700" s="15"/>
      <c r="AU700" s="15"/>
      <c r="AV700" s="15"/>
      <c r="AW700" s="13"/>
      <c r="AX700" s="15"/>
      <c r="AY700" s="15"/>
      <c r="AZ700" s="28"/>
      <c r="BA700" s="15"/>
      <c r="BB700" s="15"/>
      <c r="BC700" s="15"/>
      <c r="BD700" s="15"/>
      <c r="BE700" s="14"/>
      <c r="BF700" s="41">
        <f>B697*$F$12</f>
        <v>4495.9824</v>
      </c>
      <c r="BG700" s="34">
        <f t="shared" ref="BG700:BG702" si="1844">L700+P700+T700+X700+AB700+AF700+AJ700+AN700+AR700+AV700+AZ700+BD700</f>
        <v>4495.98</v>
      </c>
      <c r="BH700" s="35">
        <f t="shared" si="1841"/>
        <v>0.002400000001</v>
      </c>
    </row>
    <row r="701" ht="15.75" customHeight="1" hidden="1" spans="1:60" x14ac:dyDescent="0.25">
      <c r="A701" s="79">
        <v>90</v>
      </c>
      <c r="B701" s="14"/>
      <c r="D701" s="14" t="s">
        <v>51</v>
      </c>
      <c r="E701" s="2" t="s">
        <v>49</v>
      </c>
      <c r="F701" s="41">
        <v>0</v>
      </c>
      <c r="G701" s="28"/>
      <c r="I701" s="13"/>
      <c r="J701" s="15"/>
      <c r="K701" s="15"/>
      <c r="L701" s="28"/>
      <c r="Q701" s="13"/>
      <c r="R701" s="15"/>
      <c r="S701" s="15"/>
      <c r="T701" s="28"/>
      <c r="Y701" s="13"/>
      <c r="Z701" s="15"/>
      <c r="AA701" s="15"/>
      <c r="AB701" s="28"/>
      <c r="AG701" s="13"/>
      <c r="AH701" s="15"/>
      <c r="AI701" s="15"/>
      <c r="AJ701" s="28"/>
      <c r="AK701" s="13"/>
      <c r="AL701" s="15"/>
      <c r="AM701" s="15"/>
      <c r="AN701" s="28"/>
      <c r="AO701" s="13"/>
      <c r="AP701" s="15"/>
      <c r="AQ701" s="15"/>
      <c r="AR701" s="28"/>
      <c r="AS701" s="15"/>
      <c r="AT701" s="15"/>
      <c r="AU701" s="15"/>
      <c r="AV701" s="15"/>
      <c r="AW701" s="13"/>
      <c r="AX701" s="15"/>
      <c r="AY701" s="15"/>
      <c r="AZ701" s="28"/>
      <c r="BA701" s="15"/>
      <c r="BB701" s="15"/>
      <c r="BC701" s="15"/>
      <c r="BD701" s="15"/>
      <c r="BE701" s="14"/>
      <c r="BF701" s="41">
        <f>B697*$F$13</f>
        <v>0</v>
      </c>
      <c r="BG701" s="34">
        <f t="shared" si="1844"/>
        <v>0</v>
      </c>
      <c r="BH701" s="35">
        <f t="shared" si="1841"/>
        <v>0</v>
      </c>
    </row>
    <row r="702" ht="15.75" customHeight="1" hidden="1" spans="1:60" x14ac:dyDescent="0.25">
      <c r="A702" s="79">
        <v>90</v>
      </c>
      <c r="B702" s="14"/>
      <c r="D702" s="14" t="s">
        <v>52</v>
      </c>
      <c r="E702" s="2" t="s">
        <v>39</v>
      </c>
      <c r="F702" s="41">
        <v>350</v>
      </c>
      <c r="G702" s="28"/>
      <c r="I702" s="13"/>
      <c r="J702" s="15"/>
      <c r="K702" s="15"/>
      <c r="L702" s="28"/>
      <c r="Q702" s="13"/>
      <c r="R702" s="15"/>
      <c r="S702" s="15"/>
      <c r="T702" s="28"/>
      <c r="Y702" s="13"/>
      <c r="Z702" s="15"/>
      <c r="AA702" s="34">
        <f>$F$14</f>
        <v>350</v>
      </c>
      <c r="AB702" s="28"/>
      <c r="AG702" s="13"/>
      <c r="AH702" s="15"/>
      <c r="AI702" s="15"/>
      <c r="AJ702" s="28"/>
      <c r="AK702" s="13"/>
      <c r="AL702" s="15"/>
      <c r="AM702" s="15"/>
      <c r="AN702" s="28"/>
      <c r="AO702" s="13"/>
      <c r="AP702" s="15"/>
      <c r="AQ702" s="15"/>
      <c r="AR702" s="38">
        <v>350</v>
      </c>
      <c r="AS702" s="15"/>
      <c r="AT702" s="15"/>
      <c r="AU702" s="15"/>
      <c r="AV702" s="15"/>
      <c r="AW702" s="13"/>
      <c r="AX702" s="15"/>
      <c r="AY702" s="15"/>
      <c r="AZ702" s="28"/>
      <c r="BA702" s="15"/>
      <c r="BB702" s="15"/>
      <c r="BC702" s="15"/>
      <c r="BD702" s="15"/>
      <c r="BE702" s="14"/>
      <c r="BF702" s="41">
        <f>$F$14</f>
        <v>350</v>
      </c>
      <c r="BG702" s="34">
        <f t="shared" si="1844"/>
        <v>350</v>
      </c>
      <c r="BH702" s="35">
        <f t="shared" si="1841"/>
        <v>0</v>
      </c>
    </row>
    <row r="703" ht="15.75" customHeight="1" hidden="1" spans="1:62" x14ac:dyDescent="0.25">
      <c r="A703" s="50">
        <v>90</v>
      </c>
      <c r="B703" s="21"/>
      <c r="C703" s="22" t="s">
        <v>53</v>
      </c>
      <c r="D703" s="21"/>
      <c r="E703" s="22"/>
      <c r="F703" s="20"/>
      <c r="G703" s="23"/>
      <c r="H703" s="51">
        <f>SUM(H696:H702)</f>
        <v>0</v>
      </c>
      <c r="I703" s="52"/>
      <c r="J703" s="53"/>
      <c r="K703" s="51">
        <f t="shared" ref="K703:L703" si="1845">SUM(K696:K702)</f>
        <v>0</v>
      </c>
      <c r="L703" s="68">
        <f t="shared" si="1845"/>
        <v>0</v>
      </c>
      <c r="M703" s="53"/>
      <c r="N703" s="53"/>
      <c r="O703" s="51">
        <f t="shared" ref="O703:P703" si="1846">SUM(O697:O702)</f>
        <v>0</v>
      </c>
      <c r="P703" s="51">
        <f t="shared" si="1846"/>
        <v>0</v>
      </c>
      <c r="Q703" s="52"/>
      <c r="R703" s="53"/>
      <c r="S703" s="51">
        <f t="shared" ref="S703:T703" si="1847">SUM(S697:S702)</f>
        <v>0</v>
      </c>
      <c r="T703" s="68">
        <f t="shared" si="1847"/>
        <v>0</v>
      </c>
      <c r="U703" s="53"/>
      <c r="V703" s="53"/>
      <c r="W703" s="51">
        <f t="shared" ref="W703:X703" si="1848">SUM(W697:W702)</f>
        <v>0</v>
      </c>
      <c r="X703" s="51">
        <f t="shared" si="1848"/>
        <v>0</v>
      </c>
      <c r="Y703" s="52"/>
      <c r="Z703" s="53"/>
      <c r="AA703" s="51">
        <f t="shared" ref="AA703:AB703" si="1849">SUM(AA697:AA702)</f>
        <v>350</v>
      </c>
      <c r="AB703" s="68">
        <f t="shared" si="1849"/>
        <v>0</v>
      </c>
      <c r="AC703" s="53"/>
      <c r="AD703" s="53"/>
      <c r="AE703" s="51">
        <f t="shared" ref="AE703:AF703" si="1850">SUM(AE697:AE702)</f>
        <v>4495.9824</v>
      </c>
      <c r="AF703" s="51">
        <f t="shared" si="1850"/>
        <v>0</v>
      </c>
      <c r="AG703" s="52"/>
      <c r="AH703" s="53"/>
      <c r="AI703" s="51">
        <f t="shared" ref="AI703:AJ703" si="1851">SUM(AI697:AI702)</f>
        <v>0</v>
      </c>
      <c r="AJ703" s="68">
        <f t="shared" si="1851"/>
        <v>0</v>
      </c>
      <c r="AK703" s="52"/>
      <c r="AL703" s="53"/>
      <c r="AM703" s="51">
        <f t="shared" ref="AM703:AN703" si="1852">SUM(AM697:AM702)</f>
        <v>0</v>
      </c>
      <c r="AN703" s="68">
        <f t="shared" si="1852"/>
        <v>0</v>
      </c>
      <c r="AO703" s="52"/>
      <c r="AP703" s="53"/>
      <c r="AQ703" s="51">
        <f t="shared" ref="AQ703:AR703" si="1853">SUM(AQ697:AQ702)</f>
        <v>0</v>
      </c>
      <c r="AR703" s="68">
        <f t="shared" si="1853"/>
        <v>4845.98</v>
      </c>
      <c r="AS703" s="53"/>
      <c r="AT703" s="53"/>
      <c r="AU703" s="51">
        <f t="shared" ref="AU703:AV703" si="1854">SUM(AU697:AU702)</f>
        <v>0</v>
      </c>
      <c r="AV703" s="51">
        <f t="shared" si="1854"/>
        <v>0</v>
      </c>
      <c r="AW703" s="52"/>
      <c r="AX703" s="53"/>
      <c r="AY703" s="51">
        <f t="shared" ref="AY703:AZ703" si="1855">SUM(AY697:AY702)</f>
        <v>0</v>
      </c>
      <c r="AZ703" s="68">
        <f t="shared" si="1855"/>
        <v>0</v>
      </c>
      <c r="BA703" s="53"/>
      <c r="BB703" s="53"/>
      <c r="BC703" s="51">
        <f t="shared" ref="BC703:BD703" si="1856">SUM(BC697:BC702)</f>
        <v>0</v>
      </c>
      <c r="BD703" s="51">
        <f t="shared" si="1856"/>
        <v>0</v>
      </c>
      <c r="BE703" s="69"/>
      <c r="BF703" s="70">
        <f t="shared" ref="BF703:BH703" si="1857">SUM(BF696:BF702)</f>
        <v>4845.9824</v>
      </c>
      <c r="BG703" s="71">
        <f t="shared" si="1857"/>
        <v>4845.98</v>
      </c>
      <c r="BH703" s="72">
        <f t="shared" si="1857"/>
        <v>0.002400000001</v>
      </c>
      <c r="BI703" s="34">
        <f>H703+BF703-BG703</f>
        <v>0.002400000001</v>
      </c>
      <c r="BJ703" s="34">
        <f>BH703-BI703</f>
        <v>0</v>
      </c>
    </row>
    <row r="704" ht="15.75" customHeight="1" hidden="1" spans="1:60" x14ac:dyDescent="0.25">
      <c r="A704" s="79">
        <v>92</v>
      </c>
      <c r="B704" s="14"/>
      <c r="D704" s="14" t="s">
        <v>42</v>
      </c>
      <c r="F704" s="13"/>
      <c r="G704" s="28"/>
      <c r="I704" s="13"/>
      <c r="J704" s="15"/>
      <c r="K704" s="15"/>
      <c r="L704" s="28"/>
      <c r="Q704" s="13"/>
      <c r="R704" s="15"/>
      <c r="S704" s="15"/>
      <c r="T704" s="28"/>
      <c r="Y704" s="13"/>
      <c r="Z704" s="15"/>
      <c r="AA704" s="15"/>
      <c r="AB704" s="28"/>
      <c r="AG704" s="13"/>
      <c r="AH704" s="15"/>
      <c r="AI704" s="15"/>
      <c r="AJ704" s="28"/>
      <c r="AK704" s="13"/>
      <c r="AL704" s="15"/>
      <c r="AM704" s="15"/>
      <c r="AN704" s="28"/>
      <c r="AO704" s="13"/>
      <c r="AP704" s="15"/>
      <c r="AQ704" s="15"/>
      <c r="AR704" s="28"/>
      <c r="AW704" s="13"/>
      <c r="AX704" s="15"/>
      <c r="AY704" s="15"/>
      <c r="AZ704" s="28"/>
      <c r="BE704" s="14"/>
      <c r="BF704" s="13"/>
      <c r="BG704" s="15"/>
      <c r="BH704" s="28"/>
    </row>
    <row r="705" ht="15.75" customHeight="1" hidden="1" spans="1:64" x14ac:dyDescent="0.25">
      <c r="A705" s="2">
        <v>92</v>
      </c>
      <c r="B705" s="14">
        <v>4.28</v>
      </c>
      <c r="C705" s="2" t="s">
        <v>312</v>
      </c>
      <c r="D705" s="14" t="s">
        <v>44</v>
      </c>
      <c r="E705" s="2" t="s">
        <v>45</v>
      </c>
      <c r="F705" s="13">
        <v>2.49</v>
      </c>
      <c r="G705" s="28"/>
      <c r="I705" s="13">
        <v>2233</v>
      </c>
      <c r="J705" s="15">
        <v>295</v>
      </c>
      <c r="K705" s="34">
        <f>J705*$F$8</f>
        <v>734.55</v>
      </c>
      <c r="L705" s="28">
        <v>734.55</v>
      </c>
      <c r="M705" s="2">
        <v>2448</v>
      </c>
      <c r="N705" s="15">
        <f>M705-I705</f>
        <v>215</v>
      </c>
      <c r="O705" s="34">
        <f>N705*$F$8</f>
        <v>535.35</v>
      </c>
      <c r="Q705" s="13">
        <v>2772</v>
      </c>
      <c r="R705" s="15">
        <f>Q705-M705</f>
        <v>324</v>
      </c>
      <c r="S705" s="34">
        <f>R705*$F$8</f>
        <v>806.76</v>
      </c>
      <c r="T705" s="35">
        <v>1343</v>
      </c>
      <c r="U705" s="2">
        <v>2909</v>
      </c>
      <c r="V705" s="15">
        <f>U705-Q705</f>
        <v>137</v>
      </c>
      <c r="W705" s="34">
        <f>V705*$F$8</f>
        <v>341.13</v>
      </c>
      <c r="Y705" s="13">
        <v>2957</v>
      </c>
      <c r="Z705" s="15">
        <f>Y705-U705</f>
        <v>48</v>
      </c>
      <c r="AA705" s="34">
        <f>Z705*$F$8</f>
        <v>119.52</v>
      </c>
      <c r="AB705" s="35">
        <v>1000</v>
      </c>
      <c r="AC705" s="2">
        <v>3129</v>
      </c>
      <c r="AD705" s="15">
        <f t="shared" ref="AD705:AD706" si="1858">AC705-Y705</f>
        <v>172</v>
      </c>
      <c r="AE705" s="34">
        <f>AD705*$F$8</f>
        <v>428.28</v>
      </c>
      <c r="AG705" s="13">
        <v>3313</v>
      </c>
      <c r="AH705" s="15">
        <f t="shared" ref="AH705:AH706" si="1859">AG705-AC705</f>
        <v>184</v>
      </c>
      <c r="AI705" s="34">
        <f>AH705*$F$8</f>
        <v>458.16</v>
      </c>
      <c r="AJ705" s="32">
        <v>1158.87</v>
      </c>
      <c r="AK705" s="13">
        <v>3509</v>
      </c>
      <c r="AL705" s="15">
        <f t="shared" ref="AL705:AL706" si="1860">AK705-AG705</f>
        <v>196</v>
      </c>
      <c r="AM705" s="34">
        <f>AL705*$F$8</f>
        <v>488.04</v>
      </c>
      <c r="AN705" s="28"/>
      <c r="AO705" s="13">
        <v>3727</v>
      </c>
      <c r="AP705" s="15">
        <f t="shared" ref="AP705:AP706" si="1861">AO705-AK705</f>
        <v>218</v>
      </c>
      <c r="AQ705" s="34">
        <f>AP705*$F$8</f>
        <v>542.82</v>
      </c>
      <c r="AR705" s="28"/>
      <c r="AS705" s="15">
        <v>3961</v>
      </c>
      <c r="AT705" s="15">
        <f>AS705-AO705</f>
        <v>234</v>
      </c>
      <c r="AU705" s="34">
        <f>AT705*$F$8</f>
        <v>582.66</v>
      </c>
      <c r="AV705" s="15"/>
      <c r="AW705" s="13">
        <v>4123</v>
      </c>
      <c r="AX705" s="15">
        <f>AW705-AS705</f>
        <v>162</v>
      </c>
      <c r="AY705" s="34">
        <f>AX705*$F$8</f>
        <v>403.38</v>
      </c>
      <c r="AZ705" s="28"/>
      <c r="BA705" s="13">
        <v>4496</v>
      </c>
      <c r="BB705" s="15">
        <f>BA705-AW705</f>
        <v>373</v>
      </c>
      <c r="BC705" s="34">
        <f>BB705*$F$8</f>
        <v>928.77</v>
      </c>
      <c r="BD705" s="39">
        <v>1000</v>
      </c>
      <c r="BE705" s="40">
        <f t="shared" ref="BE705:BG705" si="1862">J705+N705+R705+V705+Z705+AD705+AH705+AL705+AP705+AT705+AX705+BB705</f>
        <v>2558</v>
      </c>
      <c r="BF705" s="41">
        <f t="shared" si="1862"/>
        <v>6369.42</v>
      </c>
      <c r="BG705" s="34">
        <f t="shared" si="1862"/>
        <v>5236.42</v>
      </c>
      <c r="BH705" s="35">
        <f t="shared" ref="BH705:BH710" si="1863">H705+BF705-BG705</f>
        <v>1133</v>
      </c>
      <c r="BK705" s="2">
        <v>1000</v>
      </c>
      <c r="BL705" s="2">
        <v>1000</v>
      </c>
    </row>
    <row r="706" ht="15.75" customHeight="1" hidden="1" spans="1:60" x14ac:dyDescent="0.25">
      <c r="A706" s="29">
        <v>92</v>
      </c>
      <c r="B706" s="14"/>
      <c r="C706" s="2" t="s">
        <v>114</v>
      </c>
      <c r="D706" s="14" t="s">
        <v>47</v>
      </c>
      <c r="E706" s="2" t="s">
        <v>48</v>
      </c>
      <c r="F706" s="13">
        <v>17.16</v>
      </c>
      <c r="G706" s="28"/>
      <c r="H706" s="73">
        <f>7*17.16</f>
        <v>120.12</v>
      </c>
      <c r="I706" s="13"/>
      <c r="J706" s="15"/>
      <c r="K706" s="15"/>
      <c r="L706" s="28"/>
      <c r="Q706" s="13"/>
      <c r="R706" s="15"/>
      <c r="S706" s="15"/>
      <c r="T706" s="28"/>
      <c r="Y706" s="13">
        <v>134</v>
      </c>
      <c r="Z706" s="15"/>
      <c r="AA706" s="15"/>
      <c r="AB706" s="28"/>
      <c r="AC706" s="2">
        <v>134</v>
      </c>
      <c r="AD706" s="15">
        <f t="shared" si="1858"/>
        <v>0</v>
      </c>
      <c r="AE706" s="34">
        <f>AD706*$F$10</f>
        <v>0</v>
      </c>
      <c r="AG706" s="94">
        <v>134</v>
      </c>
      <c r="AH706" s="15">
        <f t="shared" si="1859"/>
        <v>0</v>
      </c>
      <c r="AI706" s="45">
        <f>AH706*$G$10</f>
        <v>0</v>
      </c>
      <c r="AJ706" s="38">
        <v>500</v>
      </c>
      <c r="AK706" s="94">
        <v>134</v>
      </c>
      <c r="AL706" s="15">
        <f t="shared" si="1860"/>
        <v>0</v>
      </c>
      <c r="AM706" s="45">
        <f>AL706*$G$10</f>
        <v>0</v>
      </c>
      <c r="AN706" s="28"/>
      <c r="AO706" s="94">
        <v>134</v>
      </c>
      <c r="AP706" s="15">
        <f t="shared" si="1861"/>
        <v>0</v>
      </c>
      <c r="AQ706" s="45">
        <f>AP706*$G$10</f>
        <v>0</v>
      </c>
      <c r="AR706" s="28"/>
      <c r="AS706" s="15"/>
      <c r="AT706" s="15"/>
      <c r="AU706" s="15"/>
      <c r="AV706" s="15"/>
      <c r="AW706" s="13"/>
      <c r="AX706" s="15"/>
      <c r="AY706" s="15"/>
      <c r="AZ706" s="28"/>
      <c r="BA706" s="15"/>
      <c r="BB706" s="15"/>
      <c r="BC706" s="15"/>
      <c r="BD706" s="15"/>
      <c r="BE706" s="40">
        <f t="shared" ref="BE706:BG706" si="1864">J706+N706+R706+V706+Z706+AD706+AH706+AL706+AP706+AT706+AX706+BB706</f>
        <v>0</v>
      </c>
      <c r="BF706" s="41">
        <f t="shared" si="1864"/>
        <v>0</v>
      </c>
      <c r="BG706" s="34">
        <f t="shared" si="1864"/>
        <v>500</v>
      </c>
      <c r="BH706" s="35">
        <f t="shared" si="1863"/>
        <v>-379.88</v>
      </c>
    </row>
    <row r="707" ht="15.75" customHeight="1" hidden="1" spans="1:60" x14ac:dyDescent="0.25">
      <c r="A707" s="29">
        <v>92</v>
      </c>
      <c r="B707" s="14"/>
      <c r="C707" s="2" t="s">
        <v>164</v>
      </c>
      <c r="D707" s="14" t="s">
        <v>47</v>
      </c>
      <c r="E707" s="2" t="s">
        <v>49</v>
      </c>
      <c r="F707" s="41">
        <v>300</v>
      </c>
      <c r="G707" s="28"/>
      <c r="I707" s="13"/>
      <c r="J707" s="15"/>
      <c r="K707" s="15"/>
      <c r="L707" s="28"/>
      <c r="Q707" s="13"/>
      <c r="R707" s="15"/>
      <c r="S707" s="15"/>
      <c r="T707" s="28"/>
      <c r="Y707" s="13"/>
      <c r="Z707" s="15"/>
      <c r="AA707" s="15"/>
      <c r="AB707" s="28"/>
      <c r="AG707" s="13"/>
      <c r="AH707" s="15"/>
      <c r="AI707" s="15"/>
      <c r="AJ707" s="28"/>
      <c r="AK707" s="13"/>
      <c r="AL707" s="15"/>
      <c r="AM707" s="34"/>
      <c r="AN707" s="28"/>
      <c r="AO707" s="13"/>
      <c r="AP707" s="15"/>
      <c r="AQ707" s="34"/>
      <c r="AR707" s="28"/>
      <c r="AS707" s="15"/>
      <c r="AT707" s="15"/>
      <c r="AU707" s="15"/>
      <c r="AV707" s="15"/>
      <c r="AW707" s="13"/>
      <c r="AX707" s="15"/>
      <c r="AY707" s="15"/>
      <c r="AZ707" s="28"/>
      <c r="BA707" s="15"/>
      <c r="BB707" s="15"/>
      <c r="BC707" s="15"/>
      <c r="BD707" s="15"/>
      <c r="BE707" s="14"/>
      <c r="BF707" s="41">
        <f t="shared" ref="BF707:BG707" si="1865">K707+O707+S707+W707+AA707+AE707+AI707+AM707+AQ707+AU707+AY707+BC707</f>
        <v>0</v>
      </c>
      <c r="BG707" s="34">
        <f t="shared" si="1865"/>
        <v>0</v>
      </c>
      <c r="BH707" s="35">
        <f t="shared" si="1863"/>
        <v>0</v>
      </c>
    </row>
    <row r="708" ht="15.75" customHeight="1" hidden="1" spans="1:60" x14ac:dyDescent="0.25">
      <c r="A708" s="29">
        <v>92</v>
      </c>
      <c r="B708" s="14"/>
      <c r="C708" s="2" t="s">
        <v>313</v>
      </c>
      <c r="D708" s="14" t="s">
        <v>50</v>
      </c>
      <c r="E708" s="2" t="s">
        <v>49</v>
      </c>
      <c r="F708" s="41">
        <v>1062.88</v>
      </c>
      <c r="G708" s="28"/>
      <c r="I708" s="13"/>
      <c r="J708" s="15"/>
      <c r="K708" s="15"/>
      <c r="L708" s="28"/>
      <c r="Q708" s="13"/>
      <c r="R708" s="15"/>
      <c r="S708" s="15"/>
      <c r="T708" s="28"/>
      <c r="Y708" s="13"/>
      <c r="Z708" s="15"/>
      <c r="AA708" s="15"/>
      <c r="AB708" s="28"/>
      <c r="AE708" s="34">
        <f>B705*$F$12</f>
        <v>4549.1264</v>
      </c>
      <c r="AF708" s="2">
        <v>4549.13</v>
      </c>
      <c r="AG708" s="13"/>
      <c r="AH708" s="15"/>
      <c r="AI708" s="15"/>
      <c r="AJ708" s="35"/>
      <c r="AK708" s="13"/>
      <c r="AL708" s="15"/>
      <c r="AM708" s="15"/>
      <c r="AN708" s="28"/>
      <c r="AO708" s="13"/>
      <c r="AP708" s="15"/>
      <c r="AQ708" s="15"/>
      <c r="AR708" s="28"/>
      <c r="AS708" s="15"/>
      <c r="AT708" s="15"/>
      <c r="AU708" s="15"/>
      <c r="AV708" s="15"/>
      <c r="AW708" s="13"/>
      <c r="AX708" s="15"/>
      <c r="AY708" s="15"/>
      <c r="AZ708" s="28"/>
      <c r="BA708" s="15"/>
      <c r="BB708" s="15"/>
      <c r="BC708" s="15"/>
      <c r="BD708" s="15"/>
      <c r="BE708" s="14"/>
      <c r="BF708" s="41">
        <f>B705*$F$12</f>
        <v>4549.1264</v>
      </c>
      <c r="BG708" s="34">
        <f t="shared" ref="BG708:BG710" si="1866">L708+P708+T708+X708+AB708+AF708+AJ708+AN708+AR708+AV708+AZ708+BD708</f>
        <v>4549.13</v>
      </c>
      <c r="BH708" s="35">
        <f t="shared" si="1863"/>
        <v>-0.003599999999</v>
      </c>
    </row>
    <row r="709" ht="15.75" customHeight="1" hidden="1" spans="1:60" x14ac:dyDescent="0.25">
      <c r="A709" s="29">
        <v>92</v>
      </c>
      <c r="B709" s="14"/>
      <c r="C709" s="2" t="s">
        <v>314</v>
      </c>
      <c r="D709" s="14" t="s">
        <v>51</v>
      </c>
      <c r="E709" s="2" t="s">
        <v>49</v>
      </c>
      <c r="F709" s="41">
        <v>0</v>
      </c>
      <c r="G709" s="28"/>
      <c r="I709" s="13"/>
      <c r="J709" s="15"/>
      <c r="K709" s="15"/>
      <c r="L709" s="28"/>
      <c r="Q709" s="13"/>
      <c r="R709" s="15"/>
      <c r="S709" s="15"/>
      <c r="T709" s="28"/>
      <c r="Y709" s="13"/>
      <c r="Z709" s="15"/>
      <c r="AA709" s="15"/>
      <c r="AB709" s="28"/>
      <c r="AG709" s="13"/>
      <c r="AH709" s="15"/>
      <c r="AI709" s="15"/>
      <c r="AJ709" s="28"/>
      <c r="AK709" s="13"/>
      <c r="AL709" s="15"/>
      <c r="AM709" s="15"/>
      <c r="AN709" s="28"/>
      <c r="AO709" s="13"/>
      <c r="AP709" s="15"/>
      <c r="AQ709" s="15"/>
      <c r="AR709" s="28"/>
      <c r="AS709" s="15"/>
      <c r="AT709" s="15"/>
      <c r="AU709" s="15"/>
      <c r="AV709" s="15"/>
      <c r="AW709" s="13"/>
      <c r="AX709" s="15"/>
      <c r="AY709" s="15"/>
      <c r="AZ709" s="28"/>
      <c r="BA709" s="15"/>
      <c r="BB709" s="15"/>
      <c r="BC709" s="15"/>
      <c r="BD709" s="15"/>
      <c r="BE709" s="14"/>
      <c r="BF709" s="41">
        <f>B705*$F$13</f>
        <v>0</v>
      </c>
      <c r="BG709" s="34">
        <f t="shared" si="1866"/>
        <v>0</v>
      </c>
      <c r="BH709" s="35">
        <f t="shared" si="1863"/>
        <v>0</v>
      </c>
    </row>
    <row r="710" ht="15.75" customHeight="1" hidden="1" spans="1:60" x14ac:dyDescent="0.25">
      <c r="A710" s="29">
        <v>92</v>
      </c>
      <c r="B710" s="14"/>
      <c r="D710" s="14" t="s">
        <v>52</v>
      </c>
      <c r="E710" s="2" t="s">
        <v>39</v>
      </c>
      <c r="F710" s="41">
        <v>350</v>
      </c>
      <c r="G710" s="28"/>
      <c r="H710" s="84">
        <v>-350</v>
      </c>
      <c r="I710" s="13"/>
      <c r="J710" s="15"/>
      <c r="K710" s="15"/>
      <c r="L710" s="28"/>
      <c r="Q710" s="13"/>
      <c r="R710" s="15"/>
      <c r="S710" s="15"/>
      <c r="T710" s="28"/>
      <c r="Y710" s="13"/>
      <c r="Z710" s="15"/>
      <c r="AA710" s="34">
        <f>$F$14</f>
        <v>350</v>
      </c>
      <c r="AB710" s="28"/>
      <c r="AG710" s="13"/>
      <c r="AH710" s="15"/>
      <c r="AI710" s="15"/>
      <c r="AJ710" s="28"/>
      <c r="AK710" s="13"/>
      <c r="AL710" s="15"/>
      <c r="AM710" s="15"/>
      <c r="AN710" s="28"/>
      <c r="AO710" s="13"/>
      <c r="AP710" s="15"/>
      <c r="AQ710" s="15"/>
      <c r="AR710" s="28"/>
      <c r="AS710" s="15"/>
      <c r="AT710" s="15"/>
      <c r="AU710" s="15"/>
      <c r="AV710" s="15"/>
      <c r="AW710" s="13"/>
      <c r="AX710" s="15"/>
      <c r="AY710" s="15"/>
      <c r="AZ710" s="28"/>
      <c r="BA710" s="15"/>
      <c r="BB710" s="15"/>
      <c r="BC710" s="15"/>
      <c r="BD710" s="15"/>
      <c r="BE710" s="14"/>
      <c r="BF710" s="41">
        <f>$F$14</f>
        <v>350</v>
      </c>
      <c r="BG710" s="34">
        <f t="shared" si="1866"/>
        <v>0</v>
      </c>
      <c r="BH710" s="35">
        <f t="shared" si="1863"/>
        <v>0</v>
      </c>
    </row>
    <row r="711" ht="15.75" customHeight="1" hidden="1" spans="1:62" x14ac:dyDescent="0.25">
      <c r="A711" s="50">
        <v>92</v>
      </c>
      <c r="B711" s="21"/>
      <c r="C711" s="22" t="s">
        <v>53</v>
      </c>
      <c r="D711" s="21"/>
      <c r="E711" s="22"/>
      <c r="F711" s="20"/>
      <c r="G711" s="23"/>
      <c r="H711" s="51">
        <f>SUM(H704:H710)</f>
        <v>-229.88</v>
      </c>
      <c r="I711" s="52"/>
      <c r="J711" s="53"/>
      <c r="K711" s="51">
        <f t="shared" ref="K711:L711" si="1867">SUM(K704:K710)</f>
        <v>734.55</v>
      </c>
      <c r="L711" s="68">
        <f t="shared" si="1867"/>
        <v>734.55</v>
      </c>
      <c r="M711" s="53"/>
      <c r="N711" s="53"/>
      <c r="O711" s="51">
        <f t="shared" ref="O711:P711" si="1868">SUM(O705:O710)</f>
        <v>535.35</v>
      </c>
      <c r="P711" s="51">
        <f t="shared" si="1868"/>
        <v>0</v>
      </c>
      <c r="Q711" s="52"/>
      <c r="R711" s="53"/>
      <c r="S711" s="51">
        <f t="shared" ref="S711:T711" si="1869">SUM(S705:S710)</f>
        <v>806.76</v>
      </c>
      <c r="T711" s="68">
        <f t="shared" si="1869"/>
        <v>1343</v>
      </c>
      <c r="U711" s="53"/>
      <c r="V711" s="53"/>
      <c r="W711" s="51">
        <f t="shared" ref="W711:X711" si="1870">SUM(W705:W710)</f>
        <v>341.13</v>
      </c>
      <c r="X711" s="51">
        <f t="shared" si="1870"/>
        <v>0</v>
      </c>
      <c r="Y711" s="52"/>
      <c r="Z711" s="53"/>
      <c r="AA711" s="51">
        <f t="shared" ref="AA711:AB711" si="1871">SUM(AA705:AA710)</f>
        <v>469.52</v>
      </c>
      <c r="AB711" s="68">
        <f t="shared" si="1871"/>
        <v>1000</v>
      </c>
      <c r="AC711" s="53"/>
      <c r="AD711" s="53"/>
      <c r="AE711" s="51">
        <f t="shared" ref="AE711:AF711" si="1872">SUM(AE705:AE710)</f>
        <v>4977.4064</v>
      </c>
      <c r="AF711" s="51">
        <f t="shared" si="1872"/>
        <v>4549.13</v>
      </c>
      <c r="AG711" s="52"/>
      <c r="AH711" s="53"/>
      <c r="AI711" s="51">
        <f t="shared" ref="AI711:AJ711" si="1873">SUM(AI705:AI710)</f>
        <v>458.16</v>
      </c>
      <c r="AJ711" s="68">
        <f t="shared" si="1873"/>
        <v>1658.87</v>
      </c>
      <c r="AK711" s="52"/>
      <c r="AL711" s="53"/>
      <c r="AM711" s="51">
        <f t="shared" ref="AM711:AN711" si="1874">SUM(AM705:AM710)</f>
        <v>488.04</v>
      </c>
      <c r="AN711" s="68">
        <f t="shared" si="1874"/>
        <v>0</v>
      </c>
      <c r="AO711" s="52"/>
      <c r="AP711" s="53"/>
      <c r="AQ711" s="51">
        <f t="shared" ref="AQ711:AR711" si="1875">SUM(AQ705:AQ710)</f>
        <v>542.82</v>
      </c>
      <c r="AR711" s="68">
        <f t="shared" si="1875"/>
        <v>0</v>
      </c>
      <c r="AS711" s="53"/>
      <c r="AT711" s="53"/>
      <c r="AU711" s="51">
        <f t="shared" ref="AU711:AV711" si="1876">SUM(AU705:AU710)</f>
        <v>582.66</v>
      </c>
      <c r="AV711" s="51">
        <f t="shared" si="1876"/>
        <v>0</v>
      </c>
      <c r="AW711" s="52"/>
      <c r="AX711" s="53"/>
      <c r="AY711" s="51">
        <f t="shared" ref="AY711:AZ711" si="1877">SUM(AY705:AY710)</f>
        <v>403.38</v>
      </c>
      <c r="AZ711" s="68">
        <f t="shared" si="1877"/>
        <v>0</v>
      </c>
      <c r="BA711" s="53"/>
      <c r="BB711" s="53"/>
      <c r="BC711" s="51">
        <f t="shared" ref="BC711:BD711" si="1878">SUM(BC705:BC710)</f>
        <v>928.77</v>
      </c>
      <c r="BD711" s="51">
        <f t="shared" si="1878"/>
        <v>1000</v>
      </c>
      <c r="BE711" s="69"/>
      <c r="BF711" s="70">
        <f t="shared" ref="BF711:BH711" si="1879">SUM(BF704:BF710)</f>
        <v>11268.5464</v>
      </c>
      <c r="BG711" s="71">
        <f t="shared" si="1879"/>
        <v>10285.55</v>
      </c>
      <c r="BH711" s="72">
        <f t="shared" si="1879"/>
        <v>753.1164</v>
      </c>
      <c r="BI711" s="34">
        <f>H711+BF711-BG711</f>
        <v>753.1164</v>
      </c>
      <c r="BJ711" s="34">
        <f>BH711-BI711</f>
        <v>0</v>
      </c>
    </row>
    <row r="712" ht="15.75" customHeight="1" hidden="1" spans="1:60" x14ac:dyDescent="0.25">
      <c r="A712" s="79" t="s">
        <v>315</v>
      </c>
      <c r="B712" s="14"/>
      <c r="D712" s="14" t="s">
        <v>42</v>
      </c>
      <c r="F712" s="13"/>
      <c r="G712" s="28"/>
      <c r="I712" s="13"/>
      <c r="J712" s="15"/>
      <c r="K712" s="15"/>
      <c r="L712" s="28"/>
      <c r="Q712" s="13"/>
      <c r="R712" s="15"/>
      <c r="S712" s="15"/>
      <c r="T712" s="28"/>
      <c r="Y712" s="13"/>
      <c r="Z712" s="15"/>
      <c r="AA712" s="15"/>
      <c r="AB712" s="28"/>
      <c r="AG712" s="13"/>
      <c r="AH712" s="15"/>
      <c r="AI712" s="15"/>
      <c r="AJ712" s="28"/>
      <c r="AK712" s="13"/>
      <c r="AL712" s="15"/>
      <c r="AM712" s="15"/>
      <c r="AN712" s="28"/>
      <c r="AO712" s="13"/>
      <c r="AP712" s="15"/>
      <c r="AQ712" s="15"/>
      <c r="AR712" s="28"/>
      <c r="AW712" s="13"/>
      <c r="AX712" s="15"/>
      <c r="AY712" s="15"/>
      <c r="AZ712" s="28"/>
      <c r="BE712" s="14"/>
      <c r="BF712" s="13"/>
      <c r="BG712" s="15"/>
      <c r="BH712" s="28"/>
    </row>
    <row r="713" ht="15.75" customHeight="1" hidden="1" spans="1:64" x14ac:dyDescent="0.25">
      <c r="A713" s="89" t="s">
        <v>315</v>
      </c>
      <c r="B713" s="14">
        <f>4.36+4.4</f>
        <v>8.76</v>
      </c>
      <c r="C713" s="2" t="s">
        <v>316</v>
      </c>
      <c r="D713" s="14" t="s">
        <v>44</v>
      </c>
      <c r="E713" s="2" t="s">
        <v>45</v>
      </c>
      <c r="F713" s="13">
        <v>2.49</v>
      </c>
      <c r="G713" s="28"/>
      <c r="H713" s="81"/>
      <c r="I713" s="13">
        <v>3306</v>
      </c>
      <c r="J713" s="15">
        <v>2438</v>
      </c>
      <c r="K713" s="34">
        <f>J713*$F$8</f>
        <v>6070.62</v>
      </c>
      <c r="L713" s="28">
        <v>6070.62</v>
      </c>
      <c r="M713" s="2">
        <v>4938</v>
      </c>
      <c r="N713" s="15">
        <f>M713-I713</f>
        <v>1632</v>
      </c>
      <c r="O713" s="34">
        <f>N713*$F$8</f>
        <v>4063.68</v>
      </c>
      <c r="P713" s="34">
        <v>4070</v>
      </c>
      <c r="Q713" s="13">
        <v>6184</v>
      </c>
      <c r="R713" s="15">
        <f>Q713-M713</f>
        <v>1246</v>
      </c>
      <c r="S713" s="34">
        <f>R713*$F$8</f>
        <v>3102.54</v>
      </c>
      <c r="T713" s="35">
        <v>3100.1</v>
      </c>
      <c r="U713" s="37">
        <v>7392</v>
      </c>
      <c r="V713" s="37">
        <f>U713-Q713</f>
        <v>1208</v>
      </c>
      <c r="W713" s="34">
        <f>V713*$F$8</f>
        <v>3007.92</v>
      </c>
      <c r="X713" s="2">
        <v>3007.92</v>
      </c>
      <c r="Y713" s="95">
        <v>8078</v>
      </c>
      <c r="Z713" s="37">
        <f>Y713-U713</f>
        <v>686</v>
      </c>
      <c r="AA713" s="34">
        <f>Z713*$F$8</f>
        <v>1708.14</v>
      </c>
      <c r="AB713" s="28">
        <v>1708.14</v>
      </c>
      <c r="AC713" s="2">
        <v>8512</v>
      </c>
      <c r="AD713" s="15">
        <f t="shared" ref="AD713:AD714" si="1880">AC713-Y713</f>
        <v>434</v>
      </c>
      <c r="AE713" s="34">
        <f>AD713*$F$8</f>
        <v>1080.66</v>
      </c>
      <c r="AF713" s="2">
        <v>1080.66</v>
      </c>
      <c r="AG713" s="13">
        <v>8789</v>
      </c>
      <c r="AH713" s="15">
        <f t="shared" ref="AH713:AH714" si="1881">AG713-AC713</f>
        <v>277</v>
      </c>
      <c r="AI713" s="34">
        <f>AH713*$F$8</f>
        <v>689.73</v>
      </c>
      <c r="AJ713" s="32">
        <v>689.73</v>
      </c>
      <c r="AK713" s="13">
        <v>9108</v>
      </c>
      <c r="AL713" s="15">
        <f t="shared" ref="AL713:AL714" si="1882">AK713-AG713</f>
        <v>319</v>
      </c>
      <c r="AM713" s="34">
        <f>AL713*$F$8</f>
        <v>794.31</v>
      </c>
      <c r="AN713" s="32">
        <v>790.43</v>
      </c>
      <c r="AO713" s="13">
        <v>9588</v>
      </c>
      <c r="AP713" s="15">
        <f t="shared" ref="AP713:AP714" si="1883">AO713-AK713</f>
        <v>480</v>
      </c>
      <c r="AQ713" s="34">
        <f>AP713*$F$8</f>
        <v>1195.2</v>
      </c>
      <c r="AR713" s="38">
        <v>1195.2</v>
      </c>
      <c r="AS713" s="15">
        <v>10521</v>
      </c>
      <c r="AT713" s="15">
        <f>AS713-AO713</f>
        <v>933</v>
      </c>
      <c r="AU713" s="34">
        <f>AT713*$F$8</f>
        <v>2323.17</v>
      </c>
      <c r="AV713" s="39">
        <v>1623.48</v>
      </c>
      <c r="AW713" s="13">
        <v>11349</v>
      </c>
      <c r="AX713" s="15">
        <f>AW713-AS713</f>
        <v>828</v>
      </c>
      <c r="AY713" s="34">
        <f>AX713*$F$8</f>
        <v>2061.72</v>
      </c>
      <c r="AZ713" s="38">
        <v>2762</v>
      </c>
      <c r="BA713" s="15">
        <v>12678</v>
      </c>
      <c r="BB713" s="15">
        <f>BA713-AW713</f>
        <v>1329</v>
      </c>
      <c r="BC713" s="34">
        <f>BB713*$F$8</f>
        <v>3309.21</v>
      </c>
      <c r="BD713" s="39">
        <f>386+3309</f>
        <v>3695</v>
      </c>
      <c r="BE713" s="40">
        <f t="shared" ref="BE713:BG713" si="1884">J713+N713+R713+V713+Z713+AD713+AH713+AL713+AP713+AT713+AX713+BB713</f>
        <v>11810</v>
      </c>
      <c r="BF713" s="41">
        <f t="shared" si="1884"/>
        <v>29406.9</v>
      </c>
      <c r="BG713" s="34">
        <f t="shared" si="1884"/>
        <v>29793.28</v>
      </c>
      <c r="BH713" s="35">
        <f t="shared" ref="BH713:BH718" si="1885">H713+BF713-BG713</f>
        <v>-386.38</v>
      </c>
      <c r="BK713" s="2">
        <f t="shared" ref="BK713:BL713" si="1886">386+3309</f>
        <v>3695</v>
      </c>
      <c r="BL713" s="2">
        <f t="shared" si="1886"/>
        <v>3695</v>
      </c>
    </row>
    <row r="714" ht="15.75" customHeight="1" hidden="1" spans="1:60" x14ac:dyDescent="0.25">
      <c r="A714" s="29" t="s">
        <v>315</v>
      </c>
      <c r="B714" s="14"/>
      <c r="C714" s="2" t="s">
        <v>317</v>
      </c>
      <c r="D714" s="14" t="s">
        <v>47</v>
      </c>
      <c r="E714" s="2" t="s">
        <v>48</v>
      </c>
      <c r="F714" s="13">
        <v>17.16</v>
      </c>
      <c r="G714" s="28"/>
      <c r="H714" s="81">
        <f>6*17.16+1*17.16</f>
        <v>120.12</v>
      </c>
      <c r="I714" s="13"/>
      <c r="J714" s="15"/>
      <c r="K714" s="15"/>
      <c r="L714" s="28"/>
      <c r="Q714" s="13"/>
      <c r="R714" s="15"/>
      <c r="S714" s="15"/>
      <c r="T714" s="28"/>
      <c r="Y714" s="13">
        <f>1+10</f>
        <v>11</v>
      </c>
      <c r="Z714" s="15"/>
      <c r="AA714" s="15"/>
      <c r="AB714" s="28"/>
      <c r="AC714" s="15">
        <f>6+10</f>
        <v>16</v>
      </c>
      <c r="AD714" s="15">
        <f t="shared" si="1880"/>
        <v>5</v>
      </c>
      <c r="AE714" s="34">
        <f>AD714*$F$10</f>
        <v>85.8</v>
      </c>
      <c r="AF714" s="34">
        <v>85.8</v>
      </c>
      <c r="AG714" s="13">
        <f>6+10</f>
        <v>16</v>
      </c>
      <c r="AH714" s="15">
        <f t="shared" si="1881"/>
        <v>0</v>
      </c>
      <c r="AI714" s="45">
        <f>AH714*$G$10</f>
        <v>0</v>
      </c>
      <c r="AJ714" s="28"/>
      <c r="AK714" s="13">
        <f>10+10</f>
        <v>20</v>
      </c>
      <c r="AL714" s="15">
        <f t="shared" si="1882"/>
        <v>4</v>
      </c>
      <c r="AM714" s="45">
        <f>AL714*$G$10</f>
        <v>70.72</v>
      </c>
      <c r="AN714" s="32">
        <v>190.84</v>
      </c>
      <c r="AO714" s="13">
        <f>11+15</f>
        <v>26</v>
      </c>
      <c r="AP714" s="15">
        <f t="shared" si="1883"/>
        <v>6</v>
      </c>
      <c r="AQ714" s="45">
        <f>AP714*$G$10</f>
        <v>106.08</v>
      </c>
      <c r="AR714" s="32">
        <v>106.08</v>
      </c>
      <c r="AS714" s="15"/>
      <c r="AT714" s="15"/>
      <c r="AU714" s="15"/>
      <c r="AV714" s="15"/>
      <c r="AW714" s="13"/>
      <c r="AX714" s="15"/>
      <c r="AY714" s="15"/>
      <c r="AZ714" s="28"/>
      <c r="BA714" s="15"/>
      <c r="BB714" s="15"/>
      <c r="BC714" s="15"/>
      <c r="BD714" s="15"/>
      <c r="BE714" s="40">
        <f t="shared" ref="BE714:BG714" si="1887">J714+N714+R714+V714+Z714+AD714+AH714+AL714+AP714+AT714+AX714+BB714</f>
        <v>15</v>
      </c>
      <c r="BF714" s="41">
        <f t="shared" si="1887"/>
        <v>262.6</v>
      </c>
      <c r="BG714" s="34">
        <f t="shared" si="1887"/>
        <v>382.72</v>
      </c>
      <c r="BH714" s="35">
        <f t="shared" si="1885"/>
        <v>0</v>
      </c>
    </row>
    <row r="715" ht="15.75" customHeight="1" hidden="1" spans="1:60" x14ac:dyDescent="0.25">
      <c r="A715" s="29" t="s">
        <v>315</v>
      </c>
      <c r="B715" s="14"/>
      <c r="C715" s="2" t="s">
        <v>246</v>
      </c>
      <c r="D715" s="14" t="s">
        <v>47</v>
      </c>
      <c r="E715" s="2" t="s">
        <v>49</v>
      </c>
      <c r="F715" s="41">
        <v>300</v>
      </c>
      <c r="G715" s="28"/>
      <c r="I715" s="13"/>
      <c r="J715" s="15"/>
      <c r="K715" s="15"/>
      <c r="L715" s="28"/>
      <c r="Q715" s="13"/>
      <c r="R715" s="15"/>
      <c r="S715" s="15"/>
      <c r="T715" s="28"/>
      <c r="Y715" s="13"/>
      <c r="Z715" s="15"/>
      <c r="AA715" s="15"/>
      <c r="AB715" s="28"/>
      <c r="AG715" s="13"/>
      <c r="AH715" s="15"/>
      <c r="AI715" s="15"/>
      <c r="AJ715" s="28"/>
      <c r="AK715" s="13"/>
      <c r="AL715" s="15"/>
      <c r="AM715" s="34"/>
      <c r="AN715" s="28"/>
      <c r="AO715" s="13"/>
      <c r="AP715" s="15"/>
      <c r="AQ715" s="34"/>
      <c r="AR715" s="28"/>
      <c r="AS715" s="15"/>
      <c r="AT715" s="15"/>
      <c r="AU715" s="15"/>
      <c r="AV715" s="15"/>
      <c r="AW715" s="13"/>
      <c r="AX715" s="15"/>
      <c r="AY715" s="15"/>
      <c r="AZ715" s="28"/>
      <c r="BA715" s="15"/>
      <c r="BB715" s="15"/>
      <c r="BC715" s="15"/>
      <c r="BD715" s="15"/>
      <c r="BE715" s="14"/>
      <c r="BF715" s="41">
        <f t="shared" ref="BF715:BG715" si="1888">K715+O715+S715+W715+AA715+AE715+AI715+AM715+AQ715+AU715+AY715+BC715</f>
        <v>0</v>
      </c>
      <c r="BG715" s="34">
        <f t="shared" si="1888"/>
        <v>0</v>
      </c>
      <c r="BH715" s="35">
        <f t="shared" si="1885"/>
        <v>0</v>
      </c>
    </row>
    <row r="716" ht="15.75" customHeight="1" hidden="1" spans="1:60" x14ac:dyDescent="0.25">
      <c r="A716" s="29" t="s">
        <v>315</v>
      </c>
      <c r="B716" s="14"/>
      <c r="C716" s="2" t="s">
        <v>318</v>
      </c>
      <c r="D716" s="14" t="s">
        <v>50</v>
      </c>
      <c r="E716" s="2" t="s">
        <v>49</v>
      </c>
      <c r="F716" s="41">
        <v>1062.88</v>
      </c>
      <c r="G716" s="28"/>
      <c r="I716" s="13"/>
      <c r="J716" s="15"/>
      <c r="K716" s="15"/>
      <c r="L716" s="28"/>
      <c r="Q716" s="13"/>
      <c r="R716" s="15"/>
      <c r="S716" s="15"/>
      <c r="T716" s="28"/>
      <c r="Y716" s="13"/>
      <c r="Z716" s="15"/>
      <c r="AA716" s="15"/>
      <c r="AB716" s="28"/>
      <c r="AE716" s="34">
        <f>B713*$F$12</f>
        <v>9310.8288</v>
      </c>
      <c r="AG716" s="13"/>
      <c r="AH716" s="15"/>
      <c r="AI716" s="15"/>
      <c r="AJ716" s="38">
        <v>9310.83</v>
      </c>
      <c r="AK716" s="13"/>
      <c r="AL716" s="15"/>
      <c r="AM716" s="15"/>
      <c r="AN716" s="28"/>
      <c r="AO716" s="13"/>
      <c r="AP716" s="15"/>
      <c r="AQ716" s="15"/>
      <c r="AR716" s="28"/>
      <c r="AS716" s="15"/>
      <c r="AT716" s="15"/>
      <c r="AU716" s="15"/>
      <c r="AV716" s="15"/>
      <c r="AW716" s="13"/>
      <c r="AX716" s="15"/>
      <c r="AY716" s="15"/>
      <c r="AZ716" s="28"/>
      <c r="BA716" s="15"/>
      <c r="BB716" s="15"/>
      <c r="BC716" s="15"/>
      <c r="BD716" s="15"/>
      <c r="BE716" s="14"/>
      <c r="BF716" s="41">
        <f>B713*$F$12</f>
        <v>9310.8288</v>
      </c>
      <c r="BG716" s="34">
        <f t="shared" ref="BG716:BG718" si="1889">L716+P716+T716+X716+AB716+AF716+AJ716+AN716+AR716+AV716+AZ716+BD716</f>
        <v>9310.83</v>
      </c>
      <c r="BH716" s="35">
        <f t="shared" si="1885"/>
        <v>-0.001199999997</v>
      </c>
    </row>
    <row r="717" ht="15.75" customHeight="1" hidden="1" spans="1:60" x14ac:dyDescent="0.25">
      <c r="A717" s="29" t="s">
        <v>315</v>
      </c>
      <c r="B717" s="14"/>
      <c r="D717" s="14" t="s">
        <v>51</v>
      </c>
      <c r="E717" s="2" t="s">
        <v>49</v>
      </c>
      <c r="F717" s="41">
        <v>0</v>
      </c>
      <c r="G717" s="28"/>
      <c r="I717" s="13"/>
      <c r="J717" s="15"/>
      <c r="K717" s="15"/>
      <c r="L717" s="28"/>
      <c r="Q717" s="13"/>
      <c r="R717" s="15"/>
      <c r="S717" s="15"/>
      <c r="T717" s="28"/>
      <c r="Y717" s="13"/>
      <c r="Z717" s="15"/>
      <c r="AA717" s="15"/>
      <c r="AB717" s="28"/>
      <c r="AG717" s="13"/>
      <c r="AH717" s="15"/>
      <c r="AI717" s="15"/>
      <c r="AJ717" s="28"/>
      <c r="AK717" s="13"/>
      <c r="AL717" s="15"/>
      <c r="AM717" s="15"/>
      <c r="AN717" s="28"/>
      <c r="AO717" s="13"/>
      <c r="AP717" s="15"/>
      <c r="AQ717" s="15"/>
      <c r="AR717" s="28"/>
      <c r="AS717" s="15"/>
      <c r="AT717" s="15"/>
      <c r="AU717" s="15"/>
      <c r="AV717" s="15"/>
      <c r="AW717" s="13"/>
      <c r="AX717" s="15"/>
      <c r="AY717" s="15"/>
      <c r="AZ717" s="28"/>
      <c r="BA717" s="15"/>
      <c r="BB717" s="15"/>
      <c r="BC717" s="15"/>
      <c r="BD717" s="15"/>
      <c r="BE717" s="14"/>
      <c r="BF717" s="41">
        <f>B713*$F$13</f>
        <v>0</v>
      </c>
      <c r="BG717" s="34">
        <f t="shared" si="1889"/>
        <v>0</v>
      </c>
      <c r="BH717" s="35">
        <f t="shared" si="1885"/>
        <v>0</v>
      </c>
    </row>
    <row r="718" ht="15.75" customHeight="1" hidden="1" spans="1:60" x14ac:dyDescent="0.25">
      <c r="A718" s="29" t="s">
        <v>315</v>
      </c>
      <c r="B718" s="14"/>
      <c r="D718" s="14" t="s">
        <v>52</v>
      </c>
      <c r="E718" s="2" t="s">
        <v>39</v>
      </c>
      <c r="F718" s="41">
        <v>350</v>
      </c>
      <c r="G718" s="28"/>
      <c r="H718" s="84">
        <v>-700</v>
      </c>
      <c r="I718" s="13"/>
      <c r="J718" s="15"/>
      <c r="K718" s="15"/>
      <c r="L718" s="28"/>
      <c r="Q718" s="13"/>
      <c r="R718" s="15"/>
      <c r="S718" s="15"/>
      <c r="T718" s="28"/>
      <c r="Y718" s="13"/>
      <c r="Z718" s="15"/>
      <c r="AA718" s="34">
        <f>$F$14*2</f>
        <v>700</v>
      </c>
      <c r="AB718" s="28"/>
      <c r="AG718" s="13"/>
      <c r="AH718" s="15"/>
      <c r="AI718" s="15"/>
      <c r="AJ718" s="28"/>
      <c r="AK718" s="13"/>
      <c r="AL718" s="15"/>
      <c r="AM718" s="15"/>
      <c r="AN718" s="28"/>
      <c r="AO718" s="13"/>
      <c r="AP718" s="15"/>
      <c r="AQ718" s="15"/>
      <c r="AR718" s="28"/>
      <c r="AS718" s="15"/>
      <c r="AT718" s="15"/>
      <c r="AU718" s="15"/>
      <c r="AV718" s="15"/>
      <c r="AW718" s="13"/>
      <c r="AX718" s="15"/>
      <c r="AY718" s="15"/>
      <c r="AZ718" s="28"/>
      <c r="BA718" s="15"/>
      <c r="BB718" s="15"/>
      <c r="BC718" s="15"/>
      <c r="BD718" s="15"/>
      <c r="BE718" s="14"/>
      <c r="BF718" s="41">
        <f>$F$14*2</f>
        <v>700</v>
      </c>
      <c r="BG718" s="34">
        <f t="shared" si="1889"/>
        <v>0</v>
      </c>
      <c r="BH718" s="35">
        <f t="shared" si="1885"/>
        <v>0</v>
      </c>
    </row>
    <row r="719" ht="15.75" customHeight="1" hidden="1" spans="1:62" x14ac:dyDescent="0.25">
      <c r="A719" s="50" t="s">
        <v>315</v>
      </c>
      <c r="B719" s="21"/>
      <c r="C719" s="22" t="s">
        <v>53</v>
      </c>
      <c r="D719" s="21"/>
      <c r="E719" s="22"/>
      <c r="F719" s="20"/>
      <c r="G719" s="23"/>
      <c r="H719" s="51">
        <f>SUM(H712:H718)</f>
        <v>-579.88</v>
      </c>
      <c r="I719" s="52"/>
      <c r="J719" s="53"/>
      <c r="K719" s="51">
        <f t="shared" ref="K719:L719" si="1890">SUM(K712:K718)</f>
        <v>6070.62</v>
      </c>
      <c r="L719" s="68">
        <f t="shared" si="1890"/>
        <v>6070.62</v>
      </c>
      <c r="M719" s="53"/>
      <c r="N719" s="53"/>
      <c r="O719" s="51">
        <f t="shared" ref="O719:P719" si="1891">SUM(O713:O718)</f>
        <v>4063.68</v>
      </c>
      <c r="P719" s="51">
        <f t="shared" si="1891"/>
        <v>4070</v>
      </c>
      <c r="Q719" s="52"/>
      <c r="R719" s="53"/>
      <c r="S719" s="51">
        <f t="shared" ref="S719:T719" si="1892">SUM(S713:S718)</f>
        <v>3102.54</v>
      </c>
      <c r="T719" s="68">
        <f t="shared" si="1892"/>
        <v>3100.1</v>
      </c>
      <c r="U719" s="53"/>
      <c r="V719" s="53"/>
      <c r="W719" s="51">
        <f t="shared" ref="W719:X719" si="1893">SUM(W713:W718)</f>
        <v>3007.92</v>
      </c>
      <c r="X719" s="51">
        <f t="shared" si="1893"/>
        <v>3007.92</v>
      </c>
      <c r="Y719" s="52"/>
      <c r="Z719" s="53"/>
      <c r="AA719" s="51">
        <f t="shared" ref="AA719:AB719" si="1894">SUM(AA713:AA718)</f>
        <v>2408.14</v>
      </c>
      <c r="AB719" s="68">
        <f t="shared" si="1894"/>
        <v>1708.14</v>
      </c>
      <c r="AC719" s="53"/>
      <c r="AD719" s="53"/>
      <c r="AE719" s="51">
        <f t="shared" ref="AE719:AF719" si="1895">SUM(AE713:AE718)</f>
        <v>10477.2888</v>
      </c>
      <c r="AF719" s="51">
        <f t="shared" si="1895"/>
        <v>1166.46</v>
      </c>
      <c r="AG719" s="52"/>
      <c r="AH719" s="53"/>
      <c r="AI719" s="51">
        <f t="shared" ref="AI719:AJ719" si="1896">SUM(AI713:AI718)</f>
        <v>689.73</v>
      </c>
      <c r="AJ719" s="68">
        <f t="shared" si="1896"/>
        <v>10000.56</v>
      </c>
      <c r="AK719" s="52"/>
      <c r="AL719" s="53"/>
      <c r="AM719" s="51">
        <f t="shared" ref="AM719:AN719" si="1897">SUM(AM713:AM718)</f>
        <v>865.03</v>
      </c>
      <c r="AN719" s="68">
        <f t="shared" si="1897"/>
        <v>981.27</v>
      </c>
      <c r="AO719" s="52"/>
      <c r="AP719" s="53"/>
      <c r="AQ719" s="51">
        <f t="shared" ref="AQ719:AR719" si="1898">SUM(AQ713:AQ718)</f>
        <v>1301.28</v>
      </c>
      <c r="AR719" s="68">
        <f t="shared" si="1898"/>
        <v>1301.28</v>
      </c>
      <c r="AS719" s="53"/>
      <c r="AT719" s="53"/>
      <c r="AU719" s="51">
        <f t="shared" ref="AU719:AV719" si="1899">SUM(AU713:AU718)</f>
        <v>2323.17</v>
      </c>
      <c r="AV719" s="51">
        <f t="shared" si="1899"/>
        <v>1623.48</v>
      </c>
      <c r="AW719" s="52"/>
      <c r="AX719" s="53"/>
      <c r="AY719" s="51">
        <f t="shared" ref="AY719:AZ719" si="1900">SUM(AY713:AY718)</f>
        <v>2061.72</v>
      </c>
      <c r="AZ719" s="68">
        <f t="shared" si="1900"/>
        <v>2762</v>
      </c>
      <c r="BA719" s="53"/>
      <c r="BB719" s="53"/>
      <c r="BC719" s="51">
        <f t="shared" ref="BC719:BD719" si="1901">SUM(BC713:BC718)</f>
        <v>3309.21</v>
      </c>
      <c r="BD719" s="51">
        <f t="shared" si="1901"/>
        <v>3695</v>
      </c>
      <c r="BE719" s="69"/>
      <c r="BF719" s="70">
        <f t="shared" ref="BF719:BH719" si="1902">SUM(BF712:BF718)</f>
        <v>39680.3288</v>
      </c>
      <c r="BG719" s="71">
        <f t="shared" si="1902"/>
        <v>39486.83</v>
      </c>
      <c r="BH719" s="72">
        <f t="shared" si="1902"/>
        <v>-386.3812</v>
      </c>
      <c r="BI719" s="34">
        <f>H719+BF719-BG719</f>
        <v>-386.3812</v>
      </c>
      <c r="BJ719" s="34">
        <f>BH719-BI719</f>
        <v>0</v>
      </c>
    </row>
    <row r="720" ht="15.75" customHeight="1" hidden="1" spans="1:60" x14ac:dyDescent="0.25">
      <c r="A720" s="29">
        <v>99</v>
      </c>
      <c r="B720" s="14"/>
      <c r="D720" s="14" t="s">
        <v>42</v>
      </c>
      <c r="F720" s="13"/>
      <c r="G720" s="28"/>
      <c r="I720" s="13"/>
      <c r="J720" s="15"/>
      <c r="K720" s="15"/>
      <c r="L720" s="28"/>
      <c r="Q720" s="13"/>
      <c r="R720" s="15"/>
      <c r="S720" s="15"/>
      <c r="T720" s="28"/>
      <c r="Y720" s="13"/>
      <c r="Z720" s="15"/>
      <c r="AA720" s="15"/>
      <c r="AB720" s="28"/>
      <c r="AG720" s="13"/>
      <c r="AH720" s="15"/>
      <c r="AI720" s="15"/>
      <c r="AJ720" s="28"/>
      <c r="AK720" s="13"/>
      <c r="AL720" s="15"/>
      <c r="AM720" s="15"/>
      <c r="AN720" s="28"/>
      <c r="AO720" s="13"/>
      <c r="AP720" s="15"/>
      <c r="AQ720" s="15"/>
      <c r="AR720" s="28"/>
      <c r="AW720" s="13"/>
      <c r="AX720" s="15"/>
      <c r="AY720" s="15"/>
      <c r="AZ720" s="28"/>
      <c r="BE720" s="14"/>
      <c r="BF720" s="13"/>
      <c r="BG720" s="15"/>
      <c r="BH720" s="28"/>
    </row>
    <row r="721" ht="15.75" customHeight="1" hidden="1" spans="1:60" x14ac:dyDescent="0.25">
      <c r="A721" s="2">
        <v>99</v>
      </c>
      <c r="B721" s="14">
        <v>4.53</v>
      </c>
      <c r="C721" s="2" t="s">
        <v>319</v>
      </c>
      <c r="D721" s="14" t="s">
        <v>44</v>
      </c>
      <c r="E721" s="2" t="s">
        <v>45</v>
      </c>
      <c r="F721" s="13">
        <v>2.49</v>
      </c>
      <c r="G721" s="28"/>
      <c r="H721" s="2">
        <v>9.96</v>
      </c>
      <c r="I721" s="13">
        <v>100</v>
      </c>
      <c r="J721" s="15">
        <v>0</v>
      </c>
      <c r="K721" s="34">
        <f>J721*$F$8</f>
        <v>0</v>
      </c>
      <c r="L721" s="28"/>
      <c r="M721" s="2">
        <v>100</v>
      </c>
      <c r="N721" s="15">
        <f>M721-I721</f>
        <v>0</v>
      </c>
      <c r="O721" s="34">
        <f>N721*$F$8</f>
        <v>0</v>
      </c>
      <c r="Q721" s="13">
        <v>100</v>
      </c>
      <c r="R721" s="15">
        <f>Q721-M721</f>
        <v>0</v>
      </c>
      <c r="S721" s="34">
        <f>R721*$F$8</f>
        <v>0</v>
      </c>
      <c r="T721" s="28"/>
      <c r="U721" s="2">
        <v>100</v>
      </c>
      <c r="V721" s="15">
        <f>U721-Q721</f>
        <v>0</v>
      </c>
      <c r="W721" s="34">
        <f>V721*$F$8</f>
        <v>0</v>
      </c>
      <c r="Y721" s="13">
        <v>100</v>
      </c>
      <c r="Z721" s="15">
        <f>Y721-U721</f>
        <v>0</v>
      </c>
      <c r="AA721" s="34">
        <f>Z721*$F$8</f>
        <v>0</v>
      </c>
      <c r="AB721" s="28"/>
      <c r="AC721" s="15">
        <v>106</v>
      </c>
      <c r="AD721" s="15">
        <f t="shared" ref="AD721:AD722" si="1903">AC721-Y721</f>
        <v>6</v>
      </c>
      <c r="AE721" s="34">
        <f>AD721*$F$8</f>
        <v>14.94</v>
      </c>
      <c r="AG721" s="13">
        <v>109</v>
      </c>
      <c r="AH721" s="15">
        <f t="shared" ref="AH721:AH722" si="1904">AG721-AC721</f>
        <v>3</v>
      </c>
      <c r="AI721" s="34">
        <f>AH721*$F$8</f>
        <v>7.47</v>
      </c>
      <c r="AJ721" s="38">
        <f>9.96+14.94</f>
        <v>24.9</v>
      </c>
      <c r="AK721" s="13">
        <v>111</v>
      </c>
      <c r="AL721" s="15">
        <f t="shared" ref="AL721:AL722" si="1905">AK721-AG721</f>
        <v>2</v>
      </c>
      <c r="AM721" s="34">
        <f>AL721*$F$8</f>
        <v>4.98</v>
      </c>
      <c r="AN721" s="28"/>
      <c r="AO721" s="13">
        <v>112</v>
      </c>
      <c r="AP721" s="15">
        <f t="shared" ref="AP721:AP722" si="1906">AO721-AK721</f>
        <v>1</v>
      </c>
      <c r="AQ721" s="34">
        <f>AP721*$F$8</f>
        <v>2.49</v>
      </c>
      <c r="AR721" s="28"/>
      <c r="AS721" s="15">
        <v>112</v>
      </c>
      <c r="AT721" s="15">
        <f>AS721-AO721</f>
        <v>0</v>
      </c>
      <c r="AU721" s="34">
        <f>AT721*$F$8</f>
        <v>0</v>
      </c>
      <c r="AV721" s="15"/>
      <c r="AW721" s="13">
        <v>112</v>
      </c>
      <c r="AX721" s="15">
        <f>AW721-AS721</f>
        <v>0</v>
      </c>
      <c r="AY721" s="34">
        <f>AX721*$F$8</f>
        <v>0</v>
      </c>
      <c r="AZ721" s="28"/>
      <c r="BA721" s="13">
        <v>112</v>
      </c>
      <c r="BB721" s="15">
        <f>BA721-AW721</f>
        <v>0</v>
      </c>
      <c r="BC721" s="34">
        <f>BB721*$F$8</f>
        <v>0</v>
      </c>
      <c r="BD721" s="15"/>
      <c r="BE721" s="40">
        <f t="shared" ref="BE721:BG721" si="1907">J721+N721+R721+V721+Z721+AD721+AH721+AL721+AP721+AT721+AX721+BB721</f>
        <v>12</v>
      </c>
      <c r="BF721" s="41">
        <f t="shared" si="1907"/>
        <v>29.88</v>
      </c>
      <c r="BG721" s="34">
        <f t="shared" si="1907"/>
        <v>24.9</v>
      </c>
      <c r="BH721" s="35">
        <f t="shared" ref="BH721:BH726" si="1908">H721+BF721-BG721</f>
        <v>14.94</v>
      </c>
    </row>
    <row r="722" ht="15.75" customHeight="1" hidden="1" spans="1:60" x14ac:dyDescent="0.25">
      <c r="A722" s="29">
        <v>99</v>
      </c>
      <c r="B722" s="14"/>
      <c r="C722" s="2" t="s">
        <v>61</v>
      </c>
      <c r="D722" s="14" t="s">
        <v>47</v>
      </c>
      <c r="E722" s="2" t="s">
        <v>48</v>
      </c>
      <c r="F722" s="13">
        <v>17.16</v>
      </c>
      <c r="G722" s="28"/>
      <c r="H722" s="90">
        <f>80*17.16</f>
        <v>1372.8</v>
      </c>
      <c r="I722" s="13"/>
      <c r="J722" s="15"/>
      <c r="K722" s="15"/>
      <c r="L722" s="28"/>
      <c r="Q722" s="13"/>
      <c r="R722" s="15"/>
      <c r="S722" s="15"/>
      <c r="T722" s="28"/>
      <c r="Y722" s="95">
        <f>33+80</f>
        <v>113</v>
      </c>
      <c r="Z722" s="15"/>
      <c r="AA722" s="15"/>
      <c r="AB722" s="28"/>
      <c r="AC722" s="13">
        <f>(33+80)+20</f>
        <v>133</v>
      </c>
      <c r="AD722" s="15">
        <f t="shared" si="1903"/>
        <v>20</v>
      </c>
      <c r="AE722" s="34">
        <f>AD722*$F$10</f>
        <v>343.2</v>
      </c>
      <c r="AG722" s="13">
        <f>(33+80)+20</f>
        <v>133</v>
      </c>
      <c r="AH722" s="15">
        <f t="shared" si="1904"/>
        <v>0</v>
      </c>
      <c r="AI722" s="45">
        <f>AH722*$G$10</f>
        <v>0</v>
      </c>
      <c r="AJ722" s="38">
        <v>343.2</v>
      </c>
      <c r="AK722" s="75">
        <f>(33+80)+20</f>
        <v>133</v>
      </c>
      <c r="AL722" s="15">
        <f t="shared" si="1905"/>
        <v>0</v>
      </c>
      <c r="AM722" s="45">
        <f>AL722*$G$10</f>
        <v>0</v>
      </c>
      <c r="AN722" s="28"/>
      <c r="AO722" s="75">
        <f>(33+80)+20</f>
        <v>133</v>
      </c>
      <c r="AP722" s="15">
        <f t="shared" si="1906"/>
        <v>0</v>
      </c>
      <c r="AQ722" s="45">
        <f>AP722*$G$10</f>
        <v>0</v>
      </c>
      <c r="AR722" s="28"/>
      <c r="AS722" s="15"/>
      <c r="AT722" s="15"/>
      <c r="AU722" s="15"/>
      <c r="AV722" s="15"/>
      <c r="AW722" s="13"/>
      <c r="AX722" s="15"/>
      <c r="AY722" s="15"/>
      <c r="AZ722" s="28"/>
      <c r="BA722" s="15"/>
      <c r="BB722" s="15"/>
      <c r="BC722" s="15"/>
      <c r="BD722" s="15"/>
      <c r="BE722" s="40">
        <f t="shared" ref="BE722:BG722" si="1909">J722+N722+R722+V722+Z722+AD722+AH722+AL722+AP722+AT722+AX722+BB722</f>
        <v>20</v>
      </c>
      <c r="BF722" s="41">
        <f t="shared" si="1909"/>
        <v>343.2</v>
      </c>
      <c r="BG722" s="34">
        <f t="shared" si="1909"/>
        <v>343.2</v>
      </c>
      <c r="BH722" s="35">
        <f t="shared" si="1908"/>
        <v>1372.8</v>
      </c>
    </row>
    <row r="723" ht="15.75" customHeight="1" hidden="1" spans="1:60" x14ac:dyDescent="0.25">
      <c r="A723" s="29">
        <v>99</v>
      </c>
      <c r="B723" s="14"/>
      <c r="C723" s="73" t="s">
        <v>320</v>
      </c>
      <c r="D723" s="14" t="s">
        <v>47</v>
      </c>
      <c r="E723" s="2" t="s">
        <v>49</v>
      </c>
      <c r="F723" s="41">
        <v>300</v>
      </c>
      <c r="G723" s="28"/>
      <c r="I723" s="13"/>
      <c r="J723" s="15"/>
      <c r="K723" s="15"/>
      <c r="L723" s="28"/>
      <c r="Q723" s="13"/>
      <c r="R723" s="15"/>
      <c r="S723" s="15"/>
      <c r="T723" s="28"/>
      <c r="Y723" s="13"/>
      <c r="Z723" s="15"/>
      <c r="AA723" s="15"/>
      <c r="AB723" s="28"/>
      <c r="AG723" s="13"/>
      <c r="AH723" s="15"/>
      <c r="AI723" s="15"/>
      <c r="AJ723" s="28"/>
      <c r="AK723" s="13"/>
      <c r="AL723" s="15"/>
      <c r="AM723" s="34"/>
      <c r="AN723" s="28"/>
      <c r="AO723" s="13"/>
      <c r="AP723" s="15"/>
      <c r="AQ723" s="34"/>
      <c r="AR723" s="28"/>
      <c r="AS723" s="15"/>
      <c r="AT723" s="15"/>
      <c r="AU723" s="15"/>
      <c r="AV723" s="15"/>
      <c r="AW723" s="13"/>
      <c r="AX723" s="15"/>
      <c r="AY723" s="15"/>
      <c r="AZ723" s="28"/>
      <c r="BA723" s="15"/>
      <c r="BB723" s="15"/>
      <c r="BC723" s="15"/>
      <c r="BD723" s="15"/>
      <c r="BE723" s="14"/>
      <c r="BF723" s="41">
        <f t="shared" ref="BF723:BG723" si="1910">K723+O723+S723+W723+AA723+AE723+AI723+AM723+AQ723+AU723+AY723+BC723</f>
        <v>0</v>
      </c>
      <c r="BG723" s="34">
        <f t="shared" si="1910"/>
        <v>0</v>
      </c>
      <c r="BH723" s="35">
        <f t="shared" si="1908"/>
        <v>0</v>
      </c>
    </row>
    <row r="724" ht="15.75" customHeight="1" hidden="1" spans="1:60" x14ac:dyDescent="0.25">
      <c r="A724" s="29">
        <v>99</v>
      </c>
      <c r="B724" s="14"/>
      <c r="D724" s="14" t="s">
        <v>50</v>
      </c>
      <c r="E724" s="2" t="s">
        <v>49</v>
      </c>
      <c r="F724" s="41">
        <v>1062.88</v>
      </c>
      <c r="G724" s="28"/>
      <c r="I724" s="13"/>
      <c r="J724" s="15"/>
      <c r="K724" s="15"/>
      <c r="L724" s="28"/>
      <c r="Q724" s="13"/>
      <c r="R724" s="15"/>
      <c r="S724" s="15"/>
      <c r="T724" s="28"/>
      <c r="Y724" s="13"/>
      <c r="Z724" s="15"/>
      <c r="AA724" s="15"/>
      <c r="AB724" s="28"/>
      <c r="AE724" s="34">
        <f>B721*$F$12</f>
        <v>4814.8464</v>
      </c>
      <c r="AF724" s="2">
        <v>4814.84</v>
      </c>
      <c r="AG724" s="13"/>
      <c r="AH724" s="15"/>
      <c r="AI724" s="15"/>
      <c r="AJ724" s="35"/>
      <c r="AK724" s="13"/>
      <c r="AL724" s="15"/>
      <c r="AM724" s="15"/>
      <c r="AN724" s="28"/>
      <c r="AO724" s="13"/>
      <c r="AP724" s="15"/>
      <c r="AQ724" s="15"/>
      <c r="AR724" s="28"/>
      <c r="AS724" s="15"/>
      <c r="AT724" s="15"/>
      <c r="AU724" s="15"/>
      <c r="AV724" s="15"/>
      <c r="AW724" s="13"/>
      <c r="AX724" s="15"/>
      <c r="AY724" s="15"/>
      <c r="AZ724" s="28"/>
      <c r="BA724" s="15"/>
      <c r="BB724" s="15"/>
      <c r="BC724" s="15"/>
      <c r="BD724" s="15"/>
      <c r="BE724" s="14"/>
      <c r="BF724" s="41">
        <f>B721*$F$12</f>
        <v>4814.8464</v>
      </c>
      <c r="BG724" s="34">
        <f t="shared" ref="BG724:BG726" si="1911">L724+P724+T724+X724+AB724+AF724+AJ724+AN724+AR724+AV724+AZ724+BD724</f>
        <v>4814.84</v>
      </c>
      <c r="BH724" s="35">
        <f t="shared" si="1908"/>
        <v>0.0064</v>
      </c>
    </row>
    <row r="725" ht="15.75" customHeight="1" hidden="1" spans="1:60" x14ac:dyDescent="0.25">
      <c r="A725" s="29">
        <v>99</v>
      </c>
      <c r="B725" s="14"/>
      <c r="D725" s="14" t="s">
        <v>51</v>
      </c>
      <c r="E725" s="2" t="s">
        <v>49</v>
      </c>
      <c r="F725" s="41">
        <v>0</v>
      </c>
      <c r="G725" s="28"/>
      <c r="I725" s="13"/>
      <c r="J725" s="15"/>
      <c r="K725" s="15"/>
      <c r="L725" s="28"/>
      <c r="Q725" s="13"/>
      <c r="R725" s="15"/>
      <c r="S725" s="15"/>
      <c r="T725" s="28"/>
      <c r="Y725" s="13"/>
      <c r="Z725" s="15"/>
      <c r="AA725" s="15"/>
      <c r="AB725" s="28"/>
      <c r="AG725" s="13"/>
      <c r="AH725" s="15"/>
      <c r="AI725" s="15"/>
      <c r="AJ725" s="28"/>
      <c r="AK725" s="13"/>
      <c r="AL725" s="15"/>
      <c r="AM725" s="15"/>
      <c r="AN725" s="28"/>
      <c r="AO725" s="13"/>
      <c r="AP725" s="15"/>
      <c r="AQ725" s="15"/>
      <c r="AR725" s="28"/>
      <c r="AS725" s="15"/>
      <c r="AT725" s="15"/>
      <c r="AU725" s="15"/>
      <c r="AV725" s="15"/>
      <c r="AW725" s="13"/>
      <c r="AX725" s="15"/>
      <c r="AY725" s="15"/>
      <c r="AZ725" s="28"/>
      <c r="BA725" s="15"/>
      <c r="BB725" s="15"/>
      <c r="BC725" s="15"/>
      <c r="BD725" s="15"/>
      <c r="BE725" s="14"/>
      <c r="BF725" s="41">
        <f>B721*$F$13</f>
        <v>0</v>
      </c>
      <c r="BG725" s="34">
        <f t="shared" si="1911"/>
        <v>0</v>
      </c>
      <c r="BH725" s="35">
        <f t="shared" si="1908"/>
        <v>0</v>
      </c>
    </row>
    <row r="726" ht="15.75" customHeight="1" hidden="1" spans="1:60" x14ac:dyDescent="0.25">
      <c r="A726" s="29">
        <v>99</v>
      </c>
      <c r="B726" s="14"/>
      <c r="D726" s="14" t="s">
        <v>52</v>
      </c>
      <c r="E726" s="2" t="s">
        <v>39</v>
      </c>
      <c r="F726" s="41">
        <v>350</v>
      </c>
      <c r="G726" s="28"/>
      <c r="I726" s="13"/>
      <c r="J726" s="15"/>
      <c r="K726" s="15"/>
      <c r="L726" s="28"/>
      <c r="Q726" s="13"/>
      <c r="R726" s="15"/>
      <c r="S726" s="15"/>
      <c r="T726" s="28"/>
      <c r="Y726" s="13"/>
      <c r="Z726" s="15"/>
      <c r="AA726" s="34">
        <f>$F$14</f>
        <v>350</v>
      </c>
      <c r="AB726" s="35">
        <v>350</v>
      </c>
      <c r="AG726" s="13"/>
      <c r="AH726" s="15"/>
      <c r="AI726" s="15"/>
      <c r="AJ726" s="28"/>
      <c r="AK726" s="13"/>
      <c r="AL726" s="15"/>
      <c r="AM726" s="15"/>
      <c r="AN726" s="28"/>
      <c r="AO726" s="13"/>
      <c r="AP726" s="15"/>
      <c r="AQ726" s="15"/>
      <c r="AR726" s="28"/>
      <c r="AS726" s="15"/>
      <c r="AT726" s="15"/>
      <c r="AU726" s="15"/>
      <c r="AV726" s="15"/>
      <c r="AW726" s="13"/>
      <c r="AX726" s="15"/>
      <c r="AY726" s="15"/>
      <c r="AZ726" s="28"/>
      <c r="BA726" s="15"/>
      <c r="BB726" s="15"/>
      <c r="BC726" s="15"/>
      <c r="BD726" s="15"/>
      <c r="BE726" s="14"/>
      <c r="BF726" s="41">
        <f>$F$14</f>
        <v>350</v>
      </c>
      <c r="BG726" s="34">
        <f t="shared" si="1911"/>
        <v>350</v>
      </c>
      <c r="BH726" s="35">
        <f t="shared" si="1908"/>
        <v>0</v>
      </c>
    </row>
    <row r="727" ht="15.75" customHeight="1" hidden="1" spans="1:62" x14ac:dyDescent="0.25">
      <c r="A727" s="50">
        <v>99</v>
      </c>
      <c r="B727" s="21"/>
      <c r="C727" s="22" t="s">
        <v>53</v>
      </c>
      <c r="D727" s="21"/>
      <c r="E727" s="22"/>
      <c r="F727" s="20"/>
      <c r="G727" s="23"/>
      <c r="H727" s="51">
        <f>SUM(H720:H726)</f>
        <v>1382.76</v>
      </c>
      <c r="I727" s="52"/>
      <c r="J727" s="53"/>
      <c r="K727" s="51">
        <f t="shared" ref="K727:L727" si="1912">SUM(K720:K726)</f>
        <v>0</v>
      </c>
      <c r="L727" s="68">
        <f t="shared" si="1912"/>
        <v>0</v>
      </c>
      <c r="M727" s="53"/>
      <c r="N727" s="53"/>
      <c r="O727" s="51">
        <f t="shared" ref="O727:P727" si="1913">SUM(O721:O726)</f>
        <v>0</v>
      </c>
      <c r="P727" s="51">
        <f t="shared" si="1913"/>
        <v>0</v>
      </c>
      <c r="Q727" s="52"/>
      <c r="R727" s="53"/>
      <c r="S727" s="51">
        <f t="shared" ref="S727:T727" si="1914">SUM(S721:S726)</f>
        <v>0</v>
      </c>
      <c r="T727" s="68">
        <f t="shared" si="1914"/>
        <v>0</v>
      </c>
      <c r="U727" s="53"/>
      <c r="V727" s="53"/>
      <c r="W727" s="51">
        <f t="shared" ref="W727:X727" si="1915">SUM(W721:W726)</f>
        <v>0</v>
      </c>
      <c r="X727" s="51">
        <f t="shared" si="1915"/>
        <v>0</v>
      </c>
      <c r="Y727" s="52"/>
      <c r="Z727" s="53"/>
      <c r="AA727" s="51">
        <f t="shared" ref="AA727:AB727" si="1916">SUM(AA721:AA726)</f>
        <v>350</v>
      </c>
      <c r="AB727" s="68">
        <f t="shared" si="1916"/>
        <v>350</v>
      </c>
      <c r="AC727" s="53"/>
      <c r="AD727" s="53"/>
      <c r="AE727" s="51">
        <f t="shared" ref="AE727:AF727" si="1917">SUM(AE721:AE726)</f>
        <v>5172.9864</v>
      </c>
      <c r="AF727" s="51">
        <f t="shared" si="1917"/>
        <v>4814.84</v>
      </c>
      <c r="AG727" s="52"/>
      <c r="AH727" s="53"/>
      <c r="AI727" s="51">
        <f t="shared" ref="AI727:AJ727" si="1918">SUM(AI721:AI726)</f>
        <v>7.47</v>
      </c>
      <c r="AJ727" s="68">
        <f t="shared" si="1918"/>
        <v>368.1</v>
      </c>
      <c r="AK727" s="52"/>
      <c r="AL727" s="53"/>
      <c r="AM727" s="51">
        <f t="shared" ref="AM727:AN727" si="1919">SUM(AM721:AM726)</f>
        <v>4.98</v>
      </c>
      <c r="AN727" s="68">
        <f t="shared" si="1919"/>
        <v>0</v>
      </c>
      <c r="AO727" s="52"/>
      <c r="AP727" s="53"/>
      <c r="AQ727" s="51">
        <f t="shared" ref="AQ727:AR727" si="1920">SUM(AQ721:AQ726)</f>
        <v>2.49</v>
      </c>
      <c r="AR727" s="68">
        <f t="shared" si="1920"/>
        <v>0</v>
      </c>
      <c r="AS727" s="53"/>
      <c r="AT727" s="53"/>
      <c r="AU727" s="51">
        <f t="shared" ref="AU727:AV727" si="1921">SUM(AU721:AU726)</f>
        <v>0</v>
      </c>
      <c r="AV727" s="51">
        <f t="shared" si="1921"/>
        <v>0</v>
      </c>
      <c r="AW727" s="52"/>
      <c r="AX727" s="53"/>
      <c r="AY727" s="51">
        <f t="shared" ref="AY727:AZ727" si="1922">SUM(AY721:AY726)</f>
        <v>0</v>
      </c>
      <c r="AZ727" s="68">
        <f t="shared" si="1922"/>
        <v>0</v>
      </c>
      <c r="BA727" s="53"/>
      <c r="BB727" s="53"/>
      <c r="BC727" s="51">
        <f t="shared" ref="BC727:BD727" si="1923">SUM(BC721:BC726)</f>
        <v>0</v>
      </c>
      <c r="BD727" s="51">
        <f t="shared" si="1923"/>
        <v>0</v>
      </c>
      <c r="BE727" s="69"/>
      <c r="BF727" s="70">
        <f t="shared" ref="BF727:BH727" si="1924">SUM(BF720:BF726)</f>
        <v>5537.9264</v>
      </c>
      <c r="BG727" s="71">
        <f t="shared" si="1924"/>
        <v>5532.94</v>
      </c>
      <c r="BH727" s="72">
        <f t="shared" si="1924"/>
        <v>1387.7464</v>
      </c>
      <c r="BI727" s="34">
        <f>H727+BF727-BG727</f>
        <v>1387.7464</v>
      </c>
      <c r="BJ727" s="34">
        <f>BH727-BI727</f>
        <v>0</v>
      </c>
    </row>
    <row r="728" ht="15.75" customHeight="1" hidden="1" spans="1:60" x14ac:dyDescent="0.25">
      <c r="A728" s="29">
        <v>101</v>
      </c>
      <c r="B728" s="14"/>
      <c r="D728" s="14" t="s">
        <v>42</v>
      </c>
      <c r="F728" s="13"/>
      <c r="G728" s="28"/>
      <c r="I728" s="13"/>
      <c r="J728" s="15"/>
      <c r="K728" s="15"/>
      <c r="L728" s="28"/>
      <c r="Q728" s="13"/>
      <c r="R728" s="15"/>
      <c r="S728" s="15"/>
      <c r="T728" s="28"/>
      <c r="Y728" s="13"/>
      <c r="Z728" s="15"/>
      <c r="AA728" s="15"/>
      <c r="AB728" s="28"/>
      <c r="AG728" s="13"/>
      <c r="AH728" s="15"/>
      <c r="AI728" s="15"/>
      <c r="AJ728" s="28"/>
      <c r="AK728" s="13"/>
      <c r="AL728" s="15"/>
      <c r="AM728" s="15"/>
      <c r="AN728" s="28"/>
      <c r="AO728" s="13"/>
      <c r="AP728" s="15"/>
      <c r="AQ728" s="15"/>
      <c r="AR728" s="28"/>
      <c r="AW728" s="13"/>
      <c r="AX728" s="15"/>
      <c r="AY728" s="15"/>
      <c r="AZ728" s="28"/>
      <c r="BE728" s="14"/>
      <c r="BF728" s="13"/>
      <c r="BG728" s="15"/>
      <c r="BH728" s="28"/>
    </row>
    <row r="729" ht="15.75" customHeight="1" hidden="1" spans="1:60" x14ac:dyDescent="0.25">
      <c r="A729" s="2">
        <v>101</v>
      </c>
      <c r="B729" s="14">
        <v>4.46</v>
      </c>
      <c r="C729" s="2" t="s">
        <v>321</v>
      </c>
      <c r="D729" s="14" t="s">
        <v>44</v>
      </c>
      <c r="E729" s="2" t="s">
        <v>45</v>
      </c>
      <c r="F729" s="13">
        <v>2.49</v>
      </c>
      <c r="G729" s="28"/>
      <c r="H729" s="2">
        <v>7.47</v>
      </c>
      <c r="I729" s="13">
        <v>103</v>
      </c>
      <c r="J729" s="15">
        <v>0</v>
      </c>
      <c r="K729" s="34">
        <f>J729*$F$8</f>
        <v>0</v>
      </c>
      <c r="L729" s="28"/>
      <c r="M729" s="2">
        <v>103</v>
      </c>
      <c r="N729" s="15">
        <f>M729-I729</f>
        <v>0</v>
      </c>
      <c r="O729" s="34">
        <f>N729*$F$8</f>
        <v>0</v>
      </c>
      <c r="Q729" s="13">
        <v>103</v>
      </c>
      <c r="R729" s="15">
        <f>Q729-M729</f>
        <v>0</v>
      </c>
      <c r="S729" s="34">
        <f>R729*$F$8</f>
        <v>0</v>
      </c>
      <c r="T729" s="28"/>
      <c r="U729" s="2">
        <v>104</v>
      </c>
      <c r="V729" s="15">
        <f>U729-Q729</f>
        <v>1</v>
      </c>
      <c r="W729" s="34">
        <f>V729*$F$8</f>
        <v>2.49</v>
      </c>
      <c r="X729" s="2">
        <f>7.47+2.49</f>
        <v>9.96</v>
      </c>
      <c r="Y729" s="13">
        <v>107</v>
      </c>
      <c r="Z729" s="15">
        <f>Y729-U729</f>
        <v>3</v>
      </c>
      <c r="AA729" s="34">
        <f>Z729*$F$8</f>
        <v>7.47</v>
      </c>
      <c r="AB729" s="28">
        <v>7.47</v>
      </c>
      <c r="AC729" s="2">
        <v>112</v>
      </c>
      <c r="AD729" s="15">
        <f t="shared" ref="AD729:AD730" si="1925">AC729-Y729</f>
        <v>5</v>
      </c>
      <c r="AE729" s="34">
        <f>AD729*$F$8</f>
        <v>12.45</v>
      </c>
      <c r="AG729" s="13">
        <v>115</v>
      </c>
      <c r="AH729" s="15">
        <f t="shared" ref="AH729:AH730" si="1926">AG729-AC729</f>
        <v>3</v>
      </c>
      <c r="AI729" s="34">
        <f>AH729*$F$8</f>
        <v>7.47</v>
      </c>
      <c r="AJ729" s="28"/>
      <c r="AK729" s="13">
        <v>117</v>
      </c>
      <c r="AL729" s="15">
        <f t="shared" ref="AL729:AL730" si="1927">AK729-AG729</f>
        <v>2</v>
      </c>
      <c r="AM729" s="34">
        <f>AL729*$F$8</f>
        <v>4.98</v>
      </c>
      <c r="AN729" s="32">
        <v>19.92</v>
      </c>
      <c r="AO729" s="13">
        <v>117</v>
      </c>
      <c r="AP729" s="15">
        <f t="shared" ref="AP729:AP730" si="1928">AO729-AK729</f>
        <v>0</v>
      </c>
      <c r="AQ729" s="34">
        <f>AP729*$F$8</f>
        <v>0</v>
      </c>
      <c r="AR729" s="28"/>
      <c r="AS729" s="15">
        <v>117</v>
      </c>
      <c r="AT729" s="15">
        <f>AS729-AO729</f>
        <v>0</v>
      </c>
      <c r="AU729" s="34">
        <f>AT729*$F$8</f>
        <v>0</v>
      </c>
      <c r="AV729" s="15"/>
      <c r="AW729" s="13">
        <v>117</v>
      </c>
      <c r="AX729" s="15">
        <f>AW729-AS729</f>
        <v>0</v>
      </c>
      <c r="AY729" s="34">
        <f>AX729*$F$8</f>
        <v>0</v>
      </c>
      <c r="AZ729" s="28"/>
      <c r="BA729" s="13">
        <v>117</v>
      </c>
      <c r="BB729" s="15">
        <f>BA729-AW729</f>
        <v>0</v>
      </c>
      <c r="BC729" s="34">
        <f>BB729*$F$8</f>
        <v>0</v>
      </c>
      <c r="BD729" s="15"/>
      <c r="BE729" s="40">
        <f t="shared" ref="BE729:BG729" si="1929">J729+N729+R729+V729+Z729+AD729+AH729+AL729+AP729+AT729+AX729+BB729</f>
        <v>14</v>
      </c>
      <c r="BF729" s="41">
        <f t="shared" si="1929"/>
        <v>34.86</v>
      </c>
      <c r="BG729" s="34">
        <f t="shared" si="1929"/>
        <v>37.35</v>
      </c>
      <c r="BH729" s="35">
        <f t="shared" ref="BH729:BH734" si="1930">H729+BF729-BG729</f>
        <v>4.98</v>
      </c>
    </row>
    <row r="730" ht="15.75" customHeight="1" hidden="1" spans="1:60" x14ac:dyDescent="0.25">
      <c r="A730" s="29">
        <v>101</v>
      </c>
      <c r="B730" s="14"/>
      <c r="C730" s="2" t="s">
        <v>71</v>
      </c>
      <c r="D730" s="14" t="s">
        <v>47</v>
      </c>
      <c r="E730" s="2" t="s">
        <v>48</v>
      </c>
      <c r="F730" s="13">
        <v>17.16</v>
      </c>
      <c r="G730" s="28"/>
      <c r="H730" s="81">
        <f>17.16</f>
        <v>17.16</v>
      </c>
      <c r="I730" s="13"/>
      <c r="J730" s="15"/>
      <c r="K730" s="15"/>
      <c r="L730" s="28"/>
      <c r="Q730" s="13"/>
      <c r="R730" s="15"/>
      <c r="S730" s="15"/>
      <c r="T730" s="28"/>
      <c r="Y730" s="95">
        <f>111+525</f>
        <v>636</v>
      </c>
      <c r="Z730" s="15"/>
      <c r="AA730" s="15"/>
      <c r="AB730" s="28"/>
      <c r="AC730" s="13">
        <f>111+525</f>
        <v>636</v>
      </c>
      <c r="AD730" s="15">
        <f t="shared" si="1925"/>
        <v>0</v>
      </c>
      <c r="AE730" s="34">
        <f>AD730*$F$10</f>
        <v>0</v>
      </c>
      <c r="AG730" s="13">
        <f>111+525</f>
        <v>636</v>
      </c>
      <c r="AH730" s="15">
        <f t="shared" si="1926"/>
        <v>0</v>
      </c>
      <c r="AI730" s="45">
        <f>AH730*$G$10</f>
        <v>0</v>
      </c>
      <c r="AJ730" s="28"/>
      <c r="AK730" s="75">
        <f>111+535</f>
        <v>646</v>
      </c>
      <c r="AL730" s="15">
        <f t="shared" si="1927"/>
        <v>10</v>
      </c>
      <c r="AM730" s="45">
        <f>AL730*$G$10</f>
        <v>176.8</v>
      </c>
      <c r="AN730" s="32">
        <v>193.96</v>
      </c>
      <c r="AO730" s="75">
        <f>111+535</f>
        <v>646</v>
      </c>
      <c r="AP730" s="15">
        <f t="shared" si="1928"/>
        <v>0</v>
      </c>
      <c r="AQ730" s="45">
        <f>AP730*$G$10</f>
        <v>0</v>
      </c>
      <c r="AR730" s="28"/>
      <c r="AS730" s="15"/>
      <c r="AT730" s="15"/>
      <c r="AU730" s="15"/>
      <c r="AV730" s="15"/>
      <c r="AW730" s="13"/>
      <c r="AX730" s="15"/>
      <c r="AY730" s="15"/>
      <c r="AZ730" s="28"/>
      <c r="BA730" s="15"/>
      <c r="BB730" s="15"/>
      <c r="BC730" s="15"/>
      <c r="BD730" s="15"/>
      <c r="BE730" s="40">
        <f t="shared" ref="BE730:BG730" si="1931">J730+N730+R730+V730+Z730+AD730+AH730+AL730+AP730+AT730+AX730+BB730</f>
        <v>10</v>
      </c>
      <c r="BF730" s="41">
        <f t="shared" si="1931"/>
        <v>176.8</v>
      </c>
      <c r="BG730" s="34">
        <f t="shared" si="1931"/>
        <v>193.96</v>
      </c>
      <c r="BH730" s="35">
        <f t="shared" si="1930"/>
        <v>0</v>
      </c>
    </row>
    <row r="731" ht="15.75" customHeight="1" hidden="1" spans="1:60" x14ac:dyDescent="0.25">
      <c r="A731" s="29">
        <v>101</v>
      </c>
      <c r="B731" s="14"/>
      <c r="C731" s="2" t="s">
        <v>102</v>
      </c>
      <c r="D731" s="14" t="s">
        <v>47</v>
      </c>
      <c r="E731" s="2" t="s">
        <v>49</v>
      </c>
      <c r="F731" s="41">
        <v>300</v>
      </c>
      <c r="G731" s="28"/>
      <c r="I731" s="13"/>
      <c r="J731" s="15"/>
      <c r="K731" s="15"/>
      <c r="L731" s="28"/>
      <c r="Q731" s="13"/>
      <c r="R731" s="15"/>
      <c r="S731" s="15"/>
      <c r="T731" s="28"/>
      <c r="Y731" s="13"/>
      <c r="Z731" s="15"/>
      <c r="AA731" s="15"/>
      <c r="AB731" s="28"/>
      <c r="AG731" s="13"/>
      <c r="AH731" s="15"/>
      <c r="AI731" s="15"/>
      <c r="AJ731" s="28"/>
      <c r="AK731" s="13"/>
      <c r="AL731" s="15"/>
      <c r="AM731" s="34"/>
      <c r="AN731" s="28"/>
      <c r="AO731" s="13"/>
      <c r="AP731" s="15"/>
      <c r="AQ731" s="34"/>
      <c r="AR731" s="28"/>
      <c r="AS731" s="15"/>
      <c r="AT731" s="15"/>
      <c r="AU731" s="15"/>
      <c r="AV731" s="15"/>
      <c r="AW731" s="13"/>
      <c r="AX731" s="15"/>
      <c r="AY731" s="15"/>
      <c r="AZ731" s="28"/>
      <c r="BA731" s="15"/>
      <c r="BB731" s="15"/>
      <c r="BC731" s="15"/>
      <c r="BD731" s="15"/>
      <c r="BE731" s="14"/>
      <c r="BF731" s="41">
        <f t="shared" ref="BF731:BG731" si="1932">K731+O731+S731+W731+AA731+AE731+AI731+AM731+AQ731+AU731+AY731+BC731</f>
        <v>0</v>
      </c>
      <c r="BG731" s="34">
        <f t="shared" si="1932"/>
        <v>0</v>
      </c>
      <c r="BH731" s="35">
        <f t="shared" si="1930"/>
        <v>0</v>
      </c>
    </row>
    <row r="732" ht="15.75" customHeight="1" hidden="1" spans="1:60" x14ac:dyDescent="0.25">
      <c r="A732" s="29">
        <v>101</v>
      </c>
      <c r="B732" s="14"/>
      <c r="D732" s="14" t="s">
        <v>50</v>
      </c>
      <c r="E732" s="2" t="s">
        <v>49</v>
      </c>
      <c r="F732" s="41">
        <v>1062.88</v>
      </c>
      <c r="G732" s="28"/>
      <c r="I732" s="13"/>
      <c r="J732" s="15"/>
      <c r="K732" s="15"/>
      <c r="L732" s="28"/>
      <c r="Q732" s="13"/>
      <c r="R732" s="15"/>
      <c r="S732" s="15"/>
      <c r="T732" s="28"/>
      <c r="Y732" s="13"/>
      <c r="Z732" s="15"/>
      <c r="AA732" s="15"/>
      <c r="AB732" s="28"/>
      <c r="AE732" s="34">
        <f>B729*$F$12</f>
        <v>4740.4448</v>
      </c>
      <c r="AF732" s="34">
        <v>2640</v>
      </c>
      <c r="AG732" s="13"/>
      <c r="AH732" s="15"/>
      <c r="AI732" s="15"/>
      <c r="AJ732" s="35"/>
      <c r="AK732" s="13"/>
      <c r="AL732" s="15"/>
      <c r="AM732" s="15"/>
      <c r="AN732" s="32">
        <v>2100.44</v>
      </c>
      <c r="AO732" s="13"/>
      <c r="AP732" s="15"/>
      <c r="AQ732" s="15"/>
      <c r="AR732" s="28"/>
      <c r="AS732" s="15"/>
      <c r="AT732" s="15"/>
      <c r="AU732" s="15"/>
      <c r="AV732" s="15"/>
      <c r="AW732" s="13"/>
      <c r="AX732" s="15"/>
      <c r="AY732" s="15"/>
      <c r="AZ732" s="28"/>
      <c r="BA732" s="15"/>
      <c r="BB732" s="15"/>
      <c r="BC732" s="15"/>
      <c r="BD732" s="15"/>
      <c r="BE732" s="14"/>
      <c r="BF732" s="41">
        <f>B729*$F$12</f>
        <v>4740.4448</v>
      </c>
      <c r="BG732" s="34">
        <f t="shared" ref="BG732:BG734" si="1933">L732+P732+T732+X732+AB732+AF732+AJ732+AN732+AR732+AV732+AZ732+BD732</f>
        <v>4740.44</v>
      </c>
      <c r="BH732" s="35">
        <f t="shared" si="1930"/>
        <v>0.0048</v>
      </c>
    </row>
    <row r="733" ht="15.75" customHeight="1" hidden="1" spans="1:60" x14ac:dyDescent="0.25">
      <c r="A733" s="29">
        <v>101</v>
      </c>
      <c r="B733" s="14"/>
      <c r="D733" s="14" t="s">
        <v>51</v>
      </c>
      <c r="E733" s="2" t="s">
        <v>49</v>
      </c>
      <c r="F733" s="41">
        <v>0</v>
      </c>
      <c r="G733" s="28"/>
      <c r="I733" s="13"/>
      <c r="J733" s="15"/>
      <c r="K733" s="15"/>
      <c r="L733" s="28"/>
      <c r="Q733" s="13"/>
      <c r="R733" s="15"/>
      <c r="S733" s="15"/>
      <c r="T733" s="28"/>
      <c r="Y733" s="13"/>
      <c r="Z733" s="15"/>
      <c r="AA733" s="15"/>
      <c r="AB733" s="28"/>
      <c r="AG733" s="13"/>
      <c r="AH733" s="15"/>
      <c r="AI733" s="15"/>
      <c r="AJ733" s="28"/>
      <c r="AK733" s="13"/>
      <c r="AL733" s="15"/>
      <c r="AM733" s="15"/>
      <c r="AN733" s="28"/>
      <c r="AO733" s="13"/>
      <c r="AP733" s="15"/>
      <c r="AQ733" s="15"/>
      <c r="AR733" s="28"/>
      <c r="AS733" s="15"/>
      <c r="AT733" s="15"/>
      <c r="AU733" s="15"/>
      <c r="AV733" s="15"/>
      <c r="AW733" s="13"/>
      <c r="AX733" s="15"/>
      <c r="AY733" s="15"/>
      <c r="AZ733" s="28"/>
      <c r="BA733" s="15"/>
      <c r="BB733" s="15"/>
      <c r="BC733" s="15"/>
      <c r="BD733" s="15"/>
      <c r="BE733" s="14"/>
      <c r="BF733" s="41">
        <f>B729*$F$13</f>
        <v>0</v>
      </c>
      <c r="BG733" s="34">
        <f t="shared" si="1933"/>
        <v>0</v>
      </c>
      <c r="BH733" s="35">
        <f t="shared" si="1930"/>
        <v>0</v>
      </c>
    </row>
    <row r="734" ht="15.75" customHeight="1" hidden="1" spans="1:60" x14ac:dyDescent="0.25">
      <c r="A734" s="29">
        <v>101</v>
      </c>
      <c r="B734" s="14"/>
      <c r="D734" s="14" t="s">
        <v>52</v>
      </c>
      <c r="E734" s="2" t="s">
        <v>39</v>
      </c>
      <c r="F734" s="41">
        <v>350</v>
      </c>
      <c r="G734" s="28"/>
      <c r="I734" s="13"/>
      <c r="J734" s="15"/>
      <c r="K734" s="15"/>
      <c r="L734" s="28"/>
      <c r="Q734" s="13"/>
      <c r="R734" s="15"/>
      <c r="S734" s="15"/>
      <c r="T734" s="28"/>
      <c r="Y734" s="13"/>
      <c r="Z734" s="15"/>
      <c r="AA734" s="34">
        <f>$F$14</f>
        <v>350</v>
      </c>
      <c r="AB734" s="35">
        <v>350</v>
      </c>
      <c r="AG734" s="13"/>
      <c r="AH734" s="15"/>
      <c r="AI734" s="15"/>
      <c r="AJ734" s="28"/>
      <c r="AK734" s="13"/>
      <c r="AL734" s="15"/>
      <c r="AM734" s="15"/>
      <c r="AN734" s="28"/>
      <c r="AO734" s="13"/>
      <c r="AP734" s="15"/>
      <c r="AQ734" s="15"/>
      <c r="AR734" s="28"/>
      <c r="AS734" s="15"/>
      <c r="AT734" s="15"/>
      <c r="AU734" s="15"/>
      <c r="AV734" s="15"/>
      <c r="AW734" s="13"/>
      <c r="AX734" s="15"/>
      <c r="AY734" s="15"/>
      <c r="AZ734" s="28"/>
      <c r="BA734" s="15"/>
      <c r="BB734" s="15"/>
      <c r="BC734" s="15"/>
      <c r="BD734" s="15"/>
      <c r="BE734" s="14"/>
      <c r="BF734" s="41">
        <f>$F$14</f>
        <v>350</v>
      </c>
      <c r="BG734" s="34">
        <f t="shared" si="1933"/>
        <v>350</v>
      </c>
      <c r="BH734" s="35">
        <f t="shared" si="1930"/>
        <v>0</v>
      </c>
    </row>
    <row r="735" ht="15.75" customHeight="1" hidden="1" spans="1:62" x14ac:dyDescent="0.25">
      <c r="A735" s="50">
        <v>101</v>
      </c>
      <c r="B735" s="21"/>
      <c r="C735" s="22" t="s">
        <v>53</v>
      </c>
      <c r="D735" s="21"/>
      <c r="E735" s="22"/>
      <c r="F735" s="20"/>
      <c r="G735" s="23"/>
      <c r="H735" s="51">
        <f>SUM(H728:H734)</f>
        <v>24.63</v>
      </c>
      <c r="I735" s="52"/>
      <c r="J735" s="53"/>
      <c r="K735" s="51">
        <f t="shared" ref="K735:L735" si="1934">SUM(K728:K734)</f>
        <v>0</v>
      </c>
      <c r="L735" s="68">
        <f t="shared" si="1934"/>
        <v>0</v>
      </c>
      <c r="M735" s="53"/>
      <c r="N735" s="53"/>
      <c r="O735" s="51">
        <f t="shared" ref="O735:P735" si="1935">SUM(O729:O734)</f>
        <v>0</v>
      </c>
      <c r="P735" s="51">
        <f t="shared" si="1935"/>
        <v>0</v>
      </c>
      <c r="Q735" s="52"/>
      <c r="R735" s="53"/>
      <c r="S735" s="51">
        <f t="shared" ref="S735:T735" si="1936">SUM(S729:S734)</f>
        <v>0</v>
      </c>
      <c r="T735" s="68">
        <f t="shared" si="1936"/>
        <v>0</v>
      </c>
      <c r="U735" s="53"/>
      <c r="V735" s="53"/>
      <c r="W735" s="51">
        <f t="shared" ref="W735:X735" si="1937">SUM(W729:W734)</f>
        <v>2.49</v>
      </c>
      <c r="X735" s="51">
        <f t="shared" si="1937"/>
        <v>9.96</v>
      </c>
      <c r="Y735" s="52"/>
      <c r="Z735" s="53"/>
      <c r="AA735" s="51">
        <f t="shared" ref="AA735:AB735" si="1938">SUM(AA729:AA734)</f>
        <v>357.47</v>
      </c>
      <c r="AB735" s="68">
        <f t="shared" si="1938"/>
        <v>357.47</v>
      </c>
      <c r="AC735" s="53"/>
      <c r="AD735" s="53"/>
      <c r="AE735" s="51">
        <f t="shared" ref="AE735:AF735" si="1939">SUM(AE729:AE734)</f>
        <v>4752.8948</v>
      </c>
      <c r="AF735" s="51">
        <f t="shared" si="1939"/>
        <v>2640</v>
      </c>
      <c r="AG735" s="52"/>
      <c r="AH735" s="53"/>
      <c r="AI735" s="51">
        <f t="shared" ref="AI735:AJ735" si="1940">SUM(AI729:AI734)</f>
        <v>7.47</v>
      </c>
      <c r="AJ735" s="68">
        <f t="shared" si="1940"/>
        <v>0</v>
      </c>
      <c r="AK735" s="52"/>
      <c r="AL735" s="53"/>
      <c r="AM735" s="51">
        <f t="shared" ref="AM735:AN735" si="1941">SUM(AM729:AM734)</f>
        <v>181.78</v>
      </c>
      <c r="AN735" s="68">
        <f t="shared" si="1941"/>
        <v>2314.32</v>
      </c>
      <c r="AO735" s="52"/>
      <c r="AP735" s="53"/>
      <c r="AQ735" s="51">
        <f t="shared" ref="AQ735:AR735" si="1942">SUM(AQ729:AQ734)</f>
        <v>0</v>
      </c>
      <c r="AR735" s="68">
        <f t="shared" si="1942"/>
        <v>0</v>
      </c>
      <c r="AS735" s="53"/>
      <c r="AT735" s="53"/>
      <c r="AU735" s="51">
        <f t="shared" ref="AU735:AV735" si="1943">SUM(AU729:AU734)</f>
        <v>0</v>
      </c>
      <c r="AV735" s="51">
        <f t="shared" si="1943"/>
        <v>0</v>
      </c>
      <c r="AW735" s="52"/>
      <c r="AX735" s="53"/>
      <c r="AY735" s="51">
        <f t="shared" ref="AY735:AZ735" si="1944">SUM(AY729:AY734)</f>
        <v>0</v>
      </c>
      <c r="AZ735" s="68">
        <f t="shared" si="1944"/>
        <v>0</v>
      </c>
      <c r="BA735" s="53"/>
      <c r="BB735" s="53"/>
      <c r="BC735" s="51">
        <f t="shared" ref="BC735:BD735" si="1945">SUM(BC729:BC734)</f>
        <v>0</v>
      </c>
      <c r="BD735" s="51">
        <f t="shared" si="1945"/>
        <v>0</v>
      </c>
      <c r="BE735" s="69"/>
      <c r="BF735" s="70">
        <f t="shared" ref="BF735:BH735" si="1946">SUM(BF728:BF734)</f>
        <v>5302.1048</v>
      </c>
      <c r="BG735" s="71">
        <f t="shared" si="1946"/>
        <v>5321.75</v>
      </c>
      <c r="BH735" s="72">
        <f t="shared" si="1946"/>
        <v>4.9848</v>
      </c>
      <c r="BI735" s="34">
        <f>H735+BF735-BG735</f>
        <v>4.9848</v>
      </c>
      <c r="BJ735" s="34">
        <f>BH735-BI735</f>
        <v>0</v>
      </c>
    </row>
    <row r="736" ht="15.75" customHeight="1" hidden="1" spans="1:60" x14ac:dyDescent="0.25">
      <c r="A736" s="29">
        <v>103</v>
      </c>
      <c r="B736" s="14"/>
      <c r="D736" s="14" t="s">
        <v>42</v>
      </c>
      <c r="F736" s="13"/>
      <c r="G736" s="28"/>
      <c r="I736" s="13"/>
      <c r="J736" s="15"/>
      <c r="K736" s="15"/>
      <c r="L736" s="28"/>
      <c r="Q736" s="13"/>
      <c r="R736" s="15"/>
      <c r="S736" s="15"/>
      <c r="T736" s="28"/>
      <c r="Y736" s="13"/>
      <c r="Z736" s="15"/>
      <c r="AA736" s="15"/>
      <c r="AB736" s="28"/>
      <c r="AG736" s="13"/>
      <c r="AH736" s="15"/>
      <c r="AI736" s="15"/>
      <c r="AJ736" s="28"/>
      <c r="AK736" s="13"/>
      <c r="AL736" s="15"/>
      <c r="AM736" s="15"/>
      <c r="AN736" s="28"/>
      <c r="AO736" s="13"/>
      <c r="AP736" s="15"/>
      <c r="AQ736" s="15"/>
      <c r="AR736" s="28"/>
      <c r="AW736" s="13"/>
      <c r="AX736" s="15"/>
      <c r="AY736" s="15"/>
      <c r="AZ736" s="28"/>
      <c r="BE736" s="14"/>
      <c r="BF736" s="13"/>
      <c r="BG736" s="15"/>
      <c r="BH736" s="28"/>
    </row>
    <row r="737" ht="15.75" customHeight="1" hidden="1" spans="1:60" x14ac:dyDescent="0.25">
      <c r="A737" s="2">
        <v>103</v>
      </c>
      <c r="B737" s="14">
        <v>4.42</v>
      </c>
      <c r="C737" s="73" t="s">
        <v>322</v>
      </c>
      <c r="D737" s="14" t="s">
        <v>44</v>
      </c>
      <c r="E737" s="2" t="s">
        <v>45</v>
      </c>
      <c r="F737" s="13">
        <v>2.49</v>
      </c>
      <c r="G737" s="28"/>
      <c r="H737" s="74"/>
      <c r="I737" s="13"/>
      <c r="J737" s="15"/>
      <c r="K737" s="15"/>
      <c r="L737" s="28"/>
      <c r="Q737" s="13"/>
      <c r="R737" s="15"/>
      <c r="S737" s="15"/>
      <c r="T737" s="28"/>
      <c r="Y737" s="13"/>
      <c r="Z737" s="15">
        <f>Y737-U737</f>
        <v>0</v>
      </c>
      <c r="AA737" s="34">
        <f>Z737*$F$8</f>
        <v>0</v>
      </c>
      <c r="AB737" s="28"/>
      <c r="AC737" s="15"/>
      <c r="AD737" s="15">
        <f t="shared" ref="AD737:AD738" si="1947">AC737-Y737</f>
        <v>0</v>
      </c>
      <c r="AE737" s="34">
        <f>AD737*$F$8</f>
        <v>0</v>
      </c>
      <c r="AG737" s="13"/>
      <c r="AH737" s="15">
        <f t="shared" ref="AH737:AH738" si="1948">AG737-AC737</f>
        <v>0</v>
      </c>
      <c r="AI737" s="34">
        <f>AH737*$F$8</f>
        <v>0</v>
      </c>
      <c r="AJ737" s="28"/>
      <c r="AK737" s="13"/>
      <c r="AL737" s="15">
        <f t="shared" ref="AL737:AL738" si="1949">AK737-AG737</f>
        <v>0</v>
      </c>
      <c r="AM737" s="34">
        <f>AL737*$F$8</f>
        <v>0</v>
      </c>
      <c r="AN737" s="28"/>
      <c r="AO737" s="13"/>
      <c r="AP737" s="15"/>
      <c r="AQ737" s="34">
        <f>AP737*$F$8</f>
        <v>0</v>
      </c>
      <c r="AR737" s="28"/>
      <c r="AS737" s="15"/>
      <c r="AT737" s="15"/>
      <c r="AU737" s="34">
        <f>AT737*$F$8</f>
        <v>0</v>
      </c>
      <c r="AV737" s="15"/>
      <c r="AW737" s="13"/>
      <c r="AX737" s="15"/>
      <c r="AY737" s="34">
        <f>AX737*$F$8</f>
        <v>0</v>
      </c>
      <c r="AZ737" s="28"/>
      <c r="BA737" s="15"/>
      <c r="BB737" s="15"/>
      <c r="BC737" s="34">
        <f>BB737*$F$8</f>
        <v>0</v>
      </c>
      <c r="BD737" s="15"/>
      <c r="BE737" s="40">
        <f t="shared" ref="BE737:BG737" si="1950">J737+N737+R737+V737+Z737+AD737+AH737+AL737+AP737+AT737+AX737+BB737</f>
        <v>0</v>
      </c>
      <c r="BF737" s="41">
        <f t="shared" si="1950"/>
        <v>0</v>
      </c>
      <c r="BG737" s="34">
        <f t="shared" si="1950"/>
        <v>0</v>
      </c>
      <c r="BH737" s="35">
        <f t="shared" ref="BH737:BH742" si="1951">H737+BF737-BG737</f>
        <v>0</v>
      </c>
    </row>
    <row r="738" ht="15.75" customHeight="1" hidden="1" spans="1:60" x14ac:dyDescent="0.25">
      <c r="A738" s="29">
        <v>103</v>
      </c>
      <c r="B738" s="14"/>
      <c r="C738" s="73"/>
      <c r="D738" s="14" t="s">
        <v>47</v>
      </c>
      <c r="E738" s="2" t="s">
        <v>48</v>
      </c>
      <c r="F738" s="13">
        <v>17.16</v>
      </c>
      <c r="G738" s="28"/>
      <c r="H738" s="73">
        <f>3*17.16</f>
        <v>51.48</v>
      </c>
      <c r="I738" s="13"/>
      <c r="J738" s="15"/>
      <c r="K738" s="15"/>
      <c r="L738" s="28"/>
      <c r="Q738" s="13"/>
      <c r="R738" s="15"/>
      <c r="S738" s="15"/>
      <c r="T738" s="28"/>
      <c r="Y738" s="13">
        <v>15</v>
      </c>
      <c r="Z738" s="15"/>
      <c r="AA738" s="15"/>
      <c r="AB738" s="28"/>
      <c r="AC738" s="2">
        <v>15</v>
      </c>
      <c r="AD738" s="15">
        <f t="shared" si="1947"/>
        <v>0</v>
      </c>
      <c r="AE738" s="34">
        <f>AD738*$F$10</f>
        <v>0</v>
      </c>
      <c r="AG738" s="13">
        <v>15</v>
      </c>
      <c r="AH738" s="15">
        <f t="shared" si="1948"/>
        <v>0</v>
      </c>
      <c r="AI738" s="45">
        <f>AH738*$G$10</f>
        <v>0</v>
      </c>
      <c r="AJ738" s="28"/>
      <c r="AK738" s="13">
        <v>15</v>
      </c>
      <c r="AL738" s="15">
        <f t="shared" si="1949"/>
        <v>0</v>
      </c>
      <c r="AM738" s="45">
        <f>AL738*$G$10</f>
        <v>0</v>
      </c>
      <c r="AN738" s="28"/>
      <c r="AO738" s="13">
        <v>15</v>
      </c>
      <c r="AP738" s="15">
        <f>AO738-AK738</f>
        <v>0</v>
      </c>
      <c r="AQ738" s="45">
        <f>AP738*$G$10</f>
        <v>0</v>
      </c>
      <c r="AR738" s="28"/>
      <c r="AS738" s="15"/>
      <c r="AT738" s="15"/>
      <c r="AU738" s="15"/>
      <c r="AV738" s="15"/>
      <c r="AW738" s="13"/>
      <c r="AX738" s="15"/>
      <c r="AY738" s="15"/>
      <c r="AZ738" s="28"/>
      <c r="BA738" s="15"/>
      <c r="BB738" s="15"/>
      <c r="BC738" s="15"/>
      <c r="BD738" s="15"/>
      <c r="BE738" s="40">
        <f t="shared" ref="BE738:BG738" si="1952">J738+N738+R738+V738+Z738+AD738+AH738+AL738+AP738+AT738+AX738+BB738</f>
        <v>0</v>
      </c>
      <c r="BF738" s="41">
        <f t="shared" si="1952"/>
        <v>0</v>
      </c>
      <c r="BG738" s="34">
        <f t="shared" si="1952"/>
        <v>0</v>
      </c>
      <c r="BH738" s="35">
        <f t="shared" si="1951"/>
        <v>51.48</v>
      </c>
    </row>
    <row r="739" ht="15.75" customHeight="1" hidden="1" spans="1:60" x14ac:dyDescent="0.25">
      <c r="A739" s="29">
        <v>103</v>
      </c>
      <c r="B739" s="14"/>
      <c r="C739" s="73"/>
      <c r="D739" s="14" t="s">
        <v>47</v>
      </c>
      <c r="E739" s="2" t="s">
        <v>49</v>
      </c>
      <c r="F739" s="41">
        <v>300</v>
      </c>
      <c r="G739" s="28"/>
      <c r="I739" s="13"/>
      <c r="J739" s="15"/>
      <c r="K739" s="15"/>
      <c r="L739" s="28"/>
      <c r="Q739" s="13"/>
      <c r="R739" s="15"/>
      <c r="S739" s="15"/>
      <c r="T739" s="28"/>
      <c r="Y739" s="13"/>
      <c r="Z739" s="15"/>
      <c r="AA739" s="15"/>
      <c r="AB739" s="28"/>
      <c r="AG739" s="13"/>
      <c r="AH739" s="15"/>
      <c r="AI739" s="15"/>
      <c r="AJ739" s="28"/>
      <c r="AK739" s="13"/>
      <c r="AL739" s="15"/>
      <c r="AM739" s="34"/>
      <c r="AN739" s="28"/>
      <c r="AO739" s="13"/>
      <c r="AP739" s="15"/>
      <c r="AQ739" s="34"/>
      <c r="AR739" s="28"/>
      <c r="AS739" s="15"/>
      <c r="AT739" s="15"/>
      <c r="AU739" s="15"/>
      <c r="AV739" s="15"/>
      <c r="AW739" s="13"/>
      <c r="AX739" s="15"/>
      <c r="AY739" s="15"/>
      <c r="AZ739" s="28"/>
      <c r="BA739" s="15"/>
      <c r="BB739" s="15"/>
      <c r="BC739" s="15"/>
      <c r="BD739" s="15"/>
      <c r="BE739" s="14"/>
      <c r="BF739" s="41">
        <f t="shared" ref="BF739:BG739" si="1953">K739+O739+S739+W739+AA739+AE739+AI739+AM739+AQ739+AU739+AY739+BC739</f>
        <v>0</v>
      </c>
      <c r="BG739" s="34">
        <f t="shared" si="1953"/>
        <v>0</v>
      </c>
      <c r="BH739" s="35">
        <f t="shared" si="1951"/>
        <v>0</v>
      </c>
    </row>
    <row r="740" ht="15.75" customHeight="1" hidden="1" spans="1:60" x14ac:dyDescent="0.25">
      <c r="A740" s="29">
        <v>103</v>
      </c>
      <c r="B740" s="14"/>
      <c r="D740" s="14" t="s">
        <v>50</v>
      </c>
      <c r="E740" s="2" t="s">
        <v>49</v>
      </c>
      <c r="F740" s="41">
        <v>1062.88</v>
      </c>
      <c r="G740" s="28"/>
      <c r="I740" s="13"/>
      <c r="J740" s="15"/>
      <c r="K740" s="15"/>
      <c r="L740" s="28"/>
      <c r="Q740" s="13"/>
      <c r="R740" s="15"/>
      <c r="S740" s="15"/>
      <c r="T740" s="28"/>
      <c r="Y740" s="13"/>
      <c r="Z740" s="15"/>
      <c r="AA740" s="15"/>
      <c r="AB740" s="28"/>
      <c r="AE740" s="34">
        <f>B737*$F$12</f>
        <v>4697.9296</v>
      </c>
      <c r="AG740" s="13"/>
      <c r="AH740" s="15"/>
      <c r="AI740" s="15"/>
      <c r="AJ740" s="35"/>
      <c r="AK740" s="13"/>
      <c r="AL740" s="15"/>
      <c r="AM740" s="15"/>
      <c r="AN740" s="28"/>
      <c r="AO740" s="13"/>
      <c r="AP740" s="15"/>
      <c r="AQ740" s="15"/>
      <c r="AR740" s="28"/>
      <c r="AS740" s="15"/>
      <c r="AT740" s="15"/>
      <c r="AU740" s="15"/>
      <c r="AV740" s="15"/>
      <c r="AW740" s="13"/>
      <c r="AX740" s="15"/>
      <c r="AY740" s="15"/>
      <c r="AZ740" s="28"/>
      <c r="BA740" s="15"/>
      <c r="BB740" s="15"/>
      <c r="BC740" s="15"/>
      <c r="BD740" s="15"/>
      <c r="BE740" s="14"/>
      <c r="BF740" s="41">
        <f>B737*$F$12</f>
        <v>4697.9296</v>
      </c>
      <c r="BG740" s="34">
        <f t="shared" ref="BG740:BG742" si="1954">L740+P740+T740+X740+AB740+AF740+AJ740+AN740+AR740+AV740+AZ740+BD740</f>
        <v>0</v>
      </c>
      <c r="BH740" s="35">
        <f t="shared" si="1951"/>
        <v>4697.9296</v>
      </c>
    </row>
    <row r="741" ht="15.75" customHeight="1" hidden="1" spans="1:60" x14ac:dyDescent="0.25">
      <c r="A741" s="29">
        <v>103</v>
      </c>
      <c r="B741" s="14"/>
      <c r="D741" s="14" t="s">
        <v>51</v>
      </c>
      <c r="E741" s="2" t="s">
        <v>49</v>
      </c>
      <c r="F741" s="41">
        <v>0</v>
      </c>
      <c r="G741" s="28"/>
      <c r="I741" s="13"/>
      <c r="J741" s="15"/>
      <c r="K741" s="15"/>
      <c r="L741" s="28"/>
      <c r="Q741" s="13"/>
      <c r="R741" s="15"/>
      <c r="S741" s="15"/>
      <c r="T741" s="28"/>
      <c r="Y741" s="13"/>
      <c r="Z741" s="15"/>
      <c r="AA741" s="15"/>
      <c r="AB741" s="28"/>
      <c r="AG741" s="13"/>
      <c r="AH741" s="15"/>
      <c r="AI741" s="15"/>
      <c r="AJ741" s="28"/>
      <c r="AK741" s="13"/>
      <c r="AL741" s="15"/>
      <c r="AM741" s="15"/>
      <c r="AN741" s="28"/>
      <c r="AO741" s="13"/>
      <c r="AP741" s="15"/>
      <c r="AQ741" s="15"/>
      <c r="AR741" s="28"/>
      <c r="AS741" s="15"/>
      <c r="AT741" s="15"/>
      <c r="AU741" s="15"/>
      <c r="AV741" s="15"/>
      <c r="AW741" s="13"/>
      <c r="AX741" s="15"/>
      <c r="AY741" s="15"/>
      <c r="AZ741" s="28"/>
      <c r="BA741" s="15"/>
      <c r="BB741" s="15"/>
      <c r="BC741" s="15"/>
      <c r="BD741" s="15"/>
      <c r="BE741" s="14"/>
      <c r="BF741" s="41">
        <f>B737*$F$13</f>
        <v>0</v>
      </c>
      <c r="BG741" s="34">
        <f t="shared" si="1954"/>
        <v>0</v>
      </c>
      <c r="BH741" s="35">
        <f t="shared" si="1951"/>
        <v>0</v>
      </c>
    </row>
    <row r="742" ht="15.75" customHeight="1" hidden="1" spans="1:60" x14ac:dyDescent="0.25">
      <c r="A742" s="29">
        <v>103</v>
      </c>
      <c r="B742" s="14"/>
      <c r="D742" s="14" t="s">
        <v>52</v>
      </c>
      <c r="E742" s="2" t="s">
        <v>39</v>
      </c>
      <c r="F742" s="41">
        <v>350</v>
      </c>
      <c r="G742" s="28"/>
      <c r="I742" s="13"/>
      <c r="J742" s="15"/>
      <c r="K742" s="15"/>
      <c r="L742" s="28"/>
      <c r="Q742" s="13"/>
      <c r="R742" s="15"/>
      <c r="S742" s="15"/>
      <c r="T742" s="28"/>
      <c r="Y742" s="13"/>
      <c r="Z742" s="15"/>
      <c r="AA742" s="34">
        <f>$F$14</f>
        <v>350</v>
      </c>
      <c r="AB742" s="28"/>
      <c r="AG742" s="13"/>
      <c r="AH742" s="15"/>
      <c r="AI742" s="15"/>
      <c r="AJ742" s="28"/>
      <c r="AK742" s="13"/>
      <c r="AL742" s="15"/>
      <c r="AM742" s="15"/>
      <c r="AN742" s="28"/>
      <c r="AO742" s="13"/>
      <c r="AP742" s="15"/>
      <c r="AQ742" s="15"/>
      <c r="AR742" s="28"/>
      <c r="AS742" s="15"/>
      <c r="AT742" s="15"/>
      <c r="AU742" s="15"/>
      <c r="AV742" s="15"/>
      <c r="AW742" s="13"/>
      <c r="AX742" s="15"/>
      <c r="AY742" s="15"/>
      <c r="AZ742" s="28"/>
      <c r="BA742" s="15"/>
      <c r="BB742" s="15"/>
      <c r="BC742" s="15"/>
      <c r="BD742" s="15"/>
      <c r="BE742" s="14"/>
      <c r="BF742" s="41">
        <f>$F$14</f>
        <v>350</v>
      </c>
      <c r="BG742" s="34">
        <f t="shared" si="1954"/>
        <v>0</v>
      </c>
      <c r="BH742" s="35">
        <f t="shared" si="1951"/>
        <v>350</v>
      </c>
    </row>
    <row r="743" ht="15.75" customHeight="1" hidden="1" spans="1:62" x14ac:dyDescent="0.25">
      <c r="A743" s="50">
        <v>103</v>
      </c>
      <c r="B743" s="21"/>
      <c r="C743" s="22" t="s">
        <v>53</v>
      </c>
      <c r="D743" s="21"/>
      <c r="E743" s="22"/>
      <c r="F743" s="20"/>
      <c r="G743" s="23"/>
      <c r="H743" s="51">
        <f>SUM(H736:H742)</f>
        <v>51.48</v>
      </c>
      <c r="I743" s="52"/>
      <c r="J743" s="53"/>
      <c r="K743" s="51">
        <f t="shared" ref="K743:L743" si="1955">SUM(K736:K742)</f>
        <v>0</v>
      </c>
      <c r="L743" s="68">
        <f t="shared" si="1955"/>
        <v>0</v>
      </c>
      <c r="M743" s="53"/>
      <c r="N743" s="53"/>
      <c r="O743" s="51">
        <f t="shared" ref="O743:P743" si="1956">SUM(O737:O742)</f>
        <v>0</v>
      </c>
      <c r="P743" s="51">
        <f t="shared" si="1956"/>
        <v>0</v>
      </c>
      <c r="Q743" s="52"/>
      <c r="R743" s="53"/>
      <c r="S743" s="51">
        <f t="shared" ref="S743:T743" si="1957">SUM(S737:S742)</f>
        <v>0</v>
      </c>
      <c r="T743" s="68">
        <f t="shared" si="1957"/>
        <v>0</v>
      </c>
      <c r="U743" s="53"/>
      <c r="V743" s="53"/>
      <c r="W743" s="51">
        <f t="shared" ref="W743:X743" si="1958">SUM(W737:W742)</f>
        <v>0</v>
      </c>
      <c r="X743" s="51">
        <f t="shared" si="1958"/>
        <v>0</v>
      </c>
      <c r="Y743" s="52"/>
      <c r="Z743" s="53"/>
      <c r="AA743" s="51">
        <f t="shared" ref="AA743:AB743" si="1959">SUM(AA737:AA742)</f>
        <v>350</v>
      </c>
      <c r="AB743" s="68">
        <f t="shared" si="1959"/>
        <v>0</v>
      </c>
      <c r="AC743" s="53"/>
      <c r="AD743" s="53"/>
      <c r="AE743" s="51">
        <f t="shared" ref="AE743:AF743" si="1960">SUM(AE737:AE742)</f>
        <v>4697.9296</v>
      </c>
      <c r="AF743" s="51">
        <f t="shared" si="1960"/>
        <v>0</v>
      </c>
      <c r="AG743" s="52"/>
      <c r="AH743" s="53"/>
      <c r="AI743" s="51">
        <f t="shared" ref="AI743:AJ743" si="1961">SUM(AI737:AI742)</f>
        <v>0</v>
      </c>
      <c r="AJ743" s="68">
        <f t="shared" si="1961"/>
        <v>0</v>
      </c>
      <c r="AK743" s="52"/>
      <c r="AL743" s="53"/>
      <c r="AM743" s="51">
        <f t="shared" ref="AM743:AN743" si="1962">SUM(AM737:AM742)</f>
        <v>0</v>
      </c>
      <c r="AN743" s="68">
        <f t="shared" si="1962"/>
        <v>0</v>
      </c>
      <c r="AO743" s="52"/>
      <c r="AP743" s="53"/>
      <c r="AQ743" s="51">
        <f t="shared" ref="AQ743:AR743" si="1963">SUM(AQ737:AQ742)</f>
        <v>0</v>
      </c>
      <c r="AR743" s="68">
        <f t="shared" si="1963"/>
        <v>0</v>
      </c>
      <c r="AS743" s="53"/>
      <c r="AT743" s="53"/>
      <c r="AU743" s="51">
        <f t="shared" ref="AU743:AV743" si="1964">SUM(AU737:AU742)</f>
        <v>0</v>
      </c>
      <c r="AV743" s="51">
        <f t="shared" si="1964"/>
        <v>0</v>
      </c>
      <c r="AW743" s="52"/>
      <c r="AX743" s="53"/>
      <c r="AY743" s="51">
        <f t="shared" ref="AY743:AZ743" si="1965">SUM(AY737:AY742)</f>
        <v>0</v>
      </c>
      <c r="AZ743" s="68">
        <f t="shared" si="1965"/>
        <v>0</v>
      </c>
      <c r="BA743" s="53"/>
      <c r="BB743" s="53"/>
      <c r="BC743" s="51">
        <f t="shared" ref="BC743:BD743" si="1966">SUM(BC737:BC742)</f>
        <v>0</v>
      </c>
      <c r="BD743" s="51">
        <f t="shared" si="1966"/>
        <v>0</v>
      </c>
      <c r="BE743" s="69"/>
      <c r="BF743" s="70">
        <f t="shared" ref="BF743:BH743" si="1967">SUM(BF736:BF742)</f>
        <v>5047.9296</v>
      </c>
      <c r="BG743" s="71">
        <f t="shared" si="1967"/>
        <v>0</v>
      </c>
      <c r="BH743" s="72">
        <f t="shared" si="1967"/>
        <v>5099.4096</v>
      </c>
      <c r="BI743" s="34">
        <f>H743+BF743-BG743</f>
        <v>5099.4096</v>
      </c>
      <c r="BJ743" s="34">
        <f>BH743-BI743</f>
        <v>0</v>
      </c>
    </row>
    <row r="744" ht="15.75" customHeight="1" hidden="1" spans="1:60" x14ac:dyDescent="0.25">
      <c r="A744" s="29">
        <v>105</v>
      </c>
      <c r="B744" s="14"/>
      <c r="D744" s="14" t="s">
        <v>42</v>
      </c>
      <c r="F744" s="13"/>
      <c r="G744" s="28"/>
      <c r="I744" s="13"/>
      <c r="J744" s="15"/>
      <c r="K744" s="15"/>
      <c r="L744" s="28"/>
      <c r="Q744" s="13"/>
      <c r="R744" s="15"/>
      <c r="S744" s="15"/>
      <c r="T744" s="28"/>
      <c r="Y744" s="13"/>
      <c r="Z744" s="15"/>
      <c r="AA744" s="15"/>
      <c r="AB744" s="28"/>
      <c r="AG744" s="13"/>
      <c r="AH744" s="15"/>
      <c r="AI744" s="15"/>
      <c r="AJ744" s="28"/>
      <c r="AK744" s="13"/>
      <c r="AL744" s="15"/>
      <c r="AM744" s="15"/>
      <c r="AN744" s="28"/>
      <c r="AO744" s="13"/>
      <c r="AP744" s="15"/>
      <c r="AQ744" s="15"/>
      <c r="AR744" s="28"/>
      <c r="AW744" s="13"/>
      <c r="AX744" s="15"/>
      <c r="AY744" s="15"/>
      <c r="AZ744" s="28"/>
      <c r="BE744" s="14"/>
      <c r="BF744" s="13"/>
      <c r="BG744" s="15"/>
      <c r="BH744" s="28"/>
    </row>
    <row r="745" ht="15.75" customHeight="1" hidden="1" spans="1:60" x14ac:dyDescent="0.25">
      <c r="A745" s="2">
        <v>105</v>
      </c>
      <c r="B745" s="14">
        <v>4.41</v>
      </c>
      <c r="C745" s="2" t="s">
        <v>323</v>
      </c>
      <c r="D745" s="14" t="s">
        <v>44</v>
      </c>
      <c r="E745" s="2" t="s">
        <v>45</v>
      </c>
      <c r="F745" s="13">
        <v>2.49</v>
      </c>
      <c r="G745" s="28"/>
      <c r="H745" s="2">
        <v>134.46</v>
      </c>
      <c r="I745" s="13">
        <v>480</v>
      </c>
      <c r="J745" s="15">
        <v>0</v>
      </c>
      <c r="K745" s="34">
        <f>J745*$F$8</f>
        <v>0</v>
      </c>
      <c r="L745" s="28"/>
      <c r="M745" s="2">
        <v>480</v>
      </c>
      <c r="N745" s="15">
        <f>M745-I745</f>
        <v>0</v>
      </c>
      <c r="O745" s="34">
        <f>N745*$F$8</f>
        <v>0</v>
      </c>
      <c r="Q745" s="13">
        <v>480</v>
      </c>
      <c r="R745" s="15">
        <f>Q745-M745</f>
        <v>0</v>
      </c>
      <c r="S745" s="34">
        <f>R745*$F$8</f>
        <v>0</v>
      </c>
      <c r="T745" s="28"/>
      <c r="U745" s="2">
        <v>480</v>
      </c>
      <c r="V745" s="15">
        <f>U745-Q745</f>
        <v>0</v>
      </c>
      <c r="W745" s="34">
        <f>V745*$F$8</f>
        <v>0</v>
      </c>
      <c r="Y745" s="13">
        <v>482</v>
      </c>
      <c r="Z745" s="15">
        <f>Y745-U745</f>
        <v>2</v>
      </c>
      <c r="AA745" s="34">
        <f>Z745*$F$8</f>
        <v>4.98</v>
      </c>
      <c r="AB745" s="28"/>
      <c r="AC745" s="2">
        <v>531</v>
      </c>
      <c r="AD745" s="15">
        <f t="shared" ref="AD745:AD746" si="1968">AC745-Y745</f>
        <v>49</v>
      </c>
      <c r="AE745" s="34">
        <f>AD745*$F$8</f>
        <v>122.01</v>
      </c>
      <c r="AG745" s="13">
        <v>618</v>
      </c>
      <c r="AH745" s="15">
        <f t="shared" ref="AH745:AH746" si="1969">AG745-AC745</f>
        <v>87</v>
      </c>
      <c r="AI745" s="34">
        <f>AH745*$F$8</f>
        <v>216.63</v>
      </c>
      <c r="AJ745" s="87">
        <f>134.46+4.98+122.01</f>
        <v>261.45</v>
      </c>
      <c r="AK745" s="13">
        <v>727</v>
      </c>
      <c r="AL745" s="15">
        <f t="shared" ref="AL745:AL746" si="1970">AK745-AG745</f>
        <v>109</v>
      </c>
      <c r="AM745" s="34">
        <f>AL745*$F$8</f>
        <v>271.41</v>
      </c>
      <c r="AN745" s="32">
        <v>216.63</v>
      </c>
      <c r="AO745" s="13">
        <v>736</v>
      </c>
      <c r="AP745" s="15">
        <f t="shared" ref="AP745:AP746" si="1971">AO745-AK745</f>
        <v>9</v>
      </c>
      <c r="AQ745" s="34">
        <f>AP745*$F$8</f>
        <v>22.41</v>
      </c>
      <c r="AR745" s="32">
        <v>293.82</v>
      </c>
      <c r="AS745" s="15">
        <v>738</v>
      </c>
      <c r="AT745" s="15">
        <f>AS745-AO745</f>
        <v>2</v>
      </c>
      <c r="AU745" s="34">
        <f>AT745*$F$8</f>
        <v>4.98</v>
      </c>
      <c r="AV745" s="15"/>
      <c r="AW745" s="13">
        <v>738</v>
      </c>
      <c r="AX745" s="15">
        <f>AW745-AS745</f>
        <v>0</v>
      </c>
      <c r="AY745" s="34">
        <f>AX745*$F$8</f>
        <v>0</v>
      </c>
      <c r="AZ745" s="28"/>
      <c r="BA745" s="13">
        <v>738</v>
      </c>
      <c r="BB745" s="15">
        <f>BA745-AW745</f>
        <v>0</v>
      </c>
      <c r="BC745" s="34">
        <f>BB745*$F$8</f>
        <v>0</v>
      </c>
      <c r="BD745" s="15"/>
      <c r="BE745" s="40">
        <f t="shared" ref="BE745:BG745" si="1972">J745+N745+R745+V745+Z745+AD745+AH745+AL745+AP745+AT745+AX745+BB745</f>
        <v>258</v>
      </c>
      <c r="BF745" s="41">
        <f t="shared" si="1972"/>
        <v>642.42</v>
      </c>
      <c r="BG745" s="34">
        <f t="shared" si="1972"/>
        <v>771.9</v>
      </c>
      <c r="BH745" s="35">
        <f t="shared" ref="BH745:BH750" si="1973">H745+BF745-BG745</f>
        <v>4.98</v>
      </c>
    </row>
    <row r="746" ht="15.75" customHeight="1" hidden="1" spans="1:60" x14ac:dyDescent="0.25">
      <c r="A746" s="29">
        <v>105</v>
      </c>
      <c r="B746" s="14"/>
      <c r="C746" s="2" t="s">
        <v>79</v>
      </c>
      <c r="D746" s="14" t="s">
        <v>47</v>
      </c>
      <c r="E746" s="2" t="s">
        <v>48</v>
      </c>
      <c r="F746" s="13">
        <v>17.16</v>
      </c>
      <c r="G746" s="28"/>
      <c r="H746" s="73">
        <f>3*17.16</f>
        <v>51.48</v>
      </c>
      <c r="I746" s="13"/>
      <c r="J746" s="15"/>
      <c r="K746" s="15"/>
      <c r="L746" s="28"/>
      <c r="Q746" s="13"/>
      <c r="R746" s="15"/>
      <c r="S746" s="15"/>
      <c r="T746" s="28"/>
      <c r="Y746" s="13">
        <v>136</v>
      </c>
      <c r="Z746" s="15"/>
      <c r="AA746" s="15"/>
      <c r="AB746" s="28"/>
      <c r="AC746" s="2">
        <v>136</v>
      </c>
      <c r="AD746" s="15">
        <f t="shared" si="1968"/>
        <v>0</v>
      </c>
      <c r="AE746" s="34">
        <f>AD746*$F$10</f>
        <v>0</v>
      </c>
      <c r="AG746" s="13">
        <v>136</v>
      </c>
      <c r="AH746" s="15">
        <f t="shared" si="1969"/>
        <v>0</v>
      </c>
      <c r="AI746" s="45">
        <f>AH746*$G$10</f>
        <v>0</v>
      </c>
      <c r="AJ746" s="28"/>
      <c r="AK746" s="13">
        <v>150</v>
      </c>
      <c r="AL746" s="15">
        <f t="shared" si="1970"/>
        <v>14</v>
      </c>
      <c r="AM746" s="45">
        <f>AL746*$G$10</f>
        <v>247.52</v>
      </c>
      <c r="AN746" s="38">
        <v>299</v>
      </c>
      <c r="AO746" s="13">
        <v>150</v>
      </c>
      <c r="AP746" s="15">
        <f t="shared" si="1971"/>
        <v>0</v>
      </c>
      <c r="AQ746" s="45">
        <f>AP746*$G$10</f>
        <v>0</v>
      </c>
      <c r="AR746" s="28"/>
      <c r="AS746" s="15"/>
      <c r="AT746" s="15"/>
      <c r="AU746" s="15"/>
      <c r="AV746" s="15"/>
      <c r="AW746" s="13"/>
      <c r="AX746" s="15"/>
      <c r="AY746" s="15"/>
      <c r="AZ746" s="28"/>
      <c r="BA746" s="15"/>
      <c r="BB746" s="15"/>
      <c r="BC746" s="15"/>
      <c r="BD746" s="15"/>
      <c r="BE746" s="40">
        <f t="shared" ref="BE746:BG746" si="1974">J746+N746+R746+V746+Z746+AD746+AH746+AL746+AP746+AT746+AX746+BB746</f>
        <v>14</v>
      </c>
      <c r="BF746" s="41">
        <f t="shared" si="1974"/>
        <v>247.52</v>
      </c>
      <c r="BG746" s="34">
        <f t="shared" si="1974"/>
        <v>299</v>
      </c>
      <c r="BH746" s="35">
        <f t="shared" si="1973"/>
        <v>0</v>
      </c>
    </row>
    <row r="747" ht="15.75" customHeight="1" hidden="1" spans="1:60" x14ac:dyDescent="0.25">
      <c r="A747" s="29">
        <v>105</v>
      </c>
      <c r="B747" s="14"/>
      <c r="C747" s="15" t="s">
        <v>107</v>
      </c>
      <c r="D747" s="14" t="s">
        <v>47</v>
      </c>
      <c r="E747" s="2" t="s">
        <v>49</v>
      </c>
      <c r="F747" s="41">
        <v>300</v>
      </c>
      <c r="G747" s="28"/>
      <c r="I747" s="13"/>
      <c r="J747" s="15"/>
      <c r="K747" s="15"/>
      <c r="L747" s="28"/>
      <c r="Q747" s="13"/>
      <c r="R747" s="15"/>
      <c r="S747" s="15"/>
      <c r="T747" s="28"/>
      <c r="Y747" s="13"/>
      <c r="Z747" s="15"/>
      <c r="AA747" s="15"/>
      <c r="AB747" s="28"/>
      <c r="AG747" s="13"/>
      <c r="AH747" s="15"/>
      <c r="AI747" s="15"/>
      <c r="AJ747" s="28"/>
      <c r="AK747" s="13"/>
      <c r="AL747" s="15"/>
      <c r="AM747" s="34"/>
      <c r="AN747" s="28"/>
      <c r="AO747" s="13"/>
      <c r="AP747" s="15"/>
      <c r="AQ747" s="34"/>
      <c r="AR747" s="28"/>
      <c r="AS747" s="15"/>
      <c r="AT747" s="15"/>
      <c r="AU747" s="15"/>
      <c r="AV747" s="15"/>
      <c r="AW747" s="13"/>
      <c r="AX747" s="15"/>
      <c r="AY747" s="15"/>
      <c r="AZ747" s="28"/>
      <c r="BA747" s="15"/>
      <c r="BB747" s="15"/>
      <c r="BC747" s="15"/>
      <c r="BD747" s="15"/>
      <c r="BE747" s="14"/>
      <c r="BF747" s="41">
        <f t="shared" ref="BF747:BG747" si="1975">K747+O747+S747+W747+AA747+AE747+AI747+AM747+AQ747+AU747+AY747+BC747</f>
        <v>0</v>
      </c>
      <c r="BG747" s="34">
        <f t="shared" si="1975"/>
        <v>0</v>
      </c>
      <c r="BH747" s="35">
        <f t="shared" si="1973"/>
        <v>0</v>
      </c>
    </row>
    <row r="748" ht="15.75" customHeight="1" hidden="1" spans="1:60" x14ac:dyDescent="0.25">
      <c r="A748" s="29">
        <v>105</v>
      </c>
      <c r="B748" s="14"/>
      <c r="C748" s="15" t="s">
        <v>324</v>
      </c>
      <c r="D748" s="14" t="s">
        <v>50</v>
      </c>
      <c r="E748" s="2" t="s">
        <v>49</v>
      </c>
      <c r="F748" s="41">
        <v>1062.88</v>
      </c>
      <c r="G748" s="28"/>
      <c r="I748" s="13"/>
      <c r="J748" s="15"/>
      <c r="K748" s="15"/>
      <c r="L748" s="28"/>
      <c r="Q748" s="13"/>
      <c r="R748" s="15"/>
      <c r="S748" s="15"/>
      <c r="T748" s="28"/>
      <c r="Y748" s="13"/>
      <c r="Z748" s="15"/>
      <c r="AA748" s="15"/>
      <c r="AB748" s="28"/>
      <c r="AE748" s="34">
        <f>B745*$F$12</f>
        <v>4687.3008</v>
      </c>
      <c r="AF748" s="34">
        <v>2000</v>
      </c>
      <c r="AG748" s="13"/>
      <c r="AH748" s="15"/>
      <c r="AI748" s="15"/>
      <c r="AJ748" s="35"/>
      <c r="AK748" s="13"/>
      <c r="AL748" s="15"/>
      <c r="AM748" s="15"/>
      <c r="AN748" s="38">
        <v>2687.3</v>
      </c>
      <c r="AO748" s="13"/>
      <c r="AP748" s="15"/>
      <c r="AQ748" s="15"/>
      <c r="AR748" s="28"/>
      <c r="AS748" s="15"/>
      <c r="AT748" s="15"/>
      <c r="AU748" s="15"/>
      <c r="AV748" s="15"/>
      <c r="AW748" s="13"/>
      <c r="AX748" s="15"/>
      <c r="AY748" s="15"/>
      <c r="AZ748" s="28"/>
      <c r="BA748" s="15"/>
      <c r="BB748" s="15"/>
      <c r="BC748" s="15"/>
      <c r="BD748" s="15"/>
      <c r="BE748" s="14"/>
      <c r="BF748" s="41">
        <f>B745*$F$12</f>
        <v>4687.3008</v>
      </c>
      <c r="BG748" s="34">
        <f t="shared" ref="BG748:BG750" si="1976">L748+P748+T748+X748+AB748+AF748+AJ748+AN748+AR748+AV748+AZ748+BD748</f>
        <v>4687.3</v>
      </c>
      <c r="BH748" s="35">
        <f t="shared" si="1973"/>
        <v>0.0008000000007</v>
      </c>
    </row>
    <row r="749" ht="15.75" customHeight="1" hidden="1" spans="1:60" x14ac:dyDescent="0.25">
      <c r="A749" s="29">
        <v>105</v>
      </c>
      <c r="B749" s="14"/>
      <c r="D749" s="14" t="s">
        <v>51</v>
      </c>
      <c r="E749" s="2" t="s">
        <v>49</v>
      </c>
      <c r="F749" s="41">
        <v>0</v>
      </c>
      <c r="G749" s="28"/>
      <c r="I749" s="13"/>
      <c r="J749" s="15"/>
      <c r="K749" s="15"/>
      <c r="L749" s="28"/>
      <c r="Q749" s="13"/>
      <c r="R749" s="15"/>
      <c r="S749" s="15"/>
      <c r="T749" s="28"/>
      <c r="Y749" s="13"/>
      <c r="Z749" s="15"/>
      <c r="AA749" s="15"/>
      <c r="AB749" s="28"/>
      <c r="AG749" s="13"/>
      <c r="AH749" s="15"/>
      <c r="AI749" s="15"/>
      <c r="AJ749" s="28"/>
      <c r="AK749" s="13"/>
      <c r="AL749" s="15"/>
      <c r="AM749" s="15"/>
      <c r="AN749" s="28"/>
      <c r="AO749" s="13"/>
      <c r="AP749" s="15"/>
      <c r="AQ749" s="15"/>
      <c r="AR749" s="28"/>
      <c r="AS749" s="15"/>
      <c r="AT749" s="15"/>
      <c r="AU749" s="15"/>
      <c r="AV749" s="15"/>
      <c r="AW749" s="13"/>
      <c r="AX749" s="15"/>
      <c r="AY749" s="15"/>
      <c r="AZ749" s="28"/>
      <c r="BA749" s="15"/>
      <c r="BB749" s="15"/>
      <c r="BC749" s="15"/>
      <c r="BD749" s="15"/>
      <c r="BE749" s="14"/>
      <c r="BF749" s="41">
        <f>B745*$F$13</f>
        <v>0</v>
      </c>
      <c r="BG749" s="34">
        <f t="shared" si="1976"/>
        <v>0</v>
      </c>
      <c r="BH749" s="35">
        <f t="shared" si="1973"/>
        <v>0</v>
      </c>
    </row>
    <row r="750" ht="15.75" customHeight="1" hidden="1" spans="1:60" x14ac:dyDescent="0.25">
      <c r="A750" s="29">
        <v>105</v>
      </c>
      <c r="B750" s="14"/>
      <c r="D750" s="14" t="s">
        <v>52</v>
      </c>
      <c r="E750" s="2" t="s">
        <v>39</v>
      </c>
      <c r="F750" s="41">
        <v>350</v>
      </c>
      <c r="G750" s="28"/>
      <c r="I750" s="13"/>
      <c r="J750" s="15"/>
      <c r="K750" s="15"/>
      <c r="L750" s="28"/>
      <c r="Q750" s="13"/>
      <c r="R750" s="15"/>
      <c r="S750" s="15"/>
      <c r="T750" s="28"/>
      <c r="Y750" s="13"/>
      <c r="Z750" s="15"/>
      <c r="AA750" s="34">
        <f>$F$14</f>
        <v>350</v>
      </c>
      <c r="AB750" s="28"/>
      <c r="AG750" s="13"/>
      <c r="AH750" s="15"/>
      <c r="AI750" s="15"/>
      <c r="AJ750" s="28"/>
      <c r="AK750" s="13"/>
      <c r="AL750" s="15"/>
      <c r="AM750" s="15"/>
      <c r="AN750" s="38">
        <v>350</v>
      </c>
      <c r="AO750" s="13"/>
      <c r="AP750" s="15"/>
      <c r="AQ750" s="15"/>
      <c r="AR750" s="28"/>
      <c r="AS750" s="15"/>
      <c r="AT750" s="15"/>
      <c r="AU750" s="15"/>
      <c r="AV750" s="15"/>
      <c r="AW750" s="13"/>
      <c r="AX750" s="15"/>
      <c r="AY750" s="15"/>
      <c r="AZ750" s="28"/>
      <c r="BA750" s="15"/>
      <c r="BB750" s="15"/>
      <c r="BC750" s="15"/>
      <c r="BD750" s="15"/>
      <c r="BE750" s="14"/>
      <c r="BF750" s="41">
        <f>$F$14</f>
        <v>350</v>
      </c>
      <c r="BG750" s="34">
        <f t="shared" si="1976"/>
        <v>350</v>
      </c>
      <c r="BH750" s="35">
        <f t="shared" si="1973"/>
        <v>0</v>
      </c>
    </row>
    <row r="751" ht="15.75" customHeight="1" hidden="1" spans="1:62" x14ac:dyDescent="0.25">
      <c r="A751" s="50">
        <v>105</v>
      </c>
      <c r="B751" s="21"/>
      <c r="C751" s="22" t="s">
        <v>53</v>
      </c>
      <c r="D751" s="21"/>
      <c r="E751" s="22"/>
      <c r="F751" s="20"/>
      <c r="G751" s="23"/>
      <c r="H751" s="51">
        <f>SUM(H744:H750)</f>
        <v>185.94</v>
      </c>
      <c r="I751" s="52"/>
      <c r="J751" s="53"/>
      <c r="K751" s="51">
        <f t="shared" ref="K751:L751" si="1977">SUM(K744:K750)</f>
        <v>0</v>
      </c>
      <c r="L751" s="68">
        <f t="shared" si="1977"/>
        <v>0</v>
      </c>
      <c r="M751" s="53"/>
      <c r="N751" s="53"/>
      <c r="O751" s="51">
        <f t="shared" ref="O751:P751" si="1978">SUM(O745:O750)</f>
        <v>0</v>
      </c>
      <c r="P751" s="51">
        <f t="shared" si="1978"/>
        <v>0</v>
      </c>
      <c r="Q751" s="52"/>
      <c r="R751" s="53"/>
      <c r="S751" s="51">
        <f t="shared" ref="S751:T751" si="1979">SUM(S745:S750)</f>
        <v>0</v>
      </c>
      <c r="T751" s="68">
        <f t="shared" si="1979"/>
        <v>0</v>
      </c>
      <c r="U751" s="53"/>
      <c r="V751" s="53"/>
      <c r="W751" s="51">
        <f t="shared" ref="W751:X751" si="1980">SUM(W745:W750)</f>
        <v>0</v>
      </c>
      <c r="X751" s="51">
        <f t="shared" si="1980"/>
        <v>0</v>
      </c>
      <c r="Y751" s="52"/>
      <c r="Z751" s="53"/>
      <c r="AA751" s="51">
        <f t="shared" ref="AA751:AB751" si="1981">SUM(AA745:AA750)</f>
        <v>354.98</v>
      </c>
      <c r="AB751" s="68">
        <f t="shared" si="1981"/>
        <v>0</v>
      </c>
      <c r="AC751" s="53"/>
      <c r="AD751" s="53"/>
      <c r="AE751" s="51">
        <f t="shared" ref="AE751:AF751" si="1982">SUM(AE745:AE750)</f>
        <v>4809.3108</v>
      </c>
      <c r="AF751" s="51">
        <f t="shared" si="1982"/>
        <v>2000</v>
      </c>
      <c r="AG751" s="52"/>
      <c r="AH751" s="53"/>
      <c r="AI751" s="51">
        <f t="shared" ref="AI751:AJ751" si="1983">SUM(AI745:AI750)</f>
        <v>216.63</v>
      </c>
      <c r="AJ751" s="68">
        <f t="shared" si="1983"/>
        <v>261.45</v>
      </c>
      <c r="AK751" s="52"/>
      <c r="AL751" s="53"/>
      <c r="AM751" s="51">
        <f t="shared" ref="AM751:AN751" si="1984">SUM(AM745:AM750)</f>
        <v>518.93</v>
      </c>
      <c r="AN751" s="68">
        <f t="shared" si="1984"/>
        <v>3552.93</v>
      </c>
      <c r="AO751" s="52"/>
      <c r="AP751" s="53"/>
      <c r="AQ751" s="51">
        <f t="shared" ref="AQ751:AR751" si="1985">SUM(AQ745:AQ750)</f>
        <v>22.41</v>
      </c>
      <c r="AR751" s="68">
        <f t="shared" si="1985"/>
        <v>293.82</v>
      </c>
      <c r="AS751" s="53"/>
      <c r="AT751" s="53"/>
      <c r="AU751" s="51">
        <f t="shared" ref="AU751:AV751" si="1986">SUM(AU745:AU750)</f>
        <v>4.98</v>
      </c>
      <c r="AV751" s="51">
        <f t="shared" si="1986"/>
        <v>0</v>
      </c>
      <c r="AW751" s="52"/>
      <c r="AX751" s="53"/>
      <c r="AY751" s="51">
        <f t="shared" ref="AY751:AZ751" si="1987">SUM(AY745:AY750)</f>
        <v>0</v>
      </c>
      <c r="AZ751" s="68">
        <f t="shared" si="1987"/>
        <v>0</v>
      </c>
      <c r="BA751" s="53"/>
      <c r="BB751" s="53"/>
      <c r="BC751" s="51">
        <f t="shared" ref="BC751:BD751" si="1988">SUM(BC745:BC750)</f>
        <v>0</v>
      </c>
      <c r="BD751" s="51">
        <f t="shared" si="1988"/>
        <v>0</v>
      </c>
      <c r="BE751" s="69"/>
      <c r="BF751" s="70">
        <f t="shared" ref="BF751:BH751" si="1989">SUM(BF744:BF750)</f>
        <v>5927.2408</v>
      </c>
      <c r="BG751" s="71">
        <f t="shared" si="1989"/>
        <v>6108.2</v>
      </c>
      <c r="BH751" s="72">
        <f t="shared" si="1989"/>
        <v>4.9808</v>
      </c>
      <c r="BI751" s="34">
        <f>H751+BF751-BG751</f>
        <v>4.9808</v>
      </c>
      <c r="BJ751" s="34">
        <f>BH751-BI751</f>
        <v>0</v>
      </c>
    </row>
    <row r="752" ht="15.75" customHeight="1" hidden="1" spans="1:60" x14ac:dyDescent="0.25">
      <c r="A752" s="29">
        <v>107</v>
      </c>
      <c r="B752" s="14"/>
      <c r="D752" s="14" t="s">
        <v>42</v>
      </c>
      <c r="F752" s="13"/>
      <c r="G752" s="28"/>
      <c r="I752" s="13"/>
      <c r="J752" s="15"/>
      <c r="K752" s="15"/>
      <c r="L752" s="28"/>
      <c r="Q752" s="13"/>
      <c r="R752" s="15"/>
      <c r="S752" s="15"/>
      <c r="T752" s="28"/>
      <c r="Y752" s="13"/>
      <c r="Z752" s="15"/>
      <c r="AA752" s="15"/>
      <c r="AB752" s="28"/>
      <c r="AG752" s="13"/>
      <c r="AH752" s="15"/>
      <c r="AI752" s="15"/>
      <c r="AJ752" s="28"/>
      <c r="AK752" s="13"/>
      <c r="AL752" s="15"/>
      <c r="AM752" s="15"/>
      <c r="AN752" s="28"/>
      <c r="AO752" s="13"/>
      <c r="AP752" s="15"/>
      <c r="AQ752" s="15"/>
      <c r="AR752" s="28"/>
      <c r="AW752" s="13"/>
      <c r="AX752" s="15"/>
      <c r="AY752" s="15"/>
      <c r="AZ752" s="28"/>
      <c r="BE752" s="14"/>
      <c r="BF752" s="13"/>
      <c r="BG752" s="15"/>
      <c r="BH752" s="28"/>
    </row>
    <row r="753" ht="15.75" customHeight="1" hidden="1" spans="1:60" x14ac:dyDescent="0.25">
      <c r="A753" s="2">
        <v>107</v>
      </c>
      <c r="B753" s="14">
        <v>4.37</v>
      </c>
      <c r="C753" s="2" t="s">
        <v>325</v>
      </c>
      <c r="D753" s="14" t="s">
        <v>44</v>
      </c>
      <c r="E753" s="2" t="s">
        <v>45</v>
      </c>
      <c r="F753" s="13">
        <v>2.49</v>
      </c>
      <c r="G753" s="28"/>
      <c r="H753" s="74"/>
      <c r="I753" s="13"/>
      <c r="J753" s="15"/>
      <c r="K753" s="15"/>
      <c r="L753" s="28"/>
      <c r="Q753" s="13"/>
      <c r="R753" s="15"/>
      <c r="S753" s="15"/>
      <c r="T753" s="28"/>
      <c r="Y753" s="13"/>
      <c r="Z753" s="15">
        <f>Y753-U753</f>
        <v>0</v>
      </c>
      <c r="AA753" s="34">
        <f>Z753*$F$8</f>
        <v>0</v>
      </c>
      <c r="AB753" s="28"/>
      <c r="AC753" s="15"/>
      <c r="AD753" s="15">
        <f t="shared" ref="AD753:AD754" si="1990">AC753-Y753</f>
        <v>0</v>
      </c>
      <c r="AE753" s="34">
        <f>AD753*$F$8</f>
        <v>0</v>
      </c>
      <c r="AG753" s="13"/>
      <c r="AH753" s="15">
        <f t="shared" ref="AH753:AH754" si="1991">AG753-AC753</f>
        <v>0</v>
      </c>
      <c r="AI753" s="34">
        <f>AH753*$F$8</f>
        <v>0</v>
      </c>
      <c r="AJ753" s="28"/>
      <c r="AK753" s="13"/>
      <c r="AL753" s="15">
        <f t="shared" ref="AL753:AL754" si="1992">AK753-AG753</f>
        <v>0</v>
      </c>
      <c r="AM753" s="34">
        <f>AL753*$F$8</f>
        <v>0</v>
      </c>
      <c r="AN753" s="28"/>
      <c r="AO753" s="13"/>
      <c r="AP753" s="15"/>
      <c r="AQ753" s="34">
        <f>AP753*$F$8</f>
        <v>0</v>
      </c>
      <c r="AR753" s="28"/>
      <c r="AS753" s="15"/>
      <c r="AT753" s="15"/>
      <c r="AU753" s="34">
        <f>AT753*$F$8</f>
        <v>0</v>
      </c>
      <c r="AV753" s="15"/>
      <c r="AW753" s="13"/>
      <c r="AX753" s="15"/>
      <c r="AY753" s="34">
        <f>AX753*$F$8</f>
        <v>0</v>
      </c>
      <c r="AZ753" s="28"/>
      <c r="BA753" s="15"/>
      <c r="BB753" s="15"/>
      <c r="BC753" s="34">
        <f>BB753*$F$8</f>
        <v>0</v>
      </c>
      <c r="BD753" s="15"/>
      <c r="BE753" s="40">
        <f t="shared" ref="BE753:BG753" si="1993">J753+N753+R753+V753+Z753+AD753+AH753+AL753+AP753+AT753+AX753+BB753</f>
        <v>0</v>
      </c>
      <c r="BF753" s="41">
        <f t="shared" si="1993"/>
        <v>0</v>
      </c>
      <c r="BG753" s="34">
        <f t="shared" si="1993"/>
        <v>0</v>
      </c>
      <c r="BH753" s="35">
        <f t="shared" ref="BH753:BH758" si="1994">H753+BF753-BG753</f>
        <v>0</v>
      </c>
    </row>
    <row r="754" ht="15.75" customHeight="1" hidden="1" spans="1:60" x14ac:dyDescent="0.25">
      <c r="A754" s="29">
        <v>107</v>
      </c>
      <c r="B754" s="14"/>
      <c r="C754" s="2" t="s">
        <v>71</v>
      </c>
      <c r="D754" s="14" t="s">
        <v>47</v>
      </c>
      <c r="E754" s="2" t="s">
        <v>48</v>
      </c>
      <c r="F754" s="13">
        <v>17.16</v>
      </c>
      <c r="G754" s="28"/>
      <c r="H754" s="73">
        <f>-11*17.16</f>
        <v>-188.76</v>
      </c>
      <c r="I754" s="13"/>
      <c r="J754" s="15"/>
      <c r="K754" s="15"/>
      <c r="L754" s="28"/>
      <c r="Q754" s="13"/>
      <c r="R754" s="15"/>
      <c r="S754" s="15"/>
      <c r="T754" s="28"/>
      <c r="Y754" s="13">
        <v>54</v>
      </c>
      <c r="Z754" s="15"/>
      <c r="AA754" s="15"/>
      <c r="AB754" s="28"/>
      <c r="AC754" s="2">
        <v>56</v>
      </c>
      <c r="AD754" s="15">
        <f t="shared" si="1990"/>
        <v>2</v>
      </c>
      <c r="AE754" s="34">
        <f>AD754*$F$10</f>
        <v>34.32</v>
      </c>
      <c r="AG754" s="13">
        <v>56</v>
      </c>
      <c r="AH754" s="15">
        <f t="shared" si="1991"/>
        <v>0</v>
      </c>
      <c r="AI754" s="45">
        <f>AH754*$G$10</f>
        <v>0</v>
      </c>
      <c r="AJ754" s="28"/>
      <c r="AK754" s="13">
        <v>60</v>
      </c>
      <c r="AL754" s="15">
        <f t="shared" si="1992"/>
        <v>4</v>
      </c>
      <c r="AM754" s="45">
        <f>AL754*$G$10</f>
        <v>70.72</v>
      </c>
      <c r="AN754" s="28"/>
      <c r="AO754" s="13">
        <v>60</v>
      </c>
      <c r="AP754" s="15">
        <f>AO754-AK754</f>
        <v>0</v>
      </c>
      <c r="AQ754" s="45">
        <f>AP754*$G$10</f>
        <v>0</v>
      </c>
      <c r="AR754" s="28"/>
      <c r="AS754" s="15"/>
      <c r="AT754" s="15"/>
      <c r="AU754" s="15"/>
      <c r="AV754" s="15"/>
      <c r="AW754" s="13"/>
      <c r="AX754" s="15"/>
      <c r="AY754" s="15"/>
      <c r="AZ754" s="28"/>
      <c r="BA754" s="15"/>
      <c r="BB754" s="15"/>
      <c r="BC754" s="15"/>
      <c r="BD754" s="15"/>
      <c r="BE754" s="40">
        <f t="shared" ref="BE754:BG754" si="1995">J754+N754+R754+V754+Z754+AD754+AH754+AL754+AP754+AT754+AX754+BB754</f>
        <v>6</v>
      </c>
      <c r="BF754" s="41">
        <f t="shared" si="1995"/>
        <v>105.04</v>
      </c>
      <c r="BG754" s="34">
        <f t="shared" si="1995"/>
        <v>0</v>
      </c>
      <c r="BH754" s="35">
        <f t="shared" si="1994"/>
        <v>-83.72</v>
      </c>
    </row>
    <row r="755" ht="15.75" customHeight="1" hidden="1" spans="1:60" x14ac:dyDescent="0.25">
      <c r="A755" s="29">
        <v>107</v>
      </c>
      <c r="B755" s="14"/>
      <c r="C755" s="2" t="s">
        <v>107</v>
      </c>
      <c r="D755" s="14" t="s">
        <v>47</v>
      </c>
      <c r="E755" s="2" t="s">
        <v>49</v>
      </c>
      <c r="F755" s="41">
        <v>300</v>
      </c>
      <c r="G755" s="28"/>
      <c r="I755" s="13"/>
      <c r="J755" s="15"/>
      <c r="K755" s="15"/>
      <c r="L755" s="28"/>
      <c r="Q755" s="13"/>
      <c r="R755" s="15"/>
      <c r="S755" s="15"/>
      <c r="T755" s="28"/>
      <c r="Y755" s="13"/>
      <c r="Z755" s="15"/>
      <c r="AA755" s="15"/>
      <c r="AB755" s="28"/>
      <c r="AG755" s="13"/>
      <c r="AH755" s="15"/>
      <c r="AI755" s="15"/>
      <c r="AJ755" s="28"/>
      <c r="AK755" s="13"/>
      <c r="AL755" s="15"/>
      <c r="AM755" s="34"/>
      <c r="AN755" s="28"/>
      <c r="AO755" s="13"/>
      <c r="AP755" s="15"/>
      <c r="AQ755" s="34"/>
      <c r="AR755" s="28"/>
      <c r="AS755" s="15"/>
      <c r="AT755" s="15"/>
      <c r="AU755" s="15"/>
      <c r="AV755" s="15"/>
      <c r="AW755" s="13"/>
      <c r="AX755" s="15"/>
      <c r="AY755" s="15"/>
      <c r="AZ755" s="28"/>
      <c r="BA755" s="15"/>
      <c r="BB755" s="15"/>
      <c r="BC755" s="15"/>
      <c r="BD755" s="15"/>
      <c r="BE755" s="14"/>
      <c r="BF755" s="41">
        <f t="shared" ref="BF755:BG755" si="1996">K755+O755+S755+W755+AA755+AE755+AI755+AM755+AQ755+AU755+AY755+BC755</f>
        <v>0</v>
      </c>
      <c r="BG755" s="34">
        <f t="shared" si="1996"/>
        <v>0</v>
      </c>
      <c r="BH755" s="35">
        <f t="shared" si="1994"/>
        <v>0</v>
      </c>
    </row>
    <row r="756" ht="15.75" customHeight="1" hidden="1" spans="1:60" x14ac:dyDescent="0.25">
      <c r="A756" s="29">
        <v>107</v>
      </c>
      <c r="B756" s="14"/>
      <c r="C756" s="2" t="s">
        <v>326</v>
      </c>
      <c r="D756" s="14" t="s">
        <v>50</v>
      </c>
      <c r="E756" s="2" t="s">
        <v>49</v>
      </c>
      <c r="F756" s="41">
        <v>1062.88</v>
      </c>
      <c r="G756" s="28"/>
      <c r="I756" s="13"/>
      <c r="J756" s="15"/>
      <c r="K756" s="15"/>
      <c r="L756" s="28"/>
      <c r="Q756" s="13"/>
      <c r="R756" s="15"/>
      <c r="S756" s="15"/>
      <c r="T756" s="28"/>
      <c r="Y756" s="13"/>
      <c r="Z756" s="15"/>
      <c r="AA756" s="15"/>
      <c r="AB756" s="28"/>
      <c r="AE756" s="34">
        <f>B753*$F$12</f>
        <v>4644.7856</v>
      </c>
      <c r="AF756" s="2">
        <v>4644.78</v>
      </c>
      <c r="AG756" s="13"/>
      <c r="AH756" s="15"/>
      <c r="AI756" s="15"/>
      <c r="AJ756" s="35"/>
      <c r="AK756" s="13"/>
      <c r="AL756" s="15"/>
      <c r="AM756" s="15"/>
      <c r="AN756" s="28"/>
      <c r="AO756" s="13"/>
      <c r="AP756" s="15"/>
      <c r="AQ756" s="15"/>
      <c r="AR756" s="28"/>
      <c r="AS756" s="15"/>
      <c r="AT756" s="15"/>
      <c r="AU756" s="15"/>
      <c r="AV756" s="15"/>
      <c r="AW756" s="13"/>
      <c r="AX756" s="15"/>
      <c r="AY756" s="15"/>
      <c r="AZ756" s="28"/>
      <c r="BA756" s="15"/>
      <c r="BB756" s="15"/>
      <c r="BC756" s="15"/>
      <c r="BD756" s="15"/>
      <c r="BE756" s="14"/>
      <c r="BF756" s="41">
        <f>B753*$F$12</f>
        <v>4644.7856</v>
      </c>
      <c r="BG756" s="34">
        <f t="shared" ref="BG756:BG758" si="1997">L756+P756+T756+X756+AB756+AF756+AJ756+AN756+AR756+AV756+AZ756+BD756</f>
        <v>4644.78</v>
      </c>
      <c r="BH756" s="35">
        <f t="shared" si="1994"/>
        <v>0.0056</v>
      </c>
    </row>
    <row r="757" ht="15.75" customHeight="1" hidden="1" spans="1:60" x14ac:dyDescent="0.25">
      <c r="A757" s="29">
        <v>107</v>
      </c>
      <c r="B757" s="14"/>
      <c r="D757" s="14" t="s">
        <v>51</v>
      </c>
      <c r="E757" s="2" t="s">
        <v>49</v>
      </c>
      <c r="F757" s="41">
        <v>0</v>
      </c>
      <c r="G757" s="28"/>
      <c r="I757" s="13"/>
      <c r="J757" s="15"/>
      <c r="K757" s="15"/>
      <c r="L757" s="28"/>
      <c r="Q757" s="13"/>
      <c r="R757" s="15"/>
      <c r="S757" s="15"/>
      <c r="T757" s="28"/>
      <c r="Y757" s="13"/>
      <c r="Z757" s="15"/>
      <c r="AA757" s="15"/>
      <c r="AB757" s="28"/>
      <c r="AG757" s="13"/>
      <c r="AH757" s="15"/>
      <c r="AI757" s="15"/>
      <c r="AJ757" s="28"/>
      <c r="AK757" s="13"/>
      <c r="AL757" s="15"/>
      <c r="AM757" s="15"/>
      <c r="AN757" s="28"/>
      <c r="AO757" s="13"/>
      <c r="AP757" s="15"/>
      <c r="AQ757" s="15"/>
      <c r="AR757" s="28"/>
      <c r="AS757" s="15"/>
      <c r="AT757" s="15"/>
      <c r="AU757" s="15"/>
      <c r="AV757" s="15"/>
      <c r="AW757" s="13"/>
      <c r="AX757" s="15"/>
      <c r="AY757" s="15"/>
      <c r="AZ757" s="28"/>
      <c r="BA757" s="15"/>
      <c r="BB757" s="15"/>
      <c r="BC757" s="15"/>
      <c r="BD757" s="15"/>
      <c r="BE757" s="14"/>
      <c r="BF757" s="41">
        <f>B753*$F$13</f>
        <v>0</v>
      </c>
      <c r="BG757" s="34">
        <f t="shared" si="1997"/>
        <v>0</v>
      </c>
      <c r="BH757" s="35">
        <f t="shared" si="1994"/>
        <v>0</v>
      </c>
    </row>
    <row r="758" ht="15.75" customHeight="1" hidden="1" spans="1:60" x14ac:dyDescent="0.25">
      <c r="A758" s="29">
        <v>107</v>
      </c>
      <c r="B758" s="14"/>
      <c r="D758" s="14" t="s">
        <v>52</v>
      </c>
      <c r="E758" s="2" t="s">
        <v>39</v>
      </c>
      <c r="F758" s="41">
        <v>350</v>
      </c>
      <c r="G758" s="28"/>
      <c r="H758" s="84">
        <v>-350</v>
      </c>
      <c r="I758" s="13"/>
      <c r="J758" s="15"/>
      <c r="K758" s="15"/>
      <c r="L758" s="28"/>
      <c r="Q758" s="13"/>
      <c r="R758" s="15"/>
      <c r="S758" s="15"/>
      <c r="T758" s="28"/>
      <c r="Y758" s="13"/>
      <c r="Z758" s="15"/>
      <c r="AA758" s="34">
        <f>$F$14</f>
        <v>350</v>
      </c>
      <c r="AB758" s="28"/>
      <c r="AG758" s="13"/>
      <c r="AH758" s="15"/>
      <c r="AI758" s="15"/>
      <c r="AJ758" s="28"/>
      <c r="AK758" s="13"/>
      <c r="AL758" s="15"/>
      <c r="AM758" s="15"/>
      <c r="AN758" s="28"/>
      <c r="AO758" s="13"/>
      <c r="AP758" s="15"/>
      <c r="AQ758" s="15"/>
      <c r="AR758" s="28"/>
      <c r="AS758" s="15"/>
      <c r="AT758" s="15"/>
      <c r="AU758" s="15"/>
      <c r="AV758" s="15"/>
      <c r="AW758" s="13"/>
      <c r="AX758" s="15"/>
      <c r="AY758" s="15"/>
      <c r="AZ758" s="28"/>
      <c r="BA758" s="15"/>
      <c r="BB758" s="15"/>
      <c r="BC758" s="15"/>
      <c r="BD758" s="15"/>
      <c r="BE758" s="14"/>
      <c r="BF758" s="41">
        <f>$F$14</f>
        <v>350</v>
      </c>
      <c r="BG758" s="34">
        <f t="shared" si="1997"/>
        <v>0</v>
      </c>
      <c r="BH758" s="35">
        <f t="shared" si="1994"/>
        <v>0</v>
      </c>
    </row>
    <row r="759" ht="15.75" customHeight="1" hidden="1" spans="1:62" x14ac:dyDescent="0.25">
      <c r="A759" s="88" t="s">
        <v>327</v>
      </c>
      <c r="B759" s="21"/>
      <c r="C759" s="22" t="s">
        <v>53</v>
      </c>
      <c r="D759" s="21"/>
      <c r="E759" s="22"/>
      <c r="F759" s="20"/>
      <c r="G759" s="23"/>
      <c r="H759" s="51">
        <f>SUM(H752:H758)</f>
        <v>-538.76</v>
      </c>
      <c r="I759" s="52"/>
      <c r="J759" s="53"/>
      <c r="K759" s="51">
        <f t="shared" ref="K759:L759" si="1998">SUM(K752:K758)</f>
        <v>0</v>
      </c>
      <c r="L759" s="68">
        <f t="shared" si="1998"/>
        <v>0</v>
      </c>
      <c r="M759" s="53"/>
      <c r="N759" s="53"/>
      <c r="O759" s="51">
        <f t="shared" ref="O759:P759" si="1999">SUM(O753:O758)</f>
        <v>0</v>
      </c>
      <c r="P759" s="51">
        <f t="shared" si="1999"/>
        <v>0</v>
      </c>
      <c r="Q759" s="52"/>
      <c r="R759" s="53"/>
      <c r="S759" s="51">
        <f t="shared" ref="S759:T759" si="2000">SUM(S753:S758)</f>
        <v>0</v>
      </c>
      <c r="T759" s="68">
        <f t="shared" si="2000"/>
        <v>0</v>
      </c>
      <c r="U759" s="53"/>
      <c r="V759" s="53"/>
      <c r="W759" s="51">
        <f t="shared" ref="W759:X759" si="2001">SUM(W753:W758)</f>
        <v>0</v>
      </c>
      <c r="X759" s="51">
        <f t="shared" si="2001"/>
        <v>0</v>
      </c>
      <c r="Y759" s="52"/>
      <c r="Z759" s="53"/>
      <c r="AA759" s="51">
        <f t="shared" ref="AA759:AB759" si="2002">SUM(AA753:AA758)</f>
        <v>350</v>
      </c>
      <c r="AB759" s="68">
        <f t="shared" si="2002"/>
        <v>0</v>
      </c>
      <c r="AC759" s="53"/>
      <c r="AD759" s="53"/>
      <c r="AE759" s="51">
        <f t="shared" ref="AE759:AF759" si="2003">SUM(AE753:AE758)</f>
        <v>4679.1056</v>
      </c>
      <c r="AF759" s="51">
        <f t="shared" si="2003"/>
        <v>4644.78</v>
      </c>
      <c r="AG759" s="52"/>
      <c r="AH759" s="53"/>
      <c r="AI759" s="51">
        <f t="shared" ref="AI759:AJ759" si="2004">SUM(AI753:AI758)</f>
        <v>0</v>
      </c>
      <c r="AJ759" s="68">
        <f t="shared" si="2004"/>
        <v>0</v>
      </c>
      <c r="AK759" s="52"/>
      <c r="AL759" s="53"/>
      <c r="AM759" s="51">
        <f t="shared" ref="AM759:AN759" si="2005">SUM(AM753:AM758)</f>
        <v>70.72</v>
      </c>
      <c r="AN759" s="68">
        <f t="shared" si="2005"/>
        <v>0</v>
      </c>
      <c r="AO759" s="52"/>
      <c r="AP759" s="53"/>
      <c r="AQ759" s="51">
        <f t="shared" ref="AQ759:AR759" si="2006">SUM(AQ753:AQ758)</f>
        <v>0</v>
      </c>
      <c r="AR759" s="68">
        <f t="shared" si="2006"/>
        <v>0</v>
      </c>
      <c r="AS759" s="53"/>
      <c r="AT759" s="53"/>
      <c r="AU759" s="51">
        <f t="shared" ref="AU759:AV759" si="2007">SUM(AU753:AU758)</f>
        <v>0</v>
      </c>
      <c r="AV759" s="51">
        <f t="shared" si="2007"/>
        <v>0</v>
      </c>
      <c r="AW759" s="52"/>
      <c r="AX759" s="53"/>
      <c r="AY759" s="51">
        <f t="shared" ref="AY759:AZ759" si="2008">SUM(AY753:AY758)</f>
        <v>0</v>
      </c>
      <c r="AZ759" s="68">
        <f t="shared" si="2008"/>
        <v>0</v>
      </c>
      <c r="BA759" s="53"/>
      <c r="BB759" s="53"/>
      <c r="BC759" s="51">
        <f t="shared" ref="BC759:BD759" si="2009">SUM(BC753:BC758)</f>
        <v>0</v>
      </c>
      <c r="BD759" s="51">
        <f t="shared" si="2009"/>
        <v>0</v>
      </c>
      <c r="BE759" s="69"/>
      <c r="BF759" s="70">
        <f t="shared" ref="BF759:BH759" si="2010">SUM(BF752:BF758)</f>
        <v>5099.8256</v>
      </c>
      <c r="BG759" s="71">
        <f t="shared" si="2010"/>
        <v>4644.78</v>
      </c>
      <c r="BH759" s="72">
        <f t="shared" si="2010"/>
        <v>-83.7144</v>
      </c>
      <c r="BI759" s="34">
        <f>H759+BF759-BG759</f>
        <v>-83.7144</v>
      </c>
      <c r="BJ759" s="34">
        <f>BH759-BI759</f>
        <v>0</v>
      </c>
    </row>
    <row r="760" ht="15.75" customHeight="1" hidden="1" spans="1:60" x14ac:dyDescent="0.25">
      <c r="A760" s="29">
        <v>96</v>
      </c>
      <c r="B760" s="14"/>
      <c r="D760" s="14" t="s">
        <v>42</v>
      </c>
      <c r="F760" s="13"/>
      <c r="G760" s="28"/>
      <c r="I760" s="13"/>
      <c r="J760" s="15"/>
      <c r="K760" s="15"/>
      <c r="L760" s="28"/>
      <c r="Q760" s="13"/>
      <c r="R760" s="15"/>
      <c r="S760" s="15"/>
      <c r="T760" s="28"/>
      <c r="Y760" s="13"/>
      <c r="Z760" s="15"/>
      <c r="AA760" s="15"/>
      <c r="AB760" s="28"/>
      <c r="AG760" s="13"/>
      <c r="AH760" s="15"/>
      <c r="AI760" s="15"/>
      <c r="AJ760" s="28"/>
      <c r="AK760" s="13"/>
      <c r="AL760" s="15"/>
      <c r="AM760" s="15"/>
      <c r="AN760" s="28"/>
      <c r="AO760" s="13"/>
      <c r="AP760" s="15"/>
      <c r="AQ760" s="15"/>
      <c r="AR760" s="28"/>
      <c r="AW760" s="13"/>
      <c r="AX760" s="15"/>
      <c r="AY760" s="15"/>
      <c r="AZ760" s="28"/>
      <c r="BE760" s="14"/>
      <c r="BF760" s="13"/>
      <c r="BG760" s="15"/>
      <c r="BH760" s="28"/>
    </row>
    <row r="761" ht="15.75" customHeight="1" hidden="1" spans="1:60" x14ac:dyDescent="0.25">
      <c r="A761" s="2">
        <v>96</v>
      </c>
      <c r="B761" s="14">
        <v>4.46</v>
      </c>
      <c r="C761" s="2" t="s">
        <v>316</v>
      </c>
      <c r="D761" s="14" t="s">
        <v>44</v>
      </c>
      <c r="E761" s="2" t="s">
        <v>45</v>
      </c>
      <c r="F761" s="13">
        <v>2.49</v>
      </c>
      <c r="G761" s="28"/>
      <c r="H761" s="74"/>
      <c r="I761" s="13"/>
      <c r="J761" s="15"/>
      <c r="K761" s="15"/>
      <c r="L761" s="28"/>
      <c r="Q761" s="13"/>
      <c r="R761" s="15"/>
      <c r="S761" s="15"/>
      <c r="T761" s="28"/>
      <c r="Y761" s="13"/>
      <c r="Z761" s="15">
        <f>Y761-U761</f>
        <v>0</v>
      </c>
      <c r="AA761" s="34">
        <f>Z761*$F$8</f>
        <v>0</v>
      </c>
      <c r="AB761" s="28"/>
      <c r="AC761" s="15"/>
      <c r="AD761" s="15">
        <f t="shared" ref="AD761:AD762" si="2011">AC761-Y761</f>
        <v>0</v>
      </c>
      <c r="AE761" s="34">
        <f>AD761*$F$8</f>
        <v>0</v>
      </c>
      <c r="AG761" s="13"/>
      <c r="AH761" s="15">
        <f t="shared" ref="AH761:AH762" si="2012">AG761-AC761</f>
        <v>0</v>
      </c>
      <c r="AI761" s="34">
        <f>AH761*$F$8</f>
        <v>0</v>
      </c>
      <c r="AJ761" s="28"/>
      <c r="AK761" s="13"/>
      <c r="AL761" s="15">
        <f t="shared" ref="AL761:AL762" si="2013">AK761-AG761</f>
        <v>0</v>
      </c>
      <c r="AM761" s="34">
        <f>AL761*$F$8</f>
        <v>0</v>
      </c>
      <c r="AN761" s="28"/>
      <c r="AO761" s="13"/>
      <c r="AP761" s="15"/>
      <c r="AQ761" s="34">
        <f>AP761*$F$8</f>
        <v>0</v>
      </c>
      <c r="AR761" s="28"/>
      <c r="AS761" s="15"/>
      <c r="AT761" s="15"/>
      <c r="AU761" s="34">
        <f>AT761*$F$8</f>
        <v>0</v>
      </c>
      <c r="AV761" s="15"/>
      <c r="AW761" s="13"/>
      <c r="AX761" s="15"/>
      <c r="AY761" s="34">
        <f>AX761*$F$8</f>
        <v>0</v>
      </c>
      <c r="AZ761" s="28"/>
      <c r="BA761" s="15"/>
      <c r="BB761" s="15"/>
      <c r="BC761" s="34">
        <f>BB761*$F$8</f>
        <v>0</v>
      </c>
      <c r="BD761" s="15"/>
      <c r="BE761" s="40">
        <f t="shared" ref="BE761:BG761" si="2014">J761+N761+R761+V761+Z761+AD761+AH761+AL761+AP761+AT761+AX761+BB761</f>
        <v>0</v>
      </c>
      <c r="BF761" s="41">
        <f t="shared" si="2014"/>
        <v>0</v>
      </c>
      <c r="BG761" s="34">
        <f t="shared" si="2014"/>
        <v>0</v>
      </c>
      <c r="BH761" s="35">
        <f t="shared" ref="BH761:BH766" si="2015">H761+BF761-BG761</f>
        <v>0</v>
      </c>
    </row>
    <row r="762" ht="15.75" customHeight="1" hidden="1" spans="1:60" x14ac:dyDescent="0.25">
      <c r="A762" s="29">
        <v>96</v>
      </c>
      <c r="B762" s="14"/>
      <c r="C762" s="2" t="s">
        <v>317</v>
      </c>
      <c r="D762" s="14" t="s">
        <v>47</v>
      </c>
      <c r="E762" s="2" t="s">
        <v>48</v>
      </c>
      <c r="F762" s="13">
        <v>17.16</v>
      </c>
      <c r="G762" s="28"/>
      <c r="I762" s="13"/>
      <c r="J762" s="15"/>
      <c r="K762" s="15"/>
      <c r="L762" s="28"/>
      <c r="Q762" s="13"/>
      <c r="R762" s="15"/>
      <c r="S762" s="15"/>
      <c r="T762" s="28"/>
      <c r="Y762" s="13"/>
      <c r="Z762" s="15"/>
      <c r="AA762" s="15"/>
      <c r="AB762" s="28"/>
      <c r="AC762" s="15"/>
      <c r="AD762" s="15">
        <f t="shared" si="2011"/>
        <v>0</v>
      </c>
      <c r="AE762" s="34">
        <f>AD762*$F$10</f>
        <v>0</v>
      </c>
      <c r="AG762" s="13"/>
      <c r="AH762" s="15">
        <f t="shared" si="2012"/>
        <v>0</v>
      </c>
      <c r="AI762" s="45">
        <f>AH762*$G$10</f>
        <v>0</v>
      </c>
      <c r="AJ762" s="28"/>
      <c r="AK762" s="13"/>
      <c r="AL762" s="15">
        <f t="shared" si="2013"/>
        <v>0</v>
      </c>
      <c r="AM762" s="45">
        <f>AL762*$G$10</f>
        <v>0</v>
      </c>
      <c r="AN762" s="28"/>
      <c r="AO762" s="13"/>
      <c r="AP762" s="15"/>
      <c r="AQ762" s="45">
        <f>AP762*$G$10</f>
        <v>0</v>
      </c>
      <c r="AR762" s="28"/>
      <c r="AS762" s="15"/>
      <c r="AT762" s="15"/>
      <c r="AU762" s="15"/>
      <c r="AV762" s="15"/>
      <c r="AW762" s="13"/>
      <c r="AX762" s="15"/>
      <c r="AY762" s="15"/>
      <c r="AZ762" s="28"/>
      <c r="BA762" s="15"/>
      <c r="BB762" s="15"/>
      <c r="BC762" s="15"/>
      <c r="BD762" s="15"/>
      <c r="BE762" s="40">
        <f t="shared" ref="BE762:BG762" si="2016">J762+N762+R762+V762+Z762+AD762+AH762+AL762+AP762+AT762+AX762+BB762</f>
        <v>0</v>
      </c>
      <c r="BF762" s="41">
        <f t="shared" si="2016"/>
        <v>0</v>
      </c>
      <c r="BG762" s="34">
        <f t="shared" si="2016"/>
        <v>0</v>
      </c>
      <c r="BH762" s="35">
        <f t="shared" si="2015"/>
        <v>0</v>
      </c>
    </row>
    <row r="763" ht="15.75" customHeight="1" hidden="1" spans="1:60" x14ac:dyDescent="0.25">
      <c r="A763" s="29">
        <v>96</v>
      </c>
      <c r="B763" s="14"/>
      <c r="C763" s="2" t="s">
        <v>246</v>
      </c>
      <c r="D763" s="14" t="s">
        <v>47</v>
      </c>
      <c r="E763" s="2" t="s">
        <v>49</v>
      </c>
      <c r="F763" s="41">
        <v>300</v>
      </c>
      <c r="G763" s="28"/>
      <c r="H763" s="83"/>
      <c r="I763" s="13"/>
      <c r="J763" s="15"/>
      <c r="K763" s="15"/>
      <c r="L763" s="28"/>
      <c r="Q763" s="13"/>
      <c r="R763" s="15"/>
      <c r="S763" s="15"/>
      <c r="T763" s="28"/>
      <c r="Y763" s="13"/>
      <c r="Z763" s="15"/>
      <c r="AA763" s="34"/>
      <c r="AB763" s="28"/>
      <c r="AC763" s="15"/>
      <c r="AG763" s="13"/>
      <c r="AH763" s="15"/>
      <c r="AI763" s="15"/>
      <c r="AJ763" s="28"/>
      <c r="AK763" s="13"/>
      <c r="AL763" s="15"/>
      <c r="AM763" s="34"/>
      <c r="AN763" s="28"/>
      <c r="AO763" s="13"/>
      <c r="AP763" s="15"/>
      <c r="AQ763" s="34"/>
      <c r="AR763" s="28"/>
      <c r="AS763" s="15"/>
      <c r="AT763" s="15"/>
      <c r="AU763" s="15"/>
      <c r="AV763" s="15"/>
      <c r="AW763" s="13"/>
      <c r="AX763" s="15"/>
      <c r="AY763" s="15"/>
      <c r="AZ763" s="28"/>
      <c r="BA763" s="15"/>
      <c r="BB763" s="15"/>
      <c r="BC763" s="15"/>
      <c r="BD763" s="15"/>
      <c r="BE763" s="14"/>
      <c r="BF763" s="41">
        <f t="shared" ref="BF763:BG763" si="2017">K763+O763+S763+W763+AA763+AE763+AI763+AM763+AQ763+AU763+AY763+BC763</f>
        <v>0</v>
      </c>
      <c r="BG763" s="34">
        <f t="shared" si="2017"/>
        <v>0</v>
      </c>
      <c r="BH763" s="35">
        <f t="shared" si="2015"/>
        <v>0</v>
      </c>
    </row>
    <row r="764" ht="15.75" customHeight="1" hidden="1" spans="1:60" x14ac:dyDescent="0.25">
      <c r="A764" s="29">
        <v>96</v>
      </c>
      <c r="B764" s="14"/>
      <c r="D764" s="14" t="s">
        <v>50</v>
      </c>
      <c r="E764" s="2" t="s">
        <v>49</v>
      </c>
      <c r="F764" s="41">
        <v>1062.88</v>
      </c>
      <c r="G764" s="28"/>
      <c r="I764" s="13"/>
      <c r="J764" s="15"/>
      <c r="K764" s="15"/>
      <c r="L764" s="28"/>
      <c r="Q764" s="13"/>
      <c r="R764" s="15"/>
      <c r="S764" s="15"/>
      <c r="T764" s="28"/>
      <c r="Y764" s="13"/>
      <c r="Z764" s="15"/>
      <c r="AA764" s="15"/>
      <c r="AB764" s="28"/>
      <c r="AE764" s="34">
        <f>B761*$F$12</f>
        <v>4740.4448</v>
      </c>
      <c r="AG764" s="13"/>
      <c r="AH764" s="15"/>
      <c r="AI764" s="15"/>
      <c r="AJ764" s="35"/>
      <c r="AK764" s="13"/>
      <c r="AL764" s="15"/>
      <c r="AM764" s="15"/>
      <c r="AN764" s="28"/>
      <c r="AO764" s="13"/>
      <c r="AP764" s="15"/>
      <c r="AQ764" s="15"/>
      <c r="AR764" s="28"/>
      <c r="AS764" s="15"/>
      <c r="AT764" s="15"/>
      <c r="AU764" s="15"/>
      <c r="AV764" s="15"/>
      <c r="AW764" s="13"/>
      <c r="AX764" s="15"/>
      <c r="AY764" s="15"/>
      <c r="AZ764" s="28"/>
      <c r="BA764" s="15"/>
      <c r="BB764" s="15"/>
      <c r="BC764" s="15"/>
      <c r="BD764" s="15"/>
      <c r="BE764" s="14"/>
      <c r="BF764" s="41">
        <f>B761*$F$12</f>
        <v>4740.4448</v>
      </c>
      <c r="BG764" s="34">
        <f t="shared" ref="BG764:BG766" si="2018">L764+P764+T764+X764+AB764+AF764+AJ764+AN764+AR764+AV764+AZ764+BD764</f>
        <v>0</v>
      </c>
      <c r="BH764" s="35">
        <f t="shared" si="2015"/>
        <v>4740.4448</v>
      </c>
    </row>
    <row r="765" ht="15.75" customHeight="1" hidden="1" spans="1:60" x14ac:dyDescent="0.25">
      <c r="A765" s="29">
        <v>96</v>
      </c>
      <c r="B765" s="14"/>
      <c r="D765" s="14" t="s">
        <v>51</v>
      </c>
      <c r="E765" s="2" t="s">
        <v>49</v>
      </c>
      <c r="F765" s="41">
        <v>0</v>
      </c>
      <c r="G765" s="28"/>
      <c r="I765" s="13"/>
      <c r="J765" s="15"/>
      <c r="K765" s="15"/>
      <c r="L765" s="28"/>
      <c r="Q765" s="13"/>
      <c r="R765" s="15"/>
      <c r="S765" s="15"/>
      <c r="T765" s="28"/>
      <c r="Y765" s="13"/>
      <c r="Z765" s="15"/>
      <c r="AA765" s="15"/>
      <c r="AB765" s="28"/>
      <c r="AG765" s="13"/>
      <c r="AH765" s="15"/>
      <c r="AI765" s="15"/>
      <c r="AJ765" s="28"/>
      <c r="AK765" s="13"/>
      <c r="AL765" s="15"/>
      <c r="AM765" s="15"/>
      <c r="AN765" s="28"/>
      <c r="AO765" s="13"/>
      <c r="AP765" s="15"/>
      <c r="AQ765" s="15"/>
      <c r="AR765" s="28"/>
      <c r="AS765" s="15"/>
      <c r="AT765" s="15"/>
      <c r="AU765" s="15"/>
      <c r="AV765" s="15"/>
      <c r="AW765" s="13"/>
      <c r="AX765" s="15"/>
      <c r="AY765" s="15"/>
      <c r="AZ765" s="28"/>
      <c r="BA765" s="15"/>
      <c r="BB765" s="15"/>
      <c r="BC765" s="15"/>
      <c r="BD765" s="15"/>
      <c r="BE765" s="14"/>
      <c r="BF765" s="41">
        <f>B761*$F$13</f>
        <v>0</v>
      </c>
      <c r="BG765" s="34">
        <f t="shared" si="2018"/>
        <v>0</v>
      </c>
      <c r="BH765" s="35">
        <f t="shared" si="2015"/>
        <v>0</v>
      </c>
    </row>
    <row r="766" ht="15.75" customHeight="1" hidden="1" spans="1:60" x14ac:dyDescent="0.25">
      <c r="A766" s="29">
        <v>96</v>
      </c>
      <c r="B766" s="14"/>
      <c r="D766" s="14" t="s">
        <v>52</v>
      </c>
      <c r="E766" s="2" t="s">
        <v>39</v>
      </c>
      <c r="F766" s="41">
        <v>350</v>
      </c>
      <c r="G766" s="28"/>
      <c r="I766" s="13"/>
      <c r="J766" s="15"/>
      <c r="K766" s="15"/>
      <c r="L766" s="28"/>
      <c r="Q766" s="13"/>
      <c r="R766" s="15"/>
      <c r="S766" s="15"/>
      <c r="T766" s="28"/>
      <c r="Y766" s="13"/>
      <c r="Z766" s="15"/>
      <c r="AA766" s="34">
        <f>$F$14</f>
        <v>350</v>
      </c>
      <c r="AB766" s="28"/>
      <c r="AG766" s="13"/>
      <c r="AH766" s="15"/>
      <c r="AI766" s="15"/>
      <c r="AJ766" s="28"/>
      <c r="AK766" s="13"/>
      <c r="AL766" s="15"/>
      <c r="AM766" s="15"/>
      <c r="AN766" s="28"/>
      <c r="AO766" s="13"/>
      <c r="AP766" s="15"/>
      <c r="AQ766" s="15"/>
      <c r="AR766" s="28"/>
      <c r="AS766" s="15"/>
      <c r="AT766" s="15"/>
      <c r="AU766" s="15"/>
      <c r="AV766" s="15"/>
      <c r="AW766" s="13"/>
      <c r="AX766" s="15"/>
      <c r="AY766" s="15"/>
      <c r="AZ766" s="28"/>
      <c r="BA766" s="15"/>
      <c r="BB766" s="15"/>
      <c r="BC766" s="15"/>
      <c r="BD766" s="15"/>
      <c r="BE766" s="14"/>
      <c r="BF766" s="41">
        <f>$F$14</f>
        <v>350</v>
      </c>
      <c r="BG766" s="34">
        <f t="shared" si="2018"/>
        <v>0</v>
      </c>
      <c r="BH766" s="35">
        <f t="shared" si="2015"/>
        <v>350</v>
      </c>
    </row>
    <row r="767" ht="15.75" customHeight="1" hidden="1" spans="1:62" x14ac:dyDescent="0.25">
      <c r="A767" s="50">
        <v>96</v>
      </c>
      <c r="B767" s="21"/>
      <c r="C767" s="22" t="s">
        <v>53</v>
      </c>
      <c r="D767" s="21"/>
      <c r="E767" s="22"/>
      <c r="F767" s="20"/>
      <c r="G767" s="23"/>
      <c r="H767" s="51">
        <f>SUM(H760:H766)</f>
        <v>0</v>
      </c>
      <c r="I767" s="52"/>
      <c r="J767" s="53"/>
      <c r="K767" s="51">
        <f t="shared" ref="K767:L767" si="2019">SUM(K760:K766)</f>
        <v>0</v>
      </c>
      <c r="L767" s="68">
        <f t="shared" si="2019"/>
        <v>0</v>
      </c>
      <c r="M767" s="53"/>
      <c r="N767" s="53"/>
      <c r="O767" s="51">
        <f t="shared" ref="O767:P767" si="2020">SUM(O761:O766)</f>
        <v>0</v>
      </c>
      <c r="P767" s="51">
        <f t="shared" si="2020"/>
        <v>0</v>
      </c>
      <c r="Q767" s="52"/>
      <c r="R767" s="53"/>
      <c r="S767" s="51">
        <f t="shared" ref="S767:T767" si="2021">SUM(S761:S766)</f>
        <v>0</v>
      </c>
      <c r="T767" s="68">
        <f t="shared" si="2021"/>
        <v>0</v>
      </c>
      <c r="U767" s="53"/>
      <c r="V767" s="53"/>
      <c r="W767" s="51">
        <f t="shared" ref="W767:X767" si="2022">SUM(W761:W766)</f>
        <v>0</v>
      </c>
      <c r="X767" s="51">
        <f t="shared" si="2022"/>
        <v>0</v>
      </c>
      <c r="Y767" s="52"/>
      <c r="Z767" s="53"/>
      <c r="AA767" s="51">
        <f t="shared" ref="AA767:AB767" si="2023">SUM(AA761:AA766)</f>
        <v>350</v>
      </c>
      <c r="AB767" s="68">
        <f t="shared" si="2023"/>
        <v>0</v>
      </c>
      <c r="AC767" s="53"/>
      <c r="AD767" s="53"/>
      <c r="AE767" s="51">
        <f t="shared" ref="AE767:AF767" si="2024">SUM(AE761:AE766)</f>
        <v>4740.4448</v>
      </c>
      <c r="AF767" s="51">
        <f t="shared" si="2024"/>
        <v>0</v>
      </c>
      <c r="AG767" s="52"/>
      <c r="AH767" s="53"/>
      <c r="AI767" s="51">
        <f t="shared" ref="AI767:AJ767" si="2025">SUM(AI761:AI766)</f>
        <v>0</v>
      </c>
      <c r="AJ767" s="68">
        <f t="shared" si="2025"/>
        <v>0</v>
      </c>
      <c r="AK767" s="52"/>
      <c r="AL767" s="53"/>
      <c r="AM767" s="51">
        <f t="shared" ref="AM767:AN767" si="2026">SUM(AM761:AM766)</f>
        <v>0</v>
      </c>
      <c r="AN767" s="68">
        <f t="shared" si="2026"/>
        <v>0</v>
      </c>
      <c r="AO767" s="52"/>
      <c r="AP767" s="53"/>
      <c r="AQ767" s="51">
        <f t="shared" ref="AQ767:AR767" si="2027">SUM(AQ761:AQ766)</f>
        <v>0</v>
      </c>
      <c r="AR767" s="68">
        <f t="shared" si="2027"/>
        <v>0</v>
      </c>
      <c r="AS767" s="53"/>
      <c r="AT767" s="53"/>
      <c r="AU767" s="51">
        <f t="shared" ref="AU767:AV767" si="2028">SUM(AU761:AU766)</f>
        <v>0</v>
      </c>
      <c r="AV767" s="51">
        <f t="shared" si="2028"/>
        <v>0</v>
      </c>
      <c r="AW767" s="52"/>
      <c r="AX767" s="53"/>
      <c r="AY767" s="51">
        <f t="shared" ref="AY767:AZ767" si="2029">SUM(AY761:AY766)</f>
        <v>0</v>
      </c>
      <c r="AZ767" s="68">
        <f t="shared" si="2029"/>
        <v>0</v>
      </c>
      <c r="BA767" s="53"/>
      <c r="BB767" s="53"/>
      <c r="BC767" s="51">
        <f t="shared" ref="BC767:BD767" si="2030">SUM(BC761:BC766)</f>
        <v>0</v>
      </c>
      <c r="BD767" s="51">
        <f t="shared" si="2030"/>
        <v>0</v>
      </c>
      <c r="BE767" s="69"/>
      <c r="BF767" s="70">
        <f t="shared" ref="BF767:BH767" si="2031">SUM(BF760:BF766)</f>
        <v>5090.4448</v>
      </c>
      <c r="BG767" s="71">
        <f t="shared" si="2031"/>
        <v>0</v>
      </c>
      <c r="BH767" s="72">
        <f t="shared" si="2031"/>
        <v>5090.4448</v>
      </c>
      <c r="BI767" s="34">
        <f>H767+BF767-BG767</f>
        <v>5090.4448</v>
      </c>
      <c r="BJ767" s="34">
        <f>BH767-BI767</f>
        <v>0</v>
      </c>
    </row>
    <row r="768" ht="15.75" customHeight="1" hidden="1" spans="1:60" x14ac:dyDescent="0.25">
      <c r="A768" s="29">
        <v>98</v>
      </c>
      <c r="B768" s="14"/>
      <c r="D768" s="14" t="s">
        <v>42</v>
      </c>
      <c r="F768" s="13"/>
      <c r="G768" s="28"/>
      <c r="I768" s="13"/>
      <c r="J768" s="15"/>
      <c r="K768" s="15"/>
      <c r="L768" s="28"/>
      <c r="Q768" s="13"/>
      <c r="R768" s="15"/>
      <c r="S768" s="15"/>
      <c r="T768" s="28"/>
      <c r="Y768" s="13"/>
      <c r="Z768" s="15"/>
      <c r="AA768" s="15"/>
      <c r="AB768" s="28"/>
      <c r="AG768" s="13"/>
      <c r="AH768" s="15"/>
      <c r="AI768" s="15"/>
      <c r="AJ768" s="28"/>
      <c r="AK768" s="13"/>
      <c r="AL768" s="15"/>
      <c r="AM768" s="15"/>
      <c r="AN768" s="28"/>
      <c r="AO768" s="13"/>
      <c r="AP768" s="15"/>
      <c r="AQ768" s="15"/>
      <c r="AR768" s="28"/>
      <c r="AW768" s="13"/>
      <c r="AX768" s="15"/>
      <c r="AY768" s="15"/>
      <c r="AZ768" s="28"/>
      <c r="BE768" s="14"/>
      <c r="BF768" s="13"/>
      <c r="BG768" s="15"/>
      <c r="BH768" s="28"/>
    </row>
    <row r="769" ht="15.75" customHeight="1" hidden="1" spans="1:60" x14ac:dyDescent="0.25">
      <c r="A769" s="2">
        <v>98</v>
      </c>
      <c r="B769" s="14">
        <v>4.45</v>
      </c>
      <c r="C769" s="2" t="s">
        <v>328</v>
      </c>
      <c r="D769" s="14" t="s">
        <v>44</v>
      </c>
      <c r="E769" s="2" t="s">
        <v>45</v>
      </c>
      <c r="F769" s="13">
        <v>2.49</v>
      </c>
      <c r="G769" s="28"/>
      <c r="H769" s="74"/>
      <c r="I769" s="13"/>
      <c r="J769" s="15"/>
      <c r="K769" s="15"/>
      <c r="L769" s="28"/>
      <c r="Q769" s="13"/>
      <c r="R769" s="15"/>
      <c r="S769" s="15"/>
      <c r="T769" s="28"/>
      <c r="Y769" s="13"/>
      <c r="Z769" s="15">
        <f>Y769-U769</f>
        <v>0</v>
      </c>
      <c r="AA769" s="34">
        <f>Z769*$F$8</f>
        <v>0</v>
      </c>
      <c r="AB769" s="28"/>
      <c r="AC769" s="15"/>
      <c r="AD769" s="15">
        <f t="shared" ref="AD769:AD770" si="2032">AC769-Y769</f>
        <v>0</v>
      </c>
      <c r="AE769" s="34">
        <f>AD769*$F$8</f>
        <v>0</v>
      </c>
      <c r="AG769" s="13"/>
      <c r="AH769" s="15">
        <f t="shared" ref="AH769:AH770" si="2033">AG769-AC769</f>
        <v>0</v>
      </c>
      <c r="AI769" s="34">
        <f>AH769*$F$8</f>
        <v>0</v>
      </c>
      <c r="AJ769" s="28"/>
      <c r="AK769" s="13"/>
      <c r="AL769" s="15">
        <f t="shared" ref="AL769:AL770" si="2034">AK769-AG769</f>
        <v>0</v>
      </c>
      <c r="AM769" s="34">
        <f>AL769*$F$8</f>
        <v>0</v>
      </c>
      <c r="AN769" s="28"/>
      <c r="AO769" s="13"/>
      <c r="AP769" s="15"/>
      <c r="AQ769" s="34">
        <f>AP769*$F$8</f>
        <v>0</v>
      </c>
      <c r="AR769" s="28"/>
      <c r="AS769" s="15"/>
      <c r="AT769" s="15"/>
      <c r="AU769" s="34">
        <f>AT769*$F$8</f>
        <v>0</v>
      </c>
      <c r="AV769" s="15"/>
      <c r="AW769" s="13"/>
      <c r="AX769" s="15"/>
      <c r="AY769" s="34">
        <f>AX769*$F$8</f>
        <v>0</v>
      </c>
      <c r="AZ769" s="28"/>
      <c r="BA769" s="15"/>
      <c r="BB769" s="15"/>
      <c r="BC769" s="34">
        <f>BB769*$F$8</f>
        <v>0</v>
      </c>
      <c r="BD769" s="15"/>
      <c r="BE769" s="40">
        <f t="shared" ref="BE769:BG769" si="2035">J769+N769+R769+V769+Z769+AD769+AH769+AL769+AP769+AT769+AX769+BB769</f>
        <v>0</v>
      </c>
      <c r="BF769" s="41">
        <f t="shared" si="2035"/>
        <v>0</v>
      </c>
      <c r="BG769" s="34">
        <f t="shared" si="2035"/>
        <v>0</v>
      </c>
      <c r="BH769" s="35">
        <f t="shared" ref="BH769:BH774" si="2036">H769+BF769-BG769</f>
        <v>0</v>
      </c>
    </row>
    <row r="770" ht="15.75" customHeight="1" hidden="1" spans="1:60" x14ac:dyDescent="0.25">
      <c r="A770" s="29">
        <v>98</v>
      </c>
      <c r="B770" s="14"/>
      <c r="C770" s="2" t="s">
        <v>83</v>
      </c>
      <c r="D770" s="14" t="s">
        <v>47</v>
      </c>
      <c r="E770" s="2" t="s">
        <v>48</v>
      </c>
      <c r="F770" s="13">
        <v>17.16</v>
      </c>
      <c r="G770" s="28"/>
      <c r="H770" s="33">
        <f>-3*16.5</f>
        <v>-49.5</v>
      </c>
      <c r="I770" s="13"/>
      <c r="J770" s="15"/>
      <c r="K770" s="15"/>
      <c r="L770" s="28"/>
      <c r="Q770" s="13"/>
      <c r="R770" s="15"/>
      <c r="S770" s="15"/>
      <c r="T770" s="28"/>
      <c r="Y770" s="13">
        <v>166</v>
      </c>
      <c r="Z770" s="15"/>
      <c r="AA770" s="15"/>
      <c r="AB770" s="28"/>
      <c r="AC770" s="2">
        <v>166</v>
      </c>
      <c r="AD770" s="15">
        <f t="shared" si="2032"/>
        <v>0</v>
      </c>
      <c r="AE770" s="34">
        <f>AD770*$F$10</f>
        <v>0</v>
      </c>
      <c r="AG770" s="13">
        <v>166</v>
      </c>
      <c r="AH770" s="15">
        <f t="shared" si="2033"/>
        <v>0</v>
      </c>
      <c r="AI770" s="45">
        <f>AH770*$G$10</f>
        <v>0</v>
      </c>
      <c r="AJ770" s="28"/>
      <c r="AK770" s="13">
        <v>166</v>
      </c>
      <c r="AL770" s="15">
        <f t="shared" si="2034"/>
        <v>0</v>
      </c>
      <c r="AM770" s="45">
        <f>AL770*$G$10</f>
        <v>0</v>
      </c>
      <c r="AN770" s="28"/>
      <c r="AO770" s="13">
        <v>166</v>
      </c>
      <c r="AP770" s="15">
        <f>AO770-AK770</f>
        <v>0</v>
      </c>
      <c r="AQ770" s="45">
        <f>AP770*$G$10</f>
        <v>0</v>
      </c>
      <c r="AR770" s="28"/>
      <c r="AS770" s="15"/>
      <c r="AT770" s="15"/>
      <c r="AU770" s="15"/>
      <c r="AV770" s="15"/>
      <c r="AW770" s="13"/>
      <c r="AX770" s="15"/>
      <c r="AY770" s="15"/>
      <c r="AZ770" s="28"/>
      <c r="BA770" s="15"/>
      <c r="BB770" s="15"/>
      <c r="BC770" s="15"/>
      <c r="BD770" s="15"/>
      <c r="BE770" s="40">
        <f t="shared" ref="BE770:BG770" si="2037">J770+N770+R770+V770+Z770+AD770+AH770+AL770+AP770+AT770+AX770+BB770</f>
        <v>0</v>
      </c>
      <c r="BF770" s="41">
        <f t="shared" si="2037"/>
        <v>0</v>
      </c>
      <c r="BG770" s="34">
        <f t="shared" si="2037"/>
        <v>0</v>
      </c>
      <c r="BH770" s="35">
        <f t="shared" si="2036"/>
        <v>-49.5</v>
      </c>
    </row>
    <row r="771" ht="15.75" customHeight="1" hidden="1" spans="1:60" x14ac:dyDescent="0.25">
      <c r="A771" s="29">
        <v>98</v>
      </c>
      <c r="B771" s="14"/>
      <c r="C771" s="2" t="s">
        <v>129</v>
      </c>
      <c r="D771" s="14" t="s">
        <v>47</v>
      </c>
      <c r="E771" s="2" t="s">
        <v>49</v>
      </c>
      <c r="F771" s="41">
        <v>300</v>
      </c>
      <c r="G771" s="28"/>
      <c r="I771" s="13"/>
      <c r="J771" s="15"/>
      <c r="K771" s="15"/>
      <c r="L771" s="28"/>
      <c r="Q771" s="13"/>
      <c r="R771" s="15"/>
      <c r="S771" s="15"/>
      <c r="T771" s="28"/>
      <c r="Y771" s="13"/>
      <c r="Z771" s="15"/>
      <c r="AA771" s="15"/>
      <c r="AB771" s="28"/>
      <c r="AG771" s="13"/>
      <c r="AH771" s="15"/>
      <c r="AI771" s="15"/>
      <c r="AJ771" s="28"/>
      <c r="AK771" s="13"/>
      <c r="AL771" s="15"/>
      <c r="AM771" s="34"/>
      <c r="AN771" s="28"/>
      <c r="AO771" s="13"/>
      <c r="AP771" s="15"/>
      <c r="AQ771" s="34"/>
      <c r="AR771" s="28"/>
      <c r="AS771" s="15"/>
      <c r="AT771" s="15"/>
      <c r="AU771" s="15"/>
      <c r="AV771" s="15"/>
      <c r="AW771" s="13"/>
      <c r="AX771" s="15"/>
      <c r="AY771" s="15"/>
      <c r="AZ771" s="28"/>
      <c r="BA771" s="15"/>
      <c r="BB771" s="15"/>
      <c r="BC771" s="15"/>
      <c r="BD771" s="15"/>
      <c r="BE771" s="14"/>
      <c r="BF771" s="41">
        <f t="shared" ref="BF771:BG771" si="2038">K771+O771+S771+W771+AA771+AE771+AI771+AM771+AQ771+AU771+AY771+BC771</f>
        <v>0</v>
      </c>
      <c r="BG771" s="34">
        <f t="shared" si="2038"/>
        <v>0</v>
      </c>
      <c r="BH771" s="35">
        <f t="shared" si="2036"/>
        <v>0</v>
      </c>
    </row>
    <row r="772" ht="15.75" customHeight="1" hidden="1" spans="1:60" x14ac:dyDescent="0.25">
      <c r="A772" s="29">
        <v>98</v>
      </c>
      <c r="B772" s="14"/>
      <c r="C772" s="2" t="s">
        <v>329</v>
      </c>
      <c r="D772" s="14" t="s">
        <v>50</v>
      </c>
      <c r="E772" s="2" t="s">
        <v>49</v>
      </c>
      <c r="F772" s="41">
        <v>1062.88</v>
      </c>
      <c r="G772" s="28"/>
      <c r="H772" s="34">
        <f>400+3560</f>
        <v>3960</v>
      </c>
      <c r="I772" s="13"/>
      <c r="J772" s="15"/>
      <c r="K772" s="15"/>
      <c r="L772" s="28"/>
      <c r="Q772" s="13"/>
      <c r="R772" s="15"/>
      <c r="S772" s="15"/>
      <c r="T772" s="28"/>
      <c r="Y772" s="13"/>
      <c r="Z772" s="15"/>
      <c r="AA772" s="15"/>
      <c r="AB772" s="28"/>
      <c r="AE772" s="34">
        <f>B769*$F$12</f>
        <v>4729.816</v>
      </c>
      <c r="AG772" s="13"/>
      <c r="AH772" s="15"/>
      <c r="AI772" s="15"/>
      <c r="AJ772" s="38">
        <v>1000</v>
      </c>
      <c r="AK772" s="13"/>
      <c r="AL772" s="15"/>
      <c r="AM772" s="15"/>
      <c r="AN772" s="28"/>
      <c r="AO772" s="13"/>
      <c r="AP772" s="15"/>
      <c r="AQ772" s="15"/>
      <c r="AR772" s="28"/>
      <c r="AS772" s="15"/>
      <c r="AT772" s="15"/>
      <c r="AU772" s="15"/>
      <c r="AV772" s="15"/>
      <c r="AW772" s="13"/>
      <c r="AX772" s="15"/>
      <c r="AY772" s="15"/>
      <c r="AZ772" s="28"/>
      <c r="BA772" s="15"/>
      <c r="BB772" s="15"/>
      <c r="BC772" s="15"/>
      <c r="BD772" s="15"/>
      <c r="BE772" s="14"/>
      <c r="BF772" s="41">
        <f>B769*$F$12</f>
        <v>4729.816</v>
      </c>
      <c r="BG772" s="34">
        <f t="shared" ref="BG772:BG774" si="2039">L772+P772+T772+X772+AB772+AF772+AJ772+AN772+AR772+AV772+AZ772+BD772</f>
        <v>1000</v>
      </c>
      <c r="BH772" s="35">
        <f t="shared" si="2036"/>
        <v>7689.816</v>
      </c>
    </row>
    <row r="773" ht="15.75" customHeight="1" hidden="1" spans="1:60" x14ac:dyDescent="0.25">
      <c r="A773" s="29">
        <v>98</v>
      </c>
      <c r="B773" s="14"/>
      <c r="D773" s="14" t="s">
        <v>51</v>
      </c>
      <c r="E773" s="2" t="s">
        <v>49</v>
      </c>
      <c r="F773" s="41">
        <v>0</v>
      </c>
      <c r="G773" s="28"/>
      <c r="H773" s="34">
        <f>1000+890</f>
        <v>1890</v>
      </c>
      <c r="I773" s="13"/>
      <c r="J773" s="15"/>
      <c r="K773" s="15"/>
      <c r="L773" s="28"/>
      <c r="Q773" s="13"/>
      <c r="R773" s="15"/>
      <c r="S773" s="15"/>
      <c r="T773" s="28"/>
      <c r="Y773" s="13"/>
      <c r="Z773" s="15"/>
      <c r="AA773" s="15"/>
      <c r="AB773" s="28"/>
      <c r="AG773" s="13"/>
      <c r="AH773" s="15"/>
      <c r="AI773" s="15"/>
      <c r="AJ773" s="28"/>
      <c r="AK773" s="13"/>
      <c r="AL773" s="15"/>
      <c r="AM773" s="15"/>
      <c r="AN773" s="28"/>
      <c r="AO773" s="13"/>
      <c r="AP773" s="15"/>
      <c r="AQ773" s="15"/>
      <c r="AR773" s="28"/>
      <c r="AS773" s="15"/>
      <c r="AT773" s="15"/>
      <c r="AU773" s="15"/>
      <c r="AV773" s="15"/>
      <c r="AW773" s="13"/>
      <c r="AX773" s="15"/>
      <c r="AY773" s="15"/>
      <c r="AZ773" s="28"/>
      <c r="BA773" s="15"/>
      <c r="BB773" s="15"/>
      <c r="BC773" s="15"/>
      <c r="BD773" s="15"/>
      <c r="BE773" s="14"/>
      <c r="BF773" s="41">
        <f>B769*$F$13</f>
        <v>0</v>
      </c>
      <c r="BG773" s="34">
        <f t="shared" si="2039"/>
        <v>0</v>
      </c>
      <c r="BH773" s="35">
        <f t="shared" si="2036"/>
        <v>1890</v>
      </c>
    </row>
    <row r="774" ht="15.75" customHeight="1" hidden="1" spans="1:60" x14ac:dyDescent="0.25">
      <c r="A774" s="29">
        <v>98</v>
      </c>
      <c r="B774" s="14"/>
      <c r="D774" s="14" t="s">
        <v>52</v>
      </c>
      <c r="E774" s="2" t="s">
        <v>39</v>
      </c>
      <c r="F774" s="41">
        <v>350</v>
      </c>
      <c r="G774" s="28"/>
      <c r="H774" s="34">
        <f>250+300+300</f>
        <v>850</v>
      </c>
      <c r="I774" s="13"/>
      <c r="J774" s="15"/>
      <c r="K774" s="15"/>
      <c r="L774" s="28"/>
      <c r="Q774" s="13"/>
      <c r="R774" s="15"/>
      <c r="S774" s="15"/>
      <c r="T774" s="28"/>
      <c r="Y774" s="13"/>
      <c r="Z774" s="15"/>
      <c r="AA774" s="34">
        <f>$F$14</f>
        <v>350</v>
      </c>
      <c r="AB774" s="28"/>
      <c r="AG774" s="13"/>
      <c r="AH774" s="15"/>
      <c r="AI774" s="15"/>
      <c r="AJ774" s="28"/>
      <c r="AK774" s="13"/>
      <c r="AL774" s="15"/>
      <c r="AM774" s="15"/>
      <c r="AN774" s="28"/>
      <c r="AO774" s="13"/>
      <c r="AP774" s="15"/>
      <c r="AQ774" s="15"/>
      <c r="AR774" s="28"/>
      <c r="AS774" s="15"/>
      <c r="AT774" s="15"/>
      <c r="AU774" s="15"/>
      <c r="AV774" s="15"/>
      <c r="AW774" s="13"/>
      <c r="AX774" s="15"/>
      <c r="AY774" s="15"/>
      <c r="AZ774" s="28"/>
      <c r="BA774" s="15"/>
      <c r="BB774" s="15"/>
      <c r="BC774" s="15"/>
      <c r="BD774" s="15"/>
      <c r="BE774" s="14"/>
      <c r="BF774" s="41">
        <f>$F$14</f>
        <v>350</v>
      </c>
      <c r="BG774" s="34">
        <f t="shared" si="2039"/>
        <v>0</v>
      </c>
      <c r="BH774" s="35">
        <f t="shared" si="2036"/>
        <v>1200</v>
      </c>
    </row>
    <row r="775" ht="15.75" customHeight="1" hidden="1" spans="1:62" x14ac:dyDescent="0.25">
      <c r="A775" s="50">
        <v>98</v>
      </c>
      <c r="B775" s="21"/>
      <c r="C775" s="22" t="s">
        <v>53</v>
      </c>
      <c r="D775" s="21"/>
      <c r="E775" s="22"/>
      <c r="F775" s="20"/>
      <c r="G775" s="23"/>
      <c r="H775" s="51">
        <f>SUM(H768:H774)</f>
        <v>6650.5</v>
      </c>
      <c r="I775" s="52"/>
      <c r="J775" s="53"/>
      <c r="K775" s="51">
        <f t="shared" ref="K775:L775" si="2040">SUM(K768:K774)</f>
        <v>0</v>
      </c>
      <c r="L775" s="68">
        <f t="shared" si="2040"/>
        <v>0</v>
      </c>
      <c r="M775" s="53"/>
      <c r="N775" s="53"/>
      <c r="O775" s="51">
        <f t="shared" ref="O775:P775" si="2041">SUM(O769:O774)</f>
        <v>0</v>
      </c>
      <c r="P775" s="51">
        <f t="shared" si="2041"/>
        <v>0</v>
      </c>
      <c r="Q775" s="52"/>
      <c r="R775" s="53"/>
      <c r="S775" s="51">
        <f t="shared" ref="S775:T775" si="2042">SUM(S769:S774)</f>
        <v>0</v>
      </c>
      <c r="T775" s="68">
        <f t="shared" si="2042"/>
        <v>0</v>
      </c>
      <c r="U775" s="53"/>
      <c r="V775" s="53"/>
      <c r="W775" s="51">
        <f t="shared" ref="W775:X775" si="2043">SUM(W769:W774)</f>
        <v>0</v>
      </c>
      <c r="X775" s="51">
        <f t="shared" si="2043"/>
        <v>0</v>
      </c>
      <c r="Y775" s="52"/>
      <c r="Z775" s="53"/>
      <c r="AA775" s="51">
        <f t="shared" ref="AA775:AB775" si="2044">SUM(AA769:AA774)</f>
        <v>350</v>
      </c>
      <c r="AB775" s="68">
        <f t="shared" si="2044"/>
        <v>0</v>
      </c>
      <c r="AC775" s="53"/>
      <c r="AD775" s="53"/>
      <c r="AE775" s="51">
        <f t="shared" ref="AE775:AF775" si="2045">SUM(AE769:AE774)</f>
        <v>4729.816</v>
      </c>
      <c r="AF775" s="51">
        <f t="shared" si="2045"/>
        <v>0</v>
      </c>
      <c r="AG775" s="52"/>
      <c r="AH775" s="53"/>
      <c r="AI775" s="51">
        <f t="shared" ref="AI775:AJ775" si="2046">SUM(AI769:AI774)</f>
        <v>0</v>
      </c>
      <c r="AJ775" s="68">
        <f t="shared" si="2046"/>
        <v>1000</v>
      </c>
      <c r="AK775" s="52"/>
      <c r="AL775" s="53"/>
      <c r="AM775" s="51">
        <f t="shared" ref="AM775:AN775" si="2047">SUM(AM769:AM774)</f>
        <v>0</v>
      </c>
      <c r="AN775" s="68">
        <f t="shared" si="2047"/>
        <v>0</v>
      </c>
      <c r="AO775" s="52"/>
      <c r="AP775" s="53"/>
      <c r="AQ775" s="51">
        <f t="shared" ref="AQ775:AR775" si="2048">SUM(AQ769:AQ774)</f>
        <v>0</v>
      </c>
      <c r="AR775" s="68">
        <f t="shared" si="2048"/>
        <v>0</v>
      </c>
      <c r="AS775" s="53"/>
      <c r="AT775" s="53"/>
      <c r="AU775" s="51">
        <f t="shared" ref="AU775:AV775" si="2049">SUM(AU769:AU774)</f>
        <v>0</v>
      </c>
      <c r="AV775" s="51">
        <f t="shared" si="2049"/>
        <v>0</v>
      </c>
      <c r="AW775" s="52"/>
      <c r="AX775" s="53"/>
      <c r="AY775" s="51">
        <f t="shared" ref="AY775:AZ775" si="2050">SUM(AY769:AY774)</f>
        <v>0</v>
      </c>
      <c r="AZ775" s="68">
        <f t="shared" si="2050"/>
        <v>0</v>
      </c>
      <c r="BA775" s="53"/>
      <c r="BB775" s="53"/>
      <c r="BC775" s="51">
        <f t="shared" ref="BC775:BD775" si="2051">SUM(BC769:BC774)</f>
        <v>0</v>
      </c>
      <c r="BD775" s="51">
        <f t="shared" si="2051"/>
        <v>0</v>
      </c>
      <c r="BE775" s="69"/>
      <c r="BF775" s="70">
        <f t="shared" ref="BF775:BH775" si="2052">SUM(BF768:BF774)</f>
        <v>5079.816</v>
      </c>
      <c r="BG775" s="71">
        <f t="shared" si="2052"/>
        <v>1000</v>
      </c>
      <c r="BH775" s="72">
        <f t="shared" si="2052"/>
        <v>10730.316</v>
      </c>
      <c r="BI775" s="34">
        <f>H775+BF775-BG775</f>
        <v>10730.316</v>
      </c>
      <c r="BJ775" s="34">
        <f>BH775-BI775</f>
        <v>0</v>
      </c>
    </row>
    <row r="776" ht="15.75" customHeight="1" hidden="1" spans="1:60" x14ac:dyDescent="0.25">
      <c r="A776" s="29">
        <v>100</v>
      </c>
      <c r="B776" s="14"/>
      <c r="D776" s="14" t="s">
        <v>42</v>
      </c>
      <c r="F776" s="13"/>
      <c r="G776" s="28"/>
      <c r="I776" s="13"/>
      <c r="J776" s="15"/>
      <c r="K776" s="15"/>
      <c r="L776" s="28"/>
      <c r="Q776" s="13"/>
      <c r="R776" s="15"/>
      <c r="S776" s="15"/>
      <c r="T776" s="28"/>
      <c r="Y776" s="13"/>
      <c r="Z776" s="15"/>
      <c r="AA776" s="15"/>
      <c r="AB776" s="28"/>
      <c r="AG776" s="13"/>
      <c r="AH776" s="15"/>
      <c r="AI776" s="15"/>
      <c r="AJ776" s="28"/>
      <c r="AK776" s="13"/>
      <c r="AL776" s="15"/>
      <c r="AM776" s="15"/>
      <c r="AN776" s="28"/>
      <c r="AO776" s="13"/>
      <c r="AP776" s="15"/>
      <c r="AQ776" s="15"/>
      <c r="AR776" s="28"/>
      <c r="AW776" s="13"/>
      <c r="AX776" s="15"/>
      <c r="AY776" s="15"/>
      <c r="AZ776" s="28"/>
      <c r="BE776" s="14"/>
      <c r="BF776" s="13"/>
      <c r="BG776" s="15"/>
      <c r="BH776" s="28"/>
    </row>
    <row r="777" ht="15.75" customHeight="1" hidden="1" spans="1:60" x14ac:dyDescent="0.25">
      <c r="A777" s="2">
        <v>100</v>
      </c>
      <c r="B777" s="14">
        <v>4.47</v>
      </c>
      <c r="C777" s="2" t="s">
        <v>330</v>
      </c>
      <c r="D777" s="14" t="s">
        <v>44</v>
      </c>
      <c r="E777" s="2" t="s">
        <v>45</v>
      </c>
      <c r="F777" s="13">
        <v>2.49</v>
      </c>
      <c r="G777" s="28"/>
      <c r="H777" s="2">
        <v>94.62</v>
      </c>
      <c r="I777" s="13">
        <v>165</v>
      </c>
      <c r="J777" s="15">
        <v>0</v>
      </c>
      <c r="K777" s="34">
        <f>J777*$F$8</f>
        <v>0</v>
      </c>
      <c r="L777" s="28"/>
      <c r="M777" s="2">
        <v>165</v>
      </c>
      <c r="N777" s="15">
        <f>M777-I777</f>
        <v>0</v>
      </c>
      <c r="O777" s="34">
        <f>N777*$F$8</f>
        <v>0</v>
      </c>
      <c r="Q777" s="13">
        <v>165</v>
      </c>
      <c r="R777" s="15">
        <f>Q777-M777</f>
        <v>0</v>
      </c>
      <c r="S777" s="34">
        <f>R777*$F$8</f>
        <v>0</v>
      </c>
      <c r="T777" s="28"/>
      <c r="U777" s="2">
        <v>188</v>
      </c>
      <c r="V777" s="15">
        <f>U777-Q777</f>
        <v>23</v>
      </c>
      <c r="W777" s="34">
        <f>V777*$F$8</f>
        <v>57.27</v>
      </c>
      <c r="Y777" s="13">
        <v>236</v>
      </c>
      <c r="Z777" s="15">
        <f>Y777-U777</f>
        <v>48</v>
      </c>
      <c r="AA777" s="34">
        <f>Z777*$F$8</f>
        <v>119.52</v>
      </c>
      <c r="AB777" s="28"/>
      <c r="AC777" s="2">
        <v>263</v>
      </c>
      <c r="AD777" s="15">
        <f t="shared" ref="AD777:AD778" si="2053">AC777-Y777</f>
        <v>27</v>
      </c>
      <c r="AE777" s="34">
        <f>AD777*$F$8</f>
        <v>67.23</v>
      </c>
      <c r="AG777" s="13">
        <v>272</v>
      </c>
      <c r="AH777" s="15">
        <f t="shared" ref="AH777:AH778" si="2054">AG777-AC777</f>
        <v>9</v>
      </c>
      <c r="AI777" s="34">
        <f>AH777*$F$8</f>
        <v>22.41</v>
      </c>
      <c r="AJ777" s="32">
        <f>94.62+57.27+119.52+67.23</f>
        <v>338.64</v>
      </c>
      <c r="AK777" s="13">
        <v>287</v>
      </c>
      <c r="AL777" s="15">
        <f t="shared" ref="AL777:AL778" si="2055">AK777-AG777</f>
        <v>15</v>
      </c>
      <c r="AM777" s="34">
        <f>AL777*$F$8</f>
        <v>37.35</v>
      </c>
      <c r="AN777" s="28"/>
      <c r="AO777" s="13">
        <v>310</v>
      </c>
      <c r="AP777" s="15">
        <f t="shared" ref="AP777:AP778" si="2056">AO777-AK777</f>
        <v>23</v>
      </c>
      <c r="AQ777" s="34">
        <f>AP777*$F$8</f>
        <v>57.27</v>
      </c>
      <c r="AR777" s="28"/>
      <c r="AS777" s="15">
        <v>313</v>
      </c>
      <c r="AT777" s="15">
        <f>AS777-AO777</f>
        <v>3</v>
      </c>
      <c r="AU777" s="34">
        <f>AT777*$F$8</f>
        <v>7.47</v>
      </c>
      <c r="AV777" s="15"/>
      <c r="AW777" s="13">
        <v>313</v>
      </c>
      <c r="AX777" s="15">
        <f>AW777-AS777</f>
        <v>0</v>
      </c>
      <c r="AY777" s="34">
        <f>AX777*$F$8</f>
        <v>0</v>
      </c>
      <c r="AZ777" s="28"/>
      <c r="BA777" s="13">
        <v>313</v>
      </c>
      <c r="BB777" s="15">
        <f>BA777-AW777</f>
        <v>0</v>
      </c>
      <c r="BC777" s="34">
        <f>BB777*$F$8</f>
        <v>0</v>
      </c>
      <c r="BD777" s="15"/>
      <c r="BE777" s="40">
        <f t="shared" ref="BE777:BG777" si="2057">J777+N777+R777+V777+Z777+AD777+AH777+AL777+AP777+AT777+AX777+BB777</f>
        <v>148</v>
      </c>
      <c r="BF777" s="41">
        <f t="shared" si="2057"/>
        <v>368.52</v>
      </c>
      <c r="BG777" s="34">
        <f t="shared" si="2057"/>
        <v>338.64</v>
      </c>
      <c r="BH777" s="35">
        <f t="shared" ref="BH777:BH782" si="2058">H777+BF777-BG777</f>
        <v>124.5</v>
      </c>
    </row>
    <row r="778" ht="15.75" customHeight="1" hidden="1" spans="1:60" x14ac:dyDescent="0.25">
      <c r="A778" s="29">
        <v>100</v>
      </c>
      <c r="B778" s="14"/>
      <c r="C778" s="2" t="s">
        <v>153</v>
      </c>
      <c r="D778" s="14" t="s">
        <v>47</v>
      </c>
      <c r="E778" s="2" t="s">
        <v>48</v>
      </c>
      <c r="F778" s="13">
        <v>17.16</v>
      </c>
      <c r="G778" s="28"/>
      <c r="H778" s="73">
        <f>3*17.16</f>
        <v>51.48</v>
      </c>
      <c r="I778" s="13"/>
      <c r="J778" s="15"/>
      <c r="K778" s="15"/>
      <c r="L778" s="28"/>
      <c r="Q778" s="13"/>
      <c r="R778" s="15"/>
      <c r="S778" s="15"/>
      <c r="T778" s="28"/>
      <c r="Y778" s="13">
        <v>61</v>
      </c>
      <c r="Z778" s="15"/>
      <c r="AA778" s="15"/>
      <c r="AB778" s="28"/>
      <c r="AC778" s="2">
        <v>70</v>
      </c>
      <c r="AD778" s="15">
        <f t="shared" si="2053"/>
        <v>9</v>
      </c>
      <c r="AE778" s="34">
        <f>AD778*$F$10</f>
        <v>154.44</v>
      </c>
      <c r="AG778" s="13">
        <v>70</v>
      </c>
      <c r="AH778" s="15">
        <f t="shared" si="2054"/>
        <v>0</v>
      </c>
      <c r="AI778" s="45">
        <f>AH778*$G$10</f>
        <v>0</v>
      </c>
      <c r="AJ778" s="32">
        <v>154.44</v>
      </c>
      <c r="AK778" s="13">
        <v>70</v>
      </c>
      <c r="AL778" s="15">
        <f t="shared" si="2055"/>
        <v>0</v>
      </c>
      <c r="AM778" s="45">
        <f>AL778*$G$10</f>
        <v>0</v>
      </c>
      <c r="AN778" s="28"/>
      <c r="AO778" s="13">
        <v>70</v>
      </c>
      <c r="AP778" s="15">
        <f t="shared" si="2056"/>
        <v>0</v>
      </c>
      <c r="AQ778" s="45">
        <f>AP778*$G$10</f>
        <v>0</v>
      </c>
      <c r="AR778" s="28"/>
      <c r="AS778" s="15"/>
      <c r="AT778" s="15"/>
      <c r="AU778" s="15"/>
      <c r="AV778" s="15"/>
      <c r="AW778" s="13"/>
      <c r="AX778" s="15"/>
      <c r="AY778" s="15"/>
      <c r="AZ778" s="28"/>
      <c r="BA778" s="15"/>
      <c r="BB778" s="15"/>
      <c r="BC778" s="15"/>
      <c r="BD778" s="15"/>
      <c r="BE778" s="40">
        <f t="shared" ref="BE778:BG778" si="2059">J778+N778+R778+V778+Z778+AD778+AH778+AL778+AP778+AT778+AX778+BB778</f>
        <v>9</v>
      </c>
      <c r="BF778" s="41">
        <f t="shared" si="2059"/>
        <v>154.44</v>
      </c>
      <c r="BG778" s="34">
        <f t="shared" si="2059"/>
        <v>154.44</v>
      </c>
      <c r="BH778" s="35">
        <f t="shared" si="2058"/>
        <v>51.48</v>
      </c>
    </row>
    <row r="779" ht="15.75" customHeight="1" hidden="1" spans="1:60" x14ac:dyDescent="0.25">
      <c r="A779" s="29">
        <v>100</v>
      </c>
      <c r="B779" s="14"/>
      <c r="C779" s="2" t="s">
        <v>80</v>
      </c>
      <c r="D779" s="14" t="s">
        <v>47</v>
      </c>
      <c r="E779" s="2" t="s">
        <v>49</v>
      </c>
      <c r="F779" s="41">
        <v>300</v>
      </c>
      <c r="G779" s="28"/>
      <c r="I779" s="13"/>
      <c r="J779" s="15"/>
      <c r="K779" s="15"/>
      <c r="L779" s="28"/>
      <c r="Q779" s="13"/>
      <c r="R779" s="15"/>
      <c r="S779" s="15"/>
      <c r="T779" s="28"/>
      <c r="Y779" s="13"/>
      <c r="Z779" s="15"/>
      <c r="AA779" s="15"/>
      <c r="AB779" s="28"/>
      <c r="AG779" s="13"/>
      <c r="AH779" s="15"/>
      <c r="AI779" s="15"/>
      <c r="AJ779" s="28"/>
      <c r="AK779" s="13"/>
      <c r="AL779" s="15"/>
      <c r="AM779" s="34"/>
      <c r="AN779" s="28"/>
      <c r="AO779" s="13"/>
      <c r="AP779" s="15"/>
      <c r="AQ779" s="34"/>
      <c r="AR779" s="28"/>
      <c r="AS779" s="15"/>
      <c r="AT779" s="15"/>
      <c r="AU779" s="15"/>
      <c r="AV779" s="15"/>
      <c r="AW779" s="13"/>
      <c r="AX779" s="15"/>
      <c r="AY779" s="15"/>
      <c r="AZ779" s="28"/>
      <c r="BA779" s="15"/>
      <c r="BB779" s="15"/>
      <c r="BC779" s="15"/>
      <c r="BD779" s="15"/>
      <c r="BE779" s="14"/>
      <c r="BF779" s="41">
        <f t="shared" ref="BF779:BG779" si="2060">K779+O779+S779+W779+AA779+AE779+AI779+AM779+AQ779+AU779+AY779+BC779</f>
        <v>0</v>
      </c>
      <c r="BG779" s="34">
        <f t="shared" si="2060"/>
        <v>0</v>
      </c>
      <c r="BH779" s="35">
        <f t="shared" si="2058"/>
        <v>0</v>
      </c>
    </row>
    <row r="780" ht="15.75" customHeight="1" hidden="1" spans="1:60" x14ac:dyDescent="0.25">
      <c r="A780" s="29">
        <v>100</v>
      </c>
      <c r="B780" s="14"/>
      <c r="D780" s="14" t="s">
        <v>50</v>
      </c>
      <c r="E780" s="2" t="s">
        <v>49</v>
      </c>
      <c r="F780" s="41">
        <v>1062.88</v>
      </c>
      <c r="G780" s="28"/>
      <c r="H780" s="34">
        <v>576</v>
      </c>
      <c r="I780" s="13"/>
      <c r="J780" s="15"/>
      <c r="K780" s="15"/>
      <c r="L780" s="28"/>
      <c r="Q780" s="13"/>
      <c r="R780" s="15"/>
      <c r="S780" s="15"/>
      <c r="T780" s="28"/>
      <c r="Y780" s="13"/>
      <c r="Z780" s="15"/>
      <c r="AA780" s="15"/>
      <c r="AB780" s="28"/>
      <c r="AE780" s="34">
        <f>B777*$F$12</f>
        <v>4751.0736</v>
      </c>
      <c r="AG780" s="13"/>
      <c r="AH780" s="15"/>
      <c r="AI780" s="15"/>
      <c r="AJ780" s="101">
        <f>576+1000</f>
        <v>1576</v>
      </c>
      <c r="AK780" s="13"/>
      <c r="AL780" s="15"/>
      <c r="AM780" s="15"/>
      <c r="AN780" s="28"/>
      <c r="AO780" s="13"/>
      <c r="AP780" s="15"/>
      <c r="AQ780" s="15"/>
      <c r="AR780" s="28"/>
      <c r="AS780" s="15"/>
      <c r="AT780" s="15"/>
      <c r="AU780" s="15"/>
      <c r="AV780" s="15"/>
      <c r="AW780" s="13"/>
      <c r="AX780" s="15"/>
      <c r="AY780" s="15"/>
      <c r="AZ780" s="28"/>
      <c r="BA780" s="15"/>
      <c r="BB780" s="15"/>
      <c r="BC780" s="15"/>
      <c r="BD780" s="15"/>
      <c r="BE780" s="14"/>
      <c r="BF780" s="41">
        <f>B777*$F$12</f>
        <v>4751.0736</v>
      </c>
      <c r="BG780" s="34">
        <f t="shared" ref="BG780:BG782" si="2061">L780+P780+T780+X780+AB780+AF780+AJ780+AN780+AR780+AV780+AZ780+BD780</f>
        <v>1576</v>
      </c>
      <c r="BH780" s="35">
        <f t="shared" si="2058"/>
        <v>3751.0736</v>
      </c>
    </row>
    <row r="781" ht="15.75" customHeight="1" hidden="1" spans="1:60" x14ac:dyDescent="0.25">
      <c r="A781" s="29">
        <v>100</v>
      </c>
      <c r="B781" s="14"/>
      <c r="D781" s="14" t="s">
        <v>51</v>
      </c>
      <c r="E781" s="2" t="s">
        <v>49</v>
      </c>
      <c r="F781" s="41">
        <v>0</v>
      </c>
      <c r="G781" s="28"/>
      <c r="H781" s="34">
        <v>894</v>
      </c>
      <c r="I781" s="13"/>
      <c r="J781" s="15"/>
      <c r="K781" s="15"/>
      <c r="L781" s="28"/>
      <c r="Q781" s="13"/>
      <c r="R781" s="15"/>
      <c r="S781" s="15"/>
      <c r="T781" s="28"/>
      <c r="Y781" s="13"/>
      <c r="Z781" s="15"/>
      <c r="AA781" s="15"/>
      <c r="AB781" s="28"/>
      <c r="AG781" s="13"/>
      <c r="AH781" s="15"/>
      <c r="AI781" s="15"/>
      <c r="AJ781" s="101">
        <v>894</v>
      </c>
      <c r="AK781" s="13"/>
      <c r="AL781" s="15"/>
      <c r="AM781" s="15"/>
      <c r="AN781" s="28"/>
      <c r="AO781" s="13"/>
      <c r="AP781" s="15"/>
      <c r="AQ781" s="15"/>
      <c r="AR781" s="28"/>
      <c r="AS781" s="15"/>
      <c r="AT781" s="15"/>
      <c r="AU781" s="15"/>
      <c r="AV781" s="15"/>
      <c r="AW781" s="13"/>
      <c r="AX781" s="15"/>
      <c r="AY781" s="15"/>
      <c r="AZ781" s="28"/>
      <c r="BA781" s="15"/>
      <c r="BB781" s="15"/>
      <c r="BC781" s="15"/>
      <c r="BD781" s="15"/>
      <c r="BE781" s="14"/>
      <c r="BF781" s="41">
        <f>B777*$F$13</f>
        <v>0</v>
      </c>
      <c r="BG781" s="34">
        <f t="shared" si="2061"/>
        <v>894</v>
      </c>
      <c r="BH781" s="35">
        <f t="shared" si="2058"/>
        <v>0</v>
      </c>
    </row>
    <row r="782" ht="15.75" customHeight="1" hidden="1" spans="1:60" x14ac:dyDescent="0.25">
      <c r="A782" s="29">
        <v>100</v>
      </c>
      <c r="B782" s="14"/>
      <c r="D782" s="14" t="s">
        <v>52</v>
      </c>
      <c r="E782" s="2" t="s">
        <v>39</v>
      </c>
      <c r="F782" s="41">
        <v>350</v>
      </c>
      <c r="G782" s="28"/>
      <c r="I782" s="13"/>
      <c r="J782" s="15"/>
      <c r="K782" s="15"/>
      <c r="L782" s="28"/>
      <c r="Q782" s="13"/>
      <c r="R782" s="15"/>
      <c r="S782" s="15"/>
      <c r="T782" s="28"/>
      <c r="Y782" s="13"/>
      <c r="Z782" s="15"/>
      <c r="AA782" s="34">
        <f>$F$14</f>
        <v>350</v>
      </c>
      <c r="AB782" s="28"/>
      <c r="AG782" s="13"/>
      <c r="AH782" s="15"/>
      <c r="AI782" s="15"/>
      <c r="AJ782" s="28"/>
      <c r="AK782" s="13"/>
      <c r="AL782" s="15"/>
      <c r="AM782" s="15"/>
      <c r="AN782" s="28"/>
      <c r="AO782" s="13"/>
      <c r="AP782" s="15"/>
      <c r="AQ782" s="15"/>
      <c r="AR782" s="28"/>
      <c r="AS782" s="15"/>
      <c r="AT782" s="15"/>
      <c r="AU782" s="15"/>
      <c r="AV782" s="15"/>
      <c r="AW782" s="13"/>
      <c r="AX782" s="15"/>
      <c r="AY782" s="15"/>
      <c r="AZ782" s="28"/>
      <c r="BA782" s="15"/>
      <c r="BB782" s="15"/>
      <c r="BC782" s="15"/>
      <c r="BD782" s="15"/>
      <c r="BE782" s="14"/>
      <c r="BF782" s="41">
        <f>$F$14</f>
        <v>350</v>
      </c>
      <c r="BG782" s="34">
        <f t="shared" si="2061"/>
        <v>0</v>
      </c>
      <c r="BH782" s="35">
        <f t="shared" si="2058"/>
        <v>350</v>
      </c>
    </row>
    <row r="783" ht="15.75" customHeight="1" hidden="1" spans="1:62" x14ac:dyDescent="0.25">
      <c r="A783" s="50">
        <v>100</v>
      </c>
      <c r="B783" s="21"/>
      <c r="C783" s="22" t="s">
        <v>53</v>
      </c>
      <c r="D783" s="21"/>
      <c r="E783" s="22"/>
      <c r="F783" s="20"/>
      <c r="G783" s="23"/>
      <c r="H783" s="51">
        <f>SUM(H776:H782)</f>
        <v>1616.1</v>
      </c>
      <c r="I783" s="52"/>
      <c r="J783" s="53"/>
      <c r="K783" s="51">
        <f t="shared" ref="K783:L783" si="2062">SUM(K776:K782)</f>
        <v>0</v>
      </c>
      <c r="L783" s="68">
        <f t="shared" si="2062"/>
        <v>0</v>
      </c>
      <c r="M783" s="53"/>
      <c r="N783" s="53"/>
      <c r="O783" s="51">
        <f t="shared" ref="O783:P783" si="2063">SUM(O777:O782)</f>
        <v>0</v>
      </c>
      <c r="P783" s="51">
        <f t="shared" si="2063"/>
        <v>0</v>
      </c>
      <c r="Q783" s="52"/>
      <c r="R783" s="53"/>
      <c r="S783" s="51">
        <f t="shared" ref="S783:T783" si="2064">SUM(S777:S782)</f>
        <v>0</v>
      </c>
      <c r="T783" s="68">
        <f t="shared" si="2064"/>
        <v>0</v>
      </c>
      <c r="U783" s="53"/>
      <c r="V783" s="53"/>
      <c r="W783" s="51">
        <f t="shared" ref="W783:X783" si="2065">SUM(W777:W782)</f>
        <v>57.27</v>
      </c>
      <c r="X783" s="51">
        <f t="shared" si="2065"/>
        <v>0</v>
      </c>
      <c r="Y783" s="52"/>
      <c r="Z783" s="53"/>
      <c r="AA783" s="51">
        <f t="shared" ref="AA783:AB783" si="2066">SUM(AA777:AA782)</f>
        <v>469.52</v>
      </c>
      <c r="AB783" s="68">
        <f t="shared" si="2066"/>
        <v>0</v>
      </c>
      <c r="AC783" s="53"/>
      <c r="AD783" s="53"/>
      <c r="AE783" s="51">
        <f t="shared" ref="AE783:AF783" si="2067">SUM(AE777:AE782)</f>
        <v>4972.7436</v>
      </c>
      <c r="AF783" s="51">
        <f t="shared" si="2067"/>
        <v>0</v>
      </c>
      <c r="AG783" s="52"/>
      <c r="AH783" s="53"/>
      <c r="AI783" s="51">
        <f t="shared" ref="AI783:AJ783" si="2068">SUM(AI777:AI782)</f>
        <v>22.41</v>
      </c>
      <c r="AJ783" s="68">
        <f t="shared" si="2068"/>
        <v>2963.08</v>
      </c>
      <c r="AK783" s="52"/>
      <c r="AL783" s="53"/>
      <c r="AM783" s="51">
        <f t="shared" ref="AM783:AN783" si="2069">SUM(AM777:AM782)</f>
        <v>37.35</v>
      </c>
      <c r="AN783" s="68">
        <f t="shared" si="2069"/>
        <v>0</v>
      </c>
      <c r="AO783" s="52"/>
      <c r="AP783" s="53"/>
      <c r="AQ783" s="51">
        <f t="shared" ref="AQ783:AR783" si="2070">SUM(AQ777:AQ782)</f>
        <v>57.27</v>
      </c>
      <c r="AR783" s="68">
        <f t="shared" si="2070"/>
        <v>0</v>
      </c>
      <c r="AS783" s="53"/>
      <c r="AT783" s="53"/>
      <c r="AU783" s="51">
        <f t="shared" ref="AU783:AV783" si="2071">SUM(AU777:AU782)</f>
        <v>7.47</v>
      </c>
      <c r="AV783" s="51">
        <f t="shared" si="2071"/>
        <v>0</v>
      </c>
      <c r="AW783" s="52"/>
      <c r="AX783" s="53"/>
      <c r="AY783" s="51">
        <f t="shared" ref="AY783:AZ783" si="2072">SUM(AY777:AY782)</f>
        <v>0</v>
      </c>
      <c r="AZ783" s="68">
        <f t="shared" si="2072"/>
        <v>0</v>
      </c>
      <c r="BA783" s="53"/>
      <c r="BB783" s="53"/>
      <c r="BC783" s="51">
        <f t="shared" ref="BC783:BD783" si="2073">SUM(BC777:BC782)</f>
        <v>0</v>
      </c>
      <c r="BD783" s="51">
        <f t="shared" si="2073"/>
        <v>0</v>
      </c>
      <c r="BE783" s="69"/>
      <c r="BF783" s="70">
        <f t="shared" ref="BF783:BH783" si="2074">SUM(BF776:BF782)</f>
        <v>5624.0336</v>
      </c>
      <c r="BG783" s="71">
        <f t="shared" si="2074"/>
        <v>2963.08</v>
      </c>
      <c r="BH783" s="72">
        <f t="shared" si="2074"/>
        <v>4277.0536</v>
      </c>
      <c r="BI783" s="34">
        <f>H783+BF783-BG783</f>
        <v>4277.0536</v>
      </c>
      <c r="BJ783" s="34">
        <f>BH783-BI783</f>
        <v>0</v>
      </c>
    </row>
    <row r="784" ht="15.75" customHeight="1" hidden="1" spans="1:60" x14ac:dyDescent="0.25">
      <c r="A784" s="29">
        <v>102</v>
      </c>
      <c r="B784" s="14"/>
      <c r="D784" s="14" t="s">
        <v>42</v>
      </c>
      <c r="F784" s="13"/>
      <c r="G784" s="28"/>
      <c r="I784" s="13"/>
      <c r="J784" s="15"/>
      <c r="K784" s="15"/>
      <c r="L784" s="28"/>
      <c r="Q784" s="13"/>
      <c r="R784" s="15"/>
      <c r="S784" s="15"/>
      <c r="T784" s="28"/>
      <c r="Y784" s="13"/>
      <c r="Z784" s="15"/>
      <c r="AA784" s="15"/>
      <c r="AB784" s="28"/>
      <c r="AG784" s="13"/>
      <c r="AH784" s="15"/>
      <c r="AI784" s="15"/>
      <c r="AJ784" s="28"/>
      <c r="AK784" s="13"/>
      <c r="AL784" s="15"/>
      <c r="AM784" s="15"/>
      <c r="AN784" s="28"/>
      <c r="AO784" s="13"/>
      <c r="AP784" s="15"/>
      <c r="AQ784" s="15"/>
      <c r="AR784" s="28"/>
      <c r="AW784" s="13"/>
      <c r="AX784" s="15"/>
      <c r="AY784" s="15"/>
      <c r="AZ784" s="28"/>
      <c r="BE784" s="14"/>
      <c r="BF784" s="13"/>
      <c r="BG784" s="15"/>
      <c r="BH784" s="28"/>
    </row>
    <row r="785" ht="15.75" customHeight="1" hidden="1" spans="1:64" x14ac:dyDescent="0.25">
      <c r="A785" s="2">
        <v>102</v>
      </c>
      <c r="B785" s="14">
        <v>4.45</v>
      </c>
      <c r="C785" s="2" t="s">
        <v>331</v>
      </c>
      <c r="D785" s="14" t="s">
        <v>44</v>
      </c>
      <c r="E785" s="2" t="s">
        <v>45</v>
      </c>
      <c r="F785" s="13">
        <v>2.49</v>
      </c>
      <c r="G785" s="28"/>
      <c r="H785" s="2">
        <v>-10.26</v>
      </c>
      <c r="I785" s="13">
        <v>559</v>
      </c>
      <c r="J785" s="15">
        <v>0</v>
      </c>
      <c r="K785" s="34">
        <f>J785*$F$8</f>
        <v>0</v>
      </c>
      <c r="L785" s="28"/>
      <c r="M785" s="2">
        <v>614</v>
      </c>
      <c r="N785" s="15">
        <f>M785-I785</f>
        <v>55</v>
      </c>
      <c r="O785" s="34">
        <f>N785*$F$8</f>
        <v>136.95</v>
      </c>
      <c r="Q785" s="13">
        <v>676</v>
      </c>
      <c r="R785" s="15">
        <f>Q785-M785</f>
        <v>62</v>
      </c>
      <c r="S785" s="34">
        <f>R785*$F$8</f>
        <v>154.38</v>
      </c>
      <c r="T785" s="28">
        <v>154.38</v>
      </c>
      <c r="U785" s="2">
        <v>717</v>
      </c>
      <c r="V785" s="15">
        <f>U785-Q785</f>
        <v>41</v>
      </c>
      <c r="W785" s="34">
        <f>V785*$F$8</f>
        <v>102.09</v>
      </c>
      <c r="X785" s="2">
        <v>102.09</v>
      </c>
      <c r="Y785" s="13">
        <v>725</v>
      </c>
      <c r="Z785" s="15">
        <f>Y785-U785</f>
        <v>8</v>
      </c>
      <c r="AA785" s="34">
        <f>Z785*$F$8</f>
        <v>19.92</v>
      </c>
      <c r="AB785" s="28">
        <v>19.92</v>
      </c>
      <c r="AC785" s="2">
        <v>766</v>
      </c>
      <c r="AD785" s="15">
        <f t="shared" ref="AD785:AD786" si="2075">AC785-Y785</f>
        <v>41</v>
      </c>
      <c r="AE785" s="34">
        <f>AD785*$F$8</f>
        <v>102.09</v>
      </c>
      <c r="AG785" s="13">
        <v>809</v>
      </c>
      <c r="AH785" s="15">
        <f t="shared" ref="AH785:AH786" si="2076">AG785-AC785</f>
        <v>43</v>
      </c>
      <c r="AI785" s="34">
        <f>AH785*$F$8</f>
        <v>107.07</v>
      </c>
      <c r="AJ785" s="28"/>
      <c r="AK785" s="13">
        <v>862</v>
      </c>
      <c r="AL785" s="15">
        <f t="shared" ref="AL785:AL786" si="2077">AK785-AG785</f>
        <v>53</v>
      </c>
      <c r="AM785" s="34">
        <f>AL785*$F$8</f>
        <v>131.97</v>
      </c>
      <c r="AN785" s="32">
        <v>467.82</v>
      </c>
      <c r="AO785" s="13">
        <v>970</v>
      </c>
      <c r="AP785" s="15">
        <f t="shared" ref="AP785:AP786" si="2078">AO785-AK785</f>
        <v>108</v>
      </c>
      <c r="AQ785" s="34">
        <f>AP785*$F$8</f>
        <v>268.92</v>
      </c>
      <c r="AR785" s="28"/>
      <c r="AS785" s="15">
        <v>1136</v>
      </c>
      <c r="AT785" s="15">
        <f>AS785-AO785</f>
        <v>166</v>
      </c>
      <c r="AU785" s="34">
        <f>AT785*$F$8</f>
        <v>413.34</v>
      </c>
      <c r="AV785" s="15"/>
      <c r="AW785" s="13">
        <v>1154</v>
      </c>
      <c r="AX785" s="15">
        <f>AW785-AS785</f>
        <v>18</v>
      </c>
      <c r="AY785" s="34">
        <f>AX785*$F$8</f>
        <v>44.82</v>
      </c>
      <c r="AZ785" s="32">
        <v>682.26</v>
      </c>
      <c r="BA785" s="15">
        <v>1157</v>
      </c>
      <c r="BB785" s="15">
        <f>BA785-AW785</f>
        <v>3</v>
      </c>
      <c r="BC785" s="34">
        <f>BB785*$F$8</f>
        <v>7.47</v>
      </c>
      <c r="BD785" s="39">
        <v>500</v>
      </c>
      <c r="BE785" s="40">
        <f t="shared" ref="BE785:BG785" si="2079">J785+N785+R785+V785+Z785+AD785+AH785+AL785+AP785+AT785+AX785+BB785</f>
        <v>598</v>
      </c>
      <c r="BF785" s="41">
        <f t="shared" si="2079"/>
        <v>1489.02</v>
      </c>
      <c r="BG785" s="34">
        <f t="shared" si="2079"/>
        <v>1926.47</v>
      </c>
      <c r="BH785" s="35">
        <f t="shared" ref="BH785:BH790" si="2080">H785+BF785-BG785</f>
        <v>-447.71</v>
      </c>
      <c r="BK785" s="2">
        <v>500</v>
      </c>
      <c r="BL785" s="2">
        <v>500</v>
      </c>
    </row>
    <row r="786" ht="15.75" customHeight="1" hidden="1" spans="1:60" x14ac:dyDescent="0.25">
      <c r="A786" s="29">
        <v>102</v>
      </c>
      <c r="B786" s="14"/>
      <c r="C786" s="2" t="s">
        <v>313</v>
      </c>
      <c r="D786" s="14" t="s">
        <v>47</v>
      </c>
      <c r="E786" s="2" t="s">
        <v>48</v>
      </c>
      <c r="F786" s="13">
        <v>17.16</v>
      </c>
      <c r="G786" s="28"/>
      <c r="H786" s="73">
        <f>2*17.16</f>
        <v>34.32</v>
      </c>
      <c r="I786" s="13"/>
      <c r="J786" s="15"/>
      <c r="K786" s="15"/>
      <c r="L786" s="28"/>
      <c r="Q786" s="13"/>
      <c r="R786" s="15"/>
      <c r="S786" s="15"/>
      <c r="T786" s="28"/>
      <c r="Y786" s="13">
        <v>33</v>
      </c>
      <c r="Z786" s="15"/>
      <c r="AA786" s="15"/>
      <c r="AB786" s="28"/>
      <c r="AC786" s="2">
        <v>33</v>
      </c>
      <c r="AD786" s="15">
        <f t="shared" si="2075"/>
        <v>0</v>
      </c>
      <c r="AE786" s="34">
        <f>AD786*$F$10</f>
        <v>0</v>
      </c>
      <c r="AG786" s="13">
        <v>33</v>
      </c>
      <c r="AH786" s="15">
        <f t="shared" si="2076"/>
        <v>0</v>
      </c>
      <c r="AI786" s="45">
        <f>AH786*$G$10</f>
        <v>0</v>
      </c>
      <c r="AJ786" s="28"/>
      <c r="AK786" s="13">
        <v>41</v>
      </c>
      <c r="AL786" s="15">
        <f t="shared" si="2077"/>
        <v>8</v>
      </c>
      <c r="AM786" s="45">
        <f>AL786*$G$10</f>
        <v>141.44</v>
      </c>
      <c r="AN786" s="32">
        <v>141.44</v>
      </c>
      <c r="AO786" s="13">
        <v>41</v>
      </c>
      <c r="AP786" s="15">
        <f t="shared" si="2078"/>
        <v>0</v>
      </c>
      <c r="AQ786" s="45">
        <f>AP786*$G$10</f>
        <v>0</v>
      </c>
      <c r="AR786" s="28"/>
      <c r="AS786" s="15"/>
      <c r="AT786" s="15"/>
      <c r="AU786" s="15"/>
      <c r="AV786" s="15"/>
      <c r="AW786" s="13"/>
      <c r="AX786" s="15"/>
      <c r="AY786" s="15"/>
      <c r="AZ786" s="28"/>
      <c r="BA786" s="15"/>
      <c r="BB786" s="15"/>
      <c r="BC786" s="15"/>
      <c r="BD786" s="15"/>
      <c r="BE786" s="40">
        <f t="shared" ref="BE786:BG786" si="2081">J786+N786+R786+V786+Z786+AD786+AH786+AL786+AP786+AT786+AX786+BB786</f>
        <v>8</v>
      </c>
      <c r="BF786" s="41">
        <f t="shared" si="2081"/>
        <v>141.44</v>
      </c>
      <c r="BG786" s="34">
        <f t="shared" si="2081"/>
        <v>141.44</v>
      </c>
      <c r="BH786" s="35">
        <f t="shared" si="2080"/>
        <v>34.32</v>
      </c>
    </row>
    <row r="787" ht="15.75" customHeight="1" hidden="1" spans="1:60" x14ac:dyDescent="0.25">
      <c r="A787" s="29">
        <v>102</v>
      </c>
      <c r="B787" s="14"/>
      <c r="C787" s="2" t="s">
        <v>332</v>
      </c>
      <c r="D787" s="14" t="s">
        <v>47</v>
      </c>
      <c r="E787" s="2" t="s">
        <v>49</v>
      </c>
      <c r="F787" s="41">
        <v>300</v>
      </c>
      <c r="G787" s="28"/>
      <c r="I787" s="13"/>
      <c r="J787" s="15"/>
      <c r="K787" s="15"/>
      <c r="L787" s="28"/>
      <c r="Q787" s="13"/>
      <c r="R787" s="15"/>
      <c r="S787" s="15"/>
      <c r="T787" s="28"/>
      <c r="Y787" s="13"/>
      <c r="Z787" s="15"/>
      <c r="AA787" s="15"/>
      <c r="AB787" s="28"/>
      <c r="AG787" s="13"/>
      <c r="AH787" s="15"/>
      <c r="AI787" s="15"/>
      <c r="AJ787" s="28"/>
      <c r="AK787" s="13"/>
      <c r="AL787" s="15"/>
      <c r="AM787" s="34"/>
      <c r="AN787" s="28"/>
      <c r="AO787" s="13"/>
      <c r="AP787" s="15"/>
      <c r="AQ787" s="34"/>
      <c r="AR787" s="28"/>
      <c r="AS787" s="15"/>
      <c r="AT787" s="15"/>
      <c r="AU787" s="15"/>
      <c r="AV787" s="15"/>
      <c r="AW787" s="13"/>
      <c r="AX787" s="15"/>
      <c r="AY787" s="15"/>
      <c r="AZ787" s="28"/>
      <c r="BA787" s="15"/>
      <c r="BB787" s="15"/>
      <c r="BC787" s="15"/>
      <c r="BD787" s="15"/>
      <c r="BE787" s="14"/>
      <c r="BF787" s="41">
        <f t="shared" ref="BF787:BG787" si="2082">K787+O787+S787+W787+AA787+AE787+AI787+AM787+AQ787+AU787+AY787+BC787</f>
        <v>0</v>
      </c>
      <c r="BG787" s="34">
        <f t="shared" si="2082"/>
        <v>0</v>
      </c>
      <c r="BH787" s="35">
        <f t="shared" si="2080"/>
        <v>0</v>
      </c>
    </row>
    <row r="788" ht="15.75" customHeight="1" hidden="1" spans="1:60" x14ac:dyDescent="0.25">
      <c r="A788" s="29">
        <v>102</v>
      </c>
      <c r="B788" s="14"/>
      <c r="D788" s="14" t="s">
        <v>50</v>
      </c>
      <c r="E788" s="2" t="s">
        <v>49</v>
      </c>
      <c r="F788" s="41">
        <v>1062.88</v>
      </c>
      <c r="G788" s="28"/>
      <c r="I788" s="13"/>
      <c r="J788" s="15"/>
      <c r="K788" s="15"/>
      <c r="L788" s="28"/>
      <c r="Q788" s="13"/>
      <c r="R788" s="15"/>
      <c r="S788" s="15"/>
      <c r="T788" s="28"/>
      <c r="Y788" s="13"/>
      <c r="Z788" s="15"/>
      <c r="AA788" s="15"/>
      <c r="AB788" s="28"/>
      <c r="AE788" s="34">
        <f>B785*$F$12</f>
        <v>4729.816</v>
      </c>
      <c r="AG788" s="13"/>
      <c r="AH788" s="15"/>
      <c r="AI788" s="15"/>
      <c r="AJ788" s="35"/>
      <c r="AK788" s="13"/>
      <c r="AL788" s="15"/>
      <c r="AM788" s="15"/>
      <c r="AN788" s="32">
        <v>4729.82</v>
      </c>
      <c r="AO788" s="13"/>
      <c r="AP788" s="15"/>
      <c r="AQ788" s="15"/>
      <c r="AR788" s="28"/>
      <c r="AS788" s="15"/>
      <c r="AT788" s="15"/>
      <c r="AU788" s="15"/>
      <c r="AV788" s="15"/>
      <c r="AW788" s="13"/>
      <c r="AX788" s="15"/>
      <c r="AY788" s="15"/>
      <c r="AZ788" s="28"/>
      <c r="BA788" s="15"/>
      <c r="BB788" s="15"/>
      <c r="BC788" s="15"/>
      <c r="BD788" s="15"/>
      <c r="BE788" s="14"/>
      <c r="BF788" s="41">
        <f>B785*$F$12</f>
        <v>4729.816</v>
      </c>
      <c r="BG788" s="34">
        <f t="shared" ref="BG788:BG790" si="2083">L788+P788+T788+X788+AB788+AF788+AJ788+AN788+AR788+AV788+AZ788+BD788</f>
        <v>4729.82</v>
      </c>
      <c r="BH788" s="35">
        <f t="shared" si="2080"/>
        <v>-0.003999999999</v>
      </c>
    </row>
    <row r="789" ht="15.75" customHeight="1" hidden="1" spans="1:60" x14ac:dyDescent="0.25">
      <c r="A789" s="29">
        <v>102</v>
      </c>
      <c r="B789" s="14"/>
      <c r="D789" s="14" t="s">
        <v>51</v>
      </c>
      <c r="E789" s="2" t="s">
        <v>49</v>
      </c>
      <c r="F789" s="41">
        <v>0</v>
      </c>
      <c r="G789" s="28"/>
      <c r="I789" s="13"/>
      <c r="J789" s="15"/>
      <c r="K789" s="15"/>
      <c r="L789" s="28"/>
      <c r="Q789" s="13"/>
      <c r="R789" s="15"/>
      <c r="S789" s="15"/>
      <c r="T789" s="28"/>
      <c r="Y789" s="13"/>
      <c r="Z789" s="15"/>
      <c r="AA789" s="15"/>
      <c r="AB789" s="28"/>
      <c r="AG789" s="13"/>
      <c r="AH789" s="15"/>
      <c r="AI789" s="15"/>
      <c r="AJ789" s="28"/>
      <c r="AK789" s="13"/>
      <c r="AL789" s="15"/>
      <c r="AM789" s="15"/>
      <c r="AN789" s="28"/>
      <c r="AO789" s="13"/>
      <c r="AP789" s="15"/>
      <c r="AQ789" s="15"/>
      <c r="AR789" s="28"/>
      <c r="AS789" s="15"/>
      <c r="AT789" s="15"/>
      <c r="AU789" s="15"/>
      <c r="AV789" s="15"/>
      <c r="AW789" s="13"/>
      <c r="AX789" s="15"/>
      <c r="AY789" s="15"/>
      <c r="AZ789" s="28"/>
      <c r="BA789" s="15"/>
      <c r="BB789" s="15"/>
      <c r="BC789" s="15"/>
      <c r="BD789" s="15"/>
      <c r="BE789" s="14"/>
      <c r="BF789" s="41">
        <f>B785*$F$13</f>
        <v>0</v>
      </c>
      <c r="BG789" s="34">
        <f t="shared" si="2083"/>
        <v>0</v>
      </c>
      <c r="BH789" s="35">
        <f t="shared" si="2080"/>
        <v>0</v>
      </c>
    </row>
    <row r="790" ht="15.75" customHeight="1" hidden="1" spans="1:60" x14ac:dyDescent="0.25">
      <c r="A790" s="29">
        <v>102</v>
      </c>
      <c r="B790" s="14"/>
      <c r="D790" s="14" t="s">
        <v>52</v>
      </c>
      <c r="E790" s="2" t="s">
        <v>39</v>
      </c>
      <c r="F790" s="41">
        <v>350</v>
      </c>
      <c r="G790" s="28"/>
      <c r="I790" s="13"/>
      <c r="J790" s="15"/>
      <c r="K790" s="15"/>
      <c r="L790" s="28"/>
      <c r="Q790" s="13"/>
      <c r="R790" s="15"/>
      <c r="S790" s="15"/>
      <c r="T790" s="28"/>
      <c r="Y790" s="13"/>
      <c r="Z790" s="15"/>
      <c r="AA790" s="34">
        <f>$F$14</f>
        <v>350</v>
      </c>
      <c r="AB790" s="28"/>
      <c r="AG790" s="13"/>
      <c r="AH790" s="15"/>
      <c r="AI790" s="15"/>
      <c r="AJ790" s="28"/>
      <c r="AK790" s="13"/>
      <c r="AL790" s="15"/>
      <c r="AM790" s="15"/>
      <c r="AN790" s="38">
        <v>350</v>
      </c>
      <c r="AO790" s="13"/>
      <c r="AP790" s="15"/>
      <c r="AQ790" s="15"/>
      <c r="AR790" s="28"/>
      <c r="AS790" s="15"/>
      <c r="AT790" s="15"/>
      <c r="AU790" s="15"/>
      <c r="AV790" s="15"/>
      <c r="AW790" s="13"/>
      <c r="AX790" s="15"/>
      <c r="AY790" s="15"/>
      <c r="AZ790" s="28"/>
      <c r="BA790" s="15"/>
      <c r="BB790" s="15"/>
      <c r="BC790" s="15"/>
      <c r="BD790" s="15"/>
      <c r="BE790" s="14"/>
      <c r="BF790" s="41">
        <f>$F$14</f>
        <v>350</v>
      </c>
      <c r="BG790" s="34">
        <f t="shared" si="2083"/>
        <v>350</v>
      </c>
      <c r="BH790" s="35">
        <f t="shared" si="2080"/>
        <v>0</v>
      </c>
    </row>
    <row r="791" ht="15.75" customHeight="1" hidden="1" spans="1:62" x14ac:dyDescent="0.25">
      <c r="A791" s="50">
        <v>102</v>
      </c>
      <c r="B791" s="21"/>
      <c r="C791" s="22" t="s">
        <v>53</v>
      </c>
      <c r="D791" s="21"/>
      <c r="E791" s="22"/>
      <c r="F791" s="20"/>
      <c r="G791" s="23"/>
      <c r="H791" s="51">
        <f>SUM(H784:H790)</f>
        <v>24.06</v>
      </c>
      <c r="I791" s="52"/>
      <c r="J791" s="53"/>
      <c r="K791" s="51">
        <f t="shared" ref="K791:L791" si="2084">SUM(K784:K790)</f>
        <v>0</v>
      </c>
      <c r="L791" s="68">
        <f t="shared" si="2084"/>
        <v>0</v>
      </c>
      <c r="M791" s="53"/>
      <c r="N791" s="53"/>
      <c r="O791" s="51">
        <f t="shared" ref="O791:P791" si="2085">SUM(O785:O790)</f>
        <v>136.95</v>
      </c>
      <c r="P791" s="51">
        <f t="shared" si="2085"/>
        <v>0</v>
      </c>
      <c r="Q791" s="52"/>
      <c r="R791" s="53"/>
      <c r="S791" s="51">
        <f t="shared" ref="S791:T791" si="2086">SUM(S785:S790)</f>
        <v>154.38</v>
      </c>
      <c r="T791" s="68">
        <f t="shared" si="2086"/>
        <v>154.38</v>
      </c>
      <c r="U791" s="53"/>
      <c r="V791" s="53"/>
      <c r="W791" s="51">
        <f t="shared" ref="W791:X791" si="2087">SUM(W785:W790)</f>
        <v>102.09</v>
      </c>
      <c r="X791" s="51">
        <f t="shared" si="2087"/>
        <v>102.09</v>
      </c>
      <c r="Y791" s="52"/>
      <c r="Z791" s="53"/>
      <c r="AA791" s="51">
        <f t="shared" ref="AA791:AB791" si="2088">SUM(AA785:AA790)</f>
        <v>369.92</v>
      </c>
      <c r="AB791" s="68">
        <f t="shared" si="2088"/>
        <v>19.92</v>
      </c>
      <c r="AC791" s="53"/>
      <c r="AD791" s="53"/>
      <c r="AE791" s="51">
        <f t="shared" ref="AE791:AF791" si="2089">SUM(AE785:AE790)</f>
        <v>4831.906</v>
      </c>
      <c r="AF791" s="51">
        <f t="shared" si="2089"/>
        <v>0</v>
      </c>
      <c r="AG791" s="52"/>
      <c r="AH791" s="53"/>
      <c r="AI791" s="51">
        <f t="shared" ref="AI791:AJ791" si="2090">SUM(AI785:AI790)</f>
        <v>107.07</v>
      </c>
      <c r="AJ791" s="68">
        <f t="shared" si="2090"/>
        <v>0</v>
      </c>
      <c r="AK791" s="52"/>
      <c r="AL791" s="53"/>
      <c r="AM791" s="51">
        <f t="shared" ref="AM791:AN791" si="2091">SUM(AM785:AM790)</f>
        <v>273.41</v>
      </c>
      <c r="AN791" s="68">
        <f t="shared" si="2091"/>
        <v>5689.08</v>
      </c>
      <c r="AO791" s="52"/>
      <c r="AP791" s="53"/>
      <c r="AQ791" s="51">
        <f t="shared" ref="AQ791:AR791" si="2092">SUM(AQ785:AQ790)</f>
        <v>268.92</v>
      </c>
      <c r="AR791" s="68">
        <f t="shared" si="2092"/>
        <v>0</v>
      </c>
      <c r="AS791" s="53"/>
      <c r="AT791" s="53"/>
      <c r="AU791" s="51">
        <f t="shared" ref="AU791:AV791" si="2093">SUM(AU785:AU790)</f>
        <v>413.34</v>
      </c>
      <c r="AV791" s="51">
        <f t="shared" si="2093"/>
        <v>0</v>
      </c>
      <c r="AW791" s="52"/>
      <c r="AX791" s="53"/>
      <c r="AY791" s="51">
        <f t="shared" ref="AY791:AZ791" si="2094">SUM(AY785:AY790)</f>
        <v>44.82</v>
      </c>
      <c r="AZ791" s="68">
        <f t="shared" si="2094"/>
        <v>682.26</v>
      </c>
      <c r="BA791" s="53"/>
      <c r="BB791" s="53"/>
      <c r="BC791" s="51">
        <f t="shared" ref="BC791:BD791" si="2095">SUM(BC785:BC790)</f>
        <v>7.47</v>
      </c>
      <c r="BD791" s="51">
        <f t="shared" si="2095"/>
        <v>500</v>
      </c>
      <c r="BE791" s="69"/>
      <c r="BF791" s="70">
        <f t="shared" ref="BF791:BH791" si="2096">SUM(BF784:BF790)</f>
        <v>6710.276</v>
      </c>
      <c r="BG791" s="71">
        <f t="shared" si="2096"/>
        <v>7147.73</v>
      </c>
      <c r="BH791" s="72">
        <f t="shared" si="2096"/>
        <v>-413.394</v>
      </c>
      <c r="BI791" s="34">
        <f>H791+BF791-BG791</f>
        <v>-413.394</v>
      </c>
      <c r="BJ791" s="34">
        <f>BH791-BI791</f>
        <v>0</v>
      </c>
    </row>
    <row r="792" ht="15.75" customHeight="1" hidden="1" spans="1:60" x14ac:dyDescent="0.25">
      <c r="A792" s="29">
        <v>104</v>
      </c>
      <c r="B792" s="14"/>
      <c r="D792" s="14" t="s">
        <v>42</v>
      </c>
      <c r="F792" s="13"/>
      <c r="G792" s="28"/>
      <c r="I792" s="13"/>
      <c r="J792" s="15"/>
      <c r="K792" s="15"/>
      <c r="L792" s="28"/>
      <c r="Q792" s="13"/>
      <c r="R792" s="15"/>
      <c r="S792" s="15"/>
      <c r="T792" s="28"/>
      <c r="Y792" s="13"/>
      <c r="Z792" s="15"/>
      <c r="AA792" s="15"/>
      <c r="AB792" s="28"/>
      <c r="AG792" s="13"/>
      <c r="AH792" s="15"/>
      <c r="AI792" s="15"/>
      <c r="AJ792" s="28"/>
      <c r="AK792" s="13"/>
      <c r="AL792" s="15"/>
      <c r="AM792" s="15"/>
      <c r="AN792" s="28"/>
      <c r="AO792" s="13"/>
      <c r="AP792" s="15"/>
      <c r="AQ792" s="15"/>
      <c r="AR792" s="28"/>
      <c r="AW792" s="13"/>
      <c r="AX792" s="15"/>
      <c r="AY792" s="15"/>
      <c r="AZ792" s="28"/>
      <c r="BE792" s="14"/>
      <c r="BF792" s="13"/>
      <c r="BG792" s="15"/>
      <c r="BH792" s="28"/>
    </row>
    <row r="793" ht="15.75" customHeight="1" hidden="1" spans="1:60" x14ac:dyDescent="0.25">
      <c r="A793" s="2">
        <v>104</v>
      </c>
      <c r="B793" s="14">
        <v>4.42</v>
      </c>
      <c r="C793" s="2" t="s">
        <v>333</v>
      </c>
      <c r="D793" s="14" t="s">
        <v>44</v>
      </c>
      <c r="E793" s="2" t="s">
        <v>45</v>
      </c>
      <c r="F793" s="13">
        <v>2.49</v>
      </c>
      <c r="G793" s="28"/>
      <c r="H793" s="2">
        <v>-15.38</v>
      </c>
      <c r="I793" s="13">
        <v>364</v>
      </c>
      <c r="J793" s="15">
        <v>0</v>
      </c>
      <c r="K793" s="34">
        <f>J793*$F$8</f>
        <v>0</v>
      </c>
      <c r="L793" s="28"/>
      <c r="M793" s="2">
        <v>364</v>
      </c>
      <c r="N793" s="15">
        <f>M793-I793</f>
        <v>0</v>
      </c>
      <c r="O793" s="34">
        <f>N793*$F$8</f>
        <v>0</v>
      </c>
      <c r="Q793" s="13">
        <v>364</v>
      </c>
      <c r="R793" s="15">
        <f>Q793-M793</f>
        <v>0</v>
      </c>
      <c r="S793" s="34">
        <f>R793*$F$8</f>
        <v>0</v>
      </c>
      <c r="T793" s="28"/>
      <c r="U793" s="2">
        <v>373</v>
      </c>
      <c r="V793" s="15">
        <f>U793-Q793</f>
        <v>9</v>
      </c>
      <c r="W793" s="34">
        <f>V793*$F$8</f>
        <v>22.41</v>
      </c>
      <c r="X793" s="2">
        <v>7.03</v>
      </c>
      <c r="Y793" s="13">
        <v>386</v>
      </c>
      <c r="Z793" s="15">
        <f>Y793-U793</f>
        <v>13</v>
      </c>
      <c r="AA793" s="34">
        <f>Z793*$F$8</f>
        <v>32.37</v>
      </c>
      <c r="AB793" s="28">
        <v>32.37</v>
      </c>
      <c r="AC793" s="2">
        <v>422</v>
      </c>
      <c r="AD793" s="15">
        <f t="shared" ref="AD793:AD794" si="2097">AC793-Y793</f>
        <v>36</v>
      </c>
      <c r="AE793" s="34">
        <f>AD793*$F$8</f>
        <v>89.64</v>
      </c>
      <c r="AF793" s="2">
        <v>89.64</v>
      </c>
      <c r="AG793" s="13">
        <v>478</v>
      </c>
      <c r="AH793" s="15">
        <f t="shared" ref="AH793:AH794" si="2098">AG793-AC793</f>
        <v>56</v>
      </c>
      <c r="AI793" s="34">
        <f>AH793*$F$8</f>
        <v>139.44</v>
      </c>
      <c r="AJ793" s="32">
        <v>139.44</v>
      </c>
      <c r="AK793" s="13">
        <v>533</v>
      </c>
      <c r="AL793" s="15">
        <f t="shared" ref="AL793:AL794" si="2099">AK793-AG793</f>
        <v>55</v>
      </c>
      <c r="AM793" s="34">
        <f>AL793*$F$8</f>
        <v>136.95</v>
      </c>
      <c r="AN793" s="32">
        <v>136.95</v>
      </c>
      <c r="AO793" s="13">
        <v>601</v>
      </c>
      <c r="AP793" s="15">
        <f t="shared" ref="AP793:AP794" si="2100">AO793-AK793</f>
        <v>68</v>
      </c>
      <c r="AQ793" s="34">
        <f>AP793*$F$8</f>
        <v>169.32</v>
      </c>
      <c r="AR793" s="28"/>
      <c r="AS793" s="15">
        <v>620</v>
      </c>
      <c r="AT793" s="15">
        <f>AS793-AO793</f>
        <v>19</v>
      </c>
      <c r="AU793" s="34">
        <f>AT793*$F$8</f>
        <v>47.31</v>
      </c>
      <c r="AV793" s="15"/>
      <c r="AW793" s="13">
        <v>620</v>
      </c>
      <c r="AX793" s="15">
        <f>AW793-AS793</f>
        <v>0</v>
      </c>
      <c r="AY793" s="34">
        <f>AX793*$F$8</f>
        <v>0</v>
      </c>
      <c r="AZ793" s="38">
        <v>249</v>
      </c>
      <c r="BA793" s="13">
        <v>620</v>
      </c>
      <c r="BB793" s="15">
        <f>BA793-AW793</f>
        <v>0</v>
      </c>
      <c r="BC793" s="34">
        <f>BB793*$F$8</f>
        <v>0</v>
      </c>
      <c r="BD793" s="15"/>
      <c r="BE793" s="40">
        <f t="shared" ref="BE793:BG793" si="2101">J793+N793+R793+V793+Z793+AD793+AH793+AL793+AP793+AT793+AX793+BB793</f>
        <v>256</v>
      </c>
      <c r="BF793" s="41">
        <f t="shared" si="2101"/>
        <v>637.44</v>
      </c>
      <c r="BG793" s="34">
        <f t="shared" si="2101"/>
        <v>654.43</v>
      </c>
      <c r="BH793" s="35">
        <f t="shared" ref="BH793:BH798" si="2102">H793+BF793-BG793</f>
        <v>-32.37</v>
      </c>
    </row>
    <row r="794" ht="15.75" customHeight="1" hidden="1" spans="1:60" x14ac:dyDescent="0.25">
      <c r="A794" s="29">
        <v>104</v>
      </c>
      <c r="B794" s="14"/>
      <c r="C794" s="2" t="s">
        <v>163</v>
      </c>
      <c r="D794" s="14" t="s">
        <v>47</v>
      </c>
      <c r="E794" s="2" t="s">
        <v>48</v>
      </c>
      <c r="F794" s="13">
        <v>17.16</v>
      </c>
      <c r="G794" s="28"/>
      <c r="I794" s="13"/>
      <c r="J794" s="15"/>
      <c r="K794" s="15"/>
      <c r="L794" s="28"/>
      <c r="Q794" s="13"/>
      <c r="R794" s="15"/>
      <c r="S794" s="15"/>
      <c r="T794" s="28"/>
      <c r="Y794" s="13">
        <v>147</v>
      </c>
      <c r="Z794" s="15"/>
      <c r="AA794" s="15"/>
      <c r="AB794" s="28"/>
      <c r="AC794" s="2">
        <v>151</v>
      </c>
      <c r="AD794" s="15">
        <f t="shared" si="2097"/>
        <v>4</v>
      </c>
      <c r="AE794" s="34">
        <f>AD794*$F$10</f>
        <v>68.64</v>
      </c>
      <c r="AF794" s="2">
        <v>68.64</v>
      </c>
      <c r="AG794" s="13">
        <v>160</v>
      </c>
      <c r="AH794" s="15">
        <f t="shared" si="2098"/>
        <v>9</v>
      </c>
      <c r="AI794" s="45">
        <f>AH794*$G$10</f>
        <v>159.12</v>
      </c>
      <c r="AJ794" s="32">
        <v>159.12</v>
      </c>
      <c r="AK794" s="13">
        <v>170</v>
      </c>
      <c r="AL794" s="15">
        <f t="shared" si="2099"/>
        <v>10</v>
      </c>
      <c r="AM794" s="45">
        <f>AL794*$G$10</f>
        <v>176.8</v>
      </c>
      <c r="AN794" s="38">
        <v>176.8</v>
      </c>
      <c r="AO794" s="13">
        <v>170</v>
      </c>
      <c r="AP794" s="15">
        <f t="shared" si="2100"/>
        <v>0</v>
      </c>
      <c r="AQ794" s="45">
        <f>AP794*$G$10</f>
        <v>0</v>
      </c>
      <c r="AR794" s="28"/>
      <c r="AS794" s="15"/>
      <c r="AT794" s="15"/>
      <c r="AU794" s="15"/>
      <c r="AV794" s="15"/>
      <c r="AW794" s="13"/>
      <c r="AX794" s="15"/>
      <c r="AY794" s="15"/>
      <c r="AZ794" s="28"/>
      <c r="BA794" s="15"/>
      <c r="BB794" s="15"/>
      <c r="BC794" s="15"/>
      <c r="BD794" s="15"/>
      <c r="BE794" s="40">
        <f t="shared" ref="BE794:BG794" si="2103">J794+N794+R794+V794+Z794+AD794+AH794+AL794+AP794+AT794+AX794+BB794</f>
        <v>23</v>
      </c>
      <c r="BF794" s="41">
        <f t="shared" si="2103"/>
        <v>404.56</v>
      </c>
      <c r="BG794" s="34">
        <f t="shared" si="2103"/>
        <v>404.56</v>
      </c>
      <c r="BH794" s="35">
        <f t="shared" si="2102"/>
        <v>0</v>
      </c>
    </row>
    <row r="795" ht="15.75" customHeight="1" hidden="1" spans="1:60" x14ac:dyDescent="0.25">
      <c r="A795" s="29">
        <v>104</v>
      </c>
      <c r="B795" s="14"/>
      <c r="C795" s="15" t="s">
        <v>334</v>
      </c>
      <c r="D795" s="14" t="s">
        <v>47</v>
      </c>
      <c r="E795" s="2" t="s">
        <v>49</v>
      </c>
      <c r="F795" s="41">
        <v>300</v>
      </c>
      <c r="G795" s="28"/>
      <c r="I795" s="13"/>
      <c r="J795" s="15"/>
      <c r="K795" s="15"/>
      <c r="L795" s="28"/>
      <c r="Q795" s="13"/>
      <c r="R795" s="15"/>
      <c r="S795" s="15"/>
      <c r="T795" s="28"/>
      <c r="Y795" s="13"/>
      <c r="Z795" s="15"/>
      <c r="AA795" s="15"/>
      <c r="AB795" s="28"/>
      <c r="AG795" s="13"/>
      <c r="AH795" s="15"/>
      <c r="AI795" s="15"/>
      <c r="AJ795" s="28"/>
      <c r="AK795" s="13"/>
      <c r="AL795" s="15"/>
      <c r="AM795" s="34"/>
      <c r="AN795" s="28"/>
      <c r="AO795" s="13"/>
      <c r="AP795" s="15"/>
      <c r="AQ795" s="34"/>
      <c r="AR795" s="28"/>
      <c r="AS795" s="15"/>
      <c r="AT795" s="15"/>
      <c r="AU795" s="15"/>
      <c r="AV795" s="15"/>
      <c r="AW795" s="13"/>
      <c r="AX795" s="15"/>
      <c r="AY795" s="15"/>
      <c r="AZ795" s="28"/>
      <c r="BA795" s="15"/>
      <c r="BB795" s="15"/>
      <c r="BC795" s="15"/>
      <c r="BD795" s="15"/>
      <c r="BE795" s="14"/>
      <c r="BF795" s="41">
        <f t="shared" ref="BF795:BG795" si="2104">K795+O795+S795+W795+AA795+AE795+AI795+AM795+AQ795+AU795+AY795+BC795</f>
        <v>0</v>
      </c>
      <c r="BG795" s="34">
        <f t="shared" si="2104"/>
        <v>0</v>
      </c>
      <c r="BH795" s="35">
        <f t="shared" si="2102"/>
        <v>0</v>
      </c>
    </row>
    <row r="796" ht="15.75" customHeight="1" hidden="1" spans="1:60" x14ac:dyDescent="0.25">
      <c r="A796" s="29">
        <v>104</v>
      </c>
      <c r="B796" s="14"/>
      <c r="C796" s="2" t="s">
        <v>90</v>
      </c>
      <c r="D796" s="14" t="s">
        <v>50</v>
      </c>
      <c r="E796" s="2" t="s">
        <v>49</v>
      </c>
      <c r="F796" s="41">
        <v>1062.88</v>
      </c>
      <c r="G796" s="28"/>
      <c r="I796" s="13"/>
      <c r="J796" s="15"/>
      <c r="K796" s="15"/>
      <c r="L796" s="28"/>
      <c r="Q796" s="13"/>
      <c r="R796" s="15"/>
      <c r="S796" s="15"/>
      <c r="T796" s="28"/>
      <c r="Y796" s="13"/>
      <c r="Z796" s="15"/>
      <c r="AA796" s="15"/>
      <c r="AB796" s="28"/>
      <c r="AE796" s="34">
        <f>B793*$F$12</f>
        <v>4697.9296</v>
      </c>
      <c r="AF796" s="34">
        <f>3200+1497.92</f>
        <v>4697.92</v>
      </c>
      <c r="AG796" s="13"/>
      <c r="AH796" s="15"/>
      <c r="AI796" s="15"/>
      <c r="AJ796" s="28"/>
      <c r="AK796" s="13"/>
      <c r="AL796" s="15"/>
      <c r="AM796" s="15"/>
      <c r="AN796" s="28"/>
      <c r="AO796" s="13"/>
      <c r="AP796" s="15"/>
      <c r="AQ796" s="15"/>
      <c r="AR796" s="28"/>
      <c r="AS796" s="15"/>
      <c r="AT796" s="15"/>
      <c r="AU796" s="15"/>
      <c r="AV796" s="15"/>
      <c r="AW796" s="13"/>
      <c r="AX796" s="15"/>
      <c r="AY796" s="15"/>
      <c r="AZ796" s="28"/>
      <c r="BA796" s="15"/>
      <c r="BB796" s="15"/>
      <c r="BC796" s="15"/>
      <c r="BD796" s="15"/>
      <c r="BE796" s="14"/>
      <c r="BF796" s="41">
        <f>B793*$F$12</f>
        <v>4697.9296</v>
      </c>
      <c r="BG796" s="34">
        <f t="shared" ref="BG796:BG798" si="2105">L796+P796+T796+X796+AB796+AF796+AJ796+AN796+AR796+AV796+AZ796+BD796</f>
        <v>4697.92</v>
      </c>
      <c r="BH796" s="35">
        <f t="shared" si="2102"/>
        <v>0.0096</v>
      </c>
    </row>
    <row r="797" ht="15.75" customHeight="1" hidden="1" spans="1:60" x14ac:dyDescent="0.25">
      <c r="A797" s="29">
        <v>104</v>
      </c>
      <c r="B797" s="14"/>
      <c r="C797" s="2" t="s">
        <v>335</v>
      </c>
      <c r="D797" s="14" t="s">
        <v>51</v>
      </c>
      <c r="E797" s="2" t="s">
        <v>49</v>
      </c>
      <c r="F797" s="41">
        <v>0</v>
      </c>
      <c r="G797" s="28"/>
      <c r="I797" s="13"/>
      <c r="J797" s="15"/>
      <c r="K797" s="15"/>
      <c r="L797" s="28"/>
      <c r="Q797" s="13"/>
      <c r="R797" s="15"/>
      <c r="S797" s="15"/>
      <c r="T797" s="28"/>
      <c r="Y797" s="13"/>
      <c r="Z797" s="15"/>
      <c r="AA797" s="15"/>
      <c r="AB797" s="28"/>
      <c r="AG797" s="13"/>
      <c r="AH797" s="15"/>
      <c r="AI797" s="15"/>
      <c r="AJ797" s="28"/>
      <c r="AK797" s="13"/>
      <c r="AL797" s="15"/>
      <c r="AM797" s="15"/>
      <c r="AN797" s="28"/>
      <c r="AO797" s="13"/>
      <c r="AP797" s="15"/>
      <c r="AQ797" s="15"/>
      <c r="AR797" s="28"/>
      <c r="AS797" s="15"/>
      <c r="AT797" s="15"/>
      <c r="AU797" s="15"/>
      <c r="AV797" s="15"/>
      <c r="AW797" s="13"/>
      <c r="AX797" s="15"/>
      <c r="AY797" s="15"/>
      <c r="AZ797" s="28"/>
      <c r="BA797" s="15"/>
      <c r="BB797" s="15"/>
      <c r="BC797" s="15"/>
      <c r="BD797" s="15"/>
      <c r="BE797" s="14"/>
      <c r="BF797" s="41">
        <f>B793*$F$13</f>
        <v>0</v>
      </c>
      <c r="BG797" s="34">
        <f t="shared" si="2105"/>
        <v>0</v>
      </c>
      <c r="BH797" s="35">
        <f t="shared" si="2102"/>
        <v>0</v>
      </c>
    </row>
    <row r="798" ht="15.75" customHeight="1" hidden="1" spans="1:60" x14ac:dyDescent="0.25">
      <c r="A798" s="29">
        <v>104</v>
      </c>
      <c r="B798" s="14"/>
      <c r="D798" s="14" t="s">
        <v>52</v>
      </c>
      <c r="E798" s="2" t="s">
        <v>39</v>
      </c>
      <c r="F798" s="41">
        <v>350</v>
      </c>
      <c r="G798" s="28"/>
      <c r="H798" s="84">
        <v>-350</v>
      </c>
      <c r="I798" s="13"/>
      <c r="J798" s="15"/>
      <c r="K798" s="15"/>
      <c r="L798" s="28"/>
      <c r="Q798" s="13"/>
      <c r="R798" s="15"/>
      <c r="S798" s="15"/>
      <c r="T798" s="28"/>
      <c r="Y798" s="13"/>
      <c r="Z798" s="15"/>
      <c r="AA798" s="34">
        <f>$F$14</f>
        <v>350</v>
      </c>
      <c r="AB798" s="28"/>
      <c r="AG798" s="13"/>
      <c r="AH798" s="15"/>
      <c r="AI798" s="15"/>
      <c r="AJ798" s="28"/>
      <c r="AK798" s="13"/>
      <c r="AL798" s="15"/>
      <c r="AM798" s="15"/>
      <c r="AN798" s="28"/>
      <c r="AO798" s="13"/>
      <c r="AP798" s="15"/>
      <c r="AQ798" s="15"/>
      <c r="AR798" s="28"/>
      <c r="AS798" s="15"/>
      <c r="AT798" s="15"/>
      <c r="AU798" s="15"/>
      <c r="AV798" s="15"/>
      <c r="AW798" s="13"/>
      <c r="AX798" s="15"/>
      <c r="AY798" s="15"/>
      <c r="AZ798" s="28"/>
      <c r="BA798" s="15"/>
      <c r="BB798" s="15"/>
      <c r="BC798" s="15"/>
      <c r="BD798" s="15"/>
      <c r="BE798" s="14"/>
      <c r="BF798" s="41">
        <f>$F$14</f>
        <v>350</v>
      </c>
      <c r="BG798" s="34">
        <f t="shared" si="2105"/>
        <v>0</v>
      </c>
      <c r="BH798" s="35">
        <f t="shared" si="2102"/>
        <v>0</v>
      </c>
    </row>
    <row r="799" ht="15.75" customHeight="1" hidden="1" spans="1:62" x14ac:dyDescent="0.25">
      <c r="A799" s="50">
        <v>104</v>
      </c>
      <c r="B799" s="21"/>
      <c r="C799" s="22" t="s">
        <v>53</v>
      </c>
      <c r="D799" s="21"/>
      <c r="E799" s="22"/>
      <c r="F799" s="20"/>
      <c r="G799" s="23"/>
      <c r="H799" s="51">
        <f>SUM(H792:H798)</f>
        <v>-365.38</v>
      </c>
      <c r="I799" s="52"/>
      <c r="J799" s="53"/>
      <c r="K799" s="51">
        <f t="shared" ref="K799:L799" si="2106">SUM(K792:K798)</f>
        <v>0</v>
      </c>
      <c r="L799" s="68">
        <f t="shared" si="2106"/>
        <v>0</v>
      </c>
      <c r="M799" s="53"/>
      <c r="N799" s="53"/>
      <c r="O799" s="51">
        <f t="shared" ref="O799:P799" si="2107">SUM(O793:O798)</f>
        <v>0</v>
      </c>
      <c r="P799" s="51">
        <f t="shared" si="2107"/>
        <v>0</v>
      </c>
      <c r="Q799" s="52"/>
      <c r="R799" s="53"/>
      <c r="S799" s="51">
        <f t="shared" ref="S799:T799" si="2108">SUM(S793:S798)</f>
        <v>0</v>
      </c>
      <c r="T799" s="68">
        <f t="shared" si="2108"/>
        <v>0</v>
      </c>
      <c r="U799" s="53"/>
      <c r="V799" s="53"/>
      <c r="W799" s="51">
        <f t="shared" ref="W799:X799" si="2109">SUM(W793:W798)</f>
        <v>22.41</v>
      </c>
      <c r="X799" s="51">
        <f t="shared" si="2109"/>
        <v>7.03</v>
      </c>
      <c r="Y799" s="52"/>
      <c r="Z799" s="53"/>
      <c r="AA799" s="51">
        <f t="shared" ref="AA799:AB799" si="2110">SUM(AA793:AA798)</f>
        <v>382.37</v>
      </c>
      <c r="AB799" s="68">
        <f t="shared" si="2110"/>
        <v>32.37</v>
      </c>
      <c r="AC799" s="53"/>
      <c r="AD799" s="53"/>
      <c r="AE799" s="51">
        <f t="shared" ref="AE799:AF799" si="2111">SUM(AE793:AE798)</f>
        <v>4856.2096</v>
      </c>
      <c r="AF799" s="51">
        <f t="shared" si="2111"/>
        <v>4856.2</v>
      </c>
      <c r="AG799" s="52"/>
      <c r="AH799" s="53"/>
      <c r="AI799" s="51">
        <f t="shared" ref="AI799:AJ799" si="2112">SUM(AI793:AI798)</f>
        <v>298.56</v>
      </c>
      <c r="AJ799" s="68">
        <f t="shared" si="2112"/>
        <v>298.56</v>
      </c>
      <c r="AK799" s="52"/>
      <c r="AL799" s="53"/>
      <c r="AM799" s="51">
        <f t="shared" ref="AM799:AN799" si="2113">SUM(AM793:AM798)</f>
        <v>313.75</v>
      </c>
      <c r="AN799" s="68">
        <f t="shared" si="2113"/>
        <v>313.75</v>
      </c>
      <c r="AO799" s="52"/>
      <c r="AP799" s="53"/>
      <c r="AQ799" s="51">
        <f t="shared" ref="AQ799:AR799" si="2114">SUM(AQ793:AQ798)</f>
        <v>169.32</v>
      </c>
      <c r="AR799" s="68">
        <f t="shared" si="2114"/>
        <v>0</v>
      </c>
      <c r="AS799" s="53"/>
      <c r="AT799" s="53"/>
      <c r="AU799" s="51">
        <f t="shared" ref="AU799:AV799" si="2115">SUM(AU793:AU798)</f>
        <v>47.31</v>
      </c>
      <c r="AV799" s="51">
        <f t="shared" si="2115"/>
        <v>0</v>
      </c>
      <c r="AW799" s="52"/>
      <c r="AX799" s="53"/>
      <c r="AY799" s="51">
        <f t="shared" ref="AY799:AZ799" si="2116">SUM(AY793:AY798)</f>
        <v>0</v>
      </c>
      <c r="AZ799" s="68">
        <f t="shared" si="2116"/>
        <v>249</v>
      </c>
      <c r="BA799" s="53"/>
      <c r="BB799" s="53"/>
      <c r="BC799" s="51">
        <f t="shared" ref="BC799:BD799" si="2117">SUM(BC793:BC798)</f>
        <v>0</v>
      </c>
      <c r="BD799" s="51">
        <f t="shared" si="2117"/>
        <v>0</v>
      </c>
      <c r="BE799" s="69"/>
      <c r="BF799" s="70">
        <f t="shared" ref="BF799:BH799" si="2118">SUM(BF792:BF798)</f>
        <v>6089.9296</v>
      </c>
      <c r="BG799" s="71">
        <f t="shared" si="2118"/>
        <v>5756.91</v>
      </c>
      <c r="BH799" s="72">
        <f t="shared" si="2118"/>
        <v>-32.3604</v>
      </c>
      <c r="BI799" s="34">
        <f>H799+BF799-BG799</f>
        <v>-32.3604</v>
      </c>
      <c r="BJ799" s="34">
        <f>BH799-BI799</f>
        <v>0</v>
      </c>
    </row>
    <row r="800" ht="15.75" customHeight="1" hidden="1" spans="1:60" x14ac:dyDescent="0.25">
      <c r="A800" s="29">
        <v>106</v>
      </c>
      <c r="B800" s="14"/>
      <c r="D800" s="14" t="s">
        <v>42</v>
      </c>
      <c r="F800" s="13"/>
      <c r="G800" s="28"/>
      <c r="I800" s="13"/>
      <c r="J800" s="15"/>
      <c r="K800" s="15"/>
      <c r="L800" s="28"/>
      <c r="Q800" s="13"/>
      <c r="R800" s="15"/>
      <c r="S800" s="15"/>
      <c r="T800" s="28"/>
      <c r="Y800" s="13"/>
      <c r="Z800" s="15"/>
      <c r="AA800" s="15"/>
      <c r="AB800" s="28"/>
      <c r="AG800" s="13"/>
      <c r="AH800" s="15"/>
      <c r="AI800" s="15"/>
      <c r="AJ800" s="28"/>
      <c r="AK800" s="13"/>
      <c r="AL800" s="15"/>
      <c r="AM800" s="15"/>
      <c r="AN800" s="28"/>
      <c r="AO800" s="13"/>
      <c r="AP800" s="15"/>
      <c r="AQ800" s="15"/>
      <c r="AR800" s="28"/>
      <c r="AW800" s="13"/>
      <c r="AX800" s="15"/>
      <c r="AY800" s="15"/>
      <c r="AZ800" s="28"/>
      <c r="BE800" s="14"/>
      <c r="BF800" s="13"/>
      <c r="BG800" s="15"/>
      <c r="BH800" s="28"/>
    </row>
    <row r="801" ht="15.75" customHeight="1" hidden="1" spans="1:60" x14ac:dyDescent="0.25">
      <c r="A801" s="2">
        <v>106</v>
      </c>
      <c r="B801" s="14">
        <v>4.57</v>
      </c>
      <c r="C801" s="2" t="s">
        <v>336</v>
      </c>
      <c r="D801" s="14" t="s">
        <v>44</v>
      </c>
      <c r="E801" s="2" t="s">
        <v>45</v>
      </c>
      <c r="F801" s="13">
        <v>2.49</v>
      </c>
      <c r="G801" s="28"/>
      <c r="H801" s="74"/>
      <c r="I801" s="13"/>
      <c r="J801" s="15"/>
      <c r="K801" s="15"/>
      <c r="L801" s="28"/>
      <c r="Q801" s="13"/>
      <c r="R801" s="15"/>
      <c r="S801" s="15"/>
      <c r="T801" s="28"/>
      <c r="Y801" s="13"/>
      <c r="Z801" s="15">
        <f>Y801-U801</f>
        <v>0</v>
      </c>
      <c r="AA801" s="34">
        <f>Z801*$F$8</f>
        <v>0</v>
      </c>
      <c r="AB801" s="28"/>
      <c r="AC801" s="15"/>
      <c r="AD801" s="15">
        <f t="shared" ref="AD801:AD802" si="2119">AC801-Y801</f>
        <v>0</v>
      </c>
      <c r="AE801" s="34">
        <f>AD801*$F$8</f>
        <v>0</v>
      </c>
      <c r="AG801" s="13"/>
      <c r="AH801" s="15">
        <f t="shared" ref="AH801:AH802" si="2120">AG801-AC801</f>
        <v>0</v>
      </c>
      <c r="AI801" s="34">
        <f>AH801*$F$8</f>
        <v>0</v>
      </c>
      <c r="AJ801" s="28"/>
      <c r="AK801" s="13"/>
      <c r="AL801" s="15">
        <f t="shared" ref="AL801:AL802" si="2121">AK801-AG801</f>
        <v>0</v>
      </c>
      <c r="AM801" s="34">
        <f>AL801*$F$8</f>
        <v>0</v>
      </c>
      <c r="AN801" s="28"/>
      <c r="AO801" s="13"/>
      <c r="AP801" s="15"/>
      <c r="AQ801" s="34">
        <f>AP801*$F$8</f>
        <v>0</v>
      </c>
      <c r="AR801" s="28"/>
      <c r="AS801" s="15"/>
      <c r="AT801" s="15"/>
      <c r="AU801" s="34">
        <f>AT801*$F$8</f>
        <v>0</v>
      </c>
      <c r="AV801" s="15"/>
      <c r="AW801" s="13"/>
      <c r="AX801" s="15"/>
      <c r="AY801" s="34">
        <f>AX801*$F$8</f>
        <v>0</v>
      </c>
      <c r="AZ801" s="28"/>
      <c r="BA801" s="15"/>
      <c r="BB801" s="15"/>
      <c r="BC801" s="34">
        <f>BB801*$F$8</f>
        <v>0</v>
      </c>
      <c r="BD801" s="15"/>
      <c r="BE801" s="40">
        <f t="shared" ref="BE801:BG801" si="2122">J801+N801+R801+V801+Z801+AD801+AH801+AL801+AP801+AT801+AX801+BB801</f>
        <v>0</v>
      </c>
      <c r="BF801" s="41">
        <f t="shared" si="2122"/>
        <v>0</v>
      </c>
      <c r="BG801" s="34">
        <f t="shared" si="2122"/>
        <v>0</v>
      </c>
      <c r="BH801" s="35">
        <f t="shared" ref="BH801:BH806" si="2123">H801+BF801-BG801</f>
        <v>0</v>
      </c>
    </row>
    <row r="802" ht="15.75" customHeight="1" hidden="1" spans="1:60" x14ac:dyDescent="0.25">
      <c r="A802" s="29">
        <v>106</v>
      </c>
      <c r="B802" s="14"/>
      <c r="C802" s="2" t="s">
        <v>114</v>
      </c>
      <c r="D802" s="14" t="s">
        <v>47</v>
      </c>
      <c r="E802" s="2" t="s">
        <v>48</v>
      </c>
      <c r="F802" s="13">
        <v>17.16</v>
      </c>
      <c r="G802" s="28"/>
      <c r="I802" s="13"/>
      <c r="J802" s="15"/>
      <c r="K802" s="15"/>
      <c r="L802" s="28"/>
      <c r="Q802" s="13"/>
      <c r="R802" s="15"/>
      <c r="S802" s="15"/>
      <c r="T802" s="28"/>
      <c r="Y802" s="13"/>
      <c r="Z802" s="15"/>
      <c r="AA802" s="15"/>
      <c r="AB802" s="28"/>
      <c r="AC802" s="15"/>
      <c r="AD802" s="15">
        <f t="shared" si="2119"/>
        <v>0</v>
      </c>
      <c r="AE802" s="34">
        <f>AD802*$F$10</f>
        <v>0</v>
      </c>
      <c r="AG802" s="13"/>
      <c r="AH802" s="15">
        <f t="shared" si="2120"/>
        <v>0</v>
      </c>
      <c r="AI802" s="45">
        <f>AH802*$G$10</f>
        <v>0</v>
      </c>
      <c r="AJ802" s="28"/>
      <c r="AK802" s="13"/>
      <c r="AL802" s="15">
        <f t="shared" si="2121"/>
        <v>0</v>
      </c>
      <c r="AM802" s="45">
        <f>AL802*$G$10</f>
        <v>0</v>
      </c>
      <c r="AN802" s="28"/>
      <c r="AO802" s="13"/>
      <c r="AP802" s="15"/>
      <c r="AQ802" s="45">
        <f>AP802*$G$10</f>
        <v>0</v>
      </c>
      <c r="AR802" s="28"/>
      <c r="AS802" s="15"/>
      <c r="AT802" s="15"/>
      <c r="AU802" s="15"/>
      <c r="AV802" s="15"/>
      <c r="AW802" s="13"/>
      <c r="AX802" s="15"/>
      <c r="AY802" s="15"/>
      <c r="AZ802" s="28"/>
      <c r="BA802" s="15"/>
      <c r="BB802" s="15"/>
      <c r="BC802" s="15"/>
      <c r="BD802" s="15"/>
      <c r="BE802" s="40">
        <f t="shared" ref="BE802:BG802" si="2124">J802+N802+R802+V802+Z802+AD802+AH802+AL802+AP802+AT802+AX802+BB802</f>
        <v>0</v>
      </c>
      <c r="BF802" s="41">
        <f t="shared" si="2124"/>
        <v>0</v>
      </c>
      <c r="BG802" s="34">
        <f t="shared" si="2124"/>
        <v>0</v>
      </c>
      <c r="BH802" s="35">
        <f t="shared" si="2123"/>
        <v>0</v>
      </c>
    </row>
    <row r="803" ht="15.75" customHeight="1" hidden="1" spans="1:60" x14ac:dyDescent="0.25">
      <c r="A803" s="29">
        <v>106</v>
      </c>
      <c r="B803" s="14"/>
      <c r="C803" s="2" t="s">
        <v>337</v>
      </c>
      <c r="D803" s="14" t="s">
        <v>47</v>
      </c>
      <c r="E803" s="2" t="s">
        <v>49</v>
      </c>
      <c r="F803" s="41">
        <v>300</v>
      </c>
      <c r="G803" s="28"/>
      <c r="H803" s="83"/>
      <c r="I803" s="13"/>
      <c r="J803" s="15"/>
      <c r="K803" s="15"/>
      <c r="L803" s="28"/>
      <c r="Q803" s="13"/>
      <c r="R803" s="15"/>
      <c r="S803" s="15"/>
      <c r="T803" s="28"/>
      <c r="Y803" s="13"/>
      <c r="Z803" s="15"/>
      <c r="AA803" s="34">
        <f>B801*$F$11</f>
        <v>1371</v>
      </c>
      <c r="AB803" s="28"/>
      <c r="AC803" s="15"/>
      <c r="AG803" s="13"/>
      <c r="AH803" s="15"/>
      <c r="AI803" s="15"/>
      <c r="AJ803" s="32">
        <v>720.64</v>
      </c>
      <c r="AK803" s="13"/>
      <c r="AL803" s="15"/>
      <c r="AM803" s="34"/>
      <c r="AN803" s="28"/>
      <c r="AO803" s="13"/>
      <c r="AP803" s="15"/>
      <c r="AQ803" s="34"/>
      <c r="AR803" s="28"/>
      <c r="AS803" s="15"/>
      <c r="AT803" s="15"/>
      <c r="AU803" s="15"/>
      <c r="AV803" s="15"/>
      <c r="AW803" s="13"/>
      <c r="AX803" s="15"/>
      <c r="AY803" s="15"/>
      <c r="AZ803" s="28"/>
      <c r="BA803" s="15"/>
      <c r="BB803" s="15"/>
      <c r="BC803" s="15"/>
      <c r="BD803" s="15"/>
      <c r="BE803" s="14"/>
      <c r="BF803" s="41">
        <f t="shared" ref="BF803:BG803" si="2125">K803+O803+S803+W803+AA803+AE803+AI803+AM803+AQ803+AU803+AY803+BC803</f>
        <v>1371</v>
      </c>
      <c r="BG803" s="34">
        <f t="shared" si="2125"/>
        <v>720.64</v>
      </c>
      <c r="BH803" s="35">
        <f t="shared" si="2123"/>
        <v>650.36</v>
      </c>
    </row>
    <row r="804" ht="15.75" customHeight="1" hidden="1" spans="1:60" x14ac:dyDescent="0.25">
      <c r="A804" s="29">
        <v>106</v>
      </c>
      <c r="B804" s="14"/>
      <c r="C804" s="2" t="s">
        <v>179</v>
      </c>
      <c r="D804" s="14" t="s">
        <v>50</v>
      </c>
      <c r="E804" s="2" t="s">
        <v>49</v>
      </c>
      <c r="F804" s="41">
        <v>1062.88</v>
      </c>
      <c r="G804" s="28"/>
      <c r="I804" s="13"/>
      <c r="J804" s="15"/>
      <c r="K804" s="15"/>
      <c r="L804" s="28"/>
      <c r="Q804" s="13"/>
      <c r="R804" s="15"/>
      <c r="S804" s="15"/>
      <c r="T804" s="28"/>
      <c r="Y804" s="13"/>
      <c r="Z804" s="15"/>
      <c r="AA804" s="15"/>
      <c r="AB804" s="28"/>
      <c r="AE804" s="34">
        <f>B801*$F$12</f>
        <v>4857.3616</v>
      </c>
      <c r="AG804" s="13"/>
      <c r="AH804" s="15"/>
      <c r="AI804" s="15"/>
      <c r="AJ804" s="32">
        <v>4857.36</v>
      </c>
      <c r="AK804" s="13"/>
      <c r="AL804" s="15"/>
      <c r="AM804" s="15"/>
      <c r="AN804" s="28"/>
      <c r="AO804" s="13"/>
      <c r="AP804" s="15"/>
      <c r="AQ804" s="15"/>
      <c r="AR804" s="28"/>
      <c r="AS804" s="15"/>
      <c r="AT804" s="15"/>
      <c r="AU804" s="15"/>
      <c r="AV804" s="15"/>
      <c r="AW804" s="13"/>
      <c r="AX804" s="15"/>
      <c r="AY804" s="15"/>
      <c r="AZ804" s="28"/>
      <c r="BA804" s="15"/>
      <c r="BB804" s="15"/>
      <c r="BC804" s="15"/>
      <c r="BD804" s="15"/>
      <c r="BE804" s="14"/>
      <c r="BF804" s="41">
        <f>B801*$F$12</f>
        <v>4857.3616</v>
      </c>
      <c r="BG804" s="34">
        <f t="shared" ref="BG804:BG806" si="2126">L804+P804+T804+X804+AB804+AF804+AJ804+AN804+AR804+AV804+AZ804+BD804</f>
        <v>4857.36</v>
      </c>
      <c r="BH804" s="35">
        <f t="shared" si="2123"/>
        <v>0.001600000001</v>
      </c>
    </row>
    <row r="805" ht="15.75" customHeight="1" hidden="1" spans="1:60" x14ac:dyDescent="0.25">
      <c r="A805" s="29">
        <v>106</v>
      </c>
      <c r="B805" s="14"/>
      <c r="C805" s="2" t="s">
        <v>338</v>
      </c>
      <c r="D805" s="14" t="s">
        <v>51</v>
      </c>
      <c r="E805" s="2" t="s">
        <v>49</v>
      </c>
      <c r="F805" s="41">
        <v>0</v>
      </c>
      <c r="G805" s="28"/>
      <c r="I805" s="13"/>
      <c r="J805" s="15"/>
      <c r="K805" s="15"/>
      <c r="L805" s="28"/>
      <c r="Q805" s="13"/>
      <c r="R805" s="15"/>
      <c r="S805" s="15"/>
      <c r="T805" s="28"/>
      <c r="Y805" s="13"/>
      <c r="Z805" s="15"/>
      <c r="AA805" s="15"/>
      <c r="AB805" s="28"/>
      <c r="AG805" s="13"/>
      <c r="AH805" s="15"/>
      <c r="AI805" s="15"/>
      <c r="AJ805" s="28"/>
      <c r="AK805" s="13"/>
      <c r="AL805" s="15"/>
      <c r="AM805" s="15"/>
      <c r="AN805" s="28"/>
      <c r="AO805" s="13"/>
      <c r="AP805" s="15"/>
      <c r="AQ805" s="15"/>
      <c r="AR805" s="28"/>
      <c r="AS805" s="15"/>
      <c r="AT805" s="15"/>
      <c r="AU805" s="15"/>
      <c r="AV805" s="15"/>
      <c r="AW805" s="13"/>
      <c r="AX805" s="15"/>
      <c r="AY805" s="15"/>
      <c r="AZ805" s="28"/>
      <c r="BA805" s="15"/>
      <c r="BB805" s="15"/>
      <c r="BC805" s="15"/>
      <c r="BD805" s="15"/>
      <c r="BE805" s="14"/>
      <c r="BF805" s="41">
        <f>B801*$F$13</f>
        <v>0</v>
      </c>
      <c r="BG805" s="34">
        <f t="shared" si="2126"/>
        <v>0</v>
      </c>
      <c r="BH805" s="35">
        <f t="shared" si="2123"/>
        <v>0</v>
      </c>
    </row>
    <row r="806" ht="15.75" customHeight="1" hidden="1" spans="1:60" x14ac:dyDescent="0.25">
      <c r="A806" s="29">
        <v>106</v>
      </c>
      <c r="B806" s="14"/>
      <c r="D806" s="14" t="s">
        <v>52</v>
      </c>
      <c r="E806" s="2" t="s">
        <v>39</v>
      </c>
      <c r="F806" s="41">
        <v>350</v>
      </c>
      <c r="G806" s="28"/>
      <c r="I806" s="13"/>
      <c r="J806" s="15"/>
      <c r="K806" s="15"/>
      <c r="L806" s="28"/>
      <c r="Q806" s="13"/>
      <c r="R806" s="15"/>
      <c r="S806" s="15"/>
      <c r="T806" s="28"/>
      <c r="Y806" s="13"/>
      <c r="Z806" s="15"/>
      <c r="AA806" s="34">
        <f>$F$14</f>
        <v>350</v>
      </c>
      <c r="AB806" s="28"/>
      <c r="AG806" s="13"/>
      <c r="AH806" s="15"/>
      <c r="AI806" s="15"/>
      <c r="AJ806" s="28"/>
      <c r="AK806" s="13"/>
      <c r="AL806" s="15"/>
      <c r="AM806" s="15"/>
      <c r="AN806" s="28"/>
      <c r="AO806" s="13"/>
      <c r="AP806" s="15"/>
      <c r="AQ806" s="15"/>
      <c r="AR806" s="28"/>
      <c r="AS806" s="15"/>
      <c r="AT806" s="15"/>
      <c r="AU806" s="15"/>
      <c r="AV806" s="15"/>
      <c r="AW806" s="13"/>
      <c r="AX806" s="15"/>
      <c r="AY806" s="15"/>
      <c r="AZ806" s="28"/>
      <c r="BA806" s="15"/>
      <c r="BB806" s="15"/>
      <c r="BC806" s="15"/>
      <c r="BD806" s="15"/>
      <c r="BE806" s="14"/>
      <c r="BF806" s="41">
        <f>$F$14</f>
        <v>350</v>
      </c>
      <c r="BG806" s="34">
        <f t="shared" si="2126"/>
        <v>0</v>
      </c>
      <c r="BH806" s="35">
        <f t="shared" si="2123"/>
        <v>350</v>
      </c>
    </row>
    <row r="807" ht="15.75" customHeight="1" hidden="1" spans="1:62" x14ac:dyDescent="0.25">
      <c r="A807" s="50">
        <v>106</v>
      </c>
      <c r="B807" s="21"/>
      <c r="C807" s="22" t="s">
        <v>53</v>
      </c>
      <c r="D807" s="21"/>
      <c r="E807" s="22"/>
      <c r="F807" s="20"/>
      <c r="G807" s="23"/>
      <c r="H807" s="51">
        <f>SUM(H800:H806)</f>
        <v>0</v>
      </c>
      <c r="I807" s="52"/>
      <c r="J807" s="53"/>
      <c r="K807" s="51">
        <f t="shared" ref="K807:L807" si="2127">SUM(K800:K806)</f>
        <v>0</v>
      </c>
      <c r="L807" s="68">
        <f t="shared" si="2127"/>
        <v>0</v>
      </c>
      <c r="M807" s="53"/>
      <c r="N807" s="53"/>
      <c r="O807" s="51">
        <f t="shared" ref="O807:P807" si="2128">SUM(O801:O806)</f>
        <v>0</v>
      </c>
      <c r="P807" s="51">
        <f t="shared" si="2128"/>
        <v>0</v>
      </c>
      <c r="Q807" s="52"/>
      <c r="R807" s="53"/>
      <c r="S807" s="51">
        <f t="shared" ref="S807:T807" si="2129">SUM(S801:S806)</f>
        <v>0</v>
      </c>
      <c r="T807" s="68">
        <f t="shared" si="2129"/>
        <v>0</v>
      </c>
      <c r="U807" s="53"/>
      <c r="V807" s="53"/>
      <c r="W807" s="51">
        <f t="shared" ref="W807:X807" si="2130">SUM(W801:W806)</f>
        <v>0</v>
      </c>
      <c r="X807" s="51">
        <f t="shared" si="2130"/>
        <v>0</v>
      </c>
      <c r="Y807" s="52"/>
      <c r="Z807" s="53"/>
      <c r="AA807" s="51">
        <f t="shared" ref="AA807:AB807" si="2131">SUM(AA801:AA806)</f>
        <v>1721</v>
      </c>
      <c r="AB807" s="68">
        <f t="shared" si="2131"/>
        <v>0</v>
      </c>
      <c r="AC807" s="53"/>
      <c r="AD807" s="53"/>
      <c r="AE807" s="51">
        <f t="shared" ref="AE807:AF807" si="2132">SUM(AE801:AE806)</f>
        <v>4857.3616</v>
      </c>
      <c r="AF807" s="51">
        <f t="shared" si="2132"/>
        <v>0</v>
      </c>
      <c r="AG807" s="52"/>
      <c r="AH807" s="53"/>
      <c r="AI807" s="51">
        <f t="shared" ref="AI807:AJ807" si="2133">SUM(AI801:AI806)</f>
        <v>0</v>
      </c>
      <c r="AJ807" s="68">
        <f t="shared" si="2133"/>
        <v>5578</v>
      </c>
      <c r="AK807" s="52"/>
      <c r="AL807" s="53"/>
      <c r="AM807" s="51">
        <f t="shared" ref="AM807:AN807" si="2134">SUM(AM801:AM806)</f>
        <v>0</v>
      </c>
      <c r="AN807" s="68">
        <f t="shared" si="2134"/>
        <v>0</v>
      </c>
      <c r="AO807" s="52"/>
      <c r="AP807" s="53"/>
      <c r="AQ807" s="51">
        <f t="shared" ref="AQ807:AR807" si="2135">SUM(AQ801:AQ806)</f>
        <v>0</v>
      </c>
      <c r="AR807" s="68">
        <f t="shared" si="2135"/>
        <v>0</v>
      </c>
      <c r="AS807" s="53"/>
      <c r="AT807" s="53"/>
      <c r="AU807" s="51">
        <f t="shared" ref="AU807:AV807" si="2136">SUM(AU801:AU806)</f>
        <v>0</v>
      </c>
      <c r="AV807" s="51">
        <f t="shared" si="2136"/>
        <v>0</v>
      </c>
      <c r="AW807" s="52"/>
      <c r="AX807" s="53"/>
      <c r="AY807" s="51">
        <f t="shared" ref="AY807:AZ807" si="2137">SUM(AY801:AY806)</f>
        <v>0</v>
      </c>
      <c r="AZ807" s="68">
        <f t="shared" si="2137"/>
        <v>0</v>
      </c>
      <c r="BA807" s="53"/>
      <c r="BB807" s="53"/>
      <c r="BC807" s="51">
        <f t="shared" ref="BC807:BD807" si="2138">SUM(BC801:BC806)</f>
        <v>0</v>
      </c>
      <c r="BD807" s="51">
        <f t="shared" si="2138"/>
        <v>0</v>
      </c>
      <c r="BE807" s="69"/>
      <c r="BF807" s="70">
        <f t="shared" ref="BF807:BH807" si="2139">SUM(BF800:BF806)</f>
        <v>6578.3616</v>
      </c>
      <c r="BG807" s="71">
        <f t="shared" si="2139"/>
        <v>5578</v>
      </c>
      <c r="BH807" s="72">
        <f t="shared" si="2139"/>
        <v>1000.3616</v>
      </c>
      <c r="BI807" s="34">
        <f>H807+BF807-BG807</f>
        <v>1000.3616</v>
      </c>
      <c r="BJ807" s="34">
        <f>BH807-BI807</f>
        <v>0</v>
      </c>
    </row>
    <row r="808" ht="15.75" customHeight="1" hidden="1" spans="1:60" x14ac:dyDescent="0.25">
      <c r="A808" s="29">
        <v>108</v>
      </c>
      <c r="B808" s="14"/>
      <c r="D808" s="99" t="s">
        <v>132</v>
      </c>
      <c r="F808" s="13"/>
      <c r="G808" s="28"/>
      <c r="H808" s="34">
        <v>550</v>
      </c>
      <c r="I808" s="13"/>
      <c r="J808" s="15"/>
      <c r="K808" s="15"/>
      <c r="L808" s="28"/>
      <c r="Q808" s="13"/>
      <c r="R808" s="15"/>
      <c r="S808" s="15"/>
      <c r="T808" s="28"/>
      <c r="Y808" s="13"/>
      <c r="Z808" s="15"/>
      <c r="AA808" s="15"/>
      <c r="AB808" s="28"/>
      <c r="AG808" s="13"/>
      <c r="AH808" s="15"/>
      <c r="AI808" s="15"/>
      <c r="AJ808" s="28"/>
      <c r="AK808" s="13"/>
      <c r="AL808" s="15"/>
      <c r="AM808" s="15"/>
      <c r="AN808" s="28"/>
      <c r="AO808" s="13"/>
      <c r="AP808" s="15"/>
      <c r="AQ808" s="15"/>
      <c r="AR808" s="28"/>
      <c r="AW808" s="13"/>
      <c r="AX808" s="15"/>
      <c r="AY808" s="15"/>
      <c r="AZ808" s="28"/>
      <c r="BE808" s="14"/>
      <c r="BF808" s="41">
        <f t="shared" ref="BF808:BG808" si="2140">K808+O808+S808+W808+AA808+AE808+AI808+AM808+AQ808+AU808+AY808+BC808</f>
        <v>0</v>
      </c>
      <c r="BG808" s="34">
        <f t="shared" si="2140"/>
        <v>0</v>
      </c>
      <c r="BH808" s="35">
        <f t="shared" ref="BH808:BH814" si="2141">H808+BF808-BG808</f>
        <v>550</v>
      </c>
    </row>
    <row r="809" ht="15.75" customHeight="1" hidden="1" spans="1:60" x14ac:dyDescent="0.25">
      <c r="A809" s="2">
        <v>108</v>
      </c>
      <c r="B809" s="14">
        <v>4.32</v>
      </c>
      <c r="C809" s="2" t="s">
        <v>339</v>
      </c>
      <c r="D809" s="14" t="s">
        <v>44</v>
      </c>
      <c r="E809" s="2" t="s">
        <v>45</v>
      </c>
      <c r="F809" s="13">
        <v>2.49</v>
      </c>
      <c r="G809" s="28"/>
      <c r="H809" s="74"/>
      <c r="I809" s="13"/>
      <c r="J809" s="15"/>
      <c r="K809" s="15"/>
      <c r="L809" s="28"/>
      <c r="Q809" s="13"/>
      <c r="R809" s="15"/>
      <c r="S809" s="15"/>
      <c r="T809" s="28"/>
      <c r="Y809" s="13"/>
      <c r="Z809" s="15">
        <f>Y809-U809</f>
        <v>0</v>
      </c>
      <c r="AA809" s="34">
        <f>Z809*$F$8</f>
        <v>0</v>
      </c>
      <c r="AB809" s="28"/>
      <c r="AC809" s="15"/>
      <c r="AD809" s="15">
        <f t="shared" ref="AD809:AD810" si="2142">AC809-Y809</f>
        <v>0</v>
      </c>
      <c r="AE809" s="34">
        <f>AD809*$F$8</f>
        <v>0</v>
      </c>
      <c r="AG809" s="13"/>
      <c r="AH809" s="15">
        <f t="shared" ref="AH809:AH810" si="2143">AG809-AC809</f>
        <v>0</v>
      </c>
      <c r="AI809" s="34">
        <f>AH809*$F$8</f>
        <v>0</v>
      </c>
      <c r="AJ809" s="28"/>
      <c r="AK809" s="13"/>
      <c r="AL809" s="15">
        <f t="shared" ref="AL809:AL810" si="2144">AK809-AG809</f>
        <v>0</v>
      </c>
      <c r="AM809" s="34">
        <f>AL809*$F$8</f>
        <v>0</v>
      </c>
      <c r="AN809" s="28"/>
      <c r="AO809" s="13"/>
      <c r="AP809" s="15"/>
      <c r="AQ809" s="34">
        <f>AP809*$F$8</f>
        <v>0</v>
      </c>
      <c r="AR809" s="28"/>
      <c r="AS809" s="15"/>
      <c r="AT809" s="15"/>
      <c r="AU809" s="34">
        <f>AT809*$F$8</f>
        <v>0</v>
      </c>
      <c r="AV809" s="15"/>
      <c r="AW809" s="13"/>
      <c r="AX809" s="15"/>
      <c r="AY809" s="34">
        <f>AX809*$F$8</f>
        <v>0</v>
      </c>
      <c r="AZ809" s="28"/>
      <c r="BA809" s="15"/>
      <c r="BB809" s="15"/>
      <c r="BC809" s="34">
        <f>BB809*$F$8</f>
        <v>0</v>
      </c>
      <c r="BD809" s="15"/>
      <c r="BE809" s="40">
        <f t="shared" ref="BE809:BG809" si="2145">J809+N809+R809+V809+Z809+AD809+AH809+AL809+AP809+AT809+AX809+BB809</f>
        <v>0</v>
      </c>
      <c r="BF809" s="41">
        <f t="shared" si="2145"/>
        <v>0</v>
      </c>
      <c r="BG809" s="34">
        <f t="shared" si="2145"/>
        <v>0</v>
      </c>
      <c r="BH809" s="35">
        <f t="shared" si="2141"/>
        <v>0</v>
      </c>
    </row>
    <row r="810" ht="15.75" customHeight="1" hidden="1" spans="1:60" x14ac:dyDescent="0.25">
      <c r="A810" s="29">
        <v>108</v>
      </c>
      <c r="B810" s="14"/>
      <c r="C810" s="73"/>
      <c r="D810" s="14" t="s">
        <v>47</v>
      </c>
      <c r="E810" s="2" t="s">
        <v>48</v>
      </c>
      <c r="F810" s="13">
        <v>17.16</v>
      </c>
      <c r="G810" s="28"/>
      <c r="I810" s="13"/>
      <c r="J810" s="15"/>
      <c r="K810" s="15"/>
      <c r="L810" s="28"/>
      <c r="Q810" s="13"/>
      <c r="R810" s="15"/>
      <c r="S810" s="15"/>
      <c r="T810" s="28"/>
      <c r="Y810" s="13"/>
      <c r="Z810" s="15"/>
      <c r="AA810" s="15"/>
      <c r="AB810" s="28"/>
      <c r="AC810" s="15"/>
      <c r="AD810" s="15">
        <f t="shared" si="2142"/>
        <v>0</v>
      </c>
      <c r="AE810" s="34">
        <f>AD810*$F$10</f>
        <v>0</v>
      </c>
      <c r="AG810" s="13"/>
      <c r="AH810" s="15">
        <f t="shared" si="2143"/>
        <v>0</v>
      </c>
      <c r="AI810" s="45">
        <f>AH810*$G$10</f>
        <v>0</v>
      </c>
      <c r="AJ810" s="28"/>
      <c r="AK810" s="13"/>
      <c r="AL810" s="15">
        <f t="shared" si="2144"/>
        <v>0</v>
      </c>
      <c r="AM810" s="45">
        <f>AL810*$G$10</f>
        <v>0</v>
      </c>
      <c r="AN810" s="28"/>
      <c r="AO810" s="13"/>
      <c r="AP810" s="15"/>
      <c r="AQ810" s="45">
        <f>AP810*$G$10</f>
        <v>0</v>
      </c>
      <c r="AR810" s="28"/>
      <c r="AS810" s="15"/>
      <c r="AT810" s="15"/>
      <c r="AU810" s="15"/>
      <c r="AV810" s="15"/>
      <c r="AW810" s="13"/>
      <c r="AX810" s="15"/>
      <c r="AY810" s="15"/>
      <c r="AZ810" s="28"/>
      <c r="BA810" s="15"/>
      <c r="BB810" s="15"/>
      <c r="BC810" s="15"/>
      <c r="BD810" s="15"/>
      <c r="BE810" s="40">
        <f t="shared" ref="BE810:BG810" si="2146">J810+N810+R810+V810+Z810+AD810+AH810+AL810+AP810+AT810+AX810+BB810</f>
        <v>0</v>
      </c>
      <c r="BF810" s="41">
        <f t="shared" si="2146"/>
        <v>0</v>
      </c>
      <c r="BG810" s="34">
        <f t="shared" si="2146"/>
        <v>0</v>
      </c>
      <c r="BH810" s="35">
        <f t="shared" si="2141"/>
        <v>0</v>
      </c>
    </row>
    <row r="811" ht="15.75" customHeight="1" hidden="1" spans="1:60" x14ac:dyDescent="0.25">
      <c r="A811" s="29">
        <v>108</v>
      </c>
      <c r="B811" s="14"/>
      <c r="C811" s="73"/>
      <c r="D811" s="14" t="s">
        <v>47</v>
      </c>
      <c r="E811" s="2" t="s">
        <v>49</v>
      </c>
      <c r="F811" s="41">
        <v>300</v>
      </c>
      <c r="G811" s="28"/>
      <c r="H811" s="83"/>
      <c r="I811" s="13"/>
      <c r="J811" s="15"/>
      <c r="K811" s="15"/>
      <c r="L811" s="28"/>
      <c r="Q811" s="13"/>
      <c r="R811" s="15"/>
      <c r="S811" s="15"/>
      <c r="T811" s="28"/>
      <c r="Y811" s="13"/>
      <c r="Z811" s="15"/>
      <c r="AA811" s="15"/>
      <c r="AB811" s="28"/>
      <c r="AC811" s="15"/>
      <c r="AG811" s="13"/>
      <c r="AH811" s="15"/>
      <c r="AI811" s="15"/>
      <c r="AJ811" s="28"/>
      <c r="AK811" s="13"/>
      <c r="AL811" s="15"/>
      <c r="AM811" s="34"/>
      <c r="AN811" s="28"/>
      <c r="AO811" s="13"/>
      <c r="AP811" s="15"/>
      <c r="AQ811" s="34"/>
      <c r="AR811" s="28"/>
      <c r="AS811" s="15"/>
      <c r="AT811" s="15"/>
      <c r="AU811" s="15"/>
      <c r="AV811" s="15"/>
      <c r="AW811" s="13"/>
      <c r="AX811" s="15"/>
      <c r="AY811" s="15"/>
      <c r="AZ811" s="28"/>
      <c r="BA811" s="15"/>
      <c r="BB811" s="15"/>
      <c r="BC811" s="15"/>
      <c r="BD811" s="15"/>
      <c r="BE811" s="14"/>
      <c r="BF811" s="41">
        <f t="shared" ref="BF811:BG811" si="2147">K811+O811+S811+W811+AA811+AE811+AI811+AM811+AQ811+AU811+AY811+BC811</f>
        <v>0</v>
      </c>
      <c r="BG811" s="34">
        <f t="shared" si="2147"/>
        <v>0</v>
      </c>
      <c r="BH811" s="35">
        <f t="shared" si="2141"/>
        <v>0</v>
      </c>
    </row>
    <row r="812" ht="15.75" customHeight="1" hidden="1" spans="1:60" x14ac:dyDescent="0.25">
      <c r="A812" s="29">
        <v>108</v>
      </c>
      <c r="B812" s="14"/>
      <c r="D812" s="14" t="s">
        <v>50</v>
      </c>
      <c r="E812" s="2" t="s">
        <v>49</v>
      </c>
      <c r="F812" s="41">
        <v>1062.88</v>
      </c>
      <c r="G812" s="28"/>
      <c r="H812" s="34">
        <f>2592+3456+3456</f>
        <v>9504</v>
      </c>
      <c r="I812" s="13"/>
      <c r="J812" s="15"/>
      <c r="K812" s="15"/>
      <c r="L812" s="28"/>
      <c r="Q812" s="13"/>
      <c r="R812" s="15"/>
      <c r="S812" s="15"/>
      <c r="T812" s="28"/>
      <c r="Y812" s="13"/>
      <c r="Z812" s="15"/>
      <c r="AA812" s="15"/>
      <c r="AB812" s="28"/>
      <c r="AE812" s="34">
        <f>B809*$F$12</f>
        <v>4591.6416</v>
      </c>
      <c r="AG812" s="13"/>
      <c r="AH812" s="15"/>
      <c r="AI812" s="15"/>
      <c r="AJ812" s="28"/>
      <c r="AK812" s="13"/>
      <c r="AL812" s="15"/>
      <c r="AM812" s="15"/>
      <c r="AN812" s="28"/>
      <c r="AO812" s="13"/>
      <c r="AP812" s="15"/>
      <c r="AQ812" s="15"/>
      <c r="AR812" s="28"/>
      <c r="AS812" s="15"/>
      <c r="AT812" s="15"/>
      <c r="AU812" s="15"/>
      <c r="AV812" s="15"/>
      <c r="AW812" s="13"/>
      <c r="AX812" s="15"/>
      <c r="AY812" s="15"/>
      <c r="AZ812" s="28"/>
      <c r="BA812" s="15"/>
      <c r="BB812" s="15"/>
      <c r="BC812" s="15"/>
      <c r="BD812" s="15"/>
      <c r="BE812" s="14"/>
      <c r="BF812" s="41">
        <f>B809*$F$12</f>
        <v>4591.6416</v>
      </c>
      <c r="BG812" s="34">
        <f t="shared" ref="BG812:BG814" si="2148">L812+P812+T812+X812+AB812+AF812+AJ812+AN812+AR812+AV812+AZ812+BD812</f>
        <v>0</v>
      </c>
      <c r="BH812" s="35">
        <f t="shared" si="2141"/>
        <v>14095.6416</v>
      </c>
    </row>
    <row r="813" ht="15.75" customHeight="1" hidden="1" spans="1:60" x14ac:dyDescent="0.25">
      <c r="A813" s="29">
        <v>108</v>
      </c>
      <c r="B813" s="14"/>
      <c r="D813" s="14" t="s">
        <v>51</v>
      </c>
      <c r="E813" s="2" t="s">
        <v>49</v>
      </c>
      <c r="F813" s="41">
        <v>0</v>
      </c>
      <c r="G813" s="28"/>
      <c r="H813" s="34">
        <f>6904+1000+864</f>
        <v>8768</v>
      </c>
      <c r="I813" s="13"/>
      <c r="J813" s="15"/>
      <c r="K813" s="15"/>
      <c r="L813" s="28"/>
      <c r="Q813" s="13"/>
      <c r="R813" s="15"/>
      <c r="S813" s="15"/>
      <c r="T813" s="28"/>
      <c r="Y813" s="13"/>
      <c r="Z813" s="15"/>
      <c r="AA813" s="15"/>
      <c r="AB813" s="28"/>
      <c r="AG813" s="13"/>
      <c r="AH813" s="15"/>
      <c r="AI813" s="15"/>
      <c r="AJ813" s="28"/>
      <c r="AK813" s="13"/>
      <c r="AL813" s="15"/>
      <c r="AM813" s="15"/>
      <c r="AN813" s="28"/>
      <c r="AO813" s="13"/>
      <c r="AP813" s="15"/>
      <c r="AQ813" s="15"/>
      <c r="AR813" s="28"/>
      <c r="AS813" s="15"/>
      <c r="AT813" s="15"/>
      <c r="AU813" s="15"/>
      <c r="AV813" s="15"/>
      <c r="AW813" s="13"/>
      <c r="AX813" s="15"/>
      <c r="AY813" s="15"/>
      <c r="AZ813" s="28"/>
      <c r="BA813" s="15"/>
      <c r="BB813" s="15"/>
      <c r="BC813" s="15"/>
      <c r="BD813" s="15"/>
      <c r="BE813" s="14"/>
      <c r="BF813" s="41">
        <f>B809*$F$13</f>
        <v>0</v>
      </c>
      <c r="BG813" s="34">
        <f t="shared" si="2148"/>
        <v>0</v>
      </c>
      <c r="BH813" s="35">
        <f t="shared" si="2141"/>
        <v>8768</v>
      </c>
    </row>
    <row r="814" ht="15.75" customHeight="1" hidden="1" spans="1:60" x14ac:dyDescent="0.25">
      <c r="A814" s="29">
        <v>108</v>
      </c>
      <c r="B814" s="14"/>
      <c r="D814" s="14" t="s">
        <v>52</v>
      </c>
      <c r="E814" s="2" t="s">
        <v>39</v>
      </c>
      <c r="F814" s="41">
        <v>350</v>
      </c>
      <c r="G814" s="28"/>
      <c r="H814" s="34">
        <f>300</f>
        <v>300</v>
      </c>
      <c r="I814" s="13"/>
      <c r="J814" s="15"/>
      <c r="K814" s="15"/>
      <c r="L814" s="28"/>
      <c r="Q814" s="13"/>
      <c r="R814" s="15"/>
      <c r="S814" s="15"/>
      <c r="T814" s="28"/>
      <c r="Y814" s="13"/>
      <c r="Z814" s="15"/>
      <c r="AA814" s="34">
        <f>$F$14</f>
        <v>350</v>
      </c>
      <c r="AB814" s="28"/>
      <c r="AG814" s="13"/>
      <c r="AH814" s="15"/>
      <c r="AI814" s="15"/>
      <c r="AJ814" s="28"/>
      <c r="AK814" s="13"/>
      <c r="AL814" s="15"/>
      <c r="AM814" s="15"/>
      <c r="AN814" s="28"/>
      <c r="AO814" s="13"/>
      <c r="AP814" s="15"/>
      <c r="AQ814" s="15"/>
      <c r="AR814" s="28"/>
      <c r="AS814" s="15"/>
      <c r="AT814" s="15"/>
      <c r="AU814" s="15"/>
      <c r="AV814" s="15"/>
      <c r="AW814" s="13"/>
      <c r="AX814" s="15"/>
      <c r="AY814" s="15"/>
      <c r="AZ814" s="28"/>
      <c r="BA814" s="15"/>
      <c r="BB814" s="15"/>
      <c r="BC814" s="15"/>
      <c r="BD814" s="15"/>
      <c r="BE814" s="14"/>
      <c r="BF814" s="41">
        <f>$F$14</f>
        <v>350</v>
      </c>
      <c r="BG814" s="34">
        <f t="shared" si="2148"/>
        <v>0</v>
      </c>
      <c r="BH814" s="35">
        <f t="shared" si="2141"/>
        <v>650</v>
      </c>
    </row>
    <row r="815" ht="15.75" customHeight="1" hidden="1" spans="1:62" x14ac:dyDescent="0.25">
      <c r="A815" s="50">
        <v>108</v>
      </c>
      <c r="B815" s="21"/>
      <c r="C815" s="22" t="s">
        <v>53</v>
      </c>
      <c r="D815" s="21"/>
      <c r="E815" s="22"/>
      <c r="F815" s="20"/>
      <c r="G815" s="23"/>
      <c r="H815" s="51">
        <f>SUM(H808:H814)</f>
        <v>19122</v>
      </c>
      <c r="I815" s="52"/>
      <c r="J815" s="53"/>
      <c r="K815" s="51">
        <f t="shared" ref="K815:L815" si="2149">SUM(K808:K814)</f>
        <v>0</v>
      </c>
      <c r="L815" s="68">
        <f t="shared" si="2149"/>
        <v>0</v>
      </c>
      <c r="M815" s="53"/>
      <c r="N815" s="53"/>
      <c r="O815" s="51">
        <f t="shared" ref="O815:P815" si="2150">SUM(O809:O814)</f>
        <v>0</v>
      </c>
      <c r="P815" s="51">
        <f t="shared" si="2150"/>
        <v>0</v>
      </c>
      <c r="Q815" s="52"/>
      <c r="R815" s="53"/>
      <c r="S815" s="51">
        <f t="shared" ref="S815:T815" si="2151">SUM(S809:S814)</f>
        <v>0</v>
      </c>
      <c r="T815" s="68">
        <f t="shared" si="2151"/>
        <v>0</v>
      </c>
      <c r="U815" s="53"/>
      <c r="V815" s="53"/>
      <c r="W815" s="51">
        <f t="shared" ref="W815:X815" si="2152">SUM(W809:W814)</f>
        <v>0</v>
      </c>
      <c r="X815" s="51">
        <f t="shared" si="2152"/>
        <v>0</v>
      </c>
      <c r="Y815" s="52"/>
      <c r="Z815" s="53"/>
      <c r="AA815" s="51">
        <f t="shared" ref="AA815:AB815" si="2153">SUM(AA809:AA814)</f>
        <v>350</v>
      </c>
      <c r="AB815" s="68">
        <f t="shared" si="2153"/>
        <v>0</v>
      </c>
      <c r="AC815" s="53"/>
      <c r="AD815" s="53"/>
      <c r="AE815" s="51">
        <f t="shared" ref="AE815:AF815" si="2154">SUM(AE809:AE814)</f>
        <v>4591.6416</v>
      </c>
      <c r="AF815" s="51">
        <f t="shared" si="2154"/>
        <v>0</v>
      </c>
      <c r="AG815" s="52"/>
      <c r="AH815" s="53"/>
      <c r="AI815" s="51">
        <f t="shared" ref="AI815:AJ815" si="2155">SUM(AI809:AI814)</f>
        <v>0</v>
      </c>
      <c r="AJ815" s="68">
        <f t="shared" si="2155"/>
        <v>0</v>
      </c>
      <c r="AK815" s="52"/>
      <c r="AL815" s="53"/>
      <c r="AM815" s="51">
        <f t="shared" ref="AM815:AN815" si="2156">SUM(AM809:AM814)</f>
        <v>0</v>
      </c>
      <c r="AN815" s="68">
        <f t="shared" si="2156"/>
        <v>0</v>
      </c>
      <c r="AO815" s="52"/>
      <c r="AP815" s="53"/>
      <c r="AQ815" s="51">
        <f t="shared" ref="AQ815:AR815" si="2157">SUM(AQ809:AQ814)</f>
        <v>0</v>
      </c>
      <c r="AR815" s="68">
        <f t="shared" si="2157"/>
        <v>0</v>
      </c>
      <c r="AS815" s="53"/>
      <c r="AT815" s="53"/>
      <c r="AU815" s="51">
        <f t="shared" ref="AU815:AV815" si="2158">SUM(AU809:AU814)</f>
        <v>0</v>
      </c>
      <c r="AV815" s="51">
        <f t="shared" si="2158"/>
        <v>0</v>
      </c>
      <c r="AW815" s="52"/>
      <c r="AX815" s="53"/>
      <c r="AY815" s="51">
        <f t="shared" ref="AY815:AZ815" si="2159">SUM(AY809:AY814)</f>
        <v>0</v>
      </c>
      <c r="AZ815" s="68">
        <f t="shared" si="2159"/>
        <v>0</v>
      </c>
      <c r="BA815" s="53"/>
      <c r="BB815" s="53"/>
      <c r="BC815" s="51">
        <f t="shared" ref="BC815:BD815" si="2160">SUM(BC809:BC814)</f>
        <v>0</v>
      </c>
      <c r="BD815" s="51">
        <f t="shared" si="2160"/>
        <v>0</v>
      </c>
      <c r="BE815" s="69"/>
      <c r="BF815" s="70">
        <f t="shared" ref="BF815:BH815" si="2161">SUM(BF808:BF814)</f>
        <v>4941.6416</v>
      </c>
      <c r="BG815" s="71">
        <f t="shared" si="2161"/>
        <v>0</v>
      </c>
      <c r="BH815" s="72">
        <f t="shared" si="2161"/>
        <v>24063.6416</v>
      </c>
      <c r="BI815" s="34">
        <f>H815+BF815-BG815</f>
        <v>24063.6416</v>
      </c>
      <c r="BJ815" s="34">
        <f>BH815-BI815</f>
        <v>0</v>
      </c>
    </row>
    <row r="816" ht="15.75" customHeight="1" hidden="1" spans="1:60" x14ac:dyDescent="0.25">
      <c r="A816" s="29">
        <v>109</v>
      </c>
      <c r="B816" s="14"/>
      <c r="D816" s="14" t="s">
        <v>42</v>
      </c>
      <c r="F816" s="13"/>
      <c r="G816" s="28"/>
      <c r="I816" s="13"/>
      <c r="J816" s="15"/>
      <c r="K816" s="15"/>
      <c r="L816" s="28"/>
      <c r="Q816" s="13"/>
      <c r="R816" s="15"/>
      <c r="S816" s="15"/>
      <c r="T816" s="28"/>
      <c r="Y816" s="13"/>
      <c r="Z816" s="15"/>
      <c r="AA816" s="15"/>
      <c r="AB816" s="28"/>
      <c r="AG816" s="13"/>
      <c r="AH816" s="15"/>
      <c r="AI816" s="15"/>
      <c r="AJ816" s="28"/>
      <c r="AK816" s="13"/>
      <c r="AL816" s="15"/>
      <c r="AM816" s="15"/>
      <c r="AN816" s="28"/>
      <c r="AO816" s="13"/>
      <c r="AP816" s="15"/>
      <c r="AQ816" s="15"/>
      <c r="AR816" s="28"/>
      <c r="AW816" s="13"/>
      <c r="AX816" s="15"/>
      <c r="AY816" s="15"/>
      <c r="AZ816" s="28"/>
      <c r="BE816" s="14"/>
      <c r="BF816" s="13"/>
      <c r="BG816" s="15"/>
      <c r="BH816" s="28"/>
    </row>
    <row r="817" ht="15.75" customHeight="1" hidden="1" spans="1:60" x14ac:dyDescent="0.25">
      <c r="A817" s="2">
        <v>109</v>
      </c>
      <c r="B817" s="14">
        <v>6.22</v>
      </c>
      <c r="C817" s="2" t="s">
        <v>340</v>
      </c>
      <c r="D817" s="14" t="s">
        <v>44</v>
      </c>
      <c r="E817" s="2" t="s">
        <v>45</v>
      </c>
      <c r="F817" s="13">
        <v>2.49</v>
      </c>
      <c r="G817" s="28"/>
      <c r="H817" s="74"/>
      <c r="I817" s="13"/>
      <c r="J817" s="15"/>
      <c r="K817" s="15"/>
      <c r="L817" s="28"/>
      <c r="Q817" s="13"/>
      <c r="R817" s="15"/>
      <c r="S817" s="15"/>
      <c r="T817" s="28"/>
      <c r="Y817" s="13"/>
      <c r="Z817" s="15">
        <f>Y817-U817</f>
        <v>0</v>
      </c>
      <c r="AA817" s="34">
        <f>Z817*$F$8</f>
        <v>0</v>
      </c>
      <c r="AB817" s="28"/>
      <c r="AC817" s="15"/>
      <c r="AD817" s="15">
        <f t="shared" ref="AD817:AD818" si="2162">AC817-Y817</f>
        <v>0</v>
      </c>
      <c r="AE817" s="34">
        <f>AD817*$F$8</f>
        <v>0</v>
      </c>
      <c r="AG817" s="13"/>
      <c r="AH817" s="15">
        <f t="shared" ref="AH817:AH818" si="2163">AG817-AC817</f>
        <v>0</v>
      </c>
      <c r="AI817" s="34">
        <f>AH817*$F$8</f>
        <v>0</v>
      </c>
      <c r="AJ817" s="28"/>
      <c r="AK817" s="13"/>
      <c r="AL817" s="15">
        <f t="shared" ref="AL817:AL818" si="2164">AK817-AG817</f>
        <v>0</v>
      </c>
      <c r="AM817" s="34">
        <f>AL817*$F$8</f>
        <v>0</v>
      </c>
      <c r="AN817" s="28"/>
      <c r="AO817" s="13"/>
      <c r="AP817" s="15"/>
      <c r="AQ817" s="34">
        <f>AP817*$F$8</f>
        <v>0</v>
      </c>
      <c r="AR817" s="28"/>
      <c r="AS817" s="15"/>
      <c r="AT817" s="15"/>
      <c r="AU817" s="34">
        <f>AT817*$F$8</f>
        <v>0</v>
      </c>
      <c r="AV817" s="15"/>
      <c r="AW817" s="13"/>
      <c r="AX817" s="15"/>
      <c r="AY817" s="34">
        <f>AX817*$F$8</f>
        <v>0</v>
      </c>
      <c r="AZ817" s="28"/>
      <c r="BA817" s="15"/>
      <c r="BB817" s="15"/>
      <c r="BC817" s="34">
        <f>BB817*$F$8</f>
        <v>0</v>
      </c>
      <c r="BD817" s="15"/>
      <c r="BE817" s="40">
        <f t="shared" ref="BE817:BG817" si="2165">J817+N817+R817+V817+Z817+AD817+AH817+AL817+AP817+AT817+AX817+BB817</f>
        <v>0</v>
      </c>
      <c r="BF817" s="41">
        <f t="shared" si="2165"/>
        <v>0</v>
      </c>
      <c r="BG817" s="34">
        <f t="shared" si="2165"/>
        <v>0</v>
      </c>
      <c r="BH817" s="35">
        <f t="shared" ref="BH817:BH822" si="2166">H817+BF817-BG817</f>
        <v>0</v>
      </c>
    </row>
    <row r="818" ht="15.75" customHeight="1" hidden="1" spans="1:60" x14ac:dyDescent="0.25">
      <c r="A818" s="29">
        <v>109</v>
      </c>
      <c r="B818" s="14"/>
      <c r="C818" s="15" t="s">
        <v>114</v>
      </c>
      <c r="D818" s="14" t="s">
        <v>47</v>
      </c>
      <c r="E818" s="2" t="s">
        <v>48</v>
      </c>
      <c r="F818" s="13">
        <v>17.16</v>
      </c>
      <c r="G818" s="28"/>
      <c r="H818" s="81"/>
      <c r="I818" s="13"/>
      <c r="J818" s="15"/>
      <c r="K818" s="15"/>
      <c r="L818" s="28"/>
      <c r="Q818" s="13"/>
      <c r="R818" s="15"/>
      <c r="S818" s="15"/>
      <c r="T818" s="28"/>
      <c r="Y818" s="95">
        <v>6</v>
      </c>
      <c r="Z818" s="15"/>
      <c r="AA818" s="15"/>
      <c r="AB818" s="28"/>
      <c r="AC818" s="2">
        <v>6</v>
      </c>
      <c r="AD818" s="15">
        <f t="shared" si="2162"/>
        <v>0</v>
      </c>
      <c r="AE818" s="34">
        <f>AD818*$F$10</f>
        <v>0</v>
      </c>
      <c r="AG818" s="13">
        <v>6</v>
      </c>
      <c r="AH818" s="15">
        <f t="shared" si="2163"/>
        <v>0</v>
      </c>
      <c r="AI818" s="45">
        <f>AH818*$G$10</f>
        <v>0</v>
      </c>
      <c r="AJ818" s="28"/>
      <c r="AK818" s="13">
        <v>6</v>
      </c>
      <c r="AL818" s="15">
        <f t="shared" si="2164"/>
        <v>0</v>
      </c>
      <c r="AM818" s="45">
        <f>AL818*$G$10</f>
        <v>0</v>
      </c>
      <c r="AN818" s="28"/>
      <c r="AO818" s="13">
        <v>6</v>
      </c>
      <c r="AP818" s="15">
        <f>AO818-AK818</f>
        <v>0</v>
      </c>
      <c r="AQ818" s="45">
        <f>AP818*$G$10</f>
        <v>0</v>
      </c>
      <c r="AR818" s="28"/>
      <c r="AS818" s="15"/>
      <c r="AT818" s="15"/>
      <c r="AU818" s="15"/>
      <c r="AV818" s="15"/>
      <c r="AW818" s="13"/>
      <c r="AX818" s="15"/>
      <c r="AY818" s="15"/>
      <c r="AZ818" s="28"/>
      <c r="BA818" s="15"/>
      <c r="BB818" s="15"/>
      <c r="BC818" s="15"/>
      <c r="BD818" s="15"/>
      <c r="BE818" s="40">
        <f t="shared" ref="BE818:BG818" si="2167">J818+N818+R818+V818+Z818+AD818+AH818+AL818+AP818+AT818+AX818+BB818</f>
        <v>0</v>
      </c>
      <c r="BF818" s="41">
        <f t="shared" si="2167"/>
        <v>0</v>
      </c>
      <c r="BG818" s="34">
        <f t="shared" si="2167"/>
        <v>0</v>
      </c>
      <c r="BH818" s="35">
        <f t="shared" si="2166"/>
        <v>0</v>
      </c>
    </row>
    <row r="819" ht="15.75" customHeight="1" hidden="1" spans="1:60" x14ac:dyDescent="0.25">
      <c r="A819" s="29">
        <v>109</v>
      </c>
      <c r="B819" s="14"/>
      <c r="C819" s="15" t="s">
        <v>72</v>
      </c>
      <c r="D819" s="14" t="s">
        <v>47</v>
      </c>
      <c r="E819" s="2" t="s">
        <v>49</v>
      </c>
      <c r="F819" s="41">
        <v>300</v>
      </c>
      <c r="G819" s="28"/>
      <c r="I819" s="13"/>
      <c r="J819" s="15"/>
      <c r="K819" s="15"/>
      <c r="L819" s="28"/>
      <c r="Q819" s="13"/>
      <c r="R819" s="15"/>
      <c r="S819" s="15"/>
      <c r="T819" s="28"/>
      <c r="Y819" s="13"/>
      <c r="Z819" s="15"/>
      <c r="AA819" s="15"/>
      <c r="AB819" s="28"/>
      <c r="AG819" s="13"/>
      <c r="AH819" s="15"/>
      <c r="AI819" s="15"/>
      <c r="AJ819" s="28"/>
      <c r="AK819" s="13"/>
      <c r="AL819" s="15"/>
      <c r="AM819" s="34"/>
      <c r="AN819" s="28"/>
      <c r="AO819" s="13"/>
      <c r="AP819" s="15"/>
      <c r="AQ819" s="34"/>
      <c r="AR819" s="28"/>
      <c r="AS819" s="15"/>
      <c r="AT819" s="15"/>
      <c r="AU819" s="15"/>
      <c r="AV819" s="15"/>
      <c r="AW819" s="13"/>
      <c r="AX819" s="15"/>
      <c r="AY819" s="15"/>
      <c r="AZ819" s="28"/>
      <c r="BA819" s="15"/>
      <c r="BB819" s="15"/>
      <c r="BC819" s="15"/>
      <c r="BD819" s="15"/>
      <c r="BE819" s="14"/>
      <c r="BF819" s="41">
        <f t="shared" ref="BF819:BG819" si="2168">K819+O819+S819+W819+AA819+AE819+AI819+AM819+AQ819+AU819+AY819+BC819</f>
        <v>0</v>
      </c>
      <c r="BG819" s="34">
        <f t="shared" si="2168"/>
        <v>0</v>
      </c>
      <c r="BH819" s="35">
        <f t="shared" si="2166"/>
        <v>0</v>
      </c>
    </row>
    <row r="820" ht="15.75" customHeight="1" hidden="1" spans="1:60" x14ac:dyDescent="0.25">
      <c r="A820" s="29">
        <v>109</v>
      </c>
      <c r="B820" s="14"/>
      <c r="C820" s="2" t="s">
        <v>98</v>
      </c>
      <c r="D820" s="14" t="s">
        <v>50</v>
      </c>
      <c r="E820" s="2" t="s">
        <v>49</v>
      </c>
      <c r="F820" s="41">
        <v>1062.88</v>
      </c>
      <c r="G820" s="28"/>
      <c r="I820" s="13"/>
      <c r="J820" s="15"/>
      <c r="K820" s="15"/>
      <c r="L820" s="28"/>
      <c r="Q820" s="13"/>
      <c r="R820" s="15"/>
      <c r="S820" s="15"/>
      <c r="T820" s="28"/>
      <c r="Y820" s="13"/>
      <c r="Z820" s="15"/>
      <c r="AA820" s="15"/>
      <c r="AB820" s="28"/>
      <c r="AE820" s="34">
        <f>B817*$F$12</f>
        <v>6611.1136</v>
      </c>
      <c r="AG820" s="13"/>
      <c r="AH820" s="15"/>
      <c r="AI820" s="15"/>
      <c r="AJ820" s="28"/>
      <c r="AK820" s="13"/>
      <c r="AL820" s="15"/>
      <c r="AM820" s="15"/>
      <c r="AN820" s="28"/>
      <c r="AO820" s="13"/>
      <c r="AP820" s="15"/>
      <c r="AQ820" s="15"/>
      <c r="AR820" s="32">
        <v>6611.11</v>
      </c>
      <c r="AS820" s="15"/>
      <c r="AT820" s="15"/>
      <c r="AU820" s="15"/>
      <c r="AV820" s="15"/>
      <c r="AW820" s="13"/>
      <c r="AX820" s="15"/>
      <c r="AY820" s="15"/>
      <c r="AZ820" s="28"/>
      <c r="BA820" s="15"/>
      <c r="BB820" s="15"/>
      <c r="BC820" s="15"/>
      <c r="BD820" s="15"/>
      <c r="BE820" s="14"/>
      <c r="BF820" s="41">
        <f>B817*$F$12</f>
        <v>6611.1136</v>
      </c>
      <c r="BG820" s="34">
        <f t="shared" ref="BG820:BG822" si="2169">L820+P820+T820+X820+AB820+AF820+AJ820+AN820+AR820+AV820+AZ820+BD820</f>
        <v>6611.11</v>
      </c>
      <c r="BH820" s="35">
        <f t="shared" si="2166"/>
        <v>0.003600000001</v>
      </c>
    </row>
    <row r="821" ht="15.75" customHeight="1" hidden="1" spans="1:60" x14ac:dyDescent="0.25">
      <c r="A821" s="29">
        <v>109</v>
      </c>
      <c r="B821" s="14"/>
      <c r="C821" s="2" t="s">
        <v>341</v>
      </c>
      <c r="D821" s="14" t="s">
        <v>51</v>
      </c>
      <c r="E821" s="2" t="s">
        <v>49</v>
      </c>
      <c r="F821" s="41">
        <v>0</v>
      </c>
      <c r="G821" s="28"/>
      <c r="I821" s="13"/>
      <c r="J821" s="15"/>
      <c r="K821" s="15"/>
      <c r="L821" s="28"/>
      <c r="Q821" s="13"/>
      <c r="R821" s="15"/>
      <c r="S821" s="15"/>
      <c r="T821" s="28"/>
      <c r="Y821" s="13"/>
      <c r="Z821" s="15"/>
      <c r="AA821" s="15"/>
      <c r="AB821" s="28"/>
      <c r="AG821" s="13"/>
      <c r="AH821" s="15"/>
      <c r="AI821" s="15"/>
      <c r="AJ821" s="28"/>
      <c r="AK821" s="13"/>
      <c r="AL821" s="15"/>
      <c r="AM821" s="15"/>
      <c r="AN821" s="28"/>
      <c r="AO821" s="13"/>
      <c r="AP821" s="15"/>
      <c r="AQ821" s="15"/>
      <c r="AR821" s="28"/>
      <c r="AS821" s="15"/>
      <c r="AT821" s="15"/>
      <c r="AU821" s="15"/>
      <c r="AV821" s="15"/>
      <c r="AW821" s="13"/>
      <c r="AX821" s="15"/>
      <c r="AY821" s="15"/>
      <c r="AZ821" s="28"/>
      <c r="BA821" s="15"/>
      <c r="BB821" s="15"/>
      <c r="BC821" s="15"/>
      <c r="BD821" s="15"/>
      <c r="BE821" s="14"/>
      <c r="BF821" s="41">
        <f>B817*$F$13</f>
        <v>0</v>
      </c>
      <c r="BG821" s="34">
        <f t="shared" si="2169"/>
        <v>0</v>
      </c>
      <c r="BH821" s="35">
        <f t="shared" si="2166"/>
        <v>0</v>
      </c>
    </row>
    <row r="822" ht="15.75" customHeight="1" hidden="1" spans="1:60" x14ac:dyDescent="0.25">
      <c r="A822" s="29">
        <v>109</v>
      </c>
      <c r="B822" s="14"/>
      <c r="D822" s="14" t="s">
        <v>52</v>
      </c>
      <c r="E822" s="2" t="s">
        <v>39</v>
      </c>
      <c r="F822" s="41">
        <v>350</v>
      </c>
      <c r="G822" s="28"/>
      <c r="I822" s="13"/>
      <c r="J822" s="15"/>
      <c r="K822" s="15"/>
      <c r="L822" s="28"/>
      <c r="Q822" s="13"/>
      <c r="R822" s="15"/>
      <c r="S822" s="15"/>
      <c r="T822" s="28"/>
      <c r="Y822" s="13"/>
      <c r="Z822" s="15"/>
      <c r="AA822" s="34">
        <f>$F$14</f>
        <v>350</v>
      </c>
      <c r="AB822" s="28"/>
      <c r="AG822" s="13"/>
      <c r="AH822" s="15"/>
      <c r="AI822" s="15"/>
      <c r="AJ822" s="28"/>
      <c r="AK822" s="13"/>
      <c r="AL822" s="15"/>
      <c r="AM822" s="15"/>
      <c r="AN822" s="28"/>
      <c r="AO822" s="13"/>
      <c r="AP822" s="15"/>
      <c r="AQ822" s="15"/>
      <c r="AR822" s="38">
        <v>350</v>
      </c>
      <c r="AS822" s="15"/>
      <c r="AT822" s="15"/>
      <c r="AU822" s="15"/>
      <c r="AV822" s="15"/>
      <c r="AW822" s="13"/>
      <c r="AX822" s="15"/>
      <c r="AY822" s="15"/>
      <c r="AZ822" s="28"/>
      <c r="BA822" s="15"/>
      <c r="BB822" s="15"/>
      <c r="BC822" s="15"/>
      <c r="BD822" s="15"/>
      <c r="BE822" s="14"/>
      <c r="BF822" s="41">
        <f>$F$14</f>
        <v>350</v>
      </c>
      <c r="BG822" s="34">
        <f t="shared" si="2169"/>
        <v>350</v>
      </c>
      <c r="BH822" s="35">
        <f t="shared" si="2166"/>
        <v>0</v>
      </c>
    </row>
    <row r="823" ht="15.75" customHeight="1" hidden="1" spans="1:62" x14ac:dyDescent="0.25">
      <c r="A823" s="50">
        <v>109</v>
      </c>
      <c r="B823" s="21"/>
      <c r="C823" s="22" t="s">
        <v>53</v>
      </c>
      <c r="D823" s="21"/>
      <c r="E823" s="22"/>
      <c r="F823" s="20"/>
      <c r="G823" s="23"/>
      <c r="H823" s="51">
        <f>SUM(H816:H822)</f>
        <v>0</v>
      </c>
      <c r="I823" s="52"/>
      <c r="J823" s="53"/>
      <c r="K823" s="51">
        <f t="shared" ref="K823:L823" si="2170">SUM(K816:K822)</f>
        <v>0</v>
      </c>
      <c r="L823" s="68">
        <f t="shared" si="2170"/>
        <v>0</v>
      </c>
      <c r="M823" s="53"/>
      <c r="N823" s="53"/>
      <c r="O823" s="51">
        <f t="shared" ref="O823:P823" si="2171">SUM(O817:O822)</f>
        <v>0</v>
      </c>
      <c r="P823" s="51">
        <f t="shared" si="2171"/>
        <v>0</v>
      </c>
      <c r="Q823" s="52"/>
      <c r="R823" s="53"/>
      <c r="S823" s="51">
        <f t="shared" ref="S823:T823" si="2172">SUM(S817:S822)</f>
        <v>0</v>
      </c>
      <c r="T823" s="68">
        <f t="shared" si="2172"/>
        <v>0</v>
      </c>
      <c r="U823" s="53"/>
      <c r="V823" s="53"/>
      <c r="W823" s="51">
        <f t="shared" ref="W823:X823" si="2173">SUM(W817:W822)</f>
        <v>0</v>
      </c>
      <c r="X823" s="51">
        <f t="shared" si="2173"/>
        <v>0</v>
      </c>
      <c r="Y823" s="52"/>
      <c r="Z823" s="53"/>
      <c r="AA823" s="51">
        <f t="shared" ref="AA823:AB823" si="2174">SUM(AA817:AA822)</f>
        <v>350</v>
      </c>
      <c r="AB823" s="68">
        <f t="shared" si="2174"/>
        <v>0</v>
      </c>
      <c r="AC823" s="53"/>
      <c r="AD823" s="53"/>
      <c r="AE823" s="51">
        <f t="shared" ref="AE823:AF823" si="2175">SUM(AE817:AE822)</f>
        <v>6611.1136</v>
      </c>
      <c r="AF823" s="51">
        <f t="shared" si="2175"/>
        <v>0</v>
      </c>
      <c r="AG823" s="52"/>
      <c r="AH823" s="53"/>
      <c r="AI823" s="51">
        <f t="shared" ref="AI823:AJ823" si="2176">SUM(AI817:AI822)</f>
        <v>0</v>
      </c>
      <c r="AJ823" s="68">
        <f t="shared" si="2176"/>
        <v>0</v>
      </c>
      <c r="AK823" s="52"/>
      <c r="AL823" s="53"/>
      <c r="AM823" s="51">
        <f t="shared" ref="AM823:AN823" si="2177">SUM(AM817:AM822)</f>
        <v>0</v>
      </c>
      <c r="AN823" s="68">
        <f t="shared" si="2177"/>
        <v>0</v>
      </c>
      <c r="AO823" s="52"/>
      <c r="AP823" s="53"/>
      <c r="AQ823" s="51">
        <f t="shared" ref="AQ823:AR823" si="2178">SUM(AQ817:AQ822)</f>
        <v>0</v>
      </c>
      <c r="AR823" s="68">
        <f t="shared" si="2178"/>
        <v>6961.11</v>
      </c>
      <c r="AS823" s="53"/>
      <c r="AT823" s="53"/>
      <c r="AU823" s="51">
        <f t="shared" ref="AU823:AV823" si="2179">SUM(AU817:AU822)</f>
        <v>0</v>
      </c>
      <c r="AV823" s="51">
        <f t="shared" si="2179"/>
        <v>0</v>
      </c>
      <c r="AW823" s="52"/>
      <c r="AX823" s="53"/>
      <c r="AY823" s="51">
        <f t="shared" ref="AY823:AZ823" si="2180">SUM(AY817:AY822)</f>
        <v>0</v>
      </c>
      <c r="AZ823" s="68">
        <f t="shared" si="2180"/>
        <v>0</v>
      </c>
      <c r="BA823" s="53"/>
      <c r="BB823" s="53"/>
      <c r="BC823" s="51">
        <f t="shared" ref="BC823:BD823" si="2181">SUM(BC817:BC822)</f>
        <v>0</v>
      </c>
      <c r="BD823" s="51">
        <f t="shared" si="2181"/>
        <v>0</v>
      </c>
      <c r="BE823" s="69"/>
      <c r="BF823" s="70">
        <f t="shared" ref="BF823:BH823" si="2182">SUM(BF816:BF822)</f>
        <v>6961.1136</v>
      </c>
      <c r="BG823" s="71">
        <f t="shared" si="2182"/>
        <v>6961.11</v>
      </c>
      <c r="BH823" s="72">
        <f t="shared" si="2182"/>
        <v>0.003600000001</v>
      </c>
      <c r="BI823" s="34">
        <f>H823+BF823-BG823</f>
        <v>0.003600000001</v>
      </c>
      <c r="BJ823" s="34">
        <f>BH823-BI823</f>
        <v>0</v>
      </c>
    </row>
    <row r="824" ht="15.75" customHeight="1" hidden="1" spans="1:60" x14ac:dyDescent="0.25">
      <c r="A824" s="29">
        <v>110</v>
      </c>
      <c r="B824" s="14"/>
      <c r="D824" s="14" t="s">
        <v>42</v>
      </c>
      <c r="F824" s="13"/>
      <c r="G824" s="28"/>
      <c r="I824" s="13"/>
      <c r="J824" s="15"/>
      <c r="K824" s="15"/>
      <c r="L824" s="28"/>
      <c r="Q824" s="13"/>
      <c r="R824" s="15"/>
      <c r="S824" s="15"/>
      <c r="T824" s="28"/>
      <c r="Y824" s="13"/>
      <c r="Z824" s="15"/>
      <c r="AA824" s="15"/>
      <c r="AB824" s="28"/>
      <c r="AG824" s="13"/>
      <c r="AH824" s="15"/>
      <c r="AI824" s="15"/>
      <c r="AJ824" s="28"/>
      <c r="AK824" s="13"/>
      <c r="AL824" s="15"/>
      <c r="AM824" s="15"/>
      <c r="AN824" s="28"/>
      <c r="AO824" s="13"/>
      <c r="AP824" s="15"/>
      <c r="AQ824" s="15"/>
      <c r="AR824" s="28"/>
      <c r="AW824" s="13"/>
      <c r="AX824" s="15"/>
      <c r="AY824" s="15"/>
      <c r="AZ824" s="28"/>
      <c r="BE824" s="14"/>
      <c r="BF824" s="13"/>
      <c r="BG824" s="15"/>
      <c r="BH824" s="28"/>
    </row>
    <row r="825" ht="15.75" customHeight="1" hidden="1" spans="1:60" x14ac:dyDescent="0.25">
      <c r="A825" s="2">
        <v>110</v>
      </c>
      <c r="B825" s="14">
        <v>4.91</v>
      </c>
      <c r="C825" s="2" t="s">
        <v>342</v>
      </c>
      <c r="D825" s="14" t="s">
        <v>44</v>
      </c>
      <c r="E825" s="2" t="s">
        <v>45</v>
      </c>
      <c r="F825" s="13">
        <v>2.49</v>
      </c>
      <c r="G825" s="28"/>
      <c r="H825" s="2">
        <v>-107.87</v>
      </c>
      <c r="I825" s="13">
        <v>46</v>
      </c>
      <c r="J825" s="15">
        <v>0</v>
      </c>
      <c r="K825" s="34">
        <f>J825*$F$8</f>
        <v>0</v>
      </c>
      <c r="L825" s="28"/>
      <c r="M825" s="2">
        <v>46</v>
      </c>
      <c r="N825" s="15">
        <f>M825-I825</f>
        <v>0</v>
      </c>
      <c r="O825" s="34">
        <f>N825*$F$8</f>
        <v>0</v>
      </c>
      <c r="Q825" s="13">
        <v>46</v>
      </c>
      <c r="R825" s="15">
        <f>Q825-M825</f>
        <v>0</v>
      </c>
      <c r="S825" s="34">
        <f>R825*$F$8</f>
        <v>0</v>
      </c>
      <c r="T825" s="28"/>
      <c r="U825" s="2">
        <v>57</v>
      </c>
      <c r="V825" s="15">
        <f>U825-Q825</f>
        <v>11</v>
      </c>
      <c r="W825" s="34">
        <f>V825*$F$8</f>
        <v>27.39</v>
      </c>
      <c r="Y825" s="13">
        <v>57</v>
      </c>
      <c r="Z825" s="15">
        <f>Y825-U825</f>
        <v>0</v>
      </c>
      <c r="AA825" s="34">
        <f>Z825*$F$8</f>
        <v>0</v>
      </c>
      <c r="AB825" s="28"/>
      <c r="AC825" s="2">
        <v>57</v>
      </c>
      <c r="AD825" s="15">
        <f t="shared" ref="AD825:AD826" si="2183">AC825-Y825</f>
        <v>0</v>
      </c>
      <c r="AE825" s="34">
        <f>AD825*$F$8</f>
        <v>0</v>
      </c>
      <c r="AG825" s="13">
        <v>58</v>
      </c>
      <c r="AH825" s="15">
        <f t="shared" ref="AH825:AH826" si="2184">AG825-AC825</f>
        <v>1</v>
      </c>
      <c r="AI825" s="34">
        <f>AH825*$F$8</f>
        <v>2.49</v>
      </c>
      <c r="AJ825" s="32">
        <v>2.49</v>
      </c>
      <c r="AK825" s="13">
        <v>58</v>
      </c>
      <c r="AL825" s="15">
        <f t="shared" ref="AL825:AL826" si="2185">AK825-AG825</f>
        <v>0</v>
      </c>
      <c r="AM825" s="34">
        <f>AL825*$F$8</f>
        <v>0</v>
      </c>
      <c r="AN825" s="28"/>
      <c r="AO825" s="13">
        <v>82</v>
      </c>
      <c r="AP825" s="15">
        <f t="shared" ref="AP825:AP826" si="2186">AO825-AK825</f>
        <v>24</v>
      </c>
      <c r="AQ825" s="34">
        <f>AP825*$F$8</f>
        <v>59.76</v>
      </c>
      <c r="AR825" s="28"/>
      <c r="AS825" s="15">
        <v>100</v>
      </c>
      <c r="AT825" s="15">
        <f>AS825-AO825</f>
        <v>18</v>
      </c>
      <c r="AU825" s="34">
        <f>AT825*$F$8</f>
        <v>44.82</v>
      </c>
      <c r="AV825" s="15"/>
      <c r="AW825" s="13">
        <v>100</v>
      </c>
      <c r="AX825" s="15">
        <f>AW825-AS825</f>
        <v>0</v>
      </c>
      <c r="AY825" s="34">
        <f>AX825*$F$8</f>
        <v>0</v>
      </c>
      <c r="AZ825" s="28"/>
      <c r="BA825" s="13">
        <v>100</v>
      </c>
      <c r="BB825" s="15">
        <f>BA825-AW825</f>
        <v>0</v>
      </c>
      <c r="BC825" s="34">
        <f>BB825*$F$8</f>
        <v>0</v>
      </c>
      <c r="BD825" s="15"/>
      <c r="BE825" s="40">
        <f t="shared" ref="BE825:BG825" si="2187">J825+N825+R825+V825+Z825+AD825+AH825+AL825+AP825+AT825+AX825+BB825</f>
        <v>54</v>
      </c>
      <c r="BF825" s="41">
        <f t="shared" si="2187"/>
        <v>134.46</v>
      </c>
      <c r="BG825" s="34">
        <f t="shared" si="2187"/>
        <v>2.49</v>
      </c>
      <c r="BH825" s="35">
        <f t="shared" ref="BH825:BH830" si="2188">H825+BF825-BG825</f>
        <v>24.1</v>
      </c>
    </row>
    <row r="826" ht="15.75" customHeight="1" hidden="1" spans="1:60" x14ac:dyDescent="0.25">
      <c r="A826" s="29">
        <v>110</v>
      </c>
      <c r="B826" s="14"/>
      <c r="C826" s="15" t="s">
        <v>343</v>
      </c>
      <c r="D826" s="14" t="s">
        <v>47</v>
      </c>
      <c r="E826" s="2" t="s">
        <v>48</v>
      </c>
      <c r="F826" s="13">
        <v>17.16</v>
      </c>
      <c r="G826" s="28"/>
      <c r="H826" s="73">
        <v>17.16</v>
      </c>
      <c r="I826" s="13"/>
      <c r="J826" s="15"/>
      <c r="K826" s="15"/>
      <c r="L826" s="28"/>
      <c r="Q826" s="13"/>
      <c r="R826" s="15"/>
      <c r="S826" s="15"/>
      <c r="T826" s="28"/>
      <c r="Y826" s="13">
        <v>9</v>
      </c>
      <c r="Z826" s="15"/>
      <c r="AA826" s="15"/>
      <c r="AB826" s="28"/>
      <c r="AC826" s="2">
        <v>9</v>
      </c>
      <c r="AD826" s="15">
        <f t="shared" si="2183"/>
        <v>0</v>
      </c>
      <c r="AE826" s="34">
        <f>AD826*$F$10</f>
        <v>0</v>
      </c>
      <c r="AG826" s="13">
        <v>14</v>
      </c>
      <c r="AH826" s="15">
        <f t="shared" si="2184"/>
        <v>5</v>
      </c>
      <c r="AI826" s="45">
        <f>AH826*$G$10</f>
        <v>88.4</v>
      </c>
      <c r="AJ826" s="38">
        <v>88.4</v>
      </c>
      <c r="AK826" s="13">
        <v>14</v>
      </c>
      <c r="AL826" s="15">
        <f t="shared" si="2185"/>
        <v>0</v>
      </c>
      <c r="AM826" s="45">
        <f>AL826*$G$10</f>
        <v>0</v>
      </c>
      <c r="AN826" s="28"/>
      <c r="AO826" s="13">
        <v>14</v>
      </c>
      <c r="AP826" s="15">
        <f t="shared" si="2186"/>
        <v>0</v>
      </c>
      <c r="AQ826" s="45">
        <f>AP826*$G$10</f>
        <v>0</v>
      </c>
      <c r="AR826" s="28"/>
      <c r="AS826" s="15"/>
      <c r="AT826" s="15"/>
      <c r="AU826" s="15"/>
      <c r="AV826" s="15"/>
      <c r="AW826" s="13"/>
      <c r="AX826" s="15"/>
      <c r="AY826" s="15"/>
      <c r="AZ826" s="28"/>
      <c r="BA826" s="15"/>
      <c r="BB826" s="15"/>
      <c r="BC826" s="15"/>
      <c r="BD826" s="15"/>
      <c r="BE826" s="40">
        <f t="shared" ref="BE826:BG826" si="2189">J826+N826+R826+V826+Z826+AD826+AH826+AL826+AP826+AT826+AX826+BB826</f>
        <v>5</v>
      </c>
      <c r="BF826" s="41">
        <f t="shared" si="2189"/>
        <v>88.4</v>
      </c>
      <c r="BG826" s="34">
        <f t="shared" si="2189"/>
        <v>88.4</v>
      </c>
      <c r="BH826" s="35">
        <f t="shared" si="2188"/>
        <v>17.16</v>
      </c>
    </row>
    <row r="827" ht="15.75" customHeight="1" hidden="1" spans="1:60" x14ac:dyDescent="0.25">
      <c r="A827" s="29">
        <v>110</v>
      </c>
      <c r="B827" s="14"/>
      <c r="C827" s="15" t="s">
        <v>194</v>
      </c>
      <c r="D827" s="14" t="s">
        <v>47</v>
      </c>
      <c r="E827" s="2" t="s">
        <v>49</v>
      </c>
      <c r="F827" s="41">
        <v>300</v>
      </c>
      <c r="G827" s="28"/>
      <c r="I827" s="13"/>
      <c r="J827" s="15"/>
      <c r="K827" s="15"/>
      <c r="L827" s="28"/>
      <c r="Q827" s="13"/>
      <c r="R827" s="15"/>
      <c r="S827" s="15"/>
      <c r="T827" s="28"/>
      <c r="Y827" s="13"/>
      <c r="Z827" s="15"/>
      <c r="AA827" s="15"/>
      <c r="AB827" s="28"/>
      <c r="AG827" s="13"/>
      <c r="AH827" s="15"/>
      <c r="AI827" s="15"/>
      <c r="AJ827" s="28"/>
      <c r="AK827" s="13"/>
      <c r="AL827" s="15"/>
      <c r="AM827" s="34"/>
      <c r="AN827" s="28"/>
      <c r="AO827" s="13"/>
      <c r="AP827" s="15"/>
      <c r="AQ827" s="34"/>
      <c r="AR827" s="28"/>
      <c r="AS827" s="15"/>
      <c r="AT827" s="15"/>
      <c r="AU827" s="15"/>
      <c r="AV827" s="15"/>
      <c r="AW827" s="13"/>
      <c r="AX827" s="15"/>
      <c r="AY827" s="15"/>
      <c r="AZ827" s="28"/>
      <c r="BA827" s="15"/>
      <c r="BB827" s="15"/>
      <c r="BC827" s="15"/>
      <c r="BD827" s="15"/>
      <c r="BE827" s="14"/>
      <c r="BF827" s="41">
        <f t="shared" ref="BF827:BG827" si="2190">K827+O827+S827+W827+AA827+AE827+AI827+AM827+AQ827+AU827+AY827+BC827</f>
        <v>0</v>
      </c>
      <c r="BG827" s="34">
        <f t="shared" si="2190"/>
        <v>0</v>
      </c>
      <c r="BH827" s="35">
        <f t="shared" si="2188"/>
        <v>0</v>
      </c>
    </row>
    <row r="828" ht="15.75" customHeight="1" hidden="1" spans="1:60" x14ac:dyDescent="0.25">
      <c r="A828" s="29">
        <v>110</v>
      </c>
      <c r="B828" s="14"/>
      <c r="C828" s="2" t="s">
        <v>344</v>
      </c>
      <c r="D828" s="14" t="s">
        <v>50</v>
      </c>
      <c r="E828" s="2" t="s">
        <v>49</v>
      </c>
      <c r="F828" s="41">
        <v>1062.88</v>
      </c>
      <c r="G828" s="28"/>
      <c r="I828" s="13"/>
      <c r="J828" s="15"/>
      <c r="K828" s="15"/>
      <c r="L828" s="28"/>
      <c r="Q828" s="13"/>
      <c r="R828" s="15"/>
      <c r="S828" s="15"/>
      <c r="T828" s="28"/>
      <c r="Y828" s="13"/>
      <c r="Z828" s="15"/>
      <c r="AA828" s="15"/>
      <c r="AB828" s="28"/>
      <c r="AE828" s="34">
        <f>B825*$F$12</f>
        <v>5218.7408</v>
      </c>
      <c r="AG828" s="13"/>
      <c r="AH828" s="15"/>
      <c r="AI828" s="15"/>
      <c r="AJ828" s="32">
        <v>5218.74</v>
      </c>
      <c r="AK828" s="13"/>
      <c r="AL828" s="15"/>
      <c r="AM828" s="15"/>
      <c r="AN828" s="28"/>
      <c r="AO828" s="13"/>
      <c r="AP828" s="15"/>
      <c r="AQ828" s="15"/>
      <c r="AR828" s="28"/>
      <c r="AS828" s="15"/>
      <c r="AT828" s="15"/>
      <c r="AU828" s="15"/>
      <c r="AV828" s="15"/>
      <c r="AW828" s="13"/>
      <c r="AX828" s="15"/>
      <c r="AY828" s="15"/>
      <c r="AZ828" s="28"/>
      <c r="BA828" s="15"/>
      <c r="BB828" s="15"/>
      <c r="BC828" s="15"/>
      <c r="BD828" s="15"/>
      <c r="BE828" s="14"/>
      <c r="BF828" s="41">
        <f>B825*$F$12</f>
        <v>5218.7408</v>
      </c>
      <c r="BG828" s="34">
        <f t="shared" ref="BG828:BG830" si="2191">L828+P828+T828+X828+AB828+AF828+AJ828+AN828+AR828+AV828+AZ828+BD828</f>
        <v>5218.74</v>
      </c>
      <c r="BH828" s="35">
        <f t="shared" si="2188"/>
        <v>0.0008000000007</v>
      </c>
    </row>
    <row r="829" ht="15.75" customHeight="1" hidden="1" spans="1:60" x14ac:dyDescent="0.25">
      <c r="A829" s="29">
        <v>110</v>
      </c>
      <c r="B829" s="14"/>
      <c r="D829" s="14" t="s">
        <v>51</v>
      </c>
      <c r="E829" s="2" t="s">
        <v>49</v>
      </c>
      <c r="F829" s="41">
        <v>0</v>
      </c>
      <c r="G829" s="28"/>
      <c r="I829" s="13"/>
      <c r="J829" s="15"/>
      <c r="K829" s="15"/>
      <c r="L829" s="28"/>
      <c r="Q829" s="13"/>
      <c r="R829" s="15"/>
      <c r="S829" s="15"/>
      <c r="T829" s="28"/>
      <c r="Y829" s="13"/>
      <c r="Z829" s="15"/>
      <c r="AA829" s="15"/>
      <c r="AB829" s="28"/>
      <c r="AG829" s="13"/>
      <c r="AH829" s="15"/>
      <c r="AI829" s="15"/>
      <c r="AJ829" s="28"/>
      <c r="AK829" s="13"/>
      <c r="AL829" s="15"/>
      <c r="AM829" s="15"/>
      <c r="AN829" s="28"/>
      <c r="AO829" s="13"/>
      <c r="AP829" s="15"/>
      <c r="AQ829" s="15"/>
      <c r="AR829" s="28"/>
      <c r="AS829" s="15"/>
      <c r="AT829" s="15"/>
      <c r="AU829" s="15"/>
      <c r="AV829" s="15"/>
      <c r="AW829" s="13"/>
      <c r="AX829" s="15"/>
      <c r="AY829" s="15"/>
      <c r="AZ829" s="28"/>
      <c r="BA829" s="15"/>
      <c r="BB829" s="15"/>
      <c r="BC829" s="15"/>
      <c r="BD829" s="15"/>
      <c r="BE829" s="14"/>
      <c r="BF829" s="41">
        <f>B825*$F$13</f>
        <v>0</v>
      </c>
      <c r="BG829" s="34">
        <f t="shared" si="2191"/>
        <v>0</v>
      </c>
      <c r="BH829" s="35">
        <f t="shared" si="2188"/>
        <v>0</v>
      </c>
    </row>
    <row r="830" ht="15.75" customHeight="1" hidden="1" spans="1:60" x14ac:dyDescent="0.25">
      <c r="A830" s="29">
        <v>110</v>
      </c>
      <c r="B830" s="14"/>
      <c r="D830" s="14" t="s">
        <v>52</v>
      </c>
      <c r="E830" s="2" t="s">
        <v>39</v>
      </c>
      <c r="F830" s="41">
        <v>350</v>
      </c>
      <c r="G830" s="28"/>
      <c r="I830" s="13"/>
      <c r="J830" s="15"/>
      <c r="K830" s="15"/>
      <c r="L830" s="28"/>
      <c r="Q830" s="13"/>
      <c r="R830" s="15"/>
      <c r="S830" s="15"/>
      <c r="T830" s="28"/>
      <c r="Y830" s="13"/>
      <c r="Z830" s="15"/>
      <c r="AA830" s="34">
        <f>$F$14</f>
        <v>350</v>
      </c>
      <c r="AB830" s="28"/>
      <c r="AG830" s="13"/>
      <c r="AH830" s="15"/>
      <c r="AI830" s="15"/>
      <c r="AJ830" s="28"/>
      <c r="AK830" s="13"/>
      <c r="AL830" s="15"/>
      <c r="AM830" s="15"/>
      <c r="AN830" s="28"/>
      <c r="AO830" s="13"/>
      <c r="AP830" s="15"/>
      <c r="AQ830" s="15"/>
      <c r="AR830" s="28"/>
      <c r="AS830" s="15"/>
      <c r="AT830" s="15"/>
      <c r="AU830" s="15"/>
      <c r="AV830" s="15"/>
      <c r="AW830" s="13"/>
      <c r="AX830" s="15"/>
      <c r="AY830" s="15"/>
      <c r="AZ830" s="28"/>
      <c r="BA830" s="15"/>
      <c r="BB830" s="15"/>
      <c r="BC830" s="15"/>
      <c r="BD830" s="15"/>
      <c r="BE830" s="14"/>
      <c r="BF830" s="41">
        <f>$F$14</f>
        <v>350</v>
      </c>
      <c r="BG830" s="34">
        <f t="shared" si="2191"/>
        <v>0</v>
      </c>
      <c r="BH830" s="35">
        <f t="shared" si="2188"/>
        <v>350</v>
      </c>
    </row>
    <row r="831" ht="15.75" customHeight="1" hidden="1" spans="1:62" x14ac:dyDescent="0.25">
      <c r="A831" s="50">
        <v>110</v>
      </c>
      <c r="B831" s="21"/>
      <c r="C831" s="22" t="s">
        <v>53</v>
      </c>
      <c r="D831" s="21"/>
      <c r="E831" s="22"/>
      <c r="F831" s="20"/>
      <c r="G831" s="23"/>
      <c r="H831" s="51">
        <f>SUM(H824:H830)</f>
        <v>-90.71</v>
      </c>
      <c r="I831" s="52"/>
      <c r="J831" s="53"/>
      <c r="K831" s="51">
        <f t="shared" ref="K831:L831" si="2192">SUM(K824:K830)</f>
        <v>0</v>
      </c>
      <c r="L831" s="68">
        <f t="shared" si="2192"/>
        <v>0</v>
      </c>
      <c r="M831" s="53"/>
      <c r="N831" s="53"/>
      <c r="O831" s="51">
        <f t="shared" ref="O831:P831" si="2193">SUM(O825:O830)</f>
        <v>0</v>
      </c>
      <c r="P831" s="51">
        <f t="shared" si="2193"/>
        <v>0</v>
      </c>
      <c r="Q831" s="52"/>
      <c r="R831" s="53"/>
      <c r="S831" s="51">
        <f t="shared" ref="S831:T831" si="2194">SUM(S825:S830)</f>
        <v>0</v>
      </c>
      <c r="T831" s="68">
        <f t="shared" si="2194"/>
        <v>0</v>
      </c>
      <c r="U831" s="53"/>
      <c r="V831" s="53"/>
      <c r="W831" s="51">
        <f t="shared" ref="W831:X831" si="2195">SUM(W825:W830)</f>
        <v>27.39</v>
      </c>
      <c r="X831" s="51">
        <f t="shared" si="2195"/>
        <v>0</v>
      </c>
      <c r="Y831" s="52"/>
      <c r="Z831" s="53"/>
      <c r="AA831" s="51">
        <f t="shared" ref="AA831:AB831" si="2196">SUM(AA825:AA830)</f>
        <v>350</v>
      </c>
      <c r="AB831" s="68">
        <f t="shared" si="2196"/>
        <v>0</v>
      </c>
      <c r="AC831" s="53"/>
      <c r="AD831" s="53"/>
      <c r="AE831" s="51">
        <f t="shared" ref="AE831:AF831" si="2197">SUM(AE825:AE830)</f>
        <v>5218.7408</v>
      </c>
      <c r="AF831" s="51">
        <f t="shared" si="2197"/>
        <v>0</v>
      </c>
      <c r="AG831" s="52"/>
      <c r="AH831" s="53"/>
      <c r="AI831" s="51">
        <f t="shared" ref="AI831:AJ831" si="2198">SUM(AI825:AI830)</f>
        <v>90.89</v>
      </c>
      <c r="AJ831" s="68">
        <f t="shared" si="2198"/>
        <v>5309.63</v>
      </c>
      <c r="AK831" s="52"/>
      <c r="AL831" s="53"/>
      <c r="AM831" s="51">
        <f t="shared" ref="AM831:AN831" si="2199">SUM(AM825:AM830)</f>
        <v>0</v>
      </c>
      <c r="AN831" s="68">
        <f t="shared" si="2199"/>
        <v>0</v>
      </c>
      <c r="AO831" s="52"/>
      <c r="AP831" s="53"/>
      <c r="AQ831" s="51">
        <f t="shared" ref="AQ831:AR831" si="2200">SUM(AQ825:AQ830)</f>
        <v>59.76</v>
      </c>
      <c r="AR831" s="68">
        <f t="shared" si="2200"/>
        <v>0</v>
      </c>
      <c r="AS831" s="53"/>
      <c r="AT831" s="53"/>
      <c r="AU831" s="51">
        <f t="shared" ref="AU831:AV831" si="2201">SUM(AU825:AU830)</f>
        <v>44.82</v>
      </c>
      <c r="AV831" s="51">
        <f t="shared" si="2201"/>
        <v>0</v>
      </c>
      <c r="AW831" s="52"/>
      <c r="AX831" s="53"/>
      <c r="AY831" s="51">
        <f t="shared" ref="AY831:AZ831" si="2202">SUM(AY825:AY830)</f>
        <v>0</v>
      </c>
      <c r="AZ831" s="68">
        <f t="shared" si="2202"/>
        <v>0</v>
      </c>
      <c r="BA831" s="53"/>
      <c r="BB831" s="53"/>
      <c r="BC831" s="51">
        <f t="shared" ref="BC831:BD831" si="2203">SUM(BC825:BC830)</f>
        <v>0</v>
      </c>
      <c r="BD831" s="51">
        <f t="shared" si="2203"/>
        <v>0</v>
      </c>
      <c r="BE831" s="69"/>
      <c r="BF831" s="70">
        <f t="shared" ref="BF831:BH831" si="2204">SUM(BF824:BF830)</f>
        <v>5791.6008</v>
      </c>
      <c r="BG831" s="71">
        <f t="shared" si="2204"/>
        <v>5309.63</v>
      </c>
      <c r="BH831" s="72">
        <f t="shared" si="2204"/>
        <v>391.2608</v>
      </c>
      <c r="BI831" s="34">
        <f>H831+BF831-BG831</f>
        <v>391.2608</v>
      </c>
      <c r="BJ831" s="34">
        <f>BH831-BI831</f>
        <v>0</v>
      </c>
    </row>
    <row r="832" ht="15.75" customHeight="1" hidden="1" spans="1:60" x14ac:dyDescent="0.25">
      <c r="A832" s="29">
        <v>111</v>
      </c>
      <c r="B832" s="14"/>
      <c r="D832" s="14" t="s">
        <v>42</v>
      </c>
      <c r="F832" s="13"/>
      <c r="G832" s="28"/>
      <c r="I832" s="13"/>
      <c r="J832" s="15"/>
      <c r="K832" s="15"/>
      <c r="L832" s="28"/>
      <c r="Q832" s="13"/>
      <c r="R832" s="15"/>
      <c r="S832" s="15"/>
      <c r="T832" s="28"/>
      <c r="Y832" s="13"/>
      <c r="Z832" s="15"/>
      <c r="AA832" s="15"/>
      <c r="AB832" s="28"/>
      <c r="AG832" s="13"/>
      <c r="AH832" s="15"/>
      <c r="AI832" s="15"/>
      <c r="AJ832" s="28"/>
      <c r="AK832" s="13"/>
      <c r="AL832" s="15"/>
      <c r="AM832" s="15"/>
      <c r="AN832" s="28"/>
      <c r="AO832" s="13"/>
      <c r="AP832" s="15"/>
      <c r="AQ832" s="15"/>
      <c r="AR832" s="28"/>
      <c r="AW832" s="13"/>
      <c r="AX832" s="15"/>
      <c r="AY832" s="15"/>
      <c r="AZ832" s="28"/>
      <c r="BE832" s="14"/>
      <c r="BF832" s="13"/>
      <c r="BG832" s="15"/>
      <c r="BH832" s="28"/>
    </row>
    <row r="833" ht="15.75" customHeight="1" hidden="1" spans="1:60" x14ac:dyDescent="0.25">
      <c r="A833" s="2">
        <v>111</v>
      </c>
      <c r="B833" s="42">
        <v>6.8</v>
      </c>
      <c r="C833" s="2" t="s">
        <v>280</v>
      </c>
      <c r="D833" s="14" t="s">
        <v>44</v>
      </c>
      <c r="E833" s="2" t="s">
        <v>45</v>
      </c>
      <c r="F833" s="13">
        <v>2.49</v>
      </c>
      <c r="G833" s="28"/>
      <c r="H833" s="74"/>
      <c r="I833" s="13"/>
      <c r="J833" s="15"/>
      <c r="K833" s="15"/>
      <c r="L833" s="28"/>
      <c r="Q833" s="13"/>
      <c r="R833" s="15"/>
      <c r="S833" s="15"/>
      <c r="T833" s="28"/>
      <c r="Y833" s="13"/>
      <c r="Z833" s="15">
        <f>Y833-U833</f>
        <v>0</v>
      </c>
      <c r="AA833" s="34">
        <f>Z833*$F$8</f>
        <v>0</v>
      </c>
      <c r="AB833" s="28"/>
      <c r="AC833" s="15"/>
      <c r="AD833" s="15">
        <f t="shared" ref="AD833:AD834" si="2205">AC833-Y833</f>
        <v>0</v>
      </c>
      <c r="AE833" s="34">
        <f>AD833*$F$8</f>
        <v>0</v>
      </c>
      <c r="AG833" s="13">
        <v>1</v>
      </c>
      <c r="AH833" s="15">
        <f t="shared" ref="AH833:AH834" si="2206">AG833-AC833</f>
        <v>1</v>
      </c>
      <c r="AI833" s="34">
        <f>AH833*$F$8</f>
        <v>2.49</v>
      </c>
      <c r="AJ833" s="28"/>
      <c r="AK833" s="13">
        <v>1</v>
      </c>
      <c r="AL833" s="15">
        <f t="shared" ref="AL833:AL834" si="2207">AK833-AG833</f>
        <v>0</v>
      </c>
      <c r="AM833" s="34">
        <f>AL833*$F$8</f>
        <v>0</v>
      </c>
      <c r="AN833" s="32">
        <v>2.49</v>
      </c>
      <c r="AO833" s="13">
        <v>1</v>
      </c>
      <c r="AP833" s="15">
        <f t="shared" ref="AP833:AP834" si="2208">AO833-AK833</f>
        <v>0</v>
      </c>
      <c r="AQ833" s="34">
        <f>AP833*$F$8</f>
        <v>0</v>
      </c>
      <c r="AR833" s="28"/>
      <c r="AS833" s="15">
        <v>1</v>
      </c>
      <c r="AT833" s="15">
        <f>AS833-AO833</f>
        <v>0</v>
      </c>
      <c r="AU833" s="34">
        <f>AT833*$F$8</f>
        <v>0</v>
      </c>
      <c r="AV833" s="15"/>
      <c r="AW833" s="13">
        <v>1</v>
      </c>
      <c r="AX833" s="15">
        <f>AW833-AS833</f>
        <v>0</v>
      </c>
      <c r="AY833" s="34">
        <f>AX833*$F$8</f>
        <v>0</v>
      </c>
      <c r="AZ833" s="28"/>
      <c r="BA833" s="13">
        <v>1</v>
      </c>
      <c r="BB833" s="15">
        <f>BA833-AW833</f>
        <v>0</v>
      </c>
      <c r="BC833" s="34">
        <f>BB833*$F$8</f>
        <v>0</v>
      </c>
      <c r="BD833" s="15"/>
      <c r="BE833" s="40">
        <f t="shared" ref="BE833:BG833" si="2209">J833+N833+R833+V833+Z833+AD833+AH833+AL833+AP833+AT833+AX833+BB833</f>
        <v>1</v>
      </c>
      <c r="BF833" s="41">
        <f t="shared" si="2209"/>
        <v>2.49</v>
      </c>
      <c r="BG833" s="34">
        <f t="shared" si="2209"/>
        <v>2.49</v>
      </c>
      <c r="BH833" s="35">
        <f t="shared" ref="BH833:BH838" si="2210">H833+BF833-BG833</f>
        <v>0</v>
      </c>
    </row>
    <row r="834" ht="15.75" customHeight="1" hidden="1" spans="1:60" x14ac:dyDescent="0.25">
      <c r="A834" s="29">
        <v>111</v>
      </c>
      <c r="B834" s="14"/>
      <c r="C834" s="2" t="s">
        <v>153</v>
      </c>
      <c r="D834" s="14" t="s">
        <v>47</v>
      </c>
      <c r="E834" s="2" t="s">
        <v>48</v>
      </c>
      <c r="F834" s="13">
        <v>17.16</v>
      </c>
      <c r="G834" s="28"/>
      <c r="H834" s="73"/>
      <c r="I834" s="13"/>
      <c r="J834" s="15"/>
      <c r="K834" s="15"/>
      <c r="L834" s="28"/>
      <c r="Q834" s="13"/>
      <c r="R834" s="15"/>
      <c r="S834" s="15"/>
      <c r="T834" s="28"/>
      <c r="Y834" s="94">
        <v>6</v>
      </c>
      <c r="Z834" s="15"/>
      <c r="AA834" s="15"/>
      <c r="AB834" s="28"/>
      <c r="AC834" s="94">
        <v>6</v>
      </c>
      <c r="AD834" s="15">
        <f t="shared" si="2205"/>
        <v>0</v>
      </c>
      <c r="AE834" s="34">
        <f>AD834*$F$10</f>
        <v>0</v>
      </c>
      <c r="AG834" s="94">
        <v>6</v>
      </c>
      <c r="AH834" s="15">
        <f t="shared" si="2206"/>
        <v>0</v>
      </c>
      <c r="AI834" s="45">
        <f>AH834*$G$10</f>
        <v>0</v>
      </c>
      <c r="AJ834" s="28"/>
      <c r="AK834" s="94">
        <v>6</v>
      </c>
      <c r="AL834" s="15">
        <f t="shared" si="2207"/>
        <v>0</v>
      </c>
      <c r="AM834" s="45">
        <f>AL834*$G$10</f>
        <v>0</v>
      </c>
      <c r="AN834" s="28"/>
      <c r="AO834" s="94">
        <v>6</v>
      </c>
      <c r="AP834" s="15">
        <f t="shared" si="2208"/>
        <v>0</v>
      </c>
      <c r="AQ834" s="45">
        <f>AP834*$G$10</f>
        <v>0</v>
      </c>
      <c r="AR834" s="28"/>
      <c r="AS834" s="15"/>
      <c r="AT834" s="15"/>
      <c r="AU834" s="15"/>
      <c r="AV834" s="15"/>
      <c r="AW834" s="13"/>
      <c r="AX834" s="15"/>
      <c r="AY834" s="15"/>
      <c r="AZ834" s="28"/>
      <c r="BA834" s="15"/>
      <c r="BB834" s="15"/>
      <c r="BC834" s="15"/>
      <c r="BD834" s="15"/>
      <c r="BE834" s="40">
        <f t="shared" ref="BE834:BG834" si="2211">J834+N834+R834+V834+Z834+AD834+AH834+AL834+AP834+AT834+AX834+BB834</f>
        <v>0</v>
      </c>
      <c r="BF834" s="41">
        <f t="shared" si="2211"/>
        <v>0</v>
      </c>
      <c r="BG834" s="34">
        <f t="shared" si="2211"/>
        <v>0</v>
      </c>
      <c r="BH834" s="35">
        <f t="shared" si="2210"/>
        <v>0</v>
      </c>
    </row>
    <row r="835" ht="15.75" customHeight="1" hidden="1" spans="1:60" x14ac:dyDescent="0.25">
      <c r="A835" s="29">
        <v>111</v>
      </c>
      <c r="B835" s="14"/>
      <c r="C835" s="15" t="s">
        <v>345</v>
      </c>
      <c r="D835" s="14" t="s">
        <v>47</v>
      </c>
      <c r="E835" s="2" t="s">
        <v>49</v>
      </c>
      <c r="F835" s="41">
        <v>300</v>
      </c>
      <c r="G835" s="28"/>
      <c r="I835" s="13"/>
      <c r="J835" s="15"/>
      <c r="K835" s="15"/>
      <c r="L835" s="28"/>
      <c r="Q835" s="13"/>
      <c r="R835" s="15"/>
      <c r="S835" s="15"/>
      <c r="T835" s="28"/>
      <c r="Y835" s="13"/>
      <c r="Z835" s="15"/>
      <c r="AA835" s="15"/>
      <c r="AB835" s="28"/>
      <c r="AG835" s="13"/>
      <c r="AH835" s="15"/>
      <c r="AI835" s="15"/>
      <c r="AJ835" s="28"/>
      <c r="AK835" s="13"/>
      <c r="AL835" s="15"/>
      <c r="AM835" s="34"/>
      <c r="AN835" s="28"/>
      <c r="AO835" s="13"/>
      <c r="AP835" s="15"/>
      <c r="AQ835" s="34"/>
      <c r="AR835" s="28"/>
      <c r="AS835" s="15"/>
      <c r="AT835" s="15"/>
      <c r="AU835" s="15"/>
      <c r="AV835" s="15"/>
      <c r="AW835" s="13"/>
      <c r="AX835" s="15"/>
      <c r="AY835" s="15"/>
      <c r="AZ835" s="28"/>
      <c r="BA835" s="15"/>
      <c r="BB835" s="15"/>
      <c r="BC835" s="15"/>
      <c r="BD835" s="15"/>
      <c r="BE835" s="14"/>
      <c r="BF835" s="41">
        <f t="shared" ref="BF835:BG835" si="2212">K835+O835+S835+W835+AA835+AE835+AI835+AM835+AQ835+AU835+AY835+BC835</f>
        <v>0</v>
      </c>
      <c r="BG835" s="34">
        <f t="shared" si="2212"/>
        <v>0</v>
      </c>
      <c r="BH835" s="35">
        <f t="shared" si="2210"/>
        <v>0</v>
      </c>
    </row>
    <row r="836" ht="15.75" customHeight="1" hidden="1" spans="1:60" x14ac:dyDescent="0.25">
      <c r="A836" s="29">
        <v>111</v>
      </c>
      <c r="B836" s="14"/>
      <c r="C836" s="2" t="s">
        <v>346</v>
      </c>
      <c r="D836" s="14" t="s">
        <v>50</v>
      </c>
      <c r="E836" s="2" t="s">
        <v>49</v>
      </c>
      <c r="F836" s="41">
        <v>1062.88</v>
      </c>
      <c r="G836" s="28"/>
      <c r="I836" s="13"/>
      <c r="J836" s="15"/>
      <c r="K836" s="15"/>
      <c r="L836" s="28"/>
      <c r="Q836" s="13"/>
      <c r="R836" s="15"/>
      <c r="S836" s="15"/>
      <c r="T836" s="28"/>
      <c r="Y836" s="13"/>
      <c r="Z836" s="15"/>
      <c r="AA836" s="15"/>
      <c r="AB836" s="28"/>
      <c r="AE836" s="34">
        <f>B833*$F$12</f>
        <v>7227.584</v>
      </c>
      <c r="AG836" s="13"/>
      <c r="AH836" s="15"/>
      <c r="AI836" s="15"/>
      <c r="AJ836" s="28"/>
      <c r="AK836" s="13"/>
      <c r="AL836" s="15"/>
      <c r="AM836" s="15"/>
      <c r="AN836" s="32">
        <v>7227.58</v>
      </c>
      <c r="AO836" s="13"/>
      <c r="AP836" s="15"/>
      <c r="AQ836" s="15"/>
      <c r="AR836" s="28"/>
      <c r="AS836" s="15"/>
      <c r="AT836" s="15"/>
      <c r="AU836" s="15"/>
      <c r="AV836" s="15"/>
      <c r="AW836" s="13"/>
      <c r="AX836" s="15"/>
      <c r="AY836" s="15"/>
      <c r="AZ836" s="28"/>
      <c r="BA836" s="15"/>
      <c r="BB836" s="15"/>
      <c r="BC836" s="15"/>
      <c r="BD836" s="15"/>
      <c r="BE836" s="14"/>
      <c r="BF836" s="41">
        <f>B833*$F$12</f>
        <v>7227.584</v>
      </c>
      <c r="BG836" s="34">
        <f t="shared" ref="BG836:BG838" si="2213">L836+P836+T836+X836+AB836+AF836+AJ836+AN836+AR836+AV836+AZ836+BD836</f>
        <v>7227.58</v>
      </c>
      <c r="BH836" s="35">
        <f t="shared" si="2210"/>
        <v>0.004000000001</v>
      </c>
    </row>
    <row r="837" ht="15.75" customHeight="1" hidden="1" spans="1:60" x14ac:dyDescent="0.25">
      <c r="A837" s="29">
        <v>111</v>
      </c>
      <c r="B837" s="14"/>
      <c r="D837" s="14" t="s">
        <v>51</v>
      </c>
      <c r="E837" s="2" t="s">
        <v>49</v>
      </c>
      <c r="F837" s="41">
        <v>0</v>
      </c>
      <c r="G837" s="28"/>
      <c r="I837" s="13"/>
      <c r="J837" s="15"/>
      <c r="K837" s="15"/>
      <c r="L837" s="28"/>
      <c r="Q837" s="13"/>
      <c r="R837" s="15"/>
      <c r="S837" s="15"/>
      <c r="T837" s="28"/>
      <c r="Y837" s="13"/>
      <c r="Z837" s="15"/>
      <c r="AA837" s="15"/>
      <c r="AB837" s="28"/>
      <c r="AG837" s="13"/>
      <c r="AH837" s="15"/>
      <c r="AI837" s="15"/>
      <c r="AJ837" s="28"/>
      <c r="AK837" s="13"/>
      <c r="AL837" s="15"/>
      <c r="AM837" s="15"/>
      <c r="AN837" s="28"/>
      <c r="AO837" s="13"/>
      <c r="AP837" s="15"/>
      <c r="AQ837" s="15"/>
      <c r="AR837" s="28"/>
      <c r="AS837" s="15"/>
      <c r="AT837" s="15"/>
      <c r="AU837" s="15"/>
      <c r="AV837" s="15"/>
      <c r="AW837" s="13"/>
      <c r="AX837" s="15"/>
      <c r="AY837" s="15"/>
      <c r="AZ837" s="28"/>
      <c r="BA837" s="15"/>
      <c r="BB837" s="15"/>
      <c r="BC837" s="15"/>
      <c r="BD837" s="15"/>
      <c r="BE837" s="14"/>
      <c r="BF837" s="41">
        <f>B833*$F$13</f>
        <v>0</v>
      </c>
      <c r="BG837" s="34">
        <f t="shared" si="2213"/>
        <v>0</v>
      </c>
      <c r="BH837" s="35">
        <f t="shared" si="2210"/>
        <v>0</v>
      </c>
    </row>
    <row r="838" ht="15.75" customHeight="1" hidden="1" spans="1:60" x14ac:dyDescent="0.25">
      <c r="A838" s="29">
        <v>111</v>
      </c>
      <c r="B838" s="14"/>
      <c r="D838" s="14" t="s">
        <v>52</v>
      </c>
      <c r="E838" s="2" t="s">
        <v>39</v>
      </c>
      <c r="F838" s="41">
        <v>350</v>
      </c>
      <c r="G838" s="28"/>
      <c r="I838" s="13"/>
      <c r="J838" s="15"/>
      <c r="K838" s="15"/>
      <c r="L838" s="28"/>
      <c r="Q838" s="13"/>
      <c r="R838" s="15"/>
      <c r="S838" s="15"/>
      <c r="T838" s="28"/>
      <c r="Y838" s="13"/>
      <c r="Z838" s="15"/>
      <c r="AA838" s="34">
        <f>$F$14</f>
        <v>350</v>
      </c>
      <c r="AB838" s="28"/>
      <c r="AG838" s="13"/>
      <c r="AH838" s="15"/>
      <c r="AI838" s="15"/>
      <c r="AJ838" s="28"/>
      <c r="AK838" s="13"/>
      <c r="AL838" s="15"/>
      <c r="AM838" s="15"/>
      <c r="AN838" s="38">
        <v>350</v>
      </c>
      <c r="AO838" s="13"/>
      <c r="AP838" s="15"/>
      <c r="AQ838" s="15"/>
      <c r="AR838" s="28"/>
      <c r="AS838" s="15"/>
      <c r="AT838" s="15"/>
      <c r="AU838" s="15"/>
      <c r="AV838" s="15"/>
      <c r="AW838" s="13"/>
      <c r="AX838" s="15"/>
      <c r="AY838" s="15"/>
      <c r="AZ838" s="28"/>
      <c r="BA838" s="15"/>
      <c r="BB838" s="15"/>
      <c r="BC838" s="15"/>
      <c r="BD838" s="15"/>
      <c r="BE838" s="14"/>
      <c r="BF838" s="41">
        <f>$F$14</f>
        <v>350</v>
      </c>
      <c r="BG838" s="34">
        <f t="shared" si="2213"/>
        <v>350</v>
      </c>
      <c r="BH838" s="35">
        <f t="shared" si="2210"/>
        <v>0</v>
      </c>
    </row>
    <row r="839" ht="15.75" customHeight="1" hidden="1" spans="1:62" x14ac:dyDescent="0.25">
      <c r="A839" s="50">
        <v>111</v>
      </c>
      <c r="B839" s="21"/>
      <c r="C839" s="22" t="s">
        <v>53</v>
      </c>
      <c r="D839" s="21"/>
      <c r="E839" s="22"/>
      <c r="F839" s="20"/>
      <c r="G839" s="23"/>
      <c r="H839" s="51">
        <f>SUM(H832:H838)</f>
        <v>0</v>
      </c>
      <c r="I839" s="52"/>
      <c r="J839" s="53"/>
      <c r="K839" s="51">
        <f t="shared" ref="K839:L839" si="2214">SUM(K832:K838)</f>
        <v>0</v>
      </c>
      <c r="L839" s="68">
        <f t="shared" si="2214"/>
        <v>0</v>
      </c>
      <c r="M839" s="53"/>
      <c r="N839" s="53"/>
      <c r="O839" s="51">
        <f t="shared" ref="O839:P839" si="2215">SUM(O833:O838)</f>
        <v>0</v>
      </c>
      <c r="P839" s="51">
        <f t="shared" si="2215"/>
        <v>0</v>
      </c>
      <c r="Q839" s="52"/>
      <c r="R839" s="53"/>
      <c r="S839" s="51">
        <f t="shared" ref="S839:T839" si="2216">SUM(S833:S838)</f>
        <v>0</v>
      </c>
      <c r="T839" s="68">
        <f t="shared" si="2216"/>
        <v>0</v>
      </c>
      <c r="U839" s="53"/>
      <c r="V839" s="53"/>
      <c r="W839" s="51">
        <f t="shared" ref="W839:X839" si="2217">SUM(W833:W838)</f>
        <v>0</v>
      </c>
      <c r="X839" s="51">
        <f t="shared" si="2217"/>
        <v>0</v>
      </c>
      <c r="Y839" s="52"/>
      <c r="Z839" s="53"/>
      <c r="AA839" s="51">
        <f t="shared" ref="AA839:AB839" si="2218">SUM(AA833:AA838)</f>
        <v>350</v>
      </c>
      <c r="AB839" s="68">
        <f t="shared" si="2218"/>
        <v>0</v>
      </c>
      <c r="AC839" s="53"/>
      <c r="AD839" s="53"/>
      <c r="AE839" s="51">
        <f t="shared" ref="AE839:AF839" si="2219">SUM(AE833:AE838)</f>
        <v>7227.584</v>
      </c>
      <c r="AF839" s="51">
        <f t="shared" si="2219"/>
        <v>0</v>
      </c>
      <c r="AG839" s="52"/>
      <c r="AH839" s="53"/>
      <c r="AI839" s="51">
        <f t="shared" ref="AI839:AJ839" si="2220">SUM(AI833:AI838)</f>
        <v>2.49</v>
      </c>
      <c r="AJ839" s="68">
        <f t="shared" si="2220"/>
        <v>0</v>
      </c>
      <c r="AK839" s="52"/>
      <c r="AL839" s="53"/>
      <c r="AM839" s="51">
        <f t="shared" ref="AM839:AN839" si="2221">SUM(AM833:AM838)</f>
        <v>0</v>
      </c>
      <c r="AN839" s="68">
        <f t="shared" si="2221"/>
        <v>7580.07</v>
      </c>
      <c r="AO839" s="52"/>
      <c r="AP839" s="53"/>
      <c r="AQ839" s="51">
        <f t="shared" ref="AQ839:AR839" si="2222">SUM(AQ833:AQ838)</f>
        <v>0</v>
      </c>
      <c r="AR839" s="68">
        <f t="shared" si="2222"/>
        <v>0</v>
      </c>
      <c r="AS839" s="53"/>
      <c r="AT839" s="53"/>
      <c r="AU839" s="51">
        <f t="shared" ref="AU839:AV839" si="2223">SUM(AU833:AU838)</f>
        <v>0</v>
      </c>
      <c r="AV839" s="51">
        <f t="shared" si="2223"/>
        <v>0</v>
      </c>
      <c r="AW839" s="52"/>
      <c r="AX839" s="53"/>
      <c r="AY839" s="51">
        <f t="shared" ref="AY839:AZ839" si="2224">SUM(AY833:AY838)</f>
        <v>0</v>
      </c>
      <c r="AZ839" s="68">
        <f t="shared" si="2224"/>
        <v>0</v>
      </c>
      <c r="BA839" s="53"/>
      <c r="BB839" s="53"/>
      <c r="BC839" s="51">
        <f t="shared" ref="BC839:BD839" si="2225">SUM(BC833:BC838)</f>
        <v>0</v>
      </c>
      <c r="BD839" s="51">
        <f t="shared" si="2225"/>
        <v>0</v>
      </c>
      <c r="BE839" s="69"/>
      <c r="BF839" s="70">
        <f t="shared" ref="BF839:BH839" si="2226">SUM(BF832:BF838)</f>
        <v>7580.074</v>
      </c>
      <c r="BG839" s="71">
        <f t="shared" si="2226"/>
        <v>7580.07</v>
      </c>
      <c r="BH839" s="72">
        <f t="shared" si="2226"/>
        <v>0.004000000001</v>
      </c>
      <c r="BI839" s="34">
        <f>H839+BF839-BG839</f>
        <v>0.004000000001</v>
      </c>
      <c r="BJ839" s="34">
        <f>BH839-BI839</f>
        <v>0</v>
      </c>
    </row>
    <row r="840" ht="15.75" customHeight="1" hidden="1" spans="1:60" x14ac:dyDescent="0.25">
      <c r="A840" s="29">
        <v>112</v>
      </c>
      <c r="B840" s="14"/>
      <c r="D840" s="14" t="s">
        <v>42</v>
      </c>
      <c r="F840" s="13"/>
      <c r="G840" s="28"/>
      <c r="I840" s="13"/>
      <c r="J840" s="15"/>
      <c r="K840" s="15"/>
      <c r="L840" s="28"/>
      <c r="Q840" s="13"/>
      <c r="R840" s="15"/>
      <c r="S840" s="15"/>
      <c r="T840" s="28"/>
      <c r="Y840" s="13"/>
      <c r="Z840" s="15"/>
      <c r="AA840" s="15"/>
      <c r="AB840" s="28"/>
      <c r="AG840" s="13"/>
      <c r="AH840" s="15"/>
      <c r="AI840" s="15"/>
      <c r="AJ840" s="28"/>
      <c r="AK840" s="13"/>
      <c r="AL840" s="15"/>
      <c r="AM840" s="15"/>
      <c r="AN840" s="28"/>
      <c r="AO840" s="13"/>
      <c r="AP840" s="15"/>
      <c r="AQ840" s="15"/>
      <c r="AR840" s="28"/>
      <c r="AW840" s="13"/>
      <c r="AX840" s="15"/>
      <c r="AY840" s="15"/>
      <c r="AZ840" s="28"/>
      <c r="BE840" s="14"/>
      <c r="BF840" s="13"/>
      <c r="BG840" s="15"/>
      <c r="BH840" s="28"/>
    </row>
    <row r="841" ht="15.75" customHeight="1" hidden="1" spans="1:60" x14ac:dyDescent="0.25">
      <c r="A841" s="2">
        <v>112</v>
      </c>
      <c r="B841" s="14">
        <v>4.94</v>
      </c>
      <c r="C841" s="15" t="s">
        <v>347</v>
      </c>
      <c r="D841" s="14" t="s">
        <v>44</v>
      </c>
      <c r="E841" s="2" t="s">
        <v>45</v>
      </c>
      <c r="F841" s="13">
        <v>2.49</v>
      </c>
      <c r="G841" s="28"/>
      <c r="H841" s="15">
        <v>59.48</v>
      </c>
      <c r="I841" s="13">
        <v>87</v>
      </c>
      <c r="J841" s="15">
        <v>0</v>
      </c>
      <c r="K841" s="34">
        <f>J841*$F$8</f>
        <v>0</v>
      </c>
      <c r="L841" s="28"/>
      <c r="M841" s="2">
        <v>87</v>
      </c>
      <c r="Q841" s="13">
        <v>87</v>
      </c>
      <c r="R841" s="15"/>
      <c r="S841" s="15"/>
      <c r="T841" s="28"/>
      <c r="U841" s="2">
        <v>92</v>
      </c>
      <c r="V841" s="2">
        <f>U841-Q841</f>
        <v>5</v>
      </c>
      <c r="W841" s="34">
        <f>V841*$F$8</f>
        <v>12.45</v>
      </c>
      <c r="Y841" s="13">
        <v>92</v>
      </c>
      <c r="Z841" s="15"/>
      <c r="AA841" s="15"/>
      <c r="AB841" s="28"/>
      <c r="AC841" s="2">
        <v>102</v>
      </c>
      <c r="AD841" s="15">
        <f t="shared" ref="AD841:AD842" si="2227">AC841-Y841</f>
        <v>10</v>
      </c>
      <c r="AE841" s="34">
        <f>AD841*$F$8</f>
        <v>24.9</v>
      </c>
      <c r="AF841" s="34"/>
      <c r="AG841" s="13">
        <v>103</v>
      </c>
      <c r="AH841" s="15">
        <f t="shared" ref="AH841:AH842" si="2228">AG841-AC841</f>
        <v>1</v>
      </c>
      <c r="AI841" s="34">
        <f>AH841*$F$8</f>
        <v>2.49</v>
      </c>
      <c r="AJ841" s="32">
        <f>71.93+24.9</f>
        <v>96.83</v>
      </c>
      <c r="AK841" s="13">
        <v>107</v>
      </c>
      <c r="AL841" s="15">
        <f t="shared" ref="AL841:AL842" si="2229">AK841-AG841</f>
        <v>4</v>
      </c>
      <c r="AM841" s="34">
        <f>AL841*$F$8</f>
        <v>9.96</v>
      </c>
      <c r="AN841" s="28"/>
      <c r="AO841" s="13">
        <v>110</v>
      </c>
      <c r="AP841" s="15">
        <f t="shared" ref="AP841:AP842" si="2230">AO841-AK841</f>
        <v>3</v>
      </c>
      <c r="AQ841" s="34">
        <f>AP841*$F$8</f>
        <v>7.47</v>
      </c>
      <c r="AR841" s="28"/>
      <c r="AS841" s="15">
        <v>111</v>
      </c>
      <c r="AT841" s="15">
        <f>AS841-AO841</f>
        <v>1</v>
      </c>
      <c r="AU841" s="34">
        <f>AT841*$F$8</f>
        <v>2.49</v>
      </c>
      <c r="AV841" s="15"/>
      <c r="AW841" s="13">
        <v>111</v>
      </c>
      <c r="AX841" s="15">
        <f>AW841-AS841</f>
        <v>0</v>
      </c>
      <c r="AY841" s="34">
        <f>AX841*$F$8</f>
        <v>0</v>
      </c>
      <c r="AZ841" s="28"/>
      <c r="BA841" s="13">
        <v>111</v>
      </c>
      <c r="BB841" s="15">
        <f>BA841-AW841</f>
        <v>0</v>
      </c>
      <c r="BC841" s="34">
        <f>BB841*$F$8</f>
        <v>0</v>
      </c>
      <c r="BD841" s="15"/>
      <c r="BE841" s="40">
        <f t="shared" ref="BE841:BG841" si="2231">J841+N841+R841+V841+Z841+AD841+AH841+AL841+AP841+AT841+AX841+BB841</f>
        <v>24</v>
      </c>
      <c r="BF841" s="41">
        <f t="shared" si="2231"/>
        <v>59.76</v>
      </c>
      <c r="BG841" s="34">
        <f t="shared" si="2231"/>
        <v>96.83</v>
      </c>
      <c r="BH841" s="35">
        <f t="shared" ref="BH841:BH846" si="2232">H841+BF841-BG841</f>
        <v>22.41</v>
      </c>
    </row>
    <row r="842" ht="15.75" customHeight="1" hidden="1" spans="1:60" x14ac:dyDescent="0.25">
      <c r="A842" s="29">
        <v>112</v>
      </c>
      <c r="B842" s="14"/>
      <c r="C842" s="15" t="s">
        <v>114</v>
      </c>
      <c r="D842" s="14" t="s">
        <v>47</v>
      </c>
      <c r="E842" s="2" t="s">
        <v>48</v>
      </c>
      <c r="F842" s="13">
        <v>17.16</v>
      </c>
      <c r="G842" s="28"/>
      <c r="H842" s="15"/>
      <c r="I842" s="13"/>
      <c r="J842" s="15"/>
      <c r="K842" s="15"/>
      <c r="L842" s="28"/>
      <c r="Q842" s="13"/>
      <c r="R842" s="15"/>
      <c r="S842" s="15"/>
      <c r="T842" s="28"/>
      <c r="Y842" s="13"/>
      <c r="Z842" s="15"/>
      <c r="AA842" s="15"/>
      <c r="AB842" s="28"/>
      <c r="AC842" s="15">
        <v>2</v>
      </c>
      <c r="AD842" s="15">
        <f t="shared" si="2227"/>
        <v>2</v>
      </c>
      <c r="AE842" s="34">
        <f>AD842*$F$10</f>
        <v>34.32</v>
      </c>
      <c r="AG842" s="13">
        <v>2</v>
      </c>
      <c r="AH842" s="15">
        <f t="shared" si="2228"/>
        <v>0</v>
      </c>
      <c r="AI842" s="45">
        <f>AH842*$G$10</f>
        <v>0</v>
      </c>
      <c r="AJ842" s="32">
        <v>34.32</v>
      </c>
      <c r="AK842" s="13">
        <v>2</v>
      </c>
      <c r="AL842" s="15">
        <f t="shared" si="2229"/>
        <v>0</v>
      </c>
      <c r="AM842" s="45">
        <f>AL842*$G$10</f>
        <v>0</v>
      </c>
      <c r="AN842" s="28"/>
      <c r="AO842" s="13">
        <v>2</v>
      </c>
      <c r="AP842" s="15">
        <f t="shared" si="2230"/>
        <v>0</v>
      </c>
      <c r="AQ842" s="45">
        <f>AP842*$G$10</f>
        <v>0</v>
      </c>
      <c r="AR842" s="28"/>
      <c r="AS842" s="15"/>
      <c r="AT842" s="15"/>
      <c r="AU842" s="15"/>
      <c r="AV842" s="15"/>
      <c r="AW842" s="13"/>
      <c r="AX842" s="15"/>
      <c r="AY842" s="15"/>
      <c r="AZ842" s="28"/>
      <c r="BA842" s="15"/>
      <c r="BB842" s="15"/>
      <c r="BC842" s="15"/>
      <c r="BD842" s="15"/>
      <c r="BE842" s="40">
        <f t="shared" ref="BE842:BG842" si="2233">J842+N842+R842+V842+Z842+AD842+AH842+AL842+AP842+AT842+AX842+BB842</f>
        <v>2</v>
      </c>
      <c r="BF842" s="41">
        <f t="shared" si="2233"/>
        <v>34.32</v>
      </c>
      <c r="BG842" s="34">
        <f t="shared" si="2233"/>
        <v>34.32</v>
      </c>
      <c r="BH842" s="35">
        <f t="shared" si="2232"/>
        <v>0</v>
      </c>
    </row>
    <row r="843" ht="15.75" customHeight="1" hidden="1" spans="1:60" x14ac:dyDescent="0.25">
      <c r="A843" s="29">
        <v>112</v>
      </c>
      <c r="B843" s="14"/>
      <c r="C843" s="15" t="s">
        <v>115</v>
      </c>
      <c r="D843" s="14" t="s">
        <v>47</v>
      </c>
      <c r="E843" s="2" t="s">
        <v>49</v>
      </c>
      <c r="F843" s="41">
        <v>300</v>
      </c>
      <c r="G843" s="28"/>
      <c r="H843" s="15"/>
      <c r="I843" s="13"/>
      <c r="J843" s="15"/>
      <c r="K843" s="15"/>
      <c r="L843" s="28"/>
      <c r="Q843" s="13"/>
      <c r="R843" s="15"/>
      <c r="S843" s="15"/>
      <c r="T843" s="28"/>
      <c r="Y843" s="13"/>
      <c r="Z843" s="15"/>
      <c r="AA843" s="34"/>
      <c r="AB843" s="28"/>
      <c r="AC843" s="15"/>
      <c r="AG843" s="13"/>
      <c r="AH843" s="15"/>
      <c r="AI843" s="15"/>
      <c r="AJ843" s="28"/>
      <c r="AK843" s="13"/>
      <c r="AL843" s="15"/>
      <c r="AM843" s="34"/>
      <c r="AN843" s="28"/>
      <c r="AO843" s="13"/>
      <c r="AP843" s="15"/>
      <c r="AQ843" s="34"/>
      <c r="AR843" s="28"/>
      <c r="AS843" s="15"/>
      <c r="AT843" s="15"/>
      <c r="AU843" s="15"/>
      <c r="AV843" s="15"/>
      <c r="AW843" s="13"/>
      <c r="AX843" s="15"/>
      <c r="AY843" s="15"/>
      <c r="AZ843" s="28"/>
      <c r="BA843" s="15"/>
      <c r="BB843" s="15"/>
      <c r="BC843" s="15"/>
      <c r="BD843" s="15"/>
      <c r="BE843" s="14"/>
      <c r="BF843" s="41">
        <f t="shared" ref="BF843:BG843" si="2234">K843+O843+S843+W843+AA843+AE843+AI843+AM843+AQ843+AU843+AY843+BC843</f>
        <v>0</v>
      </c>
      <c r="BG843" s="34">
        <f t="shared" si="2234"/>
        <v>0</v>
      </c>
      <c r="BH843" s="35">
        <f t="shared" si="2232"/>
        <v>0</v>
      </c>
    </row>
    <row r="844" ht="15.75" customHeight="1" hidden="1" spans="1:60" x14ac:dyDescent="0.25">
      <c r="A844" s="29">
        <v>112</v>
      </c>
      <c r="B844" s="14"/>
      <c r="D844" s="14" t="s">
        <v>50</v>
      </c>
      <c r="E844" s="2" t="s">
        <v>49</v>
      </c>
      <c r="F844" s="41">
        <v>1062.88</v>
      </c>
      <c r="G844" s="28"/>
      <c r="I844" s="13"/>
      <c r="J844" s="15"/>
      <c r="K844" s="15"/>
      <c r="L844" s="28"/>
      <c r="Q844" s="13"/>
      <c r="R844" s="15"/>
      <c r="S844" s="15"/>
      <c r="T844" s="28"/>
      <c r="Y844" s="13"/>
      <c r="Z844" s="15"/>
      <c r="AA844" s="15"/>
      <c r="AB844" s="28"/>
      <c r="AE844" s="34">
        <f>B841*$F$12</f>
        <v>5250.6272</v>
      </c>
      <c r="AF844" s="2">
        <v>5250.62</v>
      </c>
      <c r="AG844" s="13"/>
      <c r="AH844" s="15"/>
      <c r="AI844" s="15"/>
      <c r="AJ844" s="28"/>
      <c r="AK844" s="13"/>
      <c r="AL844" s="15"/>
      <c r="AM844" s="15"/>
      <c r="AN844" s="28"/>
      <c r="AO844" s="13"/>
      <c r="AP844" s="15"/>
      <c r="AQ844" s="15"/>
      <c r="AR844" s="28"/>
      <c r="AS844" s="15"/>
      <c r="AT844" s="15"/>
      <c r="AU844" s="15"/>
      <c r="AV844" s="15"/>
      <c r="AW844" s="13"/>
      <c r="AX844" s="15"/>
      <c r="AY844" s="15"/>
      <c r="AZ844" s="28"/>
      <c r="BA844" s="15"/>
      <c r="BB844" s="15"/>
      <c r="BC844" s="15"/>
      <c r="BD844" s="15"/>
      <c r="BE844" s="14"/>
      <c r="BF844" s="41">
        <f>B841*$F$12</f>
        <v>5250.6272</v>
      </c>
      <c r="BG844" s="34">
        <f t="shared" ref="BG844:BG846" si="2235">L844+P844+T844+X844+AB844+AF844+AJ844+AN844+AR844+AV844+AZ844+BD844</f>
        <v>5250.62</v>
      </c>
      <c r="BH844" s="35">
        <f t="shared" si="2232"/>
        <v>0.007200000001</v>
      </c>
    </row>
    <row r="845" ht="15.75" customHeight="1" hidden="1" spans="1:60" x14ac:dyDescent="0.25">
      <c r="A845" s="29">
        <v>112</v>
      </c>
      <c r="B845" s="14"/>
      <c r="D845" s="14" t="s">
        <v>51</v>
      </c>
      <c r="E845" s="2" t="s">
        <v>49</v>
      </c>
      <c r="F845" s="41">
        <v>0</v>
      </c>
      <c r="G845" s="28"/>
      <c r="I845" s="13"/>
      <c r="J845" s="15"/>
      <c r="K845" s="15"/>
      <c r="L845" s="28"/>
      <c r="Q845" s="13"/>
      <c r="R845" s="15"/>
      <c r="S845" s="15"/>
      <c r="T845" s="28"/>
      <c r="Y845" s="13"/>
      <c r="Z845" s="15"/>
      <c r="AA845" s="15"/>
      <c r="AB845" s="28"/>
      <c r="AG845" s="13"/>
      <c r="AH845" s="15"/>
      <c r="AI845" s="15"/>
      <c r="AJ845" s="28"/>
      <c r="AK845" s="13"/>
      <c r="AL845" s="15"/>
      <c r="AM845" s="15"/>
      <c r="AN845" s="28"/>
      <c r="AO845" s="13"/>
      <c r="AP845" s="15"/>
      <c r="AQ845" s="15"/>
      <c r="AR845" s="28"/>
      <c r="AS845" s="15"/>
      <c r="AT845" s="15"/>
      <c r="AU845" s="15"/>
      <c r="AV845" s="15"/>
      <c r="AW845" s="13"/>
      <c r="AX845" s="15"/>
      <c r="AY845" s="15"/>
      <c r="AZ845" s="28"/>
      <c r="BA845" s="15"/>
      <c r="BB845" s="15"/>
      <c r="BC845" s="15"/>
      <c r="BD845" s="15"/>
      <c r="BE845" s="14"/>
      <c r="BF845" s="41">
        <f>B841*$F$13</f>
        <v>0</v>
      </c>
      <c r="BG845" s="34">
        <f t="shared" si="2235"/>
        <v>0</v>
      </c>
      <c r="BH845" s="35">
        <f t="shared" si="2232"/>
        <v>0</v>
      </c>
    </row>
    <row r="846" ht="15.75" customHeight="1" hidden="1" spans="1:60" x14ac:dyDescent="0.25">
      <c r="A846" s="29">
        <v>112</v>
      </c>
      <c r="B846" s="14"/>
      <c r="D846" s="14" t="s">
        <v>52</v>
      </c>
      <c r="E846" s="2" t="s">
        <v>39</v>
      </c>
      <c r="F846" s="41">
        <v>350</v>
      </c>
      <c r="G846" s="28"/>
      <c r="I846" s="13"/>
      <c r="J846" s="15"/>
      <c r="K846" s="15"/>
      <c r="L846" s="28"/>
      <c r="Q846" s="13"/>
      <c r="R846" s="15"/>
      <c r="S846" s="15"/>
      <c r="T846" s="28"/>
      <c r="Y846" s="13"/>
      <c r="Z846" s="15"/>
      <c r="AA846" s="34">
        <f>$F$14</f>
        <v>350</v>
      </c>
      <c r="AB846" s="35">
        <v>350</v>
      </c>
      <c r="AG846" s="13"/>
      <c r="AH846" s="15"/>
      <c r="AI846" s="15"/>
      <c r="AJ846" s="28"/>
      <c r="AK846" s="13"/>
      <c r="AL846" s="15"/>
      <c r="AM846" s="15"/>
      <c r="AN846" s="28"/>
      <c r="AO846" s="13"/>
      <c r="AP846" s="15"/>
      <c r="AQ846" s="15"/>
      <c r="AR846" s="28"/>
      <c r="AS846" s="15"/>
      <c r="AT846" s="15"/>
      <c r="AU846" s="15"/>
      <c r="AV846" s="15"/>
      <c r="AW846" s="13"/>
      <c r="AX846" s="15"/>
      <c r="AY846" s="15"/>
      <c r="AZ846" s="28"/>
      <c r="BA846" s="15"/>
      <c r="BB846" s="15"/>
      <c r="BC846" s="15"/>
      <c r="BD846" s="15"/>
      <c r="BE846" s="14"/>
      <c r="BF846" s="41">
        <f>$F$14</f>
        <v>350</v>
      </c>
      <c r="BG846" s="34">
        <f t="shared" si="2235"/>
        <v>350</v>
      </c>
      <c r="BH846" s="35">
        <f t="shared" si="2232"/>
        <v>0</v>
      </c>
    </row>
    <row r="847" ht="15.75" customHeight="1" hidden="1" spans="1:62" x14ac:dyDescent="0.25">
      <c r="A847" s="50">
        <v>112</v>
      </c>
      <c r="B847" s="21"/>
      <c r="C847" s="22" t="s">
        <v>53</v>
      </c>
      <c r="D847" s="21"/>
      <c r="E847" s="22"/>
      <c r="F847" s="20"/>
      <c r="G847" s="23"/>
      <c r="H847" s="51">
        <f>SUM(H840:H846)</f>
        <v>59.48</v>
      </c>
      <c r="I847" s="52"/>
      <c r="J847" s="53"/>
      <c r="K847" s="51">
        <f t="shared" ref="K847:L847" si="2236">SUM(K840:K846)</f>
        <v>0</v>
      </c>
      <c r="L847" s="68">
        <f t="shared" si="2236"/>
        <v>0</v>
      </c>
      <c r="M847" s="53"/>
      <c r="N847" s="53"/>
      <c r="O847" s="51">
        <f t="shared" ref="O847:P847" si="2237">SUM(O841:O846)</f>
        <v>0</v>
      </c>
      <c r="P847" s="51">
        <f t="shared" si="2237"/>
        <v>0</v>
      </c>
      <c r="Q847" s="52"/>
      <c r="R847" s="53"/>
      <c r="S847" s="51">
        <f t="shared" ref="S847:T847" si="2238">SUM(S841:S846)</f>
        <v>0</v>
      </c>
      <c r="T847" s="68">
        <f t="shared" si="2238"/>
        <v>0</v>
      </c>
      <c r="U847" s="53"/>
      <c r="V847" s="53"/>
      <c r="W847" s="51">
        <f t="shared" ref="W847:X847" si="2239">SUM(W841:W846)</f>
        <v>12.45</v>
      </c>
      <c r="X847" s="51">
        <f t="shared" si="2239"/>
        <v>0</v>
      </c>
      <c r="Y847" s="52"/>
      <c r="Z847" s="53"/>
      <c r="AA847" s="51">
        <f t="shared" ref="AA847:AB847" si="2240">SUM(AA841:AA846)</f>
        <v>350</v>
      </c>
      <c r="AB847" s="68">
        <f t="shared" si="2240"/>
        <v>350</v>
      </c>
      <c r="AC847" s="53"/>
      <c r="AD847" s="53"/>
      <c r="AE847" s="51">
        <f t="shared" ref="AE847:AF847" si="2241">SUM(AE841:AE846)</f>
        <v>5309.8472</v>
      </c>
      <c r="AF847" s="51">
        <f t="shared" si="2241"/>
        <v>5250.62</v>
      </c>
      <c r="AG847" s="52"/>
      <c r="AH847" s="53"/>
      <c r="AI847" s="51">
        <f t="shared" ref="AI847:AJ847" si="2242">SUM(AI841:AI846)</f>
        <v>2.49</v>
      </c>
      <c r="AJ847" s="68">
        <f t="shared" si="2242"/>
        <v>131.15</v>
      </c>
      <c r="AK847" s="52"/>
      <c r="AL847" s="53"/>
      <c r="AM847" s="51">
        <f t="shared" ref="AM847:AN847" si="2243">SUM(AM841:AM846)</f>
        <v>9.96</v>
      </c>
      <c r="AN847" s="68">
        <f t="shared" si="2243"/>
        <v>0</v>
      </c>
      <c r="AO847" s="52"/>
      <c r="AP847" s="53"/>
      <c r="AQ847" s="51">
        <f t="shared" ref="AQ847:AR847" si="2244">SUM(AQ841:AQ846)</f>
        <v>7.47</v>
      </c>
      <c r="AR847" s="68">
        <f t="shared" si="2244"/>
        <v>0</v>
      </c>
      <c r="AS847" s="53"/>
      <c r="AT847" s="53"/>
      <c r="AU847" s="51">
        <f t="shared" ref="AU847:AV847" si="2245">SUM(AU841:AU846)</f>
        <v>2.49</v>
      </c>
      <c r="AV847" s="51">
        <f t="shared" si="2245"/>
        <v>0</v>
      </c>
      <c r="AW847" s="52"/>
      <c r="AX847" s="53"/>
      <c r="AY847" s="51">
        <f t="shared" ref="AY847:AZ847" si="2246">SUM(AY841:AY846)</f>
        <v>0</v>
      </c>
      <c r="AZ847" s="68">
        <f t="shared" si="2246"/>
        <v>0</v>
      </c>
      <c r="BA847" s="53"/>
      <c r="BB847" s="53"/>
      <c r="BC847" s="51">
        <f t="shared" ref="BC847:BD847" si="2247">SUM(BC841:BC846)</f>
        <v>0</v>
      </c>
      <c r="BD847" s="51">
        <f t="shared" si="2247"/>
        <v>0</v>
      </c>
      <c r="BE847" s="69"/>
      <c r="BF847" s="70">
        <f t="shared" ref="BF847:BH847" si="2248">SUM(BF840:BF846)</f>
        <v>5694.7072</v>
      </c>
      <c r="BG847" s="71">
        <f t="shared" si="2248"/>
        <v>5731.77</v>
      </c>
      <c r="BH847" s="72">
        <f t="shared" si="2248"/>
        <v>22.4172</v>
      </c>
      <c r="BI847" s="34">
        <f>H847+BF847-BG847</f>
        <v>22.4172</v>
      </c>
      <c r="BJ847" s="34">
        <f>BH847-BI847</f>
        <v>0</v>
      </c>
    </row>
    <row r="848" ht="15.75" customHeight="1" hidden="1" spans="1:60" x14ac:dyDescent="0.25">
      <c r="A848" s="29">
        <v>113</v>
      </c>
      <c r="B848" s="14"/>
      <c r="D848" s="14" t="s">
        <v>42</v>
      </c>
      <c r="F848" s="13"/>
      <c r="G848" s="28"/>
      <c r="I848" s="13"/>
      <c r="J848" s="15"/>
      <c r="K848" s="15"/>
      <c r="L848" s="28"/>
      <c r="Q848" s="13"/>
      <c r="R848" s="15"/>
      <c r="S848" s="15"/>
      <c r="T848" s="28"/>
      <c r="Y848" s="13"/>
      <c r="Z848" s="15"/>
      <c r="AA848" s="15"/>
      <c r="AB848" s="28"/>
      <c r="AG848" s="13"/>
      <c r="AH848" s="15"/>
      <c r="AI848" s="15"/>
      <c r="AJ848" s="28"/>
      <c r="AK848" s="13"/>
      <c r="AL848" s="15"/>
      <c r="AM848" s="15"/>
      <c r="AN848" s="28"/>
      <c r="AO848" s="13"/>
      <c r="AP848" s="15"/>
      <c r="AQ848" s="15"/>
      <c r="AR848" s="28"/>
      <c r="AW848" s="13"/>
      <c r="AX848" s="15"/>
      <c r="AY848" s="15"/>
      <c r="AZ848" s="28"/>
      <c r="BE848" s="14"/>
      <c r="BF848" s="13"/>
      <c r="BG848" s="15"/>
      <c r="BH848" s="28"/>
    </row>
    <row r="849" ht="15.75" customHeight="1" hidden="1" spans="1:60" x14ac:dyDescent="0.25">
      <c r="A849" s="2">
        <v>113</v>
      </c>
      <c r="B849" s="14">
        <v>4.98</v>
      </c>
      <c r="C849" s="2" t="s">
        <v>348</v>
      </c>
      <c r="D849" s="14" t="s">
        <v>44</v>
      </c>
      <c r="E849" s="2" t="s">
        <v>45</v>
      </c>
      <c r="F849" s="13">
        <v>2.49</v>
      </c>
      <c r="G849" s="28"/>
      <c r="H849" s="74"/>
      <c r="I849" s="13"/>
      <c r="J849" s="15"/>
      <c r="K849" s="15"/>
      <c r="L849" s="28"/>
      <c r="Q849" s="13"/>
      <c r="R849" s="15"/>
      <c r="S849" s="15"/>
      <c r="T849" s="28"/>
      <c r="Y849" s="13"/>
      <c r="Z849" s="15">
        <f>Y849-U849</f>
        <v>0</v>
      </c>
      <c r="AA849" s="34">
        <f>Z849*$F$8</f>
        <v>0</v>
      </c>
      <c r="AB849" s="28"/>
      <c r="AC849" s="15"/>
      <c r="AD849" s="15">
        <f t="shared" ref="AD849:AD850" si="2249">AC849-Y849</f>
        <v>0</v>
      </c>
      <c r="AE849" s="34">
        <f>AD849*$F$8</f>
        <v>0</v>
      </c>
      <c r="AG849" s="13"/>
      <c r="AH849" s="15">
        <f t="shared" ref="AH849:AH850" si="2250">AG849-AC849</f>
        <v>0</v>
      </c>
      <c r="AI849" s="34">
        <f>AH849*$F$8</f>
        <v>0</v>
      </c>
      <c r="AJ849" s="28"/>
      <c r="AK849" s="13"/>
      <c r="AL849" s="15">
        <f t="shared" ref="AL849:AL850" si="2251">AK849-AG849</f>
        <v>0</v>
      </c>
      <c r="AM849" s="34">
        <f>AL849*$F$8</f>
        <v>0</v>
      </c>
      <c r="AN849" s="28"/>
      <c r="AO849" s="13"/>
      <c r="AP849" s="15"/>
      <c r="AQ849" s="34">
        <f>AP849*$F$8</f>
        <v>0</v>
      </c>
      <c r="AR849" s="28"/>
      <c r="AS849" s="15"/>
      <c r="AT849" s="15"/>
      <c r="AU849" s="34">
        <f>AT849*$F$8</f>
        <v>0</v>
      </c>
      <c r="AV849" s="15"/>
      <c r="AW849" s="13"/>
      <c r="AX849" s="15"/>
      <c r="AY849" s="34">
        <f>AX849*$F$8</f>
        <v>0</v>
      </c>
      <c r="AZ849" s="28"/>
      <c r="BA849" s="15"/>
      <c r="BB849" s="15"/>
      <c r="BC849" s="34">
        <f>BB849*$F$8</f>
        <v>0</v>
      </c>
      <c r="BD849" s="15"/>
      <c r="BE849" s="40">
        <f t="shared" ref="BE849:BG849" si="2252">J849+N849+R849+V849+Z849+AD849+AH849+AL849+AP849+AT849+AX849+BB849</f>
        <v>0</v>
      </c>
      <c r="BF849" s="41">
        <f t="shared" si="2252"/>
        <v>0</v>
      </c>
      <c r="BG849" s="34">
        <f t="shared" si="2252"/>
        <v>0</v>
      </c>
      <c r="BH849" s="35">
        <f t="shared" ref="BH849:BH854" si="2253">H849+BF849-BG849</f>
        <v>0</v>
      </c>
    </row>
    <row r="850" ht="15.75" customHeight="1" hidden="1" spans="1:60" x14ac:dyDescent="0.25">
      <c r="A850" s="29">
        <v>113</v>
      </c>
      <c r="B850" s="14"/>
      <c r="C850" s="2" t="s">
        <v>98</v>
      </c>
      <c r="D850" s="14" t="s">
        <v>47</v>
      </c>
      <c r="E850" s="2" t="s">
        <v>48</v>
      </c>
      <c r="F850" s="13">
        <v>17.16</v>
      </c>
      <c r="G850" s="28"/>
      <c r="H850" s="15"/>
      <c r="I850" s="13"/>
      <c r="J850" s="15"/>
      <c r="K850" s="15"/>
      <c r="L850" s="28"/>
      <c r="Q850" s="13"/>
      <c r="R850" s="15"/>
      <c r="S850" s="15"/>
      <c r="T850" s="28"/>
      <c r="Y850" s="13"/>
      <c r="Z850" s="15"/>
      <c r="AA850" s="15"/>
      <c r="AB850" s="28"/>
      <c r="AC850" s="15"/>
      <c r="AD850" s="15">
        <f t="shared" si="2249"/>
        <v>0</v>
      </c>
      <c r="AE850" s="34">
        <f>AD850*$F$10</f>
        <v>0</v>
      </c>
      <c r="AG850" s="13"/>
      <c r="AH850" s="15">
        <f t="shared" si="2250"/>
        <v>0</v>
      </c>
      <c r="AI850" s="45">
        <f>AH850*$G$10</f>
        <v>0</v>
      </c>
      <c r="AJ850" s="28"/>
      <c r="AK850" s="13"/>
      <c r="AL850" s="15">
        <f t="shared" si="2251"/>
        <v>0</v>
      </c>
      <c r="AM850" s="45">
        <f>AL850*$G$10</f>
        <v>0</v>
      </c>
      <c r="AN850" s="28"/>
      <c r="AO850" s="13"/>
      <c r="AP850" s="15"/>
      <c r="AQ850" s="45">
        <f>AP850*$G$10</f>
        <v>0</v>
      </c>
      <c r="AR850" s="28"/>
      <c r="AS850" s="15"/>
      <c r="AT850" s="15"/>
      <c r="AU850" s="15"/>
      <c r="AV850" s="15"/>
      <c r="AW850" s="13"/>
      <c r="AX850" s="15"/>
      <c r="AY850" s="15"/>
      <c r="AZ850" s="28"/>
      <c r="BA850" s="15"/>
      <c r="BB850" s="15"/>
      <c r="BC850" s="15"/>
      <c r="BD850" s="15"/>
      <c r="BE850" s="40">
        <f t="shared" ref="BE850:BG850" si="2254">J850+N850+R850+V850+Z850+AD850+AH850+AL850+AP850+AT850+AX850+BB850</f>
        <v>0</v>
      </c>
      <c r="BF850" s="41">
        <f t="shared" si="2254"/>
        <v>0</v>
      </c>
      <c r="BG850" s="34">
        <f t="shared" si="2254"/>
        <v>0</v>
      </c>
      <c r="BH850" s="35">
        <f t="shared" si="2253"/>
        <v>0</v>
      </c>
    </row>
    <row r="851" ht="15.75" customHeight="1" hidden="1" spans="1:60" x14ac:dyDescent="0.25">
      <c r="A851" s="29">
        <v>113</v>
      </c>
      <c r="B851" s="14"/>
      <c r="C851" s="2" t="s">
        <v>55</v>
      </c>
      <c r="D851" s="14" t="s">
        <v>47</v>
      </c>
      <c r="E851" s="2" t="s">
        <v>49</v>
      </c>
      <c r="F851" s="41">
        <v>300</v>
      </c>
      <c r="G851" s="28"/>
      <c r="H851" s="83"/>
      <c r="I851" s="13"/>
      <c r="J851" s="15"/>
      <c r="K851" s="15"/>
      <c r="L851" s="28"/>
      <c r="Q851" s="13"/>
      <c r="R851" s="15"/>
      <c r="S851" s="15"/>
      <c r="T851" s="28"/>
      <c r="Y851" s="13"/>
      <c r="Z851" s="15"/>
      <c r="AA851" s="34"/>
      <c r="AB851" s="28"/>
      <c r="AC851" s="15"/>
      <c r="AG851" s="13"/>
      <c r="AH851" s="15"/>
      <c r="AI851" s="15"/>
      <c r="AJ851" s="28"/>
      <c r="AK851" s="13"/>
      <c r="AL851" s="15"/>
      <c r="AM851" s="34"/>
      <c r="AN851" s="28"/>
      <c r="AO851" s="13"/>
      <c r="AP851" s="15"/>
      <c r="AQ851" s="34"/>
      <c r="AR851" s="28"/>
      <c r="AS851" s="15"/>
      <c r="AT851" s="15"/>
      <c r="AU851" s="15"/>
      <c r="AV851" s="15"/>
      <c r="AW851" s="13"/>
      <c r="AX851" s="15"/>
      <c r="AY851" s="15"/>
      <c r="AZ851" s="28"/>
      <c r="BA851" s="15"/>
      <c r="BB851" s="15"/>
      <c r="BC851" s="15"/>
      <c r="BD851" s="15"/>
      <c r="BE851" s="14"/>
      <c r="BF851" s="41">
        <f t="shared" ref="BF851:BG851" si="2255">K851+O851+S851+W851+AA851+AE851+AI851+AM851+AQ851+AU851+AY851+BC851</f>
        <v>0</v>
      </c>
      <c r="BG851" s="34">
        <f t="shared" si="2255"/>
        <v>0</v>
      </c>
      <c r="BH851" s="35">
        <f t="shared" si="2253"/>
        <v>0</v>
      </c>
    </row>
    <row r="852" ht="15.75" customHeight="1" hidden="1" spans="1:60" x14ac:dyDescent="0.25">
      <c r="A852" s="29">
        <v>113</v>
      </c>
      <c r="B852" s="14"/>
      <c r="D852" s="14" t="s">
        <v>50</v>
      </c>
      <c r="E852" s="2" t="s">
        <v>49</v>
      </c>
      <c r="F852" s="41">
        <v>1062.88</v>
      </c>
      <c r="G852" s="28"/>
      <c r="H852" s="34"/>
      <c r="I852" s="13"/>
      <c r="J852" s="15"/>
      <c r="K852" s="15"/>
      <c r="L852" s="28"/>
      <c r="Q852" s="13"/>
      <c r="R852" s="15"/>
      <c r="S852" s="15"/>
      <c r="T852" s="28"/>
      <c r="Y852" s="13"/>
      <c r="Z852" s="15"/>
      <c r="AA852" s="15"/>
      <c r="AB852" s="28"/>
      <c r="AE852" s="34">
        <f>B849*$F$12</f>
        <v>5293.1424</v>
      </c>
      <c r="AG852" s="13"/>
      <c r="AH852" s="15"/>
      <c r="AI852" s="15"/>
      <c r="AJ852" s="28"/>
      <c r="AK852" s="13"/>
      <c r="AL852" s="15"/>
      <c r="AM852" s="15"/>
      <c r="AN852" s="28"/>
      <c r="AO852" s="13"/>
      <c r="AP852" s="15"/>
      <c r="AQ852" s="15"/>
      <c r="AR852" s="28"/>
      <c r="AS852" s="15"/>
      <c r="AT852" s="15"/>
      <c r="AU852" s="15"/>
      <c r="AV852" s="15"/>
      <c r="AW852" s="13"/>
      <c r="AX852" s="15"/>
      <c r="AY852" s="15"/>
      <c r="AZ852" s="28"/>
      <c r="BA852" s="15"/>
      <c r="BB852" s="15"/>
      <c r="BC852" s="15"/>
      <c r="BD852" s="15"/>
      <c r="BE852" s="14"/>
      <c r="BF852" s="41">
        <f>B849*$F$12</f>
        <v>5293.1424</v>
      </c>
      <c r="BG852" s="34">
        <f t="shared" ref="BG852:BG854" si="2256">L852+P852+T852+X852+AB852+AF852+AJ852+AN852+AR852+AV852+AZ852+BD852</f>
        <v>0</v>
      </c>
      <c r="BH852" s="35">
        <f t="shared" si="2253"/>
        <v>5293.1424</v>
      </c>
    </row>
    <row r="853" ht="15.75" customHeight="1" hidden="1" spans="1:60" x14ac:dyDescent="0.25">
      <c r="A853" s="29">
        <v>113</v>
      </c>
      <c r="B853" s="14"/>
      <c r="D853" s="14" t="s">
        <v>51</v>
      </c>
      <c r="E853" s="2" t="s">
        <v>49</v>
      </c>
      <c r="F853" s="41">
        <v>0</v>
      </c>
      <c r="G853" s="28"/>
      <c r="H853" s="34"/>
      <c r="I853" s="13"/>
      <c r="J853" s="15"/>
      <c r="K853" s="15"/>
      <c r="L853" s="28"/>
      <c r="Q853" s="13"/>
      <c r="R853" s="15"/>
      <c r="S853" s="15"/>
      <c r="T853" s="28"/>
      <c r="Y853" s="13"/>
      <c r="Z853" s="15"/>
      <c r="AA853" s="15"/>
      <c r="AB853" s="28"/>
      <c r="AG853" s="13"/>
      <c r="AH853" s="15"/>
      <c r="AI853" s="15"/>
      <c r="AJ853" s="28"/>
      <c r="AK853" s="13"/>
      <c r="AL853" s="15"/>
      <c r="AM853" s="15"/>
      <c r="AN853" s="28"/>
      <c r="AO853" s="13"/>
      <c r="AP853" s="15"/>
      <c r="AQ853" s="15"/>
      <c r="AR853" s="28"/>
      <c r="AS853" s="15"/>
      <c r="AT853" s="15"/>
      <c r="AU853" s="15"/>
      <c r="AV853" s="15"/>
      <c r="AW853" s="13"/>
      <c r="AX853" s="15"/>
      <c r="AY853" s="15"/>
      <c r="AZ853" s="28"/>
      <c r="BA853" s="15"/>
      <c r="BB853" s="15"/>
      <c r="BC853" s="15"/>
      <c r="BD853" s="15"/>
      <c r="BE853" s="14"/>
      <c r="BF853" s="41">
        <f>B849*$F$13</f>
        <v>0</v>
      </c>
      <c r="BG853" s="34">
        <f t="shared" si="2256"/>
        <v>0</v>
      </c>
      <c r="BH853" s="35">
        <f t="shared" si="2253"/>
        <v>0</v>
      </c>
    </row>
    <row r="854" ht="15.75" customHeight="1" hidden="1" spans="1:60" x14ac:dyDescent="0.25">
      <c r="A854" s="29">
        <v>113</v>
      </c>
      <c r="B854" s="14"/>
      <c r="D854" s="14" t="s">
        <v>52</v>
      </c>
      <c r="E854" s="2" t="s">
        <v>39</v>
      </c>
      <c r="F854" s="41">
        <v>350</v>
      </c>
      <c r="G854" s="28"/>
      <c r="I854" s="13"/>
      <c r="J854" s="15"/>
      <c r="K854" s="15"/>
      <c r="L854" s="28"/>
      <c r="Q854" s="13"/>
      <c r="R854" s="15"/>
      <c r="S854" s="15"/>
      <c r="T854" s="28"/>
      <c r="Y854" s="13"/>
      <c r="Z854" s="15"/>
      <c r="AA854" s="34">
        <f>$F$14</f>
        <v>350</v>
      </c>
      <c r="AB854" s="28"/>
      <c r="AG854" s="13"/>
      <c r="AH854" s="15"/>
      <c r="AI854" s="15"/>
      <c r="AJ854" s="28"/>
      <c r="AK854" s="13"/>
      <c r="AL854" s="15"/>
      <c r="AM854" s="15"/>
      <c r="AN854" s="28"/>
      <c r="AO854" s="13"/>
      <c r="AP854" s="15"/>
      <c r="AQ854" s="15"/>
      <c r="AR854" s="28"/>
      <c r="AS854" s="15"/>
      <c r="AT854" s="15"/>
      <c r="AU854" s="15"/>
      <c r="AV854" s="15"/>
      <c r="AW854" s="13"/>
      <c r="AX854" s="15"/>
      <c r="AY854" s="15"/>
      <c r="AZ854" s="28"/>
      <c r="BA854" s="15"/>
      <c r="BB854" s="15"/>
      <c r="BC854" s="15"/>
      <c r="BD854" s="15"/>
      <c r="BE854" s="14"/>
      <c r="BF854" s="41">
        <f>$F$14</f>
        <v>350</v>
      </c>
      <c r="BG854" s="34">
        <f t="shared" si="2256"/>
        <v>0</v>
      </c>
      <c r="BH854" s="35">
        <f t="shared" si="2253"/>
        <v>350</v>
      </c>
    </row>
    <row r="855" ht="15.75" customHeight="1" hidden="1" spans="1:62" x14ac:dyDescent="0.25">
      <c r="A855" s="50">
        <v>113</v>
      </c>
      <c r="B855" s="21"/>
      <c r="C855" s="22" t="s">
        <v>53</v>
      </c>
      <c r="D855" s="21"/>
      <c r="E855" s="22"/>
      <c r="F855" s="20"/>
      <c r="G855" s="23"/>
      <c r="H855" s="51">
        <f>SUM(H848:H854)</f>
        <v>0</v>
      </c>
      <c r="I855" s="52"/>
      <c r="J855" s="53"/>
      <c r="K855" s="51">
        <f t="shared" ref="K855:L855" si="2257">SUM(K848:K854)</f>
        <v>0</v>
      </c>
      <c r="L855" s="68">
        <f t="shared" si="2257"/>
        <v>0</v>
      </c>
      <c r="M855" s="53"/>
      <c r="N855" s="53"/>
      <c r="O855" s="51">
        <f t="shared" ref="O855:P855" si="2258">SUM(O849:O854)</f>
        <v>0</v>
      </c>
      <c r="P855" s="51">
        <f t="shared" si="2258"/>
        <v>0</v>
      </c>
      <c r="Q855" s="52"/>
      <c r="R855" s="53"/>
      <c r="S855" s="51">
        <f t="shared" ref="S855:T855" si="2259">SUM(S849:S854)</f>
        <v>0</v>
      </c>
      <c r="T855" s="68">
        <f t="shared" si="2259"/>
        <v>0</v>
      </c>
      <c r="U855" s="53"/>
      <c r="V855" s="53"/>
      <c r="W855" s="51">
        <f t="shared" ref="W855:X855" si="2260">SUM(W849:W854)</f>
        <v>0</v>
      </c>
      <c r="X855" s="51">
        <f t="shared" si="2260"/>
        <v>0</v>
      </c>
      <c r="Y855" s="52"/>
      <c r="Z855" s="53"/>
      <c r="AA855" s="51">
        <f t="shared" ref="AA855:AB855" si="2261">SUM(AA849:AA854)</f>
        <v>350</v>
      </c>
      <c r="AB855" s="68">
        <f t="shared" si="2261"/>
        <v>0</v>
      </c>
      <c r="AC855" s="53"/>
      <c r="AD855" s="53"/>
      <c r="AE855" s="51">
        <f t="shared" ref="AE855:AF855" si="2262">SUM(AE849:AE854)</f>
        <v>5293.1424</v>
      </c>
      <c r="AF855" s="51">
        <f t="shared" si="2262"/>
        <v>0</v>
      </c>
      <c r="AG855" s="52"/>
      <c r="AH855" s="53"/>
      <c r="AI855" s="51">
        <f t="shared" ref="AI855:AJ855" si="2263">SUM(AI849:AI854)</f>
        <v>0</v>
      </c>
      <c r="AJ855" s="68">
        <f t="shared" si="2263"/>
        <v>0</v>
      </c>
      <c r="AK855" s="52"/>
      <c r="AL855" s="53"/>
      <c r="AM855" s="51">
        <f t="shared" ref="AM855:AN855" si="2264">SUM(AM849:AM854)</f>
        <v>0</v>
      </c>
      <c r="AN855" s="68">
        <f t="shared" si="2264"/>
        <v>0</v>
      </c>
      <c r="AO855" s="52"/>
      <c r="AP855" s="53"/>
      <c r="AQ855" s="51">
        <f t="shared" ref="AQ855:AR855" si="2265">SUM(AQ849:AQ854)</f>
        <v>0</v>
      </c>
      <c r="AR855" s="68">
        <f t="shared" si="2265"/>
        <v>0</v>
      </c>
      <c r="AS855" s="53"/>
      <c r="AT855" s="53"/>
      <c r="AU855" s="51">
        <f t="shared" ref="AU855:AV855" si="2266">SUM(AU849:AU854)</f>
        <v>0</v>
      </c>
      <c r="AV855" s="51">
        <f t="shared" si="2266"/>
        <v>0</v>
      </c>
      <c r="AW855" s="52"/>
      <c r="AX855" s="53"/>
      <c r="AY855" s="51">
        <f t="shared" ref="AY855:AZ855" si="2267">SUM(AY849:AY854)</f>
        <v>0</v>
      </c>
      <c r="AZ855" s="68">
        <f t="shared" si="2267"/>
        <v>0</v>
      </c>
      <c r="BA855" s="53"/>
      <c r="BB855" s="53"/>
      <c r="BC855" s="51">
        <f t="shared" ref="BC855:BD855" si="2268">SUM(BC849:BC854)</f>
        <v>0</v>
      </c>
      <c r="BD855" s="51">
        <f t="shared" si="2268"/>
        <v>0</v>
      </c>
      <c r="BE855" s="69"/>
      <c r="BF855" s="70">
        <f t="shared" ref="BF855:BH855" si="2269">SUM(BF848:BF854)</f>
        <v>5643.1424</v>
      </c>
      <c r="BG855" s="71">
        <f t="shared" si="2269"/>
        <v>0</v>
      </c>
      <c r="BH855" s="72">
        <f t="shared" si="2269"/>
        <v>5643.1424</v>
      </c>
      <c r="BI855" s="34">
        <f>H855+BF855-BG855</f>
        <v>5643.1424</v>
      </c>
      <c r="BJ855" s="34">
        <f>BH855-BI855</f>
        <v>0</v>
      </c>
    </row>
    <row r="856" ht="15.75" customHeight="1" hidden="1" spans="1:60" x14ac:dyDescent="0.25">
      <c r="A856" s="29">
        <v>114</v>
      </c>
      <c r="B856" s="14"/>
      <c r="D856" s="14" t="s">
        <v>42</v>
      </c>
      <c r="F856" s="13"/>
      <c r="G856" s="28"/>
      <c r="I856" s="13"/>
      <c r="J856" s="15"/>
      <c r="K856" s="15"/>
      <c r="L856" s="28"/>
      <c r="Q856" s="13"/>
      <c r="R856" s="15"/>
      <c r="S856" s="15"/>
      <c r="T856" s="28"/>
      <c r="Y856" s="13"/>
      <c r="Z856" s="15"/>
      <c r="AA856" s="15"/>
      <c r="AB856" s="28"/>
      <c r="AG856" s="13"/>
      <c r="AH856" s="15"/>
      <c r="AI856" s="15"/>
      <c r="AJ856" s="28"/>
      <c r="AK856" s="13"/>
      <c r="AL856" s="15"/>
      <c r="AM856" s="15"/>
      <c r="AN856" s="28"/>
      <c r="AO856" s="13"/>
      <c r="AP856" s="15"/>
      <c r="AQ856" s="15"/>
      <c r="AR856" s="28"/>
      <c r="AW856" s="13"/>
      <c r="AX856" s="15"/>
      <c r="AY856" s="15"/>
      <c r="AZ856" s="28"/>
      <c r="BE856" s="14"/>
      <c r="BF856" s="13"/>
      <c r="BG856" s="15"/>
      <c r="BH856" s="28"/>
    </row>
    <row r="857" ht="15.75" customHeight="1" hidden="1" spans="1:60" x14ac:dyDescent="0.25">
      <c r="A857" s="2">
        <v>114</v>
      </c>
      <c r="B857" s="14">
        <v>4.86</v>
      </c>
      <c r="C857" s="2" t="s">
        <v>245</v>
      </c>
      <c r="D857" s="14" t="s">
        <v>44</v>
      </c>
      <c r="E857" s="2" t="s">
        <v>45</v>
      </c>
      <c r="F857" s="13">
        <v>2.49</v>
      </c>
      <c r="G857" s="28"/>
      <c r="H857" s="15">
        <v>22.41</v>
      </c>
      <c r="I857" s="13">
        <v>18</v>
      </c>
      <c r="J857" s="15"/>
      <c r="K857" s="15"/>
      <c r="L857" s="28"/>
      <c r="M857" s="2">
        <v>18</v>
      </c>
      <c r="Q857" s="13">
        <v>18</v>
      </c>
      <c r="R857" s="15"/>
      <c r="S857" s="15"/>
      <c r="T857" s="28"/>
      <c r="U857" s="2">
        <v>18</v>
      </c>
      <c r="Y857" s="13">
        <v>18</v>
      </c>
      <c r="Z857" s="15"/>
      <c r="AA857" s="15"/>
      <c r="AB857" s="28"/>
      <c r="AC857" s="2">
        <v>18</v>
      </c>
      <c r="AD857" s="15">
        <f t="shared" ref="AD857:AD858" si="2270">AC857-Y857</f>
        <v>0</v>
      </c>
      <c r="AE857" s="34">
        <f>AD857*$F$8</f>
        <v>0</v>
      </c>
      <c r="AG857" s="13">
        <v>28</v>
      </c>
      <c r="AH857" s="15">
        <f t="shared" ref="AH857:AH858" si="2271">AG857-AC857</f>
        <v>10</v>
      </c>
      <c r="AI857" s="34">
        <f>AH857*$F$8</f>
        <v>24.9</v>
      </c>
      <c r="AJ857" s="28"/>
      <c r="AK857" s="13">
        <v>28</v>
      </c>
      <c r="AL857" s="15">
        <f t="shared" ref="AL857:AL858" si="2272">AK857-AG857</f>
        <v>0</v>
      </c>
      <c r="AM857" s="34">
        <f>AL857*$F$8</f>
        <v>0</v>
      </c>
      <c r="AN857" s="28"/>
      <c r="AO857" s="13">
        <v>28</v>
      </c>
      <c r="AP857" s="15">
        <f t="shared" ref="AP857:AP858" si="2273">AO857-AK857</f>
        <v>0</v>
      </c>
      <c r="AQ857" s="34">
        <f>AP857*$F$8</f>
        <v>0</v>
      </c>
      <c r="AR857" s="32">
        <v>47.31</v>
      </c>
      <c r="AS857" s="15">
        <v>28</v>
      </c>
      <c r="AT857" s="15">
        <f>AS857-AO857</f>
        <v>0</v>
      </c>
      <c r="AU857" s="34">
        <f>AT857*$F$8</f>
        <v>0</v>
      </c>
      <c r="AV857" s="15"/>
      <c r="AW857" s="13">
        <v>28</v>
      </c>
      <c r="AX857" s="15">
        <f>AW857-AS857</f>
        <v>0</v>
      </c>
      <c r="AY857" s="34">
        <f>AX857*$F$8</f>
        <v>0</v>
      </c>
      <c r="AZ857" s="28"/>
      <c r="BA857" s="13">
        <v>28</v>
      </c>
      <c r="BB857" s="15">
        <f>BA857-AW857</f>
        <v>0</v>
      </c>
      <c r="BC857" s="34">
        <f>BB857*$F$8</f>
        <v>0</v>
      </c>
      <c r="BD857" s="15"/>
      <c r="BE857" s="40">
        <f t="shared" ref="BE857:BG857" si="2274">J857+N857+R857+V857+Z857+AD857+AH857+AL857+AP857+AT857+AX857+BB857</f>
        <v>10</v>
      </c>
      <c r="BF857" s="41">
        <f t="shared" si="2274"/>
        <v>24.9</v>
      </c>
      <c r="BG857" s="34">
        <f t="shared" si="2274"/>
        <v>47.31</v>
      </c>
      <c r="BH857" s="35">
        <f t="shared" ref="BH857:BH862" si="2275">H857+BF857-BG857</f>
        <v>0</v>
      </c>
    </row>
    <row r="858" ht="15.75" customHeight="1" hidden="1" spans="1:60" x14ac:dyDescent="0.25">
      <c r="A858" s="29">
        <v>114</v>
      </c>
      <c r="B858" s="14"/>
      <c r="C858" s="2" t="s">
        <v>98</v>
      </c>
      <c r="D858" s="14" t="s">
        <v>47</v>
      </c>
      <c r="E858" s="2" t="s">
        <v>48</v>
      </c>
      <c r="F858" s="13">
        <v>17.16</v>
      </c>
      <c r="G858" s="28"/>
      <c r="H858" s="81"/>
      <c r="I858" s="13"/>
      <c r="J858" s="15"/>
      <c r="K858" s="15"/>
      <c r="L858" s="28"/>
      <c r="Q858" s="13"/>
      <c r="R858" s="15"/>
      <c r="S858" s="15"/>
      <c r="T858" s="28"/>
      <c r="Y858" s="94">
        <v>7</v>
      </c>
      <c r="Z858" s="15"/>
      <c r="AA858" s="15"/>
      <c r="AB858" s="28"/>
      <c r="AC858" s="94">
        <v>7</v>
      </c>
      <c r="AD858" s="15">
        <f t="shared" si="2270"/>
        <v>0</v>
      </c>
      <c r="AE858" s="34">
        <f>AD858*$F$10</f>
        <v>0</v>
      </c>
      <c r="AG858" s="94">
        <v>7</v>
      </c>
      <c r="AH858" s="15">
        <f t="shared" si="2271"/>
        <v>0</v>
      </c>
      <c r="AI858" s="45">
        <f>AH858*$G$10</f>
        <v>0</v>
      </c>
      <c r="AJ858" s="28"/>
      <c r="AK858" s="95">
        <v>7</v>
      </c>
      <c r="AL858" s="15">
        <f t="shared" si="2272"/>
        <v>0</v>
      </c>
      <c r="AM858" s="45">
        <f>AL858*$G$10</f>
        <v>0</v>
      </c>
      <c r="AN858" s="28"/>
      <c r="AO858" s="13">
        <v>13</v>
      </c>
      <c r="AP858" s="15">
        <f t="shared" si="2273"/>
        <v>6</v>
      </c>
      <c r="AQ858" s="45">
        <f>AP858*$G$10</f>
        <v>106.08</v>
      </c>
      <c r="AR858" s="32">
        <v>106.08</v>
      </c>
      <c r="AS858" s="15"/>
      <c r="AT858" s="15"/>
      <c r="AU858" s="15"/>
      <c r="AV858" s="15"/>
      <c r="AW858" s="13"/>
      <c r="AX858" s="15"/>
      <c r="AY858" s="15"/>
      <c r="AZ858" s="28"/>
      <c r="BA858" s="15"/>
      <c r="BB858" s="15"/>
      <c r="BC858" s="15"/>
      <c r="BD858" s="15"/>
      <c r="BE858" s="40">
        <f t="shared" ref="BE858:BG858" si="2276">J858+N858+R858+V858+Z858+AD858+AH858+AL858+AP858+AT858+AX858+BB858</f>
        <v>6</v>
      </c>
      <c r="BF858" s="41">
        <f t="shared" si="2276"/>
        <v>106.08</v>
      </c>
      <c r="BG858" s="34">
        <f t="shared" si="2276"/>
        <v>106.08</v>
      </c>
      <c r="BH858" s="35">
        <f t="shared" si="2275"/>
        <v>0</v>
      </c>
    </row>
    <row r="859" ht="15.75" customHeight="1" hidden="1" spans="1:60" x14ac:dyDescent="0.25">
      <c r="A859" s="29">
        <v>114</v>
      </c>
      <c r="B859" s="14"/>
      <c r="C859" s="2" t="s">
        <v>299</v>
      </c>
      <c r="D859" s="14" t="s">
        <v>47</v>
      </c>
      <c r="E859" s="2" t="s">
        <v>49</v>
      </c>
      <c r="F859" s="41">
        <v>300</v>
      </c>
      <c r="G859" s="28"/>
      <c r="H859" s="15"/>
      <c r="I859" s="13"/>
      <c r="J859" s="15"/>
      <c r="K859" s="15"/>
      <c r="L859" s="28"/>
      <c r="Q859" s="13"/>
      <c r="R859" s="15"/>
      <c r="S859" s="15"/>
      <c r="T859" s="28"/>
      <c r="Y859" s="13"/>
      <c r="Z859" s="15"/>
      <c r="AA859" s="15"/>
      <c r="AB859" s="28"/>
      <c r="AG859" s="13"/>
      <c r="AH859" s="15"/>
      <c r="AI859" s="15"/>
      <c r="AJ859" s="28"/>
      <c r="AK859" s="13"/>
      <c r="AL859" s="15"/>
      <c r="AM859" s="34"/>
      <c r="AN859" s="28"/>
      <c r="AO859" s="13"/>
      <c r="AP859" s="15"/>
      <c r="AQ859" s="34"/>
      <c r="AR859" s="28"/>
      <c r="AS859" s="15"/>
      <c r="AT859" s="15"/>
      <c r="AU859" s="15"/>
      <c r="AV859" s="15"/>
      <c r="AW859" s="13"/>
      <c r="AX859" s="15"/>
      <c r="AY859" s="15"/>
      <c r="AZ859" s="28"/>
      <c r="BA859" s="15"/>
      <c r="BB859" s="15"/>
      <c r="BC859" s="15"/>
      <c r="BD859" s="15"/>
      <c r="BE859" s="14"/>
      <c r="BF859" s="41">
        <f t="shared" ref="BF859:BG859" si="2277">K859+O859+S859+W859+AA859+AE859+AI859+AM859+AQ859+AU859+AY859+BC859</f>
        <v>0</v>
      </c>
      <c r="BG859" s="34">
        <f t="shared" si="2277"/>
        <v>0</v>
      </c>
      <c r="BH859" s="35">
        <f t="shared" si="2275"/>
        <v>0</v>
      </c>
    </row>
    <row r="860" ht="15.75" customHeight="1" hidden="1" spans="1:60" x14ac:dyDescent="0.25">
      <c r="A860" s="29">
        <v>114</v>
      </c>
      <c r="B860" s="14"/>
      <c r="C860" s="2" t="s">
        <v>349</v>
      </c>
      <c r="D860" s="14" t="s">
        <v>50</v>
      </c>
      <c r="E860" s="2" t="s">
        <v>49</v>
      </c>
      <c r="F860" s="41">
        <v>1062.88</v>
      </c>
      <c r="G860" s="28"/>
      <c r="I860" s="13"/>
      <c r="J860" s="15"/>
      <c r="K860" s="15"/>
      <c r="L860" s="28"/>
      <c r="Q860" s="13"/>
      <c r="R860" s="15"/>
      <c r="S860" s="15"/>
      <c r="T860" s="28"/>
      <c r="Y860" s="13"/>
      <c r="Z860" s="15"/>
      <c r="AA860" s="15"/>
      <c r="AB860" s="28"/>
      <c r="AE860" s="34">
        <f>B857*$F$12</f>
        <v>5165.5968</v>
      </c>
      <c r="AG860" s="13"/>
      <c r="AH860" s="15"/>
      <c r="AI860" s="15"/>
      <c r="AJ860" s="28"/>
      <c r="AK860" s="13"/>
      <c r="AL860" s="15"/>
      <c r="AM860" s="15"/>
      <c r="AN860" s="28"/>
      <c r="AO860" s="13"/>
      <c r="AP860" s="15"/>
      <c r="AQ860" s="15"/>
      <c r="AR860" s="38">
        <v>5165.6</v>
      </c>
      <c r="AS860" s="15"/>
      <c r="AT860" s="15"/>
      <c r="AU860" s="15"/>
      <c r="AV860" s="15"/>
      <c r="AW860" s="13"/>
      <c r="AX860" s="15"/>
      <c r="AY860" s="15"/>
      <c r="AZ860" s="28"/>
      <c r="BA860" s="15"/>
      <c r="BB860" s="15"/>
      <c r="BC860" s="15"/>
      <c r="BD860" s="15"/>
      <c r="BE860" s="14"/>
      <c r="BF860" s="41">
        <f>B857*$F$12</f>
        <v>5165.5968</v>
      </c>
      <c r="BG860" s="34">
        <f t="shared" ref="BG860:BG862" si="2278">L860+P860+T860+X860+AB860+AF860+AJ860+AN860+AR860+AV860+AZ860+BD860</f>
        <v>5165.6</v>
      </c>
      <c r="BH860" s="35">
        <f t="shared" si="2275"/>
        <v>-0.003199999999</v>
      </c>
    </row>
    <row r="861" ht="15.75" customHeight="1" hidden="1" spans="1:60" x14ac:dyDescent="0.25">
      <c r="A861" s="29">
        <v>114</v>
      </c>
      <c r="B861" s="14"/>
      <c r="D861" s="14" t="s">
        <v>51</v>
      </c>
      <c r="E861" s="2" t="s">
        <v>49</v>
      </c>
      <c r="F861" s="41">
        <v>0</v>
      </c>
      <c r="G861" s="28"/>
      <c r="I861" s="13"/>
      <c r="J861" s="15"/>
      <c r="K861" s="15"/>
      <c r="L861" s="28"/>
      <c r="Q861" s="13"/>
      <c r="R861" s="15"/>
      <c r="S861" s="15"/>
      <c r="T861" s="28"/>
      <c r="Y861" s="13"/>
      <c r="Z861" s="15"/>
      <c r="AA861" s="15"/>
      <c r="AB861" s="28"/>
      <c r="AG861" s="13"/>
      <c r="AH861" s="15"/>
      <c r="AI861" s="15"/>
      <c r="AJ861" s="28"/>
      <c r="AK861" s="13"/>
      <c r="AL861" s="15"/>
      <c r="AM861" s="15"/>
      <c r="AN861" s="28"/>
      <c r="AO861" s="13"/>
      <c r="AP861" s="15"/>
      <c r="AQ861" s="15"/>
      <c r="AR861" s="28"/>
      <c r="AS861" s="15"/>
      <c r="AT861" s="15"/>
      <c r="AU861" s="15"/>
      <c r="AV861" s="15"/>
      <c r="AW861" s="13"/>
      <c r="AX861" s="15"/>
      <c r="AY861" s="15"/>
      <c r="AZ861" s="28"/>
      <c r="BA861" s="15"/>
      <c r="BB861" s="15"/>
      <c r="BC861" s="15"/>
      <c r="BD861" s="15"/>
      <c r="BE861" s="14"/>
      <c r="BF861" s="41">
        <f>B857*$F$13</f>
        <v>0</v>
      </c>
      <c r="BG861" s="34">
        <f t="shared" si="2278"/>
        <v>0</v>
      </c>
      <c r="BH861" s="35">
        <f t="shared" si="2275"/>
        <v>0</v>
      </c>
    </row>
    <row r="862" ht="15.75" customHeight="1" hidden="1" spans="1:60" x14ac:dyDescent="0.25">
      <c r="A862" s="29">
        <v>114</v>
      </c>
      <c r="B862" s="14"/>
      <c r="D862" s="14" t="s">
        <v>52</v>
      </c>
      <c r="E862" s="2" t="s">
        <v>39</v>
      </c>
      <c r="F862" s="41">
        <v>350</v>
      </c>
      <c r="G862" s="28"/>
      <c r="I862" s="13"/>
      <c r="J862" s="15"/>
      <c r="K862" s="15"/>
      <c r="L862" s="28"/>
      <c r="Q862" s="13"/>
      <c r="R862" s="15"/>
      <c r="S862" s="15"/>
      <c r="T862" s="28"/>
      <c r="Y862" s="13"/>
      <c r="Z862" s="15"/>
      <c r="AA862" s="34">
        <f>$F$14</f>
        <v>350</v>
      </c>
      <c r="AB862" s="28"/>
      <c r="AG862" s="13"/>
      <c r="AH862" s="15"/>
      <c r="AI862" s="15"/>
      <c r="AJ862" s="28"/>
      <c r="AK862" s="13"/>
      <c r="AL862" s="15"/>
      <c r="AM862" s="15"/>
      <c r="AN862" s="28"/>
      <c r="AO862" s="13"/>
      <c r="AP862" s="15"/>
      <c r="AQ862" s="15"/>
      <c r="AR862" s="38">
        <v>350</v>
      </c>
      <c r="AS862" s="15"/>
      <c r="AT862" s="15"/>
      <c r="AU862" s="15"/>
      <c r="AV862" s="15"/>
      <c r="AW862" s="13"/>
      <c r="AX862" s="15"/>
      <c r="AY862" s="15"/>
      <c r="AZ862" s="28"/>
      <c r="BA862" s="15"/>
      <c r="BB862" s="15"/>
      <c r="BC862" s="15"/>
      <c r="BD862" s="15"/>
      <c r="BE862" s="14"/>
      <c r="BF862" s="41">
        <f>$F$14</f>
        <v>350</v>
      </c>
      <c r="BG862" s="34">
        <f t="shared" si="2278"/>
        <v>350</v>
      </c>
      <c r="BH862" s="35">
        <f t="shared" si="2275"/>
        <v>0</v>
      </c>
    </row>
    <row r="863" ht="15.75" customHeight="1" hidden="1" spans="1:62" x14ac:dyDescent="0.25">
      <c r="A863" s="50">
        <v>114</v>
      </c>
      <c r="B863" s="21"/>
      <c r="C863" s="22" t="s">
        <v>53</v>
      </c>
      <c r="D863" s="21"/>
      <c r="E863" s="22"/>
      <c r="F863" s="20"/>
      <c r="G863" s="23"/>
      <c r="H863" s="51">
        <f>SUM(H856:H862)</f>
        <v>22.41</v>
      </c>
      <c r="I863" s="52"/>
      <c r="J863" s="53"/>
      <c r="K863" s="51">
        <f t="shared" ref="K863:L863" si="2279">SUM(K856:K862)</f>
        <v>0</v>
      </c>
      <c r="L863" s="68">
        <f t="shared" si="2279"/>
        <v>0</v>
      </c>
      <c r="M863" s="53"/>
      <c r="N863" s="53"/>
      <c r="O863" s="51">
        <f t="shared" ref="O863:P863" si="2280">SUM(O857:O862)</f>
        <v>0</v>
      </c>
      <c r="P863" s="51">
        <f t="shared" si="2280"/>
        <v>0</v>
      </c>
      <c r="Q863" s="52"/>
      <c r="R863" s="53"/>
      <c r="S863" s="51">
        <f t="shared" ref="S863:T863" si="2281">SUM(S857:S862)</f>
        <v>0</v>
      </c>
      <c r="T863" s="68">
        <f t="shared" si="2281"/>
        <v>0</v>
      </c>
      <c r="U863" s="53"/>
      <c r="V863" s="53"/>
      <c r="W863" s="51">
        <f t="shared" ref="W863:X863" si="2282">SUM(W857:W862)</f>
        <v>0</v>
      </c>
      <c r="X863" s="51">
        <f t="shared" si="2282"/>
        <v>0</v>
      </c>
      <c r="Y863" s="52"/>
      <c r="Z863" s="53"/>
      <c r="AA863" s="51">
        <f t="shared" ref="AA863:AB863" si="2283">SUM(AA857:AA862)</f>
        <v>350</v>
      </c>
      <c r="AB863" s="68">
        <f t="shared" si="2283"/>
        <v>0</v>
      </c>
      <c r="AC863" s="53"/>
      <c r="AD863" s="53"/>
      <c r="AE863" s="51">
        <f t="shared" ref="AE863:AF863" si="2284">SUM(AE857:AE862)</f>
        <v>5165.5968</v>
      </c>
      <c r="AF863" s="51">
        <f t="shared" si="2284"/>
        <v>0</v>
      </c>
      <c r="AG863" s="52"/>
      <c r="AH863" s="53"/>
      <c r="AI863" s="51">
        <f t="shared" ref="AI863:AJ863" si="2285">SUM(AI857:AI862)</f>
        <v>24.9</v>
      </c>
      <c r="AJ863" s="68">
        <f t="shared" si="2285"/>
        <v>0</v>
      </c>
      <c r="AK863" s="52"/>
      <c r="AL863" s="53"/>
      <c r="AM863" s="51">
        <f t="shared" ref="AM863:AN863" si="2286">SUM(AM857:AM862)</f>
        <v>0</v>
      </c>
      <c r="AN863" s="68">
        <f t="shared" si="2286"/>
        <v>0</v>
      </c>
      <c r="AO863" s="52"/>
      <c r="AP863" s="53"/>
      <c r="AQ863" s="51">
        <f t="shared" ref="AQ863:AR863" si="2287">SUM(AQ857:AQ862)</f>
        <v>106.08</v>
      </c>
      <c r="AR863" s="68">
        <f t="shared" si="2287"/>
        <v>5668.99</v>
      </c>
      <c r="AS863" s="53"/>
      <c r="AT863" s="53"/>
      <c r="AU863" s="51">
        <f t="shared" ref="AU863:AV863" si="2288">SUM(AU857:AU862)</f>
        <v>0</v>
      </c>
      <c r="AV863" s="51">
        <f t="shared" si="2288"/>
        <v>0</v>
      </c>
      <c r="AW863" s="52"/>
      <c r="AX863" s="53"/>
      <c r="AY863" s="51">
        <f t="shared" ref="AY863:AZ863" si="2289">SUM(AY857:AY862)</f>
        <v>0</v>
      </c>
      <c r="AZ863" s="68">
        <f t="shared" si="2289"/>
        <v>0</v>
      </c>
      <c r="BA863" s="53"/>
      <c r="BB863" s="53"/>
      <c r="BC863" s="51">
        <f t="shared" ref="BC863:BD863" si="2290">SUM(BC857:BC862)</f>
        <v>0</v>
      </c>
      <c r="BD863" s="51">
        <f t="shared" si="2290"/>
        <v>0</v>
      </c>
      <c r="BE863" s="69"/>
      <c r="BF863" s="70">
        <f t="shared" ref="BF863:BH863" si="2291">SUM(BF856:BF862)</f>
        <v>5646.5768</v>
      </c>
      <c r="BG863" s="71">
        <f t="shared" si="2291"/>
        <v>5668.99</v>
      </c>
      <c r="BH863" s="72">
        <f t="shared" si="2291"/>
        <v>-0.003199999999</v>
      </c>
      <c r="BI863" s="34">
        <f>H863+BF863-BG863</f>
        <v>-0.0032</v>
      </c>
      <c r="BJ863" s="34">
        <f>BH863-BI863</f>
        <v>0</v>
      </c>
    </row>
    <row r="864" ht="15.75" customHeight="1" x14ac:dyDescent="0.25"/>
    <row r="865" ht="15.75" customHeight="1" spans="2:62" x14ac:dyDescent="0.25">
      <c r="B865" s="106">
        <f>SUM(B8,B17,B25,B33,B41,B49,B57,B65,B73,B81,B89,B97,B105,B113,B121,B129,B137,B145,B153,B161,B169,B177,B185,B193,B201,B209,B217,B225,B233,B241,B249,B257,B265,B273,B281,B289,B297,B305,B313,B321,B329,B337,B345,B353,B361,B369,B377,B385,B393,B401,B409,B417,B425,B433,B441,B449,B457,B465,B473,B481,B489,B497,B505,B513,B521,B529,B537,B545,B553,B561,B569,B577,B585,B593,B601,B609,B617,B625,B633,B641,B649,B657,B665,B673,B681,B689,B697,B705,B713,B721,B729,B737,B745,B753,B761,B769,B777,B785,B793,B801,B809,B817,B825,B833,B841,B849,B857)</f>
        <v>505.74</v>
      </c>
      <c r="C865" s="2" t="s">
        <v>350</v>
      </c>
      <c r="H865" s="107">
        <f>SUM(H15,H23,H31,H39,H47,H55,H63,H71,H79,H87,H95,H103,H111,H119,H127,H135,H143,H151,H159,H167,H175,H183,H191,H199,H207,H215,H223,H231,H239,H247,H255,H263,H271,H279,H287,H295,H303,H311,H319,H327,H335,H343,H351,H359,H367,H375,H383,H391,H399,H407,H415,H423,H431,H439,H447,H455,H463,H471,H479,H487,H495,H503,H511,H519,H527,H535,H543,H551,H559,H567,H575,H583,H591,H599,H607,H615,H623,H631,H639,H647,H655,H663,H671,H679,H687,H695,H703,H711,H719,H727,H735,H743,H751,H759,H767,H775,H783,H791,H799,H807,H815,H823,H831,H839,H847,H855,H863)</f>
        <v>108735.65</v>
      </c>
      <c r="K865" s="107">
        <f t="shared" ref="K865:L865" si="2292">SUM(K15,K23,K31,K39,K47,K55,K63,K71,K79,K87,K95,K103,K111,K119,K127,K135,K143,K151,K159,K167,K175,K183,K191,K199,K207,K215,K223,K231,K239,K247,K255,K263,K271,K279,K287,K295,K303,K311,K319,K327,K335,K343,K351,K359,K367,K375,K383,K391,K399,K407,K415,K423,K431,K439,K447,K455,K463,K471,K479,K487,K495,K503,K511,K519,K527,K535,K543,K551,K559,K567,K575,K583,K591,K599,K607,K615,K623,K631,K639,K647,K655,K663,K671,K679,K687,K695,K703,K711,K719,K727,K735,K743,K751,K759,K767,K775,K783,K791,K799,K807,K815,K823,K831,K839,K847,K855,K863)</f>
        <v>50173.98</v>
      </c>
      <c r="L865" s="107">
        <f t="shared" si="2292"/>
        <v>26422.04</v>
      </c>
      <c r="O865" s="107">
        <f t="shared" ref="O865:P865" si="2293">SUM(O15,O23,O31,O39,O47,O55,O63,O71,O79,O87,O95,O103,O111,O119,O127,O135,O143,O151,O159,O167,O175,O183,O191,O199,O207,O215,O223,O231,O239,O247,O255,O263,O271,O279,O287,O295,O303,O311,O319,O327,O335,O343,O351,O359,O367,O375,O383,O391,O399,O407,O415,O423,O431,O439,O447,O455,O463,O471,O479,O487,O495,O503,O511,O519,O527,O535,O543,O551,O559,O567,O575,O583,O591,O599,O607,O615,O623,O631,O639,O647,O655,O663,O671,O679,O687,O695,O703,O711,O719,O727,O735,O743,O751,O759,O767,O775,O783,O791,O799,O807,O815,O823,O831,O839,O847,O855,O863)</f>
        <v>15044.58</v>
      </c>
      <c r="P865" s="107">
        <f t="shared" si="2293"/>
        <v>12097.68</v>
      </c>
      <c r="S865" s="107">
        <f t="shared" ref="S865:T865" si="2294">SUM(S15,S23,S31,S39,S47,S55,S63,S71,S79,S87,S95,S103,S111,S119,S127,S135,S143,S151,S159,S167,S175,S183,S191,S199,S207,S215,S223,S231,S239,S247,S255,S263,S271,S279,S287,S295,S303,S311,S319,S327,S335,S343,S351,S359,S367,S375,S383,S391,S399,S407,S415,S423,S431,S439,S447,S455,S463,S471,S479,S487,S495,S503,S511,S519,S527,S535,S543,S551,S559,S567,S575,S583,S591,S599,S607,S615,S623,S631,S639,S647,S655,S663,S671,S679,S687,S695,S703,S711,S719,S727,S735,S743,S751,S759,S767,S775,S783,S791,S799,S807,S815,S823,S831,S839,S847,S855,S863)</f>
        <v>14628.75</v>
      </c>
      <c r="T865" s="107">
        <f t="shared" si="2294"/>
        <v>12226.39</v>
      </c>
      <c r="W865" s="107">
        <f t="shared" ref="W865:X865" si="2295">SUM(W15,W23,W31,W39,W47,W55,W63,W71,W79,W87,W95,W103,W111,W119,W127,W135,W143,W151,W159,W167,W175,W183,W191,W199,W207,W215,W223,W231,W239,W247,W255,W263,W271,W279,W287,W295,W303,W311,W319,W327,W335,W343,W351,W359,W367,W375,W383,W391,W399,W407,W415,W423,W431,W439,W447,W455,W463,W471,W479,W487,W495,W503,W511,W519,W527,W535,W543,W551,W559,W567,W575,W583,W591,W599,W607,W615,W623,W631,W639,W647,W655,W663,W671,W679,W687,W695,W703,W711,W719,W727,W735,W743,W751,W759,W767,W775,W783,W791,W799,W807,W815,W823,W831,W839,W847,W855,W863)</f>
        <v>14379.75</v>
      </c>
      <c r="X865" s="107">
        <f t="shared" si="2295"/>
        <v>18791.48</v>
      </c>
      <c r="AA865" s="107">
        <f t="shared" ref="AA865:AB865" si="2296">SUM(AA15,AA23,AA31,AA39,AA47,AA55,AA63,AA71,AA79,AA87,AA95,AA103,AA111,AA119,AA127,AA135,AA143,AA151,AA159,AA167,AA175,AA183,AA191,AA199,AA207,AA215,AA223,AA231,AA239,AA247,AA255,AA263,AA271,AA279,AA287,AA295,AA303,AA311,AA319,AA327,AA335,AA343,AA351,AA359,AA367,AA375,AA383,AA391,AA399,AA407,AA415,AA423,AA431,AA439,AA447,AA455,AA463,AA471,AA479,AA487,AA495,AA503,AA511,AA519,AA527,AA535,AA543,AA551,AA559,AA567,AA575,AA583,AA591,AA599,AA607,AA615,AA623,AA631,AA639,AA647,AA655,AA663,AA671,AA679,AA687,AA695,AA703,AA711,AA719,AA727,AA735,AA743,AA751,AA759,AA767,AA775,AA783,AA791,AA799,AA807,AA815,AA823,AA831,AA839,AA847,AA855,AA863)</f>
        <v>56278.42</v>
      </c>
      <c r="AB865" s="107">
        <f t="shared" si="2296"/>
        <v>22034.7</v>
      </c>
      <c r="AE865" s="107">
        <f t="shared" ref="AE865:AF865" si="2297">SUM(AE15,AE23,AE31,AE39,AE47,AE55,AE63,AE71,AE79,AE87,AE95,AE103,AE111,AE119,AE127,AE135,AE143,AE151,AE159,AE167,AE175,AE183,AE191,AE199,AE207,AE215,AE223,AE231,AE239,AE247,AE255,AE263,AE271,AE279,AE287,AE295,AE303,AE311,AE319,AE327,AE335,AE343,AE351,AE359,AE367,AE375,AE383,AE391,AE399,AE407,AE415,AE423,AE431,AE439,AE447,AE455,AE463,AE471,AE479,AE487,AE495,AE503,AE511,AE519,AE527,AE535,AE543,AE551,AE559,AE567,AE575,AE583,AE591,AE599,AE607,AE615,AE623,AE631,AE639,AE647,AE655,AE663,AE671,AE679,AE687,AE695,AE703,AE711,AE719,AE727,AE735,AE743,AE751,AE759,AE767,AE775,AE783,AE791,AE799,AE807,AE815,AE823,AE831,AE839,AE847,AE855,AE863)</f>
        <v>546351.5312</v>
      </c>
      <c r="AF865" s="107">
        <f t="shared" si="2297"/>
        <v>190050.5</v>
      </c>
      <c r="AI865" s="107">
        <f t="shared" ref="AI865:AJ865" si="2298">SUM(AI15,AI23,AI31,AI39,AI47,AI55,AI63,AI71,AI79,AI87,AI95,AI103,AI111,AI119,AI127,AI135,AI143,AI151,AI159,AI167,AI175,AI183,AI191,AI199,AI207,AI215,AI223,AI231,AI239,AI247,AI255,AI263,AI271,AI279,AI287,AI295,AI303,AI311,AI319,AI327,AI335,AI343,AI351,AI359,AI367,AI375,AI383,AI391,AI399,AI407,AI415,AI423,AI431,AI439,AI447,AI455,AI463,AI471,AI479,AI487,AI495,AI503,AI511,AI519,AI527,AI535,AI543,AI551,AI559,AI567,AI575,AI583,AI591,AI599,AI607,AI615,AI623,AI631,AI639,AI647,AI655,AI663,AI671,AI679,AI687,AI695,AI703,AI711,AI719,AI727,AI735,AI743,AI751,AI759,AI767,AI775,AI783,AI791,AI799,AI807,AI815,AI823,AI831,AI839,AI847,AI855,AI863)</f>
        <v>12956.69</v>
      </c>
      <c r="AJ865" s="107">
        <f t="shared" si="2298"/>
        <v>140288.83</v>
      </c>
      <c r="AM865" s="107">
        <f t="shared" ref="AM865:AN865" si="2299">SUM(AM15,AM23,AM31,AM39,AM47,AM55,AM63,AM71,AM79,AM87,AM95,AM103,AM111,AM119,AM127,AM135,AM143,AM151,AM159,AM167,AM175,AM183,AM191,AM199,AM207,AM215,AM223,AM231,AM239,AM247,AM255,AM263,AM271,AM279,AM287,AM295,AM303,AM311,AM319,AM327,AM335,AM343,AM351,AM359,AM367,AM375,AM383,AM391,AM399,AM407,AM415,AM423,AM431,AM439,AM447,AM455,AM463,AM471,AM479,AM487,AM495,AM503,AM511,AM519,AM527,AM535,AM543,AM551,AM559,AM567,AM575,AM583,AM591,AM599,AM607,AM615,AM623,AM631,AM639,AM647,AM655,AM663,AM671,AM679,AM687,AM695,AM703,AM711,AM719,AM727,AM735,AM743,AM751,AM759,AM767,AM775,AM783,AM791,AM799,AM807,AM815,AM823,AM831,AM839,AM847,AM855,AM863)</f>
        <v>17729.45</v>
      </c>
      <c r="AN865" s="107">
        <f t="shared" si="2299"/>
        <v>136461.96</v>
      </c>
      <c r="AQ865" s="107">
        <f t="shared" ref="AQ865:AR865" si="2300">SUM(AQ15,AQ23,AQ31,AQ39,AQ47,AQ55,AQ63,AQ71,AQ79,AQ87,AQ95,AQ103,AQ111,AQ119,AQ127,AQ135,AQ143,AQ151,AQ159,AQ167,AQ175,AQ183,AQ191,AQ199,AQ207,AQ215,AQ223,AQ231,AQ239,AQ247,AQ255,AQ263,AQ271,AQ279,AQ287,AQ295,AQ303,AQ311,AQ319,AQ327,AQ335,AQ343,AQ351,AQ359,AQ367,AQ375,AQ383,AQ391,AQ399,AQ407,AQ415,AQ423,AQ431,AQ439,AQ447,AQ455,AQ463,AQ471,AQ479,AQ487,AQ495,AQ503,AQ511,AQ519,AQ527,AQ535,AQ543,AQ551,AQ559,AQ567,AQ575,AQ583,AQ591,AQ599,AQ607,AQ615,AQ623,AQ631,AQ639,AQ647,AQ655,AQ663,AQ671,AQ679,AQ687,AQ695,AQ703,AQ711,AQ719,AQ727,AQ735,AQ743,AQ751,AQ759,AQ767,AQ775,AQ783,AQ791,AQ799,AQ807,AQ815,AQ823,AQ831,AQ839,AQ847,AQ855,AQ863)</f>
        <v>17294.1</v>
      </c>
      <c r="AR865" s="107">
        <f t="shared" si="2300"/>
        <v>75654.11</v>
      </c>
      <c r="AU865" s="107">
        <f t="shared" ref="AU865:AV865" si="2301">SUM(AU15,AU23,AU31,AU39,AU47,AU55,AU63,AU71,AU79,AU87,AU95,AU103,AU111,AU119,AU127,AU135,AU143,AU151,AU159,AU167,AU175,AU183,AU191,AU199,AU207,AU215,AU223,AU231,AU239,AU247,AU255,AU263,AU271,AU279,AU287,AU295,AU303,AU311,AU319,AU327,AU335,AU343,AU351,AU359,AU367,AU375,AU383,AU391,AU399,AU407,AU415,AU423,AU431,AU439,AU447,AU455,AU463,AU471,AU479,AU487,AU495,AU503,AU511,AU519,AU527,AU535,AU543,AU551,AU559,AU567,AU575,AU583,AU591,AU599,AU607,AU615,AU623,AU631,AU639,AU647,AU655,AU663,AU671,AU679,AU687,AU695,AU703,AU711,AU719,AU727,AU735,AU743,AU751,AU759,AU767,AU775,AU783,AU791,AU799,AU807,AU815,AU823,AU831,AU839,AU847,AU855,AU863)</f>
        <v>12679.08</v>
      </c>
      <c r="AV865" s="107">
        <f t="shared" si="2301"/>
        <v>3688.48</v>
      </c>
      <c r="AY865" s="107">
        <f t="shared" ref="AY865:AZ865" si="2302">SUM(AY15,AY23,AY31,AY39,AY47,AY55,AY63,AY71,AY79,AY87,AY95,AY103,AY111,AY119,AY127,AY135,AY143,AY151,AY159,AY167,AY175,AY183,AY191,AY199,AY207,AY215,AY223,AY231,AY239,AY247,AY255,AY263,AY271,AY279,AY287,AY295,AY303,AY311,AY319,AY327,AY335,AY343,AY351,AY359,AY367,AY375,AY383,AY391,AY399,AY407,AY415,AY423,AY431,AY439,AY447,AY455,AY463,AY471,AY479,AY487,AY495,AY503,AY511,AY519,AY527,AY535,AY543,AY551,AY559,AY567,AY575,AY583,AY591,AY599,AY607,AY615,AY623,AY631,AY639,AY647,AY655,AY663,AY671,AY679,AY687,AY695,AY703,AY711,AY719,AY727,AY735,AY743,AY751,AY759,AY767,AY775,AY783,AY791,AY799,AY807,AY815,AY823,AY831,AY839,AY847,AY855,AY863)</f>
        <v>6411.75</v>
      </c>
      <c r="AZ865" s="107">
        <f t="shared" si="2302"/>
        <v>35752.92</v>
      </c>
      <c r="BC865" s="107">
        <f t="shared" ref="BC865:BD865" si="2303">SUM(BC15,BC23,BC31,BC39,BC47,BC55,BC63,BC71,BC79,BC87,BC95,BC103,BC111,BC119,BC127,BC135,BC143,BC151,BC159,BC167,BC175,BC183,BC191,BC199,BC207,BC215,BC223,BC231,BC239,BC247,BC255,BC263,BC271,BC279,BC287,BC295,BC303,BC311,BC319,BC327,BC335,BC343,BC351,BC359,BC367,BC375,BC383,BC391,BC399,BC407,BC415,BC423,BC431,BC439,BC447,BC455,BC463,BC471,BC479,BC487,BC495,BC503,BC511,BC519,BC527,BC535,BC543,BC551,BC559,BC567,BC575,BC583,BC591,BC599,BC607,BC615,BC623,BC631,BC639,BC647,BC655,BC663,BC671,BC679,BC687,BC695,BC703,BC711,BC719,BC727,BC735,BC743,BC751,BC759,BC767,BC775,BC783,BC791,BC799,BC807,BC815,BC823,BC831,BC839,BC847,BC855,BC863)</f>
        <v>14723.9</v>
      </c>
      <c r="BD865" s="108">
        <f t="shared" si="2303"/>
        <v>16920.86</v>
      </c>
      <c r="BE865" s="107"/>
      <c r="BF865" s="107">
        <f t="shared" ref="BF865:BH865" si="2304">SUM(BF15,BF23,BF31,BF39,BF47,BF55,BF63,BF71,BF79,BF87,BF95,BF103,BF111,BF119,BF127,BF135,BF143,BF151,BF159,BF167,BF175,BF183,BF191,BF199,BF207,BF215,BF223,BF231,BF239,BF247,BF255,BF263,BF271,BF279,BF287,BF295,BF303,BF311,BF319,BF327,BF335,BF343,BF351,BF359,BF367,BF375,BF383,BF391,BF399,BF407,BF415,BF423,BF431,BF439,BF447,BF455,BF463,BF471,BF479,BF487,BF495,BF503,BF511,BF519,BF527,BF535,BF543,BF551,BF559,BF567,BF575,BF583,BF591,BF599,BF607,BF615,BF623,BF631,BF639,BF647,BF655,BF663,BF671,BF679,BF687,BF695,BF703,BF711,BF719,BF727,BF735,BF743,BF751,BF759,BF767,BF775,BF783,BF791,BF799,BF807,BF815,BF823,BF831,BF839,BF847,BF855,BF863)</f>
        <v>783651.9812</v>
      </c>
      <c r="BG865" s="107">
        <f t="shared" si="2304"/>
        <v>695389.95</v>
      </c>
      <c r="BH865" s="107">
        <f t="shared" si="2304"/>
        <v>196997.6812</v>
      </c>
      <c r="BI865" s="34">
        <f>H865+BF865-BG865</f>
        <v>196997.6812</v>
      </c>
      <c r="BJ865" s="34">
        <f>BH865-BI865</f>
        <v>0</v>
      </c>
    </row>
    <row r="866" ht="15.75" customHeight="1" spans="3:60" x14ac:dyDescent="0.25">
      <c r="C866" s="2" t="s">
        <v>351</v>
      </c>
      <c r="D866" s="2" t="s">
        <v>42</v>
      </c>
      <c r="H866" s="34">
        <f t="shared" ref="H866:H867" si="2305">SUM(H7,H16,H24,H32,H40,H48,H56,H64,H72,H80,H88,H96,H104,H112,H120,H128,H136,H144,H152,H160,H168,H176,H184,H192,H200,H208,H216,H224,H232,H240,H248,H256,H264,H272,H280,H288,H296,H304,H312,H320,H328,H336,H344,H352,H360,H368,H376,H384,H392,H400,H408,H416,H424,H432,H440,H448,H456,H464,H472,H480,H488,H496,H504,H512,H520,H528,H536,H544,H552,H560,H568,H576,H584,H592,H600,H608,H616,H624,H632,H640,H648,H656,H664,H672,H680,H688,H696,H704,H712,H720,H728,H736,H744,H752,H760,H768,H776,H784,H792,H800,H808,H816,H824,H832,H840,H848,H856)</f>
        <v>5930</v>
      </c>
      <c r="K866" s="34">
        <f t="shared" ref="K866:L866" si="2306">SUM(K7,K16,K24,K32,K40,K48,K56,K64,K72,K80,K88,K96,K104,K112,K120,K128,K136,K144,K152,K160,K168,K176,K184,K192,K200,K208,K216,K224,K232,K240,K248,K256,K264,K272,K280,K288,K296,K304,K312,K320,K328,K336,K344,K352,K360,K368,K376,K384,K392,K400,K408,K416,K424,K432,K440,K448,K456,K464,K472,K480,K488,K496,K504,K512,K520,K528,K536,K544,K552,K560,K568,K576,K584,K592,K600,K608,K616,K624,K632,K640,K648,K656,K664,K672,K680,K688,K696,K704,K712,K720,K728,K736,K744,K752,K760,K768,K776,K784,K792,K800,K808,K816,K824,K832,K840,K848,K856)</f>
        <v>30000</v>
      </c>
      <c r="L866" s="34">
        <f t="shared" si="2306"/>
        <v>7500</v>
      </c>
      <c r="O866" s="34">
        <f t="shared" ref="O866:P866" si="2307">SUM(O7,O16,O24,O32,O40,O48,O56,O64,O72,O80,O88,O96,O104,O112,O120,O128,O136,O144,O152,O160,O168,O176,O184,O192,O200,O208,O216,O224,O232,O240,O248,O256,O264,O272,O280,O288,O296,O304,O312,O320,O328,O336,O344,O352,O360,O368,O376,O384,O392,O400,O408,O416,O424,O432,O440,O448,O456,O464,O472,O480,O488,O496,O504,O512,O520,O528,O536,O544,O552,O560,O568,O576,O584,O592,O600,O608,O616,O624,O632,O640,O648,O656,O664,O672,O680,O688,O696,O704,O712,O720,O728,O736,O744,O752,O760,O768,O776,O784,O792,O800,O808,O816,O824,O832,O840,O848,O856)</f>
        <v>0</v>
      </c>
      <c r="P866" s="34">
        <f t="shared" si="2307"/>
        <v>0</v>
      </c>
      <c r="S866" s="34">
        <f t="shared" ref="S866:T866" si="2308">SUM(S7,S16,S24,S32,S40,S48,S56,S64,S72,S80,S88,S96,S104,S112,S120,S128,S136,S144,S152,S160,S168,S176,S184,S192,S200,S208,S216,S224,S232,S240,S248,S256,S264,S272,S280,S288,S296,S304,S312,S320,S328,S336,S344,S352,S360,S368,S376,S384,S392,S400,S408,S416,S424,S432,S440,S448,S456,S464,S472,S480,S488,S496,S504,S512,S520,S528,S536,S544,S552,S560,S568,S576,S584,S592,S600,S608,S616,S624,S632,S640,S648,S656,S664,S672,S680,S688,S696,S704,S712,S720,S728,S736,S744,S752,S760,S768,S776,S784,S792,S800,S808,S816,S824,S832,S840,S848,S856)</f>
        <v>0</v>
      </c>
      <c r="T866" s="34">
        <f t="shared" si="2308"/>
        <v>0</v>
      </c>
      <c r="W866" s="34">
        <f t="shared" ref="W866:X866" si="2309">SUM(W7,W16,W24,W32,W40,W48,W56,W64,W72,W80,W88,W96,W104,W112,W120,W128,W136,W144,W152,W160,W168,W176,W184,W192,W200,W208,W216,W224,W232,W240,W248,W256,W264,W272,W280,W288,W296,W304,W312,W320,W328,W336,W344,W352,W360,W368,W376,W384,W392,W400,W408,W416,W424,W432,W440,W448,W456,W464,W472,W480,W488,W496,W504,W512,W520,W528,W536,W544,W552,W560,W568,W576,W584,W592,W600,W608,W616,W624,W632,W640,W648,W656,W664,W672,W680,W688,W696,W704,W712,W720,W728,W736,W744,W752,W760,W768,W776,W784,W792,W800,W808,W816,W824,W832,W840,W848,W856)</f>
        <v>0</v>
      </c>
      <c r="X866" s="34">
        <f t="shared" si="2309"/>
        <v>0</v>
      </c>
      <c r="AA866" s="34">
        <f t="shared" ref="AA866:AB866" si="2310">SUM(AA7,AA16,AA24,AA32,AA40,AA48,AA56,AA64,AA72,AA80,AA88,AA96,AA104,AA112,AA120,AA128,AA136,AA144,AA152,AA160,AA168,AA176,AA184,AA192,AA200,AA208,AA216,AA224,AA232,AA240,AA248,AA256,AA264,AA272,AA280,AA288,AA296,AA304,AA312,AA320,AA328,AA336,AA344,AA352,AA360,AA368,AA376,AA384,AA392,AA400,AA408,AA416,AA424,AA432,AA440,AA448,AA456,AA464,AA472,AA480,AA488,AA496,AA504,AA512,AA520,AA528,AA536,AA544,AA552,AA560,AA568,AA576,AA584,AA592,AA600,AA608,AA616,AA624,AA632,AA640,AA648,AA656,AA664,AA672,AA680,AA688,AA696,AA704,AA712,AA720,AA728,AA736,AA744,AA752,AA760,AA768,AA776,AA784,AA792,AA800,AA808,AA816,AA824,AA832,AA840,AA848,AA856)</f>
        <v>0</v>
      </c>
      <c r="AB866" s="34">
        <f t="shared" si="2310"/>
        <v>0</v>
      </c>
      <c r="AE866" s="34">
        <f t="shared" ref="AE866:AF866" si="2311">SUM(AE7,AE16,AE24,AE32,AE40,AE48,AE56,AE64,AE72,AE80,AE88,AE96,AE104,AE112,AE120,AE128,AE136,AE144,AE152,AE160,AE168,AE176,AE184,AE192,AE200,AE208,AE216,AE224,AE232,AE240,AE248,AE256,AE264,AE272,AE280,AE288,AE296,AE304,AE312,AE320,AE328,AE336,AE344,AE352,AE360,AE368,AE376,AE384,AE392,AE400,AE408,AE416,AE424,AE432,AE440,AE448,AE456,AE464,AE472,AE480,AE488,AE496,AE504,AE512,AE520,AE528,AE536,AE544,AE552,AE560,AE568,AE576,AE584,AE592,AE600,AE608,AE616,AE624,AE632,AE640,AE648,AE656,AE664,AE672,AE680,AE688,AE696,AE704,AE712,AE720,AE728,AE736,AE744,AE752,AE760,AE768,AE776,AE784,AE792,AE800,AE808,AE816,AE824,AE832,AE840,AE848,AE856)</f>
        <v>0</v>
      </c>
      <c r="AF866" s="34">
        <f t="shared" si="2311"/>
        <v>0</v>
      </c>
      <c r="AI866" s="34">
        <f t="shared" ref="AI866:AJ866" si="2312">SUM(AI7,AI16,AI24,AI32,AI40,AI48,AI56,AI64,AI72,AI80,AI88,AI96,AI104,AI112,AI120,AI128,AI136,AI144,AI152,AI160,AI168,AI176,AI184,AI192,AI200,AI208,AI216,AI224,AI232,AI240,AI248,AI256,AI264,AI272,AI280,AI288,AI296,AI304,AI312,AI320,AI328,AI336,AI344,AI352,AI360,AI368,AI376,AI384,AI392,AI400,AI408,AI416,AI424,AI432,AI440,AI448,AI456,AI464,AI472,AI480,AI488,AI496,AI504,AI512,AI520,AI528,AI536,AI544,AI552,AI560,AI568,AI576,AI584,AI592,AI600,AI608,AI616,AI624,AI632,AI640,AI648,AI656,AI664,AI672,AI680,AI688,AI696,AI704,AI712,AI720,AI728,AI736,AI744,AI752,AI760,AI768,AI776,AI784,AI792,AI800,AI808,AI816,AI824,AI832,AI840,AI848,AI856)</f>
        <v>0</v>
      </c>
      <c r="AJ866" s="34">
        <f t="shared" si="2312"/>
        <v>6000</v>
      </c>
      <c r="AM866" s="34">
        <f t="shared" ref="AM866:AN866" si="2313">SUM(AM7,AM16,AM24,AM32,AM40,AM48,AM56,AM64,AM72,AM80,AM88,AM96,AM104,AM112,AM120,AM128,AM136,AM144,AM152,AM160,AM168,AM176,AM184,AM192,AM200,AM208,AM216,AM224,AM232,AM240,AM248,AM256,AM264,AM272,AM280,AM288,AM296,AM304,AM312,AM320,AM328,AM336,AM344,AM352,AM360,AM368,AM376,AM384,AM392,AM400,AM408,AM416,AM424,AM432,AM440,AM448,AM456,AM464,AM472,AM480,AM488,AM496,AM504,AM512,AM520,AM528,AM536,AM544,AM552,AM560,AM568,AM576,AM584,AM592,AM600,AM608,AM616,AM624,AM632,AM640,AM648,AM656,AM664,AM672,AM680,AM688,AM696,AM704,AM712,AM720,AM728,AM736,AM744,AM752,AM760,AM768,AM776,AM784,AM792,AM800,AM808,AM816,AM824,AM832,AM840,AM848,AM856)</f>
        <v>0</v>
      </c>
      <c r="AN866" s="34">
        <f t="shared" si="2313"/>
        <v>5000</v>
      </c>
      <c r="AQ866" s="34">
        <f t="shared" ref="AQ866:AR866" si="2314">SUM(AQ7,AQ16,AQ24,AQ32,AQ40,AQ48,AQ56,AQ64,AQ72,AQ80,AQ88,AQ96,AQ104,AQ112,AQ120,AQ128,AQ136,AQ144,AQ152,AQ160,AQ168,AQ176,AQ184,AQ192,AQ200,AQ208,AQ216,AQ224,AQ232,AQ240,AQ248,AQ256,AQ264,AQ272,AQ280,AQ288,AQ296,AQ304,AQ312,AQ320,AQ328,AQ336,AQ344,AQ352,AQ360,AQ368,AQ376,AQ384,AQ392,AQ400,AQ408,AQ416,AQ424,AQ432,AQ440,AQ448,AQ456,AQ464,AQ472,AQ480,AQ488,AQ496,AQ504,AQ512,AQ520,AQ528,AQ536,AQ544,AQ552,AQ560,AQ568,AQ576,AQ584,AQ592,AQ600,AQ608,AQ616,AQ624,AQ632,AQ640,AQ648,AQ656,AQ664,AQ672,AQ680,AQ688,AQ696,AQ704,AQ712,AQ720,AQ728,AQ736,AQ744,AQ752,AQ760,AQ768,AQ776,AQ784,AQ792,AQ800,AQ808,AQ816,AQ824,AQ832,AQ840,AQ848,AQ856)</f>
        <v>0</v>
      </c>
      <c r="AR866" s="34">
        <f t="shared" si="2314"/>
        <v>0</v>
      </c>
      <c r="AU866" s="34">
        <f t="shared" ref="AU866:AV866" si="2315">SUM(AU7,AU16,AU24,AU32,AU40,AU48,AU56,AU64,AU72,AU80,AU88,AU96,AU104,AU112,AU120,AU128,AU136,AU144,AU152,AU160,AU168,AU176,AU184,AU192,AU200,AU208,AU216,AU224,AU232,AU240,AU248,AU256,AU264,AU272,AU280,AU288,AU296,AU304,AU312,AU320,AU328,AU336,AU344,AU352,AU360,AU368,AU376,AU384,AU392,AU400,AU408,AU416,AU424,AU432,AU440,AU448,AU456,AU464,AU472,AU480,AU488,AU496,AU504,AU512,AU520,AU528,AU536,AU544,AU552,AU560,AU568,AU576,AU584,AU592,AU600,AU608,AU616,AU624,AU632,AU640,AU648,AU656,AU664,AU672,AU680,AU688,AU696,AU704,AU712,AU720,AU728,AU736,AU744,AU752,AU760,AU768,AU776,AU784,AU792,AU800,AU808,AU816,AU824,AU832,AU840,AU848,AU856)</f>
        <v>0</v>
      </c>
      <c r="AV866" s="34">
        <f t="shared" si="2315"/>
        <v>0</v>
      </c>
      <c r="AY866" s="34">
        <f t="shared" ref="AY866:AZ866" si="2316">SUM(AY7,AY16,AY24,AY32,AY40,AY48,AY56,AY64,AY72,AY80,AY88,AY96,AY104,AY112,AY120,AY128,AY136,AY144,AY152,AY160,AY168,AY176,AY184,AY192,AY200,AY208,AY216,AY224,AY232,AY240,AY248,AY256,AY264,AY272,AY280,AY288,AY296,AY304,AY312,AY320,AY328,AY336,AY344,AY352,AY360,AY368,AY376,AY384,AY392,AY400,AY408,AY416,AY424,AY432,AY440,AY448,AY456,AY464,AY472,AY480,AY488,AY496,AY504,AY512,AY520,AY528,AY536,AY544,AY552,AY560,AY568,AY576,AY584,AY592,AY600,AY608,AY616,AY624,AY632,AY640,AY648,AY656,AY664,AY672,AY680,AY688,AY696,AY704,AY712,AY720,AY728,AY736,AY744,AY752,AY760,AY768,AY776,AY784,AY792,AY800,AY808,AY816,AY824,AY832,AY840,AY848,AY856)</f>
        <v>5000</v>
      </c>
      <c r="AZ866" s="34">
        <f t="shared" si="2316"/>
        <v>5000</v>
      </c>
      <c r="BC866" s="34">
        <f t="shared" ref="BC866:BD866" si="2317">SUM(BC7,BC16,BC24,BC32,BC40,BC48,BC56,BC64,BC72,BC80,BC88,BC96,BC104,BC112,BC120,BC128,BC136,BC144,BC152,BC160,BC168,BC176,BC184,BC192,BC200,BC208,BC216,BC224,BC232,BC240,BC248,BC256,BC264,BC272,BC280,BC288,BC296,BC304,BC312,BC320,BC328,BC336,BC344,BC352,BC360,BC368,BC376,BC384,BC392,BC400,BC408,BC416,BC424,BC432,BC440,BC448,BC456,BC464,BC472,BC480,BC488,BC496,BC504,BC512,BC520,BC528,BC536,BC544,BC552,BC560,BC568,BC576,BC584,BC592,BC600,BC608,BC616,BC624,BC632,BC640,BC648,BC656,BC664,BC672,BC680,BC688,BC696,BC704,BC712,BC720,BC728,BC736,BC744,BC752,BC760,BC768,BC776,BC784,BC792,BC800,BC808,BC816,BC824,BC832,BC840,BC848,BC856)</f>
        <v>0</v>
      </c>
      <c r="BD866" s="34">
        <f t="shared" si="2317"/>
        <v>0</v>
      </c>
      <c r="BE866" s="41"/>
      <c r="BF866" s="34">
        <f t="shared" ref="BF866:BH866" si="2318">SUM(BF7,BF16,BF24,BF32,BF40,BF48,BF56,BF64,BF72,BF80,BF88,BF96,BF104,BF112,BF120,BF128,BF136,BF144,BF152,BF160,BF168,BF176,BF184,BF192,BF200,BF208,BF216,BF224,BF232,BF240,BF248,BF256,BF264,BF272,BF280,BF288,BF296,BF304,BF312,BF320,BF328,BF336,BF344,BF352,BF360,BF368,BF376,BF384,BF392,BF400,BF408,BF416,BF424,BF432,BF440,BF448,BF456,BF464,BF472,BF480,BF488,BF496,BF504,BF512,BF520,BF528,BF536,BF544,BF552,BF560,BF568,BF576,BF584,BF592,BF600,BF608,BF616,BF624,BF632,BF640,BF648,BF656,BF664,BF672,BF680,BF688,BF696,BF704,BF712,BF720,BF728,BF736,BF744,BF752,BF760,BF768,BF776,BF784,BF792,BF800,BF808,BF816,BF824,BF832,BF840,BF848,BF856)</f>
        <v>35000</v>
      </c>
      <c r="BG866" s="34">
        <f t="shared" si="2318"/>
        <v>23500</v>
      </c>
      <c r="BH866" s="35">
        <f t="shared" si="2318"/>
        <v>17430</v>
      </c>
    </row>
    <row r="867" ht="15.75" customHeight="1" spans="4:60" x14ac:dyDescent="0.25">
      <c r="D867" s="15" t="s">
        <v>44</v>
      </c>
      <c r="H867" s="34">
        <f t="shared" si="2305"/>
        <v>-953.11</v>
      </c>
      <c r="I867" s="37">
        <f t="shared" ref="I867:BD867" si="2319">SUM(I8,I17,I25,I33,I41,I49,I57,I65,I73,I81,I89,I97,I105,I113,I121,I129,I137,I145,I153,I161,I169,I177,I185,I193,I201,I209,I217,I225,I233,I241,I249,I257,I265,I273,I281,I289,I297,I305,I313,I321,I329,I337,I345,I353,I361,I369,I377,I385,I393,I401,I409,I417,I425,I433,I441,I449,I457,I465,I473,I481,I489,I497,I505,I513,I521,I529,I537,I545,I553,I561,I569,I577,I585,I593,I601,I609,I617,I625,I633,I641,I649,I657,I665,I673,I681,I689,I697,I705,I713,I721,I729,I737,I745,I753,I761,I769,I777,I785,I793,I801,I809,I817,I825,I833,I841,I849,I857)</f>
        <v>69144</v>
      </c>
      <c r="J867" s="37">
        <f t="shared" si="2319"/>
        <v>8102</v>
      </c>
      <c r="K867" s="34">
        <f t="shared" si="2319"/>
        <v>20173.98</v>
      </c>
      <c r="L867" s="34">
        <f t="shared" si="2319"/>
        <v>18922.04</v>
      </c>
      <c r="M867" s="37">
        <f t="shared" si="2319"/>
        <v>75186</v>
      </c>
      <c r="N867" s="37">
        <f t="shared" si="2319"/>
        <v>6042</v>
      </c>
      <c r="O867" s="34">
        <f t="shared" si="2319"/>
        <v>15044.58</v>
      </c>
      <c r="P867" s="34">
        <f t="shared" si="2319"/>
        <v>12097.68</v>
      </c>
      <c r="Q867" s="37">
        <f t="shared" si="2319"/>
        <v>81061</v>
      </c>
      <c r="R867" s="37">
        <f t="shared" si="2319"/>
        <v>5875</v>
      </c>
      <c r="S867" s="34">
        <f t="shared" si="2319"/>
        <v>14628.75</v>
      </c>
      <c r="T867" s="34">
        <f t="shared" si="2319"/>
        <v>12226.39</v>
      </c>
      <c r="U867" s="37">
        <f t="shared" si="2319"/>
        <v>86838</v>
      </c>
      <c r="V867" s="37">
        <f t="shared" si="2319"/>
        <v>5775</v>
      </c>
      <c r="W867" s="34">
        <f t="shared" si="2319"/>
        <v>14379.75</v>
      </c>
      <c r="X867" s="34">
        <f t="shared" si="2319"/>
        <v>18791.48</v>
      </c>
      <c r="Y867" s="37">
        <f t="shared" si="2319"/>
        <v>90596</v>
      </c>
      <c r="Z867" s="37">
        <f t="shared" si="2319"/>
        <v>3758</v>
      </c>
      <c r="AA867" s="34">
        <f t="shared" si="2319"/>
        <v>9357.42</v>
      </c>
      <c r="AB867" s="34">
        <f t="shared" si="2319"/>
        <v>9784.7</v>
      </c>
      <c r="AC867" s="37">
        <f t="shared" si="2319"/>
        <v>94560</v>
      </c>
      <c r="AD867" s="37">
        <f t="shared" si="2319"/>
        <v>3964</v>
      </c>
      <c r="AE867" s="34">
        <f t="shared" si="2319"/>
        <v>9870.36</v>
      </c>
      <c r="AF867" s="34">
        <f t="shared" si="2319"/>
        <v>3895.83</v>
      </c>
      <c r="AG867" s="37">
        <f t="shared" si="2319"/>
        <v>98173</v>
      </c>
      <c r="AH867" s="37">
        <f t="shared" si="2319"/>
        <v>3613</v>
      </c>
      <c r="AI867" s="34">
        <f t="shared" si="2319"/>
        <v>8996.37</v>
      </c>
      <c r="AJ867" s="34">
        <f t="shared" si="2319"/>
        <v>10879.64</v>
      </c>
      <c r="AK867" s="37">
        <f t="shared" si="2319"/>
        <v>102446</v>
      </c>
      <c r="AL867" s="37">
        <f t="shared" si="2319"/>
        <v>4273</v>
      </c>
      <c r="AM867" s="34">
        <f t="shared" si="2319"/>
        <v>10639.77</v>
      </c>
      <c r="AN867" s="34">
        <f t="shared" si="2319"/>
        <v>11890.6</v>
      </c>
      <c r="AO867" s="37">
        <f t="shared" si="2319"/>
        <v>107240</v>
      </c>
      <c r="AP867" s="37">
        <f t="shared" si="2319"/>
        <v>4794</v>
      </c>
      <c r="AQ867" s="34">
        <f t="shared" si="2319"/>
        <v>11937.06</v>
      </c>
      <c r="AR867" s="34">
        <f t="shared" si="2319"/>
        <v>11745.93</v>
      </c>
      <c r="AS867" s="37">
        <f t="shared" si="2319"/>
        <v>112332</v>
      </c>
      <c r="AT867" s="37">
        <f t="shared" si="2319"/>
        <v>5092</v>
      </c>
      <c r="AU867" s="34">
        <f t="shared" si="2319"/>
        <v>12679.08</v>
      </c>
      <c r="AV867" s="34">
        <f t="shared" si="2319"/>
        <v>3688.48</v>
      </c>
      <c r="AW867" s="37">
        <f t="shared" si="2319"/>
        <v>114907</v>
      </c>
      <c r="AX867" s="37">
        <f t="shared" si="2319"/>
        <v>2575</v>
      </c>
      <c r="AY867" s="34">
        <f t="shared" si="2319"/>
        <v>6411.75</v>
      </c>
      <c r="AZ867" s="34">
        <f t="shared" si="2319"/>
        <v>14230.85</v>
      </c>
      <c r="BA867" s="37">
        <f t="shared" si="2319"/>
        <v>120017</v>
      </c>
      <c r="BB867" s="37">
        <f t="shared" si="2319"/>
        <v>5110</v>
      </c>
      <c r="BC867" s="34">
        <f t="shared" si="2319"/>
        <v>12723.9</v>
      </c>
      <c r="BD867" s="34">
        <f t="shared" si="2319"/>
        <v>14920.86</v>
      </c>
      <c r="BE867" s="36">
        <f t="shared" ref="BE867:BE868" si="2320">J867+N867+R867+V867+Z867+AD867+AH867+AL867+AP867+AT867+AX867+BB867</f>
        <v>58973</v>
      </c>
      <c r="BF867" s="34">
        <f t="shared" ref="BF867:BH867" si="2321">SUM(BF8,BF17,BF25,BF33,BF41,BF49,BF57,BF65,BF73,BF81,BF89,BF97,BF105,BF113,BF121,BF129,BF137,BF145,BF153,BF161,BF169,BF177,BF185,BF193,BF201,BF209,BF217,BF225,BF233,BF241,BF249,BF257,BF265,BF273,BF281,BF289,BF297,BF305,BF313,BF321,BF329,BF337,BF345,BF353,BF361,BF369,BF377,BF385,BF393,BF401,BF409,BF417,BF425,BF433,BF441,BF449,BF457,BF465,BF473,BF481,BF489,BF497,BF505,BF513,BF521,BF529,BF537,BF545,BF553,BF561,BF569,BF577,BF585,BF593,BF601,BF609,BF617,BF625,BF633,BF641,BF649,BF657,BF665,BF673,BF681,BF689,BF697,BF705,BF713,BF721,BF729,BF737,BF745,BF753,BF761,BF769,BF777,BF785,BF793,BF801,BF809,BF817,BF825,BF833,BF841,BF849,BF857)</f>
        <v>146842.77</v>
      </c>
      <c r="BG867" s="34">
        <f t="shared" si="2321"/>
        <v>143074.48</v>
      </c>
      <c r="BH867" s="35">
        <f t="shared" si="2321"/>
        <v>2815.18</v>
      </c>
    </row>
    <row r="868" ht="15.75" customHeight="1" spans="4:60" x14ac:dyDescent="0.25">
      <c r="D868" s="15" t="s">
        <v>47</v>
      </c>
      <c r="E868" s="2" t="s">
        <v>48</v>
      </c>
      <c r="H868" s="34">
        <f t="shared" ref="H868:BD868" si="2322">SUM(H10,H18,H26,H34,H42,H50,H58,H66,H74,H82,H90,H98,H106,H114,H122,H130,H138,H146,H154,H162,H170,H178,H186,H194,H202,H210,H218,H226,H234,H242,H250,H258,H266,H274,H282,H290,H298,H306,H314,H322,H330,H338,H346,H354,H362,H370,H378,H386,H394,H402,H410,H418,H426,H434,H442,H450,H458,H466,H474,H482,H490,H498,H506,H514,H522,H530,H538,H546,H554,H562,H570,H578,H586,H594,H602,H610,H618,H626,H634,H642,H650,H658,H666,H674,H682,H690,H698,H706,H714,H722,H730,H738,H746,H754,H762,H770,H778,H786,H794,H802,H810,H818,H826,H834,H842,H850,H858)</f>
        <v>187.28</v>
      </c>
      <c r="I868" s="37">
        <f t="shared" si="2322"/>
        <v>0</v>
      </c>
      <c r="J868" s="37">
        <f t="shared" si="2322"/>
        <v>0</v>
      </c>
      <c r="K868" s="34">
        <f t="shared" si="2322"/>
        <v>0</v>
      </c>
      <c r="L868" s="34">
        <f t="shared" si="2322"/>
        <v>0</v>
      </c>
      <c r="M868" s="37">
        <f t="shared" si="2322"/>
        <v>0</v>
      </c>
      <c r="N868" s="37">
        <f t="shared" si="2322"/>
        <v>0</v>
      </c>
      <c r="O868" s="34">
        <f t="shared" si="2322"/>
        <v>0</v>
      </c>
      <c r="P868" s="34">
        <f t="shared" si="2322"/>
        <v>0</v>
      </c>
      <c r="Q868" s="37">
        <f t="shared" si="2322"/>
        <v>0</v>
      </c>
      <c r="R868" s="37">
        <f t="shared" si="2322"/>
        <v>0</v>
      </c>
      <c r="S868" s="34">
        <f t="shared" si="2322"/>
        <v>0</v>
      </c>
      <c r="T868" s="34">
        <f t="shared" si="2322"/>
        <v>0</v>
      </c>
      <c r="U868" s="37">
        <f t="shared" si="2322"/>
        <v>0</v>
      </c>
      <c r="V868" s="37">
        <f t="shared" si="2322"/>
        <v>0</v>
      </c>
      <c r="W868" s="34">
        <f t="shared" si="2322"/>
        <v>0</v>
      </c>
      <c r="X868" s="34">
        <f t="shared" si="2322"/>
        <v>0</v>
      </c>
      <c r="Y868" s="37">
        <f t="shared" si="2322"/>
        <v>8174</v>
      </c>
      <c r="Z868" s="37">
        <f t="shared" si="2322"/>
        <v>0</v>
      </c>
      <c r="AA868" s="34">
        <f t="shared" si="2322"/>
        <v>0</v>
      </c>
      <c r="AB868" s="34">
        <f t="shared" si="2322"/>
        <v>0</v>
      </c>
      <c r="AC868" s="37">
        <f t="shared" si="2322"/>
        <v>8364</v>
      </c>
      <c r="AD868" s="37">
        <f t="shared" si="2322"/>
        <v>186</v>
      </c>
      <c r="AE868" s="34">
        <f t="shared" si="2322"/>
        <v>3191.76</v>
      </c>
      <c r="AF868" s="34">
        <f t="shared" si="2322"/>
        <v>1491.51</v>
      </c>
      <c r="AG868" s="37">
        <f t="shared" si="2322"/>
        <v>8566</v>
      </c>
      <c r="AH868" s="37">
        <f t="shared" si="2322"/>
        <v>224</v>
      </c>
      <c r="AI868" s="34">
        <f t="shared" si="2322"/>
        <v>3960.32</v>
      </c>
      <c r="AJ868" s="34">
        <f t="shared" si="2322"/>
        <v>6340.04</v>
      </c>
      <c r="AK868" s="37">
        <f t="shared" si="2322"/>
        <v>8959</v>
      </c>
      <c r="AL868" s="37">
        <f t="shared" si="2322"/>
        <v>401</v>
      </c>
      <c r="AM868" s="34">
        <f t="shared" si="2322"/>
        <v>7089.68</v>
      </c>
      <c r="AN868" s="34">
        <f t="shared" si="2322"/>
        <v>7277.66</v>
      </c>
      <c r="AO868" s="37">
        <f t="shared" si="2322"/>
        <v>9262</v>
      </c>
      <c r="AP868" s="37">
        <f t="shared" si="2322"/>
        <v>303</v>
      </c>
      <c r="AQ868" s="34">
        <f t="shared" si="2322"/>
        <v>5357.04</v>
      </c>
      <c r="AR868" s="34">
        <f t="shared" si="2322"/>
        <v>3076</v>
      </c>
      <c r="AS868" s="37">
        <f t="shared" si="2322"/>
        <v>0</v>
      </c>
      <c r="AT868" s="37">
        <f t="shared" si="2322"/>
        <v>0</v>
      </c>
      <c r="AU868" s="34">
        <f t="shared" si="2322"/>
        <v>0</v>
      </c>
      <c r="AV868" s="34">
        <f t="shared" si="2322"/>
        <v>0</v>
      </c>
      <c r="AW868" s="37">
        <f t="shared" si="2322"/>
        <v>0</v>
      </c>
      <c r="AX868" s="37">
        <f t="shared" si="2322"/>
        <v>0</v>
      </c>
      <c r="AY868" s="34">
        <f t="shared" si="2322"/>
        <v>0</v>
      </c>
      <c r="AZ868" s="34">
        <f t="shared" si="2322"/>
        <v>34.32</v>
      </c>
      <c r="BA868" s="37">
        <f t="shared" si="2322"/>
        <v>0</v>
      </c>
      <c r="BB868" s="37">
        <f t="shared" si="2322"/>
        <v>0</v>
      </c>
      <c r="BC868" s="34">
        <f t="shared" si="2322"/>
        <v>0</v>
      </c>
      <c r="BD868" s="34">
        <f t="shared" si="2322"/>
        <v>0</v>
      </c>
      <c r="BE868" s="36">
        <f t="shared" si="2320"/>
        <v>1114</v>
      </c>
      <c r="BF868" s="34">
        <f t="shared" ref="BF868:BH868" si="2323">SUM(BF10,BF18,BF26,BF34,BF42,BF50,BF58,BF66,BF74,BF82,BF90,BF98,BF106,BF114,BF122,BF130,BF138,BF146,BF154,BF162,BF170,BF178,BF186,BF194,BF202,BF210,BF218,BF226,BF234,BF242,BF250,BF258,BF266,BF274,BF282,BF290,BF298,BF306,BF314,BF322,BF330,BF338,BF346,BF354,BF362,BF370,BF378,BF386,BF394,BF402,BF410,BF418,BF426,BF434,BF442,BF450,BF458,BF466,BF474,BF482,BF490,BF498,BF506,BF514,BF522,BF530,BF538,BF546,BF554,BF562,BF570,BF578,BF586,BF594,BF602,BF610,BF618,BF626,BF634,BF642,BF650,BF658,BF666,BF674,BF682,BF690,BF698,BF706,BF714,BF722,BF730,BF738,BF746,BF754,BF762,BF770,BF778,BF786,BF794,BF802,BF810,BF818,BF826,BF834,BF842,BF850,BF858)</f>
        <v>19598.8</v>
      </c>
      <c r="BG868" s="34">
        <f t="shared" si="2323"/>
        <v>18219.53</v>
      </c>
      <c r="BH868" s="35">
        <f t="shared" si="2323"/>
        <v>1566.55</v>
      </c>
    </row>
    <row r="869" ht="15.75" customHeight="1" spans="4:60" x14ac:dyDescent="0.25">
      <c r="D869" s="15" t="s">
        <v>47</v>
      </c>
      <c r="E869" s="2" t="s">
        <v>49</v>
      </c>
      <c r="H869" s="34">
        <f t="shared" ref="H869:H872" si="2324">SUM(H11,H19,H27,H35,H43,H51,H59,H67,H75,H83,H91,H99,H107,H115,H123,H131,H139,H147,H155,H163,H171,H179,H187,H195,H203,H211,H219,H227,H235,H243,H251,H259,H267,H275,H283,H291,H299,H307,H315,H323,H331,H339,H347,H355,H363,H371,H379,H387,H395,H403,H411,H419,H427,H435,H443,H451,H459,H467,H475,H483,H491,H499,H507,H515,H523,H531,H539,H547,H555,H563,H571,H579,H587,H595,H603,H611,H619,H627,H635,H643,H651,H659,H667,H675,H683,H691,H699,H707,H715,H723,H731,H739,H747,H755,H763,H771,H779,H787,H795,H803,H811,H819,H827,H835,H843,H851,H859)</f>
        <v>4797</v>
      </c>
      <c r="K869" s="34">
        <f t="shared" ref="K869:L869" si="2325">SUM(K11,K19,K27,K35,K43,K51,K59,K67,K75,K83,K91,K99,K107,K115,K123,K131,K139,K147,K155,K163,K171,K179,K187,K195,K203,K211,K219,K227,K235,K243,K251,K259,K267,K275,K283,K291,K299,K307,K315,K323,K331,K339,K347,K355,K363,K371,K379,K387,K395,K403,K411,K419,K427,K435,K443,K451,K459,K467,K475,K483,K491,K499,K507,K515,K523,K531,K539,K547,K555,K563,K571,K579,K587,K595,K603,K611,K619,K627,K635,K643,K651,K659,K667,K675,K683,K691,K699,K707,K715,K723,K731,K739,K747,K755,K763,K771,K779,K787,K795,K803,K811,K819,K827,K835,K843,K851,K859)</f>
        <v>0</v>
      </c>
      <c r="L869" s="34">
        <f t="shared" si="2325"/>
        <v>0</v>
      </c>
      <c r="O869" s="34">
        <f t="shared" ref="O869:P869" si="2326">SUM(O11,O19,O27,O35,O43,O51,O59,O67,O75,O83,O91,O99,O107,O115,O123,O131,O139,O147,O155,O163,O171,O179,O187,O195,O203,O211,O219,O227,O235,O243,O251,O259,O267,O275,O283,O291,O299,O307,O315,O323,O331,O339,O347,O355,O363,O371,O379,O387,O395,O403,O411,O419,O427,O435,O443,O451,O459,O467,O475,O483,O491,O499,O507,O515,O523,O531,O539,O547,O555,O563,O571,O579,O587,O595,O603,O611,O619,O627,O635,O643,O651,O659,O667,O675,O683,O691,O699,O707,O715,O723,O731,O739,O747,O755,O763,O771,O779,O787,O795,O803,O811,O819,O827,O835,O843,O851,O859)</f>
        <v>0</v>
      </c>
      <c r="P869" s="34">
        <f t="shared" si="2326"/>
        <v>0</v>
      </c>
      <c r="S869" s="34">
        <f t="shared" ref="S869:T869" si="2327">SUM(S11,S19,S27,S35,S43,S51,S59,S67,S75,S83,S91,S99,S107,S115,S123,S131,S139,S147,S155,S163,S171,S179,S187,S195,S203,S211,S219,S227,S235,S243,S251,S259,S267,S275,S283,S291,S299,S307,S315,S323,S331,S339,S347,S355,S363,S371,S379,S387,S395,S403,S411,S419,S427,S435,S443,S451,S459,S467,S475,S483,S491,S499,S507,S515,S523,S531,S539,S547,S555,S563,S571,S579,S587,S595,S603,S611,S619,S627,S635,S643,S651,S659,S667,S675,S683,S691,S699,S707,S715,S723,S731,S739,S747,S755,S763,S771,S779,S787,S795,S803,S811,S819,S827,S835,S843,S851,S859)</f>
        <v>0</v>
      </c>
      <c r="T869" s="34">
        <f t="shared" si="2327"/>
        <v>0</v>
      </c>
      <c r="W869" s="34">
        <f t="shared" ref="W869:X869" si="2328">SUM(W11,W19,W27,W35,W43,W51,W59,W67,W75,W83,W91,W99,W107,W115,W123,W131,W139,W147,W155,W163,W171,W179,W187,W195,W203,W211,W219,W227,W235,W243,W251,W259,W267,W275,W283,W291,W299,W307,W315,W323,W331,W339,W347,W355,W363,W371,W379,W387,W395,W403,W411,W419,W427,W435,W443,W451,W459,W467,W475,W483,W491,W499,W507,W515,W523,W531,W539,W547,W555,W563,W571,W579,W587,W595,W603,W611,W619,W627,W635,W643,W651,W659,W667,W675,W683,W691,W699,W707,W715,W723,W731,W739,W747,W755,W763,W771,W779,W787,W795,W803,W811,W819,W827,W835,W843,W851,W859)</f>
        <v>0</v>
      </c>
      <c r="X869" s="34">
        <f t="shared" si="2328"/>
        <v>0</v>
      </c>
      <c r="AA869" s="34">
        <f t="shared" ref="AA869:AB869" si="2329">SUM(AA11,AA19,AA27,AA35,AA43,AA51,AA59,AA67,AA75,AA83,AA91,AA99,AA107,AA115,AA123,AA131,AA139,AA147,AA155,AA163,AA171,AA179,AA187,AA195,AA203,AA211,AA219,AA227,AA235,AA243,AA251,AA259,AA267,AA275,AA283,AA291,AA299,AA307,AA315,AA323,AA331,AA339,AA347,AA355,AA363,AA371,AA379,AA387,AA395,AA403,AA411,AA419,AA427,AA435,AA443,AA451,AA459,AA467,AA475,AA483,AA491,AA499,AA507,AA515,AA523,AA531,AA539,AA547,AA555,AA563,AA571,AA579,AA587,AA595,AA603,AA611,AA619,AA627,AA635,AA643,AA651,AA659,AA667,AA675,AA683,AA691,AA699,AA707,AA715,AA723,AA731,AA739,AA747,AA755,AA763,AA771,AA779,AA787,AA795,AA803,AA811,AA819,AA827,AA835,AA843,AA851,AA859)</f>
        <v>7371</v>
      </c>
      <c r="AB869" s="34">
        <f t="shared" si="2329"/>
        <v>0</v>
      </c>
      <c r="AE869" s="34">
        <f t="shared" ref="AE869:AF869" si="2330">SUM(AE11,AE19,AE27,AE35,AE43,AE51,AE59,AE67,AE75,AE83,AE91,AE99,AE107,AE115,AE123,AE131,AE139,AE147,AE155,AE163,AE171,AE179,AE187,AE195,AE203,AE211,AE219,AE227,AE235,AE243,AE251,AE259,AE267,AE275,AE283,AE291,AE299,AE307,AE315,AE323,AE331,AE339,AE347,AE355,AE363,AE371,AE379,AE387,AE395,AE403,AE411,AE419,AE427,AE435,AE443,AE451,AE459,AE467,AE475,AE483,AE491,AE499,AE507,AE515,AE523,AE531,AE539,AE547,AE555,AE563,AE571,AE579,AE587,AE595,AE603,AE611,AE619,AE627,AE635,AE643,AE651,AE659,AE667,AE675,AE683,AE691,AE699,AE707,AE715,AE723,AE731,AE739,AE747,AE755,AE763,AE771,AE779,AE787,AE795,AE803,AE811,AE819,AE827,AE835,AE843,AE851,AE859)</f>
        <v>0</v>
      </c>
      <c r="AF869" s="34">
        <f t="shared" si="2330"/>
        <v>1206</v>
      </c>
      <c r="AI869" s="34">
        <f t="shared" ref="AI869:AJ869" si="2331">SUM(AI11,AI19,AI27,AI35,AI43,AI51,AI59,AI67,AI75,AI83,AI91,AI99,AI107,AI115,AI123,AI131,AI139,AI147,AI155,AI163,AI171,AI179,AI187,AI195,AI203,AI211,AI219,AI227,AI235,AI243,AI251,AI259,AI267,AI275,AI283,AI291,AI299,AI307,AI315,AI323,AI331,AI339,AI347,AI355,AI363,AI371,AI379,AI387,AI395,AI403,AI411,AI419,AI427,AI435,AI443,AI451,AI459,AI467,AI475,AI483,AI491,AI499,AI507,AI515,AI523,AI531,AI539,AI547,AI555,AI563,AI571,AI579,AI587,AI595,AI603,AI611,AI619,AI627,AI635,AI643,AI651,AI659,AI667,AI675,AI683,AI691,AI699,AI707,AI715,AI723,AI731,AI739,AI747,AI755,AI763,AI771,AI779,AI787,AI795,AI803,AI811,AI819,AI827,AI835,AI843,AI851,AI859)</f>
        <v>0</v>
      </c>
      <c r="AJ869" s="34">
        <f t="shared" si="2331"/>
        <v>1908.64</v>
      </c>
      <c r="AM869" s="34">
        <f t="shared" ref="AM869:AN869" si="2332">SUM(AM11,AM19,AM27,AM35,AM43,AM51,AM59,AM67,AM75,AM83,AM91,AM99,AM107,AM115,AM123,AM131,AM139,AM147,AM155,AM163,AM171,AM179,AM187,AM195,AM203,AM211,AM219,AM227,AM235,AM243,AM251,AM259,AM267,AM275,AM283,AM291,AM299,AM307,AM315,AM323,AM331,AM339,AM347,AM355,AM363,AM371,AM379,AM387,AM395,AM403,AM411,AM419,AM427,AM435,AM443,AM451,AM459,AM467,AM475,AM483,AM491,AM499,AM507,AM515,AM523,AM531,AM539,AM547,AM555,AM563,AM571,AM579,AM587,AM595,AM603,AM611,AM619,AM627,AM635,AM643,AM651,AM659,AM667,AM675,AM683,AM691,AM699,AM707,AM715,AM723,AM731,AM739,AM747,AM755,AM763,AM771,AM779,AM787,AM795,AM803,AM811,AM819,AM827,AM835,AM843,AM851,AM859)</f>
        <v>0</v>
      </c>
      <c r="AN869" s="34">
        <f t="shared" si="2332"/>
        <v>1212</v>
      </c>
      <c r="AQ869" s="34">
        <f t="shared" ref="AQ869:AR869" si="2333">SUM(AQ11,AQ19,AQ27,AQ35,AQ43,AQ51,AQ59,AQ67,AQ75,AQ83,AQ91,AQ99,AQ107,AQ115,AQ123,AQ131,AQ139,AQ147,AQ155,AQ163,AQ171,AQ179,AQ187,AQ195,AQ203,AQ211,AQ219,AQ227,AQ235,AQ243,AQ251,AQ259,AQ267,AQ275,AQ283,AQ291,AQ299,AQ307,AQ315,AQ323,AQ331,AQ339,AQ347,AQ355,AQ363,AQ371,AQ379,AQ387,AQ395,AQ403,AQ411,AQ419,AQ427,AQ435,AQ443,AQ451,AQ459,AQ467,AQ475,AQ483,AQ491,AQ499,AQ507,AQ515,AQ523,AQ531,AQ539,AQ547,AQ555,AQ563,AQ571,AQ579,AQ587,AQ595,AQ603,AQ611,AQ619,AQ627,AQ635,AQ643,AQ651,AQ659,AQ667,AQ675,AQ683,AQ691,AQ699,AQ707,AQ715,AQ723,AQ731,AQ739,AQ747,AQ755,AQ763,AQ771,AQ779,AQ787,AQ795,AQ803,AQ811,AQ819,AQ827,AQ835,AQ843,AQ851,AQ859)</f>
        <v>0</v>
      </c>
      <c r="AR869" s="34">
        <f t="shared" si="2333"/>
        <v>1200</v>
      </c>
      <c r="AU869" s="34">
        <f t="shared" ref="AU869:AV869" si="2334">SUM(AU11,AU19,AU27,AU35,AU43,AU51,AU59,AU67,AU75,AU83,AU91,AU99,AU107,AU115,AU123,AU131,AU139,AU147,AU155,AU163,AU171,AU179,AU187,AU195,AU203,AU211,AU219,AU227,AU235,AU243,AU251,AU259,AU267,AU275,AU283,AU291,AU299,AU307,AU315,AU323,AU331,AU339,AU347,AU355,AU363,AU371,AU379,AU387,AU395,AU403,AU411,AU419,AU427,AU435,AU443,AU451,AU459,AU467,AU475,AU483,AU491,AU499,AU507,AU515,AU523,AU531,AU539,AU547,AU555,AU563,AU571,AU579,AU587,AU595,AU603,AU611,AU619,AU627,AU635,AU643,AU651,AU659,AU667,AU675,AU683,AU691,AU699,AU707,AU715,AU723,AU731,AU739,AU747,AU755,AU763,AU771,AU779,AU787,AU795,AU803,AU811,AU819,AU827,AU835,AU843,AU851,AU859)</f>
        <v>0</v>
      </c>
      <c r="AV869" s="34">
        <f t="shared" si="2334"/>
        <v>0</v>
      </c>
      <c r="AY869" s="34">
        <f t="shared" ref="AY869:AZ869" si="2335">SUM(AY11,AY19,AY27,AY35,AY43,AY51,AY59,AY67,AY75,AY83,AY91,AY99,AY107,AY115,AY123,AY131,AY139,AY147,AY155,AY163,AY171,AY179,AY187,AY195,AY203,AY211,AY219,AY227,AY235,AY243,AY251,AY259,AY267,AY275,AY283,AY291,AY299,AY307,AY315,AY323,AY331,AY339,AY347,AY355,AY363,AY371,AY379,AY387,AY395,AY403,AY411,AY419,AY427,AY435,AY443,AY451,AY459,AY467,AY475,AY483,AY491,AY499,AY507,AY515,AY523,AY531,AY539,AY547,AY555,AY563,AY571,AY579,AY587,AY595,AY603,AY611,AY619,AY627,AY635,AY643,AY651,AY659,AY667,AY675,AY683,AY691,AY699,AY707,AY715,AY723,AY731,AY739,AY747,AY755,AY763,AY771,AY779,AY787,AY795,AY803,AY811,AY819,AY827,AY835,AY843,AY851,AY859)</f>
        <v>0</v>
      </c>
      <c r="AZ869" s="34">
        <f t="shared" si="2335"/>
        <v>0</v>
      </c>
      <c r="BC869" s="34">
        <f t="shared" ref="BC869:BD869" si="2336">SUM(BC11,BC19,BC27,BC35,BC43,BC51,BC59,BC67,BC75,BC83,BC91,BC99,BC107,BC115,BC123,BC131,BC139,BC147,BC155,BC163,BC171,BC179,BC187,BC195,BC203,BC211,BC219,BC227,BC235,BC243,BC251,BC259,BC267,BC275,BC283,BC291,BC299,BC307,BC315,BC323,BC331,BC339,BC347,BC355,BC363,BC371,BC379,BC387,BC395,BC403,BC411,BC419,BC427,BC435,BC443,BC451,BC459,BC467,BC475,BC483,BC491,BC499,BC507,BC515,BC523,BC531,BC539,BC547,BC555,BC563,BC571,BC579,BC587,BC595,BC603,BC611,BC619,BC627,BC635,BC643,BC651,BC659,BC667,BC675,BC683,BC691,BC699,BC707,BC715,BC723,BC731,BC739,BC747,BC755,BC763,BC771,BC779,BC787,BC795,BC803,BC811,BC819,BC827,BC835,BC843,BC851,BC859)</f>
        <v>0</v>
      </c>
      <c r="BD869" s="34">
        <f t="shared" si="2336"/>
        <v>0</v>
      </c>
      <c r="BE869" s="41"/>
      <c r="BF869" s="34">
        <f t="shared" ref="BF869:BH869" si="2337">SUM(BF11,BF19,BF27,BF35,BF43,BF51,BF59,BF67,BF75,BF83,BF91,BF99,BF107,BF115,BF123,BF131,BF139,BF147,BF155,BF163,BF171,BF179,BF187,BF195,BF203,BF211,BF219,BF227,BF235,BF243,BF251,BF259,BF267,BF275,BF283,BF291,BF299,BF307,BF315,BF323,BF331,BF339,BF347,BF355,BF363,BF371,BF379,BF387,BF395,BF403,BF411,BF419,BF427,BF435,BF443,BF451,BF459,BF467,BF475,BF483,BF491,BF499,BF507,BF515,BF523,BF531,BF539,BF547,BF555,BF563,BF571,BF579,BF587,BF595,BF603,BF611,BF619,BF627,BF635,BF643,BF651,BF659,BF667,BF675,BF683,BF691,BF699,BF707,BF715,BF723,BF731,BF739,BF747,BF755,BF763,BF771,BF779,BF787,BF795,BF803,BF811,BF819,BF827,BF835,BF843,BF851,BF859)</f>
        <v>7371</v>
      </c>
      <c r="BG869" s="34">
        <f t="shared" si="2337"/>
        <v>5526.64</v>
      </c>
      <c r="BH869" s="35">
        <f t="shared" si="2337"/>
        <v>6641.36</v>
      </c>
    </row>
    <row r="870" ht="15.75" customHeight="1" spans="4:60" x14ac:dyDescent="0.25">
      <c r="D870" s="15" t="s">
        <v>50</v>
      </c>
      <c r="H870" s="34">
        <f t="shared" si="2324"/>
        <v>52325.48</v>
      </c>
      <c r="K870" s="34">
        <f t="shared" ref="K870:L870" si="2338">SUM(K12,K20,K28,K36,K44,K52,K60,K68,K76,K84,K92,K100,K108,K116,K124,K132,K140,K148,K156,K164,K172,K180,K188,K196,K204,K212,K220,K228,K236,K244,K252,K260,K268,K276,K284,K292,K300,K308,K316,K324,K332,K340,K348,K356,K364,K372,K380,K388,K396,K404,K412,K420,K428,K436,K444,K452,K460,K468,K476,K484,K492,K500,K508,K516,K524,K532,K540,K548,K556,K564,K572,K580,K588,K596,K604,K612,K620,K628,K636,K644,K652,K660,K668,K676,K684,K692,K700,K708,K716,K724,K732,K740,K748,K756,K764,K772,K780,K788,K796,K804,K812,K820,K828,K836,K844,K852,K860)</f>
        <v>0</v>
      </c>
      <c r="L870" s="34">
        <f t="shared" si="2338"/>
        <v>0</v>
      </c>
      <c r="O870" s="34">
        <f t="shared" ref="O870:P870" si="2339">SUM(O12,O20,O28,O36,O44,O52,O60,O68,O76,O84,O92,O100,O108,O116,O124,O132,O140,O148,O156,O164,O172,O180,O188,O196,O204,O212,O220,O228,O236,O244,O252,O260,O268,O276,O284,O292,O300,O308,O316,O324,O332,O340,O348,O356,O364,O372,O380,O388,O396,O404,O412,O420,O428,O436,O444,O452,O460,O468,O476,O484,O492,O500,O508,O516,O524,O532,O540,O548,O556,O564,O572,O580,O588,O596,O604,O612,O620,O628,O636,O644,O652,O660,O668,O676,O684,O692,O700,O708,O716,O724,O732,O740,O748,O756,O764,O772,O780,O788,O796,O804,O812,O820,O828,O836,O844,O852,O860)</f>
        <v>0</v>
      </c>
      <c r="P870" s="34">
        <f t="shared" si="2339"/>
        <v>0</v>
      </c>
      <c r="S870" s="34">
        <f t="shared" ref="S870:T870" si="2340">SUM(S12,S20,S28,S36,S44,S52,S60,S68,S76,S84,S92,S100,S108,S116,S124,S132,S140,S148,S156,S164,S172,S180,S188,S196,S204,S212,S220,S228,S236,S244,S252,S260,S268,S276,S284,S292,S300,S308,S316,S324,S332,S340,S348,S356,S364,S372,S380,S388,S396,S404,S412,S420,S428,S436,S444,S452,S460,S468,S476,S484,S492,S500,S508,S516,S524,S532,S540,S548,S556,S564,S572,S580,S588,S596,S604,S612,S620,S628,S636,S644,S652,S660,S668,S676,S684,S692,S700,S708,S716,S724,S732,S740,S748,S756,S764,S772,S780,S788,S796,S804,S812,S820,S828,S836,S844,S852,S860)</f>
        <v>0</v>
      </c>
      <c r="T870" s="34">
        <f t="shared" si="2340"/>
        <v>0</v>
      </c>
      <c r="W870" s="34">
        <f t="shared" ref="W870:X870" si="2341">SUM(W12,W20,W28,W36,W44,W52,W60,W68,W76,W84,W92,W100,W108,W116,W124,W132,W140,W148,W156,W164,W172,W180,W188,W196,W204,W212,W220,W228,W236,W244,W252,W260,W268,W276,W284,W292,W300,W308,W316,W324,W332,W340,W348,W356,W364,W372,W380,W388,W396,W404,W412,W420,W428,W436,W444,W452,W460,W468,W476,W484,W492,W500,W508,W516,W524,W532,W540,W548,W556,W564,W572,W580,W588,W596,W604,W612,W620,W628,W636,W644,W652,W660,W668,W676,W684,W692,W700,W708,W716,W724,W732,W740,W748,W756,W764,W772,W780,W788,W796,W804,W812,W820,W828,W836,W844,W852,W860)</f>
        <v>0</v>
      </c>
      <c r="X870" s="34">
        <f t="shared" si="2341"/>
        <v>0</v>
      </c>
      <c r="AA870" s="34">
        <f t="shared" ref="AA870:AB870" si="2342">SUM(AA12,AA20,AA28,AA36,AA44,AA52,AA60,AA68,AA76,AA84,AA92,AA100,AA108,AA116,AA124,AA132,AA140,AA148,AA156,AA164,AA172,AA180,AA188,AA196,AA204,AA212,AA220,AA228,AA236,AA244,AA252,AA260,AA268,AA276,AA284,AA292,AA300,AA308,AA316,AA324,AA332,AA340,AA348,AA356,AA364,AA372,AA380,AA388,AA396,AA404,AA412,AA420,AA428,AA436,AA444,AA452,AA460,AA468,AA476,AA484,AA492,AA500,AA508,AA516,AA524,AA532,AA540,AA548,AA556,AA564,AA572,AA580,AA588,AA596,AA604,AA612,AA620,AA628,AA636,AA644,AA652,AA660,AA668,AA676,AA684,AA692,AA700,AA708,AA716,AA724,AA732,AA740,AA748,AA756,AA764,AA772,AA780,AA788,AA796,AA804,AA812,AA820,AA828,AA836,AA844,AA852,AA860)</f>
        <v>0</v>
      </c>
      <c r="AB870" s="34">
        <f t="shared" si="2342"/>
        <v>0</v>
      </c>
      <c r="AE870" s="104">
        <f t="shared" ref="AE870:AF870" si="2343">SUM(AE12,AE20,AE28,AE36,AE44,AE52,AE60,AE68,AE76,AE84,AE92,AE100,AE108,AE116,AE124,AE132,AE140,AE148,AE156,AE164,AE172,AE180,AE188,AE196,AE204,AE212,AE220,AE228,AE236,AE244,AE252,AE260,AE268,AE276,AE284,AE292,AE300,AE308,AE316,AE324,AE332,AE340,AE348,AE356,AE364,AE372,AE380,AE388,AE396,AE404,AE412,AE420,AE428,AE436,AE444,AE452,AE460,AE468,AE476,AE484,AE492,AE500,AE508,AE516,AE524,AE532,AE540,AE548,AE556,AE564,AE572,AE580,AE588,AE596,AE604,AE612,AE620,AE628,AE636,AE644,AE652,AE660,AE668,AE676,AE684,AE692,AE700,AE708,AE716,AE724,AE732,AE740,AE748,AE756,AE764,AE772,AE780,AE788,AE796,AE804,AE812,AE820,AE828,AE836,AE844,AE852,AE860)</f>
        <v>533289.4112</v>
      </c>
      <c r="AF870" s="34">
        <f t="shared" si="2343"/>
        <v>183457.16</v>
      </c>
      <c r="AI870" s="34">
        <f t="shared" ref="AI870:AJ870" si="2344">SUM(AI12,AI20,AI28,AI36,AI44,AI52,AI60,AI68,AI76,AI84,AI92,AI100,AI108,AI116,AI124,AI132,AI140,AI148,AI156,AI164,AI172,AI180,AI188,AI196,AI204,AI212,AI220,AI228,AI236,AI244,AI252,AI260,AI268,AI276,AI284,AI292,AI300,AI308,AI316,AI324,AI332,AI340,AI348,AI356,AI364,AI372,AI380,AI388,AI396,AI404,AI412,AI420,AI428,AI436,AI444,AI452,AI460,AI468,AI476,AI484,AI492,AI500,AI508,AI516,AI524,AI532,AI540,AI548,AI556,AI564,AI572,AI580,AI588,AI596,AI604,AI612,AI620,AI628,AI636,AI644,AI652,AI660,AI668,AI676,AI684,AI692,AI700,AI708,AI716,AI724,AI732,AI740,AI748,AI756,AI764,AI772,AI780,AI788,AI796,AI804,AI812,AI820,AI828,AI836,AI844,AI852,AI860)</f>
        <v>0</v>
      </c>
      <c r="AJ870" s="34">
        <f t="shared" si="2344"/>
        <v>107670.51</v>
      </c>
      <c r="AM870" s="34">
        <f t="shared" ref="AM870:AN870" si="2345">SUM(AM12,AM20,AM28,AM36,AM44,AM52,AM60,AM68,AM76,AM84,AM92,AM100,AM108,AM116,AM124,AM132,AM140,AM148,AM156,AM164,AM172,AM180,AM188,AM196,AM204,AM212,AM220,AM228,AM236,AM244,AM252,AM260,AM268,AM276,AM284,AM292,AM300,AM308,AM316,AM324,AM332,AM340,AM348,AM356,AM364,AM372,AM380,AM388,AM396,AM404,AM412,AM420,AM428,AM436,AM444,AM452,AM460,AM468,AM476,AM484,AM492,AM500,AM508,AM516,AM524,AM532,AM540,AM548,AM556,AM564,AM572,AM580,AM588,AM596,AM604,AM612,AM620,AM628,AM636,AM644,AM652,AM660,AM668,AM676,AM684,AM692,AM700,AM708,AM716,AM724,AM732,AM740,AM748,AM756,AM764,AM772,AM780,AM788,AM796,AM804,AM812,AM820,AM828,AM836,AM844,AM852,AM860)</f>
        <v>0</v>
      </c>
      <c r="AN870" s="34">
        <f t="shared" si="2345"/>
        <v>109681.7</v>
      </c>
      <c r="AQ870" s="34">
        <f t="shared" ref="AQ870:AR870" si="2346">SUM(AQ12,AQ20,AQ28,AQ36,AQ44,AQ52,AQ60,AQ68,AQ76,AQ84,AQ92,AQ100,AQ108,AQ116,AQ124,AQ132,AQ140,AQ148,AQ156,AQ164,AQ172,AQ180,AQ188,AQ196,AQ204,AQ212,AQ220,AQ228,AQ236,AQ244,AQ252,AQ260,AQ268,AQ276,AQ284,AQ292,AQ300,AQ308,AQ316,AQ324,AQ332,AQ340,AQ348,AQ356,AQ364,AQ372,AQ380,AQ388,AQ396,AQ404,AQ412,AQ420,AQ428,AQ436,AQ444,AQ452,AQ460,AQ468,AQ476,AQ484,AQ492,AQ500,AQ508,AQ516,AQ524,AQ532,AQ540,AQ548,AQ556,AQ564,AQ572,AQ580,AQ588,AQ596,AQ604,AQ612,AQ620,AQ628,AQ636,AQ644,AQ652,AQ660,AQ668,AQ676,AQ684,AQ692,AQ700,AQ708,AQ716,AQ724,AQ732,AQ740,AQ748,AQ756,AQ764,AQ772,AQ780,AQ788,AQ796,AQ804,AQ812,AQ820,AQ828,AQ836,AQ844,AQ852,AQ860)</f>
        <v>0</v>
      </c>
      <c r="AR870" s="34">
        <f t="shared" si="2346"/>
        <v>56116.18</v>
      </c>
      <c r="AU870" s="34">
        <f t="shared" ref="AU870:AV870" si="2347">SUM(AU12,AU20,AU28,AU36,AU44,AU52,AU60,AU68,AU76,AU84,AU92,AU100,AU108,AU116,AU124,AU132,AU140,AU148,AU156,AU164,AU172,AU180,AU188,AU196,AU204,AU212,AU220,AU228,AU236,AU244,AU252,AU260,AU268,AU276,AU284,AU292,AU300,AU308,AU316,AU324,AU332,AU340,AU348,AU356,AU364,AU372,AU380,AU388,AU396,AU404,AU412,AU420,AU428,AU436,AU444,AU452,AU460,AU468,AU476,AU484,AU492,AU500,AU508,AU516,AU524,AU532,AU540,AU548,AU556,AU564,AU572,AU580,AU588,AU596,AU604,AU612,AU620,AU628,AU636,AU644,AU652,AU660,AU668,AU676,AU684,AU692,AU700,AU708,AU716,AU724,AU732,AU740,AU748,AU756,AU764,AU772,AU780,AU788,AU796,AU804,AU812,AU820,AU828,AU836,AU844,AU852,AU860)</f>
        <v>0</v>
      </c>
      <c r="AV870" s="34">
        <f t="shared" si="2347"/>
        <v>0</v>
      </c>
      <c r="AY870" s="34">
        <f t="shared" ref="AY870:AZ870" si="2348">SUM(AY12,AY20,AY28,AY36,AY44,AY52,AY60,AY68,AY76,AY84,AY92,AY100,AY108,AY116,AY124,AY132,AY140,AY148,AY156,AY164,AY172,AY180,AY188,AY196,AY204,AY212,AY220,AY228,AY236,AY244,AY252,AY260,AY268,AY276,AY284,AY292,AY300,AY308,AY316,AY324,AY332,AY340,AY348,AY356,AY364,AY372,AY380,AY388,AY396,AY404,AY412,AY420,AY428,AY436,AY444,AY452,AY460,AY468,AY476,AY484,AY492,AY500,AY508,AY516,AY524,AY532,AY540,AY548,AY556,AY564,AY572,AY580,AY588,AY596,AY604,AY612,AY620,AY628,AY636,AY644,AY652,AY660,AY668,AY676,AY684,AY692,AY700,AY708,AY716,AY724,AY732,AY740,AY748,AY756,AY764,AY772,AY780,AY788,AY796,AY804,AY812,AY820,AY828,AY836,AY844,AY852,AY860)</f>
        <v>0</v>
      </c>
      <c r="AZ870" s="34">
        <f t="shared" si="2348"/>
        <v>15087.75</v>
      </c>
      <c r="BC870" s="34">
        <f t="shared" ref="BC870:BD870" si="2349">SUM(BC12,BC20,BC28,BC36,BC44,BC52,BC60,BC68,BC76,BC84,BC92,BC100,BC108,BC116,BC124,BC132,BC140,BC148,BC156,BC164,BC172,BC180,BC188,BC196,BC204,BC212,BC220,BC228,BC236,BC244,BC252,BC260,BC268,BC276,BC284,BC292,BC300,BC308,BC316,BC324,BC332,BC340,BC348,BC356,BC364,BC372,BC380,BC388,BC396,BC404,BC412,BC420,BC428,BC436,BC444,BC452,BC460,BC468,BC476,BC484,BC492,BC500,BC508,BC516,BC524,BC532,BC540,BC548,BC556,BC564,BC572,BC580,BC588,BC596,BC604,BC612,BC620,BC628,BC636,BC644,BC652,BC660,BC668,BC676,BC684,BC692,BC700,BC708,BC716,BC724,BC732,BC740,BC748,BC756,BC764,BC772,BC780,BC788,BC796,BC804,BC812,BC820,BC828,BC836,BC844,BC852,BC860)</f>
        <v>0</v>
      </c>
      <c r="BD870" s="34">
        <f t="shared" si="2349"/>
        <v>0</v>
      </c>
      <c r="BE870" s="41"/>
      <c r="BF870" s="34">
        <f t="shared" ref="BF870:BH870" si="2350">SUM(BF12,BF20,BF28,BF36,BF44,BF52,BF60,BF68,BF76,BF84,BF92,BF100,BF108,BF116,BF124,BF132,BF140,BF148,BF156,BF164,BF172,BF180,BF188,BF196,BF204,BF212,BF220,BF228,BF236,BF244,BF252,BF260,BF268,BF276,BF284,BF292,BF300,BF308,BF316,BF324,BF332,BF340,BF348,BF356,BF364,BF372,BF380,BF388,BF396,BF404,BF412,BF420,BF428,BF436,BF444,BF452,BF460,BF468,BF476,BF484,BF492,BF500,BF508,BF516,BF524,BF532,BF540,BF548,BF556,BF564,BF572,BF580,BF588,BF596,BF604,BF612,BF620,BF628,BF636,BF644,BF652,BF660,BF668,BF676,BF684,BF692,BF700,BF708,BF716,BF724,BF732,BF740,BF748,BF756,BF764,BF772,BF780,BF788,BF796,BF804,BF812,BF820,BF828,BF836,BF844,BF852,BF860)</f>
        <v>533289.4112</v>
      </c>
      <c r="BG870" s="34">
        <f t="shared" si="2350"/>
        <v>472013.3</v>
      </c>
      <c r="BH870" s="35">
        <f t="shared" si="2350"/>
        <v>113601.5912</v>
      </c>
    </row>
    <row r="871" ht="15.75" customHeight="1" spans="4:60" x14ac:dyDescent="0.25">
      <c r="D871" s="15" t="s">
        <v>51</v>
      </c>
      <c r="H871" s="34">
        <f t="shared" si="2324"/>
        <v>48149</v>
      </c>
      <c r="K871" s="34">
        <f t="shared" ref="K871:L871" si="2351">SUM(K13,K21,K29,K37,K45,K53,K61,K69,K77,K85,K93,K101,K109,K117,K125,K133,K141,K149,K157,K165,K173,K181,K189,K197,K205,K213,K221,K229,K237,K245,K253,K261,K269,K277,K285,K293,K301,K309,K317,K325,K333,K341,K349,K357,K365,K373,K381,K389,K397,K405,K413,K421,K429,K437,K445,K453,K461,K469,K477,K485,K493,K501,K509,K517,K525,K533,K541,K549,K557,K565,K573,K581,K589,K597,K605,K613,K621,K629,K637,K645,K653,K661,K669,K677,K685,K693,K701,K709,K717,K725,K733,K741,K749,K757,K765,K773,K781,K789,K797,K805,K813,K821,K829,K837,K845,K853,K861)</f>
        <v>0</v>
      </c>
      <c r="L871" s="34">
        <f t="shared" si="2351"/>
        <v>0</v>
      </c>
      <c r="O871" s="34">
        <f t="shared" ref="O871:P871" si="2352">SUM(O13,O21,O29,O37,O45,O53,O61,O69,O77,O85,O93,O101,O109,O117,O125,O133,O141,O149,O157,O165,O173,O181,O189,O197,O205,O213,O221,O229,O237,O245,O253,O261,O269,O277,O285,O293,O301,O309,O317,O325,O333,O341,O349,O357,O365,O373,O381,O389,O397,O405,O413,O421,O429,O437,O445,O453,O461,O469,O477,O485,O493,O501,O509,O517,O525,O533,O541,O549,O557,O565,O573,O581,O589,O597,O605,O613,O621,O629,O637,O645,O653,O661,O669,O677,O685,O693,O701,O709,O717,O725,O733,O741,O749,O757,O765,O773,O781,O789,O797,O805,O813,O821,O829,O837,O845,O853,O861)</f>
        <v>0</v>
      </c>
      <c r="P871" s="34">
        <f t="shared" si="2352"/>
        <v>0</v>
      </c>
      <c r="S871" s="34">
        <f t="shared" ref="S871:T871" si="2353">SUM(S13,S21,S29,S37,S45,S53,S61,S69,S77,S85,S93,S101,S109,S117,S125,S133,S141,S149,S157,S165,S173,S181,S189,S197,S205,S213,S221,S229,S237,S245,S253,S261,S269,S277,S285,S293,S301,S309,S317,S325,S333,S341,S349,S357,S365,S373,S381,S389,S397,S405,S413,S421,S429,S437,S445,S453,S461,S469,S477,S485,S493,S501,S509,S517,S525,S533,S541,S549,S557,S565,S573,S581,S589,S597,S605,S613,S621,S629,S637,S645,S653,S661,S669,S677,S685,S693,S701,S709,S717,S725,S733,S741,S749,S757,S765,S773,S781,S789,S797,S805,S813,S821,S829,S837,S845,S853,S861)</f>
        <v>0</v>
      </c>
      <c r="T871" s="34">
        <f t="shared" si="2353"/>
        <v>0</v>
      </c>
      <c r="W871" s="34">
        <f t="shared" ref="W871:X871" si="2354">SUM(W13,W21,W29,W37,W45,W53,W61,W69,W77,W85,W93,W101,W109,W117,W125,W133,W141,W149,W157,W165,W173,W181,W189,W197,W205,W213,W221,W229,W237,W245,W253,W261,W269,W277,W285,W293,W301,W309,W317,W325,W333,W341,W349,W357,W365,W373,W381,W389,W397,W405,W413,W421,W429,W437,W445,W453,W461,W469,W477,W485,W493,W501,W509,W517,W525,W533,W541,W549,W557,W565,W573,W581,W589,W597,W605,W613,W621,W629,W637,W645,W653,W661,W669,W677,W685,W693,W701,W709,W717,W725,W733,W741,W749,W757,W765,W773,W781,W789,W797,W805,W813,W821,W829,W837,W845,W853,W861)</f>
        <v>0</v>
      </c>
      <c r="X871" s="34">
        <f t="shared" si="2354"/>
        <v>0</v>
      </c>
      <c r="AA871" s="34">
        <f t="shared" ref="AA871:AB871" si="2355">SUM(AA13,AA21,AA29,AA37,AA45,AA53,AA61,AA69,AA77,AA85,AA93,AA101,AA109,AA117,AA125,AA133,AA141,AA149,AA157,AA165,AA173,AA181,AA189,AA197,AA205,AA213,AA221,AA229,AA237,AA245,AA253,AA261,AA269,AA277,AA285,AA293,AA301,AA309,AA317,AA325,AA333,AA341,AA349,AA357,AA365,AA373,AA381,AA389,AA397,AA405,AA413,AA421,AA429,AA437,AA445,AA453,AA461,AA469,AA477,AA485,AA493,AA501,AA509,AA517,AA525,AA533,AA541,AA549,AA557,AA565,AA573,AA581,AA589,AA597,AA605,AA613,AA621,AA629,AA637,AA645,AA653,AA661,AA669,AA677,AA685,AA693,AA701,AA709,AA717,AA725,AA733,AA741,AA749,AA757,AA765,AA773,AA781,AA789,AA797,AA805,AA813,AA821,AA829,AA837,AA845,AA853,AA861)</f>
        <v>0</v>
      </c>
      <c r="AB871" s="34">
        <f t="shared" si="2355"/>
        <v>0</v>
      </c>
      <c r="AE871" s="34">
        <f t="shared" ref="AE871:AF871" si="2356">SUM(AE13,AE21,AE29,AE37,AE45,AE53,AE61,AE69,AE77,AE85,AE93,AE101,AE109,AE117,AE125,AE133,AE141,AE149,AE157,AE165,AE173,AE181,AE189,AE197,AE205,AE213,AE221,AE229,AE237,AE245,AE253,AE261,AE269,AE277,AE285,AE293,AE301,AE309,AE317,AE325,AE333,AE341,AE349,AE357,AE365,AE373,AE381,AE389,AE397,AE405,AE413,AE421,AE429,AE437,AE445,AE453,AE461,AE469,AE477,AE485,AE493,AE501,AE509,AE517,AE525,AE533,AE541,AE549,AE557,AE565,AE573,AE581,AE589,AE597,AE605,AE613,AE621,AE629,AE637,AE645,AE653,AE661,AE669,AE677,AE685,AE693,AE701,AE709,AE717,AE725,AE733,AE741,AE749,AE757,AE765,AE773,AE781,AE789,AE797,AE805,AE813,AE821,AE829,AE837,AE845,AE853,AE861)</f>
        <v>0</v>
      </c>
      <c r="AF871" s="34">
        <f t="shared" si="2356"/>
        <v>0</v>
      </c>
      <c r="AI871" s="34">
        <f t="shared" ref="AI871:AJ871" si="2357">SUM(AI13,AI21,AI29,AI37,AI45,AI53,AI61,AI69,AI77,AI85,AI93,AI101,AI109,AI117,AI125,AI133,AI141,AI149,AI157,AI165,AI173,AI181,AI189,AI197,AI205,AI213,AI221,AI229,AI237,AI245,AI253,AI261,AI269,AI277,AI285,AI293,AI301,AI309,AI317,AI325,AI333,AI341,AI349,AI357,AI365,AI373,AI381,AI389,AI397,AI405,AI413,AI421,AI429,AI437,AI445,AI453,AI461,AI469,AI477,AI485,AI493,AI501,AI509,AI517,AI525,AI533,AI541,AI549,AI557,AI565,AI573,AI581,AI589,AI597,AI605,AI613,AI621,AI629,AI637,AI645,AI653,AI661,AI669,AI677,AI685,AI693,AI701,AI709,AI717,AI725,AI733,AI741,AI749,AI757,AI765,AI773,AI781,AI789,AI797,AI805,AI813,AI821,AI829,AI837,AI845,AI853,AI861)</f>
        <v>0</v>
      </c>
      <c r="AJ871" s="34">
        <f t="shared" si="2357"/>
        <v>3740</v>
      </c>
      <c r="AM871" s="34">
        <f t="shared" ref="AM871:AN871" si="2358">SUM(AM13,AM21,AM29,AM37,AM45,AM53,AM61,AM69,AM77,AM85,AM93,AM101,AM109,AM117,AM125,AM133,AM141,AM149,AM157,AM165,AM173,AM181,AM189,AM197,AM205,AM213,AM221,AM229,AM237,AM245,AM253,AM261,AM269,AM277,AM285,AM293,AM301,AM309,AM317,AM325,AM333,AM341,AM349,AM357,AM365,AM373,AM381,AM389,AM397,AM405,AM413,AM421,AM429,AM437,AM445,AM453,AM461,AM469,AM477,AM485,AM493,AM501,AM509,AM517,AM525,AM533,AM541,AM549,AM557,AM565,AM573,AM581,AM589,AM597,AM605,AM613,AM621,AM629,AM637,AM645,AM653,AM661,AM669,AM677,AM685,AM693,AM701,AM709,AM717,AM725,AM733,AM741,AM749,AM757,AM765,AM773,AM781,AM789,AM797,AM805,AM813,AM821,AM829,AM837,AM845,AM853,AM861)</f>
        <v>0</v>
      </c>
      <c r="AN871" s="34">
        <f t="shared" si="2358"/>
        <v>800</v>
      </c>
      <c r="AQ871" s="34">
        <f t="shared" ref="AQ871:AR871" si="2359">SUM(AQ13,AQ21,AQ29,AQ37,AQ45,AQ53,AQ61,AQ69,AQ77,AQ85,AQ93,AQ101,AQ109,AQ117,AQ125,AQ133,AQ141,AQ149,AQ157,AQ165,AQ173,AQ181,AQ189,AQ197,AQ205,AQ213,AQ221,AQ229,AQ237,AQ245,AQ253,AQ261,AQ269,AQ277,AQ285,AQ293,AQ301,AQ309,AQ317,AQ325,AQ333,AQ341,AQ349,AQ357,AQ365,AQ373,AQ381,AQ389,AQ397,AQ405,AQ413,AQ421,AQ429,AQ437,AQ445,AQ453,AQ461,AQ469,AQ477,AQ485,AQ493,AQ501,AQ509,AQ517,AQ525,AQ533,AQ541,AQ549,AQ557,AQ565,AQ573,AQ581,AQ589,AQ597,AQ605,AQ613,AQ621,AQ629,AQ637,AQ645,AQ653,AQ661,AQ669,AQ677,AQ685,AQ693,AQ701,AQ709,AQ717,AQ725,AQ733,AQ741,AQ749,AQ757,AQ765,AQ773,AQ781,AQ789,AQ797,AQ805,AQ813,AQ821,AQ829,AQ837,AQ845,AQ853,AQ861)</f>
        <v>0</v>
      </c>
      <c r="AR871" s="34">
        <f t="shared" si="2359"/>
        <v>16</v>
      </c>
      <c r="AU871" s="34">
        <f t="shared" ref="AU871:AV871" si="2360">SUM(AU13,AU21,AU29,AU37,AU45,AU53,AU61,AU69,AU77,AU85,AU93,AU101,AU109,AU117,AU125,AU133,AU141,AU149,AU157,AU165,AU173,AU181,AU189,AU197,AU205,AU213,AU221,AU229,AU237,AU245,AU253,AU261,AU269,AU277,AU285,AU293,AU301,AU309,AU317,AU325,AU333,AU341,AU349,AU357,AU365,AU373,AU381,AU389,AU397,AU405,AU413,AU421,AU429,AU437,AU445,AU453,AU461,AU469,AU477,AU485,AU493,AU501,AU509,AU517,AU525,AU533,AU541,AU549,AU557,AU565,AU573,AU581,AU589,AU597,AU605,AU613,AU621,AU629,AU637,AU645,AU653,AU661,AU669,AU677,AU685,AU693,AU701,AU709,AU717,AU725,AU733,AU741,AU749,AU757,AU765,AU773,AU781,AU789,AU797,AU805,AU813,AU821,AU829,AU837,AU845,AU853,AU861)</f>
        <v>0</v>
      </c>
      <c r="AV871" s="34">
        <f t="shared" si="2360"/>
        <v>0</v>
      </c>
      <c r="AY871" s="34">
        <f t="shared" ref="AY871:AZ871" si="2361">SUM(AY13,AY21,AY29,AY37,AY45,AY53,AY61,AY69,AY77,AY85,AY93,AY101,AY109,AY117,AY125,AY133,AY141,AY149,AY157,AY165,AY173,AY181,AY189,AY197,AY205,AY213,AY221,AY229,AY237,AY245,AY253,AY261,AY269,AY277,AY285,AY293,AY301,AY309,AY317,AY325,AY333,AY341,AY349,AY357,AY365,AY373,AY381,AY389,AY397,AY405,AY413,AY421,AY429,AY437,AY445,AY453,AY461,AY469,AY477,AY485,AY493,AY501,AY509,AY517,AY525,AY533,AY541,AY549,AY557,AY565,AY573,AY581,AY589,AY597,AY605,AY613,AY621,AY629,AY637,AY645,AY653,AY661,AY669,AY677,AY685,AY693,AY701,AY709,AY717,AY725,AY733,AY741,AY749,AY757,AY765,AY773,AY781,AY789,AY797,AY805,AY813,AY821,AY829,AY837,AY845,AY853,AY861)</f>
        <v>0</v>
      </c>
      <c r="AZ871" s="34">
        <f t="shared" si="2361"/>
        <v>0</v>
      </c>
      <c r="BC871" s="34">
        <f t="shared" ref="BC871:BD871" si="2362">SUM(BC13,BC21,BC29,BC37,BC45,BC53,BC61,BC69,BC77,BC85,BC93,BC101,BC109,BC117,BC125,BC133,BC141,BC149,BC157,BC165,BC173,BC181,BC189,BC197,BC205,BC213,BC221,BC229,BC237,BC245,BC253,BC261,BC269,BC277,BC285,BC293,BC301,BC309,BC317,BC325,BC333,BC341,BC349,BC357,BC365,BC373,BC381,BC389,BC397,BC405,BC413,BC421,BC429,BC437,BC445,BC453,BC461,BC469,BC477,BC485,BC493,BC501,BC509,BC517,BC525,BC533,BC541,BC549,BC557,BC565,BC573,BC581,BC589,BC597,BC605,BC613,BC621,BC629,BC637,BC645,BC653,BC661,BC669,BC677,BC685,BC693,BC701,BC709,BC717,BC725,BC733,BC741,BC749,BC757,BC765,BC773,BC781,BC789,BC797,BC805,BC813,BC821,BC829,BC837,BC845,BC853,BC861)</f>
        <v>2000</v>
      </c>
      <c r="BD871" s="34">
        <f t="shared" si="2362"/>
        <v>2000</v>
      </c>
      <c r="BE871" s="41"/>
      <c r="BF871" s="34">
        <f t="shared" ref="BF871:BH871" si="2363">SUM(BF13,BF21,BF29,BF37,BF45,BF53,BF61,BF69,BF77,BF85,BF93,BF101,BF109,BF117,BF125,BF133,BF141,BF149,BF157,BF165,BF173,BF181,BF189,BF197,BF205,BF213,BF221,BF229,BF237,BF245,BF253,BF261,BF269,BF277,BF285,BF293,BF301,BF309,BF317,BF325,BF333,BF341,BF349,BF357,BF365,BF373,BF381,BF389,BF397,BF405,BF413,BF421,BF429,BF437,BF445,BF453,BF461,BF469,BF477,BF485,BF493,BF501,BF509,BF517,BF525,BF533,BF541,BF549,BF557,BF565,BF573,BF581,BF589,BF597,BF605,BF613,BF621,BF629,BF637,BF645,BF653,BF661,BF669,BF677,BF685,BF693,BF701,BF709,BF717,BF725,BF733,BF741,BF749,BF757,BF765,BF773,BF781,BF789,BF797,BF805,BF813,BF821,BF829,BF837,BF845,BF853,BF861)</f>
        <v>2000</v>
      </c>
      <c r="BG871" s="34">
        <f t="shared" si="2363"/>
        <v>6556</v>
      </c>
      <c r="BH871" s="35">
        <f t="shared" si="2363"/>
        <v>43593</v>
      </c>
    </row>
    <row r="872" ht="15.75" customHeight="1" spans="4:60" x14ac:dyDescent="0.25">
      <c r="D872" s="15" t="s">
        <v>52</v>
      </c>
      <c r="H872" s="34">
        <f t="shared" si="2324"/>
        <v>-1700</v>
      </c>
      <c r="K872" s="34">
        <f t="shared" ref="K872:L872" si="2364">SUM(K14,K22,K30,K38,K46,K54,K62,K70,K78,K86,K94,K102,K110,K118,K126,K134,K142,K150,K158,K166,K174,K182,K190,K198,K206,K214,K222,K230,K238,K246,K254,K262,K270,K278,K286,K294,K302,K310,K318,K326,K334,K342,K350,K358,K366,K374,K382,K390,K398,K406,K414,K422,K430,K438,K446,K454,K462,K470,K478,K486,K494,K502,K510,K518,K526,K534,K542,K550,K558,K566,K574,K582,K590,K598,K606,K614,K622,K630,K638,K646,K654,K662,K670,K678,K686,K694,K702,K710,K718,K726,K734,K742,K750,K758,K766,K774,K782,K790,K798,K806,K814,K822,K830,K838,K846,K854,K862)</f>
        <v>0</v>
      </c>
      <c r="L872" s="34">
        <f t="shared" si="2364"/>
        <v>0</v>
      </c>
      <c r="O872" s="34">
        <f t="shared" ref="O872:P872" si="2365">SUM(O14,O22,O30,O38,O46,O54,O62,O70,O78,O86,O94,O102,O110,O118,O126,O134,O142,O150,O158,O166,O174,O182,O190,O198,O206,O214,O222,O230,O238,O246,O254,O262,O270,O278,O286,O294,O302,O310,O318,O326,O334,O342,O350,O358,O366,O374,O382,O390,O398,O406,O414,O422,O430,O438,O446,O454,O462,O470,O478,O486,O494,O502,O510,O518,O526,O534,O542,O550,O558,O566,O574,O582,O590,O598,O606,O614,O622,O630,O638,O646,O654,O662,O670,O678,O686,O694,O702,O710,O718,O726,O734,O742,O750,O758,O766,O774,O782,O790,O798,O806,O814,O822,O830,O838,O846,O854,O862)</f>
        <v>0</v>
      </c>
      <c r="P872" s="34">
        <f t="shared" si="2365"/>
        <v>0</v>
      </c>
      <c r="S872" s="34">
        <f t="shared" ref="S872:T872" si="2366">SUM(S14,S22,S30,S38,S46,S54,S62,S70,S78,S86,S94,S102,S110,S118,S126,S134,S142,S150,S158,S166,S174,S182,S190,S198,S206,S214,S222,S230,S238,S246,S254,S262,S270,S278,S286,S294,S302,S310,S318,S326,S334,S342,S350,S358,S366,S374,S382,S390,S398,S406,S414,S422,S430,S438,S446,S454,S462,S470,S478,S486,S494,S502,S510,S518,S526,S534,S542,S550,S558,S566,S574,S582,S590,S598,S606,S614,S622,S630,S638,S646,S654,S662,S670,S678,S686,S694,S702,S710,S718,S726,S734,S742,S750,S758,S766,S774,S782,S790,S798,S806,S814,S822,S830,S838,S846,S854,S862)</f>
        <v>0</v>
      </c>
      <c r="T872" s="34">
        <f t="shared" si="2366"/>
        <v>0</v>
      </c>
      <c r="W872" s="34">
        <f t="shared" ref="W872:X872" si="2367">SUM(W14,W22,W30,W38,W46,W54,W62,W70,W78,W86,W94,W102,W110,W118,W126,W134,W142,W150,W158,W166,W174,W182,W190,W198,W206,W214,W222,W230,W238,W246,W254,W262,W270,W278,W286,W294,W302,W310,W318,W326,W334,W342,W350,W358,W366,W374,W382,W390,W398,W406,W414,W422,W430,W438,W446,W454,W462,W470,W478,W486,W494,W502,W510,W518,W526,W534,W542,W550,W558,W566,W574,W582,W590,W598,W606,W614,W622,W630,W638,W646,W654,W662,W670,W678,W686,W694,W702,W710,W718,W726,W734,W742,W750,W758,W766,W774,W782,W790,W798,W806,W814,W822,W830,W838,W846,W854,W862)</f>
        <v>0</v>
      </c>
      <c r="X872" s="34">
        <f t="shared" si="2367"/>
        <v>0</v>
      </c>
      <c r="AA872" s="104">
        <f t="shared" ref="AA872:AB872" si="2368">SUM(AA14,AA22,AA30,AA38,AA46,AA54,AA62,AA70,AA78,AA86,AA94,AA102,AA110,AA118,AA126,AA134,AA142,AA150,AA158,AA166,AA174,AA182,AA190,AA198,AA206,AA214,AA222,AA230,AA238,AA246,AA254,AA262,AA270,AA278,AA286,AA294,AA302,AA310,AA318,AA326,AA334,AA342,AA350,AA358,AA366,AA374,AA382,AA390,AA398,AA406,AA414,AA422,AA430,AA438,AA446,AA454,AA462,AA470,AA478,AA486,AA494,AA502,AA510,AA518,AA526,AA534,AA542,AA550,AA558,AA566,AA574,AA582,AA590,AA598,AA606,AA614,AA622,AA630,AA638,AA646,AA654,AA662,AA670,AA678,AA686,AA694,AA702,AA710,AA718,AA726,AA734,AA742,AA750,AA758,AA766,AA774,AA782,AA790,AA798,AA806,AA814,AA822,AA830,AA838,AA846,AA854,AA862)</f>
        <v>39550</v>
      </c>
      <c r="AB872" s="34">
        <f t="shared" si="2368"/>
        <v>12250</v>
      </c>
      <c r="AE872" s="34">
        <f t="shared" ref="AE872:AF872" si="2369">SUM(AE14,AE22,AE30,AE38,AE46,AE54,AE62,AE70,AE78,AE86,AE94,AE102,AE110,AE118,AE126,AE134,AE142,AE150,AE158,AE166,AE174,AE182,AE190,AE198,AE206,AE214,AE222,AE230,AE238,AE246,AE254,AE262,AE270,AE278,AE286,AE294,AE302,AE310,AE318,AE326,AE334,AE342,AE350,AE358,AE366,AE374,AE382,AE390,AE398,AE406,AE414,AE422,AE430,AE438,AE446,AE454,AE462,AE470,AE478,AE486,AE494,AE502,AE510,AE518,AE526,AE534,AE542,AE550,AE558,AE566,AE574,AE582,AE590,AE598,AE606,AE614,AE622,AE630,AE638,AE646,AE654,AE662,AE670,AE678,AE686,AE694,AE702,AE710,AE718,AE726,AE734,AE742,AE750,AE758,AE766,AE774,AE782,AE790,AE798,AE806,AE814,AE822,AE830,AE838,AE846,AE854,AE862)</f>
        <v>0</v>
      </c>
      <c r="AF872" s="34">
        <f t="shared" si="2369"/>
        <v>0</v>
      </c>
      <c r="AI872" s="34">
        <f t="shared" ref="AI872:AJ872" si="2370">SUM(AI14,AI22,AI30,AI38,AI46,AI54,AI62,AI70,AI78,AI86,AI94,AI102,AI110,AI118,AI126,AI134,AI142,AI150,AI158,AI166,AI174,AI182,AI190,AI198,AI206,AI214,AI222,AI230,AI238,AI246,AI254,AI262,AI270,AI278,AI286,AI294,AI302,AI310,AI318,AI326,AI334,AI342,AI350,AI358,AI366,AI374,AI382,AI390,AI398,AI406,AI414,AI422,AI430,AI438,AI446,AI454,AI462,AI470,AI478,AI486,AI494,AI502,AI510,AI518,AI526,AI534,AI542,AI550,AI558,AI566,AI574,AI582,AI590,AI598,AI606,AI614,AI622,AI630,AI638,AI646,AI654,AI662,AI670,AI678,AI686,AI694,AI702,AI710,AI718,AI726,AI734,AI742,AI750,AI758,AI766,AI774,AI782,AI790,AI798,AI806,AI814,AI822,AI830,AI838,AI846,AI854,AI862)</f>
        <v>0</v>
      </c>
      <c r="AJ872" s="34">
        <f t="shared" si="2370"/>
        <v>3750</v>
      </c>
      <c r="AM872" s="34">
        <f t="shared" ref="AM872:AN872" si="2371">SUM(AM14,AM22,AM30,AM38,AM46,AM54,AM62,AM70,AM78,AM86,AM94,AM102,AM110,AM118,AM126,AM134,AM142,AM150,AM158,AM166,AM174,AM182,AM190,AM198,AM206,AM214,AM222,AM230,AM238,AM246,AM254,AM262,AM270,AM278,AM286,AM294,AM302,AM310,AM318,AM326,AM334,AM342,AM350,AM358,AM366,AM374,AM382,AM390,AM398,AM406,AM414,AM422,AM430,AM438,AM446,AM454,AM462,AM470,AM478,AM486,AM494,AM502,AM510,AM518,AM526,AM534,AM542,AM550,AM558,AM566,AM574,AM582,AM590,AM598,AM606,AM614,AM622,AM630,AM638,AM646,AM654,AM662,AM670,AM678,AM686,AM694,AM702,AM710,AM718,AM726,AM734,AM742,AM750,AM758,AM766,AM774,AM782,AM790,AM798,AM806,AM814,AM822,AM830,AM838,AM846,AM854,AM862)</f>
        <v>0</v>
      </c>
      <c r="AN872" s="34">
        <f t="shared" si="2371"/>
        <v>5600</v>
      </c>
      <c r="AQ872" s="34">
        <f t="shared" ref="AQ872:AR872" si="2372">SUM(AQ14,AQ22,AQ30,AQ38,AQ46,AQ54,AQ62,AQ70,AQ78,AQ86,AQ94,AQ102,AQ110,AQ118,AQ126,AQ134,AQ142,AQ150,AQ158,AQ166,AQ174,AQ182,AQ190,AQ198,AQ206,AQ214,AQ222,AQ230,AQ238,AQ246,AQ254,AQ262,AQ270,AQ278,AQ286,AQ294,AQ302,AQ310,AQ318,AQ326,AQ334,AQ342,AQ350,AQ358,AQ366,AQ374,AQ382,AQ390,AQ398,AQ406,AQ414,AQ422,AQ430,AQ438,AQ446,AQ454,AQ462,AQ470,AQ478,AQ486,AQ494,AQ502,AQ510,AQ518,AQ526,AQ534,AQ542,AQ550,AQ558,AQ566,AQ574,AQ582,AQ590,AQ598,AQ606,AQ614,AQ622,AQ630,AQ638,AQ646,AQ654,AQ662,AQ670,AQ678,AQ686,AQ694,AQ702,AQ710,AQ718,AQ726,AQ734,AQ742,AQ750,AQ758,AQ766,AQ774,AQ782,AQ790,AQ798,AQ806,AQ814,AQ822,AQ830,AQ838,AQ846,AQ854,AQ862)</f>
        <v>0</v>
      </c>
      <c r="AR872" s="34">
        <f t="shared" si="2372"/>
        <v>3500</v>
      </c>
      <c r="AU872" s="34">
        <f t="shared" ref="AU872:AV872" si="2373">SUM(AU14,AU22,AU30,AU38,AU46,AU54,AU62,AU70,AU78,AU86,AU94,AU102,AU110,AU118,AU126,AU134,AU142,AU150,AU158,AU166,AU174,AU182,AU190,AU198,AU206,AU214,AU222,AU230,AU238,AU246,AU254,AU262,AU270,AU278,AU286,AU294,AU302,AU310,AU318,AU326,AU334,AU342,AU350,AU358,AU366,AU374,AU382,AU390,AU398,AU406,AU414,AU422,AU430,AU438,AU446,AU454,AU462,AU470,AU478,AU486,AU494,AU502,AU510,AU518,AU526,AU534,AU542,AU550,AU558,AU566,AU574,AU582,AU590,AU598,AU606,AU614,AU622,AU630,AU638,AU646,AU654,AU662,AU670,AU678,AU686,AU694,AU702,AU710,AU718,AU726,AU734,AU742,AU750,AU758,AU766,AU774,AU782,AU790,AU798,AU806,AU814,AU822,AU830,AU838,AU846,AU854,AU862)</f>
        <v>0</v>
      </c>
      <c r="AV872" s="34">
        <f t="shared" si="2373"/>
        <v>0</v>
      </c>
      <c r="AY872" s="34">
        <f t="shared" ref="AY872:AZ872" si="2374">SUM(AY14,AY22,AY30,AY38,AY46,AY54,AY62,AY70,AY78,AY86,AY94,AY102,AY110,AY118,AY126,AY134,AY142,AY150,AY158,AY166,AY174,AY182,AY190,AY198,AY206,AY214,AY222,AY230,AY238,AY246,AY254,AY262,AY270,AY278,AY286,AY294,AY302,AY310,AY318,AY326,AY334,AY342,AY350,AY358,AY366,AY374,AY382,AY390,AY398,AY406,AY414,AY422,AY430,AY438,AY446,AY454,AY462,AY470,AY478,AY486,AY494,AY502,AY510,AY518,AY526,AY534,AY542,AY550,AY558,AY566,AY574,AY582,AY590,AY598,AY606,AY614,AY622,AY630,AY638,AY646,AY654,AY662,AY670,AY678,AY686,AY694,AY702,AY710,AY718,AY726,AY734,AY742,AY750,AY758,AY766,AY774,AY782,AY790,AY798,AY806,AY814,AY822,AY830,AY838,AY846,AY854,AY862)</f>
        <v>0</v>
      </c>
      <c r="AZ872" s="34">
        <f t="shared" si="2374"/>
        <v>1400</v>
      </c>
      <c r="BC872" s="34">
        <f t="shared" ref="BC872:BD872" si="2375">SUM(BC14,BC22,BC30,BC38,BC46,BC54,BC62,BC70,BC78,BC86,BC94,BC102,BC110,BC118,BC126,BC134,BC142,BC150,BC158,BC166,BC174,BC182,BC190,BC198,BC206,BC214,BC222,BC230,BC238,BC246,BC254,BC262,BC270,BC278,BC286,BC294,BC302,BC310,BC318,BC326,BC334,BC342,BC350,BC358,BC366,BC374,BC382,BC390,BC398,BC406,BC414,BC422,BC430,BC438,BC446,BC454,BC462,BC470,BC478,BC486,BC494,BC502,BC510,BC518,BC526,BC534,BC542,BC550,BC558,BC566,BC574,BC582,BC590,BC598,BC606,BC614,BC622,BC630,BC638,BC646,BC654,BC662,BC670,BC678,BC686,BC694,BC702,BC710,BC718,BC726,BC734,BC742,BC750,BC758,BC766,BC774,BC782,BC790,BC798,BC806,BC814,BC822,BC830,BC838,BC846,BC854,BC862)</f>
        <v>0</v>
      </c>
      <c r="BD872" s="34">
        <f t="shared" si="2375"/>
        <v>0</v>
      </c>
      <c r="BE872" s="109"/>
      <c r="BF872" s="110">
        <f t="shared" ref="BF872:BH872" si="2376">SUM(BF14,BF22,BF30,BF38,BF46,BF54,BF62,BF70,BF78,BF86,BF94,BF102,BF110,BF118,BF126,BF134,BF142,BF150,BF158,BF166,BF174,BF182,BF190,BF198,BF206,BF214,BF222,BF230,BF238,BF246,BF254,BF262,BF270,BF278,BF286,BF294,BF302,BF310,BF318,BF326,BF334,BF342,BF350,BF358,BF366,BF374,BF382,BF390,BF398,BF406,BF414,BF422,BF430,BF438,BF446,BF454,BF462,BF470,BF478,BF486,BF494,BF502,BF510,BF518,BF526,BF534,BF542,BF550,BF558,BF566,BF574,BF582,BF590,BF598,BF606,BF614,BF622,BF630,BF638,BF646,BF654,BF662,BF670,BF678,BF686,BF694,BF702,BF710,BF718,BF726,BF734,BF742,BF750,BF758,BF766,BF774,BF782,BF790,BF798,BF806,BF814,BF822,BF830,BF838,BF846,BF854,BF862)</f>
        <v>39550</v>
      </c>
      <c r="BG872" s="110">
        <f t="shared" si="2376"/>
        <v>26500</v>
      </c>
      <c r="BH872" s="111">
        <f t="shared" si="2376"/>
        <v>11350</v>
      </c>
    </row>
    <row r="873" ht="15.75" customHeight="1" spans="4:4" x14ac:dyDescent="0.25">
      <c r="D873" s="15"/>
    </row>
    <row r="874" ht="15.75" customHeight="1" spans="4:4" x14ac:dyDescent="0.25">
      <c r="D874" s="15"/>
    </row>
  </sheetData>
  <autoFilter ref="$A$6:$BJ$863"/>
  <mergeCells count="15">
    <mergeCell ref="F3:G3"/>
    <mergeCell ref="I3:L3"/>
    <mergeCell ref="M3:P3"/>
    <mergeCell ref="Q3:T3"/>
    <mergeCell ref="U3:X3"/>
    <mergeCell ref="Y3:AB3"/>
    <mergeCell ref="AC3:AF3"/>
    <mergeCell ref="AG3:AJ3"/>
    <mergeCell ref="AK3:AN3"/>
    <mergeCell ref="AO3:AR3"/>
    <mergeCell ref="AS3:AV3"/>
    <mergeCell ref="AW3:AZ3"/>
    <mergeCell ref="BA3:BD3"/>
    <mergeCell ref="BE3:BH3"/>
    <mergeCell ref="BI3:BJ5"/>
  </mergeCells>
  <pageMargins left="0.196527777777778" right="0" top="0.7875" bottom="0.196527777777778" header="0" footer="0"/>
  <pageSetup paperSize="9" orientation="portrait" horizontalDpi="4294967295" verticalDpi="4294967295" scale="95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"/>
  <sheetViews>
    <sheetView workbookViewId="0" zoomScale="100" zoomScaleNormal="100">
      <pane ySplit="4" topLeftCell="A5" activePane="bottomLeft" state="frozen"/>
      <selection pane="bottomLeft" activeCell="B6" sqref="B6"/>
    </sheetView>
  </sheetViews>
  <sheetFormatPr defaultRowHeight="15" outlineLevelRow="1" outlineLevelCol="1" x14ac:dyDescent="0" defaultColWidth="14.43"/>
  <cols>
    <col min="1" max="1" width="9.14" customWidth="1"/>
    <col min="2" max="2" width="8.43" customWidth="1"/>
    <col min="3" max="3" width="6.43" hidden="1" outlineLevel="1" collapsed="1" customWidth="1"/>
    <col min="4" max="4" width="14.86" hidden="1" outlineLevel="1" collapsed="1" customWidth="1"/>
    <col min="5" max="5" width="8.86" customWidth="1"/>
    <col min="6" max="6" width="10.14" customWidth="1"/>
    <col min="7" max="7" width="8.43" customWidth="1"/>
    <col min="8" max="8" width="10.86" customWidth="1"/>
    <col min="9" max="9" width="9.43" customWidth="1"/>
    <col min="10" max="10" width="8.43" customWidth="1"/>
    <col min="11" max="11" width="10.14" customWidth="1"/>
    <col min="12" max="12" width="10" customWidth="1"/>
  </cols>
  <sheetData>
    <row r="1" spans="1:9" x14ac:dyDescent="0.25">
      <c r="A1" s="15"/>
      <c r="B1" s="112"/>
      <c r="C1" s="112"/>
      <c r="E1" s="1" t="str">
        <f>'2018'!B1</f>
        <v>СВОДНАЯ ВЕДОМОСТЬ СНТ "СОЛНЫШКО"</v>
      </c>
      <c r="I1" s="2" t="str">
        <f>'2018'!F1</f>
        <v>на 29 декабря 2018 года</v>
      </c>
    </row>
    <row r="2" spans="1:5" x14ac:dyDescent="0.25">
      <c r="A2" s="15"/>
      <c r="B2" s="112"/>
      <c r="C2" s="112"/>
      <c r="E2" s="2" t="s">
        <v>352</v>
      </c>
    </row>
    <row r="3" spans="1:12" x14ac:dyDescent="0.25">
      <c r="A3" s="3"/>
      <c r="B3" s="17" t="s">
        <v>353</v>
      </c>
      <c r="C3" s="17" t="s">
        <v>354</v>
      </c>
      <c r="D3" s="16" t="s">
        <v>355</v>
      </c>
      <c r="E3" s="4" t="s">
        <v>42</v>
      </c>
      <c r="F3" s="4" t="s">
        <v>44</v>
      </c>
      <c r="G3" s="4" t="s">
        <v>356</v>
      </c>
      <c r="H3" s="4" t="s">
        <v>357</v>
      </c>
      <c r="I3" s="4" t="s">
        <v>50</v>
      </c>
      <c r="J3" s="4" t="s">
        <v>51</v>
      </c>
      <c r="K3" s="4" t="s">
        <v>52</v>
      </c>
      <c r="L3" s="4" t="s">
        <v>35</v>
      </c>
    </row>
    <row r="4" spans="1:12" x14ac:dyDescent="0.25">
      <c r="A4" s="20"/>
      <c r="B4" s="113" t="s">
        <v>23</v>
      </c>
      <c r="C4" s="24"/>
      <c r="D4" s="23"/>
      <c r="E4" s="14" t="s">
        <v>358</v>
      </c>
      <c r="F4" s="14"/>
      <c r="G4" s="14"/>
      <c r="H4" s="14"/>
      <c r="I4" s="14"/>
      <c r="J4" s="14"/>
      <c r="K4" s="14"/>
      <c r="L4" s="14" t="s">
        <v>40</v>
      </c>
    </row>
    <row r="5" spans="1:12" x14ac:dyDescent="0.25">
      <c r="A5" s="114" t="s">
        <v>41</v>
      </c>
      <c r="B5" s="115">
        <f>'2018'!A8</f>
        <v>1</v>
      </c>
      <c r="C5" s="116">
        <v>4</v>
      </c>
      <c r="D5" s="117" t="str">
        <f>'2018'!C8</f>
        <v>сторож</v>
      </c>
      <c r="E5" s="106">
        <f>'2018'!BH7</f>
      </c>
      <c r="F5" s="106">
        <f>'2018'!BH8</f>
        <v>1752.36</v>
      </c>
      <c r="G5" s="106">
        <f>'2018'!BH10</f>
        <v>0</v>
      </c>
      <c r="H5" s="106">
        <f>'2018'!BH11</f>
        <v>0</v>
      </c>
      <c r="I5" s="106">
        <f>'2018'!BH12</f>
        <v>0</v>
      </c>
      <c r="J5" s="106">
        <f>'2018'!BH13</f>
        <v>0</v>
      </c>
      <c r="K5" s="106">
        <f>'2018'!BH14</f>
        <v>0</v>
      </c>
      <c r="L5" s="106">
        <f t="shared" ref="L5:L111" si="0">SUM(E5:K5)</f>
        <v>1752.36</v>
      </c>
    </row>
    <row r="6" spans="1:12" x14ac:dyDescent="0.25">
      <c r="A6" s="14"/>
      <c r="B6" s="115">
        <v>2</v>
      </c>
      <c r="C6" s="115">
        <v>4.12</v>
      </c>
      <c r="D6" s="117" t="s">
        <v>359</v>
      </c>
      <c r="E6" s="106">
        <f>'2018'!BH16</f>
      </c>
      <c r="F6" s="106">
        <f>'2018'!BH17</f>
        <v>-406.88</v>
      </c>
      <c r="G6" s="106">
        <f>'2018'!BH18</f>
        <v>0</v>
      </c>
      <c r="H6" s="106">
        <f>'2018'!BH19</f>
        <v>0</v>
      </c>
      <c r="I6" s="106">
        <f>'2018'!BH20</f>
        <v>0.0056</v>
      </c>
      <c r="J6" s="106">
        <f>'2018'!BH21</f>
        <v>0</v>
      </c>
      <c r="K6" s="106">
        <f>'2018'!BH22</f>
        <v>0</v>
      </c>
      <c r="L6" s="106">
        <f t="shared" si="0"/>
        <v>-406.8744</v>
      </c>
    </row>
    <row r="7" spans="1:12" x14ac:dyDescent="0.25">
      <c r="A7" s="14"/>
      <c r="B7" s="115">
        <v>3</v>
      </c>
      <c r="C7" s="116">
        <v>4</v>
      </c>
      <c r="D7" s="117" t="s">
        <v>60</v>
      </c>
      <c r="E7" s="106">
        <f>'2018'!BH24</f>
      </c>
      <c r="F7" s="106">
        <f>'2018'!BH25</f>
        <v>2.49</v>
      </c>
      <c r="G7" s="106">
        <f>'2018'!BH26</f>
        <v>0</v>
      </c>
      <c r="H7" s="106">
        <f>'2018'!BH27</f>
        <v>0</v>
      </c>
      <c r="I7" s="106">
        <f>'2018'!BH28</f>
        <v>0</v>
      </c>
      <c r="J7" s="106">
        <f>'2018'!BH29</f>
        <v>0</v>
      </c>
      <c r="K7" s="106">
        <f>'2018'!BH30</f>
        <v>0</v>
      </c>
      <c r="L7" s="106">
        <f t="shared" si="0"/>
        <v>2.49</v>
      </c>
    </row>
    <row r="8" spans="1:12" x14ac:dyDescent="0.25">
      <c r="A8" s="14"/>
      <c r="B8" s="115">
        <v>4</v>
      </c>
      <c r="C8" s="115">
        <v>3.95</v>
      </c>
      <c r="D8" s="117" t="s">
        <v>64</v>
      </c>
      <c r="E8" s="106">
        <f>'2018'!BH32</f>
      </c>
      <c r="F8" s="106">
        <f>'2018'!BH33</f>
        <v>0</v>
      </c>
      <c r="G8" s="106">
        <f>'2018'!BH34</f>
        <v>0</v>
      </c>
      <c r="H8" s="106">
        <f>'2018'!BH35</f>
        <v>0</v>
      </c>
      <c r="I8" s="106">
        <f>'2018'!BH36</f>
        <v>0.006</v>
      </c>
      <c r="J8" s="106">
        <f>'2018'!BH37</f>
        <v>0</v>
      </c>
      <c r="K8" s="106">
        <f>'2018'!BH38</f>
        <v>0</v>
      </c>
      <c r="L8" s="106">
        <f t="shared" si="0"/>
        <v>0.006</v>
      </c>
    </row>
    <row r="9" spans="1:12" x14ac:dyDescent="0.25">
      <c r="A9" s="14"/>
      <c r="B9" s="115">
        <v>5</v>
      </c>
      <c r="C9" s="115">
        <v>5.08</v>
      </c>
      <c r="D9" s="117" t="s">
        <v>66</v>
      </c>
      <c r="E9" s="106">
        <f>'2018'!BH40</f>
      </c>
      <c r="F9" s="106">
        <f>'2018'!BH41</f>
        <v>-97.51</v>
      </c>
      <c r="G9" s="106">
        <f>'2018'!BH42</f>
        <v>-52</v>
      </c>
      <c r="H9" s="106">
        <f>'2018'!BH43</f>
        <v>0</v>
      </c>
      <c r="I9" s="106">
        <f>'2018'!BH44</f>
        <v>0.0003999999999</v>
      </c>
      <c r="J9" s="106">
        <f>'2018'!BH45</f>
        <v>0</v>
      </c>
      <c r="K9" s="106">
        <f>'2018'!BH46</f>
        <v>0</v>
      </c>
      <c r="L9" s="106">
        <f t="shared" si="0"/>
        <v>-149.5096</v>
      </c>
    </row>
    <row r="10" spans="1:12" x14ac:dyDescent="0.25">
      <c r="A10" s="14"/>
      <c r="B10" s="115">
        <v>6</v>
      </c>
      <c r="C10" s="115">
        <v>4.01</v>
      </c>
      <c r="D10" s="117" t="s">
        <v>70</v>
      </c>
      <c r="E10" s="106">
        <f>'2018'!BH48</f>
      </c>
      <c r="F10" s="106">
        <f>'2018'!BH49</f>
        <v>0</v>
      </c>
      <c r="G10" s="106">
        <f>'2018'!BH50</f>
        <v>0</v>
      </c>
      <c r="H10" s="106">
        <f>'2018'!BH51</f>
        <v>0</v>
      </c>
      <c r="I10" s="106">
        <f>'2018'!BH52</f>
        <v>1062.1488</v>
      </c>
      <c r="J10" s="106">
        <f>'2018'!BH53</f>
        <v>0</v>
      </c>
      <c r="K10" s="106">
        <f>'2018'!BH54</f>
        <v>0</v>
      </c>
      <c r="L10" s="106">
        <f t="shared" si="0"/>
        <v>1062.1488</v>
      </c>
    </row>
    <row r="11" spans="1:12" x14ac:dyDescent="0.25">
      <c r="A11" s="14"/>
      <c r="B11" s="115">
        <v>7</v>
      </c>
      <c r="C11" s="115">
        <v>4.85</v>
      </c>
      <c r="D11" s="117" t="s">
        <v>74</v>
      </c>
      <c r="E11" s="106">
        <f>'2018'!BH56</f>
      </c>
      <c r="F11" s="106">
        <f>'2018'!BH57</f>
        <v>9.96</v>
      </c>
      <c r="G11" s="106">
        <f>'2018'!BH58</f>
        <v>0</v>
      </c>
      <c r="H11" s="106">
        <f>'2018'!BH59</f>
        <v>0</v>
      </c>
      <c r="I11" s="106">
        <f>'2018'!BH60</f>
        <v>-0.002</v>
      </c>
      <c r="J11" s="106">
        <f>'2018'!BH61</f>
        <v>0</v>
      </c>
      <c r="K11" s="106">
        <f>'2018'!BH62</f>
        <v>0</v>
      </c>
      <c r="L11" s="106">
        <f t="shared" si="0"/>
        <v>9.958</v>
      </c>
    </row>
    <row r="12" spans="1:12" x14ac:dyDescent="0.25">
      <c r="A12" s="14"/>
      <c r="B12" s="115">
        <v>8</v>
      </c>
      <c r="C12" s="116">
        <v>4</v>
      </c>
      <c r="D12" s="117" t="s">
        <v>78</v>
      </c>
      <c r="E12" s="106">
        <f>'2018'!BH64</f>
      </c>
      <c r="F12" s="106">
        <f>'2018'!BH65</f>
        <v>0</v>
      </c>
      <c r="G12" s="106">
        <f>'2018'!BH66</f>
        <v>0</v>
      </c>
      <c r="H12" s="106">
        <f>'2018'!BH67</f>
        <v>0</v>
      </c>
      <c r="I12" s="106">
        <f>'2018'!BH68</f>
        <v>0</v>
      </c>
      <c r="J12" s="106">
        <f>'2018'!BH69</f>
        <v>0</v>
      </c>
      <c r="K12" s="106">
        <f>'2018'!BH70</f>
        <v>0</v>
      </c>
      <c r="L12" s="106">
        <f t="shared" si="0"/>
        <v>0</v>
      </c>
    </row>
    <row r="13" spans="1:12" x14ac:dyDescent="0.25">
      <c r="A13" s="14"/>
      <c r="B13" s="115">
        <v>9</v>
      </c>
      <c r="C13" s="115">
        <v>4.03</v>
      </c>
      <c r="D13" s="117" t="s">
        <v>82</v>
      </c>
      <c r="E13" s="106">
        <f>'2018'!BH72</f>
      </c>
      <c r="F13" s="106">
        <f>'2018'!BH73</f>
        <v>2.49</v>
      </c>
      <c r="G13" s="106">
        <f>'2018'!BH74</f>
        <v>0</v>
      </c>
      <c r="H13" s="106">
        <f>'2018'!BH75</f>
        <v>0</v>
      </c>
      <c r="I13" s="106">
        <f>'2018'!BH76</f>
        <v>-0.003599999999</v>
      </c>
      <c r="J13" s="106">
        <f>'2018'!BH77</f>
        <v>0</v>
      </c>
      <c r="K13" s="106">
        <f>'2018'!BH78</f>
        <v>0</v>
      </c>
      <c r="L13" s="106">
        <f t="shared" si="0"/>
        <v>2.4864</v>
      </c>
    </row>
    <row r="14" spans="1:12" x14ac:dyDescent="0.25">
      <c r="A14" s="14"/>
      <c r="B14" s="115">
        <v>10</v>
      </c>
      <c r="C14" s="115">
        <v>4.01</v>
      </c>
      <c r="D14" s="117" t="s">
        <v>86</v>
      </c>
      <c r="E14" s="106">
        <f>'2018'!BH80</f>
      </c>
      <c r="F14" s="106">
        <f>'2018'!BH81</f>
        <v>0</v>
      </c>
      <c r="G14" s="106">
        <f>'2018'!BH82</f>
        <v>0</v>
      </c>
      <c r="H14" s="106">
        <f>'2018'!BH83</f>
        <v>0</v>
      </c>
      <c r="I14" s="106">
        <f>'2018'!BH84</f>
        <v>-0.0912</v>
      </c>
      <c r="J14" s="106">
        <f>'2018'!BH85</f>
        <v>0</v>
      </c>
      <c r="K14" s="106">
        <f>'2018'!BH86</f>
        <v>0</v>
      </c>
      <c r="L14" s="106">
        <f t="shared" si="0"/>
        <v>-0.0912</v>
      </c>
    </row>
    <row r="15" spans="1:12" x14ac:dyDescent="0.25">
      <c r="A15" s="14"/>
      <c r="B15" s="115">
        <v>11</v>
      </c>
      <c r="C15" s="115">
        <v>4.02</v>
      </c>
      <c r="D15" s="117" t="s">
        <v>89</v>
      </c>
      <c r="E15" s="106">
        <f>'2018'!BH88</f>
      </c>
      <c r="F15" s="106">
        <f>'2018'!BH89</f>
        <v>-75.1</v>
      </c>
      <c r="G15" s="106">
        <f>'2018'!BH90</f>
        <v>0</v>
      </c>
      <c r="H15" s="106">
        <f>'2018'!BH91</f>
        <v>0</v>
      </c>
      <c r="I15" s="106">
        <f>'2018'!BH92</f>
        <v>0.0076</v>
      </c>
      <c r="J15" s="106">
        <f>'2018'!BH93</f>
        <v>0</v>
      </c>
      <c r="K15" s="106">
        <f>'2018'!BH94</f>
        <v>0</v>
      </c>
      <c r="L15" s="106">
        <f t="shared" si="0"/>
        <v>-75.0924</v>
      </c>
    </row>
    <row r="16" spans="1:12" x14ac:dyDescent="0.25">
      <c r="A16" s="14"/>
      <c r="B16" s="115">
        <v>12</v>
      </c>
      <c r="C16" s="115">
        <v>4.02</v>
      </c>
      <c r="D16" s="117" t="s">
        <v>92</v>
      </c>
      <c r="E16" s="106">
        <f>'2018'!BH96</f>
      </c>
      <c r="F16" s="106">
        <f>'2018'!BH97</f>
        <v>0</v>
      </c>
      <c r="G16" s="106">
        <f>'2018'!BH98</f>
        <v>0</v>
      </c>
      <c r="H16" s="106">
        <f>'2018'!BH99</f>
        <v>0</v>
      </c>
      <c r="I16" s="106">
        <f>'2018'!BH100</f>
        <v>-0.002399999999</v>
      </c>
      <c r="J16" s="106">
        <f>'2018'!BH101</f>
        <v>0</v>
      </c>
      <c r="K16" s="106">
        <f>'2018'!BH102</f>
        <v>0</v>
      </c>
      <c r="L16" s="106">
        <f t="shared" si="0"/>
        <v>-0.0024</v>
      </c>
    </row>
    <row r="17" spans="1:12" x14ac:dyDescent="0.25">
      <c r="A17" s="14"/>
      <c r="B17" s="115" t="s">
        <v>96</v>
      </c>
      <c r="C17" s="115">
        <v>7.94</v>
      </c>
      <c r="D17" s="117" t="s">
        <v>97</v>
      </c>
      <c r="E17" s="106">
        <f>'2018'!BH104</f>
      </c>
      <c r="F17" s="106">
        <f>'2018'!BH105</f>
        <v>1152.87</v>
      </c>
      <c r="G17" s="106">
        <f>'2018'!BH106</f>
        <v>-17.16</v>
      </c>
      <c r="H17" s="106">
        <f>'2018'!BH107</f>
        <v>0</v>
      </c>
      <c r="I17" s="106">
        <f>'2018'!BH108</f>
        <v>15.9972</v>
      </c>
      <c r="J17" s="106">
        <f>'2018'!BH109</f>
        <v>0</v>
      </c>
      <c r="K17" s="106">
        <f>'2018'!BH110</f>
        <v>0</v>
      </c>
      <c r="L17" s="106">
        <f t="shared" si="0"/>
        <v>1151.7072</v>
      </c>
    </row>
    <row r="18" spans="1:12" x14ac:dyDescent="0.25">
      <c r="A18" s="14"/>
      <c r="B18" s="115">
        <v>14</v>
      </c>
      <c r="C18" s="115">
        <v>4.02</v>
      </c>
      <c r="D18" s="117" t="s">
        <v>100</v>
      </c>
      <c r="E18" s="106">
        <f>'2018'!BH112</f>
      </c>
      <c r="F18" s="106">
        <f>'2018'!BH113</f>
        <v>0</v>
      </c>
      <c r="G18" s="106">
        <f>'2018'!BH114</f>
        <v>0</v>
      </c>
      <c r="H18" s="106">
        <f>'2018'!BH115</f>
        <v>0</v>
      </c>
      <c r="I18" s="106">
        <f>'2018'!BH116</f>
        <v>0.0076</v>
      </c>
      <c r="J18" s="106">
        <f>'2018'!BH117</f>
        <v>0</v>
      </c>
      <c r="K18" s="106">
        <f>'2018'!BH118</f>
        <v>0</v>
      </c>
      <c r="L18" s="106">
        <f t="shared" si="0"/>
        <v>0.0076</v>
      </c>
    </row>
    <row r="19" spans="1:12" x14ac:dyDescent="0.25">
      <c r="A19" s="14"/>
      <c r="B19" s="115">
        <v>16</v>
      </c>
      <c r="C19" s="115">
        <v>3.98</v>
      </c>
      <c r="D19" s="117" t="s">
        <v>103</v>
      </c>
      <c r="E19" s="106">
        <f>'2018'!BH120</f>
        <v>0</v>
      </c>
      <c r="F19" s="106">
        <f>'2018'!BH121</f>
        <v>390.93</v>
      </c>
      <c r="G19" s="106">
        <f>'2018'!BH122</f>
        <v>0</v>
      </c>
      <c r="H19" s="106">
        <f>'2018'!BH123</f>
        <v>0</v>
      </c>
      <c r="I19" s="106">
        <f>'2018'!BH124</f>
        <v>0.0024</v>
      </c>
      <c r="J19" s="106">
        <f>'2018'!BH125</f>
        <v>0</v>
      </c>
      <c r="K19" s="106">
        <f>'2018'!BH126</f>
        <v>0</v>
      </c>
      <c r="L19" s="106">
        <f t="shared" si="0"/>
        <v>390.9324</v>
      </c>
    </row>
    <row r="20" spans="1:12" x14ac:dyDescent="0.25">
      <c r="A20" s="14"/>
      <c r="B20" s="115">
        <v>17</v>
      </c>
      <c r="C20" s="116">
        <v>4</v>
      </c>
      <c r="D20" s="117" t="s">
        <v>106</v>
      </c>
      <c r="E20" s="106">
        <f>'2018'!BH128</f>
      </c>
      <c r="F20" s="106">
        <f>'2018'!BH129</f>
        <v>-39.84</v>
      </c>
      <c r="G20" s="106">
        <f>'2018'!BH130</f>
        <v>0</v>
      </c>
      <c r="H20" s="106">
        <f>'2018'!BH131</f>
        <v>0</v>
      </c>
      <c r="I20" s="106">
        <f>'2018'!BH132</f>
        <v>0</v>
      </c>
      <c r="J20" s="106">
        <f>'2018'!BH133</f>
        <v>0</v>
      </c>
      <c r="K20" s="106">
        <f>'2018'!BH1134</f>
      </c>
      <c r="L20" s="106">
        <f t="shared" si="0"/>
        <v>-39.84</v>
      </c>
    </row>
    <row r="21" ht="15.75" customHeight="1" spans="1:12" x14ac:dyDescent="0.25">
      <c r="A21" s="14"/>
      <c r="B21" s="115">
        <v>18</v>
      </c>
      <c r="C21" s="115">
        <v>4.03</v>
      </c>
      <c r="D21" s="117" t="s">
        <v>109</v>
      </c>
      <c r="E21" s="106">
        <f>'2018'!BH136</f>
      </c>
      <c r="F21" s="106">
        <f>'2018'!BH137</f>
        <v>12.45</v>
      </c>
      <c r="G21" s="106">
        <f>'2018'!BH138</f>
        <v>0</v>
      </c>
      <c r="H21" s="106">
        <f>'2018'!BH139</f>
        <v>0</v>
      </c>
      <c r="I21" s="106">
        <f>'2018'!BH140</f>
        <v>-0.003599999999</v>
      </c>
      <c r="J21" s="106">
        <f>'2018'!BH141</f>
        <v>0</v>
      </c>
      <c r="K21" s="106">
        <f>'2018'!BH142</f>
        <v>0</v>
      </c>
      <c r="L21" s="106">
        <f t="shared" si="0"/>
        <v>12.4464</v>
      </c>
    </row>
    <row r="22" ht="15.75" customHeight="1" spans="1:12" x14ac:dyDescent="0.25">
      <c r="A22" s="21"/>
      <c r="B22" s="115">
        <v>19</v>
      </c>
      <c r="C22" s="116">
        <v>4.1</v>
      </c>
      <c r="D22" s="117" t="s">
        <v>113</v>
      </c>
      <c r="E22" s="106">
        <f>'2018'!BH144</f>
      </c>
      <c r="F22" s="106">
        <f>'2018'!BH145</f>
        <v>0</v>
      </c>
      <c r="G22" s="106">
        <f>'2018'!BH146</f>
        <v>0</v>
      </c>
      <c r="H22" s="106">
        <f>'2018'!BH147</f>
        <v>0</v>
      </c>
      <c r="I22" s="106">
        <f>'2018'!BH148</f>
        <v>4357.808</v>
      </c>
      <c r="J22" s="106">
        <f>'2018'!BH149</f>
        <v>0</v>
      </c>
      <c r="K22" s="106">
        <f>'2018'!BH150</f>
        <v>350</v>
      </c>
      <c r="L22" s="106">
        <f t="shared" si="0"/>
        <v>4707.808</v>
      </c>
    </row>
    <row r="23" ht="15.75" customHeight="1" spans="1:12" x14ac:dyDescent="0.25">
      <c r="A23" s="114" t="s">
        <v>116</v>
      </c>
      <c r="B23" s="115" t="s">
        <v>117</v>
      </c>
      <c r="C23" s="116">
        <v>8</v>
      </c>
      <c r="D23" s="117" t="s">
        <v>118</v>
      </c>
      <c r="E23" s="106">
        <f>'2018'!BH152</f>
      </c>
      <c r="F23" s="106">
        <f>'2018'!BH153</f>
        <v>184.26</v>
      </c>
      <c r="G23" s="106">
        <f>'2018'!BH154</f>
        <v>-86.86</v>
      </c>
      <c r="H23" s="106">
        <f>'2018'!BH155</f>
        <v>0</v>
      </c>
      <c r="I23" s="106">
        <f>'2018'!BH156</f>
        <v>0</v>
      </c>
      <c r="J23" s="106">
        <f>'2018'!BH157</f>
        <v>0</v>
      </c>
      <c r="K23" s="106">
        <f>'2018'!BH158</f>
        <v>0</v>
      </c>
      <c r="L23" s="106">
        <f t="shared" si="0"/>
        <v>97.4</v>
      </c>
    </row>
    <row r="24" ht="15.75" customHeight="1" spans="1:12" x14ac:dyDescent="0.25">
      <c r="A24" s="14"/>
      <c r="B24" s="115">
        <v>21</v>
      </c>
      <c r="C24" s="115">
        <v>3.96</v>
      </c>
      <c r="D24" s="117" t="s">
        <v>120</v>
      </c>
      <c r="E24" s="106">
        <f>'2018'!BH160</f>
      </c>
      <c r="F24" s="106">
        <f>'2018'!BH161</f>
        <v>-385.95</v>
      </c>
      <c r="G24" s="106">
        <f>'2018'!BH162</f>
        <v>-82.24</v>
      </c>
      <c r="H24" s="106">
        <f>'2018'!BH163</f>
        <v>0</v>
      </c>
      <c r="I24" s="106">
        <f>'2018'!BH164</f>
        <v>0.004800000001</v>
      </c>
      <c r="J24" s="106">
        <f>'2018'!BH165</f>
        <v>0</v>
      </c>
      <c r="K24" s="106">
        <f>'2018'!BH166</f>
        <v>0</v>
      </c>
      <c r="L24" s="106">
        <f t="shared" si="0"/>
        <v>-468.1852</v>
      </c>
    </row>
    <row r="25" ht="15.75" customHeight="1" spans="1:12" x14ac:dyDescent="0.25">
      <c r="A25" s="14"/>
      <c r="B25" s="115">
        <v>23</v>
      </c>
      <c r="C25" s="115">
        <v>3.98</v>
      </c>
      <c r="D25" s="117" t="s">
        <v>124</v>
      </c>
      <c r="E25" s="106">
        <f>'2018'!BH168</f>
      </c>
      <c r="F25" s="106">
        <f>'2018'!BH169</f>
        <v>52.29</v>
      </c>
      <c r="G25" s="106">
        <f>'2018'!BH170</f>
        <v>68.64</v>
      </c>
      <c r="H25" s="106">
        <f>'2018'!BH171</f>
        <v>0</v>
      </c>
      <c r="I25" s="106">
        <f>'2018'!BH172</f>
        <v>0.0024</v>
      </c>
      <c r="J25" s="106">
        <f>'2018'!BH173</f>
        <v>0</v>
      </c>
      <c r="K25" s="106">
        <f>'2018'!BH174</f>
        <v>0</v>
      </c>
      <c r="L25" s="106">
        <f t="shared" si="0"/>
        <v>120.9324</v>
      </c>
    </row>
    <row r="26" ht="15.75" customHeight="1" spans="1:12" x14ac:dyDescent="0.25">
      <c r="A26" s="14"/>
      <c r="B26" s="115">
        <v>24</v>
      </c>
      <c r="C26" s="115">
        <v>4.01</v>
      </c>
      <c r="D26" s="117" t="s">
        <v>127</v>
      </c>
      <c r="E26" s="106">
        <f>'2018'!BH176</f>
      </c>
      <c r="F26" s="106">
        <f>'2018'!BH177</f>
        <v>0</v>
      </c>
      <c r="G26" s="106">
        <f>'2018'!BH178</f>
        <v>-17.16</v>
      </c>
      <c r="H26" s="106">
        <f>'2018'!BH179</f>
        <v>0</v>
      </c>
      <c r="I26" s="106">
        <f>'2018'!BH180</f>
        <v>0.0088</v>
      </c>
      <c r="J26" s="106">
        <f>'2018'!BH181</f>
        <v>0</v>
      </c>
      <c r="K26" s="106">
        <f>'2018'!BH182</f>
        <v>0</v>
      </c>
      <c r="L26" s="106">
        <f t="shared" si="0"/>
        <v>-17.1512</v>
      </c>
    </row>
    <row r="27" ht="15.75" customHeight="1" spans="1:12" x14ac:dyDescent="0.25">
      <c r="A27" s="14"/>
      <c r="B27" s="115">
        <v>25</v>
      </c>
      <c r="C27" s="116">
        <v>4</v>
      </c>
      <c r="D27" s="117" t="s">
        <v>131</v>
      </c>
      <c r="E27" s="106">
        <f>'2018'!BH184</f>
        <v>0</v>
      </c>
      <c r="F27" s="106">
        <f>'2018'!BH185</f>
        <v>32.37</v>
      </c>
      <c r="G27" s="106">
        <f>'2018'!BH186</f>
        <v>0</v>
      </c>
      <c r="H27" s="106">
        <f>'2018'!BH187</f>
        <v>0</v>
      </c>
      <c r="I27" s="106">
        <f>'2018'!BH188</f>
        <v>4251.52</v>
      </c>
      <c r="J27" s="106">
        <f>'2018'!BH189</f>
        <v>0</v>
      </c>
      <c r="K27" s="106">
        <f>'2018'!BH190</f>
        <v>350</v>
      </c>
      <c r="L27" s="106">
        <f t="shared" si="0"/>
        <v>4633.89</v>
      </c>
    </row>
    <row r="28" ht="15.75" customHeight="1" spans="1:12" x14ac:dyDescent="0.25">
      <c r="A28" s="14"/>
      <c r="B28" s="115">
        <v>26</v>
      </c>
      <c r="C28" s="115">
        <v>3.98</v>
      </c>
      <c r="D28" s="117" t="s">
        <v>133</v>
      </c>
      <c r="E28" s="106">
        <f>'2018'!BH192</f>
        <v>4830</v>
      </c>
      <c r="F28" s="106">
        <f>'2018'!BH193</f>
        <v>0</v>
      </c>
      <c r="G28" s="106">
        <f>'2018'!BH194</f>
        <v>0</v>
      </c>
      <c r="H28" s="106">
        <f>'2018'!BH195</f>
        <v>0</v>
      </c>
      <c r="I28" s="106">
        <f>'2018'!BH196</f>
        <v>15374.2624</v>
      </c>
      <c r="J28" s="106">
        <f>'2018'!BH197</f>
        <v>15527</v>
      </c>
      <c r="K28" s="106">
        <f>'2018'!BH198</f>
        <v>1450</v>
      </c>
      <c r="L28" s="106">
        <f t="shared" si="0"/>
        <v>37181.2624</v>
      </c>
    </row>
    <row r="29" ht="15.75" customHeight="1" spans="1:12" x14ac:dyDescent="0.25">
      <c r="A29" s="14"/>
      <c r="B29" s="115">
        <v>27</v>
      </c>
      <c r="C29" s="115">
        <v>4.04</v>
      </c>
      <c r="D29" s="117" t="s">
        <v>136</v>
      </c>
      <c r="E29" s="106">
        <f>'2018'!BH200</f>
      </c>
      <c r="F29" s="106">
        <f>'2018'!BH201</f>
        <v>0</v>
      </c>
      <c r="G29" s="106">
        <f>'2018'!BH202</f>
        <v>0</v>
      </c>
      <c r="H29" s="106">
        <f>'2018'!BH203</f>
        <v>0</v>
      </c>
      <c r="I29" s="106">
        <f>'2018'!BH204</f>
        <v>13086.0352</v>
      </c>
      <c r="J29" s="106">
        <f>'2018'!BH205</f>
        <v>1808</v>
      </c>
      <c r="K29" s="106">
        <f>'2018'!BH206</f>
        <v>1200</v>
      </c>
      <c r="L29" s="106">
        <f t="shared" si="0"/>
        <v>16094.0352</v>
      </c>
    </row>
    <row r="30" ht="15.75" customHeight="1" spans="1:12" x14ac:dyDescent="0.25">
      <c r="A30" s="14"/>
      <c r="B30" s="115" t="s">
        <v>139</v>
      </c>
      <c r="C30" s="115">
        <v>8.01</v>
      </c>
      <c r="D30" s="117" t="s">
        <v>140</v>
      </c>
      <c r="E30" s="106">
        <f>'2018'!BH208</f>
      </c>
      <c r="F30" s="106">
        <f>'2018'!BH209</f>
        <v>-385.95</v>
      </c>
      <c r="G30" s="106">
        <f>'2018'!BH210</f>
        <v>0</v>
      </c>
      <c r="H30" s="106">
        <f>'2018'!BH211</f>
        <v>0</v>
      </c>
      <c r="I30" s="106">
        <f>'2018'!BH212</f>
        <v>-0.001199999999</v>
      </c>
      <c r="J30" s="106">
        <f>'2018'!BH213</f>
        <v>0</v>
      </c>
      <c r="K30" s="106">
        <f>'2018'!BH214</f>
        <v>0</v>
      </c>
      <c r="L30" s="106">
        <f t="shared" si="0"/>
        <v>-385.9512</v>
      </c>
    </row>
    <row r="31" ht="15.75" customHeight="1" spans="1:12" x14ac:dyDescent="0.25">
      <c r="A31" s="14"/>
      <c r="B31" s="115">
        <v>29</v>
      </c>
      <c r="C31" s="115">
        <v>4.02</v>
      </c>
      <c r="D31" s="117" t="s">
        <v>146</v>
      </c>
      <c r="E31" s="106">
        <f>'2018'!BH216</f>
      </c>
      <c r="F31" s="106">
        <f>'2018'!BH217</f>
        <v>0</v>
      </c>
      <c r="G31" s="106">
        <f>'2018'!BH218</f>
        <v>0</v>
      </c>
      <c r="H31" s="106">
        <f>'2018'!BH219</f>
        <v>0</v>
      </c>
      <c r="I31" s="106">
        <f>'2018'!BH220</f>
        <v>-0.002399999999</v>
      </c>
      <c r="J31" s="106">
        <f>'2018'!BH221</f>
        <v>0</v>
      </c>
      <c r="K31" s="106">
        <f>'2018'!BH222</f>
        <v>0</v>
      </c>
      <c r="L31" s="106">
        <f t="shared" si="0"/>
        <v>-0.002399999999</v>
      </c>
    </row>
    <row r="32" ht="15.75" customHeight="1" spans="1:12" x14ac:dyDescent="0.25">
      <c r="A32" s="14"/>
      <c r="B32" s="115">
        <v>31</v>
      </c>
      <c r="C32" s="116">
        <v>4</v>
      </c>
      <c r="D32" s="117" t="s">
        <v>149</v>
      </c>
      <c r="E32" s="106">
        <f>'2018'!BH224</f>
      </c>
      <c r="F32" s="106">
        <f>'2018'!BH225</f>
        <v>0</v>
      </c>
      <c r="G32" s="106">
        <f>'2018'!BH226</f>
        <v>0</v>
      </c>
      <c r="H32" s="106">
        <f>'2018'!BH227</f>
        <v>0</v>
      </c>
      <c r="I32" s="106">
        <f>'2018'!BH228</f>
        <v>0</v>
      </c>
      <c r="J32" s="106">
        <f>'2018'!BH229</f>
        <v>0</v>
      </c>
      <c r="K32" s="106">
        <f>'2018'!BH230</f>
        <v>0</v>
      </c>
      <c r="L32" s="106">
        <f t="shared" si="0"/>
        <v>0</v>
      </c>
    </row>
    <row r="33" ht="15.75" customHeight="1" spans="1:12" x14ac:dyDescent="0.25">
      <c r="A33" s="14"/>
      <c r="B33" s="115">
        <v>32</v>
      </c>
      <c r="C33" s="115">
        <v>3.96</v>
      </c>
      <c r="D33" s="117" t="s">
        <v>152</v>
      </c>
      <c r="E33" s="106">
        <f>'2018'!BH232</f>
      </c>
      <c r="F33" s="106">
        <f>'2018'!BH233</f>
        <v>-58.78</v>
      </c>
      <c r="G33" s="106">
        <f>'2018'!BH234</f>
        <v>0</v>
      </c>
      <c r="H33" s="106">
        <f>'2018'!BH235</f>
        <v>1188</v>
      </c>
      <c r="I33" s="106">
        <f>'2018'!BH236</f>
        <v>0.004800000001</v>
      </c>
      <c r="J33" s="106">
        <f>'2018'!BH237</f>
        <v>0</v>
      </c>
      <c r="K33" s="106">
        <f>'2018'!BH238</f>
        <v>350</v>
      </c>
      <c r="L33" s="106">
        <f t="shared" si="0"/>
        <v>1479.2248</v>
      </c>
    </row>
    <row r="34" ht="15.75" customHeight="1" spans="1:12" x14ac:dyDescent="0.25">
      <c r="A34" s="14"/>
      <c r="B34" s="115">
        <v>33</v>
      </c>
      <c r="C34" s="115">
        <v>4.01</v>
      </c>
      <c r="D34" s="117" t="s">
        <v>154</v>
      </c>
      <c r="E34" s="106">
        <f>'2018'!BH240</f>
      </c>
      <c r="F34" s="106">
        <f>'2018'!BH241</f>
        <v>2.49</v>
      </c>
      <c r="G34" s="106">
        <f>'2018'!BH242</f>
        <v>0</v>
      </c>
      <c r="H34" s="106">
        <f>'2018'!BH243</f>
        <v>1203</v>
      </c>
      <c r="I34" s="106">
        <f>'2018'!BH244</f>
        <v>4262.1488</v>
      </c>
      <c r="J34" s="106">
        <f>'2018'!BH245</f>
        <v>0</v>
      </c>
      <c r="K34" s="106">
        <f>'2018'!BH246</f>
        <v>350</v>
      </c>
      <c r="L34" s="106">
        <f t="shared" si="0"/>
        <v>5817.6388</v>
      </c>
    </row>
    <row r="35" ht="15.75" customHeight="1" spans="1:12" x14ac:dyDescent="0.25">
      <c r="A35" s="14"/>
      <c r="B35" s="115">
        <v>34</v>
      </c>
      <c r="C35" s="115">
        <v>4.01</v>
      </c>
      <c r="D35" s="117" t="s">
        <v>155</v>
      </c>
      <c r="E35" s="106">
        <f>'2018'!BH248</f>
      </c>
      <c r="F35" s="106">
        <f>'2018'!BH249</f>
        <v>326.19</v>
      </c>
      <c r="G35" s="106">
        <f>'2018'!BH250</f>
        <v>353.6</v>
      </c>
      <c r="H35" s="106">
        <f>'2018'!BH251</f>
        <v>0</v>
      </c>
      <c r="I35" s="106">
        <f>'2018'!BH252</f>
        <v>1285.2088</v>
      </c>
      <c r="J35" s="106">
        <f>'2018'!BH253</f>
        <v>0</v>
      </c>
      <c r="K35" s="106">
        <f>'2018'!BH254</f>
        <v>0</v>
      </c>
      <c r="L35" s="106">
        <f t="shared" si="0"/>
        <v>1964.9988</v>
      </c>
    </row>
    <row r="36" ht="15.75" customHeight="1" spans="1:12" x14ac:dyDescent="0.25">
      <c r="A36" s="14"/>
      <c r="B36" s="115">
        <v>35</v>
      </c>
      <c r="C36" s="115">
        <v>4.01</v>
      </c>
      <c r="D36" s="117" t="s">
        <v>157</v>
      </c>
      <c r="E36" s="106">
        <f>'2018'!BH256</f>
      </c>
      <c r="F36" s="106">
        <f>'2018'!BH257</f>
        <v>0</v>
      </c>
      <c r="G36" s="106">
        <f>'2018'!BH258</f>
        <v>0</v>
      </c>
      <c r="H36" s="106">
        <f>'2018'!BH259</f>
        <v>0</v>
      </c>
      <c r="I36" s="106">
        <f>'2018'!BH260</f>
        <v>-0.0012</v>
      </c>
      <c r="J36" s="106">
        <f>'2018'!BH261</f>
        <v>0</v>
      </c>
      <c r="K36" s="106">
        <f>'2018'!BH262</f>
        <v>0</v>
      </c>
      <c r="L36" s="106">
        <f t="shared" si="0"/>
        <v>-0.0012</v>
      </c>
    </row>
    <row r="37" ht="15.75" customHeight="1" spans="1:12" x14ac:dyDescent="0.25">
      <c r="A37" s="14"/>
      <c r="B37" s="115">
        <v>36</v>
      </c>
      <c r="C37" s="115">
        <v>4.03</v>
      </c>
      <c r="D37" s="117" t="s">
        <v>160</v>
      </c>
      <c r="E37" s="106">
        <f>'2018'!BH264</f>
      </c>
      <c r="F37" s="106">
        <f>'2018'!BH265</f>
        <v>48.4</v>
      </c>
      <c r="G37" s="106">
        <f>'2018'!BH266</f>
        <v>0</v>
      </c>
      <c r="H37" s="106">
        <f>'2018'!BH267</f>
        <v>0</v>
      </c>
      <c r="I37" s="106">
        <f>'2018'!BH268</f>
        <v>-0.003599999999</v>
      </c>
      <c r="J37" s="106">
        <f>'2018'!BH269</f>
        <v>0</v>
      </c>
      <c r="K37" s="106">
        <f>'2018'!BH270</f>
        <v>0</v>
      </c>
      <c r="L37" s="106">
        <f t="shared" si="0"/>
        <v>48.3964</v>
      </c>
    </row>
    <row r="38" ht="15.75" customHeight="1" spans="1:12" x14ac:dyDescent="0.25">
      <c r="A38" s="14"/>
      <c r="B38" s="115">
        <v>37</v>
      </c>
      <c r="C38" s="115">
        <v>4.06</v>
      </c>
      <c r="D38" s="117" t="s">
        <v>162</v>
      </c>
      <c r="E38" s="106">
        <f>'2018'!BH272</f>
      </c>
      <c r="F38" s="106">
        <f>'2018'!BH273</f>
        <v>0</v>
      </c>
      <c r="G38" s="106">
        <f>'2018'!BH274</f>
        <v>0</v>
      </c>
      <c r="H38" s="106">
        <f>'2018'!BH275</f>
        <v>0</v>
      </c>
      <c r="I38" s="106">
        <f>'2018'!BH276</f>
        <v>0.0028</v>
      </c>
      <c r="J38" s="106">
        <f>'2018'!BH277</f>
        <v>0</v>
      </c>
      <c r="K38" s="106">
        <f>'2018'!BH278</f>
        <v>0</v>
      </c>
      <c r="L38" s="106">
        <f t="shared" si="0"/>
        <v>0.0028</v>
      </c>
    </row>
    <row r="39" ht="15.75" customHeight="1" spans="1:12" x14ac:dyDescent="0.25">
      <c r="A39" s="14"/>
      <c r="B39" s="115">
        <v>38</v>
      </c>
      <c r="C39" s="115">
        <v>4.34</v>
      </c>
      <c r="D39" s="117" t="s">
        <v>167</v>
      </c>
      <c r="E39" s="106">
        <f>'2018'!BH280</f>
      </c>
      <c r="F39" s="106">
        <f>'2018'!BH281</f>
        <v>0</v>
      </c>
      <c r="G39" s="106">
        <f>'2018'!BH282</f>
        <v>-17.16</v>
      </c>
      <c r="H39" s="106">
        <f>'2018'!BH283</f>
        <v>0</v>
      </c>
      <c r="I39" s="106">
        <f>'2018'!BH284</f>
        <v>0.0092</v>
      </c>
      <c r="J39" s="106">
        <f>'2018'!BH285</f>
        <v>0</v>
      </c>
      <c r="K39" s="106">
        <f>'2018'!BH285</f>
        <v>0</v>
      </c>
      <c r="L39" s="106">
        <f t="shared" si="0"/>
        <v>-17.1508</v>
      </c>
    </row>
    <row r="40" ht="15.75" customHeight="1" spans="1:12" x14ac:dyDescent="0.25">
      <c r="A40" s="21"/>
      <c r="B40" s="115">
        <v>39</v>
      </c>
      <c r="C40" s="116">
        <v>4</v>
      </c>
      <c r="D40" s="117" t="s">
        <v>169</v>
      </c>
      <c r="E40" s="106">
        <f>'2018'!BH288</f>
      </c>
      <c r="F40" s="106">
        <f>'2018'!BH289</f>
        <v>0</v>
      </c>
      <c r="G40" s="106">
        <f>'2018'!BH290</f>
        <v>0</v>
      </c>
      <c r="H40" s="106">
        <f>'2018'!BH291</f>
        <v>2400</v>
      </c>
      <c r="I40" s="106">
        <f>'2018'!BH292</f>
        <v>4251.52</v>
      </c>
      <c r="J40" s="106">
        <f>'2018'!BH293</f>
        <v>600</v>
      </c>
      <c r="K40" s="106">
        <f>'2018'!BH294</f>
        <v>350</v>
      </c>
      <c r="L40" s="106">
        <f t="shared" si="0"/>
        <v>7601.52</v>
      </c>
    </row>
    <row r="41" ht="15.75" customHeight="1" spans="1:12" x14ac:dyDescent="0.25">
      <c r="A41" s="114" t="s">
        <v>173</v>
      </c>
      <c r="B41" s="115">
        <v>40</v>
      </c>
      <c r="C41" s="115">
        <v>4.92</v>
      </c>
      <c r="D41" s="117" t="s">
        <v>174</v>
      </c>
      <c r="E41" s="106">
        <f>'2018'!BH296</f>
      </c>
      <c r="F41" s="106">
        <f>'2018'!BH297</f>
        <v>1019.84</v>
      </c>
      <c r="G41" s="106">
        <f>'2018'!BH298</f>
        <v>-7.25</v>
      </c>
      <c r="H41" s="106">
        <f>'2018'!BH299</f>
        <v>0</v>
      </c>
      <c r="I41" s="106">
        <f>'2018'!BH300</f>
        <v>-0.000399999999</v>
      </c>
      <c r="J41" s="106">
        <f>'2018'!BH301</f>
        <v>0</v>
      </c>
      <c r="K41" s="106">
        <f>'2018'!BH302</f>
        <v>0</v>
      </c>
      <c r="L41" s="106">
        <f t="shared" si="0"/>
        <v>1012.5896</v>
      </c>
    </row>
    <row r="42" ht="15.75" customHeight="1" spans="1:12" x14ac:dyDescent="0.25">
      <c r="A42" s="14"/>
      <c r="B42" s="115">
        <v>41</v>
      </c>
      <c r="C42" s="115">
        <v>4.87</v>
      </c>
      <c r="D42" s="117" t="s">
        <v>177</v>
      </c>
      <c r="E42" s="106">
        <f>'2018'!BH304</f>
      </c>
      <c r="F42" s="106">
        <f>'2018'!BH305</f>
        <v>209.16</v>
      </c>
      <c r="G42" s="106">
        <f>'2018'!BH306</f>
        <v>-99</v>
      </c>
      <c r="H42" s="106">
        <f>'2018'!BH307</f>
        <v>0</v>
      </c>
      <c r="I42" s="106">
        <f>'2018'!BH308</f>
        <v>-0.004399999999</v>
      </c>
      <c r="J42" s="106">
        <f>'2018'!BH309</f>
        <v>0</v>
      </c>
      <c r="K42" s="106">
        <f>'2018'!BH310</f>
        <v>0</v>
      </c>
      <c r="L42" s="106">
        <f t="shared" si="0"/>
        <v>110.1556</v>
      </c>
    </row>
    <row r="43" ht="15.75" customHeight="1" spans="1:12" x14ac:dyDescent="0.25">
      <c r="A43" s="14"/>
      <c r="B43" s="115">
        <v>42</v>
      </c>
      <c r="C43" s="116">
        <v>4.9</v>
      </c>
      <c r="D43" s="117" t="s">
        <v>360</v>
      </c>
      <c r="E43" s="106">
        <f>'2018'!BH312</f>
        <v>0</v>
      </c>
      <c r="F43" s="106">
        <f>'2018'!BH313</f>
        <v>0</v>
      </c>
      <c r="G43" s="106">
        <f>'2018'!BH314</f>
        <v>0</v>
      </c>
      <c r="H43" s="106">
        <f>'2018'!BH315</f>
        <v>0</v>
      </c>
      <c r="I43" s="106">
        <f>'2018'!BH316</f>
        <v>0.002000000001</v>
      </c>
      <c r="J43" s="106">
        <f>'2018'!BH317</f>
        <v>0</v>
      </c>
      <c r="K43" s="106">
        <f>'2018'!BH318</f>
        <v>0</v>
      </c>
      <c r="L43" s="106">
        <f t="shared" si="0"/>
        <v>0.002000000001</v>
      </c>
    </row>
    <row r="44" ht="15.75" customHeight="1" spans="1:12" x14ac:dyDescent="0.25">
      <c r="A44" s="14"/>
      <c r="B44" s="115">
        <v>43</v>
      </c>
      <c r="C44" s="115">
        <v>4.96</v>
      </c>
      <c r="D44" s="117" t="s">
        <v>185</v>
      </c>
      <c r="E44" s="106">
        <f>'2018'!BH320</f>
      </c>
      <c r="F44" s="106">
        <f>'2018'!BH321</f>
        <v>-142.73</v>
      </c>
      <c r="G44" s="106">
        <f>'2018'!BH322</f>
        <v>0</v>
      </c>
      <c r="H44" s="106">
        <f>'2018'!BH323</f>
        <v>0</v>
      </c>
      <c r="I44" s="106">
        <f>'2018'!BH324</f>
        <v>0.004800000001</v>
      </c>
      <c r="J44" s="106">
        <f>'2018'!BH325</f>
        <v>0</v>
      </c>
      <c r="K44" s="106">
        <f>'2018'!BH326</f>
        <v>0</v>
      </c>
      <c r="L44" s="106">
        <f t="shared" si="0"/>
        <v>-142.7252</v>
      </c>
    </row>
    <row r="45" ht="15.75" customHeight="1" spans="1:12" x14ac:dyDescent="0.25">
      <c r="A45" s="14"/>
      <c r="B45" s="115">
        <v>44</v>
      </c>
      <c r="C45" s="115">
        <v>4.01</v>
      </c>
      <c r="D45" s="117" t="s">
        <v>188</v>
      </c>
      <c r="E45" s="106">
        <f>'2018'!BH328</f>
        <v>5000</v>
      </c>
      <c r="F45" s="106">
        <f>'2018'!BH329</f>
        <v>0</v>
      </c>
      <c r="G45" s="106">
        <f>'2018'!BH330</f>
        <v>-17.16</v>
      </c>
      <c r="H45" s="106">
        <f>'2018'!BH331</f>
        <v>0</v>
      </c>
      <c r="I45" s="106">
        <f>'2018'!BH332</f>
        <v>4262.1488</v>
      </c>
      <c r="J45" s="106">
        <f>'2018'!BH333</f>
        <v>0</v>
      </c>
      <c r="K45" s="106">
        <f>'2018'!BH334</f>
        <v>350</v>
      </c>
      <c r="L45" s="106">
        <f t="shared" si="0"/>
        <v>9594.9888</v>
      </c>
    </row>
    <row r="46" ht="15.75" customHeight="1" spans="1:12" x14ac:dyDescent="0.25">
      <c r="A46" s="14"/>
      <c r="B46" s="115">
        <v>45</v>
      </c>
      <c r="C46" s="115">
        <v>5.04</v>
      </c>
      <c r="D46" s="117" t="s">
        <v>189</v>
      </c>
      <c r="E46" s="106">
        <f>'2018'!BH336</f>
      </c>
      <c r="F46" s="106">
        <f>'2018'!BH337</f>
        <v>0</v>
      </c>
      <c r="G46" s="106">
        <f>'2018'!BH338</f>
        <v>-17.16</v>
      </c>
      <c r="H46" s="106">
        <f>'2018'!BH339</f>
        <v>0</v>
      </c>
      <c r="I46" s="106">
        <f>'2018'!BH340</f>
        <v>0.005200000001</v>
      </c>
      <c r="J46" s="106">
        <f>'2018'!BH341</f>
        <v>0</v>
      </c>
      <c r="K46" s="106">
        <f>'2018'!BH342</f>
        <v>0</v>
      </c>
      <c r="L46" s="106">
        <f t="shared" si="0"/>
        <v>-17.1548</v>
      </c>
    </row>
    <row r="47" ht="15.75" customHeight="1" spans="1:12" x14ac:dyDescent="0.25">
      <c r="A47" s="14"/>
      <c r="B47" s="115">
        <v>46</v>
      </c>
      <c r="C47" s="116">
        <v>4</v>
      </c>
      <c r="D47" s="117" t="s">
        <v>188</v>
      </c>
      <c r="E47" s="106">
        <f>'2018'!BH344</f>
      </c>
      <c r="F47" s="106">
        <f>'2018'!BH345</f>
        <v>129.48</v>
      </c>
      <c r="G47" s="106">
        <f>'2018'!BH346</f>
        <v>-26.96</v>
      </c>
      <c r="H47" s="106">
        <f>'2018'!BH347</f>
        <v>0</v>
      </c>
      <c r="I47" s="106">
        <f>'2018'!BH348</f>
        <v>0</v>
      </c>
      <c r="J47" s="106">
        <f>'2018'!BH349</f>
        <v>0</v>
      </c>
      <c r="K47" s="106">
        <f>'2018'!BH350</f>
        <v>0</v>
      </c>
      <c r="L47" s="106">
        <f t="shared" si="0"/>
        <v>102.52</v>
      </c>
    </row>
    <row r="48" ht="15.75" customHeight="1" spans="1:12" x14ac:dyDescent="0.25">
      <c r="A48" s="14"/>
      <c r="B48" s="115">
        <v>47</v>
      </c>
      <c r="C48" s="116">
        <v>5</v>
      </c>
      <c r="D48" s="117" t="s">
        <v>192</v>
      </c>
      <c r="E48" s="106">
        <f>'2018'!BH352</f>
      </c>
      <c r="F48" s="106">
        <f>'2018'!BH353</f>
        <v>0</v>
      </c>
      <c r="G48" s="106">
        <f>'2018'!BH354</f>
        <v>0</v>
      </c>
      <c r="H48" s="106">
        <f>'2018'!BH355</f>
        <v>0</v>
      </c>
      <c r="I48" s="106">
        <f>'2018'!BH356</f>
        <v>0</v>
      </c>
      <c r="J48" s="106">
        <f>'2018'!BH357</f>
        <v>0</v>
      </c>
      <c r="K48" s="106">
        <f>'2018'!BH358</f>
        <v>0</v>
      </c>
      <c r="L48" s="106">
        <f t="shared" si="0"/>
        <v>0</v>
      </c>
    </row>
    <row r="49" ht="15.75" customHeight="1" spans="1:12" x14ac:dyDescent="0.25">
      <c r="A49" s="14"/>
      <c r="B49" s="115">
        <v>48</v>
      </c>
      <c r="C49" s="115">
        <v>5.93</v>
      </c>
      <c r="D49" s="117" t="s">
        <v>97</v>
      </c>
      <c r="E49" s="106">
        <f>'2018'!BH360</f>
      </c>
      <c r="F49" s="106">
        <f>'2018'!BH361</f>
        <v>0</v>
      </c>
      <c r="G49" s="106">
        <f>'2018'!BH362</f>
        <v>34.32</v>
      </c>
      <c r="H49" s="106">
        <f>'2018'!BH363</f>
        <v>0</v>
      </c>
      <c r="I49" s="106">
        <f>'2018'!BH364</f>
        <v>-0.0016</v>
      </c>
      <c r="J49" s="106">
        <f>'2018'!BH365</f>
        <v>0</v>
      </c>
      <c r="K49" s="106">
        <f>'2018'!BH366</f>
        <v>0</v>
      </c>
      <c r="L49" s="106">
        <f t="shared" si="0"/>
        <v>34.3184</v>
      </c>
    </row>
    <row r="50" ht="15.75" customHeight="1" spans="1:12" x14ac:dyDescent="0.25">
      <c r="A50" s="14"/>
      <c r="B50" s="115">
        <v>49</v>
      </c>
      <c r="C50" s="115">
        <v>5.03</v>
      </c>
      <c r="D50" s="117" t="s">
        <v>197</v>
      </c>
      <c r="E50" s="106">
        <f>'2018'!BH368</f>
      </c>
      <c r="F50" s="106">
        <f>'2018'!BH369</f>
        <v>0</v>
      </c>
      <c r="G50" s="106">
        <f>'2018'!BH370</f>
        <v>0</v>
      </c>
      <c r="H50" s="106">
        <f>'2018'!BH371</f>
        <v>0</v>
      </c>
      <c r="I50" s="106">
        <f>'2018'!BH372</f>
        <v>-0.003599999999</v>
      </c>
      <c r="J50" s="106">
        <f>'2018'!BH373</f>
        <v>0</v>
      </c>
      <c r="K50" s="106">
        <f>'2018'!BH374</f>
        <v>0</v>
      </c>
      <c r="L50" s="106">
        <f t="shared" si="0"/>
        <v>-0.003599999999</v>
      </c>
    </row>
    <row r="51" ht="15.75" customHeight="1" spans="1:12" x14ac:dyDescent="0.25">
      <c r="A51" s="14"/>
      <c r="B51" s="115">
        <v>50</v>
      </c>
      <c r="C51" s="115">
        <v>6.05</v>
      </c>
      <c r="D51" s="117" t="s">
        <v>361</v>
      </c>
      <c r="E51" s="106">
        <f>'2018'!BH376</f>
      </c>
      <c r="F51" s="106">
        <f>'2018'!BH377</f>
        <v>443.22</v>
      </c>
      <c r="G51" s="106">
        <f>'2018'!BH378</f>
        <v>0</v>
      </c>
      <c r="H51" s="106">
        <f>'2018'!BH379</f>
        <v>0</v>
      </c>
      <c r="I51" s="106">
        <f>'2018'!BH380</f>
        <v>0.004000000001</v>
      </c>
      <c r="J51" s="106">
        <f>'2018'!BH381</f>
        <v>0</v>
      </c>
      <c r="K51" s="106">
        <f>'2018'!BH382</f>
        <v>0</v>
      </c>
      <c r="L51" s="106">
        <f t="shared" si="0"/>
        <v>443.224</v>
      </c>
    </row>
    <row r="52" ht="15.75" customHeight="1" spans="1:12" x14ac:dyDescent="0.25">
      <c r="A52" s="14"/>
      <c r="B52" s="115">
        <v>51</v>
      </c>
      <c r="C52" s="115">
        <v>4.95</v>
      </c>
      <c r="D52" s="117" t="s">
        <v>204</v>
      </c>
      <c r="E52" s="106">
        <f>'2018'!BH384</f>
      </c>
      <c r="F52" s="106">
        <f>'2018'!BH385</f>
        <v>0</v>
      </c>
      <c r="G52" s="106">
        <f>'2018'!BH386</f>
        <v>0</v>
      </c>
      <c r="H52" s="106">
        <f>'2018'!BH387</f>
        <v>0</v>
      </c>
      <c r="I52" s="106">
        <f>'2018'!BH388</f>
        <v>-0.004</v>
      </c>
      <c r="J52" s="106">
        <f>'2018'!BH389</f>
        <v>0</v>
      </c>
      <c r="K52" s="106">
        <f>'2018'!BH390</f>
        <v>0</v>
      </c>
      <c r="L52" s="106">
        <f t="shared" si="0"/>
        <v>-0.004</v>
      </c>
    </row>
    <row r="53" ht="15.75" customHeight="1" spans="1:12" x14ac:dyDescent="0.25">
      <c r="A53" s="14"/>
      <c r="B53" s="115">
        <v>52</v>
      </c>
      <c r="C53" s="116">
        <v>5</v>
      </c>
      <c r="D53" s="117" t="s">
        <v>206</v>
      </c>
      <c r="E53" s="106">
        <f>'2018'!BH392</f>
      </c>
      <c r="F53" s="106">
        <f>'2018'!BH393</f>
        <v>2.49</v>
      </c>
      <c r="G53" s="106">
        <f>'2018'!BH394</f>
        <v>0</v>
      </c>
      <c r="H53" s="106">
        <f>'2018'!BH395</f>
        <v>0</v>
      </c>
      <c r="I53" s="106">
        <f>'2018'!BH396</f>
        <v>0</v>
      </c>
      <c r="J53" s="106">
        <f>'2018'!BH397</f>
        <v>0</v>
      </c>
      <c r="K53" s="106">
        <f>'2018'!BH398</f>
        <v>0</v>
      </c>
      <c r="L53" s="106">
        <f t="shared" si="0"/>
        <v>2.49</v>
      </c>
    </row>
    <row r="54" ht="15.75" customHeight="1" spans="1:12" x14ac:dyDescent="0.25">
      <c r="A54" s="14"/>
      <c r="B54" s="115">
        <v>53</v>
      </c>
      <c r="C54" s="115">
        <v>5.05</v>
      </c>
      <c r="D54" s="117" t="s">
        <v>210</v>
      </c>
      <c r="E54" s="106">
        <f>'2018'!BH400</f>
      </c>
      <c r="F54" s="106">
        <f>'2018'!BH401</f>
        <v>-992.3</v>
      </c>
      <c r="G54" s="106">
        <f>'2018'!BH402</f>
        <v>0</v>
      </c>
      <c r="H54" s="106">
        <f>'2018'!BH403</f>
        <v>0</v>
      </c>
      <c r="I54" s="106">
        <f>'2018'!BH404</f>
        <v>0.004000000001</v>
      </c>
      <c r="J54" s="106">
        <f>'2018'!BH405</f>
        <v>0</v>
      </c>
      <c r="K54" s="106">
        <f>'2018'!BH406</f>
        <v>0</v>
      </c>
      <c r="L54" s="106">
        <f t="shared" si="0"/>
        <v>-992.296</v>
      </c>
    </row>
    <row r="55" ht="15.75" customHeight="1" spans="1:12" x14ac:dyDescent="0.25">
      <c r="A55" s="14"/>
      <c r="B55" s="115">
        <v>54</v>
      </c>
      <c r="C55" s="115">
        <v>5.54</v>
      </c>
      <c r="D55" s="117" t="s">
        <v>212</v>
      </c>
      <c r="E55" s="106">
        <f>'2018'!BH408</f>
      </c>
      <c r="F55" s="106">
        <f>'2018'!BH409</f>
        <v>49.8</v>
      </c>
      <c r="G55" s="106">
        <f>'2018'!BH410</f>
        <v>-384.04</v>
      </c>
      <c r="H55" s="106">
        <f>'2018'!BH411</f>
        <v>0</v>
      </c>
      <c r="I55" s="106">
        <f>'2018'!BH412</f>
        <v>-0.0048</v>
      </c>
      <c r="J55" s="106">
        <f>'2018'!BH413</f>
        <v>0</v>
      </c>
      <c r="K55" s="106">
        <f>'2018'!BH414</f>
        <v>350</v>
      </c>
      <c r="L55" s="106">
        <f t="shared" si="0"/>
        <v>15.7552</v>
      </c>
    </row>
    <row r="56" ht="15.75" customHeight="1" spans="1:12" x14ac:dyDescent="0.25">
      <c r="A56" s="21"/>
      <c r="B56" s="115">
        <v>55</v>
      </c>
      <c r="C56" s="116">
        <v>5.5</v>
      </c>
      <c r="D56" s="117" t="s">
        <v>214</v>
      </c>
      <c r="E56" s="106">
        <f>'2018'!BH416</f>
      </c>
      <c r="F56" s="106">
        <f>'2018'!BH417</f>
        <v>44.82</v>
      </c>
      <c r="G56" s="106">
        <f>'2018'!BH418</f>
        <v>0</v>
      </c>
      <c r="H56" s="106">
        <f>'2018'!BH419</f>
        <v>0</v>
      </c>
      <c r="I56" s="106">
        <f>'2018'!BH420</f>
        <v>0</v>
      </c>
      <c r="J56" s="106">
        <f>'2018'!BH421</f>
        <v>0</v>
      </c>
      <c r="K56" s="106">
        <f>'2018'!BH422</f>
        <v>0</v>
      </c>
      <c r="L56" s="106">
        <f t="shared" si="0"/>
        <v>44.82</v>
      </c>
    </row>
    <row r="57" ht="15.75" customHeight="1" spans="1:12" x14ac:dyDescent="0.25">
      <c r="A57" s="114" t="s">
        <v>217</v>
      </c>
      <c r="B57" s="115">
        <v>56</v>
      </c>
      <c r="C57" s="115">
        <v>6.23</v>
      </c>
      <c r="D57" s="117" t="s">
        <v>219</v>
      </c>
      <c r="E57" s="106">
        <f>'2018'!BH424</f>
        <v>0</v>
      </c>
      <c r="F57" s="106">
        <f>'2018'!BH425</f>
        <v>-115.14</v>
      </c>
      <c r="G57" s="106">
        <f>'2018'!BH426</f>
        <v>0</v>
      </c>
      <c r="H57" s="106">
        <f>'2018'!BH427</f>
        <v>0</v>
      </c>
      <c r="I57" s="106">
        <f>'2018'!BH428</f>
        <v>0.002400000001</v>
      </c>
      <c r="J57" s="106">
        <f>'2018'!BH429</f>
        <v>0</v>
      </c>
      <c r="K57" s="106">
        <f>'2018'!BH430</f>
        <v>0</v>
      </c>
      <c r="L57" s="106">
        <f t="shared" si="0"/>
        <v>-115.1376</v>
      </c>
    </row>
    <row r="58" ht="15.75" customHeight="1" spans="1:12" x14ac:dyDescent="0.25">
      <c r="A58" s="14"/>
      <c r="B58" s="115">
        <v>57</v>
      </c>
      <c r="C58" s="116">
        <v>4</v>
      </c>
      <c r="D58" s="117" t="s">
        <v>221</v>
      </c>
      <c r="E58" s="106">
        <f>'2018'!BH432</f>
      </c>
      <c r="F58" s="106">
        <f>'2018'!BH433</f>
        <v>4.98</v>
      </c>
      <c r="G58" s="106">
        <f>'2018'!BH434</f>
        <v>0</v>
      </c>
      <c r="H58" s="106">
        <f>'2018'!BH435</f>
        <v>1200</v>
      </c>
      <c r="I58" s="106">
        <f>'2018'!BH436</f>
        <v>3990.02</v>
      </c>
      <c r="J58" s="106">
        <f>'2018'!BH437</f>
        <v>0</v>
      </c>
      <c r="K58" s="106">
        <f>'2018'!BH438</f>
        <v>350</v>
      </c>
      <c r="L58" s="106">
        <f t="shared" si="0"/>
        <v>5545</v>
      </c>
    </row>
    <row r="59" ht="15.75" customHeight="1" spans="1:12" x14ac:dyDescent="0.25">
      <c r="A59" s="14"/>
      <c r="B59" s="115">
        <v>59</v>
      </c>
      <c r="C59" s="116">
        <v>4</v>
      </c>
      <c r="D59" s="117" t="s">
        <v>221</v>
      </c>
      <c r="E59" s="106">
        <f>'2018'!BH440</f>
        <v>550</v>
      </c>
      <c r="F59" s="106">
        <f>'2018'!BH441</f>
        <v>0</v>
      </c>
      <c r="G59" s="106">
        <f>'2018'!BH442</f>
        <v>0</v>
      </c>
      <c r="H59" s="106">
        <f>'2018'!BH443</f>
        <v>0</v>
      </c>
      <c r="I59" s="106">
        <f>'2018'!BH444</f>
        <v>13051.52</v>
      </c>
      <c r="J59" s="106">
        <f>'2018'!BH445</f>
        <v>15000</v>
      </c>
      <c r="K59" s="106">
        <f>'2018'!BH446</f>
        <v>1200</v>
      </c>
      <c r="L59" s="106">
        <f t="shared" si="0"/>
        <v>29801.52</v>
      </c>
    </row>
    <row r="60" ht="15.75" customHeight="1" spans="1:12" x14ac:dyDescent="0.25">
      <c r="A60" s="14"/>
      <c r="B60" s="115">
        <v>58</v>
      </c>
      <c r="C60" s="115">
        <v>5.08</v>
      </c>
      <c r="D60" s="117" t="s">
        <v>223</v>
      </c>
      <c r="E60" s="106">
        <f>'2018'!BH448</f>
      </c>
      <c r="F60" s="106">
        <f>'2018'!BH449</f>
        <v>-480.93</v>
      </c>
      <c r="G60" s="106">
        <f>'2018'!BH450</f>
        <v>0</v>
      </c>
      <c r="H60" s="106">
        <f>'2018'!BH451</f>
        <v>0</v>
      </c>
      <c r="I60" s="106">
        <f>'2018'!BH452</f>
        <v>0.0003999999999</v>
      </c>
      <c r="J60" s="106">
        <f>'2018'!BH453</f>
        <v>0</v>
      </c>
      <c r="K60" s="106">
        <f>'2018'!BH454</f>
        <v>0</v>
      </c>
      <c r="L60" s="106">
        <f t="shared" si="0"/>
        <v>-480.9296</v>
      </c>
    </row>
    <row r="61" ht="15.75" customHeight="1" spans="1:12" x14ac:dyDescent="0.25">
      <c r="A61" s="14"/>
      <c r="B61" s="115">
        <v>60</v>
      </c>
      <c r="C61" s="116">
        <v>4.4</v>
      </c>
      <c r="D61" s="117" t="s">
        <v>227</v>
      </c>
      <c r="E61" s="106">
        <f>'2018'!BH456</f>
      </c>
      <c r="F61" s="106">
        <f>'2018'!BH457</f>
        <v>-178.3</v>
      </c>
      <c r="G61" s="106">
        <f>'2018'!BH458</f>
        <v>0</v>
      </c>
      <c r="H61" s="106">
        <f>'2018'!BH459</f>
        <v>0</v>
      </c>
      <c r="I61" s="106">
        <f>'2018'!BH460</f>
        <v>0.002</v>
      </c>
      <c r="J61" s="106">
        <f>'2018'!BH461</f>
        <v>0</v>
      </c>
      <c r="K61" s="106">
        <f>'2018'!BH462</f>
        <v>0</v>
      </c>
      <c r="L61" s="106">
        <f t="shared" si="0"/>
        <v>-178.298</v>
      </c>
    </row>
    <row r="62" ht="15.75" customHeight="1" spans="1:12" x14ac:dyDescent="0.25">
      <c r="A62" s="14"/>
      <c r="B62" s="115">
        <v>61</v>
      </c>
      <c r="C62" s="115">
        <v>4.71</v>
      </c>
      <c r="D62" s="117" t="s">
        <v>231</v>
      </c>
      <c r="E62" s="106">
        <f>'2018'!BH464</f>
      </c>
      <c r="F62" s="106">
        <f>'2018'!BH465</f>
        <v>12.45</v>
      </c>
      <c r="G62" s="106">
        <f>'2018'!BH466</f>
        <v>0</v>
      </c>
      <c r="H62" s="106">
        <f>'2018'!BH467</f>
        <v>0</v>
      </c>
      <c r="I62" s="106">
        <f>'2018'!BH468</f>
        <v>0.004800000001</v>
      </c>
      <c r="J62" s="106">
        <f>'2018'!BH469</f>
        <v>0</v>
      </c>
      <c r="K62" s="106">
        <f>'2018'!BH470</f>
        <v>0</v>
      </c>
      <c r="L62" s="106">
        <f t="shared" si="0"/>
        <v>12.4548</v>
      </c>
    </row>
    <row r="63" ht="15.75" customHeight="1" spans="1:12" x14ac:dyDescent="0.25">
      <c r="A63" s="14"/>
      <c r="B63" s="115">
        <v>62</v>
      </c>
      <c r="C63" s="116">
        <v>4.6</v>
      </c>
      <c r="D63" s="117" t="s">
        <v>234</v>
      </c>
      <c r="E63" s="106">
        <f>'2018'!BH472</f>
      </c>
      <c r="F63" s="106">
        <f>'2018'!BH473</f>
        <v>14.94</v>
      </c>
      <c r="G63" s="106">
        <f>'2018'!BH474</f>
        <v>17.16</v>
      </c>
      <c r="H63" s="106">
        <f>'2018'!BH475</f>
        <v>0</v>
      </c>
      <c r="I63" s="106">
        <f>'2018'!BH476</f>
        <v>0.008000000001</v>
      </c>
      <c r="J63" s="106">
        <f>'2018'!BH477</f>
        <v>0</v>
      </c>
      <c r="K63" s="106">
        <f>'2018'!BH478</f>
        <v>0</v>
      </c>
      <c r="L63" s="106">
        <f t="shared" si="0"/>
        <v>32.108</v>
      </c>
    </row>
    <row r="64" ht="15.75" customHeight="1" spans="1:12" x14ac:dyDescent="0.25">
      <c r="A64" s="14"/>
      <c r="B64" s="115" t="s">
        <v>237</v>
      </c>
      <c r="C64" s="115">
        <v>8.02</v>
      </c>
      <c r="D64" s="117" t="s">
        <v>238</v>
      </c>
      <c r="E64" s="106">
        <f>'2018'!BH480</f>
      </c>
      <c r="F64" s="106">
        <f>'2018'!BH481</f>
        <v>2.49</v>
      </c>
      <c r="G64" s="106">
        <f>'2018'!BH482</f>
        <v>0</v>
      </c>
      <c r="H64" s="106">
        <f>'2018'!BH483</f>
        <v>0</v>
      </c>
      <c r="I64" s="106">
        <f>'2018'!BH484</f>
        <v>-0.002399999999</v>
      </c>
      <c r="J64" s="106">
        <f>'2018'!BH485</f>
        <v>0</v>
      </c>
      <c r="K64" s="106">
        <f>'2018'!BH486</f>
        <v>0</v>
      </c>
      <c r="L64" s="106">
        <f t="shared" si="0"/>
        <v>2.4876</v>
      </c>
    </row>
    <row r="65" ht="15.75" customHeight="1" spans="1:12" x14ac:dyDescent="0.25">
      <c r="A65" s="14"/>
      <c r="B65" s="115">
        <v>64</v>
      </c>
      <c r="C65" s="115">
        <v>4.24</v>
      </c>
      <c r="D65" s="117" t="s">
        <v>241</v>
      </c>
      <c r="E65" s="106">
        <f>'2018'!BH488</f>
      </c>
      <c r="F65" s="106">
        <f>'2018'!BH489</f>
        <v>-149.09</v>
      </c>
      <c r="G65" s="106">
        <f>'2018'!BH490</f>
        <v>-51.96</v>
      </c>
      <c r="H65" s="106">
        <f>'2018'!BH491</f>
        <v>0</v>
      </c>
      <c r="I65" s="106">
        <f>'2018'!BH492</f>
        <v>0.1012</v>
      </c>
      <c r="J65" s="106">
        <f>'2018'!BH493</f>
        <v>0</v>
      </c>
      <c r="K65" s="106">
        <f>'2018'!BH494</f>
        <v>0</v>
      </c>
      <c r="L65" s="106">
        <f t="shared" si="0"/>
        <v>-200.9488</v>
      </c>
    </row>
    <row r="66" ht="15.75" customHeight="1" spans="1:12" x14ac:dyDescent="0.25">
      <c r="A66" s="14"/>
      <c r="B66" s="115">
        <v>66</v>
      </c>
      <c r="C66" s="115">
        <v>4.66</v>
      </c>
      <c r="D66" s="117" t="s">
        <v>244</v>
      </c>
      <c r="E66" s="106">
        <f>'2018'!BH496</f>
      </c>
      <c r="F66" s="106">
        <f>'2018'!BH497</f>
        <v>0</v>
      </c>
      <c r="G66" s="106">
        <f>'2018'!BH498</f>
        <v>-17.16</v>
      </c>
      <c r="H66" s="106">
        <f>'2018'!BH499</f>
        <v>0</v>
      </c>
      <c r="I66" s="106">
        <f>'2018'!BH500</f>
        <v>0.0007999999998</v>
      </c>
      <c r="J66" s="106">
        <f>'2018'!BH501</f>
        <v>0</v>
      </c>
      <c r="K66" s="106">
        <f>'2018'!BH502</f>
        <v>0</v>
      </c>
      <c r="L66" s="106">
        <f t="shared" si="0"/>
        <v>-17.1592</v>
      </c>
    </row>
    <row r="67" ht="15.75" customHeight="1" spans="1:12" x14ac:dyDescent="0.25">
      <c r="A67" s="14"/>
      <c r="B67" s="115">
        <v>67</v>
      </c>
      <c r="C67" s="115">
        <v>6.08</v>
      </c>
      <c r="D67" s="117" t="s">
        <v>245</v>
      </c>
      <c r="E67" s="106">
        <f>'2018'!BH504</f>
      </c>
      <c r="F67" s="106">
        <f>'2018'!BH505</f>
        <v>-200</v>
      </c>
      <c r="G67" s="106">
        <f>'2018'!BH506</f>
        <v>0</v>
      </c>
      <c r="H67" s="106">
        <f>'2018'!BH507</f>
        <v>0</v>
      </c>
      <c r="I67" s="106">
        <f>'2018'!BH508</f>
        <v>0.0003999999999</v>
      </c>
      <c r="J67" s="106">
        <f>'2018'!BH509</f>
        <v>0</v>
      </c>
      <c r="K67" s="106">
        <f>'2018'!BH510</f>
        <v>0</v>
      </c>
      <c r="L67" s="106">
        <f t="shared" si="0"/>
        <v>-199.9996</v>
      </c>
    </row>
    <row r="68" ht="15.75" customHeight="1" spans="1:12" x14ac:dyDescent="0.25">
      <c r="A68" s="14"/>
      <c r="B68" s="115" t="s">
        <v>248</v>
      </c>
      <c r="C68" s="115">
        <v>8.03</v>
      </c>
      <c r="D68" s="117" t="s">
        <v>249</v>
      </c>
      <c r="E68" s="106">
        <f>'2018'!BH512</f>
      </c>
      <c r="F68" s="106">
        <f>'2018'!BH513</f>
        <v>14.94</v>
      </c>
      <c r="G68" s="106">
        <f>'2018'!BH514</f>
        <v>1326</v>
      </c>
      <c r="H68" s="106">
        <f>'2018'!BH515</f>
        <v>0</v>
      </c>
      <c r="I68" s="106">
        <f>'2018'!BH516</f>
        <v>-0.0036</v>
      </c>
      <c r="J68" s="106">
        <f>'2018'!BH517</f>
        <v>0</v>
      </c>
      <c r="K68" s="106">
        <f>'2018'!BH518</f>
        <v>0</v>
      </c>
      <c r="L68" s="106">
        <f t="shared" si="0"/>
        <v>1340.9364</v>
      </c>
    </row>
    <row r="69" ht="15.75" customHeight="1" spans="1:12" x14ac:dyDescent="0.25">
      <c r="A69" s="14"/>
      <c r="B69" s="115">
        <v>69</v>
      </c>
      <c r="C69" s="115">
        <v>4.03</v>
      </c>
      <c r="D69" s="117" t="s">
        <v>253</v>
      </c>
      <c r="E69" s="106">
        <f>'2018'!BH520</f>
      </c>
      <c r="F69" s="106">
        <f>'2018'!BH521</f>
        <v>-453.73</v>
      </c>
      <c r="G69" s="106">
        <f>'2018'!BH522</f>
        <v>-16.64</v>
      </c>
      <c r="H69" s="106">
        <f>'2018'!BH523</f>
        <v>0</v>
      </c>
      <c r="I69" s="106">
        <f>'2018'!BH524</f>
        <v>-0.003599999999</v>
      </c>
      <c r="J69" s="106">
        <f>'2018'!BH525</f>
        <v>0</v>
      </c>
      <c r="K69" s="106">
        <f>'2018'!BH526</f>
        <v>0</v>
      </c>
      <c r="L69" s="106">
        <f t="shared" si="0"/>
        <v>-470.3736</v>
      </c>
    </row>
    <row r="70" ht="15.75" customHeight="1" spans="1:12" x14ac:dyDescent="0.25">
      <c r="A70" s="14"/>
      <c r="B70" s="115">
        <v>71</v>
      </c>
      <c r="C70" s="115">
        <v>5.98</v>
      </c>
      <c r="D70" s="117" t="s">
        <v>255</v>
      </c>
      <c r="E70" s="106">
        <f>'2018'!BH528</f>
      </c>
      <c r="F70" s="106">
        <f>'2018'!BH529</f>
        <v>14.94</v>
      </c>
      <c r="G70" s="106">
        <f>'2018'!BH530</f>
        <v>0</v>
      </c>
      <c r="H70" s="106">
        <f>'2018'!BH531</f>
        <v>0</v>
      </c>
      <c r="I70" s="106">
        <f>'2018'!BH532</f>
        <v>0.0024</v>
      </c>
      <c r="J70" s="106">
        <f>'2018'!BH533</f>
        <v>0</v>
      </c>
      <c r="K70" s="106">
        <f>'2018'!BH534</f>
        <v>0</v>
      </c>
      <c r="L70" s="106">
        <f t="shared" si="0"/>
        <v>14.9424</v>
      </c>
    </row>
    <row r="71" ht="15.75" customHeight="1" spans="1:12" x14ac:dyDescent="0.25">
      <c r="A71" s="14"/>
      <c r="B71" s="115">
        <v>72</v>
      </c>
      <c r="C71" s="115">
        <v>4.03</v>
      </c>
      <c r="D71" s="117" t="s">
        <v>257</v>
      </c>
      <c r="E71" s="106">
        <f>'2018'!BH536</f>
      </c>
      <c r="F71" s="106">
        <f>'2018'!BH537</f>
        <v>2.49</v>
      </c>
      <c r="G71" s="106">
        <f>'2018'!BH538</f>
        <v>-313.4</v>
      </c>
      <c r="H71" s="106">
        <f>'2018'!BH539</f>
        <v>0</v>
      </c>
      <c r="I71" s="106">
        <f>'2018'!BH540</f>
        <v>1283.4064</v>
      </c>
      <c r="J71" s="106">
        <f>'2018'!BH541</f>
        <v>0</v>
      </c>
      <c r="K71" s="106">
        <f>'2018'!BH542</f>
        <v>350</v>
      </c>
      <c r="L71" s="106">
        <f t="shared" si="0"/>
        <v>1322.4964</v>
      </c>
    </row>
    <row r="72" ht="15.75" customHeight="1" spans="1:12" x14ac:dyDescent="0.25">
      <c r="A72" s="14"/>
      <c r="B72" s="115">
        <v>73</v>
      </c>
      <c r="C72" s="115">
        <v>4.02</v>
      </c>
      <c r="D72" s="117" t="s">
        <v>259</v>
      </c>
      <c r="E72" s="106">
        <f>'2018'!BH544</f>
      </c>
      <c r="F72" s="106">
        <f>'2018'!BH545</f>
        <v>0</v>
      </c>
      <c r="G72" s="106">
        <f>'2018'!BH546</f>
        <v>0</v>
      </c>
      <c r="H72" s="106">
        <f>'2018'!BH547</f>
        <v>0</v>
      </c>
      <c r="I72" s="106">
        <f>'2018'!BH548</f>
        <v>-0.002399999999</v>
      </c>
      <c r="J72" s="106">
        <f>'2018'!BH549</f>
        <v>0</v>
      </c>
      <c r="K72" s="106">
        <f>'2018'!BH550</f>
        <v>0</v>
      </c>
      <c r="L72" s="106">
        <f t="shared" si="0"/>
        <v>-0.002399999999</v>
      </c>
    </row>
    <row r="73" ht="15.75" customHeight="1" spans="1:12" x14ac:dyDescent="0.25">
      <c r="A73" s="21"/>
      <c r="B73" s="115">
        <v>74</v>
      </c>
      <c r="C73" s="115">
        <v>4.97</v>
      </c>
      <c r="D73" s="117" t="s">
        <v>262</v>
      </c>
      <c r="E73" s="106">
        <f>'2018'!BH552</f>
      </c>
      <c r="F73" s="106">
        <f>'2018'!BH553</f>
        <v>0</v>
      </c>
      <c r="G73" s="106">
        <f>'2018'!BH554</f>
        <v>0</v>
      </c>
      <c r="H73" s="106">
        <f>'2018'!BH555</f>
        <v>0</v>
      </c>
      <c r="I73" s="106">
        <f>'2018'!BH556</f>
        <v>0.0036</v>
      </c>
      <c r="J73" s="106">
        <f>'2018'!BH557</f>
        <v>0</v>
      </c>
      <c r="K73" s="106">
        <f>'2018'!BH558</f>
        <v>0</v>
      </c>
      <c r="L73" s="106">
        <f t="shared" si="0"/>
        <v>0.0036</v>
      </c>
    </row>
    <row r="74" ht="15.75" customHeight="1" spans="1:12" x14ac:dyDescent="0.25">
      <c r="A74" s="114" t="s">
        <v>264</v>
      </c>
      <c r="B74" s="115">
        <v>75</v>
      </c>
      <c r="C74" s="115">
        <v>4.15</v>
      </c>
      <c r="D74" s="117" t="s">
        <v>265</v>
      </c>
      <c r="E74" s="106">
        <f>'2018'!BH560</f>
      </c>
      <c r="F74" s="106">
        <f>'2018'!BH561</f>
        <v>0</v>
      </c>
      <c r="G74" s="106">
        <f>'2018'!BH562</f>
        <v>0</v>
      </c>
      <c r="H74" s="106">
        <f>'2018'!BH563</f>
        <v>0</v>
      </c>
      <c r="I74" s="106">
        <f>'2018'!BH564</f>
        <v>0.002000000001</v>
      </c>
      <c r="J74" s="106">
        <f>'2018'!BH565</f>
        <v>0</v>
      </c>
      <c r="K74" s="106">
        <f>'2018'!BH566</f>
        <v>0</v>
      </c>
      <c r="L74" s="106">
        <f t="shared" si="0"/>
        <v>0.002000000001</v>
      </c>
    </row>
    <row r="75" ht="15.75" customHeight="1" spans="1:12" x14ac:dyDescent="0.25">
      <c r="A75" s="14"/>
      <c r="B75" s="115">
        <v>76</v>
      </c>
      <c r="C75" s="115">
        <v>4.15</v>
      </c>
      <c r="D75" s="117" t="s">
        <v>267</v>
      </c>
      <c r="E75" s="106">
        <f>'2018'!BH568</f>
      </c>
      <c r="F75" s="106">
        <f>'2018'!BH569</f>
        <v>0</v>
      </c>
      <c r="G75" s="106">
        <f>'2018'!BH570</f>
        <v>17.68</v>
      </c>
      <c r="H75" s="106">
        <f>'2018'!BH571</f>
        <v>0</v>
      </c>
      <c r="I75" s="106">
        <f>'2018'!BH572</f>
        <v>0.002000000001</v>
      </c>
      <c r="J75" s="106">
        <f>'2018'!BH573</f>
        <v>0</v>
      </c>
      <c r="K75" s="106">
        <f>'2018'!BH574</f>
        <v>0</v>
      </c>
      <c r="L75" s="106">
        <f t="shared" si="0"/>
        <v>17.682</v>
      </c>
    </row>
    <row r="76" ht="15.75" customHeight="1" spans="1:12" x14ac:dyDescent="0.25">
      <c r="A76" s="14"/>
      <c r="B76" s="115">
        <v>77</v>
      </c>
      <c r="C76" s="115">
        <v>4.12</v>
      </c>
      <c r="D76" s="117" t="s">
        <v>268</v>
      </c>
      <c r="E76" s="106">
        <f>'2018'!BH576</f>
      </c>
      <c r="F76" s="106">
        <f>'2018'!BH577</f>
        <v>9.96</v>
      </c>
      <c r="G76" s="106">
        <f>'2018'!BH578</f>
        <v>0</v>
      </c>
      <c r="H76" s="106">
        <f>'2018'!BH579</f>
        <v>0</v>
      </c>
      <c r="I76" s="106">
        <f>'2018'!BH580</f>
        <v>0.0056</v>
      </c>
      <c r="J76" s="106">
        <f>'2018'!BH581</f>
        <v>0</v>
      </c>
      <c r="K76" s="106">
        <f>'2018'!BH582</f>
        <v>0</v>
      </c>
      <c r="L76" s="106">
        <f t="shared" si="0"/>
        <v>9.9656</v>
      </c>
    </row>
    <row r="77" ht="15.75" customHeight="1" spans="1:12" x14ac:dyDescent="0.25">
      <c r="A77" s="14"/>
      <c r="B77" s="115">
        <v>78</v>
      </c>
      <c r="C77" s="115">
        <v>4.03</v>
      </c>
      <c r="D77" s="117" t="s">
        <v>271</v>
      </c>
      <c r="E77" s="106">
        <f>'2018'!BH584</f>
      </c>
      <c r="F77" s="106">
        <f>'2018'!BH585</f>
        <v>12.45</v>
      </c>
      <c r="G77" s="106">
        <f>'2018'!BH586</f>
        <v>0</v>
      </c>
      <c r="H77" s="106">
        <f>'2018'!BH587</f>
        <v>0</v>
      </c>
      <c r="I77" s="106">
        <f>'2018'!BH588</f>
        <v>-0.003599999999</v>
      </c>
      <c r="J77" s="106">
        <f>'2018'!BH589</f>
        <v>0</v>
      </c>
      <c r="K77" s="106">
        <f>'2018'!BH590</f>
        <v>0</v>
      </c>
      <c r="L77" s="106">
        <f t="shared" si="0"/>
        <v>12.4464</v>
      </c>
    </row>
    <row r="78" ht="15.75" customHeight="1" spans="1:12" x14ac:dyDescent="0.25">
      <c r="A78" s="14"/>
      <c r="B78" s="115">
        <v>79</v>
      </c>
      <c r="C78" s="115">
        <v>4.24</v>
      </c>
      <c r="D78" s="117" t="s">
        <v>275</v>
      </c>
      <c r="E78" s="106">
        <f>'2018'!BH592</f>
        <v>5000</v>
      </c>
      <c r="F78" s="106">
        <f>'2018'!BH593</f>
        <v>12.45</v>
      </c>
      <c r="G78" s="106">
        <f>'2018'!BH594</f>
        <v>0</v>
      </c>
      <c r="H78" s="106">
        <f>'2018'!BH595</f>
        <v>0</v>
      </c>
      <c r="I78" s="106">
        <f>'2018'!BH596</f>
        <v>2356.6112</v>
      </c>
      <c r="J78" s="106">
        <f>'2018'!BH597</f>
        <v>0</v>
      </c>
      <c r="K78" s="106">
        <f>'2018'!BH598</f>
        <v>0</v>
      </c>
      <c r="L78" s="106">
        <f t="shared" si="0"/>
        <v>7369.0612</v>
      </c>
    </row>
    <row r="79" ht="15.75" customHeight="1" spans="1:12" x14ac:dyDescent="0.25">
      <c r="A79" s="14"/>
      <c r="B79" s="115">
        <v>81</v>
      </c>
      <c r="C79" s="116">
        <v>4.3</v>
      </c>
      <c r="D79" s="117" t="s">
        <v>278</v>
      </c>
      <c r="E79" s="106">
        <f>'2018'!BH600</f>
      </c>
      <c r="F79" s="106">
        <f>'2018'!BH601</f>
        <v>0</v>
      </c>
      <c r="G79" s="106">
        <f>'2018'!BH602</f>
        <v>0</v>
      </c>
      <c r="H79" s="106">
        <f>'2018'!BH603</f>
        <v>0</v>
      </c>
      <c r="I79" s="106">
        <f>'2018'!BH604</f>
        <v>0.004</v>
      </c>
      <c r="J79" s="106">
        <f>'2018'!BH605</f>
        <v>0</v>
      </c>
      <c r="K79" s="106">
        <f>'2018'!BH606</f>
        <v>0</v>
      </c>
      <c r="L79" s="106">
        <f t="shared" si="0"/>
        <v>0.004</v>
      </c>
    </row>
    <row r="80" ht="15.75" customHeight="1" spans="1:12" x14ac:dyDescent="0.25">
      <c r="A80" s="14"/>
      <c r="B80" s="115">
        <v>83</v>
      </c>
      <c r="C80" s="115">
        <v>4.29</v>
      </c>
      <c r="D80" s="117" t="s">
        <v>280</v>
      </c>
      <c r="E80" s="106">
        <f>'2018'!BH608</f>
      </c>
      <c r="F80" s="106">
        <f>'2018'!BH609</f>
        <v>14.94</v>
      </c>
      <c r="G80" s="106">
        <f>'2018'!BH610</f>
        <v>0</v>
      </c>
      <c r="H80" s="106">
        <f>'2018'!BH611</f>
        <v>0</v>
      </c>
      <c r="I80" s="106">
        <f>'2018'!BH612</f>
        <v>-0.0048</v>
      </c>
      <c r="J80" s="106">
        <f>'2018'!BH613</f>
        <v>0</v>
      </c>
      <c r="K80" s="106">
        <f>'2018'!BH614</f>
        <v>0</v>
      </c>
      <c r="L80" s="106">
        <f t="shared" si="0"/>
        <v>14.9352</v>
      </c>
    </row>
    <row r="81" ht="15.75" customHeight="1" spans="1:12" x14ac:dyDescent="0.25">
      <c r="A81" s="14"/>
      <c r="B81" s="115">
        <v>85</v>
      </c>
      <c r="C81" s="115">
        <v>4.27</v>
      </c>
      <c r="D81" s="117" t="s">
        <v>362</v>
      </c>
      <c r="E81" s="106">
        <f>'2018'!BH616</f>
      </c>
      <c r="F81" s="106">
        <f>'2018'!BH617</f>
        <v>2.49</v>
      </c>
      <c r="G81" s="106">
        <f>'2018'!BH618</f>
        <v>-9.88</v>
      </c>
      <c r="H81" s="106">
        <f>'2018'!BH619</f>
        <v>0</v>
      </c>
      <c r="I81" s="106">
        <f>'2018'!BH620</f>
        <v>-0.0024</v>
      </c>
      <c r="J81" s="106">
        <f>'2018'!BH621</f>
        <v>0</v>
      </c>
      <c r="K81" s="106">
        <f>'2018'!BH622</f>
        <v>0</v>
      </c>
      <c r="L81" s="106">
        <f t="shared" si="0"/>
        <v>-7.3924</v>
      </c>
    </row>
    <row r="82" ht="15.75" customHeight="1" spans="1:12" x14ac:dyDescent="0.25">
      <c r="A82" s="14"/>
      <c r="B82" s="115">
        <v>87</v>
      </c>
      <c r="C82" s="115">
        <v>4.23</v>
      </c>
      <c r="D82" s="117" t="s">
        <v>284</v>
      </c>
      <c r="E82" s="106">
        <f>'2018'!BH624</f>
      </c>
      <c r="F82" s="106">
        <f>'2018'!BH625</f>
        <v>99.6</v>
      </c>
      <c r="G82" s="106">
        <f>'2018'!BH626</f>
        <v>0</v>
      </c>
      <c r="H82" s="106">
        <f>'2018'!BH627</f>
        <v>0</v>
      </c>
      <c r="I82" s="106">
        <f>'2018'!BH628</f>
        <v>0.2224</v>
      </c>
      <c r="J82" s="106">
        <f>'2018'!BH629</f>
        <v>0</v>
      </c>
      <c r="K82" s="106">
        <f>'2018'!BH630</f>
        <v>0</v>
      </c>
      <c r="L82" s="106">
        <f t="shared" si="0"/>
        <v>99.8224</v>
      </c>
    </row>
    <row r="83" ht="15.75" customHeight="1" spans="1:12" x14ac:dyDescent="0.25">
      <c r="A83" s="14"/>
      <c r="B83" s="115">
        <v>89</v>
      </c>
      <c r="C83" s="115">
        <v>4.25</v>
      </c>
      <c r="D83" s="117" t="s">
        <v>286</v>
      </c>
      <c r="E83" s="106">
        <f>'2018'!BH632</f>
      </c>
      <c r="F83" s="106">
        <f>'2018'!BH633</f>
        <v>0</v>
      </c>
      <c r="G83" s="106">
        <f>'2018'!BH634</f>
        <v>0</v>
      </c>
      <c r="H83" s="106">
        <f>'2018'!BH635</f>
        <v>0</v>
      </c>
      <c r="I83" s="106">
        <f>'2018'!BH636</f>
        <v>0</v>
      </c>
      <c r="J83" s="106">
        <f>'2018'!BH637</f>
        <v>0</v>
      </c>
      <c r="K83" s="106">
        <f>'2018'!BH638</f>
        <v>0</v>
      </c>
      <c r="L83" s="106">
        <f t="shared" si="0"/>
        <v>0</v>
      </c>
    </row>
    <row r="84" ht="15.75" customHeight="1" spans="1:12" x14ac:dyDescent="0.25">
      <c r="A84" s="14"/>
      <c r="B84" s="115">
        <v>91</v>
      </c>
      <c r="C84" s="115">
        <v>4.23</v>
      </c>
      <c r="D84" s="117" t="s">
        <v>363</v>
      </c>
      <c r="E84" s="106">
        <f>'2018'!BH640</f>
      </c>
      <c r="F84" s="106">
        <f>'2018'!BH641</f>
        <v>4.98</v>
      </c>
      <c r="G84" s="106">
        <f>'2018'!BH642</f>
        <v>0</v>
      </c>
      <c r="H84" s="106">
        <f>'2018'!BH643</f>
        <v>0</v>
      </c>
      <c r="I84" s="106">
        <f>'2018'!BH644</f>
        <v>0.002400000001</v>
      </c>
      <c r="J84" s="106">
        <f>'2018'!BH645</f>
        <v>0</v>
      </c>
      <c r="K84" s="106">
        <f>'2018'!BH646</f>
        <v>0</v>
      </c>
      <c r="L84" s="106">
        <f t="shared" si="0"/>
        <v>4.9824</v>
      </c>
    </row>
    <row r="85" ht="15.75" customHeight="1" spans="1:12" x14ac:dyDescent="0.25">
      <c r="A85" s="21"/>
      <c r="B85" s="115" t="s">
        <v>292</v>
      </c>
      <c r="C85" s="115">
        <v>8.56</v>
      </c>
      <c r="D85" s="117" t="s">
        <v>293</v>
      </c>
      <c r="E85" s="106">
        <f>'2018'!BH648</f>
      </c>
      <c r="F85" s="106">
        <f>'2018'!BH649</f>
        <v>522.9</v>
      </c>
      <c r="G85" s="106">
        <f>'2018'!BH650</f>
        <v>0</v>
      </c>
      <c r="H85" s="106">
        <f>'2018'!BH651</f>
        <v>0</v>
      </c>
      <c r="I85" s="106">
        <f>'2018'!BH652</f>
        <v>0.0028</v>
      </c>
      <c r="J85" s="106">
        <f>'2018'!BH653</f>
        <v>0</v>
      </c>
      <c r="K85" s="106">
        <f>'2018'!BH654</f>
        <v>0</v>
      </c>
      <c r="L85" s="106">
        <f t="shared" si="0"/>
        <v>522.9028</v>
      </c>
    </row>
    <row r="86" ht="15.75" customHeight="1" spans="1:12" x14ac:dyDescent="0.25">
      <c r="A86" s="114" t="s">
        <v>297</v>
      </c>
      <c r="B86" s="115">
        <v>80</v>
      </c>
      <c r="C86" s="115">
        <v>4.28</v>
      </c>
      <c r="D86" s="117" t="s">
        <v>298</v>
      </c>
      <c r="E86" s="106">
        <f>'2018'!BH656</f>
      </c>
      <c r="F86" s="106">
        <f>'2018'!BH657</f>
        <v>-100.4</v>
      </c>
      <c r="G86" s="106">
        <f>'2018'!BH658</f>
        <v>-17.16</v>
      </c>
      <c r="H86" s="106">
        <f>'2018'!BH659</f>
        <v>0</v>
      </c>
      <c r="I86" s="106">
        <f>'2018'!BH660</f>
        <v>0.006400000001</v>
      </c>
      <c r="J86" s="106">
        <f>'2018'!BH661</f>
        <v>0</v>
      </c>
      <c r="K86" s="106">
        <f>'2018'!BH662</f>
        <v>0</v>
      </c>
      <c r="L86" s="106">
        <f t="shared" si="0"/>
        <v>-117.5536</v>
      </c>
    </row>
    <row r="87" ht="15.75" customHeight="1" spans="1:12" x14ac:dyDescent="0.25">
      <c r="A87" s="14"/>
      <c r="B87" s="115">
        <v>82</v>
      </c>
      <c r="C87" s="115">
        <v>4.28</v>
      </c>
      <c r="D87" s="117" t="s">
        <v>300</v>
      </c>
      <c r="E87" s="106">
        <f>'2018'!BH664</f>
      </c>
      <c r="F87" s="106">
        <f>'2018'!BH665</f>
        <v>0</v>
      </c>
      <c r="G87" s="106">
        <f>'2018'!BH666</f>
        <v>0</v>
      </c>
      <c r="H87" s="106">
        <f>'2018'!BH667</f>
        <v>0</v>
      </c>
      <c r="I87" s="106">
        <f>'2018'!BH668</f>
        <v>0.006400000001</v>
      </c>
      <c r="J87" s="106">
        <f>'2018'!BH669</f>
        <v>0</v>
      </c>
      <c r="K87" s="106">
        <f>'2018'!BH670</f>
        <v>50</v>
      </c>
      <c r="L87" s="106">
        <f t="shared" si="0"/>
        <v>50.0064</v>
      </c>
    </row>
    <row r="88" ht="15.75" customHeight="1" spans="1:12" x14ac:dyDescent="0.25">
      <c r="A88" s="14"/>
      <c r="B88" s="115">
        <v>84</v>
      </c>
      <c r="C88" s="115">
        <v>4.18</v>
      </c>
      <c r="D88" s="117" t="s">
        <v>301</v>
      </c>
      <c r="E88" s="106">
        <f>'2018'!BH672</f>
        <v>1500</v>
      </c>
      <c r="F88" s="106">
        <f>'2018'!BH673</f>
        <v>0</v>
      </c>
      <c r="G88" s="106">
        <f>'2018'!BH674</f>
        <v>-14.64</v>
      </c>
      <c r="H88" s="106">
        <f>'2018'!BH675</f>
        <v>0</v>
      </c>
      <c r="I88" s="106">
        <f>'2018'!BH676</f>
        <v>442.8384</v>
      </c>
      <c r="J88" s="106">
        <f>'2018'!BH677</f>
        <v>0</v>
      </c>
      <c r="K88" s="106">
        <f>'2018'!BH678</f>
        <v>350</v>
      </c>
      <c r="L88" s="106">
        <f t="shared" si="0"/>
        <v>2278.1984</v>
      </c>
    </row>
    <row r="89" ht="15.75" customHeight="1" spans="1:12" x14ac:dyDescent="0.25">
      <c r="A89" s="14"/>
      <c r="B89" s="115">
        <v>86</v>
      </c>
      <c r="C89" s="115">
        <v>4.23</v>
      </c>
      <c r="D89" s="117" t="s">
        <v>304</v>
      </c>
      <c r="E89" s="106">
        <f>'2018'!BH680</f>
      </c>
      <c r="F89" s="106">
        <f>'2018'!BH681</f>
        <v>0</v>
      </c>
      <c r="G89" s="106">
        <f>'2018'!BH682</f>
        <v>0</v>
      </c>
      <c r="H89" s="106">
        <f>'2018'!BH683</f>
        <v>0</v>
      </c>
      <c r="I89" s="106">
        <f>'2018'!BH684</f>
        <v>0.002400000001</v>
      </c>
      <c r="J89" s="106">
        <f>'2018'!BH685</f>
        <v>0</v>
      </c>
      <c r="K89" s="106">
        <f>'2018'!BH686</f>
        <v>0</v>
      </c>
      <c r="L89" s="106">
        <f t="shared" si="0"/>
        <v>0.002400000001</v>
      </c>
    </row>
    <row r="90" ht="15.75" customHeight="1" spans="1:12" x14ac:dyDescent="0.25">
      <c r="A90" s="14"/>
      <c r="B90" s="115">
        <v>88</v>
      </c>
      <c r="C90" s="115">
        <v>4.23</v>
      </c>
      <c r="D90" s="117" t="s">
        <v>308</v>
      </c>
      <c r="E90" s="106">
        <f>'2018'!BH688</f>
      </c>
      <c r="F90" s="106">
        <f>'2018'!BH689</f>
        <v>0</v>
      </c>
      <c r="G90" s="106">
        <f>'2018'!BH690</f>
        <v>0</v>
      </c>
      <c r="H90" s="106">
        <f>'2018'!BH691</f>
        <v>0</v>
      </c>
      <c r="I90" s="106">
        <f>'2018'!BH692</f>
        <v>0.002400000001</v>
      </c>
      <c r="J90" s="106">
        <f>'2018'!BH693</f>
        <v>0</v>
      </c>
      <c r="K90" s="106">
        <f>'2018'!BH694</f>
        <v>0</v>
      </c>
      <c r="L90" s="106">
        <f t="shared" si="0"/>
        <v>0.002400000001</v>
      </c>
    </row>
    <row r="91" ht="15.75" customHeight="1" spans="1:12" x14ac:dyDescent="0.25">
      <c r="A91" s="14"/>
      <c r="B91" s="115">
        <v>90</v>
      </c>
      <c r="C91" s="115">
        <v>4.23</v>
      </c>
      <c r="D91" s="117" t="s">
        <v>311</v>
      </c>
      <c r="E91" s="106">
        <f>'2018'!BH696</f>
      </c>
      <c r="F91" s="106">
        <f>'2018'!BH697</f>
        <v>0</v>
      </c>
      <c r="G91" s="106">
        <f>'2018'!BH698</f>
        <v>0</v>
      </c>
      <c r="H91" s="106">
        <f>'2018'!BH699</f>
        <v>0</v>
      </c>
      <c r="I91" s="106">
        <f>'2018'!BH700</f>
        <v>0.002400000001</v>
      </c>
      <c r="J91" s="106">
        <f>'2018'!BH701</f>
        <v>0</v>
      </c>
      <c r="K91" s="106">
        <f>'2018'!BH702</f>
        <v>0</v>
      </c>
      <c r="L91" s="106">
        <f t="shared" si="0"/>
        <v>0.002400000001</v>
      </c>
    </row>
    <row r="92" ht="15.75" customHeight="1" spans="1:12" x14ac:dyDescent="0.25">
      <c r="A92" s="14"/>
      <c r="B92" s="115">
        <v>92</v>
      </c>
      <c r="C92" s="115">
        <v>4.28</v>
      </c>
      <c r="D92" s="117" t="s">
        <v>312</v>
      </c>
      <c r="E92" s="106">
        <f>'2018'!BH704</f>
      </c>
      <c r="F92" s="106">
        <f>'2018'!BH705</f>
        <v>1133</v>
      </c>
      <c r="G92" s="106">
        <f>'2018'!BH706</f>
        <v>-379.88</v>
      </c>
      <c r="H92" s="106">
        <f>'2018'!BH707</f>
        <v>0</v>
      </c>
      <c r="I92" s="106">
        <f>'2018'!BH708</f>
        <v>-0.003599999999</v>
      </c>
      <c r="J92" s="106">
        <f>'2018'!BH709</f>
        <v>0</v>
      </c>
      <c r="K92" s="106">
        <f>'2018'!BH710</f>
        <v>0</v>
      </c>
      <c r="L92" s="106">
        <f t="shared" si="0"/>
        <v>753.1164</v>
      </c>
    </row>
    <row r="93" ht="15.75" customHeight="1" spans="1:12" x14ac:dyDescent="0.25">
      <c r="A93" s="14"/>
      <c r="B93" s="115" t="s">
        <v>315</v>
      </c>
      <c r="C93" s="115">
        <v>8.76</v>
      </c>
      <c r="D93" s="117" t="s">
        <v>316</v>
      </c>
      <c r="E93" s="106">
        <f>'2018'!BH712</f>
      </c>
      <c r="F93" s="106">
        <f>'2018'!BH713</f>
        <v>-386.38</v>
      </c>
      <c r="G93" s="106">
        <f>'2018'!BH714</f>
        <v>0</v>
      </c>
      <c r="H93" s="106">
        <f>'2018'!BH715</f>
        <v>0</v>
      </c>
      <c r="I93" s="106">
        <f>'2018'!BH716</f>
        <v>-0.001199999997</v>
      </c>
      <c r="J93" s="106">
        <f>'2018'!BH717</f>
        <v>0</v>
      </c>
      <c r="K93" s="106">
        <f>'2018'!BH718</f>
        <v>0</v>
      </c>
      <c r="L93" s="106">
        <f t="shared" si="0"/>
        <v>-386.3812</v>
      </c>
    </row>
    <row r="94" ht="15.75" customHeight="1" spans="1:12" x14ac:dyDescent="0.25">
      <c r="A94" s="14"/>
      <c r="B94" s="115">
        <v>99</v>
      </c>
      <c r="C94" s="115">
        <v>4.53</v>
      </c>
      <c r="D94" s="117" t="s">
        <v>319</v>
      </c>
      <c r="E94" s="106">
        <f>'2018'!BH720</f>
      </c>
      <c r="F94" s="106">
        <f>'2018'!BH721</f>
        <v>14.94</v>
      </c>
      <c r="G94" s="106">
        <f>'2018'!BH722</f>
        <v>1372.8</v>
      </c>
      <c r="H94" s="106">
        <f>'2018'!BH723</f>
        <v>0</v>
      </c>
      <c r="I94" s="106">
        <f>'2018'!BH724</f>
        <v>0.0064</v>
      </c>
      <c r="J94" s="106">
        <f>'2018'!BH725</f>
        <v>0</v>
      </c>
      <c r="K94" s="106">
        <f>'2018'!BH726</f>
        <v>0</v>
      </c>
      <c r="L94" s="106">
        <f t="shared" si="0"/>
        <v>1387.7464</v>
      </c>
    </row>
    <row r="95" ht="15.75" customHeight="1" spans="1:12" x14ac:dyDescent="0.25">
      <c r="A95" s="14"/>
      <c r="B95" s="115">
        <v>101</v>
      </c>
      <c r="C95" s="115">
        <v>4.46</v>
      </c>
      <c r="D95" s="117" t="s">
        <v>321</v>
      </c>
      <c r="E95" s="106">
        <f>'2018'!BH728</f>
      </c>
      <c r="F95" s="106">
        <f>'2018'!BH729</f>
        <v>4.98</v>
      </c>
      <c r="G95" s="106">
        <f>'2018'!BH730</f>
        <v>0</v>
      </c>
      <c r="H95" s="106">
        <f>'2018'!BH731</f>
        <v>0</v>
      </c>
      <c r="I95" s="106">
        <f>'2018'!BH732</f>
        <v>0.0048</v>
      </c>
      <c r="J95" s="106">
        <f>'2018'!BH733</f>
        <v>0</v>
      </c>
      <c r="K95" s="106">
        <f>'2018'!BH734</f>
        <v>0</v>
      </c>
      <c r="L95" s="106">
        <f t="shared" si="0"/>
        <v>4.9848</v>
      </c>
    </row>
    <row r="96" ht="15.75" customHeight="1" spans="1:12" x14ac:dyDescent="0.25">
      <c r="A96" s="14"/>
      <c r="B96" s="115">
        <v>103</v>
      </c>
      <c r="C96" s="115">
        <v>4.42</v>
      </c>
      <c r="D96" s="117" t="s">
        <v>322</v>
      </c>
      <c r="E96" s="106">
        <f>'2018'!BH736</f>
      </c>
      <c r="F96" s="106">
        <f>'2018'!BH737</f>
        <v>0</v>
      </c>
      <c r="G96" s="106">
        <f>'2018'!BH738</f>
        <v>51.48</v>
      </c>
      <c r="H96" s="106">
        <f>'2018'!BH739</f>
        <v>0</v>
      </c>
      <c r="I96" s="106">
        <f>'2018'!BH740</f>
        <v>4697.9296</v>
      </c>
      <c r="J96" s="106">
        <f>'2018'!BH741</f>
        <v>0</v>
      </c>
      <c r="K96" s="106">
        <f>'2018'!BH742</f>
        <v>350</v>
      </c>
      <c r="L96" s="106">
        <f t="shared" si="0"/>
        <v>5099.4096</v>
      </c>
    </row>
    <row r="97" ht="15.75" customHeight="1" spans="1:12" x14ac:dyDescent="0.25">
      <c r="A97" s="14"/>
      <c r="B97" s="115">
        <v>105</v>
      </c>
      <c r="C97" s="115">
        <v>4.41</v>
      </c>
      <c r="D97" s="117" t="s">
        <v>323</v>
      </c>
      <c r="E97" s="106">
        <f>'2018'!BH744</f>
      </c>
      <c r="F97" s="106">
        <f>'2018'!BH745</f>
        <v>4.98</v>
      </c>
      <c r="G97" s="106">
        <f>'2018'!BH746</f>
        <v>0</v>
      </c>
      <c r="H97" s="106">
        <f>'2018'!BH747</f>
        <v>0</v>
      </c>
      <c r="I97" s="106">
        <f>'2018'!BH748</f>
        <v>0.0008000000007</v>
      </c>
      <c r="J97" s="106">
        <f>'2018'!BH749</f>
        <v>0</v>
      </c>
      <c r="K97" s="106">
        <f>'2018'!BH750</f>
        <v>0</v>
      </c>
      <c r="L97" s="106">
        <f t="shared" si="0"/>
        <v>4.9808</v>
      </c>
    </row>
    <row r="98" ht="15.75" customHeight="1" spans="1:12" x14ac:dyDescent="0.25">
      <c r="A98" s="21"/>
      <c r="B98" s="115">
        <v>107</v>
      </c>
      <c r="C98" s="115">
        <v>4.37</v>
      </c>
      <c r="D98" s="117" t="s">
        <v>325</v>
      </c>
      <c r="E98" s="106">
        <f>'2018'!BH752</f>
      </c>
      <c r="F98" s="106">
        <f>'2018'!BH753</f>
        <v>0</v>
      </c>
      <c r="G98" s="106">
        <f>'2018'!BH754</f>
        <v>-83.72</v>
      </c>
      <c r="H98" s="106">
        <f>'2018'!BH755</f>
        <v>0</v>
      </c>
      <c r="I98" s="106">
        <f>'2018'!BH756</f>
        <v>0.0056</v>
      </c>
      <c r="J98" s="106">
        <f>'2018'!BH757</f>
        <v>0</v>
      </c>
      <c r="K98" s="106">
        <f>'2018'!BH758</f>
        <v>0</v>
      </c>
      <c r="L98" s="106">
        <f t="shared" si="0"/>
        <v>-83.7144</v>
      </c>
    </row>
    <row r="99" ht="15.75" customHeight="1" spans="1:12" x14ac:dyDescent="0.25">
      <c r="A99" s="114" t="s">
        <v>327</v>
      </c>
      <c r="B99" s="115">
        <v>96</v>
      </c>
      <c r="C99" s="115">
        <v>4.46</v>
      </c>
      <c r="D99" s="117" t="s">
        <v>316</v>
      </c>
      <c r="E99" s="106">
        <f>'2018'!BH760</f>
      </c>
      <c r="F99" s="106">
        <f>'2018'!BH761</f>
        <v>0</v>
      </c>
      <c r="G99" s="106">
        <f>'2018'!BH762</f>
        <v>0</v>
      </c>
      <c r="H99" s="106">
        <f>'2018'!BH763</f>
        <v>0</v>
      </c>
      <c r="I99" s="106">
        <f>'2018'!BH764</f>
        <v>4740.4448</v>
      </c>
      <c r="J99" s="106">
        <f>'2018'!BH765</f>
        <v>0</v>
      </c>
      <c r="K99" s="106">
        <f>'2018'!BH766</f>
        <v>350</v>
      </c>
      <c r="L99" s="106">
        <f t="shared" si="0"/>
        <v>5090.4448</v>
      </c>
    </row>
    <row r="100" ht="15.75" customHeight="1" spans="1:12" x14ac:dyDescent="0.25">
      <c r="A100" s="14"/>
      <c r="B100" s="115">
        <v>98</v>
      </c>
      <c r="C100" s="115">
        <v>4.45</v>
      </c>
      <c r="D100" s="117" t="s">
        <v>328</v>
      </c>
      <c r="E100" s="106">
        <f>'2018'!BH768</f>
      </c>
      <c r="F100" s="106">
        <f>'2018'!BH769</f>
        <v>0</v>
      </c>
      <c r="G100" s="106">
        <f>'2018'!BH770</f>
        <v>-49.5</v>
      </c>
      <c r="H100" s="106">
        <f>'2018'!BH771</f>
        <v>0</v>
      </c>
      <c r="I100" s="106">
        <f>'2018'!BH772</f>
        <v>7689.816</v>
      </c>
      <c r="J100" s="106">
        <f>'2018'!BH773</f>
        <v>1890</v>
      </c>
      <c r="K100" s="106">
        <f>'2018'!BH774</f>
        <v>1200</v>
      </c>
      <c r="L100" s="106">
        <f t="shared" si="0"/>
        <v>10730.316</v>
      </c>
    </row>
    <row r="101" ht="15.75" customHeight="1" spans="1:12" x14ac:dyDescent="0.25">
      <c r="A101" s="14"/>
      <c r="B101" s="115">
        <v>100</v>
      </c>
      <c r="C101" s="115">
        <v>4.47</v>
      </c>
      <c r="D101" s="117" t="s">
        <v>330</v>
      </c>
      <c r="E101" s="106">
        <f>'2018'!BH776</f>
      </c>
      <c r="F101" s="106">
        <f>'2018'!BH777</f>
        <v>124.5</v>
      </c>
      <c r="G101" s="106">
        <f>'2018'!BH778</f>
        <v>51.48</v>
      </c>
      <c r="H101" s="106">
        <f>'2018'!BH779</f>
        <v>0</v>
      </c>
      <c r="I101" s="106">
        <f>'2018'!BH780</f>
        <v>3751.0736</v>
      </c>
      <c r="J101" s="106">
        <f>'2018'!BH781</f>
        <v>0</v>
      </c>
      <c r="K101" s="106">
        <f>'2018'!BH782</f>
        <v>350</v>
      </c>
      <c r="L101" s="106">
        <f t="shared" si="0"/>
        <v>4277.0536</v>
      </c>
    </row>
    <row r="102" ht="15.75" customHeight="1" spans="1:12" x14ac:dyDescent="0.25">
      <c r="A102" s="14"/>
      <c r="B102" s="115">
        <v>102</v>
      </c>
      <c r="C102" s="115">
        <v>4.45</v>
      </c>
      <c r="D102" s="117" t="s">
        <v>331</v>
      </c>
      <c r="E102" s="106">
        <f>'2018'!BH784</f>
      </c>
      <c r="F102" s="106">
        <f>'2018'!BH785</f>
        <v>-447.71</v>
      </c>
      <c r="G102" s="106">
        <f>'2018'!BH786</f>
        <v>34.32</v>
      </c>
      <c r="H102" s="106">
        <f>'2018'!BH787</f>
        <v>0</v>
      </c>
      <c r="I102" s="106">
        <f>'2018'!BH788</f>
        <v>-0.003999999999</v>
      </c>
      <c r="J102" s="106">
        <f>'2018'!BH789</f>
        <v>0</v>
      </c>
      <c r="K102" s="106">
        <f>'2018'!BH790</f>
        <v>0</v>
      </c>
      <c r="L102" s="106">
        <f t="shared" si="0"/>
        <v>-413.394</v>
      </c>
    </row>
    <row r="103" ht="15.75" customHeight="1" spans="1:12" x14ac:dyDescent="0.25">
      <c r="A103" s="14"/>
      <c r="B103" s="115">
        <v>104</v>
      </c>
      <c r="C103" s="115">
        <v>4.42</v>
      </c>
      <c r="D103" s="117" t="s">
        <v>333</v>
      </c>
      <c r="E103" s="106">
        <f>'2018'!BH792</f>
      </c>
      <c r="F103" s="106">
        <f>'2018'!BH793</f>
        <v>-32.37</v>
      </c>
      <c r="G103" s="106">
        <f>'2018'!BH794</f>
        <v>0</v>
      </c>
      <c r="H103" s="106">
        <f>'2018'!BH795</f>
        <v>0</v>
      </c>
      <c r="I103" s="106">
        <f>'2018'!BH796</f>
        <v>0.0096</v>
      </c>
      <c r="J103" s="106">
        <f>'2018'!BH797</f>
        <v>0</v>
      </c>
      <c r="K103" s="106">
        <f>'2018'!BH798</f>
        <v>0</v>
      </c>
      <c r="L103" s="106">
        <f t="shared" si="0"/>
        <v>-32.3604</v>
      </c>
    </row>
    <row r="104" ht="15.75" customHeight="1" spans="1:12" x14ac:dyDescent="0.25">
      <c r="A104" s="14"/>
      <c r="B104" s="115">
        <v>106</v>
      </c>
      <c r="C104" s="115">
        <v>4.57</v>
      </c>
      <c r="D104" s="117" t="s">
        <v>336</v>
      </c>
      <c r="E104" s="106">
        <f>'2018'!BH800</f>
      </c>
      <c r="F104" s="106">
        <f>'2018'!BH801</f>
        <v>0</v>
      </c>
      <c r="G104" s="106">
        <f>'2018'!BH802</f>
        <v>0</v>
      </c>
      <c r="H104" s="106">
        <f>'2018'!BH803</f>
        <v>650.36</v>
      </c>
      <c r="I104" s="106">
        <f>'2018'!BH804</f>
        <v>0.001600000001</v>
      </c>
      <c r="J104" s="106">
        <f>'2018'!BH805</f>
        <v>0</v>
      </c>
      <c r="K104" s="106">
        <f>'2018'!BH806</f>
        <v>350</v>
      </c>
      <c r="L104" s="106">
        <f t="shared" si="0"/>
        <v>1000.3616</v>
      </c>
    </row>
    <row r="105" ht="15.75" customHeight="1" spans="1:12" x14ac:dyDescent="0.25">
      <c r="A105" s="14"/>
      <c r="B105" s="115">
        <v>108</v>
      </c>
      <c r="C105" s="115">
        <v>4.32</v>
      </c>
      <c r="D105" s="117" t="s">
        <v>339</v>
      </c>
      <c r="E105" s="106">
        <f>'2018'!BH808</f>
        <v>550</v>
      </c>
      <c r="F105" s="106">
        <f>'2018'!BH809</f>
        <v>0</v>
      </c>
      <c r="G105" s="106">
        <f>'2018'!BH810</f>
        <v>0</v>
      </c>
      <c r="H105" s="106">
        <f>'2018'!BH811</f>
        <v>0</v>
      </c>
      <c r="I105" s="106">
        <f>'2018'!BH812</f>
        <v>14095.6416</v>
      </c>
      <c r="J105" s="106">
        <f>'2018'!BH813</f>
        <v>8768</v>
      </c>
      <c r="K105" s="106">
        <f>'2018'!BH814</f>
        <v>650</v>
      </c>
      <c r="L105" s="106">
        <f t="shared" si="0"/>
        <v>24063.6416</v>
      </c>
    </row>
    <row r="106" ht="15.75" customHeight="1" spans="1:12" x14ac:dyDescent="0.25">
      <c r="A106" s="14"/>
      <c r="B106" s="115">
        <v>109</v>
      </c>
      <c r="C106" s="115">
        <v>6.22</v>
      </c>
      <c r="D106" s="117" t="s">
        <v>340</v>
      </c>
      <c r="E106" s="106">
        <f>'2018'!BH816</f>
      </c>
      <c r="F106" s="106">
        <f>'2018'!BH817</f>
        <v>0</v>
      </c>
      <c r="G106" s="106">
        <f>'2018'!BH818</f>
        <v>0</v>
      </c>
      <c r="H106" s="106">
        <f>'2018'!BH819</f>
        <v>0</v>
      </c>
      <c r="I106" s="106">
        <f>'2018'!BH820</f>
        <v>0.003600000001</v>
      </c>
      <c r="J106" s="106">
        <f>'2018'!BH821</f>
        <v>0</v>
      </c>
      <c r="K106" s="106">
        <f>'2018'!BH822</f>
        <v>0</v>
      </c>
      <c r="L106" s="106">
        <f t="shared" si="0"/>
        <v>0.003600000001</v>
      </c>
    </row>
    <row r="107" ht="15.75" customHeight="1" spans="1:12" x14ac:dyDescent="0.25">
      <c r="A107" s="14"/>
      <c r="B107" s="115">
        <v>110</v>
      </c>
      <c r="C107" s="115">
        <v>4.91</v>
      </c>
      <c r="D107" s="117" t="s">
        <v>342</v>
      </c>
      <c r="E107" s="106">
        <f>'2018'!BH824</f>
      </c>
      <c r="F107" s="106">
        <f>'2018'!BH825</f>
        <v>24.1</v>
      </c>
      <c r="G107" s="106">
        <f>'2018'!BH826</f>
        <v>17.16</v>
      </c>
      <c r="H107" s="106">
        <f>'2018'!BH827</f>
        <v>0</v>
      </c>
      <c r="I107" s="106">
        <f>'2018'!BH828</f>
        <v>0.0008000000007</v>
      </c>
      <c r="J107" s="106">
        <f>'2018'!BH829</f>
        <v>0</v>
      </c>
      <c r="K107" s="106">
        <f>'2018'!BH830</f>
        <v>350</v>
      </c>
      <c r="L107" s="106">
        <f t="shared" si="0"/>
        <v>391.2608</v>
      </c>
    </row>
    <row r="108" ht="15.75" customHeight="1" spans="1:12" x14ac:dyDescent="0.25">
      <c r="A108" s="14"/>
      <c r="B108" s="115">
        <v>111</v>
      </c>
      <c r="C108" s="116">
        <v>6.8</v>
      </c>
      <c r="D108" s="117" t="s">
        <v>280</v>
      </c>
      <c r="E108" s="106">
        <f>'2018'!BH832</f>
      </c>
      <c r="F108" s="106">
        <f>'2018'!BH833</f>
        <v>0</v>
      </c>
      <c r="G108" s="106">
        <f>'2018'!BH834</f>
        <v>0</v>
      </c>
      <c r="H108" s="106">
        <f>'2018'!BH835</f>
        <v>0</v>
      </c>
      <c r="I108" s="106">
        <f>'2018'!BH836</f>
        <v>0.004000000001</v>
      </c>
      <c r="J108" s="106">
        <f>'2018'!BH837</f>
        <v>0</v>
      </c>
      <c r="K108" s="106">
        <f>'2018'!BH838</f>
        <v>0</v>
      </c>
      <c r="L108" s="106">
        <f t="shared" si="0"/>
        <v>0.004000000001</v>
      </c>
    </row>
    <row r="109" ht="15.75" customHeight="1" spans="1:12" x14ac:dyDescent="0.25">
      <c r="A109" s="14"/>
      <c r="B109" s="115">
        <v>112</v>
      </c>
      <c r="C109" s="115">
        <v>4.94</v>
      </c>
      <c r="D109" s="117" t="s">
        <v>364</v>
      </c>
      <c r="E109" s="106">
        <f>'2018'!BH840</f>
      </c>
      <c r="F109" s="106">
        <f>'2018'!BH841</f>
        <v>22.41</v>
      </c>
      <c r="G109" s="106">
        <f>'2018'!BH842</f>
        <v>0</v>
      </c>
      <c r="H109" s="106">
        <f>'2018'!BH843</f>
        <v>0</v>
      </c>
      <c r="I109" s="106">
        <f>'2018'!BH844</f>
        <v>0.007200000001</v>
      </c>
      <c r="J109" s="106">
        <f>'2018'!BH845</f>
        <v>0</v>
      </c>
      <c r="K109" s="106">
        <f>'2018'!BH846</f>
        <v>0</v>
      </c>
      <c r="L109" s="106">
        <f t="shared" si="0"/>
        <v>22.4172</v>
      </c>
    </row>
    <row r="110" ht="15.75" customHeight="1" spans="1:12" x14ac:dyDescent="0.25">
      <c r="A110" s="14"/>
      <c r="B110" s="115">
        <v>113</v>
      </c>
      <c r="C110" s="115">
        <v>4.98</v>
      </c>
      <c r="D110" s="117" t="s">
        <v>348</v>
      </c>
      <c r="E110" s="106">
        <f>'2018'!BH848</f>
      </c>
      <c r="F110" s="106">
        <f>'2018'!BH849</f>
        <v>0</v>
      </c>
      <c r="G110" s="106">
        <f>'2018'!BH850</f>
        <v>0</v>
      </c>
      <c r="H110" s="106">
        <f>'2018'!BH851</f>
        <v>0</v>
      </c>
      <c r="I110" s="106">
        <f>'2018'!BH852</f>
        <v>5293.1424</v>
      </c>
      <c r="J110" s="106">
        <f>'2018'!BH853</f>
        <v>0</v>
      </c>
      <c r="K110" s="106">
        <f>'2018'!BH854</f>
        <v>350</v>
      </c>
      <c r="L110" s="106">
        <f t="shared" si="0"/>
        <v>5643.1424</v>
      </c>
    </row>
    <row r="111" ht="15.75" customHeight="1" spans="1:12" x14ac:dyDescent="0.25">
      <c r="A111" s="14"/>
      <c r="B111" s="118">
        <v>114</v>
      </c>
      <c r="C111" s="115">
        <v>4.86</v>
      </c>
      <c r="D111" s="117" t="s">
        <v>245</v>
      </c>
      <c r="E111" s="106">
        <f>'2018'!BH856</f>
      </c>
      <c r="F111" s="106">
        <f>'2018'!BH857</f>
        <v>0</v>
      </c>
      <c r="G111" s="106">
        <f>'2018'!BH858</f>
        <v>0</v>
      </c>
      <c r="H111" s="106">
        <f>'2018'!BH859</f>
        <v>0</v>
      </c>
      <c r="I111" s="106">
        <f>'2018'!BH860</f>
        <v>-0.003199999999</v>
      </c>
      <c r="J111" s="106">
        <f>'2018'!BH861</f>
        <v>0</v>
      </c>
      <c r="K111" s="106">
        <f>'2018'!BH862</f>
        <v>0</v>
      </c>
      <c r="L111" s="106">
        <f t="shared" si="0"/>
        <v>-0.003199999999</v>
      </c>
    </row>
    <row r="112" ht="15.75" customHeight="1" spans="1:12" x14ac:dyDescent="0.25">
      <c r="A112" s="117"/>
      <c r="B112" s="115" t="s">
        <v>350</v>
      </c>
      <c r="C112" s="116">
        <f>SUM(C5:C111)</f>
        <v>505.74</v>
      </c>
      <c r="D112" s="117"/>
      <c r="E112" s="106">
        <f t="shared" ref="E112:L112" si="1">SUM(E5:E111)</f>
        <v>17430</v>
      </c>
      <c r="F112" s="106">
        <f t="shared" si="1"/>
        <v>2815.18</v>
      </c>
      <c r="G112" s="106">
        <f t="shared" si="1"/>
        <v>1566.55</v>
      </c>
      <c r="H112" s="106">
        <f t="shared" si="1"/>
        <v>6641.36</v>
      </c>
      <c r="I112" s="106">
        <f t="shared" si="1"/>
        <v>113601.5912</v>
      </c>
      <c r="J112" s="106">
        <f t="shared" si="1"/>
        <v>43593</v>
      </c>
      <c r="K112" s="106">
        <f t="shared" si="1"/>
        <v>11350</v>
      </c>
      <c r="L112" s="106">
        <f t="shared" si="1"/>
        <v>196997.6812</v>
      </c>
    </row>
    <row r="113" ht="15.75" customHeight="1" spans="1:3" x14ac:dyDescent="0.25">
      <c r="A113" s="15"/>
      <c r="B113" s="112"/>
      <c r="C113" s="112"/>
    </row>
    <row r="114" ht="15.75" customHeight="1" hidden="1" spans="1:12" x14ac:dyDescent="0.25" outlineLevel="1" collapsed="1">
      <c r="A114" s="15"/>
      <c r="B114" s="112"/>
      <c r="C114" s="112"/>
      <c r="E114" s="2" t="b">
        <f>E112='2018'!BH866</f>
        <v>1</v>
      </c>
      <c r="F114" s="2" t="b">
        <f>F112='2018'!BH867</f>
        <v>1</v>
      </c>
      <c r="G114" s="2" t="b">
        <f>G112='2018'!BH868</f>
        <v>1</v>
      </c>
      <c r="H114" s="2" t="b">
        <f>H112='2018'!BH869</f>
        <v>1</v>
      </c>
      <c r="I114" s="2" t="b">
        <f>I112='2018'!BH870</f>
        <v>1</v>
      </c>
      <c r="J114" s="2" t="b">
        <f>J112='2018'!BH871</f>
        <v>1</v>
      </c>
      <c r="K114" s="2" t="b">
        <f>K112='2018'!BH872</f>
        <v>1</v>
      </c>
      <c r="L114" s="2" t="b">
        <f>L112='2018'!BH865</f>
        <v>1</v>
      </c>
    </row>
    <row r="115" ht="15.75" customHeight="1" spans="1:3" x14ac:dyDescent="0.25">
      <c r="A115" s="15"/>
      <c r="B115" s="112"/>
      <c r="C115" s="112"/>
    </row>
    <row r="116" ht="15.75" customHeight="1" spans="1:3" x14ac:dyDescent="0.25">
      <c r="A116" s="15"/>
      <c r="B116" s="112"/>
      <c r="C116" s="112"/>
    </row>
    <row r="117" ht="15.75" customHeight="1" spans="1:3" x14ac:dyDescent="0.25">
      <c r="A117" s="15"/>
      <c r="B117" s="112"/>
      <c r="C117" s="112"/>
    </row>
    <row r="118" ht="15.75" customHeight="1" spans="1:3" x14ac:dyDescent="0.25">
      <c r="A118" s="15"/>
      <c r="B118" s="112"/>
      <c r="C118" s="112"/>
    </row>
    <row r="119" ht="15.75" customHeight="1" spans="1:3" x14ac:dyDescent="0.25">
      <c r="A119" s="15"/>
      <c r="B119" s="112"/>
      <c r="C119" s="112"/>
    </row>
    <row r="120" ht="15.75" customHeight="1" spans="1:3" x14ac:dyDescent="0.25">
      <c r="A120" s="15"/>
      <c r="B120" s="112"/>
      <c r="C120" s="112"/>
    </row>
    <row r="121" ht="15.75" customHeight="1" spans="1:3" x14ac:dyDescent="0.25">
      <c r="A121" s="15"/>
      <c r="B121" s="112"/>
      <c r="C121" s="112"/>
    </row>
    <row r="122" ht="15.75" customHeight="1" spans="1:3" x14ac:dyDescent="0.25">
      <c r="A122" s="15"/>
      <c r="B122" s="112"/>
      <c r="C122" s="112"/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B$4:$L$114"/>
  <pageMargins left="0.39375" right="0" top="0.196527777777778" bottom="0.196527777777778" header="0" footer="0"/>
  <pageSetup paperSize="9"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14" customWidth="1"/>
    <col min="2" max="2" width="7.14" customWidth="1"/>
    <col min="3" max="3" width="6.43" outlineLevel="1" collapsed="1" customWidth="1"/>
    <col min="4" max="4" width="13.86" outlineLevel="1" collapsed="1" customWidth="1"/>
    <col min="5" max="5" width="7.14" outlineLevel="1" collapsed="1" customWidth="1"/>
    <col min="6" max="6" width="7.14" customWidth="1"/>
    <col min="7" max="7" width="7.14" outlineLevel="1" collapsed="1" customWidth="1"/>
    <col min="8" max="8" width="7.14" customWidth="1"/>
    <col min="9" max="9" width="7.14" outlineLevel="1" collapsed="1" customWidth="1"/>
    <col min="10" max="10" width="7.14" customWidth="1"/>
    <col min="11" max="11" width="7.14" outlineLevel="1" collapsed="1" customWidth="1"/>
    <col min="12" max="12" width="7.14" customWidth="1"/>
    <col min="13" max="13" width="7.14" outlineLevel="1" collapsed="1" customWidth="1"/>
    <col min="14" max="14" width="7.14" customWidth="1"/>
    <col min="15" max="15" width="7.14" outlineLevel="1" collapsed="1" customWidth="1"/>
    <col min="16" max="16" width="7.14" customWidth="1"/>
    <col min="17" max="17" width="7.14" outlineLevel="1" collapsed="1" customWidth="1"/>
    <col min="18" max="18" width="7.14" customWidth="1"/>
    <col min="19" max="19" width="7.14" outlineLevel="1" collapsed="1" customWidth="1"/>
    <col min="20" max="20" width="7.14" customWidth="1"/>
    <col min="21" max="21" width="7.14" outlineLevel="1" collapsed="1" customWidth="1"/>
    <col min="22" max="22" width="7.14" customWidth="1"/>
    <col min="23" max="23" width="7.14" outlineLevel="1" collapsed="1" customWidth="1"/>
    <col min="24" max="24" width="7.14" customWidth="1"/>
    <col min="25" max="25" width="7.14" outlineLevel="1" collapsed="1" customWidth="1"/>
    <col min="26" max="26" width="7.14" customWidth="1"/>
    <col min="27" max="27" width="8.43" customWidth="1"/>
    <col min="28" max="28" width="7.14" outlineLevel="1" collapsed="1" customWidth="1"/>
    <col min="29" max="30" width="7.14" customWidth="1"/>
    <col min="31" max="31" width="7.43" customWidth="1"/>
    <col min="32" max="32" width="8.43" customWidth="1"/>
  </cols>
  <sheetData>
    <row r="1" spans="1:25" x14ac:dyDescent="0.25">
      <c r="A1" s="1" t="s">
        <v>365</v>
      </c>
      <c r="B1" s="112"/>
      <c r="C1" s="112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Y1" s="2" t="str">
        <f>'2018'!F1</f>
        <v>на 29 декабря 2018 года</v>
      </c>
    </row>
    <row r="2" spans="1:3" x14ac:dyDescent="0.25">
      <c r="A2" s="15" t="s">
        <v>366</v>
      </c>
      <c r="B2" s="112"/>
      <c r="C2" s="112"/>
    </row>
    <row r="3" spans="1:32" x14ac:dyDescent="0.25">
      <c r="A3" s="4"/>
      <c r="B3" s="17" t="s">
        <v>2</v>
      </c>
      <c r="C3" s="17" t="s">
        <v>354</v>
      </c>
      <c r="D3" s="16" t="s">
        <v>355</v>
      </c>
      <c r="E3" s="11" t="s">
        <v>9</v>
      </c>
      <c r="F3" s="12"/>
      <c r="G3" s="11" t="s">
        <v>10</v>
      </c>
      <c r="H3" s="12"/>
      <c r="I3" s="11" t="s">
        <v>11</v>
      </c>
      <c r="J3" s="12"/>
      <c r="K3" s="11" t="s">
        <v>12</v>
      </c>
      <c r="L3" s="12"/>
      <c r="M3" s="11" t="s">
        <v>13</v>
      </c>
      <c r="N3" s="12"/>
      <c r="O3" s="11" t="s">
        <v>14</v>
      </c>
      <c r="P3" s="12"/>
      <c r="Q3" s="11" t="s">
        <v>15</v>
      </c>
      <c r="R3" s="12"/>
      <c r="S3" s="11" t="s">
        <v>16</v>
      </c>
      <c r="T3" s="12"/>
      <c r="U3" s="11" t="s">
        <v>17</v>
      </c>
      <c r="V3" s="12"/>
      <c r="W3" s="11" t="s">
        <v>18</v>
      </c>
      <c r="X3" s="12"/>
      <c r="Y3" s="6" t="s">
        <v>19</v>
      </c>
      <c r="Z3" s="9"/>
      <c r="AA3" s="7"/>
      <c r="AB3" s="6" t="s">
        <v>20</v>
      </c>
      <c r="AC3" s="9"/>
      <c r="AD3" s="7"/>
      <c r="AE3" s="17" t="s">
        <v>367</v>
      </c>
      <c r="AF3" s="17" t="s">
        <v>368</v>
      </c>
    </row>
    <row r="4" spans="1:32" x14ac:dyDescent="0.25">
      <c r="A4" s="21"/>
      <c r="B4" s="24" t="s">
        <v>23</v>
      </c>
      <c r="C4" s="24"/>
      <c r="D4" s="23"/>
      <c r="E4" s="4" t="s">
        <v>30</v>
      </c>
      <c r="F4" s="4" t="s">
        <v>3</v>
      </c>
      <c r="G4" s="4" t="s">
        <v>30</v>
      </c>
      <c r="H4" s="4" t="s">
        <v>3</v>
      </c>
      <c r="I4" s="4" t="s">
        <v>30</v>
      </c>
      <c r="J4" s="4" t="s">
        <v>3</v>
      </c>
      <c r="K4" s="4" t="s">
        <v>30</v>
      </c>
      <c r="L4" s="4" t="s">
        <v>3</v>
      </c>
      <c r="M4" s="4" t="s">
        <v>30</v>
      </c>
      <c r="N4" s="4" t="s">
        <v>3</v>
      </c>
      <c r="O4" s="4" t="s">
        <v>30</v>
      </c>
      <c r="P4" s="4" t="s">
        <v>3</v>
      </c>
      <c r="Q4" s="4" t="s">
        <v>30</v>
      </c>
      <c r="R4" s="4" t="s">
        <v>3</v>
      </c>
      <c r="S4" s="4" t="s">
        <v>30</v>
      </c>
      <c r="T4" s="4" t="s">
        <v>3</v>
      </c>
      <c r="U4" s="4" t="s">
        <v>30</v>
      </c>
      <c r="V4" s="4" t="s">
        <v>3</v>
      </c>
      <c r="W4" s="4" t="s">
        <v>30</v>
      </c>
      <c r="X4" s="4" t="s">
        <v>3</v>
      </c>
      <c r="Y4" s="4" t="s">
        <v>30</v>
      </c>
      <c r="Z4" s="4" t="s">
        <v>3</v>
      </c>
      <c r="AA4" s="4" t="s">
        <v>369</v>
      </c>
      <c r="AB4" s="4" t="s">
        <v>30</v>
      </c>
      <c r="AC4" s="4" t="s">
        <v>3</v>
      </c>
      <c r="AD4" s="4" t="s">
        <v>369</v>
      </c>
      <c r="AE4" s="113" t="s">
        <v>370</v>
      </c>
      <c r="AF4" s="113" t="s">
        <v>370</v>
      </c>
    </row>
    <row r="5" spans="1:32" x14ac:dyDescent="0.25">
      <c r="A5" s="114" t="s">
        <v>41</v>
      </c>
      <c r="B5" s="115">
        <f>'2018'!A8</f>
        <v>1</v>
      </c>
      <c r="C5" s="116">
        <v>4</v>
      </c>
      <c r="D5" s="117" t="str">
        <f>'2018'!C8</f>
        <v>сторож</v>
      </c>
      <c r="E5" s="119">
        <f>'2018'!I8</f>
        <v>1974</v>
      </c>
      <c r="F5" s="21">
        <f>'2018'!J8</f>
        <v>25</v>
      </c>
      <c r="G5" s="119">
        <f>'2018'!M8</f>
        <v>1981</v>
      </c>
      <c r="H5" s="119">
        <f>'2018'!N8</f>
        <v>7</v>
      </c>
      <c r="I5" s="119">
        <f>'2018'!Q8</f>
        <v>1981</v>
      </c>
      <c r="J5" s="119">
        <f>'2018'!R8</f>
        <v>0</v>
      </c>
      <c r="K5" s="119">
        <f>'2018'!U8</f>
        <v>1993</v>
      </c>
      <c r="L5" s="119">
        <f>'2018'!V8</f>
        <v>12</v>
      </c>
      <c r="M5" s="119">
        <f>'2018'!Y8</f>
        <v>2043</v>
      </c>
      <c r="N5" s="119">
        <f>'2018'!Z8</f>
        <v>50</v>
      </c>
      <c r="O5" s="119">
        <f>'2018'!AC8</f>
        <v>2164</v>
      </c>
      <c r="P5" s="119">
        <f>'2018'!AD8</f>
        <v>121</v>
      </c>
      <c r="Q5" s="119">
        <f>'2018'!AG8</f>
        <v>2335</v>
      </c>
      <c r="R5" s="119">
        <f>'2018'!AH8</f>
        <v>171</v>
      </c>
      <c r="S5" s="119">
        <f>'2018'!AK8</f>
        <v>2498</v>
      </c>
      <c r="T5" s="119">
        <f>'2018'!AL8</f>
        <v>163</v>
      </c>
      <c r="U5" s="119">
        <f>'2018'!AO8</f>
        <v>2704</v>
      </c>
      <c r="V5" s="119">
        <f>'2018'!AP8</f>
        <v>206</v>
      </c>
      <c r="W5" s="119">
        <f>'2018'!AS8</f>
        <v>2787</v>
      </c>
      <c r="X5" s="119">
        <f>'2018'!AT8</f>
        <v>83</v>
      </c>
      <c r="Y5" s="119">
        <f>'2018'!AW8</f>
        <v>2939</v>
      </c>
      <c r="Z5" s="119">
        <f>'2018'!AX8</f>
        <v>152</v>
      </c>
      <c r="AA5" s="119"/>
      <c r="AB5" s="119">
        <f>'2018'!BA8</f>
        <v>3184</v>
      </c>
      <c r="AC5" s="119">
        <f>'2018'!BB8</f>
        <v>245</v>
      </c>
      <c r="AD5" s="119"/>
      <c r="AE5" s="119">
        <f>'2018'!BE8</f>
        <v>1235</v>
      </c>
      <c r="AF5" s="119">
        <f t="shared" ref="AF5:AF111" si="0">AA5</f>
      </c>
    </row>
    <row r="6" spans="1:32" x14ac:dyDescent="0.25">
      <c r="A6" s="14"/>
      <c r="B6" s="115">
        <v>2</v>
      </c>
      <c r="C6" s="115">
        <v>4.12</v>
      </c>
      <c r="D6" s="117" t="s">
        <v>359</v>
      </c>
      <c r="E6" s="119">
        <f>'2018'!I17</f>
        <v>7437</v>
      </c>
      <c r="F6" s="119">
        <f>'2018'!J17</f>
        <v>995</v>
      </c>
      <c r="G6" s="119">
        <f>'2018'!M17</f>
        <v>8024</v>
      </c>
      <c r="H6" s="119">
        <f>'2018'!N17</f>
        <v>587</v>
      </c>
      <c r="I6" s="119">
        <f>'2018'!Q17</f>
        <v>8783</v>
      </c>
      <c r="J6" s="119">
        <f>'2018'!R17</f>
        <v>759</v>
      </c>
      <c r="K6" s="119">
        <f>'2018'!U17</f>
        <v>9577</v>
      </c>
      <c r="L6" s="119">
        <f>'2018'!V17</f>
        <v>794</v>
      </c>
      <c r="M6" s="119">
        <f>'2018'!Y17</f>
        <v>10069</v>
      </c>
      <c r="N6" s="119">
        <f>'2018'!Z17</f>
        <v>492</v>
      </c>
      <c r="O6" s="119">
        <f>'2018'!AC17</f>
        <v>10670</v>
      </c>
      <c r="P6" s="119">
        <f>'2018'!AD17</f>
        <v>601</v>
      </c>
      <c r="Q6" s="119">
        <f>'2018'!AG17</f>
        <v>11226</v>
      </c>
      <c r="R6" s="119">
        <f>'2018'!AH17</f>
        <v>556</v>
      </c>
      <c r="S6" s="119">
        <f>'2018'!AK17</f>
        <v>11741</v>
      </c>
      <c r="T6" s="119">
        <f>'2018'!AL17</f>
        <v>515</v>
      </c>
      <c r="U6" s="119">
        <f>'2018'!AO17</f>
        <v>12370</v>
      </c>
      <c r="V6" s="119">
        <f>'2018'!AP17</f>
        <v>629</v>
      </c>
      <c r="W6" s="119">
        <f>'2018'!AS17</f>
        <v>13087</v>
      </c>
      <c r="X6" s="119">
        <f>'2018'!AT17</f>
        <v>717</v>
      </c>
      <c r="Y6" s="119">
        <f>'2018'!AW17</f>
        <v>13541</v>
      </c>
      <c r="Z6" s="119">
        <f>'2018'!AX17</f>
        <v>454</v>
      </c>
      <c r="AA6" s="119">
        <v>155</v>
      </c>
      <c r="AB6" s="119">
        <f>'2018'!BA17</f>
        <v>14055</v>
      </c>
      <c r="AC6" s="119">
        <f>'2018'!BB17</f>
        <v>514</v>
      </c>
      <c r="AD6" s="119"/>
      <c r="AE6" s="119">
        <f>'2018'!BE17</f>
        <v>7613</v>
      </c>
      <c r="AF6" s="119">
        <f t="shared" si="0"/>
        <v>155</v>
      </c>
    </row>
    <row r="7" spans="1:32" x14ac:dyDescent="0.25">
      <c r="A7" s="14"/>
      <c r="B7" s="115">
        <v>3</v>
      </c>
      <c r="C7" s="116">
        <v>4</v>
      </c>
      <c r="D7" s="117" t="s">
        <v>60</v>
      </c>
      <c r="E7" s="119">
        <f>'2018'!I25</f>
        <v>11</v>
      </c>
      <c r="F7" s="119">
        <f>'2018'!J25</f>
        <v>0</v>
      </c>
      <c r="G7" s="119">
        <f>'2018'!M25</f>
        <v>11</v>
      </c>
      <c r="H7" s="119">
        <f>'2018'!N25</f>
        <v>0</v>
      </c>
      <c r="I7" s="119">
        <f>'2018'!Q25</f>
        <v>11</v>
      </c>
      <c r="J7" s="119">
        <f>'2018'!R25</f>
        <v>0</v>
      </c>
      <c r="K7" s="119">
        <f>'2018'!U25</f>
        <v>11</v>
      </c>
      <c r="L7" s="119">
        <f>'2018'!V25</f>
        <v>0</v>
      </c>
      <c r="M7" s="119">
        <f>'2018'!Y25</f>
        <v>11</v>
      </c>
      <c r="N7" s="119">
        <f>'2018'!Z25</f>
        <v>0</v>
      </c>
      <c r="O7" s="119">
        <f>'2018'!AC25</f>
        <v>15</v>
      </c>
      <c r="P7" s="119">
        <f>'2018'!AD25</f>
        <v>4</v>
      </c>
      <c r="Q7" s="119">
        <f>'2018'!AG25</f>
        <v>22</v>
      </c>
      <c r="R7" s="119">
        <f>'2018'!AH25</f>
        <v>7</v>
      </c>
      <c r="S7" s="119">
        <f>'2018'!AK25</f>
        <v>25</v>
      </c>
      <c r="T7" s="119">
        <f>'2018'!AL25</f>
        <v>3</v>
      </c>
      <c r="U7" s="119">
        <f>'2018'!AO25</f>
        <v>26</v>
      </c>
      <c r="V7" s="119">
        <f>'2018'!AP25</f>
        <v>1</v>
      </c>
      <c r="W7" s="119">
        <f>'2018'!AS25</f>
        <v>27</v>
      </c>
      <c r="X7" s="119">
        <f>'2018'!AT25</f>
        <v>1</v>
      </c>
      <c r="Y7" s="119">
        <f>'2018'!AW25</f>
        <v>27</v>
      </c>
      <c r="Z7" s="119">
        <f>'2018'!AX25</f>
        <v>0</v>
      </c>
      <c r="AA7" s="119"/>
      <c r="AB7" s="119">
        <f>'2018'!BA25</f>
        <v>27</v>
      </c>
      <c r="AC7" s="119">
        <f>'2018'!BB25</f>
        <v>0</v>
      </c>
      <c r="AD7" s="119"/>
      <c r="AE7" s="119">
        <f>'2018'!BE25</f>
        <v>16</v>
      </c>
      <c r="AF7" s="119">
        <f t="shared" si="0"/>
      </c>
    </row>
    <row r="8" spans="1:32" x14ac:dyDescent="0.25">
      <c r="A8" s="14"/>
      <c r="B8" s="115">
        <v>4</v>
      </c>
      <c r="C8" s="115">
        <v>3.95</v>
      </c>
      <c r="D8" s="117" t="s">
        <v>64</v>
      </c>
      <c r="E8" s="119">
        <f>'2018'!I33</f>
      </c>
      <c r="F8" s="119">
        <f>'2018'!J33</f>
      </c>
      <c r="G8" s="119">
        <f>'2018'!M33</f>
      </c>
      <c r="H8" s="119">
        <f>'2018'!N33</f>
      </c>
      <c r="I8" s="119">
        <f>'2018'!Q33</f>
      </c>
      <c r="J8" s="119">
        <f>'2018'!R33</f>
      </c>
      <c r="K8" s="119">
        <f>'2018'!U33</f>
      </c>
      <c r="L8" s="119">
        <f>'2018'!V33</f>
      </c>
      <c r="M8" s="119">
        <f>'2018'!Y33</f>
      </c>
      <c r="N8" s="119">
        <f>'2018'!Z33</f>
        <v>0</v>
      </c>
      <c r="O8" s="119">
        <f>'2018'!AC33</f>
      </c>
      <c r="P8" s="119">
        <f>'2018'!AD33</f>
        <v>0</v>
      </c>
      <c r="Q8" s="119">
        <f>'2018'!AG33</f>
      </c>
      <c r="R8" s="119">
        <f>'2018'!AH33</f>
        <v>0</v>
      </c>
      <c r="S8" s="119">
        <f>'2018'!AK33</f>
      </c>
      <c r="T8" s="119">
        <f>'2018'!AL33</f>
        <v>0</v>
      </c>
      <c r="U8" s="119">
        <f>'2018'!AO33</f>
      </c>
      <c r="V8" s="119">
        <f>'2018'!AP33</f>
      </c>
      <c r="W8" s="119">
        <f>'2018'!AS33</f>
      </c>
      <c r="X8" s="119">
        <f>'2018'!AT33</f>
      </c>
      <c r="Y8" s="119">
        <f>'2018'!AW33</f>
      </c>
      <c r="Z8" s="119">
        <f>'2018'!AX33</f>
      </c>
      <c r="AA8" s="119"/>
      <c r="AB8" s="119">
        <f>'2018'!BA33</f>
      </c>
      <c r="AC8" s="119">
        <f>'2018'!BB33</f>
      </c>
      <c r="AD8" s="119"/>
      <c r="AE8" s="119">
        <f>'2018'!BE33</f>
        <v>0</v>
      </c>
      <c r="AF8" s="119">
        <f t="shared" si="0"/>
      </c>
    </row>
    <row r="9" spans="1:32" x14ac:dyDescent="0.25">
      <c r="A9" s="14"/>
      <c r="B9" s="115">
        <v>5</v>
      </c>
      <c r="C9" s="115">
        <v>5.08</v>
      </c>
      <c r="D9" s="117" t="s">
        <v>66</v>
      </c>
      <c r="E9" s="119">
        <f>'2018'!I41</f>
        <v>90</v>
      </c>
      <c r="F9" s="119">
        <f>'2018'!J41</f>
        <v>0</v>
      </c>
      <c r="G9" s="119">
        <f>'2018'!M41</f>
        <v>90</v>
      </c>
      <c r="H9" s="119">
        <f>'2018'!N41</f>
        <v>0</v>
      </c>
      <c r="I9" s="119">
        <f>'2018'!Q41</f>
        <v>90</v>
      </c>
      <c r="J9" s="119">
        <f>'2018'!R41</f>
        <v>0</v>
      </c>
      <c r="K9" s="119">
        <f>'2018'!U41</f>
        <v>90</v>
      </c>
      <c r="L9" s="119">
        <f>'2018'!V41</f>
        <v>0</v>
      </c>
      <c r="M9" s="119">
        <f>'2018'!Y41</f>
        <v>91</v>
      </c>
      <c r="N9" s="119">
        <f>'2018'!Z41</f>
        <v>1</v>
      </c>
      <c r="O9" s="119">
        <f>'2018'!AC41</f>
        <v>92</v>
      </c>
      <c r="P9" s="119">
        <f>'2018'!AD41</f>
        <v>1</v>
      </c>
      <c r="Q9" s="119">
        <f>'2018'!AG41</f>
        <v>92</v>
      </c>
      <c r="R9" s="119">
        <f>'2018'!AH41</f>
        <v>0</v>
      </c>
      <c r="S9" s="119">
        <f>'2018'!AK41</f>
        <v>92</v>
      </c>
      <c r="T9" s="119">
        <f>'2018'!AL41</f>
        <v>0</v>
      </c>
      <c r="U9" s="119">
        <f>'2018'!AO41</f>
        <v>93</v>
      </c>
      <c r="V9" s="119">
        <f>'2018'!AP41</f>
        <v>1</v>
      </c>
      <c r="W9" s="119">
        <f>'2018'!AS41</f>
        <v>93</v>
      </c>
      <c r="X9" s="119">
        <f>'2018'!AT41</f>
        <v>0</v>
      </c>
      <c r="Y9" s="119">
        <f>'2018'!AW41</f>
        <v>93</v>
      </c>
      <c r="Z9" s="119">
        <f>'2018'!AX41</f>
        <v>0</v>
      </c>
      <c r="AA9" s="119"/>
      <c r="AB9" s="119">
        <f>'2018'!BA41</f>
        <v>93</v>
      </c>
      <c r="AC9" s="119">
        <f>'2018'!BB41</f>
        <v>0</v>
      </c>
      <c r="AD9" s="119"/>
      <c r="AE9" s="119">
        <f>'2018'!BE41</f>
        <v>3</v>
      </c>
      <c r="AF9" s="119">
        <f t="shared" si="0"/>
      </c>
    </row>
    <row r="10" spans="1:32" x14ac:dyDescent="0.25">
      <c r="A10" s="14"/>
      <c r="B10" s="115">
        <v>6</v>
      </c>
      <c r="C10" s="115">
        <v>4.01</v>
      </c>
      <c r="D10" s="117" t="s">
        <v>70</v>
      </c>
      <c r="E10" s="119">
        <f>'2018'!I49</f>
        <v>3</v>
      </c>
      <c r="F10" s="119">
        <f>'2018'!J49</f>
        <v>0</v>
      </c>
      <c r="G10" s="119">
        <f>'2018'!M49</f>
        <v>3</v>
      </c>
      <c r="H10" s="119">
        <f>'2018'!N49</f>
        <v>0</v>
      </c>
      <c r="I10" s="119">
        <f>'2018'!Q49</f>
        <v>3</v>
      </c>
      <c r="J10" s="119">
        <f>'2018'!R49</f>
        <v>0</v>
      </c>
      <c r="K10" s="119">
        <f>'2018'!U49</f>
        <v>3</v>
      </c>
      <c r="L10" s="119">
        <f>'2018'!V49</f>
        <v>0</v>
      </c>
      <c r="M10" s="119">
        <f>'2018'!Y49</f>
        <v>3</v>
      </c>
      <c r="N10" s="119">
        <f>'2018'!Z49</f>
        <v>0</v>
      </c>
      <c r="O10" s="119">
        <f>'2018'!AC49</f>
        <v>4</v>
      </c>
      <c r="P10" s="119">
        <f>'2018'!AD49</f>
        <v>1</v>
      </c>
      <c r="Q10" s="119">
        <f>'2018'!AG49</f>
        <v>5</v>
      </c>
      <c r="R10" s="119">
        <f>'2018'!AH49</f>
        <v>1</v>
      </c>
      <c r="S10" s="119">
        <f>'2018'!AK49</f>
        <v>5</v>
      </c>
      <c r="T10" s="119">
        <f>'2018'!AL49</f>
        <v>0</v>
      </c>
      <c r="U10" s="119">
        <f>'2018'!AO49</f>
        <v>6</v>
      </c>
      <c r="V10" s="119">
        <f>'2018'!AP49</f>
        <v>1</v>
      </c>
      <c r="W10" s="119">
        <f>'2018'!AS49</f>
        <v>6</v>
      </c>
      <c r="X10" s="119">
        <f>'2018'!AT49</f>
        <v>0</v>
      </c>
      <c r="Y10" s="119">
        <f>'2018'!AW49</f>
        <v>6</v>
      </c>
      <c r="Z10" s="119">
        <f>'2018'!AX49</f>
        <v>0</v>
      </c>
      <c r="AA10" s="119"/>
      <c r="AB10" s="119">
        <f>'2018'!BA49</f>
        <v>6</v>
      </c>
      <c r="AC10" s="119">
        <f>'2018'!BB49</f>
        <v>0</v>
      </c>
      <c r="AD10" s="119"/>
      <c r="AE10" s="119">
        <f>'2018'!BE49</f>
        <v>3</v>
      </c>
      <c r="AF10" s="119">
        <f t="shared" si="0"/>
      </c>
    </row>
    <row r="11" spans="1:32" x14ac:dyDescent="0.25">
      <c r="A11" s="14"/>
      <c r="B11" s="115">
        <v>7</v>
      </c>
      <c r="C11" s="115">
        <v>4.85</v>
      </c>
      <c r="D11" s="117" t="s">
        <v>74</v>
      </c>
      <c r="E11" s="119">
        <f>'2018'!I57</f>
        <v>75</v>
      </c>
      <c r="F11" s="119">
        <f>'2018'!J57</f>
        <v>0</v>
      </c>
      <c r="G11" s="119">
        <f>'2018'!M57</f>
        <v>75</v>
      </c>
      <c r="H11" s="119">
        <f>'2018'!N57</f>
        <v>0</v>
      </c>
      <c r="I11" s="119">
        <f>'2018'!Q57</f>
        <v>75</v>
      </c>
      <c r="J11" s="119">
        <f>'2018'!R57</f>
        <v>0</v>
      </c>
      <c r="K11" s="119">
        <f>'2018'!U57</f>
        <v>76</v>
      </c>
      <c r="L11" s="119">
        <f>'2018'!V57</f>
        <v>1</v>
      </c>
      <c r="M11" s="119">
        <f>'2018'!Y57</f>
        <v>76</v>
      </c>
      <c r="N11" s="119">
        <f>'2018'!Z57</f>
        <v>0</v>
      </c>
      <c r="O11" s="119">
        <f>'2018'!AC57</f>
        <v>86</v>
      </c>
      <c r="P11" s="119">
        <f>'2018'!AD57</f>
        <v>10</v>
      </c>
      <c r="Q11" s="119">
        <f>'2018'!AG57</f>
        <v>105</v>
      </c>
      <c r="R11" s="119">
        <f>'2018'!AH57</f>
        <v>19</v>
      </c>
      <c r="S11" s="119">
        <f>'2018'!AK57</f>
        <v>118</v>
      </c>
      <c r="T11" s="119">
        <f>'2018'!AL57</f>
        <v>13</v>
      </c>
      <c r="U11" s="119">
        <f>'2018'!AO57</f>
        <v>127</v>
      </c>
      <c r="V11" s="119">
        <f>'2018'!AP57</f>
        <v>9</v>
      </c>
      <c r="W11" s="119">
        <f>'2018'!AS57</f>
        <v>131</v>
      </c>
      <c r="X11" s="119">
        <f>'2018'!AT57</f>
        <v>4</v>
      </c>
      <c r="Y11" s="119">
        <f>'2018'!AW57</f>
        <v>131</v>
      </c>
      <c r="Z11" s="119">
        <f>'2018'!AX57</f>
        <v>0</v>
      </c>
      <c r="AA11" s="119"/>
      <c r="AB11" s="119">
        <f>'2018'!BA57</f>
        <v>131</v>
      </c>
      <c r="AC11" s="119">
        <f>'2018'!BB57</f>
        <v>0</v>
      </c>
      <c r="AD11" s="119"/>
      <c r="AE11" s="119">
        <f>'2018'!BE57</f>
        <v>56</v>
      </c>
      <c r="AF11" s="119">
        <f t="shared" si="0"/>
      </c>
    </row>
    <row r="12" spans="1:32" x14ac:dyDescent="0.25">
      <c r="A12" s="14"/>
      <c r="B12" s="115">
        <v>8</v>
      </c>
      <c r="C12" s="116">
        <v>4</v>
      </c>
      <c r="D12" s="117" t="s">
        <v>78</v>
      </c>
      <c r="E12" s="119">
        <f>'2018'!I65</f>
        <v>138</v>
      </c>
      <c r="F12" s="119">
        <f>'2018'!J65</f>
        <v>0</v>
      </c>
      <c r="G12" s="119">
        <f>'2018'!M65</f>
        <v>138</v>
      </c>
      <c r="H12" s="119">
        <f>'2018'!N65</f>
        <v>0</v>
      </c>
      <c r="I12" s="119">
        <f>'2018'!Q65</f>
        <v>138</v>
      </c>
      <c r="J12" s="119">
        <f>'2018'!R65</f>
        <v>0</v>
      </c>
      <c r="K12" s="119">
        <f>'2018'!U65</f>
        <v>138</v>
      </c>
      <c r="L12" s="119">
        <f>'2018'!V65</f>
        <v>0</v>
      </c>
      <c r="M12" s="119">
        <f>'2018'!Y65</f>
        <v>141</v>
      </c>
      <c r="N12" s="119">
        <f>'2018'!Z65</f>
        <v>3</v>
      </c>
      <c r="O12" s="119">
        <f>'2018'!AC65</f>
        <v>150</v>
      </c>
      <c r="P12" s="119">
        <f>'2018'!AD65</f>
        <v>9</v>
      </c>
      <c r="Q12" s="119">
        <f>'2018'!AG65</f>
        <v>155</v>
      </c>
      <c r="R12" s="119">
        <f>'2018'!AH65</f>
        <v>5</v>
      </c>
      <c r="S12" s="119">
        <f>'2018'!AK65</f>
        <v>161</v>
      </c>
      <c r="T12" s="119">
        <f>'2018'!AL65</f>
        <v>6</v>
      </c>
      <c r="U12" s="119">
        <f>'2018'!AO65</f>
        <v>179</v>
      </c>
      <c r="V12" s="119">
        <f>'2018'!AP65</f>
        <v>18</v>
      </c>
      <c r="W12" s="119">
        <f>'2018'!AS65</f>
        <v>179</v>
      </c>
      <c r="X12" s="119">
        <f>'2018'!AT65</f>
        <v>0</v>
      </c>
      <c r="Y12" s="119">
        <f>'2018'!AW65</f>
        <v>179</v>
      </c>
      <c r="Z12" s="119">
        <f>'2018'!AX65</f>
        <v>0</v>
      </c>
      <c r="AA12" s="119"/>
      <c r="AB12" s="119">
        <f>'2018'!BA65</f>
        <v>179</v>
      </c>
      <c r="AC12" s="119">
        <f>'2018'!BB65</f>
        <v>0</v>
      </c>
      <c r="AD12" s="119"/>
      <c r="AE12" s="119">
        <f>'2018'!BE65</f>
        <v>41</v>
      </c>
      <c r="AF12" s="119">
        <f t="shared" si="0"/>
      </c>
    </row>
    <row r="13" spans="1:32" x14ac:dyDescent="0.25">
      <c r="A13" s="14"/>
      <c r="B13" s="115">
        <v>9</v>
      </c>
      <c r="C13" s="115">
        <v>4.03</v>
      </c>
      <c r="D13" s="117" t="s">
        <v>82</v>
      </c>
      <c r="E13" s="119">
        <f>'2018'!I73</f>
        <v>30</v>
      </c>
      <c r="F13" s="119">
        <f>'2018'!J73</f>
        <v>0</v>
      </c>
      <c r="G13" s="119">
        <f>'2018'!M73</f>
        <v>30</v>
      </c>
      <c r="H13" s="119">
        <f>'2018'!N73</f>
        <v>0</v>
      </c>
      <c r="I13" s="119">
        <f>'2018'!Q73</f>
        <v>30</v>
      </c>
      <c r="J13" s="119">
        <f>'2018'!R73</f>
        <v>0</v>
      </c>
      <c r="K13" s="119">
        <f>'2018'!U73</f>
        <v>30</v>
      </c>
      <c r="L13" s="119">
        <f>'2018'!V73</f>
        <v>0</v>
      </c>
      <c r="M13" s="119">
        <f>'2018'!Y73</f>
        <v>30</v>
      </c>
      <c r="N13" s="119">
        <f>'2018'!Z73</f>
        <v>0</v>
      </c>
      <c r="O13" s="119">
        <f>'2018'!AC73</f>
        <v>30</v>
      </c>
      <c r="P13" s="119">
        <f>'2018'!AD73</f>
        <v>0</v>
      </c>
      <c r="Q13" s="119">
        <f>'2018'!AG73</f>
        <v>34</v>
      </c>
      <c r="R13" s="119">
        <f>'2018'!AH73</f>
        <v>4</v>
      </c>
      <c r="S13" s="119">
        <f>'2018'!AK73</f>
        <v>40</v>
      </c>
      <c r="T13" s="119">
        <f>'2018'!AL73</f>
        <v>6</v>
      </c>
      <c r="U13" s="119">
        <f>'2018'!AO73</f>
        <v>41</v>
      </c>
      <c r="V13" s="119">
        <f>'2018'!AP73</f>
        <v>1</v>
      </c>
      <c r="W13" s="119">
        <f>'2018'!AS73</f>
        <v>41</v>
      </c>
      <c r="X13" s="119">
        <f>'2018'!AT73</f>
        <v>0</v>
      </c>
      <c r="Y13" s="119">
        <f>'2018'!AW73</f>
        <v>41</v>
      </c>
      <c r="Z13" s="119">
        <f>'2018'!AX73</f>
        <v>0</v>
      </c>
      <c r="AA13" s="119"/>
      <c r="AB13" s="119">
        <f>'2018'!BA73</f>
        <v>41</v>
      </c>
      <c r="AC13" s="119">
        <f>'2018'!BB73</f>
        <v>0</v>
      </c>
      <c r="AD13" s="119"/>
      <c r="AE13" s="119">
        <f>'2018'!BE73</f>
        <v>11</v>
      </c>
      <c r="AF13" s="119">
        <f t="shared" si="0"/>
      </c>
    </row>
    <row r="14" spans="1:32" x14ac:dyDescent="0.25">
      <c r="A14" s="14"/>
      <c r="B14" s="115">
        <v>10</v>
      </c>
      <c r="C14" s="115">
        <v>4.01</v>
      </c>
      <c r="D14" s="117" t="s">
        <v>86</v>
      </c>
      <c r="E14" s="119">
        <f>'2018'!I81</f>
      </c>
      <c r="F14" s="119">
        <f>'2018'!J81</f>
      </c>
      <c r="G14" s="119">
        <f>'2018'!M81</f>
      </c>
      <c r="H14" s="119">
        <f>'2018'!N81</f>
      </c>
      <c r="I14" s="119">
        <f>'2018'!Q81</f>
      </c>
      <c r="J14" s="119">
        <f>'2018'!R81</f>
      </c>
      <c r="K14" s="119">
        <f>'2018'!U81</f>
      </c>
      <c r="L14" s="119">
        <f>'2018'!V81</f>
      </c>
      <c r="M14" s="119">
        <f>'2018'!Y81</f>
      </c>
      <c r="N14" s="119">
        <f>'2018'!Z81</f>
        <v>0</v>
      </c>
      <c r="O14" s="119">
        <f>'2018'!AC81</f>
      </c>
      <c r="P14" s="119">
        <f>'2018'!AD81</f>
        <v>0</v>
      </c>
      <c r="Q14" s="119">
        <f>'2018'!AG81</f>
      </c>
      <c r="R14" s="119">
        <f>'2018'!AH81</f>
        <v>0</v>
      </c>
      <c r="S14" s="119">
        <f>'2018'!AK81</f>
      </c>
      <c r="T14" s="119">
        <f>'2018'!AL81</f>
        <v>0</v>
      </c>
      <c r="U14" s="119">
        <f>'2018'!AO81</f>
      </c>
      <c r="V14" s="119">
        <f>'2018'!AP81</f>
      </c>
      <c r="W14" s="119">
        <f>'2018'!AS81</f>
      </c>
      <c r="X14" s="119">
        <f>'2018'!AT81</f>
      </c>
      <c r="Y14" s="119">
        <f>'2018'!AW81</f>
      </c>
      <c r="Z14" s="119">
        <f>'2018'!AX81</f>
      </c>
      <c r="AA14" s="119"/>
      <c r="AB14" s="119">
        <f>'2018'!BA81</f>
      </c>
      <c r="AC14" s="119">
        <f>'2018'!BB81</f>
      </c>
      <c r="AD14" s="119"/>
      <c r="AE14" s="119">
        <f>'2018'!BE81</f>
        <v>0</v>
      </c>
      <c r="AF14" s="119">
        <f t="shared" si="0"/>
      </c>
    </row>
    <row r="15" spans="1:32" x14ac:dyDescent="0.25">
      <c r="A15" s="14"/>
      <c r="B15" s="115">
        <v>11</v>
      </c>
      <c r="C15" s="115">
        <v>4.02</v>
      </c>
      <c r="D15" s="117" t="s">
        <v>89</v>
      </c>
      <c r="E15" s="119">
        <f>'2018'!I89</f>
        <v>29</v>
      </c>
      <c r="F15" s="119">
        <f>'2018'!J89</f>
        <v>0</v>
      </c>
      <c r="G15" s="119">
        <f>'2018'!M89</f>
        <v>29</v>
      </c>
      <c r="H15" s="119">
        <f>'2018'!N89</f>
        <v>0</v>
      </c>
      <c r="I15" s="119">
        <f>'2018'!Q89</f>
        <v>29</v>
      </c>
      <c r="J15" s="119">
        <f>'2018'!R89</f>
        <v>0</v>
      </c>
      <c r="K15" s="119">
        <f>'2018'!U89</f>
        <v>30</v>
      </c>
      <c r="L15" s="119">
        <f>'2018'!V89</f>
        <v>1</v>
      </c>
      <c r="M15" s="119">
        <f>'2018'!Y89</f>
        <v>32</v>
      </c>
      <c r="N15" s="119">
        <f>'2018'!Z89</f>
        <v>2</v>
      </c>
      <c r="O15" s="119">
        <f>'2018'!AC89</f>
        <v>32</v>
      </c>
      <c r="P15" s="119">
        <f>'2018'!AD89</f>
        <v>0</v>
      </c>
      <c r="Q15" s="119">
        <f>'2018'!AG89</f>
        <v>33</v>
      </c>
      <c r="R15" s="119">
        <f>'2018'!AH89</f>
        <v>1</v>
      </c>
      <c r="S15" s="119">
        <f>'2018'!AK89</f>
        <v>33</v>
      </c>
      <c r="T15" s="119">
        <f>'2018'!AL89</f>
        <v>0</v>
      </c>
      <c r="U15" s="119">
        <f>'2018'!AO89</f>
        <v>33</v>
      </c>
      <c r="V15" s="119">
        <f>'2018'!AP89</f>
        <v>0</v>
      </c>
      <c r="W15" s="119">
        <f>'2018'!AS89</f>
        <v>37</v>
      </c>
      <c r="X15" s="119">
        <f>'2018'!AT89</f>
        <v>4</v>
      </c>
      <c r="Y15" s="119">
        <f>'2018'!AW89</f>
        <v>37</v>
      </c>
      <c r="Z15" s="119">
        <f>'2018'!AX89</f>
        <v>0</v>
      </c>
      <c r="AA15" s="119"/>
      <c r="AB15" s="119">
        <f>'2018'!BA89</f>
        <v>37</v>
      </c>
      <c r="AC15" s="119">
        <f>'2018'!BB89</f>
        <v>0</v>
      </c>
      <c r="AD15" s="119"/>
      <c r="AE15" s="119">
        <f>'2018'!BE89</f>
        <v>8</v>
      </c>
      <c r="AF15" s="119">
        <f t="shared" si="0"/>
      </c>
    </row>
    <row r="16" spans="1:32" x14ac:dyDescent="0.25">
      <c r="A16" s="14"/>
      <c r="B16" s="115">
        <v>12</v>
      </c>
      <c r="C16" s="115">
        <v>4.02</v>
      </c>
      <c r="D16" s="117" t="s">
        <v>92</v>
      </c>
      <c r="E16" s="119">
        <f>'2018'!I97</f>
      </c>
      <c r="F16" s="119">
        <f>'2018'!J97</f>
      </c>
      <c r="G16" s="119">
        <f>'2018'!M97</f>
      </c>
      <c r="H16" s="119">
        <f>'2018'!N97</f>
      </c>
      <c r="I16" s="119">
        <f>'2018'!Q97</f>
      </c>
      <c r="J16" s="119">
        <f>'2018'!R97</f>
      </c>
      <c r="K16" s="119">
        <f>'2018'!U97</f>
      </c>
      <c r="L16" s="119">
        <f>'2018'!V97</f>
      </c>
      <c r="M16" s="119">
        <f>'2018'!Y97</f>
      </c>
      <c r="N16" s="119">
        <f>'2018'!Z97</f>
        <v>0</v>
      </c>
      <c r="O16" s="119">
        <f>'2018'!AC97</f>
        <v>0</v>
      </c>
      <c r="P16" s="119">
        <f>'2018'!AD97</f>
        <v>0</v>
      </c>
      <c r="Q16" s="119">
        <f>'2018'!AG97</f>
      </c>
      <c r="R16" s="119">
        <f>'2018'!AH97</f>
        <v>0</v>
      </c>
      <c r="S16" s="119">
        <f>'2018'!AK97</f>
      </c>
      <c r="T16" s="119">
        <f>'2018'!AL97</f>
        <v>0</v>
      </c>
      <c r="U16" s="119">
        <f>'2018'!AO97</f>
      </c>
      <c r="V16" s="119">
        <f>'2018'!AP97</f>
      </c>
      <c r="W16" s="119">
        <f>'2018'!AS97</f>
      </c>
      <c r="X16" s="119">
        <f>'2018'!AT97</f>
      </c>
      <c r="Y16" s="119">
        <f>'2018'!AW97</f>
      </c>
      <c r="Z16" s="119">
        <f>'2018'!AX97</f>
      </c>
      <c r="AA16" s="119"/>
      <c r="AB16" s="119">
        <f>'2018'!BA97</f>
      </c>
      <c r="AC16" s="119">
        <f>'2018'!BB97</f>
      </c>
      <c r="AD16" s="119"/>
      <c r="AE16" s="119">
        <f>'2018'!BE97</f>
        <v>0</v>
      </c>
      <c r="AF16" s="119">
        <f t="shared" si="0"/>
      </c>
    </row>
    <row r="17" spans="1:32" x14ac:dyDescent="0.25">
      <c r="A17" s="14"/>
      <c r="B17" s="115" t="s">
        <v>96</v>
      </c>
      <c r="C17" s="115">
        <v>7.94</v>
      </c>
      <c r="D17" s="117" t="s">
        <v>97</v>
      </c>
      <c r="E17" s="119">
        <f>'2018'!I105</f>
        <v>2835</v>
      </c>
      <c r="F17" s="119">
        <f>'2018'!J105</f>
        <v>0</v>
      </c>
      <c r="G17" s="119">
        <f>'2018'!M105</f>
        <v>2835</v>
      </c>
      <c r="H17" s="119">
        <f>'2018'!N105</f>
        <v>0</v>
      </c>
      <c r="I17" s="119">
        <f>'2018'!Q105</f>
        <v>2835</v>
      </c>
      <c r="J17" s="119">
        <f>'2018'!R105</f>
        <v>0</v>
      </c>
      <c r="K17" s="119">
        <f>'2018'!U105</f>
        <v>3055</v>
      </c>
      <c r="L17" s="119">
        <f>'2018'!V105</f>
        <v>220</v>
      </c>
      <c r="M17" s="119">
        <f>'2018'!Y105</f>
        <v>3558</v>
      </c>
      <c r="N17" s="119">
        <f>'2018'!Z105</f>
        <v>503</v>
      </c>
      <c r="O17" s="119">
        <f>'2018'!AC105</f>
        <v>3768</v>
      </c>
      <c r="P17" s="119">
        <f>'2018'!AD105</f>
        <v>210</v>
      </c>
      <c r="Q17" s="119">
        <f>'2018'!AG105</f>
        <v>3947</v>
      </c>
      <c r="R17" s="119">
        <f>'2018'!AH105</f>
        <v>179</v>
      </c>
      <c r="S17" s="119">
        <f>'2018'!AK105</f>
        <v>4178</v>
      </c>
      <c r="T17" s="119">
        <f>'2018'!AL105</f>
        <v>231</v>
      </c>
      <c r="U17" s="119">
        <f>'2018'!AO105</f>
        <v>4244</v>
      </c>
      <c r="V17" s="119">
        <f>'2018'!AP105</f>
        <v>66</v>
      </c>
      <c r="W17" s="119">
        <f>'2018'!AS105</f>
        <v>4516</v>
      </c>
      <c r="X17" s="119">
        <f>'2018'!AT105</f>
        <v>272</v>
      </c>
      <c r="Y17" s="119">
        <f>'2018'!AW105</f>
        <v>4516</v>
      </c>
      <c r="Z17" s="119">
        <f>'2018'!AX105</f>
        <v>0</v>
      </c>
      <c r="AA17" s="119"/>
      <c r="AB17" s="119">
        <f>'2018'!BA105</f>
        <v>4707</v>
      </c>
      <c r="AC17" s="119">
        <f>'2018'!BB105</f>
        <v>191</v>
      </c>
      <c r="AD17" s="119"/>
      <c r="AE17" s="119">
        <f>'2018'!BE105</f>
        <v>1872</v>
      </c>
      <c r="AF17" s="119">
        <f t="shared" si="0"/>
      </c>
    </row>
    <row r="18" spans="1:32" x14ac:dyDescent="0.25">
      <c r="A18" s="14"/>
      <c r="B18" s="115">
        <v>14</v>
      </c>
      <c r="C18" s="115">
        <v>4.02</v>
      </c>
      <c r="D18" s="117" t="s">
        <v>100</v>
      </c>
      <c r="E18" s="119">
        <f>'2018'!I113</f>
      </c>
      <c r="F18" s="119">
        <f>'2018'!J113</f>
      </c>
      <c r="G18" s="119">
        <f>'2018'!M113</f>
      </c>
      <c r="H18" s="119">
        <f>'2018'!N113</f>
      </c>
      <c r="I18" s="119">
        <f>'2018'!Q113</f>
      </c>
      <c r="J18" s="119">
        <f>'2018'!R113</f>
      </c>
      <c r="K18" s="119">
        <f>'2018'!U113</f>
      </c>
      <c r="L18" s="119">
        <f>'2018'!V113</f>
      </c>
      <c r="M18" s="119">
        <f>'2018'!Y113</f>
      </c>
      <c r="N18" s="119">
        <f>'2018'!Z113</f>
        <v>0</v>
      </c>
      <c r="O18" s="119">
        <f>'2018'!AC113</f>
      </c>
      <c r="P18" s="119">
        <f>'2018'!AD113</f>
        <v>0</v>
      </c>
      <c r="Q18" s="119">
        <f>'2018'!AG113</f>
      </c>
      <c r="R18" s="119">
        <f>'2018'!AH113</f>
        <v>0</v>
      </c>
      <c r="S18" s="119">
        <f>'2018'!AK113</f>
      </c>
      <c r="T18" s="119">
        <f>'2018'!AL113</f>
        <v>0</v>
      </c>
      <c r="U18" s="119">
        <f>'2018'!AO113</f>
      </c>
      <c r="V18" s="119">
        <f>'2018'!AP113</f>
      </c>
      <c r="W18" s="119">
        <f>'2018'!AS113</f>
      </c>
      <c r="X18" s="119">
        <f>'2018'!AT113</f>
      </c>
      <c r="Y18" s="119">
        <f>'2018'!AW113</f>
      </c>
      <c r="Z18" s="119">
        <f>'2018'!AX113</f>
      </c>
      <c r="AA18" s="119"/>
      <c r="AB18" s="119">
        <f>'2018'!BA113</f>
      </c>
      <c r="AC18" s="119">
        <f>'2018'!BB113</f>
      </c>
      <c r="AD18" s="119"/>
      <c r="AE18" s="119">
        <f>'2018'!BE113</f>
        <v>0</v>
      </c>
      <c r="AF18" s="119">
        <f t="shared" si="0"/>
      </c>
    </row>
    <row r="19" spans="1:32" x14ac:dyDescent="0.25">
      <c r="A19" s="14"/>
      <c r="B19" s="115">
        <v>16</v>
      </c>
      <c r="C19" s="115">
        <v>3.98</v>
      </c>
      <c r="D19" s="117" t="s">
        <v>103</v>
      </c>
      <c r="E19" s="119">
        <f>'2018'!I121</f>
        <v>55</v>
      </c>
      <c r="F19" s="119">
        <f>'2018'!J121</f>
        <v>0</v>
      </c>
      <c r="G19" s="119">
        <f>'2018'!M121</f>
        <v>55</v>
      </c>
      <c r="H19" s="119">
        <f>'2018'!N121</f>
        <v>0</v>
      </c>
      <c r="I19" s="119">
        <f>'2018'!Q121</f>
        <v>55</v>
      </c>
      <c r="J19" s="119">
        <f>'2018'!R121</f>
        <v>0</v>
      </c>
      <c r="K19" s="119">
        <f>'2018'!U121</f>
        <v>55</v>
      </c>
      <c r="L19" s="119">
        <f>'2018'!V121</f>
        <v>0</v>
      </c>
      <c r="M19" s="119">
        <f>'2018'!Y121</f>
        <v>82</v>
      </c>
      <c r="N19" s="119">
        <f>'2018'!Z121</f>
        <v>27</v>
      </c>
      <c r="O19" s="119">
        <f>'2018'!AC121</f>
        <v>139</v>
      </c>
      <c r="P19" s="119">
        <f>'2018'!AD121</f>
        <v>57</v>
      </c>
      <c r="Q19" s="119">
        <f>'2018'!AG121</f>
        <v>162</v>
      </c>
      <c r="R19" s="119">
        <f>'2018'!AH121</f>
        <v>23</v>
      </c>
      <c r="S19" s="119">
        <f>'2018'!AK121</f>
        <v>215</v>
      </c>
      <c r="T19" s="119">
        <f>'2018'!AL121</f>
        <v>53</v>
      </c>
      <c r="U19" s="119">
        <f>'2018'!AO121</f>
        <v>331</v>
      </c>
      <c r="V19" s="119">
        <f>'2018'!AP121</f>
        <v>116</v>
      </c>
      <c r="W19" s="119">
        <f>'2018'!AS121</f>
        <v>488</v>
      </c>
      <c r="X19" s="119">
        <f>'2018'!AT121</f>
        <v>157</v>
      </c>
      <c r="Y19" s="119">
        <f>'2018'!AW121</f>
        <v>488</v>
      </c>
      <c r="Z19" s="119">
        <f>'2018'!AX121</f>
        <v>0</v>
      </c>
      <c r="AA19" s="119"/>
      <c r="AB19" s="119">
        <f>'2018'!BA121</f>
        <v>488</v>
      </c>
      <c r="AC19" s="119">
        <f>'2018'!BB121</f>
        <v>0</v>
      </c>
      <c r="AD19" s="119"/>
      <c r="AE19" s="119">
        <f>'2018'!BE121</f>
        <v>433</v>
      </c>
      <c r="AF19" s="119">
        <f t="shared" si="0"/>
      </c>
    </row>
    <row r="20" spans="1:32" x14ac:dyDescent="0.25">
      <c r="A20" s="14"/>
      <c r="B20" s="115">
        <v>17</v>
      </c>
      <c r="C20" s="116">
        <v>4</v>
      </c>
      <c r="D20" s="117" t="s">
        <v>106</v>
      </c>
      <c r="E20" s="119">
        <f>'2018'!I129</f>
        <v>5</v>
      </c>
      <c r="F20" s="119">
        <f>'2018'!J129</f>
        <v>0</v>
      </c>
      <c r="G20" s="119">
        <f>'2018'!M129</f>
        <v>5</v>
      </c>
      <c r="H20" s="119">
        <f>'2018'!N129</f>
        <v>0</v>
      </c>
      <c r="I20" s="119">
        <f>'2018'!Q129</f>
        <v>5</v>
      </c>
      <c r="J20" s="119">
        <f>'2018'!R129</f>
        <v>0</v>
      </c>
      <c r="K20" s="119">
        <f>'2018'!U129</f>
        <v>5</v>
      </c>
      <c r="L20" s="119">
        <f>'2018'!V129</f>
        <v>0</v>
      </c>
      <c r="M20" s="119">
        <f>'2018'!Y129</f>
        <v>5</v>
      </c>
      <c r="N20" s="119">
        <f>'2018'!Z129</f>
        <v>0</v>
      </c>
      <c r="O20" s="119">
        <f>'2018'!AC129</f>
        <v>5</v>
      </c>
      <c r="P20" s="119">
        <f>'2018'!AD129</f>
        <v>0</v>
      </c>
      <c r="Q20" s="119">
        <f>'2018'!AG129</f>
        <v>5</v>
      </c>
      <c r="R20" s="119">
        <f>'2018'!AH129</f>
        <v>0</v>
      </c>
      <c r="S20" s="119">
        <f>'2018'!AK129</f>
        <v>8</v>
      </c>
      <c r="T20" s="119">
        <f>'2018'!AL129</f>
        <v>3</v>
      </c>
      <c r="U20" s="119">
        <f>'2018'!AO129</f>
        <v>9</v>
      </c>
      <c r="V20" s="119">
        <f>'2018'!AP129</f>
        <v>1</v>
      </c>
      <c r="W20" s="119">
        <f>'2018'!AS129</f>
        <v>9</v>
      </c>
      <c r="X20" s="119">
        <f>'2018'!AT129</f>
        <v>0</v>
      </c>
      <c r="Y20" s="119">
        <f>'2018'!AW129</f>
        <v>9</v>
      </c>
      <c r="Z20" s="119">
        <f>'2018'!AX129</f>
        <v>0</v>
      </c>
      <c r="AA20" s="119"/>
      <c r="AB20" s="119">
        <f>'2018'!BA129</f>
        <v>9</v>
      </c>
      <c r="AC20" s="119">
        <f>'2018'!BB129</f>
        <v>0</v>
      </c>
      <c r="AD20" s="119"/>
      <c r="AE20" s="119">
        <f>'2018'!BE129</f>
        <v>4</v>
      </c>
      <c r="AF20" s="119">
        <f t="shared" si="0"/>
      </c>
    </row>
    <row r="21" ht="15.75" customHeight="1" spans="1:32" x14ac:dyDescent="0.25">
      <c r="A21" s="14"/>
      <c r="B21" s="115">
        <v>18</v>
      </c>
      <c r="C21" s="115">
        <v>4.03</v>
      </c>
      <c r="D21" s="117" t="s">
        <v>109</v>
      </c>
      <c r="E21" s="119">
        <f>'2018'!I137</f>
        <v>116</v>
      </c>
      <c r="F21" s="119">
        <f>'2018'!J137</f>
        <v>0</v>
      </c>
      <c r="G21" s="119">
        <f>'2018'!M137</f>
        <v>116</v>
      </c>
      <c r="H21" s="119">
        <f>'2018'!N137</f>
        <v>0</v>
      </c>
      <c r="I21" s="119">
        <f>'2018'!Q137</f>
        <v>116</v>
      </c>
      <c r="J21" s="119">
        <f>'2018'!R137</f>
        <v>0</v>
      </c>
      <c r="K21" s="119">
        <f>'2018'!U137</f>
        <v>120</v>
      </c>
      <c r="L21" s="119">
        <f>'2018'!V137</f>
        <v>4</v>
      </c>
      <c r="M21" s="119">
        <f>'2018'!Y137</f>
        <v>127</v>
      </c>
      <c r="N21" s="119">
        <f>'2018'!Z137</f>
        <v>7</v>
      </c>
      <c r="O21" s="119">
        <f>'2018'!AC137</f>
        <v>145</v>
      </c>
      <c r="P21" s="119">
        <f>'2018'!AD137</f>
        <v>18</v>
      </c>
      <c r="Q21" s="119">
        <f>'2018'!AG137</f>
        <v>160</v>
      </c>
      <c r="R21" s="119">
        <f>'2018'!AH137</f>
        <v>15</v>
      </c>
      <c r="S21" s="119">
        <f>'2018'!AK137</f>
        <v>173</v>
      </c>
      <c r="T21" s="119">
        <f>'2018'!AL137</f>
        <v>13</v>
      </c>
      <c r="U21" s="119">
        <f>'2018'!AO137</f>
        <v>184</v>
      </c>
      <c r="V21" s="119">
        <f>'2018'!AP137</f>
        <v>11</v>
      </c>
      <c r="W21" s="119">
        <f>'2018'!AS137</f>
        <v>189</v>
      </c>
      <c r="X21" s="119">
        <f>'2018'!AT137</f>
        <v>5</v>
      </c>
      <c r="Y21" s="119">
        <f>'2018'!AW137</f>
        <v>189</v>
      </c>
      <c r="Z21" s="119">
        <f>'2018'!AX137</f>
        <v>0</v>
      </c>
      <c r="AA21" s="119"/>
      <c r="AB21" s="119">
        <f>'2018'!BA137</f>
        <v>189</v>
      </c>
      <c r="AC21" s="119">
        <f>'2018'!BB137</f>
        <v>0</v>
      </c>
      <c r="AD21" s="119"/>
      <c r="AE21" s="119">
        <f>'2018'!BE137</f>
        <v>73</v>
      </c>
      <c r="AF21" s="119">
        <f t="shared" si="0"/>
      </c>
    </row>
    <row r="22" ht="15.75" customHeight="1" spans="1:32" x14ac:dyDescent="0.25">
      <c r="A22" s="21"/>
      <c r="B22" s="115">
        <v>19</v>
      </c>
      <c r="C22" s="116">
        <v>4.1</v>
      </c>
      <c r="D22" s="117" t="s">
        <v>113</v>
      </c>
      <c r="E22" s="119">
        <f>'2018'!I145</f>
        <v>1</v>
      </c>
      <c r="F22" s="119">
        <f>'2018'!J145</f>
        <v>0</v>
      </c>
      <c r="G22" s="119">
        <f>'2018'!M145</f>
        <v>1</v>
      </c>
      <c r="H22" s="119">
        <f>'2018'!N145</f>
        <v>0</v>
      </c>
      <c r="I22" s="119">
        <f>'2018'!Q145</f>
        <v>1</v>
      </c>
      <c r="J22" s="119">
        <f>'2018'!R145</f>
        <v>0</v>
      </c>
      <c r="K22" s="119">
        <f>'2018'!U145</f>
        <v>1</v>
      </c>
      <c r="L22" s="119">
        <f>'2018'!V145</f>
        <v>0</v>
      </c>
      <c r="M22" s="119">
        <f>'2018'!Y145</f>
        <v>1</v>
      </c>
      <c r="N22" s="119">
        <f>'2018'!Z145</f>
        <v>0</v>
      </c>
      <c r="O22" s="119">
        <f>'2018'!AC145</f>
        <v>1</v>
      </c>
      <c r="P22" s="119">
        <f>'2018'!AD145</f>
        <v>0</v>
      </c>
      <c r="Q22" s="119">
        <f>'2018'!AG145</f>
        <v>1</v>
      </c>
      <c r="R22" s="119">
        <f>'2018'!AH145</f>
        <v>0</v>
      </c>
      <c r="S22" s="119">
        <f>'2018'!AK145</f>
        <v>1</v>
      </c>
      <c r="T22" s="119">
        <f>'2018'!AL145</f>
        <v>0</v>
      </c>
      <c r="U22" s="119">
        <f>'2018'!AO145</f>
        <v>1</v>
      </c>
      <c r="V22" s="119">
        <f>'2018'!AP145</f>
        <v>0</v>
      </c>
      <c r="W22" s="119">
        <f>'2018'!AS145</f>
        <v>1</v>
      </c>
      <c r="X22" s="119">
        <f>'2018'!AT145</f>
        <v>0</v>
      </c>
      <c r="Y22" s="119">
        <f>'2018'!AW145</f>
        <v>1</v>
      </c>
      <c r="Z22" s="119">
        <f>'2018'!AX145</f>
        <v>0</v>
      </c>
      <c r="AA22" s="119"/>
      <c r="AB22" s="119">
        <f>'2018'!BA145</f>
        <v>1</v>
      </c>
      <c r="AC22" s="119">
        <f>'2018'!BB145</f>
        <v>0</v>
      </c>
      <c r="AD22" s="119"/>
      <c r="AE22" s="119">
        <f>'2018'!BE145</f>
        <v>0</v>
      </c>
      <c r="AF22" s="119">
        <f t="shared" si="0"/>
      </c>
    </row>
    <row r="23" ht="15.75" customHeight="1" spans="1:32" x14ac:dyDescent="0.25">
      <c r="A23" s="114" t="s">
        <v>116</v>
      </c>
      <c r="B23" s="115" t="s">
        <v>117</v>
      </c>
      <c r="C23" s="116">
        <v>8</v>
      </c>
      <c r="D23" s="117" t="s">
        <v>118</v>
      </c>
      <c r="E23" s="119">
        <f>'2018'!I153</f>
        <v>1572</v>
      </c>
      <c r="F23" s="119">
        <f>'2018'!J153</f>
        <v>0</v>
      </c>
      <c r="G23" s="119">
        <f>'2018'!M153</f>
        <v>1572</v>
      </c>
      <c r="H23" s="119">
        <f>'2018'!N153</f>
        <v>0</v>
      </c>
      <c r="I23" s="119">
        <f>'2018'!Q153</f>
        <v>1572</v>
      </c>
      <c r="J23" s="119">
        <f>'2018'!R153</f>
        <v>0</v>
      </c>
      <c r="K23" s="119">
        <f>'2018'!U153</f>
        <v>1718</v>
      </c>
      <c r="L23" s="119">
        <f>'2018'!V153</f>
        <v>146</v>
      </c>
      <c r="M23" s="119">
        <f>'2018'!Y153</f>
        <v>1807</v>
      </c>
      <c r="N23" s="119">
        <f>'2018'!Z153</f>
        <v>89</v>
      </c>
      <c r="O23" s="119">
        <f>'2018'!AC153</f>
        <v>1911</v>
      </c>
      <c r="P23" s="119">
        <f>'2018'!AD153</f>
        <v>104</v>
      </c>
      <c r="Q23" s="119">
        <f>'2018'!AG153</f>
        <v>2049</v>
      </c>
      <c r="R23" s="119">
        <f>'2018'!AH153</f>
        <v>138</v>
      </c>
      <c r="S23" s="119">
        <f>'2018'!AK153</f>
        <v>2185</v>
      </c>
      <c r="T23" s="119">
        <f>'2018'!AL153</f>
        <v>136</v>
      </c>
      <c r="U23" s="119">
        <f>'2018'!AO153</f>
        <v>2351</v>
      </c>
      <c r="V23" s="119">
        <f>'2018'!AP153</f>
        <v>166</v>
      </c>
      <c r="W23" s="119">
        <f>'2018'!AS153</f>
        <v>2425</v>
      </c>
      <c r="X23" s="119">
        <f>'2018'!AT153</f>
        <v>74</v>
      </c>
      <c r="Y23" s="119">
        <f>'2018'!AW153</f>
        <v>2425</v>
      </c>
      <c r="Z23" s="119">
        <f>'2018'!AX153</f>
        <v>0</v>
      </c>
      <c r="AA23" s="119"/>
      <c r="AB23" s="119">
        <f>'2018'!BA153</f>
        <v>2425</v>
      </c>
      <c r="AC23" s="119">
        <f>'2018'!BB153</f>
        <v>0</v>
      </c>
      <c r="AD23" s="119"/>
      <c r="AE23" s="119">
        <f>'2018'!BE153</f>
        <v>853</v>
      </c>
      <c r="AF23" s="119">
        <f t="shared" si="0"/>
      </c>
    </row>
    <row r="24" ht="15.75" customHeight="1" spans="1:32" x14ac:dyDescent="0.25">
      <c r="A24" s="14"/>
      <c r="B24" s="115">
        <v>21</v>
      </c>
      <c r="C24" s="115">
        <v>3.96</v>
      </c>
      <c r="D24" s="117" t="s">
        <v>120</v>
      </c>
      <c r="E24" s="119">
        <f>'2018'!I161</f>
        <v>96</v>
      </c>
      <c r="F24" s="119">
        <f>'2018'!J161</f>
        <v>40</v>
      </c>
      <c r="G24" s="119">
        <f>'2018'!M161</f>
        <v>161</v>
      </c>
      <c r="H24" s="119">
        <f>'2018'!N161</f>
        <v>65</v>
      </c>
      <c r="I24" s="119">
        <f>'2018'!Q161</f>
        <v>231</v>
      </c>
      <c r="J24" s="119">
        <f>'2018'!R161</f>
        <v>70</v>
      </c>
      <c r="K24" s="119">
        <f>'2018'!U161</f>
        <v>321</v>
      </c>
      <c r="L24" s="119">
        <f>'2018'!V161</f>
        <v>90</v>
      </c>
      <c r="M24" s="119">
        <f>'2018'!Y161</f>
        <v>357</v>
      </c>
      <c r="N24" s="119">
        <f>'2018'!Z161</f>
        <v>36</v>
      </c>
      <c r="O24" s="119">
        <f>'2018'!AC161</f>
        <v>369</v>
      </c>
      <c r="P24" s="119">
        <f>'2018'!AD161</f>
        <v>12</v>
      </c>
      <c r="Q24" s="119">
        <f>'2018'!AG161</f>
        <v>414</v>
      </c>
      <c r="R24" s="119">
        <f>'2018'!AH161</f>
        <v>45</v>
      </c>
      <c r="S24" s="119">
        <f>'2018'!AK161</f>
        <v>459</v>
      </c>
      <c r="T24" s="119">
        <f>'2018'!AL161</f>
        <v>45</v>
      </c>
      <c r="U24" s="119">
        <f>'2018'!AO161</f>
        <v>498</v>
      </c>
      <c r="V24" s="119">
        <f>'2018'!AP161</f>
        <v>39</v>
      </c>
      <c r="W24" s="119">
        <f>'2018'!AS161</f>
        <v>533</v>
      </c>
      <c r="X24" s="119">
        <f>'2018'!AT161</f>
        <v>35</v>
      </c>
      <c r="Y24" s="119">
        <f>'2018'!AW161</f>
        <v>568</v>
      </c>
      <c r="Z24" s="119">
        <f>'2018'!AX161</f>
        <v>35</v>
      </c>
      <c r="AA24" s="119">
        <v>155</v>
      </c>
      <c r="AB24" s="119">
        <f>'2018'!BA161</f>
        <v>586</v>
      </c>
      <c r="AC24" s="119">
        <f>'2018'!BB161</f>
        <v>18</v>
      </c>
      <c r="AD24" s="119"/>
      <c r="AE24" s="119">
        <f>'2018'!BE161</f>
        <v>530</v>
      </c>
      <c r="AF24" s="119">
        <f t="shared" si="0"/>
        <v>155</v>
      </c>
    </row>
    <row r="25" ht="15.75" customHeight="1" spans="1:32" x14ac:dyDescent="0.25">
      <c r="A25" s="14"/>
      <c r="B25" s="115">
        <v>23</v>
      </c>
      <c r="C25" s="115">
        <v>3.98</v>
      </c>
      <c r="D25" s="117" t="s">
        <v>124</v>
      </c>
      <c r="E25" s="119">
        <f>'2018'!I169</f>
        <v>1187</v>
      </c>
      <c r="F25" s="119">
        <f>'2018'!J169</f>
        <v>0</v>
      </c>
      <c r="G25" s="119">
        <f>'2018'!M169</f>
        <v>1187</v>
      </c>
      <c r="H25" s="119">
        <f>'2018'!N169</f>
        <v>0</v>
      </c>
      <c r="I25" s="119">
        <f>'2018'!Q169</f>
        <v>1187</v>
      </c>
      <c r="J25" s="119">
        <f>'2018'!R169</f>
        <v>0</v>
      </c>
      <c r="K25" s="119">
        <f>'2018'!U169</f>
        <v>1198</v>
      </c>
      <c r="L25" s="119">
        <f>'2018'!V169</f>
        <v>11</v>
      </c>
      <c r="M25" s="119">
        <f>'2018'!Y169</f>
        <v>1245</v>
      </c>
      <c r="N25" s="119">
        <f>'2018'!Z169</f>
        <v>47</v>
      </c>
      <c r="O25" s="119">
        <f>'2018'!AC169</f>
        <v>1406</v>
      </c>
      <c r="P25" s="119">
        <f>'2018'!AD169</f>
        <v>161</v>
      </c>
      <c r="Q25" s="119">
        <f>'2018'!AG169</f>
        <v>1532</v>
      </c>
      <c r="R25" s="119">
        <f>'2018'!AH169</f>
        <v>126</v>
      </c>
      <c r="S25" s="119">
        <f>'2018'!AK169</f>
        <v>1774</v>
      </c>
      <c r="T25" s="119">
        <f>'2018'!AL169</f>
        <v>242</v>
      </c>
      <c r="U25" s="119">
        <f>'2018'!AO169</f>
        <v>1880</v>
      </c>
      <c r="V25" s="119">
        <f>'2018'!AP169</f>
        <v>106</v>
      </c>
      <c r="W25" s="119">
        <f>'2018'!AS169</f>
        <v>1901</v>
      </c>
      <c r="X25" s="119">
        <f>'2018'!AT169</f>
        <v>21</v>
      </c>
      <c r="Y25" s="119">
        <f>'2018'!AW169</f>
        <v>1901</v>
      </c>
      <c r="Z25" s="119">
        <f>'2018'!AX169</f>
        <v>0</v>
      </c>
      <c r="AA25" s="119"/>
      <c r="AB25" s="119">
        <f>'2018'!BA169</f>
        <v>1901</v>
      </c>
      <c r="AC25" s="119">
        <f>'2018'!BB169</f>
        <v>0</v>
      </c>
      <c r="AD25" s="119"/>
      <c r="AE25" s="119">
        <f>'2018'!BE169</f>
        <v>714</v>
      </c>
      <c r="AF25" s="119">
        <f t="shared" si="0"/>
      </c>
    </row>
    <row r="26" ht="15.75" customHeight="1" spans="1:32" x14ac:dyDescent="0.25">
      <c r="A26" s="14"/>
      <c r="B26" s="115">
        <v>24</v>
      </c>
      <c r="C26" s="115">
        <v>4.01</v>
      </c>
      <c r="D26" s="117" t="s">
        <v>127</v>
      </c>
      <c r="E26" s="119">
        <f>'2018'!I177</f>
        <v>39</v>
      </c>
      <c r="F26" s="119">
        <f>'2018'!J177</f>
        <v>0</v>
      </c>
      <c r="G26" s="119">
        <f>'2018'!M177</f>
        <v>39</v>
      </c>
      <c r="H26" s="119">
        <f>'2018'!N177</f>
        <v>0</v>
      </c>
      <c r="I26" s="119">
        <f>'2018'!Q177</f>
        <v>39</v>
      </c>
      <c r="J26" s="119">
        <f>'2018'!R177</f>
        <v>0</v>
      </c>
      <c r="K26" s="119">
        <f>'2018'!U177</f>
        <v>39</v>
      </c>
      <c r="L26" s="119">
        <f>'2018'!V177</f>
        <v>0</v>
      </c>
      <c r="M26" s="119">
        <f>'2018'!Y177</f>
        <v>43</v>
      </c>
      <c r="N26" s="119">
        <f>'2018'!Z177</f>
        <v>4</v>
      </c>
      <c r="O26" s="119">
        <f>'2018'!AC177</f>
        <v>50</v>
      </c>
      <c r="P26" s="119">
        <f>'2018'!AD177</f>
        <v>7</v>
      </c>
      <c r="Q26" s="119">
        <f>'2018'!AG177</f>
        <v>53</v>
      </c>
      <c r="R26" s="119">
        <f>'2018'!AH177</f>
        <v>3</v>
      </c>
      <c r="S26" s="119">
        <f>'2018'!AK177</f>
        <v>55</v>
      </c>
      <c r="T26" s="119">
        <f>'2018'!AL177</f>
        <v>2</v>
      </c>
      <c r="U26" s="119">
        <f>'2018'!AO177</f>
        <v>56</v>
      </c>
      <c r="V26" s="119">
        <f>'2018'!AP177</f>
        <v>1</v>
      </c>
      <c r="W26" s="119">
        <f>'2018'!AS177</f>
        <v>56</v>
      </c>
      <c r="X26" s="119">
        <f>'2018'!AT177</f>
        <v>0</v>
      </c>
      <c r="Y26" s="119">
        <f>'2018'!AW177</f>
        <v>56</v>
      </c>
      <c r="Z26" s="119">
        <f>'2018'!AX177</f>
        <v>0</v>
      </c>
      <c r="AA26" s="119"/>
      <c r="AB26" s="119">
        <f>'2018'!BA177</f>
        <v>56</v>
      </c>
      <c r="AC26" s="119">
        <f>'2018'!BB177</f>
        <v>0</v>
      </c>
      <c r="AD26" s="119"/>
      <c r="AE26" s="119">
        <f>'2018'!BE177</f>
        <v>17</v>
      </c>
      <c r="AF26" s="119">
        <f t="shared" si="0"/>
      </c>
    </row>
    <row r="27" ht="15.75" customHeight="1" spans="1:32" x14ac:dyDescent="0.25">
      <c r="A27" s="14"/>
      <c r="B27" s="115">
        <v>25</v>
      </c>
      <c r="C27" s="116">
        <v>4</v>
      </c>
      <c r="D27" s="117" t="s">
        <v>131</v>
      </c>
      <c r="E27" s="119">
        <f>'2018'!I185</f>
      </c>
      <c r="F27" s="119">
        <f>'2018'!J185</f>
      </c>
      <c r="G27" s="119">
        <f>'2018'!M185</f>
      </c>
      <c r="H27" s="119">
        <f>'2018'!N185</f>
      </c>
      <c r="I27" s="119">
        <f>'2018'!Q185</f>
      </c>
      <c r="J27" s="119">
        <f>'2018'!R185</f>
      </c>
      <c r="K27" s="119">
        <f>'2018'!U185</f>
      </c>
      <c r="L27" s="119">
        <f>'2018'!V185</f>
      </c>
      <c r="M27" s="119">
        <f>'2018'!Y185</f>
      </c>
      <c r="N27" s="119">
        <f>'2018'!Z185</f>
        <v>0</v>
      </c>
      <c r="O27" s="119">
        <f>'2018'!AC185</f>
        <v>0</v>
      </c>
      <c r="P27" s="119">
        <f>'2018'!AD185</f>
        <v>0</v>
      </c>
      <c r="Q27" s="119">
        <f>'2018'!AG185</f>
      </c>
      <c r="R27" s="119">
        <f>'2018'!AH185</f>
        <v>0</v>
      </c>
      <c r="S27" s="119">
        <f>'2018'!AK185</f>
        <v>5</v>
      </c>
      <c r="T27" s="119">
        <f>'2018'!AL185</f>
        <v>5</v>
      </c>
      <c r="U27" s="119">
        <f>'2018'!AO185</f>
        <v>6</v>
      </c>
      <c r="V27" s="119">
        <f>'2018'!AP185</f>
        <v>1</v>
      </c>
      <c r="W27" s="119">
        <f>'2018'!AS185</f>
        <v>13</v>
      </c>
      <c r="X27" s="119">
        <f>'2018'!AT185</f>
        <v>7</v>
      </c>
      <c r="Y27" s="119">
        <f>'2018'!AW185</f>
        <v>13</v>
      </c>
      <c r="Z27" s="119">
        <f>'2018'!AX185</f>
        <v>0</v>
      </c>
      <c r="AA27" s="119"/>
      <c r="AB27" s="119">
        <f>'2018'!BA185</f>
        <v>13</v>
      </c>
      <c r="AC27" s="119">
        <f>'2018'!BB185</f>
        <v>0</v>
      </c>
      <c r="AD27" s="119"/>
      <c r="AE27" s="119">
        <f>'2018'!BE185</f>
        <v>13</v>
      </c>
      <c r="AF27" s="119">
        <f t="shared" si="0"/>
      </c>
    </row>
    <row r="28" ht="15.75" customHeight="1" spans="1:32" x14ac:dyDescent="0.25">
      <c r="A28" s="14"/>
      <c r="B28" s="115">
        <v>26</v>
      </c>
      <c r="C28" s="115">
        <v>3.98</v>
      </c>
      <c r="D28" s="117" t="s">
        <v>133</v>
      </c>
      <c r="E28" s="119">
        <f>'2018'!I193</f>
      </c>
      <c r="F28" s="119">
        <f>'2018'!J193</f>
      </c>
      <c r="G28" s="119">
        <f>'2018'!M193</f>
      </c>
      <c r="H28" s="119">
        <f>'2018'!N193</f>
      </c>
      <c r="I28" s="119">
        <f>'2018'!Q193</f>
      </c>
      <c r="J28" s="119">
        <f>'2018'!R193</f>
      </c>
      <c r="K28" s="119">
        <f>'2018'!U193</f>
      </c>
      <c r="L28" s="119">
        <f>'2018'!V193</f>
      </c>
      <c r="M28" s="119">
        <f>'2018'!Y193</f>
      </c>
      <c r="N28" s="119">
        <f>'2018'!Z193</f>
        <v>0</v>
      </c>
      <c r="O28" s="119">
        <f>'2018'!AC193</f>
      </c>
      <c r="P28" s="119">
        <f>'2018'!AD193</f>
        <v>0</v>
      </c>
      <c r="Q28" s="119">
        <f>'2018'!AG193</f>
      </c>
      <c r="R28" s="119">
        <f>'2018'!AH193</f>
        <v>0</v>
      </c>
      <c r="S28" s="119">
        <f>'2018'!AK193</f>
      </c>
      <c r="T28" s="119">
        <f>'2018'!AL193</f>
        <v>0</v>
      </c>
      <c r="U28" s="119">
        <f>'2018'!AO193</f>
      </c>
      <c r="V28" s="119">
        <f>'2018'!AP193</f>
      </c>
      <c r="W28" s="119">
        <f>'2018'!AS193</f>
      </c>
      <c r="X28" s="119">
        <f>'2018'!AT193</f>
      </c>
      <c r="Y28" s="119">
        <f>'2018'!AW193</f>
      </c>
      <c r="Z28" s="119">
        <f>'2018'!AX193</f>
      </c>
      <c r="AA28" s="119"/>
      <c r="AB28" s="119">
        <f>'2018'!BA193</f>
      </c>
      <c r="AC28" s="119">
        <f>'2018'!BB193</f>
      </c>
      <c r="AD28" s="119"/>
      <c r="AE28" s="119">
        <f>'2018'!BE193</f>
        <v>0</v>
      </c>
      <c r="AF28" s="119">
        <f t="shared" si="0"/>
      </c>
    </row>
    <row r="29" ht="15.75" customHeight="1" spans="1:32" x14ac:dyDescent="0.25">
      <c r="A29" s="14"/>
      <c r="B29" s="115">
        <v>27</v>
      </c>
      <c r="C29" s="115">
        <v>4.04</v>
      </c>
      <c r="D29" s="117" t="s">
        <v>136</v>
      </c>
      <c r="E29" s="119">
        <f>'2018'!I201</f>
      </c>
      <c r="F29" s="119">
        <f>'2018'!J201</f>
      </c>
      <c r="G29" s="119">
        <f>'2018'!M201</f>
      </c>
      <c r="H29" s="119">
        <f>'2018'!N201</f>
      </c>
      <c r="I29" s="119">
        <f>'2018'!Q201</f>
      </c>
      <c r="J29" s="119">
        <f>'2018'!R201</f>
      </c>
      <c r="K29" s="119">
        <f>'2018'!U201</f>
      </c>
      <c r="L29" s="119">
        <f>'2018'!V201</f>
      </c>
      <c r="M29" s="119">
        <f>'2018'!Y201</f>
      </c>
      <c r="N29" s="119">
        <f>'2018'!Z201</f>
        <v>0</v>
      </c>
      <c r="O29" s="119">
        <f>'2018'!AC201</f>
      </c>
      <c r="P29" s="119">
        <f>'2018'!AD201</f>
        <v>0</v>
      </c>
      <c r="Q29" s="119">
        <f>'2018'!AG201</f>
      </c>
      <c r="R29" s="119">
        <f>'2018'!AH201</f>
        <v>0</v>
      </c>
      <c r="S29" s="119">
        <f>'2018'!AK201</f>
      </c>
      <c r="T29" s="119">
        <f>'2018'!AL201</f>
        <v>0</v>
      </c>
      <c r="U29" s="119">
        <f>'2018'!AO201</f>
      </c>
      <c r="V29" s="119">
        <f>'2018'!AP201</f>
      </c>
      <c r="W29" s="119">
        <f>'2018'!AS201</f>
      </c>
      <c r="X29" s="119">
        <f>'2018'!AT201</f>
      </c>
      <c r="Y29" s="119">
        <f>'2018'!AW201</f>
      </c>
      <c r="Z29" s="119">
        <f>'2018'!AX201</f>
      </c>
      <c r="AA29" s="119"/>
      <c r="AB29" s="119">
        <f>'2018'!BA201</f>
      </c>
      <c r="AC29" s="119">
        <f>'2018'!BB201</f>
      </c>
      <c r="AD29" s="119"/>
      <c r="AE29" s="119">
        <f>'2018'!BE201</f>
        <v>0</v>
      </c>
      <c r="AF29" s="119">
        <f t="shared" si="0"/>
      </c>
    </row>
    <row r="30" ht="15.75" customHeight="1" spans="1:32" x14ac:dyDescent="0.25">
      <c r="A30" s="14"/>
      <c r="B30" s="115" t="s">
        <v>139</v>
      </c>
      <c r="C30" s="115">
        <v>8.01</v>
      </c>
      <c r="D30" s="117" t="s">
        <v>140</v>
      </c>
      <c r="E30" s="119">
        <f>'2018'!I209</f>
        <v>8117</v>
      </c>
      <c r="F30" s="119">
        <f>'2018'!J209</f>
        <v>1129</v>
      </c>
      <c r="G30" s="119">
        <f>'2018'!M209</f>
        <v>9121</v>
      </c>
      <c r="H30" s="119">
        <f>'2018'!N209</f>
        <v>1004</v>
      </c>
      <c r="I30" s="119">
        <f>'2018'!Q209</f>
        <v>9921</v>
      </c>
      <c r="J30" s="119">
        <f>'2018'!R209</f>
        <v>800</v>
      </c>
      <c r="K30" s="119">
        <f>'2018'!U209</f>
        <v>10418</v>
      </c>
      <c r="L30" s="119">
        <f>'2018'!V209</f>
        <v>497</v>
      </c>
      <c r="M30" s="119">
        <f>'2018'!Y209</f>
        <v>10638</v>
      </c>
      <c r="N30" s="119">
        <f>'2018'!Z209</f>
        <v>220</v>
      </c>
      <c r="O30" s="119">
        <f>'2018'!AC209</f>
        <v>10785</v>
      </c>
      <c r="P30" s="119">
        <f>'2018'!AD209</f>
        <v>147</v>
      </c>
      <c r="Q30" s="119">
        <f>'2018'!AG209</f>
        <v>10882</v>
      </c>
      <c r="R30" s="119">
        <f>'2018'!AH209</f>
        <v>97</v>
      </c>
      <c r="S30" s="119">
        <f>'2018'!AK209</f>
        <v>11038</v>
      </c>
      <c r="T30" s="119">
        <f>'2018'!AL209</f>
        <v>156</v>
      </c>
      <c r="U30" s="119">
        <f>'2018'!AO209</f>
        <v>11295</v>
      </c>
      <c r="V30" s="119">
        <f>'2018'!AP209</f>
        <v>257</v>
      </c>
      <c r="W30" s="119">
        <f>'2018'!AS209</f>
        <v>11767</v>
      </c>
      <c r="X30" s="119">
        <f>'2018'!AT209</f>
        <v>472</v>
      </c>
      <c r="Y30" s="119">
        <f>'2018'!AW209</f>
        <v>12187</v>
      </c>
      <c r="Z30" s="119">
        <f>'2018'!AX209</f>
        <v>420</v>
      </c>
      <c r="AA30" s="119">
        <v>155</v>
      </c>
      <c r="AB30" s="119">
        <f>'2018'!BA209</f>
        <v>12936</v>
      </c>
      <c r="AC30" s="119">
        <f>'2018'!BB209</f>
        <v>749</v>
      </c>
      <c r="AD30" s="119"/>
      <c r="AE30" s="119">
        <f>'2018'!BE209</f>
        <v>5948</v>
      </c>
      <c r="AF30" s="119">
        <f t="shared" si="0"/>
        <v>155</v>
      </c>
    </row>
    <row r="31" ht="15.75" customHeight="1" spans="1:32" x14ac:dyDescent="0.25">
      <c r="A31" s="14"/>
      <c r="B31" s="115">
        <v>29</v>
      </c>
      <c r="C31" s="115">
        <v>4.02</v>
      </c>
      <c r="D31" s="117" t="s">
        <v>146</v>
      </c>
      <c r="E31" s="119">
        <f>'2018'!I217</f>
      </c>
      <c r="F31" s="119">
        <f>'2018'!J217</f>
      </c>
      <c r="G31" s="119">
        <f>'2018'!M217</f>
      </c>
      <c r="H31" s="119">
        <f>'2018'!N217</f>
      </c>
      <c r="I31" s="119">
        <f>'2018'!Q217</f>
      </c>
      <c r="J31" s="119">
        <f>'2018'!R217</f>
      </c>
      <c r="K31" s="119">
        <f>'2018'!U217</f>
      </c>
      <c r="L31" s="119">
        <f>'2018'!V217</f>
      </c>
      <c r="M31" s="119">
        <f>'2018'!Y217</f>
      </c>
      <c r="N31" s="119">
        <f>'2018'!Z217</f>
        <v>0</v>
      </c>
      <c r="O31" s="119">
        <f>'2018'!AC217</f>
      </c>
      <c r="P31" s="119">
        <f>'2018'!AD217</f>
        <v>0</v>
      </c>
      <c r="Q31" s="119">
        <f>'2018'!AG217</f>
      </c>
      <c r="R31" s="119">
        <f>'2018'!AH217</f>
        <v>0</v>
      </c>
      <c r="S31" s="119">
        <f>'2018'!AK217</f>
      </c>
      <c r="T31" s="119">
        <f>'2018'!AL217</f>
        <v>0</v>
      </c>
      <c r="U31" s="119">
        <f>'2018'!AO217</f>
      </c>
      <c r="V31" s="119">
        <f>'2018'!AP217</f>
      </c>
      <c r="W31" s="119">
        <f>'2018'!AS217</f>
      </c>
      <c r="X31" s="119">
        <f>'2018'!AT217</f>
      </c>
      <c r="Y31" s="119">
        <f>'2018'!AW217</f>
      </c>
      <c r="Z31" s="119">
        <f>'2018'!AX217</f>
      </c>
      <c r="AA31" s="119"/>
      <c r="AB31" s="119">
        <f>'2018'!BA217</f>
      </c>
      <c r="AC31" s="119">
        <f>'2018'!BB217</f>
      </c>
      <c r="AD31" s="119"/>
      <c r="AE31" s="119">
        <f>'2018'!BE217</f>
        <v>0</v>
      </c>
      <c r="AF31" s="119">
        <f t="shared" si="0"/>
      </c>
    </row>
    <row r="32" ht="15.75" customHeight="1" spans="1:32" x14ac:dyDescent="0.25">
      <c r="A32" s="14"/>
      <c r="B32" s="115">
        <v>31</v>
      </c>
      <c r="C32" s="116">
        <v>4</v>
      </c>
      <c r="D32" s="117" t="s">
        <v>149</v>
      </c>
      <c r="E32" s="119">
        <f>'2018'!I225</f>
      </c>
      <c r="F32" s="119">
        <f>'2018'!J225</f>
      </c>
      <c r="G32" s="119">
        <f>'2018'!M225</f>
      </c>
      <c r="H32" s="119">
        <f>'2018'!N225</f>
      </c>
      <c r="I32" s="119">
        <f>'2018'!Q225</f>
      </c>
      <c r="J32" s="119">
        <f>'2018'!R225</f>
      </c>
      <c r="K32" s="119">
        <f>'2018'!U225</f>
      </c>
      <c r="L32" s="119">
        <f>'2018'!V225</f>
      </c>
      <c r="M32" s="119">
        <f>'2018'!Y225</f>
      </c>
      <c r="N32" s="119">
        <f>'2018'!Z225</f>
        <v>0</v>
      </c>
      <c r="O32" s="119">
        <f>'2018'!AC225</f>
        <v>0</v>
      </c>
      <c r="P32" s="119">
        <f>'2018'!AD225</f>
        <v>0</v>
      </c>
      <c r="Q32" s="119">
        <f>'2018'!AG225</f>
      </c>
      <c r="R32" s="119">
        <f>'2018'!AH225</f>
        <v>0</v>
      </c>
      <c r="S32" s="119">
        <f>'2018'!AK225</f>
      </c>
      <c r="T32" s="119">
        <f>'2018'!AL225</f>
        <v>0</v>
      </c>
      <c r="U32" s="119">
        <f>'2018'!AO225</f>
      </c>
      <c r="V32" s="119">
        <f>'2018'!AP225</f>
      </c>
      <c r="W32" s="119">
        <f>'2018'!AS225</f>
      </c>
      <c r="X32" s="119">
        <f>'2018'!AT225</f>
      </c>
      <c r="Y32" s="119">
        <f>'2018'!AW225</f>
      </c>
      <c r="Z32" s="119">
        <f>'2018'!AX225</f>
      </c>
      <c r="AA32" s="119"/>
      <c r="AB32" s="119">
        <f>'2018'!BA225</f>
      </c>
      <c r="AC32" s="119">
        <f>'2018'!BB225</f>
      </c>
      <c r="AD32" s="119"/>
      <c r="AE32" s="119">
        <f>'2018'!BE225</f>
        <v>0</v>
      </c>
      <c r="AF32" s="119">
        <f t="shared" si="0"/>
      </c>
    </row>
    <row r="33" ht="15.75" customHeight="1" spans="1:32" x14ac:dyDescent="0.25">
      <c r="A33" s="14"/>
      <c r="B33" s="115">
        <v>32</v>
      </c>
      <c r="C33" s="115">
        <v>3.96</v>
      </c>
      <c r="D33" s="117" t="s">
        <v>152</v>
      </c>
      <c r="E33" s="119">
        <f>'2018'!I233</f>
        <v>168</v>
      </c>
      <c r="F33" s="119">
        <f>'2018'!J233</f>
        <v>0</v>
      </c>
      <c r="G33" s="119">
        <f>'2018'!M233</f>
        <v>168</v>
      </c>
      <c r="H33" s="119">
        <f>'2018'!N233</f>
        <v>0</v>
      </c>
      <c r="I33" s="119">
        <f>'2018'!Q233</f>
        <v>168</v>
      </c>
      <c r="J33" s="119">
        <f>'2018'!R233</f>
        <v>0</v>
      </c>
      <c r="K33" s="119">
        <f>'2018'!U233</f>
        <v>168</v>
      </c>
      <c r="L33" s="119">
        <f>'2018'!V233</f>
        <v>0</v>
      </c>
      <c r="M33" s="119">
        <f>'2018'!Y233</f>
        <v>171</v>
      </c>
      <c r="N33" s="119">
        <f>'2018'!Z233</f>
        <v>3</v>
      </c>
      <c r="O33" s="119">
        <f>'2018'!AC233</f>
        <v>205</v>
      </c>
      <c r="P33" s="119">
        <f>'2018'!AD233</f>
        <v>34</v>
      </c>
      <c r="Q33" s="119">
        <f>'2018'!AG233</f>
        <v>257</v>
      </c>
      <c r="R33" s="119">
        <f>'2018'!AH233</f>
        <v>52</v>
      </c>
      <c r="S33" s="119">
        <f>'2018'!AK233</f>
        <v>307</v>
      </c>
      <c r="T33" s="119">
        <f>'2018'!AL233</f>
        <v>50</v>
      </c>
      <c r="U33" s="119">
        <f>'2018'!AO233</f>
        <v>354</v>
      </c>
      <c r="V33" s="119">
        <f>'2018'!AP233</f>
        <v>47</v>
      </c>
      <c r="W33" s="119">
        <f>'2018'!AS233</f>
        <v>381</v>
      </c>
      <c r="X33" s="119">
        <f>'2018'!AT233</f>
        <v>27</v>
      </c>
      <c r="Y33" s="119">
        <f>'2018'!AW233</f>
        <v>381</v>
      </c>
      <c r="Z33" s="119">
        <f>'2018'!AX233</f>
        <v>0</v>
      </c>
      <c r="AA33" s="119"/>
      <c r="AB33" s="119">
        <f>'2018'!BA233</f>
        <v>381</v>
      </c>
      <c r="AC33" s="119">
        <f>'2018'!BB233</f>
        <v>0</v>
      </c>
      <c r="AD33" s="119"/>
      <c r="AE33" s="119">
        <f>'2018'!BE233</f>
        <v>213</v>
      </c>
      <c r="AF33" s="119">
        <f t="shared" si="0"/>
      </c>
    </row>
    <row r="34" ht="15.75" customHeight="1" spans="1:32" x14ac:dyDescent="0.25">
      <c r="A34" s="14"/>
      <c r="B34" s="115">
        <v>33</v>
      </c>
      <c r="C34" s="115">
        <v>4.01</v>
      </c>
      <c r="D34" s="117" t="s">
        <v>154</v>
      </c>
      <c r="E34" s="119">
        <f>'2018'!I241</f>
        <v>1</v>
      </c>
      <c r="F34" s="119">
        <f>'2018'!J241</f>
        <v>0</v>
      </c>
      <c r="G34" s="119">
        <f>'2018'!M241</f>
        <v>1</v>
      </c>
      <c r="H34" s="119">
        <f>'2018'!N241</f>
        <v>0</v>
      </c>
      <c r="I34" s="119">
        <f>'2018'!Q241</f>
        <v>1</v>
      </c>
      <c r="J34" s="119">
        <f>'2018'!R241</f>
        <v>0</v>
      </c>
      <c r="K34" s="119">
        <f>'2018'!U241</f>
        <v>1</v>
      </c>
      <c r="L34" s="119">
        <f>'2018'!V241</f>
        <v>0</v>
      </c>
      <c r="M34" s="119">
        <f>'2018'!Y241</f>
        <v>1</v>
      </c>
      <c r="N34" s="119">
        <f>'2018'!Z241</f>
        <v>0</v>
      </c>
      <c r="O34" s="119">
        <f>'2018'!AC241</f>
        <v>1</v>
      </c>
      <c r="P34" s="119">
        <f>'2018'!AD241</f>
        <v>0</v>
      </c>
      <c r="Q34" s="119">
        <f>'2018'!AG241</f>
        <v>1</v>
      </c>
      <c r="R34" s="119">
        <f>'2018'!AH241</f>
        <v>0</v>
      </c>
      <c r="S34" s="119">
        <f>'2018'!AK241</f>
        <v>1</v>
      </c>
      <c r="T34" s="119">
        <f>'2018'!AL241</f>
        <v>0</v>
      </c>
      <c r="U34" s="119">
        <f>'2018'!AO241</f>
        <v>1</v>
      </c>
      <c r="V34" s="119">
        <f>'2018'!AP241</f>
      </c>
      <c r="W34" s="119">
        <f>'2018'!AS241</f>
        <v>1</v>
      </c>
      <c r="X34" s="119">
        <f>'2018'!AT241</f>
        <v>0</v>
      </c>
      <c r="Y34" s="119">
        <f>'2018'!AW241</f>
        <v>1</v>
      </c>
      <c r="Z34" s="119">
        <f>'2018'!AX241</f>
        <v>0</v>
      </c>
      <c r="AA34" s="119"/>
      <c r="AB34" s="119">
        <f>'2018'!BA241</f>
        <v>1</v>
      </c>
      <c r="AC34" s="119">
        <f>'2018'!BB241</f>
        <v>0</v>
      </c>
      <c r="AD34" s="119"/>
      <c r="AE34" s="119">
        <f>'2018'!BE241</f>
        <v>0</v>
      </c>
      <c r="AF34" s="119">
        <f t="shared" si="0"/>
      </c>
    </row>
    <row r="35" ht="15.75" customHeight="1" spans="1:32" x14ac:dyDescent="0.25">
      <c r="A35" s="14"/>
      <c r="B35" s="115">
        <v>34</v>
      </c>
      <c r="C35" s="115">
        <v>4.01</v>
      </c>
      <c r="D35" s="117" t="s">
        <v>155</v>
      </c>
      <c r="E35" s="119">
        <f>'2018'!I249</f>
        <v>434</v>
      </c>
      <c r="F35" s="119">
        <f>'2018'!J249</f>
        <v>0</v>
      </c>
      <c r="G35" s="119">
        <f>'2018'!M249</f>
        <v>434</v>
      </c>
      <c r="H35" s="119">
        <f>'2018'!N249</f>
        <v>0</v>
      </c>
      <c r="I35" s="119">
        <f>'2018'!Q249</f>
        <v>434</v>
      </c>
      <c r="J35" s="119">
        <f>'2018'!R249</f>
        <v>0</v>
      </c>
      <c r="K35" s="119">
        <f>'2018'!U249</f>
        <v>434</v>
      </c>
      <c r="L35" s="119">
        <f>'2018'!V249</f>
        <v>0</v>
      </c>
      <c r="M35" s="119">
        <f>'2018'!Y249</f>
        <v>437</v>
      </c>
      <c r="N35" s="119">
        <f>'2018'!Z249</f>
        <v>3</v>
      </c>
      <c r="O35" s="119">
        <f>'2018'!AC249</f>
        <v>518</v>
      </c>
      <c r="P35" s="119">
        <f>'2018'!AD249</f>
        <v>81</v>
      </c>
      <c r="Q35" s="119">
        <f>'2018'!AG249</f>
        <v>612</v>
      </c>
      <c r="R35" s="119">
        <f>'2018'!AH249</f>
        <v>94</v>
      </c>
      <c r="S35" s="119">
        <f>'2018'!AK249</f>
        <v>712</v>
      </c>
      <c r="T35" s="119">
        <f>'2018'!AL249</f>
        <v>100</v>
      </c>
      <c r="U35" s="119">
        <f>'2018'!AO249</f>
        <v>734</v>
      </c>
      <c r="V35" s="119">
        <f>'2018'!AP249</f>
        <v>22</v>
      </c>
      <c r="W35" s="119">
        <f>'2018'!AS249</f>
        <v>743</v>
      </c>
      <c r="X35" s="119">
        <f>'2018'!AT249</f>
        <v>9</v>
      </c>
      <c r="Y35" s="119">
        <f>'2018'!AW249</f>
        <v>743</v>
      </c>
      <c r="Z35" s="119">
        <f>'2018'!AX249</f>
        <v>0</v>
      </c>
      <c r="AA35" s="119"/>
      <c r="AB35" s="119">
        <f>'2018'!BA249</f>
        <v>743</v>
      </c>
      <c r="AC35" s="119">
        <f>'2018'!BB249</f>
        <v>0</v>
      </c>
      <c r="AD35" s="119"/>
      <c r="AE35" s="119">
        <f>'2018'!BE249</f>
        <v>309</v>
      </c>
      <c r="AF35" s="119">
        <f t="shared" si="0"/>
      </c>
    </row>
    <row r="36" ht="15.75" customHeight="1" spans="1:32" x14ac:dyDescent="0.25">
      <c r="A36" s="14"/>
      <c r="B36" s="115">
        <v>35</v>
      </c>
      <c r="C36" s="115">
        <v>4.01</v>
      </c>
      <c r="D36" s="117" t="s">
        <v>157</v>
      </c>
      <c r="E36" s="119">
        <f>'2018'!I257</f>
        <v>33</v>
      </c>
      <c r="F36" s="119">
        <f>'2018'!J257</f>
        <v>0</v>
      </c>
      <c r="G36" s="119">
        <f>'2018'!M257</f>
        <v>33</v>
      </c>
      <c r="H36" s="119">
        <f>'2018'!N257</f>
        <v>0</v>
      </c>
      <c r="I36" s="119">
        <f>'2018'!Q257</f>
        <v>33</v>
      </c>
      <c r="J36" s="119">
        <f>'2018'!R257</f>
        <v>0</v>
      </c>
      <c r="K36" s="119">
        <f>'2018'!U257</f>
        <v>33</v>
      </c>
      <c r="L36" s="119">
        <f>'2018'!V257</f>
        <v>0</v>
      </c>
      <c r="M36" s="119">
        <f>'2018'!Y257</f>
        <v>33</v>
      </c>
      <c r="N36" s="119">
        <f>'2018'!Z257</f>
        <v>0</v>
      </c>
      <c r="O36" s="119">
        <f>'2018'!AC257</f>
        <v>33</v>
      </c>
      <c r="P36" s="119">
        <f>'2018'!AD257</f>
        <v>0</v>
      </c>
      <c r="Q36" s="119">
        <f>'2018'!AG257</f>
        <v>33</v>
      </c>
      <c r="R36" s="119">
        <f>'2018'!AH257</f>
        <v>0</v>
      </c>
      <c r="S36" s="119">
        <f>'2018'!AK257</f>
        <v>33</v>
      </c>
      <c r="T36" s="119">
        <f>'2018'!AL257</f>
        <v>0</v>
      </c>
      <c r="U36" s="119">
        <f>'2018'!AO257</f>
        <v>33</v>
      </c>
      <c r="V36" s="119">
        <f>'2018'!AP257</f>
        <v>0</v>
      </c>
      <c r="W36" s="119">
        <f>'2018'!AS257</f>
        <v>33</v>
      </c>
      <c r="X36" s="119">
        <f>'2018'!AT257</f>
        <v>0</v>
      </c>
      <c r="Y36" s="119">
        <f>'2018'!AW257</f>
        <v>33</v>
      </c>
      <c r="Z36" s="119">
        <f>'2018'!AX257</f>
        <v>0</v>
      </c>
      <c r="AA36" s="119"/>
      <c r="AB36" s="119">
        <f>'2018'!BA257</f>
        <v>33</v>
      </c>
      <c r="AC36" s="119">
        <f>'2018'!BB257</f>
        <v>0</v>
      </c>
      <c r="AD36" s="119"/>
      <c r="AE36" s="119">
        <f>'2018'!BE257</f>
        <v>0</v>
      </c>
      <c r="AF36" s="119">
        <f t="shared" si="0"/>
      </c>
    </row>
    <row r="37" ht="15.75" customHeight="1" spans="1:32" x14ac:dyDescent="0.25">
      <c r="A37" s="14"/>
      <c r="B37" s="115">
        <v>36</v>
      </c>
      <c r="C37" s="115">
        <v>4.03</v>
      </c>
      <c r="D37" s="117" t="s">
        <v>160</v>
      </c>
      <c r="E37" s="119">
        <f>'2018'!I265</f>
        <v>186</v>
      </c>
      <c r="F37" s="119">
        <f>'2018'!J265</f>
        <v>0</v>
      </c>
      <c r="G37" s="119">
        <f>'2018'!M265</f>
        <v>186</v>
      </c>
      <c r="H37" s="119">
        <f>'2018'!N265</f>
        <v>0</v>
      </c>
      <c r="I37" s="119">
        <f>'2018'!Q265</f>
        <v>186</v>
      </c>
      <c r="J37" s="119">
        <f>'2018'!R265</f>
        <v>0</v>
      </c>
      <c r="K37" s="119">
        <f>'2018'!U265</f>
        <v>188</v>
      </c>
      <c r="L37" s="119">
        <f>'2018'!V265</f>
        <v>2</v>
      </c>
      <c r="M37" s="119">
        <f>'2018'!Y265</f>
        <v>193</v>
      </c>
      <c r="N37" s="119">
        <f>'2018'!Z265</f>
        <v>5</v>
      </c>
      <c r="O37" s="119">
        <f>'2018'!AC265</f>
        <v>203</v>
      </c>
      <c r="P37" s="119">
        <f>'2018'!AD265</f>
        <v>10</v>
      </c>
      <c r="Q37" s="119">
        <f>'2018'!AG265</f>
        <v>213</v>
      </c>
      <c r="R37" s="119">
        <f>'2018'!AH265</f>
        <v>10</v>
      </c>
      <c r="S37" s="119">
        <f>'2018'!AK265</f>
        <v>222</v>
      </c>
      <c r="T37" s="119">
        <f>'2018'!AL265</f>
        <v>9</v>
      </c>
      <c r="U37" s="119">
        <f>'2018'!AO265</f>
        <v>235</v>
      </c>
      <c r="V37" s="119">
        <f>'2018'!AP265</f>
        <v>13</v>
      </c>
      <c r="W37" s="119">
        <f>'2018'!AS265</f>
        <v>251</v>
      </c>
      <c r="X37" s="119">
        <f>'2018'!AT265</f>
        <v>16</v>
      </c>
      <c r="Y37" s="119">
        <f>'2018'!AW265</f>
        <v>251</v>
      </c>
      <c r="Z37" s="119">
        <f>'2018'!AX265</f>
        <v>0</v>
      </c>
      <c r="AA37" s="119"/>
      <c r="AB37" s="119">
        <f>'2018'!BA265</f>
        <v>251</v>
      </c>
      <c r="AC37" s="119">
        <f>'2018'!BB265</f>
        <v>0</v>
      </c>
      <c r="AD37" s="119"/>
      <c r="AE37" s="119">
        <f>'2018'!BE265</f>
        <v>65</v>
      </c>
      <c r="AF37" s="119">
        <f t="shared" si="0"/>
      </c>
    </row>
    <row r="38" ht="15.75" customHeight="1" spans="1:32" x14ac:dyDescent="0.25">
      <c r="A38" s="14"/>
      <c r="B38" s="115">
        <v>37</v>
      </c>
      <c r="C38" s="115">
        <v>4.06</v>
      </c>
      <c r="D38" s="117" t="s">
        <v>162</v>
      </c>
      <c r="E38" s="119">
        <f>'2018'!I273</f>
      </c>
      <c r="F38" s="119">
        <f>'2018'!J273</f>
      </c>
      <c r="G38" s="119">
        <f>'2018'!M273</f>
      </c>
      <c r="H38" s="119">
        <f>'2018'!N273</f>
      </c>
      <c r="I38" s="119">
        <f>'2018'!Q273</f>
      </c>
      <c r="J38" s="119">
        <f>'2018'!R273</f>
      </c>
      <c r="K38" s="119">
        <f>'2018'!U273</f>
      </c>
      <c r="L38" s="119">
        <f>'2018'!V273</f>
      </c>
      <c r="M38" s="119">
        <f>'2018'!Y273</f>
      </c>
      <c r="N38" s="119">
        <f>'2018'!Z273</f>
        <v>0</v>
      </c>
      <c r="O38" s="119">
        <f>'2018'!AC273</f>
      </c>
      <c r="P38" s="119">
        <f>'2018'!AD273</f>
        <v>0</v>
      </c>
      <c r="Q38" s="119">
        <f>'2018'!AG273</f>
      </c>
      <c r="R38" s="119">
        <f>'2018'!AH273</f>
        <v>0</v>
      </c>
      <c r="S38" s="119">
        <f>'2018'!AK273</f>
      </c>
      <c r="T38" s="119">
        <f>'2018'!AL273</f>
        <v>0</v>
      </c>
      <c r="U38" s="119">
        <f>'2018'!AO273</f>
      </c>
      <c r="V38" s="119">
        <f>'2018'!AP273</f>
      </c>
      <c r="W38" s="119">
        <f>'2018'!AS273</f>
      </c>
      <c r="X38" s="119">
        <f>'2018'!AT273</f>
      </c>
      <c r="Y38" s="119">
        <f>'2018'!AW273</f>
      </c>
      <c r="Z38" s="119">
        <f>'2018'!AX273</f>
      </c>
      <c r="AA38" s="119"/>
      <c r="AB38" s="119">
        <f>'2018'!BA273</f>
      </c>
      <c r="AC38" s="119">
        <f>'2018'!BB273</f>
      </c>
      <c r="AD38" s="119"/>
      <c r="AE38" s="119">
        <f>'2018'!BE273</f>
        <v>0</v>
      </c>
      <c r="AF38" s="119">
        <f t="shared" si="0"/>
      </c>
    </row>
    <row r="39" ht="15.75" customHeight="1" spans="1:32" x14ac:dyDescent="0.25">
      <c r="A39" s="14"/>
      <c r="B39" s="115">
        <v>38</v>
      </c>
      <c r="C39" s="115">
        <v>4.34</v>
      </c>
      <c r="D39" s="117" t="s">
        <v>167</v>
      </c>
      <c r="E39" s="119">
        <f>'2018'!I281</f>
        <v>17</v>
      </c>
      <c r="F39" s="119">
        <f>'2018'!J281</f>
        <v>0</v>
      </c>
      <c r="G39" s="119">
        <f>'2018'!M281</f>
        <v>17</v>
      </c>
      <c r="H39" s="119">
        <f>'2018'!N281</f>
        <v>0</v>
      </c>
      <c r="I39" s="119">
        <f>'2018'!Q281</f>
        <v>17</v>
      </c>
      <c r="J39" s="119">
        <f>'2018'!R281</f>
        <v>0</v>
      </c>
      <c r="K39" s="119">
        <f>'2018'!U281</f>
        <v>17</v>
      </c>
      <c r="L39" s="119">
        <f>'2018'!V281</f>
        <v>0</v>
      </c>
      <c r="M39" s="119">
        <f>'2018'!Y281</f>
        <v>17</v>
      </c>
      <c r="N39" s="119">
        <f>'2018'!Z281</f>
        <v>0</v>
      </c>
      <c r="O39" s="119">
        <f>'2018'!AC281</f>
        <v>17</v>
      </c>
      <c r="P39" s="119">
        <f>'2018'!AD281</f>
        <v>0</v>
      </c>
      <c r="Q39" s="119">
        <f>'2018'!AG281</f>
        <v>17</v>
      </c>
      <c r="R39" s="119">
        <f>'2018'!AH281</f>
        <v>0</v>
      </c>
      <c r="S39" s="119">
        <f>'2018'!AK281</f>
        <v>17</v>
      </c>
      <c r="T39" s="119">
        <f>'2018'!AL281</f>
        <v>0</v>
      </c>
      <c r="U39" s="119">
        <f>'2018'!AO281</f>
        <v>17</v>
      </c>
      <c r="V39" s="119">
        <f>'2018'!AP281</f>
        <v>0</v>
      </c>
      <c r="W39" s="119">
        <f>'2018'!AS281</f>
        <v>17</v>
      </c>
      <c r="X39" s="119">
        <f>'2018'!AT281</f>
        <v>0</v>
      </c>
      <c r="Y39" s="119">
        <f>'2018'!AW281</f>
        <v>17</v>
      </c>
      <c r="Z39" s="119">
        <f>'2018'!AX281</f>
        <v>0</v>
      </c>
      <c r="AA39" s="119"/>
      <c r="AB39" s="119">
        <f>'2018'!BA281</f>
        <v>17</v>
      </c>
      <c r="AC39" s="119">
        <f>'2018'!BB281</f>
        <v>0</v>
      </c>
      <c r="AD39" s="119"/>
      <c r="AE39" s="119">
        <f>'2018'!BE281</f>
        <v>0</v>
      </c>
      <c r="AF39" s="119">
        <f t="shared" si="0"/>
      </c>
    </row>
    <row r="40" ht="15.75" customHeight="1" spans="1:32" x14ac:dyDescent="0.25">
      <c r="A40" s="21"/>
      <c r="B40" s="115">
        <v>39</v>
      </c>
      <c r="C40" s="116">
        <v>4</v>
      </c>
      <c r="D40" s="117" t="s">
        <v>169</v>
      </c>
      <c r="E40" s="119">
        <f>'2018'!I289</f>
      </c>
      <c r="F40" s="119">
        <f>'2018'!J289</f>
      </c>
      <c r="G40" s="119">
        <f>'2018'!M289</f>
      </c>
      <c r="H40" s="119">
        <f>'2018'!N289</f>
      </c>
      <c r="I40" s="119">
        <f>'2018'!Q289</f>
      </c>
      <c r="J40" s="119">
        <f>'2018'!R289</f>
      </c>
      <c r="K40" s="119">
        <f>'2018'!U289</f>
      </c>
      <c r="L40" s="119">
        <f>'2018'!V289</f>
      </c>
      <c r="M40" s="119">
        <f>'2018'!Y289</f>
      </c>
      <c r="N40" s="119">
        <f>'2018'!Z289</f>
        <v>0</v>
      </c>
      <c r="O40" s="119">
        <f>'2018'!AC289</f>
      </c>
      <c r="P40" s="119">
        <f>'2018'!AD289</f>
        <v>0</v>
      </c>
      <c r="Q40" s="119">
        <f>'2018'!AG289</f>
      </c>
      <c r="R40" s="119">
        <f>'2018'!AH289</f>
        <v>0</v>
      </c>
      <c r="S40" s="119">
        <f>'2018'!AK289</f>
      </c>
      <c r="T40" s="119">
        <f>'2018'!AL289</f>
        <v>0</v>
      </c>
      <c r="U40" s="119">
        <f>'2018'!AO289</f>
      </c>
      <c r="V40" s="119">
        <f>'2018'!AP289</f>
      </c>
      <c r="W40" s="119">
        <f>'2018'!AS289</f>
      </c>
      <c r="X40" s="119">
        <f>'2018'!AT289</f>
      </c>
      <c r="Y40" s="119">
        <f>'2018'!AW289</f>
      </c>
      <c r="Z40" s="119">
        <f>'2018'!AX289</f>
      </c>
      <c r="AA40" s="119"/>
      <c r="AB40" s="119">
        <f>'2018'!BA289</f>
      </c>
      <c r="AC40" s="119">
        <f>'2018'!BB289</f>
      </c>
      <c r="AD40" s="119"/>
      <c r="AE40" s="119">
        <f>'2018'!BE289</f>
        <v>0</v>
      </c>
      <c r="AF40" s="119">
        <f t="shared" si="0"/>
      </c>
    </row>
    <row r="41" ht="15.75" customHeight="1" spans="1:32" x14ac:dyDescent="0.25">
      <c r="A41" s="114" t="s">
        <v>173</v>
      </c>
      <c r="B41" s="115">
        <v>40</v>
      </c>
      <c r="C41" s="115">
        <v>4.92</v>
      </c>
      <c r="D41" s="117" t="s">
        <v>174</v>
      </c>
      <c r="E41" s="119">
        <f>'2018'!I297</f>
        <v>16082</v>
      </c>
      <c r="F41" s="119">
        <f>'2018'!J297</f>
        <v>1688</v>
      </c>
      <c r="G41" s="119">
        <f>'2018'!M297</f>
        <v>17130</v>
      </c>
      <c r="H41" s="119">
        <f>'2018'!N297</f>
        <v>1048</v>
      </c>
      <c r="I41" s="119">
        <f>'2018'!Q297</f>
        <v>18046</v>
      </c>
      <c r="J41" s="119">
        <f>'2018'!R297</f>
        <v>916</v>
      </c>
      <c r="K41" s="119">
        <f>'2018'!U297</f>
        <v>19043</v>
      </c>
      <c r="L41" s="119">
        <f>'2018'!V297</f>
        <v>997</v>
      </c>
      <c r="M41" s="119">
        <f>'2018'!Y297</f>
        <v>19337</v>
      </c>
      <c r="N41" s="119">
        <f>'2018'!Z297</f>
        <v>294</v>
      </c>
      <c r="O41" s="119">
        <f>'2018'!AC297</f>
        <v>19624</v>
      </c>
      <c r="P41" s="119">
        <f>'2018'!AD297</f>
        <v>287</v>
      </c>
      <c r="Q41" s="119">
        <f>'2018'!AG297</f>
        <v>19815</v>
      </c>
      <c r="R41" s="119">
        <f>'2018'!AH297</f>
        <v>191</v>
      </c>
      <c r="S41" s="119">
        <f>'2018'!AK297</f>
        <v>20075</v>
      </c>
      <c r="T41" s="119">
        <f>'2018'!AL297</f>
        <v>260</v>
      </c>
      <c r="U41" s="119">
        <f>'2018'!AO297</f>
        <v>20471</v>
      </c>
      <c r="V41" s="119">
        <f>'2018'!AP297</f>
        <v>396</v>
      </c>
      <c r="W41" s="119">
        <f>'2018'!AS297</f>
        <v>20979</v>
      </c>
      <c r="X41" s="119">
        <f>'2018'!AT297</f>
        <v>508</v>
      </c>
      <c r="Y41" s="119">
        <f>'2018'!AW297</f>
        <v>21274</v>
      </c>
      <c r="Z41" s="119">
        <f>'2018'!AX297</f>
        <v>295</v>
      </c>
      <c r="AA41" s="119">
        <v>155</v>
      </c>
      <c r="AB41" s="119">
        <f>'2018'!BA297</f>
        <v>21986</v>
      </c>
      <c r="AC41" s="119">
        <f>'2018'!BB297</f>
        <v>712</v>
      </c>
      <c r="AD41" s="119"/>
      <c r="AE41" s="119">
        <f>'2018'!BE297</f>
        <v>7592</v>
      </c>
      <c r="AF41" s="119">
        <f t="shared" si="0"/>
        <v>155</v>
      </c>
    </row>
    <row r="42" ht="15.75" customHeight="1" spans="1:32" x14ac:dyDescent="0.25">
      <c r="A42" s="14"/>
      <c r="B42" s="115">
        <v>41</v>
      </c>
      <c r="C42" s="115">
        <v>4.87</v>
      </c>
      <c r="D42" s="117" t="s">
        <v>177</v>
      </c>
      <c r="E42" s="119">
        <f>'2018'!I305</f>
      </c>
      <c r="F42" s="119">
        <f>'2018'!J305</f>
      </c>
      <c r="G42" s="119">
        <f>'2018'!M305</f>
      </c>
      <c r="H42" s="119">
        <f>'2018'!N305</f>
      </c>
      <c r="I42" s="119">
        <f>'2018'!Q305</f>
      </c>
      <c r="J42" s="119">
        <f>'2018'!R305</f>
      </c>
      <c r="K42" s="119">
        <f>'2018'!U305</f>
        <v>2</v>
      </c>
      <c r="L42" s="119">
        <f>'2018'!V305</f>
        <v>0</v>
      </c>
      <c r="M42" s="119">
        <f>'2018'!Y305</f>
        <v>2</v>
      </c>
      <c r="N42" s="119">
        <f>'2018'!Z305</f>
        <v>0</v>
      </c>
      <c r="O42" s="119">
        <f>'2018'!AC305</f>
        <v>2</v>
      </c>
      <c r="P42" s="119">
        <f>'2018'!AD305</f>
        <v>0</v>
      </c>
      <c r="Q42" s="119">
        <f>'2018'!AG305</f>
        <v>3</v>
      </c>
      <c r="R42" s="119">
        <f>'2018'!AH305</f>
        <v>1</v>
      </c>
      <c r="S42" s="119">
        <f>'2018'!AK305</f>
        <v>4</v>
      </c>
      <c r="T42" s="119">
        <f>'2018'!AL305</f>
        <v>1</v>
      </c>
      <c r="U42" s="119">
        <f>'2018'!AO305</f>
        <v>17</v>
      </c>
      <c r="V42" s="119">
        <f>'2018'!AP305</f>
        <v>13</v>
      </c>
      <c r="W42" s="119">
        <f>'2018'!AS305</f>
        <v>88</v>
      </c>
      <c r="X42" s="119">
        <f>'2018'!AT305</f>
        <v>71</v>
      </c>
      <c r="Y42" s="119">
        <f>'2018'!AW305</f>
        <v>88</v>
      </c>
      <c r="Z42" s="119">
        <f>'2018'!AX305</f>
        <v>0</v>
      </c>
      <c r="AA42" s="119"/>
      <c r="AB42" s="119">
        <f>'2018'!BA305</f>
        <v>88</v>
      </c>
      <c r="AC42" s="119">
        <f>'2018'!BB305</f>
        <v>0</v>
      </c>
      <c r="AD42" s="119"/>
      <c r="AE42" s="119">
        <f>'2018'!BE305</f>
        <v>86</v>
      </c>
      <c r="AF42" s="119">
        <f t="shared" si="0"/>
      </c>
    </row>
    <row r="43" ht="15.75" customHeight="1" spans="1:32" x14ac:dyDescent="0.25">
      <c r="A43" s="14"/>
      <c r="B43" s="115">
        <v>42</v>
      </c>
      <c r="C43" s="116">
        <v>4.9</v>
      </c>
      <c r="D43" s="117" t="s">
        <v>360</v>
      </c>
      <c r="E43" s="119">
        <f>'2018'!I313</f>
      </c>
      <c r="F43" s="119">
        <f>'2018'!J313</f>
      </c>
      <c r="G43" s="119">
        <f>'2018'!M313</f>
      </c>
      <c r="H43" s="119">
        <f>'2018'!N313</f>
      </c>
      <c r="I43" s="119">
        <f>'2018'!Q313</f>
      </c>
      <c r="J43" s="119">
        <f>'2018'!R313</f>
      </c>
      <c r="K43" s="119">
        <f>'2018'!U313</f>
      </c>
      <c r="L43" s="119">
        <f>'2018'!V313</f>
      </c>
      <c r="M43" s="119">
        <f>'2018'!Y313</f>
      </c>
      <c r="N43" s="119">
        <f>'2018'!Z313</f>
        <v>0</v>
      </c>
      <c r="O43" s="119">
        <f>'2018'!AC313</f>
      </c>
      <c r="P43" s="119">
        <f>'2018'!AD313</f>
        <v>0</v>
      </c>
      <c r="Q43" s="119">
        <f>'2018'!AG313</f>
      </c>
      <c r="R43" s="119">
        <f>'2018'!AH313</f>
        <v>0</v>
      </c>
      <c r="S43" s="119">
        <f>'2018'!AK313</f>
      </c>
      <c r="T43" s="119">
        <f>'2018'!AL313</f>
        <v>0</v>
      </c>
      <c r="U43" s="119">
        <f>'2018'!AO313</f>
      </c>
      <c r="V43" s="119">
        <f>'2018'!AP313</f>
      </c>
      <c r="W43" s="119">
        <f>'2018'!AS313</f>
      </c>
      <c r="X43" s="119">
        <f>'2018'!AT313</f>
      </c>
      <c r="Y43" s="119">
        <f>'2018'!AW313</f>
      </c>
      <c r="Z43" s="119">
        <f>'2018'!AX313</f>
      </c>
      <c r="AA43" s="119"/>
      <c r="AB43" s="119">
        <f>'2018'!BA313</f>
      </c>
      <c r="AC43" s="119">
        <f>'2018'!BB313</f>
      </c>
      <c r="AD43" s="119"/>
      <c r="AE43" s="119">
        <f>'2018'!BE313</f>
        <v>0</v>
      </c>
      <c r="AF43" s="119">
        <f t="shared" si="0"/>
      </c>
    </row>
    <row r="44" ht="15.75" customHeight="1" spans="1:32" x14ac:dyDescent="0.25">
      <c r="A44" s="14"/>
      <c r="B44" s="115">
        <v>43</v>
      </c>
      <c r="C44" s="115">
        <v>4.96</v>
      </c>
      <c r="D44" s="117" t="s">
        <v>185</v>
      </c>
      <c r="E44" s="119">
        <f>'2018'!I321</f>
        <v>174</v>
      </c>
      <c r="F44" s="119">
        <f>'2018'!J321</f>
        <v>0</v>
      </c>
      <c r="G44" s="119">
        <f>'2018'!M321</f>
        <v>174</v>
      </c>
      <c r="H44" s="119">
        <f>'2018'!N321</f>
        <v>0</v>
      </c>
      <c r="I44" s="119">
        <f>'2018'!Q321</f>
        <v>174</v>
      </c>
      <c r="J44" s="119">
        <f>'2018'!R321</f>
        <v>0</v>
      </c>
      <c r="K44" s="119">
        <f>'2018'!U321</f>
        <v>187</v>
      </c>
      <c r="L44" s="119">
        <f>'2018'!V321</f>
        <v>13</v>
      </c>
      <c r="M44" s="119">
        <f>'2018'!Y321</f>
        <v>301</v>
      </c>
      <c r="N44" s="119">
        <f>'2018'!Z321</f>
        <v>114</v>
      </c>
      <c r="O44" s="119">
        <f>'2018'!AC321</f>
        <v>319</v>
      </c>
      <c r="P44" s="119">
        <f>'2018'!AD321</f>
        <v>18</v>
      </c>
      <c r="Q44" s="119">
        <f>'2018'!AG321</f>
        <v>335</v>
      </c>
      <c r="R44" s="119">
        <f>'2018'!AH321</f>
        <v>16</v>
      </c>
      <c r="S44" s="119">
        <f>'2018'!AK321</f>
        <v>341</v>
      </c>
      <c r="T44" s="119">
        <f>'2018'!AL321</f>
        <v>6</v>
      </c>
      <c r="U44" s="119">
        <f>'2018'!AO321</f>
        <v>347</v>
      </c>
      <c r="V44" s="119">
        <f>'2018'!AP321</f>
        <v>6</v>
      </c>
      <c r="W44" s="119">
        <f>'2018'!AS321</f>
        <v>358</v>
      </c>
      <c r="X44" s="119">
        <f>'2018'!AT321</f>
        <v>11</v>
      </c>
      <c r="Y44" s="119">
        <f>'2018'!AW321</f>
        <v>358</v>
      </c>
      <c r="Z44" s="119">
        <f>'2018'!AX321</f>
        <v>0</v>
      </c>
      <c r="AA44" s="119"/>
      <c r="AB44" s="119">
        <f>'2018'!BA321</f>
        <v>358</v>
      </c>
      <c r="AC44" s="119">
        <f>'2018'!BB321</f>
        <v>0</v>
      </c>
      <c r="AD44" s="119"/>
      <c r="AE44" s="119">
        <f>'2018'!BE321</f>
        <v>184</v>
      </c>
      <c r="AF44" s="119">
        <f t="shared" si="0"/>
      </c>
    </row>
    <row r="45" ht="15.75" customHeight="1" spans="1:32" x14ac:dyDescent="0.25">
      <c r="A45" s="14"/>
      <c r="B45" s="115">
        <v>44</v>
      </c>
      <c r="C45" s="115">
        <v>4.01</v>
      </c>
      <c r="D45" s="117" t="s">
        <v>188</v>
      </c>
      <c r="E45" s="119">
        <f>'2018'!I329</f>
      </c>
      <c r="F45" s="119">
        <f>'2018'!J329</f>
      </c>
      <c r="G45" s="119">
        <f>'2018'!M329</f>
      </c>
      <c r="H45" s="119">
        <f>'2018'!N329</f>
      </c>
      <c r="I45" s="119">
        <f>'2018'!Q329</f>
      </c>
      <c r="J45" s="119">
        <f>'2018'!R329</f>
      </c>
      <c r="K45" s="119">
        <f>'2018'!U329</f>
      </c>
      <c r="L45" s="119">
        <f>'2018'!V329</f>
      </c>
      <c r="M45" s="119">
        <f>'2018'!Y329</f>
      </c>
      <c r="N45" s="119">
        <f>'2018'!Z329</f>
        <v>0</v>
      </c>
      <c r="O45" s="119">
        <f>'2018'!AC329</f>
      </c>
      <c r="P45" s="119">
        <f>'2018'!AD329</f>
        <v>0</v>
      </c>
      <c r="Q45" s="119">
        <f>'2018'!AG329</f>
      </c>
      <c r="R45" s="119">
        <f>'2018'!AH329</f>
        <v>0</v>
      </c>
      <c r="S45" s="119">
        <f>'2018'!AK329</f>
      </c>
      <c r="T45" s="119">
        <f>'2018'!AL329</f>
        <v>0</v>
      </c>
      <c r="U45" s="119">
        <f>'2018'!AO329</f>
      </c>
      <c r="V45" s="119">
        <f>'2018'!AP329</f>
      </c>
      <c r="W45" s="119">
        <f>'2018'!AS329</f>
      </c>
      <c r="X45" s="119">
        <f>'2018'!AT329</f>
      </c>
      <c r="Y45" s="119">
        <f>'2018'!AW329</f>
      </c>
      <c r="Z45" s="119">
        <f>'2018'!AX329</f>
      </c>
      <c r="AA45" s="119"/>
      <c r="AB45" s="119">
        <f>'2018'!BA329</f>
      </c>
      <c r="AC45" s="119">
        <f>'2018'!BB329</f>
      </c>
      <c r="AD45" s="119"/>
      <c r="AE45" s="119">
        <f>'2018'!BE329</f>
        <v>0</v>
      </c>
      <c r="AF45" s="119">
        <f t="shared" si="0"/>
      </c>
    </row>
    <row r="46" ht="15.75" customHeight="1" spans="1:32" x14ac:dyDescent="0.25">
      <c r="A46" s="14"/>
      <c r="B46" s="115">
        <v>45</v>
      </c>
      <c r="C46" s="115">
        <v>5.04</v>
      </c>
      <c r="D46" s="117" t="s">
        <v>189</v>
      </c>
      <c r="E46" s="119">
        <f>'2018'!I337</f>
        <v>12</v>
      </c>
      <c r="F46" s="119">
        <f>'2018'!J337</f>
        <v>0</v>
      </c>
      <c r="G46" s="119">
        <f>'2018'!M337</f>
        <v>12</v>
      </c>
      <c r="H46" s="119">
        <f>'2018'!N337</f>
        <v>0</v>
      </c>
      <c r="I46" s="119">
        <f>'2018'!Q337</f>
        <v>12</v>
      </c>
      <c r="J46" s="119">
        <f>'2018'!R337</f>
        <v>0</v>
      </c>
      <c r="K46" s="119">
        <f>'2018'!U337</f>
        <v>12</v>
      </c>
      <c r="L46" s="119">
        <f>'2018'!V337</f>
        <v>0</v>
      </c>
      <c r="M46" s="119">
        <f>'2018'!Y337</f>
        <v>12</v>
      </c>
      <c r="N46" s="119">
        <f>'2018'!Z337</f>
        <v>0</v>
      </c>
      <c r="O46" s="119">
        <f>'2018'!AC337</f>
        <v>12</v>
      </c>
      <c r="P46" s="119">
        <f>'2018'!AD337</f>
        <v>0</v>
      </c>
      <c r="Q46" s="119">
        <f>'2018'!AG337</f>
        <v>12</v>
      </c>
      <c r="R46" s="119">
        <f>'2018'!AH337</f>
        <v>0</v>
      </c>
      <c r="S46" s="119">
        <f>'2018'!AK337</f>
        <v>12</v>
      </c>
      <c r="T46" s="119">
        <f>'2018'!AL337</f>
        <v>0</v>
      </c>
      <c r="U46" s="119">
        <f>'2018'!AO337</f>
        <v>12</v>
      </c>
      <c r="V46" s="119">
        <f>'2018'!AP337</f>
        <v>0</v>
      </c>
      <c r="W46" s="119">
        <f>'2018'!AS337</f>
        <v>12</v>
      </c>
      <c r="X46" s="119">
        <f>'2018'!AT337</f>
        <v>0</v>
      </c>
      <c r="Y46" s="119">
        <f>'2018'!AW337</f>
        <v>12</v>
      </c>
      <c r="Z46" s="119">
        <f>'2018'!AX337</f>
        <v>0</v>
      </c>
      <c r="AA46" s="119"/>
      <c r="AB46" s="119">
        <f>'2018'!BA337</f>
        <v>12</v>
      </c>
      <c r="AC46" s="119">
        <f>'2018'!BB337</f>
        <v>0</v>
      </c>
      <c r="AD46" s="119"/>
      <c r="AE46" s="119">
        <f>'2018'!BE337</f>
        <v>0</v>
      </c>
      <c r="AF46" s="119">
        <f t="shared" si="0"/>
      </c>
    </row>
    <row r="47" ht="15.75" customHeight="1" spans="1:32" x14ac:dyDescent="0.25">
      <c r="A47" s="14"/>
      <c r="B47" s="115">
        <v>46</v>
      </c>
      <c r="C47" s="116">
        <v>4</v>
      </c>
      <c r="D47" s="117" t="s">
        <v>188</v>
      </c>
      <c r="E47" s="119">
        <f>'2018'!I345</f>
        <v>1506</v>
      </c>
      <c r="F47" s="119">
        <f>'2018'!J345</f>
        <v>0</v>
      </c>
      <c r="G47" s="119">
        <f>'2018'!M345</f>
        <v>1506</v>
      </c>
      <c r="H47" s="119">
        <f>'2018'!N345</f>
        <v>0</v>
      </c>
      <c r="I47" s="119">
        <f>'2018'!Q345</f>
        <v>1506</v>
      </c>
      <c r="J47" s="119">
        <f>'2018'!R345</f>
        <v>0</v>
      </c>
      <c r="K47" s="119">
        <f>'2018'!U345</f>
        <v>1609</v>
      </c>
      <c r="L47" s="119">
        <f>'2018'!V345</f>
        <v>103</v>
      </c>
      <c r="M47" s="119">
        <f>'2018'!Y345</f>
        <v>1693</v>
      </c>
      <c r="N47" s="119">
        <f>'2018'!Z345</f>
        <v>84</v>
      </c>
      <c r="O47" s="119">
        <f>'2018'!AC345</f>
        <v>1804</v>
      </c>
      <c r="P47" s="119">
        <f>'2018'!AD345</f>
        <v>111</v>
      </c>
      <c r="Q47" s="119">
        <f>'2018'!AG345</f>
        <v>1915</v>
      </c>
      <c r="R47" s="119">
        <f>'2018'!AH345</f>
        <v>111</v>
      </c>
      <c r="S47" s="119">
        <f>'2018'!AK345</f>
        <v>2039</v>
      </c>
      <c r="T47" s="119">
        <f>'2018'!AL345</f>
        <v>124</v>
      </c>
      <c r="U47" s="119">
        <f>'2018'!AO345</f>
        <v>2163</v>
      </c>
      <c r="V47" s="119">
        <f>'2018'!AP345</f>
        <v>124</v>
      </c>
      <c r="W47" s="119">
        <f>'2018'!AS345</f>
        <v>2215</v>
      </c>
      <c r="X47" s="119">
        <f>'2018'!AT345</f>
        <v>52</v>
      </c>
      <c r="Y47" s="119">
        <f>'2018'!AW345</f>
        <v>2215</v>
      </c>
      <c r="Z47" s="119">
        <f>'2018'!AX345</f>
        <v>0</v>
      </c>
      <c r="AA47" s="119"/>
      <c r="AB47" s="119">
        <f>'2018'!BA345</f>
        <v>2215</v>
      </c>
      <c r="AC47" s="119">
        <f>'2018'!BB345</f>
        <v>0</v>
      </c>
      <c r="AD47" s="119"/>
      <c r="AE47" s="119">
        <f>'2018'!BE345</f>
        <v>709</v>
      </c>
      <c r="AF47" s="119">
        <f t="shared" si="0"/>
      </c>
    </row>
    <row r="48" ht="15.75" customHeight="1" spans="1:32" x14ac:dyDescent="0.25">
      <c r="A48" s="14"/>
      <c r="B48" s="115">
        <v>47</v>
      </c>
      <c r="C48" s="116">
        <v>5</v>
      </c>
      <c r="D48" s="117" t="s">
        <v>192</v>
      </c>
      <c r="E48" s="119">
        <f>'2018'!I353</f>
        <v>141</v>
      </c>
      <c r="F48" s="119">
        <f>'2018'!J353</f>
        <v>0</v>
      </c>
      <c r="G48" s="119">
        <f>'2018'!M353</f>
        <v>141</v>
      </c>
      <c r="H48" s="119">
        <f>'2018'!N353</f>
        <v>0</v>
      </c>
      <c r="I48" s="119">
        <f>'2018'!Q353</f>
        <v>141</v>
      </c>
      <c r="J48" s="119">
        <f>'2018'!R353</f>
        <v>0</v>
      </c>
      <c r="K48" s="119">
        <f>'2018'!U353</f>
        <v>142</v>
      </c>
      <c r="L48" s="119">
        <f>'2018'!V353</f>
        <v>1</v>
      </c>
      <c r="M48" s="119">
        <f>'2018'!Y353</f>
        <v>143</v>
      </c>
      <c r="N48" s="119">
        <f>'2018'!Z353</f>
        <v>1</v>
      </c>
      <c r="O48" s="119">
        <f>'2018'!AC353</f>
        <v>148</v>
      </c>
      <c r="P48" s="119">
        <f>'2018'!AD353</f>
        <v>5</v>
      </c>
      <c r="Q48" s="119">
        <f>'2018'!AG353</f>
        <v>152</v>
      </c>
      <c r="R48" s="119">
        <f>'2018'!AH353</f>
        <v>4</v>
      </c>
      <c r="S48" s="119">
        <f>'2018'!AK353</f>
        <v>160</v>
      </c>
      <c r="T48" s="119">
        <f>'2018'!AL353</f>
        <v>8</v>
      </c>
      <c r="U48" s="119">
        <f>'2018'!AO353</f>
        <v>165</v>
      </c>
      <c r="V48" s="119">
        <f>'2018'!AP353</f>
        <v>5</v>
      </c>
      <c r="W48" s="119">
        <f>'2018'!AS353</f>
        <v>165</v>
      </c>
      <c r="X48" s="119">
        <f>'2018'!AT353</f>
        <v>0</v>
      </c>
      <c r="Y48" s="119">
        <f>'2018'!AW353</f>
        <v>165</v>
      </c>
      <c r="Z48" s="119">
        <f>'2018'!AX353</f>
        <v>0</v>
      </c>
      <c r="AA48" s="119"/>
      <c r="AB48" s="119">
        <f>'2018'!BA353</f>
        <v>165</v>
      </c>
      <c r="AC48" s="119">
        <f>'2018'!BB353</f>
        <v>0</v>
      </c>
      <c r="AD48" s="119"/>
      <c r="AE48" s="119">
        <f>'2018'!BE353</f>
        <v>24</v>
      </c>
      <c r="AF48" s="119">
        <f t="shared" si="0"/>
      </c>
    </row>
    <row r="49" ht="15.75" customHeight="1" spans="1:32" x14ac:dyDescent="0.25">
      <c r="A49" s="14"/>
      <c r="B49" s="115">
        <v>48</v>
      </c>
      <c r="C49" s="115">
        <v>5.93</v>
      </c>
      <c r="D49" s="117" t="s">
        <v>97</v>
      </c>
      <c r="E49" s="119">
        <f>'2018'!I361</f>
      </c>
      <c r="F49" s="119">
        <f>'2018'!J361</f>
      </c>
      <c r="G49" s="119">
        <f>'2018'!M361</f>
      </c>
      <c r="H49" s="119">
        <f>'2018'!N361</f>
      </c>
      <c r="I49" s="119">
        <f>'2018'!Q361</f>
      </c>
      <c r="J49" s="119">
        <f>'2018'!R361</f>
      </c>
      <c r="K49" s="119">
        <f>'2018'!U361</f>
      </c>
      <c r="L49" s="119">
        <f>'2018'!V361</f>
      </c>
      <c r="M49" s="119">
        <f>'2018'!Y361</f>
      </c>
      <c r="N49" s="119">
        <f>'2018'!Z361</f>
        <v>0</v>
      </c>
      <c r="O49" s="119">
        <f>'2018'!AC361</f>
      </c>
      <c r="P49" s="119">
        <f>'2018'!AD361</f>
        <v>0</v>
      </c>
      <c r="Q49" s="119">
        <f>'2018'!AG361</f>
      </c>
      <c r="R49" s="119">
        <f>'2018'!AH361</f>
        <v>0</v>
      </c>
      <c r="S49" s="119">
        <f>'2018'!AK361</f>
      </c>
      <c r="T49" s="119">
        <f>'2018'!AL361</f>
        <v>0</v>
      </c>
      <c r="U49" s="119">
        <f>'2018'!AO361</f>
      </c>
      <c r="V49" s="119">
        <f>'2018'!AP361</f>
      </c>
      <c r="W49" s="119">
        <f>'2018'!AS361</f>
      </c>
      <c r="X49" s="119">
        <f>'2018'!AT361</f>
      </c>
      <c r="Y49" s="119">
        <f>'2018'!AW361</f>
      </c>
      <c r="Z49" s="119">
        <f>'2018'!AX361</f>
      </c>
      <c r="AA49" s="119"/>
      <c r="AB49" s="119">
        <f>'2018'!BA361</f>
      </c>
      <c r="AC49" s="119">
        <f>'2018'!BB361</f>
      </c>
      <c r="AD49" s="119"/>
      <c r="AE49" s="119">
        <f>'2018'!BE361</f>
        <v>0</v>
      </c>
      <c r="AF49" s="119">
        <f t="shared" si="0"/>
      </c>
    </row>
    <row r="50" ht="15.75" customHeight="1" spans="1:32" x14ac:dyDescent="0.25">
      <c r="A50" s="14"/>
      <c r="B50" s="115">
        <v>49</v>
      </c>
      <c r="C50" s="115">
        <v>5.03</v>
      </c>
      <c r="D50" s="117" t="s">
        <v>197</v>
      </c>
      <c r="E50" s="119">
        <f>'2018'!I369</f>
      </c>
      <c r="F50" s="119">
        <f>'2018'!J369</f>
      </c>
      <c r="G50" s="119">
        <f>'2018'!M369</f>
      </c>
      <c r="H50" s="119">
        <f>'2018'!N369</f>
      </c>
      <c r="I50" s="119">
        <f>'2018'!Q369</f>
      </c>
      <c r="J50" s="119">
        <f>'2018'!R369</f>
      </c>
      <c r="K50" s="119">
        <f>'2018'!U369</f>
      </c>
      <c r="L50" s="119">
        <f>'2018'!V369</f>
      </c>
      <c r="M50" s="119">
        <f>'2018'!Y369</f>
      </c>
      <c r="N50" s="119">
        <f>'2018'!Z369</f>
        <v>0</v>
      </c>
      <c r="O50" s="119">
        <f>'2018'!AC369</f>
      </c>
      <c r="P50" s="119">
        <f>'2018'!AD369</f>
        <v>0</v>
      </c>
      <c r="Q50" s="119">
        <f>'2018'!AG369</f>
      </c>
      <c r="R50" s="119">
        <f>'2018'!AH369</f>
        <v>0</v>
      </c>
      <c r="S50" s="119">
        <f>'2018'!AK369</f>
      </c>
      <c r="T50" s="119">
        <f>'2018'!AL369</f>
        <v>0</v>
      </c>
      <c r="U50" s="119">
        <f>'2018'!AO369</f>
      </c>
      <c r="V50" s="119">
        <f>'2018'!AP369</f>
      </c>
      <c r="W50" s="119">
        <f>'2018'!AS369</f>
      </c>
      <c r="X50" s="119">
        <f>'2018'!AT369</f>
      </c>
      <c r="Y50" s="119">
        <f>'2018'!AW369</f>
      </c>
      <c r="Z50" s="119">
        <f>'2018'!AX369</f>
      </c>
      <c r="AA50" s="119"/>
      <c r="AB50" s="119">
        <f>'2018'!BA369</f>
      </c>
      <c r="AC50" s="119">
        <f>'2018'!BB369</f>
      </c>
      <c r="AD50" s="119"/>
      <c r="AE50" s="119">
        <f>'2018'!BE369</f>
        <v>0</v>
      </c>
      <c r="AF50" s="119">
        <f t="shared" si="0"/>
      </c>
    </row>
    <row r="51" ht="15.75" customHeight="1" spans="1:32" x14ac:dyDescent="0.25">
      <c r="A51" s="14"/>
      <c r="B51" s="115">
        <v>50</v>
      </c>
      <c r="C51" s="115">
        <v>6.05</v>
      </c>
      <c r="D51" s="117" t="s">
        <v>361</v>
      </c>
      <c r="E51" s="119">
        <f>'2018'!I377</f>
        <v>681</v>
      </c>
      <c r="F51" s="119">
        <f>'2018'!J377</f>
        <v>0</v>
      </c>
      <c r="G51" s="119">
        <f>'2018'!M377</f>
        <v>681</v>
      </c>
      <c r="H51" s="119">
        <f>'2018'!N377</f>
        <v>0</v>
      </c>
      <c r="I51" s="119">
        <f>'2018'!Q377</f>
        <v>681</v>
      </c>
      <c r="J51" s="119">
        <f>'2018'!R377</f>
        <v>0</v>
      </c>
      <c r="K51" s="119">
        <f>'2018'!U377</f>
        <v>681</v>
      </c>
      <c r="L51" s="119">
        <f>'2018'!V377</f>
        <v>0</v>
      </c>
      <c r="M51" s="119">
        <f>'2018'!Y377</f>
        <v>686</v>
      </c>
      <c r="N51" s="119">
        <f>'2018'!Z377</f>
        <v>5</v>
      </c>
      <c r="O51" s="119">
        <f>'2018'!AC377</f>
        <v>868</v>
      </c>
      <c r="P51" s="119">
        <f>'2018'!AD377</f>
        <v>182</v>
      </c>
      <c r="Q51" s="119">
        <f>'2018'!AG377</f>
        <v>939</v>
      </c>
      <c r="R51" s="119">
        <f>'2018'!AH377</f>
        <v>71</v>
      </c>
      <c r="S51" s="119">
        <f>'2018'!AK377</f>
        <v>1002</v>
      </c>
      <c r="T51" s="119">
        <f>'2018'!AL377</f>
        <v>63</v>
      </c>
      <c r="U51" s="119">
        <f>'2018'!AO377</f>
        <v>1209</v>
      </c>
      <c r="V51" s="119">
        <f>'2018'!AP377</f>
        <v>207</v>
      </c>
      <c r="W51" s="119">
        <f>'2018'!AS377</f>
        <v>1387</v>
      </c>
      <c r="X51" s="119">
        <f>'2018'!AT377</f>
        <v>178</v>
      </c>
      <c r="Y51" s="119">
        <f>'2018'!AW377</f>
        <v>1387</v>
      </c>
      <c r="Z51" s="119">
        <f>'2018'!AX377</f>
        <v>0</v>
      </c>
      <c r="AA51" s="119"/>
      <c r="AB51" s="119">
        <f>'2018'!BA377</f>
        <v>1387</v>
      </c>
      <c r="AC51" s="119">
        <f>'2018'!BB377</f>
        <v>0</v>
      </c>
      <c r="AD51" s="119"/>
      <c r="AE51" s="119">
        <f>'2018'!BE377</f>
        <v>706</v>
      </c>
      <c r="AF51" s="119">
        <f t="shared" si="0"/>
      </c>
    </row>
    <row r="52" ht="15.75" customHeight="1" spans="1:32" x14ac:dyDescent="0.25">
      <c r="A52" s="14"/>
      <c r="B52" s="115">
        <v>51</v>
      </c>
      <c r="C52" s="115">
        <v>4.95</v>
      </c>
      <c r="D52" s="117" t="s">
        <v>204</v>
      </c>
      <c r="E52" s="119">
        <f>'2018'!I385</f>
      </c>
      <c r="F52" s="119">
        <f>'2018'!J385</f>
      </c>
      <c r="G52" s="119">
        <f>'2018'!M385</f>
      </c>
      <c r="H52" s="119">
        <f>'2018'!N385</f>
      </c>
      <c r="I52" s="119">
        <f>'2018'!Q385</f>
      </c>
      <c r="J52" s="119">
        <f>'2018'!R385</f>
      </c>
      <c r="K52" s="119">
        <f>'2018'!U385</f>
      </c>
      <c r="L52" s="119">
        <f>'2018'!V385</f>
      </c>
      <c r="M52" s="119">
        <f>'2018'!Y385</f>
      </c>
      <c r="N52" s="119">
        <f>'2018'!Z385</f>
        <v>0</v>
      </c>
      <c r="O52" s="119">
        <f>'2018'!AC385</f>
      </c>
      <c r="P52" s="119">
        <f>'2018'!AD385</f>
        <v>0</v>
      </c>
      <c r="Q52" s="119">
        <f>'2018'!AG385</f>
      </c>
      <c r="R52" s="119">
        <f>'2018'!AH385</f>
        <v>0</v>
      </c>
      <c r="S52" s="119">
        <f>'2018'!AK385</f>
      </c>
      <c r="T52" s="119">
        <f>'2018'!AL385</f>
        <v>0</v>
      </c>
      <c r="U52" s="119">
        <f>'2018'!AO385</f>
      </c>
      <c r="V52" s="119">
        <f>'2018'!AP385</f>
      </c>
      <c r="W52" s="119">
        <f>'2018'!AS385</f>
      </c>
      <c r="X52" s="119">
        <f>'2018'!AT385</f>
      </c>
      <c r="Y52" s="119">
        <f>'2018'!AW385</f>
      </c>
      <c r="Z52" s="119">
        <f>'2018'!AX385</f>
      </c>
      <c r="AA52" s="119"/>
      <c r="AB52" s="119">
        <f>'2018'!BA385</f>
      </c>
      <c r="AC52" s="119">
        <f>'2018'!BB385</f>
      </c>
      <c r="AD52" s="119"/>
      <c r="AE52" s="119">
        <f>'2018'!BE385</f>
        <v>0</v>
      </c>
      <c r="AF52" s="119">
        <f t="shared" si="0"/>
      </c>
    </row>
    <row r="53" ht="15.75" customHeight="1" spans="1:32" x14ac:dyDescent="0.25">
      <c r="A53" s="14"/>
      <c r="B53" s="115">
        <v>52</v>
      </c>
      <c r="C53" s="116">
        <v>5</v>
      </c>
      <c r="D53" s="117" t="s">
        <v>206</v>
      </c>
      <c r="E53" s="119">
        <f>'2018'!I393</f>
        <v>44</v>
      </c>
      <c r="F53" s="119">
        <f>'2018'!J393</f>
        <v>0</v>
      </c>
      <c r="G53" s="119">
        <f>'2018'!M393</f>
        <v>44</v>
      </c>
      <c r="H53" s="119">
        <f>'2018'!N393</f>
        <v>0</v>
      </c>
      <c r="I53" s="119">
        <f>'2018'!Q393</f>
        <v>44</v>
      </c>
      <c r="J53" s="119">
        <f>'2018'!R393</f>
        <v>0</v>
      </c>
      <c r="K53" s="119">
        <f>'2018'!U393</f>
        <v>45</v>
      </c>
      <c r="L53" s="119">
        <f>'2018'!V393</f>
        <v>1</v>
      </c>
      <c r="M53" s="119">
        <f>'2018'!Y393</f>
        <v>47</v>
      </c>
      <c r="N53" s="119">
        <f>'2018'!Z393</f>
        <v>2</v>
      </c>
      <c r="O53" s="119">
        <f>'2018'!AC393</f>
        <v>52</v>
      </c>
      <c r="P53" s="119">
        <f>'2018'!AD393</f>
        <v>5</v>
      </c>
      <c r="Q53" s="119">
        <f>'2018'!AG393</f>
        <v>56</v>
      </c>
      <c r="R53" s="119">
        <f>'2018'!AH393</f>
        <v>4</v>
      </c>
      <c r="S53" s="119">
        <f>'2018'!AK393</f>
        <v>60</v>
      </c>
      <c r="T53" s="119">
        <f>'2018'!AL393</f>
        <v>4</v>
      </c>
      <c r="U53" s="119">
        <f>'2018'!AO393</f>
        <v>62</v>
      </c>
      <c r="V53" s="119">
        <f>'2018'!AP393</f>
        <v>2</v>
      </c>
      <c r="W53" s="119">
        <f>'2018'!AS393</f>
        <v>63</v>
      </c>
      <c r="X53" s="119">
        <f>'2018'!AT393</f>
        <v>1</v>
      </c>
      <c r="Y53" s="119">
        <f>'2018'!AW393</f>
        <v>63</v>
      </c>
      <c r="Z53" s="119">
        <f>'2018'!AX393</f>
        <v>0</v>
      </c>
      <c r="AA53" s="119"/>
      <c r="AB53" s="119">
        <f>'2018'!BA393</f>
        <v>63</v>
      </c>
      <c r="AC53" s="119">
        <f>'2018'!BB393</f>
        <v>0</v>
      </c>
      <c r="AD53" s="119"/>
      <c r="AE53" s="119">
        <f>'2018'!BE393</f>
        <v>19</v>
      </c>
      <c r="AF53" s="119">
        <f t="shared" si="0"/>
      </c>
    </row>
    <row r="54" ht="15.75" customHeight="1" spans="1:32" x14ac:dyDescent="0.25">
      <c r="A54" s="14"/>
      <c r="B54" s="115">
        <v>53</v>
      </c>
      <c r="C54" s="115">
        <v>5.05</v>
      </c>
      <c r="D54" s="117" t="s">
        <v>210</v>
      </c>
      <c r="E54" s="119">
        <f>'2018'!I401</f>
        <v>1832</v>
      </c>
      <c r="F54" s="119">
        <f>'2018'!J401</f>
        <v>107</v>
      </c>
      <c r="G54" s="119">
        <f>'2018'!M401</f>
        <v>2131</v>
      </c>
      <c r="H54" s="119">
        <f>'2018'!N401</f>
        <v>299</v>
      </c>
      <c r="I54" s="119">
        <f>'2018'!Q401</f>
        <v>2591</v>
      </c>
      <c r="J54" s="119">
        <f>'2018'!R401</f>
        <v>460</v>
      </c>
      <c r="K54" s="119">
        <f>'2018'!U401</f>
        <v>2864</v>
      </c>
      <c r="L54" s="119">
        <f>'2018'!V401</f>
        <v>273</v>
      </c>
      <c r="M54" s="119">
        <f>'2018'!Y401</f>
        <v>3031</v>
      </c>
      <c r="N54" s="119">
        <f>'2018'!Z401</f>
        <v>167</v>
      </c>
      <c r="O54" s="119">
        <f>'2018'!AC401</f>
        <v>3167</v>
      </c>
      <c r="P54" s="119">
        <f>'2018'!AD401</f>
        <v>136</v>
      </c>
      <c r="Q54" s="119">
        <f>'2018'!AG401</f>
        <v>3251</v>
      </c>
      <c r="R54" s="119">
        <f>'2018'!AH401</f>
        <v>84</v>
      </c>
      <c r="S54" s="119">
        <f>'2018'!AK401</f>
        <v>3435</v>
      </c>
      <c r="T54" s="119">
        <f>'2018'!AL401</f>
        <v>184</v>
      </c>
      <c r="U54" s="119">
        <f>'2018'!AO401</f>
        <v>3505</v>
      </c>
      <c r="V54" s="119">
        <f>'2018'!AP401</f>
        <v>70</v>
      </c>
      <c r="W54" s="119">
        <f>'2018'!AS401</f>
        <v>3617</v>
      </c>
      <c r="X54" s="119">
        <f>'2018'!AT401</f>
        <v>112</v>
      </c>
      <c r="Y54" s="119">
        <f>'2018'!AW401</f>
        <v>3617</v>
      </c>
      <c r="Z54" s="119">
        <f>'2018'!AX401</f>
        <v>0</v>
      </c>
      <c r="AA54" s="119">
        <v>155</v>
      </c>
      <c r="AB54" s="119">
        <f>'2018'!BA401</f>
        <v>4040</v>
      </c>
      <c r="AC54" s="119">
        <f>'2018'!BB401</f>
        <v>423</v>
      </c>
      <c r="AD54" s="119"/>
      <c r="AE54" s="119">
        <f>'2018'!BE401</f>
        <v>2315</v>
      </c>
      <c r="AF54" s="119">
        <f t="shared" si="0"/>
        <v>155</v>
      </c>
    </row>
    <row r="55" ht="15.75" customHeight="1" spans="1:32" x14ac:dyDescent="0.25">
      <c r="A55" s="14"/>
      <c r="B55" s="115">
        <v>54</v>
      </c>
      <c r="C55" s="115">
        <v>5.54</v>
      </c>
      <c r="D55" s="117" t="s">
        <v>212</v>
      </c>
      <c r="E55" s="119">
        <f>'2018'!I409</f>
        <v>156</v>
      </c>
      <c r="F55" s="119">
        <f>'2018'!J409</f>
        <v>0</v>
      </c>
      <c r="G55" s="119">
        <f>'2018'!M409</f>
        <v>156</v>
      </c>
      <c r="H55" s="119">
        <f>'2018'!N409</f>
        <v>0</v>
      </c>
      <c r="I55" s="119">
        <f>'2018'!Q409</f>
        <v>156</v>
      </c>
      <c r="J55" s="119">
        <f>'2018'!R409</f>
        <v>0</v>
      </c>
      <c r="K55" s="119">
        <f>'2018'!U409</f>
        <v>156</v>
      </c>
      <c r="L55" s="119">
        <f>'2018'!V409</f>
        <v>0</v>
      </c>
      <c r="M55" s="119">
        <f>'2018'!Y409</f>
        <v>156</v>
      </c>
      <c r="N55" s="119">
        <f>'2018'!Z409</f>
        <v>0</v>
      </c>
      <c r="O55" s="119">
        <f>'2018'!AC409</f>
        <v>162</v>
      </c>
      <c r="P55" s="119">
        <f>'2018'!AD409</f>
        <v>6</v>
      </c>
      <c r="Q55" s="119">
        <f>'2018'!AG409</f>
        <v>165</v>
      </c>
      <c r="R55" s="119">
        <f>'2018'!AH409</f>
        <v>3</v>
      </c>
      <c r="S55" s="119">
        <f>'2018'!AK409</f>
        <v>171</v>
      </c>
      <c r="T55" s="119">
        <f>'2018'!AL409</f>
        <v>6</v>
      </c>
      <c r="U55" s="119">
        <f>'2018'!AO409</f>
        <v>172</v>
      </c>
      <c r="V55" s="119">
        <f>'2018'!AP409</f>
        <v>1</v>
      </c>
      <c r="W55" s="119">
        <f>'2018'!AS409</f>
        <v>176</v>
      </c>
      <c r="X55" s="119">
        <f>'2018'!AT409</f>
        <v>4</v>
      </c>
      <c r="Y55" s="119">
        <f>'2018'!AW409</f>
        <v>176</v>
      </c>
      <c r="Z55" s="119">
        <f>'2018'!AX409</f>
        <v>0</v>
      </c>
      <c r="AA55" s="119"/>
      <c r="AB55" s="119">
        <f>'2018'!BA409</f>
        <v>176</v>
      </c>
      <c r="AC55" s="119">
        <f>'2018'!BB409</f>
        <v>0</v>
      </c>
      <c r="AD55" s="119"/>
      <c r="AE55" s="119">
        <f>'2018'!BE409</f>
        <v>20</v>
      </c>
      <c r="AF55" s="119">
        <f t="shared" si="0"/>
      </c>
    </row>
    <row r="56" ht="15.75" customHeight="1" spans="1:32" x14ac:dyDescent="0.25">
      <c r="A56" s="21"/>
      <c r="B56" s="115">
        <v>55</v>
      </c>
      <c r="C56" s="116">
        <v>5.5</v>
      </c>
      <c r="D56" s="117" t="s">
        <v>214</v>
      </c>
      <c r="E56" s="119">
        <f>'2018'!I417</f>
        <v>195</v>
      </c>
      <c r="F56" s="119">
        <f>'2018'!J417</f>
        <v>0</v>
      </c>
      <c r="G56" s="119">
        <f>'2018'!M417</f>
        <v>195</v>
      </c>
      <c r="H56" s="119">
        <f>'2018'!N417</f>
        <v>0</v>
      </c>
      <c r="I56" s="119">
        <f>'2018'!Q417</f>
        <v>195</v>
      </c>
      <c r="J56" s="119">
        <f>'2018'!R417</f>
        <v>0</v>
      </c>
      <c r="K56" s="119">
        <f>'2018'!U417</f>
        <v>195</v>
      </c>
      <c r="L56" s="119">
        <f>'2018'!V417</f>
        <v>0</v>
      </c>
      <c r="M56" s="119">
        <f>'2018'!Y417</f>
        <v>212</v>
      </c>
      <c r="N56" s="119">
        <f>'2018'!Z417</f>
        <v>17</v>
      </c>
      <c r="O56" s="119">
        <f>'2018'!AC417</f>
        <v>227</v>
      </c>
      <c r="P56" s="119">
        <f>'2018'!AD417</f>
        <v>15</v>
      </c>
      <c r="Q56" s="119">
        <f>'2018'!AG417</f>
        <v>230</v>
      </c>
      <c r="R56" s="119">
        <f>'2018'!AH417</f>
        <v>3</v>
      </c>
      <c r="S56" s="119">
        <f>'2018'!AK417</f>
        <v>241</v>
      </c>
      <c r="T56" s="119">
        <f>'2018'!AL417</f>
        <v>11</v>
      </c>
      <c r="U56" s="119">
        <f>'2018'!AO417</f>
        <v>249</v>
      </c>
      <c r="V56" s="119">
        <f>'2018'!AP417</f>
        <v>8</v>
      </c>
      <c r="W56" s="119">
        <f>'2018'!AS417</f>
        <v>267</v>
      </c>
      <c r="X56" s="119">
        <f>'2018'!AT417</f>
        <v>18</v>
      </c>
      <c r="Y56" s="119">
        <f>'2018'!AW417</f>
        <v>267</v>
      </c>
      <c r="Z56" s="119">
        <f>'2018'!AX417</f>
        <v>0</v>
      </c>
      <c r="AA56" s="119"/>
      <c r="AB56" s="119">
        <f>'2018'!BA417</f>
        <v>267</v>
      </c>
      <c r="AC56" s="119">
        <f>'2018'!BB417</f>
        <v>0</v>
      </c>
      <c r="AD56" s="119"/>
      <c r="AE56" s="119">
        <f>'2018'!BE417</f>
        <v>72</v>
      </c>
      <c r="AF56" s="119">
        <f t="shared" si="0"/>
      </c>
    </row>
    <row r="57" ht="15.75" customHeight="1" spans="1:32" x14ac:dyDescent="0.25">
      <c r="A57" s="114" t="s">
        <v>217</v>
      </c>
      <c r="B57" s="115">
        <v>56</v>
      </c>
      <c r="C57" s="115">
        <v>6.23</v>
      </c>
      <c r="D57" s="117" t="s">
        <v>219</v>
      </c>
      <c r="E57" s="119">
        <f>'2018'!I425</f>
      </c>
      <c r="F57" s="119">
        <f>'2018'!J425</f>
      </c>
      <c r="G57" s="119">
        <f>'2018'!M425</f>
      </c>
      <c r="H57" s="119">
        <f>'2018'!N425</f>
      </c>
      <c r="I57" s="119">
        <f>'2018'!Q425</f>
      </c>
      <c r="J57" s="119">
        <f>'2018'!R425</f>
      </c>
      <c r="K57" s="119">
        <f>'2018'!U425</f>
      </c>
      <c r="L57" s="119">
        <f>'2018'!V425</f>
      </c>
      <c r="M57" s="119">
        <f>'2018'!Y425</f>
      </c>
      <c r="N57" s="119">
        <f>'2018'!Z425</f>
        <v>0</v>
      </c>
      <c r="O57" s="119">
        <f>'2018'!AC425</f>
      </c>
      <c r="P57" s="119">
        <f>'2018'!AD425</f>
        <v>0</v>
      </c>
      <c r="Q57" s="119">
        <f>'2018'!AG425</f>
      </c>
      <c r="R57" s="119">
        <f>'2018'!AH425</f>
        <v>0</v>
      </c>
      <c r="S57" s="119">
        <f>'2018'!AK425</f>
      </c>
      <c r="T57" s="119">
        <f>'2018'!AL425</f>
        <v>0</v>
      </c>
      <c r="U57" s="119">
        <f>'2018'!AO425</f>
      </c>
      <c r="V57" s="119">
        <f>'2018'!AP425</f>
      </c>
      <c r="W57" s="119">
        <f>'2018'!AS425</f>
      </c>
      <c r="X57" s="119">
        <f>'2018'!AT425</f>
      </c>
      <c r="Y57" s="119">
        <f>'2018'!AW425</f>
      </c>
      <c r="Z57" s="119">
        <f>'2018'!AX425</f>
      </c>
      <c r="AA57" s="119"/>
      <c r="AB57" s="119">
        <f>'2018'!BA425</f>
        <v>14</v>
      </c>
      <c r="AC57" s="119">
        <f>'2018'!BB425</f>
        <v>14</v>
      </c>
      <c r="AD57" s="119"/>
      <c r="AE57" s="119">
        <f>'2018'!BE425</f>
        <v>14</v>
      </c>
      <c r="AF57" s="119">
        <f t="shared" si="0"/>
      </c>
    </row>
    <row r="58" ht="15.75" customHeight="1" spans="1:32" x14ac:dyDescent="0.25">
      <c r="A58" s="14"/>
      <c r="B58" s="115">
        <v>57</v>
      </c>
      <c r="C58" s="116">
        <v>4</v>
      </c>
      <c r="D58" s="117" t="s">
        <v>221</v>
      </c>
      <c r="E58" s="119">
        <f>'2018'!I433</f>
        <v>460</v>
      </c>
      <c r="F58" s="119">
        <f>'2018'!J433</f>
        <v>0</v>
      </c>
      <c r="G58" s="119">
        <f>'2018'!M433</f>
        <v>460</v>
      </c>
      <c r="H58" s="119">
        <f>'2018'!N433</f>
        <v>0</v>
      </c>
      <c r="I58" s="119">
        <f>'2018'!Q433</f>
        <v>460</v>
      </c>
      <c r="J58" s="119">
        <f>'2018'!R433</f>
        <v>0</v>
      </c>
      <c r="K58" s="119">
        <f>'2018'!U433</f>
        <v>460</v>
      </c>
      <c r="L58" s="119">
        <f>'2018'!V433</f>
        <v>0</v>
      </c>
      <c r="M58" s="119">
        <f>'2018'!Y433</f>
        <v>460</v>
      </c>
      <c r="N58" s="119">
        <f>'2018'!Z433</f>
        <v>0</v>
      </c>
      <c r="O58" s="119">
        <f>'2018'!AC433</f>
        <v>460</v>
      </c>
      <c r="P58" s="119">
        <f>'2018'!AD433</f>
        <v>0</v>
      </c>
      <c r="Q58" s="119">
        <f>'2018'!AG433</f>
        <v>460</v>
      </c>
      <c r="R58" s="119">
        <f>'2018'!AH433</f>
        <v>0</v>
      </c>
      <c r="S58" s="119">
        <f>'2018'!AK433</f>
        <v>460</v>
      </c>
      <c r="T58" s="119">
        <f>'2018'!AL433</f>
        <v>0</v>
      </c>
      <c r="U58" s="119">
        <f>'2018'!AO433</f>
        <v>461</v>
      </c>
      <c r="V58" s="119">
        <f>'2018'!AP433</f>
        <v>1</v>
      </c>
      <c r="W58" s="119">
        <f>'2018'!AS433</f>
        <v>462</v>
      </c>
      <c r="X58" s="119">
        <f>'2018'!AT433</f>
        <v>1</v>
      </c>
      <c r="Y58" s="119">
        <f>'2018'!AW433</f>
        <v>462</v>
      </c>
      <c r="Z58" s="119">
        <f>'2018'!AX433</f>
        <v>0</v>
      </c>
      <c r="AA58" s="119"/>
      <c r="AB58" s="119">
        <f>'2018'!BA433</f>
        <v>462</v>
      </c>
      <c r="AC58" s="119">
        <f>'2018'!BB433</f>
        <v>0</v>
      </c>
      <c r="AD58" s="119"/>
      <c r="AE58" s="119">
        <f>'2018'!BE433</f>
        <v>2</v>
      </c>
      <c r="AF58" s="119">
        <f t="shared" si="0"/>
      </c>
    </row>
    <row r="59" ht="15.75" customHeight="1" spans="1:32" x14ac:dyDescent="0.25">
      <c r="A59" s="14"/>
      <c r="B59" s="115">
        <v>59</v>
      </c>
      <c r="C59" s="116">
        <v>4</v>
      </c>
      <c r="D59" s="117" t="s">
        <v>221</v>
      </c>
      <c r="E59" s="119">
        <f>'2018'!I441</f>
      </c>
      <c r="F59" s="119">
        <f>'2018'!J441</f>
        <v>0</v>
      </c>
      <c r="G59" s="119">
        <f>'2018'!M441</f>
      </c>
      <c r="H59" s="119">
        <f>'2018'!N441</f>
        <v>0</v>
      </c>
      <c r="I59" s="119">
        <f>'2018'!Q441</f>
      </c>
      <c r="J59" s="119">
        <f>'2018'!R441</f>
        <v>0</v>
      </c>
      <c r="K59" s="119">
        <f>'2018'!U441</f>
      </c>
      <c r="L59" s="119">
        <f>'2018'!V441</f>
        <v>0</v>
      </c>
      <c r="M59" s="119">
        <f>'2018'!Y441</f>
      </c>
      <c r="N59" s="119">
        <f>'2018'!Z441</f>
        <v>0</v>
      </c>
      <c r="O59" s="119">
        <f>'2018'!AC441</f>
      </c>
      <c r="P59" s="119">
        <f>'2018'!AD441</f>
        <v>0</v>
      </c>
      <c r="Q59" s="119">
        <f>'2018'!AG441</f>
      </c>
      <c r="R59" s="119">
        <f>'2018'!AH441</f>
        <v>0</v>
      </c>
      <c r="S59" s="119">
        <f>'2018'!AK441</f>
      </c>
      <c r="T59" s="119">
        <f>'2018'!AL441</f>
        <v>0</v>
      </c>
      <c r="U59" s="119">
        <f>'2018'!AO441</f>
      </c>
      <c r="V59" s="119">
        <f>'2018'!AP441</f>
      </c>
      <c r="W59" s="119">
        <f>'2018'!AS441</f>
      </c>
      <c r="X59" s="119">
        <f>'2018'!AT441</f>
      </c>
      <c r="Y59" s="119">
        <f>'2018'!AW441</f>
      </c>
      <c r="Z59" s="119">
        <f>'2018'!AX441</f>
      </c>
      <c r="AA59" s="119"/>
      <c r="AB59" s="119">
        <f>'2018'!BA441</f>
      </c>
      <c r="AC59" s="119">
        <f>'2018'!BB441</f>
      </c>
      <c r="AD59" s="119"/>
      <c r="AE59" s="119">
        <f>'2018'!BE441</f>
        <v>0</v>
      </c>
      <c r="AF59" s="119">
        <f t="shared" si="0"/>
      </c>
    </row>
    <row r="60" ht="15.75" customHeight="1" spans="1:32" x14ac:dyDescent="0.25">
      <c r="A60" s="14"/>
      <c r="B60" s="115">
        <v>58</v>
      </c>
      <c r="C60" s="115">
        <v>5.08</v>
      </c>
      <c r="D60" s="117" t="s">
        <v>223</v>
      </c>
      <c r="E60" s="119">
        <f>'2018'!I449</f>
        <v>720</v>
      </c>
      <c r="F60" s="119">
        <f>'2018'!J449</f>
        <v>0</v>
      </c>
      <c r="G60" s="119">
        <f>'2018'!M449</f>
        <v>720</v>
      </c>
      <c r="H60" s="119">
        <f>'2018'!N449</f>
        <v>0</v>
      </c>
      <c r="I60" s="119">
        <f>'2018'!Q449</f>
        <v>833</v>
      </c>
      <c r="J60" s="119">
        <f>'2018'!R449</f>
        <v>113</v>
      </c>
      <c r="K60" s="119">
        <f>'2018'!U449</f>
        <v>883</v>
      </c>
      <c r="L60" s="119">
        <f>'2018'!V449</f>
        <v>50</v>
      </c>
      <c r="M60" s="119">
        <f>'2018'!Y449</f>
        <v>1017</v>
      </c>
      <c r="N60" s="119">
        <f>'2018'!Z449</f>
        <v>134</v>
      </c>
      <c r="O60" s="119">
        <f>'2018'!AC449</f>
        <v>1094</v>
      </c>
      <c r="P60" s="119">
        <f>'2018'!AD449</f>
        <v>77</v>
      </c>
      <c r="Q60" s="119">
        <f>'2018'!AG449</f>
        <v>1139</v>
      </c>
      <c r="R60" s="119">
        <f>'2018'!AH449</f>
        <v>45</v>
      </c>
      <c r="S60" s="119">
        <f>'2018'!AK449</f>
        <v>1227</v>
      </c>
      <c r="T60" s="119">
        <f>'2018'!AL449</f>
        <v>88</v>
      </c>
      <c r="U60" s="119">
        <f>'2018'!AO449</f>
        <v>1567</v>
      </c>
      <c r="V60" s="119">
        <f>'2018'!AP449</f>
        <v>340</v>
      </c>
      <c r="W60" s="119">
        <f>'2018'!AS449</f>
        <v>1902</v>
      </c>
      <c r="X60" s="119">
        <f>'2018'!AT449</f>
        <v>335</v>
      </c>
      <c r="Y60" s="119">
        <f>'2018'!AW449</f>
        <v>1910</v>
      </c>
      <c r="Z60" s="119">
        <f>'2018'!AX449</f>
        <v>8</v>
      </c>
      <c r="AA60" s="119">
        <v>155</v>
      </c>
      <c r="AB60" s="119">
        <f>'2018'!BA449</f>
        <v>1910</v>
      </c>
      <c r="AC60" s="119">
        <f>'2018'!BB449</f>
        <v>0</v>
      </c>
      <c r="AD60" s="119"/>
      <c r="AE60" s="119">
        <f>'2018'!BE449</f>
        <v>1190</v>
      </c>
      <c r="AF60" s="119">
        <f t="shared" si="0"/>
        <v>155</v>
      </c>
    </row>
    <row r="61" ht="15.75" customHeight="1" spans="1:32" x14ac:dyDescent="0.25">
      <c r="A61" s="14"/>
      <c r="B61" s="115">
        <v>60</v>
      </c>
      <c r="C61" s="116">
        <v>4.4</v>
      </c>
      <c r="D61" s="117" t="s">
        <v>227</v>
      </c>
      <c r="E61" s="119">
        <f>'2018'!I457</f>
        <v>237</v>
      </c>
      <c r="F61" s="119">
        <f>'2018'!J457</f>
        <v>5</v>
      </c>
      <c r="G61" s="119">
        <f>'2018'!M457</f>
        <v>250</v>
      </c>
      <c r="H61" s="119">
        <f>'2018'!N457</f>
        <v>13</v>
      </c>
      <c r="I61" s="119">
        <f>'2018'!Q457</f>
        <v>275</v>
      </c>
      <c r="J61" s="119">
        <f>'2018'!R457</f>
        <v>25</v>
      </c>
      <c r="K61" s="119">
        <f>'2018'!U457</f>
        <v>306</v>
      </c>
      <c r="L61" s="119">
        <f>'2018'!V457</f>
        <v>31</v>
      </c>
      <c r="M61" s="119">
        <f>'2018'!Y457</f>
        <v>376</v>
      </c>
      <c r="N61" s="119">
        <f>'2018'!Z457</f>
        <v>70</v>
      </c>
      <c r="O61" s="119">
        <f>'2018'!AC457</f>
        <v>393</v>
      </c>
      <c r="P61" s="119">
        <f>'2018'!AD457</f>
        <v>17</v>
      </c>
      <c r="Q61" s="119">
        <f>'2018'!AG457</f>
        <v>426</v>
      </c>
      <c r="R61" s="119">
        <f>'2018'!AH457</f>
        <v>33</v>
      </c>
      <c r="S61" s="119">
        <f>'2018'!AK457</f>
        <v>458</v>
      </c>
      <c r="T61" s="119">
        <f>'2018'!AL457</f>
        <v>32</v>
      </c>
      <c r="U61" s="119">
        <f>'2018'!AO457</f>
        <v>495</v>
      </c>
      <c r="V61" s="119">
        <f>'2018'!AP457</f>
        <v>37</v>
      </c>
      <c r="W61" s="119">
        <f>'2018'!AS457</f>
        <v>508</v>
      </c>
      <c r="X61" s="119">
        <f>'2018'!AT457</f>
        <v>13</v>
      </c>
      <c r="Y61" s="119">
        <f>'2018'!AW457</f>
        <v>508</v>
      </c>
      <c r="Z61" s="119">
        <f>'2018'!AX457</f>
        <v>0</v>
      </c>
      <c r="AA61" s="119">
        <v>155</v>
      </c>
      <c r="AB61" s="119">
        <f>'2018'!BA457</f>
        <v>510</v>
      </c>
      <c r="AC61" s="119">
        <f>'2018'!BB457</f>
        <v>2</v>
      </c>
      <c r="AD61" s="119"/>
      <c r="AE61" s="119">
        <f>'2018'!BE457</f>
        <v>278</v>
      </c>
      <c r="AF61" s="119">
        <f t="shared" si="0"/>
        <v>155</v>
      </c>
    </row>
    <row r="62" ht="15.75" customHeight="1" spans="1:32" x14ac:dyDescent="0.25">
      <c r="A62" s="14"/>
      <c r="B62" s="115">
        <v>61</v>
      </c>
      <c r="C62" s="115">
        <v>4.71</v>
      </c>
      <c r="D62" s="117" t="s">
        <v>231</v>
      </c>
      <c r="E62" s="119">
        <f>'2018'!I465</f>
        <v>127</v>
      </c>
      <c r="F62" s="119">
        <f>'2018'!J465</f>
        <v>0</v>
      </c>
      <c r="G62" s="119">
        <f>'2018'!M465</f>
        <v>127</v>
      </c>
      <c r="H62" s="119">
        <f>'2018'!N465</f>
        <v>0</v>
      </c>
      <c r="I62" s="119">
        <f>'2018'!Q465</f>
        <v>127</v>
      </c>
      <c r="J62" s="119">
        <f>'2018'!R465</f>
        <v>0</v>
      </c>
      <c r="K62" s="119">
        <f>'2018'!U465</f>
        <v>129</v>
      </c>
      <c r="L62" s="119">
        <f>'2018'!V465</f>
        <v>2</v>
      </c>
      <c r="M62" s="119">
        <f>'2018'!Y465</f>
        <v>148</v>
      </c>
      <c r="N62" s="119">
        <f>'2018'!Z465</f>
        <v>19</v>
      </c>
      <c r="O62" s="119">
        <f>'2018'!AC465</f>
        <v>184</v>
      </c>
      <c r="P62" s="119">
        <f>'2018'!AD465</f>
        <v>36</v>
      </c>
      <c r="Q62" s="119">
        <f>'2018'!AG465</f>
        <v>194</v>
      </c>
      <c r="R62" s="119">
        <f>'2018'!AH465</f>
        <v>10</v>
      </c>
      <c r="S62" s="119">
        <f>'2018'!AK465</f>
        <v>206</v>
      </c>
      <c r="T62" s="119">
        <f>'2018'!AL465</f>
        <v>12</v>
      </c>
      <c r="U62" s="119">
        <f>'2018'!AO465</f>
        <v>217</v>
      </c>
      <c r="V62" s="119">
        <f>'2018'!AP465</f>
        <v>11</v>
      </c>
      <c r="W62" s="119">
        <f>'2018'!AS465</f>
        <v>222</v>
      </c>
      <c r="X62" s="119">
        <f>'2018'!AT465</f>
        <v>5</v>
      </c>
      <c r="Y62" s="119">
        <f>'2018'!AW465</f>
        <v>222</v>
      </c>
      <c r="Z62" s="119">
        <f>'2018'!AX465</f>
        <v>0</v>
      </c>
      <c r="AA62" s="119"/>
      <c r="AB62" s="119">
        <f>'2018'!BA465</f>
        <v>222</v>
      </c>
      <c r="AC62" s="119">
        <f>'2018'!BB465</f>
        <v>0</v>
      </c>
      <c r="AD62" s="119"/>
      <c r="AE62" s="119">
        <f>'2018'!BE465</f>
        <v>95</v>
      </c>
      <c r="AF62" s="119">
        <f t="shared" si="0"/>
      </c>
    </row>
    <row r="63" ht="15.75" customHeight="1" spans="1:32" x14ac:dyDescent="0.25">
      <c r="A63" s="14"/>
      <c r="B63" s="115">
        <v>62</v>
      </c>
      <c r="C63" s="116">
        <v>4.6</v>
      </c>
      <c r="D63" s="117" t="s">
        <v>234</v>
      </c>
      <c r="E63" s="119">
        <f>'2018'!I473</f>
        <v>219</v>
      </c>
      <c r="F63" s="119">
        <f>'2018'!J473</f>
        <v>0</v>
      </c>
      <c r="G63" s="119">
        <f>'2018'!M473</f>
        <v>219</v>
      </c>
      <c r="H63" s="119">
        <f>'2018'!N473</f>
        <v>0</v>
      </c>
      <c r="I63" s="119">
        <f>'2018'!Q473</f>
        <v>219</v>
      </c>
      <c r="J63" s="119">
        <f>'2018'!R473</f>
        <v>0</v>
      </c>
      <c r="K63" s="119">
        <f>'2018'!U473</f>
        <v>221</v>
      </c>
      <c r="L63" s="119">
        <f>'2018'!V473</f>
        <v>2</v>
      </c>
      <c r="M63" s="119">
        <f>'2018'!Y473</f>
        <v>224</v>
      </c>
      <c r="N63" s="119">
        <f>'2018'!Z473</f>
        <v>3</v>
      </c>
      <c r="O63" s="119">
        <f>'2018'!AC473</f>
        <v>251</v>
      </c>
      <c r="P63" s="119">
        <f>'2018'!AD473</f>
        <v>27</v>
      </c>
      <c r="Q63" s="119">
        <f>'2018'!AG473</f>
        <v>281</v>
      </c>
      <c r="R63" s="119">
        <f>'2018'!AH473</f>
        <v>30</v>
      </c>
      <c r="S63" s="119">
        <f>'2018'!AK473</f>
        <v>301</v>
      </c>
      <c r="T63" s="119">
        <f>'2018'!AL473</f>
        <v>20</v>
      </c>
      <c r="U63" s="119">
        <f>'2018'!AO473</f>
        <v>307</v>
      </c>
      <c r="V63" s="119">
        <f>'2018'!AP473</f>
        <v>6</v>
      </c>
      <c r="W63" s="119">
        <f>'2018'!AS473</f>
        <v>307</v>
      </c>
      <c r="X63" s="119">
        <f>'2018'!AT473</f>
        <v>0</v>
      </c>
      <c r="Y63" s="119">
        <f>'2018'!AW473</f>
        <v>307</v>
      </c>
      <c r="Z63" s="119">
        <f>'2018'!AX473</f>
        <v>0</v>
      </c>
      <c r="AA63" s="119"/>
      <c r="AB63" s="119">
        <f>'2018'!BA473</f>
        <v>307</v>
      </c>
      <c r="AC63" s="119">
        <f>'2018'!BB473</f>
        <v>0</v>
      </c>
      <c r="AD63" s="119"/>
      <c r="AE63" s="119">
        <f>'2018'!BE473</f>
        <v>88</v>
      </c>
      <c r="AF63" s="119">
        <f t="shared" si="0"/>
      </c>
    </row>
    <row r="64" ht="15.75" customHeight="1" spans="1:32" x14ac:dyDescent="0.25">
      <c r="A64" s="14"/>
      <c r="B64" s="115" t="s">
        <v>237</v>
      </c>
      <c r="C64" s="115">
        <v>8.02</v>
      </c>
      <c r="D64" s="117" t="s">
        <v>238</v>
      </c>
      <c r="E64" s="119">
        <f>'2018'!I481</f>
        <v>12</v>
      </c>
      <c r="F64" s="119">
        <f>'2018'!J481</f>
        <v>0</v>
      </c>
      <c r="G64" s="119">
        <f>'2018'!M481</f>
        <v>12</v>
      </c>
      <c r="H64" s="119">
        <f>'2018'!N481</f>
        <v>0</v>
      </c>
      <c r="I64" s="119">
        <f>'2018'!Q481</f>
        <v>12</v>
      </c>
      <c r="J64" s="119">
        <f>'2018'!R481</f>
        <v>0</v>
      </c>
      <c r="K64" s="119">
        <f>'2018'!U481</f>
        <v>12</v>
      </c>
      <c r="L64" s="119">
        <f>'2018'!V481</f>
        <v>0</v>
      </c>
      <c r="M64" s="119">
        <f>'2018'!Y481</f>
        <v>14</v>
      </c>
      <c r="N64" s="119">
        <f>'2018'!Z481</f>
        <v>2</v>
      </c>
      <c r="O64" s="119">
        <f>'2018'!AC481</f>
        <v>15</v>
      </c>
      <c r="P64" s="119">
        <f>'2018'!AD481</f>
        <v>1</v>
      </c>
      <c r="Q64" s="119">
        <f>'2018'!AG481</f>
        <v>17</v>
      </c>
      <c r="R64" s="119">
        <f>'2018'!AH481</f>
        <v>2</v>
      </c>
      <c r="S64" s="119">
        <f>'2018'!AK481</f>
        <v>19</v>
      </c>
      <c r="T64" s="119">
        <f>'2018'!AL481</f>
        <v>2</v>
      </c>
      <c r="U64" s="119">
        <f>'2018'!AO481</f>
        <v>22</v>
      </c>
      <c r="V64" s="119">
        <f>'2018'!AP481</f>
        <v>3</v>
      </c>
      <c r="W64" s="119">
        <f>'2018'!AS481</f>
        <v>23</v>
      </c>
      <c r="X64" s="119">
        <f>'2018'!AT481</f>
        <v>1</v>
      </c>
      <c r="Y64" s="119">
        <f>'2018'!AW481</f>
        <v>23</v>
      </c>
      <c r="Z64" s="119">
        <f>'2018'!AX481</f>
        <v>0</v>
      </c>
      <c r="AA64" s="119"/>
      <c r="AB64" s="119">
        <f>'2018'!BA481</f>
        <v>23</v>
      </c>
      <c r="AC64" s="119">
        <f>'2018'!BB481</f>
        <v>0</v>
      </c>
      <c r="AD64" s="119"/>
      <c r="AE64" s="119">
        <f>'2018'!BE481</f>
        <v>11</v>
      </c>
      <c r="AF64" s="119">
        <f t="shared" si="0"/>
      </c>
    </row>
    <row r="65" ht="15.75" customHeight="1" spans="1:32" x14ac:dyDescent="0.25">
      <c r="A65" s="14"/>
      <c r="B65" s="115">
        <v>64</v>
      </c>
      <c r="C65" s="115">
        <v>4.24</v>
      </c>
      <c r="D65" s="117" t="s">
        <v>241</v>
      </c>
      <c r="E65" s="119">
        <f>'2018'!I489</f>
        <v>144</v>
      </c>
      <c r="F65" s="119">
        <f>'2018'!J489</f>
        <v>0</v>
      </c>
      <c r="G65" s="119">
        <f>'2018'!M489</f>
        <v>144</v>
      </c>
      <c r="H65" s="119">
        <f>'2018'!N489</f>
        <v>0</v>
      </c>
      <c r="I65" s="119">
        <f>'2018'!Q489</f>
        <v>144</v>
      </c>
      <c r="J65" s="119">
        <f>'2018'!R489</f>
        <v>0</v>
      </c>
      <c r="K65" s="119">
        <f>'2018'!U489</f>
        <v>144</v>
      </c>
      <c r="L65" s="119">
        <f>'2018'!V489</f>
        <v>0</v>
      </c>
      <c r="M65" s="119">
        <f>'2018'!Y489</f>
        <v>156</v>
      </c>
      <c r="N65" s="119">
        <f>'2018'!Z489</f>
        <v>12</v>
      </c>
      <c r="O65" s="119">
        <f>'2018'!AC489</f>
        <v>172</v>
      </c>
      <c r="P65" s="119">
        <f>'2018'!AD489</f>
        <v>16</v>
      </c>
      <c r="Q65" s="119">
        <f>'2018'!AG489</f>
        <v>193</v>
      </c>
      <c r="R65" s="119">
        <f>'2018'!AH489</f>
        <v>21</v>
      </c>
      <c r="S65" s="119">
        <f>'2018'!AK489</f>
        <v>218</v>
      </c>
      <c r="T65" s="119">
        <f>'2018'!AL489</f>
        <v>25</v>
      </c>
      <c r="U65" s="119">
        <f>'2018'!AO489</f>
        <v>233</v>
      </c>
      <c r="V65" s="119">
        <f>'2018'!AP489</f>
        <v>15</v>
      </c>
      <c r="W65" s="119">
        <f>'2018'!AS489</f>
        <v>239</v>
      </c>
      <c r="X65" s="119">
        <f>'2018'!AT489</f>
        <v>6</v>
      </c>
      <c r="Y65" s="119">
        <f>'2018'!AW489</f>
        <v>239</v>
      </c>
      <c r="Z65" s="119">
        <f>'2018'!AX489</f>
        <v>0</v>
      </c>
      <c r="AA65" s="119"/>
      <c r="AB65" s="119">
        <f>'2018'!BA489</f>
        <v>239</v>
      </c>
      <c r="AC65" s="119">
        <f>'2018'!BB489</f>
        <v>0</v>
      </c>
      <c r="AD65" s="119"/>
      <c r="AE65" s="119">
        <f>'2018'!BE489</f>
        <v>95</v>
      </c>
      <c r="AF65" s="119">
        <f t="shared" si="0"/>
      </c>
    </row>
    <row r="66" ht="15.75" customHeight="1" spans="1:32" x14ac:dyDescent="0.25">
      <c r="A66" s="14"/>
      <c r="B66" s="115">
        <v>66</v>
      </c>
      <c r="C66" s="115">
        <v>4.66</v>
      </c>
      <c r="D66" s="117" t="s">
        <v>244</v>
      </c>
      <c r="E66" s="119">
        <f>'2018'!I497</f>
        <v>1</v>
      </c>
      <c r="F66" s="119">
        <f>'2018'!J497</f>
        <v>0</v>
      </c>
      <c r="G66" s="119">
        <f>'2018'!M497</f>
        <v>1</v>
      </c>
      <c r="H66" s="119">
        <f>'2018'!N497</f>
        <v>0</v>
      </c>
      <c r="I66" s="119">
        <f>'2018'!Q497</f>
        <v>1</v>
      </c>
      <c r="J66" s="119">
        <f>'2018'!R497</f>
        <v>0</v>
      </c>
      <c r="K66" s="119">
        <f>'2018'!U497</f>
        <v>1</v>
      </c>
      <c r="L66" s="119">
        <f>'2018'!V497</f>
        <v>0</v>
      </c>
      <c r="M66" s="119">
        <f>'2018'!Y497</f>
        <v>1</v>
      </c>
      <c r="N66" s="119">
        <f>'2018'!Z497</f>
        <v>0</v>
      </c>
      <c r="O66" s="119">
        <f>'2018'!AC497</f>
        <v>1</v>
      </c>
      <c r="P66" s="119">
        <f>'2018'!AD497</f>
        <v>0</v>
      </c>
      <c r="Q66" s="119">
        <f>'2018'!AG497</f>
        <v>1</v>
      </c>
      <c r="R66" s="119">
        <f>'2018'!AH497</f>
        <v>0</v>
      </c>
      <c r="S66" s="119">
        <f>'2018'!AK497</f>
        <v>1</v>
      </c>
      <c r="T66" s="119">
        <f>'2018'!AL497</f>
        <v>0</v>
      </c>
      <c r="U66" s="119">
        <f>'2018'!AO497</f>
        <v>1</v>
      </c>
      <c r="V66" s="119">
        <f>'2018'!AP497</f>
        <v>0</v>
      </c>
      <c r="W66" s="119">
        <f>'2018'!AS497</f>
        <v>1</v>
      </c>
      <c r="X66" s="119">
        <f>'2018'!AT497</f>
        <v>0</v>
      </c>
      <c r="Y66" s="119">
        <f>'2018'!AW497</f>
        <v>1</v>
      </c>
      <c r="Z66" s="119">
        <f>'2018'!AX497</f>
        <v>0</v>
      </c>
      <c r="AA66" s="119"/>
      <c r="AB66" s="119">
        <f>'2018'!BA497</f>
        <v>1</v>
      </c>
      <c r="AC66" s="119">
        <f>'2018'!BB497</f>
        <v>0</v>
      </c>
      <c r="AD66" s="119"/>
      <c r="AE66" s="119">
        <f>'2018'!BE497</f>
        <v>0</v>
      </c>
      <c r="AF66" s="119">
        <f t="shared" si="0"/>
      </c>
    </row>
    <row r="67" ht="15.75" customHeight="1" spans="1:32" x14ac:dyDescent="0.25">
      <c r="A67" s="14"/>
      <c r="B67" s="115">
        <v>67</v>
      </c>
      <c r="C67" s="115">
        <v>6.08</v>
      </c>
      <c r="D67" s="117" t="s">
        <v>245</v>
      </c>
      <c r="E67" s="119">
        <f>'2018'!I505</f>
        <v>796</v>
      </c>
      <c r="F67" s="119">
        <f>'2018'!J505</f>
        <v>0</v>
      </c>
      <c r="G67" s="119">
        <f>'2018'!M505</f>
        <v>796</v>
      </c>
      <c r="H67" s="119">
        <f>'2018'!N505</f>
        <v>0</v>
      </c>
      <c r="I67" s="119">
        <f>'2018'!Q505</f>
        <v>796</v>
      </c>
      <c r="J67" s="119">
        <f>'2018'!R505</f>
        <v>0</v>
      </c>
      <c r="K67" s="119">
        <f>'2018'!U505</f>
        <v>857</v>
      </c>
      <c r="L67" s="119">
        <f>'2018'!V505</f>
        <v>61</v>
      </c>
      <c r="M67" s="119">
        <f>'2018'!Y505</f>
        <v>959</v>
      </c>
      <c r="N67" s="119">
        <f>'2018'!Z505</f>
        <v>102</v>
      </c>
      <c r="O67" s="119">
        <f>'2018'!AC505</f>
        <v>1059</v>
      </c>
      <c r="P67" s="119">
        <f>'2018'!AD505</f>
        <v>100</v>
      </c>
      <c r="Q67" s="119">
        <f>'2018'!AG505</f>
        <v>1159</v>
      </c>
      <c r="R67" s="119">
        <f>'2018'!AH505</f>
        <v>100</v>
      </c>
      <c r="S67" s="119">
        <f>'2018'!AK505</f>
        <v>1287</v>
      </c>
      <c r="T67" s="119">
        <f>'2018'!AL505</f>
        <v>128</v>
      </c>
      <c r="U67" s="119">
        <f>'2018'!AO505</f>
        <v>1370</v>
      </c>
      <c r="V67" s="119">
        <f>'2018'!AP505</f>
        <v>83</v>
      </c>
      <c r="W67" s="119">
        <f>'2018'!AS505</f>
        <v>1425</v>
      </c>
      <c r="X67" s="119">
        <f>'2018'!AT505</f>
        <v>55</v>
      </c>
      <c r="Y67" s="119">
        <f>'2018'!AW505</f>
        <v>1425</v>
      </c>
      <c r="Z67" s="119">
        <f>'2018'!AX505</f>
        <v>0</v>
      </c>
      <c r="AA67" s="119"/>
      <c r="AB67" s="119">
        <f>'2018'!BA505</f>
        <v>1425</v>
      </c>
      <c r="AC67" s="119">
        <f>'2018'!BB505</f>
        <v>0</v>
      </c>
      <c r="AD67" s="119"/>
      <c r="AE67" s="119">
        <f>'2018'!BE505</f>
        <v>629</v>
      </c>
      <c r="AF67" s="119">
        <f t="shared" si="0"/>
      </c>
    </row>
    <row r="68" ht="15.75" customHeight="1" spans="1:32" x14ac:dyDescent="0.25">
      <c r="A68" s="14"/>
      <c r="B68" s="115" t="s">
        <v>248</v>
      </c>
      <c r="C68" s="115">
        <v>8.03</v>
      </c>
      <c r="D68" s="117" t="s">
        <v>249</v>
      </c>
      <c r="E68" s="119">
        <f>'2018'!I513</f>
        <v>1118</v>
      </c>
      <c r="F68" s="119">
        <f>'2018'!J513</f>
        <v>0</v>
      </c>
      <c r="G68" s="119">
        <f>'2018'!M513</f>
        <v>1118</v>
      </c>
      <c r="H68" s="119">
        <f>'2018'!N513</f>
        <v>0</v>
      </c>
      <c r="I68" s="119">
        <f>'2018'!Q513</f>
        <v>1118</v>
      </c>
      <c r="J68" s="119">
        <f>'2018'!R513</f>
        <v>0</v>
      </c>
      <c r="K68" s="119">
        <f>'2018'!U513</f>
        <v>1119</v>
      </c>
      <c r="L68" s="119">
        <f>'2018'!V513</f>
        <v>1</v>
      </c>
      <c r="M68" s="119">
        <f>'2018'!Y513</f>
        <v>1129</v>
      </c>
      <c r="N68" s="119">
        <f>'2018'!Z513</f>
        <v>10</v>
      </c>
      <c r="O68" s="119">
        <f>'2018'!AC513</f>
        <v>1153</v>
      </c>
      <c r="P68" s="119">
        <f>'2018'!AD513</f>
        <v>24</v>
      </c>
      <c r="Q68" s="119">
        <f>'2018'!AG513</f>
        <v>1177</v>
      </c>
      <c r="R68" s="119">
        <f>'2018'!AH513</f>
        <v>24</v>
      </c>
      <c r="S68" s="119">
        <f>'2018'!AK513</f>
        <v>1211</v>
      </c>
      <c r="T68" s="119">
        <f>'2018'!AL513</f>
        <v>34</v>
      </c>
      <c r="U68" s="119">
        <f>'2018'!AO513</f>
        <v>1241</v>
      </c>
      <c r="V68" s="119">
        <f>'2018'!AP513</f>
        <v>30</v>
      </c>
      <c r="W68" s="119">
        <f>'2018'!AS513</f>
        <v>1247</v>
      </c>
      <c r="X68" s="119">
        <f>'2018'!AT513</f>
        <v>6</v>
      </c>
      <c r="Y68" s="119">
        <f>'2018'!AW513</f>
        <v>1247</v>
      </c>
      <c r="Z68" s="119">
        <f>'2018'!AX513</f>
        <v>0</v>
      </c>
      <c r="AA68" s="119"/>
      <c r="AB68" s="119">
        <f>'2018'!BA513</f>
        <v>1247</v>
      </c>
      <c r="AC68" s="119">
        <f>'2018'!BB513</f>
        <v>0</v>
      </c>
      <c r="AD68" s="119"/>
      <c r="AE68" s="119">
        <f>'2018'!BE513</f>
        <v>129</v>
      </c>
      <c r="AF68" s="119">
        <f t="shared" si="0"/>
      </c>
    </row>
    <row r="69" ht="15.75" customHeight="1" spans="1:32" x14ac:dyDescent="0.25">
      <c r="A69" s="14"/>
      <c r="B69" s="115">
        <v>69</v>
      </c>
      <c r="C69" s="115">
        <v>4.03</v>
      </c>
      <c r="D69" s="117" t="s">
        <v>253</v>
      </c>
      <c r="E69" s="119">
        <f>'2018'!I521</f>
        <v>9900</v>
      </c>
      <c r="F69" s="119">
        <f>'2018'!J521</f>
        <v>1380</v>
      </c>
      <c r="G69" s="119">
        <f>'2018'!M521</f>
        <v>11017</v>
      </c>
      <c r="H69" s="119">
        <f>'2018'!N521</f>
        <v>1117</v>
      </c>
      <c r="I69" s="119">
        <f>'2018'!Q521</f>
        <v>12117</v>
      </c>
      <c r="J69" s="119">
        <f>'2018'!R521</f>
        <v>1100</v>
      </c>
      <c r="K69" s="119">
        <f>'2018'!U521</f>
        <v>13107</v>
      </c>
      <c r="L69" s="119">
        <f>'2018'!V521</f>
        <v>990</v>
      </c>
      <c r="M69" s="119">
        <f>'2018'!Y521</f>
        <v>13392</v>
      </c>
      <c r="N69" s="119">
        <f>'2018'!Z521</f>
        <v>285</v>
      </c>
      <c r="O69" s="119">
        <f>'2018'!AC521</f>
        <v>13709</v>
      </c>
      <c r="P69" s="119">
        <f>'2018'!AD521</f>
        <v>317</v>
      </c>
      <c r="Q69" s="119">
        <f>'2018'!AG521</f>
        <v>13967</v>
      </c>
      <c r="R69" s="119">
        <f>'2018'!AH521</f>
        <v>258</v>
      </c>
      <c r="S69" s="119">
        <f>'2018'!AK521</f>
        <v>14269</v>
      </c>
      <c r="T69" s="119">
        <f>'2018'!AL521</f>
        <v>302</v>
      </c>
      <c r="U69" s="119">
        <f>'2018'!AO521</f>
        <v>14667</v>
      </c>
      <c r="V69" s="119">
        <f>'2018'!AP521</f>
        <v>398</v>
      </c>
      <c r="W69" s="119">
        <f>'2018'!AS521</f>
        <v>15050</v>
      </c>
      <c r="X69" s="119">
        <f>'2018'!AT521</f>
        <v>383</v>
      </c>
      <c r="Y69" s="119">
        <f>'2018'!AW521</f>
        <v>15253</v>
      </c>
      <c r="Z69" s="119">
        <f>'2018'!AX521</f>
        <v>203</v>
      </c>
      <c r="AA69" s="119">
        <v>155</v>
      </c>
      <c r="AB69" s="119">
        <f>'2018'!BA521</f>
        <v>15790</v>
      </c>
      <c r="AC69" s="119">
        <f>'2018'!BB521</f>
        <v>537</v>
      </c>
      <c r="AD69" s="119"/>
      <c r="AE69" s="119">
        <f>'2018'!BE521</f>
        <v>7270</v>
      </c>
      <c r="AF69" s="119">
        <f t="shared" si="0"/>
        <v>155</v>
      </c>
    </row>
    <row r="70" ht="15.75" customHeight="1" spans="1:32" x14ac:dyDescent="0.25">
      <c r="A70" s="14"/>
      <c r="B70" s="115">
        <v>71</v>
      </c>
      <c r="C70" s="115">
        <v>5.98</v>
      </c>
      <c r="D70" s="117" t="s">
        <v>255</v>
      </c>
      <c r="E70" s="119">
        <f>'2018'!I529</f>
        <v>61</v>
      </c>
      <c r="F70" s="119">
        <f>'2018'!J529</f>
        <v>0</v>
      </c>
      <c r="G70" s="119">
        <f>'2018'!M529</f>
        <v>61</v>
      </c>
      <c r="H70" s="119">
        <f>'2018'!N529</f>
        <v>0</v>
      </c>
      <c r="I70" s="119">
        <f>'2018'!Q529</f>
        <v>61</v>
      </c>
      <c r="J70" s="119">
        <f>'2018'!R529</f>
        <v>0</v>
      </c>
      <c r="K70" s="119">
        <f>'2018'!U529</f>
        <v>62</v>
      </c>
      <c r="L70" s="119">
        <f>'2018'!V529</f>
        <v>1</v>
      </c>
      <c r="M70" s="119">
        <f>'2018'!Y529</f>
        <v>65</v>
      </c>
      <c r="N70" s="119">
        <f>'2018'!Z529</f>
        <v>3</v>
      </c>
      <c r="O70" s="119">
        <f>'2018'!AC529</f>
        <v>70</v>
      </c>
      <c r="P70" s="119">
        <f>'2018'!AD529</f>
        <v>5</v>
      </c>
      <c r="Q70" s="119">
        <f>'2018'!AG529</f>
        <v>71</v>
      </c>
      <c r="R70" s="119">
        <f>'2018'!AH529</f>
        <v>1</v>
      </c>
      <c r="S70" s="119">
        <f>'2018'!AK529</f>
        <v>75</v>
      </c>
      <c r="T70" s="119">
        <f>'2018'!AL529</f>
        <v>4</v>
      </c>
      <c r="U70" s="119">
        <f>'2018'!AO529</f>
        <v>79</v>
      </c>
      <c r="V70" s="119">
        <f>'2018'!AP529</f>
        <v>4</v>
      </c>
      <c r="W70" s="119">
        <f>'2018'!AS529</f>
        <v>85</v>
      </c>
      <c r="X70" s="119">
        <f>'2018'!AT529</f>
        <v>6</v>
      </c>
      <c r="Y70" s="119">
        <f>'2018'!AW529</f>
        <v>85</v>
      </c>
      <c r="Z70" s="119">
        <f>'2018'!AX529</f>
        <v>0</v>
      </c>
      <c r="AA70" s="119"/>
      <c r="AB70" s="119">
        <f>'2018'!BA529</f>
        <v>85</v>
      </c>
      <c r="AC70" s="119">
        <f>'2018'!BB529</f>
        <v>0</v>
      </c>
      <c r="AD70" s="119"/>
      <c r="AE70" s="119">
        <f>'2018'!BE529</f>
        <v>24</v>
      </c>
      <c r="AF70" s="119">
        <f t="shared" si="0"/>
      </c>
    </row>
    <row r="71" ht="15.75" customHeight="1" spans="1:32" x14ac:dyDescent="0.25">
      <c r="A71" s="14"/>
      <c r="B71" s="115">
        <v>72</v>
      </c>
      <c r="C71" s="115">
        <v>4.03</v>
      </c>
      <c r="D71" s="117" t="s">
        <v>257</v>
      </c>
      <c r="E71" s="119">
        <f>'2018'!I537</f>
        <v>1</v>
      </c>
      <c r="F71" s="119">
        <f>'2018'!J537</f>
        <v>0</v>
      </c>
      <c r="G71" s="119">
        <f>'2018'!M537</f>
        <v>1</v>
      </c>
      <c r="H71" s="119">
        <f>'2018'!N537</f>
        <v>0</v>
      </c>
      <c r="I71" s="119">
        <f>'2018'!Q537</f>
        <v>1</v>
      </c>
      <c r="J71" s="119">
        <f>'2018'!R537</f>
        <v>0</v>
      </c>
      <c r="K71" s="119">
        <f>'2018'!U537</f>
        <v>1</v>
      </c>
      <c r="L71" s="119">
        <f>'2018'!V537</f>
        <v>0</v>
      </c>
      <c r="M71" s="119">
        <f>'2018'!Y537</f>
        <v>1</v>
      </c>
      <c r="N71" s="119">
        <f>'2018'!Z537</f>
        <v>0</v>
      </c>
      <c r="O71" s="119">
        <f>'2018'!AC537</f>
        <v>1</v>
      </c>
      <c r="P71" s="119">
        <f>'2018'!AD537</f>
        <v>0</v>
      </c>
      <c r="Q71" s="119">
        <f>'2018'!AG537</f>
        <v>1</v>
      </c>
      <c r="R71" s="119">
        <f>'2018'!AH537</f>
        <v>0</v>
      </c>
      <c r="S71" s="119">
        <f>'2018'!AK537</f>
        <v>2</v>
      </c>
      <c r="T71" s="119">
        <f>'2018'!AL537</f>
        <v>1</v>
      </c>
      <c r="U71" s="119">
        <f>'2018'!AO537</f>
        <v>2</v>
      </c>
      <c r="V71" s="119">
        <f>'2018'!AP537</f>
        <v>0</v>
      </c>
      <c r="W71" s="119">
        <f>'2018'!AS537</f>
        <v>2</v>
      </c>
      <c r="X71" s="119">
        <f>'2018'!AT537</f>
        <v>0</v>
      </c>
      <c r="Y71" s="119">
        <f>'2018'!AW537</f>
        <v>2</v>
      </c>
      <c r="Z71" s="119">
        <f>'2018'!AX537</f>
        <v>0</v>
      </c>
      <c r="AA71" s="119"/>
      <c r="AB71" s="119">
        <f>'2018'!BA537</f>
        <v>2</v>
      </c>
      <c r="AC71" s="119">
        <f>'2018'!BB537</f>
        <v>0</v>
      </c>
      <c r="AD71" s="119"/>
      <c r="AE71" s="119">
        <f>'2018'!BE537</f>
        <v>1</v>
      </c>
      <c r="AF71" s="119">
        <f t="shared" si="0"/>
      </c>
    </row>
    <row r="72" ht="15.75" customHeight="1" spans="1:32" x14ac:dyDescent="0.25">
      <c r="A72" s="14"/>
      <c r="B72" s="115">
        <v>73</v>
      </c>
      <c r="C72" s="115">
        <v>4.02</v>
      </c>
      <c r="D72" s="117" t="s">
        <v>259</v>
      </c>
      <c r="E72" s="119">
        <f>'2018'!I545</f>
      </c>
      <c r="F72" s="119">
        <f>'2018'!J545</f>
      </c>
      <c r="G72" s="119">
        <f>'2018'!M545</f>
      </c>
      <c r="H72" s="119">
        <f>'2018'!N545</f>
      </c>
      <c r="I72" s="119">
        <f>'2018'!Q545</f>
      </c>
      <c r="J72" s="119">
        <f>'2018'!R545</f>
      </c>
      <c r="K72" s="119">
        <f>'2018'!U545</f>
      </c>
      <c r="L72" s="119">
        <f>'2018'!V545</f>
      </c>
      <c r="M72" s="119">
        <f>'2018'!Y545</f>
      </c>
      <c r="N72" s="119">
        <f>'2018'!Z545</f>
        <v>0</v>
      </c>
      <c r="O72" s="119">
        <f>'2018'!AC545</f>
      </c>
      <c r="P72" s="119">
        <f>'2018'!AD545</f>
        <v>0</v>
      </c>
      <c r="Q72" s="119">
        <f>'2018'!AG545</f>
      </c>
      <c r="R72" s="119">
        <f>'2018'!AH545</f>
        <v>0</v>
      </c>
      <c r="S72" s="119">
        <f>'2018'!AK545</f>
      </c>
      <c r="T72" s="119">
        <f>'2018'!AL545</f>
        <v>0</v>
      </c>
      <c r="U72" s="119">
        <f>'2018'!AO545</f>
      </c>
      <c r="V72" s="119">
        <f>'2018'!AP545</f>
      </c>
      <c r="W72" s="119">
        <f>'2018'!AS545</f>
      </c>
      <c r="X72" s="119">
        <f>'2018'!AT545</f>
      </c>
      <c r="Y72" s="119">
        <f>'2018'!AW545</f>
      </c>
      <c r="Z72" s="119">
        <f>'2018'!AX545</f>
      </c>
      <c r="AA72" s="119"/>
      <c r="AB72" s="119">
        <f>'2018'!BA545</f>
      </c>
      <c r="AC72" s="119">
        <f>'2018'!BB545</f>
      </c>
      <c r="AD72" s="119"/>
      <c r="AE72" s="119">
        <f>'2018'!BE545</f>
        <v>0</v>
      </c>
      <c r="AF72" s="119">
        <f t="shared" si="0"/>
      </c>
    </row>
    <row r="73" ht="15.75" customHeight="1" spans="1:32" x14ac:dyDescent="0.25">
      <c r="A73" s="21"/>
      <c r="B73" s="115">
        <v>74</v>
      </c>
      <c r="C73" s="115">
        <v>4.97</v>
      </c>
      <c r="D73" s="117" t="s">
        <v>262</v>
      </c>
      <c r="E73" s="119">
        <f>'2018'!I553</f>
      </c>
      <c r="F73" s="119">
        <f>'2018'!J553</f>
      </c>
      <c r="G73" s="119">
        <f>'2018'!M553</f>
      </c>
      <c r="H73" s="119">
        <f>'2018'!N553</f>
      </c>
      <c r="I73" s="119">
        <f>'2018'!Q553</f>
      </c>
      <c r="J73" s="119">
        <f>'2018'!R553</f>
      </c>
      <c r="K73" s="119">
        <f>'2018'!U553</f>
      </c>
      <c r="L73" s="119">
        <f>'2018'!V553</f>
      </c>
      <c r="M73" s="119">
        <f>'2018'!Y553</f>
      </c>
      <c r="N73" s="119">
        <f>'2018'!Z553</f>
        <v>0</v>
      </c>
      <c r="O73" s="119">
        <f>'2018'!AC553</f>
      </c>
      <c r="P73" s="119">
        <f>'2018'!AD553</f>
        <v>0</v>
      </c>
      <c r="Q73" s="119">
        <f>'2018'!AG553</f>
      </c>
      <c r="R73" s="119">
        <f>'2018'!AH553</f>
        <v>0</v>
      </c>
      <c r="S73" s="119">
        <f>'2018'!AK553</f>
      </c>
      <c r="T73" s="119">
        <f>'2018'!AL553</f>
        <v>0</v>
      </c>
      <c r="U73" s="119">
        <f>'2018'!AO553</f>
      </c>
      <c r="V73" s="119">
        <f>'2018'!AP553</f>
      </c>
      <c r="W73" s="119">
        <f>'2018'!AS553</f>
      </c>
      <c r="X73" s="119">
        <f>'2018'!AT553</f>
      </c>
      <c r="Y73" s="119">
        <f>'2018'!AW553</f>
      </c>
      <c r="Z73" s="119">
        <f>'2018'!AX553</f>
      </c>
      <c r="AA73" s="119"/>
      <c r="AB73" s="119">
        <f>'2018'!BA553</f>
      </c>
      <c r="AC73" s="119">
        <f>'2018'!BB553</f>
      </c>
      <c r="AD73" s="119"/>
      <c r="AE73" s="119">
        <f>'2018'!BE553</f>
        <v>0</v>
      </c>
      <c r="AF73" s="119">
        <f t="shared" si="0"/>
      </c>
    </row>
    <row r="74" ht="15.75" customHeight="1" spans="1:32" x14ac:dyDescent="0.25">
      <c r="A74" s="114" t="s">
        <v>264</v>
      </c>
      <c r="B74" s="115">
        <v>75</v>
      </c>
      <c r="C74" s="115">
        <v>4.15</v>
      </c>
      <c r="D74" s="117" t="s">
        <v>265</v>
      </c>
      <c r="E74" s="119">
        <f>'2018'!I561</f>
      </c>
      <c r="F74" s="119">
        <f>'2018'!J561</f>
      </c>
      <c r="G74" s="119">
        <f>'2018'!M561</f>
      </c>
      <c r="H74" s="119">
        <f>'2018'!N561</f>
      </c>
      <c r="I74" s="119">
        <f>'2018'!Q561</f>
      </c>
      <c r="J74" s="119">
        <f>'2018'!R561</f>
      </c>
      <c r="K74" s="119">
        <f>'2018'!U561</f>
      </c>
      <c r="L74" s="119">
        <f>'2018'!V561</f>
      </c>
      <c r="M74" s="119">
        <f>'2018'!Y561</f>
      </c>
      <c r="N74" s="119">
        <f>'2018'!Z561</f>
        <v>0</v>
      </c>
      <c r="O74" s="119">
        <f>'2018'!AC561</f>
      </c>
      <c r="P74" s="119">
        <f>'2018'!AD561</f>
        <v>0</v>
      </c>
      <c r="Q74" s="119">
        <f>'2018'!AG561</f>
      </c>
      <c r="R74" s="119">
        <f>'2018'!AH561</f>
        <v>0</v>
      </c>
      <c r="S74" s="119">
        <f>'2018'!AK561</f>
      </c>
      <c r="T74" s="119">
        <f>'2018'!AL561</f>
        <v>0</v>
      </c>
      <c r="U74" s="119">
        <f>'2018'!AO561</f>
      </c>
      <c r="V74" s="119">
        <f>'2018'!AP561</f>
      </c>
      <c r="W74" s="119">
        <f>'2018'!AS561</f>
      </c>
      <c r="X74" s="119">
        <f>'2018'!AT561</f>
      </c>
      <c r="Y74" s="119">
        <f>'2018'!AW561</f>
      </c>
      <c r="Z74" s="119">
        <f>'2018'!AX561</f>
      </c>
      <c r="AA74" s="119"/>
      <c r="AB74" s="119">
        <f>'2018'!BA561</f>
      </c>
      <c r="AC74" s="119">
        <f>'2018'!BB561</f>
      </c>
      <c r="AD74" s="119"/>
      <c r="AE74" s="119">
        <f>'2018'!BE561</f>
        <v>0</v>
      </c>
      <c r="AF74" s="119">
        <f t="shared" si="0"/>
      </c>
    </row>
    <row r="75" ht="15.75" customHeight="1" spans="1:32" x14ac:dyDescent="0.25">
      <c r="A75" s="14"/>
      <c r="B75" s="115">
        <v>76</v>
      </c>
      <c r="C75" s="115">
        <v>4.15</v>
      </c>
      <c r="D75" s="117" t="s">
        <v>267</v>
      </c>
      <c r="E75" s="119">
        <f>'2018'!I569</f>
      </c>
      <c r="F75" s="119">
        <f>'2018'!J569</f>
      </c>
      <c r="G75" s="119">
        <f>'2018'!M569</f>
      </c>
      <c r="H75" s="119">
        <f>'2018'!N569</f>
      </c>
      <c r="I75" s="119">
        <f>'2018'!Q569</f>
      </c>
      <c r="J75" s="119">
        <f>'2018'!R569</f>
      </c>
      <c r="K75" s="119">
        <f>'2018'!U569</f>
      </c>
      <c r="L75" s="119">
        <f>'2018'!V569</f>
      </c>
      <c r="M75" s="119">
        <f>'2018'!Y569</f>
      </c>
      <c r="N75" s="119">
        <f>'2018'!Z569</f>
        <v>0</v>
      </c>
      <c r="O75" s="119">
        <f>'2018'!AC569</f>
      </c>
      <c r="P75" s="119">
        <f>'2018'!AD569</f>
        <v>0</v>
      </c>
      <c r="Q75" s="119">
        <f>'2018'!AG569</f>
      </c>
      <c r="R75" s="119">
        <f>'2018'!AH569</f>
        <v>0</v>
      </c>
      <c r="S75" s="119">
        <f>'2018'!AK569</f>
      </c>
      <c r="T75" s="119">
        <f>'2018'!AL569</f>
        <v>0</v>
      </c>
      <c r="U75" s="119">
        <f>'2018'!AO569</f>
      </c>
      <c r="V75" s="119">
        <f>'2018'!AP569</f>
      </c>
      <c r="W75" s="119">
        <f>'2018'!AS569</f>
      </c>
      <c r="X75" s="119">
        <f>'2018'!AT569</f>
      </c>
      <c r="Y75" s="119">
        <f>'2018'!AW569</f>
      </c>
      <c r="Z75" s="119">
        <f>'2018'!AX569</f>
      </c>
      <c r="AA75" s="119"/>
      <c r="AB75" s="119">
        <f>'2018'!BA569</f>
      </c>
      <c r="AC75" s="119">
        <f>'2018'!BB569</f>
      </c>
      <c r="AD75" s="119"/>
      <c r="AE75" s="119">
        <f>'2018'!BE569</f>
        <v>0</v>
      </c>
      <c r="AF75" s="119">
        <f t="shared" si="0"/>
      </c>
    </row>
    <row r="76" ht="15.75" customHeight="1" spans="1:32" x14ac:dyDescent="0.25">
      <c r="A76" s="14"/>
      <c r="B76" s="115">
        <v>77</v>
      </c>
      <c r="C76" s="115">
        <v>4.12</v>
      </c>
      <c r="D76" s="117" t="s">
        <v>268</v>
      </c>
      <c r="E76" s="119">
        <f>'2018'!I577</f>
        <v>608</v>
      </c>
      <c r="F76" s="119">
        <f>'2018'!J577</f>
        <v>0</v>
      </c>
      <c r="G76" s="119">
        <f>'2018'!M577</f>
        <v>608</v>
      </c>
      <c r="H76" s="119">
        <f>'2018'!N577</f>
        <v>0</v>
      </c>
      <c r="I76" s="119">
        <f>'2018'!Q577</f>
        <v>608</v>
      </c>
      <c r="J76" s="119">
        <f>'2018'!R577</f>
        <v>0</v>
      </c>
      <c r="K76" s="119">
        <f>'2018'!U577</f>
        <v>608</v>
      </c>
      <c r="L76" s="119">
        <f>'2018'!V577</f>
        <v>0</v>
      </c>
      <c r="M76" s="119">
        <f>'2018'!Y577</f>
        <v>613</v>
      </c>
      <c r="N76" s="119">
        <f>'2018'!Z577</f>
        <v>5</v>
      </c>
      <c r="O76" s="119">
        <f>'2018'!AC577</f>
        <v>643</v>
      </c>
      <c r="P76" s="119">
        <f>'2018'!AD577</f>
        <v>30</v>
      </c>
      <c r="Q76" s="119">
        <f>'2018'!AG577</f>
        <v>721</v>
      </c>
      <c r="R76" s="119">
        <f>'2018'!AH577</f>
        <v>78</v>
      </c>
      <c r="S76" s="119">
        <f>'2018'!AK577</f>
        <v>887</v>
      </c>
      <c r="T76" s="119">
        <f>'2018'!AL577</f>
        <v>166</v>
      </c>
      <c r="U76" s="119">
        <f>'2018'!AO577</f>
        <v>918</v>
      </c>
      <c r="V76" s="119">
        <f>'2018'!AP577</f>
        <v>31</v>
      </c>
      <c r="W76" s="119">
        <f>'2018'!AS577</f>
        <v>922</v>
      </c>
      <c r="X76" s="119">
        <f>'2018'!AT577</f>
        <v>4</v>
      </c>
      <c r="Y76" s="119">
        <f>'2018'!AW577</f>
        <v>922</v>
      </c>
      <c r="Z76" s="119">
        <f>'2018'!AX577</f>
        <v>0</v>
      </c>
      <c r="AA76" s="119"/>
      <c r="AB76" s="119">
        <f>'2018'!BA577</f>
        <v>922</v>
      </c>
      <c r="AC76" s="119">
        <f>'2018'!BB577</f>
        <v>0</v>
      </c>
      <c r="AD76" s="119"/>
      <c r="AE76" s="119">
        <f>'2018'!BE577</f>
        <v>314</v>
      </c>
      <c r="AF76" s="119">
        <f t="shared" si="0"/>
      </c>
    </row>
    <row r="77" ht="15.75" customHeight="1" spans="1:32" x14ac:dyDescent="0.25">
      <c r="A77" s="14"/>
      <c r="B77" s="115">
        <v>78</v>
      </c>
      <c r="C77" s="115">
        <v>4.03</v>
      </c>
      <c r="D77" s="117" t="s">
        <v>271</v>
      </c>
      <c r="E77" s="119">
        <f>'2018'!I585</f>
        <v>28</v>
      </c>
      <c r="F77" s="119">
        <f>'2018'!J585</f>
        <v>0</v>
      </c>
      <c r="G77" s="119">
        <f>'2018'!M585</f>
        <v>28</v>
      </c>
      <c r="H77" s="119">
        <f>'2018'!N585</f>
        <v>0</v>
      </c>
      <c r="I77" s="119">
        <f>'2018'!Q585</f>
        <v>28</v>
      </c>
      <c r="J77" s="119">
        <f>'2018'!R585</f>
        <v>0</v>
      </c>
      <c r="K77" s="119">
        <f>'2018'!U585</f>
        <v>28</v>
      </c>
      <c r="L77" s="119">
        <f>'2018'!V585</f>
        <v>0</v>
      </c>
      <c r="M77" s="119">
        <f>'2018'!Y585</f>
        <v>29</v>
      </c>
      <c r="N77" s="119">
        <f>'2018'!Z585</f>
        <v>1</v>
      </c>
      <c r="O77" s="119">
        <f>'2018'!AC585</f>
        <v>30</v>
      </c>
      <c r="P77" s="119">
        <f>'2018'!AD585</f>
        <v>1</v>
      </c>
      <c r="Q77" s="119">
        <f>'2018'!AG585</f>
        <v>31</v>
      </c>
      <c r="R77" s="119">
        <f>'2018'!AH585</f>
        <v>1</v>
      </c>
      <c r="S77" s="119">
        <f>'2018'!AK585</f>
        <v>32</v>
      </c>
      <c r="T77" s="119">
        <f>'2018'!AL585</f>
        <v>1</v>
      </c>
      <c r="U77" s="119">
        <f>'2018'!AO585</f>
        <v>39</v>
      </c>
      <c r="V77" s="119">
        <f>'2018'!AP585</f>
        <v>7</v>
      </c>
      <c r="W77" s="119">
        <f>'2018'!AS585</f>
        <v>44</v>
      </c>
      <c r="X77" s="119">
        <f>'2018'!AT585</f>
        <v>5</v>
      </c>
      <c r="Y77" s="119">
        <f>'2018'!AW585</f>
        <v>44</v>
      </c>
      <c r="Z77" s="119">
        <f>'2018'!AX585</f>
        <v>0</v>
      </c>
      <c r="AA77" s="119"/>
      <c r="AB77" s="119">
        <f>'2018'!BA585</f>
        <v>44</v>
      </c>
      <c r="AC77" s="119">
        <f>'2018'!BB585</f>
        <v>0</v>
      </c>
      <c r="AD77" s="119"/>
      <c r="AE77" s="119">
        <f>'2018'!BE585</f>
        <v>16</v>
      </c>
      <c r="AF77" s="119">
        <f t="shared" si="0"/>
      </c>
    </row>
    <row r="78" ht="15.75" customHeight="1" spans="1:32" x14ac:dyDescent="0.25">
      <c r="A78" s="14"/>
      <c r="B78" s="115">
        <v>79</v>
      </c>
      <c r="C78" s="115">
        <v>4.24</v>
      </c>
      <c r="D78" s="117" t="s">
        <v>275</v>
      </c>
      <c r="E78" s="119">
        <f>'2018'!I593</f>
      </c>
      <c r="F78" s="119">
        <f>'2018'!J593</f>
      </c>
      <c r="G78" s="119">
        <f>'2018'!M593</f>
      </c>
      <c r="H78" s="119">
        <f>'2018'!N593</f>
      </c>
      <c r="I78" s="119">
        <f>'2018'!Q593</f>
      </c>
      <c r="J78" s="119">
        <f>'2018'!R593</f>
      </c>
      <c r="K78" s="119">
        <f>'2018'!U593</f>
      </c>
      <c r="L78" s="119">
        <f>'2018'!V593</f>
      </c>
      <c r="M78" s="119">
        <f>'2018'!Y593</f>
      </c>
      <c r="N78" s="119">
        <f>'2018'!Z593</f>
        <v>0</v>
      </c>
      <c r="O78" s="119">
        <f>'2018'!AC593</f>
      </c>
      <c r="P78" s="119">
        <f>'2018'!AD593</f>
        <v>0</v>
      </c>
      <c r="Q78" s="119">
        <f>'2018'!AG593</f>
      </c>
      <c r="R78" s="119">
        <f>'2018'!AH593</f>
        <v>0</v>
      </c>
      <c r="S78" s="119">
        <f>'2018'!AK593</f>
        <v>5</v>
      </c>
      <c r="T78" s="119">
        <f>'2018'!AL593</f>
        <v>5</v>
      </c>
      <c r="U78" s="119">
        <f>'2018'!AO593</f>
        <v>5</v>
      </c>
      <c r="V78" s="119">
        <f>'2018'!AP593</f>
        <v>0</v>
      </c>
      <c r="W78" s="119">
        <f>'2018'!AS593</f>
        <v>5</v>
      </c>
      <c r="X78" s="119">
        <f>'2018'!AT593</f>
        <v>0</v>
      </c>
      <c r="Y78" s="119">
        <f>'2018'!AW593</f>
        <v>5</v>
      </c>
      <c r="Z78" s="119">
        <f>'2018'!AX593</f>
        <v>0</v>
      </c>
      <c r="AA78" s="119"/>
      <c r="AB78" s="119">
        <f>'2018'!BA593</f>
        <v>5</v>
      </c>
      <c r="AC78" s="119">
        <f>'2018'!BB593</f>
        <v>0</v>
      </c>
      <c r="AD78" s="119"/>
      <c r="AE78" s="119">
        <f>'2018'!BE593</f>
        <v>5</v>
      </c>
      <c r="AF78" s="119">
        <f t="shared" si="0"/>
      </c>
    </row>
    <row r="79" ht="15.75" customHeight="1" spans="1:32" x14ac:dyDescent="0.25">
      <c r="A79" s="14"/>
      <c r="B79" s="115">
        <v>81</v>
      </c>
      <c r="C79" s="116">
        <v>4.3</v>
      </c>
      <c r="D79" s="117" t="s">
        <v>278</v>
      </c>
      <c r="E79" s="119">
        <f>'2018'!I601</f>
      </c>
      <c r="F79" s="119">
        <f>'2018'!J601</f>
      </c>
      <c r="G79" s="119">
        <f>'2018'!M601</f>
      </c>
      <c r="H79" s="119">
        <f>'2018'!N601</f>
      </c>
      <c r="I79" s="119">
        <f>'2018'!Q601</f>
      </c>
      <c r="J79" s="119">
        <f>'2018'!R601</f>
      </c>
      <c r="K79" s="119">
        <f>'2018'!U601</f>
      </c>
      <c r="L79" s="119">
        <f>'2018'!V601</f>
      </c>
      <c r="M79" s="119">
        <f>'2018'!Y601</f>
      </c>
      <c r="N79" s="119">
        <f>'2018'!Z601</f>
        <v>0</v>
      </c>
      <c r="O79" s="119">
        <f>'2018'!AC601</f>
      </c>
      <c r="P79" s="119">
        <f>'2018'!AD601</f>
        <v>0</v>
      </c>
      <c r="Q79" s="119">
        <f>'2018'!AG601</f>
      </c>
      <c r="R79" s="119">
        <f>'2018'!AH601</f>
        <v>0</v>
      </c>
      <c r="S79" s="119">
        <f>'2018'!AK601</f>
      </c>
      <c r="T79" s="119">
        <f>'2018'!AL601</f>
        <v>0</v>
      </c>
      <c r="U79" s="119">
        <f>'2018'!AO601</f>
      </c>
      <c r="V79" s="119">
        <f>'2018'!AP601</f>
      </c>
      <c r="W79" s="119">
        <f>'2018'!AS601</f>
      </c>
      <c r="X79" s="119">
        <f>'2018'!AT601</f>
      </c>
      <c r="Y79" s="119">
        <f>'2018'!AW601</f>
      </c>
      <c r="Z79" s="119">
        <f>'2018'!AX601</f>
      </c>
      <c r="AA79" s="119"/>
      <c r="AB79" s="119">
        <f>'2018'!BA601</f>
      </c>
      <c r="AC79" s="119">
        <f>'2018'!BB601</f>
      </c>
      <c r="AD79" s="119"/>
      <c r="AE79" s="119">
        <f>'2018'!BE601</f>
        <v>0</v>
      </c>
      <c r="AF79" s="119">
        <f t="shared" si="0"/>
      </c>
    </row>
    <row r="80" ht="15.75" customHeight="1" spans="1:32" x14ac:dyDescent="0.25">
      <c r="A80" s="14"/>
      <c r="B80" s="115">
        <v>83</v>
      </c>
      <c r="C80" s="115">
        <v>4.29</v>
      </c>
      <c r="D80" s="117" t="s">
        <v>280</v>
      </c>
      <c r="E80" s="119">
        <f>'2018'!I609</f>
        <v>38</v>
      </c>
      <c r="F80" s="119">
        <f>'2018'!J609</f>
        <v>0</v>
      </c>
      <c r="G80" s="119">
        <f>'2018'!M609</f>
        <v>38</v>
      </c>
      <c r="H80" s="119">
        <f>'2018'!N609</f>
        <v>0</v>
      </c>
      <c r="I80" s="119">
        <f>'2018'!Q609</f>
        <v>38</v>
      </c>
      <c r="J80" s="119">
        <f>'2018'!R609</f>
        <v>0</v>
      </c>
      <c r="K80" s="119">
        <f>'2018'!U609</f>
        <v>38</v>
      </c>
      <c r="L80" s="119">
        <f>'2018'!V609</f>
        <v>0</v>
      </c>
      <c r="M80" s="119">
        <f>'2018'!Y609</f>
        <v>38</v>
      </c>
      <c r="N80" s="119">
        <f>'2018'!Z609</f>
        <v>0</v>
      </c>
      <c r="O80" s="119">
        <f>'2018'!AC609</f>
        <v>44</v>
      </c>
      <c r="P80" s="119">
        <f>'2018'!AD609</f>
        <v>6</v>
      </c>
      <c r="Q80" s="119">
        <f>'2018'!AG609</f>
        <v>49</v>
      </c>
      <c r="R80" s="119">
        <f>'2018'!AH609</f>
        <v>5</v>
      </c>
      <c r="S80" s="119">
        <f>'2018'!AK609</f>
        <v>54</v>
      </c>
      <c r="T80" s="119">
        <f>'2018'!AL609</f>
        <v>5</v>
      </c>
      <c r="U80" s="119">
        <f>'2018'!AO609</f>
        <v>55</v>
      </c>
      <c r="V80" s="119">
        <f>'2018'!AP609</f>
        <v>1</v>
      </c>
      <c r="W80" s="119">
        <f>'2018'!AS609</f>
        <v>61</v>
      </c>
      <c r="X80" s="119">
        <f>'2018'!AT609</f>
        <v>6</v>
      </c>
      <c r="Y80" s="119">
        <f>'2018'!AW609</f>
        <v>61</v>
      </c>
      <c r="Z80" s="119">
        <f>'2018'!AX609</f>
        <v>0</v>
      </c>
      <c r="AA80" s="119"/>
      <c r="AB80" s="119">
        <f>'2018'!BA609</f>
        <v>61</v>
      </c>
      <c r="AC80" s="119">
        <f>'2018'!BB609</f>
        <v>0</v>
      </c>
      <c r="AD80" s="119"/>
      <c r="AE80" s="119">
        <f>'2018'!BE609</f>
        <v>23</v>
      </c>
      <c r="AF80" s="119">
        <f t="shared" si="0"/>
      </c>
    </row>
    <row r="81" ht="15.75" customHeight="1" spans="1:32" x14ac:dyDescent="0.25">
      <c r="A81" s="14"/>
      <c r="B81" s="115">
        <v>85</v>
      </c>
      <c r="C81" s="115">
        <v>4.27</v>
      </c>
      <c r="D81" s="117" t="s">
        <v>362</v>
      </c>
      <c r="E81" s="119">
        <f>'2018'!I617</f>
        <v>431</v>
      </c>
      <c r="F81" s="119">
        <f>'2018'!J617</f>
        <v>0</v>
      </c>
      <c r="G81" s="119">
        <f>'2018'!M617</f>
        <v>431</v>
      </c>
      <c r="H81" s="119">
        <f>'2018'!N617</f>
        <v>0</v>
      </c>
      <c r="I81" s="119">
        <f>'2018'!Q617</f>
        <v>431</v>
      </c>
      <c r="J81" s="119">
        <f>'2018'!R617</f>
        <v>0</v>
      </c>
      <c r="K81" s="119">
        <f>'2018'!U617</f>
        <v>457</v>
      </c>
      <c r="L81" s="119">
        <f>'2018'!V617</f>
        <v>26</v>
      </c>
      <c r="M81" s="119">
        <f>'2018'!Y617</f>
        <v>568</v>
      </c>
      <c r="N81" s="119">
        <f>'2018'!Z617</f>
        <v>111</v>
      </c>
      <c r="O81" s="119">
        <f>'2018'!AC617</f>
        <v>636</v>
      </c>
      <c r="P81" s="119">
        <f>'2018'!AD617</f>
        <v>68</v>
      </c>
      <c r="Q81" s="119">
        <f>'2018'!AG617</f>
        <v>692</v>
      </c>
      <c r="R81" s="119">
        <f>'2018'!AH617</f>
        <v>56</v>
      </c>
      <c r="S81" s="119">
        <f>'2018'!AK617</f>
        <v>775</v>
      </c>
      <c r="T81" s="119">
        <f>'2018'!AL617</f>
        <v>83</v>
      </c>
      <c r="U81" s="119">
        <f>'2018'!AO617</f>
        <v>1031</v>
      </c>
      <c r="V81" s="119">
        <f>'2018'!AP617</f>
        <v>256</v>
      </c>
      <c r="W81" s="119">
        <f>'2018'!AS617</f>
        <v>1032</v>
      </c>
      <c r="X81" s="119">
        <f>'2018'!AT617</f>
        <v>1</v>
      </c>
      <c r="Y81" s="119">
        <f>'2018'!AW617</f>
        <v>1032</v>
      </c>
      <c r="Z81" s="119">
        <f>'2018'!AX617</f>
        <v>0</v>
      </c>
      <c r="AA81" s="119"/>
      <c r="AB81" s="119">
        <f>'2018'!BA617</f>
        <v>1032</v>
      </c>
      <c r="AC81" s="119">
        <f>'2018'!BB617</f>
        <v>0</v>
      </c>
      <c r="AD81" s="119"/>
      <c r="AE81" s="119">
        <f>'2018'!BE617</f>
        <v>601</v>
      </c>
      <c r="AF81" s="119">
        <f t="shared" si="0"/>
      </c>
    </row>
    <row r="82" ht="15.75" customHeight="1" spans="1:32" x14ac:dyDescent="0.25">
      <c r="A82" s="14"/>
      <c r="B82" s="115">
        <v>87</v>
      </c>
      <c r="C82" s="115">
        <v>4.23</v>
      </c>
      <c r="D82" s="117" t="s">
        <v>284</v>
      </c>
      <c r="E82" s="119">
        <f>'2018'!I625</f>
        <v>155</v>
      </c>
      <c r="F82" s="119">
        <f>'2018'!J625</f>
        <v>0</v>
      </c>
      <c r="G82" s="119">
        <f>'2018'!M625</f>
        <v>155</v>
      </c>
      <c r="H82" s="119">
        <f>'2018'!N625</f>
        <v>0</v>
      </c>
      <c r="I82" s="119">
        <f>'2018'!Q625</f>
        <v>155</v>
      </c>
      <c r="J82" s="119">
        <f>'2018'!R625</f>
        <v>0</v>
      </c>
      <c r="K82" s="119">
        <f>'2018'!U625</f>
        <v>155</v>
      </c>
      <c r="L82" s="119">
        <f>'2018'!V625</f>
        <v>0</v>
      </c>
      <c r="M82" s="119">
        <f>'2018'!Y625</f>
        <v>160</v>
      </c>
      <c r="N82" s="119">
        <f>'2018'!Z625</f>
        <v>5</v>
      </c>
      <c r="O82" s="119">
        <f>'2018'!AC625</f>
        <v>184</v>
      </c>
      <c r="P82" s="119">
        <f>'2018'!AD625</f>
        <v>24</v>
      </c>
      <c r="Q82" s="119">
        <f>'2018'!AG625</f>
        <v>201</v>
      </c>
      <c r="R82" s="119">
        <f>'2018'!AH625</f>
        <v>17</v>
      </c>
      <c r="S82" s="119">
        <f>'2018'!AK625</f>
        <v>222</v>
      </c>
      <c r="T82" s="119">
        <f>'2018'!AL625</f>
        <v>21</v>
      </c>
      <c r="U82" s="119">
        <f>'2018'!AO625</f>
        <v>235</v>
      </c>
      <c r="V82" s="119">
        <f>'2018'!AP625</f>
        <v>13</v>
      </c>
      <c r="W82" s="119">
        <f>'2018'!AS625</f>
        <v>241</v>
      </c>
      <c r="X82" s="119">
        <f>'2018'!AT625</f>
        <v>6</v>
      </c>
      <c r="Y82" s="119">
        <f>'2018'!AW625</f>
        <v>241</v>
      </c>
      <c r="Z82" s="119">
        <f>'2018'!AX625</f>
        <v>0</v>
      </c>
      <c r="AA82" s="119"/>
      <c r="AB82" s="119">
        <f>'2018'!BA625</f>
        <v>241</v>
      </c>
      <c r="AC82" s="119">
        <f>'2018'!BB625</f>
        <v>0</v>
      </c>
      <c r="AD82" s="119"/>
      <c r="AE82" s="119">
        <f>'2018'!BE625</f>
        <v>86</v>
      </c>
      <c r="AF82" s="119">
        <f t="shared" si="0"/>
      </c>
    </row>
    <row r="83" ht="15.75" customHeight="1" spans="1:32" x14ac:dyDescent="0.25">
      <c r="A83" s="14"/>
      <c r="B83" s="115">
        <v>89</v>
      </c>
      <c r="C83" s="115">
        <v>4.25</v>
      </c>
      <c r="D83" s="117" t="s">
        <v>286</v>
      </c>
      <c r="E83" s="119">
        <f>'2018'!I633</f>
      </c>
      <c r="F83" s="119">
        <f>'2018'!J633</f>
      </c>
      <c r="G83" s="119">
        <f>'2018'!M633</f>
      </c>
      <c r="H83" s="119">
        <f>'2018'!N633</f>
      </c>
      <c r="I83" s="119">
        <f>'2018'!Q633</f>
      </c>
      <c r="J83" s="119">
        <f>'2018'!R633</f>
      </c>
      <c r="K83" s="119">
        <f>'2018'!U633</f>
      </c>
      <c r="L83" s="119">
        <f>'2018'!V633</f>
      </c>
      <c r="M83" s="119">
        <f>'2018'!Y633</f>
      </c>
      <c r="N83" s="119">
        <f>'2018'!Z633</f>
        <v>0</v>
      </c>
      <c r="O83" s="119">
        <f>'2018'!AC633</f>
      </c>
      <c r="P83" s="119">
        <f>'2018'!AD633</f>
        <v>0</v>
      </c>
      <c r="Q83" s="119">
        <f>'2018'!AG633</f>
      </c>
      <c r="R83" s="119">
        <f>'2018'!AH633</f>
        <v>0</v>
      </c>
      <c r="S83" s="119">
        <f>'2018'!AK633</f>
      </c>
      <c r="T83" s="119">
        <f>'2018'!AL633</f>
        <v>0</v>
      </c>
      <c r="U83" s="119">
        <f>'2018'!AO633</f>
      </c>
      <c r="V83" s="119">
        <f>'2018'!AP633</f>
      </c>
      <c r="W83" s="119">
        <f>'2018'!AS633</f>
      </c>
      <c r="X83" s="119">
        <f>'2018'!AT633</f>
      </c>
      <c r="Y83" s="119">
        <f>'2018'!AW633</f>
      </c>
      <c r="Z83" s="119">
        <f>'2018'!AX633</f>
      </c>
      <c r="AA83" s="119"/>
      <c r="AB83" s="119">
        <f>'2018'!BA633</f>
      </c>
      <c r="AC83" s="119">
        <f>'2018'!BB633</f>
      </c>
      <c r="AD83" s="119"/>
      <c r="AE83" s="119">
        <f>'2018'!BE633</f>
        <v>0</v>
      </c>
      <c r="AF83" s="119">
        <f t="shared" si="0"/>
      </c>
    </row>
    <row r="84" ht="15.75" customHeight="1" spans="1:32" x14ac:dyDescent="0.25">
      <c r="A84" s="14"/>
      <c r="B84" s="115">
        <v>91</v>
      </c>
      <c r="C84" s="115">
        <v>4.23</v>
      </c>
      <c r="D84" s="117" t="s">
        <v>363</v>
      </c>
      <c r="E84" s="119">
        <f>'2018'!I641</f>
        <v>113</v>
      </c>
      <c r="F84" s="119">
        <f>'2018'!J641</f>
        <v>0</v>
      </c>
      <c r="G84" s="119">
        <f>'2018'!M641</f>
        <v>113</v>
      </c>
      <c r="H84" s="119">
        <f>'2018'!N641</f>
        <v>0</v>
      </c>
      <c r="I84" s="119">
        <f>'2018'!Q641</f>
        <v>113</v>
      </c>
      <c r="J84" s="119">
        <f>'2018'!R641</f>
        <v>0</v>
      </c>
      <c r="K84" s="119">
        <f>'2018'!U641</f>
        <v>114</v>
      </c>
      <c r="L84" s="119">
        <f>'2018'!V641</f>
        <v>1</v>
      </c>
      <c r="M84" s="119">
        <f>'2018'!Y641</f>
        <v>118</v>
      </c>
      <c r="N84" s="119">
        <f>'2018'!Z641</f>
        <v>4</v>
      </c>
      <c r="O84" s="119">
        <f>'2018'!AC641</f>
        <v>122</v>
      </c>
      <c r="P84" s="119">
        <f>'2018'!AD641</f>
        <v>4</v>
      </c>
      <c r="Q84" s="119">
        <f>'2018'!AG641</f>
        <v>133</v>
      </c>
      <c r="R84" s="119">
        <f>'2018'!AH641</f>
        <v>11</v>
      </c>
      <c r="S84" s="119">
        <f>'2018'!AK641</f>
        <v>137</v>
      </c>
      <c r="T84" s="119">
        <f>'2018'!AL641</f>
        <v>4</v>
      </c>
      <c r="U84" s="119">
        <f>'2018'!AO641</f>
        <v>141</v>
      </c>
      <c r="V84" s="119">
        <f>'2018'!AP641</f>
        <v>4</v>
      </c>
      <c r="W84" s="119">
        <f>'2018'!AS641</f>
        <v>143</v>
      </c>
      <c r="X84" s="119">
        <f>'2018'!AT641</f>
        <v>2</v>
      </c>
      <c r="Y84" s="119">
        <f>'2018'!AW641</f>
        <v>143</v>
      </c>
      <c r="Z84" s="119">
        <f>'2018'!AX641</f>
        <v>0</v>
      </c>
      <c r="AA84" s="119"/>
      <c r="AB84" s="119">
        <f>'2018'!BA641</f>
        <v>143</v>
      </c>
      <c r="AC84" s="119">
        <f>'2018'!BB641</f>
        <v>0</v>
      </c>
      <c r="AD84" s="119"/>
      <c r="AE84" s="119">
        <f>'2018'!BE641</f>
        <v>30</v>
      </c>
      <c r="AF84" s="119">
        <f t="shared" si="0"/>
      </c>
    </row>
    <row r="85" ht="15.75" customHeight="1" spans="1:32" x14ac:dyDescent="0.25">
      <c r="A85" s="21"/>
      <c r="B85" s="115" t="s">
        <v>292</v>
      </c>
      <c r="C85" s="115">
        <v>8.56</v>
      </c>
      <c r="D85" s="117" t="s">
        <v>293</v>
      </c>
      <c r="E85" s="119">
        <f>'2018'!I649</f>
        <v>489</v>
      </c>
      <c r="F85" s="119">
        <f>'2018'!J649</f>
        <v>0</v>
      </c>
      <c r="G85" s="119">
        <f>'2018'!M649</f>
        <v>489</v>
      </c>
      <c r="H85" s="119">
        <f>'2018'!N649</f>
        <v>0</v>
      </c>
      <c r="I85" s="119">
        <f>'2018'!Q649</f>
        <v>489</v>
      </c>
      <c r="J85" s="119">
        <f>'2018'!R649</f>
        <v>0</v>
      </c>
      <c r="K85" s="119">
        <f>'2018'!U649</f>
        <v>490</v>
      </c>
      <c r="L85" s="119">
        <f>'2018'!V649</f>
        <v>1</v>
      </c>
      <c r="M85" s="119">
        <f>'2018'!Y649</f>
        <v>491</v>
      </c>
      <c r="N85" s="119">
        <f>'2018'!Z649</f>
        <v>1</v>
      </c>
      <c r="O85" s="119">
        <f>'2018'!AC649</f>
        <v>538</v>
      </c>
      <c r="P85" s="119">
        <f>'2018'!AD649</f>
        <v>47</v>
      </c>
      <c r="Q85" s="119">
        <f>'2018'!AG649</f>
        <v>692</v>
      </c>
      <c r="R85" s="119">
        <f>'2018'!AH649</f>
        <v>154</v>
      </c>
      <c r="S85" s="119">
        <f>'2018'!AK649</f>
        <v>813</v>
      </c>
      <c r="T85" s="119">
        <f>'2018'!AL649</f>
        <v>121</v>
      </c>
      <c r="U85" s="119">
        <f>'2018'!AO649</f>
        <v>863</v>
      </c>
      <c r="V85" s="119">
        <f>'2018'!AP649</f>
        <v>50</v>
      </c>
      <c r="W85" s="119">
        <f>'2018'!AS649</f>
        <v>871</v>
      </c>
      <c r="X85" s="119">
        <f>'2018'!AT649</f>
        <v>8</v>
      </c>
      <c r="Y85" s="119">
        <f>'2018'!AW649</f>
        <v>871</v>
      </c>
      <c r="Z85" s="119">
        <f>'2018'!AX649</f>
        <v>0</v>
      </c>
      <c r="AA85" s="119"/>
      <c r="AB85" s="119">
        <f>'2018'!BA649</f>
        <v>871</v>
      </c>
      <c r="AC85" s="119">
        <f>'2018'!BB649</f>
        <v>0</v>
      </c>
      <c r="AD85" s="119"/>
      <c r="AE85" s="119">
        <f>'2018'!BE649</f>
        <v>382</v>
      </c>
      <c r="AF85" s="119">
        <f t="shared" si="0"/>
      </c>
    </row>
    <row r="86" ht="15.75" customHeight="1" spans="1:32" x14ac:dyDescent="0.25">
      <c r="A86" s="114" t="s">
        <v>297</v>
      </c>
      <c r="B86" s="115">
        <v>80</v>
      </c>
      <c r="C86" s="115">
        <v>4.28</v>
      </c>
      <c r="D86" s="117" t="s">
        <v>298</v>
      </c>
      <c r="E86" s="119">
        <f>'2018'!I657</f>
        <v>553</v>
      </c>
      <c r="F86" s="119">
        <f>'2018'!J657</f>
        <v>0</v>
      </c>
      <c r="G86" s="119">
        <f>'2018'!M657</f>
        <v>553</v>
      </c>
      <c r="H86" s="119">
        <f>'2018'!N657</f>
        <v>0</v>
      </c>
      <c r="I86" s="119">
        <f>'2018'!Q657</f>
        <v>553</v>
      </c>
      <c r="J86" s="119">
        <f>'2018'!R657</f>
        <v>0</v>
      </c>
      <c r="K86" s="119">
        <f>'2018'!U657</f>
        <v>561</v>
      </c>
      <c r="L86" s="119">
        <f>'2018'!V657</f>
        <v>8</v>
      </c>
      <c r="M86" s="119">
        <f>'2018'!Y657</f>
        <v>568</v>
      </c>
      <c r="N86" s="119">
        <f>'2018'!Z657</f>
        <v>7</v>
      </c>
      <c r="O86" s="119">
        <f>'2018'!AC657</f>
        <v>599</v>
      </c>
      <c r="P86" s="119">
        <f>'2018'!AD657</f>
        <v>31</v>
      </c>
      <c r="Q86" s="119">
        <f>'2018'!AG657</f>
        <v>657</v>
      </c>
      <c r="R86" s="119">
        <f>'2018'!AH657</f>
        <v>58</v>
      </c>
      <c r="S86" s="119">
        <f>'2018'!AK657</f>
        <v>703</v>
      </c>
      <c r="T86" s="119">
        <f>'2018'!AL657</f>
        <v>46</v>
      </c>
      <c r="U86" s="119">
        <f>'2018'!AO657</f>
        <v>729</v>
      </c>
      <c r="V86" s="119">
        <f>'2018'!AP657</f>
        <v>26</v>
      </c>
      <c r="W86" s="119">
        <f>'2018'!AS657</f>
        <v>743</v>
      </c>
      <c r="X86" s="119">
        <f>'2018'!AT657</f>
        <v>14</v>
      </c>
      <c r="Y86" s="119">
        <f>'2018'!AW657</f>
        <v>743</v>
      </c>
      <c r="Z86" s="119">
        <f>'2018'!AX657</f>
        <v>0</v>
      </c>
      <c r="AA86" s="119"/>
      <c r="AB86" s="119">
        <f>'2018'!BA657</f>
        <v>743</v>
      </c>
      <c r="AC86" s="119">
        <f>'2018'!BB657</f>
        <v>0</v>
      </c>
      <c r="AD86" s="119"/>
      <c r="AE86" s="119">
        <f>'2018'!BE657</f>
        <v>190</v>
      </c>
      <c r="AF86" s="119">
        <f t="shared" si="0"/>
      </c>
    </row>
    <row r="87" ht="15.75" customHeight="1" spans="1:32" x14ac:dyDescent="0.25">
      <c r="A87" s="14"/>
      <c r="B87" s="115">
        <v>82</v>
      </c>
      <c r="C87" s="115">
        <v>4.28</v>
      </c>
      <c r="D87" s="117" t="s">
        <v>300</v>
      </c>
      <c r="E87" s="119">
        <f>'2018'!I665</f>
      </c>
      <c r="F87" s="119">
        <f>'2018'!J665</f>
      </c>
      <c r="G87" s="119">
        <f>'2018'!M665</f>
      </c>
      <c r="H87" s="119">
        <f>'2018'!N665</f>
      </c>
      <c r="I87" s="119">
        <f>'2018'!Q665</f>
      </c>
      <c r="J87" s="119">
        <f>'2018'!R665</f>
      </c>
      <c r="K87" s="119">
        <f>'2018'!U665</f>
      </c>
      <c r="L87" s="119">
        <f>'2018'!V665</f>
      </c>
      <c r="M87" s="119">
        <f>'2018'!Y665</f>
      </c>
      <c r="N87" s="119">
        <f>'2018'!Z665</f>
        <v>0</v>
      </c>
      <c r="O87" s="119">
        <f>'2018'!AC665</f>
      </c>
      <c r="P87" s="119">
        <f>'2018'!AD665</f>
        <v>0</v>
      </c>
      <c r="Q87" s="119">
        <f>'2018'!AG665</f>
      </c>
      <c r="R87" s="119">
        <f>'2018'!AH665</f>
        <v>0</v>
      </c>
      <c r="S87" s="119">
        <f>'2018'!AK665</f>
      </c>
      <c r="T87" s="119">
        <f>'2018'!AL665</f>
        <v>0</v>
      </c>
      <c r="U87" s="119">
        <f>'2018'!AO665</f>
      </c>
      <c r="V87" s="119">
        <f>'2018'!AP665</f>
      </c>
      <c r="W87" s="119">
        <f>'2018'!AS665</f>
      </c>
      <c r="X87" s="119">
        <f>'2018'!AT665</f>
      </c>
      <c r="Y87" s="119">
        <f>'2018'!AW665</f>
      </c>
      <c r="Z87" s="119">
        <f>'2018'!AX665</f>
      </c>
      <c r="AA87" s="119"/>
      <c r="AB87" s="119">
        <f>'2018'!BA665</f>
      </c>
      <c r="AC87" s="119">
        <f>'2018'!BB665</f>
      </c>
      <c r="AD87" s="119"/>
      <c r="AE87" s="119">
        <f>'2018'!BE665</f>
        <v>0</v>
      </c>
      <c r="AF87" s="119">
        <f t="shared" si="0"/>
      </c>
    </row>
    <row r="88" ht="15.75" customHeight="1" spans="1:32" x14ac:dyDescent="0.25">
      <c r="A88" s="14"/>
      <c r="B88" s="115">
        <v>84</v>
      </c>
      <c r="C88" s="115">
        <v>4.18</v>
      </c>
      <c r="D88" s="117" t="s">
        <v>301</v>
      </c>
      <c r="E88" s="119">
        <f>'2018'!I673</f>
      </c>
      <c r="F88" s="119">
        <f>'2018'!J673</f>
      </c>
      <c r="G88" s="119">
        <f>'2018'!M673</f>
      </c>
      <c r="H88" s="119">
        <f>'2018'!N673</f>
      </c>
      <c r="I88" s="119">
        <f>'2018'!Q673</f>
      </c>
      <c r="J88" s="119">
        <f>'2018'!R673</f>
      </c>
      <c r="K88" s="119">
        <f>'2018'!U673</f>
      </c>
      <c r="L88" s="119">
        <f>'2018'!V673</f>
      </c>
      <c r="M88" s="119">
        <f>'2018'!Y673</f>
      </c>
      <c r="N88" s="119">
        <f>'2018'!Z673</f>
        <v>0</v>
      </c>
      <c r="O88" s="119">
        <f>'2018'!AC673</f>
      </c>
      <c r="P88" s="119">
        <f>'2018'!AD673</f>
        <v>0</v>
      </c>
      <c r="Q88" s="119">
        <f>'2018'!AG673</f>
      </c>
      <c r="R88" s="119">
        <f>'2018'!AH673</f>
        <v>0</v>
      </c>
      <c r="S88" s="119">
        <f>'2018'!AK673</f>
      </c>
      <c r="T88" s="119">
        <f>'2018'!AL673</f>
        <v>0</v>
      </c>
      <c r="U88" s="119">
        <f>'2018'!AO673</f>
      </c>
      <c r="V88" s="119">
        <f>'2018'!AP673</f>
      </c>
      <c r="W88" s="119">
        <f>'2018'!AS673</f>
      </c>
      <c r="X88" s="119">
        <f>'2018'!AT673</f>
      </c>
      <c r="Y88" s="119">
        <f>'2018'!AW673</f>
      </c>
      <c r="Z88" s="119">
        <f>'2018'!AX673</f>
      </c>
      <c r="AA88" s="119"/>
      <c r="AB88" s="119">
        <f>'2018'!BA673</f>
      </c>
      <c r="AC88" s="119">
        <f>'2018'!BB673</f>
      </c>
      <c r="AD88" s="119"/>
      <c r="AE88" s="119">
        <f>'2018'!BE673</f>
        <v>0</v>
      </c>
      <c r="AF88" s="119">
        <f t="shared" si="0"/>
      </c>
    </row>
    <row r="89" ht="15.75" customHeight="1" spans="1:32" x14ac:dyDescent="0.25">
      <c r="A89" s="14"/>
      <c r="B89" s="115">
        <v>86</v>
      </c>
      <c r="C89" s="115">
        <v>4.23</v>
      </c>
      <c r="D89" s="117" t="s">
        <v>304</v>
      </c>
      <c r="E89" s="119">
        <f>'2018'!I681</f>
      </c>
      <c r="F89" s="119">
        <f>'2018'!J681</f>
      </c>
      <c r="G89" s="119">
        <f>'2018'!M681</f>
      </c>
      <c r="H89" s="119">
        <f>'2018'!N681</f>
      </c>
      <c r="I89" s="119">
        <f>'2018'!Q681</f>
      </c>
      <c r="J89" s="119">
        <f>'2018'!R681</f>
      </c>
      <c r="K89" s="119">
        <f>'2018'!U681</f>
      </c>
      <c r="L89" s="119">
        <f>'2018'!V681</f>
      </c>
      <c r="M89" s="119">
        <f>'2018'!Y681</f>
      </c>
      <c r="N89" s="119">
        <f>'2018'!Z681</f>
        <v>0</v>
      </c>
      <c r="O89" s="119">
        <f>'2018'!AC681</f>
      </c>
      <c r="P89" s="119">
        <f>'2018'!AD681</f>
        <v>0</v>
      </c>
      <c r="Q89" s="119">
        <f>'2018'!AG681</f>
      </c>
      <c r="R89" s="119">
        <f>'2018'!AH681</f>
        <v>0</v>
      </c>
      <c r="S89" s="119">
        <f>'2018'!AK681</f>
      </c>
      <c r="T89" s="119">
        <f>'2018'!AL681</f>
        <v>0</v>
      </c>
      <c r="U89" s="119">
        <f>'2018'!AO681</f>
      </c>
      <c r="V89" s="119">
        <f>'2018'!AP681</f>
      </c>
      <c r="W89" s="119">
        <f>'2018'!AS681</f>
      </c>
      <c r="X89" s="119">
        <f>'2018'!AT681</f>
      </c>
      <c r="Y89" s="119">
        <f>'2018'!AW681</f>
      </c>
      <c r="Z89" s="119">
        <f>'2018'!AX681</f>
      </c>
      <c r="AA89" s="119"/>
      <c r="AB89" s="119">
        <f>'2018'!BA681</f>
      </c>
      <c r="AC89" s="119">
        <f>'2018'!BB681</f>
      </c>
      <c r="AD89" s="119"/>
      <c r="AE89" s="119">
        <f>'2018'!BE681</f>
        <v>0</v>
      </c>
      <c r="AF89" s="119">
        <f t="shared" si="0"/>
      </c>
    </row>
    <row r="90" ht="15.75" customHeight="1" spans="1:32" x14ac:dyDescent="0.25">
      <c r="A90" s="14"/>
      <c r="B90" s="115">
        <v>88</v>
      </c>
      <c r="C90" s="115">
        <v>4.23</v>
      </c>
      <c r="D90" s="117" t="s">
        <v>308</v>
      </c>
      <c r="E90" s="119">
        <f>'2018'!I689</f>
      </c>
      <c r="F90" s="119">
        <f>'2018'!J689</f>
      </c>
      <c r="G90" s="119">
        <f>'2018'!M689</f>
      </c>
      <c r="H90" s="119">
        <f>'2018'!N689</f>
      </c>
      <c r="I90" s="119">
        <f>'2018'!Q689</f>
      </c>
      <c r="J90" s="119">
        <f>'2018'!R689</f>
      </c>
      <c r="K90" s="119">
        <f>'2018'!U689</f>
      </c>
      <c r="L90" s="119">
        <f>'2018'!V689</f>
      </c>
      <c r="M90" s="119">
        <f>'2018'!Y689</f>
      </c>
      <c r="N90" s="119">
        <f>'2018'!Z689</f>
        <v>0</v>
      </c>
      <c r="O90" s="119">
        <f>'2018'!AC689</f>
      </c>
      <c r="P90" s="119">
        <f>'2018'!AD689</f>
        <v>0</v>
      </c>
      <c r="Q90" s="119">
        <f>'2018'!AG689</f>
      </c>
      <c r="R90" s="119">
        <f>'2018'!AH689</f>
        <v>0</v>
      </c>
      <c r="S90" s="119">
        <f>'2018'!AK689</f>
      </c>
      <c r="T90" s="119">
        <f>'2018'!AL689</f>
        <v>0</v>
      </c>
      <c r="U90" s="119">
        <f>'2018'!AO689</f>
      </c>
      <c r="V90" s="119">
        <f>'2018'!AP689</f>
      </c>
      <c r="W90" s="119">
        <f>'2018'!AS689</f>
      </c>
      <c r="X90" s="119">
        <f>'2018'!AT689</f>
      </c>
      <c r="Y90" s="119">
        <f>'2018'!AW689</f>
      </c>
      <c r="Z90" s="119">
        <f>'2018'!AX689</f>
      </c>
      <c r="AA90" s="119"/>
      <c r="AB90" s="119">
        <f>'2018'!BA689</f>
      </c>
      <c r="AC90" s="119">
        <f>'2018'!BB689</f>
      </c>
      <c r="AD90" s="119"/>
      <c r="AE90" s="119">
        <f>'2018'!BE689</f>
        <v>0</v>
      </c>
      <c r="AF90" s="119">
        <f t="shared" si="0"/>
      </c>
    </row>
    <row r="91" ht="15.75" customHeight="1" spans="1:32" x14ac:dyDescent="0.25">
      <c r="A91" s="14"/>
      <c r="B91" s="115">
        <v>90</v>
      </c>
      <c r="C91" s="115">
        <v>4.23</v>
      </c>
      <c r="D91" s="117" t="s">
        <v>311</v>
      </c>
      <c r="E91" s="119">
        <f>'2018'!I697</f>
      </c>
      <c r="F91" s="119">
        <f>'2018'!J697</f>
      </c>
      <c r="G91" s="119">
        <f>'2018'!M697</f>
      </c>
      <c r="H91" s="119">
        <f>'2018'!N697</f>
      </c>
      <c r="I91" s="119">
        <f>'2018'!Q697</f>
      </c>
      <c r="J91" s="119">
        <f>'2018'!R697</f>
      </c>
      <c r="K91" s="119">
        <f>'2018'!U697</f>
      </c>
      <c r="L91" s="119">
        <f>'2018'!V697</f>
      </c>
      <c r="M91" s="119">
        <f>'2018'!Y697</f>
      </c>
      <c r="N91" s="119">
        <f>'2018'!Z697</f>
        <v>0</v>
      </c>
      <c r="O91" s="119">
        <f>'2018'!AC697</f>
      </c>
      <c r="P91" s="119">
        <f>'2018'!AD697</f>
        <v>0</v>
      </c>
      <c r="Q91" s="119">
        <f>'2018'!AG697</f>
      </c>
      <c r="R91" s="119">
        <f>'2018'!AH697</f>
        <v>0</v>
      </c>
      <c r="S91" s="119">
        <f>'2018'!AK697</f>
      </c>
      <c r="T91" s="119">
        <f>'2018'!AL697</f>
        <v>0</v>
      </c>
      <c r="U91" s="119">
        <f>'2018'!AO697</f>
      </c>
      <c r="V91" s="119">
        <f>'2018'!AP697</f>
      </c>
      <c r="W91" s="119">
        <f>'2018'!AS697</f>
      </c>
      <c r="X91" s="119">
        <f>'2018'!AT697</f>
      </c>
      <c r="Y91" s="119">
        <f>'2018'!AW697</f>
      </c>
      <c r="Z91" s="119">
        <f>'2018'!AX697</f>
      </c>
      <c r="AA91" s="119"/>
      <c r="AB91" s="119">
        <f>'2018'!BA697</f>
      </c>
      <c r="AC91" s="119">
        <f>'2018'!BB697</f>
      </c>
      <c r="AD91" s="119"/>
      <c r="AE91" s="119">
        <f>'2018'!BE697</f>
        <v>0</v>
      </c>
      <c r="AF91" s="119">
        <f t="shared" si="0"/>
      </c>
    </row>
    <row r="92" ht="15.75" customHeight="1" spans="1:32" x14ac:dyDescent="0.25">
      <c r="A92" s="14"/>
      <c r="B92" s="115">
        <v>92</v>
      </c>
      <c r="C92" s="115">
        <v>4.28</v>
      </c>
      <c r="D92" s="117" t="s">
        <v>312</v>
      </c>
      <c r="E92" s="119">
        <f>'2018'!I705</f>
        <v>2233</v>
      </c>
      <c r="F92" s="119">
        <f>'2018'!J705</f>
        <v>295</v>
      </c>
      <c r="G92" s="119">
        <f>'2018'!M705</f>
        <v>2448</v>
      </c>
      <c r="H92" s="119">
        <f>'2018'!N705</f>
        <v>215</v>
      </c>
      <c r="I92" s="119">
        <f>'2018'!Q705</f>
        <v>2772</v>
      </c>
      <c r="J92" s="119">
        <f>'2018'!R705</f>
        <v>324</v>
      </c>
      <c r="K92" s="119">
        <f>'2018'!U705</f>
        <v>2909</v>
      </c>
      <c r="L92" s="119">
        <f>'2018'!V705</f>
        <v>137</v>
      </c>
      <c r="M92" s="119">
        <f>'2018'!Y705</f>
        <v>2957</v>
      </c>
      <c r="N92" s="119">
        <f>'2018'!Z705</f>
        <v>48</v>
      </c>
      <c r="O92" s="119">
        <f>'2018'!AC705</f>
        <v>3129</v>
      </c>
      <c r="P92" s="119">
        <f>'2018'!AD705</f>
        <v>172</v>
      </c>
      <c r="Q92" s="119">
        <f>'2018'!AG705</f>
        <v>3313</v>
      </c>
      <c r="R92" s="119">
        <f>'2018'!AH705</f>
        <v>184</v>
      </c>
      <c r="S92" s="119">
        <f>'2018'!AK705</f>
        <v>3509</v>
      </c>
      <c r="T92" s="119">
        <f>'2018'!AL705</f>
        <v>196</v>
      </c>
      <c r="U92" s="119">
        <f>'2018'!AO705</f>
        <v>3727</v>
      </c>
      <c r="V92" s="119">
        <f>'2018'!AP705</f>
        <v>218</v>
      </c>
      <c r="W92" s="119">
        <f>'2018'!AS705</f>
        <v>3961</v>
      </c>
      <c r="X92" s="119">
        <f>'2018'!AT705</f>
        <v>234</v>
      </c>
      <c r="Y92" s="119">
        <f>'2018'!AW705</f>
        <v>4123</v>
      </c>
      <c r="Z92" s="119">
        <f>'2018'!AX705</f>
        <v>162</v>
      </c>
      <c r="AA92" s="119">
        <v>155</v>
      </c>
      <c r="AB92" s="119">
        <f>'2018'!BA705</f>
        <v>4496</v>
      </c>
      <c r="AC92" s="119">
        <f>'2018'!BB705</f>
        <v>373</v>
      </c>
      <c r="AD92" s="119"/>
      <c r="AE92" s="119">
        <f>'2018'!BE705</f>
        <v>2558</v>
      </c>
      <c r="AF92" s="119">
        <f t="shared" si="0"/>
        <v>155</v>
      </c>
    </row>
    <row r="93" ht="15.75" customHeight="1" spans="1:32" x14ac:dyDescent="0.25">
      <c r="A93" s="14"/>
      <c r="B93" s="115" t="s">
        <v>315</v>
      </c>
      <c r="C93" s="115">
        <v>8.76</v>
      </c>
      <c r="D93" s="117" t="s">
        <v>316</v>
      </c>
      <c r="E93" s="119">
        <f>'2018'!I713</f>
        <v>3306</v>
      </c>
      <c r="F93" s="119">
        <f>'2018'!J713</f>
        <v>2438</v>
      </c>
      <c r="G93" s="119">
        <f>'2018'!M713</f>
        <v>4938</v>
      </c>
      <c r="H93" s="119">
        <f>'2018'!N713</f>
        <v>1632</v>
      </c>
      <c r="I93" s="119">
        <f>'2018'!Q713</f>
        <v>6184</v>
      </c>
      <c r="J93" s="119">
        <f>'2018'!R713</f>
        <v>1246</v>
      </c>
      <c r="K93" s="119">
        <f>'2018'!U713</f>
        <v>7392</v>
      </c>
      <c r="L93" s="119">
        <f>'2018'!V713</f>
        <v>1208</v>
      </c>
      <c r="M93" s="119">
        <f>'2018'!Y713</f>
        <v>8078</v>
      </c>
      <c r="N93" s="119">
        <f>'2018'!Z713</f>
        <v>686</v>
      </c>
      <c r="O93" s="119">
        <f>'2018'!AC713</f>
        <v>8512</v>
      </c>
      <c r="P93" s="119">
        <f>'2018'!AD713</f>
        <v>434</v>
      </c>
      <c r="Q93" s="119">
        <f>'2018'!AG713</f>
        <v>8789</v>
      </c>
      <c r="R93" s="119">
        <f>'2018'!AH713</f>
        <v>277</v>
      </c>
      <c r="S93" s="119">
        <f>'2018'!AK713</f>
        <v>9108</v>
      </c>
      <c r="T93" s="119">
        <f>'2018'!AL713</f>
        <v>319</v>
      </c>
      <c r="U93" s="119">
        <f>'2018'!AO713</f>
        <v>9588</v>
      </c>
      <c r="V93" s="119">
        <f>'2018'!AP713</f>
        <v>480</v>
      </c>
      <c r="W93" s="119">
        <f>'2018'!AS713</f>
        <v>10521</v>
      </c>
      <c r="X93" s="119">
        <f>'2018'!AT713</f>
        <v>933</v>
      </c>
      <c r="Y93" s="119">
        <f>'2018'!AW713</f>
        <v>11349</v>
      </c>
      <c r="Z93" s="119">
        <f>'2018'!AX713</f>
        <v>828</v>
      </c>
      <c r="AA93" s="119">
        <v>155</v>
      </c>
      <c r="AB93" s="119">
        <f>'2018'!BA713</f>
        <v>12678</v>
      </c>
      <c r="AC93" s="119">
        <f>'2018'!BB713</f>
        <v>1329</v>
      </c>
      <c r="AD93" s="119"/>
      <c r="AE93" s="119">
        <f>'2018'!BE713</f>
        <v>11810</v>
      </c>
      <c r="AF93" s="119">
        <f t="shared" si="0"/>
        <v>155</v>
      </c>
    </row>
    <row r="94" ht="15.75" customHeight="1" spans="1:32" x14ac:dyDescent="0.25">
      <c r="A94" s="14"/>
      <c r="B94" s="115">
        <v>99</v>
      </c>
      <c r="C94" s="115">
        <v>4.53</v>
      </c>
      <c r="D94" s="117" t="s">
        <v>319</v>
      </c>
      <c r="E94" s="119">
        <f>'2018'!I721</f>
        <v>100</v>
      </c>
      <c r="F94" s="119">
        <f>'2018'!J721</f>
        <v>0</v>
      </c>
      <c r="G94" s="119">
        <f>'2018'!M721</f>
        <v>100</v>
      </c>
      <c r="H94" s="119">
        <f>'2018'!N721</f>
        <v>0</v>
      </c>
      <c r="I94" s="119">
        <f>'2018'!Q721</f>
        <v>100</v>
      </c>
      <c r="J94" s="119">
        <f>'2018'!R721</f>
        <v>0</v>
      </c>
      <c r="K94" s="119">
        <f>'2018'!U721</f>
        <v>100</v>
      </c>
      <c r="L94" s="119">
        <f>'2018'!V721</f>
        <v>0</v>
      </c>
      <c r="M94" s="119">
        <f>'2018'!Y721</f>
        <v>100</v>
      </c>
      <c r="N94" s="119">
        <f>'2018'!Z721</f>
        <v>0</v>
      </c>
      <c r="O94" s="119">
        <f>'2018'!AC721</f>
        <v>106</v>
      </c>
      <c r="P94" s="119">
        <f>'2018'!AD721</f>
        <v>6</v>
      </c>
      <c r="Q94" s="119">
        <f>'2018'!AG721</f>
        <v>109</v>
      </c>
      <c r="R94" s="119">
        <f>'2018'!AH721</f>
        <v>3</v>
      </c>
      <c r="S94" s="119">
        <f>'2018'!AK721</f>
        <v>111</v>
      </c>
      <c r="T94" s="119">
        <f>'2018'!AL721</f>
        <v>2</v>
      </c>
      <c r="U94" s="119">
        <f>'2018'!AO721</f>
        <v>112</v>
      </c>
      <c r="V94" s="119">
        <f>'2018'!AP721</f>
        <v>1</v>
      </c>
      <c r="W94" s="119">
        <f>'2018'!AS721</f>
        <v>112</v>
      </c>
      <c r="X94" s="119">
        <f>'2018'!AT721</f>
        <v>0</v>
      </c>
      <c r="Y94" s="119">
        <f>'2018'!AW721</f>
        <v>112</v>
      </c>
      <c r="Z94" s="119">
        <f>'2018'!AX721</f>
        <v>0</v>
      </c>
      <c r="AA94" s="119"/>
      <c r="AB94" s="119">
        <f>'2018'!BA721</f>
        <v>112</v>
      </c>
      <c r="AC94" s="119">
        <f>'2018'!BB721</f>
        <v>0</v>
      </c>
      <c r="AD94" s="119"/>
      <c r="AE94" s="119">
        <f>'2018'!BE721</f>
        <v>12</v>
      </c>
      <c r="AF94" s="119">
        <f t="shared" si="0"/>
      </c>
    </row>
    <row r="95" ht="15.75" customHeight="1" spans="1:32" x14ac:dyDescent="0.25">
      <c r="A95" s="14"/>
      <c r="B95" s="115">
        <v>101</v>
      </c>
      <c r="C95" s="115">
        <v>4.46</v>
      </c>
      <c r="D95" s="117" t="s">
        <v>321</v>
      </c>
      <c r="E95" s="119">
        <f>'2018'!I729</f>
        <v>103</v>
      </c>
      <c r="F95" s="119">
        <f>'2018'!J729</f>
        <v>0</v>
      </c>
      <c r="G95" s="119">
        <f>'2018'!M729</f>
        <v>103</v>
      </c>
      <c r="H95" s="119">
        <f>'2018'!N729</f>
        <v>0</v>
      </c>
      <c r="I95" s="119">
        <f>'2018'!Q729</f>
        <v>103</v>
      </c>
      <c r="J95" s="119">
        <f>'2018'!R729</f>
        <v>0</v>
      </c>
      <c r="K95" s="119">
        <f>'2018'!U729</f>
        <v>104</v>
      </c>
      <c r="L95" s="119">
        <f>'2018'!V729</f>
        <v>1</v>
      </c>
      <c r="M95" s="119">
        <f>'2018'!Y729</f>
        <v>107</v>
      </c>
      <c r="N95" s="119">
        <f>'2018'!Z729</f>
        <v>3</v>
      </c>
      <c r="O95" s="119">
        <f>'2018'!AC729</f>
        <v>112</v>
      </c>
      <c r="P95" s="119">
        <f>'2018'!AD729</f>
        <v>5</v>
      </c>
      <c r="Q95" s="119">
        <f>'2018'!AG729</f>
        <v>115</v>
      </c>
      <c r="R95" s="119">
        <f>'2018'!AH729</f>
        <v>3</v>
      </c>
      <c r="S95" s="119">
        <f>'2018'!AK729</f>
        <v>117</v>
      </c>
      <c r="T95" s="119">
        <f>'2018'!AL729</f>
        <v>2</v>
      </c>
      <c r="U95" s="119">
        <f>'2018'!AO729</f>
        <v>117</v>
      </c>
      <c r="V95" s="119">
        <f>'2018'!AP729</f>
        <v>0</v>
      </c>
      <c r="W95" s="119">
        <f>'2018'!AS729</f>
        <v>117</v>
      </c>
      <c r="X95" s="119">
        <f>'2018'!AT729</f>
        <v>0</v>
      </c>
      <c r="Y95" s="119">
        <f>'2018'!AW729</f>
        <v>117</v>
      </c>
      <c r="Z95" s="119">
        <f>'2018'!AX729</f>
        <v>0</v>
      </c>
      <c r="AA95" s="119"/>
      <c r="AB95" s="119">
        <f>'2018'!BA729</f>
        <v>117</v>
      </c>
      <c r="AC95" s="119">
        <f>'2018'!BB729</f>
        <v>0</v>
      </c>
      <c r="AD95" s="119"/>
      <c r="AE95" s="119">
        <f>'2018'!BE729</f>
        <v>14</v>
      </c>
      <c r="AF95" s="119">
        <f t="shared" si="0"/>
      </c>
    </row>
    <row r="96" ht="15.75" customHeight="1" spans="1:32" x14ac:dyDescent="0.25">
      <c r="A96" s="14"/>
      <c r="B96" s="115">
        <v>103</v>
      </c>
      <c r="C96" s="115">
        <v>4.42</v>
      </c>
      <c r="D96" s="117" t="s">
        <v>322</v>
      </c>
      <c r="E96" s="119">
        <f>'2018'!I737</f>
      </c>
      <c r="F96" s="119">
        <f>'2018'!J737</f>
      </c>
      <c r="G96" s="119">
        <f>'2018'!M737</f>
      </c>
      <c r="H96" s="119">
        <f>'2018'!N737</f>
      </c>
      <c r="I96" s="119">
        <f>'2018'!Q737</f>
      </c>
      <c r="J96" s="119">
        <f>'2018'!R737</f>
      </c>
      <c r="K96" s="119">
        <f>'2018'!U737</f>
      </c>
      <c r="L96" s="119">
        <f>'2018'!V737</f>
      </c>
      <c r="M96" s="119">
        <f>'2018'!Y737</f>
      </c>
      <c r="N96" s="119">
        <f>'2018'!Z737</f>
        <v>0</v>
      </c>
      <c r="O96" s="119">
        <f>'2018'!AC737</f>
      </c>
      <c r="P96" s="119">
        <f>'2018'!AD737</f>
        <v>0</v>
      </c>
      <c r="Q96" s="119">
        <f>'2018'!AG737</f>
      </c>
      <c r="R96" s="119">
        <f>'2018'!AH737</f>
        <v>0</v>
      </c>
      <c r="S96" s="119">
        <f>'2018'!AK737</f>
      </c>
      <c r="T96" s="119">
        <f>'2018'!AL737</f>
        <v>0</v>
      </c>
      <c r="U96" s="119">
        <f>'2018'!AO737</f>
      </c>
      <c r="V96" s="119">
        <f>'2018'!AP737</f>
      </c>
      <c r="W96" s="119">
        <f>'2018'!AS737</f>
      </c>
      <c r="X96" s="119">
        <f>'2018'!AT737</f>
      </c>
      <c r="Y96" s="119">
        <f>'2018'!AW737</f>
      </c>
      <c r="Z96" s="119">
        <f>'2018'!AX737</f>
      </c>
      <c r="AA96" s="119"/>
      <c r="AB96" s="119">
        <f>'2018'!BA737</f>
      </c>
      <c r="AC96" s="119">
        <f>'2018'!BB737</f>
      </c>
      <c r="AD96" s="119"/>
      <c r="AE96" s="119">
        <f>'2018'!BE737</f>
        <v>0</v>
      </c>
      <c r="AF96" s="119">
        <f t="shared" si="0"/>
      </c>
    </row>
    <row r="97" ht="15.75" customHeight="1" spans="1:32" x14ac:dyDescent="0.25">
      <c r="A97" s="14"/>
      <c r="B97" s="115">
        <v>105</v>
      </c>
      <c r="C97" s="115">
        <v>4.41</v>
      </c>
      <c r="D97" s="117" t="s">
        <v>323</v>
      </c>
      <c r="E97" s="119">
        <f>'2018'!I745</f>
        <v>480</v>
      </c>
      <c r="F97" s="119">
        <f>'2018'!J745</f>
        <v>0</v>
      </c>
      <c r="G97" s="119">
        <f>'2018'!M745</f>
        <v>480</v>
      </c>
      <c r="H97" s="119">
        <f>'2018'!N745</f>
        <v>0</v>
      </c>
      <c r="I97" s="119">
        <f>'2018'!Q745</f>
        <v>480</v>
      </c>
      <c r="J97" s="119">
        <f>'2018'!R745</f>
        <v>0</v>
      </c>
      <c r="K97" s="119">
        <f>'2018'!U745</f>
        <v>480</v>
      </c>
      <c r="L97" s="119">
        <f>'2018'!V745</f>
        <v>0</v>
      </c>
      <c r="M97" s="119">
        <f>'2018'!Y745</f>
        <v>482</v>
      </c>
      <c r="N97" s="119">
        <f>'2018'!Z745</f>
        <v>2</v>
      </c>
      <c r="O97" s="119">
        <f>'2018'!AC745</f>
        <v>531</v>
      </c>
      <c r="P97" s="119">
        <f>'2018'!AD745</f>
        <v>49</v>
      </c>
      <c r="Q97" s="119">
        <f>'2018'!AG745</f>
        <v>618</v>
      </c>
      <c r="R97" s="119">
        <f>'2018'!AH745</f>
        <v>87</v>
      </c>
      <c r="S97" s="119">
        <f>'2018'!AK745</f>
        <v>727</v>
      </c>
      <c r="T97" s="119">
        <f>'2018'!AL745</f>
        <v>109</v>
      </c>
      <c r="U97" s="119">
        <f>'2018'!AO745</f>
        <v>736</v>
      </c>
      <c r="V97" s="119">
        <f>'2018'!AP745</f>
        <v>9</v>
      </c>
      <c r="W97" s="119">
        <f>'2018'!AS745</f>
        <v>738</v>
      </c>
      <c r="X97" s="119">
        <f>'2018'!AT745</f>
        <v>2</v>
      </c>
      <c r="Y97" s="119">
        <f>'2018'!AW745</f>
        <v>738</v>
      </c>
      <c r="Z97" s="119">
        <f>'2018'!AX745</f>
        <v>0</v>
      </c>
      <c r="AA97" s="119"/>
      <c r="AB97" s="119">
        <f>'2018'!BA745</f>
        <v>738</v>
      </c>
      <c r="AC97" s="119">
        <f>'2018'!BB745</f>
        <v>0</v>
      </c>
      <c r="AD97" s="119"/>
      <c r="AE97" s="119">
        <f>'2018'!BE745</f>
        <v>258</v>
      </c>
      <c r="AF97" s="119">
        <f t="shared" si="0"/>
      </c>
    </row>
    <row r="98" ht="15.75" customHeight="1" spans="1:32" x14ac:dyDescent="0.25">
      <c r="A98" s="21"/>
      <c r="B98" s="115">
        <v>107</v>
      </c>
      <c r="C98" s="115">
        <v>4.37</v>
      </c>
      <c r="D98" s="117" t="s">
        <v>325</v>
      </c>
      <c r="E98" s="119">
        <f>'2018'!I753</f>
      </c>
      <c r="F98" s="119">
        <f>'2018'!J753</f>
      </c>
      <c r="G98" s="119">
        <f>'2018'!M753</f>
      </c>
      <c r="H98" s="119">
        <f>'2018'!N753</f>
      </c>
      <c r="I98" s="119">
        <f>'2018'!Q753</f>
      </c>
      <c r="J98" s="119">
        <f>'2018'!R753</f>
      </c>
      <c r="K98" s="119">
        <f>'2018'!U753</f>
      </c>
      <c r="L98" s="119">
        <f>'2018'!V753</f>
      </c>
      <c r="M98" s="119">
        <f>'2018'!Y753</f>
      </c>
      <c r="N98" s="119">
        <f>'2018'!Z753</f>
        <v>0</v>
      </c>
      <c r="O98" s="119">
        <f>'2018'!AC753</f>
      </c>
      <c r="P98" s="119">
        <f>'2018'!AD753</f>
        <v>0</v>
      </c>
      <c r="Q98" s="119">
        <f>'2018'!AG753</f>
      </c>
      <c r="R98" s="119">
        <f>'2018'!AH753</f>
        <v>0</v>
      </c>
      <c r="S98" s="119">
        <f>'2018'!AK753</f>
      </c>
      <c r="T98" s="119">
        <f>'2018'!AL753</f>
        <v>0</v>
      </c>
      <c r="U98" s="119">
        <f>'2018'!AO753</f>
      </c>
      <c r="V98" s="119">
        <f>'2018'!AP753</f>
      </c>
      <c r="W98" s="119">
        <f>'2018'!AS753</f>
      </c>
      <c r="X98" s="119">
        <f>'2018'!AT753</f>
      </c>
      <c r="Y98" s="119">
        <f>'2018'!AW753</f>
      </c>
      <c r="Z98" s="119">
        <f>'2018'!AX753</f>
      </c>
      <c r="AA98" s="119"/>
      <c r="AB98" s="119">
        <f>'2018'!BA753</f>
      </c>
      <c r="AC98" s="119">
        <f>'2018'!BB753</f>
      </c>
      <c r="AD98" s="119"/>
      <c r="AE98" s="119">
        <f>'2018'!BE753</f>
        <v>0</v>
      </c>
      <c r="AF98" s="119">
        <f t="shared" si="0"/>
      </c>
    </row>
    <row r="99" ht="15.75" customHeight="1" spans="1:32" x14ac:dyDescent="0.25">
      <c r="A99" s="114" t="s">
        <v>327</v>
      </c>
      <c r="B99" s="115">
        <v>96</v>
      </c>
      <c r="C99" s="115">
        <v>4.46</v>
      </c>
      <c r="D99" s="117" t="s">
        <v>316</v>
      </c>
      <c r="E99" s="119">
        <f>'2018'!I761</f>
      </c>
      <c r="F99" s="119">
        <f>'2018'!J761</f>
      </c>
      <c r="G99" s="119">
        <f>'2018'!M761</f>
      </c>
      <c r="H99" s="119">
        <f>'2018'!N761</f>
      </c>
      <c r="I99" s="119">
        <f>'2018'!Q761</f>
      </c>
      <c r="J99" s="119">
        <f>'2018'!R761</f>
      </c>
      <c r="K99" s="119">
        <f>'2018'!U761</f>
      </c>
      <c r="L99" s="119">
        <f>'2018'!V761</f>
      </c>
      <c r="M99" s="119">
        <f>'2018'!Y761</f>
      </c>
      <c r="N99" s="119">
        <f>'2018'!Z761</f>
        <v>0</v>
      </c>
      <c r="O99" s="119">
        <f>'2018'!AC761</f>
      </c>
      <c r="P99" s="119">
        <f>'2018'!AD761</f>
        <v>0</v>
      </c>
      <c r="Q99" s="119">
        <f>'2018'!AG761</f>
      </c>
      <c r="R99" s="119">
        <f>'2018'!AH761</f>
        <v>0</v>
      </c>
      <c r="S99" s="119">
        <f>'2018'!AK761</f>
      </c>
      <c r="T99" s="119">
        <f>'2018'!AL761</f>
        <v>0</v>
      </c>
      <c r="U99" s="119">
        <f>'2018'!AO761</f>
      </c>
      <c r="V99" s="119">
        <f>'2018'!AP761</f>
      </c>
      <c r="W99" s="119">
        <f>'2018'!AS761</f>
      </c>
      <c r="X99" s="119">
        <f>'2018'!AT761</f>
      </c>
      <c r="Y99" s="119">
        <f>'2018'!AW761</f>
      </c>
      <c r="Z99" s="119">
        <f>'2018'!AX761</f>
      </c>
      <c r="AA99" s="119"/>
      <c r="AB99" s="119">
        <f>'2018'!BA761</f>
      </c>
      <c r="AC99" s="119">
        <f>'2018'!BB761</f>
      </c>
      <c r="AD99" s="119"/>
      <c r="AE99" s="119">
        <f>'2018'!BE761</f>
        <v>0</v>
      </c>
      <c r="AF99" s="119">
        <f t="shared" si="0"/>
      </c>
    </row>
    <row r="100" ht="15.75" customHeight="1" spans="1:32" x14ac:dyDescent="0.25">
      <c r="A100" s="14"/>
      <c r="B100" s="115">
        <v>98</v>
      </c>
      <c r="C100" s="115">
        <v>4.45</v>
      </c>
      <c r="D100" s="117" t="s">
        <v>328</v>
      </c>
      <c r="E100" s="119">
        <f>'2018'!I769</f>
      </c>
      <c r="F100" s="119">
        <f>'2018'!J769</f>
      </c>
      <c r="G100" s="119">
        <f>'2018'!M769</f>
      </c>
      <c r="H100" s="119">
        <f>'2018'!N769</f>
      </c>
      <c r="I100" s="119">
        <f>'2018'!Q769</f>
      </c>
      <c r="J100" s="119">
        <f>'2018'!R769</f>
      </c>
      <c r="K100" s="119">
        <f>'2018'!U769</f>
      </c>
      <c r="L100" s="119">
        <f>'2018'!V769</f>
      </c>
      <c r="M100" s="119">
        <f>'2018'!Y769</f>
      </c>
      <c r="N100" s="119">
        <f>'2018'!Z769</f>
        <v>0</v>
      </c>
      <c r="O100" s="119">
        <f>'2018'!AC769</f>
      </c>
      <c r="P100" s="119">
        <f>'2018'!AD769</f>
        <v>0</v>
      </c>
      <c r="Q100" s="119">
        <f>'2018'!AG769</f>
      </c>
      <c r="R100" s="119">
        <f>'2018'!AH769</f>
        <v>0</v>
      </c>
      <c r="S100" s="119">
        <f>'2018'!AK769</f>
      </c>
      <c r="T100" s="119">
        <f>'2018'!AL769</f>
        <v>0</v>
      </c>
      <c r="U100" s="119">
        <f>'2018'!AO769</f>
      </c>
      <c r="V100" s="119">
        <f>'2018'!AP769</f>
      </c>
      <c r="W100" s="119">
        <f>'2018'!AS769</f>
      </c>
      <c r="X100" s="119">
        <f>'2018'!AT769</f>
      </c>
      <c r="Y100" s="119">
        <f>'2018'!AW769</f>
      </c>
      <c r="Z100" s="119">
        <f>'2018'!AX769</f>
      </c>
      <c r="AA100" s="119"/>
      <c r="AB100" s="119">
        <f>'2018'!BA769</f>
      </c>
      <c r="AC100" s="119">
        <f>'2018'!BB769</f>
      </c>
      <c r="AD100" s="119"/>
      <c r="AE100" s="119">
        <f>'2018'!BE769</f>
        <v>0</v>
      </c>
      <c r="AF100" s="119">
        <f t="shared" si="0"/>
      </c>
    </row>
    <row r="101" ht="15.75" customHeight="1" spans="1:32" x14ac:dyDescent="0.25">
      <c r="A101" s="14"/>
      <c r="B101" s="115">
        <v>100</v>
      </c>
      <c r="C101" s="115">
        <v>4.47</v>
      </c>
      <c r="D101" s="117" t="s">
        <v>330</v>
      </c>
      <c r="E101" s="119">
        <f>'2018'!I777</f>
        <v>165</v>
      </c>
      <c r="F101" s="119">
        <f>'2018'!J777</f>
        <v>0</v>
      </c>
      <c r="G101" s="119">
        <f>'2018'!M777</f>
        <v>165</v>
      </c>
      <c r="H101" s="119">
        <f>'2018'!N777</f>
        <v>0</v>
      </c>
      <c r="I101" s="119">
        <f>'2018'!Q777</f>
        <v>165</v>
      </c>
      <c r="J101" s="119">
        <f>'2018'!R777</f>
        <v>0</v>
      </c>
      <c r="K101" s="119">
        <f>'2018'!U777</f>
        <v>188</v>
      </c>
      <c r="L101" s="119">
        <f>'2018'!V777</f>
        <v>23</v>
      </c>
      <c r="M101" s="119">
        <f>'2018'!Y777</f>
        <v>236</v>
      </c>
      <c r="N101" s="119">
        <f>'2018'!Z777</f>
        <v>48</v>
      </c>
      <c r="O101" s="119">
        <f>'2018'!AC777</f>
        <v>263</v>
      </c>
      <c r="P101" s="119">
        <f>'2018'!AD777</f>
        <v>27</v>
      </c>
      <c r="Q101" s="119">
        <f>'2018'!AG777</f>
        <v>272</v>
      </c>
      <c r="R101" s="119">
        <f>'2018'!AH777</f>
        <v>9</v>
      </c>
      <c r="S101" s="119">
        <f>'2018'!AK777</f>
        <v>287</v>
      </c>
      <c r="T101" s="119">
        <f>'2018'!AL777</f>
        <v>15</v>
      </c>
      <c r="U101" s="119">
        <f>'2018'!AO777</f>
        <v>310</v>
      </c>
      <c r="V101" s="119">
        <f>'2018'!AP777</f>
        <v>23</v>
      </c>
      <c r="W101" s="119">
        <f>'2018'!AS777</f>
        <v>313</v>
      </c>
      <c r="X101" s="119">
        <f>'2018'!AT777</f>
        <v>3</v>
      </c>
      <c r="Y101" s="119">
        <f>'2018'!AW777</f>
        <v>313</v>
      </c>
      <c r="Z101" s="119">
        <f>'2018'!AX777</f>
        <v>0</v>
      </c>
      <c r="AA101" s="119"/>
      <c r="AB101" s="119">
        <f>'2018'!BA777</f>
        <v>313</v>
      </c>
      <c r="AC101" s="119">
        <f>'2018'!BB777</f>
        <v>0</v>
      </c>
      <c r="AD101" s="119"/>
      <c r="AE101" s="119">
        <f>'2018'!BE777</f>
        <v>148</v>
      </c>
      <c r="AF101" s="119">
        <f t="shared" si="0"/>
      </c>
    </row>
    <row r="102" ht="15.75" customHeight="1" spans="1:32" x14ac:dyDescent="0.25">
      <c r="A102" s="14"/>
      <c r="B102" s="115">
        <v>102</v>
      </c>
      <c r="C102" s="115">
        <v>4.45</v>
      </c>
      <c r="D102" s="117" t="s">
        <v>331</v>
      </c>
      <c r="E102" s="119">
        <f>'2018'!I785</f>
        <v>559</v>
      </c>
      <c r="F102" s="119">
        <f>'2018'!J785</f>
        <v>0</v>
      </c>
      <c r="G102" s="119">
        <f>'2018'!M785</f>
        <v>614</v>
      </c>
      <c r="H102" s="119">
        <f>'2018'!N785</f>
        <v>55</v>
      </c>
      <c r="I102" s="119">
        <f>'2018'!Q785</f>
        <v>676</v>
      </c>
      <c r="J102" s="119">
        <f>'2018'!R785</f>
        <v>62</v>
      </c>
      <c r="K102" s="119">
        <f>'2018'!U785</f>
        <v>717</v>
      </c>
      <c r="L102" s="119">
        <f>'2018'!V785</f>
        <v>41</v>
      </c>
      <c r="M102" s="119">
        <f>'2018'!Y785</f>
        <v>725</v>
      </c>
      <c r="N102" s="119">
        <f>'2018'!Z785</f>
        <v>8</v>
      </c>
      <c r="O102" s="119">
        <f>'2018'!AC785</f>
        <v>766</v>
      </c>
      <c r="P102" s="119">
        <f>'2018'!AD785</f>
        <v>41</v>
      </c>
      <c r="Q102" s="119">
        <f>'2018'!AG785</f>
        <v>809</v>
      </c>
      <c r="R102" s="119">
        <f>'2018'!AH785</f>
        <v>43</v>
      </c>
      <c r="S102" s="119">
        <f>'2018'!AK785</f>
        <v>862</v>
      </c>
      <c r="T102" s="119">
        <f>'2018'!AL785</f>
        <v>53</v>
      </c>
      <c r="U102" s="119">
        <f>'2018'!AO785</f>
        <v>970</v>
      </c>
      <c r="V102" s="119">
        <f>'2018'!AP785</f>
        <v>108</v>
      </c>
      <c r="W102" s="119">
        <f>'2018'!AS785</f>
        <v>1136</v>
      </c>
      <c r="X102" s="119">
        <f>'2018'!AT785</f>
        <v>166</v>
      </c>
      <c r="Y102" s="119">
        <f>'2018'!AW785</f>
        <v>1154</v>
      </c>
      <c r="Z102" s="119">
        <f>'2018'!AX785</f>
        <v>18</v>
      </c>
      <c r="AA102" s="119">
        <v>155</v>
      </c>
      <c r="AB102" s="119">
        <f>'2018'!BA785</f>
        <v>1157</v>
      </c>
      <c r="AC102" s="119">
        <f>'2018'!BB785</f>
        <v>3</v>
      </c>
      <c r="AD102" s="119"/>
      <c r="AE102" s="119">
        <f>'2018'!BE785</f>
        <v>598</v>
      </c>
      <c r="AF102" s="119">
        <f t="shared" si="0"/>
        <v>155</v>
      </c>
    </row>
    <row r="103" ht="15.75" customHeight="1" spans="1:32" x14ac:dyDescent="0.25">
      <c r="A103" s="14"/>
      <c r="B103" s="115">
        <v>104</v>
      </c>
      <c r="C103" s="115">
        <v>4.42</v>
      </c>
      <c r="D103" s="117" t="s">
        <v>333</v>
      </c>
      <c r="E103" s="119">
        <f>'2018'!I793</f>
        <v>364</v>
      </c>
      <c r="F103" s="119">
        <f>'2018'!J793</f>
        <v>0</v>
      </c>
      <c r="G103" s="119">
        <f>'2018'!M793</f>
        <v>364</v>
      </c>
      <c r="H103" s="119">
        <f>'2018'!N793</f>
        <v>0</v>
      </c>
      <c r="I103" s="119">
        <f>'2018'!Q793</f>
        <v>364</v>
      </c>
      <c r="J103" s="119">
        <f>'2018'!R793</f>
        <v>0</v>
      </c>
      <c r="K103" s="119">
        <f>'2018'!U793</f>
        <v>373</v>
      </c>
      <c r="L103" s="119">
        <f>'2018'!V793</f>
        <v>9</v>
      </c>
      <c r="M103" s="119">
        <f>'2018'!Y793</f>
        <v>386</v>
      </c>
      <c r="N103" s="119">
        <f>'2018'!Z793</f>
        <v>13</v>
      </c>
      <c r="O103" s="119">
        <f>'2018'!AC793</f>
        <v>422</v>
      </c>
      <c r="P103" s="119">
        <f>'2018'!AD793</f>
        <v>36</v>
      </c>
      <c r="Q103" s="119">
        <f>'2018'!AG793</f>
        <v>478</v>
      </c>
      <c r="R103" s="119">
        <f>'2018'!AH793</f>
        <v>56</v>
      </c>
      <c r="S103" s="119">
        <f>'2018'!AK793</f>
        <v>533</v>
      </c>
      <c r="T103" s="119">
        <f>'2018'!AL793</f>
        <v>55</v>
      </c>
      <c r="U103" s="119">
        <f>'2018'!AO793</f>
        <v>601</v>
      </c>
      <c r="V103" s="119">
        <f>'2018'!AP793</f>
        <v>68</v>
      </c>
      <c r="W103" s="119">
        <f>'2018'!AS793</f>
        <v>620</v>
      </c>
      <c r="X103" s="119">
        <f>'2018'!AT793</f>
        <v>19</v>
      </c>
      <c r="Y103" s="119">
        <f>'2018'!AW793</f>
        <v>620</v>
      </c>
      <c r="Z103" s="119">
        <f>'2018'!AX793</f>
        <v>0</v>
      </c>
      <c r="AA103" s="119"/>
      <c r="AB103" s="119">
        <f>'2018'!BA793</f>
        <v>620</v>
      </c>
      <c r="AC103" s="119">
        <f>'2018'!BB793</f>
        <v>0</v>
      </c>
      <c r="AD103" s="119"/>
      <c r="AE103" s="119">
        <f>'2018'!BE793</f>
        <v>256</v>
      </c>
      <c r="AF103" s="119">
        <f t="shared" si="0"/>
      </c>
    </row>
    <row r="104" ht="15.75" customHeight="1" spans="1:32" x14ac:dyDescent="0.25">
      <c r="A104" s="14"/>
      <c r="B104" s="115">
        <v>106</v>
      </c>
      <c r="C104" s="115">
        <v>4.57</v>
      </c>
      <c r="D104" s="117" t="s">
        <v>336</v>
      </c>
      <c r="E104" s="119">
        <f>'2018'!I801</f>
      </c>
      <c r="F104" s="119">
        <f>'2018'!J801</f>
      </c>
      <c r="G104" s="119">
        <f>'2018'!M801</f>
      </c>
      <c r="H104" s="119">
        <f>'2018'!N801</f>
      </c>
      <c r="I104" s="119">
        <f>'2018'!Q801</f>
      </c>
      <c r="J104" s="119">
        <f>'2018'!R801</f>
      </c>
      <c r="K104" s="119">
        <f>'2018'!U801</f>
      </c>
      <c r="L104" s="119">
        <f>'2018'!V801</f>
      </c>
      <c r="M104" s="119">
        <f>'2018'!Y801</f>
      </c>
      <c r="N104" s="119">
        <f>'2018'!Z801</f>
        <v>0</v>
      </c>
      <c r="O104" s="119">
        <f>'2018'!AC801</f>
      </c>
      <c r="P104" s="119">
        <f>'2018'!AD801</f>
        <v>0</v>
      </c>
      <c r="Q104" s="119">
        <f>'2018'!AG801</f>
      </c>
      <c r="R104" s="119">
        <f>'2018'!AH801</f>
        <v>0</v>
      </c>
      <c r="S104" s="119">
        <f>'2018'!AK801</f>
      </c>
      <c r="T104" s="119">
        <f>'2018'!AL801</f>
        <v>0</v>
      </c>
      <c r="U104" s="119">
        <f>'2018'!AO801</f>
      </c>
      <c r="V104" s="119">
        <f>'2018'!AP801</f>
      </c>
      <c r="W104" s="119">
        <f>'2018'!AS801</f>
      </c>
      <c r="X104" s="119">
        <f>'2018'!AT801</f>
      </c>
      <c r="Y104" s="119">
        <f>'2018'!AW801</f>
      </c>
      <c r="Z104" s="119">
        <f>'2018'!AX801</f>
      </c>
      <c r="AA104" s="119"/>
      <c r="AB104" s="119">
        <f>'2018'!BA801</f>
      </c>
      <c r="AC104" s="119">
        <f>'2018'!BB801</f>
      </c>
      <c r="AD104" s="119"/>
      <c r="AE104" s="119">
        <f>'2018'!BE801</f>
        <v>0</v>
      </c>
      <c r="AF104" s="119">
        <f t="shared" si="0"/>
      </c>
    </row>
    <row r="105" ht="15.75" customHeight="1" spans="1:32" x14ac:dyDescent="0.25">
      <c r="A105" s="14"/>
      <c r="B105" s="115">
        <v>108</v>
      </c>
      <c r="C105" s="115">
        <v>4.32</v>
      </c>
      <c r="D105" s="117" t="s">
        <v>339</v>
      </c>
      <c r="E105" s="119">
        <f>'2018'!I809</f>
      </c>
      <c r="F105" s="119">
        <f>'2018'!J809</f>
      </c>
      <c r="G105" s="119">
        <f>'2018'!M809</f>
      </c>
      <c r="H105" s="119">
        <f>'2018'!N809</f>
      </c>
      <c r="I105" s="119">
        <f>'2018'!Q809</f>
      </c>
      <c r="J105" s="119">
        <f>'2018'!R809</f>
      </c>
      <c r="K105" s="119">
        <f>'2018'!U809</f>
      </c>
      <c r="L105" s="119">
        <f>'2018'!V809</f>
      </c>
      <c r="M105" s="119">
        <f>'2018'!Y809</f>
      </c>
      <c r="N105" s="119">
        <f>'2018'!Z809</f>
        <v>0</v>
      </c>
      <c r="O105" s="119">
        <f>'2018'!AC809</f>
      </c>
      <c r="P105" s="119">
        <f>'2018'!AD809</f>
        <v>0</v>
      </c>
      <c r="Q105" s="119">
        <f>'2018'!AG809</f>
      </c>
      <c r="R105" s="119">
        <f>'2018'!AH809</f>
        <v>0</v>
      </c>
      <c r="S105" s="119">
        <f>'2018'!AK809</f>
      </c>
      <c r="T105" s="119">
        <f>'2018'!AL809</f>
        <v>0</v>
      </c>
      <c r="U105" s="119">
        <f>'2018'!AO809</f>
      </c>
      <c r="V105" s="119">
        <f>'2018'!AP809</f>
      </c>
      <c r="W105" s="119">
        <f>'2018'!AS809</f>
      </c>
      <c r="X105" s="119">
        <f>'2018'!AT809</f>
      </c>
      <c r="Y105" s="119">
        <f>'2018'!AW809</f>
      </c>
      <c r="Z105" s="119">
        <f>'2018'!AX809</f>
      </c>
      <c r="AA105" s="119"/>
      <c r="AB105" s="119">
        <f>'2018'!BA809</f>
      </c>
      <c r="AC105" s="119">
        <f>'2018'!BB809</f>
      </c>
      <c r="AD105" s="119"/>
      <c r="AE105" s="119">
        <f>'2018'!BE809</f>
        <v>0</v>
      </c>
      <c r="AF105" s="119">
        <f t="shared" si="0"/>
      </c>
    </row>
    <row r="106" ht="15.75" customHeight="1" spans="1:32" x14ac:dyDescent="0.25">
      <c r="A106" s="14"/>
      <c r="B106" s="115">
        <v>109</v>
      </c>
      <c r="C106" s="115">
        <v>6.22</v>
      </c>
      <c r="D106" s="117" t="s">
        <v>340</v>
      </c>
      <c r="E106" s="119">
        <f>'2018'!I817</f>
      </c>
      <c r="F106" s="119">
        <f>'2018'!J817</f>
      </c>
      <c r="G106" s="119">
        <f>'2018'!M817</f>
      </c>
      <c r="H106" s="119">
        <f>'2018'!N817</f>
      </c>
      <c r="I106" s="119">
        <f>'2018'!Q817</f>
      </c>
      <c r="J106" s="119">
        <f>'2018'!R817</f>
      </c>
      <c r="K106" s="119">
        <f>'2018'!U817</f>
      </c>
      <c r="L106" s="119">
        <f>'2018'!V817</f>
      </c>
      <c r="M106" s="119">
        <f>'2018'!Y817</f>
      </c>
      <c r="N106" s="119">
        <f>'2018'!Z817</f>
        <v>0</v>
      </c>
      <c r="O106" s="119">
        <f>'2018'!AC817</f>
      </c>
      <c r="P106" s="119">
        <f>'2018'!AD817</f>
        <v>0</v>
      </c>
      <c r="Q106" s="119">
        <f>'2018'!AG817</f>
      </c>
      <c r="R106" s="119">
        <f>'2018'!AH817</f>
        <v>0</v>
      </c>
      <c r="S106" s="119">
        <f>'2018'!AK817</f>
      </c>
      <c r="T106" s="119">
        <f>'2018'!AL817</f>
        <v>0</v>
      </c>
      <c r="U106" s="119">
        <f>'2018'!AO817</f>
      </c>
      <c r="V106" s="119">
        <f>'2018'!AP817</f>
      </c>
      <c r="W106" s="119">
        <f>'2018'!AS817</f>
      </c>
      <c r="X106" s="119">
        <f>'2018'!AT817</f>
      </c>
      <c r="Y106" s="119">
        <f>'2018'!AW817</f>
      </c>
      <c r="Z106" s="119">
        <f>'2018'!AX817</f>
      </c>
      <c r="AA106" s="119"/>
      <c r="AB106" s="119">
        <f>'2018'!BA817</f>
      </c>
      <c r="AC106" s="119">
        <f>'2018'!BB817</f>
      </c>
      <c r="AD106" s="119"/>
      <c r="AE106" s="119">
        <f>'2018'!BE817</f>
        <v>0</v>
      </c>
      <c r="AF106" s="119">
        <f t="shared" si="0"/>
      </c>
    </row>
    <row r="107" ht="15.75" customHeight="1" spans="1:32" x14ac:dyDescent="0.25">
      <c r="A107" s="14"/>
      <c r="B107" s="115">
        <v>110</v>
      </c>
      <c r="C107" s="115">
        <v>4.91</v>
      </c>
      <c r="D107" s="117" t="s">
        <v>342</v>
      </c>
      <c r="E107" s="119">
        <f>'2018'!I825</f>
        <v>46</v>
      </c>
      <c r="F107" s="119">
        <f>'2018'!J825</f>
        <v>0</v>
      </c>
      <c r="G107" s="119">
        <f>'2018'!M825</f>
        <v>46</v>
      </c>
      <c r="H107" s="119">
        <f>'2018'!N825</f>
        <v>0</v>
      </c>
      <c r="I107" s="119">
        <f>'2018'!Q825</f>
        <v>46</v>
      </c>
      <c r="J107" s="119">
        <f>'2018'!R825</f>
        <v>0</v>
      </c>
      <c r="K107" s="119">
        <f>'2018'!U825</f>
        <v>57</v>
      </c>
      <c r="L107" s="119">
        <f>'2018'!V825</f>
        <v>11</v>
      </c>
      <c r="M107" s="119">
        <f>'2018'!Y825</f>
        <v>57</v>
      </c>
      <c r="N107" s="119">
        <f>'2018'!Z825</f>
        <v>0</v>
      </c>
      <c r="O107" s="119">
        <f>'2018'!AC825</f>
        <v>57</v>
      </c>
      <c r="P107" s="119">
        <f>'2018'!AD825</f>
        <v>0</v>
      </c>
      <c r="Q107" s="119">
        <f>'2018'!AG825</f>
        <v>58</v>
      </c>
      <c r="R107" s="119">
        <f>'2018'!AH825</f>
        <v>1</v>
      </c>
      <c r="S107" s="119">
        <f>'2018'!AK825</f>
        <v>58</v>
      </c>
      <c r="T107" s="119">
        <f>'2018'!AL825</f>
        <v>0</v>
      </c>
      <c r="U107" s="119">
        <f>'2018'!AO825</f>
        <v>82</v>
      </c>
      <c r="V107" s="119">
        <f>'2018'!AP825</f>
        <v>24</v>
      </c>
      <c r="W107" s="119">
        <f>'2018'!AS825</f>
        <v>100</v>
      </c>
      <c r="X107" s="119">
        <f>'2018'!AT825</f>
        <v>18</v>
      </c>
      <c r="Y107" s="119">
        <f>'2018'!AW825</f>
        <v>100</v>
      </c>
      <c r="Z107" s="119">
        <f>'2018'!AX825</f>
        <v>0</v>
      </c>
      <c r="AA107" s="119"/>
      <c r="AB107" s="119">
        <f>'2018'!BA825</f>
        <v>100</v>
      </c>
      <c r="AC107" s="119">
        <f>'2018'!BB825</f>
        <v>0</v>
      </c>
      <c r="AD107" s="119"/>
      <c r="AE107" s="119">
        <f>'2018'!BE825</f>
        <v>54</v>
      </c>
      <c r="AF107" s="119">
        <f t="shared" si="0"/>
      </c>
    </row>
    <row r="108" ht="15.75" customHeight="1" spans="1:32" x14ac:dyDescent="0.25">
      <c r="A108" s="14"/>
      <c r="B108" s="115">
        <v>111</v>
      </c>
      <c r="C108" s="116">
        <v>6.8</v>
      </c>
      <c r="D108" s="117" t="s">
        <v>280</v>
      </c>
      <c r="E108" s="119">
        <f>'2018'!I833</f>
      </c>
      <c r="F108" s="119">
        <f>'2018'!J833</f>
      </c>
      <c r="G108" s="119">
        <f>'2018'!M833</f>
      </c>
      <c r="H108" s="119">
        <f>'2018'!N833</f>
      </c>
      <c r="I108" s="119">
        <f>'2018'!Q833</f>
      </c>
      <c r="J108" s="119">
        <f>'2018'!R833</f>
      </c>
      <c r="K108" s="119">
        <f>'2018'!U833</f>
      </c>
      <c r="L108" s="119">
        <f>'2018'!V833</f>
      </c>
      <c r="M108" s="119">
        <f>'2018'!Y833</f>
      </c>
      <c r="N108" s="119">
        <f>'2018'!Z833</f>
        <v>0</v>
      </c>
      <c r="O108" s="119">
        <f>'2018'!AC833</f>
      </c>
      <c r="P108" s="119">
        <f>'2018'!AD833</f>
        <v>0</v>
      </c>
      <c r="Q108" s="119">
        <f>'2018'!AG833</f>
        <v>1</v>
      </c>
      <c r="R108" s="119">
        <f>'2018'!AH833</f>
        <v>1</v>
      </c>
      <c r="S108" s="119">
        <f>'2018'!AK833</f>
        <v>1</v>
      </c>
      <c r="T108" s="119">
        <f>'2018'!AL833</f>
        <v>0</v>
      </c>
      <c r="U108" s="119">
        <f>'2018'!AO833</f>
        <v>1</v>
      </c>
      <c r="V108" s="119">
        <f>'2018'!AP833</f>
        <v>0</v>
      </c>
      <c r="W108" s="119">
        <f>'2018'!AS833</f>
        <v>1</v>
      </c>
      <c r="X108" s="119">
        <f>'2018'!AT833</f>
        <v>0</v>
      </c>
      <c r="Y108" s="119">
        <f>'2018'!AW833</f>
        <v>1</v>
      </c>
      <c r="Z108" s="119">
        <f>'2018'!AX833</f>
        <v>0</v>
      </c>
      <c r="AA108" s="119"/>
      <c r="AB108" s="119">
        <f>'2018'!BA833</f>
        <v>1</v>
      </c>
      <c r="AC108" s="119">
        <f>'2018'!BB833</f>
        <v>0</v>
      </c>
      <c r="AD108" s="119"/>
      <c r="AE108" s="119">
        <f>'2018'!BE833</f>
        <v>1</v>
      </c>
      <c r="AF108" s="119">
        <f t="shared" si="0"/>
      </c>
    </row>
    <row r="109" ht="15.75" customHeight="1" spans="1:32" x14ac:dyDescent="0.25">
      <c r="A109" s="14"/>
      <c r="B109" s="115">
        <v>112</v>
      </c>
      <c r="C109" s="115">
        <v>4.94</v>
      </c>
      <c r="D109" s="117" t="s">
        <v>364</v>
      </c>
      <c r="E109" s="119">
        <f>'2018'!I841</f>
        <v>87</v>
      </c>
      <c r="F109" s="119">
        <f>'2018'!J841</f>
        <v>0</v>
      </c>
      <c r="G109" s="119">
        <f>'2018'!M841</f>
        <v>87</v>
      </c>
      <c r="H109" s="119">
        <f>'2018'!N841</f>
      </c>
      <c r="I109" s="119">
        <f>'2018'!Q841</f>
        <v>87</v>
      </c>
      <c r="J109" s="119">
        <f>'2018'!R841</f>
      </c>
      <c r="K109" s="119">
        <f>'2018'!U841</f>
        <v>92</v>
      </c>
      <c r="L109" s="119">
        <f>'2018'!V841</f>
        <v>5</v>
      </c>
      <c r="M109" s="119">
        <f>'2018'!Y841</f>
        <v>92</v>
      </c>
      <c r="N109" s="119">
        <f>'2018'!Z841</f>
      </c>
      <c r="O109" s="119">
        <f>'2018'!AC841</f>
        <v>102</v>
      </c>
      <c r="P109" s="119">
        <f>'2018'!AD841</f>
        <v>10</v>
      </c>
      <c r="Q109" s="119">
        <f>'2018'!AG841</f>
        <v>103</v>
      </c>
      <c r="R109" s="119">
        <f>'2018'!AH841</f>
        <v>1</v>
      </c>
      <c r="S109" s="119">
        <f>'2018'!AK841</f>
        <v>107</v>
      </c>
      <c r="T109" s="119">
        <f>'2018'!AL841</f>
        <v>4</v>
      </c>
      <c r="U109" s="119">
        <f>'2018'!AO841</f>
        <v>110</v>
      </c>
      <c r="V109" s="119">
        <f>'2018'!AP841</f>
        <v>3</v>
      </c>
      <c r="W109" s="119">
        <f>'2018'!AS841</f>
        <v>111</v>
      </c>
      <c r="X109" s="119">
        <f>'2018'!AT841</f>
        <v>1</v>
      </c>
      <c r="Y109" s="119">
        <f>'2018'!AW841</f>
        <v>111</v>
      </c>
      <c r="Z109" s="119">
        <f>'2018'!AX841</f>
        <v>0</v>
      </c>
      <c r="AA109" s="119"/>
      <c r="AB109" s="119">
        <f>'2018'!BA841</f>
        <v>111</v>
      </c>
      <c r="AC109" s="119">
        <f>'2018'!BB841</f>
        <v>0</v>
      </c>
      <c r="AD109" s="119"/>
      <c r="AE109" s="119">
        <f>'2018'!BE841</f>
        <v>24</v>
      </c>
      <c r="AF109" s="119">
        <f t="shared" si="0"/>
      </c>
    </row>
    <row r="110" ht="15.75" customHeight="1" spans="1:32" x14ac:dyDescent="0.25">
      <c r="A110" s="14"/>
      <c r="B110" s="115">
        <v>113</v>
      </c>
      <c r="C110" s="115">
        <v>4.98</v>
      </c>
      <c r="D110" s="117" t="s">
        <v>348</v>
      </c>
      <c r="E110" s="119">
        <f>'2018'!I849</f>
      </c>
      <c r="F110" s="119">
        <f>'2018'!J849</f>
      </c>
      <c r="G110" s="119">
        <f>'2018'!M849</f>
      </c>
      <c r="H110" s="119">
        <f>'2018'!N849</f>
      </c>
      <c r="I110" s="119">
        <f>'2018'!Q849</f>
      </c>
      <c r="J110" s="119">
        <f>'2018'!R849</f>
      </c>
      <c r="K110" s="119">
        <f>'2018'!U849</f>
      </c>
      <c r="L110" s="119">
        <f>'2018'!V849</f>
      </c>
      <c r="M110" s="119">
        <f>'2018'!Y849</f>
      </c>
      <c r="N110" s="119">
        <f>'2018'!Z849</f>
        <v>0</v>
      </c>
      <c r="O110" s="119">
        <f>'2018'!AC849</f>
      </c>
      <c r="P110" s="119">
        <f>'2018'!AD849</f>
        <v>0</v>
      </c>
      <c r="Q110" s="119">
        <f>'2018'!AG849</f>
      </c>
      <c r="R110" s="119">
        <f>'2018'!AH849</f>
        <v>0</v>
      </c>
      <c r="S110" s="119">
        <f>'2018'!AK849</f>
      </c>
      <c r="T110" s="119">
        <f>'2018'!AL849</f>
        <v>0</v>
      </c>
      <c r="U110" s="119">
        <f>'2018'!AO849</f>
      </c>
      <c r="V110" s="119">
        <f>'2018'!AP849</f>
      </c>
      <c r="W110" s="119">
        <f>'2018'!AS849</f>
      </c>
      <c r="X110" s="119">
        <f>'2018'!AT849</f>
      </c>
      <c r="Y110" s="119">
        <f>'2018'!AW849</f>
      </c>
      <c r="Z110" s="119">
        <f>'2018'!AX849</f>
      </c>
      <c r="AA110" s="119"/>
      <c r="AB110" s="119">
        <f>'2018'!BA849</f>
      </c>
      <c r="AC110" s="119">
        <f>'2018'!BB849</f>
      </c>
      <c r="AD110" s="119"/>
      <c r="AE110" s="119">
        <f>'2018'!BE849</f>
        <v>0</v>
      </c>
      <c r="AF110" s="119">
        <f t="shared" si="0"/>
      </c>
    </row>
    <row r="111" ht="15.75" customHeight="1" spans="1:32" x14ac:dyDescent="0.25">
      <c r="A111" s="14"/>
      <c r="B111" s="118">
        <v>114</v>
      </c>
      <c r="C111" s="115">
        <v>4.86</v>
      </c>
      <c r="D111" s="117" t="s">
        <v>245</v>
      </c>
      <c r="E111" s="119">
        <f>'2018'!I857</f>
        <v>18</v>
      </c>
      <c r="F111" s="119">
        <f>'2018'!J857</f>
      </c>
      <c r="G111" s="119">
        <f>'2018'!M857</f>
        <v>18</v>
      </c>
      <c r="H111" s="119">
        <f>'2018'!N857</f>
      </c>
      <c r="I111" s="119">
        <f>'2018'!Q857</f>
        <v>18</v>
      </c>
      <c r="J111" s="119">
        <f>'2018'!R857</f>
      </c>
      <c r="K111" s="119">
        <f>'2018'!U857</f>
        <v>18</v>
      </c>
      <c r="L111" s="119">
        <f>'2018'!V857</f>
      </c>
      <c r="M111" s="119">
        <f>'2018'!Y857</f>
        <v>18</v>
      </c>
      <c r="N111" s="119">
        <f>'2018'!Z857</f>
      </c>
      <c r="O111" s="119">
        <f>'2018'!AC857</f>
        <v>18</v>
      </c>
      <c r="P111" s="119">
        <f>'2018'!AD857</f>
        <v>0</v>
      </c>
      <c r="Q111" s="119">
        <f>'2018'!AG857</f>
        <v>28</v>
      </c>
      <c r="R111" s="119">
        <f>'2018'!AH857</f>
        <v>10</v>
      </c>
      <c r="S111" s="119">
        <f>'2018'!AK857</f>
        <v>28</v>
      </c>
      <c r="T111" s="119">
        <f>'2018'!AL857</f>
        <v>0</v>
      </c>
      <c r="U111" s="119">
        <f>'2018'!AO857</f>
        <v>28</v>
      </c>
      <c r="V111" s="119">
        <f>'2018'!AP857</f>
        <v>0</v>
      </c>
      <c r="W111" s="119">
        <f>'2018'!AS857</f>
        <v>28</v>
      </c>
      <c r="X111" s="119">
        <f>'2018'!AT857</f>
        <v>0</v>
      </c>
      <c r="Y111" s="119">
        <f>'2018'!AW857</f>
        <v>28</v>
      </c>
      <c r="Z111" s="119">
        <f>'2018'!AX857</f>
        <v>0</v>
      </c>
      <c r="AA111" s="119"/>
      <c r="AB111" s="119">
        <f>'2018'!BA857</f>
        <v>28</v>
      </c>
      <c r="AC111" s="119">
        <f>'2018'!BB857</f>
        <v>0</v>
      </c>
      <c r="AD111" s="119"/>
      <c r="AE111" s="119">
        <f>'2018'!BE857</f>
        <v>10</v>
      </c>
      <c r="AF111" s="119">
        <f t="shared" si="0"/>
      </c>
    </row>
    <row r="112" ht="15.75" customHeight="1" spans="1:32" x14ac:dyDescent="0.25">
      <c r="A112" s="117"/>
      <c r="B112" s="115" t="s">
        <v>350</v>
      </c>
      <c r="C112" s="116">
        <f>SUM(C5:C111)</f>
        <v>505.74</v>
      </c>
      <c r="D112" s="117"/>
      <c r="E112" s="119">
        <f t="shared" ref="E112:AC112" si="1">SUM(E5:E111)</f>
        <v>69144</v>
      </c>
      <c r="F112" s="119">
        <f t="shared" si="1"/>
        <v>8102</v>
      </c>
      <c r="G112" s="119">
        <f t="shared" si="1"/>
        <v>75186</v>
      </c>
      <c r="H112" s="119">
        <f t="shared" si="1"/>
        <v>6042</v>
      </c>
      <c r="I112" s="119">
        <f t="shared" si="1"/>
        <v>81061</v>
      </c>
      <c r="J112" s="119">
        <f t="shared" si="1"/>
        <v>5875</v>
      </c>
      <c r="K112" s="119">
        <f t="shared" si="1"/>
        <v>86838</v>
      </c>
      <c r="L112" s="119">
        <f t="shared" si="1"/>
        <v>5775</v>
      </c>
      <c r="M112" s="119">
        <f t="shared" si="1"/>
        <v>90596</v>
      </c>
      <c r="N112" s="119">
        <f t="shared" si="1"/>
        <v>3758</v>
      </c>
      <c r="O112" s="119">
        <f t="shared" si="1"/>
        <v>94560</v>
      </c>
      <c r="P112" s="119">
        <f t="shared" si="1"/>
        <v>3964</v>
      </c>
      <c r="Q112" s="119">
        <f t="shared" si="1"/>
        <v>98173</v>
      </c>
      <c r="R112" s="119">
        <f t="shared" si="1"/>
        <v>3613</v>
      </c>
      <c r="S112" s="119">
        <f t="shared" si="1"/>
        <v>102446</v>
      </c>
      <c r="T112" s="119">
        <f t="shared" si="1"/>
        <v>4273</v>
      </c>
      <c r="U112" s="119">
        <f t="shared" si="1"/>
        <v>107240</v>
      </c>
      <c r="V112" s="119">
        <f t="shared" si="1"/>
        <v>4794</v>
      </c>
      <c r="W112" s="119">
        <f t="shared" si="1"/>
        <v>112332</v>
      </c>
      <c r="X112" s="119">
        <f t="shared" si="1"/>
        <v>5092</v>
      </c>
      <c r="Y112" s="119">
        <f t="shared" si="1"/>
        <v>114907</v>
      </c>
      <c r="Z112" s="119">
        <f t="shared" si="1"/>
        <v>2575</v>
      </c>
      <c r="AA112" s="119">
        <f t="shared" si="1"/>
        <v>1705</v>
      </c>
      <c r="AB112" s="119">
        <f t="shared" si="1"/>
        <v>120017</v>
      </c>
      <c r="AC112" s="119">
        <f t="shared" si="1"/>
        <v>5110</v>
      </c>
      <c r="AD112" s="119"/>
      <c r="AE112" s="119">
        <f t="shared" ref="AE112:AF112" si="2">SUM(AE5:AE111)</f>
        <v>58973</v>
      </c>
      <c r="AF112" s="119">
        <f t="shared" si="2"/>
        <v>1705</v>
      </c>
    </row>
    <row r="113" ht="15.75" customHeight="1" spans="1:3" x14ac:dyDescent="0.25">
      <c r="A113" s="15"/>
      <c r="B113" s="112"/>
      <c r="C113" s="112"/>
    </row>
    <row r="114" ht="15.75" customHeight="1" spans="1:31" x14ac:dyDescent="0.25" outlineLevel="1" collapsed="1">
      <c r="A114" s="15"/>
      <c r="B114" s="112"/>
      <c r="C114" s="112"/>
      <c r="E114" s="120" t="b">
        <f>E112='2018'!I867</f>
        <v>1</v>
      </c>
      <c r="F114" s="120" t="b">
        <f>F112='2018'!J867</f>
        <v>1</v>
      </c>
      <c r="G114" s="120" t="b">
        <f>G112='2018'!M867</f>
        <v>1</v>
      </c>
      <c r="H114" s="120" t="b">
        <f>H112='2018'!N867</f>
        <v>1</v>
      </c>
      <c r="I114" s="120" t="b">
        <f>I112='2018'!Q867</f>
        <v>1</v>
      </c>
      <c r="J114" s="120" t="b">
        <f>J112='2018'!R867</f>
        <v>1</v>
      </c>
      <c r="K114" s="120" t="b">
        <f>K112='2018'!U867</f>
        <v>1</v>
      </c>
      <c r="L114" s="120" t="b">
        <f>L112='2018'!V867</f>
        <v>1</v>
      </c>
      <c r="M114" s="120" t="b">
        <f>M112='2018'!Y867</f>
        <v>1</v>
      </c>
      <c r="N114" s="120" t="b">
        <f>N112='2018'!Z867</f>
        <v>1</v>
      </c>
      <c r="O114" s="120" t="b">
        <f>O112='2018'!AC867</f>
        <v>1</v>
      </c>
      <c r="P114" s="120" t="b">
        <f>P112='2018'!AD867</f>
        <v>1</v>
      </c>
      <c r="Q114" s="120" t="b">
        <f>Q112='2018'!AG867</f>
        <v>1</v>
      </c>
      <c r="R114" s="120" t="b">
        <f>R112='2018'!AH867</f>
        <v>1</v>
      </c>
      <c r="S114" s="120" t="b">
        <f>S112='2018'!AK867</f>
        <v>1</v>
      </c>
      <c r="T114" s="120" t="b">
        <f>T112='2018'!AL867</f>
        <v>1</v>
      </c>
      <c r="U114" s="120" t="b">
        <f>U112='2018'!AO867</f>
        <v>1</v>
      </c>
      <c r="V114" s="120" t="b">
        <f>V112='2018'!AP867</f>
        <v>1</v>
      </c>
      <c r="W114" s="120" t="b">
        <f>W112='2018'!AS867</f>
        <v>1</v>
      </c>
      <c r="X114" s="120" t="b">
        <f>X112='2018'!AT867</f>
        <v>1</v>
      </c>
      <c r="Y114" s="120" t="b">
        <f>Y112='2018'!AW867</f>
        <v>1</v>
      </c>
      <c r="Z114" s="120" t="b">
        <f>Z112='2018'!AX867</f>
        <v>1</v>
      </c>
      <c r="AA114" s="121"/>
      <c r="AB114" s="120" t="b">
        <f>AB112='2018'!BA867</f>
        <v>1</v>
      </c>
      <c r="AC114" s="120" t="b">
        <f>AC112='2018'!BB867</f>
        <v>1</v>
      </c>
      <c r="AD114" s="120"/>
      <c r="AE114" s="120" t="b">
        <f>AE112='2018'!BE867</f>
        <v>1</v>
      </c>
    </row>
    <row r="115" ht="15.75" customHeight="1" spans="1:31" x14ac:dyDescent="0.25">
      <c r="A115" s="15"/>
      <c r="B115" s="112"/>
      <c r="C115" s="112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 t="b">
        <f>AE112=F112+H112+J112+L112+N112+P112+R112+T112+V112+X112+Z112+AC112</f>
        <v>1</v>
      </c>
    </row>
    <row r="116" ht="15.75" customHeight="1" spans="1:3" x14ac:dyDescent="0.25">
      <c r="A116" s="15"/>
      <c r="B116" s="112"/>
      <c r="C116" s="112"/>
    </row>
    <row r="117" ht="15.75" customHeight="1" spans="1:3" x14ac:dyDescent="0.25">
      <c r="A117" s="15"/>
      <c r="B117" s="112"/>
      <c r="C117" s="112"/>
    </row>
    <row r="118" ht="15.75" customHeight="1" spans="1:3" x14ac:dyDescent="0.25">
      <c r="A118" s="15"/>
      <c r="B118" s="112"/>
      <c r="C118" s="112"/>
    </row>
    <row r="119" ht="15.75" customHeight="1" spans="1:3" x14ac:dyDescent="0.25">
      <c r="A119" s="15"/>
      <c r="B119" s="112"/>
      <c r="C119" s="112"/>
    </row>
    <row r="120" ht="15.75" customHeight="1" spans="1:3" x14ac:dyDescent="0.25">
      <c r="A120" s="15"/>
      <c r="B120" s="112"/>
      <c r="C120" s="112"/>
    </row>
    <row r="121" ht="15.75" customHeight="1" spans="1:3" x14ac:dyDescent="0.25">
      <c r="A121" s="15"/>
      <c r="B121" s="112"/>
      <c r="C121" s="112"/>
    </row>
    <row r="122" ht="15.75" customHeight="1" spans="1:3" x14ac:dyDescent="0.25">
      <c r="A122" s="15"/>
      <c r="B122" s="112"/>
      <c r="C122" s="112"/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AA3"/>
    <mergeCell ref="AB3:AD3"/>
  </mergeCells>
  <pageMargins left="0.196527777777778" right="0" top="0.196527777777778" bottom="0.196527777777778" header="0" footer="0"/>
  <pageSetup paperSize="9" orientation="landscape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14" hidden="1" outlineLevel="1" collapsed="1" customWidth="1"/>
    <col min="2" max="2" width="7.14" customWidth="1"/>
    <col min="3" max="3" width="6.43" hidden="1" outlineLevel="1" collapsed="1" customWidth="1"/>
    <col min="4" max="4" width="13.86" hidden="1" outlineLevel="1" collapsed="1" customWidth="1"/>
    <col min="5" max="6" width="7.14" hidden="1" outlineLevel="1" collapsed="1" customWidth="1"/>
    <col min="7" max="8" width="8.86" hidden="1" outlineLevel="1" collapsed="1" customWidth="1"/>
    <col min="9" max="10" width="7.14" hidden="1" outlineLevel="1" collapsed="1" customWidth="1"/>
    <col min="11" max="12" width="8.86" hidden="1" outlineLevel="1" collapsed="1" customWidth="1"/>
    <col min="13" max="14" width="7.14" hidden="1" outlineLevel="1" collapsed="1" customWidth="1"/>
    <col min="15" max="16" width="8.86" hidden="1" outlineLevel="1" collapsed="1" customWidth="1"/>
    <col min="17" max="18" width="7.14" hidden="1" outlineLevel="1" collapsed="1" customWidth="1"/>
    <col min="19" max="20" width="8.86" hidden="1" outlineLevel="1" collapsed="1" customWidth="1"/>
    <col min="21" max="26" width="7.14" hidden="1" outlineLevel="1" collapsed="1" customWidth="1"/>
    <col min="27" max="28" width="8.86" hidden="1" outlineLevel="1" collapsed="1" customWidth="1"/>
    <col min="29" max="30" width="7.14" hidden="1" outlineLevel="1" collapsed="1" customWidth="1"/>
    <col min="31" max="32" width="8.86" hidden="1" outlineLevel="1" collapsed="1" customWidth="1"/>
    <col min="33" max="34" width="7.14" hidden="1" outlineLevel="1" collapsed="1" customWidth="1"/>
    <col min="35" max="36" width="8.86" hidden="1" outlineLevel="1" collapsed="1" customWidth="1"/>
    <col min="37" max="38" width="7.14" hidden="1" outlineLevel="1" collapsed="1" customWidth="1"/>
    <col min="39" max="40" width="8.86" hidden="1" outlineLevel="1" collapsed="1" customWidth="1"/>
    <col min="41" max="42" width="7.14" hidden="1" outlineLevel="1" collapsed="1" customWidth="1"/>
    <col min="43" max="44" width="8.86" hidden="1" outlineLevel="1" collapsed="1" customWidth="1"/>
    <col min="45" max="45" width="7.14" hidden="1" outlineLevel="1" collapsed="1" customWidth="1"/>
    <col min="46" max="47" width="7.14" customWidth="1"/>
    <col min="48" max="48" width="8.14" customWidth="1"/>
    <col min="49" max="49" width="7.14" customWidth="1"/>
    <col min="50" max="50" width="8.14" customWidth="1"/>
    <col min="51" max="52" width="7.14" customWidth="1"/>
    <col min="53" max="53" width="8.57" customWidth="1"/>
    <col min="54" max="54" width="8.14" customWidth="1"/>
    <col min="55" max="56" width="7.14" hidden="1" outlineLevel="1" collapsed="1" customWidth="1"/>
    <col min="57" max="57" width="7.43" customWidth="1"/>
    <col min="58" max="59" width="9.86" customWidth="1"/>
    <col min="60" max="60" width="8.43" customWidth="1"/>
    <col min="61" max="61" width="9.14" customWidth="1"/>
    <col min="62" max="62" width="9.86" customWidth="1"/>
  </cols>
  <sheetData>
    <row r="1" spans="1:57" x14ac:dyDescent="0.25">
      <c r="A1" s="15"/>
      <c r="B1" s="1" t="s">
        <v>371</v>
      </c>
      <c r="C1" s="112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BE1" s="2" t="str">
        <f>'2018'!F1</f>
        <v>на 29 декабря 2018 года</v>
      </c>
    </row>
    <row r="2" spans="1:50" x14ac:dyDescent="0.25">
      <c r="A2" s="15"/>
      <c r="B2" s="112" t="s">
        <v>366</v>
      </c>
      <c r="C2" s="112"/>
      <c r="AX2" s="122">
        <v>2.49</v>
      </c>
    </row>
    <row r="3" spans="1:62" x14ac:dyDescent="0.25">
      <c r="A3" s="4"/>
      <c r="B3" s="17" t="s">
        <v>2</v>
      </c>
      <c r="C3" s="17" t="s">
        <v>354</v>
      </c>
      <c r="D3" s="16" t="s">
        <v>355</v>
      </c>
      <c r="E3" s="6" t="s">
        <v>9</v>
      </c>
      <c r="F3" s="9"/>
      <c r="G3" s="9"/>
      <c r="H3" s="7"/>
      <c r="I3" s="6" t="s">
        <v>10</v>
      </c>
      <c r="J3" s="9"/>
      <c r="K3" s="9"/>
      <c r="L3" s="7"/>
      <c r="M3" s="6" t="s">
        <v>11</v>
      </c>
      <c r="N3" s="9"/>
      <c r="O3" s="9"/>
      <c r="P3" s="7"/>
      <c r="Q3" s="6" t="s">
        <v>12</v>
      </c>
      <c r="R3" s="9"/>
      <c r="S3" s="9"/>
      <c r="T3" s="7"/>
      <c r="U3" s="6" t="s">
        <v>13</v>
      </c>
      <c r="V3" s="9"/>
      <c r="W3" s="9"/>
      <c r="X3" s="7"/>
      <c r="Y3" s="6" t="s">
        <v>14</v>
      </c>
      <c r="Z3" s="9"/>
      <c r="AA3" s="9"/>
      <c r="AB3" s="7"/>
      <c r="AC3" s="6" t="s">
        <v>15</v>
      </c>
      <c r="AD3" s="9"/>
      <c r="AE3" s="9"/>
      <c r="AF3" s="7"/>
      <c r="AG3" s="6" t="s">
        <v>16</v>
      </c>
      <c r="AH3" s="9"/>
      <c r="AI3" s="9"/>
      <c r="AJ3" s="7"/>
      <c r="AK3" s="6" t="s">
        <v>17</v>
      </c>
      <c r="AL3" s="9"/>
      <c r="AM3" s="9"/>
      <c r="AN3" s="7"/>
      <c r="AO3" s="6" t="s">
        <v>18</v>
      </c>
      <c r="AP3" s="9"/>
      <c r="AQ3" s="9"/>
      <c r="AR3" s="7"/>
      <c r="AS3" s="6" t="s">
        <v>19</v>
      </c>
      <c r="AT3" s="9"/>
      <c r="AU3" s="9"/>
      <c r="AV3" s="7"/>
      <c r="AW3" s="6" t="s">
        <v>372</v>
      </c>
      <c r="AX3" s="7"/>
      <c r="AY3" s="6" t="s">
        <v>20</v>
      </c>
      <c r="AZ3" s="9"/>
      <c r="BA3" s="9"/>
      <c r="BB3" s="7"/>
      <c r="BC3" s="6" t="s">
        <v>372</v>
      </c>
      <c r="BD3" s="7"/>
      <c r="BE3" s="10" t="s">
        <v>21</v>
      </c>
      <c r="BF3" s="9"/>
      <c r="BG3" s="9"/>
      <c r="BH3" s="9"/>
      <c r="BI3" s="17" t="s">
        <v>33</v>
      </c>
      <c r="BJ3" s="16" t="s">
        <v>373</v>
      </c>
    </row>
    <row r="4" spans="1:62" x14ac:dyDescent="0.25">
      <c r="A4" s="21"/>
      <c r="B4" s="24" t="s">
        <v>23</v>
      </c>
      <c r="C4" s="24"/>
      <c r="D4" s="23"/>
      <c r="E4" s="4" t="s">
        <v>30</v>
      </c>
      <c r="F4" s="4" t="s">
        <v>3</v>
      </c>
      <c r="G4" s="17" t="s">
        <v>374</v>
      </c>
      <c r="H4" s="17" t="s">
        <v>32</v>
      </c>
      <c r="I4" s="4" t="s">
        <v>30</v>
      </c>
      <c r="J4" s="4" t="s">
        <v>3</v>
      </c>
      <c r="K4" s="17" t="s">
        <v>374</v>
      </c>
      <c r="L4" s="17" t="s">
        <v>32</v>
      </c>
      <c r="M4" s="4" t="s">
        <v>30</v>
      </c>
      <c r="N4" s="4" t="s">
        <v>3</v>
      </c>
      <c r="O4" s="17" t="s">
        <v>374</v>
      </c>
      <c r="P4" s="17" t="s">
        <v>32</v>
      </c>
      <c r="Q4" s="4" t="s">
        <v>30</v>
      </c>
      <c r="R4" s="4" t="s">
        <v>3</v>
      </c>
      <c r="S4" s="17" t="s">
        <v>374</v>
      </c>
      <c r="T4" s="17" t="s">
        <v>32</v>
      </c>
      <c r="U4" s="4" t="s">
        <v>30</v>
      </c>
      <c r="V4" s="4" t="s">
        <v>3</v>
      </c>
      <c r="W4" s="17" t="s">
        <v>374</v>
      </c>
      <c r="X4" s="17" t="s">
        <v>32</v>
      </c>
      <c r="Y4" s="4" t="s">
        <v>30</v>
      </c>
      <c r="Z4" s="4" t="s">
        <v>3</v>
      </c>
      <c r="AA4" s="17" t="s">
        <v>374</v>
      </c>
      <c r="AB4" s="17" t="s">
        <v>32</v>
      </c>
      <c r="AC4" s="4" t="s">
        <v>30</v>
      </c>
      <c r="AD4" s="4" t="s">
        <v>3</v>
      </c>
      <c r="AE4" s="17" t="s">
        <v>374</v>
      </c>
      <c r="AF4" s="17" t="s">
        <v>32</v>
      </c>
      <c r="AG4" s="4" t="s">
        <v>30</v>
      </c>
      <c r="AH4" s="4" t="s">
        <v>3</v>
      </c>
      <c r="AI4" s="17" t="s">
        <v>374</v>
      </c>
      <c r="AJ4" s="17" t="s">
        <v>32</v>
      </c>
      <c r="AK4" s="4" t="s">
        <v>30</v>
      </c>
      <c r="AL4" s="4" t="s">
        <v>3</v>
      </c>
      <c r="AM4" s="17" t="s">
        <v>374</v>
      </c>
      <c r="AN4" s="17" t="s">
        <v>32</v>
      </c>
      <c r="AO4" s="4" t="s">
        <v>30</v>
      </c>
      <c r="AP4" s="4" t="s">
        <v>3</v>
      </c>
      <c r="AQ4" s="17" t="s">
        <v>374</v>
      </c>
      <c r="AR4" s="17" t="s">
        <v>32</v>
      </c>
      <c r="AS4" s="4" t="s">
        <v>30</v>
      </c>
      <c r="AT4" s="4" t="s">
        <v>3</v>
      </c>
      <c r="AU4" s="17" t="s">
        <v>374</v>
      </c>
      <c r="AV4" s="17" t="s">
        <v>32</v>
      </c>
      <c r="AW4" s="4" t="s">
        <v>3</v>
      </c>
      <c r="AX4" s="17" t="s">
        <v>374</v>
      </c>
      <c r="AY4" s="4" t="s">
        <v>30</v>
      </c>
      <c r="AZ4" s="4" t="s">
        <v>3</v>
      </c>
      <c r="BA4" s="17" t="s">
        <v>374</v>
      </c>
      <c r="BB4" s="17" t="s">
        <v>32</v>
      </c>
      <c r="BC4" s="4" t="s">
        <v>3</v>
      </c>
      <c r="BD4" s="17" t="s">
        <v>374</v>
      </c>
      <c r="BE4" s="4" t="s">
        <v>3</v>
      </c>
      <c r="BF4" s="17" t="s">
        <v>33</v>
      </c>
      <c r="BG4" s="17" t="s">
        <v>34</v>
      </c>
      <c r="BH4" s="11" t="s">
        <v>35</v>
      </c>
      <c r="BI4" s="24" t="s">
        <v>369</v>
      </c>
      <c r="BJ4" s="123" t="s">
        <v>369</v>
      </c>
    </row>
    <row r="5" spans="1:62" x14ac:dyDescent="0.25">
      <c r="A5" s="114" t="s">
        <v>41</v>
      </c>
      <c r="B5" s="115">
        <f>'2018'!A8</f>
        <v>1</v>
      </c>
      <c r="C5" s="116">
        <v>4</v>
      </c>
      <c r="D5" s="117" t="str">
        <f>'2018'!C8</f>
        <v>сторож</v>
      </c>
      <c r="E5" s="119">
        <f>'2018'!I8</f>
        <v>1974</v>
      </c>
      <c r="F5" s="21">
        <f>'2018'!J8</f>
        <v>25</v>
      </c>
      <c r="G5" s="124">
        <f>'2018'!K8</f>
        <v>62.25</v>
      </c>
      <c r="H5" s="124">
        <f>'2018'!L8</f>
      </c>
      <c r="I5" s="119">
        <f>'2018'!M8</f>
        <v>1981</v>
      </c>
      <c r="J5" s="119">
        <f>'2018'!N8</f>
        <v>7</v>
      </c>
      <c r="K5" s="106">
        <f>'2018'!O8</f>
        <v>17.43</v>
      </c>
      <c r="L5" s="106">
        <f>'2018'!P8</f>
      </c>
      <c r="M5" s="119">
        <f>'2018'!Q8</f>
        <v>1981</v>
      </c>
      <c r="N5" s="119">
        <f>'2018'!R8</f>
        <v>0</v>
      </c>
      <c r="O5" s="119">
        <f>'2018'!S8</f>
        <v>0</v>
      </c>
      <c r="P5" s="119">
        <f>'2018'!T8</f>
      </c>
      <c r="Q5" s="119">
        <f>'2018'!U8</f>
        <v>1993</v>
      </c>
      <c r="R5" s="119">
        <f>'2018'!V8</f>
        <v>12</v>
      </c>
      <c r="S5" s="106">
        <f>'2018'!W8</f>
        <v>29.88</v>
      </c>
      <c r="T5" s="106">
        <f>'2018'!X8</f>
      </c>
      <c r="U5" s="119">
        <f>'2018'!Y8</f>
        <v>2043</v>
      </c>
      <c r="V5" s="119">
        <f>'2018'!Z8</f>
        <v>50</v>
      </c>
      <c r="W5" s="106">
        <f>'2018'!AA8</f>
        <v>124.5</v>
      </c>
      <c r="X5" s="106">
        <f>'2018'!AB8</f>
      </c>
      <c r="Y5" s="119">
        <f>'2018'!AC8</f>
        <v>2164</v>
      </c>
      <c r="Z5" s="119">
        <f>'2018'!AD8</f>
        <v>121</v>
      </c>
      <c r="AA5" s="106">
        <f>'2018'!AE8</f>
        <v>301.29</v>
      </c>
      <c r="AB5" s="106">
        <f>'2018'!AF8</f>
        <v>400</v>
      </c>
      <c r="AC5" s="119">
        <f>'2018'!AG8</f>
        <v>2335</v>
      </c>
      <c r="AD5" s="119">
        <f>'2018'!AH8</f>
        <v>171</v>
      </c>
      <c r="AE5" s="106">
        <f>'2018'!AI8</f>
        <v>425.79</v>
      </c>
      <c r="AF5" s="106">
        <f>'2018'!AJ8</f>
        <v>424.19</v>
      </c>
      <c r="AG5" s="119">
        <f>'2018'!AK8</f>
        <v>2498</v>
      </c>
      <c r="AH5" s="119">
        <f>'2018'!AL8</f>
        <v>163</v>
      </c>
      <c r="AI5" s="106">
        <f>'2018'!AM8</f>
        <v>405.87</v>
      </c>
      <c r="AJ5" s="106">
        <f>'2018'!AN8</f>
        <v>150</v>
      </c>
      <c r="AK5" s="119">
        <f>'2018'!AO8</f>
        <v>2704</v>
      </c>
      <c r="AL5" s="119">
        <f>'2018'!AP8</f>
        <v>206</v>
      </c>
      <c r="AM5" s="106">
        <f>'2018'!AQ8</f>
        <v>512.94</v>
      </c>
      <c r="AN5" s="106">
        <f>'2018'!AR8</f>
      </c>
      <c r="AO5" s="119">
        <f>'2018'!AS8</f>
        <v>2787</v>
      </c>
      <c r="AP5" s="119">
        <f>'2018'!AT8</f>
        <v>83</v>
      </c>
      <c r="AQ5" s="106">
        <f>'2018'!AU8</f>
        <v>206.67</v>
      </c>
      <c r="AR5" s="106">
        <f>'2018'!AV8</f>
      </c>
      <c r="AS5" s="119">
        <f>'2018'!AW8</f>
        <v>2939</v>
      </c>
      <c r="AT5" s="119">
        <f>'2018'!AX8</f>
        <v>152</v>
      </c>
      <c r="AU5" s="106">
        <f>'2018'!AY8</f>
        <v>378.48</v>
      </c>
      <c r="AV5" s="106">
        <f>'2018'!AZ8</f>
      </c>
      <c r="AW5" s="106"/>
      <c r="AX5" s="106"/>
      <c r="AY5" s="119">
        <f>'2018'!BA8</f>
        <v>3184</v>
      </c>
      <c r="AZ5" s="119">
        <f>'2018'!BB8</f>
        <v>245</v>
      </c>
      <c r="BA5" s="106">
        <f>'2018'!BC8</f>
        <v>610.05</v>
      </c>
      <c r="BB5" s="106">
        <f>'2018'!BD8</f>
        <v>348.6</v>
      </c>
      <c r="BC5" s="106"/>
      <c r="BD5" s="106"/>
      <c r="BE5" s="119">
        <f>'2018'!BE8</f>
        <v>1235</v>
      </c>
      <c r="BF5" s="106">
        <f>'2018'!BF8</f>
        <v>3075.15</v>
      </c>
      <c r="BG5" s="106">
        <f>'2018'!BG8</f>
        <v>1322.79</v>
      </c>
      <c r="BH5" s="106">
        <f>'2018'!BH8</f>
        <v>1752.36</v>
      </c>
      <c r="BI5" s="124"/>
      <c r="BJ5" s="124">
        <f t="shared" ref="BJ5:BJ6" si="0">BH5+AX5</f>
        <v>1752.36</v>
      </c>
    </row>
    <row r="6" spans="1:62" x14ac:dyDescent="0.25">
      <c r="A6" s="14"/>
      <c r="B6" s="125">
        <v>2</v>
      </c>
      <c r="C6" s="115">
        <v>4.12</v>
      </c>
      <c r="D6" s="117" t="s">
        <v>359</v>
      </c>
      <c r="E6" s="119">
        <f>'2018'!I17</f>
        <v>7437</v>
      </c>
      <c r="F6" s="119">
        <f>'2018'!J17</f>
        <v>995</v>
      </c>
      <c r="G6" s="106">
        <f>'2018'!K17</f>
        <v>2477.55</v>
      </c>
      <c r="H6" s="106">
        <f>'2018'!L17</f>
        <v>2477.55</v>
      </c>
      <c r="I6" s="119">
        <f>'2018'!M17</f>
        <v>8024</v>
      </c>
      <c r="J6" s="119">
        <f>'2018'!N17</f>
        <v>587</v>
      </c>
      <c r="K6" s="106">
        <f>'2018'!O17</f>
        <v>1461.63</v>
      </c>
      <c r="L6" s="106">
        <f>'2018'!P17</f>
        <v>1461.63</v>
      </c>
      <c r="M6" s="119">
        <f>'2018'!Q17</f>
        <v>8783</v>
      </c>
      <c r="N6" s="119">
        <f>'2018'!R17</f>
        <v>759</v>
      </c>
      <c r="O6" s="119">
        <f>'2018'!S17</f>
        <v>1889.91</v>
      </c>
      <c r="P6" s="119">
        <f>'2018'!T17</f>
        <v>1889.91</v>
      </c>
      <c r="Q6" s="119">
        <f>'2018'!U17</f>
        <v>9577</v>
      </c>
      <c r="R6" s="119">
        <f>'2018'!V17</f>
        <v>794</v>
      </c>
      <c r="S6" s="106">
        <f>'2018'!W17</f>
        <v>1977.06</v>
      </c>
      <c r="T6" s="106">
        <f>'2018'!X17</f>
        <v>1977.06</v>
      </c>
      <c r="U6" s="119">
        <f>'2018'!Y17</f>
        <v>10069</v>
      </c>
      <c r="V6" s="119">
        <f>'2018'!Z17</f>
        <v>492</v>
      </c>
      <c r="W6" s="106">
        <f>'2018'!AA17</f>
        <v>1225.08</v>
      </c>
      <c r="X6" s="106">
        <f>'2018'!AB17</f>
        <v>1500</v>
      </c>
      <c r="Y6" s="119">
        <f>'2018'!AC17</f>
        <v>10670</v>
      </c>
      <c r="Z6" s="119">
        <f>'2018'!AD17</f>
        <v>601</v>
      </c>
      <c r="AA6" s="106">
        <f>'2018'!AE17</f>
        <v>1496.49</v>
      </c>
      <c r="AB6" s="106">
        <f>'2018'!AF17</f>
        <v>1221.57</v>
      </c>
      <c r="AC6" s="119">
        <f>'2018'!AG17</f>
        <v>11226</v>
      </c>
      <c r="AD6" s="119">
        <f>'2018'!AH17</f>
        <v>556</v>
      </c>
      <c r="AE6" s="106">
        <f>'2018'!AI17</f>
        <v>1384.44</v>
      </c>
      <c r="AF6" s="106">
        <f>'2018'!AJ17</f>
        <v>1594.93</v>
      </c>
      <c r="AG6" s="119">
        <f>'2018'!AK17</f>
        <v>11741</v>
      </c>
      <c r="AH6" s="119">
        <f>'2018'!AL17</f>
        <v>515</v>
      </c>
      <c r="AI6" s="106">
        <f>'2018'!AM17</f>
        <v>1282.35</v>
      </c>
      <c r="AJ6" s="106">
        <f>'2018'!AN17</f>
        <v>1071.86</v>
      </c>
      <c r="AK6" s="119">
        <f>'2018'!AO17</f>
        <v>12370</v>
      </c>
      <c r="AL6" s="119">
        <f>'2018'!AP17</f>
        <v>629</v>
      </c>
      <c r="AM6" s="106">
        <f>'2018'!AQ17</f>
        <v>1566.21</v>
      </c>
      <c r="AN6" s="106">
        <f>'2018'!AR17</f>
        <v>1566.21</v>
      </c>
      <c r="AO6" s="119">
        <f>'2018'!AS17</f>
        <v>13087</v>
      </c>
      <c r="AP6" s="119">
        <f>'2018'!AT17</f>
        <v>717</v>
      </c>
      <c r="AQ6" s="106">
        <f>'2018'!AU17</f>
        <v>1785.33</v>
      </c>
      <c r="AR6" s="106">
        <f>'2018'!AV17</f>
        <v>1318</v>
      </c>
      <c r="AS6" s="126">
        <f>'2018'!AW17</f>
        <v>13541</v>
      </c>
      <c r="AT6" s="119">
        <f>'2018'!AX17</f>
        <v>454</v>
      </c>
      <c r="AU6" s="106">
        <f>'2018'!AY17</f>
        <v>1130.46</v>
      </c>
      <c r="AV6" s="106">
        <f>'2018'!AZ17</f>
        <v>1598.58</v>
      </c>
      <c r="AW6" s="119">
        <v>155</v>
      </c>
      <c r="AX6" s="106">
        <f>AW6*$AX$2</f>
        <v>385.95</v>
      </c>
      <c r="AY6" s="119">
        <f>'2018'!BA17</f>
        <v>14055</v>
      </c>
      <c r="AZ6" s="119">
        <f>'2018'!BB17</f>
        <v>514</v>
      </c>
      <c r="BA6" s="106">
        <f>'2018'!BC17</f>
        <v>1279.86</v>
      </c>
      <c r="BB6" s="106">
        <f>'2018'!BD17</f>
        <v>1685.95</v>
      </c>
      <c r="BC6" s="106"/>
      <c r="BD6" s="106"/>
      <c r="BE6" s="119">
        <f>'2018'!BE17</f>
        <v>7613</v>
      </c>
      <c r="BF6" s="106">
        <f>'2018'!BF17</f>
        <v>18956.37</v>
      </c>
      <c r="BG6" s="106">
        <f>'2018'!BG17</f>
        <v>19363.25</v>
      </c>
      <c r="BH6" s="106">
        <f>'2018'!BH17</f>
        <v>-406.88</v>
      </c>
      <c r="BI6" s="106">
        <f>AX6+BC6</f>
        <v>385.95</v>
      </c>
      <c r="BJ6" s="106">
        <f t="shared" si="0"/>
        <v>-20.93</v>
      </c>
    </row>
    <row r="7" hidden="1" spans="1:61" x14ac:dyDescent="0.25">
      <c r="A7" s="14"/>
      <c r="B7" s="115">
        <v>3</v>
      </c>
      <c r="C7" s="116">
        <v>4</v>
      </c>
      <c r="D7" s="117" t="s">
        <v>60</v>
      </c>
      <c r="E7" s="119">
        <f>'2018'!I25</f>
        <v>11</v>
      </c>
      <c r="F7" s="119">
        <f>'2018'!J25</f>
        <v>0</v>
      </c>
      <c r="G7" s="106">
        <f>'2018'!K25</f>
        <v>0</v>
      </c>
      <c r="H7" s="106">
        <f>'2018'!L25</f>
      </c>
      <c r="I7" s="119">
        <f>'2018'!M25</f>
        <v>11</v>
      </c>
      <c r="J7" s="119">
        <f>'2018'!N25</f>
        <v>0</v>
      </c>
      <c r="K7" s="106">
        <f>'2018'!O25</f>
        <v>0</v>
      </c>
      <c r="L7" s="106">
        <f>'2018'!P25</f>
      </c>
      <c r="M7" s="119">
        <f>'2018'!Q25</f>
        <v>11</v>
      </c>
      <c r="N7" s="119">
        <f>'2018'!R25</f>
        <v>0</v>
      </c>
      <c r="O7" s="119">
        <f>'2018'!S25</f>
        <v>0</v>
      </c>
      <c r="P7" s="119">
        <f>'2018'!T25</f>
      </c>
      <c r="Q7" s="119">
        <f>'2018'!U25</f>
        <v>11</v>
      </c>
      <c r="R7" s="119">
        <f>'2018'!V25</f>
        <v>0</v>
      </c>
      <c r="S7" s="106">
        <f>'2018'!W25</f>
        <v>0</v>
      </c>
      <c r="T7" s="106">
        <f>'2018'!X25</f>
      </c>
      <c r="U7" s="119">
        <f>'2018'!Y25</f>
        <v>11</v>
      </c>
      <c r="V7" s="119">
        <f>'2018'!Z25</f>
        <v>0</v>
      </c>
      <c r="W7" s="106">
        <f>'2018'!AA25</f>
        <v>0</v>
      </c>
      <c r="X7" s="106">
        <f>'2018'!AB25</f>
      </c>
      <c r="Y7" s="119">
        <f>'2018'!AC25</f>
        <v>15</v>
      </c>
      <c r="Z7" s="119">
        <f>'2018'!AD25</f>
        <v>4</v>
      </c>
      <c r="AA7" s="106">
        <f>'2018'!AE25</f>
        <v>9.96</v>
      </c>
      <c r="AB7" s="106">
        <f>'2018'!AF25</f>
      </c>
      <c r="AC7" s="119">
        <f>'2018'!AG25</f>
        <v>22</v>
      </c>
      <c r="AD7" s="119">
        <f>'2018'!AH25</f>
        <v>7</v>
      </c>
      <c r="AE7" s="106">
        <f>'2018'!AI25</f>
        <v>17.43</v>
      </c>
      <c r="AF7" s="106">
        <f>'2018'!AJ25</f>
      </c>
      <c r="AG7" s="119">
        <f>'2018'!AK25</f>
        <v>25</v>
      </c>
      <c r="AH7" s="119">
        <f>'2018'!AL25</f>
        <v>3</v>
      </c>
      <c r="AI7" s="106">
        <f>'2018'!AM25</f>
        <v>7.47</v>
      </c>
      <c r="AJ7" s="106">
        <f>'2018'!AN25</f>
        <v>31.6</v>
      </c>
      <c r="AK7" s="119">
        <f>'2018'!AO25</f>
        <v>26</v>
      </c>
      <c r="AL7" s="119">
        <f>'2018'!AP25</f>
        <v>1</v>
      </c>
      <c r="AM7" s="106">
        <f>'2018'!AQ25</f>
        <v>2.49</v>
      </c>
      <c r="AN7" s="106">
        <f>'2018'!AR25</f>
        <v>8.24</v>
      </c>
      <c r="AO7" s="119">
        <f>'2018'!AS25</f>
        <v>27</v>
      </c>
      <c r="AP7" s="119">
        <f>'2018'!AT25</f>
        <v>1</v>
      </c>
      <c r="AQ7" s="106">
        <f>'2018'!AU25</f>
        <v>2.49</v>
      </c>
      <c r="AR7" s="106">
        <f>'2018'!AV25</f>
      </c>
      <c r="AS7" s="119">
        <f>'2018'!AW25</f>
        <v>27</v>
      </c>
      <c r="AT7" s="119">
        <f>'2018'!AX25</f>
        <v>0</v>
      </c>
      <c r="AU7" s="106">
        <f>'2018'!AY25</f>
        <v>0</v>
      </c>
      <c r="AV7" s="106">
        <f>'2018'!AZ25</f>
      </c>
      <c r="AW7" s="106"/>
      <c r="AX7" s="106"/>
      <c r="AY7" s="119">
        <f>'2018'!BA25</f>
        <v>27</v>
      </c>
      <c r="AZ7" s="119">
        <f>'2018'!BB25</f>
        <v>0</v>
      </c>
      <c r="BA7" s="106">
        <f>'2018'!BC25</f>
        <v>0</v>
      </c>
      <c r="BB7" s="106">
        <f>'2018'!BD25</f>
      </c>
      <c r="BC7" s="106"/>
      <c r="BD7" s="106"/>
      <c r="BE7" s="119">
        <f>'2018'!BE25</f>
        <v>16</v>
      </c>
      <c r="BF7" s="106">
        <f>'2018'!BF25</f>
        <v>39.84</v>
      </c>
      <c r="BG7" s="106">
        <f>'2018'!BG25</f>
        <v>39.84</v>
      </c>
      <c r="BH7" s="106">
        <f>'2018'!BH25</f>
        <v>2.49</v>
      </c>
      <c r="BI7" s="34"/>
    </row>
    <row r="8" hidden="1" spans="1:61" x14ac:dyDescent="0.25">
      <c r="A8" s="14"/>
      <c r="B8" s="115">
        <v>4</v>
      </c>
      <c r="C8" s="115">
        <v>3.95</v>
      </c>
      <c r="D8" s="117" t="s">
        <v>64</v>
      </c>
      <c r="E8" s="119">
        <f>'2018'!I33</f>
      </c>
      <c r="F8" s="119">
        <f>'2018'!J33</f>
      </c>
      <c r="G8" s="106">
        <f>'2018'!K33</f>
      </c>
      <c r="H8" s="106">
        <f>'2018'!L33</f>
      </c>
      <c r="I8" s="119">
        <f>'2018'!M33</f>
      </c>
      <c r="J8" s="119">
        <f>'2018'!N33</f>
      </c>
      <c r="K8" s="106">
        <f>'2018'!O33</f>
      </c>
      <c r="L8" s="106">
        <f>'2018'!P33</f>
      </c>
      <c r="M8" s="119">
        <f>'2018'!Q33</f>
      </c>
      <c r="N8" s="119">
        <f>'2018'!R33</f>
      </c>
      <c r="O8" s="119">
        <f>'2018'!S33</f>
      </c>
      <c r="P8" s="119">
        <f>'2018'!T33</f>
      </c>
      <c r="Q8" s="119">
        <f>'2018'!U33</f>
      </c>
      <c r="R8" s="119">
        <f>'2018'!V33</f>
      </c>
      <c r="S8" s="106">
        <f>'2018'!W33</f>
      </c>
      <c r="T8" s="106">
        <f>'2018'!X33</f>
      </c>
      <c r="U8" s="119">
        <f>'2018'!Y33</f>
      </c>
      <c r="V8" s="119">
        <f>'2018'!Z33</f>
        <v>0</v>
      </c>
      <c r="W8" s="106">
        <f>'2018'!AA33</f>
        <v>0</v>
      </c>
      <c r="X8" s="106">
        <f>'2018'!AB33</f>
      </c>
      <c r="Y8" s="119">
        <f>'2018'!AC33</f>
      </c>
      <c r="Z8" s="119">
        <f>'2018'!AD33</f>
        <v>0</v>
      </c>
      <c r="AA8" s="106">
        <f>'2018'!AE33</f>
        <v>0</v>
      </c>
      <c r="AB8" s="106">
        <f>'2018'!AF33</f>
      </c>
      <c r="AC8" s="119">
        <f>'2018'!AG33</f>
      </c>
      <c r="AD8" s="119">
        <f>'2018'!AH33</f>
        <v>0</v>
      </c>
      <c r="AE8" s="106">
        <f>'2018'!AI33</f>
        <v>0</v>
      </c>
      <c r="AF8" s="106">
        <f>'2018'!AJ33</f>
      </c>
      <c r="AG8" s="119">
        <f>'2018'!AK33</f>
      </c>
      <c r="AH8" s="119">
        <f>'2018'!AL33</f>
        <v>0</v>
      </c>
      <c r="AI8" s="106">
        <f>'2018'!AM33</f>
        <v>0</v>
      </c>
      <c r="AJ8" s="106">
        <f>'2018'!AN33</f>
      </c>
      <c r="AK8" s="119">
        <f>'2018'!AO33</f>
      </c>
      <c r="AL8" s="119">
        <f>'2018'!AP33</f>
      </c>
      <c r="AM8" s="106">
        <f>'2018'!AQ33</f>
        <v>0</v>
      </c>
      <c r="AN8" s="106">
        <f>'2018'!AR33</f>
      </c>
      <c r="AO8" s="119">
        <f>'2018'!AS33</f>
      </c>
      <c r="AP8" s="119">
        <f>'2018'!AT33</f>
      </c>
      <c r="AQ8" s="106">
        <f>'2018'!AU33</f>
        <v>0</v>
      </c>
      <c r="AR8" s="106">
        <f>'2018'!AV33</f>
      </c>
      <c r="AS8" s="119">
        <f>'2018'!AW33</f>
      </c>
      <c r="AT8" s="119">
        <f>'2018'!AX33</f>
      </c>
      <c r="AU8" s="106">
        <f>'2018'!AY33</f>
        <v>0</v>
      </c>
      <c r="AV8" s="106">
        <f>'2018'!AZ33</f>
      </c>
      <c r="AW8" s="106"/>
      <c r="AX8" s="106"/>
      <c r="AY8" s="119">
        <f>'2018'!BA33</f>
      </c>
      <c r="AZ8" s="119">
        <f>'2018'!BB33</f>
      </c>
      <c r="BA8" s="106">
        <f>'2018'!BC33</f>
        <v>0</v>
      </c>
      <c r="BB8" s="106">
        <f>'2018'!BD33</f>
      </c>
      <c r="BC8" s="106"/>
      <c r="BD8" s="106"/>
      <c r="BE8" s="119">
        <f>'2018'!BE33</f>
        <v>0</v>
      </c>
      <c r="BF8" s="106">
        <f>'2018'!BF33</f>
        <v>0</v>
      </c>
      <c r="BG8" s="106">
        <f>'2018'!BG33</f>
        <v>0</v>
      </c>
      <c r="BH8" s="106">
        <f>'2018'!BH33</f>
        <v>0</v>
      </c>
      <c r="BI8" s="34"/>
    </row>
    <row r="9" hidden="1" spans="1:61" x14ac:dyDescent="0.25">
      <c r="A9" s="14"/>
      <c r="B9" s="115">
        <v>5</v>
      </c>
      <c r="C9" s="115">
        <v>5.08</v>
      </c>
      <c r="D9" s="117" t="s">
        <v>66</v>
      </c>
      <c r="E9" s="119">
        <f>'2018'!I41</f>
        <v>90</v>
      </c>
      <c r="F9" s="119">
        <f>'2018'!J41</f>
        <v>0</v>
      </c>
      <c r="G9" s="106">
        <f>'2018'!K41</f>
        <v>0</v>
      </c>
      <c r="H9" s="106">
        <f>'2018'!L41</f>
      </c>
      <c r="I9" s="119">
        <f>'2018'!M41</f>
        <v>90</v>
      </c>
      <c r="J9" s="119">
        <f>'2018'!N41</f>
        <v>0</v>
      </c>
      <c r="K9" s="106">
        <f>'2018'!O41</f>
        <v>0</v>
      </c>
      <c r="L9" s="106">
        <f>'2018'!P41</f>
      </c>
      <c r="M9" s="119">
        <f>'2018'!Q41</f>
        <v>90</v>
      </c>
      <c r="N9" s="119">
        <f>'2018'!R41</f>
        <v>0</v>
      </c>
      <c r="O9" s="119">
        <f>'2018'!S41</f>
        <v>0</v>
      </c>
      <c r="P9" s="119">
        <f>'2018'!T41</f>
      </c>
      <c r="Q9" s="119">
        <f>'2018'!U41</f>
        <v>90</v>
      </c>
      <c r="R9" s="119">
        <f>'2018'!V41</f>
        <v>0</v>
      </c>
      <c r="S9" s="106">
        <f>'2018'!W41</f>
        <v>0</v>
      </c>
      <c r="T9" s="106">
        <f>'2018'!X41</f>
      </c>
      <c r="U9" s="119">
        <f>'2018'!Y41</f>
        <v>91</v>
      </c>
      <c r="V9" s="119">
        <f>'2018'!Z41</f>
        <v>1</v>
      </c>
      <c r="W9" s="106">
        <f>'2018'!AA41</f>
        <v>2.49</v>
      </c>
      <c r="X9" s="106">
        <f>'2018'!AB41</f>
      </c>
      <c r="Y9" s="119">
        <f>'2018'!AC41</f>
        <v>92</v>
      </c>
      <c r="Z9" s="119">
        <f>'2018'!AD41</f>
        <v>1</v>
      </c>
      <c r="AA9" s="106">
        <f>'2018'!AE41</f>
        <v>2.49</v>
      </c>
      <c r="AB9" s="106">
        <f>'2018'!AF41</f>
      </c>
      <c r="AC9" s="119">
        <f>'2018'!AG41</f>
        <v>92</v>
      </c>
      <c r="AD9" s="119">
        <f>'2018'!AH41</f>
        <v>0</v>
      </c>
      <c r="AE9" s="106">
        <f>'2018'!AI41</f>
        <v>0</v>
      </c>
      <c r="AF9" s="106">
        <f>'2018'!AJ41</f>
        <v>178.39</v>
      </c>
      <c r="AG9" s="119">
        <f>'2018'!AK41</f>
        <v>92</v>
      </c>
      <c r="AH9" s="119">
        <f>'2018'!AL41</f>
        <v>0</v>
      </c>
      <c r="AI9" s="106">
        <f>'2018'!AM41</f>
        <v>0</v>
      </c>
      <c r="AJ9" s="106">
        <f>'2018'!AN41</f>
      </c>
      <c r="AK9" s="119">
        <f>'2018'!AO41</f>
        <v>93</v>
      </c>
      <c r="AL9" s="119">
        <f>'2018'!AP41</f>
        <v>1</v>
      </c>
      <c r="AM9" s="106">
        <f>'2018'!AQ41</f>
        <v>2.49</v>
      </c>
      <c r="AN9" s="106">
        <f>'2018'!AR41</f>
      </c>
      <c r="AO9" s="119">
        <f>'2018'!AS41</f>
        <v>93</v>
      </c>
      <c r="AP9" s="119">
        <f>'2018'!AT41</f>
        <v>0</v>
      </c>
      <c r="AQ9" s="106">
        <f>'2018'!AU41</f>
        <v>0</v>
      </c>
      <c r="AR9" s="106">
        <f>'2018'!AV41</f>
      </c>
      <c r="AS9" s="119">
        <f>'2018'!AW41</f>
        <v>93</v>
      </c>
      <c r="AT9" s="119">
        <f>'2018'!AX41</f>
        <v>0</v>
      </c>
      <c r="AU9" s="106">
        <f>'2018'!AY41</f>
        <v>0</v>
      </c>
      <c r="AV9" s="106">
        <f>'2018'!AZ41</f>
      </c>
      <c r="AW9" s="106"/>
      <c r="AX9" s="106"/>
      <c r="AY9" s="119">
        <f>'2018'!BA41</f>
        <v>93</v>
      </c>
      <c r="AZ9" s="119">
        <f>'2018'!BB41</f>
        <v>0</v>
      </c>
      <c r="BA9" s="106">
        <f>'2018'!BC41</f>
        <v>0</v>
      </c>
      <c r="BB9" s="106">
        <f>'2018'!BD41</f>
      </c>
      <c r="BC9" s="106"/>
      <c r="BD9" s="106"/>
      <c r="BE9" s="119">
        <f>'2018'!BE41</f>
        <v>3</v>
      </c>
      <c r="BF9" s="106">
        <f>'2018'!BF41</f>
        <v>7.47</v>
      </c>
      <c r="BG9" s="106">
        <f>'2018'!BG41</f>
        <v>178.39</v>
      </c>
      <c r="BH9" s="106">
        <f>'2018'!BH41</f>
        <v>-97.51</v>
      </c>
      <c r="BI9" s="34"/>
    </row>
    <row r="10" hidden="1" spans="1:61" x14ac:dyDescent="0.25">
      <c r="A10" s="14"/>
      <c r="B10" s="115">
        <v>6</v>
      </c>
      <c r="C10" s="115">
        <v>4.01</v>
      </c>
      <c r="D10" s="117" t="s">
        <v>70</v>
      </c>
      <c r="E10" s="119">
        <f>'2018'!I49</f>
        <v>3</v>
      </c>
      <c r="F10" s="119">
        <f>'2018'!J49</f>
        <v>0</v>
      </c>
      <c r="G10" s="106">
        <f>'2018'!K49</f>
        <v>0</v>
      </c>
      <c r="H10" s="106">
        <f>'2018'!L49</f>
      </c>
      <c r="I10" s="119">
        <f>'2018'!M49</f>
        <v>3</v>
      </c>
      <c r="J10" s="119">
        <f>'2018'!N49</f>
        <v>0</v>
      </c>
      <c r="K10" s="106">
        <f>'2018'!O49</f>
        <v>0</v>
      </c>
      <c r="L10" s="106">
        <f>'2018'!P49</f>
      </c>
      <c r="M10" s="119">
        <f>'2018'!Q49</f>
        <v>3</v>
      </c>
      <c r="N10" s="119">
        <f>'2018'!R49</f>
        <v>0</v>
      </c>
      <c r="O10" s="119">
        <f>'2018'!S49</f>
        <v>0</v>
      </c>
      <c r="P10" s="119">
        <f>'2018'!T49</f>
      </c>
      <c r="Q10" s="119">
        <f>'2018'!U49</f>
        <v>3</v>
      </c>
      <c r="R10" s="119">
        <f>'2018'!V49</f>
        <v>0</v>
      </c>
      <c r="S10" s="106">
        <f>'2018'!W49</f>
        <v>0</v>
      </c>
      <c r="T10" s="106">
        <f>'2018'!X49</f>
      </c>
      <c r="U10" s="119">
        <f>'2018'!Y49</f>
        <v>3</v>
      </c>
      <c r="V10" s="119">
        <f>'2018'!Z49</f>
        <v>0</v>
      </c>
      <c r="W10" s="106">
        <f>'2018'!AA49</f>
        <v>0</v>
      </c>
      <c r="X10" s="106">
        <f>'2018'!AB49</f>
      </c>
      <c r="Y10" s="119">
        <f>'2018'!AC49</f>
        <v>4</v>
      </c>
      <c r="Z10" s="119">
        <f>'2018'!AD49</f>
        <v>1</v>
      </c>
      <c r="AA10" s="106">
        <f>'2018'!AE49</f>
        <v>2.49</v>
      </c>
      <c r="AB10" s="106">
        <f>'2018'!AF49</f>
      </c>
      <c r="AC10" s="119">
        <f>'2018'!AG49</f>
        <v>5</v>
      </c>
      <c r="AD10" s="119">
        <f>'2018'!AH49</f>
        <v>1</v>
      </c>
      <c r="AE10" s="106">
        <f>'2018'!AI49</f>
        <v>2.49</v>
      </c>
      <c r="AF10" s="106">
        <f>'2018'!AJ49</f>
      </c>
      <c r="AG10" s="119">
        <f>'2018'!AK49</f>
        <v>5</v>
      </c>
      <c r="AH10" s="119">
        <f>'2018'!AL49</f>
        <v>0</v>
      </c>
      <c r="AI10" s="106">
        <f>'2018'!AM49</f>
        <v>0</v>
      </c>
      <c r="AJ10" s="106">
        <f>'2018'!AN49</f>
      </c>
      <c r="AK10" s="119">
        <f>'2018'!AO49</f>
        <v>6</v>
      </c>
      <c r="AL10" s="119">
        <f>'2018'!AP49</f>
        <v>1</v>
      </c>
      <c r="AM10" s="106">
        <f>'2018'!AQ49</f>
        <v>2.49</v>
      </c>
      <c r="AN10" s="106">
        <f>'2018'!AR49</f>
        <v>7.47</v>
      </c>
      <c r="AO10" s="119">
        <f>'2018'!AS49</f>
        <v>6</v>
      </c>
      <c r="AP10" s="119">
        <f>'2018'!AT49</f>
        <v>0</v>
      </c>
      <c r="AQ10" s="106">
        <f>'2018'!AU49</f>
        <v>0</v>
      </c>
      <c r="AR10" s="106">
        <f>'2018'!AV49</f>
      </c>
      <c r="AS10" s="119">
        <f>'2018'!AW49</f>
        <v>6</v>
      </c>
      <c r="AT10" s="119">
        <f>'2018'!AX49</f>
        <v>0</v>
      </c>
      <c r="AU10" s="106">
        <f>'2018'!AY49</f>
        <v>0</v>
      </c>
      <c r="AV10" s="106">
        <f>'2018'!AZ49</f>
      </c>
      <c r="AW10" s="106"/>
      <c r="AX10" s="106"/>
      <c r="AY10" s="119">
        <f>'2018'!BA49</f>
        <v>6</v>
      </c>
      <c r="AZ10" s="119">
        <f>'2018'!BB49</f>
        <v>0</v>
      </c>
      <c r="BA10" s="106">
        <f>'2018'!BC49</f>
        <v>0</v>
      </c>
      <c r="BB10" s="106">
        <f>'2018'!BD49</f>
      </c>
      <c r="BC10" s="106"/>
      <c r="BD10" s="106"/>
      <c r="BE10" s="119">
        <f>'2018'!BE49</f>
        <v>3</v>
      </c>
      <c r="BF10" s="106">
        <f>'2018'!BF49</f>
        <v>7.47</v>
      </c>
      <c r="BG10" s="106">
        <f>'2018'!BG49</f>
        <v>7.47</v>
      </c>
      <c r="BH10" s="106">
        <f>'2018'!BH49</f>
        <v>0</v>
      </c>
      <c r="BI10" s="34"/>
    </row>
    <row r="11" hidden="1" spans="1:61" x14ac:dyDescent="0.25">
      <c r="A11" s="14"/>
      <c r="B11" s="115">
        <v>7</v>
      </c>
      <c r="C11" s="115">
        <v>4.85</v>
      </c>
      <c r="D11" s="117" t="s">
        <v>74</v>
      </c>
      <c r="E11" s="119">
        <f>'2018'!I57</f>
        <v>75</v>
      </c>
      <c r="F11" s="119">
        <f>'2018'!J57</f>
        <v>0</v>
      </c>
      <c r="G11" s="106">
        <f>'2018'!K57</f>
        <v>0</v>
      </c>
      <c r="H11" s="106">
        <f>'2018'!L57</f>
      </c>
      <c r="I11" s="119">
        <f>'2018'!M57</f>
        <v>75</v>
      </c>
      <c r="J11" s="119">
        <f>'2018'!N57</f>
        <v>0</v>
      </c>
      <c r="K11" s="106">
        <f>'2018'!O57</f>
        <v>0</v>
      </c>
      <c r="L11" s="106">
        <f>'2018'!P57</f>
      </c>
      <c r="M11" s="119">
        <f>'2018'!Q57</f>
        <v>75</v>
      </c>
      <c r="N11" s="119">
        <f>'2018'!R57</f>
        <v>0</v>
      </c>
      <c r="O11" s="119">
        <f>'2018'!S57</f>
        <v>0</v>
      </c>
      <c r="P11" s="119">
        <f>'2018'!T57</f>
      </c>
      <c r="Q11" s="119">
        <f>'2018'!U57</f>
        <v>76</v>
      </c>
      <c r="R11" s="119">
        <f>'2018'!V57</f>
        <v>1</v>
      </c>
      <c r="S11" s="106">
        <f>'2018'!W57</f>
        <v>2.49</v>
      </c>
      <c r="T11" s="106">
        <f>'2018'!X57</f>
      </c>
      <c r="U11" s="119">
        <f>'2018'!Y57</f>
        <v>76</v>
      </c>
      <c r="V11" s="119">
        <f>'2018'!Z57</f>
        <v>0</v>
      </c>
      <c r="W11" s="106">
        <f>'2018'!AA57</f>
        <v>0</v>
      </c>
      <c r="X11" s="106">
        <f>'2018'!AB57</f>
      </c>
      <c r="Y11" s="119">
        <f>'2018'!AC57</f>
        <v>86</v>
      </c>
      <c r="Z11" s="119">
        <f>'2018'!AD57</f>
        <v>10</v>
      </c>
      <c r="AA11" s="106">
        <f>'2018'!AE57</f>
        <v>24.9</v>
      </c>
      <c r="AB11" s="106">
        <f>'2018'!AF57</f>
      </c>
      <c r="AC11" s="119">
        <f>'2018'!AG57</f>
        <v>105</v>
      </c>
      <c r="AD11" s="119">
        <f>'2018'!AH57</f>
        <v>19</v>
      </c>
      <c r="AE11" s="106">
        <f>'2018'!AI57</f>
        <v>47.31</v>
      </c>
      <c r="AF11" s="106">
        <f>'2018'!AJ57</f>
        <v>42.33</v>
      </c>
      <c r="AG11" s="119">
        <f>'2018'!AK57</f>
        <v>118</v>
      </c>
      <c r="AH11" s="119">
        <f>'2018'!AL57</f>
        <v>13</v>
      </c>
      <c r="AI11" s="106">
        <f>'2018'!AM57</f>
        <v>32.37</v>
      </c>
      <c r="AJ11" s="106">
        <f>'2018'!AN57</f>
      </c>
      <c r="AK11" s="119">
        <f>'2018'!AO57</f>
        <v>127</v>
      </c>
      <c r="AL11" s="119">
        <f>'2018'!AP57</f>
        <v>9</v>
      </c>
      <c r="AM11" s="106">
        <f>'2018'!AQ57</f>
        <v>22.41</v>
      </c>
      <c r="AN11" s="106">
        <f>'2018'!AR57</f>
        <v>102.09</v>
      </c>
      <c r="AO11" s="119">
        <f>'2018'!AS57</f>
        <v>131</v>
      </c>
      <c r="AP11" s="119">
        <f>'2018'!AT57</f>
        <v>4</v>
      </c>
      <c r="AQ11" s="106">
        <f>'2018'!AU57</f>
        <v>9.96</v>
      </c>
      <c r="AR11" s="106">
        <f>'2018'!AV57</f>
      </c>
      <c r="AS11" s="119">
        <f>'2018'!AW57</f>
        <v>131</v>
      </c>
      <c r="AT11" s="119">
        <f>'2018'!AX57</f>
        <v>0</v>
      </c>
      <c r="AU11" s="106">
        <f>'2018'!AY57</f>
        <v>0</v>
      </c>
      <c r="AV11" s="106">
        <f>'2018'!AZ57</f>
      </c>
      <c r="AW11" s="106"/>
      <c r="AX11" s="106"/>
      <c r="AY11" s="119">
        <f>'2018'!BA57</f>
        <v>131</v>
      </c>
      <c r="AZ11" s="119">
        <f>'2018'!BB57</f>
        <v>0</v>
      </c>
      <c r="BA11" s="106">
        <f>'2018'!BC57</f>
        <v>0</v>
      </c>
      <c r="BB11" s="106">
        <f>'2018'!BD57</f>
      </c>
      <c r="BC11" s="106"/>
      <c r="BD11" s="106"/>
      <c r="BE11" s="119">
        <f>'2018'!BE57</f>
        <v>56</v>
      </c>
      <c r="BF11" s="106">
        <f>'2018'!BF57</f>
        <v>139.44</v>
      </c>
      <c r="BG11" s="106">
        <f>'2018'!BG57</f>
        <v>144.42</v>
      </c>
      <c r="BH11" s="106">
        <f>'2018'!BH57</f>
        <v>9.96</v>
      </c>
      <c r="BI11" s="34"/>
    </row>
    <row r="12" hidden="1" spans="1:61" x14ac:dyDescent="0.25">
      <c r="A12" s="14"/>
      <c r="B12" s="115">
        <v>8</v>
      </c>
      <c r="C12" s="116">
        <v>4</v>
      </c>
      <c r="D12" s="117" t="s">
        <v>78</v>
      </c>
      <c r="E12" s="119">
        <f>'2018'!I65</f>
        <v>138</v>
      </c>
      <c r="F12" s="119">
        <f>'2018'!J65</f>
        <v>0</v>
      </c>
      <c r="G12" s="106">
        <f>'2018'!K65</f>
        <v>0</v>
      </c>
      <c r="H12" s="106">
        <f>'2018'!L65</f>
      </c>
      <c r="I12" s="119">
        <f>'2018'!M65</f>
        <v>138</v>
      </c>
      <c r="J12" s="119">
        <f>'2018'!N65</f>
        <v>0</v>
      </c>
      <c r="K12" s="106">
        <f>'2018'!O65</f>
        <v>0</v>
      </c>
      <c r="L12" s="106">
        <f>'2018'!P65</f>
      </c>
      <c r="M12" s="119">
        <f>'2018'!Q65</f>
        <v>138</v>
      </c>
      <c r="N12" s="119">
        <f>'2018'!R65</f>
        <v>0</v>
      </c>
      <c r="O12" s="119">
        <f>'2018'!S65</f>
        <v>0</v>
      </c>
      <c r="P12" s="119">
        <f>'2018'!T65</f>
      </c>
      <c r="Q12" s="119">
        <f>'2018'!U65</f>
        <v>138</v>
      </c>
      <c r="R12" s="119">
        <f>'2018'!V65</f>
        <v>0</v>
      </c>
      <c r="S12" s="106">
        <f>'2018'!W65</f>
        <v>0</v>
      </c>
      <c r="T12" s="106">
        <f>'2018'!X65</f>
      </c>
      <c r="U12" s="119">
        <f>'2018'!Y65</f>
        <v>141</v>
      </c>
      <c r="V12" s="119">
        <f>'2018'!Z65</f>
        <v>3</v>
      </c>
      <c r="W12" s="106">
        <f>'2018'!AA65</f>
        <v>7.47</v>
      </c>
      <c r="X12" s="106">
        <f>'2018'!AB65</f>
      </c>
      <c r="Y12" s="119">
        <f>'2018'!AC65</f>
        <v>150</v>
      </c>
      <c r="Z12" s="119">
        <f>'2018'!AD65</f>
        <v>9</v>
      </c>
      <c r="AA12" s="106">
        <f>'2018'!AE65</f>
        <v>22.41</v>
      </c>
      <c r="AB12" s="106">
        <f>'2018'!AF65</f>
      </c>
      <c r="AC12" s="119">
        <f>'2018'!AG65</f>
        <v>155</v>
      </c>
      <c r="AD12" s="119">
        <f>'2018'!AH65</f>
        <v>5</v>
      </c>
      <c r="AE12" s="106">
        <f>'2018'!AI65</f>
        <v>12.45</v>
      </c>
      <c r="AF12" s="106">
        <f>'2018'!AJ65</f>
        <v>104.58</v>
      </c>
      <c r="AG12" s="119">
        <f>'2018'!AK65</f>
        <v>161</v>
      </c>
      <c r="AH12" s="119">
        <f>'2018'!AL65</f>
        <v>6</v>
      </c>
      <c r="AI12" s="106">
        <f>'2018'!AM65</f>
        <v>14.94</v>
      </c>
      <c r="AJ12" s="106">
        <f>'2018'!AN65</f>
        <v>12.45</v>
      </c>
      <c r="AK12" s="119">
        <f>'2018'!AO65</f>
        <v>179</v>
      </c>
      <c r="AL12" s="119">
        <f>'2018'!AP65</f>
        <v>18</v>
      </c>
      <c r="AM12" s="106">
        <f>'2018'!AQ65</f>
        <v>44.82</v>
      </c>
      <c r="AN12" s="106">
        <f>'2018'!AR65</f>
        <v>59.76</v>
      </c>
      <c r="AO12" s="119">
        <f>'2018'!AS65</f>
        <v>179</v>
      </c>
      <c r="AP12" s="119">
        <f>'2018'!AT65</f>
        <v>0</v>
      </c>
      <c r="AQ12" s="106">
        <f>'2018'!AU65</f>
        <v>0</v>
      </c>
      <c r="AR12" s="106">
        <f>'2018'!AV65</f>
      </c>
      <c r="AS12" s="119">
        <f>'2018'!AW65</f>
        <v>179</v>
      </c>
      <c r="AT12" s="119">
        <f>'2018'!AX65</f>
        <v>0</v>
      </c>
      <c r="AU12" s="106">
        <f>'2018'!AY65</f>
        <v>0</v>
      </c>
      <c r="AV12" s="106">
        <f>'2018'!AZ65</f>
      </c>
      <c r="AW12" s="106"/>
      <c r="AX12" s="106"/>
      <c r="AY12" s="119">
        <f>'2018'!BA65</f>
        <v>179</v>
      </c>
      <c r="AZ12" s="119">
        <f>'2018'!BB65</f>
        <v>0</v>
      </c>
      <c r="BA12" s="106">
        <f>'2018'!BC65</f>
        <v>0</v>
      </c>
      <c r="BB12" s="106">
        <f>'2018'!BD65</f>
      </c>
      <c r="BC12" s="106"/>
      <c r="BD12" s="106"/>
      <c r="BE12" s="119">
        <f>'2018'!BE65</f>
        <v>41</v>
      </c>
      <c r="BF12" s="106">
        <f>'2018'!BF65</f>
        <v>102.09</v>
      </c>
      <c r="BG12" s="106">
        <f>'2018'!BG65</f>
        <v>176.79</v>
      </c>
      <c r="BH12" s="106">
        <f>'2018'!BH65</f>
        <v>0</v>
      </c>
      <c r="BI12" s="34"/>
    </row>
    <row r="13" hidden="1" spans="1:61" x14ac:dyDescent="0.25">
      <c r="A13" s="14"/>
      <c r="B13" s="115">
        <v>9</v>
      </c>
      <c r="C13" s="115">
        <v>4.03</v>
      </c>
      <c r="D13" s="117" t="s">
        <v>82</v>
      </c>
      <c r="E13" s="119">
        <f>'2018'!I73</f>
        <v>30</v>
      </c>
      <c r="F13" s="119">
        <f>'2018'!J73</f>
        <v>0</v>
      </c>
      <c r="G13" s="106">
        <f>'2018'!K73</f>
        <v>0</v>
      </c>
      <c r="H13" s="106">
        <f>'2018'!L73</f>
      </c>
      <c r="I13" s="119">
        <f>'2018'!M73</f>
        <v>30</v>
      </c>
      <c r="J13" s="119">
        <f>'2018'!N73</f>
        <v>0</v>
      </c>
      <c r="K13" s="106">
        <f>'2018'!O73</f>
        <v>0</v>
      </c>
      <c r="L13" s="106">
        <f>'2018'!P73</f>
      </c>
      <c r="M13" s="119">
        <f>'2018'!Q73</f>
        <v>30</v>
      </c>
      <c r="N13" s="119">
        <f>'2018'!R73</f>
        <v>0</v>
      </c>
      <c r="O13" s="119">
        <f>'2018'!S73</f>
        <v>0</v>
      </c>
      <c r="P13" s="119">
        <f>'2018'!T73</f>
      </c>
      <c r="Q13" s="119">
        <f>'2018'!U73</f>
        <v>30</v>
      </c>
      <c r="R13" s="119">
        <f>'2018'!V73</f>
        <v>0</v>
      </c>
      <c r="S13" s="106">
        <f>'2018'!W73</f>
        <v>0</v>
      </c>
      <c r="T13" s="106">
        <f>'2018'!X73</f>
      </c>
      <c r="U13" s="119">
        <f>'2018'!Y73</f>
        <v>30</v>
      </c>
      <c r="V13" s="119">
        <f>'2018'!Z73</f>
        <v>0</v>
      </c>
      <c r="W13" s="106">
        <f>'2018'!AA73</f>
        <v>0</v>
      </c>
      <c r="X13" s="106">
        <f>'2018'!AB73</f>
      </c>
      <c r="Y13" s="119">
        <f>'2018'!AC73</f>
        <v>30</v>
      </c>
      <c r="Z13" s="119">
        <f>'2018'!AD73</f>
        <v>0</v>
      </c>
      <c r="AA13" s="106">
        <f>'2018'!AE73</f>
        <v>0</v>
      </c>
      <c r="AB13" s="106">
        <f>'2018'!AF73</f>
      </c>
      <c r="AC13" s="119">
        <f>'2018'!AG73</f>
        <v>34</v>
      </c>
      <c r="AD13" s="119">
        <f>'2018'!AH73</f>
        <v>4</v>
      </c>
      <c r="AE13" s="106">
        <f>'2018'!AI73</f>
        <v>9.96</v>
      </c>
      <c r="AF13" s="106">
        <f>'2018'!AJ73</f>
      </c>
      <c r="AG13" s="119">
        <f>'2018'!AK73</f>
        <v>40</v>
      </c>
      <c r="AH13" s="119">
        <f>'2018'!AL73</f>
        <v>6</v>
      </c>
      <c r="AI13" s="106">
        <f>'2018'!AM73</f>
        <v>14.94</v>
      </c>
      <c r="AJ13" s="106">
        <f>'2018'!AN73</f>
        <v>24.9</v>
      </c>
      <c r="AK13" s="119">
        <f>'2018'!AO73</f>
        <v>41</v>
      </c>
      <c r="AL13" s="119">
        <f>'2018'!AP73</f>
        <v>1</v>
      </c>
      <c r="AM13" s="106">
        <f>'2018'!AQ73</f>
        <v>2.49</v>
      </c>
      <c r="AN13" s="106">
        <f>'2018'!AR73</f>
      </c>
      <c r="AO13" s="119">
        <f>'2018'!AS73</f>
        <v>41</v>
      </c>
      <c r="AP13" s="119">
        <f>'2018'!AT73</f>
        <v>0</v>
      </c>
      <c r="AQ13" s="106">
        <f>'2018'!AU73</f>
        <v>0</v>
      </c>
      <c r="AR13" s="106">
        <f>'2018'!AV73</f>
      </c>
      <c r="AS13" s="119">
        <f>'2018'!AW73</f>
        <v>41</v>
      </c>
      <c r="AT13" s="119">
        <f>'2018'!AX73</f>
        <v>0</v>
      </c>
      <c r="AU13" s="106">
        <f>'2018'!AY73</f>
        <v>0</v>
      </c>
      <c r="AV13" s="106">
        <f>'2018'!AZ73</f>
      </c>
      <c r="AW13" s="106"/>
      <c r="AX13" s="106"/>
      <c r="AY13" s="119">
        <f>'2018'!BA73</f>
        <v>41</v>
      </c>
      <c r="AZ13" s="119">
        <f>'2018'!BB73</f>
        <v>0</v>
      </c>
      <c r="BA13" s="106">
        <f>'2018'!BC73</f>
        <v>0</v>
      </c>
      <c r="BB13" s="106">
        <f>'2018'!BD73</f>
      </c>
      <c r="BC13" s="106"/>
      <c r="BD13" s="106"/>
      <c r="BE13" s="119">
        <f>'2018'!BE73</f>
        <v>11</v>
      </c>
      <c r="BF13" s="106">
        <f>'2018'!BF73</f>
        <v>27.39</v>
      </c>
      <c r="BG13" s="106">
        <f>'2018'!BG73</f>
        <v>24.9</v>
      </c>
      <c r="BH13" s="106">
        <f>'2018'!BH73</f>
        <v>2.49</v>
      </c>
      <c r="BI13" s="34"/>
    </row>
    <row r="14" hidden="1" spans="1:61" x14ac:dyDescent="0.25">
      <c r="A14" s="14"/>
      <c r="B14" s="115">
        <v>10</v>
      </c>
      <c r="C14" s="115">
        <v>4.01</v>
      </c>
      <c r="D14" s="117" t="s">
        <v>86</v>
      </c>
      <c r="E14" s="119">
        <f>'2018'!I81</f>
      </c>
      <c r="F14" s="119">
        <f>'2018'!J81</f>
      </c>
      <c r="G14" s="106">
        <f>'2018'!K81</f>
      </c>
      <c r="H14" s="106">
        <f>'2018'!L81</f>
      </c>
      <c r="I14" s="119">
        <f>'2018'!M81</f>
      </c>
      <c r="J14" s="119">
        <f>'2018'!N81</f>
      </c>
      <c r="K14" s="106">
        <f>'2018'!O81</f>
      </c>
      <c r="L14" s="106">
        <f>'2018'!P81</f>
      </c>
      <c r="M14" s="119">
        <f>'2018'!Q81</f>
      </c>
      <c r="N14" s="119">
        <f>'2018'!R81</f>
      </c>
      <c r="O14" s="119">
        <f>'2018'!S81</f>
      </c>
      <c r="P14" s="119">
        <f>'2018'!T81</f>
      </c>
      <c r="Q14" s="119">
        <f>'2018'!U81</f>
      </c>
      <c r="R14" s="119">
        <f>'2018'!V81</f>
      </c>
      <c r="S14" s="106">
        <f>'2018'!W81</f>
      </c>
      <c r="T14" s="106">
        <f>'2018'!X81</f>
      </c>
      <c r="U14" s="119">
        <f>'2018'!Y81</f>
      </c>
      <c r="V14" s="119">
        <f>'2018'!Z81</f>
        <v>0</v>
      </c>
      <c r="W14" s="106">
        <f>'2018'!AA81</f>
        <v>0</v>
      </c>
      <c r="X14" s="106">
        <f>'2018'!AB81</f>
      </c>
      <c r="Y14" s="119">
        <f>'2018'!AC81</f>
      </c>
      <c r="Z14" s="119">
        <f>'2018'!AD81</f>
        <v>0</v>
      </c>
      <c r="AA14" s="106">
        <f>'2018'!AE81</f>
        <v>0</v>
      </c>
      <c r="AB14" s="106">
        <f>'2018'!AF81</f>
      </c>
      <c r="AC14" s="119">
        <f>'2018'!AG81</f>
      </c>
      <c r="AD14" s="119">
        <f>'2018'!AH81</f>
        <v>0</v>
      </c>
      <c r="AE14" s="106">
        <f>'2018'!AI81</f>
        <v>0</v>
      </c>
      <c r="AF14" s="106">
        <f>'2018'!AJ81</f>
      </c>
      <c r="AG14" s="119">
        <f>'2018'!AK81</f>
      </c>
      <c r="AH14" s="119">
        <f>'2018'!AL81</f>
        <v>0</v>
      </c>
      <c r="AI14" s="106">
        <f>'2018'!AM81</f>
        <v>0</v>
      </c>
      <c r="AJ14" s="106">
        <f>'2018'!AN81</f>
      </c>
      <c r="AK14" s="119">
        <f>'2018'!AO81</f>
      </c>
      <c r="AL14" s="119">
        <f>'2018'!AP81</f>
      </c>
      <c r="AM14" s="106">
        <f>'2018'!AQ81</f>
        <v>0</v>
      </c>
      <c r="AN14" s="106">
        <f>'2018'!AR81</f>
      </c>
      <c r="AO14" s="119">
        <f>'2018'!AS81</f>
      </c>
      <c r="AP14" s="119">
        <f>'2018'!AT81</f>
      </c>
      <c r="AQ14" s="106">
        <f>'2018'!AU81</f>
        <v>0</v>
      </c>
      <c r="AR14" s="106">
        <f>'2018'!AV81</f>
      </c>
      <c r="AS14" s="119">
        <f>'2018'!AW81</f>
      </c>
      <c r="AT14" s="119">
        <f>'2018'!AX81</f>
      </c>
      <c r="AU14" s="106">
        <f>'2018'!AY81</f>
        <v>0</v>
      </c>
      <c r="AV14" s="106">
        <f>'2018'!AZ81</f>
      </c>
      <c r="AW14" s="106"/>
      <c r="AX14" s="106"/>
      <c r="AY14" s="119">
        <f>'2018'!BA81</f>
      </c>
      <c r="AZ14" s="119">
        <f>'2018'!BB81</f>
      </c>
      <c r="BA14" s="106">
        <f>'2018'!BC81</f>
        <v>0</v>
      </c>
      <c r="BB14" s="106">
        <f>'2018'!BD81</f>
      </c>
      <c r="BC14" s="106"/>
      <c r="BD14" s="106"/>
      <c r="BE14" s="119">
        <f>'2018'!BE81</f>
        <v>0</v>
      </c>
      <c r="BF14" s="106">
        <f>'2018'!BF81</f>
        <v>0</v>
      </c>
      <c r="BG14" s="106">
        <f>'2018'!BG81</f>
        <v>0</v>
      </c>
      <c r="BH14" s="106">
        <f>'2018'!BH81</f>
        <v>0</v>
      </c>
      <c r="BI14" s="34"/>
    </row>
    <row r="15" hidden="1" spans="1:61" x14ac:dyDescent="0.25">
      <c r="A15" s="14"/>
      <c r="B15" s="115">
        <v>11</v>
      </c>
      <c r="C15" s="115">
        <v>4.02</v>
      </c>
      <c r="D15" s="117" t="s">
        <v>89</v>
      </c>
      <c r="E15" s="119">
        <f>'2018'!I89</f>
        <v>29</v>
      </c>
      <c r="F15" s="119">
        <f>'2018'!J89</f>
        <v>0</v>
      </c>
      <c r="G15" s="106">
        <f>'2018'!K89</f>
        <v>0</v>
      </c>
      <c r="H15" s="106">
        <f>'2018'!L89</f>
      </c>
      <c r="I15" s="119">
        <f>'2018'!M89</f>
        <v>29</v>
      </c>
      <c r="J15" s="119">
        <f>'2018'!N89</f>
        <v>0</v>
      </c>
      <c r="K15" s="106">
        <f>'2018'!O89</f>
        <v>0</v>
      </c>
      <c r="L15" s="106">
        <f>'2018'!P89</f>
      </c>
      <c r="M15" s="119">
        <f>'2018'!Q89</f>
        <v>29</v>
      </c>
      <c r="N15" s="119">
        <f>'2018'!R89</f>
        <v>0</v>
      </c>
      <c r="O15" s="119">
        <f>'2018'!S89</f>
        <v>0</v>
      </c>
      <c r="P15" s="119">
        <f>'2018'!T89</f>
      </c>
      <c r="Q15" s="119">
        <f>'2018'!U89</f>
        <v>30</v>
      </c>
      <c r="R15" s="119">
        <f>'2018'!V89</f>
        <v>1</v>
      </c>
      <c r="S15" s="106">
        <f>'2018'!W89</f>
        <v>2.49</v>
      </c>
      <c r="T15" s="106">
        <f>'2018'!X89</f>
      </c>
      <c r="U15" s="119">
        <f>'2018'!Y89</f>
        <v>32</v>
      </c>
      <c r="V15" s="119">
        <f>'2018'!Z89</f>
        <v>2</v>
      </c>
      <c r="W15" s="106">
        <f>'2018'!AA89</f>
        <v>4.98</v>
      </c>
      <c r="X15" s="106">
        <f>'2018'!AB89</f>
        <v>100</v>
      </c>
      <c r="Y15" s="119">
        <f>'2018'!AC89</f>
        <v>32</v>
      </c>
      <c r="Z15" s="119">
        <f>'2018'!AD89</f>
        <v>0</v>
      </c>
      <c r="AA15" s="106">
        <f>'2018'!AE89</f>
        <v>0</v>
      </c>
      <c r="AB15" s="106">
        <f>'2018'!AF89</f>
      </c>
      <c r="AC15" s="119">
        <f>'2018'!AG89</f>
        <v>33</v>
      </c>
      <c r="AD15" s="119">
        <f>'2018'!AH89</f>
        <v>1</v>
      </c>
      <c r="AE15" s="106">
        <f>'2018'!AI89</f>
        <v>2.49</v>
      </c>
      <c r="AF15" s="106">
        <f>'2018'!AJ89</f>
      </c>
      <c r="AG15" s="119">
        <f>'2018'!AK89</f>
        <v>33</v>
      </c>
      <c r="AH15" s="119">
        <f>'2018'!AL89</f>
        <v>0</v>
      </c>
      <c r="AI15" s="106">
        <f>'2018'!AM89</f>
        <v>0</v>
      </c>
      <c r="AJ15" s="106">
        <f>'2018'!AN89</f>
      </c>
      <c r="AK15" s="119">
        <f>'2018'!AO89</f>
        <v>33</v>
      </c>
      <c r="AL15" s="119">
        <f>'2018'!AP89</f>
        <v>0</v>
      </c>
      <c r="AM15" s="106">
        <f>'2018'!AQ89</f>
        <v>0</v>
      </c>
      <c r="AN15" s="106">
        <f>'2018'!AR89</f>
      </c>
      <c r="AO15" s="119">
        <f>'2018'!AS89</f>
        <v>37</v>
      </c>
      <c r="AP15" s="119">
        <f>'2018'!AT89</f>
        <v>4</v>
      </c>
      <c r="AQ15" s="106">
        <f>'2018'!AU89</f>
        <v>9.96</v>
      </c>
      <c r="AR15" s="106">
        <f>'2018'!AV89</f>
      </c>
      <c r="AS15" s="119">
        <f>'2018'!AW89</f>
        <v>37</v>
      </c>
      <c r="AT15" s="119">
        <f>'2018'!AX89</f>
        <v>0</v>
      </c>
      <c r="AU15" s="106">
        <f>'2018'!AY89</f>
        <v>0</v>
      </c>
      <c r="AV15" s="106">
        <f>'2018'!AZ89</f>
      </c>
      <c r="AW15" s="106"/>
      <c r="AX15" s="106"/>
      <c r="AY15" s="119">
        <f>'2018'!BA89</f>
        <v>37</v>
      </c>
      <c r="AZ15" s="119">
        <f>'2018'!BB89</f>
        <v>0</v>
      </c>
      <c r="BA15" s="106">
        <f>'2018'!BC89</f>
        <v>0</v>
      </c>
      <c r="BB15" s="106">
        <f>'2018'!BD89</f>
      </c>
      <c r="BC15" s="106"/>
      <c r="BD15" s="106"/>
      <c r="BE15" s="119">
        <f>'2018'!BE89</f>
        <v>8</v>
      </c>
      <c r="BF15" s="106">
        <f>'2018'!BF89</f>
        <v>19.92</v>
      </c>
      <c r="BG15" s="106">
        <f>'2018'!BG89</f>
        <v>100</v>
      </c>
      <c r="BH15" s="106">
        <f>'2018'!BH89</f>
        <v>-75.1</v>
      </c>
      <c r="BI15" s="34"/>
    </row>
    <row r="16" hidden="1" spans="1:61" x14ac:dyDescent="0.25">
      <c r="A16" s="14"/>
      <c r="B16" s="115">
        <v>12</v>
      </c>
      <c r="C16" s="115">
        <v>4.02</v>
      </c>
      <c r="D16" s="117" t="s">
        <v>92</v>
      </c>
      <c r="E16" s="119">
        <f>'2018'!I97</f>
      </c>
      <c r="F16" s="119">
        <f>'2018'!J97</f>
      </c>
      <c r="G16" s="106">
        <f>'2018'!K97</f>
      </c>
      <c r="H16" s="106">
        <f>'2018'!L97</f>
      </c>
      <c r="I16" s="119">
        <f>'2018'!M97</f>
      </c>
      <c r="J16" s="119">
        <f>'2018'!N97</f>
      </c>
      <c r="K16" s="106">
        <f>'2018'!O97</f>
      </c>
      <c r="L16" s="106">
        <f>'2018'!P97</f>
      </c>
      <c r="M16" s="119">
        <f>'2018'!Q97</f>
      </c>
      <c r="N16" s="119">
        <f>'2018'!R97</f>
      </c>
      <c r="O16" s="119">
        <f>'2018'!S97</f>
      </c>
      <c r="P16" s="119">
        <f>'2018'!T97</f>
      </c>
      <c r="Q16" s="119">
        <f>'2018'!U97</f>
      </c>
      <c r="R16" s="119">
        <f>'2018'!V97</f>
      </c>
      <c r="S16" s="106">
        <f>'2018'!W97</f>
      </c>
      <c r="T16" s="106">
        <f>'2018'!X97</f>
      </c>
      <c r="U16" s="119">
        <f>'2018'!Y97</f>
      </c>
      <c r="V16" s="119">
        <f>'2018'!Z97</f>
        <v>0</v>
      </c>
      <c r="W16" s="106">
        <f>'2018'!AA97</f>
        <v>0</v>
      </c>
      <c r="X16" s="106">
        <f>'2018'!AB97</f>
      </c>
      <c r="Y16" s="119">
        <f>'2018'!AC97</f>
        <v>0</v>
      </c>
      <c r="Z16" s="119">
        <f>'2018'!AD97</f>
        <v>0</v>
      </c>
      <c r="AA16" s="106">
        <f>'2018'!AE97</f>
        <v>0</v>
      </c>
      <c r="AB16" s="106">
        <f>'2018'!AF97</f>
      </c>
      <c r="AC16" s="119">
        <f>'2018'!AG97</f>
      </c>
      <c r="AD16" s="119">
        <f>'2018'!AH97</f>
        <v>0</v>
      </c>
      <c r="AE16" s="106">
        <f>'2018'!AI97</f>
        <v>0</v>
      </c>
      <c r="AF16" s="106">
        <f>'2018'!AJ97</f>
      </c>
      <c r="AG16" s="119">
        <f>'2018'!AK97</f>
      </c>
      <c r="AH16" s="119">
        <f>'2018'!AL97</f>
        <v>0</v>
      </c>
      <c r="AI16" s="106">
        <f>'2018'!AM97</f>
        <v>0</v>
      </c>
      <c r="AJ16" s="106">
        <f>'2018'!AN97</f>
      </c>
      <c r="AK16" s="119">
        <f>'2018'!AO97</f>
      </c>
      <c r="AL16" s="119">
        <f>'2018'!AP97</f>
      </c>
      <c r="AM16" s="106">
        <f>'2018'!AQ97</f>
        <v>0</v>
      </c>
      <c r="AN16" s="106">
        <f>'2018'!AR97</f>
      </c>
      <c r="AO16" s="119">
        <f>'2018'!AS97</f>
      </c>
      <c r="AP16" s="119">
        <f>'2018'!AT97</f>
      </c>
      <c r="AQ16" s="106">
        <f>'2018'!AU97</f>
        <v>0</v>
      </c>
      <c r="AR16" s="106">
        <f>'2018'!AV97</f>
      </c>
      <c r="AS16" s="119">
        <f>'2018'!AW97</f>
      </c>
      <c r="AT16" s="119">
        <f>'2018'!AX97</f>
      </c>
      <c r="AU16" s="106">
        <f>'2018'!AY97</f>
        <v>0</v>
      </c>
      <c r="AV16" s="106">
        <f>'2018'!AZ97</f>
      </c>
      <c r="AW16" s="106"/>
      <c r="AX16" s="106"/>
      <c r="AY16" s="119">
        <f>'2018'!BA97</f>
      </c>
      <c r="AZ16" s="119">
        <f>'2018'!BB97</f>
      </c>
      <c r="BA16" s="106">
        <f>'2018'!BC97</f>
        <v>0</v>
      </c>
      <c r="BB16" s="106">
        <f>'2018'!BD97</f>
      </c>
      <c r="BC16" s="106"/>
      <c r="BD16" s="106"/>
      <c r="BE16" s="119">
        <f>'2018'!BE97</f>
        <v>0</v>
      </c>
      <c r="BF16" s="106">
        <f>'2018'!BF97</f>
        <v>0</v>
      </c>
      <c r="BG16" s="106">
        <f>'2018'!BG97</f>
        <v>0</v>
      </c>
      <c r="BH16" s="106">
        <f>'2018'!BH97</f>
        <v>0</v>
      </c>
      <c r="BI16" s="34"/>
    </row>
    <row r="17" spans="1:62" x14ac:dyDescent="0.25">
      <c r="A17" s="14"/>
      <c r="B17" s="115" t="s">
        <v>96</v>
      </c>
      <c r="C17" s="115">
        <v>7.94</v>
      </c>
      <c r="D17" s="117" t="s">
        <v>97</v>
      </c>
      <c r="E17" s="119">
        <f>'2018'!I105</f>
        <v>2835</v>
      </c>
      <c r="F17" s="119">
        <f>'2018'!J105</f>
        <v>0</v>
      </c>
      <c r="G17" s="106">
        <f>'2018'!K105</f>
        <v>0</v>
      </c>
      <c r="H17" s="106">
        <f>'2018'!L105</f>
      </c>
      <c r="I17" s="119">
        <f>'2018'!M105</f>
        <v>2835</v>
      </c>
      <c r="J17" s="119">
        <f>'2018'!N105</f>
        <v>0</v>
      </c>
      <c r="K17" s="106">
        <f>'2018'!O105</f>
        <v>0</v>
      </c>
      <c r="L17" s="106">
        <f>'2018'!P105</f>
      </c>
      <c r="M17" s="119">
        <f>'2018'!Q105</f>
        <v>2835</v>
      </c>
      <c r="N17" s="119">
        <f>'2018'!R105</f>
        <v>0</v>
      </c>
      <c r="O17" s="119">
        <f>'2018'!S105</f>
        <v>0</v>
      </c>
      <c r="P17" s="119">
        <f>'2018'!T105</f>
      </c>
      <c r="Q17" s="119">
        <f>'2018'!U105</f>
        <v>3055</v>
      </c>
      <c r="R17" s="119">
        <f>'2018'!V105</f>
        <v>220</v>
      </c>
      <c r="S17" s="106">
        <f>'2018'!W105</f>
        <v>547.8</v>
      </c>
      <c r="T17" s="106">
        <f>'2018'!X105</f>
      </c>
      <c r="U17" s="119">
        <f>'2018'!Y105</f>
        <v>3558</v>
      </c>
      <c r="V17" s="119">
        <f>'2018'!Z105</f>
        <v>503</v>
      </c>
      <c r="W17" s="106">
        <f>'2018'!AA105</f>
        <v>1252.47</v>
      </c>
      <c r="X17" s="106">
        <f>'2018'!AB105</f>
      </c>
      <c r="Y17" s="119">
        <f>'2018'!AC105</f>
        <v>3768</v>
      </c>
      <c r="Z17" s="119">
        <f>'2018'!AD105</f>
        <v>210</v>
      </c>
      <c r="AA17" s="106">
        <f>'2018'!AE105</f>
        <v>522.9</v>
      </c>
      <c r="AB17" s="106">
        <f>'2018'!AF105</f>
      </c>
      <c r="AC17" s="119">
        <f>'2018'!AG105</f>
        <v>3947</v>
      </c>
      <c r="AD17" s="119">
        <f>'2018'!AH105</f>
        <v>179</v>
      </c>
      <c r="AE17" s="106">
        <f>'2018'!AI105</f>
        <v>445.71</v>
      </c>
      <c r="AF17" s="106">
        <f>'2018'!AJ105</f>
      </c>
      <c r="AG17" s="119">
        <f>'2018'!AK105</f>
        <v>4178</v>
      </c>
      <c r="AH17" s="119">
        <f>'2018'!AL105</f>
        <v>231</v>
      </c>
      <c r="AI17" s="106">
        <f>'2018'!AM105</f>
        <v>575.19</v>
      </c>
      <c r="AJ17" s="106">
        <f>'2018'!AN105</f>
        <v>3000</v>
      </c>
      <c r="AK17" s="119">
        <f>'2018'!AO105</f>
        <v>4244</v>
      </c>
      <c r="AL17" s="119">
        <f>'2018'!AP105</f>
        <v>66</v>
      </c>
      <c r="AM17" s="106">
        <f>'2018'!AQ105</f>
        <v>164.34</v>
      </c>
      <c r="AN17" s="106">
        <f>'2018'!AR105</f>
      </c>
      <c r="AO17" s="119">
        <f>'2018'!AS105</f>
        <v>4516</v>
      </c>
      <c r="AP17" s="119">
        <f>'2018'!AT105</f>
        <v>272</v>
      </c>
      <c r="AQ17" s="106">
        <f>'2018'!AU105</f>
        <v>677.28</v>
      </c>
      <c r="AR17" s="106">
        <f>'2018'!AV105</f>
      </c>
      <c r="AS17" s="119">
        <f>'2018'!AW105</f>
        <v>4516</v>
      </c>
      <c r="AT17" s="119">
        <f>'2018'!AX105</f>
        <v>0</v>
      </c>
      <c r="AU17" s="106">
        <f>'2018'!AY105</f>
        <v>0</v>
      </c>
      <c r="AV17" s="106">
        <f>'2018'!AZ105</f>
        <v>720.06</v>
      </c>
      <c r="AW17" s="106"/>
      <c r="AX17" s="106"/>
      <c r="AY17" s="119">
        <f>'2018'!BA105</f>
        <v>4707</v>
      </c>
      <c r="AZ17" s="119">
        <f>'2018'!BB105</f>
        <v>191</v>
      </c>
      <c r="BA17" s="106">
        <f>'2018'!BC105</f>
        <v>475.59</v>
      </c>
      <c r="BB17" s="106">
        <f>'2018'!BD105</f>
      </c>
      <c r="BC17" s="106"/>
      <c r="BD17" s="106"/>
      <c r="BE17" s="119">
        <f>'2018'!BE105</f>
        <v>1872</v>
      </c>
      <c r="BF17" s="106">
        <f>'2018'!BF105</f>
        <v>4661.28</v>
      </c>
      <c r="BG17" s="106">
        <f>'2018'!BG105</f>
        <v>3720.06</v>
      </c>
      <c r="BH17" s="106">
        <f>'2018'!BH105</f>
        <v>1152.87</v>
      </c>
      <c r="BI17" s="106"/>
      <c r="BJ17" s="106">
        <f>BH17+AX17</f>
        <v>1152.87</v>
      </c>
    </row>
    <row r="18" hidden="1" spans="1:61" x14ac:dyDescent="0.25">
      <c r="A18" s="14"/>
      <c r="B18" s="115">
        <v>14</v>
      </c>
      <c r="C18" s="115">
        <v>4.02</v>
      </c>
      <c r="D18" s="117" t="s">
        <v>100</v>
      </c>
      <c r="E18" s="119">
        <f>'2018'!I113</f>
      </c>
      <c r="F18" s="119">
        <f>'2018'!J113</f>
      </c>
      <c r="G18" s="106">
        <f>'2018'!K113</f>
      </c>
      <c r="H18" s="106">
        <f>'2018'!L113</f>
      </c>
      <c r="I18" s="119">
        <f>'2018'!M113</f>
      </c>
      <c r="J18" s="119">
        <f>'2018'!N113</f>
      </c>
      <c r="K18" s="106">
        <f>'2018'!O113</f>
      </c>
      <c r="L18" s="106">
        <f>'2018'!P113</f>
      </c>
      <c r="M18" s="119">
        <f>'2018'!Q113</f>
      </c>
      <c r="N18" s="119">
        <f>'2018'!R113</f>
      </c>
      <c r="O18" s="119">
        <f>'2018'!S113</f>
      </c>
      <c r="P18" s="119">
        <f>'2018'!T113</f>
      </c>
      <c r="Q18" s="119">
        <f>'2018'!U113</f>
      </c>
      <c r="R18" s="119">
        <f>'2018'!V113</f>
      </c>
      <c r="S18" s="106">
        <f>'2018'!W113</f>
      </c>
      <c r="T18" s="106">
        <f>'2018'!X113</f>
      </c>
      <c r="U18" s="119">
        <f>'2018'!Y113</f>
      </c>
      <c r="V18" s="119">
        <f>'2018'!Z113</f>
        <v>0</v>
      </c>
      <c r="W18" s="106">
        <f>'2018'!AA113</f>
        <v>0</v>
      </c>
      <c r="X18" s="106">
        <f>'2018'!AB113</f>
      </c>
      <c r="Y18" s="119">
        <f>'2018'!AC113</f>
      </c>
      <c r="Z18" s="119">
        <f>'2018'!AD113</f>
        <v>0</v>
      </c>
      <c r="AA18" s="106">
        <f>'2018'!AE113</f>
        <v>0</v>
      </c>
      <c r="AB18" s="106">
        <f>'2018'!AF113</f>
      </c>
      <c r="AC18" s="119">
        <f>'2018'!AG113</f>
      </c>
      <c r="AD18" s="119">
        <f>'2018'!AH113</f>
        <v>0</v>
      </c>
      <c r="AE18" s="106">
        <f>'2018'!AI113</f>
        <v>0</v>
      </c>
      <c r="AF18" s="106">
        <f>'2018'!AJ113</f>
      </c>
      <c r="AG18" s="119">
        <f>'2018'!AK113</f>
      </c>
      <c r="AH18" s="119">
        <f>'2018'!AL113</f>
        <v>0</v>
      </c>
      <c r="AI18" s="106">
        <f>'2018'!AM113</f>
        <v>0</v>
      </c>
      <c r="AJ18" s="106">
        <f>'2018'!AN113</f>
      </c>
      <c r="AK18" s="119">
        <f>'2018'!AO113</f>
      </c>
      <c r="AL18" s="119">
        <f>'2018'!AP113</f>
      </c>
      <c r="AM18" s="106">
        <f>'2018'!AQ113</f>
        <v>0</v>
      </c>
      <c r="AN18" s="106">
        <f>'2018'!AR113</f>
      </c>
      <c r="AO18" s="119">
        <f>'2018'!AS113</f>
      </c>
      <c r="AP18" s="119">
        <f>'2018'!AT113</f>
      </c>
      <c r="AQ18" s="106">
        <f>'2018'!AU113</f>
        <v>0</v>
      </c>
      <c r="AR18" s="106">
        <f>'2018'!AV113</f>
      </c>
      <c r="AS18" s="119">
        <f>'2018'!AW113</f>
      </c>
      <c r="AT18" s="119">
        <f>'2018'!AX113</f>
      </c>
      <c r="AU18" s="106">
        <f>'2018'!AY113</f>
        <v>0</v>
      </c>
      <c r="AV18" s="106">
        <f>'2018'!AZ113</f>
      </c>
      <c r="AW18" s="106"/>
      <c r="AX18" s="106"/>
      <c r="AY18" s="119">
        <f>'2018'!BA113</f>
      </c>
      <c r="AZ18" s="119">
        <f>'2018'!BB113</f>
      </c>
      <c r="BA18" s="106">
        <f>'2018'!BC113</f>
        <v>0</v>
      </c>
      <c r="BB18" s="106">
        <f>'2018'!BD113</f>
      </c>
      <c r="BC18" s="106"/>
      <c r="BD18" s="106"/>
      <c r="BE18" s="119">
        <f>'2018'!BE113</f>
        <v>0</v>
      </c>
      <c r="BF18" s="106">
        <f>'2018'!BF113</f>
        <v>0</v>
      </c>
      <c r="BG18" s="106">
        <f>'2018'!BG113</f>
        <v>0</v>
      </c>
      <c r="BH18" s="106">
        <f>'2018'!BH113</f>
        <v>0</v>
      </c>
      <c r="BI18" s="34"/>
    </row>
    <row r="19" hidden="1" spans="1:61" x14ac:dyDescent="0.25">
      <c r="A19" s="14"/>
      <c r="B19" s="115">
        <v>16</v>
      </c>
      <c r="C19" s="115">
        <v>3.98</v>
      </c>
      <c r="D19" s="117" t="s">
        <v>103</v>
      </c>
      <c r="E19" s="119">
        <f>'2018'!I121</f>
        <v>55</v>
      </c>
      <c r="F19" s="119">
        <f>'2018'!J121</f>
        <v>0</v>
      </c>
      <c r="G19" s="106">
        <f>'2018'!K121</f>
        <v>0</v>
      </c>
      <c r="H19" s="106">
        <f>'2018'!L121</f>
      </c>
      <c r="I19" s="119">
        <f>'2018'!M121</f>
        <v>55</v>
      </c>
      <c r="J19" s="119">
        <f>'2018'!N121</f>
        <v>0</v>
      </c>
      <c r="K19" s="106">
        <f>'2018'!O121</f>
        <v>0</v>
      </c>
      <c r="L19" s="106">
        <f>'2018'!P121</f>
      </c>
      <c r="M19" s="119">
        <f>'2018'!Q121</f>
        <v>55</v>
      </c>
      <c r="N19" s="119">
        <f>'2018'!R121</f>
        <v>0</v>
      </c>
      <c r="O19" s="119">
        <f>'2018'!S121</f>
        <v>0</v>
      </c>
      <c r="P19" s="119">
        <f>'2018'!T121</f>
      </c>
      <c r="Q19" s="119">
        <f>'2018'!U121</f>
        <v>55</v>
      </c>
      <c r="R19" s="119">
        <f>'2018'!V121</f>
        <v>0</v>
      </c>
      <c r="S19" s="106">
        <f>'2018'!W121</f>
        <v>0</v>
      </c>
      <c r="T19" s="106">
        <f>'2018'!X121</f>
        <v>29.88</v>
      </c>
      <c r="U19" s="119">
        <f>'2018'!Y121</f>
        <v>82</v>
      </c>
      <c r="V19" s="119">
        <f>'2018'!Z121</f>
        <v>27</v>
      </c>
      <c r="W19" s="106">
        <f>'2018'!AA121</f>
        <v>67.23</v>
      </c>
      <c r="X19" s="106">
        <f>'2018'!AB121</f>
        <v>67.23</v>
      </c>
      <c r="Y19" s="119">
        <f>'2018'!AC121</f>
        <v>139</v>
      </c>
      <c r="Z19" s="119">
        <f>'2018'!AD121</f>
        <v>57</v>
      </c>
      <c r="AA19" s="106">
        <f>'2018'!AE121</f>
        <v>141.93</v>
      </c>
      <c r="AB19" s="106">
        <f>'2018'!AF121</f>
      </c>
      <c r="AC19" s="119">
        <f>'2018'!AG121</f>
        <v>162</v>
      </c>
      <c r="AD19" s="119">
        <f>'2018'!AH121</f>
        <v>23</v>
      </c>
      <c r="AE19" s="106">
        <f>'2018'!AI121</f>
        <v>57.27</v>
      </c>
      <c r="AF19" s="106">
        <f>'2018'!AJ121</f>
        <v>141.93</v>
      </c>
      <c r="AG19" s="119">
        <f>'2018'!AK121</f>
        <v>215</v>
      </c>
      <c r="AH19" s="119">
        <f>'2018'!AL121</f>
        <v>53</v>
      </c>
      <c r="AI19" s="106">
        <f>'2018'!AM121</f>
        <v>131.97</v>
      </c>
      <c r="AJ19" s="106">
        <f>'2018'!AN121</f>
        <v>189.24</v>
      </c>
      <c r="AK19" s="119">
        <f>'2018'!AO121</f>
        <v>331</v>
      </c>
      <c r="AL19" s="119">
        <f>'2018'!AP121</f>
        <v>116</v>
      </c>
      <c r="AM19" s="106">
        <f>'2018'!AQ121</f>
        <v>288.84</v>
      </c>
      <c r="AN19" s="106">
        <f>'2018'!AR121</f>
        <v>288.84</v>
      </c>
      <c r="AO19" s="119">
        <f>'2018'!AS121</f>
        <v>488</v>
      </c>
      <c r="AP19" s="119">
        <f>'2018'!AT121</f>
        <v>157</v>
      </c>
      <c r="AQ19" s="106">
        <f>'2018'!AU121</f>
        <v>390.93</v>
      </c>
      <c r="AR19" s="106">
        <f>'2018'!AV121</f>
      </c>
      <c r="AS19" s="119">
        <f>'2018'!AW121</f>
        <v>488</v>
      </c>
      <c r="AT19" s="119">
        <f>'2018'!AX121</f>
        <v>0</v>
      </c>
      <c r="AU19" s="106">
        <f>'2018'!AY121</f>
        <v>0</v>
      </c>
      <c r="AV19" s="106">
        <f>'2018'!AZ121</f>
      </c>
      <c r="AW19" s="106"/>
      <c r="AX19" s="106"/>
      <c r="AY19" s="119">
        <f>'2018'!BA121</f>
        <v>488</v>
      </c>
      <c r="AZ19" s="119">
        <f>'2018'!BB121</f>
        <v>0</v>
      </c>
      <c r="BA19" s="106">
        <f>'2018'!BC121</f>
        <v>0</v>
      </c>
      <c r="BB19" s="106">
        <f>'2018'!BD121</f>
      </c>
      <c r="BC19" s="106"/>
      <c r="BD19" s="106"/>
      <c r="BE19" s="119">
        <f>'2018'!BE121</f>
        <v>433</v>
      </c>
      <c r="BF19" s="106">
        <f>'2018'!BF121</f>
        <v>1078.17</v>
      </c>
      <c r="BG19" s="106">
        <f>'2018'!BG121</f>
        <v>717.12</v>
      </c>
      <c r="BH19" s="106">
        <f>'2018'!BH121</f>
        <v>390.93</v>
      </c>
      <c r="BI19" s="34"/>
    </row>
    <row r="20" hidden="1" spans="1:61" x14ac:dyDescent="0.25">
      <c r="A20" s="14"/>
      <c r="B20" s="115">
        <v>17</v>
      </c>
      <c r="C20" s="116">
        <v>4</v>
      </c>
      <c r="D20" s="117" t="s">
        <v>106</v>
      </c>
      <c r="E20" s="119">
        <f>'2018'!I129</f>
        <v>5</v>
      </c>
      <c r="F20" s="119">
        <f>'2018'!J129</f>
        <v>0</v>
      </c>
      <c r="G20" s="106">
        <f>'2018'!K129</f>
        <v>0</v>
      </c>
      <c r="H20" s="106">
        <f>'2018'!L129</f>
      </c>
      <c r="I20" s="119">
        <f>'2018'!M129</f>
        <v>5</v>
      </c>
      <c r="J20" s="119">
        <f>'2018'!N129</f>
        <v>0</v>
      </c>
      <c r="K20" s="106">
        <f>'2018'!O129</f>
        <v>0</v>
      </c>
      <c r="L20" s="106">
        <f>'2018'!P129</f>
      </c>
      <c r="M20" s="119">
        <f>'2018'!Q129</f>
        <v>5</v>
      </c>
      <c r="N20" s="119">
        <f>'2018'!R129</f>
        <v>0</v>
      </c>
      <c r="O20" s="119">
        <f>'2018'!S129</f>
        <v>0</v>
      </c>
      <c r="P20" s="119">
        <f>'2018'!T129</f>
      </c>
      <c r="Q20" s="119">
        <f>'2018'!U129</f>
        <v>5</v>
      </c>
      <c r="R20" s="119">
        <f>'2018'!V129</f>
        <v>0</v>
      </c>
      <c r="S20" s="106">
        <f>'2018'!W129</f>
        <v>0</v>
      </c>
      <c r="T20" s="106">
        <f>'2018'!X129</f>
        <v>12.42</v>
      </c>
      <c r="U20" s="119">
        <f>'2018'!Y129</f>
        <v>5</v>
      </c>
      <c r="V20" s="119">
        <f>'2018'!Z129</f>
        <v>0</v>
      </c>
      <c r="W20" s="106">
        <f>'2018'!AA129</f>
        <v>0</v>
      </c>
      <c r="X20" s="106">
        <f>'2018'!AB129</f>
      </c>
      <c r="Y20" s="119">
        <f>'2018'!AC129</f>
        <v>5</v>
      </c>
      <c r="Z20" s="119">
        <f>'2018'!AD129</f>
        <v>0</v>
      </c>
      <c r="AA20" s="106">
        <f>'2018'!AE129</f>
        <v>0</v>
      </c>
      <c r="AB20" s="106">
        <f>'2018'!AF129</f>
      </c>
      <c r="AC20" s="119">
        <f>'2018'!AG129</f>
        <v>5</v>
      </c>
      <c r="AD20" s="119">
        <f>'2018'!AH129</f>
        <v>0</v>
      </c>
      <c r="AE20" s="106">
        <f>'2018'!AI129</f>
        <v>0</v>
      </c>
      <c r="AF20" s="106">
        <f>'2018'!AJ129</f>
      </c>
      <c r="AG20" s="119">
        <f>'2018'!AK129</f>
        <v>8</v>
      </c>
      <c r="AH20" s="119">
        <f>'2018'!AL129</f>
        <v>3</v>
      </c>
      <c r="AI20" s="106">
        <f>'2018'!AM129</f>
        <v>7.47</v>
      </c>
      <c r="AJ20" s="106">
        <f>'2018'!AN129</f>
        <v>49.8</v>
      </c>
      <c r="AK20" s="119">
        <f>'2018'!AO129</f>
        <v>9</v>
      </c>
      <c r="AL20" s="119">
        <f>'2018'!AP129</f>
        <v>1</v>
      </c>
      <c r="AM20" s="106">
        <f>'2018'!AQ129</f>
        <v>2.49</v>
      </c>
      <c r="AN20" s="106">
        <f>'2018'!AR129</f>
      </c>
      <c r="AO20" s="119">
        <f>'2018'!AS129</f>
        <v>9</v>
      </c>
      <c r="AP20" s="119">
        <f>'2018'!AT129</f>
        <v>0</v>
      </c>
      <c r="AQ20" s="106">
        <f>'2018'!AU129</f>
        <v>0</v>
      </c>
      <c r="AR20" s="106">
        <f>'2018'!AV129</f>
      </c>
      <c r="AS20" s="119">
        <f>'2018'!AW129</f>
        <v>9</v>
      </c>
      <c r="AT20" s="119">
        <f>'2018'!AX129</f>
        <v>0</v>
      </c>
      <c r="AU20" s="106">
        <f>'2018'!AY129</f>
        <v>0</v>
      </c>
      <c r="AV20" s="106">
        <f>'2018'!AZ129</f>
      </c>
      <c r="AW20" s="106"/>
      <c r="AX20" s="106"/>
      <c r="AY20" s="119">
        <f>'2018'!BA129</f>
        <v>9</v>
      </c>
      <c r="AZ20" s="119">
        <f>'2018'!BB129</f>
        <v>0</v>
      </c>
      <c r="BA20" s="106">
        <f>'2018'!BC129</f>
        <v>0</v>
      </c>
      <c r="BB20" s="106">
        <f>'2018'!BD129</f>
      </c>
      <c r="BC20" s="106"/>
      <c r="BD20" s="106"/>
      <c r="BE20" s="119">
        <f>'2018'!BE129</f>
        <v>4</v>
      </c>
      <c r="BF20" s="106">
        <f>'2018'!BF129</f>
        <v>9.96</v>
      </c>
      <c r="BG20" s="106">
        <f>'2018'!BG129</f>
        <v>62.22</v>
      </c>
      <c r="BH20" s="106">
        <f>'2018'!BH129</f>
        <v>-39.84</v>
      </c>
      <c r="BI20" s="34"/>
    </row>
    <row r="21" ht="15.75" customHeight="1" hidden="1" spans="1:61" x14ac:dyDescent="0.25">
      <c r="A21" s="14"/>
      <c r="B21" s="115">
        <v>18</v>
      </c>
      <c r="C21" s="115">
        <v>4.03</v>
      </c>
      <c r="D21" s="117" t="s">
        <v>109</v>
      </c>
      <c r="E21" s="119">
        <f>'2018'!I137</f>
        <v>116</v>
      </c>
      <c r="F21" s="119">
        <f>'2018'!J137</f>
        <v>0</v>
      </c>
      <c r="G21" s="106">
        <f>'2018'!K137</f>
        <v>0</v>
      </c>
      <c r="H21" s="106">
        <f>'2018'!L137</f>
      </c>
      <c r="I21" s="119">
        <f>'2018'!M137</f>
        <v>116</v>
      </c>
      <c r="J21" s="119">
        <f>'2018'!N137</f>
        <v>0</v>
      </c>
      <c r="K21" s="106">
        <f>'2018'!O137</f>
        <v>0</v>
      </c>
      <c r="L21" s="106">
        <f>'2018'!P137</f>
      </c>
      <c r="M21" s="119">
        <f>'2018'!Q137</f>
        <v>116</v>
      </c>
      <c r="N21" s="119">
        <f>'2018'!R137</f>
        <v>0</v>
      </c>
      <c r="O21" s="119">
        <f>'2018'!S137</f>
        <v>0</v>
      </c>
      <c r="P21" s="119">
        <f>'2018'!T137</f>
      </c>
      <c r="Q21" s="119">
        <f>'2018'!U137</f>
        <v>120</v>
      </c>
      <c r="R21" s="119">
        <f>'2018'!V137</f>
        <v>4</v>
      </c>
      <c r="S21" s="106">
        <f>'2018'!W137</f>
        <v>9.96</v>
      </c>
      <c r="T21" s="106">
        <f>'2018'!X137</f>
        <v>12.45</v>
      </c>
      <c r="U21" s="119">
        <f>'2018'!Y137</f>
        <v>127</v>
      </c>
      <c r="V21" s="119">
        <f>'2018'!Z137</f>
        <v>7</v>
      </c>
      <c r="W21" s="106">
        <f>'2018'!AA137</f>
        <v>17.43</v>
      </c>
      <c r="X21" s="106">
        <f>'2018'!AB137</f>
        <v>17.43</v>
      </c>
      <c r="Y21" s="119">
        <f>'2018'!AC137</f>
        <v>145</v>
      </c>
      <c r="Z21" s="119">
        <f>'2018'!AD137</f>
        <v>18</v>
      </c>
      <c r="AA21" s="106">
        <f>'2018'!AE137</f>
        <v>44.82</v>
      </c>
      <c r="AB21" s="106">
        <f>'2018'!AF137</f>
      </c>
      <c r="AC21" s="119">
        <f>'2018'!AG137</f>
        <v>160</v>
      </c>
      <c r="AD21" s="119">
        <f>'2018'!AH137</f>
        <v>15</v>
      </c>
      <c r="AE21" s="106">
        <f>'2018'!AI137</f>
        <v>37.35</v>
      </c>
      <c r="AF21" s="106">
        <f>'2018'!AJ137</f>
        <v>37.35</v>
      </c>
      <c r="AG21" s="119">
        <f>'2018'!AK137</f>
        <v>173</v>
      </c>
      <c r="AH21" s="119">
        <f>'2018'!AL137</f>
        <v>13</v>
      </c>
      <c r="AI21" s="106">
        <f>'2018'!AM137</f>
        <v>32.37</v>
      </c>
      <c r="AJ21" s="106">
        <f>'2018'!AN137</f>
      </c>
      <c r="AK21" s="119">
        <f>'2018'!AO137</f>
        <v>184</v>
      </c>
      <c r="AL21" s="119">
        <f>'2018'!AP137</f>
        <v>11</v>
      </c>
      <c r="AM21" s="106">
        <f>'2018'!AQ137</f>
        <v>27.39</v>
      </c>
      <c r="AN21" s="106">
        <f>'2018'!AR137</f>
        <v>104.58</v>
      </c>
      <c r="AO21" s="119">
        <f>'2018'!AS137</f>
        <v>189</v>
      </c>
      <c r="AP21" s="119">
        <f>'2018'!AT137</f>
        <v>5</v>
      </c>
      <c r="AQ21" s="106">
        <f>'2018'!AU137</f>
        <v>12.45</v>
      </c>
      <c r="AR21" s="106">
        <f>'2018'!AV137</f>
      </c>
      <c r="AS21" s="119">
        <f>'2018'!AW137</f>
        <v>189</v>
      </c>
      <c r="AT21" s="119">
        <f>'2018'!AX137</f>
        <v>0</v>
      </c>
      <c r="AU21" s="106">
        <f>'2018'!AY137</f>
        <v>0</v>
      </c>
      <c r="AV21" s="106">
        <f>'2018'!AZ137</f>
      </c>
      <c r="AW21" s="106"/>
      <c r="AX21" s="106"/>
      <c r="AY21" s="119">
        <f>'2018'!BA137</f>
        <v>189</v>
      </c>
      <c r="AZ21" s="119">
        <f>'2018'!BB137</f>
        <v>0</v>
      </c>
      <c r="BA21" s="106">
        <f>'2018'!BC137</f>
        <v>0</v>
      </c>
      <c r="BB21" s="106">
        <f>'2018'!BD137</f>
      </c>
      <c r="BC21" s="106"/>
      <c r="BD21" s="106"/>
      <c r="BE21" s="119">
        <f>'2018'!BE137</f>
        <v>73</v>
      </c>
      <c r="BF21" s="106">
        <f>'2018'!BF137</f>
        <v>181.77</v>
      </c>
      <c r="BG21" s="106">
        <f>'2018'!BG137</f>
        <v>171.81</v>
      </c>
      <c r="BH21" s="106">
        <f>'2018'!BH137</f>
        <v>12.45</v>
      </c>
      <c r="BI21" s="34"/>
    </row>
    <row r="22" ht="15.75" customHeight="1" hidden="1" spans="1:61" x14ac:dyDescent="0.25">
      <c r="A22" s="21"/>
      <c r="B22" s="115">
        <v>19</v>
      </c>
      <c r="C22" s="116">
        <v>4.1</v>
      </c>
      <c r="D22" s="117" t="s">
        <v>113</v>
      </c>
      <c r="E22" s="119">
        <f>'2018'!I145</f>
        <v>1</v>
      </c>
      <c r="F22" s="119">
        <f>'2018'!J145</f>
        <v>0</v>
      </c>
      <c r="G22" s="106">
        <f>'2018'!K145</f>
        <v>0</v>
      </c>
      <c r="H22" s="106">
        <f>'2018'!L145</f>
      </c>
      <c r="I22" s="119">
        <f>'2018'!M145</f>
        <v>1</v>
      </c>
      <c r="J22" s="119">
        <f>'2018'!N145</f>
        <v>0</v>
      </c>
      <c r="K22" s="106">
        <f>'2018'!O145</f>
        <v>0</v>
      </c>
      <c r="L22" s="106">
        <f>'2018'!P145</f>
      </c>
      <c r="M22" s="119">
        <f>'2018'!Q145</f>
        <v>1</v>
      </c>
      <c r="N22" s="119">
        <f>'2018'!R145</f>
        <v>0</v>
      </c>
      <c r="O22" s="119">
        <f>'2018'!S145</f>
        <v>0</v>
      </c>
      <c r="P22" s="119">
        <f>'2018'!T145</f>
      </c>
      <c r="Q22" s="119">
        <f>'2018'!U145</f>
        <v>1</v>
      </c>
      <c r="R22" s="119">
        <f>'2018'!V145</f>
        <v>0</v>
      </c>
      <c r="S22" s="106">
        <f>'2018'!W145</f>
        <v>0</v>
      </c>
      <c r="T22" s="106">
        <f>'2018'!X145</f>
      </c>
      <c r="U22" s="119">
        <f>'2018'!Y145</f>
        <v>1</v>
      </c>
      <c r="V22" s="119">
        <f>'2018'!Z145</f>
        <v>0</v>
      </c>
      <c r="W22" s="106">
        <f>'2018'!AA145</f>
        <v>0</v>
      </c>
      <c r="X22" s="106">
        <f>'2018'!AB145</f>
      </c>
      <c r="Y22" s="119">
        <f>'2018'!AC145</f>
        <v>1</v>
      </c>
      <c r="Z22" s="119">
        <f>'2018'!AD145</f>
        <v>0</v>
      </c>
      <c r="AA22" s="106">
        <f>'2018'!AE145</f>
        <v>0</v>
      </c>
      <c r="AB22" s="106">
        <f>'2018'!AF145</f>
      </c>
      <c r="AC22" s="119">
        <f>'2018'!AG145</f>
        <v>1</v>
      </c>
      <c r="AD22" s="119">
        <f>'2018'!AH145</f>
        <v>0</v>
      </c>
      <c r="AE22" s="106">
        <f>'2018'!AI145</f>
        <v>0</v>
      </c>
      <c r="AF22" s="106">
        <f>'2018'!AJ145</f>
      </c>
      <c r="AG22" s="119">
        <f>'2018'!AK145</f>
        <v>1</v>
      </c>
      <c r="AH22" s="119">
        <f>'2018'!AL145</f>
        <v>0</v>
      </c>
      <c r="AI22" s="106">
        <f>'2018'!AM145</f>
        <v>0</v>
      </c>
      <c r="AJ22" s="106">
        <f>'2018'!AN145</f>
      </c>
      <c r="AK22" s="119">
        <f>'2018'!AO145</f>
        <v>1</v>
      </c>
      <c r="AL22" s="119">
        <f>'2018'!AP145</f>
        <v>0</v>
      </c>
      <c r="AM22" s="106">
        <f>'2018'!AQ145</f>
        <v>0</v>
      </c>
      <c r="AN22" s="106">
        <f>'2018'!AR145</f>
      </c>
      <c r="AO22" s="119">
        <f>'2018'!AS145</f>
        <v>1</v>
      </c>
      <c r="AP22" s="119">
        <f>'2018'!AT145</f>
        <v>0</v>
      </c>
      <c r="AQ22" s="106">
        <f>'2018'!AU145</f>
        <v>0</v>
      </c>
      <c r="AR22" s="106">
        <f>'2018'!AV145</f>
      </c>
      <c r="AS22" s="119">
        <f>'2018'!AW145</f>
        <v>1</v>
      </c>
      <c r="AT22" s="119">
        <f>'2018'!AX145</f>
        <v>0</v>
      </c>
      <c r="AU22" s="106">
        <f>'2018'!AY145</f>
        <v>0</v>
      </c>
      <c r="AV22" s="106">
        <f>'2018'!AZ145</f>
      </c>
      <c r="AW22" s="106"/>
      <c r="AX22" s="106"/>
      <c r="AY22" s="119">
        <f>'2018'!BA145</f>
        <v>1</v>
      </c>
      <c r="AZ22" s="119">
        <f>'2018'!BB145</f>
        <v>0</v>
      </c>
      <c r="BA22" s="106">
        <f>'2018'!BC145</f>
        <v>0</v>
      </c>
      <c r="BB22" s="106">
        <f>'2018'!BD145</f>
      </c>
      <c r="BC22" s="106"/>
      <c r="BD22" s="106"/>
      <c r="BE22" s="119">
        <f>'2018'!BE145</f>
        <v>0</v>
      </c>
      <c r="BF22" s="106">
        <f>'2018'!BF145</f>
        <v>0</v>
      </c>
      <c r="BG22" s="106">
        <f>'2018'!BG145</f>
        <v>0</v>
      </c>
      <c r="BH22" s="106">
        <f>'2018'!BH145</f>
        <v>0</v>
      </c>
      <c r="BI22" s="34"/>
    </row>
    <row r="23" ht="15.75" customHeight="1" hidden="1" spans="1:61" x14ac:dyDescent="0.25">
      <c r="A23" s="114" t="s">
        <v>116</v>
      </c>
      <c r="B23" s="115" t="s">
        <v>117</v>
      </c>
      <c r="C23" s="116">
        <v>8</v>
      </c>
      <c r="D23" s="117" t="s">
        <v>118</v>
      </c>
      <c r="E23" s="119">
        <f>'2018'!I153</f>
        <v>1572</v>
      </c>
      <c r="F23" s="119">
        <f>'2018'!J153</f>
        <v>0</v>
      </c>
      <c r="G23" s="106">
        <f>'2018'!K153</f>
        <v>0</v>
      </c>
      <c r="H23" s="106">
        <f>'2018'!L153</f>
      </c>
      <c r="I23" s="119">
        <f>'2018'!M153</f>
        <v>1572</v>
      </c>
      <c r="J23" s="119">
        <f>'2018'!N153</f>
        <v>0</v>
      </c>
      <c r="K23" s="106">
        <f>'2018'!O153</f>
        <v>0</v>
      </c>
      <c r="L23" s="106">
        <f>'2018'!P153</f>
      </c>
      <c r="M23" s="119">
        <f>'2018'!Q153</f>
        <v>1572</v>
      </c>
      <c r="N23" s="119">
        <f>'2018'!R153</f>
        <v>0</v>
      </c>
      <c r="O23" s="119">
        <f>'2018'!S153</f>
        <v>0</v>
      </c>
      <c r="P23" s="119">
        <f>'2018'!T153</f>
      </c>
      <c r="Q23" s="119">
        <f>'2018'!U153</f>
        <v>1718</v>
      </c>
      <c r="R23" s="119">
        <f>'2018'!V153</f>
        <v>146</v>
      </c>
      <c r="S23" s="106">
        <f>'2018'!W153</f>
        <v>363.54</v>
      </c>
      <c r="T23" s="106">
        <f>'2018'!X153</f>
        <v>700</v>
      </c>
      <c r="U23" s="119">
        <f>'2018'!Y153</f>
        <v>1807</v>
      </c>
      <c r="V23" s="119">
        <f>'2018'!Z153</f>
        <v>89</v>
      </c>
      <c r="W23" s="106">
        <f>'2018'!AA153</f>
        <v>221.61</v>
      </c>
      <c r="X23" s="106">
        <f>'2018'!AB153</f>
      </c>
      <c r="Y23" s="119">
        <f>'2018'!AC153</f>
        <v>1911</v>
      </c>
      <c r="Z23" s="119">
        <f>'2018'!AD153</f>
        <v>104</v>
      </c>
      <c r="AA23" s="106">
        <f>'2018'!AE153</f>
        <v>258.96</v>
      </c>
      <c r="AB23" s="106">
        <f>'2018'!AF153</f>
        <v>211.34</v>
      </c>
      <c r="AC23" s="119">
        <f>'2018'!AG153</f>
        <v>2049</v>
      </c>
      <c r="AD23" s="119">
        <f>'2018'!AH153</f>
        <v>138</v>
      </c>
      <c r="AE23" s="106">
        <f>'2018'!AI153</f>
        <v>343.62</v>
      </c>
      <c r="AF23" s="106">
        <f>'2018'!AJ153</f>
      </c>
      <c r="AG23" s="119">
        <f>'2018'!AK153</f>
        <v>2185</v>
      </c>
      <c r="AH23" s="119">
        <f>'2018'!AL153</f>
        <v>136</v>
      </c>
      <c r="AI23" s="106">
        <f>'2018'!AM153</f>
        <v>338.64</v>
      </c>
      <c r="AJ23" s="106">
        <f>'2018'!AN153</f>
        <v>343.62</v>
      </c>
      <c r="AK23" s="119">
        <f>'2018'!AO153</f>
        <v>2351</v>
      </c>
      <c r="AL23" s="119">
        <f>'2018'!AP153</f>
        <v>166</v>
      </c>
      <c r="AM23" s="106">
        <f>'2018'!AQ153</f>
        <v>413.34</v>
      </c>
      <c r="AN23" s="106">
        <f>'2018'!AR153</f>
        <v>751.98</v>
      </c>
      <c r="AO23" s="119">
        <f>'2018'!AS153</f>
        <v>2425</v>
      </c>
      <c r="AP23" s="119">
        <f>'2018'!AT153</f>
        <v>74</v>
      </c>
      <c r="AQ23" s="106">
        <f>'2018'!AU153</f>
        <v>184.26</v>
      </c>
      <c r="AR23" s="106">
        <f>'2018'!AV153</f>
      </c>
      <c r="AS23" s="119">
        <f>'2018'!AW153</f>
        <v>2425</v>
      </c>
      <c r="AT23" s="119">
        <f>'2018'!AX153</f>
        <v>0</v>
      </c>
      <c r="AU23" s="106">
        <f>'2018'!AY153</f>
        <v>0</v>
      </c>
      <c r="AV23" s="106">
        <f>'2018'!AZ153</f>
      </c>
      <c r="AW23" s="106"/>
      <c r="AX23" s="106"/>
      <c r="AY23" s="119">
        <f>'2018'!BA153</f>
        <v>2425</v>
      </c>
      <c r="AZ23" s="119">
        <f>'2018'!BB153</f>
        <v>0</v>
      </c>
      <c r="BA23" s="106">
        <f>'2018'!BC153</f>
        <v>0</v>
      </c>
      <c r="BB23" s="106">
        <f>'2018'!BD153</f>
      </c>
      <c r="BC23" s="106"/>
      <c r="BD23" s="106"/>
      <c r="BE23" s="119">
        <f>'2018'!BE153</f>
        <v>853</v>
      </c>
      <c r="BF23" s="106">
        <f>'2018'!BF153</f>
        <v>2123.97</v>
      </c>
      <c r="BG23" s="106">
        <f>'2018'!BG153</f>
        <v>2006.94</v>
      </c>
      <c r="BH23" s="106">
        <f>'2018'!BH153</f>
        <v>184.26</v>
      </c>
      <c r="BI23" s="34"/>
    </row>
    <row r="24" ht="15.75" customHeight="1" spans="1:62" x14ac:dyDescent="0.25">
      <c r="A24" s="14"/>
      <c r="B24" s="125">
        <v>21</v>
      </c>
      <c r="C24" s="115">
        <v>3.96</v>
      </c>
      <c r="D24" s="117" t="s">
        <v>120</v>
      </c>
      <c r="E24" s="119">
        <f>'2018'!I161</f>
        <v>96</v>
      </c>
      <c r="F24" s="119">
        <f>'2018'!J161</f>
        <v>40</v>
      </c>
      <c r="G24" s="106">
        <f>'2018'!K161</f>
        <v>99.6</v>
      </c>
      <c r="H24" s="106">
        <f>'2018'!L161</f>
      </c>
      <c r="I24" s="119">
        <f>'2018'!M161</f>
        <v>161</v>
      </c>
      <c r="J24" s="119">
        <f>'2018'!N161</f>
        <v>65</v>
      </c>
      <c r="K24" s="106">
        <f>'2018'!O161</f>
        <v>161.85</v>
      </c>
      <c r="L24" s="106">
        <f>'2018'!P161</f>
      </c>
      <c r="M24" s="119">
        <f>'2018'!Q161</f>
        <v>231</v>
      </c>
      <c r="N24" s="119">
        <f>'2018'!R161</f>
        <v>70</v>
      </c>
      <c r="O24" s="119">
        <f>'2018'!S161</f>
        <v>174.3</v>
      </c>
      <c r="P24" s="119">
        <f>'2018'!T161</f>
      </c>
      <c r="Q24" s="119">
        <f>'2018'!U161</f>
        <v>321</v>
      </c>
      <c r="R24" s="119">
        <f>'2018'!V161</f>
        <v>90</v>
      </c>
      <c r="S24" s="106">
        <f>'2018'!W161</f>
        <v>224.1</v>
      </c>
      <c r="T24" s="106">
        <f>'2018'!X161</f>
      </c>
      <c r="U24" s="119">
        <f>'2018'!Y161</f>
        <v>357</v>
      </c>
      <c r="V24" s="119">
        <f>'2018'!Z161</f>
        <v>36</v>
      </c>
      <c r="W24" s="106">
        <f>'2018'!AA161</f>
        <v>89.64</v>
      </c>
      <c r="X24" s="106">
        <f>'2018'!AB161</f>
        <v>650</v>
      </c>
      <c r="Y24" s="119">
        <f>'2018'!AC161</f>
        <v>369</v>
      </c>
      <c r="Z24" s="119">
        <f>'2018'!AD161</f>
        <v>12</v>
      </c>
      <c r="AA24" s="106">
        <f>'2018'!AE161</f>
        <v>29.88</v>
      </c>
      <c r="AB24" s="106">
        <f>'2018'!AF161</f>
      </c>
      <c r="AC24" s="119">
        <f>'2018'!AG161</f>
        <v>414</v>
      </c>
      <c r="AD24" s="119">
        <f>'2018'!AH161</f>
        <v>45</v>
      </c>
      <c r="AE24" s="106">
        <f>'2018'!AI161</f>
        <v>112.05</v>
      </c>
      <c r="AF24" s="106">
        <f>'2018'!AJ161</f>
      </c>
      <c r="AG24" s="119">
        <f>'2018'!AK161</f>
        <v>459</v>
      </c>
      <c r="AH24" s="119">
        <f>'2018'!AL161</f>
        <v>45</v>
      </c>
      <c r="AI24" s="106">
        <f>'2018'!AM161</f>
        <v>112.05</v>
      </c>
      <c r="AJ24" s="106">
        <f>'2018'!AN161</f>
      </c>
      <c r="AK24" s="119">
        <f>'2018'!AO161</f>
        <v>498</v>
      </c>
      <c r="AL24" s="119">
        <f>'2018'!AP161</f>
        <v>39</v>
      </c>
      <c r="AM24" s="106">
        <f>'2018'!AQ161</f>
        <v>97.11</v>
      </c>
      <c r="AN24" s="106">
        <f>'2018'!AR161</f>
      </c>
      <c r="AO24" s="119">
        <f>'2018'!AS161</f>
        <v>533</v>
      </c>
      <c r="AP24" s="119">
        <f>'2018'!AT161</f>
        <v>35</v>
      </c>
      <c r="AQ24" s="106">
        <f>'2018'!AU161</f>
        <v>87.15</v>
      </c>
      <c r="AR24" s="106">
        <f>'2018'!AV161</f>
      </c>
      <c r="AS24" s="126">
        <f>'2018'!AW161</f>
        <v>568</v>
      </c>
      <c r="AT24" s="119">
        <f>'2018'!AX161</f>
        <v>35</v>
      </c>
      <c r="AU24" s="106">
        <f>'2018'!AY161</f>
        <v>87.15</v>
      </c>
      <c r="AV24" s="106">
        <f>'2018'!AZ161</f>
      </c>
      <c r="AW24" s="119">
        <v>155</v>
      </c>
      <c r="AX24" s="106">
        <f>AW24*$AX$2</f>
        <v>385.95</v>
      </c>
      <c r="AY24" s="119">
        <f>'2018'!BA161</f>
        <v>586</v>
      </c>
      <c r="AZ24" s="119">
        <f>'2018'!BB161</f>
        <v>18</v>
      </c>
      <c r="BA24" s="106">
        <f>'2018'!BC161</f>
        <v>44.82</v>
      </c>
      <c r="BB24" s="106">
        <f>'2018'!BD161</f>
        <v>587.32</v>
      </c>
      <c r="BC24" s="106"/>
      <c r="BD24" s="106"/>
      <c r="BE24" s="119">
        <f>'2018'!BE161</f>
        <v>530</v>
      </c>
      <c r="BF24" s="106">
        <f>'2018'!BF161</f>
        <v>1319.7</v>
      </c>
      <c r="BG24" s="106">
        <f>'2018'!BG161</f>
        <v>1237.32</v>
      </c>
      <c r="BH24" s="106">
        <f>'2018'!BH161</f>
        <v>-385.95</v>
      </c>
      <c r="BI24" s="106">
        <f>AX24+BC24</f>
        <v>385.95</v>
      </c>
      <c r="BJ24" s="106">
        <f>BH24+AX24</f>
        <v>0</v>
      </c>
    </row>
    <row r="25" ht="15.75" customHeight="1" hidden="1" spans="1:61" x14ac:dyDescent="0.25">
      <c r="A25" s="14"/>
      <c r="B25" s="115">
        <v>23</v>
      </c>
      <c r="C25" s="115">
        <v>3.98</v>
      </c>
      <c r="D25" s="117" t="s">
        <v>124</v>
      </c>
      <c r="E25" s="119">
        <f>'2018'!I169</f>
        <v>1187</v>
      </c>
      <c r="F25" s="119">
        <f>'2018'!J169</f>
        <v>0</v>
      </c>
      <c r="G25" s="106">
        <f>'2018'!K169</f>
        <v>0</v>
      </c>
      <c r="H25" s="106">
        <f>'2018'!L169</f>
      </c>
      <c r="I25" s="119">
        <f>'2018'!M169</f>
        <v>1187</v>
      </c>
      <c r="J25" s="119">
        <f>'2018'!N169</f>
        <v>0</v>
      </c>
      <c r="K25" s="106">
        <f>'2018'!O169</f>
        <v>0</v>
      </c>
      <c r="L25" s="106">
        <f>'2018'!P169</f>
      </c>
      <c r="M25" s="119">
        <f>'2018'!Q169</f>
        <v>1187</v>
      </c>
      <c r="N25" s="119">
        <f>'2018'!R169</f>
        <v>0</v>
      </c>
      <c r="O25" s="119">
        <f>'2018'!S169</f>
        <v>0</v>
      </c>
      <c r="P25" s="119">
        <f>'2018'!T169</f>
      </c>
      <c r="Q25" s="119">
        <f>'2018'!U169</f>
        <v>1198</v>
      </c>
      <c r="R25" s="119">
        <f>'2018'!V169</f>
        <v>11</v>
      </c>
      <c r="S25" s="106">
        <f>'2018'!W169</f>
        <v>27.39</v>
      </c>
      <c r="T25" s="106">
        <f>'2018'!X169</f>
        <v>54.78</v>
      </c>
      <c r="U25" s="119">
        <f>'2018'!Y169</f>
        <v>1245</v>
      </c>
      <c r="V25" s="119">
        <f>'2018'!Z169</f>
        <v>47</v>
      </c>
      <c r="W25" s="106">
        <f>'2018'!AA169</f>
        <v>117.03</v>
      </c>
      <c r="X25" s="106">
        <f>'2018'!AB169</f>
        <v>117.03</v>
      </c>
      <c r="Y25" s="119">
        <f>'2018'!AC169</f>
        <v>1406</v>
      </c>
      <c r="Z25" s="119">
        <f>'2018'!AD169</f>
        <v>161</v>
      </c>
      <c r="AA25" s="106">
        <f>'2018'!AE169</f>
        <v>400.89</v>
      </c>
      <c r="AB25" s="106">
        <f>'2018'!AF169</f>
        <v>400.89</v>
      </c>
      <c r="AC25" s="119">
        <f>'2018'!AG169</f>
        <v>1532</v>
      </c>
      <c r="AD25" s="119">
        <f>'2018'!AH169</f>
        <v>126</v>
      </c>
      <c r="AE25" s="106">
        <f>'2018'!AI169</f>
        <v>313.74</v>
      </c>
      <c r="AF25" s="106">
        <f>'2018'!AJ169</f>
      </c>
      <c r="AG25" s="119">
        <f>'2018'!AK169</f>
        <v>1774</v>
      </c>
      <c r="AH25" s="119">
        <f>'2018'!AL169</f>
        <v>242</v>
      </c>
      <c r="AI25" s="106">
        <f>'2018'!AM169</f>
        <v>602.58</v>
      </c>
      <c r="AJ25" s="106">
        <f>'2018'!AN169</f>
        <v>313.74</v>
      </c>
      <c r="AK25" s="119">
        <f>'2018'!AO169</f>
        <v>1880</v>
      </c>
      <c r="AL25" s="119">
        <f>'2018'!AP169</f>
        <v>106</v>
      </c>
      <c r="AM25" s="106">
        <f>'2018'!AQ169</f>
        <v>263.94</v>
      </c>
      <c r="AN25" s="106">
        <f>'2018'!AR169</f>
        <v>866.52</v>
      </c>
      <c r="AO25" s="119">
        <f>'2018'!AS169</f>
        <v>1901</v>
      </c>
      <c r="AP25" s="119">
        <f>'2018'!AT169</f>
        <v>21</v>
      </c>
      <c r="AQ25" s="106">
        <f>'2018'!AU169</f>
        <v>52.29</v>
      </c>
      <c r="AR25" s="106">
        <f>'2018'!AV169</f>
      </c>
      <c r="AS25" s="119">
        <f>'2018'!AW169</f>
        <v>1901</v>
      </c>
      <c r="AT25" s="119">
        <f>'2018'!AX169</f>
        <v>0</v>
      </c>
      <c r="AU25" s="106">
        <f>'2018'!AY169</f>
        <v>0</v>
      </c>
      <c r="AV25" s="106">
        <f>'2018'!AZ169</f>
      </c>
      <c r="AW25" s="106"/>
      <c r="AX25" s="106"/>
      <c r="AY25" s="119">
        <f>'2018'!BA169</f>
        <v>1901</v>
      </c>
      <c r="AZ25" s="119">
        <f>'2018'!BB169</f>
        <v>0</v>
      </c>
      <c r="BA25" s="106">
        <f>'2018'!BC169</f>
        <v>0</v>
      </c>
      <c r="BB25" s="106">
        <f>'2018'!BD169</f>
      </c>
      <c r="BC25" s="106"/>
      <c r="BD25" s="106"/>
      <c r="BE25" s="119">
        <f>'2018'!BE169</f>
        <v>714</v>
      </c>
      <c r="BF25" s="106">
        <f>'2018'!BF169</f>
        <v>1777.86</v>
      </c>
      <c r="BG25" s="106">
        <f>'2018'!BG169</f>
        <v>1752.96</v>
      </c>
      <c r="BH25" s="106">
        <f>'2018'!BH169</f>
        <v>52.29</v>
      </c>
      <c r="BI25" s="34"/>
    </row>
    <row r="26" ht="15.75" customHeight="1" hidden="1" spans="1:61" x14ac:dyDescent="0.25">
      <c r="A26" s="14"/>
      <c r="B26" s="115">
        <v>24</v>
      </c>
      <c r="C26" s="115">
        <v>4.01</v>
      </c>
      <c r="D26" s="117" t="s">
        <v>127</v>
      </c>
      <c r="E26" s="119">
        <f>'2018'!I177</f>
        <v>39</v>
      </c>
      <c r="F26" s="119">
        <f>'2018'!J177</f>
        <v>0</v>
      </c>
      <c r="G26" s="106">
        <f>'2018'!K177</f>
        <v>0</v>
      </c>
      <c r="H26" s="106">
        <f>'2018'!L177</f>
      </c>
      <c r="I26" s="119">
        <f>'2018'!M177</f>
        <v>39</v>
      </c>
      <c r="J26" s="119">
        <f>'2018'!N177</f>
        <v>0</v>
      </c>
      <c r="K26" s="106">
        <f>'2018'!O177</f>
        <v>0</v>
      </c>
      <c r="L26" s="106">
        <f>'2018'!P177</f>
      </c>
      <c r="M26" s="119">
        <f>'2018'!Q177</f>
        <v>39</v>
      </c>
      <c r="N26" s="119">
        <f>'2018'!R177</f>
        <v>0</v>
      </c>
      <c r="O26" s="119">
        <f>'2018'!S177</f>
        <v>0</v>
      </c>
      <c r="P26" s="119">
        <f>'2018'!T177</f>
      </c>
      <c r="Q26" s="119">
        <f>'2018'!U177</f>
        <v>39</v>
      </c>
      <c r="R26" s="119">
        <f>'2018'!V177</f>
        <v>0</v>
      </c>
      <c r="S26" s="106">
        <f>'2018'!W177</f>
        <v>0</v>
      </c>
      <c r="T26" s="106">
        <f>'2018'!X177</f>
      </c>
      <c r="U26" s="119">
        <f>'2018'!Y177</f>
        <v>43</v>
      </c>
      <c r="V26" s="119">
        <f>'2018'!Z177</f>
        <v>4</v>
      </c>
      <c r="W26" s="106">
        <f>'2018'!AA177</f>
        <v>9.96</v>
      </c>
      <c r="X26" s="106">
        <f>'2018'!AB177</f>
        <v>9.96</v>
      </c>
      <c r="Y26" s="119">
        <f>'2018'!AC177</f>
        <v>50</v>
      </c>
      <c r="Z26" s="119">
        <f>'2018'!AD177</f>
        <v>7</v>
      </c>
      <c r="AA26" s="106">
        <f>'2018'!AE177</f>
        <v>17.43</v>
      </c>
      <c r="AB26" s="106">
        <f>'2018'!AF177</f>
      </c>
      <c r="AC26" s="119">
        <f>'2018'!AG177</f>
        <v>53</v>
      </c>
      <c r="AD26" s="119">
        <f>'2018'!AH177</f>
        <v>3</v>
      </c>
      <c r="AE26" s="106">
        <f>'2018'!AI177</f>
        <v>7.47</v>
      </c>
      <c r="AF26" s="106">
        <f>'2018'!AJ177</f>
        <v>17.43</v>
      </c>
      <c r="AG26" s="119">
        <f>'2018'!AK177</f>
        <v>55</v>
      </c>
      <c r="AH26" s="119">
        <f>'2018'!AL177</f>
        <v>2</v>
      </c>
      <c r="AI26" s="106">
        <f>'2018'!AM177</f>
        <v>4.98</v>
      </c>
      <c r="AJ26" s="106">
        <f>'2018'!AN177</f>
        <v>10</v>
      </c>
      <c r="AK26" s="119">
        <f>'2018'!AO177</f>
        <v>56</v>
      </c>
      <c r="AL26" s="119">
        <f>'2018'!AP177</f>
        <v>1</v>
      </c>
      <c r="AM26" s="106">
        <f>'2018'!AQ177</f>
        <v>2.49</v>
      </c>
      <c r="AN26" s="106">
        <f>'2018'!AR177</f>
        <v>4.94</v>
      </c>
      <c r="AO26" s="119">
        <f>'2018'!AS177</f>
        <v>56</v>
      </c>
      <c r="AP26" s="119">
        <f>'2018'!AT177</f>
        <v>0</v>
      </c>
      <c r="AQ26" s="106">
        <f>'2018'!AU177</f>
        <v>0</v>
      </c>
      <c r="AR26" s="106">
        <f>'2018'!AV177</f>
      </c>
      <c r="AS26" s="119">
        <f>'2018'!AW177</f>
        <v>56</v>
      </c>
      <c r="AT26" s="119">
        <f>'2018'!AX177</f>
        <v>0</v>
      </c>
      <c r="AU26" s="106">
        <f>'2018'!AY177</f>
        <v>0</v>
      </c>
      <c r="AV26" s="106">
        <f>'2018'!AZ177</f>
      </c>
      <c r="AW26" s="106"/>
      <c r="AX26" s="106"/>
      <c r="AY26" s="119">
        <f>'2018'!BA177</f>
        <v>56</v>
      </c>
      <c r="AZ26" s="119">
        <f>'2018'!BB177</f>
        <v>0</v>
      </c>
      <c r="BA26" s="106">
        <f>'2018'!BC177</f>
        <v>0</v>
      </c>
      <c r="BB26" s="106">
        <f>'2018'!BD177</f>
      </c>
      <c r="BC26" s="106"/>
      <c r="BD26" s="106"/>
      <c r="BE26" s="119">
        <f>'2018'!BE177</f>
        <v>17</v>
      </c>
      <c r="BF26" s="106">
        <f>'2018'!BF177</f>
        <v>42.33</v>
      </c>
      <c r="BG26" s="106">
        <f>'2018'!BG177</f>
        <v>42.33</v>
      </c>
      <c r="BH26" s="106">
        <f>'2018'!BH177</f>
        <v>0</v>
      </c>
      <c r="BI26" s="34"/>
    </row>
    <row r="27" ht="15.75" customHeight="1" hidden="1" spans="1:61" x14ac:dyDescent="0.25">
      <c r="A27" s="14"/>
      <c r="B27" s="115">
        <v>25</v>
      </c>
      <c r="C27" s="116">
        <v>4</v>
      </c>
      <c r="D27" s="117" t="s">
        <v>131</v>
      </c>
      <c r="E27" s="119">
        <f>'2018'!I185</f>
      </c>
      <c r="F27" s="119">
        <f>'2018'!J185</f>
      </c>
      <c r="G27" s="106">
        <f>'2018'!K185</f>
      </c>
      <c r="H27" s="106">
        <f>'2018'!L185</f>
      </c>
      <c r="I27" s="119">
        <f>'2018'!M185</f>
      </c>
      <c r="J27" s="119">
        <f>'2018'!N185</f>
      </c>
      <c r="K27" s="106">
        <f>'2018'!O185</f>
      </c>
      <c r="L27" s="106">
        <f>'2018'!P185</f>
      </c>
      <c r="M27" s="119">
        <f>'2018'!Q185</f>
      </c>
      <c r="N27" s="119">
        <f>'2018'!R185</f>
      </c>
      <c r="O27" s="119">
        <f>'2018'!S185</f>
      </c>
      <c r="P27" s="119">
        <f>'2018'!T185</f>
      </c>
      <c r="Q27" s="119">
        <f>'2018'!U185</f>
      </c>
      <c r="R27" s="119">
        <f>'2018'!V185</f>
      </c>
      <c r="S27" s="106">
        <f>'2018'!W185</f>
      </c>
      <c r="T27" s="106">
        <f>'2018'!X185</f>
      </c>
      <c r="U27" s="119">
        <f>'2018'!Y185</f>
      </c>
      <c r="V27" s="119">
        <f>'2018'!Z185</f>
        <v>0</v>
      </c>
      <c r="W27" s="106">
        <f>'2018'!AA185</f>
        <v>0</v>
      </c>
      <c r="X27" s="106">
        <f>'2018'!AB185</f>
      </c>
      <c r="Y27" s="119">
        <f>'2018'!AC185</f>
        <v>0</v>
      </c>
      <c r="Z27" s="119">
        <f>'2018'!AD185</f>
        <v>0</v>
      </c>
      <c r="AA27" s="106">
        <f>'2018'!AE185</f>
        <v>0</v>
      </c>
      <c r="AB27" s="106">
        <f>'2018'!AF185</f>
      </c>
      <c r="AC27" s="119">
        <f>'2018'!AG185</f>
      </c>
      <c r="AD27" s="119">
        <f>'2018'!AH185</f>
        <v>0</v>
      </c>
      <c r="AE27" s="106">
        <f>'2018'!AI185</f>
        <v>0</v>
      </c>
      <c r="AF27" s="106">
        <f>'2018'!AJ185</f>
      </c>
      <c r="AG27" s="119">
        <f>'2018'!AK185</f>
        <v>5</v>
      </c>
      <c r="AH27" s="119">
        <f>'2018'!AL185</f>
        <v>5</v>
      </c>
      <c r="AI27" s="106">
        <f>'2018'!AM185</f>
        <v>12.45</v>
      </c>
      <c r="AJ27" s="106">
        <f>'2018'!AN185</f>
      </c>
      <c r="AK27" s="119">
        <f>'2018'!AO185</f>
        <v>6</v>
      </c>
      <c r="AL27" s="119">
        <f>'2018'!AP185</f>
        <v>1</v>
      </c>
      <c r="AM27" s="106">
        <f>'2018'!AQ185</f>
        <v>2.49</v>
      </c>
      <c r="AN27" s="106">
        <f>'2018'!AR185</f>
      </c>
      <c r="AO27" s="119">
        <f>'2018'!AS185</f>
        <v>13</v>
      </c>
      <c r="AP27" s="119">
        <f>'2018'!AT185</f>
        <v>7</v>
      </c>
      <c r="AQ27" s="106">
        <f>'2018'!AU185</f>
        <v>17.43</v>
      </c>
      <c r="AR27" s="106">
        <f>'2018'!AV185</f>
      </c>
      <c r="AS27" s="119">
        <f>'2018'!AW185</f>
        <v>13</v>
      </c>
      <c r="AT27" s="119">
        <f>'2018'!AX185</f>
        <v>0</v>
      </c>
      <c r="AU27" s="106">
        <f>'2018'!AY185</f>
        <v>0</v>
      </c>
      <c r="AV27" s="106">
        <f>'2018'!AZ185</f>
      </c>
      <c r="AW27" s="106"/>
      <c r="AX27" s="106"/>
      <c r="AY27" s="119">
        <f>'2018'!BA185</f>
        <v>13</v>
      </c>
      <c r="AZ27" s="119">
        <f>'2018'!BB185</f>
        <v>0</v>
      </c>
      <c r="BA27" s="106">
        <f>'2018'!BC185</f>
        <v>0</v>
      </c>
      <c r="BB27" s="106">
        <f>'2018'!BD185</f>
      </c>
      <c r="BC27" s="106"/>
      <c r="BD27" s="106"/>
      <c r="BE27" s="119">
        <f>'2018'!BE185</f>
        <v>13</v>
      </c>
      <c r="BF27" s="106">
        <f>'2018'!BF185</f>
        <v>32.37</v>
      </c>
      <c r="BG27" s="106">
        <f>'2018'!BG185</f>
        <v>0</v>
      </c>
      <c r="BH27" s="106">
        <f>'2018'!BH185</f>
        <v>32.37</v>
      </c>
      <c r="BI27" s="34"/>
    </row>
    <row r="28" ht="15.75" customHeight="1" hidden="1" spans="1:61" x14ac:dyDescent="0.25">
      <c r="A28" s="14"/>
      <c r="B28" s="115">
        <v>26</v>
      </c>
      <c r="C28" s="115">
        <v>3.98</v>
      </c>
      <c r="D28" s="117" t="s">
        <v>133</v>
      </c>
      <c r="E28" s="119">
        <f>'2018'!I193</f>
      </c>
      <c r="F28" s="119">
        <f>'2018'!J193</f>
      </c>
      <c r="G28" s="106">
        <f>'2018'!K193</f>
      </c>
      <c r="H28" s="106">
        <f>'2018'!L193</f>
      </c>
      <c r="I28" s="119">
        <f>'2018'!M193</f>
      </c>
      <c r="J28" s="119">
        <f>'2018'!N193</f>
      </c>
      <c r="K28" s="106">
        <f>'2018'!O193</f>
      </c>
      <c r="L28" s="106">
        <f>'2018'!P193</f>
      </c>
      <c r="M28" s="119">
        <f>'2018'!Q193</f>
      </c>
      <c r="N28" s="119">
        <f>'2018'!R193</f>
      </c>
      <c r="O28" s="119">
        <f>'2018'!S193</f>
      </c>
      <c r="P28" s="119">
        <f>'2018'!T193</f>
      </c>
      <c r="Q28" s="119">
        <f>'2018'!U193</f>
      </c>
      <c r="R28" s="119">
        <f>'2018'!V193</f>
      </c>
      <c r="S28" s="106">
        <f>'2018'!W193</f>
      </c>
      <c r="T28" s="106">
        <f>'2018'!X193</f>
      </c>
      <c r="U28" s="119">
        <f>'2018'!Y193</f>
      </c>
      <c r="V28" s="119">
        <f>'2018'!Z193</f>
        <v>0</v>
      </c>
      <c r="W28" s="106">
        <f>'2018'!AA193</f>
        <v>0</v>
      </c>
      <c r="X28" s="106">
        <f>'2018'!AB193</f>
      </c>
      <c r="Y28" s="119">
        <f>'2018'!AC193</f>
      </c>
      <c r="Z28" s="119">
        <f>'2018'!AD193</f>
        <v>0</v>
      </c>
      <c r="AA28" s="106">
        <f>'2018'!AE193</f>
        <v>0</v>
      </c>
      <c r="AB28" s="106">
        <f>'2018'!AF193</f>
      </c>
      <c r="AC28" s="119">
        <f>'2018'!AG193</f>
      </c>
      <c r="AD28" s="119">
        <f>'2018'!AH193</f>
        <v>0</v>
      </c>
      <c r="AE28" s="106">
        <f>'2018'!AI193</f>
        <v>0</v>
      </c>
      <c r="AF28" s="106">
        <f>'2018'!AJ193</f>
      </c>
      <c r="AG28" s="119">
        <f>'2018'!AK193</f>
      </c>
      <c r="AH28" s="119">
        <f>'2018'!AL193</f>
        <v>0</v>
      </c>
      <c r="AI28" s="106">
        <f>'2018'!AM193</f>
        <v>0</v>
      </c>
      <c r="AJ28" s="106">
        <f>'2018'!AN193</f>
      </c>
      <c r="AK28" s="119">
        <f>'2018'!AO193</f>
      </c>
      <c r="AL28" s="119">
        <f>'2018'!AP193</f>
      </c>
      <c r="AM28" s="106">
        <f>'2018'!AQ193</f>
        <v>0</v>
      </c>
      <c r="AN28" s="106">
        <f>'2018'!AR193</f>
      </c>
      <c r="AO28" s="119">
        <f>'2018'!AS193</f>
      </c>
      <c r="AP28" s="119">
        <f>'2018'!AT193</f>
      </c>
      <c r="AQ28" s="106">
        <f>'2018'!AU193</f>
        <v>0</v>
      </c>
      <c r="AR28" s="106">
        <f>'2018'!AV193</f>
      </c>
      <c r="AS28" s="119">
        <f>'2018'!AW193</f>
      </c>
      <c r="AT28" s="119">
        <f>'2018'!AX193</f>
      </c>
      <c r="AU28" s="106">
        <f>'2018'!AY193</f>
        <v>0</v>
      </c>
      <c r="AV28" s="106">
        <f>'2018'!AZ193</f>
      </c>
      <c r="AW28" s="106"/>
      <c r="AX28" s="106"/>
      <c r="AY28" s="119">
        <f>'2018'!BA193</f>
      </c>
      <c r="AZ28" s="119">
        <f>'2018'!BB193</f>
      </c>
      <c r="BA28" s="106">
        <f>'2018'!BC193</f>
        <v>0</v>
      </c>
      <c r="BB28" s="106">
        <f>'2018'!BD193</f>
      </c>
      <c r="BC28" s="106"/>
      <c r="BD28" s="106"/>
      <c r="BE28" s="119">
        <f>'2018'!BE193</f>
        <v>0</v>
      </c>
      <c r="BF28" s="106">
        <f>'2018'!BF193</f>
        <v>0</v>
      </c>
      <c r="BG28" s="106">
        <f>'2018'!BG193</f>
        <v>0</v>
      </c>
      <c r="BH28" s="106">
        <f>'2018'!BH193</f>
        <v>0</v>
      </c>
      <c r="BI28" s="34"/>
    </row>
    <row r="29" ht="15.75" customHeight="1" hidden="1" spans="1:61" x14ac:dyDescent="0.25">
      <c r="A29" s="14"/>
      <c r="B29" s="115">
        <v>27</v>
      </c>
      <c r="C29" s="115">
        <v>4.04</v>
      </c>
      <c r="D29" s="117" t="s">
        <v>136</v>
      </c>
      <c r="E29" s="119">
        <f>'2018'!I201</f>
      </c>
      <c r="F29" s="119">
        <f>'2018'!J201</f>
      </c>
      <c r="G29" s="106">
        <f>'2018'!K201</f>
      </c>
      <c r="H29" s="106">
        <f>'2018'!L201</f>
      </c>
      <c r="I29" s="119">
        <f>'2018'!M201</f>
      </c>
      <c r="J29" s="119">
        <f>'2018'!N201</f>
      </c>
      <c r="K29" s="106">
        <f>'2018'!O201</f>
      </c>
      <c r="L29" s="106">
        <f>'2018'!P201</f>
      </c>
      <c r="M29" s="119">
        <f>'2018'!Q201</f>
      </c>
      <c r="N29" s="119">
        <f>'2018'!R201</f>
      </c>
      <c r="O29" s="119">
        <f>'2018'!S201</f>
      </c>
      <c r="P29" s="119">
        <f>'2018'!T201</f>
      </c>
      <c r="Q29" s="119">
        <f>'2018'!U201</f>
      </c>
      <c r="R29" s="119">
        <f>'2018'!V201</f>
      </c>
      <c r="S29" s="106">
        <f>'2018'!W201</f>
      </c>
      <c r="T29" s="106">
        <f>'2018'!X201</f>
      </c>
      <c r="U29" s="119">
        <f>'2018'!Y201</f>
      </c>
      <c r="V29" s="119">
        <f>'2018'!Z201</f>
        <v>0</v>
      </c>
      <c r="W29" s="106">
        <f>'2018'!AA201</f>
        <v>0</v>
      </c>
      <c r="X29" s="106">
        <f>'2018'!AB201</f>
      </c>
      <c r="Y29" s="119">
        <f>'2018'!AC201</f>
      </c>
      <c r="Z29" s="119">
        <f>'2018'!AD201</f>
        <v>0</v>
      </c>
      <c r="AA29" s="106">
        <f>'2018'!AE201</f>
        <v>0</v>
      </c>
      <c r="AB29" s="106">
        <f>'2018'!AF201</f>
      </c>
      <c r="AC29" s="119">
        <f>'2018'!AG201</f>
      </c>
      <c r="AD29" s="119">
        <f>'2018'!AH201</f>
        <v>0</v>
      </c>
      <c r="AE29" s="106">
        <f>'2018'!AI201</f>
        <v>0</v>
      </c>
      <c r="AF29" s="106">
        <f>'2018'!AJ201</f>
      </c>
      <c r="AG29" s="119">
        <f>'2018'!AK201</f>
      </c>
      <c r="AH29" s="119">
        <f>'2018'!AL201</f>
        <v>0</v>
      </c>
      <c r="AI29" s="106">
        <f>'2018'!AM201</f>
        <v>0</v>
      </c>
      <c r="AJ29" s="106">
        <f>'2018'!AN201</f>
      </c>
      <c r="AK29" s="119">
        <f>'2018'!AO201</f>
      </c>
      <c r="AL29" s="119">
        <f>'2018'!AP201</f>
      </c>
      <c r="AM29" s="106">
        <f>'2018'!AQ201</f>
        <v>0</v>
      </c>
      <c r="AN29" s="106">
        <f>'2018'!AR201</f>
      </c>
      <c r="AO29" s="119">
        <f>'2018'!AS201</f>
      </c>
      <c r="AP29" s="119">
        <f>'2018'!AT201</f>
      </c>
      <c r="AQ29" s="106">
        <f>'2018'!AU201</f>
        <v>0</v>
      </c>
      <c r="AR29" s="106">
        <f>'2018'!AV201</f>
      </c>
      <c r="AS29" s="119">
        <f>'2018'!AW201</f>
      </c>
      <c r="AT29" s="119">
        <f>'2018'!AX201</f>
      </c>
      <c r="AU29" s="106">
        <f>'2018'!AY201</f>
        <v>0</v>
      </c>
      <c r="AV29" s="106">
        <f>'2018'!AZ201</f>
      </c>
      <c r="AW29" s="106"/>
      <c r="AX29" s="106"/>
      <c r="AY29" s="119">
        <f>'2018'!BA201</f>
      </c>
      <c r="AZ29" s="119">
        <f>'2018'!BB201</f>
      </c>
      <c r="BA29" s="106">
        <f>'2018'!BC201</f>
        <v>0</v>
      </c>
      <c r="BB29" s="106">
        <f>'2018'!BD201</f>
      </c>
      <c r="BC29" s="106"/>
      <c r="BD29" s="106"/>
      <c r="BE29" s="119">
        <f>'2018'!BE201</f>
        <v>0</v>
      </c>
      <c r="BF29" s="106">
        <f>'2018'!BF201</f>
        <v>0</v>
      </c>
      <c r="BG29" s="106">
        <f>'2018'!BG201</f>
        <v>0</v>
      </c>
      <c r="BH29" s="106">
        <f>'2018'!BH201</f>
        <v>0</v>
      </c>
      <c r="BI29" s="34"/>
    </row>
    <row r="30" ht="15.75" customHeight="1" spans="1:62" x14ac:dyDescent="0.25">
      <c r="A30" s="14"/>
      <c r="B30" s="125" t="s">
        <v>139</v>
      </c>
      <c r="C30" s="115">
        <v>8.01</v>
      </c>
      <c r="D30" s="117" t="s">
        <v>140</v>
      </c>
      <c r="E30" s="119">
        <f>'2018'!I209</f>
        <v>8117</v>
      </c>
      <c r="F30" s="119">
        <f>'2018'!J209</f>
        <v>1129</v>
      </c>
      <c r="G30" s="106">
        <f>'2018'!K209</f>
        <v>2811.21</v>
      </c>
      <c r="H30" s="106">
        <f>'2018'!L209</f>
        <v>2000</v>
      </c>
      <c r="I30" s="119">
        <f>'2018'!M209</f>
        <v>9121</v>
      </c>
      <c r="J30" s="119">
        <f>'2018'!N209</f>
        <v>1004</v>
      </c>
      <c r="K30" s="106">
        <f>'2018'!O209</f>
        <v>2499.96</v>
      </c>
      <c r="L30" s="106">
        <f>'2018'!P209</f>
      </c>
      <c r="M30" s="119">
        <f>'2018'!Q209</f>
        <v>9921</v>
      </c>
      <c r="N30" s="119">
        <f>'2018'!R209</f>
        <v>800</v>
      </c>
      <c r="O30" s="119">
        <f>'2018'!S209</f>
        <v>1992</v>
      </c>
      <c r="P30" s="119">
        <f>'2018'!T209</f>
        <v>2000</v>
      </c>
      <c r="Q30" s="119">
        <f>'2018'!U209</f>
        <v>10418</v>
      </c>
      <c r="R30" s="119">
        <f>'2018'!V209</f>
        <v>497</v>
      </c>
      <c r="S30" s="106">
        <f>'2018'!W209</f>
        <v>1237.53</v>
      </c>
      <c r="T30" s="106">
        <f>'2018'!X209</f>
        <v>2000</v>
      </c>
      <c r="U30" s="119">
        <f>'2018'!Y209</f>
        <v>10638</v>
      </c>
      <c r="V30" s="119">
        <f>'2018'!Z209</f>
        <v>220</v>
      </c>
      <c r="W30" s="106">
        <f>'2018'!AA209</f>
        <v>547.8</v>
      </c>
      <c r="X30" s="106">
        <f>'2018'!AB209</f>
        <v>2000</v>
      </c>
      <c r="Y30" s="119">
        <f>'2018'!AC209</f>
        <v>10785</v>
      </c>
      <c r="Z30" s="119">
        <f>'2018'!AD209</f>
        <v>147</v>
      </c>
      <c r="AA30" s="106">
        <f>'2018'!AE209</f>
        <v>366.03</v>
      </c>
      <c r="AB30" s="106">
        <f>'2018'!AF209</f>
      </c>
      <c r="AC30" s="119">
        <f>'2018'!AG209</f>
        <v>10882</v>
      </c>
      <c r="AD30" s="119">
        <f>'2018'!AH209</f>
        <v>97</v>
      </c>
      <c r="AE30" s="106">
        <f>'2018'!AI209</f>
        <v>241.53</v>
      </c>
      <c r="AF30" s="106">
        <f>'2018'!AJ209</f>
      </c>
      <c r="AG30" s="119">
        <f>'2018'!AK209</f>
        <v>11038</v>
      </c>
      <c r="AH30" s="119">
        <f>'2018'!AL209</f>
        <v>156</v>
      </c>
      <c r="AI30" s="106">
        <f>'2018'!AM209</f>
        <v>388.44</v>
      </c>
      <c r="AJ30" s="106">
        <f>'2018'!AN209</f>
      </c>
      <c r="AK30" s="119">
        <f>'2018'!AO209</f>
        <v>11295</v>
      </c>
      <c r="AL30" s="119">
        <f>'2018'!AP209</f>
        <v>257</v>
      </c>
      <c r="AM30" s="106">
        <f>'2018'!AQ209</f>
        <v>639.93</v>
      </c>
      <c r="AN30" s="106">
        <f>'2018'!AR209</f>
        <v>1083.44</v>
      </c>
      <c r="AO30" s="119">
        <f>'2018'!AS209</f>
        <v>11767</v>
      </c>
      <c r="AP30" s="119">
        <f>'2018'!AT209</f>
        <v>472</v>
      </c>
      <c r="AQ30" s="106">
        <f>'2018'!AU209</f>
        <v>1175.28</v>
      </c>
      <c r="AR30" s="106">
        <f>'2018'!AV209</f>
      </c>
      <c r="AS30" s="126">
        <f>'2018'!AW209</f>
        <v>12187</v>
      </c>
      <c r="AT30" s="119">
        <f>'2018'!AX209</f>
        <v>420</v>
      </c>
      <c r="AU30" s="106">
        <f>'2018'!AY209</f>
        <v>1045.8</v>
      </c>
      <c r="AV30" s="106">
        <f>'2018'!AZ209</f>
        <v>2000</v>
      </c>
      <c r="AW30" s="119">
        <v>155</v>
      </c>
      <c r="AX30" s="106">
        <f>AW30*$AX$2</f>
        <v>385.95</v>
      </c>
      <c r="AY30" s="119">
        <f>'2018'!BA209</f>
        <v>12936</v>
      </c>
      <c r="AZ30" s="119">
        <f>'2018'!BB209</f>
        <v>749</v>
      </c>
      <c r="BA30" s="106">
        <f>'2018'!BC209</f>
        <v>1865.01</v>
      </c>
      <c r="BB30" s="106">
        <f>'2018'!BD209</f>
        <v>2472.04</v>
      </c>
      <c r="BC30" s="106"/>
      <c r="BD30" s="106"/>
      <c r="BE30" s="119">
        <f>'2018'!BE209</f>
        <v>5948</v>
      </c>
      <c r="BF30" s="106">
        <f>'2018'!BF209</f>
        <v>14810.52</v>
      </c>
      <c r="BG30" s="106">
        <f>'2018'!BG209</f>
        <v>13555.48</v>
      </c>
      <c r="BH30" s="106">
        <f>'2018'!BH209</f>
        <v>-385.95</v>
      </c>
      <c r="BI30" s="106">
        <f>AX30+BC30</f>
        <v>385.95</v>
      </c>
      <c r="BJ30" s="106">
        <f>BH30+AX30</f>
        <v>0</v>
      </c>
    </row>
    <row r="31" ht="15.75" customHeight="1" hidden="1" spans="1:61" x14ac:dyDescent="0.25">
      <c r="A31" s="14"/>
      <c r="B31" s="115">
        <v>29</v>
      </c>
      <c r="C31" s="115">
        <v>4.02</v>
      </c>
      <c r="D31" s="117" t="s">
        <v>146</v>
      </c>
      <c r="E31" s="119">
        <f>'2018'!I217</f>
      </c>
      <c r="F31" s="119">
        <f>'2018'!J217</f>
      </c>
      <c r="G31" s="106">
        <f>'2018'!K217</f>
      </c>
      <c r="H31" s="106">
        <f>'2018'!L217</f>
      </c>
      <c r="I31" s="119">
        <f>'2018'!M217</f>
      </c>
      <c r="J31" s="119">
        <f>'2018'!N217</f>
      </c>
      <c r="K31" s="106">
        <f>'2018'!O217</f>
      </c>
      <c r="L31" s="106">
        <f>'2018'!P217</f>
      </c>
      <c r="M31" s="119">
        <f>'2018'!Q217</f>
      </c>
      <c r="N31" s="119">
        <f>'2018'!R217</f>
      </c>
      <c r="O31" s="119">
        <f>'2018'!S217</f>
      </c>
      <c r="P31" s="119">
        <f>'2018'!T217</f>
      </c>
      <c r="Q31" s="119">
        <f>'2018'!U217</f>
      </c>
      <c r="R31" s="119">
        <f>'2018'!V217</f>
      </c>
      <c r="S31" s="106">
        <f>'2018'!W217</f>
      </c>
      <c r="T31" s="106">
        <f>'2018'!X217</f>
      </c>
      <c r="U31" s="119">
        <f>'2018'!Y217</f>
      </c>
      <c r="V31" s="119">
        <f>'2018'!Z217</f>
        <v>0</v>
      </c>
      <c r="W31" s="106">
        <f>'2018'!AA217</f>
        <v>0</v>
      </c>
      <c r="X31" s="106">
        <f>'2018'!AB217</f>
      </c>
      <c r="Y31" s="119">
        <f>'2018'!AC217</f>
      </c>
      <c r="Z31" s="119">
        <f>'2018'!AD217</f>
        <v>0</v>
      </c>
      <c r="AA31" s="106">
        <f>'2018'!AE217</f>
        <v>0</v>
      </c>
      <c r="AB31" s="106">
        <f>'2018'!AF217</f>
      </c>
      <c r="AC31" s="119">
        <f>'2018'!AG217</f>
      </c>
      <c r="AD31" s="119">
        <f>'2018'!AH217</f>
        <v>0</v>
      </c>
      <c r="AE31" s="106">
        <f>'2018'!AI217</f>
        <v>0</v>
      </c>
      <c r="AF31" s="106">
        <f>'2018'!AJ217</f>
      </c>
      <c r="AG31" s="119">
        <f>'2018'!AK217</f>
      </c>
      <c r="AH31" s="119">
        <f>'2018'!AL217</f>
        <v>0</v>
      </c>
      <c r="AI31" s="106">
        <f>'2018'!AM217</f>
        <v>0</v>
      </c>
      <c r="AJ31" s="106">
        <f>'2018'!AN217</f>
      </c>
      <c r="AK31" s="119">
        <f>'2018'!AO217</f>
      </c>
      <c r="AL31" s="119">
        <f>'2018'!AP217</f>
      </c>
      <c r="AM31" s="106">
        <f>'2018'!AQ217</f>
        <v>0</v>
      </c>
      <c r="AN31" s="106">
        <f>'2018'!AR217</f>
      </c>
      <c r="AO31" s="119">
        <f>'2018'!AS217</f>
      </c>
      <c r="AP31" s="119">
        <f>'2018'!AT217</f>
      </c>
      <c r="AQ31" s="106">
        <f>'2018'!AU217</f>
        <v>0</v>
      </c>
      <c r="AR31" s="106">
        <f>'2018'!AV217</f>
      </c>
      <c r="AS31" s="119">
        <f>'2018'!AW217</f>
      </c>
      <c r="AT31" s="119">
        <f>'2018'!AX217</f>
      </c>
      <c r="AU31" s="106">
        <f>'2018'!AY217</f>
        <v>0</v>
      </c>
      <c r="AV31" s="106">
        <f>'2018'!AZ217</f>
      </c>
      <c r="AW31" s="106"/>
      <c r="AX31" s="106"/>
      <c r="AY31" s="119">
        <f>'2018'!BA217</f>
      </c>
      <c r="AZ31" s="119">
        <f>'2018'!BB217</f>
      </c>
      <c r="BA31" s="106">
        <f>'2018'!BC217</f>
        <v>0</v>
      </c>
      <c r="BB31" s="106">
        <f>'2018'!BD217</f>
      </c>
      <c r="BC31" s="106"/>
      <c r="BD31" s="106"/>
      <c r="BE31" s="119">
        <f>'2018'!BE217</f>
        <v>0</v>
      </c>
      <c r="BF31" s="106">
        <f>'2018'!BF217</f>
        <v>0</v>
      </c>
      <c r="BG31" s="106">
        <f>'2018'!BG217</f>
        <v>0</v>
      </c>
      <c r="BH31" s="106">
        <f>'2018'!BH217</f>
        <v>0</v>
      </c>
      <c r="BI31" s="34"/>
    </row>
    <row r="32" ht="15.75" customHeight="1" hidden="1" spans="1:61" x14ac:dyDescent="0.25">
      <c r="A32" s="14"/>
      <c r="B32" s="115">
        <v>31</v>
      </c>
      <c r="C32" s="116">
        <v>4</v>
      </c>
      <c r="D32" s="117" t="s">
        <v>149</v>
      </c>
      <c r="E32" s="119">
        <f>'2018'!I225</f>
      </c>
      <c r="F32" s="119">
        <f>'2018'!J225</f>
      </c>
      <c r="G32" s="106">
        <f>'2018'!K225</f>
      </c>
      <c r="H32" s="106">
        <f>'2018'!L225</f>
      </c>
      <c r="I32" s="119">
        <f>'2018'!M225</f>
      </c>
      <c r="J32" s="119">
        <f>'2018'!N225</f>
      </c>
      <c r="K32" s="106">
        <f>'2018'!O225</f>
      </c>
      <c r="L32" s="106">
        <f>'2018'!P225</f>
      </c>
      <c r="M32" s="119">
        <f>'2018'!Q225</f>
      </c>
      <c r="N32" s="119">
        <f>'2018'!R225</f>
      </c>
      <c r="O32" s="119">
        <f>'2018'!S225</f>
      </c>
      <c r="P32" s="119">
        <f>'2018'!T225</f>
      </c>
      <c r="Q32" s="119">
        <f>'2018'!U225</f>
      </c>
      <c r="R32" s="119">
        <f>'2018'!V225</f>
      </c>
      <c r="S32" s="106">
        <f>'2018'!W225</f>
      </c>
      <c r="T32" s="106">
        <f>'2018'!X225</f>
      </c>
      <c r="U32" s="119">
        <f>'2018'!Y225</f>
      </c>
      <c r="V32" s="119">
        <f>'2018'!Z225</f>
        <v>0</v>
      </c>
      <c r="W32" s="106">
        <f>'2018'!AA225</f>
        <v>0</v>
      </c>
      <c r="X32" s="106">
        <f>'2018'!AB225</f>
      </c>
      <c r="Y32" s="119">
        <f>'2018'!AC225</f>
        <v>0</v>
      </c>
      <c r="Z32" s="119">
        <f>'2018'!AD225</f>
        <v>0</v>
      </c>
      <c r="AA32" s="106">
        <f>'2018'!AE225</f>
        <v>0</v>
      </c>
      <c r="AB32" s="106">
        <f>'2018'!AF225</f>
      </c>
      <c r="AC32" s="119">
        <f>'2018'!AG225</f>
      </c>
      <c r="AD32" s="119">
        <f>'2018'!AH225</f>
        <v>0</v>
      </c>
      <c r="AE32" s="106">
        <f>'2018'!AI225</f>
        <v>0</v>
      </c>
      <c r="AF32" s="106">
        <f>'2018'!AJ225</f>
      </c>
      <c r="AG32" s="119">
        <f>'2018'!AK225</f>
      </c>
      <c r="AH32" s="119">
        <f>'2018'!AL225</f>
        <v>0</v>
      </c>
      <c r="AI32" s="106">
        <f>'2018'!AM225</f>
        <v>0</v>
      </c>
      <c r="AJ32" s="106">
        <f>'2018'!AN225</f>
      </c>
      <c r="AK32" s="119">
        <f>'2018'!AO225</f>
      </c>
      <c r="AL32" s="119">
        <f>'2018'!AP225</f>
      </c>
      <c r="AM32" s="106">
        <f>'2018'!AQ225</f>
        <v>0</v>
      </c>
      <c r="AN32" s="106">
        <f>'2018'!AR225</f>
      </c>
      <c r="AO32" s="119">
        <f>'2018'!AS225</f>
      </c>
      <c r="AP32" s="119">
        <f>'2018'!AT225</f>
      </c>
      <c r="AQ32" s="106">
        <f>'2018'!AU225</f>
        <v>0</v>
      </c>
      <c r="AR32" s="106">
        <f>'2018'!AV225</f>
      </c>
      <c r="AS32" s="119">
        <f>'2018'!AW225</f>
      </c>
      <c r="AT32" s="119">
        <f>'2018'!AX225</f>
      </c>
      <c r="AU32" s="106">
        <f>'2018'!AY225</f>
        <v>0</v>
      </c>
      <c r="AV32" s="106">
        <f>'2018'!AZ225</f>
      </c>
      <c r="AW32" s="106"/>
      <c r="AX32" s="106"/>
      <c r="AY32" s="119">
        <f>'2018'!BA225</f>
      </c>
      <c r="AZ32" s="119">
        <f>'2018'!BB225</f>
      </c>
      <c r="BA32" s="106">
        <f>'2018'!BC225</f>
        <v>0</v>
      </c>
      <c r="BB32" s="106">
        <f>'2018'!BD225</f>
      </c>
      <c r="BC32" s="106"/>
      <c r="BD32" s="106"/>
      <c r="BE32" s="119">
        <f>'2018'!BE225</f>
        <v>0</v>
      </c>
      <c r="BF32" s="106">
        <f>'2018'!BF225</f>
        <v>0</v>
      </c>
      <c r="BG32" s="106">
        <f>'2018'!BG225</f>
        <v>0</v>
      </c>
      <c r="BH32" s="106">
        <f>'2018'!BH225</f>
        <v>0</v>
      </c>
      <c r="BI32" s="34"/>
    </row>
    <row r="33" ht="15.75" customHeight="1" hidden="1" spans="1:61" x14ac:dyDescent="0.25">
      <c r="A33" s="14"/>
      <c r="B33" s="115">
        <v>32</v>
      </c>
      <c r="C33" s="115">
        <v>3.96</v>
      </c>
      <c r="D33" s="117" t="s">
        <v>152</v>
      </c>
      <c r="E33" s="119">
        <f>'2018'!I233</f>
        <v>168</v>
      </c>
      <c r="F33" s="119">
        <f>'2018'!J233</f>
        <v>0</v>
      </c>
      <c r="G33" s="106">
        <f>'2018'!K233</f>
        <v>0</v>
      </c>
      <c r="H33" s="106">
        <f>'2018'!L233</f>
      </c>
      <c r="I33" s="119">
        <f>'2018'!M233</f>
        <v>168</v>
      </c>
      <c r="J33" s="119">
        <f>'2018'!N233</f>
        <v>0</v>
      </c>
      <c r="K33" s="106">
        <f>'2018'!O233</f>
        <v>0</v>
      </c>
      <c r="L33" s="106">
        <f>'2018'!P233</f>
      </c>
      <c r="M33" s="119">
        <f>'2018'!Q233</f>
        <v>168</v>
      </c>
      <c r="N33" s="119">
        <f>'2018'!R233</f>
        <v>0</v>
      </c>
      <c r="O33" s="119">
        <f>'2018'!S233</f>
        <v>0</v>
      </c>
      <c r="P33" s="119">
        <f>'2018'!T233</f>
      </c>
      <c r="Q33" s="119">
        <f>'2018'!U233</f>
        <v>168</v>
      </c>
      <c r="R33" s="119">
        <f>'2018'!V233</f>
        <v>0</v>
      </c>
      <c r="S33" s="106">
        <f>'2018'!W233</f>
        <v>0</v>
      </c>
      <c r="T33" s="106">
        <f>'2018'!X233</f>
      </c>
      <c r="U33" s="119">
        <f>'2018'!Y233</f>
        <v>171</v>
      </c>
      <c r="V33" s="119">
        <f>'2018'!Z233</f>
        <v>3</v>
      </c>
      <c r="W33" s="106">
        <f>'2018'!AA233</f>
        <v>7.47</v>
      </c>
      <c r="X33" s="106">
        <f>'2018'!AB233</f>
        <v>7.47</v>
      </c>
      <c r="Y33" s="119">
        <f>'2018'!AC233</f>
        <v>205</v>
      </c>
      <c r="Z33" s="119">
        <f>'2018'!AD233</f>
        <v>34</v>
      </c>
      <c r="AA33" s="106">
        <f>'2018'!AE233</f>
        <v>84.66</v>
      </c>
      <c r="AB33" s="106">
        <f>'2018'!AF233</f>
      </c>
      <c r="AC33" s="119">
        <f>'2018'!AG233</f>
        <v>257</v>
      </c>
      <c r="AD33" s="119">
        <f>'2018'!AH233</f>
        <v>52</v>
      </c>
      <c r="AE33" s="106">
        <f>'2018'!AI233</f>
        <v>129.48</v>
      </c>
      <c r="AF33" s="106">
        <f>'2018'!AJ233</f>
      </c>
      <c r="AG33" s="119">
        <f>'2018'!AK233</f>
        <v>307</v>
      </c>
      <c r="AH33" s="119">
        <f>'2018'!AL233</f>
        <v>50</v>
      </c>
      <c r="AI33" s="106">
        <f>'2018'!AM233</f>
        <v>124.5</v>
      </c>
      <c r="AJ33" s="106">
        <f>'2018'!AN233</f>
      </c>
      <c r="AK33" s="119">
        <f>'2018'!AO233</f>
        <v>354</v>
      </c>
      <c r="AL33" s="119">
        <f>'2018'!AP233</f>
        <v>47</v>
      </c>
      <c r="AM33" s="106">
        <f>'2018'!AQ233</f>
        <v>117.03</v>
      </c>
      <c r="AN33" s="106">
        <f>'2018'!AR233</f>
      </c>
      <c r="AO33" s="119">
        <f>'2018'!AS233</f>
        <v>381</v>
      </c>
      <c r="AP33" s="119">
        <f>'2018'!AT233</f>
        <v>27</v>
      </c>
      <c r="AQ33" s="106">
        <f>'2018'!AU233</f>
        <v>67.23</v>
      </c>
      <c r="AR33" s="106">
        <f>'2018'!AV233</f>
      </c>
      <c r="AS33" s="119">
        <f>'2018'!AW233</f>
        <v>381</v>
      </c>
      <c r="AT33" s="119">
        <f>'2018'!AX233</f>
        <v>0</v>
      </c>
      <c r="AU33" s="106">
        <f>'2018'!AY233</f>
        <v>0</v>
      </c>
      <c r="AV33" s="106">
        <f>'2018'!AZ233</f>
      </c>
      <c r="AW33" s="106"/>
      <c r="AX33" s="106"/>
      <c r="AY33" s="119">
        <f>'2018'!BA233</f>
        <v>381</v>
      </c>
      <c r="AZ33" s="119">
        <f>'2018'!BB233</f>
        <v>0</v>
      </c>
      <c r="BA33" s="106">
        <f>'2018'!BC233</f>
        <v>0</v>
      </c>
      <c r="BB33" s="106">
        <f>'2018'!BD233</f>
      </c>
      <c r="BC33" s="106"/>
      <c r="BD33" s="106"/>
      <c r="BE33" s="119">
        <f>'2018'!BE233</f>
        <v>213</v>
      </c>
      <c r="BF33" s="106">
        <f>'2018'!BF233</f>
        <v>530.37</v>
      </c>
      <c r="BG33" s="106">
        <f>'2018'!BG233</f>
        <v>7.47</v>
      </c>
      <c r="BH33" s="106">
        <f>'2018'!BH233</f>
        <v>-58.78</v>
      </c>
      <c r="BI33" s="34"/>
    </row>
    <row r="34" ht="15.75" customHeight="1" hidden="1" spans="1:61" x14ac:dyDescent="0.25">
      <c r="A34" s="14"/>
      <c r="B34" s="115">
        <v>33</v>
      </c>
      <c r="C34" s="115">
        <v>4.01</v>
      </c>
      <c r="D34" s="117" t="s">
        <v>154</v>
      </c>
      <c r="E34" s="119">
        <f>'2018'!I241</f>
        <v>1</v>
      </c>
      <c r="F34" s="119">
        <f>'2018'!J241</f>
        <v>0</v>
      </c>
      <c r="G34" s="106">
        <f>'2018'!K241</f>
        <v>0</v>
      </c>
      <c r="H34" s="106">
        <f>'2018'!L241</f>
      </c>
      <c r="I34" s="119">
        <f>'2018'!M241</f>
        <v>1</v>
      </c>
      <c r="J34" s="119">
        <f>'2018'!N241</f>
        <v>0</v>
      </c>
      <c r="K34" s="106">
        <f>'2018'!O241</f>
        <v>0</v>
      </c>
      <c r="L34" s="106">
        <f>'2018'!P241</f>
      </c>
      <c r="M34" s="119">
        <f>'2018'!Q241</f>
        <v>1</v>
      </c>
      <c r="N34" s="119">
        <f>'2018'!R241</f>
        <v>0</v>
      </c>
      <c r="O34" s="119">
        <f>'2018'!S241</f>
        <v>0</v>
      </c>
      <c r="P34" s="119">
        <f>'2018'!T241</f>
      </c>
      <c r="Q34" s="119">
        <f>'2018'!U241</f>
        <v>1</v>
      </c>
      <c r="R34" s="119">
        <f>'2018'!V241</f>
        <v>0</v>
      </c>
      <c r="S34" s="106">
        <f>'2018'!W241</f>
        <v>0</v>
      </c>
      <c r="T34" s="106">
        <f>'2018'!X241</f>
      </c>
      <c r="U34" s="119">
        <f>'2018'!Y241</f>
        <v>1</v>
      </c>
      <c r="V34" s="119">
        <f>'2018'!Z241</f>
        <v>0</v>
      </c>
      <c r="W34" s="106">
        <f>'2018'!AA241</f>
        <v>0</v>
      </c>
      <c r="X34" s="106">
        <f>'2018'!AB241</f>
      </c>
      <c r="Y34" s="119">
        <f>'2018'!AC241</f>
        <v>1</v>
      </c>
      <c r="Z34" s="119">
        <f>'2018'!AD241</f>
        <v>0</v>
      </c>
      <c r="AA34" s="106">
        <f>'2018'!AE241</f>
        <v>0</v>
      </c>
      <c r="AB34" s="106">
        <f>'2018'!AF241</f>
      </c>
      <c r="AC34" s="119">
        <f>'2018'!AG241</f>
        <v>1</v>
      </c>
      <c r="AD34" s="119">
        <f>'2018'!AH241</f>
        <v>0</v>
      </c>
      <c r="AE34" s="106">
        <f>'2018'!AI241</f>
        <v>0</v>
      </c>
      <c r="AF34" s="106">
        <f>'2018'!AJ241</f>
      </c>
      <c r="AG34" s="119">
        <f>'2018'!AK241</f>
        <v>1</v>
      </c>
      <c r="AH34" s="119">
        <f>'2018'!AL241</f>
        <v>0</v>
      </c>
      <c r="AI34" s="106">
        <f>'2018'!AM241</f>
        <v>0</v>
      </c>
      <c r="AJ34" s="106">
        <f>'2018'!AN241</f>
      </c>
      <c r="AK34" s="119">
        <f>'2018'!AO241</f>
        <v>1</v>
      </c>
      <c r="AL34" s="119">
        <f>'2018'!AP241</f>
      </c>
      <c r="AM34" s="106">
        <f>'2018'!AQ241</f>
        <v>0</v>
      </c>
      <c r="AN34" s="106">
        <f>'2018'!AR241</f>
      </c>
      <c r="AO34" s="119">
        <f>'2018'!AS241</f>
        <v>1</v>
      </c>
      <c r="AP34" s="119">
        <f>'2018'!AT241</f>
        <v>0</v>
      </c>
      <c r="AQ34" s="106">
        <f>'2018'!AU241</f>
        <v>0</v>
      </c>
      <c r="AR34" s="106">
        <f>'2018'!AV241</f>
      </c>
      <c r="AS34" s="119">
        <f>'2018'!AW241</f>
        <v>1</v>
      </c>
      <c r="AT34" s="119">
        <f>'2018'!AX241</f>
        <v>0</v>
      </c>
      <c r="AU34" s="106">
        <f>'2018'!AY241</f>
        <v>0</v>
      </c>
      <c r="AV34" s="106">
        <f>'2018'!AZ241</f>
      </c>
      <c r="AW34" s="106"/>
      <c r="AX34" s="106"/>
      <c r="AY34" s="119">
        <f>'2018'!BA241</f>
        <v>1</v>
      </c>
      <c r="AZ34" s="119">
        <f>'2018'!BB241</f>
        <v>0</v>
      </c>
      <c r="BA34" s="106">
        <f>'2018'!BC241</f>
        <v>0</v>
      </c>
      <c r="BB34" s="106">
        <f>'2018'!BD241</f>
      </c>
      <c r="BC34" s="106"/>
      <c r="BD34" s="106"/>
      <c r="BE34" s="119">
        <f>'2018'!BE241</f>
        <v>0</v>
      </c>
      <c r="BF34" s="106">
        <f>'2018'!BF241</f>
        <v>0</v>
      </c>
      <c r="BG34" s="106">
        <f>'2018'!BG241</f>
        <v>0</v>
      </c>
      <c r="BH34" s="106">
        <f>'2018'!BH241</f>
        <v>2.49</v>
      </c>
      <c r="BI34" s="34"/>
    </row>
    <row r="35" ht="15.75" customHeight="1" hidden="1" spans="1:61" x14ac:dyDescent="0.25">
      <c r="A35" s="14"/>
      <c r="B35" s="115">
        <v>34</v>
      </c>
      <c r="C35" s="115">
        <v>4.01</v>
      </c>
      <c r="D35" s="117" t="s">
        <v>155</v>
      </c>
      <c r="E35" s="119">
        <f>'2018'!I249</f>
        <v>434</v>
      </c>
      <c r="F35" s="119">
        <f>'2018'!J249</f>
        <v>0</v>
      </c>
      <c r="G35" s="106">
        <f>'2018'!K249</f>
        <v>0</v>
      </c>
      <c r="H35" s="106">
        <f>'2018'!L249</f>
      </c>
      <c r="I35" s="119">
        <f>'2018'!M249</f>
        <v>434</v>
      </c>
      <c r="J35" s="119">
        <f>'2018'!N249</f>
        <v>0</v>
      </c>
      <c r="K35" s="106">
        <f>'2018'!O249</f>
        <v>0</v>
      </c>
      <c r="L35" s="106">
        <f>'2018'!P249</f>
      </c>
      <c r="M35" s="119">
        <f>'2018'!Q249</f>
        <v>434</v>
      </c>
      <c r="N35" s="119">
        <f>'2018'!R249</f>
        <v>0</v>
      </c>
      <c r="O35" s="119">
        <f>'2018'!S249</f>
        <v>0</v>
      </c>
      <c r="P35" s="119">
        <f>'2018'!T249</f>
      </c>
      <c r="Q35" s="119">
        <f>'2018'!U249</f>
        <v>434</v>
      </c>
      <c r="R35" s="119">
        <f>'2018'!V249</f>
        <v>0</v>
      </c>
      <c r="S35" s="106">
        <f>'2018'!W249</f>
        <v>0</v>
      </c>
      <c r="T35" s="106">
        <f>'2018'!X249</f>
        <v>1047.46</v>
      </c>
      <c r="U35" s="119">
        <f>'2018'!Y249</f>
        <v>437</v>
      </c>
      <c r="V35" s="119">
        <f>'2018'!Z249</f>
        <v>3</v>
      </c>
      <c r="W35" s="106">
        <f>'2018'!AA249</f>
        <v>7.47</v>
      </c>
      <c r="X35" s="106">
        <f>'2018'!AB249</f>
      </c>
      <c r="Y35" s="119">
        <f>'2018'!AC249</f>
        <v>518</v>
      </c>
      <c r="Z35" s="119">
        <f>'2018'!AD249</f>
        <v>81</v>
      </c>
      <c r="AA35" s="106">
        <f>'2018'!AE249</f>
        <v>201.69</v>
      </c>
      <c r="AB35" s="106">
        <f>'2018'!AF249</f>
      </c>
      <c r="AC35" s="119">
        <f>'2018'!AG249</f>
        <v>612</v>
      </c>
      <c r="AD35" s="119">
        <f>'2018'!AH249</f>
        <v>94</v>
      </c>
      <c r="AE35" s="106">
        <f>'2018'!AI249</f>
        <v>234.06</v>
      </c>
      <c r="AF35" s="106">
        <f>'2018'!AJ249</f>
      </c>
      <c r="AG35" s="119">
        <f>'2018'!AK249</f>
        <v>712</v>
      </c>
      <c r="AH35" s="119">
        <f>'2018'!AL249</f>
        <v>100</v>
      </c>
      <c r="AI35" s="106">
        <f>'2018'!AM249</f>
        <v>249</v>
      </c>
      <c r="AJ35" s="106">
        <f>'2018'!AN249</f>
        <v>443.22</v>
      </c>
      <c r="AK35" s="119">
        <f>'2018'!AO249</f>
        <v>734</v>
      </c>
      <c r="AL35" s="119">
        <f>'2018'!AP249</f>
        <v>22</v>
      </c>
      <c r="AM35" s="106">
        <f>'2018'!AQ249</f>
        <v>54.78</v>
      </c>
      <c r="AN35" s="106">
        <f>'2018'!AR249</f>
      </c>
      <c r="AO35" s="119">
        <f>'2018'!AS249</f>
        <v>743</v>
      </c>
      <c r="AP35" s="119">
        <f>'2018'!AT249</f>
        <v>9</v>
      </c>
      <c r="AQ35" s="106">
        <f>'2018'!AU249</f>
        <v>22.41</v>
      </c>
      <c r="AR35" s="106">
        <f>'2018'!AV249</f>
      </c>
      <c r="AS35" s="119">
        <f>'2018'!AW249</f>
        <v>743</v>
      </c>
      <c r="AT35" s="119">
        <f>'2018'!AX249</f>
        <v>0</v>
      </c>
      <c r="AU35" s="106">
        <f>'2018'!AY249</f>
        <v>0</v>
      </c>
      <c r="AV35" s="106">
        <f>'2018'!AZ249</f>
      </c>
      <c r="AW35" s="106"/>
      <c r="AX35" s="106"/>
      <c r="AY35" s="119">
        <f>'2018'!BA249</f>
        <v>743</v>
      </c>
      <c r="AZ35" s="119">
        <f>'2018'!BB249</f>
        <v>0</v>
      </c>
      <c r="BA35" s="106">
        <f>'2018'!BC249</f>
        <v>0</v>
      </c>
      <c r="BB35" s="106">
        <f>'2018'!BD249</f>
      </c>
      <c r="BC35" s="106"/>
      <c r="BD35" s="106"/>
      <c r="BE35" s="119">
        <f>'2018'!BE249</f>
        <v>309</v>
      </c>
      <c r="BF35" s="106">
        <f>'2018'!BF249</f>
        <v>769.41</v>
      </c>
      <c r="BG35" s="106">
        <f>'2018'!BG249</f>
        <v>1490.68</v>
      </c>
      <c r="BH35" s="106">
        <f>'2018'!BH249</f>
        <v>326.19</v>
      </c>
      <c r="BI35" s="34"/>
    </row>
    <row r="36" ht="15.75" customHeight="1" hidden="1" spans="1:61" x14ac:dyDescent="0.25">
      <c r="A36" s="14"/>
      <c r="B36" s="115">
        <v>35</v>
      </c>
      <c r="C36" s="115">
        <v>4.01</v>
      </c>
      <c r="D36" s="117" t="s">
        <v>157</v>
      </c>
      <c r="E36" s="119">
        <f>'2018'!I257</f>
        <v>33</v>
      </c>
      <c r="F36" s="119">
        <f>'2018'!J257</f>
        <v>0</v>
      </c>
      <c r="G36" s="106">
        <f>'2018'!K257</f>
        <v>0</v>
      </c>
      <c r="H36" s="106">
        <f>'2018'!L257</f>
      </c>
      <c r="I36" s="119">
        <f>'2018'!M257</f>
        <v>33</v>
      </c>
      <c r="J36" s="119">
        <f>'2018'!N257</f>
        <v>0</v>
      </c>
      <c r="K36" s="106">
        <f>'2018'!O257</f>
        <v>0</v>
      </c>
      <c r="L36" s="106">
        <f>'2018'!P257</f>
      </c>
      <c r="M36" s="119">
        <f>'2018'!Q257</f>
        <v>33</v>
      </c>
      <c r="N36" s="119">
        <f>'2018'!R257</f>
        <v>0</v>
      </c>
      <c r="O36" s="119">
        <f>'2018'!S257</f>
        <v>0</v>
      </c>
      <c r="P36" s="119">
        <f>'2018'!T257</f>
      </c>
      <c r="Q36" s="119">
        <f>'2018'!U257</f>
        <v>33</v>
      </c>
      <c r="R36" s="119">
        <f>'2018'!V257</f>
        <v>0</v>
      </c>
      <c r="S36" s="106">
        <f>'2018'!W257</f>
        <v>0</v>
      </c>
      <c r="T36" s="106">
        <f>'2018'!X257</f>
        <v>7.47</v>
      </c>
      <c r="U36" s="119">
        <f>'2018'!Y257</f>
        <v>33</v>
      </c>
      <c r="V36" s="119">
        <f>'2018'!Z257</f>
        <v>0</v>
      </c>
      <c r="W36" s="106">
        <f>'2018'!AA257</f>
        <v>0</v>
      </c>
      <c r="X36" s="106">
        <f>'2018'!AB257</f>
      </c>
      <c r="Y36" s="119">
        <f>'2018'!AC257</f>
        <v>33</v>
      </c>
      <c r="Z36" s="119">
        <f>'2018'!AD257</f>
        <v>0</v>
      </c>
      <c r="AA36" s="106">
        <f>'2018'!AE257</f>
        <v>0</v>
      </c>
      <c r="AB36" s="106">
        <f>'2018'!AF257</f>
      </c>
      <c r="AC36" s="119">
        <f>'2018'!AG257</f>
        <v>33</v>
      </c>
      <c r="AD36" s="119">
        <f>'2018'!AH257</f>
        <v>0</v>
      </c>
      <c r="AE36" s="106">
        <f>'2018'!AI257</f>
        <v>0</v>
      </c>
      <c r="AF36" s="106">
        <f>'2018'!AJ257</f>
      </c>
      <c r="AG36" s="119">
        <f>'2018'!AK257</f>
        <v>33</v>
      </c>
      <c r="AH36" s="119">
        <f>'2018'!AL257</f>
        <v>0</v>
      </c>
      <c r="AI36" s="106">
        <f>'2018'!AM257</f>
        <v>0</v>
      </c>
      <c r="AJ36" s="106">
        <f>'2018'!AN257</f>
      </c>
      <c r="AK36" s="119">
        <f>'2018'!AO257</f>
        <v>33</v>
      </c>
      <c r="AL36" s="119">
        <f>'2018'!AP257</f>
        <v>0</v>
      </c>
      <c r="AM36" s="106">
        <f>'2018'!AQ257</f>
        <v>0</v>
      </c>
      <c r="AN36" s="106">
        <f>'2018'!AR257</f>
      </c>
      <c r="AO36" s="119">
        <f>'2018'!AS257</f>
        <v>33</v>
      </c>
      <c r="AP36" s="119">
        <f>'2018'!AT257</f>
        <v>0</v>
      </c>
      <c r="AQ36" s="106">
        <f>'2018'!AU257</f>
        <v>0</v>
      </c>
      <c r="AR36" s="106">
        <f>'2018'!AV257</f>
      </c>
      <c r="AS36" s="119">
        <f>'2018'!AW257</f>
        <v>33</v>
      </c>
      <c r="AT36" s="119">
        <f>'2018'!AX257</f>
        <v>0</v>
      </c>
      <c r="AU36" s="106">
        <f>'2018'!AY257</f>
        <v>0</v>
      </c>
      <c r="AV36" s="106">
        <f>'2018'!AZ257</f>
      </c>
      <c r="AW36" s="106"/>
      <c r="AX36" s="106"/>
      <c r="AY36" s="119">
        <f>'2018'!BA257</f>
        <v>33</v>
      </c>
      <c r="AZ36" s="119">
        <f>'2018'!BB257</f>
        <v>0</v>
      </c>
      <c r="BA36" s="106">
        <f>'2018'!BC257</f>
        <v>0</v>
      </c>
      <c r="BB36" s="106">
        <f>'2018'!BD257</f>
      </c>
      <c r="BC36" s="106"/>
      <c r="BD36" s="106"/>
      <c r="BE36" s="119">
        <f>'2018'!BE257</f>
        <v>0</v>
      </c>
      <c r="BF36" s="106">
        <f>'2018'!BF257</f>
        <v>0</v>
      </c>
      <c r="BG36" s="106">
        <f>'2018'!BG257</f>
        <v>7.47</v>
      </c>
      <c r="BH36" s="106">
        <f>'2018'!BH257</f>
        <v>0</v>
      </c>
      <c r="BI36" s="34"/>
    </row>
    <row r="37" ht="15.75" customHeight="1" hidden="1" spans="1:61" x14ac:dyDescent="0.25">
      <c r="A37" s="14"/>
      <c r="B37" s="115">
        <v>36</v>
      </c>
      <c r="C37" s="115">
        <v>4.03</v>
      </c>
      <c r="D37" s="117" t="s">
        <v>160</v>
      </c>
      <c r="E37" s="119">
        <f>'2018'!I265</f>
        <v>186</v>
      </c>
      <c r="F37" s="119">
        <f>'2018'!J265</f>
        <v>0</v>
      </c>
      <c r="G37" s="106">
        <f>'2018'!K265</f>
        <v>0</v>
      </c>
      <c r="H37" s="106">
        <f>'2018'!L265</f>
      </c>
      <c r="I37" s="119">
        <f>'2018'!M265</f>
        <v>186</v>
      </c>
      <c r="J37" s="119">
        <f>'2018'!N265</f>
        <v>0</v>
      </c>
      <c r="K37" s="106">
        <f>'2018'!O265</f>
        <v>0</v>
      </c>
      <c r="L37" s="106">
        <f>'2018'!P265</f>
      </c>
      <c r="M37" s="119">
        <f>'2018'!Q265</f>
        <v>186</v>
      </c>
      <c r="N37" s="119">
        <f>'2018'!R265</f>
        <v>0</v>
      </c>
      <c r="O37" s="119">
        <f>'2018'!S265</f>
        <v>0</v>
      </c>
      <c r="P37" s="119">
        <f>'2018'!T265</f>
      </c>
      <c r="Q37" s="119">
        <f>'2018'!U265</f>
        <v>188</v>
      </c>
      <c r="R37" s="119">
        <f>'2018'!V265</f>
        <v>2</v>
      </c>
      <c r="S37" s="106">
        <f>'2018'!W265</f>
        <v>4.98</v>
      </c>
      <c r="T37" s="106">
        <f>'2018'!X265</f>
        <v>200</v>
      </c>
      <c r="U37" s="119">
        <f>'2018'!Y265</f>
        <v>193</v>
      </c>
      <c r="V37" s="119">
        <f>'2018'!Z265</f>
        <v>5</v>
      </c>
      <c r="W37" s="106">
        <f>'2018'!AA265</f>
        <v>12.45</v>
      </c>
      <c r="X37" s="106">
        <f>'2018'!AB265</f>
      </c>
      <c r="Y37" s="119">
        <f>'2018'!AC265</f>
        <v>203</v>
      </c>
      <c r="Z37" s="119">
        <f>'2018'!AD265</f>
        <v>10</v>
      </c>
      <c r="AA37" s="106">
        <f>'2018'!AE265</f>
        <v>24.9</v>
      </c>
      <c r="AB37" s="106">
        <f>'2018'!AF265</f>
      </c>
      <c r="AC37" s="119">
        <f>'2018'!AG265</f>
        <v>213</v>
      </c>
      <c r="AD37" s="119">
        <f>'2018'!AH265</f>
        <v>10</v>
      </c>
      <c r="AE37" s="106">
        <f>'2018'!AI265</f>
        <v>24.9</v>
      </c>
      <c r="AF37" s="106">
        <f>'2018'!AJ265</f>
      </c>
      <c r="AG37" s="119">
        <f>'2018'!AK265</f>
        <v>222</v>
      </c>
      <c r="AH37" s="119">
        <f>'2018'!AL265</f>
        <v>9</v>
      </c>
      <c r="AI37" s="106">
        <f>'2018'!AM265</f>
        <v>22.41</v>
      </c>
      <c r="AJ37" s="106">
        <f>'2018'!AN265</f>
      </c>
      <c r="AK37" s="119">
        <f>'2018'!AO265</f>
        <v>235</v>
      </c>
      <c r="AL37" s="119">
        <f>'2018'!AP265</f>
        <v>13</v>
      </c>
      <c r="AM37" s="106">
        <f>'2018'!AQ265</f>
        <v>32.37</v>
      </c>
      <c r="AN37" s="106">
        <f>'2018'!AR265</f>
      </c>
      <c r="AO37" s="119">
        <f>'2018'!AS265</f>
        <v>251</v>
      </c>
      <c r="AP37" s="119">
        <f>'2018'!AT265</f>
        <v>16</v>
      </c>
      <c r="AQ37" s="106">
        <f>'2018'!AU265</f>
        <v>39.84</v>
      </c>
      <c r="AR37" s="106">
        <f>'2018'!AV265</f>
      </c>
      <c r="AS37" s="119">
        <f>'2018'!AW265</f>
        <v>251</v>
      </c>
      <c r="AT37" s="119">
        <f>'2018'!AX265</f>
        <v>0</v>
      </c>
      <c r="AU37" s="106">
        <f>'2018'!AY265</f>
        <v>0</v>
      </c>
      <c r="AV37" s="106">
        <f>'2018'!AZ265</f>
      </c>
      <c r="AW37" s="106"/>
      <c r="AX37" s="106"/>
      <c r="AY37" s="119">
        <f>'2018'!BA265</f>
        <v>251</v>
      </c>
      <c r="AZ37" s="119">
        <f>'2018'!BB265</f>
        <v>0</v>
      </c>
      <c r="BA37" s="106">
        <f>'2018'!BC265</f>
        <v>0</v>
      </c>
      <c r="BB37" s="106">
        <f>'2018'!BD265</f>
      </c>
      <c r="BC37" s="106"/>
      <c r="BD37" s="106"/>
      <c r="BE37" s="119">
        <f>'2018'!BE265</f>
        <v>65</v>
      </c>
      <c r="BF37" s="106">
        <f>'2018'!BF265</f>
        <v>161.85</v>
      </c>
      <c r="BG37" s="106">
        <f>'2018'!BG265</f>
        <v>200</v>
      </c>
      <c r="BH37" s="106">
        <f>'2018'!BH265</f>
        <v>48.4</v>
      </c>
      <c r="BI37" s="34"/>
    </row>
    <row r="38" ht="15.75" customHeight="1" hidden="1" spans="1:61" x14ac:dyDescent="0.25">
      <c r="A38" s="14"/>
      <c r="B38" s="115">
        <v>37</v>
      </c>
      <c r="C38" s="115">
        <v>4.06</v>
      </c>
      <c r="D38" s="117" t="s">
        <v>162</v>
      </c>
      <c r="E38" s="119">
        <f>'2018'!I273</f>
      </c>
      <c r="F38" s="119">
        <f>'2018'!J273</f>
      </c>
      <c r="G38" s="106">
        <f>'2018'!K273</f>
      </c>
      <c r="H38" s="106">
        <f>'2018'!L273</f>
      </c>
      <c r="I38" s="119">
        <f>'2018'!M273</f>
      </c>
      <c r="J38" s="119">
        <f>'2018'!N273</f>
      </c>
      <c r="K38" s="106">
        <f>'2018'!O273</f>
      </c>
      <c r="L38" s="106">
        <f>'2018'!P273</f>
      </c>
      <c r="M38" s="119">
        <f>'2018'!Q273</f>
      </c>
      <c r="N38" s="119">
        <f>'2018'!R273</f>
      </c>
      <c r="O38" s="119">
        <f>'2018'!S273</f>
      </c>
      <c r="P38" s="119">
        <f>'2018'!T273</f>
      </c>
      <c r="Q38" s="119">
        <f>'2018'!U273</f>
      </c>
      <c r="R38" s="119">
        <f>'2018'!V273</f>
      </c>
      <c r="S38" s="106">
        <f>'2018'!W273</f>
      </c>
      <c r="T38" s="106">
        <f>'2018'!X273</f>
      </c>
      <c r="U38" s="119">
        <f>'2018'!Y273</f>
      </c>
      <c r="V38" s="119">
        <f>'2018'!Z273</f>
        <v>0</v>
      </c>
      <c r="W38" s="106">
        <f>'2018'!AA273</f>
        <v>0</v>
      </c>
      <c r="X38" s="106">
        <f>'2018'!AB273</f>
      </c>
      <c r="Y38" s="119">
        <f>'2018'!AC273</f>
      </c>
      <c r="Z38" s="119">
        <f>'2018'!AD273</f>
        <v>0</v>
      </c>
      <c r="AA38" s="106">
        <f>'2018'!AE273</f>
        <v>0</v>
      </c>
      <c r="AB38" s="106">
        <f>'2018'!AF273</f>
      </c>
      <c r="AC38" s="119">
        <f>'2018'!AG273</f>
      </c>
      <c r="AD38" s="119">
        <f>'2018'!AH273</f>
        <v>0</v>
      </c>
      <c r="AE38" s="106">
        <f>'2018'!AI273</f>
        <v>0</v>
      </c>
      <c r="AF38" s="106">
        <f>'2018'!AJ273</f>
      </c>
      <c r="AG38" s="119">
        <f>'2018'!AK273</f>
      </c>
      <c r="AH38" s="119">
        <f>'2018'!AL273</f>
        <v>0</v>
      </c>
      <c r="AI38" s="106">
        <f>'2018'!AM273</f>
        <v>0</v>
      </c>
      <c r="AJ38" s="106">
        <f>'2018'!AN273</f>
      </c>
      <c r="AK38" s="119">
        <f>'2018'!AO273</f>
      </c>
      <c r="AL38" s="119">
        <f>'2018'!AP273</f>
      </c>
      <c r="AM38" s="106">
        <f>'2018'!AQ273</f>
        <v>0</v>
      </c>
      <c r="AN38" s="106">
        <f>'2018'!AR273</f>
      </c>
      <c r="AO38" s="119">
        <f>'2018'!AS273</f>
      </c>
      <c r="AP38" s="119">
        <f>'2018'!AT273</f>
      </c>
      <c r="AQ38" s="106">
        <f>'2018'!AU273</f>
        <v>0</v>
      </c>
      <c r="AR38" s="106">
        <f>'2018'!AV273</f>
      </c>
      <c r="AS38" s="119">
        <f>'2018'!AW273</f>
      </c>
      <c r="AT38" s="119">
        <f>'2018'!AX273</f>
      </c>
      <c r="AU38" s="106">
        <f>'2018'!AY273</f>
        <v>0</v>
      </c>
      <c r="AV38" s="106">
        <f>'2018'!AZ273</f>
      </c>
      <c r="AW38" s="106"/>
      <c r="AX38" s="106"/>
      <c r="AY38" s="119">
        <f>'2018'!BA273</f>
      </c>
      <c r="AZ38" s="119">
        <f>'2018'!BB273</f>
      </c>
      <c r="BA38" s="106">
        <f>'2018'!BC273</f>
        <v>0</v>
      </c>
      <c r="BB38" s="106">
        <f>'2018'!BD273</f>
      </c>
      <c r="BC38" s="106"/>
      <c r="BD38" s="106"/>
      <c r="BE38" s="119">
        <f>'2018'!BE273</f>
        <v>0</v>
      </c>
      <c r="BF38" s="106">
        <f>'2018'!BF273</f>
        <v>0</v>
      </c>
      <c r="BG38" s="106">
        <f>'2018'!BG273</f>
        <v>0</v>
      </c>
      <c r="BH38" s="106">
        <f>'2018'!BH273</f>
        <v>0</v>
      </c>
      <c r="BI38" s="34"/>
    </row>
    <row r="39" ht="15.75" customHeight="1" hidden="1" spans="1:61" x14ac:dyDescent="0.25">
      <c r="A39" s="14"/>
      <c r="B39" s="115">
        <v>38</v>
      </c>
      <c r="C39" s="115">
        <v>4.34</v>
      </c>
      <c r="D39" s="117" t="s">
        <v>167</v>
      </c>
      <c r="E39" s="119">
        <f>'2018'!I281</f>
        <v>17</v>
      </c>
      <c r="F39" s="119">
        <f>'2018'!J281</f>
        <v>0</v>
      </c>
      <c r="G39" s="106">
        <f>'2018'!K281</f>
        <v>0</v>
      </c>
      <c r="H39" s="106">
        <f>'2018'!L281</f>
      </c>
      <c r="I39" s="119">
        <f>'2018'!M281</f>
        <v>17</v>
      </c>
      <c r="J39" s="119">
        <f>'2018'!N281</f>
        <v>0</v>
      </c>
      <c r="K39" s="106">
        <f>'2018'!O281</f>
        <v>0</v>
      </c>
      <c r="L39" s="106">
        <f>'2018'!P281</f>
      </c>
      <c r="M39" s="119">
        <f>'2018'!Q281</f>
        <v>17</v>
      </c>
      <c r="N39" s="119">
        <f>'2018'!R281</f>
        <v>0</v>
      </c>
      <c r="O39" s="119">
        <f>'2018'!S281</f>
        <v>0</v>
      </c>
      <c r="P39" s="119">
        <f>'2018'!T281</f>
      </c>
      <c r="Q39" s="119">
        <f>'2018'!U281</f>
        <v>17</v>
      </c>
      <c r="R39" s="119">
        <f>'2018'!V281</f>
        <v>0</v>
      </c>
      <c r="S39" s="106">
        <f>'2018'!W281</f>
        <v>0</v>
      </c>
      <c r="T39" s="106">
        <f>'2018'!X281</f>
      </c>
      <c r="U39" s="119">
        <f>'2018'!Y281</f>
        <v>17</v>
      </c>
      <c r="V39" s="119">
        <f>'2018'!Z281</f>
        <v>0</v>
      </c>
      <c r="W39" s="106">
        <f>'2018'!AA281</f>
        <v>0</v>
      </c>
      <c r="X39" s="106">
        <f>'2018'!AB281</f>
      </c>
      <c r="Y39" s="119">
        <f>'2018'!AC281</f>
        <v>17</v>
      </c>
      <c r="Z39" s="119">
        <f>'2018'!AD281</f>
        <v>0</v>
      </c>
      <c r="AA39" s="106">
        <f>'2018'!AE281</f>
        <v>0</v>
      </c>
      <c r="AB39" s="106">
        <f>'2018'!AF281</f>
      </c>
      <c r="AC39" s="119">
        <f>'2018'!AG281</f>
        <v>17</v>
      </c>
      <c r="AD39" s="119">
        <f>'2018'!AH281</f>
        <v>0</v>
      </c>
      <c r="AE39" s="106">
        <f>'2018'!AI281</f>
        <v>0</v>
      </c>
      <c r="AF39" s="106">
        <f>'2018'!AJ281</f>
      </c>
      <c r="AG39" s="119">
        <f>'2018'!AK281</f>
        <v>17</v>
      </c>
      <c r="AH39" s="119">
        <f>'2018'!AL281</f>
        <v>0</v>
      </c>
      <c r="AI39" s="106">
        <f>'2018'!AM281</f>
        <v>0</v>
      </c>
      <c r="AJ39" s="106">
        <f>'2018'!AN281</f>
      </c>
      <c r="AK39" s="119">
        <f>'2018'!AO281</f>
        <v>17</v>
      </c>
      <c r="AL39" s="119">
        <f>'2018'!AP281</f>
        <v>0</v>
      </c>
      <c r="AM39" s="106">
        <f>'2018'!AQ281</f>
        <v>0</v>
      </c>
      <c r="AN39" s="106">
        <f>'2018'!AR281</f>
      </c>
      <c r="AO39" s="119">
        <f>'2018'!AS281</f>
        <v>17</v>
      </c>
      <c r="AP39" s="119">
        <f>'2018'!AT281</f>
        <v>0</v>
      </c>
      <c r="AQ39" s="106">
        <f>'2018'!AU281</f>
        <v>0</v>
      </c>
      <c r="AR39" s="106">
        <f>'2018'!AV281</f>
      </c>
      <c r="AS39" s="119">
        <f>'2018'!AW281</f>
        <v>17</v>
      </c>
      <c r="AT39" s="119">
        <f>'2018'!AX281</f>
        <v>0</v>
      </c>
      <c r="AU39" s="106">
        <f>'2018'!AY281</f>
        <v>0</v>
      </c>
      <c r="AV39" s="106">
        <f>'2018'!AZ281</f>
      </c>
      <c r="AW39" s="106"/>
      <c r="AX39" s="106"/>
      <c r="AY39" s="119">
        <f>'2018'!BA281</f>
        <v>17</v>
      </c>
      <c r="AZ39" s="119">
        <f>'2018'!BB281</f>
        <v>0</v>
      </c>
      <c r="BA39" s="106">
        <f>'2018'!BC281</f>
        <v>0</v>
      </c>
      <c r="BB39" s="106">
        <f>'2018'!BD281</f>
      </c>
      <c r="BC39" s="106"/>
      <c r="BD39" s="106"/>
      <c r="BE39" s="119">
        <f>'2018'!BE281</f>
        <v>0</v>
      </c>
      <c r="BF39" s="106">
        <f>'2018'!BF281</f>
        <v>0</v>
      </c>
      <c r="BG39" s="106">
        <f>'2018'!BG281</f>
        <v>0</v>
      </c>
      <c r="BH39" s="106">
        <f>'2018'!BH281</f>
        <v>0</v>
      </c>
      <c r="BI39" s="34"/>
    </row>
    <row r="40" ht="15.75" customHeight="1" hidden="1" spans="1:61" x14ac:dyDescent="0.25">
      <c r="A40" s="21"/>
      <c r="B40" s="115">
        <v>39</v>
      </c>
      <c r="C40" s="116">
        <v>4</v>
      </c>
      <c r="D40" s="117" t="s">
        <v>169</v>
      </c>
      <c r="E40" s="119">
        <f>'2018'!I289</f>
      </c>
      <c r="F40" s="119">
        <f>'2018'!J289</f>
      </c>
      <c r="G40" s="106">
        <f>'2018'!K289</f>
      </c>
      <c r="H40" s="106">
        <f>'2018'!L289</f>
      </c>
      <c r="I40" s="119">
        <f>'2018'!M289</f>
      </c>
      <c r="J40" s="119">
        <f>'2018'!N289</f>
      </c>
      <c r="K40" s="106">
        <f>'2018'!O289</f>
      </c>
      <c r="L40" s="106">
        <f>'2018'!P289</f>
      </c>
      <c r="M40" s="119">
        <f>'2018'!Q289</f>
      </c>
      <c r="N40" s="119">
        <f>'2018'!R289</f>
      </c>
      <c r="O40" s="119">
        <f>'2018'!S289</f>
      </c>
      <c r="P40" s="119">
        <f>'2018'!T289</f>
      </c>
      <c r="Q40" s="119">
        <f>'2018'!U289</f>
      </c>
      <c r="R40" s="119">
        <f>'2018'!V289</f>
      </c>
      <c r="S40" s="106">
        <f>'2018'!W289</f>
      </c>
      <c r="T40" s="106">
        <f>'2018'!X289</f>
      </c>
      <c r="U40" s="119">
        <f>'2018'!Y289</f>
      </c>
      <c r="V40" s="119">
        <f>'2018'!Z289</f>
        <v>0</v>
      </c>
      <c r="W40" s="106">
        <f>'2018'!AA289</f>
        <v>0</v>
      </c>
      <c r="X40" s="106">
        <f>'2018'!AB289</f>
      </c>
      <c r="Y40" s="119">
        <f>'2018'!AC289</f>
      </c>
      <c r="Z40" s="119">
        <f>'2018'!AD289</f>
        <v>0</v>
      </c>
      <c r="AA40" s="106">
        <f>'2018'!AE289</f>
        <v>0</v>
      </c>
      <c r="AB40" s="106">
        <f>'2018'!AF289</f>
      </c>
      <c r="AC40" s="119">
        <f>'2018'!AG289</f>
      </c>
      <c r="AD40" s="119">
        <f>'2018'!AH289</f>
        <v>0</v>
      </c>
      <c r="AE40" s="106">
        <f>'2018'!AI289</f>
        <v>0</v>
      </c>
      <c r="AF40" s="106">
        <f>'2018'!AJ289</f>
      </c>
      <c r="AG40" s="119">
        <f>'2018'!AK289</f>
      </c>
      <c r="AH40" s="119">
        <f>'2018'!AL289</f>
        <v>0</v>
      </c>
      <c r="AI40" s="106">
        <f>'2018'!AM289</f>
        <v>0</v>
      </c>
      <c r="AJ40" s="106">
        <f>'2018'!AN289</f>
      </c>
      <c r="AK40" s="119">
        <f>'2018'!AO289</f>
      </c>
      <c r="AL40" s="119">
        <f>'2018'!AP289</f>
      </c>
      <c r="AM40" s="106">
        <f>'2018'!AQ289</f>
        <v>0</v>
      </c>
      <c r="AN40" s="106">
        <f>'2018'!AR289</f>
      </c>
      <c r="AO40" s="119">
        <f>'2018'!AS289</f>
      </c>
      <c r="AP40" s="119">
        <f>'2018'!AT289</f>
      </c>
      <c r="AQ40" s="106">
        <f>'2018'!AU289</f>
        <v>0</v>
      </c>
      <c r="AR40" s="106">
        <f>'2018'!AV289</f>
      </c>
      <c r="AS40" s="119">
        <f>'2018'!AW289</f>
      </c>
      <c r="AT40" s="119">
        <f>'2018'!AX289</f>
      </c>
      <c r="AU40" s="106">
        <f>'2018'!AY289</f>
        <v>0</v>
      </c>
      <c r="AV40" s="106">
        <f>'2018'!AZ289</f>
      </c>
      <c r="AW40" s="106"/>
      <c r="AX40" s="106"/>
      <c r="AY40" s="119">
        <f>'2018'!BA289</f>
      </c>
      <c r="AZ40" s="119">
        <f>'2018'!BB289</f>
      </c>
      <c r="BA40" s="106">
        <f>'2018'!BC289</f>
        <v>0</v>
      </c>
      <c r="BB40" s="106">
        <f>'2018'!BD289</f>
      </c>
      <c r="BC40" s="106"/>
      <c r="BD40" s="106"/>
      <c r="BE40" s="119">
        <f>'2018'!BE289</f>
        <v>0</v>
      </c>
      <c r="BF40" s="106">
        <f>'2018'!BF289</f>
        <v>0</v>
      </c>
      <c r="BG40" s="106">
        <f>'2018'!BG289</f>
        <v>0</v>
      </c>
      <c r="BH40" s="106">
        <f>'2018'!BH289</f>
        <v>0</v>
      </c>
      <c r="BI40" s="34"/>
    </row>
    <row r="41" ht="15.75" customHeight="1" spans="1:62" x14ac:dyDescent="0.25">
      <c r="A41" s="114" t="s">
        <v>173</v>
      </c>
      <c r="B41" s="125">
        <v>40</v>
      </c>
      <c r="C41" s="115">
        <v>4.92</v>
      </c>
      <c r="D41" s="117" t="s">
        <v>174</v>
      </c>
      <c r="E41" s="119">
        <f>'2018'!I297</f>
        <v>16082</v>
      </c>
      <c r="F41" s="119">
        <f>'2018'!J297</f>
        <v>1688</v>
      </c>
      <c r="G41" s="106">
        <f>'2018'!K297</f>
        <v>4203.12</v>
      </c>
      <c r="H41" s="106">
        <f>'2018'!L297</f>
        <v>4203.12</v>
      </c>
      <c r="I41" s="119">
        <f>'2018'!M297</f>
        <v>17130</v>
      </c>
      <c r="J41" s="119">
        <f>'2018'!N297</f>
        <v>1048</v>
      </c>
      <c r="K41" s="106">
        <f>'2018'!O297</f>
        <v>2609.52</v>
      </c>
      <c r="L41" s="106">
        <f>'2018'!P297</f>
        <v>2609.52</v>
      </c>
      <c r="M41" s="119">
        <f>'2018'!Q297</f>
        <v>18046</v>
      </c>
      <c r="N41" s="119">
        <f>'2018'!R297</f>
        <v>916</v>
      </c>
      <c r="O41" s="119">
        <f>'2018'!S297</f>
        <v>2280.84</v>
      </c>
      <c r="P41" s="119">
        <f>'2018'!T297</f>
      </c>
      <c r="Q41" s="119">
        <f>'2018'!U297</f>
        <v>19043</v>
      </c>
      <c r="R41" s="119">
        <f>'2018'!V297</f>
        <v>997</v>
      </c>
      <c r="S41" s="106">
        <f>'2018'!W297</f>
        <v>2482.53</v>
      </c>
      <c r="T41" s="106">
        <f>'2018'!X297</f>
        <v>5000</v>
      </c>
      <c r="U41" s="119">
        <f>'2018'!Y297</f>
        <v>19337</v>
      </c>
      <c r="V41" s="119">
        <f>'2018'!Z297</f>
        <v>294</v>
      </c>
      <c r="W41" s="106">
        <f>'2018'!AA297</f>
        <v>732.06</v>
      </c>
      <c r="X41" s="106">
        <f>'2018'!AB297</f>
        <v>495.43</v>
      </c>
      <c r="Y41" s="119">
        <f>'2018'!AC297</f>
        <v>19624</v>
      </c>
      <c r="Z41" s="119">
        <f>'2018'!AD297</f>
        <v>287</v>
      </c>
      <c r="AA41" s="106">
        <f>'2018'!AE297</f>
        <v>714.63</v>
      </c>
      <c r="AB41" s="106">
        <f>'2018'!AF297</f>
        <v>0</v>
      </c>
      <c r="AC41" s="119">
        <f>'2018'!AG297</f>
        <v>19815</v>
      </c>
      <c r="AD41" s="119">
        <f>'2018'!AH297</f>
        <v>191</v>
      </c>
      <c r="AE41" s="106">
        <f>'2018'!AI297</f>
        <v>475.59</v>
      </c>
      <c r="AF41" s="106">
        <f>'2018'!AJ297</f>
        <v>714.63</v>
      </c>
      <c r="AG41" s="119">
        <f>'2018'!AK297</f>
        <v>20075</v>
      </c>
      <c r="AH41" s="119">
        <f>'2018'!AL297</f>
        <v>260</v>
      </c>
      <c r="AI41" s="106">
        <f>'2018'!AM297</f>
        <v>647.4</v>
      </c>
      <c r="AJ41" s="106">
        <f>'2018'!AN297</f>
        <v>475.59</v>
      </c>
      <c r="AK41" s="119">
        <f>'2018'!AO297</f>
        <v>20471</v>
      </c>
      <c r="AL41" s="119">
        <f>'2018'!AP297</f>
        <v>396</v>
      </c>
      <c r="AM41" s="106">
        <f>'2018'!AQ297</f>
        <v>986.04</v>
      </c>
      <c r="AN41" s="106">
        <f>'2018'!AR297</f>
      </c>
      <c r="AO41" s="119">
        <f>'2018'!AS297</f>
        <v>20979</v>
      </c>
      <c r="AP41" s="119">
        <f>'2018'!AT297</f>
        <v>508</v>
      </c>
      <c r="AQ41" s="106">
        <f>'2018'!AU297</f>
        <v>1264.92</v>
      </c>
      <c r="AR41" s="106">
        <f>'2018'!AV297</f>
      </c>
      <c r="AS41" s="126">
        <f>'2018'!AW297</f>
        <v>21274</v>
      </c>
      <c r="AT41" s="119">
        <f>'2018'!AX297</f>
        <v>295</v>
      </c>
      <c r="AU41" s="106">
        <f>'2018'!AY297</f>
        <v>734.55</v>
      </c>
      <c r="AV41" s="106">
        <f>'2018'!AZ297</f>
        <v>3000</v>
      </c>
      <c r="AW41" s="119">
        <v>155</v>
      </c>
      <c r="AX41" s="106">
        <f>AW41*$AX$2</f>
        <v>385.95</v>
      </c>
      <c r="AY41" s="119">
        <f>'2018'!BA297</f>
        <v>21986</v>
      </c>
      <c r="AZ41" s="119">
        <f>'2018'!BB297</f>
        <v>712</v>
      </c>
      <c r="BA41" s="106">
        <f>'2018'!BC297</f>
        <v>1772.88</v>
      </c>
      <c r="BB41" s="106">
        <f>'2018'!BD297</f>
        <v>1385.95</v>
      </c>
      <c r="BC41" s="106"/>
      <c r="BD41" s="106"/>
      <c r="BE41" s="119">
        <f>'2018'!BE297</f>
        <v>7592</v>
      </c>
      <c r="BF41" s="106">
        <f>'2018'!BF297</f>
        <v>18904.08</v>
      </c>
      <c r="BG41" s="106">
        <f>'2018'!BG297</f>
        <v>17884.24</v>
      </c>
      <c r="BH41" s="106">
        <f>'2018'!BH297</f>
        <v>1019.84</v>
      </c>
      <c r="BI41" s="106">
        <f>AX41+BC41</f>
        <v>385.95</v>
      </c>
      <c r="BJ41" s="106">
        <f>BH41+AX41</f>
        <v>1405.79</v>
      </c>
    </row>
    <row r="42" ht="15.75" customHeight="1" hidden="1" spans="1:61" x14ac:dyDescent="0.25">
      <c r="A42" s="14"/>
      <c r="B42" s="115">
        <v>41</v>
      </c>
      <c r="C42" s="115">
        <v>4.87</v>
      </c>
      <c r="D42" s="117" t="s">
        <v>177</v>
      </c>
      <c r="E42" s="119">
        <f>'2018'!I305</f>
      </c>
      <c r="F42" s="119">
        <f>'2018'!J305</f>
      </c>
      <c r="G42" s="106">
        <f>'2018'!K305</f>
      </c>
      <c r="H42" s="106">
        <f>'2018'!L305</f>
      </c>
      <c r="I42" s="119">
        <f>'2018'!M305</f>
      </c>
      <c r="J42" s="119">
        <f>'2018'!N305</f>
      </c>
      <c r="K42" s="106">
        <f>'2018'!O305</f>
      </c>
      <c r="L42" s="106">
        <f>'2018'!P305</f>
      </c>
      <c r="M42" s="119">
        <f>'2018'!Q305</f>
      </c>
      <c r="N42" s="119">
        <f>'2018'!R305</f>
      </c>
      <c r="O42" s="119">
        <f>'2018'!S305</f>
      </c>
      <c r="P42" s="119">
        <f>'2018'!T305</f>
      </c>
      <c r="Q42" s="119">
        <f>'2018'!U305</f>
        <v>2</v>
      </c>
      <c r="R42" s="119">
        <f>'2018'!V305</f>
        <v>0</v>
      </c>
      <c r="S42" s="106">
        <f>'2018'!W305</f>
        <v>0</v>
      </c>
      <c r="T42" s="106">
        <f>'2018'!X305</f>
      </c>
      <c r="U42" s="119">
        <f>'2018'!Y305</f>
        <v>2</v>
      </c>
      <c r="V42" s="119">
        <f>'2018'!Z305</f>
        <v>0</v>
      </c>
      <c r="W42" s="106">
        <f>'2018'!AA305</f>
        <v>0</v>
      </c>
      <c r="X42" s="106">
        <f>'2018'!AB305</f>
      </c>
      <c r="Y42" s="119">
        <f>'2018'!AC305</f>
        <v>2</v>
      </c>
      <c r="Z42" s="119">
        <f>'2018'!AD305</f>
        <v>0</v>
      </c>
      <c r="AA42" s="106">
        <f>'2018'!AE305</f>
        <v>0</v>
      </c>
      <c r="AB42" s="106">
        <f>'2018'!AF305</f>
      </c>
      <c r="AC42" s="119">
        <f>'2018'!AG305</f>
        <v>3</v>
      </c>
      <c r="AD42" s="119">
        <f>'2018'!AH305</f>
        <v>1</v>
      </c>
      <c r="AE42" s="106">
        <f>'2018'!AI305</f>
        <v>2.49</v>
      </c>
      <c r="AF42" s="106">
        <f>'2018'!AJ305</f>
      </c>
      <c r="AG42" s="119">
        <f>'2018'!AK305</f>
        <v>4</v>
      </c>
      <c r="AH42" s="119">
        <f>'2018'!AL305</f>
        <v>1</v>
      </c>
      <c r="AI42" s="106">
        <f>'2018'!AM305</f>
        <v>2.49</v>
      </c>
      <c r="AJ42" s="106">
        <f>'2018'!AN305</f>
        <v>4.98</v>
      </c>
      <c r="AK42" s="119">
        <f>'2018'!AO305</f>
        <v>17</v>
      </c>
      <c r="AL42" s="119">
        <f>'2018'!AP305</f>
        <v>13</v>
      </c>
      <c r="AM42" s="106">
        <f>'2018'!AQ305</f>
        <v>32.37</v>
      </c>
      <c r="AN42" s="106">
        <f>'2018'!AR305</f>
      </c>
      <c r="AO42" s="119">
        <f>'2018'!AS305</f>
        <v>88</v>
      </c>
      <c r="AP42" s="119">
        <f>'2018'!AT305</f>
        <v>71</v>
      </c>
      <c r="AQ42" s="106">
        <f>'2018'!AU305</f>
        <v>176.79</v>
      </c>
      <c r="AR42" s="106">
        <f>'2018'!AV305</f>
      </c>
      <c r="AS42" s="119">
        <f>'2018'!AW305</f>
        <v>88</v>
      </c>
      <c r="AT42" s="119">
        <f>'2018'!AX305</f>
        <v>0</v>
      </c>
      <c r="AU42" s="106">
        <f>'2018'!AY305</f>
        <v>0</v>
      </c>
      <c r="AV42" s="106">
        <f>'2018'!AZ305</f>
      </c>
      <c r="AW42" s="106"/>
      <c r="AX42" s="106"/>
      <c r="AY42" s="119">
        <f>'2018'!BA305</f>
        <v>88</v>
      </c>
      <c r="AZ42" s="119">
        <f>'2018'!BB305</f>
        <v>0</v>
      </c>
      <c r="BA42" s="106">
        <f>'2018'!BC305</f>
        <v>0</v>
      </c>
      <c r="BB42" s="106">
        <f>'2018'!BD305</f>
      </c>
      <c r="BC42" s="106"/>
      <c r="BD42" s="106"/>
      <c r="BE42" s="119">
        <f>'2018'!BE305</f>
        <v>86</v>
      </c>
      <c r="BF42" s="106">
        <f>'2018'!BF305</f>
        <v>214.14</v>
      </c>
      <c r="BG42" s="106">
        <f>'2018'!BG305</f>
        <v>4.98</v>
      </c>
      <c r="BH42" s="106">
        <f>'2018'!BH305</f>
        <v>209.16</v>
      </c>
      <c r="BI42" s="34"/>
    </row>
    <row r="43" ht="15.75" customHeight="1" hidden="1" spans="1:61" x14ac:dyDescent="0.25">
      <c r="A43" s="14"/>
      <c r="B43" s="115">
        <v>42</v>
      </c>
      <c r="C43" s="116">
        <v>4.9</v>
      </c>
      <c r="D43" s="117" t="s">
        <v>360</v>
      </c>
      <c r="E43" s="119">
        <f>'2018'!I313</f>
      </c>
      <c r="F43" s="119">
        <f>'2018'!J313</f>
      </c>
      <c r="G43" s="106">
        <f>'2018'!K313</f>
      </c>
      <c r="H43" s="106">
        <f>'2018'!L313</f>
      </c>
      <c r="I43" s="119">
        <f>'2018'!M313</f>
      </c>
      <c r="J43" s="119">
        <f>'2018'!N313</f>
      </c>
      <c r="K43" s="106">
        <f>'2018'!O313</f>
      </c>
      <c r="L43" s="106">
        <f>'2018'!P313</f>
      </c>
      <c r="M43" s="119">
        <f>'2018'!Q313</f>
      </c>
      <c r="N43" s="119">
        <f>'2018'!R313</f>
      </c>
      <c r="O43" s="119">
        <f>'2018'!S313</f>
      </c>
      <c r="P43" s="119">
        <f>'2018'!T313</f>
      </c>
      <c r="Q43" s="119">
        <f>'2018'!U313</f>
      </c>
      <c r="R43" s="119">
        <f>'2018'!V313</f>
      </c>
      <c r="S43" s="106">
        <f>'2018'!W313</f>
      </c>
      <c r="T43" s="106">
        <f>'2018'!X313</f>
      </c>
      <c r="U43" s="119">
        <f>'2018'!Y313</f>
      </c>
      <c r="V43" s="119">
        <f>'2018'!Z313</f>
        <v>0</v>
      </c>
      <c r="W43" s="106">
        <f>'2018'!AA313</f>
        <v>0</v>
      </c>
      <c r="X43" s="106">
        <f>'2018'!AB313</f>
      </c>
      <c r="Y43" s="119">
        <f>'2018'!AC313</f>
      </c>
      <c r="Z43" s="119">
        <f>'2018'!AD313</f>
        <v>0</v>
      </c>
      <c r="AA43" s="106">
        <f>'2018'!AE313</f>
        <v>0</v>
      </c>
      <c r="AB43" s="106">
        <f>'2018'!AF313</f>
      </c>
      <c r="AC43" s="119">
        <f>'2018'!AG313</f>
      </c>
      <c r="AD43" s="119">
        <f>'2018'!AH313</f>
        <v>0</v>
      </c>
      <c r="AE43" s="106">
        <f>'2018'!AI313</f>
        <v>0</v>
      </c>
      <c r="AF43" s="106">
        <f>'2018'!AJ313</f>
      </c>
      <c r="AG43" s="119">
        <f>'2018'!AK313</f>
      </c>
      <c r="AH43" s="119">
        <f>'2018'!AL313</f>
        <v>0</v>
      </c>
      <c r="AI43" s="106">
        <f>'2018'!AM313</f>
        <v>0</v>
      </c>
      <c r="AJ43" s="106">
        <f>'2018'!AN313</f>
      </c>
      <c r="AK43" s="119">
        <f>'2018'!AO313</f>
      </c>
      <c r="AL43" s="119">
        <f>'2018'!AP313</f>
      </c>
      <c r="AM43" s="106">
        <f>'2018'!AQ313</f>
        <v>0</v>
      </c>
      <c r="AN43" s="106">
        <f>'2018'!AR313</f>
      </c>
      <c r="AO43" s="119">
        <f>'2018'!AS313</f>
      </c>
      <c r="AP43" s="119">
        <f>'2018'!AT313</f>
      </c>
      <c r="AQ43" s="106">
        <f>'2018'!AU313</f>
        <v>0</v>
      </c>
      <c r="AR43" s="106">
        <f>'2018'!AV313</f>
      </c>
      <c r="AS43" s="119">
        <f>'2018'!AW313</f>
      </c>
      <c r="AT43" s="119">
        <f>'2018'!AX313</f>
      </c>
      <c r="AU43" s="106">
        <f>'2018'!AY313</f>
        <v>0</v>
      </c>
      <c r="AV43" s="106">
        <f>'2018'!AZ313</f>
      </c>
      <c r="AW43" s="106"/>
      <c r="AX43" s="106"/>
      <c r="AY43" s="119">
        <f>'2018'!BA313</f>
      </c>
      <c r="AZ43" s="119">
        <f>'2018'!BB313</f>
      </c>
      <c r="BA43" s="106">
        <f>'2018'!BC313</f>
        <v>0</v>
      </c>
      <c r="BB43" s="106">
        <f>'2018'!BD313</f>
      </c>
      <c r="BC43" s="106"/>
      <c r="BD43" s="106"/>
      <c r="BE43" s="119">
        <f>'2018'!BE313</f>
        <v>0</v>
      </c>
      <c r="BF43" s="106">
        <f>'2018'!BF313</f>
        <v>0</v>
      </c>
      <c r="BG43" s="106">
        <f>'2018'!BG313</f>
        <v>0</v>
      </c>
      <c r="BH43" s="106">
        <f>'2018'!BH313</f>
        <v>0</v>
      </c>
      <c r="BI43" s="34"/>
    </row>
    <row r="44" ht="15.75" customHeight="1" spans="1:62" x14ac:dyDescent="0.25">
      <c r="A44" s="14"/>
      <c r="B44" s="115">
        <v>43</v>
      </c>
      <c r="C44" s="115">
        <v>4.96</v>
      </c>
      <c r="D44" s="117" t="s">
        <v>185</v>
      </c>
      <c r="E44" s="119">
        <f>'2018'!I321</f>
        <v>174</v>
      </c>
      <c r="F44" s="119">
        <f>'2018'!J321</f>
        <v>0</v>
      </c>
      <c r="G44" s="106">
        <f>'2018'!K321</f>
        <v>0</v>
      </c>
      <c r="H44" s="106">
        <f>'2018'!L321</f>
      </c>
      <c r="I44" s="119">
        <f>'2018'!M321</f>
        <v>174</v>
      </c>
      <c r="J44" s="119">
        <f>'2018'!N321</f>
        <v>0</v>
      </c>
      <c r="K44" s="106">
        <f>'2018'!O321</f>
        <v>0</v>
      </c>
      <c r="L44" s="106">
        <f>'2018'!P321</f>
      </c>
      <c r="M44" s="119">
        <f>'2018'!Q321</f>
        <v>174</v>
      </c>
      <c r="N44" s="119">
        <f>'2018'!R321</f>
        <v>0</v>
      </c>
      <c r="O44" s="119">
        <f>'2018'!S321</f>
        <v>0</v>
      </c>
      <c r="P44" s="119">
        <f>'2018'!T321</f>
      </c>
      <c r="Q44" s="119">
        <f>'2018'!U321</f>
        <v>187</v>
      </c>
      <c r="R44" s="119">
        <f>'2018'!V321</f>
        <v>13</v>
      </c>
      <c r="S44" s="106">
        <f>'2018'!W321</f>
        <v>32.37</v>
      </c>
      <c r="T44" s="106">
        <f>'2018'!X321</f>
        <v>119.52</v>
      </c>
      <c r="U44" s="119">
        <f>'2018'!Y321</f>
        <v>301</v>
      </c>
      <c r="V44" s="119">
        <f>'2018'!Z321</f>
        <v>114</v>
      </c>
      <c r="W44" s="106">
        <f>'2018'!AA321</f>
        <v>283.86</v>
      </c>
      <c r="X44" s="106">
        <f>'2018'!AB321</f>
        <v>283.86</v>
      </c>
      <c r="Y44" s="119">
        <f>'2018'!AC321</f>
        <v>319</v>
      </c>
      <c r="Z44" s="119">
        <f>'2018'!AD321</f>
        <v>18</v>
      </c>
      <c r="AA44" s="106">
        <f>'2018'!AE321</f>
        <v>44.82</v>
      </c>
      <c r="AB44" s="106">
        <f>'2018'!AF321</f>
      </c>
      <c r="AC44" s="119">
        <f>'2018'!AG321</f>
        <v>335</v>
      </c>
      <c r="AD44" s="119">
        <f>'2018'!AH321</f>
        <v>16</v>
      </c>
      <c r="AE44" s="106">
        <f>'2018'!AI321</f>
        <v>39.84</v>
      </c>
      <c r="AF44" s="106">
        <f>'2018'!AJ321</f>
      </c>
      <c r="AG44" s="119">
        <f>'2018'!AK321</f>
        <v>341</v>
      </c>
      <c r="AH44" s="119">
        <f>'2018'!AL321</f>
        <v>6</v>
      </c>
      <c r="AI44" s="106">
        <f>'2018'!AM321</f>
        <v>14.94</v>
      </c>
      <c r="AJ44" s="106">
        <f>'2018'!AN321</f>
        <v>284.66</v>
      </c>
      <c r="AK44" s="119">
        <f>'2018'!AO321</f>
        <v>347</v>
      </c>
      <c r="AL44" s="119">
        <f>'2018'!AP321</f>
        <v>6</v>
      </c>
      <c r="AM44" s="106">
        <f>'2018'!AQ321</f>
        <v>14.94</v>
      </c>
      <c r="AN44" s="106">
        <f>'2018'!AR321</f>
      </c>
      <c r="AO44" s="119">
        <f>'2018'!AS321</f>
        <v>358</v>
      </c>
      <c r="AP44" s="119">
        <f>'2018'!AT321</f>
        <v>11</v>
      </c>
      <c r="AQ44" s="106">
        <f>'2018'!AU321</f>
        <v>27.39</v>
      </c>
      <c r="AR44" s="106">
        <f>'2018'!AV321</f>
      </c>
      <c r="AS44" s="126">
        <f>'2018'!AW321</f>
        <v>358</v>
      </c>
      <c r="AT44" s="119">
        <f>'2018'!AX321</f>
        <v>0</v>
      </c>
      <c r="AU44" s="106">
        <f>'2018'!AY321</f>
        <v>0</v>
      </c>
      <c r="AV44" s="106">
        <f>'2018'!AZ321</f>
      </c>
      <c r="AW44" s="106"/>
      <c r="AX44" s="106"/>
      <c r="AY44" s="119">
        <f>'2018'!BA321</f>
        <v>358</v>
      </c>
      <c r="AZ44" s="119">
        <f>'2018'!BB321</f>
        <v>0</v>
      </c>
      <c r="BA44" s="106">
        <f>'2018'!BC321</f>
        <v>0</v>
      </c>
      <c r="BB44" s="106">
        <f>'2018'!BD321</f>
      </c>
      <c r="BC44" s="106"/>
      <c r="BD44" s="106"/>
      <c r="BE44" s="119">
        <f>'2018'!BE321</f>
        <v>184</v>
      </c>
      <c r="BF44" s="106">
        <f>'2018'!BF321</f>
        <v>458.16</v>
      </c>
      <c r="BG44" s="106">
        <f>'2018'!BG321</f>
        <v>688.04</v>
      </c>
      <c r="BH44" s="106">
        <f>'2018'!BH321</f>
        <v>-142.73</v>
      </c>
      <c r="BI44" s="106"/>
      <c r="BJ44" s="106">
        <f>BH44+AX44</f>
        <v>-142.73</v>
      </c>
    </row>
    <row r="45" ht="15.75" customHeight="1" hidden="1" spans="1:61" x14ac:dyDescent="0.25">
      <c r="A45" s="14"/>
      <c r="B45" s="115">
        <v>44</v>
      </c>
      <c r="C45" s="115">
        <v>4.01</v>
      </c>
      <c r="D45" s="117" t="s">
        <v>188</v>
      </c>
      <c r="E45" s="119">
        <f>'2018'!I329</f>
      </c>
      <c r="F45" s="119">
        <f>'2018'!J329</f>
      </c>
      <c r="G45" s="106">
        <f>'2018'!K329</f>
      </c>
      <c r="H45" s="106">
        <f>'2018'!L329</f>
      </c>
      <c r="I45" s="119">
        <f>'2018'!M329</f>
      </c>
      <c r="J45" s="119">
        <f>'2018'!N329</f>
      </c>
      <c r="K45" s="106">
        <f>'2018'!O329</f>
      </c>
      <c r="L45" s="106">
        <f>'2018'!P329</f>
      </c>
      <c r="M45" s="119">
        <f>'2018'!Q329</f>
      </c>
      <c r="N45" s="119">
        <f>'2018'!R329</f>
      </c>
      <c r="O45" s="119">
        <f>'2018'!S329</f>
      </c>
      <c r="P45" s="119">
        <f>'2018'!T329</f>
      </c>
      <c r="Q45" s="119">
        <f>'2018'!U329</f>
      </c>
      <c r="R45" s="119">
        <f>'2018'!V329</f>
      </c>
      <c r="S45" s="106">
        <f>'2018'!W329</f>
      </c>
      <c r="T45" s="106">
        <f>'2018'!X329</f>
      </c>
      <c r="U45" s="119">
        <f>'2018'!Y329</f>
      </c>
      <c r="V45" s="119">
        <f>'2018'!Z329</f>
        <v>0</v>
      </c>
      <c r="W45" s="106">
        <f>'2018'!AA329</f>
        <v>0</v>
      </c>
      <c r="X45" s="106">
        <f>'2018'!AB329</f>
      </c>
      <c r="Y45" s="119">
        <f>'2018'!AC329</f>
      </c>
      <c r="Z45" s="119">
        <f>'2018'!AD329</f>
        <v>0</v>
      </c>
      <c r="AA45" s="106">
        <f>'2018'!AE329</f>
        <v>0</v>
      </c>
      <c r="AB45" s="106">
        <f>'2018'!AF329</f>
      </c>
      <c r="AC45" s="119">
        <f>'2018'!AG329</f>
      </c>
      <c r="AD45" s="119">
        <f>'2018'!AH329</f>
        <v>0</v>
      </c>
      <c r="AE45" s="106">
        <f>'2018'!AI329</f>
        <v>0</v>
      </c>
      <c r="AF45" s="106">
        <f>'2018'!AJ329</f>
      </c>
      <c r="AG45" s="119">
        <f>'2018'!AK329</f>
      </c>
      <c r="AH45" s="119">
        <f>'2018'!AL329</f>
        <v>0</v>
      </c>
      <c r="AI45" s="106">
        <f>'2018'!AM329</f>
        <v>0</v>
      </c>
      <c r="AJ45" s="106">
        <f>'2018'!AN329</f>
      </c>
      <c r="AK45" s="119">
        <f>'2018'!AO329</f>
      </c>
      <c r="AL45" s="119">
        <f>'2018'!AP329</f>
      </c>
      <c r="AM45" s="106">
        <f>'2018'!AQ329</f>
        <v>0</v>
      </c>
      <c r="AN45" s="106">
        <f>'2018'!AR329</f>
      </c>
      <c r="AO45" s="119">
        <f>'2018'!AS329</f>
      </c>
      <c r="AP45" s="119">
        <f>'2018'!AT329</f>
      </c>
      <c r="AQ45" s="106">
        <f>'2018'!AU329</f>
        <v>0</v>
      </c>
      <c r="AR45" s="106">
        <f>'2018'!AV329</f>
      </c>
      <c r="AS45" s="119">
        <f>'2018'!AW329</f>
      </c>
      <c r="AT45" s="119">
        <f>'2018'!AX329</f>
      </c>
      <c r="AU45" s="106">
        <f>'2018'!AY329</f>
        <v>0</v>
      </c>
      <c r="AV45" s="106">
        <f>'2018'!AZ329</f>
      </c>
      <c r="AW45" s="106"/>
      <c r="AX45" s="106"/>
      <c r="AY45" s="119">
        <f>'2018'!BA329</f>
      </c>
      <c r="AZ45" s="119">
        <f>'2018'!BB329</f>
      </c>
      <c r="BA45" s="106">
        <f>'2018'!BC329</f>
        <v>0</v>
      </c>
      <c r="BB45" s="106">
        <f>'2018'!BD329</f>
      </c>
      <c r="BC45" s="106"/>
      <c r="BD45" s="106"/>
      <c r="BE45" s="119">
        <f>'2018'!BE329</f>
        <v>0</v>
      </c>
      <c r="BF45" s="106">
        <f>'2018'!BF329</f>
        <v>0</v>
      </c>
      <c r="BG45" s="106">
        <f>'2018'!BG329</f>
        <v>0</v>
      </c>
      <c r="BH45" s="106">
        <f>'2018'!BH329</f>
        <v>0</v>
      </c>
      <c r="BI45" s="34"/>
    </row>
    <row r="46" ht="15.75" customHeight="1" hidden="1" spans="1:61" x14ac:dyDescent="0.25">
      <c r="A46" s="14"/>
      <c r="B46" s="115">
        <v>45</v>
      </c>
      <c r="C46" s="115">
        <v>5.04</v>
      </c>
      <c r="D46" s="117" t="s">
        <v>189</v>
      </c>
      <c r="E46" s="119">
        <f>'2018'!I337</f>
        <v>12</v>
      </c>
      <c r="F46" s="119">
        <f>'2018'!J337</f>
        <v>0</v>
      </c>
      <c r="G46" s="106">
        <f>'2018'!K337</f>
        <v>0</v>
      </c>
      <c r="H46" s="106">
        <f>'2018'!L337</f>
      </c>
      <c r="I46" s="119">
        <f>'2018'!M337</f>
        <v>12</v>
      </c>
      <c r="J46" s="119">
        <f>'2018'!N337</f>
        <v>0</v>
      </c>
      <c r="K46" s="106">
        <f>'2018'!O337</f>
        <v>0</v>
      </c>
      <c r="L46" s="106">
        <f>'2018'!P337</f>
      </c>
      <c r="M46" s="119">
        <f>'2018'!Q337</f>
        <v>12</v>
      </c>
      <c r="N46" s="119">
        <f>'2018'!R337</f>
        <v>0</v>
      </c>
      <c r="O46" s="119">
        <f>'2018'!S337</f>
        <v>0</v>
      </c>
      <c r="P46" s="119">
        <f>'2018'!T337</f>
      </c>
      <c r="Q46" s="119">
        <f>'2018'!U337</f>
        <v>12</v>
      </c>
      <c r="R46" s="119">
        <f>'2018'!V337</f>
        <v>0</v>
      </c>
      <c r="S46" s="106">
        <f>'2018'!W337</f>
        <v>0</v>
      </c>
      <c r="T46" s="106">
        <f>'2018'!X337</f>
      </c>
      <c r="U46" s="119">
        <f>'2018'!Y337</f>
        <v>12</v>
      </c>
      <c r="V46" s="119">
        <f>'2018'!Z337</f>
        <v>0</v>
      </c>
      <c r="W46" s="106">
        <f>'2018'!AA337</f>
        <v>0</v>
      </c>
      <c r="X46" s="106">
        <f>'2018'!AB337</f>
      </c>
      <c r="Y46" s="119">
        <f>'2018'!AC337</f>
        <v>12</v>
      </c>
      <c r="Z46" s="119">
        <f>'2018'!AD337</f>
        <v>0</v>
      </c>
      <c r="AA46" s="106">
        <f>'2018'!AE337</f>
        <v>0</v>
      </c>
      <c r="AB46" s="106">
        <f>'2018'!AF337</f>
      </c>
      <c r="AC46" s="119">
        <f>'2018'!AG337</f>
        <v>12</v>
      </c>
      <c r="AD46" s="119">
        <f>'2018'!AH337</f>
        <v>0</v>
      </c>
      <c r="AE46" s="106">
        <f>'2018'!AI337</f>
        <v>0</v>
      </c>
      <c r="AF46" s="106">
        <f>'2018'!AJ337</f>
      </c>
      <c r="AG46" s="119">
        <f>'2018'!AK337</f>
        <v>12</v>
      </c>
      <c r="AH46" s="119">
        <f>'2018'!AL337</f>
        <v>0</v>
      </c>
      <c r="AI46" s="106">
        <f>'2018'!AM337</f>
        <v>0</v>
      </c>
      <c r="AJ46" s="106">
        <f>'2018'!AN337</f>
      </c>
      <c r="AK46" s="119">
        <f>'2018'!AO337</f>
        <v>12</v>
      </c>
      <c r="AL46" s="119">
        <f>'2018'!AP337</f>
        <v>0</v>
      </c>
      <c r="AM46" s="106">
        <f>'2018'!AQ337</f>
        <v>0</v>
      </c>
      <c r="AN46" s="106">
        <f>'2018'!AR337</f>
      </c>
      <c r="AO46" s="119">
        <f>'2018'!AS337</f>
        <v>12</v>
      </c>
      <c r="AP46" s="119">
        <f>'2018'!AT337</f>
        <v>0</v>
      </c>
      <c r="AQ46" s="106">
        <f>'2018'!AU337</f>
        <v>0</v>
      </c>
      <c r="AR46" s="106">
        <f>'2018'!AV337</f>
      </c>
      <c r="AS46" s="119">
        <f>'2018'!AW337</f>
        <v>12</v>
      </c>
      <c r="AT46" s="119">
        <f>'2018'!AX337</f>
        <v>0</v>
      </c>
      <c r="AU46" s="106">
        <f>'2018'!AY337</f>
        <v>0</v>
      </c>
      <c r="AV46" s="106">
        <f>'2018'!AZ337</f>
      </c>
      <c r="AW46" s="106"/>
      <c r="AX46" s="106"/>
      <c r="AY46" s="119">
        <f>'2018'!BA337</f>
        <v>12</v>
      </c>
      <c r="AZ46" s="119">
        <f>'2018'!BB337</f>
        <v>0</v>
      </c>
      <c r="BA46" s="106">
        <f>'2018'!BC337</f>
        <v>0</v>
      </c>
      <c r="BB46" s="106">
        <f>'2018'!BD337</f>
      </c>
      <c r="BC46" s="106"/>
      <c r="BD46" s="106"/>
      <c r="BE46" s="119">
        <f>'2018'!BE337</f>
        <v>0</v>
      </c>
      <c r="BF46" s="106">
        <f>'2018'!BF337</f>
        <v>0</v>
      </c>
      <c r="BG46" s="106">
        <f>'2018'!BG337</f>
        <v>0</v>
      </c>
      <c r="BH46" s="106">
        <f>'2018'!BH337</f>
        <v>0</v>
      </c>
      <c r="BI46" s="34"/>
    </row>
    <row r="47" ht="15.75" customHeight="1" hidden="1" spans="1:61" x14ac:dyDescent="0.25">
      <c r="A47" s="14"/>
      <c r="B47" s="115">
        <v>46</v>
      </c>
      <c r="C47" s="116">
        <v>4</v>
      </c>
      <c r="D47" s="117" t="s">
        <v>188</v>
      </c>
      <c r="E47" s="119">
        <f>'2018'!I345</f>
        <v>1506</v>
      </c>
      <c r="F47" s="119">
        <f>'2018'!J345</f>
        <v>0</v>
      </c>
      <c r="G47" s="106">
        <f>'2018'!K345</f>
        <v>0</v>
      </c>
      <c r="H47" s="106">
        <f>'2018'!L345</f>
      </c>
      <c r="I47" s="119">
        <f>'2018'!M345</f>
        <v>1506</v>
      </c>
      <c r="J47" s="119">
        <f>'2018'!N345</f>
        <v>0</v>
      </c>
      <c r="K47" s="106">
        <f>'2018'!O345</f>
        <v>0</v>
      </c>
      <c r="L47" s="106">
        <f>'2018'!P345</f>
      </c>
      <c r="M47" s="119">
        <f>'2018'!Q345</f>
        <v>1506</v>
      </c>
      <c r="N47" s="119">
        <f>'2018'!R345</f>
        <v>0</v>
      </c>
      <c r="O47" s="119">
        <f>'2018'!S345</f>
        <v>0</v>
      </c>
      <c r="P47" s="119">
        <f>'2018'!T345</f>
      </c>
      <c r="Q47" s="119">
        <f>'2018'!U345</f>
        <v>1609</v>
      </c>
      <c r="R47" s="119">
        <f>'2018'!V345</f>
        <v>103</v>
      </c>
      <c r="S47" s="106">
        <f>'2018'!W345</f>
        <v>256.47</v>
      </c>
      <c r="T47" s="106">
        <f>'2018'!X345</f>
        <v>500</v>
      </c>
      <c r="U47" s="119">
        <f>'2018'!Y345</f>
        <v>1693</v>
      </c>
      <c r="V47" s="119">
        <f>'2018'!Z345</f>
        <v>84</v>
      </c>
      <c r="W47" s="106">
        <f>'2018'!AA345</f>
        <v>209.16</v>
      </c>
      <c r="X47" s="106">
        <f>'2018'!AB345</f>
        <v>40.33</v>
      </c>
      <c r="Y47" s="119">
        <f>'2018'!AC345</f>
        <v>1804</v>
      </c>
      <c r="Z47" s="119">
        <f>'2018'!AD345</f>
        <v>111</v>
      </c>
      <c r="AA47" s="106">
        <f>'2018'!AE345</f>
        <v>276.39</v>
      </c>
      <c r="AB47" s="106">
        <f>'2018'!AF345</f>
      </c>
      <c r="AC47" s="119">
        <f>'2018'!AG345</f>
        <v>1915</v>
      </c>
      <c r="AD47" s="119">
        <f>'2018'!AH345</f>
        <v>111</v>
      </c>
      <c r="AE47" s="106">
        <f>'2018'!AI345</f>
        <v>276.39</v>
      </c>
      <c r="AF47" s="106">
        <f>'2018'!AJ345</f>
        <v>552.78</v>
      </c>
      <c r="AG47" s="119">
        <f>'2018'!AK345</f>
        <v>2039</v>
      </c>
      <c r="AH47" s="119">
        <f>'2018'!AL345</f>
        <v>124</v>
      </c>
      <c r="AI47" s="106">
        <f>'2018'!AM345</f>
        <v>308.76</v>
      </c>
      <c r="AJ47" s="106">
        <f>'2018'!AN345</f>
      </c>
      <c r="AK47" s="119">
        <f>'2018'!AO345</f>
        <v>2163</v>
      </c>
      <c r="AL47" s="119">
        <f>'2018'!AP345</f>
        <v>124</v>
      </c>
      <c r="AM47" s="106">
        <f>'2018'!AQ345</f>
        <v>308.76</v>
      </c>
      <c r="AN47" s="106">
        <f>'2018'!AR345</f>
        <v>617.52</v>
      </c>
      <c r="AO47" s="119">
        <f>'2018'!AS345</f>
        <v>2215</v>
      </c>
      <c r="AP47" s="119">
        <f>'2018'!AT345</f>
        <v>52</v>
      </c>
      <c r="AQ47" s="106">
        <f>'2018'!AU345</f>
        <v>129.48</v>
      </c>
      <c r="AR47" s="106">
        <f>'2018'!AV345</f>
      </c>
      <c r="AS47" s="119">
        <f>'2018'!AW345</f>
        <v>2215</v>
      </c>
      <c r="AT47" s="119">
        <f>'2018'!AX345</f>
        <v>0</v>
      </c>
      <c r="AU47" s="106">
        <f>'2018'!AY345</f>
        <v>0</v>
      </c>
      <c r="AV47" s="106">
        <f>'2018'!AZ345</f>
      </c>
      <c r="AW47" s="106"/>
      <c r="AX47" s="106"/>
      <c r="AY47" s="119">
        <f>'2018'!BA345</f>
        <v>2215</v>
      </c>
      <c r="AZ47" s="119">
        <f>'2018'!BB345</f>
        <v>0</v>
      </c>
      <c r="BA47" s="106">
        <f>'2018'!BC345</f>
        <v>0</v>
      </c>
      <c r="BB47" s="106">
        <f>'2018'!BD345</f>
      </c>
      <c r="BC47" s="106"/>
      <c r="BD47" s="106"/>
      <c r="BE47" s="119">
        <f>'2018'!BE345</f>
        <v>709</v>
      </c>
      <c r="BF47" s="106">
        <f>'2018'!BF345</f>
        <v>1765.41</v>
      </c>
      <c r="BG47" s="106">
        <f>'2018'!BG345</f>
        <v>1710.63</v>
      </c>
      <c r="BH47" s="106">
        <f>'2018'!BH345</f>
        <v>129.48</v>
      </c>
      <c r="BI47" s="34"/>
    </row>
    <row r="48" ht="15.75" customHeight="1" hidden="1" spans="1:61" x14ac:dyDescent="0.25">
      <c r="A48" s="14"/>
      <c r="B48" s="115">
        <v>47</v>
      </c>
      <c r="C48" s="116">
        <v>5</v>
      </c>
      <c r="D48" s="117" t="s">
        <v>192</v>
      </c>
      <c r="E48" s="119">
        <f>'2018'!I353</f>
        <v>141</v>
      </c>
      <c r="F48" s="119">
        <f>'2018'!J353</f>
        <v>0</v>
      </c>
      <c r="G48" s="106">
        <f>'2018'!K353</f>
        <v>0</v>
      </c>
      <c r="H48" s="106">
        <f>'2018'!L353</f>
      </c>
      <c r="I48" s="119">
        <f>'2018'!M353</f>
        <v>141</v>
      </c>
      <c r="J48" s="119">
        <f>'2018'!N353</f>
        <v>0</v>
      </c>
      <c r="K48" s="106">
        <f>'2018'!O353</f>
        <v>0</v>
      </c>
      <c r="L48" s="106">
        <f>'2018'!P353</f>
      </c>
      <c r="M48" s="119">
        <f>'2018'!Q353</f>
        <v>141</v>
      </c>
      <c r="N48" s="119">
        <f>'2018'!R353</f>
        <v>0</v>
      </c>
      <c r="O48" s="119">
        <f>'2018'!S353</f>
        <v>0</v>
      </c>
      <c r="P48" s="119">
        <f>'2018'!T353</f>
      </c>
      <c r="Q48" s="119">
        <f>'2018'!U353</f>
        <v>142</v>
      </c>
      <c r="R48" s="119">
        <f>'2018'!V353</f>
        <v>1</v>
      </c>
      <c r="S48" s="106">
        <f>'2018'!W353</f>
        <v>2.49</v>
      </c>
      <c r="T48" s="106">
        <f>'2018'!X353</f>
        <v>2.49</v>
      </c>
      <c r="U48" s="119">
        <f>'2018'!Y353</f>
        <v>143</v>
      </c>
      <c r="V48" s="119">
        <f>'2018'!Z353</f>
        <v>1</v>
      </c>
      <c r="W48" s="106">
        <f>'2018'!AA353</f>
        <v>2.49</v>
      </c>
      <c r="X48" s="106">
        <f>'2018'!AB353</f>
        <v>2.49</v>
      </c>
      <c r="Y48" s="119">
        <f>'2018'!AC353</f>
        <v>148</v>
      </c>
      <c r="Z48" s="119">
        <f>'2018'!AD353</f>
        <v>5</v>
      </c>
      <c r="AA48" s="106">
        <f>'2018'!AE353</f>
        <v>12.45</v>
      </c>
      <c r="AB48" s="106">
        <f>'2018'!AF353</f>
      </c>
      <c r="AC48" s="119">
        <f>'2018'!AG353</f>
        <v>152</v>
      </c>
      <c r="AD48" s="119">
        <f>'2018'!AH353</f>
        <v>4</v>
      </c>
      <c r="AE48" s="106">
        <f>'2018'!AI353</f>
        <v>9.96</v>
      </c>
      <c r="AF48" s="106">
        <f>'2018'!AJ353</f>
      </c>
      <c r="AG48" s="119">
        <f>'2018'!AK353</f>
        <v>160</v>
      </c>
      <c r="AH48" s="119">
        <f>'2018'!AL353</f>
        <v>8</v>
      </c>
      <c r="AI48" s="106">
        <f>'2018'!AM353</f>
        <v>19.92</v>
      </c>
      <c r="AJ48" s="106">
        <f>'2018'!AN353</f>
        <v>22.41</v>
      </c>
      <c r="AK48" s="119">
        <f>'2018'!AO353</f>
        <v>165</v>
      </c>
      <c r="AL48" s="119">
        <f>'2018'!AP353</f>
        <v>5</v>
      </c>
      <c r="AM48" s="106">
        <f>'2018'!AQ353</f>
        <v>12.45</v>
      </c>
      <c r="AN48" s="106">
        <f>'2018'!AR353</f>
        <v>32.37</v>
      </c>
      <c r="AO48" s="119">
        <f>'2018'!AS353</f>
        <v>165</v>
      </c>
      <c r="AP48" s="119">
        <f>'2018'!AT353</f>
        <v>0</v>
      </c>
      <c r="AQ48" s="106">
        <f>'2018'!AU353</f>
        <v>0</v>
      </c>
      <c r="AR48" s="106">
        <f>'2018'!AV353</f>
      </c>
      <c r="AS48" s="119">
        <f>'2018'!AW353</f>
        <v>165</v>
      </c>
      <c r="AT48" s="119">
        <f>'2018'!AX353</f>
        <v>0</v>
      </c>
      <c r="AU48" s="106">
        <f>'2018'!AY353</f>
        <v>0</v>
      </c>
      <c r="AV48" s="106">
        <f>'2018'!AZ353</f>
      </c>
      <c r="AW48" s="106"/>
      <c r="AX48" s="106"/>
      <c r="AY48" s="119">
        <f>'2018'!BA353</f>
        <v>165</v>
      </c>
      <c r="AZ48" s="119">
        <f>'2018'!BB353</f>
        <v>0</v>
      </c>
      <c r="BA48" s="106">
        <f>'2018'!BC353</f>
        <v>0</v>
      </c>
      <c r="BB48" s="106">
        <f>'2018'!BD353</f>
      </c>
      <c r="BC48" s="106"/>
      <c r="BD48" s="106"/>
      <c r="BE48" s="119">
        <f>'2018'!BE353</f>
        <v>24</v>
      </c>
      <c r="BF48" s="106">
        <f>'2018'!BF353</f>
        <v>59.76</v>
      </c>
      <c r="BG48" s="106">
        <f>'2018'!BG353</f>
        <v>59.76</v>
      </c>
      <c r="BH48" s="106">
        <f>'2018'!BH353</f>
        <v>0</v>
      </c>
      <c r="BI48" s="34"/>
    </row>
    <row r="49" ht="15.75" customHeight="1" hidden="1" spans="1:61" x14ac:dyDescent="0.25">
      <c r="A49" s="14"/>
      <c r="B49" s="115">
        <v>48</v>
      </c>
      <c r="C49" s="115">
        <v>5.93</v>
      </c>
      <c r="D49" s="117" t="s">
        <v>97</v>
      </c>
      <c r="E49" s="119">
        <f>'2018'!I361</f>
      </c>
      <c r="F49" s="119">
        <f>'2018'!J361</f>
      </c>
      <c r="G49" s="106">
        <f>'2018'!K361</f>
      </c>
      <c r="H49" s="106">
        <f>'2018'!L361</f>
      </c>
      <c r="I49" s="119">
        <f>'2018'!M361</f>
      </c>
      <c r="J49" s="119">
        <f>'2018'!N361</f>
      </c>
      <c r="K49" s="106">
        <f>'2018'!O361</f>
      </c>
      <c r="L49" s="106">
        <f>'2018'!P361</f>
      </c>
      <c r="M49" s="119">
        <f>'2018'!Q361</f>
      </c>
      <c r="N49" s="119">
        <f>'2018'!R361</f>
      </c>
      <c r="O49" s="119">
        <f>'2018'!S361</f>
      </c>
      <c r="P49" s="119">
        <f>'2018'!T361</f>
      </c>
      <c r="Q49" s="119">
        <f>'2018'!U361</f>
      </c>
      <c r="R49" s="119">
        <f>'2018'!V361</f>
      </c>
      <c r="S49" s="106">
        <f>'2018'!W361</f>
      </c>
      <c r="T49" s="106">
        <f>'2018'!X361</f>
      </c>
      <c r="U49" s="119">
        <f>'2018'!Y361</f>
      </c>
      <c r="V49" s="119">
        <f>'2018'!Z361</f>
        <v>0</v>
      </c>
      <c r="W49" s="106">
        <f>'2018'!AA361</f>
        <v>0</v>
      </c>
      <c r="X49" s="106">
        <f>'2018'!AB361</f>
      </c>
      <c r="Y49" s="119">
        <f>'2018'!AC361</f>
      </c>
      <c r="Z49" s="119">
        <f>'2018'!AD361</f>
        <v>0</v>
      </c>
      <c r="AA49" s="106">
        <f>'2018'!AE361</f>
        <v>0</v>
      </c>
      <c r="AB49" s="106">
        <f>'2018'!AF361</f>
      </c>
      <c r="AC49" s="119">
        <f>'2018'!AG361</f>
      </c>
      <c r="AD49" s="119">
        <f>'2018'!AH361</f>
        <v>0</v>
      </c>
      <c r="AE49" s="106">
        <f>'2018'!AI361</f>
        <v>0</v>
      </c>
      <c r="AF49" s="106">
        <f>'2018'!AJ361</f>
      </c>
      <c r="AG49" s="119">
        <f>'2018'!AK361</f>
      </c>
      <c r="AH49" s="119">
        <f>'2018'!AL361</f>
        <v>0</v>
      </c>
      <c r="AI49" s="106">
        <f>'2018'!AM361</f>
        <v>0</v>
      </c>
      <c r="AJ49" s="106">
        <f>'2018'!AN361</f>
      </c>
      <c r="AK49" s="119">
        <f>'2018'!AO361</f>
      </c>
      <c r="AL49" s="119">
        <f>'2018'!AP361</f>
      </c>
      <c r="AM49" s="106">
        <f>'2018'!AQ361</f>
        <v>0</v>
      </c>
      <c r="AN49" s="106">
        <f>'2018'!AR361</f>
      </c>
      <c r="AO49" s="119">
        <f>'2018'!AS361</f>
      </c>
      <c r="AP49" s="119">
        <f>'2018'!AT361</f>
      </c>
      <c r="AQ49" s="106">
        <f>'2018'!AU361</f>
        <v>0</v>
      </c>
      <c r="AR49" s="106">
        <f>'2018'!AV361</f>
      </c>
      <c r="AS49" s="119">
        <f>'2018'!AW361</f>
      </c>
      <c r="AT49" s="119">
        <f>'2018'!AX361</f>
      </c>
      <c r="AU49" s="106">
        <f>'2018'!AY361</f>
        <v>0</v>
      </c>
      <c r="AV49" s="106">
        <f>'2018'!AZ361</f>
      </c>
      <c r="AW49" s="106"/>
      <c r="AX49" s="106"/>
      <c r="AY49" s="119">
        <f>'2018'!BA361</f>
      </c>
      <c r="AZ49" s="119">
        <f>'2018'!BB361</f>
      </c>
      <c r="BA49" s="106">
        <f>'2018'!BC361</f>
        <v>0</v>
      </c>
      <c r="BB49" s="106">
        <f>'2018'!BD361</f>
      </c>
      <c r="BC49" s="106"/>
      <c r="BD49" s="106"/>
      <c r="BE49" s="119">
        <f>'2018'!BE361</f>
        <v>0</v>
      </c>
      <c r="BF49" s="106">
        <f>'2018'!BF361</f>
        <v>0</v>
      </c>
      <c r="BG49" s="106">
        <f>'2018'!BG361</f>
        <v>0</v>
      </c>
      <c r="BH49" s="106">
        <f>'2018'!BH361</f>
        <v>0</v>
      </c>
      <c r="BI49" s="34"/>
    </row>
    <row r="50" ht="15.75" customHeight="1" hidden="1" spans="1:61" x14ac:dyDescent="0.25">
      <c r="A50" s="14"/>
      <c r="B50" s="115">
        <v>49</v>
      </c>
      <c r="C50" s="115">
        <v>5.03</v>
      </c>
      <c r="D50" s="117" t="s">
        <v>197</v>
      </c>
      <c r="E50" s="119">
        <f>'2018'!I369</f>
      </c>
      <c r="F50" s="119">
        <f>'2018'!J369</f>
      </c>
      <c r="G50" s="106">
        <f>'2018'!K369</f>
      </c>
      <c r="H50" s="106">
        <f>'2018'!L369</f>
      </c>
      <c r="I50" s="119">
        <f>'2018'!M369</f>
      </c>
      <c r="J50" s="119">
        <f>'2018'!N369</f>
      </c>
      <c r="K50" s="106">
        <f>'2018'!O369</f>
      </c>
      <c r="L50" s="106">
        <f>'2018'!P369</f>
      </c>
      <c r="M50" s="119">
        <f>'2018'!Q369</f>
      </c>
      <c r="N50" s="119">
        <f>'2018'!R369</f>
      </c>
      <c r="O50" s="119">
        <f>'2018'!S369</f>
      </c>
      <c r="P50" s="119">
        <f>'2018'!T369</f>
      </c>
      <c r="Q50" s="119">
        <f>'2018'!U369</f>
      </c>
      <c r="R50" s="119">
        <f>'2018'!V369</f>
      </c>
      <c r="S50" s="106">
        <f>'2018'!W369</f>
      </c>
      <c r="T50" s="106">
        <f>'2018'!X369</f>
      </c>
      <c r="U50" s="119">
        <f>'2018'!Y369</f>
      </c>
      <c r="V50" s="119">
        <f>'2018'!Z369</f>
        <v>0</v>
      </c>
      <c r="W50" s="106">
        <f>'2018'!AA369</f>
        <v>0</v>
      </c>
      <c r="X50" s="106">
        <f>'2018'!AB369</f>
      </c>
      <c r="Y50" s="119">
        <f>'2018'!AC369</f>
      </c>
      <c r="Z50" s="119">
        <f>'2018'!AD369</f>
        <v>0</v>
      </c>
      <c r="AA50" s="106">
        <f>'2018'!AE369</f>
        <v>0</v>
      </c>
      <c r="AB50" s="106">
        <f>'2018'!AF369</f>
      </c>
      <c r="AC50" s="119">
        <f>'2018'!AG369</f>
      </c>
      <c r="AD50" s="119">
        <f>'2018'!AH369</f>
        <v>0</v>
      </c>
      <c r="AE50" s="106">
        <f>'2018'!AI369</f>
        <v>0</v>
      </c>
      <c r="AF50" s="106">
        <f>'2018'!AJ369</f>
      </c>
      <c r="AG50" s="119">
        <f>'2018'!AK369</f>
      </c>
      <c r="AH50" s="119">
        <f>'2018'!AL369</f>
        <v>0</v>
      </c>
      <c r="AI50" s="106">
        <f>'2018'!AM369</f>
        <v>0</v>
      </c>
      <c r="AJ50" s="106">
        <f>'2018'!AN369</f>
      </c>
      <c r="AK50" s="119">
        <f>'2018'!AO369</f>
      </c>
      <c r="AL50" s="119">
        <f>'2018'!AP369</f>
      </c>
      <c r="AM50" s="106">
        <f>'2018'!AQ369</f>
        <v>0</v>
      </c>
      <c r="AN50" s="106">
        <f>'2018'!AR369</f>
      </c>
      <c r="AO50" s="119">
        <f>'2018'!AS369</f>
      </c>
      <c r="AP50" s="119">
        <f>'2018'!AT369</f>
      </c>
      <c r="AQ50" s="106">
        <f>'2018'!AU369</f>
        <v>0</v>
      </c>
      <c r="AR50" s="106">
        <f>'2018'!AV369</f>
      </c>
      <c r="AS50" s="119">
        <f>'2018'!AW369</f>
      </c>
      <c r="AT50" s="119">
        <f>'2018'!AX369</f>
      </c>
      <c r="AU50" s="106">
        <f>'2018'!AY369</f>
        <v>0</v>
      </c>
      <c r="AV50" s="106">
        <f>'2018'!AZ369</f>
      </c>
      <c r="AW50" s="106"/>
      <c r="AX50" s="106"/>
      <c r="AY50" s="119">
        <f>'2018'!BA369</f>
      </c>
      <c r="AZ50" s="119">
        <f>'2018'!BB369</f>
      </c>
      <c r="BA50" s="106">
        <f>'2018'!BC369</f>
        <v>0</v>
      </c>
      <c r="BB50" s="106">
        <f>'2018'!BD369</f>
      </c>
      <c r="BC50" s="106"/>
      <c r="BD50" s="106"/>
      <c r="BE50" s="119">
        <f>'2018'!BE369</f>
        <v>0</v>
      </c>
      <c r="BF50" s="106">
        <f>'2018'!BF369</f>
        <v>0</v>
      </c>
      <c r="BG50" s="106">
        <f>'2018'!BG369</f>
        <v>0</v>
      </c>
      <c r="BH50" s="106">
        <f>'2018'!BH369</f>
        <v>0</v>
      </c>
      <c r="BI50" s="34"/>
    </row>
    <row r="51" ht="15.75" customHeight="1" hidden="1" spans="1:61" x14ac:dyDescent="0.25">
      <c r="A51" s="14"/>
      <c r="B51" s="115">
        <v>50</v>
      </c>
      <c r="C51" s="115">
        <v>6.05</v>
      </c>
      <c r="D51" s="117" t="s">
        <v>361</v>
      </c>
      <c r="E51" s="119">
        <f>'2018'!I377</f>
        <v>681</v>
      </c>
      <c r="F51" s="119">
        <f>'2018'!J377</f>
        <v>0</v>
      </c>
      <c r="G51" s="106">
        <f>'2018'!K377</f>
        <v>0</v>
      </c>
      <c r="H51" s="106">
        <f>'2018'!L377</f>
      </c>
      <c r="I51" s="119">
        <f>'2018'!M377</f>
        <v>681</v>
      </c>
      <c r="J51" s="119">
        <f>'2018'!N377</f>
        <v>0</v>
      </c>
      <c r="K51" s="106">
        <f>'2018'!O377</f>
        <v>0</v>
      </c>
      <c r="L51" s="106">
        <f>'2018'!P377</f>
      </c>
      <c r="M51" s="119">
        <f>'2018'!Q377</f>
        <v>681</v>
      </c>
      <c r="N51" s="119">
        <f>'2018'!R377</f>
        <v>0</v>
      </c>
      <c r="O51" s="119">
        <f>'2018'!S377</f>
        <v>0</v>
      </c>
      <c r="P51" s="119">
        <f>'2018'!T377</f>
      </c>
      <c r="Q51" s="119">
        <f>'2018'!U377</f>
        <v>681</v>
      </c>
      <c r="R51" s="119">
        <f>'2018'!V377</f>
        <v>0</v>
      </c>
      <c r="S51" s="106">
        <f>'2018'!W377</f>
        <v>0</v>
      </c>
      <c r="T51" s="106">
        <f>'2018'!X377</f>
        <v>59.76</v>
      </c>
      <c r="U51" s="119">
        <f>'2018'!Y377</f>
        <v>686</v>
      </c>
      <c r="V51" s="119">
        <f>'2018'!Z377</f>
        <v>5</v>
      </c>
      <c r="W51" s="106">
        <f>'2018'!AA377</f>
        <v>12.45</v>
      </c>
      <c r="X51" s="106">
        <f>'2018'!AB377</f>
        <v>12.45</v>
      </c>
      <c r="Y51" s="119">
        <f>'2018'!AC377</f>
        <v>868</v>
      </c>
      <c r="Z51" s="119">
        <f>'2018'!AD377</f>
        <v>182</v>
      </c>
      <c r="AA51" s="106">
        <f>'2018'!AE377</f>
        <v>453.18</v>
      </c>
      <c r="AB51" s="106">
        <f>'2018'!AF377</f>
      </c>
      <c r="AC51" s="119">
        <f>'2018'!AG377</f>
        <v>939</v>
      </c>
      <c r="AD51" s="119">
        <f>'2018'!AH377</f>
        <v>71</v>
      </c>
      <c r="AE51" s="106">
        <f>'2018'!AI377</f>
        <v>176.79</v>
      </c>
      <c r="AF51" s="106">
        <f>'2018'!AJ377</f>
        <v>453.18</v>
      </c>
      <c r="AG51" s="119">
        <f>'2018'!AK377</f>
        <v>1002</v>
      </c>
      <c r="AH51" s="119">
        <f>'2018'!AL377</f>
        <v>63</v>
      </c>
      <c r="AI51" s="106">
        <f>'2018'!AM377</f>
        <v>156.87</v>
      </c>
      <c r="AJ51" s="106">
        <f>'2018'!AN377</f>
      </c>
      <c r="AK51" s="119">
        <f>'2018'!AO377</f>
        <v>1209</v>
      </c>
      <c r="AL51" s="119">
        <f>'2018'!AP377</f>
        <v>207</v>
      </c>
      <c r="AM51" s="106">
        <f>'2018'!AQ377</f>
        <v>515.43</v>
      </c>
      <c r="AN51" s="106">
        <f>'2018'!AR377</f>
        <v>849.09</v>
      </c>
      <c r="AO51" s="119">
        <f>'2018'!AS377</f>
        <v>1387</v>
      </c>
      <c r="AP51" s="119">
        <f>'2018'!AT377</f>
        <v>178</v>
      </c>
      <c r="AQ51" s="106">
        <f>'2018'!AU377</f>
        <v>443.22</v>
      </c>
      <c r="AR51" s="106">
        <f>'2018'!AV377</f>
      </c>
      <c r="AS51" s="119">
        <f>'2018'!AW377</f>
        <v>1387</v>
      </c>
      <c r="AT51" s="119">
        <f>'2018'!AX377</f>
        <v>0</v>
      </c>
      <c r="AU51" s="106">
        <f>'2018'!AY377</f>
        <v>0</v>
      </c>
      <c r="AV51" s="106">
        <f>'2018'!AZ377</f>
      </c>
      <c r="AW51" s="106"/>
      <c r="AX51" s="106"/>
      <c r="AY51" s="119">
        <f>'2018'!BA377</f>
        <v>1387</v>
      </c>
      <c r="AZ51" s="119">
        <f>'2018'!BB377</f>
        <v>0</v>
      </c>
      <c r="BA51" s="106">
        <f>'2018'!BC377</f>
        <v>0</v>
      </c>
      <c r="BB51" s="106">
        <f>'2018'!BD377</f>
      </c>
      <c r="BC51" s="106"/>
      <c r="BD51" s="106"/>
      <c r="BE51" s="119">
        <f>'2018'!BE377</f>
        <v>706</v>
      </c>
      <c r="BF51" s="106">
        <f>'2018'!BF377</f>
        <v>1757.94</v>
      </c>
      <c r="BG51" s="106">
        <f>'2018'!BG377</f>
        <v>1374.48</v>
      </c>
      <c r="BH51" s="106">
        <f>'2018'!BH377</f>
        <v>443.22</v>
      </c>
      <c r="BI51" s="34"/>
    </row>
    <row r="52" ht="15.75" customHeight="1" hidden="1" spans="1:61" x14ac:dyDescent="0.25">
      <c r="A52" s="14"/>
      <c r="B52" s="115">
        <v>51</v>
      </c>
      <c r="C52" s="115">
        <v>4.95</v>
      </c>
      <c r="D52" s="117" t="s">
        <v>204</v>
      </c>
      <c r="E52" s="119">
        <f>'2018'!I385</f>
      </c>
      <c r="F52" s="119">
        <f>'2018'!J385</f>
      </c>
      <c r="G52" s="106">
        <f>'2018'!K385</f>
      </c>
      <c r="H52" s="106">
        <f>'2018'!L385</f>
      </c>
      <c r="I52" s="119">
        <f>'2018'!M385</f>
      </c>
      <c r="J52" s="119">
        <f>'2018'!N385</f>
      </c>
      <c r="K52" s="106">
        <f>'2018'!O385</f>
      </c>
      <c r="L52" s="106">
        <f>'2018'!P385</f>
      </c>
      <c r="M52" s="119">
        <f>'2018'!Q385</f>
      </c>
      <c r="N52" s="119">
        <f>'2018'!R385</f>
      </c>
      <c r="O52" s="119">
        <f>'2018'!S385</f>
      </c>
      <c r="P52" s="119">
        <f>'2018'!T385</f>
      </c>
      <c r="Q52" s="119">
        <f>'2018'!U385</f>
      </c>
      <c r="R52" s="119">
        <f>'2018'!V385</f>
      </c>
      <c r="S52" s="106">
        <f>'2018'!W385</f>
      </c>
      <c r="T52" s="106">
        <f>'2018'!X385</f>
      </c>
      <c r="U52" s="119">
        <f>'2018'!Y385</f>
      </c>
      <c r="V52" s="119">
        <f>'2018'!Z385</f>
        <v>0</v>
      </c>
      <c r="W52" s="106">
        <f>'2018'!AA385</f>
        <v>0</v>
      </c>
      <c r="X52" s="106">
        <f>'2018'!AB385</f>
      </c>
      <c r="Y52" s="119">
        <f>'2018'!AC385</f>
      </c>
      <c r="Z52" s="119">
        <f>'2018'!AD385</f>
        <v>0</v>
      </c>
      <c r="AA52" s="106">
        <f>'2018'!AE385</f>
        <v>0</v>
      </c>
      <c r="AB52" s="106">
        <f>'2018'!AF385</f>
      </c>
      <c r="AC52" s="119">
        <f>'2018'!AG385</f>
      </c>
      <c r="AD52" s="119">
        <f>'2018'!AH385</f>
        <v>0</v>
      </c>
      <c r="AE52" s="106">
        <f>'2018'!AI385</f>
        <v>0</v>
      </c>
      <c r="AF52" s="106">
        <f>'2018'!AJ385</f>
      </c>
      <c r="AG52" s="119">
        <f>'2018'!AK385</f>
      </c>
      <c r="AH52" s="119">
        <f>'2018'!AL385</f>
        <v>0</v>
      </c>
      <c r="AI52" s="106">
        <f>'2018'!AM385</f>
        <v>0</v>
      </c>
      <c r="AJ52" s="106">
        <f>'2018'!AN385</f>
      </c>
      <c r="AK52" s="119">
        <f>'2018'!AO385</f>
      </c>
      <c r="AL52" s="119">
        <f>'2018'!AP385</f>
      </c>
      <c r="AM52" s="106">
        <f>'2018'!AQ385</f>
        <v>0</v>
      </c>
      <c r="AN52" s="106">
        <f>'2018'!AR385</f>
      </c>
      <c r="AO52" s="119">
        <f>'2018'!AS385</f>
      </c>
      <c r="AP52" s="119">
        <f>'2018'!AT385</f>
      </c>
      <c r="AQ52" s="106">
        <f>'2018'!AU385</f>
        <v>0</v>
      </c>
      <c r="AR52" s="106">
        <f>'2018'!AV385</f>
      </c>
      <c r="AS52" s="119">
        <f>'2018'!AW385</f>
      </c>
      <c r="AT52" s="119">
        <f>'2018'!AX385</f>
      </c>
      <c r="AU52" s="106">
        <f>'2018'!AY385</f>
        <v>0</v>
      </c>
      <c r="AV52" s="106">
        <f>'2018'!AZ385</f>
      </c>
      <c r="AW52" s="106"/>
      <c r="AX52" s="106"/>
      <c r="AY52" s="119">
        <f>'2018'!BA385</f>
      </c>
      <c r="AZ52" s="119">
        <f>'2018'!BB385</f>
      </c>
      <c r="BA52" s="106">
        <f>'2018'!BC385</f>
        <v>0</v>
      </c>
      <c r="BB52" s="106">
        <f>'2018'!BD385</f>
      </c>
      <c r="BC52" s="106"/>
      <c r="BD52" s="106"/>
      <c r="BE52" s="119">
        <f>'2018'!BE385</f>
        <v>0</v>
      </c>
      <c r="BF52" s="106">
        <f>'2018'!BF385</f>
        <v>0</v>
      </c>
      <c r="BG52" s="106">
        <f>'2018'!BG385</f>
        <v>0</v>
      </c>
      <c r="BH52" s="106">
        <f>'2018'!BH385</f>
        <v>0</v>
      </c>
      <c r="BI52" s="34"/>
    </row>
    <row r="53" ht="15.75" customHeight="1" hidden="1" spans="1:61" x14ac:dyDescent="0.25">
      <c r="A53" s="14"/>
      <c r="B53" s="115">
        <v>52</v>
      </c>
      <c r="C53" s="116">
        <v>5</v>
      </c>
      <c r="D53" s="117" t="s">
        <v>206</v>
      </c>
      <c r="E53" s="119">
        <f>'2018'!I393</f>
        <v>44</v>
      </c>
      <c r="F53" s="119">
        <f>'2018'!J393</f>
        <v>0</v>
      </c>
      <c r="G53" s="106">
        <f>'2018'!K393</f>
        <v>0</v>
      </c>
      <c r="H53" s="106">
        <f>'2018'!L393</f>
      </c>
      <c r="I53" s="119">
        <f>'2018'!M393</f>
        <v>44</v>
      </c>
      <c r="J53" s="119">
        <f>'2018'!N393</f>
        <v>0</v>
      </c>
      <c r="K53" s="106">
        <f>'2018'!O393</f>
        <v>0</v>
      </c>
      <c r="L53" s="106">
        <f>'2018'!P393</f>
      </c>
      <c r="M53" s="119">
        <f>'2018'!Q393</f>
        <v>44</v>
      </c>
      <c r="N53" s="119">
        <f>'2018'!R393</f>
        <v>0</v>
      </c>
      <c r="O53" s="119">
        <f>'2018'!S393</f>
        <v>0</v>
      </c>
      <c r="P53" s="119">
        <f>'2018'!T393</f>
      </c>
      <c r="Q53" s="119">
        <f>'2018'!U393</f>
        <v>45</v>
      </c>
      <c r="R53" s="119">
        <f>'2018'!V393</f>
        <v>1</v>
      </c>
      <c r="S53" s="106">
        <f>'2018'!W393</f>
        <v>2.49</v>
      </c>
      <c r="T53" s="106">
        <f>'2018'!X393</f>
        <v>7.47</v>
      </c>
      <c r="U53" s="119">
        <f>'2018'!Y393</f>
        <v>47</v>
      </c>
      <c r="V53" s="119">
        <f>'2018'!Z393</f>
        <v>2</v>
      </c>
      <c r="W53" s="106">
        <f>'2018'!AA393</f>
        <v>4.98</v>
      </c>
      <c r="X53" s="106">
        <f>'2018'!AB393</f>
        <v>4.98</v>
      </c>
      <c r="Y53" s="119">
        <f>'2018'!AC393</f>
        <v>52</v>
      </c>
      <c r="Z53" s="119">
        <f>'2018'!AD393</f>
        <v>5</v>
      </c>
      <c r="AA53" s="106">
        <f>'2018'!AE393</f>
        <v>12.45</v>
      </c>
      <c r="AB53" s="106">
        <f>'2018'!AF393</f>
      </c>
      <c r="AC53" s="119">
        <f>'2018'!AG393</f>
        <v>56</v>
      </c>
      <c r="AD53" s="119">
        <f>'2018'!AH393</f>
        <v>4</v>
      </c>
      <c r="AE53" s="106">
        <f>'2018'!AI393</f>
        <v>9.96</v>
      </c>
      <c r="AF53" s="106">
        <f>'2018'!AJ393</f>
        <v>12.45</v>
      </c>
      <c r="AG53" s="119">
        <f>'2018'!AK393</f>
        <v>60</v>
      </c>
      <c r="AH53" s="119">
        <f>'2018'!AL393</f>
        <v>4</v>
      </c>
      <c r="AI53" s="106">
        <f>'2018'!AM393</f>
        <v>9.96</v>
      </c>
      <c r="AJ53" s="106">
        <f>'2018'!AN393</f>
        <v>9.96</v>
      </c>
      <c r="AK53" s="119">
        <f>'2018'!AO393</f>
        <v>62</v>
      </c>
      <c r="AL53" s="119">
        <f>'2018'!AP393</f>
        <v>2</v>
      </c>
      <c r="AM53" s="106">
        <f>'2018'!AQ393</f>
        <v>4.98</v>
      </c>
      <c r="AN53" s="106">
        <f>'2018'!AR393</f>
        <v>14.94</v>
      </c>
      <c r="AO53" s="119">
        <f>'2018'!AS393</f>
        <v>63</v>
      </c>
      <c r="AP53" s="119">
        <f>'2018'!AT393</f>
        <v>1</v>
      </c>
      <c r="AQ53" s="106">
        <f>'2018'!AU393</f>
        <v>2.49</v>
      </c>
      <c r="AR53" s="106">
        <f>'2018'!AV393</f>
      </c>
      <c r="AS53" s="119">
        <f>'2018'!AW393</f>
        <v>63</v>
      </c>
      <c r="AT53" s="119">
        <f>'2018'!AX393</f>
        <v>0</v>
      </c>
      <c r="AU53" s="106">
        <f>'2018'!AY393</f>
        <v>0</v>
      </c>
      <c r="AV53" s="106">
        <f>'2018'!AZ393</f>
      </c>
      <c r="AW53" s="106"/>
      <c r="AX53" s="106"/>
      <c r="AY53" s="119">
        <f>'2018'!BA393</f>
        <v>63</v>
      </c>
      <c r="AZ53" s="119">
        <f>'2018'!BB393</f>
        <v>0</v>
      </c>
      <c r="BA53" s="106">
        <f>'2018'!BC393</f>
        <v>0</v>
      </c>
      <c r="BB53" s="106">
        <f>'2018'!BD393</f>
      </c>
      <c r="BC53" s="106"/>
      <c r="BD53" s="106"/>
      <c r="BE53" s="119">
        <f>'2018'!BE393</f>
        <v>19</v>
      </c>
      <c r="BF53" s="106">
        <f>'2018'!BF393</f>
        <v>47.31</v>
      </c>
      <c r="BG53" s="106">
        <f>'2018'!BG393</f>
        <v>49.8</v>
      </c>
      <c r="BH53" s="106">
        <f>'2018'!BH393</f>
        <v>2.49</v>
      </c>
      <c r="BI53" s="34"/>
    </row>
    <row r="54" ht="15.75" customHeight="1" spans="1:62" x14ac:dyDescent="0.25">
      <c r="A54" s="14"/>
      <c r="B54" s="125">
        <v>53</v>
      </c>
      <c r="C54" s="115">
        <v>5.05</v>
      </c>
      <c r="D54" s="117" t="s">
        <v>210</v>
      </c>
      <c r="E54" s="119">
        <f>'2018'!I401</f>
        <v>1832</v>
      </c>
      <c r="F54" s="119">
        <f>'2018'!J401</f>
        <v>107</v>
      </c>
      <c r="G54" s="106">
        <f>'2018'!K401</f>
        <v>266.43</v>
      </c>
      <c r="H54" s="106">
        <f>'2018'!L401</f>
      </c>
      <c r="I54" s="119">
        <f>'2018'!M401</f>
        <v>2131</v>
      </c>
      <c r="J54" s="119">
        <f>'2018'!N401</f>
        <v>299</v>
      </c>
      <c r="K54" s="106">
        <f>'2018'!O401</f>
        <v>744.51</v>
      </c>
      <c r="L54" s="106">
        <f>'2018'!P401</f>
        <v>1000</v>
      </c>
      <c r="M54" s="119">
        <f>'2018'!Q401</f>
        <v>2591</v>
      </c>
      <c r="N54" s="119">
        <f>'2018'!R401</f>
        <v>460</v>
      </c>
      <c r="O54" s="119">
        <f>'2018'!S401</f>
        <v>1145.4</v>
      </c>
      <c r="P54" s="119">
        <f>'2018'!T401</f>
        <v>1000</v>
      </c>
      <c r="Q54" s="119">
        <f>'2018'!U401</f>
        <v>2864</v>
      </c>
      <c r="R54" s="119">
        <f>'2018'!V401</f>
        <v>273</v>
      </c>
      <c r="S54" s="106">
        <f>'2018'!W401</f>
        <v>679.77</v>
      </c>
      <c r="T54" s="106">
        <f>'2018'!X401</f>
        <v>676.07</v>
      </c>
      <c r="U54" s="119">
        <f>'2018'!Y401</f>
        <v>3031</v>
      </c>
      <c r="V54" s="119">
        <f>'2018'!Z401</f>
        <v>167</v>
      </c>
      <c r="W54" s="106">
        <f>'2018'!AA401</f>
        <v>415.83</v>
      </c>
      <c r="X54" s="106">
        <f>'2018'!AB401</f>
      </c>
      <c r="Y54" s="119">
        <f>'2018'!AC401</f>
        <v>3167</v>
      </c>
      <c r="Z54" s="119">
        <f>'2018'!AD401</f>
        <v>136</v>
      </c>
      <c r="AA54" s="106">
        <f>'2018'!AE401</f>
        <v>338.64</v>
      </c>
      <c r="AB54" s="106">
        <f>'2018'!AF401</f>
      </c>
      <c r="AC54" s="119">
        <f>'2018'!AG401</f>
        <v>3251</v>
      </c>
      <c r="AD54" s="119">
        <f>'2018'!AH401</f>
        <v>84</v>
      </c>
      <c r="AE54" s="106">
        <f>'2018'!AI401</f>
        <v>209.16</v>
      </c>
      <c r="AF54" s="106">
        <f>'2018'!AJ401</f>
        <v>1673.93</v>
      </c>
      <c r="AG54" s="119">
        <f>'2018'!AK401</f>
        <v>3435</v>
      </c>
      <c r="AH54" s="119">
        <f>'2018'!AL401</f>
        <v>184</v>
      </c>
      <c r="AI54" s="106">
        <f>'2018'!AM401</f>
        <v>458.16</v>
      </c>
      <c r="AJ54" s="106">
        <f>'2018'!AN401</f>
      </c>
      <c r="AK54" s="119">
        <f>'2018'!AO401</f>
        <v>3505</v>
      </c>
      <c r="AL54" s="119">
        <f>'2018'!AP401</f>
        <v>70</v>
      </c>
      <c r="AM54" s="106">
        <f>'2018'!AQ401</f>
        <v>174.3</v>
      </c>
      <c r="AN54" s="106">
        <f>'2018'!AR401</f>
      </c>
      <c r="AO54" s="119">
        <f>'2018'!AS401</f>
        <v>3617</v>
      </c>
      <c r="AP54" s="119">
        <f>'2018'!AT401</f>
        <v>112</v>
      </c>
      <c r="AQ54" s="106">
        <f>'2018'!AU401</f>
        <v>278.88</v>
      </c>
      <c r="AR54" s="106">
        <f>'2018'!AV401</f>
      </c>
      <c r="AS54" s="126">
        <f>'2018'!AW401</f>
        <v>3617</v>
      </c>
      <c r="AT54" s="119">
        <f>'2018'!AX401</f>
        <v>0</v>
      </c>
      <c r="AU54" s="106">
        <f>'2018'!AY401</f>
        <v>0</v>
      </c>
      <c r="AV54" s="106">
        <f>'2018'!AZ401</f>
        <v>1000</v>
      </c>
      <c r="AW54" s="119">
        <v>155</v>
      </c>
      <c r="AX54" s="106">
        <f>AW54*$AX$2</f>
        <v>385.95</v>
      </c>
      <c r="AY54" s="119">
        <f>'2018'!BA401</f>
        <v>4040</v>
      </c>
      <c r="AZ54" s="119">
        <f>'2018'!BB401</f>
        <v>423</v>
      </c>
      <c r="BA54" s="106">
        <f>'2018'!BC401</f>
        <v>1053.27</v>
      </c>
      <c r="BB54" s="106">
        <f>'2018'!BD401</f>
        <v>1140</v>
      </c>
      <c r="BC54" s="106"/>
      <c r="BD54" s="106"/>
      <c r="BE54" s="119">
        <f>'2018'!BE401</f>
        <v>2315</v>
      </c>
      <c r="BF54" s="106">
        <f>'2018'!BF401</f>
        <v>5764.35</v>
      </c>
      <c r="BG54" s="106">
        <f>'2018'!BG401</f>
        <v>6490</v>
      </c>
      <c r="BH54" s="106">
        <f>'2018'!BH401</f>
        <v>-992.3</v>
      </c>
      <c r="BI54" s="106">
        <f>AX54+BC54</f>
        <v>385.95</v>
      </c>
      <c r="BJ54" s="106">
        <f>BH54+AX54</f>
        <v>-606.35</v>
      </c>
    </row>
    <row r="55" ht="15.75" customHeight="1" hidden="1" spans="1:61" x14ac:dyDescent="0.25">
      <c r="A55" s="14"/>
      <c r="B55" s="115">
        <v>54</v>
      </c>
      <c r="C55" s="115">
        <v>5.54</v>
      </c>
      <c r="D55" s="117" t="s">
        <v>212</v>
      </c>
      <c r="E55" s="119">
        <f>'2018'!I409</f>
        <v>156</v>
      </c>
      <c r="F55" s="119">
        <f>'2018'!J409</f>
        <v>0</v>
      </c>
      <c r="G55" s="106">
        <f>'2018'!K409</f>
        <v>0</v>
      </c>
      <c r="H55" s="106">
        <f>'2018'!L409</f>
      </c>
      <c r="I55" s="119">
        <f>'2018'!M409</f>
        <v>156</v>
      </c>
      <c r="J55" s="119">
        <f>'2018'!N409</f>
        <v>0</v>
      </c>
      <c r="K55" s="106">
        <f>'2018'!O409</f>
        <v>0</v>
      </c>
      <c r="L55" s="106">
        <f>'2018'!P409</f>
      </c>
      <c r="M55" s="119">
        <f>'2018'!Q409</f>
        <v>156</v>
      </c>
      <c r="N55" s="119">
        <f>'2018'!R409</f>
        <v>0</v>
      </c>
      <c r="O55" s="119">
        <f>'2018'!S409</f>
        <v>0</v>
      </c>
      <c r="P55" s="119">
        <f>'2018'!T409</f>
      </c>
      <c r="Q55" s="119">
        <f>'2018'!U409</f>
        <v>156</v>
      </c>
      <c r="R55" s="119">
        <f>'2018'!V409</f>
        <v>0</v>
      </c>
      <c r="S55" s="106">
        <f>'2018'!W409</f>
        <v>0</v>
      </c>
      <c r="T55" s="106">
        <f>'2018'!X409</f>
        <v>149.4</v>
      </c>
      <c r="U55" s="119">
        <f>'2018'!Y409</f>
        <v>156</v>
      </c>
      <c r="V55" s="119">
        <f>'2018'!Z409</f>
        <v>0</v>
      </c>
      <c r="W55" s="106">
        <f>'2018'!AA409</f>
        <v>0</v>
      </c>
      <c r="X55" s="106">
        <f>'2018'!AB409</f>
      </c>
      <c r="Y55" s="119">
        <f>'2018'!AC409</f>
        <v>162</v>
      </c>
      <c r="Z55" s="119">
        <f>'2018'!AD409</f>
        <v>6</v>
      </c>
      <c r="AA55" s="106">
        <f>'2018'!AE409</f>
        <v>14.94</v>
      </c>
      <c r="AB55" s="106">
        <f>'2018'!AF409</f>
      </c>
      <c r="AC55" s="119">
        <f>'2018'!AG409</f>
        <v>165</v>
      </c>
      <c r="AD55" s="119">
        <f>'2018'!AH409</f>
        <v>3</v>
      </c>
      <c r="AE55" s="106">
        <f>'2018'!AI409</f>
        <v>7.47</v>
      </c>
      <c r="AF55" s="106">
        <f>'2018'!AJ409</f>
      </c>
      <c r="AG55" s="119">
        <f>'2018'!AK409</f>
        <v>171</v>
      </c>
      <c r="AH55" s="119">
        <f>'2018'!AL409</f>
        <v>6</v>
      </c>
      <c r="AI55" s="106">
        <f>'2018'!AM409</f>
        <v>14.94</v>
      </c>
      <c r="AJ55" s="106">
        <f>'2018'!AN409</f>
      </c>
      <c r="AK55" s="119">
        <f>'2018'!AO409</f>
        <v>172</v>
      </c>
      <c r="AL55" s="119">
        <f>'2018'!AP409</f>
        <v>1</v>
      </c>
      <c r="AM55" s="106">
        <f>'2018'!AQ409</f>
        <v>2.49</v>
      </c>
      <c r="AN55" s="106">
        <f>'2018'!AR409</f>
      </c>
      <c r="AO55" s="119">
        <f>'2018'!AS409</f>
        <v>176</v>
      </c>
      <c r="AP55" s="119">
        <f>'2018'!AT409</f>
        <v>4</v>
      </c>
      <c r="AQ55" s="106">
        <f>'2018'!AU409</f>
        <v>9.96</v>
      </c>
      <c r="AR55" s="106">
        <f>'2018'!AV409</f>
      </c>
      <c r="AS55" s="119">
        <f>'2018'!AW409</f>
        <v>176</v>
      </c>
      <c r="AT55" s="119">
        <f>'2018'!AX409</f>
        <v>0</v>
      </c>
      <c r="AU55" s="106">
        <f>'2018'!AY409</f>
        <v>0</v>
      </c>
      <c r="AV55" s="106">
        <f>'2018'!AZ409</f>
      </c>
      <c r="AW55" s="106"/>
      <c r="AX55" s="106"/>
      <c r="AY55" s="119">
        <f>'2018'!BA409</f>
        <v>176</v>
      </c>
      <c r="AZ55" s="119">
        <f>'2018'!BB409</f>
        <v>0</v>
      </c>
      <c r="BA55" s="106">
        <f>'2018'!BC409</f>
        <v>0</v>
      </c>
      <c r="BB55" s="106">
        <f>'2018'!BD409</f>
      </c>
      <c r="BC55" s="106"/>
      <c r="BD55" s="106"/>
      <c r="BE55" s="119">
        <f>'2018'!BE409</f>
        <v>20</v>
      </c>
      <c r="BF55" s="106">
        <f>'2018'!BF409</f>
        <v>49.8</v>
      </c>
      <c r="BG55" s="106">
        <f>'2018'!BG409</f>
        <v>149.4</v>
      </c>
      <c r="BH55" s="106">
        <f>'2018'!BH409</f>
        <v>49.8</v>
      </c>
      <c r="BI55" s="34"/>
    </row>
    <row r="56" ht="15.75" customHeight="1" spans="1:62" x14ac:dyDescent="0.25">
      <c r="A56" s="21"/>
      <c r="B56" s="115">
        <v>55</v>
      </c>
      <c r="C56" s="116">
        <v>5.5</v>
      </c>
      <c r="D56" s="117" t="s">
        <v>214</v>
      </c>
      <c r="E56" s="119">
        <f>'2018'!I417</f>
        <v>195</v>
      </c>
      <c r="F56" s="119">
        <f>'2018'!J417</f>
        <v>0</v>
      </c>
      <c r="G56" s="106">
        <f>'2018'!K417</f>
        <v>0</v>
      </c>
      <c r="H56" s="106">
        <f>'2018'!L417</f>
      </c>
      <c r="I56" s="119">
        <f>'2018'!M417</f>
        <v>195</v>
      </c>
      <c r="J56" s="119">
        <f>'2018'!N417</f>
        <v>0</v>
      </c>
      <c r="K56" s="106">
        <f>'2018'!O417</f>
        <v>0</v>
      </c>
      <c r="L56" s="106">
        <f>'2018'!P417</f>
      </c>
      <c r="M56" s="119">
        <f>'2018'!Q417</f>
        <v>195</v>
      </c>
      <c r="N56" s="119">
        <f>'2018'!R417</f>
        <v>0</v>
      </c>
      <c r="O56" s="119">
        <f>'2018'!S417</f>
        <v>0</v>
      </c>
      <c r="P56" s="119">
        <f>'2018'!T417</f>
      </c>
      <c r="Q56" s="119">
        <f>'2018'!U417</f>
        <v>195</v>
      </c>
      <c r="R56" s="119">
        <f>'2018'!V417</f>
        <v>0</v>
      </c>
      <c r="S56" s="106">
        <f>'2018'!W417</f>
        <v>0</v>
      </c>
      <c r="T56" s="106">
        <f>'2018'!X417</f>
        <v>71.41</v>
      </c>
      <c r="U56" s="119">
        <f>'2018'!Y417</f>
        <v>212</v>
      </c>
      <c r="V56" s="119">
        <f>'2018'!Z417</f>
        <v>17</v>
      </c>
      <c r="W56" s="106">
        <f>'2018'!AA417</f>
        <v>42.33</v>
      </c>
      <c r="X56" s="106">
        <f>'2018'!AB417</f>
        <v>42.33</v>
      </c>
      <c r="Y56" s="119">
        <f>'2018'!AC417</f>
        <v>227</v>
      </c>
      <c r="Z56" s="119">
        <f>'2018'!AD417</f>
        <v>15</v>
      </c>
      <c r="AA56" s="106">
        <f>'2018'!AE417</f>
        <v>37.35</v>
      </c>
      <c r="AB56" s="106">
        <f>'2018'!AF417</f>
      </c>
      <c r="AC56" s="119">
        <f>'2018'!AG417</f>
        <v>230</v>
      </c>
      <c r="AD56" s="119">
        <f>'2018'!AH417</f>
        <v>3</v>
      </c>
      <c r="AE56" s="106">
        <f>'2018'!AI417</f>
        <v>7.47</v>
      </c>
      <c r="AF56" s="106">
        <f>'2018'!AJ417</f>
      </c>
      <c r="AG56" s="119">
        <f>'2018'!AK417</f>
        <v>241</v>
      </c>
      <c r="AH56" s="119">
        <f>'2018'!AL417</f>
        <v>11</v>
      </c>
      <c r="AI56" s="106">
        <f>'2018'!AM417</f>
        <v>27.39</v>
      </c>
      <c r="AJ56" s="106">
        <f>'2018'!AN417</f>
      </c>
      <c r="AK56" s="119">
        <f>'2018'!AO417</f>
        <v>249</v>
      </c>
      <c r="AL56" s="119">
        <f>'2018'!AP417</f>
        <v>8</v>
      </c>
      <c r="AM56" s="106">
        <f>'2018'!AQ417</f>
        <v>19.92</v>
      </c>
      <c r="AN56" s="106">
        <f>'2018'!AR417</f>
        <v>92.13</v>
      </c>
      <c r="AO56" s="119">
        <f>'2018'!AS417</f>
        <v>267</v>
      </c>
      <c r="AP56" s="119">
        <f>'2018'!AT417</f>
        <v>18</v>
      </c>
      <c r="AQ56" s="106">
        <f>'2018'!AU417</f>
        <v>44.82</v>
      </c>
      <c r="AR56" s="106">
        <f>'2018'!AV417</f>
      </c>
      <c r="AS56" s="126">
        <f>'2018'!AW417</f>
        <v>267</v>
      </c>
      <c r="AT56" s="119">
        <f>'2018'!AX417</f>
        <v>0</v>
      </c>
      <c r="AU56" s="106">
        <f>'2018'!AY417</f>
        <v>0</v>
      </c>
      <c r="AV56" s="106">
        <f>'2018'!AZ417</f>
      </c>
      <c r="AW56" s="106"/>
      <c r="AX56" s="106"/>
      <c r="AY56" s="119">
        <f>'2018'!BA417</f>
        <v>267</v>
      </c>
      <c r="AZ56" s="119">
        <f>'2018'!BB417</f>
        <v>0</v>
      </c>
      <c r="BA56" s="106">
        <f>'2018'!BC417</f>
        <v>0</v>
      </c>
      <c r="BB56" s="106">
        <f>'2018'!BD417</f>
      </c>
      <c r="BC56" s="106"/>
      <c r="BD56" s="106"/>
      <c r="BE56" s="119">
        <f>'2018'!BE417</f>
        <v>72</v>
      </c>
      <c r="BF56" s="106">
        <f>'2018'!BF417</f>
        <v>179.28</v>
      </c>
      <c r="BG56" s="106">
        <f>'2018'!BG417</f>
        <v>205.87</v>
      </c>
      <c r="BH56" s="106">
        <f>'2018'!BH417</f>
        <v>44.82</v>
      </c>
      <c r="BI56" s="106"/>
      <c r="BJ56" s="106">
        <f t="shared" ref="BJ56:BJ57" si="1">BH56+AX56</f>
        <v>44.82</v>
      </c>
    </row>
    <row r="57" ht="15.75" customHeight="1" spans="1:62" x14ac:dyDescent="0.25">
      <c r="A57" s="114" t="s">
        <v>217</v>
      </c>
      <c r="B57" s="115">
        <v>56</v>
      </c>
      <c r="C57" s="115">
        <v>6.23</v>
      </c>
      <c r="D57" s="117" t="s">
        <v>219</v>
      </c>
      <c r="E57" s="119">
        <f>'2018'!I425</f>
      </c>
      <c r="F57" s="119">
        <f>'2018'!J425</f>
      </c>
      <c r="G57" s="106">
        <f>'2018'!K425</f>
      </c>
      <c r="H57" s="106">
        <f>'2018'!L425</f>
      </c>
      <c r="I57" s="119">
        <f>'2018'!M425</f>
      </c>
      <c r="J57" s="119">
        <f>'2018'!N425</f>
      </c>
      <c r="K57" s="106">
        <f>'2018'!O425</f>
      </c>
      <c r="L57" s="106">
        <f>'2018'!P425</f>
      </c>
      <c r="M57" s="119">
        <f>'2018'!Q425</f>
      </c>
      <c r="N57" s="119">
        <f>'2018'!R425</f>
      </c>
      <c r="O57" s="119">
        <f>'2018'!S425</f>
      </c>
      <c r="P57" s="119">
        <f>'2018'!T425</f>
      </c>
      <c r="Q57" s="119">
        <f>'2018'!U425</f>
      </c>
      <c r="R57" s="119">
        <f>'2018'!V425</f>
      </c>
      <c r="S57" s="106">
        <f>'2018'!W425</f>
      </c>
      <c r="T57" s="106">
        <f>'2018'!X425</f>
      </c>
      <c r="U57" s="119">
        <f>'2018'!Y425</f>
      </c>
      <c r="V57" s="119">
        <f>'2018'!Z425</f>
        <v>0</v>
      </c>
      <c r="W57" s="106">
        <f>'2018'!AA425</f>
        <v>0</v>
      </c>
      <c r="X57" s="106">
        <f>'2018'!AB425</f>
      </c>
      <c r="Y57" s="119">
        <f>'2018'!AC425</f>
      </c>
      <c r="Z57" s="119">
        <f>'2018'!AD425</f>
        <v>0</v>
      </c>
      <c r="AA57" s="106">
        <f>'2018'!AE425</f>
        <v>0</v>
      </c>
      <c r="AB57" s="106">
        <f>'2018'!AF425</f>
      </c>
      <c r="AC57" s="119">
        <f>'2018'!AG425</f>
      </c>
      <c r="AD57" s="119">
        <f>'2018'!AH425</f>
        <v>0</v>
      </c>
      <c r="AE57" s="106">
        <f>'2018'!AI425</f>
        <v>0</v>
      </c>
      <c r="AF57" s="106">
        <f>'2018'!AJ425</f>
      </c>
      <c r="AG57" s="119">
        <f>'2018'!AK425</f>
      </c>
      <c r="AH57" s="119">
        <f>'2018'!AL425</f>
        <v>0</v>
      </c>
      <c r="AI57" s="106">
        <f>'2018'!AM425</f>
        <v>0</v>
      </c>
      <c r="AJ57" s="106">
        <f>'2018'!AN425</f>
      </c>
      <c r="AK57" s="119">
        <f>'2018'!AO425</f>
      </c>
      <c r="AL57" s="119">
        <f>'2018'!AP425</f>
      </c>
      <c r="AM57" s="106">
        <f>'2018'!AQ425</f>
        <v>0</v>
      </c>
      <c r="AN57" s="106">
        <f>'2018'!AR425</f>
      </c>
      <c r="AO57" s="119">
        <f>'2018'!AS425</f>
      </c>
      <c r="AP57" s="119">
        <f>'2018'!AT425</f>
      </c>
      <c r="AQ57" s="106">
        <f>'2018'!AU425</f>
        <v>0</v>
      </c>
      <c r="AR57" s="106">
        <f>'2018'!AV425</f>
      </c>
      <c r="AS57" s="126">
        <f>'2018'!AW425</f>
      </c>
      <c r="AT57" s="119">
        <f>'2018'!AX425</f>
      </c>
      <c r="AU57" s="106">
        <f>'2018'!AY425</f>
        <v>0</v>
      </c>
      <c r="AV57" s="106">
        <f>'2018'!AZ425</f>
      </c>
      <c r="AW57" s="106"/>
      <c r="AX57" s="106"/>
      <c r="AY57" s="119">
        <f>'2018'!BA425</f>
        <v>14</v>
      </c>
      <c r="AZ57" s="119">
        <f>'2018'!BB425</f>
        <v>14</v>
      </c>
      <c r="BA57" s="106">
        <f>'2018'!BC425</f>
        <v>34.86</v>
      </c>
      <c r="BB57" s="106">
        <f>'2018'!BD425</f>
        <v>150</v>
      </c>
      <c r="BC57" s="106"/>
      <c r="BD57" s="106"/>
      <c r="BE57" s="119">
        <f>'2018'!BE425</f>
        <v>14</v>
      </c>
      <c r="BF57" s="106">
        <f>'2018'!BF425</f>
        <v>34.86</v>
      </c>
      <c r="BG57" s="106">
        <f>'2018'!BG425</f>
        <v>150</v>
      </c>
      <c r="BH57" s="106">
        <f>'2018'!BH425</f>
        <v>-115.14</v>
      </c>
      <c r="BI57" s="106"/>
      <c r="BJ57" s="106">
        <f t="shared" si="1"/>
        <v>-115.14</v>
      </c>
    </row>
    <row r="58" ht="15.75" customHeight="1" hidden="1" spans="1:61" x14ac:dyDescent="0.25">
      <c r="A58" s="14"/>
      <c r="B58" s="115">
        <v>57</v>
      </c>
      <c r="C58" s="116">
        <v>4</v>
      </c>
      <c r="D58" s="117" t="s">
        <v>221</v>
      </c>
      <c r="E58" s="119">
        <f>'2018'!I433</f>
        <v>460</v>
      </c>
      <c r="F58" s="119">
        <f>'2018'!J433</f>
        <v>0</v>
      </c>
      <c r="G58" s="106">
        <f>'2018'!K433</f>
        <v>0</v>
      </c>
      <c r="H58" s="106">
        <f>'2018'!L433</f>
      </c>
      <c r="I58" s="119">
        <f>'2018'!M433</f>
        <v>460</v>
      </c>
      <c r="J58" s="119">
        <f>'2018'!N433</f>
        <v>0</v>
      </c>
      <c r="K58" s="106">
        <f>'2018'!O433</f>
        <v>0</v>
      </c>
      <c r="L58" s="106">
        <f>'2018'!P433</f>
      </c>
      <c r="M58" s="119">
        <f>'2018'!Q433</f>
        <v>460</v>
      </c>
      <c r="N58" s="119">
        <f>'2018'!R433</f>
        <v>0</v>
      </c>
      <c r="O58" s="119">
        <f>'2018'!S433</f>
        <v>0</v>
      </c>
      <c r="P58" s="119">
        <f>'2018'!T433</f>
      </c>
      <c r="Q58" s="119">
        <f>'2018'!U433</f>
        <v>460</v>
      </c>
      <c r="R58" s="119">
        <f>'2018'!V433</f>
        <v>0</v>
      </c>
      <c r="S58" s="106">
        <f>'2018'!W433</f>
        <v>0</v>
      </c>
      <c r="T58" s="106">
        <f>'2018'!X433</f>
      </c>
      <c r="U58" s="119">
        <f>'2018'!Y433</f>
        <v>460</v>
      </c>
      <c r="V58" s="119">
        <f>'2018'!Z433</f>
        <v>0</v>
      </c>
      <c r="W58" s="106">
        <f>'2018'!AA433</f>
        <v>0</v>
      </c>
      <c r="X58" s="106">
        <f>'2018'!AB433</f>
      </c>
      <c r="Y58" s="119">
        <f>'2018'!AC433</f>
        <v>460</v>
      </c>
      <c r="Z58" s="119">
        <f>'2018'!AD433</f>
        <v>0</v>
      </c>
      <c r="AA58" s="106">
        <f>'2018'!AE433</f>
        <v>0</v>
      </c>
      <c r="AB58" s="106">
        <f>'2018'!AF433</f>
      </c>
      <c r="AC58" s="119">
        <f>'2018'!AG433</f>
        <v>460</v>
      </c>
      <c r="AD58" s="119">
        <f>'2018'!AH433</f>
        <v>0</v>
      </c>
      <c r="AE58" s="106">
        <f>'2018'!AI433</f>
        <v>0</v>
      </c>
      <c r="AF58" s="106">
        <f>'2018'!AJ433</f>
      </c>
      <c r="AG58" s="119">
        <f>'2018'!AK433</f>
        <v>460</v>
      </c>
      <c r="AH58" s="119">
        <f>'2018'!AL433</f>
        <v>0</v>
      </c>
      <c r="AI58" s="106">
        <f>'2018'!AM433</f>
        <v>0</v>
      </c>
      <c r="AJ58" s="106">
        <f>'2018'!AN433</f>
        <v>584.9</v>
      </c>
      <c r="AK58" s="119">
        <f>'2018'!AO433</f>
        <v>461</v>
      </c>
      <c r="AL58" s="119">
        <f>'2018'!AP433</f>
        <v>1</v>
      </c>
      <c r="AM58" s="106">
        <f>'2018'!AQ433</f>
        <v>2.49</v>
      </c>
      <c r="AN58" s="106">
        <f>'2018'!AR433</f>
      </c>
      <c r="AO58" s="119">
        <f>'2018'!AS433</f>
        <v>462</v>
      </c>
      <c r="AP58" s="119">
        <f>'2018'!AT433</f>
        <v>1</v>
      </c>
      <c r="AQ58" s="106">
        <f>'2018'!AU433</f>
        <v>2.49</v>
      </c>
      <c r="AR58" s="106">
        <f>'2018'!AV433</f>
      </c>
      <c r="AS58" s="119">
        <f>'2018'!AW433</f>
        <v>462</v>
      </c>
      <c r="AT58" s="119">
        <f>'2018'!AX433</f>
        <v>0</v>
      </c>
      <c r="AU58" s="106">
        <f>'2018'!AY433</f>
        <v>0</v>
      </c>
      <c r="AV58" s="106">
        <f>'2018'!AZ433</f>
      </c>
      <c r="AW58" s="106"/>
      <c r="AX58" s="106"/>
      <c r="AY58" s="119">
        <f>'2018'!BA433</f>
        <v>462</v>
      </c>
      <c r="AZ58" s="119">
        <f>'2018'!BB433</f>
        <v>0</v>
      </c>
      <c r="BA58" s="106">
        <f>'2018'!BC433</f>
        <v>0</v>
      </c>
      <c r="BB58" s="106">
        <f>'2018'!BD433</f>
      </c>
      <c r="BC58" s="106"/>
      <c r="BD58" s="106"/>
      <c r="BE58" s="119">
        <f>'2018'!BE433</f>
        <v>2</v>
      </c>
      <c r="BF58" s="106">
        <f>'2018'!BF433</f>
        <v>4.98</v>
      </c>
      <c r="BG58" s="106">
        <f>'2018'!BG433</f>
        <v>584.9</v>
      </c>
      <c r="BH58" s="106">
        <f>'2018'!BH433</f>
        <v>4.98</v>
      </c>
      <c r="BI58" s="34"/>
    </row>
    <row r="59" ht="15.75" customHeight="1" hidden="1" spans="1:61" x14ac:dyDescent="0.25">
      <c r="A59" s="14"/>
      <c r="B59" s="115">
        <v>59</v>
      </c>
      <c r="C59" s="116">
        <v>4</v>
      </c>
      <c r="D59" s="117" t="s">
        <v>221</v>
      </c>
      <c r="E59" s="119">
        <f>'2018'!I441</f>
      </c>
      <c r="F59" s="119">
        <f>'2018'!J441</f>
        <v>0</v>
      </c>
      <c r="G59" s="106">
        <f>'2018'!K441</f>
        <v>0</v>
      </c>
      <c r="H59" s="106">
        <f>'2018'!L441</f>
      </c>
      <c r="I59" s="119">
        <f>'2018'!M441</f>
      </c>
      <c r="J59" s="119">
        <f>'2018'!N441</f>
        <v>0</v>
      </c>
      <c r="K59" s="106">
        <f>'2018'!O441</f>
        <v>0</v>
      </c>
      <c r="L59" s="106">
        <f>'2018'!P441</f>
      </c>
      <c r="M59" s="119">
        <f>'2018'!Q441</f>
      </c>
      <c r="N59" s="119">
        <f>'2018'!R441</f>
        <v>0</v>
      </c>
      <c r="O59" s="119">
        <f>'2018'!S441</f>
        <v>0</v>
      </c>
      <c r="P59" s="119">
        <f>'2018'!T441</f>
      </c>
      <c r="Q59" s="119">
        <f>'2018'!U441</f>
      </c>
      <c r="R59" s="119">
        <f>'2018'!V441</f>
        <v>0</v>
      </c>
      <c r="S59" s="106">
        <f>'2018'!W441</f>
        <v>0</v>
      </c>
      <c r="T59" s="106">
        <f>'2018'!X441</f>
      </c>
      <c r="U59" s="119">
        <f>'2018'!Y441</f>
      </c>
      <c r="V59" s="119">
        <f>'2018'!Z441</f>
        <v>0</v>
      </c>
      <c r="W59" s="106">
        <f>'2018'!AA441</f>
        <v>0</v>
      </c>
      <c r="X59" s="106">
        <f>'2018'!AB441</f>
      </c>
      <c r="Y59" s="119">
        <f>'2018'!AC441</f>
      </c>
      <c r="Z59" s="119">
        <f>'2018'!AD441</f>
        <v>0</v>
      </c>
      <c r="AA59" s="106">
        <f>'2018'!AE441</f>
        <v>0</v>
      </c>
      <c r="AB59" s="106">
        <f>'2018'!AF441</f>
      </c>
      <c r="AC59" s="119">
        <f>'2018'!AG441</f>
      </c>
      <c r="AD59" s="119">
        <f>'2018'!AH441</f>
        <v>0</v>
      </c>
      <c r="AE59" s="106">
        <f>'2018'!AI441</f>
        <v>0</v>
      </c>
      <c r="AF59" s="106">
        <f>'2018'!AJ441</f>
      </c>
      <c r="AG59" s="119">
        <f>'2018'!AK441</f>
      </c>
      <c r="AH59" s="119">
        <f>'2018'!AL441</f>
        <v>0</v>
      </c>
      <c r="AI59" s="106">
        <f>'2018'!AM441</f>
        <v>0</v>
      </c>
      <c r="AJ59" s="106">
        <f>'2018'!AN441</f>
      </c>
      <c r="AK59" s="119">
        <f>'2018'!AO441</f>
      </c>
      <c r="AL59" s="119">
        <f>'2018'!AP441</f>
      </c>
      <c r="AM59" s="106">
        <f>'2018'!AQ441</f>
        <v>0</v>
      </c>
      <c r="AN59" s="106">
        <f>'2018'!AR441</f>
      </c>
      <c r="AO59" s="119">
        <f>'2018'!AS441</f>
      </c>
      <c r="AP59" s="119">
        <f>'2018'!AT441</f>
      </c>
      <c r="AQ59" s="106">
        <f>'2018'!AU441</f>
        <v>0</v>
      </c>
      <c r="AR59" s="106">
        <f>'2018'!AV441</f>
      </c>
      <c r="AS59" s="119">
        <f>'2018'!AW441</f>
      </c>
      <c r="AT59" s="119">
        <f>'2018'!AX441</f>
      </c>
      <c r="AU59" s="106">
        <f>'2018'!AY441</f>
        <v>0</v>
      </c>
      <c r="AV59" s="106">
        <f>'2018'!AZ441</f>
      </c>
      <c r="AW59" s="106"/>
      <c r="AX59" s="106"/>
      <c r="AY59" s="119">
        <f>'2018'!BA441</f>
      </c>
      <c r="AZ59" s="119">
        <f>'2018'!BB441</f>
      </c>
      <c r="BA59" s="106">
        <f>'2018'!BC441</f>
        <v>0</v>
      </c>
      <c r="BB59" s="106">
        <f>'2018'!BD441</f>
      </c>
      <c r="BC59" s="106"/>
      <c r="BD59" s="106"/>
      <c r="BE59" s="119">
        <f>'2018'!BE441</f>
        <v>0</v>
      </c>
      <c r="BF59" s="106">
        <f>'2018'!BF441</f>
        <v>0</v>
      </c>
      <c r="BG59" s="106">
        <f>'2018'!BG441</f>
        <v>0</v>
      </c>
      <c r="BH59" s="106">
        <f>'2018'!BH441</f>
        <v>0</v>
      </c>
      <c r="BI59" s="34"/>
    </row>
    <row r="60" ht="15.75" customHeight="1" spans="1:62" x14ac:dyDescent="0.25">
      <c r="A60" s="14"/>
      <c r="B60" s="125">
        <v>58</v>
      </c>
      <c r="C60" s="115">
        <v>5.08</v>
      </c>
      <c r="D60" s="117" t="s">
        <v>223</v>
      </c>
      <c r="E60" s="119">
        <f>'2018'!I449</f>
        <v>720</v>
      </c>
      <c r="F60" s="119">
        <f>'2018'!J449</f>
        <v>0</v>
      </c>
      <c r="G60" s="106">
        <f>'2018'!K449</f>
        <v>0</v>
      </c>
      <c r="H60" s="106">
        <f>'2018'!L449</f>
      </c>
      <c r="I60" s="119">
        <f>'2018'!M449</f>
        <v>720</v>
      </c>
      <c r="J60" s="119">
        <f>'2018'!N449</f>
        <v>0</v>
      </c>
      <c r="K60" s="106">
        <f>'2018'!O449</f>
        <v>0</v>
      </c>
      <c r="L60" s="106">
        <f>'2018'!P449</f>
      </c>
      <c r="M60" s="119">
        <f>'2018'!Q449</f>
        <v>833</v>
      </c>
      <c r="N60" s="119">
        <f>'2018'!R449</f>
        <v>113</v>
      </c>
      <c r="O60" s="119">
        <f>'2018'!S449</f>
        <v>281.37</v>
      </c>
      <c r="P60" s="119">
        <f>'2018'!T449</f>
      </c>
      <c r="Q60" s="119">
        <f>'2018'!U449</f>
        <v>883</v>
      </c>
      <c r="R60" s="119">
        <f>'2018'!V449</f>
        <v>50</v>
      </c>
      <c r="S60" s="106">
        <f>'2018'!W449</f>
        <v>124.5</v>
      </c>
      <c r="T60" s="106">
        <f>'2018'!X449</f>
      </c>
      <c r="U60" s="119">
        <f>'2018'!Y449</f>
        <v>1017</v>
      </c>
      <c r="V60" s="119">
        <f>'2018'!Z449</f>
        <v>134</v>
      </c>
      <c r="W60" s="106">
        <f>'2018'!AA449</f>
        <v>333.66</v>
      </c>
      <c r="X60" s="106">
        <f>'2018'!AB449</f>
        <v>333.66</v>
      </c>
      <c r="Y60" s="119">
        <f>'2018'!AC449</f>
        <v>1094</v>
      </c>
      <c r="Z60" s="119">
        <f>'2018'!AD449</f>
        <v>77</v>
      </c>
      <c r="AA60" s="106">
        <f>'2018'!AE449</f>
        <v>191.73</v>
      </c>
      <c r="AB60" s="106">
        <f>'2018'!AF449</f>
      </c>
      <c r="AC60" s="119">
        <f>'2018'!AG449</f>
        <v>1139</v>
      </c>
      <c r="AD60" s="119">
        <f>'2018'!AH449</f>
        <v>45</v>
      </c>
      <c r="AE60" s="106">
        <f>'2018'!AI449</f>
        <v>112.05</v>
      </c>
      <c r="AF60" s="106">
        <f>'2018'!AJ449</f>
        <v>262.85</v>
      </c>
      <c r="AG60" s="119">
        <f>'2018'!AK449</f>
        <v>1227</v>
      </c>
      <c r="AH60" s="119">
        <f>'2018'!AL449</f>
        <v>88</v>
      </c>
      <c r="AI60" s="106">
        <f>'2018'!AM449</f>
        <v>219.12</v>
      </c>
      <c r="AJ60" s="106">
        <f>'2018'!AN449</f>
        <v>343.62</v>
      </c>
      <c r="AK60" s="119">
        <f>'2018'!AO449</f>
        <v>1567</v>
      </c>
      <c r="AL60" s="119">
        <f>'2018'!AP449</f>
        <v>340</v>
      </c>
      <c r="AM60" s="106">
        <f>'2018'!AQ449</f>
        <v>846.6</v>
      </c>
      <c r="AN60" s="106">
        <f>'2018'!AR449</f>
        <v>846.6</v>
      </c>
      <c r="AO60" s="119">
        <f>'2018'!AS449</f>
        <v>1902</v>
      </c>
      <c r="AP60" s="119">
        <f>'2018'!AT449</f>
        <v>335</v>
      </c>
      <c r="AQ60" s="106">
        <f>'2018'!AU449</f>
        <v>834.15</v>
      </c>
      <c r="AR60" s="106">
        <f>'2018'!AV449</f>
      </c>
      <c r="AS60" s="126">
        <f>'2018'!AW449</f>
        <v>1910</v>
      </c>
      <c r="AT60" s="119">
        <f>'2018'!AX449</f>
        <v>8</v>
      </c>
      <c r="AU60" s="106">
        <f>'2018'!AY449</f>
        <v>19.92</v>
      </c>
      <c r="AV60" s="106">
        <f>'2018'!AZ449</f>
        <v>1335</v>
      </c>
      <c r="AW60" s="119">
        <v>155</v>
      </c>
      <c r="AX60" s="106">
        <f t="shared" ref="AX60:AX61" si="2">AW60*$AX$2</f>
        <v>385.95</v>
      </c>
      <c r="AY60" s="119">
        <f>'2018'!BA449</f>
        <v>1910</v>
      </c>
      <c r="AZ60" s="119">
        <f>'2018'!BB449</f>
        <v>0</v>
      </c>
      <c r="BA60" s="106">
        <f>'2018'!BC449</f>
        <v>0</v>
      </c>
      <c r="BB60" s="106">
        <f>'2018'!BD449</f>
      </c>
      <c r="BC60" s="106"/>
      <c r="BD60" s="106"/>
      <c r="BE60" s="119">
        <f>'2018'!BE449</f>
        <v>1190</v>
      </c>
      <c r="BF60" s="106">
        <f>'2018'!BF449</f>
        <v>2963.1</v>
      </c>
      <c r="BG60" s="106">
        <f>'2018'!BG449</f>
        <v>3121.73</v>
      </c>
      <c r="BH60" s="106">
        <f>'2018'!BH449</f>
        <v>-480.93</v>
      </c>
      <c r="BI60" s="106">
        <f t="shared" ref="BI60:BI61" si="3">AX60+BC60</f>
        <v>385.95</v>
      </c>
      <c r="BJ60" s="106">
        <f t="shared" ref="BJ60:BJ61" si="4">BH60+AX60</f>
        <v>-94.98</v>
      </c>
    </row>
    <row r="61" ht="15.75" customHeight="1" spans="1:62" x14ac:dyDescent="0.25">
      <c r="A61" s="14"/>
      <c r="B61" s="125">
        <v>60</v>
      </c>
      <c r="C61" s="116">
        <v>4.4</v>
      </c>
      <c r="D61" s="117" t="s">
        <v>227</v>
      </c>
      <c r="E61" s="119">
        <f>'2018'!I457</f>
        <v>237</v>
      </c>
      <c r="F61" s="119">
        <f>'2018'!J457</f>
        <v>5</v>
      </c>
      <c r="G61" s="106">
        <f>'2018'!K457</f>
        <v>12.45</v>
      </c>
      <c r="H61" s="106">
        <f>'2018'!L457</f>
      </c>
      <c r="I61" s="119">
        <f>'2018'!M457</f>
        <v>250</v>
      </c>
      <c r="J61" s="119">
        <f>'2018'!N457</f>
        <v>13</v>
      </c>
      <c r="K61" s="106">
        <f>'2018'!O457</f>
        <v>32.37</v>
      </c>
      <c r="L61" s="106">
        <f>'2018'!P457</f>
      </c>
      <c r="M61" s="119">
        <f>'2018'!Q457</f>
        <v>275</v>
      </c>
      <c r="N61" s="119">
        <f>'2018'!R457</f>
        <v>25</v>
      </c>
      <c r="O61" s="119">
        <f>'2018'!S457</f>
        <v>62.25</v>
      </c>
      <c r="P61" s="119">
        <f>'2018'!T457</f>
      </c>
      <c r="Q61" s="119">
        <f>'2018'!U457</f>
        <v>306</v>
      </c>
      <c r="R61" s="119">
        <f>'2018'!V457</f>
        <v>31</v>
      </c>
      <c r="S61" s="106">
        <f>'2018'!W457</f>
        <v>77.19</v>
      </c>
      <c r="T61" s="106">
        <f>'2018'!X457</f>
      </c>
      <c r="U61" s="119">
        <f>'2018'!Y457</f>
        <v>376</v>
      </c>
      <c r="V61" s="119">
        <f>'2018'!Z457</f>
        <v>70</v>
      </c>
      <c r="W61" s="106">
        <f>'2018'!AA457</f>
        <v>174.3</v>
      </c>
      <c r="X61" s="106">
        <f>'2018'!AB457</f>
      </c>
      <c r="Y61" s="119">
        <f>'2018'!AC457</f>
        <v>393</v>
      </c>
      <c r="Z61" s="119">
        <f>'2018'!AD457</f>
        <v>17</v>
      </c>
      <c r="AA61" s="106">
        <f>'2018'!AE457</f>
        <v>42.33</v>
      </c>
      <c r="AB61" s="106">
        <f>'2018'!AF457</f>
      </c>
      <c r="AC61" s="119">
        <f>'2018'!AG457</f>
        <v>426</v>
      </c>
      <c r="AD61" s="119">
        <f>'2018'!AH457</f>
        <v>33</v>
      </c>
      <c r="AE61" s="106">
        <f>'2018'!AI457</f>
        <v>82.17</v>
      </c>
      <c r="AF61" s="106">
        <f>'2018'!AJ457</f>
      </c>
      <c r="AG61" s="119">
        <f>'2018'!AK457</f>
        <v>458</v>
      </c>
      <c r="AH61" s="119">
        <f>'2018'!AL457</f>
        <v>32</v>
      </c>
      <c r="AI61" s="106">
        <f>'2018'!AM457</f>
        <v>79.68</v>
      </c>
      <c r="AJ61" s="106">
        <f>'2018'!AN457</f>
      </c>
      <c r="AK61" s="119">
        <f>'2018'!AO457</f>
        <v>495</v>
      </c>
      <c r="AL61" s="119">
        <f>'2018'!AP457</f>
        <v>37</v>
      </c>
      <c r="AM61" s="106">
        <f>'2018'!AQ457</f>
        <v>92.13</v>
      </c>
      <c r="AN61" s="106">
        <f>'2018'!AR457</f>
      </c>
      <c r="AO61" s="119">
        <f>'2018'!AS457</f>
        <v>508</v>
      </c>
      <c r="AP61" s="119">
        <f>'2018'!AT457</f>
        <v>13</v>
      </c>
      <c r="AQ61" s="106">
        <f>'2018'!AU457</f>
        <v>32.37</v>
      </c>
      <c r="AR61" s="106">
        <f>'2018'!AV457</f>
      </c>
      <c r="AS61" s="126">
        <f>'2018'!AW457</f>
        <v>508</v>
      </c>
      <c r="AT61" s="119">
        <f>'2018'!AX457</f>
        <v>0</v>
      </c>
      <c r="AU61" s="106">
        <f>'2018'!AY457</f>
        <v>0</v>
      </c>
      <c r="AV61" s="106">
        <f>'2018'!AZ457</f>
      </c>
      <c r="AW61" s="119">
        <v>155</v>
      </c>
      <c r="AX61" s="106">
        <f t="shared" si="2"/>
        <v>385.95</v>
      </c>
      <c r="AY61" s="119">
        <f>'2018'!BA457</f>
        <v>510</v>
      </c>
      <c r="AZ61" s="119">
        <f>'2018'!BB457</f>
        <v>2</v>
      </c>
      <c r="BA61" s="106">
        <f>'2018'!BC457</f>
        <v>4.98</v>
      </c>
      <c r="BB61" s="106">
        <f>'2018'!BD457</f>
      </c>
      <c r="BC61" s="106"/>
      <c r="BD61" s="106"/>
      <c r="BE61" s="119">
        <f>'2018'!BE457</f>
        <v>278</v>
      </c>
      <c r="BF61" s="106">
        <f>'2018'!BF457</f>
        <v>692.22</v>
      </c>
      <c r="BG61" s="106">
        <f>'2018'!BG457</f>
        <v>0</v>
      </c>
      <c r="BH61" s="106">
        <f>'2018'!BH457</f>
        <v>-178.3</v>
      </c>
      <c r="BI61" s="106">
        <f t="shared" si="3"/>
        <v>385.95</v>
      </c>
      <c r="BJ61" s="106">
        <f t="shared" si="4"/>
        <v>207.65</v>
      </c>
    </row>
    <row r="62" ht="15.75" customHeight="1" hidden="1" spans="1:61" x14ac:dyDescent="0.25">
      <c r="A62" s="14"/>
      <c r="B62" s="115">
        <v>61</v>
      </c>
      <c r="C62" s="115">
        <v>4.71</v>
      </c>
      <c r="D62" s="117" t="s">
        <v>231</v>
      </c>
      <c r="E62" s="119">
        <f>'2018'!I465</f>
        <v>127</v>
      </c>
      <c r="F62" s="119">
        <f>'2018'!J465</f>
        <v>0</v>
      </c>
      <c r="G62" s="106">
        <f>'2018'!K465</f>
        <v>0</v>
      </c>
      <c r="H62" s="106">
        <f>'2018'!L465</f>
      </c>
      <c r="I62" s="119">
        <f>'2018'!M465</f>
        <v>127</v>
      </c>
      <c r="J62" s="119">
        <f>'2018'!N465</f>
        <v>0</v>
      </c>
      <c r="K62" s="106">
        <f>'2018'!O465</f>
        <v>0</v>
      </c>
      <c r="L62" s="106">
        <f>'2018'!P465</f>
      </c>
      <c r="M62" s="119">
        <f>'2018'!Q465</f>
        <v>127</v>
      </c>
      <c r="N62" s="119">
        <f>'2018'!R465</f>
        <v>0</v>
      </c>
      <c r="O62" s="119">
        <f>'2018'!S465</f>
        <v>0</v>
      </c>
      <c r="P62" s="119">
        <f>'2018'!T465</f>
      </c>
      <c r="Q62" s="119">
        <f>'2018'!U465</f>
        <v>129</v>
      </c>
      <c r="R62" s="119">
        <f>'2018'!V465</f>
        <v>2</v>
      </c>
      <c r="S62" s="106">
        <f>'2018'!W465</f>
        <v>4.98</v>
      </c>
      <c r="T62" s="106">
        <f>'2018'!X465</f>
        <v>42.33</v>
      </c>
      <c r="U62" s="119">
        <f>'2018'!Y465</f>
        <v>148</v>
      </c>
      <c r="V62" s="119">
        <f>'2018'!Z465</f>
        <v>19</v>
      </c>
      <c r="W62" s="106">
        <f>'2018'!AA465</f>
        <v>47.31</v>
      </c>
      <c r="X62" s="106">
        <f>'2018'!AB465</f>
        <v>47.31</v>
      </c>
      <c r="Y62" s="119">
        <f>'2018'!AC465</f>
        <v>184</v>
      </c>
      <c r="Z62" s="119">
        <f>'2018'!AD465</f>
        <v>36</v>
      </c>
      <c r="AA62" s="106">
        <f>'2018'!AE465</f>
        <v>89.64</v>
      </c>
      <c r="AB62" s="106">
        <f>'2018'!AF465</f>
      </c>
      <c r="AC62" s="119">
        <f>'2018'!AG465</f>
        <v>194</v>
      </c>
      <c r="AD62" s="119">
        <f>'2018'!AH465</f>
        <v>10</v>
      </c>
      <c r="AE62" s="106">
        <f>'2018'!AI465</f>
        <v>24.9</v>
      </c>
      <c r="AF62" s="106">
        <f>'2018'!AJ465</f>
      </c>
      <c r="AG62" s="119">
        <f>'2018'!AK465</f>
        <v>206</v>
      </c>
      <c r="AH62" s="119">
        <f>'2018'!AL465</f>
        <v>12</v>
      </c>
      <c r="AI62" s="106">
        <f>'2018'!AM465</f>
        <v>29.88</v>
      </c>
      <c r="AJ62" s="106">
        <f>'2018'!AN465</f>
      </c>
      <c r="AK62" s="119">
        <f>'2018'!AO465</f>
        <v>217</v>
      </c>
      <c r="AL62" s="119">
        <f>'2018'!AP465</f>
        <v>11</v>
      </c>
      <c r="AM62" s="106">
        <f>'2018'!AQ465</f>
        <v>27.39</v>
      </c>
      <c r="AN62" s="106">
        <f>'2018'!AR465</f>
        <v>171.81</v>
      </c>
      <c r="AO62" s="119">
        <f>'2018'!AS465</f>
        <v>222</v>
      </c>
      <c r="AP62" s="119">
        <f>'2018'!AT465</f>
        <v>5</v>
      </c>
      <c r="AQ62" s="106">
        <f>'2018'!AU465</f>
        <v>12.45</v>
      </c>
      <c r="AR62" s="106">
        <f>'2018'!AV465</f>
      </c>
      <c r="AS62" s="119">
        <f>'2018'!AW465</f>
        <v>222</v>
      </c>
      <c r="AT62" s="119">
        <f>'2018'!AX465</f>
        <v>0</v>
      </c>
      <c r="AU62" s="106">
        <f>'2018'!AY465</f>
        <v>0</v>
      </c>
      <c r="AV62" s="106">
        <f>'2018'!AZ465</f>
      </c>
      <c r="AW62" s="106"/>
      <c r="AX62" s="106"/>
      <c r="AY62" s="119">
        <f>'2018'!BA465</f>
        <v>222</v>
      </c>
      <c r="AZ62" s="119">
        <f>'2018'!BB465</f>
        <v>0</v>
      </c>
      <c r="BA62" s="106">
        <f>'2018'!BC465</f>
        <v>0</v>
      </c>
      <c r="BB62" s="106">
        <f>'2018'!BD465</f>
      </c>
      <c r="BC62" s="106"/>
      <c r="BD62" s="106"/>
      <c r="BE62" s="119">
        <f>'2018'!BE465</f>
        <v>95</v>
      </c>
      <c r="BF62" s="106">
        <f>'2018'!BF465</f>
        <v>236.55</v>
      </c>
      <c r="BG62" s="106">
        <f>'2018'!BG465</f>
        <v>261.45</v>
      </c>
      <c r="BH62" s="106">
        <f>'2018'!BH465</f>
        <v>12.45</v>
      </c>
      <c r="BI62" s="34"/>
    </row>
    <row r="63" ht="15.75" customHeight="1" hidden="1" spans="1:61" x14ac:dyDescent="0.25">
      <c r="A63" s="14"/>
      <c r="B63" s="115">
        <v>62</v>
      </c>
      <c r="C63" s="116">
        <v>4.6</v>
      </c>
      <c r="D63" s="117" t="s">
        <v>234</v>
      </c>
      <c r="E63" s="119">
        <f>'2018'!I473</f>
        <v>219</v>
      </c>
      <c r="F63" s="119">
        <f>'2018'!J473</f>
        <v>0</v>
      </c>
      <c r="G63" s="106">
        <f>'2018'!K473</f>
        <v>0</v>
      </c>
      <c r="H63" s="106">
        <f>'2018'!L473</f>
      </c>
      <c r="I63" s="119">
        <f>'2018'!M473</f>
        <v>219</v>
      </c>
      <c r="J63" s="119">
        <f>'2018'!N473</f>
        <v>0</v>
      </c>
      <c r="K63" s="106">
        <f>'2018'!O473</f>
        <v>0</v>
      </c>
      <c r="L63" s="106">
        <f>'2018'!P473</f>
      </c>
      <c r="M63" s="119">
        <f>'2018'!Q473</f>
        <v>219</v>
      </c>
      <c r="N63" s="119">
        <f>'2018'!R473</f>
        <v>0</v>
      </c>
      <c r="O63" s="119">
        <f>'2018'!S473</f>
        <v>0</v>
      </c>
      <c r="P63" s="119">
        <f>'2018'!T473</f>
      </c>
      <c r="Q63" s="119">
        <f>'2018'!U473</f>
        <v>221</v>
      </c>
      <c r="R63" s="119">
        <f>'2018'!V473</f>
        <v>2</v>
      </c>
      <c r="S63" s="106">
        <f>'2018'!W473</f>
        <v>4.98</v>
      </c>
      <c r="T63" s="106">
        <f>'2018'!X473</f>
        <v>4.98</v>
      </c>
      <c r="U63" s="119">
        <f>'2018'!Y473</f>
        <v>224</v>
      </c>
      <c r="V63" s="119">
        <f>'2018'!Z473</f>
        <v>3</v>
      </c>
      <c r="W63" s="106">
        <f>'2018'!AA473</f>
        <v>7.47</v>
      </c>
      <c r="X63" s="106">
        <f>'2018'!AB473</f>
        <v>7.47</v>
      </c>
      <c r="Y63" s="119">
        <f>'2018'!AC473</f>
        <v>251</v>
      </c>
      <c r="Z63" s="119">
        <f>'2018'!AD473</f>
        <v>27</v>
      </c>
      <c r="AA63" s="106">
        <f>'2018'!AE473</f>
        <v>67.23</v>
      </c>
      <c r="AB63" s="106">
        <f>'2018'!AF473</f>
      </c>
      <c r="AC63" s="119">
        <f>'2018'!AG473</f>
        <v>281</v>
      </c>
      <c r="AD63" s="119">
        <f>'2018'!AH473</f>
        <v>30</v>
      </c>
      <c r="AE63" s="106">
        <f>'2018'!AI473</f>
        <v>74.7</v>
      </c>
      <c r="AF63" s="106">
        <f>'2018'!AJ473</f>
        <v>67.23</v>
      </c>
      <c r="AG63" s="119">
        <f>'2018'!AK473</f>
        <v>301</v>
      </c>
      <c r="AH63" s="119">
        <f>'2018'!AL473</f>
        <v>20</v>
      </c>
      <c r="AI63" s="106">
        <f>'2018'!AM473</f>
        <v>49.8</v>
      </c>
      <c r="AJ63" s="106">
        <f>'2018'!AN473</f>
        <v>124.5</v>
      </c>
      <c r="AK63" s="119">
        <f>'2018'!AO473</f>
        <v>307</v>
      </c>
      <c r="AL63" s="119">
        <f>'2018'!AP473</f>
        <v>6</v>
      </c>
      <c r="AM63" s="106">
        <f>'2018'!AQ473</f>
        <v>14.94</v>
      </c>
      <c r="AN63" s="106">
        <f>'2018'!AR473</f>
      </c>
      <c r="AO63" s="119">
        <f>'2018'!AS473</f>
        <v>307</v>
      </c>
      <c r="AP63" s="119">
        <f>'2018'!AT473</f>
        <v>0</v>
      </c>
      <c r="AQ63" s="106">
        <f>'2018'!AU473</f>
        <v>0</v>
      </c>
      <c r="AR63" s="106">
        <f>'2018'!AV473</f>
      </c>
      <c r="AS63" s="119">
        <f>'2018'!AW473</f>
        <v>307</v>
      </c>
      <c r="AT63" s="119">
        <f>'2018'!AX473</f>
        <v>0</v>
      </c>
      <c r="AU63" s="106">
        <f>'2018'!AY473</f>
        <v>0</v>
      </c>
      <c r="AV63" s="106">
        <f>'2018'!AZ473</f>
      </c>
      <c r="AW63" s="106"/>
      <c r="AX63" s="106"/>
      <c r="AY63" s="119">
        <f>'2018'!BA473</f>
        <v>307</v>
      </c>
      <c r="AZ63" s="119">
        <f>'2018'!BB473</f>
        <v>0</v>
      </c>
      <c r="BA63" s="106">
        <f>'2018'!BC473</f>
        <v>0</v>
      </c>
      <c r="BB63" s="106">
        <f>'2018'!BD473</f>
      </c>
      <c r="BC63" s="106"/>
      <c r="BD63" s="106"/>
      <c r="BE63" s="119">
        <f>'2018'!BE473</f>
        <v>88</v>
      </c>
      <c r="BF63" s="106">
        <f>'2018'!BF473</f>
        <v>219.12</v>
      </c>
      <c r="BG63" s="106">
        <f>'2018'!BG473</f>
        <v>204.18</v>
      </c>
      <c r="BH63" s="106">
        <f>'2018'!BH473</f>
        <v>14.94</v>
      </c>
      <c r="BI63" s="34"/>
    </row>
    <row r="64" ht="15.75" customHeight="1" hidden="1" spans="1:61" x14ac:dyDescent="0.25">
      <c r="A64" s="14"/>
      <c r="B64" s="115" t="s">
        <v>237</v>
      </c>
      <c r="C64" s="115">
        <v>8.02</v>
      </c>
      <c r="D64" s="117" t="s">
        <v>238</v>
      </c>
      <c r="E64" s="119">
        <f>'2018'!I481</f>
        <v>12</v>
      </c>
      <c r="F64" s="119">
        <f>'2018'!J481</f>
        <v>0</v>
      </c>
      <c r="G64" s="106">
        <f>'2018'!K481</f>
        <v>0</v>
      </c>
      <c r="H64" s="106">
        <f>'2018'!L481</f>
      </c>
      <c r="I64" s="119">
        <f>'2018'!M481</f>
        <v>12</v>
      </c>
      <c r="J64" s="119">
        <f>'2018'!N481</f>
        <v>0</v>
      </c>
      <c r="K64" s="106">
        <f>'2018'!O481</f>
        <v>0</v>
      </c>
      <c r="L64" s="106">
        <f>'2018'!P481</f>
      </c>
      <c r="M64" s="119">
        <f>'2018'!Q481</f>
        <v>12</v>
      </c>
      <c r="N64" s="119">
        <f>'2018'!R481</f>
        <v>0</v>
      </c>
      <c r="O64" s="119">
        <f>'2018'!S481</f>
        <v>0</v>
      </c>
      <c r="P64" s="119">
        <f>'2018'!T481</f>
      </c>
      <c r="Q64" s="119">
        <f>'2018'!U481</f>
        <v>12</v>
      </c>
      <c r="R64" s="119">
        <f>'2018'!V481</f>
        <v>0</v>
      </c>
      <c r="S64" s="106">
        <f>'2018'!W481</f>
        <v>0</v>
      </c>
      <c r="T64" s="106">
        <f>'2018'!X481</f>
      </c>
      <c r="U64" s="119">
        <f>'2018'!Y481</f>
        <v>14</v>
      </c>
      <c r="V64" s="119">
        <f>'2018'!Z481</f>
        <v>2</v>
      </c>
      <c r="W64" s="106">
        <f>'2018'!AA481</f>
        <v>4.98</v>
      </c>
      <c r="X64" s="106">
        <f>'2018'!AB481</f>
        <v>4.98</v>
      </c>
      <c r="Y64" s="119">
        <f>'2018'!AC481</f>
        <v>15</v>
      </c>
      <c r="Z64" s="119">
        <f>'2018'!AD481</f>
        <v>1</v>
      </c>
      <c r="AA64" s="106">
        <f>'2018'!AE481</f>
        <v>2.49</v>
      </c>
      <c r="AB64" s="106">
        <f>'2018'!AF481</f>
      </c>
      <c r="AC64" s="119">
        <f>'2018'!AG481</f>
        <v>17</v>
      </c>
      <c r="AD64" s="119">
        <f>'2018'!AH481</f>
        <v>2</v>
      </c>
      <c r="AE64" s="106">
        <f>'2018'!AI481</f>
        <v>4.98</v>
      </c>
      <c r="AF64" s="106">
        <f>'2018'!AJ481</f>
      </c>
      <c r="AG64" s="119">
        <f>'2018'!AK481</f>
        <v>19</v>
      </c>
      <c r="AH64" s="119">
        <f>'2018'!AL481</f>
        <v>2</v>
      </c>
      <c r="AI64" s="106">
        <f>'2018'!AM481</f>
        <v>4.98</v>
      </c>
      <c r="AJ64" s="106">
        <f>'2018'!AN481</f>
        <v>12.45</v>
      </c>
      <c r="AK64" s="119">
        <f>'2018'!AO481</f>
        <v>22</v>
      </c>
      <c r="AL64" s="119">
        <f>'2018'!AP481</f>
        <v>3</v>
      </c>
      <c r="AM64" s="106">
        <f>'2018'!AQ481</f>
        <v>7.47</v>
      </c>
      <c r="AN64" s="106">
        <f>'2018'!AR481</f>
        <v>7.47</v>
      </c>
      <c r="AO64" s="119">
        <f>'2018'!AS481</f>
        <v>23</v>
      </c>
      <c r="AP64" s="119">
        <f>'2018'!AT481</f>
        <v>1</v>
      </c>
      <c r="AQ64" s="106">
        <f>'2018'!AU481</f>
        <v>2.49</v>
      </c>
      <c r="AR64" s="106">
        <f>'2018'!AV481</f>
      </c>
      <c r="AS64" s="119">
        <f>'2018'!AW481</f>
        <v>23</v>
      </c>
      <c r="AT64" s="119">
        <f>'2018'!AX481</f>
        <v>0</v>
      </c>
      <c r="AU64" s="106">
        <f>'2018'!AY481</f>
        <v>0</v>
      </c>
      <c r="AV64" s="106">
        <f>'2018'!AZ481</f>
      </c>
      <c r="AW64" s="106"/>
      <c r="AX64" s="106"/>
      <c r="AY64" s="119">
        <f>'2018'!BA481</f>
        <v>23</v>
      </c>
      <c r="AZ64" s="119">
        <f>'2018'!BB481</f>
        <v>0</v>
      </c>
      <c r="BA64" s="106">
        <f>'2018'!BC481</f>
        <v>0</v>
      </c>
      <c r="BB64" s="106">
        <f>'2018'!BD481</f>
      </c>
      <c r="BC64" s="106"/>
      <c r="BD64" s="106"/>
      <c r="BE64" s="119">
        <f>'2018'!BE481</f>
        <v>11</v>
      </c>
      <c r="BF64" s="106">
        <f>'2018'!BF481</f>
        <v>27.39</v>
      </c>
      <c r="BG64" s="106">
        <f>'2018'!BG481</f>
        <v>24.9</v>
      </c>
      <c r="BH64" s="106">
        <f>'2018'!BH481</f>
        <v>2.49</v>
      </c>
      <c r="BI64" s="34"/>
    </row>
    <row r="65" ht="15.75" customHeight="1" hidden="1" spans="1:61" x14ac:dyDescent="0.25">
      <c r="A65" s="14"/>
      <c r="B65" s="115">
        <v>64</v>
      </c>
      <c r="C65" s="115">
        <v>4.24</v>
      </c>
      <c r="D65" s="117" t="s">
        <v>241</v>
      </c>
      <c r="E65" s="119">
        <f>'2018'!I489</f>
        <v>144</v>
      </c>
      <c r="F65" s="119">
        <f>'2018'!J489</f>
        <v>0</v>
      </c>
      <c r="G65" s="106">
        <f>'2018'!K489</f>
        <v>0</v>
      </c>
      <c r="H65" s="106">
        <f>'2018'!L489</f>
      </c>
      <c r="I65" s="119">
        <f>'2018'!M489</f>
        <v>144</v>
      </c>
      <c r="J65" s="119">
        <f>'2018'!N489</f>
        <v>0</v>
      </c>
      <c r="K65" s="106">
        <f>'2018'!O489</f>
        <v>0</v>
      </c>
      <c r="L65" s="106">
        <f>'2018'!P489</f>
      </c>
      <c r="M65" s="119">
        <f>'2018'!Q489</f>
        <v>144</v>
      </c>
      <c r="N65" s="119">
        <f>'2018'!R489</f>
        <v>0</v>
      </c>
      <c r="O65" s="119">
        <f>'2018'!S489</f>
        <v>0</v>
      </c>
      <c r="P65" s="119">
        <f>'2018'!T489</f>
      </c>
      <c r="Q65" s="119">
        <f>'2018'!U489</f>
        <v>144</v>
      </c>
      <c r="R65" s="119">
        <f>'2018'!V489</f>
        <v>0</v>
      </c>
      <c r="S65" s="106">
        <f>'2018'!W489</f>
        <v>0</v>
      </c>
      <c r="T65" s="106">
        <f>'2018'!X489</f>
      </c>
      <c r="U65" s="119">
        <f>'2018'!Y489</f>
        <v>156</v>
      </c>
      <c r="V65" s="119">
        <f>'2018'!Z489</f>
        <v>12</v>
      </c>
      <c r="W65" s="106">
        <f>'2018'!AA489</f>
        <v>29.88</v>
      </c>
      <c r="X65" s="106">
        <f>'2018'!AB489</f>
      </c>
      <c r="Y65" s="119">
        <f>'2018'!AC489</f>
        <v>172</v>
      </c>
      <c r="Z65" s="119">
        <f>'2018'!AD489</f>
        <v>16</v>
      </c>
      <c r="AA65" s="106">
        <f>'2018'!AE489</f>
        <v>39.84</v>
      </c>
      <c r="AB65" s="106">
        <f>'2018'!AF489</f>
        <v>300</v>
      </c>
      <c r="AC65" s="119">
        <f>'2018'!AG489</f>
        <v>193</v>
      </c>
      <c r="AD65" s="119">
        <f>'2018'!AH489</f>
        <v>21</v>
      </c>
      <c r="AE65" s="106">
        <f>'2018'!AI489</f>
        <v>52.29</v>
      </c>
      <c r="AF65" s="106">
        <f>'2018'!AJ489</f>
      </c>
      <c r="AG65" s="119">
        <f>'2018'!AK489</f>
        <v>218</v>
      </c>
      <c r="AH65" s="119">
        <f>'2018'!AL489</f>
        <v>25</v>
      </c>
      <c r="AI65" s="106">
        <f>'2018'!AM489</f>
        <v>62.25</v>
      </c>
      <c r="AJ65" s="106">
        <f>'2018'!AN489</f>
      </c>
      <c r="AK65" s="119">
        <f>'2018'!AO489</f>
        <v>233</v>
      </c>
      <c r="AL65" s="119">
        <f>'2018'!AP489</f>
        <v>15</v>
      </c>
      <c r="AM65" s="106">
        <f>'2018'!AQ489</f>
        <v>37.35</v>
      </c>
      <c r="AN65" s="106">
        <f>'2018'!AR489</f>
      </c>
      <c r="AO65" s="119">
        <f>'2018'!AS489</f>
        <v>239</v>
      </c>
      <c r="AP65" s="119">
        <f>'2018'!AT489</f>
        <v>6</v>
      </c>
      <c r="AQ65" s="106">
        <f>'2018'!AU489</f>
        <v>14.94</v>
      </c>
      <c r="AR65" s="106">
        <f>'2018'!AV489</f>
      </c>
      <c r="AS65" s="119">
        <f>'2018'!AW489</f>
        <v>239</v>
      </c>
      <c r="AT65" s="119">
        <f>'2018'!AX489</f>
        <v>0</v>
      </c>
      <c r="AU65" s="106">
        <f>'2018'!AY489</f>
        <v>0</v>
      </c>
      <c r="AV65" s="106">
        <f>'2018'!AZ489</f>
      </c>
      <c r="AW65" s="106"/>
      <c r="AX65" s="106"/>
      <c r="AY65" s="119">
        <f>'2018'!BA489</f>
        <v>239</v>
      </c>
      <c r="AZ65" s="119">
        <f>'2018'!BB489</f>
        <v>0</v>
      </c>
      <c r="BA65" s="106">
        <f>'2018'!BC489</f>
        <v>0</v>
      </c>
      <c r="BB65" s="106">
        <f>'2018'!BD489</f>
      </c>
      <c r="BC65" s="106"/>
      <c r="BD65" s="106"/>
      <c r="BE65" s="119">
        <f>'2018'!BE489</f>
        <v>95</v>
      </c>
      <c r="BF65" s="106">
        <f>'2018'!BF489</f>
        <v>236.55</v>
      </c>
      <c r="BG65" s="106">
        <f>'2018'!BG489</f>
        <v>300</v>
      </c>
      <c r="BH65" s="106">
        <f>'2018'!BH489</f>
        <v>-149.09</v>
      </c>
      <c r="BI65" s="34"/>
    </row>
    <row r="66" ht="15.75" customHeight="1" hidden="1" spans="1:61" x14ac:dyDescent="0.25">
      <c r="A66" s="14"/>
      <c r="B66" s="115">
        <v>66</v>
      </c>
      <c r="C66" s="115">
        <v>4.66</v>
      </c>
      <c r="D66" s="117" t="s">
        <v>244</v>
      </c>
      <c r="E66" s="119">
        <f>'2018'!I497</f>
        <v>1</v>
      </c>
      <c r="F66" s="119">
        <f>'2018'!J497</f>
        <v>0</v>
      </c>
      <c r="G66" s="106">
        <f>'2018'!K497</f>
        <v>0</v>
      </c>
      <c r="H66" s="106">
        <f>'2018'!L497</f>
      </c>
      <c r="I66" s="119">
        <f>'2018'!M497</f>
        <v>1</v>
      </c>
      <c r="J66" s="119">
        <f>'2018'!N497</f>
        <v>0</v>
      </c>
      <c r="K66" s="106">
        <f>'2018'!O497</f>
        <v>0</v>
      </c>
      <c r="L66" s="106">
        <f>'2018'!P497</f>
      </c>
      <c r="M66" s="119">
        <f>'2018'!Q497</f>
        <v>1</v>
      </c>
      <c r="N66" s="119">
        <f>'2018'!R497</f>
        <v>0</v>
      </c>
      <c r="O66" s="119">
        <f>'2018'!S497</f>
        <v>0</v>
      </c>
      <c r="P66" s="119">
        <f>'2018'!T497</f>
      </c>
      <c r="Q66" s="119">
        <f>'2018'!U497</f>
        <v>1</v>
      </c>
      <c r="R66" s="119">
        <f>'2018'!V497</f>
        <v>0</v>
      </c>
      <c r="S66" s="106">
        <f>'2018'!W497</f>
        <v>0</v>
      </c>
      <c r="T66" s="106">
        <f>'2018'!X497</f>
      </c>
      <c r="U66" s="119">
        <f>'2018'!Y497</f>
        <v>1</v>
      </c>
      <c r="V66" s="119">
        <f>'2018'!Z497</f>
        <v>0</v>
      </c>
      <c r="W66" s="106">
        <f>'2018'!AA497</f>
        <v>0</v>
      </c>
      <c r="X66" s="106">
        <f>'2018'!AB497</f>
      </c>
      <c r="Y66" s="119">
        <f>'2018'!AC497</f>
        <v>1</v>
      </c>
      <c r="Z66" s="119">
        <f>'2018'!AD497</f>
        <v>0</v>
      </c>
      <c r="AA66" s="106">
        <f>'2018'!AE497</f>
        <v>0</v>
      </c>
      <c r="AB66" s="106">
        <f>'2018'!AF497</f>
      </c>
      <c r="AC66" s="119">
        <f>'2018'!AG497</f>
        <v>1</v>
      </c>
      <c r="AD66" s="119">
        <f>'2018'!AH497</f>
        <v>0</v>
      </c>
      <c r="AE66" s="106">
        <f>'2018'!AI497</f>
        <v>0</v>
      </c>
      <c r="AF66" s="106">
        <f>'2018'!AJ497</f>
      </c>
      <c r="AG66" s="119">
        <f>'2018'!AK497</f>
        <v>1</v>
      </c>
      <c r="AH66" s="119">
        <f>'2018'!AL497</f>
        <v>0</v>
      </c>
      <c r="AI66" s="106">
        <f>'2018'!AM497</f>
        <v>0</v>
      </c>
      <c r="AJ66" s="106">
        <f>'2018'!AN497</f>
      </c>
      <c r="AK66" s="119">
        <f>'2018'!AO497</f>
        <v>1</v>
      </c>
      <c r="AL66" s="119">
        <f>'2018'!AP497</f>
        <v>0</v>
      </c>
      <c r="AM66" s="106">
        <f>'2018'!AQ497</f>
        <v>0</v>
      </c>
      <c r="AN66" s="106">
        <f>'2018'!AR497</f>
      </c>
      <c r="AO66" s="119">
        <f>'2018'!AS497</f>
        <v>1</v>
      </c>
      <c r="AP66" s="119">
        <f>'2018'!AT497</f>
        <v>0</v>
      </c>
      <c r="AQ66" s="106">
        <f>'2018'!AU497</f>
        <v>0</v>
      </c>
      <c r="AR66" s="106">
        <f>'2018'!AV497</f>
      </c>
      <c r="AS66" s="119">
        <f>'2018'!AW497</f>
        <v>1</v>
      </c>
      <c r="AT66" s="119">
        <f>'2018'!AX497</f>
        <v>0</v>
      </c>
      <c r="AU66" s="106">
        <f>'2018'!AY497</f>
        <v>0</v>
      </c>
      <c r="AV66" s="106">
        <f>'2018'!AZ497</f>
      </c>
      <c r="AW66" s="106"/>
      <c r="AX66" s="106"/>
      <c r="AY66" s="119">
        <f>'2018'!BA497</f>
        <v>1</v>
      </c>
      <c r="AZ66" s="119">
        <f>'2018'!BB497</f>
        <v>0</v>
      </c>
      <c r="BA66" s="106">
        <f>'2018'!BC497</f>
        <v>0</v>
      </c>
      <c r="BB66" s="106">
        <f>'2018'!BD497</f>
      </c>
      <c r="BC66" s="106"/>
      <c r="BD66" s="106"/>
      <c r="BE66" s="119">
        <f>'2018'!BE497</f>
        <v>0</v>
      </c>
      <c r="BF66" s="106">
        <f>'2018'!BF497</f>
        <v>0</v>
      </c>
      <c r="BG66" s="106">
        <f>'2018'!BG497</f>
        <v>0</v>
      </c>
      <c r="BH66" s="106">
        <f>'2018'!BH497</f>
        <v>0</v>
      </c>
      <c r="BI66" s="34"/>
    </row>
    <row r="67" ht="15.75" customHeight="1" spans="1:62" x14ac:dyDescent="0.25">
      <c r="A67" s="14"/>
      <c r="B67" s="115">
        <v>67</v>
      </c>
      <c r="C67" s="115">
        <v>6.08</v>
      </c>
      <c r="D67" s="117" t="s">
        <v>245</v>
      </c>
      <c r="E67" s="119">
        <f>'2018'!I505</f>
        <v>796</v>
      </c>
      <c r="F67" s="119">
        <f>'2018'!J505</f>
        <v>0</v>
      </c>
      <c r="G67" s="106">
        <f>'2018'!K505</f>
        <v>0</v>
      </c>
      <c r="H67" s="106">
        <f>'2018'!L505</f>
      </c>
      <c r="I67" s="119">
        <f>'2018'!M505</f>
        <v>796</v>
      </c>
      <c r="J67" s="119">
        <f>'2018'!N505</f>
        <v>0</v>
      </c>
      <c r="K67" s="106">
        <f>'2018'!O505</f>
        <v>0</v>
      </c>
      <c r="L67" s="106">
        <f>'2018'!P505</f>
      </c>
      <c r="M67" s="119">
        <f>'2018'!Q505</f>
        <v>796</v>
      </c>
      <c r="N67" s="119">
        <f>'2018'!R505</f>
        <v>0</v>
      </c>
      <c r="O67" s="119">
        <f>'2018'!S505</f>
        <v>0</v>
      </c>
      <c r="P67" s="119">
        <f>'2018'!T505</f>
      </c>
      <c r="Q67" s="119">
        <f>'2018'!U505</f>
        <v>857</v>
      </c>
      <c r="R67" s="119">
        <f>'2018'!V505</f>
        <v>61</v>
      </c>
      <c r="S67" s="106">
        <f>'2018'!W505</f>
        <v>151.89</v>
      </c>
      <c r="T67" s="106">
        <f>'2018'!X505</f>
        <v>301.29</v>
      </c>
      <c r="U67" s="119">
        <f>'2018'!Y505</f>
        <v>959</v>
      </c>
      <c r="V67" s="119">
        <f>'2018'!Z505</f>
        <v>102</v>
      </c>
      <c r="W67" s="106">
        <f>'2018'!AA505</f>
        <v>253.98</v>
      </c>
      <c r="X67" s="106">
        <f>'2018'!AB505</f>
        <v>253.98</v>
      </c>
      <c r="Y67" s="119">
        <f>'2018'!AC505</f>
        <v>1059</v>
      </c>
      <c r="Z67" s="119">
        <f>'2018'!AD505</f>
        <v>100</v>
      </c>
      <c r="AA67" s="106">
        <f>'2018'!AE505</f>
        <v>249</v>
      </c>
      <c r="AB67" s="106">
        <f>'2018'!AF505</f>
      </c>
      <c r="AC67" s="119">
        <f>'2018'!AG505</f>
        <v>1159</v>
      </c>
      <c r="AD67" s="119">
        <f>'2018'!AH505</f>
        <v>100</v>
      </c>
      <c r="AE67" s="106">
        <f>'2018'!AI505</f>
        <v>249</v>
      </c>
      <c r="AF67" s="106">
        <f>'2018'!AJ505</f>
        <v>249</v>
      </c>
      <c r="AG67" s="119">
        <f>'2018'!AK505</f>
        <v>1287</v>
      </c>
      <c r="AH67" s="119">
        <f>'2018'!AL505</f>
        <v>128</v>
      </c>
      <c r="AI67" s="106">
        <f>'2018'!AM505</f>
        <v>318.72</v>
      </c>
      <c r="AJ67" s="106">
        <f>'2018'!AN505</f>
        <v>249</v>
      </c>
      <c r="AK67" s="119">
        <f>'2018'!AO505</f>
        <v>1370</v>
      </c>
      <c r="AL67" s="119">
        <f>'2018'!AP505</f>
        <v>83</v>
      </c>
      <c r="AM67" s="106">
        <f>'2018'!AQ505</f>
        <v>206.67</v>
      </c>
      <c r="AN67" s="106">
        <f>'2018'!AR505</f>
        <v>525.39</v>
      </c>
      <c r="AO67" s="119">
        <f>'2018'!AS505</f>
        <v>1425</v>
      </c>
      <c r="AP67" s="119">
        <f>'2018'!AT505</f>
        <v>55</v>
      </c>
      <c r="AQ67" s="106">
        <f>'2018'!AU505</f>
        <v>136.95</v>
      </c>
      <c r="AR67" s="106">
        <f>'2018'!AV505</f>
      </c>
      <c r="AS67" s="126">
        <f>'2018'!AW505</f>
        <v>1425</v>
      </c>
      <c r="AT67" s="119">
        <f>'2018'!AX505</f>
        <v>0</v>
      </c>
      <c r="AU67" s="106">
        <f>'2018'!AY505</f>
        <v>0</v>
      </c>
      <c r="AV67" s="106">
        <f>'2018'!AZ505</f>
        <v>136.95</v>
      </c>
      <c r="AW67" s="106"/>
      <c r="AX67" s="106"/>
      <c r="AY67" s="119">
        <f>'2018'!BA505</f>
        <v>1425</v>
      </c>
      <c r="AZ67" s="119">
        <f>'2018'!BB505</f>
        <v>0</v>
      </c>
      <c r="BA67" s="106">
        <f>'2018'!BC505</f>
        <v>0</v>
      </c>
      <c r="BB67" s="106">
        <f>'2018'!BD505</f>
        <v>200</v>
      </c>
      <c r="BC67" s="106"/>
      <c r="BD67" s="106"/>
      <c r="BE67" s="119">
        <f>'2018'!BE505</f>
        <v>629</v>
      </c>
      <c r="BF67" s="106">
        <f>'2018'!BF505</f>
        <v>1566.21</v>
      </c>
      <c r="BG67" s="106">
        <f>'2018'!BG505</f>
        <v>1915.61</v>
      </c>
      <c r="BH67" s="106">
        <f>'2018'!BH505</f>
        <v>-200</v>
      </c>
      <c r="BI67" s="106"/>
      <c r="BJ67" s="106">
        <f>BH67+AX67</f>
        <v>-200</v>
      </c>
    </row>
    <row r="68" ht="15.75" customHeight="1" hidden="1" spans="1:61" x14ac:dyDescent="0.25">
      <c r="A68" s="14"/>
      <c r="B68" s="115" t="s">
        <v>248</v>
      </c>
      <c r="C68" s="115">
        <v>8.03</v>
      </c>
      <c r="D68" s="117" t="s">
        <v>249</v>
      </c>
      <c r="E68" s="119">
        <f>'2018'!I513</f>
        <v>1118</v>
      </c>
      <c r="F68" s="119">
        <f>'2018'!J513</f>
        <v>0</v>
      </c>
      <c r="G68" s="106">
        <f>'2018'!K513</f>
        <v>0</v>
      </c>
      <c r="H68" s="106">
        <f>'2018'!L513</f>
      </c>
      <c r="I68" s="119">
        <f>'2018'!M513</f>
        <v>1118</v>
      </c>
      <c r="J68" s="119">
        <f>'2018'!N513</f>
        <v>0</v>
      </c>
      <c r="K68" s="106">
        <f>'2018'!O513</f>
        <v>0</v>
      </c>
      <c r="L68" s="106">
        <f>'2018'!P513</f>
      </c>
      <c r="M68" s="119">
        <f>'2018'!Q513</f>
        <v>1118</v>
      </c>
      <c r="N68" s="119">
        <f>'2018'!R513</f>
        <v>0</v>
      </c>
      <c r="O68" s="119">
        <f>'2018'!S513</f>
        <v>0</v>
      </c>
      <c r="P68" s="119">
        <f>'2018'!T513</f>
      </c>
      <c r="Q68" s="119">
        <f>'2018'!U513</f>
        <v>1119</v>
      </c>
      <c r="R68" s="119">
        <f>'2018'!V513</f>
        <v>1</v>
      </c>
      <c r="S68" s="106">
        <f>'2018'!W513</f>
        <v>2.49</v>
      </c>
      <c r="T68" s="106">
        <f>'2018'!X513</f>
      </c>
      <c r="U68" s="119">
        <f>'2018'!Y513</f>
        <v>1129</v>
      </c>
      <c r="V68" s="119">
        <f>'2018'!Z513</f>
        <v>10</v>
      </c>
      <c r="W68" s="106">
        <f>'2018'!AA513</f>
        <v>24.9</v>
      </c>
      <c r="X68" s="106">
        <f>'2018'!AB513</f>
      </c>
      <c r="Y68" s="119">
        <f>'2018'!AC513</f>
        <v>1153</v>
      </c>
      <c r="Z68" s="119">
        <f>'2018'!AD513</f>
        <v>24</v>
      </c>
      <c r="AA68" s="106">
        <f>'2018'!AE513</f>
        <v>59.76</v>
      </c>
      <c r="AB68" s="106">
        <f>'2018'!AF513</f>
      </c>
      <c r="AC68" s="119">
        <f>'2018'!AG513</f>
        <v>1177</v>
      </c>
      <c r="AD68" s="119">
        <f>'2018'!AH513</f>
        <v>24</v>
      </c>
      <c r="AE68" s="106">
        <f>'2018'!AI513</f>
        <v>59.76</v>
      </c>
      <c r="AF68" s="106">
        <f>'2018'!AJ513</f>
      </c>
      <c r="AG68" s="119">
        <f>'2018'!AK513</f>
        <v>1211</v>
      </c>
      <c r="AH68" s="119">
        <f>'2018'!AL513</f>
        <v>34</v>
      </c>
      <c r="AI68" s="106">
        <f>'2018'!AM513</f>
        <v>84.66</v>
      </c>
      <c r="AJ68" s="106">
        <f>'2018'!AN513</f>
        <v>385.37</v>
      </c>
      <c r="AK68" s="119">
        <f>'2018'!AO513</f>
        <v>1241</v>
      </c>
      <c r="AL68" s="119">
        <f>'2018'!AP513</f>
        <v>30</v>
      </c>
      <c r="AM68" s="106">
        <f>'2018'!AQ513</f>
        <v>74.7</v>
      </c>
      <c r="AN68" s="106">
        <f>'2018'!AR513</f>
        <v>159.36</v>
      </c>
      <c r="AO68" s="119">
        <f>'2018'!AS513</f>
        <v>1247</v>
      </c>
      <c r="AP68" s="119">
        <f>'2018'!AT513</f>
        <v>6</v>
      </c>
      <c r="AQ68" s="106">
        <f>'2018'!AU513</f>
        <v>14.94</v>
      </c>
      <c r="AR68" s="106">
        <f>'2018'!AV513</f>
      </c>
      <c r="AS68" s="119">
        <f>'2018'!AW513</f>
        <v>1247</v>
      </c>
      <c r="AT68" s="119">
        <f>'2018'!AX513</f>
        <v>0</v>
      </c>
      <c r="AU68" s="106">
        <f>'2018'!AY513</f>
        <v>0</v>
      </c>
      <c r="AV68" s="106">
        <f>'2018'!AZ513</f>
      </c>
      <c r="AW68" s="106"/>
      <c r="AX68" s="106"/>
      <c r="AY68" s="119">
        <f>'2018'!BA513</f>
        <v>1247</v>
      </c>
      <c r="AZ68" s="119">
        <f>'2018'!BB513</f>
        <v>0</v>
      </c>
      <c r="BA68" s="106">
        <f>'2018'!BC513</f>
        <v>0</v>
      </c>
      <c r="BB68" s="106">
        <f>'2018'!BD513</f>
      </c>
      <c r="BC68" s="106"/>
      <c r="BD68" s="106"/>
      <c r="BE68" s="119">
        <f>'2018'!BE513</f>
        <v>129</v>
      </c>
      <c r="BF68" s="106">
        <f>'2018'!BF513</f>
        <v>321.21</v>
      </c>
      <c r="BG68" s="106">
        <f>'2018'!BG513</f>
        <v>544.73</v>
      </c>
      <c r="BH68" s="106">
        <f>'2018'!BH513</f>
        <v>14.94</v>
      </c>
      <c r="BI68" s="34"/>
    </row>
    <row r="69" ht="15.75" customHeight="1" spans="1:62" x14ac:dyDescent="0.25">
      <c r="A69" s="14"/>
      <c r="B69" s="125">
        <v>69</v>
      </c>
      <c r="C69" s="115">
        <v>4.03</v>
      </c>
      <c r="D69" s="117" t="s">
        <v>253</v>
      </c>
      <c r="E69" s="119">
        <f>'2018'!I521</f>
        <v>9900</v>
      </c>
      <c r="F69" s="119">
        <f>'2018'!J521</f>
        <v>1380</v>
      </c>
      <c r="G69" s="106">
        <f>'2018'!K521</f>
        <v>3436.2</v>
      </c>
      <c r="H69" s="106">
        <f>'2018'!L521</f>
        <v>3436.2</v>
      </c>
      <c r="I69" s="119">
        <f>'2018'!M521</f>
        <v>11017</v>
      </c>
      <c r="J69" s="119">
        <f>'2018'!N521</f>
        <v>1117</v>
      </c>
      <c r="K69" s="106">
        <f>'2018'!O521</f>
        <v>2781.33</v>
      </c>
      <c r="L69" s="106">
        <f>'2018'!P521</f>
        <v>2956.53</v>
      </c>
      <c r="M69" s="119">
        <f>'2018'!Q521</f>
        <v>12117</v>
      </c>
      <c r="N69" s="119">
        <f>'2018'!R521</f>
        <v>1100</v>
      </c>
      <c r="O69" s="119">
        <f>'2018'!S521</f>
        <v>2739</v>
      </c>
      <c r="P69" s="119">
        <f>'2018'!T521</f>
        <v>2739</v>
      </c>
      <c r="Q69" s="119">
        <f>'2018'!U521</f>
        <v>13107</v>
      </c>
      <c r="R69" s="119">
        <f>'2018'!V521</f>
        <v>990</v>
      </c>
      <c r="S69" s="106">
        <f>'2018'!W521</f>
        <v>2465.1</v>
      </c>
      <c r="T69" s="106">
        <f>'2018'!X521</f>
        <v>2466.63</v>
      </c>
      <c r="U69" s="119">
        <f>'2018'!Y521</f>
        <v>13392</v>
      </c>
      <c r="V69" s="119">
        <f>'2018'!Z521</f>
        <v>285</v>
      </c>
      <c r="W69" s="106">
        <f>'2018'!AA521</f>
        <v>709.65</v>
      </c>
      <c r="X69" s="106">
        <f>'2018'!AB521</f>
        <v>709.65</v>
      </c>
      <c r="Y69" s="119">
        <f>'2018'!AC521</f>
        <v>13709</v>
      </c>
      <c r="Z69" s="119">
        <f>'2018'!AD521</f>
        <v>317</v>
      </c>
      <c r="AA69" s="106">
        <f>'2018'!AE521</f>
        <v>789.33</v>
      </c>
      <c r="AB69" s="106">
        <f>'2018'!AF521</f>
      </c>
      <c r="AC69" s="119">
        <f>'2018'!AG521</f>
        <v>13967</v>
      </c>
      <c r="AD69" s="119">
        <f>'2018'!AH521</f>
        <v>258</v>
      </c>
      <c r="AE69" s="106">
        <f>'2018'!AI521</f>
        <v>642.42</v>
      </c>
      <c r="AF69" s="106">
        <f>'2018'!AJ521</f>
        <v>1431.75</v>
      </c>
      <c r="AG69" s="119">
        <f>'2018'!AK521</f>
        <v>14269</v>
      </c>
      <c r="AH69" s="119">
        <f>'2018'!AL521</f>
        <v>302</v>
      </c>
      <c r="AI69" s="106">
        <f>'2018'!AM521</f>
        <v>751.98</v>
      </c>
      <c r="AJ69" s="106">
        <f>'2018'!AN521</f>
        <v>750.45</v>
      </c>
      <c r="AK69" s="119">
        <f>'2018'!AO521</f>
        <v>14667</v>
      </c>
      <c r="AL69" s="119">
        <f>'2018'!AP521</f>
        <v>398</v>
      </c>
      <c r="AM69" s="106">
        <f>'2018'!AQ521</f>
        <v>991.02</v>
      </c>
      <c r="AN69" s="106">
        <f>'2018'!AR521</f>
        <v>991.02</v>
      </c>
      <c r="AO69" s="119">
        <f>'2018'!AS521</f>
        <v>15050</v>
      </c>
      <c r="AP69" s="119">
        <f>'2018'!AT521</f>
        <v>383</v>
      </c>
      <c r="AQ69" s="106">
        <f>'2018'!AU521</f>
        <v>953.67</v>
      </c>
      <c r="AR69" s="106">
        <f>'2018'!AV521</f>
        <v>747</v>
      </c>
      <c r="AS69" s="126">
        <f>'2018'!AW521</f>
        <v>15253</v>
      </c>
      <c r="AT69" s="119">
        <f>'2018'!AX521</f>
        <v>203</v>
      </c>
      <c r="AU69" s="106">
        <f>'2018'!AY521</f>
        <v>505.47</v>
      </c>
      <c r="AV69" s="106">
        <f>'2018'!AZ521</f>
        <v>747</v>
      </c>
      <c r="AW69" s="119">
        <v>155</v>
      </c>
      <c r="AX69" s="106">
        <f>AW69*$AX$2</f>
        <v>385.95</v>
      </c>
      <c r="AY69" s="119">
        <f>'2018'!BA521</f>
        <v>15790</v>
      </c>
      <c r="AZ69" s="119">
        <f>'2018'!BB521</f>
        <v>537</v>
      </c>
      <c r="BA69" s="106">
        <f>'2018'!BC521</f>
        <v>1337.13</v>
      </c>
      <c r="BB69" s="106">
        <f>'2018'!BD521</f>
        <v>1756</v>
      </c>
      <c r="BC69" s="106"/>
      <c r="BD69" s="106"/>
      <c r="BE69" s="119">
        <f>'2018'!BE521</f>
        <v>7270</v>
      </c>
      <c r="BF69" s="106">
        <f>'2018'!BF521</f>
        <v>18102.3</v>
      </c>
      <c r="BG69" s="106">
        <f>'2018'!BG521</f>
        <v>18731.23</v>
      </c>
      <c r="BH69" s="106">
        <f>'2018'!BH521</f>
        <v>-453.73</v>
      </c>
      <c r="BI69" s="106">
        <f>AX69+BC69</f>
        <v>385.95</v>
      </c>
      <c r="BJ69" s="106">
        <f>BH69+AX69</f>
        <v>-67.78</v>
      </c>
    </row>
    <row r="70" ht="15.75" customHeight="1" hidden="1" spans="1:61" x14ac:dyDescent="0.25">
      <c r="A70" s="14"/>
      <c r="B70" s="115">
        <v>71</v>
      </c>
      <c r="C70" s="115">
        <v>5.98</v>
      </c>
      <c r="D70" s="117" t="s">
        <v>255</v>
      </c>
      <c r="E70" s="119">
        <f>'2018'!I529</f>
        <v>61</v>
      </c>
      <c r="F70" s="119">
        <f>'2018'!J529</f>
        <v>0</v>
      </c>
      <c r="G70" s="106">
        <f>'2018'!K529</f>
        <v>0</v>
      </c>
      <c r="H70" s="106">
        <f>'2018'!L529</f>
      </c>
      <c r="I70" s="119">
        <f>'2018'!M529</f>
        <v>61</v>
      </c>
      <c r="J70" s="119">
        <f>'2018'!N529</f>
        <v>0</v>
      </c>
      <c r="K70" s="106">
        <f>'2018'!O529</f>
        <v>0</v>
      </c>
      <c r="L70" s="106">
        <f>'2018'!P529</f>
      </c>
      <c r="M70" s="119">
        <f>'2018'!Q529</f>
        <v>61</v>
      </c>
      <c r="N70" s="119">
        <f>'2018'!R529</f>
        <v>0</v>
      </c>
      <c r="O70" s="119">
        <f>'2018'!S529</f>
        <v>0</v>
      </c>
      <c r="P70" s="119">
        <f>'2018'!T529</f>
      </c>
      <c r="Q70" s="119">
        <f>'2018'!U529</f>
        <v>62</v>
      </c>
      <c r="R70" s="119">
        <f>'2018'!V529</f>
        <v>1</v>
      </c>
      <c r="S70" s="106">
        <f>'2018'!W529</f>
        <v>2.49</v>
      </c>
      <c r="T70" s="106">
        <f>'2018'!X529</f>
        <v>4.98</v>
      </c>
      <c r="U70" s="119">
        <f>'2018'!Y529</f>
        <v>65</v>
      </c>
      <c r="V70" s="119">
        <f>'2018'!Z529</f>
        <v>3</v>
      </c>
      <c r="W70" s="106">
        <f>'2018'!AA529</f>
        <v>7.47</v>
      </c>
      <c r="X70" s="106">
        <f>'2018'!AB529</f>
        <v>7.47</v>
      </c>
      <c r="Y70" s="119">
        <f>'2018'!AC529</f>
        <v>70</v>
      </c>
      <c r="Z70" s="119">
        <f>'2018'!AD529</f>
        <v>5</v>
      </c>
      <c r="AA70" s="106">
        <f>'2018'!AE529</f>
        <v>12.45</v>
      </c>
      <c r="AB70" s="106">
        <f>'2018'!AF529</f>
        <v>12.45</v>
      </c>
      <c r="AC70" s="119">
        <f>'2018'!AG529</f>
        <v>71</v>
      </c>
      <c r="AD70" s="119">
        <f>'2018'!AH529</f>
        <v>1</v>
      </c>
      <c r="AE70" s="106">
        <f>'2018'!AI529</f>
        <v>2.49</v>
      </c>
      <c r="AF70" s="106">
        <f>'2018'!AJ529</f>
        <v>2.49</v>
      </c>
      <c r="AG70" s="119">
        <f>'2018'!AK529</f>
        <v>75</v>
      </c>
      <c r="AH70" s="119">
        <f>'2018'!AL529</f>
        <v>4</v>
      </c>
      <c r="AI70" s="106">
        <f>'2018'!AM529</f>
        <v>9.96</v>
      </c>
      <c r="AJ70" s="106">
        <f>'2018'!AN529</f>
        <v>9.96</v>
      </c>
      <c r="AK70" s="119">
        <f>'2018'!AO529</f>
        <v>79</v>
      </c>
      <c r="AL70" s="119">
        <f>'2018'!AP529</f>
        <v>4</v>
      </c>
      <c r="AM70" s="106">
        <f>'2018'!AQ529</f>
        <v>9.96</v>
      </c>
      <c r="AN70" s="106">
        <f>'2018'!AR529</f>
        <v>9.96</v>
      </c>
      <c r="AO70" s="119">
        <f>'2018'!AS529</f>
        <v>85</v>
      </c>
      <c r="AP70" s="119">
        <f>'2018'!AT529</f>
        <v>6</v>
      </c>
      <c r="AQ70" s="106">
        <f>'2018'!AU529</f>
        <v>14.94</v>
      </c>
      <c r="AR70" s="106">
        <f>'2018'!AV529</f>
      </c>
      <c r="AS70" s="119">
        <f>'2018'!AW529</f>
        <v>85</v>
      </c>
      <c r="AT70" s="119">
        <f>'2018'!AX529</f>
        <v>0</v>
      </c>
      <c r="AU70" s="106">
        <f>'2018'!AY529</f>
        <v>0</v>
      </c>
      <c r="AV70" s="106">
        <f>'2018'!AZ529</f>
      </c>
      <c r="AW70" s="106"/>
      <c r="AX70" s="106"/>
      <c r="AY70" s="119">
        <f>'2018'!BA529</f>
        <v>85</v>
      </c>
      <c r="AZ70" s="119">
        <f>'2018'!BB529</f>
        <v>0</v>
      </c>
      <c r="BA70" s="106">
        <f>'2018'!BC529</f>
        <v>0</v>
      </c>
      <c r="BB70" s="106">
        <f>'2018'!BD529</f>
      </c>
      <c r="BC70" s="106"/>
      <c r="BD70" s="106"/>
      <c r="BE70" s="119">
        <f>'2018'!BE529</f>
        <v>24</v>
      </c>
      <c r="BF70" s="106">
        <f>'2018'!BF529</f>
        <v>59.76</v>
      </c>
      <c r="BG70" s="106">
        <f>'2018'!BG529</f>
        <v>47.31</v>
      </c>
      <c r="BH70" s="106">
        <f>'2018'!BH529</f>
        <v>14.94</v>
      </c>
      <c r="BI70" s="34"/>
    </row>
    <row r="71" ht="15.75" customHeight="1" hidden="1" spans="1:61" x14ac:dyDescent="0.25">
      <c r="A71" s="14"/>
      <c r="B71" s="115">
        <v>72</v>
      </c>
      <c r="C71" s="115">
        <v>4.03</v>
      </c>
      <c r="D71" s="117" t="s">
        <v>257</v>
      </c>
      <c r="E71" s="119">
        <f>'2018'!I537</f>
        <v>1</v>
      </c>
      <c r="F71" s="119">
        <f>'2018'!J537</f>
        <v>0</v>
      </c>
      <c r="G71" s="106">
        <f>'2018'!K537</f>
        <v>0</v>
      </c>
      <c r="H71" s="106">
        <f>'2018'!L537</f>
      </c>
      <c r="I71" s="119">
        <f>'2018'!M537</f>
        <v>1</v>
      </c>
      <c r="J71" s="119">
        <f>'2018'!N537</f>
        <v>0</v>
      </c>
      <c r="K71" s="106">
        <f>'2018'!O537</f>
        <v>0</v>
      </c>
      <c r="L71" s="106">
        <f>'2018'!P537</f>
      </c>
      <c r="M71" s="119">
        <f>'2018'!Q537</f>
        <v>1</v>
      </c>
      <c r="N71" s="119">
        <f>'2018'!R537</f>
        <v>0</v>
      </c>
      <c r="O71" s="119">
        <f>'2018'!S537</f>
        <v>0</v>
      </c>
      <c r="P71" s="119">
        <f>'2018'!T537</f>
      </c>
      <c r="Q71" s="119">
        <f>'2018'!U537</f>
        <v>1</v>
      </c>
      <c r="R71" s="119">
        <f>'2018'!V537</f>
        <v>0</v>
      </c>
      <c r="S71" s="106">
        <f>'2018'!W537</f>
        <v>0</v>
      </c>
      <c r="T71" s="106">
        <f>'2018'!X537</f>
      </c>
      <c r="U71" s="119">
        <f>'2018'!Y537</f>
        <v>1</v>
      </c>
      <c r="V71" s="119">
        <f>'2018'!Z537</f>
        <v>0</v>
      </c>
      <c r="W71" s="106">
        <f>'2018'!AA537</f>
        <v>0</v>
      </c>
      <c r="X71" s="106">
        <f>'2018'!AB537</f>
      </c>
      <c r="Y71" s="119">
        <f>'2018'!AC537</f>
        <v>1</v>
      </c>
      <c r="Z71" s="119">
        <f>'2018'!AD537</f>
        <v>0</v>
      </c>
      <c r="AA71" s="106">
        <f>'2018'!AE537</f>
        <v>0</v>
      </c>
      <c r="AB71" s="106">
        <f>'2018'!AF537</f>
      </c>
      <c r="AC71" s="119">
        <f>'2018'!AG537</f>
        <v>1</v>
      </c>
      <c r="AD71" s="119">
        <f>'2018'!AH537</f>
        <v>0</v>
      </c>
      <c r="AE71" s="106">
        <f>'2018'!AI537</f>
        <v>0</v>
      </c>
      <c r="AF71" s="106">
        <f>'2018'!AJ537</f>
      </c>
      <c r="AG71" s="119">
        <f>'2018'!AK537</f>
        <v>2</v>
      </c>
      <c r="AH71" s="119">
        <f>'2018'!AL537</f>
        <v>1</v>
      </c>
      <c r="AI71" s="106">
        <f>'2018'!AM537</f>
        <v>2.49</v>
      </c>
      <c r="AJ71" s="106">
        <f>'2018'!AN537</f>
      </c>
      <c r="AK71" s="119">
        <f>'2018'!AO537</f>
        <v>2</v>
      </c>
      <c r="AL71" s="119">
        <f>'2018'!AP537</f>
        <v>0</v>
      </c>
      <c r="AM71" s="106">
        <f>'2018'!AQ537</f>
        <v>0</v>
      </c>
      <c r="AN71" s="106">
        <f>'2018'!AR537</f>
      </c>
      <c r="AO71" s="119">
        <f>'2018'!AS537</f>
        <v>2</v>
      </c>
      <c r="AP71" s="119">
        <f>'2018'!AT537</f>
        <v>0</v>
      </c>
      <c r="AQ71" s="106">
        <f>'2018'!AU537</f>
        <v>0</v>
      </c>
      <c r="AR71" s="106">
        <f>'2018'!AV537</f>
      </c>
      <c r="AS71" s="119">
        <f>'2018'!AW537</f>
        <v>2</v>
      </c>
      <c r="AT71" s="119">
        <f>'2018'!AX537</f>
        <v>0</v>
      </c>
      <c r="AU71" s="106">
        <f>'2018'!AY537</f>
        <v>0</v>
      </c>
      <c r="AV71" s="106">
        <f>'2018'!AZ537</f>
      </c>
      <c r="AW71" s="106"/>
      <c r="AX71" s="106"/>
      <c r="AY71" s="119">
        <f>'2018'!BA537</f>
        <v>2</v>
      </c>
      <c r="AZ71" s="119">
        <f>'2018'!BB537</f>
        <v>0</v>
      </c>
      <c r="BA71" s="106">
        <f>'2018'!BC537</f>
        <v>0</v>
      </c>
      <c r="BB71" s="106">
        <f>'2018'!BD537</f>
      </c>
      <c r="BC71" s="106"/>
      <c r="BD71" s="106"/>
      <c r="BE71" s="119">
        <f>'2018'!BE537</f>
        <v>1</v>
      </c>
      <c r="BF71" s="106">
        <f>'2018'!BF537</f>
        <v>2.49</v>
      </c>
      <c r="BG71" s="106">
        <f>'2018'!BG537</f>
        <v>0</v>
      </c>
      <c r="BH71" s="106">
        <f>'2018'!BH537</f>
        <v>2.49</v>
      </c>
      <c r="BI71" s="34"/>
    </row>
    <row r="72" ht="15.75" customHeight="1" hidden="1" spans="1:61" x14ac:dyDescent="0.25">
      <c r="A72" s="14"/>
      <c r="B72" s="115">
        <v>73</v>
      </c>
      <c r="C72" s="115">
        <v>4.02</v>
      </c>
      <c r="D72" s="117" t="s">
        <v>259</v>
      </c>
      <c r="E72" s="119">
        <f>'2018'!I545</f>
      </c>
      <c r="F72" s="119">
        <f>'2018'!J545</f>
      </c>
      <c r="G72" s="106">
        <f>'2018'!K545</f>
      </c>
      <c r="H72" s="106">
        <f>'2018'!L545</f>
      </c>
      <c r="I72" s="119">
        <f>'2018'!M545</f>
      </c>
      <c r="J72" s="119">
        <f>'2018'!N545</f>
      </c>
      <c r="K72" s="106">
        <f>'2018'!O545</f>
      </c>
      <c r="L72" s="106">
        <f>'2018'!P545</f>
      </c>
      <c r="M72" s="119">
        <f>'2018'!Q545</f>
      </c>
      <c r="N72" s="119">
        <f>'2018'!R545</f>
      </c>
      <c r="O72" s="119">
        <f>'2018'!S545</f>
      </c>
      <c r="P72" s="119">
        <f>'2018'!T545</f>
      </c>
      <c r="Q72" s="119">
        <f>'2018'!U545</f>
      </c>
      <c r="R72" s="119">
        <f>'2018'!V545</f>
      </c>
      <c r="S72" s="106">
        <f>'2018'!W545</f>
      </c>
      <c r="T72" s="106">
        <f>'2018'!X545</f>
      </c>
      <c r="U72" s="119">
        <f>'2018'!Y545</f>
      </c>
      <c r="V72" s="119">
        <f>'2018'!Z545</f>
        <v>0</v>
      </c>
      <c r="W72" s="106">
        <f>'2018'!AA545</f>
        <v>0</v>
      </c>
      <c r="X72" s="106">
        <f>'2018'!AB545</f>
      </c>
      <c r="Y72" s="119">
        <f>'2018'!AC545</f>
      </c>
      <c r="Z72" s="119">
        <f>'2018'!AD545</f>
        <v>0</v>
      </c>
      <c r="AA72" s="106">
        <f>'2018'!AE545</f>
        <v>0</v>
      </c>
      <c r="AB72" s="106">
        <f>'2018'!AF545</f>
      </c>
      <c r="AC72" s="119">
        <f>'2018'!AG545</f>
      </c>
      <c r="AD72" s="119">
        <f>'2018'!AH545</f>
        <v>0</v>
      </c>
      <c r="AE72" s="106">
        <f>'2018'!AI545</f>
        <v>0</v>
      </c>
      <c r="AF72" s="106">
        <f>'2018'!AJ545</f>
      </c>
      <c r="AG72" s="119">
        <f>'2018'!AK545</f>
      </c>
      <c r="AH72" s="119">
        <f>'2018'!AL545</f>
        <v>0</v>
      </c>
      <c r="AI72" s="106">
        <f>'2018'!AM545</f>
        <v>0</v>
      </c>
      <c r="AJ72" s="106">
        <f>'2018'!AN545</f>
      </c>
      <c r="AK72" s="119">
        <f>'2018'!AO545</f>
      </c>
      <c r="AL72" s="119">
        <f>'2018'!AP545</f>
      </c>
      <c r="AM72" s="106">
        <f>'2018'!AQ545</f>
        <v>0</v>
      </c>
      <c r="AN72" s="106">
        <f>'2018'!AR545</f>
      </c>
      <c r="AO72" s="119">
        <f>'2018'!AS545</f>
      </c>
      <c r="AP72" s="119">
        <f>'2018'!AT545</f>
      </c>
      <c r="AQ72" s="106">
        <f>'2018'!AU545</f>
        <v>0</v>
      </c>
      <c r="AR72" s="106">
        <f>'2018'!AV545</f>
      </c>
      <c r="AS72" s="119">
        <f>'2018'!AW545</f>
      </c>
      <c r="AT72" s="119">
        <f>'2018'!AX545</f>
      </c>
      <c r="AU72" s="106">
        <f>'2018'!AY545</f>
        <v>0</v>
      </c>
      <c r="AV72" s="106">
        <f>'2018'!AZ545</f>
      </c>
      <c r="AW72" s="106"/>
      <c r="AX72" s="106"/>
      <c r="AY72" s="119">
        <f>'2018'!BA545</f>
      </c>
      <c r="AZ72" s="119">
        <f>'2018'!BB545</f>
      </c>
      <c r="BA72" s="106">
        <f>'2018'!BC545</f>
        <v>0</v>
      </c>
      <c r="BB72" s="106">
        <f>'2018'!BD545</f>
      </c>
      <c r="BC72" s="106"/>
      <c r="BD72" s="106"/>
      <c r="BE72" s="119">
        <f>'2018'!BE545</f>
        <v>0</v>
      </c>
      <c r="BF72" s="106">
        <f>'2018'!BF545</f>
        <v>0</v>
      </c>
      <c r="BG72" s="106">
        <f>'2018'!BG545</f>
        <v>0</v>
      </c>
      <c r="BH72" s="106">
        <f>'2018'!BH545</f>
        <v>0</v>
      </c>
      <c r="BI72" s="34"/>
    </row>
    <row r="73" ht="15.75" customHeight="1" hidden="1" spans="1:61" x14ac:dyDescent="0.25">
      <c r="A73" s="21"/>
      <c r="B73" s="115">
        <v>74</v>
      </c>
      <c r="C73" s="115">
        <v>4.97</v>
      </c>
      <c r="D73" s="117" t="s">
        <v>262</v>
      </c>
      <c r="E73" s="119">
        <f>'2018'!I553</f>
      </c>
      <c r="F73" s="119">
        <f>'2018'!J553</f>
      </c>
      <c r="G73" s="106">
        <f>'2018'!K553</f>
      </c>
      <c r="H73" s="106">
        <f>'2018'!L553</f>
      </c>
      <c r="I73" s="119">
        <f>'2018'!M553</f>
      </c>
      <c r="J73" s="119">
        <f>'2018'!N553</f>
      </c>
      <c r="K73" s="106">
        <f>'2018'!O553</f>
      </c>
      <c r="L73" s="106">
        <f>'2018'!P553</f>
      </c>
      <c r="M73" s="119">
        <f>'2018'!Q553</f>
      </c>
      <c r="N73" s="119">
        <f>'2018'!R553</f>
      </c>
      <c r="O73" s="119">
        <f>'2018'!S553</f>
      </c>
      <c r="P73" s="119">
        <f>'2018'!T553</f>
      </c>
      <c r="Q73" s="119">
        <f>'2018'!U553</f>
      </c>
      <c r="R73" s="119">
        <f>'2018'!V553</f>
      </c>
      <c r="S73" s="106">
        <f>'2018'!W553</f>
      </c>
      <c r="T73" s="106">
        <f>'2018'!X553</f>
      </c>
      <c r="U73" s="119">
        <f>'2018'!Y553</f>
      </c>
      <c r="V73" s="119">
        <f>'2018'!Z553</f>
        <v>0</v>
      </c>
      <c r="W73" s="106">
        <f>'2018'!AA553</f>
        <v>0</v>
      </c>
      <c r="X73" s="106">
        <f>'2018'!AB553</f>
      </c>
      <c r="Y73" s="119">
        <f>'2018'!AC553</f>
      </c>
      <c r="Z73" s="119">
        <f>'2018'!AD553</f>
        <v>0</v>
      </c>
      <c r="AA73" s="106">
        <f>'2018'!AE553</f>
        <v>0</v>
      </c>
      <c r="AB73" s="106">
        <f>'2018'!AF553</f>
      </c>
      <c r="AC73" s="119">
        <f>'2018'!AG553</f>
      </c>
      <c r="AD73" s="119">
        <f>'2018'!AH553</f>
        <v>0</v>
      </c>
      <c r="AE73" s="106">
        <f>'2018'!AI553</f>
        <v>0</v>
      </c>
      <c r="AF73" s="106">
        <f>'2018'!AJ553</f>
      </c>
      <c r="AG73" s="119">
        <f>'2018'!AK553</f>
      </c>
      <c r="AH73" s="119">
        <f>'2018'!AL553</f>
        <v>0</v>
      </c>
      <c r="AI73" s="106">
        <f>'2018'!AM553</f>
        <v>0</v>
      </c>
      <c r="AJ73" s="106">
        <f>'2018'!AN553</f>
      </c>
      <c r="AK73" s="119">
        <f>'2018'!AO553</f>
      </c>
      <c r="AL73" s="119">
        <f>'2018'!AP553</f>
      </c>
      <c r="AM73" s="106">
        <f>'2018'!AQ553</f>
        <v>0</v>
      </c>
      <c r="AN73" s="106">
        <f>'2018'!AR553</f>
      </c>
      <c r="AO73" s="119">
        <f>'2018'!AS553</f>
      </c>
      <c r="AP73" s="119">
        <f>'2018'!AT553</f>
      </c>
      <c r="AQ73" s="106">
        <f>'2018'!AU553</f>
        <v>0</v>
      </c>
      <c r="AR73" s="106">
        <f>'2018'!AV553</f>
      </c>
      <c r="AS73" s="119">
        <f>'2018'!AW553</f>
      </c>
      <c r="AT73" s="119">
        <f>'2018'!AX553</f>
      </c>
      <c r="AU73" s="106">
        <f>'2018'!AY553</f>
        <v>0</v>
      </c>
      <c r="AV73" s="106">
        <f>'2018'!AZ553</f>
      </c>
      <c r="AW73" s="106"/>
      <c r="AX73" s="106"/>
      <c r="AY73" s="119">
        <f>'2018'!BA553</f>
      </c>
      <c r="AZ73" s="119">
        <f>'2018'!BB553</f>
      </c>
      <c r="BA73" s="106">
        <f>'2018'!BC553</f>
        <v>0</v>
      </c>
      <c r="BB73" s="106">
        <f>'2018'!BD553</f>
      </c>
      <c r="BC73" s="106"/>
      <c r="BD73" s="106"/>
      <c r="BE73" s="119">
        <f>'2018'!BE553</f>
        <v>0</v>
      </c>
      <c r="BF73" s="106">
        <f>'2018'!BF553</f>
        <v>0</v>
      </c>
      <c r="BG73" s="106">
        <f>'2018'!BG553</f>
        <v>0</v>
      </c>
      <c r="BH73" s="106">
        <f>'2018'!BH553</f>
        <v>0</v>
      </c>
      <c r="BI73" s="34"/>
    </row>
    <row r="74" ht="15.75" customHeight="1" hidden="1" spans="1:61" x14ac:dyDescent="0.25">
      <c r="A74" s="114" t="s">
        <v>264</v>
      </c>
      <c r="B74" s="115">
        <v>75</v>
      </c>
      <c r="C74" s="115">
        <v>4.15</v>
      </c>
      <c r="D74" s="117" t="s">
        <v>265</v>
      </c>
      <c r="E74" s="119">
        <f>'2018'!I561</f>
      </c>
      <c r="F74" s="119">
        <f>'2018'!J561</f>
      </c>
      <c r="G74" s="106">
        <f>'2018'!K561</f>
      </c>
      <c r="H74" s="106">
        <f>'2018'!L561</f>
      </c>
      <c r="I74" s="119">
        <f>'2018'!M561</f>
      </c>
      <c r="J74" s="119">
        <f>'2018'!N561</f>
      </c>
      <c r="K74" s="106">
        <f>'2018'!O561</f>
      </c>
      <c r="L74" s="106">
        <f>'2018'!P561</f>
      </c>
      <c r="M74" s="119">
        <f>'2018'!Q561</f>
      </c>
      <c r="N74" s="119">
        <f>'2018'!R561</f>
      </c>
      <c r="O74" s="119">
        <f>'2018'!S561</f>
      </c>
      <c r="P74" s="119">
        <f>'2018'!T561</f>
      </c>
      <c r="Q74" s="119">
        <f>'2018'!U561</f>
      </c>
      <c r="R74" s="119">
        <f>'2018'!V561</f>
      </c>
      <c r="S74" s="106">
        <f>'2018'!W561</f>
      </c>
      <c r="T74" s="106">
        <f>'2018'!X561</f>
      </c>
      <c r="U74" s="119">
        <f>'2018'!Y561</f>
      </c>
      <c r="V74" s="119">
        <f>'2018'!Z561</f>
        <v>0</v>
      </c>
      <c r="W74" s="106">
        <f>'2018'!AA561</f>
        <v>0</v>
      </c>
      <c r="X74" s="106">
        <f>'2018'!AB561</f>
      </c>
      <c r="Y74" s="119">
        <f>'2018'!AC561</f>
      </c>
      <c r="Z74" s="119">
        <f>'2018'!AD561</f>
        <v>0</v>
      </c>
      <c r="AA74" s="106">
        <f>'2018'!AE561</f>
        <v>0</v>
      </c>
      <c r="AB74" s="106">
        <f>'2018'!AF561</f>
      </c>
      <c r="AC74" s="119">
        <f>'2018'!AG561</f>
      </c>
      <c r="AD74" s="119">
        <f>'2018'!AH561</f>
        <v>0</v>
      </c>
      <c r="AE74" s="106">
        <f>'2018'!AI561</f>
        <v>0</v>
      </c>
      <c r="AF74" s="106">
        <f>'2018'!AJ561</f>
      </c>
      <c r="AG74" s="119">
        <f>'2018'!AK561</f>
      </c>
      <c r="AH74" s="119">
        <f>'2018'!AL561</f>
        <v>0</v>
      </c>
      <c r="AI74" s="106">
        <f>'2018'!AM561</f>
        <v>0</v>
      </c>
      <c r="AJ74" s="106">
        <f>'2018'!AN561</f>
      </c>
      <c r="AK74" s="119">
        <f>'2018'!AO561</f>
      </c>
      <c r="AL74" s="119">
        <f>'2018'!AP561</f>
      </c>
      <c r="AM74" s="106">
        <f>'2018'!AQ561</f>
        <v>0</v>
      </c>
      <c r="AN74" s="106">
        <f>'2018'!AR561</f>
      </c>
      <c r="AO74" s="119">
        <f>'2018'!AS561</f>
      </c>
      <c r="AP74" s="119">
        <f>'2018'!AT561</f>
      </c>
      <c r="AQ74" s="106">
        <f>'2018'!AU561</f>
        <v>0</v>
      </c>
      <c r="AR74" s="106">
        <f>'2018'!AV561</f>
      </c>
      <c r="AS74" s="119">
        <f>'2018'!AW561</f>
      </c>
      <c r="AT74" s="119">
        <f>'2018'!AX561</f>
      </c>
      <c r="AU74" s="106">
        <f>'2018'!AY561</f>
        <v>0</v>
      </c>
      <c r="AV74" s="106">
        <f>'2018'!AZ561</f>
      </c>
      <c r="AW74" s="106"/>
      <c r="AX74" s="106"/>
      <c r="AY74" s="119">
        <f>'2018'!BA561</f>
      </c>
      <c r="AZ74" s="119">
        <f>'2018'!BB561</f>
      </c>
      <c r="BA74" s="106">
        <f>'2018'!BC561</f>
        <v>0</v>
      </c>
      <c r="BB74" s="106">
        <f>'2018'!BD561</f>
      </c>
      <c r="BC74" s="106"/>
      <c r="BD74" s="106"/>
      <c r="BE74" s="119">
        <f>'2018'!BE561</f>
        <v>0</v>
      </c>
      <c r="BF74" s="106">
        <f>'2018'!BF561</f>
        <v>0</v>
      </c>
      <c r="BG74" s="106">
        <f>'2018'!BG561</f>
        <v>0</v>
      </c>
      <c r="BH74" s="106">
        <f>'2018'!BH561</f>
        <v>0</v>
      </c>
      <c r="BI74" s="34"/>
    </row>
    <row r="75" ht="15.75" customHeight="1" hidden="1" spans="1:61" x14ac:dyDescent="0.25">
      <c r="A75" s="14"/>
      <c r="B75" s="115">
        <v>76</v>
      </c>
      <c r="C75" s="115">
        <v>4.15</v>
      </c>
      <c r="D75" s="117" t="s">
        <v>267</v>
      </c>
      <c r="E75" s="119">
        <f>'2018'!I569</f>
      </c>
      <c r="F75" s="119">
        <f>'2018'!J569</f>
      </c>
      <c r="G75" s="106">
        <f>'2018'!K569</f>
      </c>
      <c r="H75" s="106">
        <f>'2018'!L569</f>
      </c>
      <c r="I75" s="119">
        <f>'2018'!M569</f>
      </c>
      <c r="J75" s="119">
        <f>'2018'!N569</f>
      </c>
      <c r="K75" s="106">
        <f>'2018'!O569</f>
      </c>
      <c r="L75" s="106">
        <f>'2018'!P569</f>
      </c>
      <c r="M75" s="119">
        <f>'2018'!Q569</f>
      </c>
      <c r="N75" s="119">
        <f>'2018'!R569</f>
      </c>
      <c r="O75" s="119">
        <f>'2018'!S569</f>
      </c>
      <c r="P75" s="119">
        <f>'2018'!T569</f>
      </c>
      <c r="Q75" s="119">
        <f>'2018'!U569</f>
      </c>
      <c r="R75" s="119">
        <f>'2018'!V569</f>
      </c>
      <c r="S75" s="106">
        <f>'2018'!W569</f>
      </c>
      <c r="T75" s="106">
        <f>'2018'!X569</f>
      </c>
      <c r="U75" s="119">
        <f>'2018'!Y569</f>
      </c>
      <c r="V75" s="119">
        <f>'2018'!Z569</f>
        <v>0</v>
      </c>
      <c r="W75" s="106">
        <f>'2018'!AA569</f>
        <v>0</v>
      </c>
      <c r="X75" s="106">
        <f>'2018'!AB569</f>
      </c>
      <c r="Y75" s="119">
        <f>'2018'!AC569</f>
      </c>
      <c r="Z75" s="119">
        <f>'2018'!AD569</f>
        <v>0</v>
      </c>
      <c r="AA75" s="106">
        <f>'2018'!AE569</f>
        <v>0</v>
      </c>
      <c r="AB75" s="106">
        <f>'2018'!AF569</f>
      </c>
      <c r="AC75" s="119">
        <f>'2018'!AG569</f>
      </c>
      <c r="AD75" s="119">
        <f>'2018'!AH569</f>
        <v>0</v>
      </c>
      <c r="AE75" s="106">
        <f>'2018'!AI569</f>
        <v>0</v>
      </c>
      <c r="AF75" s="106">
        <f>'2018'!AJ569</f>
      </c>
      <c r="AG75" s="119">
        <f>'2018'!AK569</f>
      </c>
      <c r="AH75" s="119">
        <f>'2018'!AL569</f>
        <v>0</v>
      </c>
      <c r="AI75" s="106">
        <f>'2018'!AM569</f>
        <v>0</v>
      </c>
      <c r="AJ75" s="106">
        <f>'2018'!AN569</f>
      </c>
      <c r="AK75" s="119">
        <f>'2018'!AO569</f>
      </c>
      <c r="AL75" s="119">
        <f>'2018'!AP569</f>
      </c>
      <c r="AM75" s="106">
        <f>'2018'!AQ569</f>
        <v>0</v>
      </c>
      <c r="AN75" s="106">
        <f>'2018'!AR569</f>
      </c>
      <c r="AO75" s="119">
        <f>'2018'!AS569</f>
      </c>
      <c r="AP75" s="119">
        <f>'2018'!AT569</f>
      </c>
      <c r="AQ75" s="106">
        <f>'2018'!AU569</f>
        <v>0</v>
      </c>
      <c r="AR75" s="106">
        <f>'2018'!AV569</f>
      </c>
      <c r="AS75" s="119">
        <f>'2018'!AW569</f>
      </c>
      <c r="AT75" s="119">
        <f>'2018'!AX569</f>
      </c>
      <c r="AU75" s="106">
        <f>'2018'!AY569</f>
        <v>0</v>
      </c>
      <c r="AV75" s="106">
        <f>'2018'!AZ569</f>
      </c>
      <c r="AW75" s="106"/>
      <c r="AX75" s="106"/>
      <c r="AY75" s="119">
        <f>'2018'!BA569</f>
      </c>
      <c r="AZ75" s="119">
        <f>'2018'!BB569</f>
      </c>
      <c r="BA75" s="106">
        <f>'2018'!BC569</f>
        <v>0</v>
      </c>
      <c r="BB75" s="106">
        <f>'2018'!BD569</f>
      </c>
      <c r="BC75" s="106"/>
      <c r="BD75" s="106"/>
      <c r="BE75" s="119">
        <f>'2018'!BE569</f>
        <v>0</v>
      </c>
      <c r="BF75" s="106">
        <f>'2018'!BF569</f>
        <v>0</v>
      </c>
      <c r="BG75" s="106">
        <f>'2018'!BG569</f>
        <v>0</v>
      </c>
      <c r="BH75" s="106">
        <f>'2018'!BH569</f>
        <v>0</v>
      </c>
      <c r="BI75" s="34"/>
    </row>
    <row r="76" ht="15.75" customHeight="1" hidden="1" spans="1:61" x14ac:dyDescent="0.25">
      <c r="A76" s="14"/>
      <c r="B76" s="115">
        <v>77</v>
      </c>
      <c r="C76" s="115">
        <v>4.12</v>
      </c>
      <c r="D76" s="117" t="s">
        <v>268</v>
      </c>
      <c r="E76" s="119">
        <f>'2018'!I577</f>
        <v>608</v>
      </c>
      <c r="F76" s="119">
        <f>'2018'!J577</f>
        <v>0</v>
      </c>
      <c r="G76" s="106">
        <f>'2018'!K577</f>
        <v>0</v>
      </c>
      <c r="H76" s="106">
        <f>'2018'!L577</f>
      </c>
      <c r="I76" s="119">
        <f>'2018'!M577</f>
        <v>608</v>
      </c>
      <c r="J76" s="119">
        <f>'2018'!N577</f>
        <v>0</v>
      </c>
      <c r="K76" s="106">
        <f>'2018'!O577</f>
        <v>0</v>
      </c>
      <c r="L76" s="106">
        <f>'2018'!P577</f>
      </c>
      <c r="M76" s="119">
        <f>'2018'!Q577</f>
        <v>608</v>
      </c>
      <c r="N76" s="119">
        <f>'2018'!R577</f>
        <v>0</v>
      </c>
      <c r="O76" s="119">
        <f>'2018'!S577</f>
        <v>0</v>
      </c>
      <c r="P76" s="119">
        <f>'2018'!T577</f>
      </c>
      <c r="Q76" s="119">
        <f>'2018'!U577</f>
        <v>608</v>
      </c>
      <c r="R76" s="119">
        <f>'2018'!V577</f>
        <v>0</v>
      </c>
      <c r="S76" s="106">
        <f>'2018'!W577</f>
        <v>0</v>
      </c>
      <c r="T76" s="106">
        <f>'2018'!X577</f>
        <v>74.7</v>
      </c>
      <c r="U76" s="119">
        <f>'2018'!Y577</f>
        <v>613</v>
      </c>
      <c r="V76" s="119">
        <f>'2018'!Z577</f>
        <v>5</v>
      </c>
      <c r="W76" s="106">
        <f>'2018'!AA577</f>
        <v>12.45</v>
      </c>
      <c r="X76" s="106">
        <f>'2018'!AB577</f>
        <v>12.45</v>
      </c>
      <c r="Y76" s="119">
        <f>'2018'!AC577</f>
        <v>643</v>
      </c>
      <c r="Z76" s="119">
        <f>'2018'!AD577</f>
        <v>30</v>
      </c>
      <c r="AA76" s="106">
        <f>'2018'!AE577</f>
        <v>74.7</v>
      </c>
      <c r="AB76" s="106">
        <f>'2018'!AF577</f>
      </c>
      <c r="AC76" s="119">
        <f>'2018'!AG577</f>
        <v>721</v>
      </c>
      <c r="AD76" s="119">
        <f>'2018'!AH577</f>
        <v>78</v>
      </c>
      <c r="AE76" s="106">
        <f>'2018'!AI577</f>
        <v>194.22</v>
      </c>
      <c r="AF76" s="106">
        <f>'2018'!AJ577</f>
        <v>74.7</v>
      </c>
      <c r="AG76" s="119">
        <f>'2018'!AK577</f>
        <v>887</v>
      </c>
      <c r="AH76" s="119">
        <f>'2018'!AL577</f>
        <v>166</v>
      </c>
      <c r="AI76" s="106">
        <f>'2018'!AM577</f>
        <v>413.34</v>
      </c>
      <c r="AJ76" s="106">
        <f>'2018'!AN577</f>
        <v>607.56</v>
      </c>
      <c r="AK76" s="119">
        <f>'2018'!AO577</f>
        <v>918</v>
      </c>
      <c r="AL76" s="119">
        <f>'2018'!AP577</f>
        <v>31</v>
      </c>
      <c r="AM76" s="106">
        <f>'2018'!AQ577</f>
        <v>77.19</v>
      </c>
      <c r="AN76" s="106">
        <f>'2018'!AR577</f>
        <v>77.19</v>
      </c>
      <c r="AO76" s="119">
        <f>'2018'!AS577</f>
        <v>922</v>
      </c>
      <c r="AP76" s="119">
        <f>'2018'!AT577</f>
        <v>4</v>
      </c>
      <c r="AQ76" s="106">
        <f>'2018'!AU577</f>
        <v>9.96</v>
      </c>
      <c r="AR76" s="106">
        <f>'2018'!AV577</f>
      </c>
      <c r="AS76" s="119">
        <f>'2018'!AW577</f>
        <v>922</v>
      </c>
      <c r="AT76" s="119">
        <f>'2018'!AX577</f>
        <v>0</v>
      </c>
      <c r="AU76" s="106">
        <f>'2018'!AY577</f>
        <v>0</v>
      </c>
      <c r="AV76" s="106">
        <f>'2018'!AZ577</f>
      </c>
      <c r="AW76" s="106"/>
      <c r="AX76" s="106"/>
      <c r="AY76" s="119">
        <f>'2018'!BA577</f>
        <v>922</v>
      </c>
      <c r="AZ76" s="119">
        <f>'2018'!BB577</f>
        <v>0</v>
      </c>
      <c r="BA76" s="106">
        <f>'2018'!BC577</f>
        <v>0</v>
      </c>
      <c r="BB76" s="106">
        <f>'2018'!BD577</f>
      </c>
      <c r="BC76" s="106"/>
      <c r="BD76" s="106"/>
      <c r="BE76" s="119">
        <f>'2018'!BE577</f>
        <v>314</v>
      </c>
      <c r="BF76" s="106">
        <f>'2018'!BF577</f>
        <v>781.86</v>
      </c>
      <c r="BG76" s="106">
        <f>'2018'!BG577</f>
        <v>846.6</v>
      </c>
      <c r="BH76" s="106">
        <f>'2018'!BH577</f>
        <v>9.96</v>
      </c>
      <c r="BI76" s="34"/>
    </row>
    <row r="77" ht="15.75" customHeight="1" hidden="1" spans="1:61" x14ac:dyDescent="0.25">
      <c r="A77" s="14"/>
      <c r="B77" s="115">
        <v>78</v>
      </c>
      <c r="C77" s="115">
        <v>4.03</v>
      </c>
      <c r="D77" s="117" t="s">
        <v>271</v>
      </c>
      <c r="E77" s="119">
        <f>'2018'!I585</f>
        <v>28</v>
      </c>
      <c r="F77" s="119">
        <f>'2018'!J585</f>
        <v>0</v>
      </c>
      <c r="G77" s="106">
        <f>'2018'!K585</f>
        <v>0</v>
      </c>
      <c r="H77" s="106">
        <f>'2018'!L585</f>
      </c>
      <c r="I77" s="119">
        <f>'2018'!M585</f>
        <v>28</v>
      </c>
      <c r="J77" s="119">
        <f>'2018'!N585</f>
        <v>0</v>
      </c>
      <c r="K77" s="106">
        <f>'2018'!O585</f>
        <v>0</v>
      </c>
      <c r="L77" s="106">
        <f>'2018'!P585</f>
      </c>
      <c r="M77" s="119">
        <f>'2018'!Q585</f>
        <v>28</v>
      </c>
      <c r="N77" s="119">
        <f>'2018'!R585</f>
        <v>0</v>
      </c>
      <c r="O77" s="119">
        <f>'2018'!S585</f>
        <v>0</v>
      </c>
      <c r="P77" s="119">
        <f>'2018'!T585</f>
      </c>
      <c r="Q77" s="119">
        <f>'2018'!U585</f>
        <v>28</v>
      </c>
      <c r="R77" s="119">
        <f>'2018'!V585</f>
        <v>0</v>
      </c>
      <c r="S77" s="106">
        <f>'2018'!W585</f>
        <v>0</v>
      </c>
      <c r="T77" s="106">
        <f>'2018'!X585</f>
        <v>44.82</v>
      </c>
      <c r="U77" s="119">
        <f>'2018'!Y585</f>
        <v>29</v>
      </c>
      <c r="V77" s="119">
        <f>'2018'!Z585</f>
        <v>1</v>
      </c>
      <c r="W77" s="106">
        <f>'2018'!AA585</f>
        <v>2.49</v>
      </c>
      <c r="X77" s="106">
        <f>'2018'!AB585</f>
        <v>2.49</v>
      </c>
      <c r="Y77" s="119">
        <f>'2018'!AC585</f>
        <v>30</v>
      </c>
      <c r="Z77" s="119">
        <f>'2018'!AD585</f>
        <v>1</v>
      </c>
      <c r="AA77" s="106">
        <f>'2018'!AE585</f>
        <v>2.49</v>
      </c>
      <c r="AB77" s="106">
        <f>'2018'!AF585</f>
      </c>
      <c r="AC77" s="119">
        <f>'2018'!AG585</f>
        <v>31</v>
      </c>
      <c r="AD77" s="119">
        <f>'2018'!AH585</f>
        <v>1</v>
      </c>
      <c r="AE77" s="106">
        <f>'2018'!AI585</f>
        <v>2.49</v>
      </c>
      <c r="AF77" s="106">
        <f>'2018'!AJ585</f>
        <v>2.49</v>
      </c>
      <c r="AG77" s="119">
        <f>'2018'!AK585</f>
        <v>32</v>
      </c>
      <c r="AH77" s="119">
        <f>'2018'!AL585</f>
        <v>1</v>
      </c>
      <c r="AI77" s="106">
        <f>'2018'!AM585</f>
        <v>2.49</v>
      </c>
      <c r="AJ77" s="106">
        <f>'2018'!AN585</f>
        <v>4.98</v>
      </c>
      <c r="AK77" s="119">
        <f>'2018'!AO585</f>
        <v>39</v>
      </c>
      <c r="AL77" s="119">
        <f>'2018'!AP585</f>
        <v>7</v>
      </c>
      <c r="AM77" s="106">
        <f>'2018'!AQ585</f>
        <v>17.43</v>
      </c>
      <c r="AN77" s="106">
        <f>'2018'!AR585</f>
        <v>17.43</v>
      </c>
      <c r="AO77" s="119">
        <f>'2018'!AS585</f>
        <v>44</v>
      </c>
      <c r="AP77" s="119">
        <f>'2018'!AT585</f>
        <v>5</v>
      </c>
      <c r="AQ77" s="106">
        <f>'2018'!AU585</f>
        <v>12.45</v>
      </c>
      <c r="AR77" s="106">
        <f>'2018'!AV585</f>
      </c>
      <c r="AS77" s="119">
        <f>'2018'!AW585</f>
        <v>44</v>
      </c>
      <c r="AT77" s="119">
        <f>'2018'!AX585</f>
        <v>0</v>
      </c>
      <c r="AU77" s="106">
        <f>'2018'!AY585</f>
        <v>0</v>
      </c>
      <c r="AV77" s="106">
        <f>'2018'!AZ585</f>
      </c>
      <c r="AW77" s="106"/>
      <c r="AX77" s="106"/>
      <c r="AY77" s="119">
        <f>'2018'!BA585</f>
        <v>44</v>
      </c>
      <c r="AZ77" s="119">
        <f>'2018'!BB585</f>
        <v>0</v>
      </c>
      <c r="BA77" s="106">
        <f>'2018'!BC585</f>
        <v>0</v>
      </c>
      <c r="BB77" s="106">
        <f>'2018'!BD585</f>
      </c>
      <c r="BC77" s="106"/>
      <c r="BD77" s="106"/>
      <c r="BE77" s="119">
        <f>'2018'!BE585</f>
        <v>16</v>
      </c>
      <c r="BF77" s="106">
        <f>'2018'!BF585</f>
        <v>39.84</v>
      </c>
      <c r="BG77" s="106">
        <f>'2018'!BG585</f>
        <v>72.21</v>
      </c>
      <c r="BH77" s="106">
        <f>'2018'!BH585</f>
        <v>12.45</v>
      </c>
      <c r="BI77" s="34"/>
    </row>
    <row r="78" ht="15.75" customHeight="1" hidden="1" spans="1:61" x14ac:dyDescent="0.25">
      <c r="A78" s="14"/>
      <c r="B78" s="115">
        <v>79</v>
      </c>
      <c r="C78" s="115">
        <v>4.24</v>
      </c>
      <c r="D78" s="117" t="s">
        <v>275</v>
      </c>
      <c r="E78" s="119">
        <f>'2018'!I593</f>
      </c>
      <c r="F78" s="119">
        <f>'2018'!J593</f>
      </c>
      <c r="G78" s="106">
        <f>'2018'!K593</f>
      </c>
      <c r="H78" s="106">
        <f>'2018'!L593</f>
      </c>
      <c r="I78" s="119">
        <f>'2018'!M593</f>
      </c>
      <c r="J78" s="119">
        <f>'2018'!N593</f>
      </c>
      <c r="K78" s="106">
        <f>'2018'!O593</f>
      </c>
      <c r="L78" s="106">
        <f>'2018'!P593</f>
      </c>
      <c r="M78" s="119">
        <f>'2018'!Q593</f>
      </c>
      <c r="N78" s="119">
        <f>'2018'!R593</f>
      </c>
      <c r="O78" s="119">
        <f>'2018'!S593</f>
      </c>
      <c r="P78" s="119">
        <f>'2018'!T593</f>
      </c>
      <c r="Q78" s="119">
        <f>'2018'!U593</f>
      </c>
      <c r="R78" s="119">
        <f>'2018'!V593</f>
      </c>
      <c r="S78" s="106">
        <f>'2018'!W593</f>
      </c>
      <c r="T78" s="106">
        <f>'2018'!X593</f>
      </c>
      <c r="U78" s="119">
        <f>'2018'!Y593</f>
      </c>
      <c r="V78" s="119">
        <f>'2018'!Z593</f>
        <v>0</v>
      </c>
      <c r="W78" s="106">
        <f>'2018'!AA593</f>
        <v>0</v>
      </c>
      <c r="X78" s="106">
        <f>'2018'!AB593</f>
      </c>
      <c r="Y78" s="119">
        <f>'2018'!AC593</f>
      </c>
      <c r="Z78" s="119">
        <f>'2018'!AD593</f>
        <v>0</v>
      </c>
      <c r="AA78" s="106">
        <f>'2018'!AE593</f>
        <v>0</v>
      </c>
      <c r="AB78" s="106">
        <f>'2018'!AF593</f>
      </c>
      <c r="AC78" s="119">
        <f>'2018'!AG593</f>
      </c>
      <c r="AD78" s="119">
        <f>'2018'!AH593</f>
        <v>0</v>
      </c>
      <c r="AE78" s="106">
        <f>'2018'!AI593</f>
        <v>0</v>
      </c>
      <c r="AF78" s="106">
        <f>'2018'!AJ593</f>
      </c>
      <c r="AG78" s="119">
        <f>'2018'!AK593</f>
        <v>5</v>
      </c>
      <c r="AH78" s="119">
        <f>'2018'!AL593</f>
        <v>5</v>
      </c>
      <c r="AI78" s="106">
        <f>'2018'!AM593</f>
        <v>12.45</v>
      </c>
      <c r="AJ78" s="106">
        <f>'2018'!AN593</f>
      </c>
      <c r="AK78" s="119">
        <f>'2018'!AO593</f>
        <v>5</v>
      </c>
      <c r="AL78" s="119">
        <f>'2018'!AP593</f>
        <v>0</v>
      </c>
      <c r="AM78" s="106">
        <f>'2018'!AQ593</f>
        <v>0</v>
      </c>
      <c r="AN78" s="106">
        <f>'2018'!AR593</f>
      </c>
      <c r="AO78" s="119">
        <f>'2018'!AS593</f>
        <v>5</v>
      </c>
      <c r="AP78" s="119">
        <f>'2018'!AT593</f>
        <v>0</v>
      </c>
      <c r="AQ78" s="106">
        <f>'2018'!AU593</f>
        <v>0</v>
      </c>
      <c r="AR78" s="106">
        <f>'2018'!AV593</f>
      </c>
      <c r="AS78" s="119">
        <f>'2018'!AW593</f>
        <v>5</v>
      </c>
      <c r="AT78" s="119">
        <f>'2018'!AX593</f>
        <v>0</v>
      </c>
      <c r="AU78" s="106">
        <f>'2018'!AY593</f>
        <v>0</v>
      </c>
      <c r="AV78" s="106">
        <f>'2018'!AZ593</f>
      </c>
      <c r="AW78" s="106"/>
      <c r="AX78" s="106"/>
      <c r="AY78" s="119">
        <f>'2018'!BA593</f>
        <v>5</v>
      </c>
      <c r="AZ78" s="119">
        <f>'2018'!BB593</f>
        <v>0</v>
      </c>
      <c r="BA78" s="106">
        <f>'2018'!BC593</f>
        <v>0</v>
      </c>
      <c r="BB78" s="106">
        <f>'2018'!BD593</f>
      </c>
      <c r="BC78" s="106"/>
      <c r="BD78" s="106"/>
      <c r="BE78" s="119">
        <f>'2018'!BE593</f>
        <v>5</v>
      </c>
      <c r="BF78" s="106">
        <f>'2018'!BF593</f>
        <v>12.45</v>
      </c>
      <c r="BG78" s="106">
        <f>'2018'!BG593</f>
        <v>0</v>
      </c>
      <c r="BH78" s="106">
        <f>'2018'!BH593</f>
        <v>12.45</v>
      </c>
      <c r="BI78" s="34"/>
    </row>
    <row r="79" ht="15.75" customHeight="1" hidden="1" spans="1:61" x14ac:dyDescent="0.25">
      <c r="A79" s="14"/>
      <c r="B79" s="115">
        <v>81</v>
      </c>
      <c r="C79" s="116">
        <v>4.3</v>
      </c>
      <c r="D79" s="117" t="s">
        <v>278</v>
      </c>
      <c r="E79" s="119">
        <f>'2018'!I601</f>
      </c>
      <c r="F79" s="119">
        <f>'2018'!J601</f>
      </c>
      <c r="G79" s="106">
        <f>'2018'!K601</f>
      </c>
      <c r="H79" s="106">
        <f>'2018'!L601</f>
      </c>
      <c r="I79" s="119">
        <f>'2018'!M601</f>
      </c>
      <c r="J79" s="119">
        <f>'2018'!N601</f>
      </c>
      <c r="K79" s="106">
        <f>'2018'!O601</f>
      </c>
      <c r="L79" s="106">
        <f>'2018'!P601</f>
      </c>
      <c r="M79" s="119">
        <f>'2018'!Q601</f>
      </c>
      <c r="N79" s="119">
        <f>'2018'!R601</f>
      </c>
      <c r="O79" s="119">
        <f>'2018'!S601</f>
      </c>
      <c r="P79" s="119">
        <f>'2018'!T601</f>
      </c>
      <c r="Q79" s="119">
        <f>'2018'!U601</f>
      </c>
      <c r="R79" s="119">
        <f>'2018'!V601</f>
      </c>
      <c r="S79" s="106">
        <f>'2018'!W601</f>
      </c>
      <c r="T79" s="106">
        <f>'2018'!X601</f>
      </c>
      <c r="U79" s="119">
        <f>'2018'!Y601</f>
      </c>
      <c r="V79" s="119">
        <f>'2018'!Z601</f>
        <v>0</v>
      </c>
      <c r="W79" s="106">
        <f>'2018'!AA601</f>
        <v>0</v>
      </c>
      <c r="X79" s="106">
        <f>'2018'!AB601</f>
      </c>
      <c r="Y79" s="119">
        <f>'2018'!AC601</f>
      </c>
      <c r="Z79" s="119">
        <f>'2018'!AD601</f>
        <v>0</v>
      </c>
      <c r="AA79" s="106">
        <f>'2018'!AE601</f>
        <v>0</v>
      </c>
      <c r="AB79" s="106">
        <f>'2018'!AF601</f>
      </c>
      <c r="AC79" s="119">
        <f>'2018'!AG601</f>
      </c>
      <c r="AD79" s="119">
        <f>'2018'!AH601</f>
        <v>0</v>
      </c>
      <c r="AE79" s="106">
        <f>'2018'!AI601</f>
        <v>0</v>
      </c>
      <c r="AF79" s="106">
        <f>'2018'!AJ601</f>
      </c>
      <c r="AG79" s="119">
        <f>'2018'!AK601</f>
      </c>
      <c r="AH79" s="119">
        <f>'2018'!AL601</f>
        <v>0</v>
      </c>
      <c r="AI79" s="106">
        <f>'2018'!AM601</f>
        <v>0</v>
      </c>
      <c r="AJ79" s="106">
        <f>'2018'!AN601</f>
      </c>
      <c r="AK79" s="119">
        <f>'2018'!AO601</f>
      </c>
      <c r="AL79" s="119">
        <f>'2018'!AP601</f>
      </c>
      <c r="AM79" s="106">
        <f>'2018'!AQ601</f>
        <v>0</v>
      </c>
      <c r="AN79" s="106">
        <f>'2018'!AR601</f>
      </c>
      <c r="AO79" s="119">
        <f>'2018'!AS601</f>
      </c>
      <c r="AP79" s="119">
        <f>'2018'!AT601</f>
      </c>
      <c r="AQ79" s="106">
        <f>'2018'!AU601</f>
        <v>0</v>
      </c>
      <c r="AR79" s="106">
        <f>'2018'!AV601</f>
      </c>
      <c r="AS79" s="119">
        <f>'2018'!AW601</f>
      </c>
      <c r="AT79" s="119">
        <f>'2018'!AX601</f>
      </c>
      <c r="AU79" s="106">
        <f>'2018'!AY601</f>
        <v>0</v>
      </c>
      <c r="AV79" s="106">
        <f>'2018'!AZ601</f>
      </c>
      <c r="AW79" s="106"/>
      <c r="AX79" s="106"/>
      <c r="AY79" s="119">
        <f>'2018'!BA601</f>
      </c>
      <c r="AZ79" s="119">
        <f>'2018'!BB601</f>
      </c>
      <c r="BA79" s="106">
        <f>'2018'!BC601</f>
        <v>0</v>
      </c>
      <c r="BB79" s="106">
        <f>'2018'!BD601</f>
      </c>
      <c r="BC79" s="106"/>
      <c r="BD79" s="106"/>
      <c r="BE79" s="119">
        <f>'2018'!BE601</f>
        <v>0</v>
      </c>
      <c r="BF79" s="106">
        <f>'2018'!BF601</f>
        <v>0</v>
      </c>
      <c r="BG79" s="106">
        <f>'2018'!BG601</f>
        <v>0</v>
      </c>
      <c r="BH79" s="106">
        <f>'2018'!BH601</f>
        <v>0</v>
      </c>
      <c r="BI79" s="34"/>
    </row>
    <row r="80" ht="15.75" customHeight="1" hidden="1" spans="1:61" x14ac:dyDescent="0.25">
      <c r="A80" s="14"/>
      <c r="B80" s="115">
        <v>83</v>
      </c>
      <c r="C80" s="115">
        <v>4.29</v>
      </c>
      <c r="D80" s="117" t="s">
        <v>280</v>
      </c>
      <c r="E80" s="119">
        <f>'2018'!I609</f>
        <v>38</v>
      </c>
      <c r="F80" s="119">
        <f>'2018'!J609</f>
        <v>0</v>
      </c>
      <c r="G80" s="106">
        <f>'2018'!K609</f>
        <v>0</v>
      </c>
      <c r="H80" s="106">
        <f>'2018'!L609</f>
      </c>
      <c r="I80" s="119">
        <f>'2018'!M609</f>
        <v>38</v>
      </c>
      <c r="J80" s="119">
        <f>'2018'!N609</f>
        <v>0</v>
      </c>
      <c r="K80" s="106">
        <f>'2018'!O609</f>
        <v>0</v>
      </c>
      <c r="L80" s="106">
        <f>'2018'!P609</f>
      </c>
      <c r="M80" s="119">
        <f>'2018'!Q609</f>
        <v>38</v>
      </c>
      <c r="N80" s="119">
        <f>'2018'!R609</f>
        <v>0</v>
      </c>
      <c r="O80" s="119">
        <f>'2018'!S609</f>
        <v>0</v>
      </c>
      <c r="P80" s="119">
        <f>'2018'!T609</f>
      </c>
      <c r="Q80" s="119">
        <f>'2018'!U609</f>
        <v>38</v>
      </c>
      <c r="R80" s="119">
        <f>'2018'!V609</f>
        <v>0</v>
      </c>
      <c r="S80" s="106">
        <f>'2018'!W609</f>
        <v>0</v>
      </c>
      <c r="T80" s="106">
        <f>'2018'!X609</f>
      </c>
      <c r="U80" s="119">
        <f>'2018'!Y609</f>
        <v>38</v>
      </c>
      <c r="V80" s="119">
        <f>'2018'!Z609</f>
        <v>0</v>
      </c>
      <c r="W80" s="106">
        <f>'2018'!AA609</f>
        <v>0</v>
      </c>
      <c r="X80" s="106">
        <f>'2018'!AB609</f>
      </c>
      <c r="Y80" s="119">
        <f>'2018'!AC609</f>
        <v>44</v>
      </c>
      <c r="Z80" s="119">
        <f>'2018'!AD609</f>
        <v>6</v>
      </c>
      <c r="AA80" s="106">
        <f>'2018'!AE609</f>
        <v>14.94</v>
      </c>
      <c r="AB80" s="106">
        <f>'2018'!AF609</f>
      </c>
      <c r="AC80" s="119">
        <f>'2018'!AG609</f>
        <v>49</v>
      </c>
      <c r="AD80" s="119">
        <f>'2018'!AH609</f>
        <v>5</v>
      </c>
      <c r="AE80" s="106">
        <f>'2018'!AI609</f>
        <v>12.45</v>
      </c>
      <c r="AF80" s="106">
        <f>'2018'!AJ609</f>
      </c>
      <c r="AG80" s="119">
        <f>'2018'!AK609</f>
        <v>54</v>
      </c>
      <c r="AH80" s="119">
        <f>'2018'!AL609</f>
        <v>5</v>
      </c>
      <c r="AI80" s="106">
        <f>'2018'!AM609</f>
        <v>12.45</v>
      </c>
      <c r="AJ80" s="106">
        <f>'2018'!AN609</f>
      </c>
      <c r="AK80" s="119">
        <f>'2018'!AO609</f>
        <v>55</v>
      </c>
      <c r="AL80" s="119">
        <f>'2018'!AP609</f>
        <v>1</v>
      </c>
      <c r="AM80" s="106">
        <f>'2018'!AQ609</f>
        <v>2.49</v>
      </c>
      <c r="AN80" s="106">
        <f>'2018'!AR609</f>
        <v>89.22</v>
      </c>
      <c r="AO80" s="119">
        <f>'2018'!AS609</f>
        <v>61</v>
      </c>
      <c r="AP80" s="119">
        <f>'2018'!AT609</f>
        <v>6</v>
      </c>
      <c r="AQ80" s="106">
        <f>'2018'!AU609</f>
        <v>14.94</v>
      </c>
      <c r="AR80" s="106">
        <f>'2018'!AV609</f>
      </c>
      <c r="AS80" s="119">
        <f>'2018'!AW609</f>
        <v>61</v>
      </c>
      <c r="AT80" s="119">
        <f>'2018'!AX609</f>
        <v>0</v>
      </c>
      <c r="AU80" s="106">
        <f>'2018'!AY609</f>
        <v>0</v>
      </c>
      <c r="AV80" s="106">
        <f>'2018'!AZ609</f>
      </c>
      <c r="AW80" s="106"/>
      <c r="AX80" s="106"/>
      <c r="AY80" s="119">
        <f>'2018'!BA609</f>
        <v>61</v>
      </c>
      <c r="AZ80" s="119">
        <f>'2018'!BB609</f>
        <v>0</v>
      </c>
      <c r="BA80" s="106">
        <f>'2018'!BC609</f>
        <v>0</v>
      </c>
      <c r="BB80" s="106">
        <f>'2018'!BD609</f>
      </c>
      <c r="BC80" s="106"/>
      <c r="BD80" s="106"/>
      <c r="BE80" s="119">
        <f>'2018'!BE609</f>
        <v>23</v>
      </c>
      <c r="BF80" s="106">
        <f>'2018'!BF609</f>
        <v>57.27</v>
      </c>
      <c r="BG80" s="106">
        <f>'2018'!BG609</f>
        <v>89.22</v>
      </c>
      <c r="BH80" s="106">
        <f>'2018'!BH609</f>
        <v>14.94</v>
      </c>
      <c r="BI80" s="34"/>
    </row>
    <row r="81" ht="15.75" customHeight="1" hidden="1" spans="1:61" x14ac:dyDescent="0.25">
      <c r="A81" s="14"/>
      <c r="B81" s="115">
        <v>85</v>
      </c>
      <c r="C81" s="115">
        <v>4.27</v>
      </c>
      <c r="D81" s="117" t="s">
        <v>362</v>
      </c>
      <c r="E81" s="119">
        <f>'2018'!I617</f>
        <v>431</v>
      </c>
      <c r="F81" s="119">
        <f>'2018'!J617</f>
        <v>0</v>
      </c>
      <c r="G81" s="106">
        <f>'2018'!K617</f>
        <v>0</v>
      </c>
      <c r="H81" s="106">
        <f>'2018'!L617</f>
      </c>
      <c r="I81" s="119">
        <f>'2018'!M617</f>
        <v>431</v>
      </c>
      <c r="J81" s="119">
        <f>'2018'!N617</f>
        <v>0</v>
      </c>
      <c r="K81" s="106">
        <f>'2018'!O617</f>
        <v>0</v>
      </c>
      <c r="L81" s="106">
        <f>'2018'!P617</f>
      </c>
      <c r="M81" s="119">
        <f>'2018'!Q617</f>
        <v>431</v>
      </c>
      <c r="N81" s="119">
        <f>'2018'!R617</f>
        <v>0</v>
      </c>
      <c r="O81" s="119">
        <f>'2018'!S617</f>
        <v>0</v>
      </c>
      <c r="P81" s="119">
        <f>'2018'!T617</f>
      </c>
      <c r="Q81" s="119">
        <f>'2018'!U617</f>
        <v>457</v>
      </c>
      <c r="R81" s="119">
        <f>'2018'!V617</f>
        <v>26</v>
      </c>
      <c r="S81" s="106">
        <f>'2018'!W617</f>
        <v>64.74</v>
      </c>
      <c r="T81" s="106">
        <f>'2018'!X617</f>
        <v>67.23</v>
      </c>
      <c r="U81" s="119">
        <f>'2018'!Y617</f>
        <v>568</v>
      </c>
      <c r="V81" s="119">
        <f>'2018'!Z617</f>
        <v>111</v>
      </c>
      <c r="W81" s="106">
        <f>'2018'!AA617</f>
        <v>276.39</v>
      </c>
      <c r="X81" s="106">
        <f>'2018'!AB617</f>
        <v>276.39</v>
      </c>
      <c r="Y81" s="119">
        <f>'2018'!AC617</f>
        <v>636</v>
      </c>
      <c r="Z81" s="119">
        <f>'2018'!AD617</f>
        <v>68</v>
      </c>
      <c r="AA81" s="106">
        <f>'2018'!AE617</f>
        <v>169.32</v>
      </c>
      <c r="AB81" s="106">
        <f>'2018'!AF617</f>
        <v>169.32</v>
      </c>
      <c r="AC81" s="119">
        <f>'2018'!AG617</f>
        <v>692</v>
      </c>
      <c r="AD81" s="119">
        <f>'2018'!AH617</f>
        <v>56</v>
      </c>
      <c r="AE81" s="106">
        <f>'2018'!AI617</f>
        <v>139.44</v>
      </c>
      <c r="AF81" s="106">
        <f>'2018'!AJ617</f>
      </c>
      <c r="AG81" s="119">
        <f>'2018'!AK617</f>
        <v>775</v>
      </c>
      <c r="AH81" s="119">
        <f>'2018'!AL617</f>
        <v>83</v>
      </c>
      <c r="AI81" s="106">
        <f>'2018'!AM617</f>
        <v>206.67</v>
      </c>
      <c r="AJ81" s="106">
        <f>'2018'!AN617</f>
        <v>139.44</v>
      </c>
      <c r="AK81" s="119">
        <f>'2018'!AO617</f>
        <v>1031</v>
      </c>
      <c r="AL81" s="119">
        <f>'2018'!AP617</f>
        <v>256</v>
      </c>
      <c r="AM81" s="106">
        <f>'2018'!AQ617</f>
        <v>637.44</v>
      </c>
      <c r="AN81" s="106">
        <f>'2018'!AR617</f>
        <v>844.11</v>
      </c>
      <c r="AO81" s="119">
        <f>'2018'!AS617</f>
        <v>1032</v>
      </c>
      <c r="AP81" s="119">
        <f>'2018'!AT617</f>
        <v>1</v>
      </c>
      <c r="AQ81" s="106">
        <f>'2018'!AU617</f>
        <v>2.49</v>
      </c>
      <c r="AR81" s="106">
        <f>'2018'!AV617</f>
      </c>
      <c r="AS81" s="119">
        <f>'2018'!AW617</f>
        <v>1032</v>
      </c>
      <c r="AT81" s="119">
        <f>'2018'!AX617</f>
        <v>0</v>
      </c>
      <c r="AU81" s="106">
        <f>'2018'!AY617</f>
        <v>0</v>
      </c>
      <c r="AV81" s="106">
        <f>'2018'!AZ617</f>
      </c>
      <c r="AW81" s="106"/>
      <c r="AX81" s="106"/>
      <c r="AY81" s="119">
        <f>'2018'!BA617</f>
        <v>1032</v>
      </c>
      <c r="AZ81" s="119">
        <f>'2018'!BB617</f>
        <v>0</v>
      </c>
      <c r="BA81" s="106">
        <f>'2018'!BC617</f>
        <v>0</v>
      </c>
      <c r="BB81" s="106">
        <f>'2018'!BD617</f>
      </c>
      <c r="BC81" s="106"/>
      <c r="BD81" s="106"/>
      <c r="BE81" s="119">
        <f>'2018'!BE617</f>
        <v>601</v>
      </c>
      <c r="BF81" s="106">
        <f>'2018'!BF617</f>
        <v>1496.49</v>
      </c>
      <c r="BG81" s="106">
        <f>'2018'!BG617</f>
        <v>1496.49</v>
      </c>
      <c r="BH81" s="106">
        <f>'2018'!BH617</f>
        <v>2.49</v>
      </c>
      <c r="BI81" s="34"/>
    </row>
    <row r="82" ht="15.75" customHeight="1" hidden="1" spans="1:61" x14ac:dyDescent="0.25">
      <c r="A82" s="14"/>
      <c r="B82" s="115">
        <v>87</v>
      </c>
      <c r="C82" s="115">
        <v>4.23</v>
      </c>
      <c r="D82" s="117" t="s">
        <v>284</v>
      </c>
      <c r="E82" s="119">
        <f>'2018'!I625</f>
        <v>155</v>
      </c>
      <c r="F82" s="119">
        <f>'2018'!J625</f>
        <v>0</v>
      </c>
      <c r="G82" s="106">
        <f>'2018'!K625</f>
        <v>0</v>
      </c>
      <c r="H82" s="106">
        <f>'2018'!L625</f>
      </c>
      <c r="I82" s="119">
        <f>'2018'!M625</f>
        <v>155</v>
      </c>
      <c r="J82" s="119">
        <f>'2018'!N625</f>
        <v>0</v>
      </c>
      <c r="K82" s="106">
        <f>'2018'!O625</f>
        <v>0</v>
      </c>
      <c r="L82" s="106">
        <f>'2018'!P625</f>
      </c>
      <c r="M82" s="119">
        <f>'2018'!Q625</f>
        <v>155</v>
      </c>
      <c r="N82" s="119">
        <f>'2018'!R625</f>
        <v>0</v>
      </c>
      <c r="O82" s="119">
        <f>'2018'!S625</f>
        <v>0</v>
      </c>
      <c r="P82" s="119">
        <f>'2018'!T625</f>
      </c>
      <c r="Q82" s="119">
        <f>'2018'!U625</f>
        <v>155</v>
      </c>
      <c r="R82" s="119">
        <f>'2018'!V625</f>
        <v>0</v>
      </c>
      <c r="S82" s="106">
        <f>'2018'!W625</f>
        <v>0</v>
      </c>
      <c r="T82" s="106">
        <f>'2018'!X625</f>
      </c>
      <c r="U82" s="119">
        <f>'2018'!Y625</f>
        <v>160</v>
      </c>
      <c r="V82" s="119">
        <f>'2018'!Z625</f>
        <v>5</v>
      </c>
      <c r="W82" s="106">
        <f>'2018'!AA625</f>
        <v>12.45</v>
      </c>
      <c r="X82" s="106">
        <f>'2018'!AB625</f>
      </c>
      <c r="Y82" s="119">
        <f>'2018'!AC625</f>
        <v>184</v>
      </c>
      <c r="Z82" s="119">
        <f>'2018'!AD625</f>
        <v>24</v>
      </c>
      <c r="AA82" s="106">
        <f>'2018'!AE625</f>
        <v>59.76</v>
      </c>
      <c r="AB82" s="106">
        <f>'2018'!AF625</f>
      </c>
      <c r="AC82" s="119">
        <f>'2018'!AG625</f>
        <v>201</v>
      </c>
      <c r="AD82" s="119">
        <f>'2018'!AH625</f>
        <v>17</v>
      </c>
      <c r="AE82" s="106">
        <f>'2018'!AI625</f>
        <v>42.33</v>
      </c>
      <c r="AF82" s="106">
        <f>'2018'!AJ625</f>
      </c>
      <c r="AG82" s="119">
        <f>'2018'!AK625</f>
        <v>222</v>
      </c>
      <c r="AH82" s="119">
        <f>'2018'!AL625</f>
        <v>21</v>
      </c>
      <c r="AI82" s="106">
        <f>'2018'!AM625</f>
        <v>52.29</v>
      </c>
      <c r="AJ82" s="106">
        <f>'2018'!AN625</f>
        <v>114.54</v>
      </c>
      <c r="AK82" s="119">
        <f>'2018'!AO625</f>
        <v>235</v>
      </c>
      <c r="AL82" s="119">
        <f>'2018'!AP625</f>
        <v>13</v>
      </c>
      <c r="AM82" s="106">
        <f>'2018'!AQ625</f>
        <v>32.37</v>
      </c>
      <c r="AN82" s="106">
        <f>'2018'!AR625</f>
      </c>
      <c r="AO82" s="119">
        <f>'2018'!AS625</f>
        <v>241</v>
      </c>
      <c r="AP82" s="119">
        <f>'2018'!AT625</f>
        <v>6</v>
      </c>
      <c r="AQ82" s="106">
        <f>'2018'!AU625</f>
        <v>14.94</v>
      </c>
      <c r="AR82" s="106">
        <f>'2018'!AV625</f>
      </c>
      <c r="AS82" s="119">
        <f>'2018'!AW625</f>
        <v>241</v>
      </c>
      <c r="AT82" s="119">
        <f>'2018'!AX625</f>
        <v>0</v>
      </c>
      <c r="AU82" s="106">
        <f>'2018'!AY625</f>
        <v>0</v>
      </c>
      <c r="AV82" s="106">
        <f>'2018'!AZ625</f>
      </c>
      <c r="AW82" s="106"/>
      <c r="AX82" s="106"/>
      <c r="AY82" s="119">
        <f>'2018'!BA625</f>
        <v>241</v>
      </c>
      <c r="AZ82" s="119">
        <f>'2018'!BB625</f>
        <v>0</v>
      </c>
      <c r="BA82" s="106">
        <f>'2018'!BC625</f>
        <v>0</v>
      </c>
      <c r="BB82" s="106">
        <f>'2018'!BD625</f>
      </c>
      <c r="BC82" s="106"/>
      <c r="BD82" s="106"/>
      <c r="BE82" s="119">
        <f>'2018'!BE625</f>
        <v>86</v>
      </c>
      <c r="BF82" s="106">
        <f>'2018'!BF625</f>
        <v>214.14</v>
      </c>
      <c r="BG82" s="106">
        <f>'2018'!BG625</f>
        <v>114.54</v>
      </c>
      <c r="BH82" s="106">
        <f>'2018'!BH625</f>
        <v>99.6</v>
      </c>
      <c r="BI82" s="34"/>
    </row>
    <row r="83" ht="15.75" customHeight="1" hidden="1" spans="1:61" x14ac:dyDescent="0.25">
      <c r="A83" s="14"/>
      <c r="B83" s="115">
        <v>89</v>
      </c>
      <c r="C83" s="115">
        <v>4.25</v>
      </c>
      <c r="D83" s="117" t="s">
        <v>286</v>
      </c>
      <c r="E83" s="119">
        <f>'2018'!I633</f>
      </c>
      <c r="F83" s="119">
        <f>'2018'!J633</f>
      </c>
      <c r="G83" s="106">
        <f>'2018'!K633</f>
      </c>
      <c r="H83" s="106">
        <f>'2018'!L633</f>
      </c>
      <c r="I83" s="119">
        <f>'2018'!M633</f>
      </c>
      <c r="J83" s="119">
        <f>'2018'!N633</f>
      </c>
      <c r="K83" s="106">
        <f>'2018'!O633</f>
      </c>
      <c r="L83" s="106">
        <f>'2018'!P633</f>
      </c>
      <c r="M83" s="119">
        <f>'2018'!Q633</f>
      </c>
      <c r="N83" s="119">
        <f>'2018'!R633</f>
      </c>
      <c r="O83" s="119">
        <f>'2018'!S633</f>
      </c>
      <c r="P83" s="119">
        <f>'2018'!T633</f>
      </c>
      <c r="Q83" s="119">
        <f>'2018'!U633</f>
      </c>
      <c r="R83" s="119">
        <f>'2018'!V633</f>
      </c>
      <c r="S83" s="106">
        <f>'2018'!W633</f>
      </c>
      <c r="T83" s="106">
        <f>'2018'!X633</f>
      </c>
      <c r="U83" s="119">
        <f>'2018'!Y633</f>
      </c>
      <c r="V83" s="119">
        <f>'2018'!Z633</f>
        <v>0</v>
      </c>
      <c r="W83" s="106">
        <f>'2018'!AA633</f>
        <v>0</v>
      </c>
      <c r="X83" s="106">
        <f>'2018'!AB633</f>
      </c>
      <c r="Y83" s="119">
        <f>'2018'!AC633</f>
      </c>
      <c r="Z83" s="119">
        <f>'2018'!AD633</f>
        <v>0</v>
      </c>
      <c r="AA83" s="106">
        <f>'2018'!AE633</f>
        <v>0</v>
      </c>
      <c r="AB83" s="106">
        <f>'2018'!AF633</f>
      </c>
      <c r="AC83" s="119">
        <f>'2018'!AG633</f>
      </c>
      <c r="AD83" s="119">
        <f>'2018'!AH633</f>
        <v>0</v>
      </c>
      <c r="AE83" s="106">
        <f>'2018'!AI633</f>
        <v>0</v>
      </c>
      <c r="AF83" s="106">
        <f>'2018'!AJ633</f>
      </c>
      <c r="AG83" s="119">
        <f>'2018'!AK633</f>
      </c>
      <c r="AH83" s="119">
        <f>'2018'!AL633</f>
        <v>0</v>
      </c>
      <c r="AI83" s="106">
        <f>'2018'!AM633</f>
        <v>0</v>
      </c>
      <c r="AJ83" s="106">
        <f>'2018'!AN633</f>
      </c>
      <c r="AK83" s="119">
        <f>'2018'!AO633</f>
      </c>
      <c r="AL83" s="119">
        <f>'2018'!AP633</f>
      </c>
      <c r="AM83" s="106">
        <f>'2018'!AQ633</f>
        <v>0</v>
      </c>
      <c r="AN83" s="106">
        <f>'2018'!AR633</f>
      </c>
      <c r="AO83" s="119">
        <f>'2018'!AS633</f>
      </c>
      <c r="AP83" s="119">
        <f>'2018'!AT633</f>
      </c>
      <c r="AQ83" s="106">
        <f>'2018'!AU633</f>
        <v>0</v>
      </c>
      <c r="AR83" s="106">
        <f>'2018'!AV633</f>
      </c>
      <c r="AS83" s="119">
        <f>'2018'!AW633</f>
      </c>
      <c r="AT83" s="119">
        <f>'2018'!AX633</f>
      </c>
      <c r="AU83" s="106">
        <f>'2018'!AY633</f>
        <v>0</v>
      </c>
      <c r="AV83" s="106">
        <f>'2018'!AZ633</f>
      </c>
      <c r="AW83" s="106"/>
      <c r="AX83" s="106"/>
      <c r="AY83" s="119">
        <f>'2018'!BA633</f>
      </c>
      <c r="AZ83" s="119">
        <f>'2018'!BB633</f>
      </c>
      <c r="BA83" s="106">
        <f>'2018'!BC633</f>
        <v>0</v>
      </c>
      <c r="BB83" s="106">
        <f>'2018'!BD633</f>
      </c>
      <c r="BC83" s="106"/>
      <c r="BD83" s="106"/>
      <c r="BE83" s="119">
        <f>'2018'!BE633</f>
        <v>0</v>
      </c>
      <c r="BF83" s="106">
        <f>'2018'!BF633</f>
        <v>0</v>
      </c>
      <c r="BG83" s="106">
        <f>'2018'!BG633</f>
        <v>0</v>
      </c>
      <c r="BH83" s="106">
        <f>'2018'!BH633</f>
        <v>0</v>
      </c>
      <c r="BI83" s="34"/>
    </row>
    <row r="84" ht="15.75" customHeight="1" hidden="1" spans="1:61" x14ac:dyDescent="0.25">
      <c r="A84" s="14"/>
      <c r="B84" s="115">
        <v>91</v>
      </c>
      <c r="C84" s="115">
        <v>4.23</v>
      </c>
      <c r="D84" s="117" t="s">
        <v>363</v>
      </c>
      <c r="E84" s="119">
        <f>'2018'!I641</f>
        <v>113</v>
      </c>
      <c r="F84" s="119">
        <f>'2018'!J641</f>
        <v>0</v>
      </c>
      <c r="G84" s="106">
        <f>'2018'!K641</f>
        <v>0</v>
      </c>
      <c r="H84" s="106">
        <f>'2018'!L641</f>
      </c>
      <c r="I84" s="119">
        <f>'2018'!M641</f>
        <v>113</v>
      </c>
      <c r="J84" s="119">
        <f>'2018'!N641</f>
        <v>0</v>
      </c>
      <c r="K84" s="106">
        <f>'2018'!O641</f>
        <v>0</v>
      </c>
      <c r="L84" s="106">
        <f>'2018'!P641</f>
      </c>
      <c r="M84" s="119">
        <f>'2018'!Q641</f>
        <v>113</v>
      </c>
      <c r="N84" s="119">
        <f>'2018'!R641</f>
        <v>0</v>
      </c>
      <c r="O84" s="119">
        <f>'2018'!S641</f>
        <v>0</v>
      </c>
      <c r="P84" s="119">
        <f>'2018'!T641</f>
      </c>
      <c r="Q84" s="119">
        <f>'2018'!U641</f>
        <v>114</v>
      </c>
      <c r="R84" s="119">
        <f>'2018'!V641</f>
        <v>1</v>
      </c>
      <c r="S84" s="106">
        <f>'2018'!W641</f>
        <v>2.49</v>
      </c>
      <c r="T84" s="106">
        <f>'2018'!X641</f>
        <v>29.88</v>
      </c>
      <c r="U84" s="119">
        <f>'2018'!Y641</f>
        <v>118</v>
      </c>
      <c r="V84" s="119">
        <f>'2018'!Z641</f>
        <v>4</v>
      </c>
      <c r="W84" s="106">
        <f>'2018'!AA641</f>
        <v>9.96</v>
      </c>
      <c r="X84" s="106">
        <f>'2018'!AB641</f>
        <v>9.96</v>
      </c>
      <c r="Y84" s="119">
        <f>'2018'!AC641</f>
        <v>122</v>
      </c>
      <c r="Z84" s="119">
        <f>'2018'!AD641</f>
        <v>4</v>
      </c>
      <c r="AA84" s="106">
        <f>'2018'!AE641</f>
        <v>9.96</v>
      </c>
      <c r="AB84" s="106">
        <f>'2018'!AF641</f>
        <v>9.96</v>
      </c>
      <c r="AC84" s="119">
        <f>'2018'!AG641</f>
        <v>133</v>
      </c>
      <c r="AD84" s="119">
        <f>'2018'!AH641</f>
        <v>11</v>
      </c>
      <c r="AE84" s="106">
        <f>'2018'!AI641</f>
        <v>27.39</v>
      </c>
      <c r="AF84" s="106">
        <f>'2018'!AJ641</f>
        <v>27.39</v>
      </c>
      <c r="AG84" s="119">
        <f>'2018'!AK641</f>
        <v>137</v>
      </c>
      <c r="AH84" s="119">
        <f>'2018'!AL641</f>
        <v>4</v>
      </c>
      <c r="AI84" s="106">
        <f>'2018'!AM641</f>
        <v>9.96</v>
      </c>
      <c r="AJ84" s="106">
        <f>'2018'!AN641</f>
      </c>
      <c r="AK84" s="119">
        <f>'2018'!AO641</f>
        <v>141</v>
      </c>
      <c r="AL84" s="119">
        <f>'2018'!AP641</f>
        <v>4</v>
      </c>
      <c r="AM84" s="106">
        <f>'2018'!AQ641</f>
        <v>9.96</v>
      </c>
      <c r="AN84" s="106">
        <f>'2018'!AR641</f>
        <v>19.92</v>
      </c>
      <c r="AO84" s="119">
        <f>'2018'!AS641</f>
        <v>143</v>
      </c>
      <c r="AP84" s="119">
        <f>'2018'!AT641</f>
        <v>2</v>
      </c>
      <c r="AQ84" s="106">
        <f>'2018'!AU641</f>
        <v>4.98</v>
      </c>
      <c r="AR84" s="106">
        <f>'2018'!AV641</f>
      </c>
      <c r="AS84" s="119">
        <f>'2018'!AW641</f>
        <v>143</v>
      </c>
      <c r="AT84" s="119">
        <f>'2018'!AX641</f>
        <v>0</v>
      </c>
      <c r="AU84" s="106">
        <f>'2018'!AY641</f>
        <v>0</v>
      </c>
      <c r="AV84" s="106">
        <f>'2018'!AZ641</f>
      </c>
      <c r="AW84" s="106"/>
      <c r="AX84" s="106"/>
      <c r="AY84" s="119">
        <f>'2018'!BA641</f>
        <v>143</v>
      </c>
      <c r="AZ84" s="119">
        <f>'2018'!BB641</f>
        <v>0</v>
      </c>
      <c r="BA84" s="106">
        <f>'2018'!BC641</f>
        <v>0</v>
      </c>
      <c r="BB84" s="106">
        <f>'2018'!BD641</f>
      </c>
      <c r="BC84" s="106"/>
      <c r="BD84" s="106"/>
      <c r="BE84" s="119">
        <f>'2018'!BE641</f>
        <v>30</v>
      </c>
      <c r="BF84" s="106">
        <f>'2018'!BF641</f>
        <v>74.7</v>
      </c>
      <c r="BG84" s="106">
        <f>'2018'!BG641</f>
        <v>97.11</v>
      </c>
      <c r="BH84" s="106">
        <f>'2018'!BH641</f>
        <v>4.98</v>
      </c>
      <c r="BI84" s="34"/>
    </row>
    <row r="85" ht="15.75" customHeight="1" hidden="1" spans="1:61" x14ac:dyDescent="0.25">
      <c r="A85" s="21"/>
      <c r="B85" s="115" t="s">
        <v>292</v>
      </c>
      <c r="C85" s="115">
        <v>8.56</v>
      </c>
      <c r="D85" s="117" t="s">
        <v>293</v>
      </c>
      <c r="E85" s="119">
        <f>'2018'!I649</f>
        <v>489</v>
      </c>
      <c r="F85" s="119">
        <f>'2018'!J649</f>
        <v>0</v>
      </c>
      <c r="G85" s="106">
        <f>'2018'!K649</f>
        <v>0</v>
      </c>
      <c r="H85" s="106">
        <f>'2018'!L649</f>
      </c>
      <c r="I85" s="119">
        <f>'2018'!M649</f>
        <v>489</v>
      </c>
      <c r="J85" s="119">
        <f>'2018'!N649</f>
        <v>0</v>
      </c>
      <c r="K85" s="106">
        <f>'2018'!O649</f>
        <v>0</v>
      </c>
      <c r="L85" s="106">
        <f>'2018'!P649</f>
      </c>
      <c r="M85" s="119">
        <f>'2018'!Q649</f>
        <v>489</v>
      </c>
      <c r="N85" s="119">
        <f>'2018'!R649</f>
        <v>0</v>
      </c>
      <c r="O85" s="119">
        <f>'2018'!S649</f>
        <v>0</v>
      </c>
      <c r="P85" s="119">
        <f>'2018'!T649</f>
      </c>
      <c r="Q85" s="119">
        <f>'2018'!U649</f>
        <v>490</v>
      </c>
      <c r="R85" s="119">
        <f>'2018'!V649</f>
        <v>1</v>
      </c>
      <c r="S85" s="106">
        <f>'2018'!W649</f>
        <v>2.49</v>
      </c>
      <c r="T85" s="106">
        <f>'2018'!X649</f>
      </c>
      <c r="U85" s="119">
        <f>'2018'!Y649</f>
        <v>491</v>
      </c>
      <c r="V85" s="119">
        <f>'2018'!Z649</f>
        <v>1</v>
      </c>
      <c r="W85" s="106">
        <f>'2018'!AA649</f>
        <v>2.49</v>
      </c>
      <c r="X85" s="106">
        <f>'2018'!AB649</f>
      </c>
      <c r="Y85" s="119">
        <f>'2018'!AC649</f>
        <v>538</v>
      </c>
      <c r="Z85" s="119">
        <f>'2018'!AD649</f>
        <v>47</v>
      </c>
      <c r="AA85" s="106">
        <f>'2018'!AE649</f>
        <v>117.03</v>
      </c>
      <c r="AB85" s="106">
        <f>'2018'!AF649</f>
      </c>
      <c r="AC85" s="119">
        <f>'2018'!AG649</f>
        <v>692</v>
      </c>
      <c r="AD85" s="119">
        <f>'2018'!AH649</f>
        <v>154</v>
      </c>
      <c r="AE85" s="106">
        <f>'2018'!AI649</f>
        <v>383.46</v>
      </c>
      <c r="AF85" s="106">
        <f>'2018'!AJ649</f>
      </c>
      <c r="AG85" s="119">
        <f>'2018'!AK649</f>
        <v>813</v>
      </c>
      <c r="AH85" s="119">
        <f>'2018'!AL649</f>
        <v>121</v>
      </c>
      <c r="AI85" s="106">
        <f>'2018'!AM649</f>
        <v>301.29</v>
      </c>
      <c r="AJ85" s="106">
        <f>'2018'!AN649</f>
        <v>15.17</v>
      </c>
      <c r="AK85" s="119">
        <f>'2018'!AO649</f>
        <v>863</v>
      </c>
      <c r="AL85" s="119">
        <f>'2018'!AP649</f>
        <v>50</v>
      </c>
      <c r="AM85" s="106">
        <f>'2018'!AQ649</f>
        <v>124.5</v>
      </c>
      <c r="AN85" s="106">
        <f>'2018'!AR649</f>
      </c>
      <c r="AO85" s="119">
        <f>'2018'!AS649</f>
        <v>871</v>
      </c>
      <c r="AP85" s="119">
        <f>'2018'!AT649</f>
        <v>8</v>
      </c>
      <c r="AQ85" s="106">
        <f>'2018'!AU649</f>
        <v>19.92</v>
      </c>
      <c r="AR85" s="106">
        <f>'2018'!AV649</f>
      </c>
      <c r="AS85" s="119">
        <f>'2018'!AW649</f>
        <v>871</v>
      </c>
      <c r="AT85" s="119">
        <f>'2018'!AX649</f>
        <v>0</v>
      </c>
      <c r="AU85" s="106">
        <f>'2018'!AY649</f>
        <v>0</v>
      </c>
      <c r="AV85" s="106">
        <f>'2018'!AZ649</f>
      </c>
      <c r="AW85" s="106"/>
      <c r="AX85" s="106"/>
      <c r="AY85" s="119">
        <f>'2018'!BA649</f>
        <v>871</v>
      </c>
      <c r="AZ85" s="119">
        <f>'2018'!BB649</f>
        <v>0</v>
      </c>
      <c r="BA85" s="106">
        <f>'2018'!BC649</f>
        <v>0</v>
      </c>
      <c r="BB85" s="106">
        <f>'2018'!BD649</f>
      </c>
      <c r="BC85" s="106"/>
      <c r="BD85" s="106"/>
      <c r="BE85" s="119">
        <f>'2018'!BE649</f>
        <v>382</v>
      </c>
      <c r="BF85" s="106">
        <f>'2018'!BF649</f>
        <v>951.18</v>
      </c>
      <c r="BG85" s="106">
        <f>'2018'!BG649</f>
        <v>15.17</v>
      </c>
      <c r="BH85" s="106">
        <f>'2018'!BH649</f>
        <v>522.9</v>
      </c>
      <c r="BI85" s="34"/>
    </row>
    <row r="86" ht="15.75" customHeight="1" hidden="1" spans="1:61" x14ac:dyDescent="0.25">
      <c r="A86" s="114" t="s">
        <v>297</v>
      </c>
      <c r="B86" s="115">
        <v>80</v>
      </c>
      <c r="C86" s="115">
        <v>4.28</v>
      </c>
      <c r="D86" s="117" t="s">
        <v>298</v>
      </c>
      <c r="E86" s="119">
        <f>'2018'!I657</f>
        <v>553</v>
      </c>
      <c r="F86" s="119">
        <f>'2018'!J657</f>
        <v>0</v>
      </c>
      <c r="G86" s="106">
        <f>'2018'!K657</f>
        <v>0</v>
      </c>
      <c r="H86" s="106">
        <f>'2018'!L657</f>
      </c>
      <c r="I86" s="119">
        <f>'2018'!M657</f>
        <v>553</v>
      </c>
      <c r="J86" s="119">
        <f>'2018'!N657</f>
        <v>0</v>
      </c>
      <c r="K86" s="106">
        <f>'2018'!O657</f>
        <v>0</v>
      </c>
      <c r="L86" s="106">
        <f>'2018'!P657</f>
      </c>
      <c r="M86" s="119">
        <f>'2018'!Q657</f>
        <v>553</v>
      </c>
      <c r="N86" s="119">
        <f>'2018'!R657</f>
        <v>0</v>
      </c>
      <c r="O86" s="119">
        <f>'2018'!S657</f>
        <v>0</v>
      </c>
      <c r="P86" s="119">
        <f>'2018'!T657</f>
      </c>
      <c r="Q86" s="119">
        <f>'2018'!U657</f>
        <v>561</v>
      </c>
      <c r="R86" s="119">
        <f>'2018'!V657</f>
        <v>8</v>
      </c>
      <c r="S86" s="106">
        <f>'2018'!W657</f>
        <v>19.92</v>
      </c>
      <c r="T86" s="106">
        <f>'2018'!X657</f>
        <v>0</v>
      </c>
      <c r="U86" s="119">
        <f>'2018'!Y657</f>
        <v>568</v>
      </c>
      <c r="V86" s="119">
        <f>'2018'!Z657</f>
        <v>7</v>
      </c>
      <c r="W86" s="106">
        <f>'2018'!AA657</f>
        <v>17.43</v>
      </c>
      <c r="X86" s="106">
        <f>'2018'!AB657</f>
        <v>0</v>
      </c>
      <c r="Y86" s="119">
        <f>'2018'!AC657</f>
        <v>599</v>
      </c>
      <c r="Z86" s="119">
        <f>'2018'!AD657</f>
        <v>31</v>
      </c>
      <c r="AA86" s="106">
        <f>'2018'!AE657</f>
        <v>77.19</v>
      </c>
      <c r="AB86" s="106">
        <f>'2018'!AF657</f>
        <v>0</v>
      </c>
      <c r="AC86" s="119">
        <f>'2018'!AG657</f>
        <v>657</v>
      </c>
      <c r="AD86" s="119">
        <f>'2018'!AH657</f>
        <v>58</v>
      </c>
      <c r="AE86" s="106">
        <f>'2018'!AI657</f>
        <v>144.42</v>
      </c>
      <c r="AF86" s="106">
        <f>'2018'!AJ657</f>
        <v>101.29</v>
      </c>
      <c r="AG86" s="119">
        <f>'2018'!AK657</f>
        <v>703</v>
      </c>
      <c r="AH86" s="119">
        <f>'2018'!AL657</f>
        <v>46</v>
      </c>
      <c r="AI86" s="106">
        <f>'2018'!AM657</f>
        <v>114.54</v>
      </c>
      <c r="AJ86" s="106">
        <f>'2018'!AN657</f>
        <v>476.39</v>
      </c>
      <c r="AK86" s="119">
        <f>'2018'!AO657</f>
        <v>729</v>
      </c>
      <c r="AL86" s="119">
        <f>'2018'!AP657</f>
        <v>26</v>
      </c>
      <c r="AM86" s="106">
        <f>'2018'!AQ657</f>
        <v>64.74</v>
      </c>
      <c r="AN86" s="106">
        <f>'2018'!AR657</f>
      </c>
      <c r="AO86" s="119">
        <f>'2018'!AS657</f>
        <v>743</v>
      </c>
      <c r="AP86" s="119">
        <f>'2018'!AT657</f>
        <v>14</v>
      </c>
      <c r="AQ86" s="106">
        <f>'2018'!AU657</f>
        <v>34.86</v>
      </c>
      <c r="AR86" s="106">
        <f>'2018'!AV657</f>
      </c>
      <c r="AS86" s="119">
        <f>'2018'!AW657</f>
        <v>743</v>
      </c>
      <c r="AT86" s="119">
        <f>'2018'!AX657</f>
        <v>0</v>
      </c>
      <c r="AU86" s="106">
        <f>'2018'!AY657</f>
        <v>0</v>
      </c>
      <c r="AV86" s="106">
        <f>'2018'!AZ657</f>
      </c>
      <c r="AW86" s="106"/>
      <c r="AX86" s="106"/>
      <c r="AY86" s="119">
        <f>'2018'!BA657</f>
        <v>743</v>
      </c>
      <c r="AZ86" s="119">
        <f>'2018'!BB657</f>
        <v>0</v>
      </c>
      <c r="BA86" s="106">
        <f>'2018'!BC657</f>
        <v>0</v>
      </c>
      <c r="BB86" s="106">
        <f>'2018'!BD657</f>
      </c>
      <c r="BC86" s="106"/>
      <c r="BD86" s="106"/>
      <c r="BE86" s="119">
        <f>'2018'!BE657</f>
        <v>190</v>
      </c>
      <c r="BF86" s="106">
        <f>'2018'!BF657</f>
        <v>473.1</v>
      </c>
      <c r="BG86" s="106">
        <f>'2018'!BG657</f>
        <v>577.68</v>
      </c>
      <c r="BH86" s="106">
        <f>'2018'!BH657</f>
        <v>-100.4</v>
      </c>
      <c r="BI86" s="34"/>
    </row>
    <row r="87" ht="15.75" customHeight="1" hidden="1" spans="1:61" x14ac:dyDescent="0.25">
      <c r="A87" s="14"/>
      <c r="B87" s="115">
        <v>82</v>
      </c>
      <c r="C87" s="115">
        <v>4.28</v>
      </c>
      <c r="D87" s="117" t="s">
        <v>300</v>
      </c>
      <c r="E87" s="119">
        <f>'2018'!I665</f>
      </c>
      <c r="F87" s="119">
        <f>'2018'!J665</f>
      </c>
      <c r="G87" s="106">
        <f>'2018'!K665</f>
      </c>
      <c r="H87" s="106">
        <f>'2018'!L665</f>
      </c>
      <c r="I87" s="119">
        <f>'2018'!M665</f>
      </c>
      <c r="J87" s="119">
        <f>'2018'!N665</f>
      </c>
      <c r="K87" s="106">
        <f>'2018'!O665</f>
      </c>
      <c r="L87" s="106">
        <f>'2018'!P665</f>
      </c>
      <c r="M87" s="119">
        <f>'2018'!Q665</f>
      </c>
      <c r="N87" s="119">
        <f>'2018'!R665</f>
      </c>
      <c r="O87" s="119">
        <f>'2018'!S665</f>
      </c>
      <c r="P87" s="119">
        <f>'2018'!T665</f>
      </c>
      <c r="Q87" s="119">
        <f>'2018'!U665</f>
      </c>
      <c r="R87" s="119">
        <f>'2018'!V665</f>
      </c>
      <c r="S87" s="106">
        <f>'2018'!W665</f>
      </c>
      <c r="T87" s="106">
        <f>'2018'!X665</f>
      </c>
      <c r="U87" s="119">
        <f>'2018'!Y665</f>
      </c>
      <c r="V87" s="119">
        <f>'2018'!Z665</f>
        <v>0</v>
      </c>
      <c r="W87" s="106">
        <f>'2018'!AA665</f>
        <v>0</v>
      </c>
      <c r="X87" s="106">
        <f>'2018'!AB665</f>
      </c>
      <c r="Y87" s="119">
        <f>'2018'!AC665</f>
      </c>
      <c r="Z87" s="119">
        <f>'2018'!AD665</f>
        <v>0</v>
      </c>
      <c r="AA87" s="106">
        <f>'2018'!AE665</f>
        <v>0</v>
      </c>
      <c r="AB87" s="106">
        <f>'2018'!AF665</f>
      </c>
      <c r="AC87" s="119">
        <f>'2018'!AG665</f>
      </c>
      <c r="AD87" s="119">
        <f>'2018'!AH665</f>
        <v>0</v>
      </c>
      <c r="AE87" s="106">
        <f>'2018'!AI665</f>
        <v>0</v>
      </c>
      <c r="AF87" s="106">
        <f>'2018'!AJ665</f>
      </c>
      <c r="AG87" s="119">
        <f>'2018'!AK665</f>
      </c>
      <c r="AH87" s="119">
        <f>'2018'!AL665</f>
        <v>0</v>
      </c>
      <c r="AI87" s="106">
        <f>'2018'!AM665</f>
        <v>0</v>
      </c>
      <c r="AJ87" s="106">
        <f>'2018'!AN665</f>
      </c>
      <c r="AK87" s="119">
        <f>'2018'!AO665</f>
      </c>
      <c r="AL87" s="119">
        <f>'2018'!AP665</f>
      </c>
      <c r="AM87" s="106">
        <f>'2018'!AQ665</f>
        <v>0</v>
      </c>
      <c r="AN87" s="106">
        <f>'2018'!AR665</f>
      </c>
      <c r="AO87" s="119">
        <f>'2018'!AS665</f>
      </c>
      <c r="AP87" s="119">
        <f>'2018'!AT665</f>
      </c>
      <c r="AQ87" s="106">
        <f>'2018'!AU665</f>
        <v>0</v>
      </c>
      <c r="AR87" s="106">
        <f>'2018'!AV665</f>
      </c>
      <c r="AS87" s="119">
        <f>'2018'!AW665</f>
      </c>
      <c r="AT87" s="119">
        <f>'2018'!AX665</f>
      </c>
      <c r="AU87" s="106">
        <f>'2018'!AY665</f>
        <v>0</v>
      </c>
      <c r="AV87" s="106">
        <f>'2018'!AZ665</f>
      </c>
      <c r="AW87" s="106"/>
      <c r="AX87" s="106"/>
      <c r="AY87" s="119">
        <f>'2018'!BA665</f>
      </c>
      <c r="AZ87" s="119">
        <f>'2018'!BB665</f>
      </c>
      <c r="BA87" s="106">
        <f>'2018'!BC665</f>
        <v>0</v>
      </c>
      <c r="BB87" s="106">
        <f>'2018'!BD665</f>
      </c>
      <c r="BC87" s="106"/>
      <c r="BD87" s="106"/>
      <c r="BE87" s="119">
        <f>'2018'!BE665</f>
        <v>0</v>
      </c>
      <c r="BF87" s="106">
        <f>'2018'!BF665</f>
        <v>0</v>
      </c>
      <c r="BG87" s="106">
        <f>'2018'!BG665</f>
        <v>0</v>
      </c>
      <c r="BH87" s="106">
        <f>'2018'!BH665</f>
        <v>0</v>
      </c>
      <c r="BI87" s="34"/>
    </row>
    <row r="88" ht="15.75" customHeight="1" hidden="1" spans="1:61" x14ac:dyDescent="0.25">
      <c r="A88" s="14"/>
      <c r="B88" s="115">
        <v>84</v>
      </c>
      <c r="C88" s="115">
        <v>4.18</v>
      </c>
      <c r="D88" s="117" t="s">
        <v>301</v>
      </c>
      <c r="E88" s="119">
        <f>'2018'!I673</f>
      </c>
      <c r="F88" s="119">
        <f>'2018'!J673</f>
      </c>
      <c r="G88" s="106">
        <f>'2018'!K673</f>
      </c>
      <c r="H88" s="106">
        <f>'2018'!L673</f>
      </c>
      <c r="I88" s="119">
        <f>'2018'!M673</f>
      </c>
      <c r="J88" s="119">
        <f>'2018'!N673</f>
      </c>
      <c r="K88" s="106">
        <f>'2018'!O673</f>
      </c>
      <c r="L88" s="106">
        <f>'2018'!P673</f>
      </c>
      <c r="M88" s="119">
        <f>'2018'!Q673</f>
      </c>
      <c r="N88" s="119">
        <f>'2018'!R673</f>
      </c>
      <c r="O88" s="119">
        <f>'2018'!S673</f>
      </c>
      <c r="P88" s="119">
        <f>'2018'!T673</f>
      </c>
      <c r="Q88" s="119">
        <f>'2018'!U673</f>
      </c>
      <c r="R88" s="119">
        <f>'2018'!V673</f>
      </c>
      <c r="S88" s="106">
        <f>'2018'!W673</f>
      </c>
      <c r="T88" s="106">
        <f>'2018'!X673</f>
      </c>
      <c r="U88" s="119">
        <f>'2018'!Y673</f>
      </c>
      <c r="V88" s="119">
        <f>'2018'!Z673</f>
        <v>0</v>
      </c>
      <c r="W88" s="106">
        <f>'2018'!AA673</f>
        <v>0</v>
      </c>
      <c r="X88" s="106">
        <f>'2018'!AB673</f>
      </c>
      <c r="Y88" s="119">
        <f>'2018'!AC673</f>
      </c>
      <c r="Z88" s="119">
        <f>'2018'!AD673</f>
        <v>0</v>
      </c>
      <c r="AA88" s="106">
        <f>'2018'!AE673</f>
        <v>0</v>
      </c>
      <c r="AB88" s="106">
        <f>'2018'!AF673</f>
      </c>
      <c r="AC88" s="119">
        <f>'2018'!AG673</f>
      </c>
      <c r="AD88" s="119">
        <f>'2018'!AH673</f>
        <v>0</v>
      </c>
      <c r="AE88" s="106">
        <f>'2018'!AI673</f>
        <v>0</v>
      </c>
      <c r="AF88" s="106">
        <f>'2018'!AJ673</f>
      </c>
      <c r="AG88" s="119">
        <f>'2018'!AK673</f>
      </c>
      <c r="AH88" s="119">
        <f>'2018'!AL673</f>
        <v>0</v>
      </c>
      <c r="AI88" s="106">
        <f>'2018'!AM673</f>
        <v>0</v>
      </c>
      <c r="AJ88" s="106">
        <f>'2018'!AN673</f>
      </c>
      <c r="AK88" s="119">
        <f>'2018'!AO673</f>
      </c>
      <c r="AL88" s="119">
        <f>'2018'!AP673</f>
      </c>
      <c r="AM88" s="106">
        <f>'2018'!AQ673</f>
        <v>0</v>
      </c>
      <c r="AN88" s="106">
        <f>'2018'!AR673</f>
      </c>
      <c r="AO88" s="119">
        <f>'2018'!AS673</f>
      </c>
      <c r="AP88" s="119">
        <f>'2018'!AT673</f>
      </c>
      <c r="AQ88" s="106">
        <f>'2018'!AU673</f>
        <v>0</v>
      </c>
      <c r="AR88" s="106">
        <f>'2018'!AV673</f>
      </c>
      <c r="AS88" s="119">
        <f>'2018'!AW673</f>
      </c>
      <c r="AT88" s="119">
        <f>'2018'!AX673</f>
      </c>
      <c r="AU88" s="106">
        <f>'2018'!AY673</f>
        <v>0</v>
      </c>
      <c r="AV88" s="106">
        <f>'2018'!AZ673</f>
      </c>
      <c r="AW88" s="106"/>
      <c r="AX88" s="106"/>
      <c r="AY88" s="119">
        <f>'2018'!BA673</f>
      </c>
      <c r="AZ88" s="119">
        <f>'2018'!BB673</f>
      </c>
      <c r="BA88" s="106">
        <f>'2018'!BC673</f>
        <v>0</v>
      </c>
      <c r="BB88" s="106">
        <f>'2018'!BD673</f>
      </c>
      <c r="BC88" s="106"/>
      <c r="BD88" s="106"/>
      <c r="BE88" s="119">
        <f>'2018'!BE673</f>
        <v>0</v>
      </c>
      <c r="BF88" s="106">
        <f>'2018'!BF673</f>
        <v>0</v>
      </c>
      <c r="BG88" s="106">
        <f>'2018'!BG673</f>
        <v>0</v>
      </c>
      <c r="BH88" s="106">
        <f>'2018'!BH673</f>
        <v>0</v>
      </c>
      <c r="BI88" s="34"/>
    </row>
    <row r="89" ht="15.75" customHeight="1" hidden="1" spans="1:61" x14ac:dyDescent="0.25">
      <c r="A89" s="14"/>
      <c r="B89" s="115">
        <v>86</v>
      </c>
      <c r="C89" s="115">
        <v>4.23</v>
      </c>
      <c r="D89" s="117" t="s">
        <v>304</v>
      </c>
      <c r="E89" s="119">
        <f>'2018'!I681</f>
      </c>
      <c r="F89" s="119">
        <f>'2018'!J681</f>
      </c>
      <c r="G89" s="106">
        <f>'2018'!K681</f>
      </c>
      <c r="H89" s="106">
        <f>'2018'!L681</f>
      </c>
      <c r="I89" s="119">
        <f>'2018'!M681</f>
      </c>
      <c r="J89" s="119">
        <f>'2018'!N681</f>
      </c>
      <c r="K89" s="106">
        <f>'2018'!O681</f>
      </c>
      <c r="L89" s="106">
        <f>'2018'!P681</f>
      </c>
      <c r="M89" s="119">
        <f>'2018'!Q681</f>
      </c>
      <c r="N89" s="119">
        <f>'2018'!R681</f>
      </c>
      <c r="O89" s="119">
        <f>'2018'!S681</f>
      </c>
      <c r="P89" s="119">
        <f>'2018'!T681</f>
      </c>
      <c r="Q89" s="119">
        <f>'2018'!U681</f>
      </c>
      <c r="R89" s="119">
        <f>'2018'!V681</f>
      </c>
      <c r="S89" s="106">
        <f>'2018'!W681</f>
      </c>
      <c r="T89" s="106">
        <f>'2018'!X681</f>
      </c>
      <c r="U89" s="119">
        <f>'2018'!Y681</f>
      </c>
      <c r="V89" s="119">
        <f>'2018'!Z681</f>
        <v>0</v>
      </c>
      <c r="W89" s="106">
        <f>'2018'!AA681</f>
        <v>0</v>
      </c>
      <c r="X89" s="106">
        <f>'2018'!AB681</f>
      </c>
      <c r="Y89" s="119">
        <f>'2018'!AC681</f>
      </c>
      <c r="Z89" s="119">
        <f>'2018'!AD681</f>
        <v>0</v>
      </c>
      <c r="AA89" s="106">
        <f>'2018'!AE681</f>
        <v>0</v>
      </c>
      <c r="AB89" s="106">
        <f>'2018'!AF681</f>
      </c>
      <c r="AC89" s="119">
        <f>'2018'!AG681</f>
      </c>
      <c r="AD89" s="119">
        <f>'2018'!AH681</f>
        <v>0</v>
      </c>
      <c r="AE89" s="106">
        <f>'2018'!AI681</f>
        <v>0</v>
      </c>
      <c r="AF89" s="106">
        <f>'2018'!AJ681</f>
      </c>
      <c r="AG89" s="119">
        <f>'2018'!AK681</f>
      </c>
      <c r="AH89" s="119">
        <f>'2018'!AL681</f>
        <v>0</v>
      </c>
      <c r="AI89" s="106">
        <f>'2018'!AM681</f>
        <v>0</v>
      </c>
      <c r="AJ89" s="106">
        <f>'2018'!AN681</f>
      </c>
      <c r="AK89" s="119">
        <f>'2018'!AO681</f>
      </c>
      <c r="AL89" s="119">
        <f>'2018'!AP681</f>
      </c>
      <c r="AM89" s="106">
        <f>'2018'!AQ681</f>
        <v>0</v>
      </c>
      <c r="AN89" s="106">
        <f>'2018'!AR681</f>
      </c>
      <c r="AO89" s="119">
        <f>'2018'!AS681</f>
      </c>
      <c r="AP89" s="119">
        <f>'2018'!AT681</f>
      </c>
      <c r="AQ89" s="106">
        <f>'2018'!AU681</f>
        <v>0</v>
      </c>
      <c r="AR89" s="106">
        <f>'2018'!AV681</f>
      </c>
      <c r="AS89" s="119">
        <f>'2018'!AW681</f>
      </c>
      <c r="AT89" s="119">
        <f>'2018'!AX681</f>
      </c>
      <c r="AU89" s="106">
        <f>'2018'!AY681</f>
        <v>0</v>
      </c>
      <c r="AV89" s="106">
        <f>'2018'!AZ681</f>
      </c>
      <c r="AW89" s="106"/>
      <c r="AX89" s="106"/>
      <c r="AY89" s="119">
        <f>'2018'!BA681</f>
      </c>
      <c r="AZ89" s="119">
        <f>'2018'!BB681</f>
      </c>
      <c r="BA89" s="106">
        <f>'2018'!BC681</f>
        <v>0</v>
      </c>
      <c r="BB89" s="106">
        <f>'2018'!BD681</f>
      </c>
      <c r="BC89" s="106"/>
      <c r="BD89" s="106"/>
      <c r="BE89" s="119">
        <f>'2018'!BE681</f>
        <v>0</v>
      </c>
      <c r="BF89" s="106">
        <f>'2018'!BF681</f>
        <v>0</v>
      </c>
      <c r="BG89" s="106">
        <f>'2018'!BG681</f>
        <v>0</v>
      </c>
      <c r="BH89" s="106">
        <f>'2018'!BH681</f>
        <v>0</v>
      </c>
      <c r="BI89" s="34"/>
    </row>
    <row r="90" ht="15.75" customHeight="1" hidden="1" spans="1:61" x14ac:dyDescent="0.25">
      <c r="A90" s="14"/>
      <c r="B90" s="115">
        <v>88</v>
      </c>
      <c r="C90" s="115">
        <v>4.23</v>
      </c>
      <c r="D90" s="117" t="s">
        <v>308</v>
      </c>
      <c r="E90" s="119">
        <f>'2018'!I689</f>
      </c>
      <c r="F90" s="119">
        <f>'2018'!J689</f>
      </c>
      <c r="G90" s="106">
        <f>'2018'!K689</f>
      </c>
      <c r="H90" s="106">
        <f>'2018'!L689</f>
      </c>
      <c r="I90" s="119">
        <f>'2018'!M689</f>
      </c>
      <c r="J90" s="119">
        <f>'2018'!N689</f>
      </c>
      <c r="K90" s="106">
        <f>'2018'!O689</f>
      </c>
      <c r="L90" s="106">
        <f>'2018'!P689</f>
      </c>
      <c r="M90" s="119">
        <f>'2018'!Q689</f>
      </c>
      <c r="N90" s="119">
        <f>'2018'!R689</f>
      </c>
      <c r="O90" s="119">
        <f>'2018'!S689</f>
      </c>
      <c r="P90" s="119">
        <f>'2018'!T689</f>
      </c>
      <c r="Q90" s="119">
        <f>'2018'!U689</f>
      </c>
      <c r="R90" s="119">
        <f>'2018'!V689</f>
      </c>
      <c r="S90" s="106">
        <f>'2018'!W689</f>
      </c>
      <c r="T90" s="106">
        <f>'2018'!X689</f>
      </c>
      <c r="U90" s="119">
        <f>'2018'!Y689</f>
      </c>
      <c r="V90" s="119">
        <f>'2018'!Z689</f>
        <v>0</v>
      </c>
      <c r="W90" s="106">
        <f>'2018'!AA689</f>
        <v>0</v>
      </c>
      <c r="X90" s="106">
        <f>'2018'!AB689</f>
      </c>
      <c r="Y90" s="119">
        <f>'2018'!AC689</f>
      </c>
      <c r="Z90" s="119">
        <f>'2018'!AD689</f>
        <v>0</v>
      </c>
      <c r="AA90" s="106">
        <f>'2018'!AE689</f>
        <v>0</v>
      </c>
      <c r="AB90" s="106">
        <f>'2018'!AF689</f>
      </c>
      <c r="AC90" s="119">
        <f>'2018'!AG689</f>
      </c>
      <c r="AD90" s="119">
        <f>'2018'!AH689</f>
        <v>0</v>
      </c>
      <c r="AE90" s="106">
        <f>'2018'!AI689</f>
        <v>0</v>
      </c>
      <c r="AF90" s="106">
        <f>'2018'!AJ689</f>
      </c>
      <c r="AG90" s="119">
        <f>'2018'!AK689</f>
      </c>
      <c r="AH90" s="119">
        <f>'2018'!AL689</f>
        <v>0</v>
      </c>
      <c r="AI90" s="106">
        <f>'2018'!AM689</f>
        <v>0</v>
      </c>
      <c r="AJ90" s="106">
        <f>'2018'!AN689</f>
      </c>
      <c r="AK90" s="119">
        <f>'2018'!AO689</f>
      </c>
      <c r="AL90" s="119">
        <f>'2018'!AP689</f>
      </c>
      <c r="AM90" s="106">
        <f>'2018'!AQ689</f>
        <v>0</v>
      </c>
      <c r="AN90" s="106">
        <f>'2018'!AR689</f>
      </c>
      <c r="AO90" s="119">
        <f>'2018'!AS689</f>
      </c>
      <c r="AP90" s="119">
        <f>'2018'!AT689</f>
      </c>
      <c r="AQ90" s="106">
        <f>'2018'!AU689</f>
        <v>0</v>
      </c>
      <c r="AR90" s="106">
        <f>'2018'!AV689</f>
      </c>
      <c r="AS90" s="119">
        <f>'2018'!AW689</f>
      </c>
      <c r="AT90" s="119">
        <f>'2018'!AX689</f>
      </c>
      <c r="AU90" s="106">
        <f>'2018'!AY689</f>
        <v>0</v>
      </c>
      <c r="AV90" s="106">
        <f>'2018'!AZ689</f>
      </c>
      <c r="AW90" s="106"/>
      <c r="AX90" s="106"/>
      <c r="AY90" s="119">
        <f>'2018'!BA689</f>
      </c>
      <c r="AZ90" s="119">
        <f>'2018'!BB689</f>
      </c>
      <c r="BA90" s="106">
        <f>'2018'!BC689</f>
        <v>0</v>
      </c>
      <c r="BB90" s="106">
        <f>'2018'!BD689</f>
      </c>
      <c r="BC90" s="106"/>
      <c r="BD90" s="106"/>
      <c r="BE90" s="119">
        <f>'2018'!BE689</f>
        <v>0</v>
      </c>
      <c r="BF90" s="106">
        <f>'2018'!BF689</f>
        <v>0</v>
      </c>
      <c r="BG90" s="106">
        <f>'2018'!BG689</f>
        <v>0</v>
      </c>
      <c r="BH90" s="106">
        <f>'2018'!BH689</f>
        <v>0</v>
      </c>
      <c r="BI90" s="34"/>
    </row>
    <row r="91" ht="15.75" customHeight="1" hidden="1" spans="1:61" x14ac:dyDescent="0.25">
      <c r="A91" s="14"/>
      <c r="B91" s="115">
        <v>90</v>
      </c>
      <c r="C91" s="115">
        <v>4.23</v>
      </c>
      <c r="D91" s="117" t="s">
        <v>311</v>
      </c>
      <c r="E91" s="119">
        <f>'2018'!I697</f>
      </c>
      <c r="F91" s="119">
        <f>'2018'!J697</f>
      </c>
      <c r="G91" s="106">
        <f>'2018'!K697</f>
      </c>
      <c r="H91" s="106">
        <f>'2018'!L697</f>
      </c>
      <c r="I91" s="119">
        <f>'2018'!M697</f>
      </c>
      <c r="J91" s="119">
        <f>'2018'!N697</f>
      </c>
      <c r="K91" s="106">
        <f>'2018'!O697</f>
      </c>
      <c r="L91" s="106">
        <f>'2018'!P697</f>
      </c>
      <c r="M91" s="119">
        <f>'2018'!Q697</f>
      </c>
      <c r="N91" s="119">
        <f>'2018'!R697</f>
      </c>
      <c r="O91" s="119">
        <f>'2018'!S697</f>
      </c>
      <c r="P91" s="119">
        <f>'2018'!T697</f>
      </c>
      <c r="Q91" s="119">
        <f>'2018'!U697</f>
      </c>
      <c r="R91" s="119">
        <f>'2018'!V697</f>
      </c>
      <c r="S91" s="106">
        <f>'2018'!W697</f>
      </c>
      <c r="T91" s="106">
        <f>'2018'!X697</f>
      </c>
      <c r="U91" s="119">
        <f>'2018'!Y697</f>
      </c>
      <c r="V91" s="119">
        <f>'2018'!Z697</f>
        <v>0</v>
      </c>
      <c r="W91" s="106">
        <f>'2018'!AA697</f>
        <v>0</v>
      </c>
      <c r="X91" s="106">
        <f>'2018'!AB697</f>
      </c>
      <c r="Y91" s="119">
        <f>'2018'!AC697</f>
      </c>
      <c r="Z91" s="119">
        <f>'2018'!AD697</f>
        <v>0</v>
      </c>
      <c r="AA91" s="106">
        <f>'2018'!AE697</f>
        <v>0</v>
      </c>
      <c r="AB91" s="106">
        <f>'2018'!AF697</f>
      </c>
      <c r="AC91" s="119">
        <f>'2018'!AG697</f>
      </c>
      <c r="AD91" s="119">
        <f>'2018'!AH697</f>
        <v>0</v>
      </c>
      <c r="AE91" s="106">
        <f>'2018'!AI697</f>
        <v>0</v>
      </c>
      <c r="AF91" s="106">
        <f>'2018'!AJ697</f>
      </c>
      <c r="AG91" s="119">
        <f>'2018'!AK697</f>
      </c>
      <c r="AH91" s="119">
        <f>'2018'!AL697</f>
        <v>0</v>
      </c>
      <c r="AI91" s="106">
        <f>'2018'!AM697</f>
        <v>0</v>
      </c>
      <c r="AJ91" s="106">
        <f>'2018'!AN697</f>
      </c>
      <c r="AK91" s="119">
        <f>'2018'!AO697</f>
      </c>
      <c r="AL91" s="119">
        <f>'2018'!AP697</f>
      </c>
      <c r="AM91" s="106">
        <f>'2018'!AQ697</f>
        <v>0</v>
      </c>
      <c r="AN91" s="106">
        <f>'2018'!AR697</f>
      </c>
      <c r="AO91" s="119">
        <f>'2018'!AS697</f>
      </c>
      <c r="AP91" s="119">
        <f>'2018'!AT697</f>
      </c>
      <c r="AQ91" s="106">
        <f>'2018'!AU697</f>
        <v>0</v>
      </c>
      <c r="AR91" s="106">
        <f>'2018'!AV697</f>
      </c>
      <c r="AS91" s="119">
        <f>'2018'!AW697</f>
      </c>
      <c r="AT91" s="119">
        <f>'2018'!AX697</f>
      </c>
      <c r="AU91" s="106">
        <f>'2018'!AY697</f>
        <v>0</v>
      </c>
      <c r="AV91" s="106">
        <f>'2018'!AZ697</f>
      </c>
      <c r="AW91" s="106"/>
      <c r="AX91" s="106"/>
      <c r="AY91" s="119">
        <f>'2018'!BA697</f>
      </c>
      <c r="AZ91" s="119">
        <f>'2018'!BB697</f>
      </c>
      <c r="BA91" s="106">
        <f>'2018'!BC697</f>
        <v>0</v>
      </c>
      <c r="BB91" s="106">
        <f>'2018'!BD697</f>
      </c>
      <c r="BC91" s="106"/>
      <c r="BD91" s="106"/>
      <c r="BE91" s="119">
        <f>'2018'!BE697</f>
        <v>0</v>
      </c>
      <c r="BF91" s="106">
        <f>'2018'!BF697</f>
        <v>0</v>
      </c>
      <c r="BG91" s="106">
        <f>'2018'!BG697</f>
        <v>0</v>
      </c>
      <c r="BH91" s="106">
        <f>'2018'!BH697</f>
        <v>0</v>
      </c>
      <c r="BI91" s="34"/>
    </row>
    <row r="92" ht="15.75" customHeight="1" spans="1:62" x14ac:dyDescent="0.25">
      <c r="A92" s="14"/>
      <c r="B92" s="125">
        <v>92</v>
      </c>
      <c r="C92" s="115">
        <v>4.28</v>
      </c>
      <c r="D92" s="117" t="s">
        <v>312</v>
      </c>
      <c r="E92" s="119">
        <f>'2018'!I705</f>
        <v>2233</v>
      </c>
      <c r="F92" s="119">
        <f>'2018'!J705</f>
        <v>295</v>
      </c>
      <c r="G92" s="106">
        <f>'2018'!K705</f>
        <v>734.55</v>
      </c>
      <c r="H92" s="106">
        <f>'2018'!L705</f>
        <v>734.55</v>
      </c>
      <c r="I92" s="119">
        <f>'2018'!M705</f>
        <v>2448</v>
      </c>
      <c r="J92" s="119">
        <f>'2018'!N705</f>
        <v>215</v>
      </c>
      <c r="K92" s="106">
        <f>'2018'!O705</f>
        <v>535.35</v>
      </c>
      <c r="L92" s="106">
        <f>'2018'!P705</f>
      </c>
      <c r="M92" s="119">
        <f>'2018'!Q705</f>
        <v>2772</v>
      </c>
      <c r="N92" s="119">
        <f>'2018'!R705</f>
        <v>324</v>
      </c>
      <c r="O92" s="119">
        <f>'2018'!S705</f>
        <v>806.76</v>
      </c>
      <c r="P92" s="119">
        <f>'2018'!T705</f>
        <v>1343</v>
      </c>
      <c r="Q92" s="119">
        <f>'2018'!U705</f>
        <v>2909</v>
      </c>
      <c r="R92" s="119">
        <f>'2018'!V705</f>
        <v>137</v>
      </c>
      <c r="S92" s="106">
        <f>'2018'!W705</f>
        <v>341.13</v>
      </c>
      <c r="T92" s="106">
        <f>'2018'!X705</f>
      </c>
      <c r="U92" s="119">
        <f>'2018'!Y705</f>
        <v>2957</v>
      </c>
      <c r="V92" s="119">
        <f>'2018'!Z705</f>
        <v>48</v>
      </c>
      <c r="W92" s="106">
        <f>'2018'!AA705</f>
        <v>119.52</v>
      </c>
      <c r="X92" s="106">
        <f>'2018'!AB705</f>
        <v>1000</v>
      </c>
      <c r="Y92" s="119">
        <f>'2018'!AC705</f>
        <v>3129</v>
      </c>
      <c r="Z92" s="119">
        <f>'2018'!AD705</f>
        <v>172</v>
      </c>
      <c r="AA92" s="106">
        <f>'2018'!AE705</f>
        <v>428.28</v>
      </c>
      <c r="AB92" s="106">
        <f>'2018'!AF705</f>
      </c>
      <c r="AC92" s="119">
        <f>'2018'!AG705</f>
        <v>3313</v>
      </c>
      <c r="AD92" s="119">
        <f>'2018'!AH705</f>
        <v>184</v>
      </c>
      <c r="AE92" s="106">
        <f>'2018'!AI705</f>
        <v>458.16</v>
      </c>
      <c r="AF92" s="106">
        <f>'2018'!AJ705</f>
        <v>1158.87</v>
      </c>
      <c r="AG92" s="119">
        <f>'2018'!AK705</f>
        <v>3509</v>
      </c>
      <c r="AH92" s="119">
        <f>'2018'!AL705</f>
        <v>196</v>
      </c>
      <c r="AI92" s="106">
        <f>'2018'!AM705</f>
        <v>488.04</v>
      </c>
      <c r="AJ92" s="106">
        <f>'2018'!AN705</f>
      </c>
      <c r="AK92" s="119">
        <f>'2018'!AO705</f>
        <v>3727</v>
      </c>
      <c r="AL92" s="119">
        <f>'2018'!AP705</f>
        <v>218</v>
      </c>
      <c r="AM92" s="106">
        <f>'2018'!AQ705</f>
        <v>542.82</v>
      </c>
      <c r="AN92" s="106">
        <f>'2018'!AR705</f>
      </c>
      <c r="AO92" s="119">
        <f>'2018'!AS705</f>
        <v>3961</v>
      </c>
      <c r="AP92" s="119">
        <f>'2018'!AT705</f>
        <v>234</v>
      </c>
      <c r="AQ92" s="106">
        <f>'2018'!AU705</f>
        <v>582.66</v>
      </c>
      <c r="AR92" s="106">
        <f>'2018'!AV705</f>
      </c>
      <c r="AS92" s="126">
        <f>'2018'!AW705</f>
        <v>4123</v>
      </c>
      <c r="AT92" s="119">
        <f>'2018'!AX705</f>
        <v>162</v>
      </c>
      <c r="AU92" s="106">
        <f>'2018'!AY705</f>
        <v>403.38</v>
      </c>
      <c r="AV92" s="106">
        <f>'2018'!AZ705</f>
      </c>
      <c r="AW92" s="119">
        <v>155</v>
      </c>
      <c r="AX92" s="106">
        <f t="shared" ref="AX92:AX93" si="5">AW92*$AX$2</f>
        <v>385.95</v>
      </c>
      <c r="AY92" s="119">
        <f>'2018'!BA705</f>
        <v>4496</v>
      </c>
      <c r="AZ92" s="119">
        <f>'2018'!BB705</f>
        <v>373</v>
      </c>
      <c r="BA92" s="106">
        <f>'2018'!BC705</f>
        <v>928.77</v>
      </c>
      <c r="BB92" s="106">
        <f>'2018'!BD705</f>
        <v>1000</v>
      </c>
      <c r="BC92" s="106"/>
      <c r="BD92" s="106"/>
      <c r="BE92" s="119">
        <f>'2018'!BE705</f>
        <v>2558</v>
      </c>
      <c r="BF92" s="106">
        <f>'2018'!BF705</f>
        <v>6369.42</v>
      </c>
      <c r="BG92" s="106">
        <f>'2018'!BG705</f>
        <v>5236.42</v>
      </c>
      <c r="BH92" s="106">
        <f>'2018'!BH705</f>
        <v>1133</v>
      </c>
      <c r="BI92" s="106">
        <f t="shared" ref="BI92:BI93" si="6">AX92+BC92</f>
        <v>385.95</v>
      </c>
      <c r="BJ92" s="106">
        <f t="shared" ref="BJ92:BJ93" si="7">BH92+AX92</f>
        <v>1518.95</v>
      </c>
    </row>
    <row r="93" ht="15.75" customHeight="1" spans="1:62" x14ac:dyDescent="0.25">
      <c r="A93" s="14"/>
      <c r="B93" s="125" t="s">
        <v>315</v>
      </c>
      <c r="C93" s="115">
        <v>8.76</v>
      </c>
      <c r="D93" s="117" t="s">
        <v>316</v>
      </c>
      <c r="E93" s="119">
        <f>'2018'!I713</f>
        <v>3306</v>
      </c>
      <c r="F93" s="119">
        <f>'2018'!J713</f>
        <v>2438</v>
      </c>
      <c r="G93" s="106">
        <f>'2018'!K713</f>
        <v>6070.62</v>
      </c>
      <c r="H93" s="106">
        <f>'2018'!L713</f>
        <v>6070.62</v>
      </c>
      <c r="I93" s="119">
        <f>'2018'!M713</f>
        <v>4938</v>
      </c>
      <c r="J93" s="119">
        <f>'2018'!N713</f>
        <v>1632</v>
      </c>
      <c r="K93" s="106">
        <f>'2018'!O713</f>
        <v>4063.68</v>
      </c>
      <c r="L93" s="106">
        <f>'2018'!P713</f>
        <v>4070</v>
      </c>
      <c r="M93" s="119">
        <f>'2018'!Q713</f>
        <v>6184</v>
      </c>
      <c r="N93" s="119">
        <f>'2018'!R713</f>
        <v>1246</v>
      </c>
      <c r="O93" s="119">
        <f>'2018'!S713</f>
        <v>3102.54</v>
      </c>
      <c r="P93" s="119">
        <f>'2018'!T713</f>
        <v>3100.1</v>
      </c>
      <c r="Q93" s="119">
        <f>'2018'!U713</f>
        <v>7392</v>
      </c>
      <c r="R93" s="119">
        <f>'2018'!V713</f>
        <v>1208</v>
      </c>
      <c r="S93" s="106">
        <f>'2018'!W713</f>
        <v>3007.92</v>
      </c>
      <c r="T93" s="106">
        <f>'2018'!X713</f>
        <v>3007.92</v>
      </c>
      <c r="U93" s="119">
        <f>'2018'!Y713</f>
        <v>8078</v>
      </c>
      <c r="V93" s="119">
        <f>'2018'!Z713</f>
        <v>686</v>
      </c>
      <c r="W93" s="106">
        <f>'2018'!AA713</f>
        <v>1708.14</v>
      </c>
      <c r="X93" s="106">
        <f>'2018'!AB713</f>
        <v>1708.14</v>
      </c>
      <c r="Y93" s="119">
        <f>'2018'!AC713</f>
        <v>8512</v>
      </c>
      <c r="Z93" s="119">
        <f>'2018'!AD713</f>
        <v>434</v>
      </c>
      <c r="AA93" s="106">
        <f>'2018'!AE713</f>
        <v>1080.66</v>
      </c>
      <c r="AB93" s="106">
        <f>'2018'!AF713</f>
        <v>1080.66</v>
      </c>
      <c r="AC93" s="119">
        <f>'2018'!AG713</f>
        <v>8789</v>
      </c>
      <c r="AD93" s="119">
        <f>'2018'!AH713</f>
        <v>277</v>
      </c>
      <c r="AE93" s="106">
        <f>'2018'!AI713</f>
        <v>689.73</v>
      </c>
      <c r="AF93" s="106">
        <f>'2018'!AJ713</f>
        <v>689.73</v>
      </c>
      <c r="AG93" s="119">
        <f>'2018'!AK713</f>
        <v>9108</v>
      </c>
      <c r="AH93" s="119">
        <f>'2018'!AL713</f>
        <v>319</v>
      </c>
      <c r="AI93" s="106">
        <f>'2018'!AM713</f>
        <v>794.31</v>
      </c>
      <c r="AJ93" s="106">
        <f>'2018'!AN713</f>
        <v>790.43</v>
      </c>
      <c r="AK93" s="119">
        <f>'2018'!AO713</f>
        <v>9588</v>
      </c>
      <c r="AL93" s="119">
        <f>'2018'!AP713</f>
        <v>480</v>
      </c>
      <c r="AM93" s="106">
        <f>'2018'!AQ713</f>
        <v>1195.2</v>
      </c>
      <c r="AN93" s="106">
        <f>'2018'!AR713</f>
        <v>1195.2</v>
      </c>
      <c r="AO93" s="119">
        <f>'2018'!AS713</f>
        <v>10521</v>
      </c>
      <c r="AP93" s="119">
        <f>'2018'!AT713</f>
        <v>933</v>
      </c>
      <c r="AQ93" s="106">
        <f>'2018'!AU713</f>
        <v>2323.17</v>
      </c>
      <c r="AR93" s="106">
        <f>'2018'!AV713</f>
        <v>1623.48</v>
      </c>
      <c r="AS93" s="126">
        <f>'2018'!AW713</f>
        <v>11349</v>
      </c>
      <c r="AT93" s="119">
        <f>'2018'!AX713</f>
        <v>828</v>
      </c>
      <c r="AU93" s="106">
        <f>'2018'!AY713</f>
        <v>2061.72</v>
      </c>
      <c r="AV93" s="106">
        <f>'2018'!AZ713</f>
        <v>2762</v>
      </c>
      <c r="AW93" s="119">
        <v>155</v>
      </c>
      <c r="AX93" s="106">
        <f t="shared" si="5"/>
        <v>385.95</v>
      </c>
      <c r="AY93" s="119">
        <f>'2018'!BA713</f>
        <v>12678</v>
      </c>
      <c r="AZ93" s="119">
        <f>'2018'!BB713</f>
        <v>1329</v>
      </c>
      <c r="BA93" s="106">
        <f>'2018'!BC713</f>
        <v>3309.21</v>
      </c>
      <c r="BB93" s="106">
        <f>'2018'!BD713</f>
        <v>3695</v>
      </c>
      <c r="BC93" s="106"/>
      <c r="BD93" s="106"/>
      <c r="BE93" s="119">
        <f>'2018'!BE713</f>
        <v>11810</v>
      </c>
      <c r="BF93" s="106">
        <f>'2018'!BF713</f>
        <v>29406.9</v>
      </c>
      <c r="BG93" s="106">
        <f>'2018'!BG713</f>
        <v>29793.28</v>
      </c>
      <c r="BH93" s="106">
        <f>'2018'!BH713</f>
        <v>-386.38</v>
      </c>
      <c r="BI93" s="106">
        <f t="shared" si="6"/>
        <v>385.95</v>
      </c>
      <c r="BJ93" s="106">
        <f t="shared" si="7"/>
        <v>-0.43</v>
      </c>
    </row>
    <row r="94" ht="15.75" customHeight="1" hidden="1" spans="1:61" x14ac:dyDescent="0.25">
      <c r="A94" s="14"/>
      <c r="B94" s="115">
        <v>99</v>
      </c>
      <c r="C94" s="115">
        <v>4.53</v>
      </c>
      <c r="D94" s="117" t="s">
        <v>319</v>
      </c>
      <c r="E94" s="119">
        <f>'2018'!I721</f>
        <v>100</v>
      </c>
      <c r="F94" s="119">
        <f>'2018'!J721</f>
        <v>0</v>
      </c>
      <c r="G94" s="106">
        <f>'2018'!K721</f>
        <v>0</v>
      </c>
      <c r="H94" s="106">
        <f>'2018'!L721</f>
      </c>
      <c r="I94" s="119">
        <f>'2018'!M721</f>
        <v>100</v>
      </c>
      <c r="J94" s="119">
        <f>'2018'!N721</f>
        <v>0</v>
      </c>
      <c r="K94" s="106">
        <f>'2018'!O721</f>
        <v>0</v>
      </c>
      <c r="L94" s="106">
        <f>'2018'!P721</f>
      </c>
      <c r="M94" s="119">
        <f>'2018'!Q721</f>
        <v>100</v>
      </c>
      <c r="N94" s="119">
        <f>'2018'!R721</f>
        <v>0</v>
      </c>
      <c r="O94" s="119">
        <f>'2018'!S721</f>
        <v>0</v>
      </c>
      <c r="P94" s="119">
        <f>'2018'!T721</f>
      </c>
      <c r="Q94" s="119">
        <f>'2018'!U721</f>
        <v>100</v>
      </c>
      <c r="R94" s="119">
        <f>'2018'!V721</f>
        <v>0</v>
      </c>
      <c r="S94" s="106">
        <f>'2018'!W721</f>
        <v>0</v>
      </c>
      <c r="T94" s="106">
        <f>'2018'!X721</f>
      </c>
      <c r="U94" s="119">
        <f>'2018'!Y721</f>
        <v>100</v>
      </c>
      <c r="V94" s="119">
        <f>'2018'!Z721</f>
        <v>0</v>
      </c>
      <c r="W94" s="106">
        <f>'2018'!AA721</f>
        <v>0</v>
      </c>
      <c r="X94" s="106">
        <f>'2018'!AB721</f>
      </c>
      <c r="Y94" s="119">
        <f>'2018'!AC721</f>
        <v>106</v>
      </c>
      <c r="Z94" s="119">
        <f>'2018'!AD721</f>
        <v>6</v>
      </c>
      <c r="AA94" s="106">
        <f>'2018'!AE721</f>
        <v>14.94</v>
      </c>
      <c r="AB94" s="106">
        <f>'2018'!AF721</f>
      </c>
      <c r="AC94" s="119">
        <f>'2018'!AG721</f>
        <v>109</v>
      </c>
      <c r="AD94" s="119">
        <f>'2018'!AH721</f>
        <v>3</v>
      </c>
      <c r="AE94" s="106">
        <f>'2018'!AI721</f>
        <v>7.47</v>
      </c>
      <c r="AF94" s="106">
        <f>'2018'!AJ721</f>
        <v>24.9</v>
      </c>
      <c r="AG94" s="119">
        <f>'2018'!AK721</f>
        <v>111</v>
      </c>
      <c r="AH94" s="119">
        <f>'2018'!AL721</f>
        <v>2</v>
      </c>
      <c r="AI94" s="106">
        <f>'2018'!AM721</f>
        <v>4.98</v>
      </c>
      <c r="AJ94" s="106">
        <f>'2018'!AN721</f>
      </c>
      <c r="AK94" s="119">
        <f>'2018'!AO721</f>
        <v>112</v>
      </c>
      <c r="AL94" s="119">
        <f>'2018'!AP721</f>
        <v>1</v>
      </c>
      <c r="AM94" s="106">
        <f>'2018'!AQ721</f>
        <v>2.49</v>
      </c>
      <c r="AN94" s="106">
        <f>'2018'!AR721</f>
      </c>
      <c r="AO94" s="119">
        <f>'2018'!AS721</f>
        <v>112</v>
      </c>
      <c r="AP94" s="119">
        <f>'2018'!AT721</f>
        <v>0</v>
      </c>
      <c r="AQ94" s="106">
        <f>'2018'!AU721</f>
        <v>0</v>
      </c>
      <c r="AR94" s="106">
        <f>'2018'!AV721</f>
      </c>
      <c r="AS94" s="119">
        <f>'2018'!AW721</f>
        <v>112</v>
      </c>
      <c r="AT94" s="119">
        <f>'2018'!AX721</f>
        <v>0</v>
      </c>
      <c r="AU94" s="106">
        <f>'2018'!AY721</f>
        <v>0</v>
      </c>
      <c r="AV94" s="106">
        <f>'2018'!AZ721</f>
      </c>
      <c r="AW94" s="106"/>
      <c r="AX94" s="106"/>
      <c r="AY94" s="119">
        <f>'2018'!BA721</f>
        <v>112</v>
      </c>
      <c r="AZ94" s="119">
        <f>'2018'!BB721</f>
        <v>0</v>
      </c>
      <c r="BA94" s="106">
        <f>'2018'!BC721</f>
        <v>0</v>
      </c>
      <c r="BB94" s="106">
        <f>'2018'!BD721</f>
      </c>
      <c r="BC94" s="106"/>
      <c r="BD94" s="106"/>
      <c r="BE94" s="119">
        <f>'2018'!BE721</f>
        <v>12</v>
      </c>
      <c r="BF94" s="106">
        <f>'2018'!BF721</f>
        <v>29.88</v>
      </c>
      <c r="BG94" s="106">
        <f>'2018'!BG721</f>
        <v>24.9</v>
      </c>
      <c r="BH94" s="106">
        <f>'2018'!BH721</f>
        <v>14.94</v>
      </c>
      <c r="BI94" s="34"/>
    </row>
    <row r="95" ht="15.75" customHeight="1" hidden="1" spans="1:61" x14ac:dyDescent="0.25">
      <c r="A95" s="14"/>
      <c r="B95" s="115">
        <v>101</v>
      </c>
      <c r="C95" s="115">
        <v>4.46</v>
      </c>
      <c r="D95" s="117" t="s">
        <v>321</v>
      </c>
      <c r="E95" s="119">
        <f>'2018'!I729</f>
        <v>103</v>
      </c>
      <c r="F95" s="119">
        <f>'2018'!J729</f>
        <v>0</v>
      </c>
      <c r="G95" s="106">
        <f>'2018'!K729</f>
        <v>0</v>
      </c>
      <c r="H95" s="106">
        <f>'2018'!L729</f>
      </c>
      <c r="I95" s="119">
        <f>'2018'!M729</f>
        <v>103</v>
      </c>
      <c r="J95" s="119">
        <f>'2018'!N729</f>
        <v>0</v>
      </c>
      <c r="K95" s="106">
        <f>'2018'!O729</f>
        <v>0</v>
      </c>
      <c r="L95" s="106">
        <f>'2018'!P729</f>
      </c>
      <c r="M95" s="119">
        <f>'2018'!Q729</f>
        <v>103</v>
      </c>
      <c r="N95" s="119">
        <f>'2018'!R729</f>
        <v>0</v>
      </c>
      <c r="O95" s="119">
        <f>'2018'!S729</f>
        <v>0</v>
      </c>
      <c r="P95" s="119">
        <f>'2018'!T729</f>
      </c>
      <c r="Q95" s="119">
        <f>'2018'!U729</f>
        <v>104</v>
      </c>
      <c r="R95" s="119">
        <f>'2018'!V729</f>
        <v>1</v>
      </c>
      <c r="S95" s="106">
        <f>'2018'!W729</f>
        <v>2.49</v>
      </c>
      <c r="T95" s="106">
        <f>'2018'!X729</f>
        <v>9.96</v>
      </c>
      <c r="U95" s="119">
        <f>'2018'!Y729</f>
        <v>107</v>
      </c>
      <c r="V95" s="119">
        <f>'2018'!Z729</f>
        <v>3</v>
      </c>
      <c r="W95" s="106">
        <f>'2018'!AA729</f>
        <v>7.47</v>
      </c>
      <c r="X95" s="106">
        <f>'2018'!AB729</f>
        <v>7.47</v>
      </c>
      <c r="Y95" s="119">
        <f>'2018'!AC729</f>
        <v>112</v>
      </c>
      <c r="Z95" s="119">
        <f>'2018'!AD729</f>
        <v>5</v>
      </c>
      <c r="AA95" s="106">
        <f>'2018'!AE729</f>
        <v>12.45</v>
      </c>
      <c r="AB95" s="106">
        <f>'2018'!AF729</f>
      </c>
      <c r="AC95" s="119">
        <f>'2018'!AG729</f>
        <v>115</v>
      </c>
      <c r="AD95" s="119">
        <f>'2018'!AH729</f>
        <v>3</v>
      </c>
      <c r="AE95" s="106">
        <f>'2018'!AI729</f>
        <v>7.47</v>
      </c>
      <c r="AF95" s="106">
        <f>'2018'!AJ729</f>
      </c>
      <c r="AG95" s="119">
        <f>'2018'!AK729</f>
        <v>117</v>
      </c>
      <c r="AH95" s="119">
        <f>'2018'!AL729</f>
        <v>2</v>
      </c>
      <c r="AI95" s="106">
        <f>'2018'!AM729</f>
        <v>4.98</v>
      </c>
      <c r="AJ95" s="106">
        <f>'2018'!AN729</f>
        <v>19.92</v>
      </c>
      <c r="AK95" s="119">
        <f>'2018'!AO729</f>
        <v>117</v>
      </c>
      <c r="AL95" s="119">
        <f>'2018'!AP729</f>
        <v>0</v>
      </c>
      <c r="AM95" s="106">
        <f>'2018'!AQ729</f>
        <v>0</v>
      </c>
      <c r="AN95" s="106">
        <f>'2018'!AR729</f>
      </c>
      <c r="AO95" s="119">
        <f>'2018'!AS729</f>
        <v>117</v>
      </c>
      <c r="AP95" s="119">
        <f>'2018'!AT729</f>
        <v>0</v>
      </c>
      <c r="AQ95" s="106">
        <f>'2018'!AU729</f>
        <v>0</v>
      </c>
      <c r="AR95" s="106">
        <f>'2018'!AV729</f>
      </c>
      <c r="AS95" s="119">
        <f>'2018'!AW729</f>
        <v>117</v>
      </c>
      <c r="AT95" s="119">
        <f>'2018'!AX729</f>
        <v>0</v>
      </c>
      <c r="AU95" s="106">
        <f>'2018'!AY729</f>
        <v>0</v>
      </c>
      <c r="AV95" s="106">
        <f>'2018'!AZ729</f>
      </c>
      <c r="AW95" s="106"/>
      <c r="AX95" s="106"/>
      <c r="AY95" s="119">
        <f>'2018'!BA729</f>
        <v>117</v>
      </c>
      <c r="AZ95" s="119">
        <f>'2018'!BB729</f>
        <v>0</v>
      </c>
      <c r="BA95" s="106">
        <f>'2018'!BC729</f>
        <v>0</v>
      </c>
      <c r="BB95" s="106">
        <f>'2018'!BD729</f>
      </c>
      <c r="BC95" s="106"/>
      <c r="BD95" s="106"/>
      <c r="BE95" s="119">
        <f>'2018'!BE729</f>
        <v>14</v>
      </c>
      <c r="BF95" s="106">
        <f>'2018'!BF729</f>
        <v>34.86</v>
      </c>
      <c r="BG95" s="106">
        <f>'2018'!BG729</f>
        <v>37.35</v>
      </c>
      <c r="BH95" s="106">
        <f>'2018'!BH729</f>
        <v>4.98</v>
      </c>
      <c r="BI95" s="34"/>
    </row>
    <row r="96" ht="15.75" customHeight="1" hidden="1" spans="1:61" x14ac:dyDescent="0.25">
      <c r="A96" s="14"/>
      <c r="B96" s="115">
        <v>103</v>
      </c>
      <c r="C96" s="115">
        <v>4.42</v>
      </c>
      <c r="D96" s="117" t="s">
        <v>322</v>
      </c>
      <c r="E96" s="119">
        <f>'2018'!I737</f>
      </c>
      <c r="F96" s="119">
        <f>'2018'!J737</f>
      </c>
      <c r="G96" s="106">
        <f>'2018'!K737</f>
      </c>
      <c r="H96" s="106">
        <f>'2018'!L737</f>
      </c>
      <c r="I96" s="119">
        <f>'2018'!M737</f>
      </c>
      <c r="J96" s="119">
        <f>'2018'!N737</f>
      </c>
      <c r="K96" s="106">
        <f>'2018'!O737</f>
      </c>
      <c r="L96" s="106">
        <f>'2018'!P737</f>
      </c>
      <c r="M96" s="119">
        <f>'2018'!Q737</f>
      </c>
      <c r="N96" s="119">
        <f>'2018'!R737</f>
      </c>
      <c r="O96" s="119">
        <f>'2018'!S737</f>
      </c>
      <c r="P96" s="119">
        <f>'2018'!T737</f>
      </c>
      <c r="Q96" s="119">
        <f>'2018'!U737</f>
      </c>
      <c r="R96" s="119">
        <f>'2018'!V737</f>
      </c>
      <c r="S96" s="106">
        <f>'2018'!W737</f>
      </c>
      <c r="T96" s="106">
        <f>'2018'!X737</f>
      </c>
      <c r="U96" s="119">
        <f>'2018'!Y737</f>
      </c>
      <c r="V96" s="119">
        <f>'2018'!Z737</f>
        <v>0</v>
      </c>
      <c r="W96" s="106">
        <f>'2018'!AA737</f>
        <v>0</v>
      </c>
      <c r="X96" s="106">
        <f>'2018'!AB737</f>
      </c>
      <c r="Y96" s="119">
        <f>'2018'!AC737</f>
      </c>
      <c r="Z96" s="119">
        <f>'2018'!AD737</f>
        <v>0</v>
      </c>
      <c r="AA96" s="106">
        <f>'2018'!AE737</f>
        <v>0</v>
      </c>
      <c r="AB96" s="106">
        <f>'2018'!AF737</f>
      </c>
      <c r="AC96" s="119">
        <f>'2018'!AG737</f>
      </c>
      <c r="AD96" s="119">
        <f>'2018'!AH737</f>
        <v>0</v>
      </c>
      <c r="AE96" s="106">
        <f>'2018'!AI737</f>
        <v>0</v>
      </c>
      <c r="AF96" s="106">
        <f>'2018'!AJ737</f>
      </c>
      <c r="AG96" s="119">
        <f>'2018'!AK737</f>
      </c>
      <c r="AH96" s="119">
        <f>'2018'!AL737</f>
        <v>0</v>
      </c>
      <c r="AI96" s="106">
        <f>'2018'!AM737</f>
        <v>0</v>
      </c>
      <c r="AJ96" s="106">
        <f>'2018'!AN737</f>
      </c>
      <c r="AK96" s="119">
        <f>'2018'!AO737</f>
      </c>
      <c r="AL96" s="119">
        <f>'2018'!AP737</f>
      </c>
      <c r="AM96" s="106">
        <f>'2018'!AQ737</f>
        <v>0</v>
      </c>
      <c r="AN96" s="106">
        <f>'2018'!AR737</f>
      </c>
      <c r="AO96" s="119">
        <f>'2018'!AS737</f>
      </c>
      <c r="AP96" s="119">
        <f>'2018'!AT737</f>
      </c>
      <c r="AQ96" s="106">
        <f>'2018'!AU737</f>
        <v>0</v>
      </c>
      <c r="AR96" s="106">
        <f>'2018'!AV737</f>
      </c>
      <c r="AS96" s="119">
        <f>'2018'!AW737</f>
      </c>
      <c r="AT96" s="119">
        <f>'2018'!AX737</f>
      </c>
      <c r="AU96" s="106">
        <f>'2018'!AY737</f>
        <v>0</v>
      </c>
      <c r="AV96" s="106">
        <f>'2018'!AZ737</f>
      </c>
      <c r="AW96" s="106"/>
      <c r="AX96" s="106"/>
      <c r="AY96" s="119">
        <f>'2018'!BA737</f>
      </c>
      <c r="AZ96" s="119">
        <f>'2018'!BB737</f>
      </c>
      <c r="BA96" s="106">
        <f>'2018'!BC737</f>
        <v>0</v>
      </c>
      <c r="BB96" s="106">
        <f>'2018'!BD737</f>
      </c>
      <c r="BC96" s="106"/>
      <c r="BD96" s="106"/>
      <c r="BE96" s="119">
        <f>'2018'!BE737</f>
        <v>0</v>
      </c>
      <c r="BF96" s="106">
        <f>'2018'!BF737</f>
        <v>0</v>
      </c>
      <c r="BG96" s="106">
        <f>'2018'!BG737</f>
        <v>0</v>
      </c>
      <c r="BH96" s="106">
        <f>'2018'!BH737</f>
        <v>0</v>
      </c>
      <c r="BI96" s="34"/>
    </row>
    <row r="97" ht="15.75" customHeight="1" hidden="1" spans="1:61" x14ac:dyDescent="0.25">
      <c r="A97" s="14"/>
      <c r="B97" s="115">
        <v>105</v>
      </c>
      <c r="C97" s="115">
        <v>4.41</v>
      </c>
      <c r="D97" s="117" t="s">
        <v>323</v>
      </c>
      <c r="E97" s="119">
        <f>'2018'!I745</f>
        <v>480</v>
      </c>
      <c r="F97" s="119">
        <f>'2018'!J745</f>
        <v>0</v>
      </c>
      <c r="G97" s="106">
        <f>'2018'!K745</f>
        <v>0</v>
      </c>
      <c r="H97" s="106">
        <f>'2018'!L745</f>
      </c>
      <c r="I97" s="119">
        <f>'2018'!M745</f>
        <v>480</v>
      </c>
      <c r="J97" s="119">
        <f>'2018'!N745</f>
        <v>0</v>
      </c>
      <c r="K97" s="106">
        <f>'2018'!O745</f>
        <v>0</v>
      </c>
      <c r="L97" s="106">
        <f>'2018'!P745</f>
      </c>
      <c r="M97" s="119">
        <f>'2018'!Q745</f>
        <v>480</v>
      </c>
      <c r="N97" s="119">
        <f>'2018'!R745</f>
        <v>0</v>
      </c>
      <c r="O97" s="119">
        <f>'2018'!S745</f>
        <v>0</v>
      </c>
      <c r="P97" s="119">
        <f>'2018'!T745</f>
      </c>
      <c r="Q97" s="119">
        <f>'2018'!U745</f>
        <v>480</v>
      </c>
      <c r="R97" s="119">
        <f>'2018'!V745</f>
        <v>0</v>
      </c>
      <c r="S97" s="106">
        <f>'2018'!W745</f>
        <v>0</v>
      </c>
      <c r="T97" s="106">
        <f>'2018'!X745</f>
      </c>
      <c r="U97" s="119">
        <f>'2018'!Y745</f>
        <v>482</v>
      </c>
      <c r="V97" s="119">
        <f>'2018'!Z745</f>
        <v>2</v>
      </c>
      <c r="W97" s="106">
        <f>'2018'!AA745</f>
        <v>4.98</v>
      </c>
      <c r="X97" s="106">
        <f>'2018'!AB745</f>
      </c>
      <c r="Y97" s="119">
        <f>'2018'!AC745</f>
        <v>531</v>
      </c>
      <c r="Z97" s="119">
        <f>'2018'!AD745</f>
        <v>49</v>
      </c>
      <c r="AA97" s="106">
        <f>'2018'!AE745</f>
        <v>122.01</v>
      </c>
      <c r="AB97" s="106">
        <f>'2018'!AF745</f>
      </c>
      <c r="AC97" s="119">
        <f>'2018'!AG745</f>
        <v>618</v>
      </c>
      <c r="AD97" s="119">
        <f>'2018'!AH745</f>
        <v>87</v>
      </c>
      <c r="AE97" s="106">
        <f>'2018'!AI745</f>
        <v>216.63</v>
      </c>
      <c r="AF97" s="106">
        <f>'2018'!AJ745</f>
        <v>261.45</v>
      </c>
      <c r="AG97" s="119">
        <f>'2018'!AK745</f>
        <v>727</v>
      </c>
      <c r="AH97" s="119">
        <f>'2018'!AL745</f>
        <v>109</v>
      </c>
      <c r="AI97" s="106">
        <f>'2018'!AM745</f>
        <v>271.41</v>
      </c>
      <c r="AJ97" s="106">
        <f>'2018'!AN745</f>
        <v>216.63</v>
      </c>
      <c r="AK97" s="119">
        <f>'2018'!AO745</f>
        <v>736</v>
      </c>
      <c r="AL97" s="119">
        <f>'2018'!AP745</f>
        <v>9</v>
      </c>
      <c r="AM97" s="106">
        <f>'2018'!AQ745</f>
        <v>22.41</v>
      </c>
      <c r="AN97" s="106">
        <f>'2018'!AR745</f>
        <v>293.82</v>
      </c>
      <c r="AO97" s="119">
        <f>'2018'!AS745</f>
        <v>738</v>
      </c>
      <c r="AP97" s="119">
        <f>'2018'!AT745</f>
        <v>2</v>
      </c>
      <c r="AQ97" s="106">
        <f>'2018'!AU745</f>
        <v>4.98</v>
      </c>
      <c r="AR97" s="106">
        <f>'2018'!AV745</f>
      </c>
      <c r="AS97" s="119">
        <f>'2018'!AW745</f>
        <v>738</v>
      </c>
      <c r="AT97" s="119">
        <f>'2018'!AX745</f>
        <v>0</v>
      </c>
      <c r="AU97" s="106">
        <f>'2018'!AY745</f>
        <v>0</v>
      </c>
      <c r="AV97" s="106">
        <f>'2018'!AZ745</f>
      </c>
      <c r="AW97" s="106"/>
      <c r="AX97" s="106"/>
      <c r="AY97" s="119">
        <f>'2018'!BA745</f>
        <v>738</v>
      </c>
      <c r="AZ97" s="119">
        <f>'2018'!BB745</f>
        <v>0</v>
      </c>
      <c r="BA97" s="106">
        <f>'2018'!BC745</f>
        <v>0</v>
      </c>
      <c r="BB97" s="106">
        <f>'2018'!BD745</f>
      </c>
      <c r="BC97" s="106"/>
      <c r="BD97" s="106"/>
      <c r="BE97" s="119">
        <f>'2018'!BE745</f>
        <v>258</v>
      </c>
      <c r="BF97" s="106">
        <f>'2018'!BF745</f>
        <v>642.42</v>
      </c>
      <c r="BG97" s="106">
        <f>'2018'!BG745</f>
        <v>771.9</v>
      </c>
      <c r="BH97" s="106">
        <f>'2018'!BH745</f>
        <v>4.98</v>
      </c>
      <c r="BI97" s="34"/>
    </row>
    <row r="98" ht="15.75" customHeight="1" hidden="1" spans="1:61" x14ac:dyDescent="0.25">
      <c r="A98" s="21"/>
      <c r="B98" s="115">
        <v>107</v>
      </c>
      <c r="C98" s="115">
        <v>4.37</v>
      </c>
      <c r="D98" s="117" t="s">
        <v>325</v>
      </c>
      <c r="E98" s="119">
        <f>'2018'!I753</f>
      </c>
      <c r="F98" s="119">
        <f>'2018'!J753</f>
      </c>
      <c r="G98" s="106">
        <f>'2018'!K753</f>
      </c>
      <c r="H98" s="106">
        <f>'2018'!L753</f>
      </c>
      <c r="I98" s="119">
        <f>'2018'!M753</f>
      </c>
      <c r="J98" s="119">
        <f>'2018'!N753</f>
      </c>
      <c r="K98" s="106">
        <f>'2018'!O753</f>
      </c>
      <c r="L98" s="106">
        <f>'2018'!P753</f>
      </c>
      <c r="M98" s="119">
        <f>'2018'!Q753</f>
      </c>
      <c r="N98" s="119">
        <f>'2018'!R753</f>
      </c>
      <c r="O98" s="119">
        <f>'2018'!S753</f>
      </c>
      <c r="P98" s="119">
        <f>'2018'!T753</f>
      </c>
      <c r="Q98" s="119">
        <f>'2018'!U753</f>
      </c>
      <c r="R98" s="119">
        <f>'2018'!V753</f>
      </c>
      <c r="S98" s="106">
        <f>'2018'!W753</f>
      </c>
      <c r="T98" s="106">
        <f>'2018'!X753</f>
      </c>
      <c r="U98" s="119">
        <f>'2018'!Y753</f>
      </c>
      <c r="V98" s="119">
        <f>'2018'!Z753</f>
        <v>0</v>
      </c>
      <c r="W98" s="106">
        <f>'2018'!AA753</f>
        <v>0</v>
      </c>
      <c r="X98" s="106">
        <f>'2018'!AB753</f>
      </c>
      <c r="Y98" s="119">
        <f>'2018'!AC753</f>
      </c>
      <c r="Z98" s="119">
        <f>'2018'!AD753</f>
        <v>0</v>
      </c>
      <c r="AA98" s="106">
        <f>'2018'!AE753</f>
        <v>0</v>
      </c>
      <c r="AB98" s="106">
        <f>'2018'!AF753</f>
      </c>
      <c r="AC98" s="119">
        <f>'2018'!AG753</f>
      </c>
      <c r="AD98" s="119">
        <f>'2018'!AH753</f>
        <v>0</v>
      </c>
      <c r="AE98" s="106">
        <f>'2018'!AI753</f>
        <v>0</v>
      </c>
      <c r="AF98" s="106">
        <f>'2018'!AJ753</f>
      </c>
      <c r="AG98" s="119">
        <f>'2018'!AK753</f>
      </c>
      <c r="AH98" s="119">
        <f>'2018'!AL753</f>
        <v>0</v>
      </c>
      <c r="AI98" s="106">
        <f>'2018'!AM753</f>
        <v>0</v>
      </c>
      <c r="AJ98" s="106">
        <f>'2018'!AN753</f>
      </c>
      <c r="AK98" s="119">
        <f>'2018'!AO753</f>
      </c>
      <c r="AL98" s="119">
        <f>'2018'!AP753</f>
      </c>
      <c r="AM98" s="106">
        <f>'2018'!AQ753</f>
        <v>0</v>
      </c>
      <c r="AN98" s="106">
        <f>'2018'!AR753</f>
      </c>
      <c r="AO98" s="119">
        <f>'2018'!AS753</f>
      </c>
      <c r="AP98" s="119">
        <f>'2018'!AT753</f>
      </c>
      <c r="AQ98" s="106">
        <f>'2018'!AU753</f>
        <v>0</v>
      </c>
      <c r="AR98" s="106">
        <f>'2018'!AV753</f>
      </c>
      <c r="AS98" s="119">
        <f>'2018'!AW753</f>
      </c>
      <c r="AT98" s="119">
        <f>'2018'!AX753</f>
      </c>
      <c r="AU98" s="106">
        <f>'2018'!AY753</f>
        <v>0</v>
      </c>
      <c r="AV98" s="106">
        <f>'2018'!AZ753</f>
      </c>
      <c r="AW98" s="106"/>
      <c r="AX98" s="106"/>
      <c r="AY98" s="119">
        <f>'2018'!BA753</f>
      </c>
      <c r="AZ98" s="119">
        <f>'2018'!BB753</f>
      </c>
      <c r="BA98" s="106">
        <f>'2018'!BC753</f>
        <v>0</v>
      </c>
      <c r="BB98" s="106">
        <f>'2018'!BD753</f>
      </c>
      <c r="BC98" s="106"/>
      <c r="BD98" s="106"/>
      <c r="BE98" s="119">
        <f>'2018'!BE753</f>
        <v>0</v>
      </c>
      <c r="BF98" s="106">
        <f>'2018'!BF753</f>
        <v>0</v>
      </c>
      <c r="BG98" s="106">
        <f>'2018'!BG753</f>
        <v>0</v>
      </c>
      <c r="BH98" s="106">
        <f>'2018'!BH753</f>
        <v>0</v>
      </c>
      <c r="BI98" s="34"/>
    </row>
    <row r="99" ht="15.75" customHeight="1" hidden="1" spans="1:61" x14ac:dyDescent="0.25">
      <c r="A99" s="114" t="s">
        <v>327</v>
      </c>
      <c r="B99" s="115">
        <v>96</v>
      </c>
      <c r="C99" s="115">
        <v>4.46</v>
      </c>
      <c r="D99" s="117" t="s">
        <v>316</v>
      </c>
      <c r="E99" s="119">
        <f>'2018'!I761</f>
      </c>
      <c r="F99" s="119">
        <f>'2018'!J761</f>
      </c>
      <c r="G99" s="106">
        <f>'2018'!K761</f>
      </c>
      <c r="H99" s="106">
        <f>'2018'!L761</f>
      </c>
      <c r="I99" s="119">
        <f>'2018'!M761</f>
      </c>
      <c r="J99" s="119">
        <f>'2018'!N761</f>
      </c>
      <c r="K99" s="106">
        <f>'2018'!O761</f>
      </c>
      <c r="L99" s="106">
        <f>'2018'!P761</f>
      </c>
      <c r="M99" s="119">
        <f>'2018'!Q761</f>
      </c>
      <c r="N99" s="119">
        <f>'2018'!R761</f>
      </c>
      <c r="O99" s="119">
        <f>'2018'!S761</f>
      </c>
      <c r="P99" s="119">
        <f>'2018'!T761</f>
      </c>
      <c r="Q99" s="119">
        <f>'2018'!U761</f>
      </c>
      <c r="R99" s="119">
        <f>'2018'!V761</f>
      </c>
      <c r="S99" s="106">
        <f>'2018'!W761</f>
      </c>
      <c r="T99" s="106">
        <f>'2018'!X761</f>
      </c>
      <c r="U99" s="119">
        <f>'2018'!Y761</f>
      </c>
      <c r="V99" s="119">
        <f>'2018'!Z761</f>
        <v>0</v>
      </c>
      <c r="W99" s="106">
        <f>'2018'!AA761</f>
        <v>0</v>
      </c>
      <c r="X99" s="106">
        <f>'2018'!AB761</f>
      </c>
      <c r="Y99" s="119">
        <f>'2018'!AC761</f>
      </c>
      <c r="Z99" s="119">
        <f>'2018'!AD761</f>
        <v>0</v>
      </c>
      <c r="AA99" s="106">
        <f>'2018'!AE761</f>
        <v>0</v>
      </c>
      <c r="AB99" s="106">
        <f>'2018'!AF761</f>
      </c>
      <c r="AC99" s="119">
        <f>'2018'!AG761</f>
      </c>
      <c r="AD99" s="119">
        <f>'2018'!AH761</f>
        <v>0</v>
      </c>
      <c r="AE99" s="106">
        <f>'2018'!AI761</f>
        <v>0</v>
      </c>
      <c r="AF99" s="106">
        <f>'2018'!AJ761</f>
      </c>
      <c r="AG99" s="119">
        <f>'2018'!AK761</f>
      </c>
      <c r="AH99" s="119">
        <f>'2018'!AL761</f>
        <v>0</v>
      </c>
      <c r="AI99" s="106">
        <f>'2018'!AM761</f>
        <v>0</v>
      </c>
      <c r="AJ99" s="106">
        <f>'2018'!AN761</f>
      </c>
      <c r="AK99" s="119">
        <f>'2018'!AO761</f>
      </c>
      <c r="AL99" s="119">
        <f>'2018'!AP761</f>
      </c>
      <c r="AM99" s="106">
        <f>'2018'!AQ761</f>
        <v>0</v>
      </c>
      <c r="AN99" s="106">
        <f>'2018'!AR761</f>
      </c>
      <c r="AO99" s="119">
        <f>'2018'!AS761</f>
      </c>
      <c r="AP99" s="119">
        <f>'2018'!AT761</f>
      </c>
      <c r="AQ99" s="106">
        <f>'2018'!AU761</f>
        <v>0</v>
      </c>
      <c r="AR99" s="106">
        <f>'2018'!AV761</f>
      </c>
      <c r="AS99" s="119">
        <f>'2018'!AW761</f>
      </c>
      <c r="AT99" s="119">
        <f>'2018'!AX761</f>
      </c>
      <c r="AU99" s="106">
        <f>'2018'!AY761</f>
        <v>0</v>
      </c>
      <c r="AV99" s="106">
        <f>'2018'!AZ761</f>
      </c>
      <c r="AW99" s="106"/>
      <c r="AX99" s="106"/>
      <c r="AY99" s="119">
        <f>'2018'!BA761</f>
      </c>
      <c r="AZ99" s="119">
        <f>'2018'!BB761</f>
      </c>
      <c r="BA99" s="106">
        <f>'2018'!BC761</f>
        <v>0</v>
      </c>
      <c r="BB99" s="106">
        <f>'2018'!BD761</f>
      </c>
      <c r="BC99" s="106"/>
      <c r="BD99" s="106"/>
      <c r="BE99" s="119">
        <f>'2018'!BE761</f>
        <v>0</v>
      </c>
      <c r="BF99" s="106">
        <f>'2018'!BF761</f>
        <v>0</v>
      </c>
      <c r="BG99" s="106">
        <f>'2018'!BG761</f>
        <v>0</v>
      </c>
      <c r="BH99" s="106">
        <f>'2018'!BH761</f>
        <v>0</v>
      </c>
      <c r="BI99" s="34"/>
    </row>
    <row r="100" ht="15.75" customHeight="1" hidden="1" spans="1:61" x14ac:dyDescent="0.25">
      <c r="A100" s="14"/>
      <c r="B100" s="115">
        <v>98</v>
      </c>
      <c r="C100" s="115">
        <v>4.45</v>
      </c>
      <c r="D100" s="117" t="s">
        <v>328</v>
      </c>
      <c r="E100" s="119">
        <f>'2018'!I769</f>
      </c>
      <c r="F100" s="119">
        <f>'2018'!J769</f>
      </c>
      <c r="G100" s="106">
        <f>'2018'!K769</f>
      </c>
      <c r="H100" s="106">
        <f>'2018'!L769</f>
      </c>
      <c r="I100" s="119">
        <f>'2018'!M769</f>
      </c>
      <c r="J100" s="119">
        <f>'2018'!N769</f>
      </c>
      <c r="K100" s="106">
        <f>'2018'!O769</f>
      </c>
      <c r="L100" s="106">
        <f>'2018'!P769</f>
      </c>
      <c r="M100" s="119">
        <f>'2018'!Q769</f>
      </c>
      <c r="N100" s="119">
        <f>'2018'!R769</f>
      </c>
      <c r="O100" s="119">
        <f>'2018'!S769</f>
      </c>
      <c r="P100" s="119">
        <f>'2018'!T769</f>
      </c>
      <c r="Q100" s="119">
        <f>'2018'!U769</f>
      </c>
      <c r="R100" s="119">
        <f>'2018'!V769</f>
      </c>
      <c r="S100" s="106">
        <f>'2018'!W769</f>
      </c>
      <c r="T100" s="106">
        <f>'2018'!X769</f>
      </c>
      <c r="U100" s="119">
        <f>'2018'!Y769</f>
      </c>
      <c r="V100" s="119">
        <f>'2018'!Z769</f>
        <v>0</v>
      </c>
      <c r="W100" s="106">
        <f>'2018'!AA769</f>
        <v>0</v>
      </c>
      <c r="X100" s="106">
        <f>'2018'!AB769</f>
      </c>
      <c r="Y100" s="119">
        <f>'2018'!AC769</f>
      </c>
      <c r="Z100" s="119">
        <f>'2018'!AD769</f>
        <v>0</v>
      </c>
      <c r="AA100" s="106">
        <f>'2018'!AE769</f>
        <v>0</v>
      </c>
      <c r="AB100" s="106">
        <f>'2018'!AF769</f>
      </c>
      <c r="AC100" s="119">
        <f>'2018'!AG769</f>
      </c>
      <c r="AD100" s="119">
        <f>'2018'!AH769</f>
        <v>0</v>
      </c>
      <c r="AE100" s="106">
        <f>'2018'!AI769</f>
        <v>0</v>
      </c>
      <c r="AF100" s="106">
        <f>'2018'!AJ769</f>
      </c>
      <c r="AG100" s="119">
        <f>'2018'!AK769</f>
      </c>
      <c r="AH100" s="119">
        <f>'2018'!AL769</f>
        <v>0</v>
      </c>
      <c r="AI100" s="106">
        <f>'2018'!AM769</f>
        <v>0</v>
      </c>
      <c r="AJ100" s="106">
        <f>'2018'!AN769</f>
      </c>
      <c r="AK100" s="119">
        <f>'2018'!AO769</f>
      </c>
      <c r="AL100" s="119">
        <f>'2018'!AP769</f>
      </c>
      <c r="AM100" s="106">
        <f>'2018'!AQ769</f>
        <v>0</v>
      </c>
      <c r="AN100" s="106">
        <f>'2018'!AR769</f>
      </c>
      <c r="AO100" s="119">
        <f>'2018'!AS769</f>
      </c>
      <c r="AP100" s="119">
        <f>'2018'!AT769</f>
      </c>
      <c r="AQ100" s="106">
        <f>'2018'!AU769</f>
        <v>0</v>
      </c>
      <c r="AR100" s="106">
        <f>'2018'!AV769</f>
      </c>
      <c r="AS100" s="119">
        <f>'2018'!AW769</f>
      </c>
      <c r="AT100" s="119">
        <f>'2018'!AX769</f>
      </c>
      <c r="AU100" s="106">
        <f>'2018'!AY769</f>
        <v>0</v>
      </c>
      <c r="AV100" s="106">
        <f>'2018'!AZ769</f>
      </c>
      <c r="AW100" s="106"/>
      <c r="AX100" s="106"/>
      <c r="AY100" s="119">
        <f>'2018'!BA769</f>
      </c>
      <c r="AZ100" s="119">
        <f>'2018'!BB769</f>
      </c>
      <c r="BA100" s="106">
        <f>'2018'!BC769</f>
        <v>0</v>
      </c>
      <c r="BB100" s="106">
        <f>'2018'!BD769</f>
      </c>
      <c r="BC100" s="106"/>
      <c r="BD100" s="106"/>
      <c r="BE100" s="119">
        <f>'2018'!BE769</f>
        <v>0</v>
      </c>
      <c r="BF100" s="106">
        <f>'2018'!BF769</f>
        <v>0</v>
      </c>
      <c r="BG100" s="106">
        <f>'2018'!BG769</f>
        <v>0</v>
      </c>
      <c r="BH100" s="106">
        <f>'2018'!BH769</f>
        <v>0</v>
      </c>
      <c r="BI100" s="34"/>
    </row>
    <row r="101" ht="15.75" customHeight="1" hidden="1" spans="1:61" x14ac:dyDescent="0.25">
      <c r="A101" s="14"/>
      <c r="B101" s="115">
        <v>100</v>
      </c>
      <c r="C101" s="115">
        <v>4.47</v>
      </c>
      <c r="D101" s="117" t="s">
        <v>330</v>
      </c>
      <c r="E101" s="119">
        <f>'2018'!I777</f>
        <v>165</v>
      </c>
      <c r="F101" s="119">
        <f>'2018'!J777</f>
        <v>0</v>
      </c>
      <c r="G101" s="106">
        <f>'2018'!K777</f>
        <v>0</v>
      </c>
      <c r="H101" s="106">
        <f>'2018'!L777</f>
      </c>
      <c r="I101" s="119">
        <f>'2018'!M777</f>
        <v>165</v>
      </c>
      <c r="J101" s="119">
        <f>'2018'!N777</f>
        <v>0</v>
      </c>
      <c r="K101" s="106">
        <f>'2018'!O777</f>
        <v>0</v>
      </c>
      <c r="L101" s="106">
        <f>'2018'!P777</f>
      </c>
      <c r="M101" s="119">
        <f>'2018'!Q777</f>
        <v>165</v>
      </c>
      <c r="N101" s="119">
        <f>'2018'!R777</f>
        <v>0</v>
      </c>
      <c r="O101" s="119">
        <f>'2018'!S777</f>
        <v>0</v>
      </c>
      <c r="P101" s="119">
        <f>'2018'!T777</f>
      </c>
      <c r="Q101" s="119">
        <f>'2018'!U777</f>
        <v>188</v>
      </c>
      <c r="R101" s="119">
        <f>'2018'!V777</f>
        <v>23</v>
      </c>
      <c r="S101" s="106">
        <f>'2018'!W777</f>
        <v>57.27</v>
      </c>
      <c r="T101" s="106">
        <f>'2018'!X777</f>
      </c>
      <c r="U101" s="119">
        <f>'2018'!Y777</f>
        <v>236</v>
      </c>
      <c r="V101" s="119">
        <f>'2018'!Z777</f>
        <v>48</v>
      </c>
      <c r="W101" s="106">
        <f>'2018'!AA777</f>
        <v>119.52</v>
      </c>
      <c r="X101" s="106">
        <f>'2018'!AB777</f>
      </c>
      <c r="Y101" s="119">
        <f>'2018'!AC777</f>
        <v>263</v>
      </c>
      <c r="Z101" s="119">
        <f>'2018'!AD777</f>
        <v>27</v>
      </c>
      <c r="AA101" s="106">
        <f>'2018'!AE777</f>
        <v>67.23</v>
      </c>
      <c r="AB101" s="106">
        <f>'2018'!AF777</f>
      </c>
      <c r="AC101" s="119">
        <f>'2018'!AG777</f>
        <v>272</v>
      </c>
      <c r="AD101" s="119">
        <f>'2018'!AH777</f>
        <v>9</v>
      </c>
      <c r="AE101" s="106">
        <f>'2018'!AI777</f>
        <v>22.41</v>
      </c>
      <c r="AF101" s="106">
        <f>'2018'!AJ777</f>
        <v>338.64</v>
      </c>
      <c r="AG101" s="119">
        <f>'2018'!AK777</f>
        <v>287</v>
      </c>
      <c r="AH101" s="119">
        <f>'2018'!AL777</f>
        <v>15</v>
      </c>
      <c r="AI101" s="106">
        <f>'2018'!AM777</f>
        <v>37.35</v>
      </c>
      <c r="AJ101" s="106">
        <f>'2018'!AN777</f>
      </c>
      <c r="AK101" s="119">
        <f>'2018'!AO777</f>
        <v>310</v>
      </c>
      <c r="AL101" s="119">
        <f>'2018'!AP777</f>
        <v>23</v>
      </c>
      <c r="AM101" s="106">
        <f>'2018'!AQ777</f>
        <v>57.27</v>
      </c>
      <c r="AN101" s="106">
        <f>'2018'!AR777</f>
      </c>
      <c r="AO101" s="119">
        <f>'2018'!AS777</f>
        <v>313</v>
      </c>
      <c r="AP101" s="119">
        <f>'2018'!AT777</f>
        <v>3</v>
      </c>
      <c r="AQ101" s="106">
        <f>'2018'!AU777</f>
        <v>7.47</v>
      </c>
      <c r="AR101" s="106">
        <f>'2018'!AV777</f>
      </c>
      <c r="AS101" s="119">
        <f>'2018'!AW777</f>
        <v>313</v>
      </c>
      <c r="AT101" s="119">
        <f>'2018'!AX777</f>
        <v>0</v>
      </c>
      <c r="AU101" s="106">
        <f>'2018'!AY777</f>
        <v>0</v>
      </c>
      <c r="AV101" s="106">
        <f>'2018'!AZ777</f>
      </c>
      <c r="AW101" s="106"/>
      <c r="AX101" s="106"/>
      <c r="AY101" s="119">
        <f>'2018'!BA777</f>
        <v>313</v>
      </c>
      <c r="AZ101" s="119">
        <f>'2018'!BB777</f>
        <v>0</v>
      </c>
      <c r="BA101" s="106">
        <f>'2018'!BC777</f>
        <v>0</v>
      </c>
      <c r="BB101" s="106">
        <f>'2018'!BD777</f>
      </c>
      <c r="BC101" s="106"/>
      <c r="BD101" s="106"/>
      <c r="BE101" s="119">
        <f>'2018'!BE777</f>
        <v>148</v>
      </c>
      <c r="BF101" s="106">
        <f>'2018'!BF777</f>
        <v>368.52</v>
      </c>
      <c r="BG101" s="106">
        <f>'2018'!BG777</f>
        <v>338.64</v>
      </c>
      <c r="BH101" s="106">
        <f>'2018'!BH777</f>
        <v>124.5</v>
      </c>
      <c r="BI101" s="34"/>
    </row>
    <row r="102" ht="15.75" customHeight="1" spans="1:62" x14ac:dyDescent="0.25">
      <c r="A102" s="14"/>
      <c r="B102" s="125">
        <v>102</v>
      </c>
      <c r="C102" s="115">
        <v>4.45</v>
      </c>
      <c r="D102" s="117" t="s">
        <v>331</v>
      </c>
      <c r="E102" s="119">
        <f>'2018'!I785</f>
        <v>559</v>
      </c>
      <c r="F102" s="119">
        <f>'2018'!J785</f>
        <v>0</v>
      </c>
      <c r="G102" s="106">
        <f>'2018'!K785</f>
        <v>0</v>
      </c>
      <c r="H102" s="106">
        <f>'2018'!L785</f>
      </c>
      <c r="I102" s="119">
        <f>'2018'!M785</f>
        <v>614</v>
      </c>
      <c r="J102" s="119">
        <f>'2018'!N785</f>
        <v>55</v>
      </c>
      <c r="K102" s="106">
        <f>'2018'!O785</f>
        <v>136.95</v>
      </c>
      <c r="L102" s="106">
        <f>'2018'!P785</f>
      </c>
      <c r="M102" s="119">
        <f>'2018'!Q785</f>
        <v>676</v>
      </c>
      <c r="N102" s="119">
        <f>'2018'!R785</f>
        <v>62</v>
      </c>
      <c r="O102" s="119">
        <f>'2018'!S785</f>
        <v>154.38</v>
      </c>
      <c r="P102" s="119">
        <f>'2018'!T785</f>
        <v>154.38</v>
      </c>
      <c r="Q102" s="119">
        <f>'2018'!U785</f>
        <v>717</v>
      </c>
      <c r="R102" s="119">
        <f>'2018'!V785</f>
        <v>41</v>
      </c>
      <c r="S102" s="106">
        <f>'2018'!W785</f>
        <v>102.09</v>
      </c>
      <c r="T102" s="106">
        <f>'2018'!X785</f>
        <v>102.09</v>
      </c>
      <c r="U102" s="119">
        <f>'2018'!Y785</f>
        <v>725</v>
      </c>
      <c r="V102" s="119">
        <f>'2018'!Z785</f>
        <v>8</v>
      </c>
      <c r="W102" s="106">
        <f>'2018'!AA785</f>
        <v>19.92</v>
      </c>
      <c r="X102" s="106">
        <f>'2018'!AB785</f>
        <v>19.92</v>
      </c>
      <c r="Y102" s="119">
        <f>'2018'!AC785</f>
        <v>766</v>
      </c>
      <c r="Z102" s="119">
        <f>'2018'!AD785</f>
        <v>41</v>
      </c>
      <c r="AA102" s="106">
        <f>'2018'!AE785</f>
        <v>102.09</v>
      </c>
      <c r="AB102" s="106">
        <f>'2018'!AF785</f>
      </c>
      <c r="AC102" s="119">
        <f>'2018'!AG785</f>
        <v>809</v>
      </c>
      <c r="AD102" s="119">
        <f>'2018'!AH785</f>
        <v>43</v>
      </c>
      <c r="AE102" s="106">
        <f>'2018'!AI785</f>
        <v>107.07</v>
      </c>
      <c r="AF102" s="106">
        <f>'2018'!AJ785</f>
      </c>
      <c r="AG102" s="119">
        <f>'2018'!AK785</f>
        <v>862</v>
      </c>
      <c r="AH102" s="119">
        <f>'2018'!AL785</f>
        <v>53</v>
      </c>
      <c r="AI102" s="106">
        <f>'2018'!AM785</f>
        <v>131.97</v>
      </c>
      <c r="AJ102" s="106">
        <f>'2018'!AN785</f>
        <v>467.82</v>
      </c>
      <c r="AK102" s="119">
        <f>'2018'!AO785</f>
        <v>970</v>
      </c>
      <c r="AL102" s="119">
        <f>'2018'!AP785</f>
        <v>108</v>
      </c>
      <c r="AM102" s="106">
        <f>'2018'!AQ785</f>
        <v>268.92</v>
      </c>
      <c r="AN102" s="106">
        <f>'2018'!AR785</f>
      </c>
      <c r="AO102" s="119">
        <f>'2018'!AS785</f>
        <v>1136</v>
      </c>
      <c r="AP102" s="119">
        <f>'2018'!AT785</f>
        <v>166</v>
      </c>
      <c r="AQ102" s="106">
        <f>'2018'!AU785</f>
        <v>413.34</v>
      </c>
      <c r="AR102" s="106">
        <f>'2018'!AV785</f>
      </c>
      <c r="AS102" s="126">
        <f>'2018'!AW785</f>
        <v>1154</v>
      </c>
      <c r="AT102" s="119">
        <f>'2018'!AX785</f>
        <v>18</v>
      </c>
      <c r="AU102" s="106">
        <f>'2018'!AY785</f>
        <v>44.82</v>
      </c>
      <c r="AV102" s="106">
        <f>'2018'!AZ785</f>
        <v>682.26</v>
      </c>
      <c r="AW102" s="119">
        <v>155</v>
      </c>
      <c r="AX102" s="106">
        <f>AW102*$AX$2</f>
        <v>385.95</v>
      </c>
      <c r="AY102" s="119">
        <f>'2018'!BA785</f>
        <v>1157</v>
      </c>
      <c r="AZ102" s="119">
        <f>'2018'!BB785</f>
        <v>3</v>
      </c>
      <c r="BA102" s="106">
        <f>'2018'!BC785</f>
        <v>7.47</v>
      </c>
      <c r="BB102" s="106">
        <f>'2018'!BD785</f>
        <v>500</v>
      </c>
      <c r="BC102" s="106"/>
      <c r="BD102" s="106"/>
      <c r="BE102" s="119">
        <f>'2018'!BE785</f>
        <v>598</v>
      </c>
      <c r="BF102" s="106">
        <f>'2018'!BF785</f>
        <v>1489.02</v>
      </c>
      <c r="BG102" s="106">
        <f>'2018'!BG785</f>
        <v>1926.47</v>
      </c>
      <c r="BH102" s="106">
        <f>'2018'!BH785</f>
        <v>-447.71</v>
      </c>
      <c r="BI102" s="106">
        <f>AX102+BC102</f>
        <v>385.95</v>
      </c>
      <c r="BJ102" s="106">
        <f t="shared" ref="BJ102:BJ103" si="8">BH102+AX102</f>
        <v>-61.76</v>
      </c>
    </row>
    <row r="103" ht="15.75" customHeight="1" spans="1:62" x14ac:dyDescent="0.25">
      <c r="A103" s="14"/>
      <c r="B103" s="115">
        <v>104</v>
      </c>
      <c r="C103" s="115">
        <v>4.42</v>
      </c>
      <c r="D103" s="117" t="s">
        <v>333</v>
      </c>
      <c r="E103" s="119">
        <f>'2018'!I793</f>
        <v>364</v>
      </c>
      <c r="F103" s="119">
        <f>'2018'!J793</f>
        <v>0</v>
      </c>
      <c r="G103" s="106">
        <f>'2018'!K793</f>
        <v>0</v>
      </c>
      <c r="H103" s="106">
        <f>'2018'!L793</f>
      </c>
      <c r="I103" s="119">
        <f>'2018'!M793</f>
        <v>364</v>
      </c>
      <c r="J103" s="119">
        <f>'2018'!N793</f>
        <v>0</v>
      </c>
      <c r="K103" s="106">
        <f>'2018'!O793</f>
        <v>0</v>
      </c>
      <c r="L103" s="106">
        <f>'2018'!P793</f>
      </c>
      <c r="M103" s="119">
        <f>'2018'!Q793</f>
        <v>364</v>
      </c>
      <c r="N103" s="119">
        <f>'2018'!R793</f>
        <v>0</v>
      </c>
      <c r="O103" s="119">
        <f>'2018'!S793</f>
        <v>0</v>
      </c>
      <c r="P103" s="119">
        <f>'2018'!T793</f>
      </c>
      <c r="Q103" s="119">
        <f>'2018'!U793</f>
        <v>373</v>
      </c>
      <c r="R103" s="119">
        <f>'2018'!V793</f>
        <v>9</v>
      </c>
      <c r="S103" s="106">
        <f>'2018'!W793</f>
        <v>22.41</v>
      </c>
      <c r="T103" s="106">
        <f>'2018'!X793</f>
        <v>7.03</v>
      </c>
      <c r="U103" s="119">
        <f>'2018'!Y793</f>
        <v>386</v>
      </c>
      <c r="V103" s="119">
        <f>'2018'!Z793</f>
        <v>13</v>
      </c>
      <c r="W103" s="106">
        <f>'2018'!AA793</f>
        <v>32.37</v>
      </c>
      <c r="X103" s="106">
        <f>'2018'!AB793</f>
        <v>32.37</v>
      </c>
      <c r="Y103" s="119">
        <f>'2018'!AC793</f>
        <v>422</v>
      </c>
      <c r="Z103" s="119">
        <f>'2018'!AD793</f>
        <v>36</v>
      </c>
      <c r="AA103" s="106">
        <f>'2018'!AE793</f>
        <v>89.64</v>
      </c>
      <c r="AB103" s="106">
        <f>'2018'!AF793</f>
        <v>89.64</v>
      </c>
      <c r="AC103" s="119">
        <f>'2018'!AG793</f>
        <v>478</v>
      </c>
      <c r="AD103" s="119">
        <f>'2018'!AH793</f>
        <v>56</v>
      </c>
      <c r="AE103" s="106">
        <f>'2018'!AI793</f>
        <v>139.44</v>
      </c>
      <c r="AF103" s="106">
        <f>'2018'!AJ793</f>
        <v>139.44</v>
      </c>
      <c r="AG103" s="119">
        <f>'2018'!AK793</f>
        <v>533</v>
      </c>
      <c r="AH103" s="119">
        <f>'2018'!AL793</f>
        <v>55</v>
      </c>
      <c r="AI103" s="106">
        <f>'2018'!AM793</f>
        <v>136.95</v>
      </c>
      <c r="AJ103" s="106">
        <f>'2018'!AN793</f>
        <v>136.95</v>
      </c>
      <c r="AK103" s="119">
        <f>'2018'!AO793</f>
        <v>601</v>
      </c>
      <c r="AL103" s="119">
        <f>'2018'!AP793</f>
        <v>68</v>
      </c>
      <c r="AM103" s="106">
        <f>'2018'!AQ793</f>
        <v>169.32</v>
      </c>
      <c r="AN103" s="106">
        <f>'2018'!AR793</f>
      </c>
      <c r="AO103" s="119">
        <f>'2018'!AS793</f>
        <v>620</v>
      </c>
      <c r="AP103" s="119">
        <f>'2018'!AT793</f>
        <v>19</v>
      </c>
      <c r="AQ103" s="106">
        <f>'2018'!AU793</f>
        <v>47.31</v>
      </c>
      <c r="AR103" s="106">
        <f>'2018'!AV793</f>
      </c>
      <c r="AS103" s="119">
        <f>'2018'!AW793</f>
        <v>620</v>
      </c>
      <c r="AT103" s="119">
        <f>'2018'!AX793</f>
        <v>0</v>
      </c>
      <c r="AU103" s="106">
        <f>'2018'!AY793</f>
        <v>0</v>
      </c>
      <c r="AV103" s="106">
        <f>'2018'!AZ793</f>
        <v>249</v>
      </c>
      <c r="AW103" s="106"/>
      <c r="AX103" s="106"/>
      <c r="AY103" s="119">
        <f>'2018'!BA793</f>
        <v>620</v>
      </c>
      <c r="AZ103" s="119">
        <f>'2018'!BB793</f>
        <v>0</v>
      </c>
      <c r="BA103" s="106">
        <f>'2018'!BC793</f>
        <v>0</v>
      </c>
      <c r="BB103" s="106">
        <f>'2018'!BD793</f>
      </c>
      <c r="BC103" s="106"/>
      <c r="BD103" s="106"/>
      <c r="BE103" s="119">
        <f>'2018'!BE793</f>
        <v>256</v>
      </c>
      <c r="BF103" s="106">
        <f>'2018'!BF793</f>
        <v>637.44</v>
      </c>
      <c r="BG103" s="106">
        <f>'2018'!BG793</f>
        <v>654.43</v>
      </c>
      <c r="BH103" s="106">
        <f>'2018'!BH793</f>
        <v>-32.37</v>
      </c>
      <c r="BI103" s="106"/>
      <c r="BJ103" s="106">
        <f t="shared" si="8"/>
        <v>-32.37</v>
      </c>
    </row>
    <row r="104" ht="15.75" customHeight="1" hidden="1" spans="1:61" x14ac:dyDescent="0.25">
      <c r="A104" s="14"/>
      <c r="B104" s="115">
        <v>106</v>
      </c>
      <c r="C104" s="115">
        <v>4.57</v>
      </c>
      <c r="D104" s="117" t="s">
        <v>336</v>
      </c>
      <c r="E104" s="119">
        <f>'2018'!I801</f>
      </c>
      <c r="F104" s="119">
        <f>'2018'!J801</f>
      </c>
      <c r="G104" s="106">
        <f>'2018'!K801</f>
      </c>
      <c r="H104" s="106">
        <f>'2018'!L801</f>
      </c>
      <c r="I104" s="119">
        <f>'2018'!M801</f>
      </c>
      <c r="J104" s="119">
        <f>'2018'!N801</f>
      </c>
      <c r="K104" s="106">
        <f>'2018'!O801</f>
      </c>
      <c r="L104" s="106">
        <f>'2018'!P801</f>
      </c>
      <c r="M104" s="119">
        <f>'2018'!Q801</f>
      </c>
      <c r="N104" s="119">
        <f>'2018'!R801</f>
      </c>
      <c r="O104" s="119">
        <f>'2018'!S801</f>
      </c>
      <c r="P104" s="119">
        <f>'2018'!T801</f>
      </c>
      <c r="Q104" s="119">
        <f>'2018'!U801</f>
      </c>
      <c r="R104" s="119">
        <f>'2018'!V801</f>
      </c>
      <c r="S104" s="106">
        <f>'2018'!W801</f>
      </c>
      <c r="T104" s="106">
        <f>'2018'!X801</f>
      </c>
      <c r="U104" s="119">
        <f>'2018'!Y801</f>
      </c>
      <c r="V104" s="119">
        <f>'2018'!Z801</f>
        <v>0</v>
      </c>
      <c r="W104" s="106">
        <f>'2018'!AA801</f>
        <v>0</v>
      </c>
      <c r="X104" s="106">
        <f>'2018'!AB801</f>
      </c>
      <c r="Y104" s="119">
        <f>'2018'!AC801</f>
      </c>
      <c r="Z104" s="119">
        <f>'2018'!AD801</f>
        <v>0</v>
      </c>
      <c r="AA104" s="106">
        <f>'2018'!AE801</f>
        <v>0</v>
      </c>
      <c r="AB104" s="106">
        <f>'2018'!AF801</f>
      </c>
      <c r="AC104" s="119">
        <f>'2018'!AG801</f>
      </c>
      <c r="AD104" s="119">
        <f>'2018'!AH801</f>
        <v>0</v>
      </c>
      <c r="AE104" s="106">
        <f>'2018'!AI801</f>
        <v>0</v>
      </c>
      <c r="AF104" s="106">
        <f>'2018'!AJ801</f>
      </c>
      <c r="AG104" s="119">
        <f>'2018'!AK801</f>
      </c>
      <c r="AH104" s="119">
        <f>'2018'!AL801</f>
        <v>0</v>
      </c>
      <c r="AI104" s="106">
        <f>'2018'!AM801</f>
        <v>0</v>
      </c>
      <c r="AJ104" s="106">
        <f>'2018'!AN801</f>
      </c>
      <c r="AK104" s="119">
        <f>'2018'!AO801</f>
      </c>
      <c r="AL104" s="119">
        <f>'2018'!AP801</f>
      </c>
      <c r="AM104" s="106">
        <f>'2018'!AQ801</f>
        <v>0</v>
      </c>
      <c r="AN104" s="106">
        <f>'2018'!AR801</f>
      </c>
      <c r="AO104" s="119">
        <f>'2018'!AS801</f>
      </c>
      <c r="AP104" s="119">
        <f>'2018'!AT801</f>
      </c>
      <c r="AQ104" s="106">
        <f>'2018'!AU801</f>
        <v>0</v>
      </c>
      <c r="AR104" s="106">
        <f>'2018'!AV801</f>
      </c>
      <c r="AS104" s="119">
        <f>'2018'!AW801</f>
      </c>
      <c r="AT104" s="119">
        <f>'2018'!AX801</f>
      </c>
      <c r="AU104" s="106">
        <f>'2018'!AY801</f>
        <v>0</v>
      </c>
      <c r="AV104" s="106">
        <f>'2018'!AZ801</f>
      </c>
      <c r="AW104" s="106"/>
      <c r="AX104" s="106"/>
      <c r="AY104" s="119">
        <f>'2018'!BA801</f>
      </c>
      <c r="AZ104" s="119">
        <f>'2018'!BB801</f>
      </c>
      <c r="BA104" s="106">
        <f>'2018'!BC801</f>
        <v>0</v>
      </c>
      <c r="BB104" s="106">
        <f>'2018'!BD801</f>
      </c>
      <c r="BC104" s="106"/>
      <c r="BD104" s="106"/>
      <c r="BE104" s="119">
        <f>'2018'!BE801</f>
        <v>0</v>
      </c>
      <c r="BF104" s="106">
        <f>'2018'!BF801</f>
        <v>0</v>
      </c>
      <c r="BG104" s="106">
        <f>'2018'!BG801</f>
        <v>0</v>
      </c>
      <c r="BH104" s="106">
        <f>'2018'!BH801</f>
        <v>0</v>
      </c>
      <c r="BI104" s="34"/>
    </row>
    <row r="105" ht="15.75" customHeight="1" hidden="1" spans="1:61" x14ac:dyDescent="0.25">
      <c r="A105" s="14"/>
      <c r="B105" s="115">
        <v>108</v>
      </c>
      <c r="C105" s="115">
        <v>4.32</v>
      </c>
      <c r="D105" s="117" t="s">
        <v>339</v>
      </c>
      <c r="E105" s="119">
        <f>'2018'!I809</f>
      </c>
      <c r="F105" s="119">
        <f>'2018'!J809</f>
      </c>
      <c r="G105" s="106">
        <f>'2018'!K809</f>
      </c>
      <c r="H105" s="106">
        <f>'2018'!L809</f>
      </c>
      <c r="I105" s="119">
        <f>'2018'!M809</f>
      </c>
      <c r="J105" s="119">
        <f>'2018'!N809</f>
      </c>
      <c r="K105" s="106">
        <f>'2018'!O809</f>
      </c>
      <c r="L105" s="106">
        <f>'2018'!P809</f>
      </c>
      <c r="M105" s="119">
        <f>'2018'!Q809</f>
      </c>
      <c r="N105" s="119">
        <f>'2018'!R809</f>
      </c>
      <c r="O105" s="119">
        <f>'2018'!S809</f>
      </c>
      <c r="P105" s="119">
        <f>'2018'!T809</f>
      </c>
      <c r="Q105" s="119">
        <f>'2018'!U809</f>
      </c>
      <c r="R105" s="119">
        <f>'2018'!V809</f>
      </c>
      <c r="S105" s="106">
        <f>'2018'!W809</f>
      </c>
      <c r="T105" s="106">
        <f>'2018'!X809</f>
      </c>
      <c r="U105" s="119">
        <f>'2018'!Y809</f>
      </c>
      <c r="V105" s="119">
        <f>'2018'!Z809</f>
        <v>0</v>
      </c>
      <c r="W105" s="106">
        <f>'2018'!AA809</f>
        <v>0</v>
      </c>
      <c r="X105" s="106">
        <f>'2018'!AB809</f>
      </c>
      <c r="Y105" s="119">
        <f>'2018'!AC809</f>
      </c>
      <c r="Z105" s="119">
        <f>'2018'!AD809</f>
        <v>0</v>
      </c>
      <c r="AA105" s="106">
        <f>'2018'!AE809</f>
        <v>0</v>
      </c>
      <c r="AB105" s="106">
        <f>'2018'!AF809</f>
      </c>
      <c r="AC105" s="119">
        <f>'2018'!AG809</f>
      </c>
      <c r="AD105" s="119">
        <f>'2018'!AH809</f>
        <v>0</v>
      </c>
      <c r="AE105" s="106">
        <f>'2018'!AI809</f>
        <v>0</v>
      </c>
      <c r="AF105" s="106">
        <f>'2018'!AJ809</f>
      </c>
      <c r="AG105" s="119">
        <f>'2018'!AK809</f>
      </c>
      <c r="AH105" s="119">
        <f>'2018'!AL809</f>
        <v>0</v>
      </c>
      <c r="AI105" s="106">
        <f>'2018'!AM809</f>
        <v>0</v>
      </c>
      <c r="AJ105" s="106">
        <f>'2018'!AN809</f>
      </c>
      <c r="AK105" s="119">
        <f>'2018'!AO809</f>
      </c>
      <c r="AL105" s="119">
        <f>'2018'!AP809</f>
      </c>
      <c r="AM105" s="106">
        <f>'2018'!AQ809</f>
        <v>0</v>
      </c>
      <c r="AN105" s="106">
        <f>'2018'!AR809</f>
      </c>
      <c r="AO105" s="119">
        <f>'2018'!AS809</f>
      </c>
      <c r="AP105" s="119">
        <f>'2018'!AT809</f>
      </c>
      <c r="AQ105" s="106">
        <f>'2018'!AU809</f>
        <v>0</v>
      </c>
      <c r="AR105" s="106">
        <f>'2018'!AV809</f>
      </c>
      <c r="AS105" s="119">
        <f>'2018'!AW809</f>
      </c>
      <c r="AT105" s="119">
        <f>'2018'!AX809</f>
      </c>
      <c r="AU105" s="106">
        <f>'2018'!AY809</f>
        <v>0</v>
      </c>
      <c r="AV105" s="106">
        <f>'2018'!AZ809</f>
      </c>
      <c r="AW105" s="106"/>
      <c r="AX105" s="106"/>
      <c r="AY105" s="119">
        <f>'2018'!BA809</f>
      </c>
      <c r="AZ105" s="119">
        <f>'2018'!BB809</f>
      </c>
      <c r="BA105" s="106">
        <f>'2018'!BC809</f>
        <v>0</v>
      </c>
      <c r="BB105" s="106">
        <f>'2018'!BD809</f>
      </c>
      <c r="BC105" s="106"/>
      <c r="BD105" s="106"/>
      <c r="BE105" s="119">
        <f>'2018'!BE809</f>
        <v>0</v>
      </c>
      <c r="BF105" s="106">
        <f>'2018'!BF809</f>
        <v>0</v>
      </c>
      <c r="BG105" s="106">
        <f>'2018'!BG809</f>
        <v>0</v>
      </c>
      <c r="BH105" s="106">
        <f>'2018'!BH809</f>
        <v>0</v>
      </c>
      <c r="BI105" s="34"/>
    </row>
    <row r="106" ht="15.75" customHeight="1" hidden="1" spans="1:61" x14ac:dyDescent="0.25">
      <c r="A106" s="14"/>
      <c r="B106" s="115">
        <v>109</v>
      </c>
      <c r="C106" s="115">
        <v>6.22</v>
      </c>
      <c r="D106" s="117" t="s">
        <v>340</v>
      </c>
      <c r="E106" s="119">
        <f>'2018'!I817</f>
      </c>
      <c r="F106" s="119">
        <f>'2018'!J817</f>
      </c>
      <c r="G106" s="106">
        <f>'2018'!K817</f>
      </c>
      <c r="H106" s="106">
        <f>'2018'!L817</f>
      </c>
      <c r="I106" s="119">
        <f>'2018'!M817</f>
      </c>
      <c r="J106" s="119">
        <f>'2018'!N817</f>
      </c>
      <c r="K106" s="106">
        <f>'2018'!O817</f>
      </c>
      <c r="L106" s="106">
        <f>'2018'!P817</f>
      </c>
      <c r="M106" s="119">
        <f>'2018'!Q817</f>
      </c>
      <c r="N106" s="119">
        <f>'2018'!R817</f>
      </c>
      <c r="O106" s="119">
        <f>'2018'!S817</f>
      </c>
      <c r="P106" s="119">
        <f>'2018'!T817</f>
      </c>
      <c r="Q106" s="119">
        <f>'2018'!U817</f>
      </c>
      <c r="R106" s="119">
        <f>'2018'!V817</f>
      </c>
      <c r="S106" s="106">
        <f>'2018'!W817</f>
      </c>
      <c r="T106" s="106">
        <f>'2018'!X817</f>
      </c>
      <c r="U106" s="119">
        <f>'2018'!Y817</f>
      </c>
      <c r="V106" s="119">
        <f>'2018'!Z817</f>
        <v>0</v>
      </c>
      <c r="W106" s="106">
        <f>'2018'!AA817</f>
        <v>0</v>
      </c>
      <c r="X106" s="106">
        <f>'2018'!AB817</f>
      </c>
      <c r="Y106" s="119">
        <f>'2018'!AC817</f>
      </c>
      <c r="Z106" s="119">
        <f>'2018'!AD817</f>
        <v>0</v>
      </c>
      <c r="AA106" s="106">
        <f>'2018'!AE817</f>
        <v>0</v>
      </c>
      <c r="AB106" s="106">
        <f>'2018'!AF817</f>
      </c>
      <c r="AC106" s="119">
        <f>'2018'!AG817</f>
      </c>
      <c r="AD106" s="119">
        <f>'2018'!AH817</f>
        <v>0</v>
      </c>
      <c r="AE106" s="106">
        <f>'2018'!AI817</f>
        <v>0</v>
      </c>
      <c r="AF106" s="106">
        <f>'2018'!AJ817</f>
      </c>
      <c r="AG106" s="119">
        <f>'2018'!AK817</f>
      </c>
      <c r="AH106" s="119">
        <f>'2018'!AL817</f>
        <v>0</v>
      </c>
      <c r="AI106" s="106">
        <f>'2018'!AM817</f>
        <v>0</v>
      </c>
      <c r="AJ106" s="106">
        <f>'2018'!AN817</f>
      </c>
      <c r="AK106" s="119">
        <f>'2018'!AO817</f>
      </c>
      <c r="AL106" s="119">
        <f>'2018'!AP817</f>
      </c>
      <c r="AM106" s="106">
        <f>'2018'!AQ817</f>
        <v>0</v>
      </c>
      <c r="AN106" s="106">
        <f>'2018'!AR817</f>
      </c>
      <c r="AO106" s="119">
        <f>'2018'!AS817</f>
      </c>
      <c r="AP106" s="119">
        <f>'2018'!AT817</f>
      </c>
      <c r="AQ106" s="106">
        <f>'2018'!AU817</f>
        <v>0</v>
      </c>
      <c r="AR106" s="106">
        <f>'2018'!AV817</f>
      </c>
      <c r="AS106" s="119">
        <f>'2018'!AW817</f>
      </c>
      <c r="AT106" s="119">
        <f>'2018'!AX817</f>
      </c>
      <c r="AU106" s="106">
        <f>'2018'!AY817</f>
        <v>0</v>
      </c>
      <c r="AV106" s="106">
        <f>'2018'!AZ817</f>
      </c>
      <c r="AW106" s="106"/>
      <c r="AX106" s="106"/>
      <c r="AY106" s="119">
        <f>'2018'!BA817</f>
      </c>
      <c r="AZ106" s="119">
        <f>'2018'!BB817</f>
      </c>
      <c r="BA106" s="106">
        <f>'2018'!BC817</f>
        <v>0</v>
      </c>
      <c r="BB106" s="106">
        <f>'2018'!BD817</f>
      </c>
      <c r="BC106" s="106"/>
      <c r="BD106" s="106"/>
      <c r="BE106" s="119">
        <f>'2018'!BE817</f>
        <v>0</v>
      </c>
      <c r="BF106" s="106">
        <f>'2018'!BF817</f>
        <v>0</v>
      </c>
      <c r="BG106" s="106">
        <f>'2018'!BG817</f>
        <v>0</v>
      </c>
      <c r="BH106" s="106">
        <f>'2018'!BH817</f>
        <v>0</v>
      </c>
      <c r="BI106" s="34"/>
    </row>
    <row r="107" ht="15.75" customHeight="1" spans="1:62" x14ac:dyDescent="0.25">
      <c r="A107" s="14"/>
      <c r="B107" s="115">
        <v>110</v>
      </c>
      <c r="C107" s="115">
        <v>4.91</v>
      </c>
      <c r="D107" s="117" t="s">
        <v>342</v>
      </c>
      <c r="E107" s="119">
        <f>'2018'!I825</f>
        <v>46</v>
      </c>
      <c r="F107" s="119">
        <f>'2018'!J825</f>
        <v>0</v>
      </c>
      <c r="G107" s="106">
        <f>'2018'!K825</f>
        <v>0</v>
      </c>
      <c r="H107" s="106">
        <f>'2018'!L825</f>
      </c>
      <c r="I107" s="119">
        <f>'2018'!M825</f>
        <v>46</v>
      </c>
      <c r="J107" s="119">
        <f>'2018'!N825</f>
        <v>0</v>
      </c>
      <c r="K107" s="106">
        <f>'2018'!O825</f>
        <v>0</v>
      </c>
      <c r="L107" s="106">
        <f>'2018'!P825</f>
      </c>
      <c r="M107" s="119">
        <f>'2018'!Q825</f>
        <v>46</v>
      </c>
      <c r="N107" s="119">
        <f>'2018'!R825</f>
        <v>0</v>
      </c>
      <c r="O107" s="119">
        <f>'2018'!S825</f>
        <v>0</v>
      </c>
      <c r="P107" s="119">
        <f>'2018'!T825</f>
      </c>
      <c r="Q107" s="119">
        <f>'2018'!U825</f>
        <v>57</v>
      </c>
      <c r="R107" s="119">
        <f>'2018'!V825</f>
        <v>11</v>
      </c>
      <c r="S107" s="106">
        <f>'2018'!W825</f>
        <v>27.39</v>
      </c>
      <c r="T107" s="106">
        <f>'2018'!X825</f>
      </c>
      <c r="U107" s="119">
        <f>'2018'!Y825</f>
        <v>57</v>
      </c>
      <c r="V107" s="119">
        <f>'2018'!Z825</f>
        <v>0</v>
      </c>
      <c r="W107" s="106">
        <f>'2018'!AA825</f>
        <v>0</v>
      </c>
      <c r="X107" s="106">
        <f>'2018'!AB825</f>
      </c>
      <c r="Y107" s="119">
        <f>'2018'!AC825</f>
        <v>57</v>
      </c>
      <c r="Z107" s="119">
        <f>'2018'!AD825</f>
        <v>0</v>
      </c>
      <c r="AA107" s="106">
        <f>'2018'!AE825</f>
        <v>0</v>
      </c>
      <c r="AB107" s="106">
        <f>'2018'!AF825</f>
      </c>
      <c r="AC107" s="119">
        <f>'2018'!AG825</f>
        <v>58</v>
      </c>
      <c r="AD107" s="119">
        <f>'2018'!AH825</f>
        <v>1</v>
      </c>
      <c r="AE107" s="106">
        <f>'2018'!AI825</f>
        <v>2.49</v>
      </c>
      <c r="AF107" s="106">
        <f>'2018'!AJ825</f>
        <v>2.49</v>
      </c>
      <c r="AG107" s="119">
        <f>'2018'!AK825</f>
        <v>58</v>
      </c>
      <c r="AH107" s="119">
        <f>'2018'!AL825</f>
        <v>0</v>
      </c>
      <c r="AI107" s="106">
        <f>'2018'!AM825</f>
        <v>0</v>
      </c>
      <c r="AJ107" s="106">
        <f>'2018'!AN825</f>
      </c>
      <c r="AK107" s="119">
        <f>'2018'!AO825</f>
        <v>82</v>
      </c>
      <c r="AL107" s="119">
        <f>'2018'!AP825</f>
        <v>24</v>
      </c>
      <c r="AM107" s="106">
        <f>'2018'!AQ825</f>
        <v>59.76</v>
      </c>
      <c r="AN107" s="106">
        <f>'2018'!AR825</f>
      </c>
      <c r="AO107" s="119">
        <f>'2018'!AS825</f>
        <v>100</v>
      </c>
      <c r="AP107" s="119">
        <f>'2018'!AT825</f>
        <v>18</v>
      </c>
      <c r="AQ107" s="106">
        <f>'2018'!AU825</f>
        <v>44.82</v>
      </c>
      <c r="AR107" s="106">
        <f>'2018'!AV825</f>
      </c>
      <c r="AS107" s="119">
        <f>'2018'!AW825</f>
        <v>100</v>
      </c>
      <c r="AT107" s="119">
        <f>'2018'!AX825</f>
        <v>0</v>
      </c>
      <c r="AU107" s="106">
        <f>'2018'!AY825</f>
        <v>0</v>
      </c>
      <c r="AV107" s="106">
        <f>'2018'!AZ825</f>
      </c>
      <c r="AW107" s="119"/>
      <c r="AX107" s="106"/>
      <c r="AY107" s="119">
        <f>'2018'!BA825</f>
        <v>100</v>
      </c>
      <c r="AZ107" s="119">
        <f>'2018'!BB825</f>
        <v>0</v>
      </c>
      <c r="BA107" s="106">
        <f>'2018'!BC825</f>
        <v>0</v>
      </c>
      <c r="BB107" s="106">
        <f>'2018'!BD825</f>
      </c>
      <c r="BC107" s="106"/>
      <c r="BD107" s="106"/>
      <c r="BE107" s="119">
        <f>'2018'!BE825</f>
        <v>54</v>
      </c>
      <c r="BF107" s="106">
        <f>'2018'!BF825</f>
        <v>134.46</v>
      </c>
      <c r="BG107" s="106">
        <f>'2018'!BG825</f>
        <v>2.49</v>
      </c>
      <c r="BH107" s="106">
        <f>'2018'!BH825</f>
        <v>24.1</v>
      </c>
      <c r="BI107" s="106"/>
      <c r="BJ107" s="106">
        <f>BH107+AX107</f>
        <v>24.1</v>
      </c>
    </row>
    <row r="108" ht="15.75" customHeight="1" hidden="1" spans="1:61" x14ac:dyDescent="0.25">
      <c r="A108" s="14"/>
      <c r="B108" s="115">
        <v>111</v>
      </c>
      <c r="C108" s="116">
        <v>6.8</v>
      </c>
      <c r="D108" s="117" t="s">
        <v>280</v>
      </c>
      <c r="E108" s="119">
        <f>'2018'!I833</f>
      </c>
      <c r="F108" s="119">
        <f>'2018'!J833</f>
      </c>
      <c r="G108" s="106">
        <f>'2018'!K833</f>
      </c>
      <c r="H108" s="106">
        <f>'2018'!L833</f>
      </c>
      <c r="I108" s="119">
        <f>'2018'!M833</f>
      </c>
      <c r="J108" s="119">
        <f>'2018'!N833</f>
      </c>
      <c r="K108" s="106">
        <f>'2018'!O833</f>
      </c>
      <c r="L108" s="106">
        <f>'2018'!P833</f>
      </c>
      <c r="M108" s="119">
        <f>'2018'!Q833</f>
      </c>
      <c r="N108" s="119">
        <f>'2018'!R833</f>
      </c>
      <c r="O108" s="119">
        <f>'2018'!S833</f>
      </c>
      <c r="P108" s="119">
        <f>'2018'!T833</f>
      </c>
      <c r="Q108" s="119">
        <f>'2018'!U833</f>
      </c>
      <c r="R108" s="119">
        <f>'2018'!V833</f>
      </c>
      <c r="S108" s="106">
        <f>'2018'!W833</f>
      </c>
      <c r="T108" s="106">
        <f>'2018'!X833</f>
      </c>
      <c r="U108" s="119">
        <f>'2018'!Y833</f>
      </c>
      <c r="V108" s="119">
        <f>'2018'!Z833</f>
        <v>0</v>
      </c>
      <c r="W108" s="106">
        <f>'2018'!AA833</f>
        <v>0</v>
      </c>
      <c r="X108" s="106">
        <f>'2018'!AB833</f>
      </c>
      <c r="Y108" s="119">
        <f>'2018'!AC833</f>
      </c>
      <c r="Z108" s="119">
        <f>'2018'!AD833</f>
        <v>0</v>
      </c>
      <c r="AA108" s="106">
        <f>'2018'!AE833</f>
        <v>0</v>
      </c>
      <c r="AB108" s="106">
        <f>'2018'!AF833</f>
      </c>
      <c r="AC108" s="119">
        <f>'2018'!AG833</f>
        <v>1</v>
      </c>
      <c r="AD108" s="119">
        <f>'2018'!AH833</f>
        <v>1</v>
      </c>
      <c r="AE108" s="106">
        <f>'2018'!AI833</f>
        <v>2.49</v>
      </c>
      <c r="AF108" s="106">
        <f>'2018'!AJ833</f>
      </c>
      <c r="AG108" s="119">
        <f>'2018'!AK833</f>
        <v>1</v>
      </c>
      <c r="AH108" s="119">
        <f>'2018'!AL833</f>
        <v>0</v>
      </c>
      <c r="AI108" s="106">
        <f>'2018'!AM833</f>
        <v>0</v>
      </c>
      <c r="AJ108" s="106">
        <f>'2018'!AN833</f>
        <v>2.49</v>
      </c>
      <c r="AK108" s="119">
        <f>'2018'!AO833</f>
        <v>1</v>
      </c>
      <c r="AL108" s="119">
        <f>'2018'!AP833</f>
        <v>0</v>
      </c>
      <c r="AM108" s="106">
        <f>'2018'!AQ833</f>
        <v>0</v>
      </c>
      <c r="AN108" s="106">
        <f>'2018'!AR833</f>
      </c>
      <c r="AO108" s="119">
        <f>'2018'!AS833</f>
        <v>1</v>
      </c>
      <c r="AP108" s="119">
        <f>'2018'!AT833</f>
        <v>0</v>
      </c>
      <c r="AQ108" s="106">
        <f>'2018'!AU833</f>
        <v>0</v>
      </c>
      <c r="AR108" s="106">
        <f>'2018'!AV833</f>
      </c>
      <c r="AS108" s="119">
        <f>'2018'!AW833</f>
        <v>1</v>
      </c>
      <c r="AT108" s="119">
        <f>'2018'!AX833</f>
        <v>0</v>
      </c>
      <c r="AU108" s="106">
        <f>'2018'!AY833</f>
        <v>0</v>
      </c>
      <c r="AV108" s="106">
        <f>'2018'!AZ833</f>
      </c>
      <c r="AW108" s="106"/>
      <c r="AX108" s="106"/>
      <c r="AY108" s="119">
        <f>'2018'!BA833</f>
        <v>1</v>
      </c>
      <c r="AZ108" s="119">
        <f>'2018'!BB833</f>
        <v>0</v>
      </c>
      <c r="BA108" s="106">
        <f>'2018'!BC833</f>
        <v>0</v>
      </c>
      <c r="BB108" s="106">
        <f>'2018'!BD833</f>
      </c>
      <c r="BC108" s="106"/>
      <c r="BD108" s="106"/>
      <c r="BE108" s="119">
        <f>'2018'!BE833</f>
        <v>1</v>
      </c>
      <c r="BF108" s="106">
        <f>'2018'!BF833</f>
        <v>2.49</v>
      </c>
      <c r="BG108" s="106">
        <f>'2018'!BG833</f>
        <v>2.49</v>
      </c>
      <c r="BH108" s="106">
        <f>'2018'!BH833</f>
        <v>0</v>
      </c>
      <c r="BI108" s="34"/>
    </row>
    <row r="109" ht="15.75" customHeight="1" hidden="1" spans="1:61" x14ac:dyDescent="0.25">
      <c r="A109" s="14"/>
      <c r="B109" s="115">
        <v>112</v>
      </c>
      <c r="C109" s="115">
        <v>4.94</v>
      </c>
      <c r="D109" s="117" t="s">
        <v>364</v>
      </c>
      <c r="E109" s="119">
        <f>'2018'!I841</f>
        <v>87</v>
      </c>
      <c r="F109" s="119">
        <f>'2018'!J841</f>
        <v>0</v>
      </c>
      <c r="G109" s="106">
        <f>'2018'!K841</f>
        <v>0</v>
      </c>
      <c r="H109" s="106">
        <f>'2018'!L841</f>
      </c>
      <c r="I109" s="119">
        <f>'2018'!M841</f>
        <v>87</v>
      </c>
      <c r="J109" s="119">
        <f>'2018'!N841</f>
      </c>
      <c r="K109" s="106">
        <f>'2018'!O841</f>
      </c>
      <c r="L109" s="106">
        <f>'2018'!P841</f>
      </c>
      <c r="M109" s="119">
        <f>'2018'!Q841</f>
        <v>87</v>
      </c>
      <c r="N109" s="119">
        <f>'2018'!R841</f>
      </c>
      <c r="O109" s="119">
        <f>'2018'!S841</f>
      </c>
      <c r="P109" s="119">
        <f>'2018'!T841</f>
      </c>
      <c r="Q109" s="119">
        <f>'2018'!U841</f>
        <v>92</v>
      </c>
      <c r="R109" s="119">
        <f>'2018'!V841</f>
        <v>5</v>
      </c>
      <c r="S109" s="106">
        <f>'2018'!W841</f>
        <v>12.45</v>
      </c>
      <c r="T109" s="106">
        <f>'2018'!X841</f>
      </c>
      <c r="U109" s="119">
        <f>'2018'!Y841</f>
        <v>92</v>
      </c>
      <c r="V109" s="119">
        <f>'2018'!Z841</f>
      </c>
      <c r="W109" s="106">
        <f>'2018'!AA841</f>
      </c>
      <c r="X109" s="106">
        <f>'2018'!AB841</f>
      </c>
      <c r="Y109" s="119">
        <f>'2018'!AC841</f>
        <v>102</v>
      </c>
      <c r="Z109" s="119">
        <f>'2018'!AD841</f>
        <v>10</v>
      </c>
      <c r="AA109" s="106">
        <f>'2018'!AE841</f>
        <v>24.9</v>
      </c>
      <c r="AB109" s="106">
        <f>'2018'!AF841</f>
      </c>
      <c r="AC109" s="119">
        <f>'2018'!AG841</f>
        <v>103</v>
      </c>
      <c r="AD109" s="119">
        <f>'2018'!AH841</f>
        <v>1</v>
      </c>
      <c r="AE109" s="106">
        <f>'2018'!AI841</f>
        <v>2.49</v>
      </c>
      <c r="AF109" s="106">
        <f>'2018'!AJ841</f>
        <v>96.83</v>
      </c>
      <c r="AG109" s="119">
        <f>'2018'!AK841</f>
        <v>107</v>
      </c>
      <c r="AH109" s="119">
        <f>'2018'!AL841</f>
        <v>4</v>
      </c>
      <c r="AI109" s="106">
        <f>'2018'!AM841</f>
        <v>9.96</v>
      </c>
      <c r="AJ109" s="106">
        <f>'2018'!AN841</f>
      </c>
      <c r="AK109" s="119">
        <f>'2018'!AO841</f>
        <v>110</v>
      </c>
      <c r="AL109" s="119">
        <f>'2018'!AP841</f>
        <v>3</v>
      </c>
      <c r="AM109" s="106">
        <f>'2018'!AQ841</f>
        <v>7.47</v>
      </c>
      <c r="AN109" s="106">
        <f>'2018'!AR841</f>
      </c>
      <c r="AO109" s="119">
        <f>'2018'!AS841</f>
        <v>111</v>
      </c>
      <c r="AP109" s="119">
        <f>'2018'!AT841</f>
        <v>1</v>
      </c>
      <c r="AQ109" s="106">
        <f>'2018'!AU841</f>
        <v>2.49</v>
      </c>
      <c r="AR109" s="106">
        <f>'2018'!AV841</f>
      </c>
      <c r="AS109" s="119">
        <f>'2018'!AW841</f>
        <v>111</v>
      </c>
      <c r="AT109" s="119">
        <f>'2018'!AX841</f>
        <v>0</v>
      </c>
      <c r="AU109" s="106">
        <f>'2018'!AY841</f>
        <v>0</v>
      </c>
      <c r="AV109" s="106">
        <f>'2018'!AZ841</f>
      </c>
      <c r="AW109" s="106"/>
      <c r="AX109" s="106"/>
      <c r="AY109" s="119">
        <f>'2018'!BA841</f>
        <v>111</v>
      </c>
      <c r="AZ109" s="119">
        <f>'2018'!BB841</f>
        <v>0</v>
      </c>
      <c r="BA109" s="106">
        <f>'2018'!BC841</f>
        <v>0</v>
      </c>
      <c r="BB109" s="106">
        <f>'2018'!BD841</f>
      </c>
      <c r="BC109" s="106"/>
      <c r="BD109" s="106"/>
      <c r="BE109" s="119">
        <f>'2018'!BE841</f>
        <v>24</v>
      </c>
      <c r="BF109" s="106">
        <f>'2018'!BF841</f>
        <v>59.76</v>
      </c>
      <c r="BG109" s="106">
        <f>'2018'!BG841</f>
        <v>96.83</v>
      </c>
      <c r="BH109" s="106">
        <f>'2018'!BH841</f>
        <v>22.41</v>
      </c>
      <c r="BI109" s="34"/>
    </row>
    <row r="110" ht="15.75" customHeight="1" hidden="1" spans="1:61" x14ac:dyDescent="0.25">
      <c r="A110" s="14"/>
      <c r="B110" s="115">
        <v>113</v>
      </c>
      <c r="C110" s="115">
        <v>4.98</v>
      </c>
      <c r="D110" s="117" t="s">
        <v>348</v>
      </c>
      <c r="E110" s="119">
        <f>'2018'!I849</f>
      </c>
      <c r="F110" s="119">
        <f>'2018'!J849</f>
      </c>
      <c r="G110" s="106">
        <f>'2018'!K849</f>
      </c>
      <c r="H110" s="106">
        <f>'2018'!L849</f>
      </c>
      <c r="I110" s="119">
        <f>'2018'!M849</f>
      </c>
      <c r="J110" s="119">
        <f>'2018'!N849</f>
      </c>
      <c r="K110" s="106">
        <f>'2018'!O849</f>
      </c>
      <c r="L110" s="106">
        <f>'2018'!P849</f>
      </c>
      <c r="M110" s="119">
        <f>'2018'!Q849</f>
      </c>
      <c r="N110" s="119">
        <f>'2018'!R849</f>
      </c>
      <c r="O110" s="119">
        <f>'2018'!S849</f>
      </c>
      <c r="P110" s="119">
        <f>'2018'!T849</f>
      </c>
      <c r="Q110" s="119">
        <f>'2018'!U849</f>
      </c>
      <c r="R110" s="119">
        <f>'2018'!V849</f>
      </c>
      <c r="S110" s="106">
        <f>'2018'!W849</f>
      </c>
      <c r="T110" s="106">
        <f>'2018'!X849</f>
      </c>
      <c r="U110" s="119">
        <f>'2018'!Y849</f>
      </c>
      <c r="V110" s="119">
        <f>'2018'!Z849</f>
        <v>0</v>
      </c>
      <c r="W110" s="106">
        <f>'2018'!AA849</f>
        <v>0</v>
      </c>
      <c r="X110" s="106">
        <f>'2018'!AB849</f>
      </c>
      <c r="Y110" s="119">
        <f>'2018'!AC849</f>
      </c>
      <c r="Z110" s="119">
        <f>'2018'!AD849</f>
        <v>0</v>
      </c>
      <c r="AA110" s="106">
        <f>'2018'!AE849</f>
        <v>0</v>
      </c>
      <c r="AB110" s="106">
        <f>'2018'!AF849</f>
      </c>
      <c r="AC110" s="119">
        <f>'2018'!AG849</f>
      </c>
      <c r="AD110" s="119">
        <f>'2018'!AH849</f>
        <v>0</v>
      </c>
      <c r="AE110" s="106">
        <f>'2018'!AI849</f>
        <v>0</v>
      </c>
      <c r="AF110" s="106">
        <f>'2018'!AJ849</f>
      </c>
      <c r="AG110" s="119">
        <f>'2018'!AK849</f>
      </c>
      <c r="AH110" s="119">
        <f>'2018'!AL849</f>
        <v>0</v>
      </c>
      <c r="AI110" s="106">
        <f>'2018'!AM849</f>
        <v>0</v>
      </c>
      <c r="AJ110" s="106">
        <f>'2018'!AN849</f>
      </c>
      <c r="AK110" s="119">
        <f>'2018'!AO849</f>
      </c>
      <c r="AL110" s="119">
        <f>'2018'!AP849</f>
      </c>
      <c r="AM110" s="106">
        <f>'2018'!AQ849</f>
        <v>0</v>
      </c>
      <c r="AN110" s="106">
        <f>'2018'!AR849</f>
      </c>
      <c r="AO110" s="119">
        <f>'2018'!AS849</f>
      </c>
      <c r="AP110" s="119">
        <f>'2018'!AT849</f>
      </c>
      <c r="AQ110" s="106">
        <f>'2018'!AU849</f>
        <v>0</v>
      </c>
      <c r="AR110" s="106">
        <f>'2018'!AV849</f>
      </c>
      <c r="AS110" s="119">
        <f>'2018'!AW849</f>
      </c>
      <c r="AT110" s="119">
        <f>'2018'!AX849</f>
      </c>
      <c r="AU110" s="106">
        <f>'2018'!AY849</f>
        <v>0</v>
      </c>
      <c r="AV110" s="106">
        <f>'2018'!AZ849</f>
      </c>
      <c r="AW110" s="106"/>
      <c r="AX110" s="106"/>
      <c r="AY110" s="119">
        <f>'2018'!BA849</f>
      </c>
      <c r="AZ110" s="119">
        <f>'2018'!BB849</f>
      </c>
      <c r="BA110" s="106">
        <f>'2018'!BC849</f>
        <v>0</v>
      </c>
      <c r="BB110" s="106">
        <f>'2018'!BD849</f>
      </c>
      <c r="BC110" s="106"/>
      <c r="BD110" s="106"/>
      <c r="BE110" s="119">
        <f>'2018'!BE849</f>
        <v>0</v>
      </c>
      <c r="BF110" s="106">
        <f>'2018'!BF849</f>
        <v>0</v>
      </c>
      <c r="BG110" s="106">
        <f>'2018'!BG849</f>
        <v>0</v>
      </c>
      <c r="BH110" s="106">
        <f>'2018'!BH849</f>
        <v>0</v>
      </c>
      <c r="BI110" s="34"/>
    </row>
    <row r="111" ht="15.75" customHeight="1" hidden="1" spans="1:61" x14ac:dyDescent="0.25">
      <c r="A111" s="14"/>
      <c r="B111" s="118">
        <v>114</v>
      </c>
      <c r="C111" s="115">
        <v>4.86</v>
      </c>
      <c r="D111" s="117" t="s">
        <v>245</v>
      </c>
      <c r="E111" s="119">
        <f>'2018'!I857</f>
        <v>18</v>
      </c>
      <c r="F111" s="119">
        <f>'2018'!J857</f>
      </c>
      <c r="G111" s="106">
        <f>'2018'!K857</f>
      </c>
      <c r="H111" s="106">
        <f>'2018'!L857</f>
      </c>
      <c r="I111" s="119">
        <f>'2018'!M857</f>
        <v>18</v>
      </c>
      <c r="J111" s="119">
        <f>'2018'!N857</f>
      </c>
      <c r="K111" s="106">
        <f>'2018'!O857</f>
      </c>
      <c r="L111" s="106">
        <f>'2018'!P857</f>
      </c>
      <c r="M111" s="119">
        <f>'2018'!Q857</f>
        <v>18</v>
      </c>
      <c r="N111" s="119">
        <f>'2018'!R857</f>
      </c>
      <c r="O111" s="119">
        <f>'2018'!S857</f>
      </c>
      <c r="P111" s="119">
        <f>'2018'!T857</f>
      </c>
      <c r="Q111" s="119">
        <f>'2018'!U857</f>
        <v>18</v>
      </c>
      <c r="R111" s="119">
        <f>'2018'!V857</f>
      </c>
      <c r="S111" s="106">
        <f>'2018'!W857</f>
      </c>
      <c r="T111" s="106">
        <f>'2018'!X857</f>
      </c>
      <c r="U111" s="119">
        <f>'2018'!Y857</f>
        <v>18</v>
      </c>
      <c r="V111" s="119">
        <f>'2018'!Z857</f>
      </c>
      <c r="W111" s="106">
        <f>'2018'!AA857</f>
      </c>
      <c r="X111" s="106">
        <f>'2018'!AB857</f>
      </c>
      <c r="Y111" s="119">
        <f>'2018'!AC857</f>
        <v>18</v>
      </c>
      <c r="Z111" s="119">
        <f>'2018'!AD857</f>
        <v>0</v>
      </c>
      <c r="AA111" s="106">
        <f>'2018'!AE857</f>
        <v>0</v>
      </c>
      <c r="AB111" s="106">
        <f>'2018'!AF857</f>
      </c>
      <c r="AC111" s="119">
        <f>'2018'!AG857</f>
        <v>28</v>
      </c>
      <c r="AD111" s="119">
        <f>'2018'!AH857</f>
        <v>10</v>
      </c>
      <c r="AE111" s="106">
        <f>'2018'!AI857</f>
        <v>24.9</v>
      </c>
      <c r="AF111" s="106">
        <f>'2018'!AJ857</f>
      </c>
      <c r="AG111" s="119">
        <f>'2018'!AK857</f>
        <v>28</v>
      </c>
      <c r="AH111" s="119">
        <f>'2018'!AL857</f>
        <v>0</v>
      </c>
      <c r="AI111" s="106">
        <f>'2018'!AM857</f>
        <v>0</v>
      </c>
      <c r="AJ111" s="106">
        <f>'2018'!AN857</f>
      </c>
      <c r="AK111" s="119">
        <f>'2018'!AO857</f>
        <v>28</v>
      </c>
      <c r="AL111" s="119">
        <f>'2018'!AP857</f>
        <v>0</v>
      </c>
      <c r="AM111" s="106">
        <f>'2018'!AQ857</f>
        <v>0</v>
      </c>
      <c r="AN111" s="106">
        <f>'2018'!AR857</f>
        <v>47.31</v>
      </c>
      <c r="AO111" s="119">
        <f>'2018'!AS857</f>
        <v>28</v>
      </c>
      <c r="AP111" s="119">
        <f>'2018'!AT857</f>
        <v>0</v>
      </c>
      <c r="AQ111" s="106">
        <f>'2018'!AU857</f>
        <v>0</v>
      </c>
      <c r="AR111" s="106">
        <f>'2018'!AV857</f>
      </c>
      <c r="AS111" s="119">
        <f>'2018'!AW857</f>
        <v>28</v>
      </c>
      <c r="AT111" s="119">
        <f>'2018'!AX857</f>
        <v>0</v>
      </c>
      <c r="AU111" s="106">
        <f>'2018'!AY857</f>
        <v>0</v>
      </c>
      <c r="AV111" s="106">
        <f>'2018'!AZ857</f>
      </c>
      <c r="AW111" s="106"/>
      <c r="AX111" s="106"/>
      <c r="AY111" s="119">
        <f>'2018'!BA857</f>
        <v>28</v>
      </c>
      <c r="AZ111" s="119">
        <f>'2018'!BB857</f>
        <v>0</v>
      </c>
      <c r="BA111" s="106">
        <f>'2018'!BC857</f>
        <v>0</v>
      </c>
      <c r="BB111" s="106">
        <f>'2018'!BD857</f>
      </c>
      <c r="BC111" s="106"/>
      <c r="BD111" s="106"/>
      <c r="BE111" s="119">
        <f>'2018'!BE857</f>
        <v>10</v>
      </c>
      <c r="BF111" s="106">
        <f>'2018'!BF857</f>
        <v>24.9</v>
      </c>
      <c r="BG111" s="106">
        <f>'2018'!BG857</f>
        <v>47.31</v>
      </c>
      <c r="BH111" s="106">
        <f>'2018'!BH857</f>
        <v>0</v>
      </c>
      <c r="BI111" s="34"/>
    </row>
    <row r="112" ht="15.75" customHeight="1" hidden="1" spans="1:61" x14ac:dyDescent="0.25">
      <c r="A112" s="117"/>
      <c r="B112" s="115" t="s">
        <v>350</v>
      </c>
      <c r="C112" s="116">
        <f>SUM(C5:C111)</f>
        <v>505.74</v>
      </c>
      <c r="D112" s="117"/>
      <c r="E112" s="119">
        <f t="shared" ref="E112:AV112" si="9">SUM(E5:E111)</f>
        <v>69144</v>
      </c>
      <c r="F112" s="119">
        <f t="shared" si="9"/>
        <v>8102</v>
      </c>
      <c r="G112" s="106">
        <f t="shared" si="9"/>
        <v>20173.98</v>
      </c>
      <c r="H112" s="106">
        <f t="shared" si="9"/>
        <v>18922.04</v>
      </c>
      <c r="I112" s="119">
        <f t="shared" si="9"/>
        <v>75186</v>
      </c>
      <c r="J112" s="119">
        <f t="shared" si="9"/>
        <v>6042</v>
      </c>
      <c r="K112" s="106">
        <f t="shared" si="9"/>
        <v>15044.58</v>
      </c>
      <c r="L112" s="106">
        <f t="shared" si="9"/>
        <v>12097.68</v>
      </c>
      <c r="M112" s="119">
        <f t="shared" si="9"/>
        <v>81061</v>
      </c>
      <c r="N112" s="119">
        <f t="shared" si="9"/>
        <v>5875</v>
      </c>
      <c r="O112" s="106">
        <f t="shared" si="9"/>
        <v>14628.75</v>
      </c>
      <c r="P112" s="106">
        <f t="shared" si="9"/>
        <v>12226.39</v>
      </c>
      <c r="Q112" s="119">
        <f t="shared" si="9"/>
        <v>86838</v>
      </c>
      <c r="R112" s="119">
        <f t="shared" si="9"/>
        <v>5775</v>
      </c>
      <c r="S112" s="106">
        <f t="shared" si="9"/>
        <v>14379.75</v>
      </c>
      <c r="T112" s="106">
        <f t="shared" si="9"/>
        <v>18791.48</v>
      </c>
      <c r="U112" s="119">
        <f t="shared" si="9"/>
        <v>90596</v>
      </c>
      <c r="V112" s="119">
        <f t="shared" si="9"/>
        <v>3758</v>
      </c>
      <c r="W112" s="106">
        <f t="shared" si="9"/>
        <v>9357.42</v>
      </c>
      <c r="X112" s="106">
        <f t="shared" si="9"/>
        <v>9784.7</v>
      </c>
      <c r="Y112" s="119">
        <f t="shared" si="9"/>
        <v>94560</v>
      </c>
      <c r="Z112" s="119">
        <f t="shared" si="9"/>
        <v>3964</v>
      </c>
      <c r="AA112" s="106">
        <f t="shared" si="9"/>
        <v>9870.36</v>
      </c>
      <c r="AB112" s="106">
        <f t="shared" si="9"/>
        <v>3895.83</v>
      </c>
      <c r="AC112" s="119">
        <f t="shared" si="9"/>
        <v>98173</v>
      </c>
      <c r="AD112" s="119">
        <f t="shared" si="9"/>
        <v>3613</v>
      </c>
      <c r="AE112" s="106">
        <f t="shared" si="9"/>
        <v>8996.37</v>
      </c>
      <c r="AF112" s="106">
        <f t="shared" si="9"/>
        <v>10879.64</v>
      </c>
      <c r="AG112" s="119">
        <f t="shared" si="9"/>
        <v>102446</v>
      </c>
      <c r="AH112" s="119">
        <f t="shared" si="9"/>
        <v>4273</v>
      </c>
      <c r="AI112" s="106">
        <f t="shared" si="9"/>
        <v>10639.77</v>
      </c>
      <c r="AJ112" s="106">
        <f t="shared" si="9"/>
        <v>11890.6</v>
      </c>
      <c r="AK112" s="119">
        <f t="shared" si="9"/>
        <v>107240</v>
      </c>
      <c r="AL112" s="119">
        <f t="shared" si="9"/>
        <v>4794</v>
      </c>
      <c r="AM112" s="106">
        <f t="shared" si="9"/>
        <v>11937.06</v>
      </c>
      <c r="AN112" s="106">
        <f t="shared" si="9"/>
        <v>11745.93</v>
      </c>
      <c r="AO112" s="119">
        <f t="shared" si="9"/>
        <v>112332</v>
      </c>
      <c r="AP112" s="119">
        <f t="shared" si="9"/>
        <v>5092</v>
      </c>
      <c r="AQ112" s="106">
        <f t="shared" si="9"/>
        <v>12679.08</v>
      </c>
      <c r="AR112" s="106">
        <f t="shared" si="9"/>
        <v>3688.48</v>
      </c>
      <c r="AS112" s="119">
        <f t="shared" si="9"/>
        <v>114907</v>
      </c>
      <c r="AT112" s="119">
        <f t="shared" si="9"/>
        <v>2575</v>
      </c>
      <c r="AU112" s="106">
        <f t="shared" si="9"/>
        <v>6411.75</v>
      </c>
      <c r="AV112" s="106">
        <f t="shared" si="9"/>
        <v>14230.85</v>
      </c>
      <c r="AW112" s="106"/>
      <c r="AX112" s="106"/>
      <c r="AY112" s="119">
        <f t="shared" ref="AY112:BB112" si="10">SUM(AY5:AY111)</f>
        <v>120017</v>
      </c>
      <c r="AZ112" s="119">
        <f t="shared" si="10"/>
        <v>5110</v>
      </c>
      <c r="BA112" s="106">
        <f t="shared" si="10"/>
        <v>12723.9</v>
      </c>
      <c r="BB112" s="106">
        <f t="shared" si="10"/>
        <v>14920.86</v>
      </c>
      <c r="BC112" s="106"/>
      <c r="BD112" s="106"/>
      <c r="BE112" s="119">
        <f t="shared" ref="BE112:BH112" si="11">SUM(BE5:BE111)</f>
        <v>58973</v>
      </c>
      <c r="BF112" s="106">
        <f t="shared" si="11"/>
        <v>146842.77</v>
      </c>
      <c r="BG112" s="106">
        <f t="shared" si="11"/>
        <v>143074.48</v>
      </c>
      <c r="BH112" s="106">
        <f t="shared" si="11"/>
        <v>2815.18</v>
      </c>
      <c r="BI112" s="34"/>
    </row>
    <row r="113" ht="15.75" customHeight="1" hidden="1" spans="1:3" x14ac:dyDescent="0.25">
      <c r="A113" s="15"/>
      <c r="B113" s="112"/>
      <c r="C113" s="112"/>
    </row>
    <row r="114" ht="15.75" customHeight="1" hidden="1" spans="1:61" x14ac:dyDescent="0.25" outlineLevel="1" collapsed="1">
      <c r="A114" s="15"/>
      <c r="B114" s="112"/>
      <c r="C114" s="112"/>
      <c r="E114" s="120" t="b">
        <f>E112='2018'!I867</f>
        <v>1</v>
      </c>
      <c r="F114" s="120" t="b">
        <f>F112='2018'!J867</f>
        <v>1</v>
      </c>
      <c r="G114" s="120" t="b">
        <f>G112='2018'!K867</f>
        <v>1</v>
      </c>
      <c r="H114" s="120" t="b">
        <f>H112='2018'!L867</f>
        <v>1</v>
      </c>
      <c r="I114" s="120" t="b">
        <f>I112='2018'!M867</f>
        <v>1</v>
      </c>
      <c r="J114" s="120" t="b">
        <f>J112='2018'!N867</f>
        <v>1</v>
      </c>
      <c r="K114" s="120" t="b">
        <f>K112='2018'!O867</f>
        <v>1</v>
      </c>
      <c r="L114" s="120" t="b">
        <f>L112='2018'!P867</f>
        <v>1</v>
      </c>
      <c r="M114" s="120" t="b">
        <f>M112='2018'!Q867</f>
        <v>1</v>
      </c>
      <c r="N114" s="120" t="b">
        <f>N112='2018'!R867</f>
        <v>1</v>
      </c>
      <c r="O114" s="120" t="b">
        <f>O112='2018'!S867</f>
        <v>1</v>
      </c>
      <c r="P114" s="120" t="b">
        <f>P112='2018'!T867</f>
        <v>1</v>
      </c>
      <c r="Q114" s="120" t="b">
        <f>Q112='2018'!U867</f>
        <v>1</v>
      </c>
      <c r="R114" s="120" t="b">
        <f>R112='2018'!V867</f>
        <v>1</v>
      </c>
      <c r="S114" s="120" t="b">
        <f>S112='2018'!W867</f>
        <v>1</v>
      </c>
      <c r="T114" s="120" t="b">
        <f>T112='2018'!X867</f>
        <v>1</v>
      </c>
      <c r="U114" s="120" t="b">
        <f>U112='2018'!Y867</f>
        <v>1</v>
      </c>
      <c r="V114" s="120" t="b">
        <f>V112='2018'!Z867</f>
        <v>1</v>
      </c>
      <c r="W114" s="120" t="b">
        <f>W112='2018'!AA867</f>
        <v>1</v>
      </c>
      <c r="X114" s="120" t="b">
        <f>X112='2018'!AB867</f>
        <v>1</v>
      </c>
      <c r="Y114" s="120" t="b">
        <f>Y112='2018'!AC867</f>
        <v>1</v>
      </c>
      <c r="Z114" s="120" t="b">
        <f>Z112='2018'!AD867</f>
        <v>1</v>
      </c>
      <c r="AA114" s="120" t="b">
        <f>AA112='2018'!AE867</f>
        <v>1</v>
      </c>
      <c r="AB114" s="120" t="b">
        <f>AB112='2018'!AF867</f>
        <v>1</v>
      </c>
      <c r="AC114" s="120" t="b">
        <f>AC112='2018'!AG867</f>
        <v>1</v>
      </c>
      <c r="AD114" s="120" t="b">
        <f>AD112='2018'!AH867</f>
        <v>1</v>
      </c>
      <c r="AE114" s="120" t="b">
        <f>AE112='2018'!AI867</f>
        <v>1</v>
      </c>
      <c r="AF114" s="120" t="b">
        <f>AF112='2018'!AJ867</f>
        <v>1</v>
      </c>
      <c r="AG114" s="120" t="b">
        <f>AG112='2018'!AK867</f>
        <v>1</v>
      </c>
      <c r="AH114" s="120" t="b">
        <f>AH112='2018'!AL867</f>
        <v>1</v>
      </c>
      <c r="AI114" s="120" t="b">
        <f>AI112='2018'!AM867</f>
        <v>1</v>
      </c>
      <c r="AJ114" s="120" t="b">
        <f>AJ112='2018'!AN867</f>
        <v>1</v>
      </c>
      <c r="AK114" s="120" t="b">
        <f>AK112='2018'!AO867</f>
        <v>1</v>
      </c>
      <c r="AL114" s="120" t="b">
        <f>AL112='2018'!AP867</f>
        <v>1</v>
      </c>
      <c r="AM114" s="120" t="b">
        <f>AM112='2018'!AQ867</f>
        <v>1</v>
      </c>
      <c r="AN114" s="120" t="b">
        <f>AN112='2018'!AR867</f>
        <v>1</v>
      </c>
      <c r="AO114" s="120" t="b">
        <f>AO112='2018'!AS867</f>
        <v>1</v>
      </c>
      <c r="AP114" s="120" t="b">
        <f>AP112='2018'!AT867</f>
        <v>1</v>
      </c>
      <c r="AQ114" s="120" t="b">
        <f>AQ112='2018'!AU867</f>
        <v>1</v>
      </c>
      <c r="AR114" s="120" t="b">
        <f>AR112='2018'!AV867</f>
        <v>1</v>
      </c>
      <c r="AS114" s="120" t="b">
        <f>AS112='2018'!AW867</f>
        <v>1</v>
      </c>
      <c r="AT114" s="120" t="b">
        <f>AT112='2018'!AX867</f>
        <v>1</v>
      </c>
      <c r="AU114" s="120" t="b">
        <f>AU112='2018'!AY867</f>
        <v>1</v>
      </c>
      <c r="AV114" s="120" t="b">
        <f>AV112='2018'!AZ867</f>
        <v>1</v>
      </c>
      <c r="AW114" s="120"/>
      <c r="AX114" s="120"/>
      <c r="AY114" s="120" t="b">
        <f>AY112='2018'!BA867</f>
        <v>1</v>
      </c>
      <c r="AZ114" s="120" t="b">
        <f>AZ112='2018'!BB867</f>
        <v>1</v>
      </c>
      <c r="BA114" s="120" t="b">
        <f>BA112='2018'!BC867</f>
        <v>1</v>
      </c>
      <c r="BB114" s="120" t="b">
        <f>BB112='2018'!BD867</f>
        <v>1</v>
      </c>
      <c r="BC114" s="120"/>
      <c r="BD114" s="120"/>
      <c r="BE114" s="120" t="b">
        <f>BE112='2018'!BE867</f>
        <v>1</v>
      </c>
      <c r="BF114" s="120" t="b">
        <f>BF112='2018'!BF867</f>
        <v>1</v>
      </c>
      <c r="BG114" s="120" t="b">
        <f>BG112='2018'!BG867</f>
        <v>1</v>
      </c>
      <c r="BH114" s="120" t="b">
        <f>BH112='2018'!BH867</f>
        <v>1</v>
      </c>
      <c r="BI114" s="120"/>
    </row>
    <row r="115" ht="15.75" customHeight="1" hidden="1" spans="1:61" x14ac:dyDescent="0.25" outlineLevel="1" collapsed="1">
      <c r="A115" s="15"/>
      <c r="B115" s="112"/>
      <c r="C115" s="112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  <c r="AO115" s="120"/>
      <c r="AP115" s="120"/>
      <c r="AQ115" s="120"/>
      <c r="AR115" s="120"/>
      <c r="AS115" s="120"/>
      <c r="AT115" s="120"/>
      <c r="AU115" s="120"/>
      <c r="AV115" s="120"/>
      <c r="AW115" s="120"/>
      <c r="AX115" s="120"/>
      <c r="AY115" s="120"/>
      <c r="AZ115" s="120"/>
      <c r="BA115" s="120"/>
      <c r="BB115" s="120"/>
      <c r="BC115" s="120"/>
      <c r="BD115" s="120"/>
      <c r="BE115" s="120" t="b">
        <f t="shared" ref="BE115:BG115" si="12">BE112=F112+J112+N112+R112+V112+Z112+AD112+AH112+AL112+AP112+AT112+AZ112</f>
        <v>1</v>
      </c>
      <c r="BF115" s="120" t="b">
        <f t="shared" si="12"/>
        <v>1</v>
      </c>
      <c r="BG115" s="120" t="b">
        <f t="shared" si="12"/>
        <v>1</v>
      </c>
      <c r="BH115" s="120"/>
      <c r="BI115" s="120"/>
    </row>
    <row r="116" ht="15.75" customHeight="1" spans="1:62" x14ac:dyDescent="0.25">
      <c r="A116" s="15"/>
      <c r="B116" s="127" t="s">
        <v>53</v>
      </c>
      <c r="C116" s="112"/>
      <c r="AP116" s="37">
        <f t="shared" ref="AP116:AR116" si="13">AP5+AP6+AP24+AP30+AP41+AP44+AP54+AP56+AP57+AP60+AP61+AP67+AP69+AP92+AP93+AP102+AP103+AP107</f>
        <v>4112</v>
      </c>
      <c r="AQ116" s="34">
        <f t="shared" si="13"/>
        <v>10238.88</v>
      </c>
      <c r="AR116" s="34">
        <f t="shared" si="13"/>
        <v>3688.48</v>
      </c>
      <c r="AS116" s="37">
        <f t="shared" ref="AS116:AV116" si="14">AS5+AS6+AS17+AS24+AS30+AS41+AS44+AS54+AS56+AS57+AS60+AS61+AS67+AS69+AS92+AS93+AS102+AS103+AS107</f>
        <v>95709</v>
      </c>
      <c r="AT116" s="37">
        <f t="shared" si="14"/>
        <v>2575</v>
      </c>
      <c r="AU116" s="34">
        <f t="shared" si="14"/>
        <v>6411.75</v>
      </c>
      <c r="AV116" s="34">
        <f t="shared" si="14"/>
        <v>14230.85</v>
      </c>
      <c r="AW116" s="37">
        <f t="shared" ref="AW116:AX116" si="15">SUBTOTAL(9,AW5:AW115)</f>
        <v>1705</v>
      </c>
      <c r="AX116" s="34">
        <f t="shared" si="15"/>
        <v>4245.45</v>
      </c>
      <c r="AY116" s="37">
        <f t="shared" ref="AY116:BB116" si="16">AY5+AY6+AY17+AY24+AY30+AY41+AY44+AY54+AY56+AY57+AY60+AY61+AY67+AY69+AY92+AY93+AY102+AY103+AY107</f>
        <v>100819</v>
      </c>
      <c r="AZ116" s="37">
        <f t="shared" si="16"/>
        <v>5110</v>
      </c>
      <c r="BA116" s="34">
        <f t="shared" si="16"/>
        <v>12723.9</v>
      </c>
      <c r="BB116" s="34">
        <f t="shared" si="16"/>
        <v>14920.86</v>
      </c>
      <c r="BC116" s="37">
        <f t="shared" ref="BC116:BD116" si="17">SUBTOTAL(9,BC5:BC115)</f>
        <v>0</v>
      </c>
      <c r="BD116" s="34">
        <f t="shared" si="17"/>
        <v>0</v>
      </c>
      <c r="BE116" s="37">
        <f t="shared" ref="BE116:BJ116" si="18">BE5+BE6+BE17+BE24+BE30+BE41+BE44+BE54+BE56+BE57+BE60+BE61+BE67+BE69+BE92+BE93+BE102+BE103+BE107</f>
        <v>52018</v>
      </c>
      <c r="BF116" s="34">
        <f t="shared" si="18"/>
        <v>129524.82</v>
      </c>
      <c r="BG116" s="34">
        <f t="shared" si="18"/>
        <v>125998.71</v>
      </c>
      <c r="BH116" s="34">
        <f t="shared" si="18"/>
        <v>518.62</v>
      </c>
      <c r="BI116" s="34">
        <f t="shared" si="18"/>
        <v>4245.45</v>
      </c>
      <c r="BJ116" s="34">
        <f t="shared" si="18"/>
        <v>4764.07</v>
      </c>
    </row>
    <row r="117" ht="15.75" customHeight="1" spans="1:3" x14ac:dyDescent="0.25">
      <c r="A117" s="15"/>
      <c r="B117" s="112"/>
      <c r="C117" s="112"/>
    </row>
    <row r="118" ht="15.75" customHeight="1" spans="1:3" x14ac:dyDescent="0.25">
      <c r="A118" s="15"/>
      <c r="B118" s="112"/>
      <c r="C118" s="112"/>
    </row>
    <row r="119" ht="15.75" customHeight="1" spans="1:3" x14ac:dyDescent="0.25">
      <c r="A119" s="15"/>
      <c r="B119" s="112"/>
      <c r="C119" s="112"/>
    </row>
    <row r="120" ht="15.75" customHeight="1" spans="1:3" x14ac:dyDescent="0.25">
      <c r="A120" s="15"/>
      <c r="B120" s="112"/>
      <c r="C120" s="112"/>
    </row>
    <row r="121" ht="15.75" customHeight="1" spans="1:3" x14ac:dyDescent="0.25">
      <c r="A121" s="15"/>
      <c r="B121" s="112"/>
      <c r="C121" s="112"/>
    </row>
    <row r="122" ht="15.75" customHeight="1" spans="1:3" x14ac:dyDescent="0.25">
      <c r="A122" s="15"/>
      <c r="B122" s="112"/>
      <c r="C122" s="112"/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spans="1:3" x14ac:dyDescent="0.25">
      <c r="A316" s="15"/>
      <c r="B316" s="112"/>
      <c r="C316" s="112"/>
    </row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B$4:$BE$114"/>
  <mergeCells count="15">
    <mergeCell ref="E3:H3"/>
    <mergeCell ref="I3:L3"/>
    <mergeCell ref="M3:P3"/>
    <mergeCell ref="Q3:T3"/>
    <mergeCell ref="U3:X3"/>
    <mergeCell ref="Y3:AB3"/>
    <mergeCell ref="AC3:AF3"/>
    <mergeCell ref="AG3:AJ3"/>
    <mergeCell ref="AK3:AN3"/>
    <mergeCell ref="AO3:AR3"/>
    <mergeCell ref="AS3:AV3"/>
    <mergeCell ref="AW3:AX3"/>
    <mergeCell ref="AY3:BB3"/>
    <mergeCell ref="BC3:BD3"/>
    <mergeCell ref="BE3:BH3"/>
  </mergeCells>
  <pageMargins left="0.196527777777778" right="0" top="0.196527777777778" bottom="0.196527777777778" header="0" footer="0"/>
  <pageSetup paperSize="9"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86" customWidth="1"/>
    <col min="2" max="2" width="7.14" customWidth="1"/>
    <col min="3" max="3" width="6.43" outlineLevel="1" collapsed="1" customWidth="1"/>
    <col min="4" max="4" width="13.86" outlineLevel="1" collapsed="1" customWidth="1"/>
    <col min="5" max="5" width="7.14" outlineLevel="1" collapsed="1" customWidth="1"/>
    <col min="6" max="6" width="7.14" customWidth="1"/>
    <col min="7" max="7" width="7.14" outlineLevel="1" collapsed="1" customWidth="1"/>
    <col min="8" max="8" width="7.14" customWidth="1"/>
    <col min="9" max="9" width="7.14" outlineLevel="1" collapsed="1" customWidth="1"/>
    <col min="10" max="10" width="7.14" customWidth="1"/>
    <col min="11" max="11" width="7.14" outlineLevel="1" collapsed="1" customWidth="1"/>
    <col min="12" max="12" width="7.14" customWidth="1"/>
    <col min="13" max="13" width="7.14" outlineLevel="1" collapsed="1" customWidth="1"/>
    <col min="14" max="14" width="7.14" customWidth="1"/>
    <col min="15" max="15" width="7.14" outlineLevel="1" collapsed="1" customWidth="1"/>
    <col min="16" max="16" width="7.14" customWidth="1"/>
    <col min="17" max="17" width="7.14" outlineLevel="1" collapsed="1" customWidth="1"/>
    <col min="18" max="18" width="7.14" customWidth="1"/>
    <col min="19" max="19" width="7.14" outlineLevel="1" collapsed="1" customWidth="1"/>
    <col min="20" max="20" width="7.14" customWidth="1"/>
    <col min="21" max="21" width="7.14" outlineLevel="1" collapsed="1" customWidth="1"/>
    <col min="22" max="22" width="7.14" customWidth="1"/>
    <col min="23" max="23" width="7.14" outlineLevel="1" collapsed="1" customWidth="1"/>
    <col min="24" max="24" width="7.14" customWidth="1"/>
    <col min="25" max="25" width="7.14" outlineLevel="1" collapsed="1" customWidth="1"/>
    <col min="26" max="26" width="7.14" customWidth="1"/>
    <col min="27" max="27" width="7.14" outlineLevel="1" collapsed="1" customWidth="1"/>
    <col min="28" max="29" width="7.14" customWidth="1"/>
  </cols>
  <sheetData>
    <row r="1" spans="1:25" x14ac:dyDescent="0.25">
      <c r="A1" s="1" t="s">
        <v>375</v>
      </c>
      <c r="B1" s="112"/>
      <c r="C1" s="11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Y1" s="2" t="str">
        <f>'2018'!F1</f>
        <v>на 29 декабря 2018 года</v>
      </c>
    </row>
    <row r="2" spans="1:3" x14ac:dyDescent="0.25">
      <c r="A2" s="15" t="s">
        <v>366</v>
      </c>
      <c r="B2" s="112"/>
      <c r="C2" s="112"/>
    </row>
    <row r="3" spans="1:29" x14ac:dyDescent="0.25">
      <c r="A3" s="3"/>
      <c r="B3" s="17" t="s">
        <v>2</v>
      </c>
      <c r="C3" s="17" t="s">
        <v>354</v>
      </c>
      <c r="D3" s="16" t="s">
        <v>355</v>
      </c>
      <c r="E3" s="11" t="s">
        <v>9</v>
      </c>
      <c r="F3" s="12"/>
      <c r="G3" s="11" t="s">
        <v>10</v>
      </c>
      <c r="H3" s="12"/>
      <c r="I3" s="11" t="s">
        <v>11</v>
      </c>
      <c r="J3" s="12"/>
      <c r="K3" s="11" t="s">
        <v>12</v>
      </c>
      <c r="L3" s="12"/>
      <c r="M3" s="11" t="s">
        <v>13</v>
      </c>
      <c r="N3" s="12"/>
      <c r="O3" s="11" t="s">
        <v>14</v>
      </c>
      <c r="P3" s="12"/>
      <c r="Q3" s="11" t="s">
        <v>15</v>
      </c>
      <c r="R3" s="12"/>
      <c r="S3" s="11" t="s">
        <v>16</v>
      </c>
      <c r="T3" s="12"/>
      <c r="U3" s="11" t="s">
        <v>17</v>
      </c>
      <c r="V3" s="12"/>
      <c r="W3" s="11" t="s">
        <v>18</v>
      </c>
      <c r="X3" s="12"/>
      <c r="Y3" s="11" t="s">
        <v>19</v>
      </c>
      <c r="Z3" s="12"/>
      <c r="AA3" s="11" t="s">
        <v>20</v>
      </c>
      <c r="AB3" s="12"/>
      <c r="AC3" s="17" t="s">
        <v>367</v>
      </c>
    </row>
    <row r="4" spans="1:29" x14ac:dyDescent="0.25">
      <c r="A4" s="20"/>
      <c r="B4" s="24" t="s">
        <v>23</v>
      </c>
      <c r="C4" s="24"/>
      <c r="D4" s="23"/>
      <c r="E4" s="4" t="s">
        <v>30</v>
      </c>
      <c r="F4" s="4" t="s">
        <v>3</v>
      </c>
      <c r="G4" s="4" t="s">
        <v>30</v>
      </c>
      <c r="H4" s="4" t="s">
        <v>3</v>
      </c>
      <c r="I4" s="4" t="s">
        <v>30</v>
      </c>
      <c r="J4" s="4" t="s">
        <v>3</v>
      </c>
      <c r="K4" s="4" t="s">
        <v>30</v>
      </c>
      <c r="L4" s="4" t="s">
        <v>3</v>
      </c>
      <c r="M4" s="4" t="s">
        <v>30</v>
      </c>
      <c r="N4" s="4" t="s">
        <v>3</v>
      </c>
      <c r="O4" s="4" t="s">
        <v>30</v>
      </c>
      <c r="P4" s="4" t="s">
        <v>3</v>
      </c>
      <c r="Q4" s="4" t="s">
        <v>30</v>
      </c>
      <c r="R4" s="4" t="s">
        <v>3</v>
      </c>
      <c r="S4" s="4" t="s">
        <v>30</v>
      </c>
      <c r="T4" s="4" t="s">
        <v>3</v>
      </c>
      <c r="U4" s="4" t="s">
        <v>30</v>
      </c>
      <c r="V4" s="4" t="s">
        <v>3</v>
      </c>
      <c r="W4" s="4" t="s">
        <v>30</v>
      </c>
      <c r="X4" s="4" t="s">
        <v>3</v>
      </c>
      <c r="Y4" s="4" t="s">
        <v>30</v>
      </c>
      <c r="Z4" s="4" t="s">
        <v>3</v>
      </c>
      <c r="AA4" s="4" t="s">
        <v>30</v>
      </c>
      <c r="AB4" s="4" t="s">
        <v>3</v>
      </c>
      <c r="AC4" s="113" t="s">
        <v>48</v>
      </c>
    </row>
    <row r="5" spans="1:29" x14ac:dyDescent="0.25">
      <c r="A5" s="114" t="s">
        <v>41</v>
      </c>
      <c r="B5" s="115">
        <f>'2018'!A8</f>
        <v>1</v>
      </c>
      <c r="C5" s="116">
        <v>4</v>
      </c>
      <c r="D5" s="117" t="str">
        <f>'2018'!C8</f>
        <v>сторож</v>
      </c>
      <c r="E5" s="119">
        <f>'2018'!I10</f>
      </c>
      <c r="F5" s="119">
        <f>'2018'!J10</f>
      </c>
      <c r="G5" s="119">
        <f>'2018'!M10</f>
      </c>
      <c r="H5" s="119">
        <f>'2018'!N10</f>
      </c>
      <c r="I5" s="119">
        <f>'2018'!Q10</f>
      </c>
      <c r="J5" s="119">
        <f>'2018'!R10</f>
      </c>
      <c r="K5" s="119">
        <f>'2018'!U10</f>
      </c>
      <c r="L5" s="119">
        <f>'2018'!V10</f>
      </c>
      <c r="M5" s="119">
        <f>'2018'!Y10</f>
      </c>
      <c r="N5" s="119">
        <f>'2018'!Z10</f>
      </c>
      <c r="O5" s="119">
        <f>'2018'!AC10</f>
      </c>
      <c r="P5" s="119">
        <f>'2018'!AD10</f>
      </c>
      <c r="Q5" s="119">
        <f>'2018'!AG10</f>
      </c>
      <c r="R5" s="119">
        <f>'2018'!AH10</f>
      </c>
      <c r="S5" s="119">
        <f>'2018'!AK10</f>
      </c>
      <c r="T5" s="119">
        <f>'2018'!AL10</f>
      </c>
      <c r="U5" s="119">
        <f>'2018'!AO10</f>
      </c>
      <c r="V5" s="119">
        <f>'2018'!AP10</f>
      </c>
      <c r="W5" s="119">
        <f>'2018'!AS10</f>
      </c>
      <c r="X5" s="119">
        <f>'2018'!AT10</f>
      </c>
      <c r="Y5" s="119">
        <f>'2018'!AW10</f>
      </c>
      <c r="Z5" s="119">
        <f>'2018'!AX10</f>
      </c>
      <c r="AA5" s="119">
        <f>'2018'!BA10</f>
      </c>
      <c r="AB5" s="119">
        <f>'2018'!BB10</f>
      </c>
      <c r="AC5" s="119">
        <f>'2018'!BE10</f>
        <v>0</v>
      </c>
    </row>
    <row r="6" spans="1:29" x14ac:dyDescent="0.25">
      <c r="A6" s="14"/>
      <c r="B6" s="115">
        <v>2</v>
      </c>
      <c r="C6" s="115">
        <v>4.12</v>
      </c>
      <c r="D6" s="117" t="s">
        <v>359</v>
      </c>
      <c r="E6" s="119">
        <f>'2018'!I18</f>
      </c>
      <c r="F6" s="119">
        <f>'2018'!J18</f>
      </c>
      <c r="G6" s="119">
        <f>'2018'!M18</f>
      </c>
      <c r="H6" s="119">
        <f>'2018'!N18</f>
      </c>
      <c r="I6" s="119">
        <f>'2018'!Q18</f>
      </c>
      <c r="J6" s="119">
        <f>'2018'!R18</f>
      </c>
      <c r="K6" s="119">
        <f>'2018'!U18</f>
      </c>
      <c r="L6" s="119">
        <f>'2018'!V18</f>
      </c>
      <c r="M6" s="119">
        <f>'2018'!Y18</f>
        <v>121</v>
      </c>
      <c r="N6" s="119">
        <f>'2018'!Z18</f>
      </c>
      <c r="O6" s="119">
        <f>'2018'!AC18</f>
        <v>131</v>
      </c>
      <c r="P6" s="119">
        <f>'2018'!AD18</f>
        <v>10</v>
      </c>
      <c r="Q6" s="119">
        <f>'2018'!AG18</f>
        <v>131</v>
      </c>
      <c r="R6" s="119">
        <f>'2018'!AH18</f>
        <v>0</v>
      </c>
      <c r="S6" s="119">
        <f>'2018'!AK18</f>
        <v>131</v>
      </c>
      <c r="T6" s="119">
        <f>'2018'!AL18</f>
        <v>0</v>
      </c>
      <c r="U6" s="119">
        <f>'2018'!AO18</f>
        <v>131</v>
      </c>
      <c r="V6" s="119">
        <f>'2018'!AP18</f>
        <v>0</v>
      </c>
      <c r="W6" s="119">
        <f>'2018'!AS18</f>
      </c>
      <c r="X6" s="119">
        <f>'2018'!AT18</f>
      </c>
      <c r="Y6" s="119">
        <f>'2018'!AW18</f>
      </c>
      <c r="Z6" s="119">
        <f>'2018'!AX18</f>
      </c>
      <c r="AA6" s="119">
        <f>'2018'!BA18</f>
      </c>
      <c r="AB6" s="119">
        <f>'2018'!BB18</f>
      </c>
      <c r="AC6" s="119">
        <f>'2018'!BE18</f>
        <v>10</v>
      </c>
    </row>
    <row r="7" spans="1:29" x14ac:dyDescent="0.25">
      <c r="A7" s="14"/>
      <c r="B7" s="115">
        <v>3</v>
      </c>
      <c r="C7" s="116">
        <v>4</v>
      </c>
      <c r="D7" s="117" t="s">
        <v>60</v>
      </c>
      <c r="E7" s="119">
        <f>'2018'!I26</f>
      </c>
      <c r="F7" s="119">
        <f>'2018'!J26</f>
      </c>
      <c r="G7" s="119">
        <f>'2018'!M26</f>
      </c>
      <c r="H7" s="119">
        <f>'2018'!N26</f>
      </c>
      <c r="I7" s="119">
        <f>'2018'!Q26</f>
      </c>
      <c r="J7" s="119">
        <f>'2018'!R26</f>
      </c>
      <c r="K7" s="119">
        <f>'2018'!U26</f>
      </c>
      <c r="L7" s="119">
        <f>'2018'!V26</f>
      </c>
      <c r="M7" s="119">
        <f>'2018'!Y26</f>
        <v>93</v>
      </c>
      <c r="N7" s="119">
        <f>'2018'!Z26</f>
      </c>
      <c r="O7" s="119">
        <f>'2018'!AC26</f>
        <v>93</v>
      </c>
      <c r="P7" s="119">
        <f>'2018'!AD26</f>
        <v>0</v>
      </c>
      <c r="Q7" s="119">
        <f>'2018'!AG26</f>
        <v>93</v>
      </c>
      <c r="R7" s="119">
        <f>'2018'!AH26</f>
        <v>0</v>
      </c>
      <c r="S7" s="119">
        <f>'2018'!AK26</f>
        <v>110</v>
      </c>
      <c r="T7" s="119">
        <f>'2018'!AL26</f>
        <v>17</v>
      </c>
      <c r="U7" s="119">
        <f>'2018'!AO26</f>
        <v>115</v>
      </c>
      <c r="V7" s="119">
        <f>'2018'!AP26</f>
        <v>5</v>
      </c>
      <c r="W7" s="119">
        <f>'2018'!AS26</f>
      </c>
      <c r="X7" s="119">
        <f>'2018'!AT26</f>
      </c>
      <c r="Y7" s="119">
        <f>'2018'!AW26</f>
      </c>
      <c r="Z7" s="119">
        <f>'2018'!AX26</f>
      </c>
      <c r="AA7" s="119">
        <f>'2018'!BA26</f>
      </c>
      <c r="AB7" s="119">
        <f>'2018'!BB26</f>
      </c>
      <c r="AC7" s="119">
        <f>'2018'!BE26</f>
        <v>22</v>
      </c>
    </row>
    <row r="8" spans="1:29" x14ac:dyDescent="0.25">
      <c r="A8" s="14"/>
      <c r="B8" s="115">
        <v>4</v>
      </c>
      <c r="C8" s="115">
        <v>3.95</v>
      </c>
      <c r="D8" s="117" t="s">
        <v>64</v>
      </c>
      <c r="E8" s="119">
        <f>'2018'!I34</f>
      </c>
      <c r="F8" s="119">
        <f>'2018'!J34</f>
      </c>
      <c r="G8" s="119">
        <f>'2018'!M34</f>
      </c>
      <c r="H8" s="119">
        <f>'2018'!N34</f>
      </c>
      <c r="I8" s="119">
        <f>'2018'!Q34</f>
      </c>
      <c r="J8" s="119">
        <f>'2018'!R34</f>
      </c>
      <c r="K8" s="119">
        <f>'2018'!U34</f>
      </c>
      <c r="L8" s="119">
        <f>'2018'!V34</f>
      </c>
      <c r="M8" s="119">
        <f>'2018'!Y34</f>
        <v>13</v>
      </c>
      <c r="N8" s="119">
        <f>'2018'!Z34</f>
      </c>
      <c r="O8" s="119">
        <f>'2018'!AC34</f>
        <v>13</v>
      </c>
      <c r="P8" s="119">
        <f>'2018'!AD34</f>
        <v>0</v>
      </c>
      <c r="Q8" s="119">
        <f>'2018'!AG34</f>
        <v>18</v>
      </c>
      <c r="R8" s="119">
        <f>'2018'!AH34</f>
        <v>5</v>
      </c>
      <c r="S8" s="119">
        <f>'2018'!AK34</f>
        <v>18</v>
      </c>
      <c r="T8" s="119">
        <f>'2018'!AL34</f>
        <v>0</v>
      </c>
      <c r="U8" s="119">
        <f>'2018'!AO34</f>
        <v>21</v>
      </c>
      <c r="V8" s="119">
        <f>'2018'!AP34</f>
        <v>3</v>
      </c>
      <c r="W8" s="119">
        <f>'2018'!AS34</f>
      </c>
      <c r="X8" s="119">
        <f>'2018'!AT34</f>
      </c>
      <c r="Y8" s="119">
        <f>'2018'!AW34</f>
      </c>
      <c r="Z8" s="119">
        <f>'2018'!AX34</f>
      </c>
      <c r="AA8" s="119">
        <f>'2018'!BA34</f>
      </c>
      <c r="AB8" s="119">
        <f>'2018'!BB34</f>
      </c>
      <c r="AC8" s="119">
        <f>'2018'!BE34</f>
        <v>8</v>
      </c>
    </row>
    <row r="9" spans="1:29" x14ac:dyDescent="0.25">
      <c r="A9" s="14"/>
      <c r="B9" s="115">
        <v>5</v>
      </c>
      <c r="C9" s="115">
        <v>5.08</v>
      </c>
      <c r="D9" s="117" t="s">
        <v>66</v>
      </c>
      <c r="E9" s="119">
        <f>'2018'!I42</f>
      </c>
      <c r="F9" s="119">
        <f>'2018'!J42</f>
      </c>
      <c r="G9" s="119">
        <f>'2018'!M42</f>
      </c>
      <c r="H9" s="119">
        <f>'2018'!N42</f>
      </c>
      <c r="I9" s="119">
        <f>'2018'!Q42</f>
      </c>
      <c r="J9" s="119">
        <f>'2018'!R42</f>
      </c>
      <c r="K9" s="119">
        <f>'2018'!U42</f>
      </c>
      <c r="L9" s="119">
        <f>'2018'!V42</f>
      </c>
      <c r="M9" s="119">
        <f>'2018'!Y42</f>
        <v>101</v>
      </c>
      <c r="N9" s="119">
        <f>'2018'!Z42</f>
      </c>
      <c r="O9" s="119">
        <f>'2018'!AC42</f>
        <v>112</v>
      </c>
      <c r="P9" s="119">
        <f>'2018'!AD42</f>
        <v>11</v>
      </c>
      <c r="Q9" s="119">
        <f>'2018'!AG42</f>
        <v>112</v>
      </c>
      <c r="R9" s="119">
        <f>'2018'!AH42</f>
        <v>0</v>
      </c>
      <c r="S9" s="119">
        <f>'2018'!AK42</f>
        <v>112</v>
      </c>
      <c r="T9" s="119">
        <f>'2018'!AL42</f>
        <v>0</v>
      </c>
      <c r="U9" s="119">
        <f>'2018'!AO42</f>
        <v>115</v>
      </c>
      <c r="V9" s="119">
        <f>'2018'!AP42</f>
        <v>3</v>
      </c>
      <c r="W9" s="119">
        <f>'2018'!AS42</f>
      </c>
      <c r="X9" s="119">
        <f>'2018'!AT42</f>
      </c>
      <c r="Y9" s="119">
        <f>'2018'!AW42</f>
      </c>
      <c r="Z9" s="119">
        <f>'2018'!AX42</f>
      </c>
      <c r="AA9" s="119">
        <f>'2018'!BA42</f>
      </c>
      <c r="AB9" s="119">
        <f>'2018'!BB42</f>
      </c>
      <c r="AC9" s="119">
        <f>'2018'!BE42</f>
        <v>14</v>
      </c>
    </row>
    <row r="10" spans="1:29" x14ac:dyDescent="0.25">
      <c r="A10" s="14"/>
      <c r="B10" s="115">
        <v>6</v>
      </c>
      <c r="C10" s="115">
        <v>4.01</v>
      </c>
      <c r="D10" s="117" t="s">
        <v>70</v>
      </c>
      <c r="E10" s="119">
        <f>'2018'!I50</f>
      </c>
      <c r="F10" s="119">
        <f>'2018'!J50</f>
      </c>
      <c r="G10" s="119">
        <f>'2018'!M50</f>
      </c>
      <c r="H10" s="119">
        <f>'2018'!N50</f>
      </c>
      <c r="I10" s="119">
        <f>'2018'!Q50</f>
      </c>
      <c r="J10" s="119">
        <f>'2018'!R50</f>
      </c>
      <c r="K10" s="119">
        <f>'2018'!U50</f>
      </c>
      <c r="L10" s="119">
        <f>'2018'!V50</f>
      </c>
      <c r="M10" s="119">
        <f>'2018'!Y50</f>
        <v>213</v>
      </c>
      <c r="N10" s="119">
        <f>'2018'!Z50</f>
      </c>
      <c r="O10" s="119">
        <f>'2018'!AC50</f>
        <v>213</v>
      </c>
      <c r="P10" s="119">
        <f>'2018'!AD50</f>
        <v>0</v>
      </c>
      <c r="Q10" s="119">
        <f>'2018'!AG50</f>
        <v>213</v>
      </c>
      <c r="R10" s="119">
        <f>'2018'!AH50</f>
        <v>0</v>
      </c>
      <c r="S10" s="119">
        <f>'2018'!AK50</f>
        <v>213</v>
      </c>
      <c r="T10" s="119">
        <f>'2018'!AL50</f>
        <v>0</v>
      </c>
      <c r="U10" s="119">
        <f>'2018'!AO50</f>
        <v>233</v>
      </c>
      <c r="V10" s="119">
        <f>'2018'!AP50</f>
        <v>20</v>
      </c>
      <c r="W10" s="119">
        <f>'2018'!AS50</f>
      </c>
      <c r="X10" s="119">
        <f>'2018'!AT50</f>
      </c>
      <c r="Y10" s="119">
        <f>'2018'!AW50</f>
      </c>
      <c r="Z10" s="119">
        <f>'2018'!AX50</f>
      </c>
      <c r="AA10" s="119">
        <f>'2018'!BA50</f>
      </c>
      <c r="AB10" s="119">
        <f>'2018'!BB50</f>
      </c>
      <c r="AC10" s="119">
        <f>'2018'!BE50</f>
        <v>20</v>
      </c>
    </row>
    <row r="11" spans="1:29" x14ac:dyDescent="0.25">
      <c r="A11" s="14"/>
      <c r="B11" s="115">
        <v>7</v>
      </c>
      <c r="C11" s="115">
        <v>4.85</v>
      </c>
      <c r="D11" s="117" t="s">
        <v>74</v>
      </c>
      <c r="E11" s="119">
        <f>'2018'!I58</f>
      </c>
      <c r="F11" s="119">
        <f>'2018'!J58</f>
      </c>
      <c r="G11" s="119">
        <f>'2018'!M58</f>
      </c>
      <c r="H11" s="119">
        <f>'2018'!N58</f>
      </c>
      <c r="I11" s="119">
        <f>'2018'!Q58</f>
      </c>
      <c r="J11" s="119">
        <f>'2018'!R58</f>
      </c>
      <c r="K11" s="119">
        <f>'2018'!U58</f>
      </c>
      <c r="L11" s="119">
        <f>'2018'!V58</f>
      </c>
      <c r="M11" s="119">
        <f>'2018'!Y58</f>
        <v>41</v>
      </c>
      <c r="N11" s="119">
        <f>'2018'!Z58</f>
      </c>
      <c r="O11" s="119">
        <f>'2018'!AC58</f>
        <v>41</v>
      </c>
      <c r="P11" s="119">
        <f>'2018'!AD58</f>
        <v>0</v>
      </c>
      <c r="Q11" s="119">
        <f>'2018'!AG58</f>
        <v>46</v>
      </c>
      <c r="R11" s="119">
        <f>'2018'!AH58</f>
        <v>5</v>
      </c>
      <c r="S11" s="119">
        <f>'2018'!AK58</f>
        <v>46</v>
      </c>
      <c r="T11" s="119">
        <f>'2018'!AL58</f>
        <v>0</v>
      </c>
      <c r="U11" s="119">
        <f>'2018'!AO58</f>
        <v>50</v>
      </c>
      <c r="V11" s="119">
        <f>'2018'!AP58</f>
        <v>4</v>
      </c>
      <c r="W11" s="119">
        <f>'2018'!AS58</f>
      </c>
      <c r="X11" s="119">
        <f>'2018'!AT58</f>
      </c>
      <c r="Y11" s="119">
        <f>'2018'!AW58</f>
      </c>
      <c r="Z11" s="119">
        <f>'2018'!AX58</f>
      </c>
      <c r="AA11" s="119">
        <f>'2018'!BA58</f>
      </c>
      <c r="AB11" s="119">
        <f>'2018'!BB58</f>
      </c>
      <c r="AC11" s="119">
        <f>'2018'!BE58</f>
        <v>9</v>
      </c>
    </row>
    <row r="12" spans="1:29" x14ac:dyDescent="0.25">
      <c r="A12" s="14"/>
      <c r="B12" s="115">
        <v>8</v>
      </c>
      <c r="C12" s="116">
        <v>4</v>
      </c>
      <c r="D12" s="117" t="s">
        <v>78</v>
      </c>
      <c r="E12" s="119">
        <f>'2018'!I66</f>
      </c>
      <c r="F12" s="119">
        <f>'2018'!J66</f>
      </c>
      <c r="G12" s="119">
        <f>'2018'!M66</f>
      </c>
      <c r="H12" s="119">
        <f>'2018'!N66</f>
      </c>
      <c r="I12" s="119">
        <f>'2018'!Q66</f>
      </c>
      <c r="J12" s="119">
        <f>'2018'!R66</f>
      </c>
      <c r="K12" s="119">
        <f>'2018'!U66</f>
      </c>
      <c r="L12" s="119">
        <f>'2018'!V66</f>
      </c>
      <c r="M12" s="119">
        <f>'2018'!Y66</f>
        <v>198</v>
      </c>
      <c r="N12" s="119">
        <f>'2018'!Z66</f>
      </c>
      <c r="O12" s="119">
        <f>'2018'!AC66</f>
        <v>200</v>
      </c>
      <c r="P12" s="119">
        <f>'2018'!AD66</f>
        <v>2</v>
      </c>
      <c r="Q12" s="119">
        <f>'2018'!AG66</f>
        <v>200</v>
      </c>
      <c r="R12" s="119">
        <f>'2018'!AH66</f>
        <v>0</v>
      </c>
      <c r="S12" s="119">
        <f>'2018'!AK66</f>
        <v>222</v>
      </c>
      <c r="T12" s="119">
        <f>'2018'!AL66</f>
        <v>22</v>
      </c>
      <c r="U12" s="119">
        <f>'2018'!AO66</f>
        <v>230</v>
      </c>
      <c r="V12" s="119">
        <f>'2018'!AP66</f>
        <v>8</v>
      </c>
      <c r="W12" s="119">
        <f>'2018'!AS66</f>
      </c>
      <c r="X12" s="119">
        <f>'2018'!AT66</f>
      </c>
      <c r="Y12" s="119">
        <f>'2018'!AW66</f>
      </c>
      <c r="Z12" s="119">
        <f>'2018'!AX66</f>
      </c>
      <c r="AA12" s="119">
        <f>'2018'!BA66</f>
      </c>
      <c r="AB12" s="119">
        <f>'2018'!BB66</f>
      </c>
      <c r="AC12" s="119">
        <f>'2018'!BE66</f>
        <v>32</v>
      </c>
    </row>
    <row r="13" spans="1:29" x14ac:dyDescent="0.25">
      <c r="A13" s="14"/>
      <c r="B13" s="115">
        <v>9</v>
      </c>
      <c r="C13" s="115">
        <v>4.03</v>
      </c>
      <c r="D13" s="117" t="s">
        <v>82</v>
      </c>
      <c r="E13" s="119">
        <f>'2018'!I74</f>
      </c>
      <c r="F13" s="119">
        <f>'2018'!J74</f>
      </c>
      <c r="G13" s="119">
        <f>'2018'!M74</f>
      </c>
      <c r="H13" s="119">
        <f>'2018'!N74</f>
      </c>
      <c r="I13" s="119">
        <f>'2018'!Q74</f>
      </c>
      <c r="J13" s="119">
        <f>'2018'!R74</f>
      </c>
      <c r="K13" s="119">
        <f>'2018'!U74</f>
      </c>
      <c r="L13" s="119">
        <f>'2018'!V74</f>
      </c>
      <c r="M13" s="119">
        <f>'2018'!Y74</f>
        <v>77</v>
      </c>
      <c r="N13" s="119">
        <f>'2018'!Z74</f>
      </c>
      <c r="O13" s="119">
        <f>'2018'!AC74</f>
        <v>77</v>
      </c>
      <c r="P13" s="119">
        <f>'2018'!AD74</f>
        <v>0</v>
      </c>
      <c r="Q13" s="119">
        <f>'2018'!AG74</f>
        <v>85</v>
      </c>
      <c r="R13" s="119">
        <f>'2018'!AH74</f>
        <v>8</v>
      </c>
      <c r="S13" s="119">
        <f>'2018'!AK74</f>
        <v>90</v>
      </c>
      <c r="T13" s="119">
        <f>'2018'!AL74</f>
        <v>5</v>
      </c>
      <c r="U13" s="119">
        <f>'2018'!AO74</f>
        <v>90</v>
      </c>
      <c r="V13" s="119">
        <f>'2018'!AP74</f>
        <v>0</v>
      </c>
      <c r="W13" s="119">
        <f>'2018'!AS74</f>
      </c>
      <c r="X13" s="119">
        <f>'2018'!AT74</f>
      </c>
      <c r="Y13" s="119">
        <f>'2018'!AW74</f>
      </c>
      <c r="Z13" s="119">
        <f>'2018'!AX74</f>
      </c>
      <c r="AA13" s="119">
        <f>'2018'!BA74</f>
      </c>
      <c r="AB13" s="119">
        <f>'2018'!BB74</f>
      </c>
      <c r="AC13" s="119">
        <f>'2018'!BE74</f>
        <v>13</v>
      </c>
    </row>
    <row r="14" spans="1:29" x14ac:dyDescent="0.25">
      <c r="A14" s="14"/>
      <c r="B14" s="115">
        <v>10</v>
      </c>
      <c r="C14" s="115">
        <v>4.01</v>
      </c>
      <c r="D14" s="117" t="s">
        <v>86</v>
      </c>
      <c r="E14" s="119">
        <f>'2018'!I82</f>
      </c>
      <c r="F14" s="119">
        <f>'2018'!J82</f>
      </c>
      <c r="G14" s="119">
        <f>'2018'!M82</f>
      </c>
      <c r="H14" s="119">
        <f>'2018'!N82</f>
      </c>
      <c r="I14" s="119">
        <f>'2018'!Q82</f>
      </c>
      <c r="J14" s="119">
        <f>'2018'!R82</f>
      </c>
      <c r="K14" s="119">
        <f>'2018'!U82</f>
      </c>
      <c r="L14" s="119">
        <f>'2018'!V82</f>
      </c>
      <c r="M14" s="119">
        <f>'2018'!Y82</f>
        <v>75</v>
      </c>
      <c r="N14" s="119">
        <f>'2018'!Z82</f>
      </c>
      <c r="O14" s="119">
        <f>'2018'!AC82</f>
        <v>79</v>
      </c>
      <c r="P14" s="119">
        <f>'2018'!AD82</f>
        <v>4</v>
      </c>
      <c r="Q14" s="119">
        <f>'2018'!AG82</f>
        <v>79</v>
      </c>
      <c r="R14" s="119">
        <f>'2018'!AH82</f>
        <v>0</v>
      </c>
      <c r="S14" s="119">
        <f>'2018'!AK82</f>
        <v>79</v>
      </c>
      <c r="T14" s="119">
        <f>'2018'!AL82</f>
        <v>0</v>
      </c>
      <c r="U14" s="119">
        <f>'2018'!AO82</f>
        <v>82</v>
      </c>
      <c r="V14" s="119">
        <f>'2018'!AP82</f>
        <v>3</v>
      </c>
      <c r="W14" s="119">
        <f>'2018'!AS82</f>
      </c>
      <c r="X14" s="119">
        <f>'2018'!AT82</f>
      </c>
      <c r="Y14" s="119">
        <f>'2018'!AW82</f>
      </c>
      <c r="Z14" s="119">
        <f>'2018'!AX82</f>
      </c>
      <c r="AA14" s="119">
        <f>'2018'!BA82</f>
      </c>
      <c r="AB14" s="119">
        <f>'2018'!BB82</f>
      </c>
      <c r="AC14" s="119">
        <f>'2018'!BE82</f>
        <v>7</v>
      </c>
    </row>
    <row r="15" spans="1:29" x14ac:dyDescent="0.25">
      <c r="A15" s="14"/>
      <c r="B15" s="115">
        <v>11</v>
      </c>
      <c r="C15" s="115">
        <v>4.02</v>
      </c>
      <c r="D15" s="117" t="s">
        <v>89</v>
      </c>
      <c r="E15" s="119">
        <f>'2018'!I90</f>
      </c>
      <c r="F15" s="119">
        <f>'2018'!J90</f>
      </c>
      <c r="G15" s="119">
        <f>'2018'!M90</f>
      </c>
      <c r="H15" s="119">
        <f>'2018'!N90</f>
      </c>
      <c r="I15" s="119">
        <f>'2018'!Q90</f>
      </c>
      <c r="J15" s="119">
        <f>'2018'!R90</f>
      </c>
      <c r="K15" s="119">
        <f>'2018'!U90</f>
      </c>
      <c r="L15" s="119">
        <f>'2018'!V90</f>
      </c>
      <c r="M15" s="119">
        <f>'2018'!Y90</f>
        <v>9</v>
      </c>
      <c r="N15" s="119">
        <f>'2018'!Z90</f>
      </c>
      <c r="O15" s="119">
        <f>'2018'!AC90</f>
        <v>9</v>
      </c>
      <c r="P15" s="119">
        <f>'2018'!AD90</f>
        <v>0</v>
      </c>
      <c r="Q15" s="119">
        <f>'2018'!AG90</f>
        <v>9</v>
      </c>
      <c r="R15" s="119">
        <f>'2018'!AH90</f>
        <v>0</v>
      </c>
      <c r="S15" s="119">
        <f>'2018'!AK90</f>
        <v>9</v>
      </c>
      <c r="T15" s="119">
        <f>'2018'!AL90</f>
        <v>0</v>
      </c>
      <c r="U15" s="119">
        <f>'2018'!AO90</f>
        <v>9</v>
      </c>
      <c r="V15" s="119">
        <f>'2018'!AP90</f>
        <v>0</v>
      </c>
      <c r="W15" s="119">
        <f>'2018'!AS90</f>
      </c>
      <c r="X15" s="119">
        <f>'2018'!AT90</f>
      </c>
      <c r="Y15" s="119">
        <f>'2018'!AW90</f>
      </c>
      <c r="Z15" s="119">
        <f>'2018'!AX90</f>
      </c>
      <c r="AA15" s="119">
        <f>'2018'!BA90</f>
      </c>
      <c r="AB15" s="119">
        <f>'2018'!BB90</f>
      </c>
      <c r="AC15" s="119">
        <f>'2018'!BE90</f>
        <v>0</v>
      </c>
    </row>
    <row r="16" spans="1:29" x14ac:dyDescent="0.25">
      <c r="A16" s="14"/>
      <c r="B16" s="115">
        <v>12</v>
      </c>
      <c r="C16" s="115">
        <v>4.02</v>
      </c>
      <c r="D16" s="117" t="s">
        <v>92</v>
      </c>
      <c r="E16" s="119">
        <f>'2018'!I98</f>
      </c>
      <c r="F16" s="119">
        <f>'2018'!J98</f>
      </c>
      <c r="G16" s="119">
        <f>'2018'!M98</f>
      </c>
      <c r="H16" s="119">
        <f>'2018'!N98</f>
      </c>
      <c r="I16" s="119">
        <f>'2018'!Q98</f>
      </c>
      <c r="J16" s="119">
        <f>'2018'!R98</f>
      </c>
      <c r="K16" s="119">
        <f>'2018'!U98</f>
      </c>
      <c r="L16" s="119">
        <f>'2018'!V98</f>
      </c>
      <c r="M16" s="119">
        <f>'2018'!Y98</f>
      </c>
      <c r="N16" s="119">
        <f>'2018'!Z98</f>
      </c>
      <c r="O16" s="119">
        <f>'2018'!AC98</f>
      </c>
      <c r="P16" s="119">
        <f>'2018'!AD98</f>
      </c>
      <c r="Q16" s="119">
        <f>'2018'!AG98</f>
      </c>
      <c r="R16" s="119">
        <f>'2018'!AH98</f>
        <v>0</v>
      </c>
      <c r="S16" s="119">
        <f>'2018'!AK98</f>
      </c>
      <c r="T16" s="119">
        <f>'2018'!AL98</f>
        <v>0</v>
      </c>
      <c r="U16" s="119">
        <f>'2018'!AO98</f>
      </c>
      <c r="V16" s="119">
        <f>'2018'!AP98</f>
      </c>
      <c r="W16" s="119">
        <f>'2018'!AS98</f>
      </c>
      <c r="X16" s="119">
        <f>'2018'!AT98</f>
      </c>
      <c r="Y16" s="119">
        <f>'2018'!AW98</f>
      </c>
      <c r="Z16" s="119">
        <f>'2018'!AX98</f>
      </c>
      <c r="AA16" s="119">
        <f>'2018'!BA98</f>
      </c>
      <c r="AB16" s="119">
        <f>'2018'!BB98</f>
      </c>
      <c r="AC16" s="119">
        <f>'2018'!BE98</f>
        <v>0</v>
      </c>
    </row>
    <row r="17" spans="1:29" x14ac:dyDescent="0.25">
      <c r="A17" s="14"/>
      <c r="B17" s="115" t="s">
        <v>96</v>
      </c>
      <c r="C17" s="115">
        <v>7.94</v>
      </c>
      <c r="D17" s="117" t="s">
        <v>97</v>
      </c>
      <c r="E17" s="119">
        <f>'2018'!I106</f>
      </c>
      <c r="F17" s="119">
        <f>'2018'!J106</f>
      </c>
      <c r="G17" s="119">
        <f>'2018'!M106</f>
      </c>
      <c r="H17" s="119">
        <f>'2018'!N106</f>
      </c>
      <c r="I17" s="119">
        <f>'2018'!Q106</f>
      </c>
      <c r="J17" s="119">
        <f>'2018'!R106</f>
      </c>
      <c r="K17" s="119">
        <f>'2018'!U106</f>
      </c>
      <c r="L17" s="119">
        <f>'2018'!V106</f>
      </c>
      <c r="M17" s="119">
        <f>'2018'!Y106</f>
        <v>36</v>
      </c>
      <c r="N17" s="119">
        <f>'2018'!Z106</f>
      </c>
      <c r="O17" s="119">
        <f>'2018'!AC106</f>
        <v>36</v>
      </c>
      <c r="P17" s="119">
        <f>'2018'!AD106</f>
        <v>0</v>
      </c>
      <c r="Q17" s="119">
        <f>'2018'!AG106</f>
        <v>36</v>
      </c>
      <c r="R17" s="119">
        <f>'2018'!AH106</f>
        <v>0</v>
      </c>
      <c r="S17" s="119">
        <f>'2018'!AK106</f>
        <v>36</v>
      </c>
      <c r="T17" s="119">
        <f>'2018'!AL106</f>
        <v>0</v>
      </c>
      <c r="U17" s="119">
        <f>'2018'!AO106</f>
        <v>36</v>
      </c>
      <c r="V17" s="119">
        <f>'2018'!AP106</f>
        <v>0</v>
      </c>
      <c r="W17" s="119">
        <f>'2018'!AS106</f>
      </c>
      <c r="X17" s="119">
        <f>'2018'!AT106</f>
      </c>
      <c r="Y17" s="119">
        <f>'2018'!AW106</f>
      </c>
      <c r="Z17" s="119">
        <f>'2018'!AX106</f>
      </c>
      <c r="AA17" s="119">
        <f>'2018'!BA106</f>
      </c>
      <c r="AB17" s="119">
        <f>'2018'!BB106</f>
      </c>
      <c r="AC17" s="119">
        <f>'2018'!BE106</f>
        <v>0</v>
      </c>
    </row>
    <row r="18" spans="1:29" x14ac:dyDescent="0.25">
      <c r="A18" s="14"/>
      <c r="B18" s="115">
        <v>14</v>
      </c>
      <c r="C18" s="115">
        <v>4.02</v>
      </c>
      <c r="D18" s="117" t="s">
        <v>100</v>
      </c>
      <c r="E18" s="119">
        <f>'2018'!I114</f>
      </c>
      <c r="F18" s="119">
        <f>'2018'!J114</f>
      </c>
      <c r="G18" s="119">
        <f>'2018'!M114</f>
      </c>
      <c r="H18" s="119">
        <f>'2018'!N114</f>
      </c>
      <c r="I18" s="119">
        <f>'2018'!Q114</f>
      </c>
      <c r="J18" s="119">
        <f>'2018'!R114</f>
      </c>
      <c r="K18" s="119">
        <f>'2018'!U114</f>
      </c>
      <c r="L18" s="119">
        <f>'2018'!V114</f>
      </c>
      <c r="M18" s="119">
        <f>'2018'!Y114</f>
      </c>
      <c r="N18" s="119">
        <f>'2018'!Z114</f>
      </c>
      <c r="O18" s="119">
        <f>'2018'!AC114</f>
      </c>
      <c r="P18" s="119">
        <f>'2018'!AD114</f>
      </c>
      <c r="Q18" s="119">
        <f>'2018'!AG114</f>
      </c>
      <c r="R18" s="119">
        <f>'2018'!AH114</f>
      </c>
      <c r="S18" s="119">
        <f>'2018'!AK114</f>
      </c>
      <c r="T18" s="119">
        <f>'2018'!AL114</f>
      </c>
      <c r="U18" s="119">
        <f>'2018'!AO114</f>
      </c>
      <c r="V18" s="119">
        <f>'2018'!AP114</f>
      </c>
      <c r="W18" s="119">
        <f>'2018'!AS114</f>
      </c>
      <c r="X18" s="119">
        <f>'2018'!AT114</f>
      </c>
      <c r="Y18" s="119">
        <f>'2018'!AW114</f>
      </c>
      <c r="Z18" s="119">
        <f>'2018'!AX114</f>
      </c>
      <c r="AA18" s="119">
        <f>'2018'!BA114</f>
      </c>
      <c r="AB18" s="119">
        <f>'2018'!BB114</f>
      </c>
      <c r="AC18" s="119">
        <f>'2018'!BE114</f>
        <v>0</v>
      </c>
    </row>
    <row r="19" spans="1:29" x14ac:dyDescent="0.25">
      <c r="A19" s="14"/>
      <c r="B19" s="115">
        <v>16</v>
      </c>
      <c r="C19" s="115">
        <v>3.98</v>
      </c>
      <c r="D19" s="117" t="s">
        <v>103</v>
      </c>
      <c r="E19" s="119">
        <f>'2018'!I122</f>
      </c>
      <c r="F19" s="119">
        <f>'2018'!J122</f>
      </c>
      <c r="G19" s="119">
        <f>'2018'!M122</f>
      </c>
      <c r="H19" s="119">
        <f>'2018'!N122</f>
      </c>
      <c r="I19" s="119">
        <f>'2018'!Q122</f>
      </c>
      <c r="J19" s="119">
        <f>'2018'!R122</f>
      </c>
      <c r="K19" s="119">
        <f>'2018'!U122</f>
      </c>
      <c r="L19" s="119">
        <f>'2018'!V122</f>
      </c>
      <c r="M19" s="119">
        <f>'2018'!Y122</f>
        <v>79</v>
      </c>
      <c r="N19" s="119">
        <f>'2018'!Z122</f>
      </c>
      <c r="O19" s="119">
        <f>'2018'!AC122</f>
        <v>84</v>
      </c>
      <c r="P19" s="119">
        <f>'2018'!AD122</f>
        <v>5</v>
      </c>
      <c r="Q19" s="119">
        <f>'2018'!AG122</f>
        <v>84</v>
      </c>
      <c r="R19" s="119">
        <f>'2018'!AH122</f>
        <v>0</v>
      </c>
      <c r="S19" s="119">
        <f>'2018'!AK122</f>
        <v>95</v>
      </c>
      <c r="T19" s="119">
        <f>'2018'!AL122</f>
        <v>11</v>
      </c>
      <c r="U19" s="119">
        <f>'2018'!AO122</f>
        <v>95</v>
      </c>
      <c r="V19" s="119">
        <f>'2018'!AP122</f>
        <v>0</v>
      </c>
      <c r="W19" s="119">
        <f>'2018'!AS122</f>
      </c>
      <c r="X19" s="119">
        <f>'2018'!AT122</f>
      </c>
      <c r="Y19" s="119">
        <f>'2018'!AW122</f>
      </c>
      <c r="Z19" s="119">
        <f>'2018'!AX122</f>
      </c>
      <c r="AA19" s="119">
        <f>'2018'!BA122</f>
      </c>
      <c r="AB19" s="119">
        <f>'2018'!BB122</f>
      </c>
      <c r="AC19" s="119">
        <f>'2018'!BE122</f>
        <v>16</v>
      </c>
    </row>
    <row r="20" spans="1:29" x14ac:dyDescent="0.25">
      <c r="A20" s="14"/>
      <c r="B20" s="115">
        <v>17</v>
      </c>
      <c r="C20" s="116">
        <v>4</v>
      </c>
      <c r="D20" s="117" t="s">
        <v>106</v>
      </c>
      <c r="E20" s="119">
        <f>'2018'!I130</f>
      </c>
      <c r="F20" s="119">
        <f>'2018'!J130</f>
      </c>
      <c r="G20" s="119">
        <f>'2018'!M130</f>
      </c>
      <c r="H20" s="119">
        <f>'2018'!N130</f>
      </c>
      <c r="I20" s="119">
        <f>'2018'!Q130</f>
      </c>
      <c r="J20" s="119">
        <f>'2018'!R130</f>
      </c>
      <c r="K20" s="119">
        <f>'2018'!U130</f>
      </c>
      <c r="L20" s="119">
        <f>'2018'!V130</f>
      </c>
      <c r="M20" s="119">
        <f>'2018'!Y130</f>
        <v>26</v>
      </c>
      <c r="N20" s="119">
        <f>'2018'!Z130</f>
      </c>
      <c r="O20" s="119">
        <f>'2018'!AC130</f>
        <v>26</v>
      </c>
      <c r="P20" s="119">
        <f>'2018'!AD130</f>
        <v>0</v>
      </c>
      <c r="Q20" s="119">
        <f>'2018'!AG130</f>
        <v>32</v>
      </c>
      <c r="R20" s="119">
        <f>'2018'!AH130</f>
        <v>6</v>
      </c>
      <c r="S20" s="119">
        <f>'2018'!AK130</f>
        <v>35</v>
      </c>
      <c r="T20" s="119">
        <f>'2018'!AL130</f>
        <v>3</v>
      </c>
      <c r="U20" s="119">
        <f>'2018'!AO130</f>
        <v>35</v>
      </c>
      <c r="V20" s="119">
        <f>'2018'!AP130</f>
        <v>0</v>
      </c>
      <c r="W20" s="119">
        <f>'2018'!AS130</f>
      </c>
      <c r="X20" s="119">
        <f>'2018'!AT130</f>
      </c>
      <c r="Y20" s="119">
        <f>'2018'!AW130</f>
      </c>
      <c r="Z20" s="119">
        <f>'2018'!AX130</f>
      </c>
      <c r="AA20" s="119">
        <f>'2018'!BA130</f>
      </c>
      <c r="AB20" s="119">
        <f>'2018'!BB130</f>
      </c>
      <c r="AC20" s="119">
        <f>'2018'!BE130</f>
        <v>9</v>
      </c>
    </row>
    <row r="21" ht="15.75" customHeight="1" spans="1:29" x14ac:dyDescent="0.25">
      <c r="A21" s="14"/>
      <c r="B21" s="115">
        <v>18</v>
      </c>
      <c r="C21" s="115">
        <v>4.03</v>
      </c>
      <c r="D21" s="117" t="s">
        <v>109</v>
      </c>
      <c r="E21" s="119">
        <f>'2018'!I138</f>
      </c>
      <c r="F21" s="119">
        <f>'2018'!J138</f>
      </c>
      <c r="G21" s="119">
        <f>'2018'!M138</f>
      </c>
      <c r="H21" s="119">
        <f>'2018'!N138</f>
      </c>
      <c r="I21" s="119">
        <f>'2018'!Q138</f>
      </c>
      <c r="J21" s="119">
        <f>'2018'!R138</f>
      </c>
      <c r="K21" s="119">
        <f>'2018'!U138</f>
      </c>
      <c r="L21" s="119">
        <f>'2018'!V138</f>
      </c>
      <c r="M21" s="119">
        <f>'2018'!Y138</f>
        <v>297</v>
      </c>
      <c r="N21" s="119">
        <f>'2018'!Z138</f>
      </c>
      <c r="O21" s="119">
        <f>'2018'!AC138</f>
        <v>297</v>
      </c>
      <c r="P21" s="119">
        <f>'2018'!AD138</f>
        <v>0</v>
      </c>
      <c r="Q21" s="119">
        <f>'2018'!AG138</f>
        <v>300</v>
      </c>
      <c r="R21" s="119">
        <f>'2018'!AH138</f>
        <v>3</v>
      </c>
      <c r="S21" s="119">
        <f>'2018'!AK138</f>
        <v>300</v>
      </c>
      <c r="T21" s="119">
        <f>'2018'!AL138</f>
        <v>0</v>
      </c>
      <c r="U21" s="119">
        <f>'2018'!AO138</f>
        <v>305</v>
      </c>
      <c r="V21" s="119">
        <f>'2018'!AP138</f>
        <v>5</v>
      </c>
      <c r="W21" s="119">
        <f>'2018'!AS138</f>
      </c>
      <c r="X21" s="119">
        <f>'2018'!AT138</f>
      </c>
      <c r="Y21" s="119">
        <f>'2018'!AW138</f>
      </c>
      <c r="Z21" s="119">
        <f>'2018'!AX138</f>
      </c>
      <c r="AA21" s="119">
        <f>'2018'!BA138</f>
      </c>
      <c r="AB21" s="119">
        <f>'2018'!BB138</f>
      </c>
      <c r="AC21" s="119">
        <f>'2018'!BE138</f>
        <v>8</v>
      </c>
    </row>
    <row r="22" ht="15.75" customHeight="1" spans="1:29" x14ac:dyDescent="0.25">
      <c r="A22" s="21"/>
      <c r="B22" s="115">
        <v>19</v>
      </c>
      <c r="C22" s="116">
        <v>4.1</v>
      </c>
      <c r="D22" s="117" t="s">
        <v>113</v>
      </c>
      <c r="E22" s="119">
        <f>'2018'!I146</f>
      </c>
      <c r="F22" s="119">
        <f>'2018'!J146</f>
      </c>
      <c r="G22" s="119">
        <f>'2018'!M146</f>
      </c>
      <c r="H22" s="119">
        <f>'2018'!N146</f>
      </c>
      <c r="I22" s="119">
        <f>'2018'!Q146</f>
      </c>
      <c r="J22" s="119">
        <f>'2018'!R146</f>
      </c>
      <c r="K22" s="119">
        <f>'2018'!U146</f>
      </c>
      <c r="L22" s="119">
        <f>'2018'!V146</f>
      </c>
      <c r="M22" s="119">
        <f>'2018'!Y146</f>
        <v>5</v>
      </c>
      <c r="N22" s="119">
        <f>'2018'!Z146</f>
      </c>
      <c r="O22" s="119">
        <f>'2018'!AC146</f>
        <v>5</v>
      </c>
      <c r="P22" s="119">
        <f>'2018'!AD146</f>
        <v>0</v>
      </c>
      <c r="Q22" s="119">
        <f>'2018'!AG146</f>
        <v>5</v>
      </c>
      <c r="R22" s="119">
        <f>'2018'!AH146</f>
        <v>0</v>
      </c>
      <c r="S22" s="119">
        <f>'2018'!AK146</f>
        <v>5</v>
      </c>
      <c r="T22" s="119">
        <f>'2018'!AL146</f>
        <v>0</v>
      </c>
      <c r="U22" s="119">
        <f>'2018'!AO146</f>
        <v>21</v>
      </c>
      <c r="V22" s="119">
        <f>'2018'!AP146</f>
        <v>16</v>
      </c>
      <c r="W22" s="119">
        <f>'2018'!AS146</f>
      </c>
      <c r="X22" s="119">
        <f>'2018'!AT146</f>
      </c>
      <c r="Y22" s="119">
        <f>'2018'!AW146</f>
      </c>
      <c r="Z22" s="119">
        <f>'2018'!AX146</f>
      </c>
      <c r="AA22" s="119">
        <f>'2018'!BA146</f>
      </c>
      <c r="AB22" s="119">
        <f>'2018'!BB146</f>
      </c>
      <c r="AC22" s="119">
        <f>'2018'!BE146</f>
        <v>16</v>
      </c>
    </row>
    <row r="23" ht="15.75" customHeight="1" spans="1:29" x14ac:dyDescent="0.25">
      <c r="A23" s="114" t="s">
        <v>116</v>
      </c>
      <c r="B23" s="115" t="s">
        <v>117</v>
      </c>
      <c r="C23" s="116">
        <v>8</v>
      </c>
      <c r="D23" s="117" t="s">
        <v>118</v>
      </c>
      <c r="E23" s="119">
        <f>'2018'!I154</f>
      </c>
      <c r="F23" s="119">
        <f>'2018'!J154</f>
      </c>
      <c r="G23" s="119">
        <f>'2018'!M154</f>
      </c>
      <c r="H23" s="119">
        <f>'2018'!N154</f>
      </c>
      <c r="I23" s="119">
        <f>'2018'!Q154</f>
      </c>
      <c r="J23" s="119">
        <f>'2018'!R154</f>
      </c>
      <c r="K23" s="119">
        <f>'2018'!U154</f>
      </c>
      <c r="L23" s="119">
        <f>'2018'!V154</f>
      </c>
      <c r="M23" s="119">
        <f>'2018'!Y154</f>
        <v>108</v>
      </c>
      <c r="N23" s="119">
        <f>'2018'!Z154</f>
      </c>
      <c r="O23" s="119">
        <f>'2018'!AC154</f>
        <v>108</v>
      </c>
      <c r="P23" s="119">
        <f>'2018'!AD154</f>
        <v>0</v>
      </c>
      <c r="Q23" s="119">
        <f>'2018'!AG154</f>
        <v>140</v>
      </c>
      <c r="R23" s="119">
        <f>'2018'!AH154</f>
        <v>32</v>
      </c>
      <c r="S23" s="119">
        <f>'2018'!AK154</f>
        <v>140</v>
      </c>
      <c r="T23" s="119">
        <f>'2018'!AL154</f>
        <v>0</v>
      </c>
      <c r="U23" s="119">
        <f>'2018'!AO154</f>
        <v>140</v>
      </c>
      <c r="V23" s="119">
        <f>'2018'!AP154</f>
        <v>0</v>
      </c>
      <c r="W23" s="119">
        <f>'2018'!AS154</f>
      </c>
      <c r="X23" s="119">
        <f>'2018'!AT154</f>
      </c>
      <c r="Y23" s="119">
        <f>'2018'!AW154</f>
      </c>
      <c r="Z23" s="119">
        <f>'2018'!AX154</f>
      </c>
      <c r="AA23" s="119">
        <f>'2018'!BA154</f>
      </c>
      <c r="AB23" s="119">
        <f>'2018'!BB154</f>
      </c>
      <c r="AC23" s="119">
        <f>'2018'!BE154</f>
        <v>32</v>
      </c>
    </row>
    <row r="24" ht="15.75" customHeight="1" spans="1:29" x14ac:dyDescent="0.25">
      <c r="A24" s="14"/>
      <c r="B24" s="115">
        <v>21</v>
      </c>
      <c r="C24" s="115">
        <v>3.96</v>
      </c>
      <c r="D24" s="117" t="s">
        <v>120</v>
      </c>
      <c r="E24" s="119">
        <f>'2018'!I162</f>
      </c>
      <c r="F24" s="119">
        <f>'2018'!J162</f>
      </c>
      <c r="G24" s="119">
        <f>'2018'!M162</f>
      </c>
      <c r="H24" s="119">
        <f>'2018'!N162</f>
      </c>
      <c r="I24" s="119">
        <f>'2018'!Q162</f>
      </c>
      <c r="J24" s="119">
        <f>'2018'!R162</f>
      </c>
      <c r="K24" s="119">
        <f>'2018'!U162</f>
      </c>
      <c r="L24" s="119">
        <f>'2018'!V162</f>
      </c>
      <c r="M24" s="119">
        <f>'2018'!Y162</f>
        <v>21</v>
      </c>
      <c r="N24" s="119">
        <f>'2018'!Z162</f>
      </c>
      <c r="O24" s="119">
        <f>'2018'!AC162</f>
        <v>21</v>
      </c>
      <c r="P24" s="119">
        <f>'2018'!AD162</f>
        <v>0</v>
      </c>
      <c r="Q24" s="119">
        <f>'2018'!AG162</f>
        <v>21</v>
      </c>
      <c r="R24" s="119">
        <f>'2018'!AH162</f>
        <v>0</v>
      </c>
      <c r="S24" s="119">
        <f>'2018'!AK162</f>
        <v>24</v>
      </c>
      <c r="T24" s="119">
        <f>'2018'!AL162</f>
        <v>3</v>
      </c>
      <c r="U24" s="119">
        <f>'2018'!AO162</f>
        <v>26</v>
      </c>
      <c r="V24" s="119">
        <f>'2018'!AP162</f>
        <v>2</v>
      </c>
      <c r="W24" s="119">
        <f>'2018'!AS162</f>
      </c>
      <c r="X24" s="119">
        <f>'2018'!AT162</f>
      </c>
      <c r="Y24" s="119">
        <f>'2018'!AW162</f>
      </c>
      <c r="Z24" s="119">
        <f>'2018'!AX162</f>
      </c>
      <c r="AA24" s="119">
        <f>'2018'!BA162</f>
      </c>
      <c r="AB24" s="119">
        <f>'2018'!BB162</f>
      </c>
      <c r="AC24" s="119">
        <f>'2018'!BE162</f>
        <v>5</v>
      </c>
    </row>
    <row r="25" ht="15.75" customHeight="1" spans="1:29" x14ac:dyDescent="0.25">
      <c r="A25" s="14"/>
      <c r="B25" s="115">
        <v>23</v>
      </c>
      <c r="C25" s="115">
        <v>3.98</v>
      </c>
      <c r="D25" s="117" t="s">
        <v>124</v>
      </c>
      <c r="E25" s="119">
        <f>'2018'!I170</f>
      </c>
      <c r="F25" s="119">
        <f>'2018'!J170</f>
      </c>
      <c r="G25" s="119">
        <f>'2018'!M170</f>
      </c>
      <c r="H25" s="119">
        <f>'2018'!N170</f>
      </c>
      <c r="I25" s="119">
        <f>'2018'!Q170</f>
      </c>
      <c r="J25" s="119">
        <f>'2018'!R170</f>
      </c>
      <c r="K25" s="119">
        <f>'2018'!U170</f>
      </c>
      <c r="L25" s="119">
        <f>'2018'!V170</f>
      </c>
      <c r="M25" s="119">
        <f>'2018'!Y170</f>
        <v>70</v>
      </c>
      <c r="N25" s="119">
        <f>'2018'!Z170</f>
      </c>
      <c r="O25" s="119">
        <f>'2018'!AC170</f>
        <v>70</v>
      </c>
      <c r="P25" s="119">
        <f>'2018'!AD170</f>
        <v>0</v>
      </c>
      <c r="Q25" s="119">
        <f>'2018'!AG170</f>
        <v>70</v>
      </c>
      <c r="R25" s="119">
        <f>'2018'!AH170</f>
        <v>0</v>
      </c>
      <c r="S25" s="119">
        <f>'2018'!AK170</f>
        <v>70</v>
      </c>
      <c r="T25" s="119">
        <f>'2018'!AL170</f>
        <v>0</v>
      </c>
      <c r="U25" s="119">
        <f>'2018'!AO170</f>
        <v>70</v>
      </c>
      <c r="V25" s="119">
        <f>'2018'!AP170</f>
        <v>0</v>
      </c>
      <c r="W25" s="119">
        <f>'2018'!AS170</f>
      </c>
      <c r="X25" s="119">
        <f>'2018'!AT170</f>
      </c>
      <c r="Y25" s="119">
        <f>'2018'!AW170</f>
      </c>
      <c r="Z25" s="119">
        <f>'2018'!AX170</f>
      </c>
      <c r="AA25" s="119">
        <f>'2018'!BA170</f>
      </c>
      <c r="AB25" s="119">
        <f>'2018'!BB170</f>
      </c>
      <c r="AC25" s="119">
        <f>'2018'!BE170</f>
        <v>0</v>
      </c>
    </row>
    <row r="26" ht="15.75" customHeight="1" spans="1:29" x14ac:dyDescent="0.25">
      <c r="A26" s="14"/>
      <c r="B26" s="115">
        <v>24</v>
      </c>
      <c r="C26" s="115">
        <v>4.01</v>
      </c>
      <c r="D26" s="117" t="s">
        <v>127</v>
      </c>
      <c r="E26" s="119">
        <f>'2018'!I178</f>
      </c>
      <c r="F26" s="119">
        <f>'2018'!J178</f>
      </c>
      <c r="G26" s="119">
        <f>'2018'!M178</f>
      </c>
      <c r="H26" s="119">
        <f>'2018'!N178</f>
      </c>
      <c r="I26" s="119">
        <f>'2018'!Q178</f>
      </c>
      <c r="J26" s="119">
        <f>'2018'!R178</f>
      </c>
      <c r="K26" s="119">
        <f>'2018'!U178</f>
      </c>
      <c r="L26" s="119">
        <f>'2018'!V178</f>
      </c>
      <c r="M26" s="119">
        <f>'2018'!Y178</f>
        <v>56</v>
      </c>
      <c r="N26" s="119">
        <f>'2018'!Z178</f>
      </c>
      <c r="O26" s="119">
        <f>'2018'!AC178</f>
        <v>66</v>
      </c>
      <c r="P26" s="119">
        <f>'2018'!AD178</f>
        <v>10</v>
      </c>
      <c r="Q26" s="119">
        <f>'2018'!AG178</f>
        <v>66</v>
      </c>
      <c r="R26" s="119">
        <f>'2018'!AH178</f>
        <v>0</v>
      </c>
      <c r="S26" s="119">
        <f>'2018'!AK178</f>
        <v>66</v>
      </c>
      <c r="T26" s="119">
        <f>'2018'!AL178</f>
        <v>0</v>
      </c>
      <c r="U26" s="119">
        <f>'2018'!AO178</f>
        <v>66</v>
      </c>
      <c r="V26" s="119">
        <f>'2018'!AP178</f>
        <v>0</v>
      </c>
      <c r="W26" s="119">
        <f>'2018'!AS178</f>
      </c>
      <c r="X26" s="119">
        <f>'2018'!AT178</f>
      </c>
      <c r="Y26" s="119">
        <f>'2018'!AW178</f>
      </c>
      <c r="Z26" s="119">
        <f>'2018'!AX178</f>
      </c>
      <c r="AA26" s="119">
        <f>'2018'!BA178</f>
      </c>
      <c r="AB26" s="119">
        <f>'2018'!BB178</f>
      </c>
      <c r="AC26" s="119">
        <f>'2018'!BE178</f>
        <v>10</v>
      </c>
    </row>
    <row r="27" ht="15.75" customHeight="1" spans="1:29" x14ac:dyDescent="0.25">
      <c r="A27" s="14"/>
      <c r="B27" s="115">
        <v>25</v>
      </c>
      <c r="C27" s="116">
        <v>4</v>
      </c>
      <c r="D27" s="117" t="s">
        <v>131</v>
      </c>
      <c r="E27" s="119">
        <f>'2018'!I186</f>
      </c>
      <c r="F27" s="119">
        <f>'2018'!J186</f>
      </c>
      <c r="G27" s="119">
        <f>'2018'!M186</f>
      </c>
      <c r="H27" s="119">
        <f>'2018'!N186</f>
      </c>
      <c r="I27" s="119">
        <f>'2018'!Q186</f>
      </c>
      <c r="J27" s="119">
        <f>'2018'!R186</f>
      </c>
      <c r="K27" s="119">
        <f>'2018'!U186</f>
      </c>
      <c r="L27" s="119">
        <f>'2018'!V186</f>
      </c>
      <c r="M27" s="119">
        <f>'2018'!Y186</f>
      </c>
      <c r="N27" s="119">
        <f>'2018'!Z186</f>
      </c>
      <c r="O27" s="119">
        <f>'2018'!AC186</f>
      </c>
      <c r="P27" s="119">
        <f>'2018'!AD186</f>
      </c>
      <c r="Q27" s="119">
        <f>'2018'!AG186</f>
      </c>
      <c r="R27" s="119">
        <f>'2018'!AH186</f>
      </c>
      <c r="S27" s="119">
        <f>'2018'!AK186</f>
      </c>
      <c r="T27" s="119">
        <f>'2018'!AL186</f>
      </c>
      <c r="U27" s="119">
        <f>'2018'!AO186</f>
      </c>
      <c r="V27" s="119">
        <f>'2018'!AP186</f>
      </c>
      <c r="W27" s="119">
        <f>'2018'!AS186</f>
      </c>
      <c r="X27" s="119">
        <f>'2018'!AT186</f>
      </c>
      <c r="Y27" s="119">
        <f>'2018'!AW186</f>
      </c>
      <c r="Z27" s="119">
        <f>'2018'!AX186</f>
      </c>
      <c r="AA27" s="119">
        <f>'2018'!BA186</f>
      </c>
      <c r="AB27" s="119">
        <f>'2018'!BB186</f>
      </c>
      <c r="AC27" s="119">
        <f>'2018'!BE186</f>
        <v>0</v>
      </c>
    </row>
    <row r="28" ht="15.75" customHeight="1" spans="1:29" x14ac:dyDescent="0.25">
      <c r="A28" s="14"/>
      <c r="B28" s="115">
        <v>26</v>
      </c>
      <c r="C28" s="115">
        <v>3.98</v>
      </c>
      <c r="D28" s="117" t="s">
        <v>133</v>
      </c>
      <c r="E28" s="119">
        <f>'2018'!I194</f>
      </c>
      <c r="F28" s="119">
        <f>'2018'!J194</f>
      </c>
      <c r="G28" s="119">
        <f>'2018'!M194</f>
      </c>
      <c r="H28" s="119">
        <f>'2018'!N194</f>
      </c>
      <c r="I28" s="119">
        <f>'2018'!Q194</f>
      </c>
      <c r="J28" s="119">
        <f>'2018'!R194</f>
      </c>
      <c r="K28" s="119">
        <f>'2018'!U194</f>
      </c>
      <c r="L28" s="119">
        <f>'2018'!V194</f>
      </c>
      <c r="M28" s="119">
        <f>'2018'!Y194</f>
      </c>
      <c r="N28" s="119">
        <f>'2018'!Z194</f>
      </c>
      <c r="O28" s="119">
        <f>'2018'!AC194</f>
      </c>
      <c r="P28" s="119">
        <f>'2018'!AD194</f>
      </c>
      <c r="Q28" s="119">
        <f>'2018'!AG194</f>
      </c>
      <c r="R28" s="119">
        <f>'2018'!AH194</f>
      </c>
      <c r="S28" s="119">
        <f>'2018'!AK194</f>
      </c>
      <c r="T28" s="119">
        <f>'2018'!AL194</f>
      </c>
      <c r="U28" s="119">
        <f>'2018'!AO194</f>
      </c>
      <c r="V28" s="119">
        <f>'2018'!AP194</f>
      </c>
      <c r="W28" s="119">
        <f>'2018'!AS194</f>
      </c>
      <c r="X28" s="119">
        <f>'2018'!AT194</f>
      </c>
      <c r="Y28" s="119">
        <f>'2018'!AW194</f>
      </c>
      <c r="Z28" s="119">
        <f>'2018'!AX194</f>
      </c>
      <c r="AA28" s="119">
        <f>'2018'!BA194</f>
      </c>
      <c r="AB28" s="119">
        <f>'2018'!BB194</f>
      </c>
      <c r="AC28" s="119">
        <f>'2018'!BE194</f>
        <v>0</v>
      </c>
    </row>
    <row r="29" ht="15.75" customHeight="1" spans="1:29" x14ac:dyDescent="0.25">
      <c r="A29" s="14"/>
      <c r="B29" s="115">
        <v>27</v>
      </c>
      <c r="C29" s="115">
        <v>4.04</v>
      </c>
      <c r="D29" s="117" t="s">
        <v>136</v>
      </c>
      <c r="E29" s="119">
        <f>'2018'!I202</f>
      </c>
      <c r="F29" s="119">
        <f>'2018'!J202</f>
      </c>
      <c r="G29" s="119">
        <f>'2018'!M202</f>
      </c>
      <c r="H29" s="119">
        <f>'2018'!N202</f>
      </c>
      <c r="I29" s="119">
        <f>'2018'!Q202</f>
      </c>
      <c r="J29" s="119">
        <f>'2018'!R202</f>
      </c>
      <c r="K29" s="119">
        <f>'2018'!U202</f>
      </c>
      <c r="L29" s="119">
        <f>'2018'!V202</f>
      </c>
      <c r="M29" s="119">
        <f>'2018'!Y202</f>
      </c>
      <c r="N29" s="119">
        <f>'2018'!Z202</f>
      </c>
      <c r="O29" s="119">
        <f>'2018'!AC202</f>
      </c>
      <c r="P29" s="119">
        <f>'2018'!AD202</f>
      </c>
      <c r="Q29" s="119">
        <f>'2018'!AG202</f>
      </c>
      <c r="R29" s="119">
        <f>'2018'!AH202</f>
      </c>
      <c r="S29" s="119">
        <f>'2018'!AK202</f>
      </c>
      <c r="T29" s="119">
        <f>'2018'!AL202</f>
      </c>
      <c r="U29" s="119">
        <f>'2018'!AO202</f>
      </c>
      <c r="V29" s="119">
        <f>'2018'!AP202</f>
      </c>
      <c r="W29" s="119">
        <f>'2018'!AS202</f>
      </c>
      <c r="X29" s="119">
        <f>'2018'!AT202</f>
      </c>
      <c r="Y29" s="119">
        <f>'2018'!AW202</f>
      </c>
      <c r="Z29" s="119">
        <f>'2018'!AX202</f>
      </c>
      <c r="AA29" s="119">
        <f>'2018'!BA202</f>
      </c>
      <c r="AB29" s="119">
        <f>'2018'!BB202</f>
      </c>
      <c r="AC29" s="119">
        <f>'2018'!BE202</f>
        <v>0</v>
      </c>
    </row>
    <row r="30" ht="15.75" customHeight="1" spans="1:29" x14ac:dyDescent="0.25">
      <c r="A30" s="14"/>
      <c r="B30" s="115" t="s">
        <v>139</v>
      </c>
      <c r="C30" s="115">
        <v>8.01</v>
      </c>
      <c r="D30" s="117" t="s">
        <v>140</v>
      </c>
      <c r="E30" s="119">
        <f>'2018'!I210</f>
      </c>
      <c r="F30" s="119">
        <f>'2018'!J210</f>
      </c>
      <c r="G30" s="119">
        <f>'2018'!M210</f>
      </c>
      <c r="H30" s="119">
        <f>'2018'!N210</f>
      </c>
      <c r="I30" s="119">
        <f>'2018'!Q210</f>
      </c>
      <c r="J30" s="119">
        <f>'2018'!R210</f>
      </c>
      <c r="K30" s="119">
        <f>'2018'!U210</f>
      </c>
      <c r="L30" s="119">
        <f>'2018'!V210</f>
      </c>
      <c r="M30" s="119">
        <f>'2018'!Y210</f>
        <v>64</v>
      </c>
      <c r="N30" s="119">
        <f>'2018'!Z210</f>
      </c>
      <c r="O30" s="119">
        <f>'2018'!AC210</f>
        <v>64</v>
      </c>
      <c r="P30" s="119">
        <f>'2018'!AD210</f>
        <v>0</v>
      </c>
      <c r="Q30" s="119">
        <f>'2018'!AG210</f>
        <v>80</v>
      </c>
      <c r="R30" s="119">
        <f>'2018'!AH210</f>
        <v>16</v>
      </c>
      <c r="S30" s="119">
        <f>'2018'!AK210</f>
        <v>80</v>
      </c>
      <c r="T30" s="119">
        <f>'2018'!AL210</f>
        <v>0</v>
      </c>
      <c r="U30" s="119">
        <f>'2018'!AO210</f>
        <v>85</v>
      </c>
      <c r="V30" s="119">
        <f>'2018'!AP210</f>
        <v>5</v>
      </c>
      <c r="W30" s="119">
        <f>'2018'!AS210</f>
      </c>
      <c r="X30" s="119">
        <f>'2018'!AT210</f>
      </c>
      <c r="Y30" s="119">
        <f>'2018'!AW210</f>
      </c>
      <c r="Z30" s="119">
        <f>'2018'!AX210</f>
      </c>
      <c r="AA30" s="119">
        <f>'2018'!BA210</f>
      </c>
      <c r="AB30" s="119">
        <f>'2018'!BB210</f>
      </c>
      <c r="AC30" s="119">
        <f>'2018'!BE210</f>
        <v>21</v>
      </c>
    </row>
    <row r="31" ht="15.75" customHeight="1" spans="1:29" x14ac:dyDescent="0.25">
      <c r="A31" s="14"/>
      <c r="B31" s="115">
        <v>29</v>
      </c>
      <c r="C31" s="115">
        <v>4.02</v>
      </c>
      <c r="D31" s="117" t="s">
        <v>146</v>
      </c>
      <c r="E31" s="119">
        <f>'2018'!I218</f>
      </c>
      <c r="F31" s="119">
        <f>'2018'!J218</f>
      </c>
      <c r="G31" s="119">
        <f>'2018'!M218</f>
      </c>
      <c r="H31" s="119">
        <f>'2018'!N218</f>
      </c>
      <c r="I31" s="119">
        <f>'2018'!Q218</f>
      </c>
      <c r="J31" s="119">
        <f>'2018'!R218</f>
      </c>
      <c r="K31" s="119">
        <f>'2018'!U218</f>
      </c>
      <c r="L31" s="119">
        <f>'2018'!V218</f>
      </c>
      <c r="M31" s="119">
        <f>'2018'!Y218</f>
        <v>17</v>
      </c>
      <c r="N31" s="119">
        <f>'2018'!Z218</f>
      </c>
      <c r="O31" s="119">
        <f>'2018'!AC218</f>
        <v>17</v>
      </c>
      <c r="P31" s="119">
        <f>'2018'!AD218</f>
        <v>0</v>
      </c>
      <c r="Q31" s="119">
        <f>'2018'!AG218</f>
        <v>18</v>
      </c>
      <c r="R31" s="119">
        <f>'2018'!AH218</f>
        <v>1</v>
      </c>
      <c r="S31" s="119">
        <f>'2018'!AK218</f>
        <v>18</v>
      </c>
      <c r="T31" s="119">
        <f>'2018'!AL218</f>
        <v>0</v>
      </c>
      <c r="U31" s="119">
        <f>'2018'!AO218</f>
        <v>19</v>
      </c>
      <c r="V31" s="119">
        <f>'2018'!AP218</f>
        <v>1</v>
      </c>
      <c r="W31" s="119">
        <f>'2018'!AS218</f>
      </c>
      <c r="X31" s="119">
        <f>'2018'!AT218</f>
      </c>
      <c r="Y31" s="119">
        <f>'2018'!AW218</f>
      </c>
      <c r="Z31" s="119">
        <f>'2018'!AX218</f>
      </c>
      <c r="AA31" s="119">
        <f>'2018'!BA218</f>
      </c>
      <c r="AB31" s="119">
        <f>'2018'!BB218</f>
      </c>
      <c r="AC31" s="119">
        <f>'2018'!BE218</f>
        <v>2</v>
      </c>
    </row>
    <row r="32" ht="15.75" customHeight="1" spans="1:29" x14ac:dyDescent="0.25">
      <c r="A32" s="14"/>
      <c r="B32" s="115">
        <v>31</v>
      </c>
      <c r="C32" s="116">
        <v>4</v>
      </c>
      <c r="D32" s="117" t="s">
        <v>149</v>
      </c>
      <c r="E32" s="119">
        <f>'2018'!I226</f>
      </c>
      <c r="F32" s="119">
        <f>'2018'!J226</f>
      </c>
      <c r="G32" s="119">
        <f>'2018'!M226</f>
      </c>
      <c r="H32" s="119">
        <f>'2018'!N226</f>
      </c>
      <c r="I32" s="119">
        <f>'2018'!Q226</f>
      </c>
      <c r="J32" s="119">
        <f>'2018'!R226</f>
      </c>
      <c r="K32" s="119">
        <f>'2018'!U226</f>
      </c>
      <c r="L32" s="119">
        <f>'2018'!V226</f>
      </c>
      <c r="M32" s="119">
        <f>'2018'!Y226</f>
      </c>
      <c r="N32" s="119">
        <f>'2018'!Z226</f>
      </c>
      <c r="O32" s="119">
        <f>'2018'!AC226</f>
      </c>
      <c r="P32" s="119">
        <f>'2018'!AD226</f>
      </c>
      <c r="Q32" s="119">
        <f>'2018'!AG226</f>
      </c>
      <c r="R32" s="119">
        <f>'2018'!AH226</f>
      </c>
      <c r="S32" s="119">
        <f>'2018'!AK226</f>
      </c>
      <c r="T32" s="119">
        <f>'2018'!AL226</f>
      </c>
      <c r="U32" s="119">
        <f>'2018'!AO226</f>
      </c>
      <c r="V32" s="119">
        <f>'2018'!AP226</f>
      </c>
      <c r="W32" s="119">
        <f>'2018'!AS226</f>
      </c>
      <c r="X32" s="119">
        <f>'2018'!AT226</f>
      </c>
      <c r="Y32" s="119">
        <f>'2018'!AW226</f>
      </c>
      <c r="Z32" s="119">
        <f>'2018'!AX226</f>
      </c>
      <c r="AA32" s="119">
        <f>'2018'!BA226</f>
      </c>
      <c r="AB32" s="119">
        <f>'2018'!BB226</f>
      </c>
      <c r="AC32" s="119">
        <f>'2018'!BE226</f>
        <v>0</v>
      </c>
    </row>
    <row r="33" ht="15.75" customHeight="1" spans="1:29" x14ac:dyDescent="0.25">
      <c r="A33" s="14"/>
      <c r="B33" s="115">
        <v>32</v>
      </c>
      <c r="C33" s="115">
        <v>3.96</v>
      </c>
      <c r="D33" s="117" t="s">
        <v>152</v>
      </c>
      <c r="E33" s="119">
        <f>'2018'!I234</f>
      </c>
      <c r="F33" s="119">
        <f>'2018'!J234</f>
      </c>
      <c r="G33" s="119">
        <f>'2018'!M234</f>
      </c>
      <c r="H33" s="119">
        <f>'2018'!N234</f>
      </c>
      <c r="I33" s="119">
        <f>'2018'!Q234</f>
      </c>
      <c r="J33" s="119">
        <f>'2018'!R234</f>
      </c>
      <c r="K33" s="119">
        <f>'2018'!U234</f>
      </c>
      <c r="L33" s="119">
        <f>'2018'!V234</f>
      </c>
      <c r="M33" s="119">
        <f>'2018'!Y234</f>
      </c>
      <c r="N33" s="119">
        <f>'2018'!Z234</f>
      </c>
      <c r="O33" s="119">
        <f>'2018'!AC234</f>
      </c>
      <c r="P33" s="119">
        <f>'2018'!AD234</f>
        <v>0</v>
      </c>
      <c r="Q33" s="119">
        <f>'2018'!AG234</f>
      </c>
      <c r="R33" s="119">
        <f>'2018'!AH234</f>
        <v>0</v>
      </c>
      <c r="S33" s="119">
        <f>'2018'!AK234</f>
      </c>
      <c r="T33" s="119">
        <f>'2018'!AL234</f>
      </c>
      <c r="U33" s="119">
        <f>'2018'!AO234</f>
      </c>
      <c r="V33" s="119">
        <f>'2018'!AP234</f>
      </c>
      <c r="W33" s="119">
        <f>'2018'!AS234</f>
      </c>
      <c r="X33" s="119">
        <f>'2018'!AT234</f>
      </c>
      <c r="Y33" s="119">
        <f>'2018'!AW234</f>
      </c>
      <c r="Z33" s="119">
        <f>'2018'!AX234</f>
      </c>
      <c r="AA33" s="119">
        <f>'2018'!BA234</f>
      </c>
      <c r="AB33" s="119">
        <f>'2018'!BB234</f>
      </c>
      <c r="AC33" s="119">
        <f>'2018'!BE234</f>
        <v>0</v>
      </c>
    </row>
    <row r="34" ht="15.75" customHeight="1" spans="1:29" x14ac:dyDescent="0.25">
      <c r="A34" s="14"/>
      <c r="B34" s="115">
        <v>33</v>
      </c>
      <c r="C34" s="115">
        <v>4.01</v>
      </c>
      <c r="D34" s="117" t="s">
        <v>154</v>
      </c>
      <c r="E34" s="119">
        <f>'2018'!I242</f>
      </c>
      <c r="F34" s="119">
        <f>'2018'!J242</f>
      </c>
      <c r="G34" s="119">
        <f>'2018'!M242</f>
      </c>
      <c r="H34" s="119">
        <f>'2018'!N242</f>
      </c>
      <c r="I34" s="119">
        <f>'2018'!Q242</f>
      </c>
      <c r="J34" s="119">
        <f>'2018'!R242</f>
      </c>
      <c r="K34" s="119">
        <f>'2018'!U242</f>
      </c>
      <c r="L34" s="119">
        <f>'2018'!V242</f>
      </c>
      <c r="M34" s="119">
        <f>'2018'!Y242</f>
        <v>12</v>
      </c>
      <c r="N34" s="119">
        <f>'2018'!Z242</f>
      </c>
      <c r="O34" s="119">
        <f>'2018'!AC242</f>
        <v>12</v>
      </c>
      <c r="P34" s="119">
        <f>'2018'!AD242</f>
        <v>0</v>
      </c>
      <c r="Q34" s="119">
        <f>'2018'!AG242</f>
        <v>12</v>
      </c>
      <c r="R34" s="119">
        <f>'2018'!AH242</f>
        <v>0</v>
      </c>
      <c r="S34" s="119">
        <f>'2018'!AK242</f>
        <v>12</v>
      </c>
      <c r="T34" s="119">
        <f>'2018'!AL242</f>
        <v>0</v>
      </c>
      <c r="U34" s="119">
        <f>'2018'!AO242</f>
        <v>12</v>
      </c>
      <c r="V34" s="119">
        <f>'2018'!AP242</f>
        <v>0</v>
      </c>
      <c r="W34" s="119">
        <f>'2018'!AS242</f>
      </c>
      <c r="X34" s="119">
        <f>'2018'!AT242</f>
      </c>
      <c r="Y34" s="119">
        <f>'2018'!AW242</f>
      </c>
      <c r="Z34" s="119">
        <f>'2018'!AX242</f>
      </c>
      <c r="AA34" s="119">
        <f>'2018'!BA242</f>
      </c>
      <c r="AB34" s="119">
        <f>'2018'!BB242</f>
      </c>
      <c r="AC34" s="119">
        <f>'2018'!BE242</f>
        <v>0</v>
      </c>
    </row>
    <row r="35" ht="15.75" customHeight="1" spans="1:29" x14ac:dyDescent="0.25">
      <c r="A35" s="14"/>
      <c r="B35" s="115">
        <v>34</v>
      </c>
      <c r="C35" s="115">
        <v>4.01</v>
      </c>
      <c r="D35" s="117" t="s">
        <v>155</v>
      </c>
      <c r="E35" s="119">
        <f>'2018'!I250</f>
      </c>
      <c r="F35" s="119">
        <f>'2018'!J250</f>
      </c>
      <c r="G35" s="119">
        <f>'2018'!M250</f>
      </c>
      <c r="H35" s="119">
        <f>'2018'!N250</f>
      </c>
      <c r="I35" s="119">
        <f>'2018'!Q250</f>
      </c>
      <c r="J35" s="119">
        <f>'2018'!R250</f>
      </c>
      <c r="K35" s="119">
        <f>'2018'!U250</f>
      </c>
      <c r="L35" s="119">
        <f>'2018'!V250</f>
      </c>
      <c r="M35" s="119">
        <f>'2018'!Y250</f>
      </c>
      <c r="N35" s="119">
        <f>'2018'!Z250</f>
      </c>
      <c r="O35" s="119">
        <f>'2018'!AC250</f>
      </c>
      <c r="P35" s="119">
        <f>'2018'!AD250</f>
      </c>
      <c r="Q35" s="119">
        <f>'2018'!AG250</f>
        <v>0</v>
      </c>
      <c r="R35" s="119">
        <f>'2018'!AH250</f>
        <v>0</v>
      </c>
      <c r="S35" s="119">
        <f>'2018'!AK250</f>
        <v>13</v>
      </c>
      <c r="T35" s="119">
        <f>'2018'!AL250</f>
        <v>13</v>
      </c>
      <c r="U35" s="119">
        <f>'2018'!AO250</f>
        <v>33</v>
      </c>
      <c r="V35" s="119">
        <f>'2018'!AP250</f>
        <v>20</v>
      </c>
      <c r="W35" s="119">
        <f>'2018'!AS250</f>
      </c>
      <c r="X35" s="119">
        <f>'2018'!AT250</f>
      </c>
      <c r="Y35" s="119">
        <f>'2018'!AW250</f>
      </c>
      <c r="Z35" s="119">
        <f>'2018'!AX250</f>
      </c>
      <c r="AA35" s="119">
        <f>'2018'!BA250</f>
      </c>
      <c r="AB35" s="119">
        <f>'2018'!BB250</f>
      </c>
      <c r="AC35" s="119">
        <f>'2018'!BE250</f>
        <v>33</v>
      </c>
    </row>
    <row r="36" ht="15.75" customHeight="1" spans="1:29" x14ac:dyDescent="0.25">
      <c r="A36" s="14"/>
      <c r="B36" s="115">
        <v>35</v>
      </c>
      <c r="C36" s="115">
        <v>4.01</v>
      </c>
      <c r="D36" s="117" t="s">
        <v>157</v>
      </c>
      <c r="E36" s="119">
        <f>'2018'!I258</f>
      </c>
      <c r="F36" s="119">
        <f>'2018'!J258</f>
      </c>
      <c r="G36" s="119">
        <f>'2018'!M258</f>
      </c>
      <c r="H36" s="119">
        <f>'2018'!N258</f>
      </c>
      <c r="I36" s="119">
        <f>'2018'!Q258</f>
      </c>
      <c r="J36" s="119">
        <f>'2018'!R258</f>
      </c>
      <c r="K36" s="119">
        <f>'2018'!U258</f>
      </c>
      <c r="L36" s="119">
        <f>'2018'!V258</f>
      </c>
      <c r="M36" s="119">
        <f>'2018'!Y258</f>
        <v>90</v>
      </c>
      <c r="N36" s="119">
        <f>'2018'!Z258</f>
      </c>
      <c r="O36" s="119">
        <f>'2018'!AC258</f>
        <v>94</v>
      </c>
      <c r="P36" s="119">
        <f>'2018'!AD258</f>
        <v>4</v>
      </c>
      <c r="Q36" s="119">
        <f>'2018'!AG258</f>
        <v>94</v>
      </c>
      <c r="R36" s="119">
        <f>'2018'!AH258</f>
        <v>0</v>
      </c>
      <c r="S36" s="119">
        <f>'2018'!AK258</f>
        <v>106</v>
      </c>
      <c r="T36" s="119">
        <f>'2018'!AL258</f>
        <v>12</v>
      </c>
      <c r="U36" s="119">
        <f>'2018'!AO258</f>
        <v>107</v>
      </c>
      <c r="V36" s="119">
        <f>'2018'!AP258</f>
        <v>1</v>
      </c>
      <c r="W36" s="119">
        <f>'2018'!AS258</f>
      </c>
      <c r="X36" s="119">
        <f>'2018'!AT258</f>
      </c>
      <c r="Y36" s="119">
        <f>'2018'!AW258</f>
      </c>
      <c r="Z36" s="119">
        <f>'2018'!AX258</f>
      </c>
      <c r="AA36" s="119">
        <f>'2018'!BA258</f>
      </c>
      <c r="AB36" s="119">
        <f>'2018'!BB258</f>
      </c>
      <c r="AC36" s="119">
        <f>'2018'!BE258</f>
        <v>17</v>
      </c>
    </row>
    <row r="37" ht="15.75" customHeight="1" spans="1:29" x14ac:dyDescent="0.25">
      <c r="A37" s="14"/>
      <c r="B37" s="115">
        <v>36</v>
      </c>
      <c r="C37" s="115">
        <v>4.03</v>
      </c>
      <c r="D37" s="117" t="s">
        <v>160</v>
      </c>
      <c r="E37" s="119">
        <f>'2018'!I266</f>
      </c>
      <c r="F37" s="119">
        <f>'2018'!J266</f>
      </c>
      <c r="G37" s="119">
        <f>'2018'!M266</f>
      </c>
      <c r="H37" s="119">
        <f>'2018'!N266</f>
      </c>
      <c r="I37" s="119">
        <f>'2018'!Q266</f>
      </c>
      <c r="J37" s="119">
        <f>'2018'!R266</f>
      </c>
      <c r="K37" s="119">
        <f>'2018'!U266</f>
      </c>
      <c r="L37" s="119">
        <f>'2018'!V266</f>
      </c>
      <c r="M37" s="119">
        <f>'2018'!Y266</f>
        <v>0</v>
      </c>
      <c r="N37" s="119">
        <f>'2018'!Z266</f>
      </c>
      <c r="O37" s="119">
        <f>'2018'!AC266</f>
        <v>20</v>
      </c>
      <c r="P37" s="119">
        <f>'2018'!AD266</f>
        <v>20</v>
      </c>
      <c r="Q37" s="119">
        <f>'2018'!AG266</f>
        <v>20</v>
      </c>
      <c r="R37" s="119">
        <f>'2018'!AH266</f>
        <v>0</v>
      </c>
      <c r="S37" s="119">
        <f>'2018'!AK266</f>
        <v>25</v>
      </c>
      <c r="T37" s="119">
        <f>'2018'!AL266</f>
        <v>5</v>
      </c>
      <c r="U37" s="119">
        <f>'2018'!AO266</f>
        <v>25</v>
      </c>
      <c r="V37" s="119">
        <f>'2018'!AP266</f>
        <v>0</v>
      </c>
      <c r="W37" s="119">
        <f>'2018'!AS266</f>
      </c>
      <c r="X37" s="119">
        <f>'2018'!AT266</f>
      </c>
      <c r="Y37" s="119">
        <f>'2018'!AW266</f>
      </c>
      <c r="Z37" s="119">
        <f>'2018'!AX266</f>
      </c>
      <c r="AA37" s="119">
        <f>'2018'!BA266</f>
      </c>
      <c r="AB37" s="119">
        <f>'2018'!BB266</f>
      </c>
      <c r="AC37" s="119">
        <f>'2018'!BE266</f>
        <v>25</v>
      </c>
    </row>
    <row r="38" ht="15.75" customHeight="1" spans="1:29" x14ac:dyDescent="0.25">
      <c r="A38" s="14"/>
      <c r="B38" s="115">
        <v>37</v>
      </c>
      <c r="C38" s="115">
        <v>4.06</v>
      </c>
      <c r="D38" s="117" t="s">
        <v>162</v>
      </c>
      <c r="E38" s="119">
        <f>'2018'!I274</f>
      </c>
      <c r="F38" s="119">
        <f>'2018'!J274</f>
      </c>
      <c r="G38" s="119">
        <f>'2018'!M274</f>
      </c>
      <c r="H38" s="119">
        <f>'2018'!N274</f>
      </c>
      <c r="I38" s="119">
        <f>'2018'!Q274</f>
      </c>
      <c r="J38" s="119">
        <f>'2018'!R274</f>
      </c>
      <c r="K38" s="119">
        <f>'2018'!U274</f>
      </c>
      <c r="L38" s="119">
        <f>'2018'!V274</f>
      </c>
      <c r="M38" s="119">
        <f>'2018'!Y274</f>
        <v>117</v>
      </c>
      <c r="N38" s="119">
        <f>'2018'!Z274</f>
      </c>
      <c r="O38" s="119">
        <f>'2018'!AC274</f>
        <v>119</v>
      </c>
      <c r="P38" s="119">
        <f>'2018'!AD274</f>
        <v>2</v>
      </c>
      <c r="Q38" s="119">
        <f>'2018'!AG274</f>
        <v>129</v>
      </c>
      <c r="R38" s="119">
        <f>'2018'!AH274</f>
        <v>10</v>
      </c>
      <c r="S38" s="119">
        <f>'2018'!AK274</f>
        <v>129</v>
      </c>
      <c r="T38" s="119">
        <f>'2018'!AL274</f>
        <v>0</v>
      </c>
      <c r="U38" s="119">
        <f>'2018'!AO274</f>
        <v>137</v>
      </c>
      <c r="V38" s="119">
        <f>'2018'!AP274</f>
        <v>8</v>
      </c>
      <c r="W38" s="119">
        <f>'2018'!AS274</f>
      </c>
      <c r="X38" s="119">
        <f>'2018'!AT274</f>
      </c>
      <c r="Y38" s="119">
        <f>'2018'!AW274</f>
      </c>
      <c r="Z38" s="119">
        <f>'2018'!AX274</f>
      </c>
      <c r="AA38" s="119">
        <f>'2018'!BA274</f>
      </c>
      <c r="AB38" s="119">
        <f>'2018'!BB274</f>
      </c>
      <c r="AC38" s="119">
        <f>'2018'!BE274</f>
        <v>20</v>
      </c>
    </row>
    <row r="39" ht="15.75" customHeight="1" spans="1:29" x14ac:dyDescent="0.25">
      <c r="A39" s="14"/>
      <c r="B39" s="115">
        <v>38</v>
      </c>
      <c r="C39" s="115">
        <v>4.34</v>
      </c>
      <c r="D39" s="117" t="s">
        <v>167</v>
      </c>
      <c r="E39" s="119">
        <f>'2018'!I282</f>
      </c>
      <c r="F39" s="119">
        <f>'2018'!J282</f>
      </c>
      <c r="G39" s="119">
        <f>'2018'!M282</f>
      </c>
      <c r="H39" s="119">
        <f>'2018'!N282</f>
      </c>
      <c r="I39" s="119">
        <f>'2018'!Q282</f>
      </c>
      <c r="J39" s="119">
        <f>'2018'!R282</f>
      </c>
      <c r="K39" s="119">
        <f>'2018'!U282</f>
      </c>
      <c r="L39" s="119">
        <f>'2018'!V282</f>
      </c>
      <c r="M39" s="119">
        <f>'2018'!Y282</f>
        <v>58</v>
      </c>
      <c r="N39" s="119">
        <f>'2018'!Z282</f>
      </c>
      <c r="O39" s="119">
        <f>'2018'!AC282</f>
        <v>58</v>
      </c>
      <c r="P39" s="119">
        <f>'2018'!AD282</f>
        <v>0</v>
      </c>
      <c r="Q39" s="119">
        <f>'2018'!AG282</f>
        <v>58</v>
      </c>
      <c r="R39" s="119">
        <f>'2018'!AH282</f>
        <v>0</v>
      </c>
      <c r="S39" s="119">
        <f>'2018'!AK282</f>
        <v>75</v>
      </c>
      <c r="T39" s="119">
        <f>'2018'!AL282</f>
        <v>17</v>
      </c>
      <c r="U39" s="119">
        <f>'2018'!AO282</f>
        <v>75</v>
      </c>
      <c r="V39" s="119">
        <f>'2018'!AP282</f>
        <v>0</v>
      </c>
      <c r="W39" s="119">
        <f>'2018'!AS282</f>
      </c>
      <c r="X39" s="119">
        <f>'2018'!AT282</f>
      </c>
      <c r="Y39" s="119">
        <f>'2018'!AW282</f>
      </c>
      <c r="Z39" s="119">
        <f>'2018'!AX282</f>
      </c>
      <c r="AA39" s="119">
        <f>'2018'!BA282</f>
      </c>
      <c r="AB39" s="119">
        <f>'2018'!BB282</f>
      </c>
      <c r="AC39" s="119">
        <f>'2018'!BE282</f>
        <v>17</v>
      </c>
    </row>
    <row r="40" ht="15.75" customHeight="1" spans="1:29" x14ac:dyDescent="0.25">
      <c r="A40" s="21"/>
      <c r="B40" s="115">
        <v>39</v>
      </c>
      <c r="C40" s="116">
        <v>4</v>
      </c>
      <c r="D40" s="117" t="s">
        <v>169</v>
      </c>
      <c r="E40" s="119">
        <f>'2018'!I290</f>
      </c>
      <c r="F40" s="119">
        <f>'2018'!J290</f>
      </c>
      <c r="G40" s="119">
        <f>'2018'!M290</f>
      </c>
      <c r="H40" s="119">
        <f>'2018'!N290</f>
      </c>
      <c r="I40" s="119">
        <f>'2018'!Q290</f>
      </c>
      <c r="J40" s="119">
        <f>'2018'!R290</f>
      </c>
      <c r="K40" s="119">
        <f>'2018'!U290</f>
      </c>
      <c r="L40" s="119">
        <f>'2018'!V290</f>
      </c>
      <c r="M40" s="119">
        <f>'2018'!Y290</f>
      </c>
      <c r="N40" s="119">
        <f>'2018'!Z290</f>
      </c>
      <c r="O40" s="119">
        <f>'2018'!AC290</f>
      </c>
      <c r="P40" s="119">
        <f>'2018'!AD290</f>
      </c>
      <c r="Q40" s="119">
        <f>'2018'!AG290</f>
      </c>
      <c r="R40" s="119">
        <f>'2018'!AH290</f>
      </c>
      <c r="S40" s="119">
        <f>'2018'!AK290</f>
      </c>
      <c r="T40" s="119">
        <f>'2018'!AL290</f>
      </c>
      <c r="U40" s="119">
        <f>'2018'!AO290</f>
      </c>
      <c r="V40" s="119">
        <f>'2018'!AP290</f>
      </c>
      <c r="W40" s="119">
        <f>'2018'!AS290</f>
      </c>
      <c r="X40" s="119">
        <f>'2018'!AT290</f>
      </c>
      <c r="Y40" s="119">
        <f>'2018'!AW290</f>
      </c>
      <c r="Z40" s="119">
        <f>'2018'!AX290</f>
      </c>
      <c r="AA40" s="119">
        <f>'2018'!BA290</f>
      </c>
      <c r="AB40" s="119">
        <f>'2018'!BB290</f>
      </c>
      <c r="AC40" s="119">
        <f>'2018'!BE290</f>
        <v>0</v>
      </c>
    </row>
    <row r="41" ht="15.75" customHeight="1" spans="1:29" x14ac:dyDescent="0.25">
      <c r="A41" s="114" t="s">
        <v>173</v>
      </c>
      <c r="B41" s="115">
        <v>40</v>
      </c>
      <c r="C41" s="115">
        <v>4.92</v>
      </c>
      <c r="D41" s="117" t="s">
        <v>174</v>
      </c>
      <c r="E41" s="119">
        <f>'2018'!I298</f>
      </c>
      <c r="F41" s="119">
        <f>'2018'!J298</f>
      </c>
      <c r="G41" s="119">
        <f>'2018'!M298</f>
      </c>
      <c r="H41" s="119">
        <f>'2018'!N298</f>
      </c>
      <c r="I41" s="119">
        <f>'2018'!Q298</f>
      </c>
      <c r="J41" s="119">
        <f>'2018'!R298</f>
      </c>
      <c r="K41" s="119">
        <f>'2018'!U298</f>
      </c>
      <c r="L41" s="119">
        <f>'2018'!V298</f>
      </c>
      <c r="M41" s="119">
        <f>'2018'!Y298</f>
        <v>91</v>
      </c>
      <c r="N41" s="119">
        <f>'2018'!Z298</f>
      </c>
      <c r="O41" s="119">
        <f>'2018'!AC298</f>
        <v>91</v>
      </c>
      <c r="P41" s="119">
        <f>'2018'!AD298</f>
        <v>0</v>
      </c>
      <c r="Q41" s="119">
        <f>'2018'!AG298</f>
        <v>91</v>
      </c>
      <c r="R41" s="119">
        <f>'2018'!AH298</f>
        <v>0</v>
      </c>
      <c r="S41" s="119">
        <f>'2018'!AK298</f>
        <v>91</v>
      </c>
      <c r="T41" s="119">
        <f>'2018'!AL298</f>
        <v>0</v>
      </c>
      <c r="U41" s="119">
        <f>'2018'!AO298</f>
        <v>91</v>
      </c>
      <c r="V41" s="119">
        <f>'2018'!AP298</f>
        <v>0</v>
      </c>
      <c r="W41" s="119">
        <f>'2018'!AS298</f>
      </c>
      <c r="X41" s="119">
        <f>'2018'!AT298</f>
      </c>
      <c r="Y41" s="119">
        <f>'2018'!AW298</f>
      </c>
      <c r="Z41" s="119">
        <f>'2018'!AX298</f>
      </c>
      <c r="AA41" s="119">
        <f>'2018'!BA298</f>
      </c>
      <c r="AB41" s="119">
        <f>'2018'!BB298</f>
      </c>
      <c r="AC41" s="119">
        <f>'2018'!BE298</f>
        <v>0</v>
      </c>
    </row>
    <row r="42" ht="15.75" customHeight="1" spans="1:29" x14ac:dyDescent="0.25">
      <c r="A42" s="14"/>
      <c r="B42" s="115">
        <v>41</v>
      </c>
      <c r="C42" s="115">
        <v>4.87</v>
      </c>
      <c r="D42" s="117" t="s">
        <v>177</v>
      </c>
      <c r="E42" s="119">
        <f>'2018'!I306</f>
      </c>
      <c r="F42" s="119">
        <f>'2018'!J306</f>
      </c>
      <c r="G42" s="119">
        <f>'2018'!M306</f>
      </c>
      <c r="H42" s="119">
        <f>'2018'!N306</f>
      </c>
      <c r="I42" s="119">
        <f>'2018'!Q306</f>
      </c>
      <c r="J42" s="119">
        <f>'2018'!R306</f>
      </c>
      <c r="K42" s="119">
        <f>'2018'!U306</f>
      </c>
      <c r="L42" s="119">
        <f>'2018'!V306</f>
      </c>
      <c r="M42" s="119">
        <f>'2018'!Y306</f>
        <v>27</v>
      </c>
      <c r="N42" s="119">
        <f>'2018'!Z306</f>
      </c>
      <c r="O42" s="119">
        <f>'2018'!AC306</f>
        <v>27</v>
      </c>
      <c r="P42" s="119">
        <f>'2018'!AD306</f>
        <v>0</v>
      </c>
      <c r="Q42" s="119">
        <f>'2018'!AG306</f>
        <v>27</v>
      </c>
      <c r="R42" s="119">
        <f>'2018'!AH306</f>
        <v>0</v>
      </c>
      <c r="S42" s="119">
        <f>'2018'!AK306</f>
        <v>27</v>
      </c>
      <c r="T42" s="119">
        <f>'2018'!AL306</f>
        <v>0</v>
      </c>
      <c r="U42" s="119">
        <f>'2018'!AO306</f>
        <v>27</v>
      </c>
      <c r="V42" s="119">
        <f>'2018'!AP306</f>
        <v>0</v>
      </c>
      <c r="W42" s="119">
        <f>'2018'!AS306</f>
      </c>
      <c r="X42" s="119">
        <f>'2018'!AT306</f>
      </c>
      <c r="Y42" s="119">
        <f>'2018'!AW306</f>
      </c>
      <c r="Z42" s="119">
        <f>'2018'!AX306</f>
      </c>
      <c r="AA42" s="119">
        <f>'2018'!BA306</f>
      </c>
      <c r="AB42" s="119">
        <f>'2018'!BB306</f>
      </c>
      <c r="AC42" s="119">
        <f>'2018'!BE306</f>
        <v>0</v>
      </c>
    </row>
    <row r="43" ht="15.75" customHeight="1" spans="1:29" x14ac:dyDescent="0.25">
      <c r="A43" s="14"/>
      <c r="B43" s="115">
        <v>42</v>
      </c>
      <c r="C43" s="116">
        <v>4.9</v>
      </c>
      <c r="D43" s="117" t="s">
        <v>360</v>
      </c>
      <c r="E43" s="119">
        <f>'2018'!I314</f>
      </c>
      <c r="F43" s="119">
        <f>'2018'!J314</f>
      </c>
      <c r="G43" s="119">
        <f>'2018'!M314</f>
      </c>
      <c r="H43" s="119">
        <f>'2018'!N314</f>
      </c>
      <c r="I43" s="119">
        <f>'2018'!Q314</f>
      </c>
      <c r="J43" s="119">
        <f>'2018'!R314</f>
      </c>
      <c r="K43" s="119">
        <f>'2018'!U314</f>
      </c>
      <c r="L43" s="119">
        <f>'2018'!V314</f>
      </c>
      <c r="M43" s="119">
        <f>'2018'!Y314</f>
      </c>
      <c r="N43" s="119">
        <f>'2018'!Z314</f>
      </c>
      <c r="O43" s="119">
        <f>'2018'!AC314</f>
      </c>
      <c r="P43" s="119">
        <f>'2018'!AD314</f>
        <v>0</v>
      </c>
      <c r="Q43" s="119">
        <f>'2018'!AG314</f>
      </c>
      <c r="R43" s="119">
        <f>'2018'!AH314</f>
        <v>0</v>
      </c>
      <c r="S43" s="119">
        <f>'2018'!AK314</f>
      </c>
      <c r="T43" s="119">
        <f>'2018'!AL314</f>
      </c>
      <c r="U43" s="119">
        <f>'2018'!AO314</f>
      </c>
      <c r="V43" s="119">
        <f>'2018'!AP314</f>
      </c>
      <c r="W43" s="119">
        <f>'2018'!AS314</f>
      </c>
      <c r="X43" s="119">
        <f>'2018'!AT314</f>
      </c>
      <c r="Y43" s="119">
        <f>'2018'!AW314</f>
      </c>
      <c r="Z43" s="119">
        <f>'2018'!AX314</f>
      </c>
      <c r="AA43" s="119">
        <f>'2018'!BA314</f>
      </c>
      <c r="AB43" s="119">
        <f>'2018'!BB314</f>
      </c>
      <c r="AC43" s="119">
        <f>'2018'!BE314</f>
        <v>0</v>
      </c>
    </row>
    <row r="44" ht="15.75" customHeight="1" spans="1:29" x14ac:dyDescent="0.25">
      <c r="A44" s="14"/>
      <c r="B44" s="115">
        <v>43</v>
      </c>
      <c r="C44" s="115">
        <v>4.96</v>
      </c>
      <c r="D44" s="117" t="s">
        <v>185</v>
      </c>
      <c r="E44" s="119">
        <f>'2018'!I322</f>
      </c>
      <c r="F44" s="119">
        <f>'2018'!J322</f>
      </c>
      <c r="G44" s="119">
        <f>'2018'!M322</f>
      </c>
      <c r="H44" s="119">
        <f>'2018'!N322</f>
      </c>
      <c r="I44" s="119">
        <f>'2018'!Q322</f>
      </c>
      <c r="J44" s="119">
        <f>'2018'!R322</f>
      </c>
      <c r="K44" s="119">
        <f>'2018'!U322</f>
      </c>
      <c r="L44" s="119">
        <f>'2018'!V322</f>
      </c>
      <c r="M44" s="119">
        <f>'2018'!Y322</f>
        <v>0</v>
      </c>
      <c r="N44" s="119">
        <f>'2018'!Z322</f>
      </c>
      <c r="O44" s="119">
        <f>'2018'!AC322</f>
        <v>0</v>
      </c>
      <c r="P44" s="119">
        <f>'2018'!AD322</f>
        <v>0</v>
      </c>
      <c r="Q44" s="119">
        <f>'2018'!AG322</f>
        <v>0</v>
      </c>
      <c r="R44" s="119">
        <f>'2018'!AH322</f>
        <v>0</v>
      </c>
      <c r="S44" s="119">
        <f>'2018'!AK322</f>
        <v>37</v>
      </c>
      <c r="T44" s="119">
        <f>'2018'!AL322</f>
        <v>37</v>
      </c>
      <c r="U44" s="119">
        <f>'2018'!AO322</f>
        <v>37</v>
      </c>
      <c r="V44" s="119">
        <f>'2018'!AP322</f>
        <v>0</v>
      </c>
      <c r="W44" s="119">
        <f>'2018'!AS322</f>
      </c>
      <c r="X44" s="119">
        <f>'2018'!AT322</f>
      </c>
      <c r="Y44" s="119">
        <f>'2018'!AW322</f>
      </c>
      <c r="Z44" s="119">
        <f>'2018'!AX322</f>
      </c>
      <c r="AA44" s="119">
        <f>'2018'!BA322</f>
      </c>
      <c r="AB44" s="119">
        <f>'2018'!BB322</f>
      </c>
      <c r="AC44" s="119">
        <f>'2018'!BE322</f>
        <v>37</v>
      </c>
    </row>
    <row r="45" ht="15.75" customHeight="1" spans="1:29" x14ac:dyDescent="0.25">
      <c r="A45" s="14"/>
      <c r="B45" s="115">
        <v>44</v>
      </c>
      <c r="C45" s="115">
        <v>4.01</v>
      </c>
      <c r="D45" s="117" t="s">
        <v>188</v>
      </c>
      <c r="E45" s="119">
        <f>'2018'!I330</f>
      </c>
      <c r="F45" s="119">
        <f>'2018'!J330</f>
      </c>
      <c r="G45" s="119">
        <f>'2018'!M330</f>
      </c>
      <c r="H45" s="119">
        <f>'2018'!N330</f>
      </c>
      <c r="I45" s="119">
        <f>'2018'!Q330</f>
      </c>
      <c r="J45" s="119">
        <f>'2018'!R330</f>
      </c>
      <c r="K45" s="119">
        <f>'2018'!U330</f>
      </c>
      <c r="L45" s="119">
        <f>'2018'!V330</f>
      </c>
      <c r="M45" s="119">
        <f>'2018'!Y330</f>
        <v>47</v>
      </c>
      <c r="N45" s="119">
        <f>'2018'!Z330</f>
      </c>
      <c r="O45" s="119">
        <f>'2018'!AC330</f>
        <v>47</v>
      </c>
      <c r="P45" s="119">
        <f>'2018'!AD330</f>
        <v>0</v>
      </c>
      <c r="Q45" s="119">
        <f>'2018'!AG330</f>
        <v>47</v>
      </c>
      <c r="R45" s="119">
        <f>'2018'!AH330</f>
        <v>0</v>
      </c>
      <c r="S45" s="119">
        <f>'2018'!AK330</f>
        <v>47</v>
      </c>
      <c r="T45" s="119">
        <f>'2018'!AL330</f>
        <v>0</v>
      </c>
      <c r="U45" s="119">
        <f>'2018'!AO330</f>
        <v>47</v>
      </c>
      <c r="V45" s="119">
        <f>'2018'!AP330</f>
        <v>0</v>
      </c>
      <c r="W45" s="119">
        <f>'2018'!AS330</f>
      </c>
      <c r="X45" s="119">
        <f>'2018'!AT330</f>
      </c>
      <c r="Y45" s="119">
        <f>'2018'!AW330</f>
      </c>
      <c r="Z45" s="119">
        <f>'2018'!AX330</f>
      </c>
      <c r="AA45" s="119">
        <f>'2018'!BA330</f>
      </c>
      <c r="AB45" s="119">
        <f>'2018'!BB330</f>
      </c>
      <c r="AC45" s="119">
        <f>'2018'!BE330</f>
        <v>0</v>
      </c>
    </row>
    <row r="46" ht="15.75" customHeight="1" spans="1:29" x14ac:dyDescent="0.25">
      <c r="A46" s="14"/>
      <c r="B46" s="115">
        <v>45</v>
      </c>
      <c r="C46" s="115">
        <v>5.04</v>
      </c>
      <c r="D46" s="117" t="s">
        <v>189</v>
      </c>
      <c r="E46" s="119">
        <f>'2018'!I338</f>
      </c>
      <c r="F46" s="119">
        <f>'2018'!J338</f>
      </c>
      <c r="G46" s="119">
        <f>'2018'!M338</f>
      </c>
      <c r="H46" s="119">
        <f>'2018'!N338</f>
      </c>
      <c r="I46" s="119">
        <f>'2018'!Q338</f>
      </c>
      <c r="J46" s="119">
        <f>'2018'!R338</f>
      </c>
      <c r="K46" s="119">
        <f>'2018'!U338</f>
      </c>
      <c r="L46" s="119">
        <f>'2018'!V338</f>
      </c>
      <c r="M46" s="119">
        <f>'2018'!Y338</f>
        <v>0</v>
      </c>
      <c r="N46" s="119">
        <f>'2018'!Z338</f>
      </c>
      <c r="O46" s="119">
        <f>'2018'!AC338</f>
        <v>3</v>
      </c>
      <c r="P46" s="119">
        <f>'2018'!AD338</f>
        <v>3</v>
      </c>
      <c r="Q46" s="119">
        <f>'2018'!AG338</f>
        <v>3</v>
      </c>
      <c r="R46" s="119">
        <f>'2018'!AH338</f>
        <v>0</v>
      </c>
      <c r="S46" s="119">
        <f>'2018'!AK338</f>
        <v>3</v>
      </c>
      <c r="T46" s="119">
        <f>'2018'!AL338</f>
        <v>0</v>
      </c>
      <c r="U46" s="119">
        <f>'2018'!AO338</f>
        <v>3</v>
      </c>
      <c r="V46" s="119">
        <f>'2018'!AP338</f>
        <v>0</v>
      </c>
      <c r="W46" s="119">
        <f>'2018'!AS338</f>
      </c>
      <c r="X46" s="119">
        <f>'2018'!AT338</f>
      </c>
      <c r="Y46" s="119">
        <f>'2018'!AW338</f>
      </c>
      <c r="Z46" s="119">
        <f>'2018'!AX338</f>
      </c>
      <c r="AA46" s="119">
        <f>'2018'!BA338</f>
      </c>
      <c r="AB46" s="119">
        <f>'2018'!BB338</f>
      </c>
      <c r="AC46" s="119">
        <f>'2018'!BE338</f>
        <v>3</v>
      </c>
    </row>
    <row r="47" ht="15.75" customHeight="1" spans="1:29" x14ac:dyDescent="0.25">
      <c r="A47" s="14"/>
      <c r="B47" s="115">
        <v>46</v>
      </c>
      <c r="C47" s="116">
        <v>4</v>
      </c>
      <c r="D47" s="117" t="s">
        <v>188</v>
      </c>
      <c r="E47" s="119">
        <f>'2018'!I346</f>
      </c>
      <c r="F47" s="119">
        <f>'2018'!J346</f>
      </c>
      <c r="G47" s="119">
        <f>'2018'!M346</f>
      </c>
      <c r="H47" s="119">
        <f>'2018'!N346</f>
      </c>
      <c r="I47" s="119">
        <f>'2018'!Q346</f>
      </c>
      <c r="J47" s="119">
        <f>'2018'!R346</f>
      </c>
      <c r="K47" s="119">
        <f>'2018'!U346</f>
      </c>
      <c r="L47" s="119">
        <f>'2018'!V346</f>
      </c>
      <c r="M47" s="119">
        <f>'2018'!Y346</f>
        <v>77</v>
      </c>
      <c r="N47" s="119">
        <f>'2018'!Z346</f>
      </c>
      <c r="O47" s="119">
        <f>'2018'!AC346</f>
        <v>79</v>
      </c>
      <c r="P47" s="119">
        <f>'2018'!AD346</f>
        <v>2</v>
      </c>
      <c r="Q47" s="119">
        <f>'2018'!AG346</f>
        <v>81</v>
      </c>
      <c r="R47" s="119">
        <f>'2018'!AH346</f>
        <v>2</v>
      </c>
      <c r="S47" s="119">
        <f>'2018'!AK346</f>
        <v>81</v>
      </c>
      <c r="T47" s="119">
        <f>'2018'!AL346</f>
        <v>0</v>
      </c>
      <c r="U47" s="119">
        <f>'2018'!AO346</f>
        <v>83</v>
      </c>
      <c r="V47" s="119">
        <f>'2018'!AP346</f>
        <v>2</v>
      </c>
      <c r="W47" s="119">
        <f>'2018'!AS346</f>
      </c>
      <c r="X47" s="119">
        <f>'2018'!AT346</f>
      </c>
      <c r="Y47" s="119">
        <f>'2018'!AW346</f>
      </c>
      <c r="Z47" s="119">
        <f>'2018'!AX346</f>
      </c>
      <c r="AA47" s="119">
        <f>'2018'!BA346</f>
      </c>
      <c r="AB47" s="119">
        <f>'2018'!BB346</f>
      </c>
      <c r="AC47" s="119">
        <f>'2018'!BE346</f>
        <v>6</v>
      </c>
    </row>
    <row r="48" ht="15.75" customHeight="1" spans="1:29" x14ac:dyDescent="0.25">
      <c r="A48" s="14"/>
      <c r="B48" s="115">
        <v>47</v>
      </c>
      <c r="C48" s="116">
        <v>5</v>
      </c>
      <c r="D48" s="117" t="s">
        <v>192</v>
      </c>
      <c r="E48" s="119">
        <f>'2018'!I354</f>
      </c>
      <c r="F48" s="119">
        <f>'2018'!J354</f>
      </c>
      <c r="G48" s="119">
        <f>'2018'!M354</f>
      </c>
      <c r="H48" s="119">
        <f>'2018'!N354</f>
      </c>
      <c r="I48" s="119">
        <f>'2018'!Q354</f>
      </c>
      <c r="J48" s="119">
        <f>'2018'!R354</f>
      </c>
      <c r="K48" s="119">
        <f>'2018'!U354</f>
      </c>
      <c r="L48" s="119">
        <f>'2018'!V354</f>
      </c>
      <c r="M48" s="119">
        <f>'2018'!Y354</f>
        <v>0</v>
      </c>
      <c r="N48" s="119">
        <f>'2018'!Z354</f>
      </c>
      <c r="O48" s="119">
        <f>'2018'!AC354</f>
        <v>0</v>
      </c>
      <c r="P48" s="119">
        <f>'2018'!AD354</f>
        <v>0</v>
      </c>
      <c r="Q48" s="119">
        <f>'2018'!AG354</f>
        <v>0</v>
      </c>
      <c r="R48" s="119">
        <f>'2018'!AH354</f>
        <v>0</v>
      </c>
      <c r="S48" s="119">
        <f>'2018'!AK354</f>
        <v>7</v>
      </c>
      <c r="T48" s="119">
        <f>'2018'!AL354</f>
        <v>7</v>
      </c>
      <c r="U48" s="119">
        <f>'2018'!AO354</f>
        <v>9</v>
      </c>
      <c r="V48" s="119">
        <f>'2018'!AP354</f>
        <v>2</v>
      </c>
      <c r="W48" s="119">
        <f>'2018'!AS354</f>
      </c>
      <c r="X48" s="119">
        <f>'2018'!AT354</f>
      </c>
      <c r="Y48" s="119">
        <f>'2018'!AW354</f>
      </c>
      <c r="Z48" s="119">
        <f>'2018'!AX354</f>
      </c>
      <c r="AA48" s="119">
        <f>'2018'!BA354</f>
      </c>
      <c r="AB48" s="119">
        <f>'2018'!BB354</f>
      </c>
      <c r="AC48" s="119">
        <f>'2018'!BE354</f>
        <v>9</v>
      </c>
    </row>
    <row r="49" ht="15.75" customHeight="1" spans="1:29" x14ac:dyDescent="0.25">
      <c r="A49" s="14"/>
      <c r="B49" s="115">
        <v>48</v>
      </c>
      <c r="C49" s="115">
        <v>5.93</v>
      </c>
      <c r="D49" s="117" t="s">
        <v>97</v>
      </c>
      <c r="E49" s="119">
        <f>'2018'!I362</f>
      </c>
      <c r="F49" s="119">
        <f>'2018'!J362</f>
      </c>
      <c r="G49" s="119">
        <f>'2018'!M362</f>
      </c>
      <c r="H49" s="119">
        <f>'2018'!N362</f>
      </c>
      <c r="I49" s="119">
        <f>'2018'!Q362</f>
      </c>
      <c r="J49" s="119">
        <f>'2018'!R362</f>
      </c>
      <c r="K49" s="119">
        <f>'2018'!U362</f>
      </c>
      <c r="L49" s="119">
        <f>'2018'!V362</f>
      </c>
      <c r="M49" s="119">
        <f>'2018'!Y362</f>
        <v>65</v>
      </c>
      <c r="N49" s="119">
        <f>'2018'!Z362</f>
      </c>
      <c r="O49" s="119">
        <f>'2018'!AC362</f>
        <v>65</v>
      </c>
      <c r="P49" s="119">
        <f>'2018'!AD362</f>
        <v>0</v>
      </c>
      <c r="Q49" s="119">
        <f>'2018'!AG362</f>
        <v>65</v>
      </c>
      <c r="R49" s="119">
        <f>'2018'!AH362</f>
        <v>0</v>
      </c>
      <c r="S49" s="119">
        <f>'2018'!AK362</f>
        <v>83</v>
      </c>
      <c r="T49" s="119">
        <f>'2018'!AL362</f>
        <v>18</v>
      </c>
      <c r="U49" s="119">
        <f>'2018'!AO362</f>
        <v>83</v>
      </c>
      <c r="V49" s="119">
        <f>'2018'!AP362</f>
        <v>0</v>
      </c>
      <c r="W49" s="119">
        <f>'2018'!AS362</f>
      </c>
      <c r="X49" s="119">
        <f>'2018'!AT362</f>
      </c>
      <c r="Y49" s="119">
        <f>'2018'!AW362</f>
      </c>
      <c r="Z49" s="119">
        <f>'2018'!AX362</f>
      </c>
      <c r="AA49" s="119">
        <f>'2018'!BA362</f>
      </c>
      <c r="AB49" s="119">
        <f>'2018'!BB362</f>
      </c>
      <c r="AC49" s="119">
        <f>'2018'!BE362</f>
        <v>18</v>
      </c>
    </row>
    <row r="50" ht="15.75" customHeight="1" spans="1:29" x14ac:dyDescent="0.25">
      <c r="A50" s="14"/>
      <c r="B50" s="115">
        <v>49</v>
      </c>
      <c r="C50" s="115">
        <v>5.03</v>
      </c>
      <c r="D50" s="117" t="s">
        <v>197</v>
      </c>
      <c r="E50" s="119">
        <f>'2018'!I370</f>
      </c>
      <c r="F50" s="119">
        <f>'2018'!J370</f>
      </c>
      <c r="G50" s="119">
        <f>'2018'!M370</f>
      </c>
      <c r="H50" s="119">
        <f>'2018'!N370</f>
      </c>
      <c r="I50" s="119">
        <f>'2018'!Q370</f>
      </c>
      <c r="J50" s="119">
        <f>'2018'!R370</f>
      </c>
      <c r="K50" s="119">
        <f>'2018'!U370</f>
      </c>
      <c r="L50" s="119">
        <f>'2018'!V370</f>
      </c>
      <c r="M50" s="119">
        <f>'2018'!Y370</f>
        <v>105</v>
      </c>
      <c r="N50" s="119">
        <f>'2018'!Z370</f>
      </c>
      <c r="O50" s="119">
        <f>'2018'!AC370</f>
        <v>110</v>
      </c>
      <c r="P50" s="119">
        <f>'2018'!AD370</f>
        <v>5</v>
      </c>
      <c r="Q50" s="119">
        <f>'2018'!AG370</f>
        <v>110</v>
      </c>
      <c r="R50" s="119">
        <f>'2018'!AH370</f>
        <v>0</v>
      </c>
      <c r="S50" s="119">
        <f>'2018'!AK370</f>
        <v>125</v>
      </c>
      <c r="T50" s="119">
        <f>'2018'!AL370</f>
        <v>15</v>
      </c>
      <c r="U50" s="119">
        <f>'2018'!AO370</f>
        <v>131</v>
      </c>
      <c r="V50" s="119">
        <f>'2018'!AP370</f>
        <v>6</v>
      </c>
      <c r="W50" s="119">
        <f>'2018'!AS370</f>
      </c>
      <c r="X50" s="119">
        <f>'2018'!AT370</f>
      </c>
      <c r="Y50" s="119">
        <f>'2018'!AW370</f>
      </c>
      <c r="Z50" s="119">
        <f>'2018'!AX370</f>
      </c>
      <c r="AA50" s="119">
        <f>'2018'!BA370</f>
      </c>
      <c r="AB50" s="119">
        <f>'2018'!BB370</f>
      </c>
      <c r="AC50" s="119">
        <f>'2018'!BE370</f>
        <v>26</v>
      </c>
    </row>
    <row r="51" ht="15.75" customHeight="1" spans="1:29" x14ac:dyDescent="0.25">
      <c r="A51" s="14"/>
      <c r="B51" s="115">
        <v>50</v>
      </c>
      <c r="C51" s="115">
        <v>6.05</v>
      </c>
      <c r="D51" s="117" t="s">
        <v>361</v>
      </c>
      <c r="E51" s="119">
        <f>'2018'!I378</f>
      </c>
      <c r="F51" s="119">
        <f>'2018'!J378</f>
      </c>
      <c r="G51" s="119">
        <f>'2018'!M378</f>
      </c>
      <c r="H51" s="119">
        <f>'2018'!N378</f>
      </c>
      <c r="I51" s="119">
        <f>'2018'!Q378</f>
      </c>
      <c r="J51" s="119">
        <f>'2018'!R378</f>
      </c>
      <c r="K51" s="119">
        <f>'2018'!U378</f>
      </c>
      <c r="L51" s="119">
        <f>'2018'!V378</f>
      </c>
      <c r="M51" s="119">
        <f>'2018'!Y378</f>
        <v>161</v>
      </c>
      <c r="N51" s="119">
        <f>'2018'!Z378</f>
      </c>
      <c r="O51" s="119">
        <f>'2018'!AC378</f>
        <v>165</v>
      </c>
      <c r="P51" s="119">
        <f>'2018'!AD378</f>
        <v>4</v>
      </c>
      <c r="Q51" s="119">
        <f>'2018'!AG378</f>
        <v>165</v>
      </c>
      <c r="R51" s="119">
        <f>'2018'!AH378</f>
        <v>0</v>
      </c>
      <c r="S51" s="119">
        <f>'2018'!AK378</f>
        <v>165</v>
      </c>
      <c r="T51" s="119">
        <f>'2018'!AL378</f>
        <v>0</v>
      </c>
      <c r="U51" s="119">
        <f>'2018'!AO378</f>
        <v>179</v>
      </c>
      <c r="V51" s="119">
        <f>'2018'!AP378</f>
        <v>14</v>
      </c>
      <c r="W51" s="119">
        <f>'2018'!AS378</f>
      </c>
      <c r="X51" s="119">
        <f>'2018'!AT378</f>
      </c>
      <c r="Y51" s="119">
        <f>'2018'!AW378</f>
      </c>
      <c r="Z51" s="119">
        <f>'2018'!AX378</f>
      </c>
      <c r="AA51" s="119">
        <f>'2018'!BA378</f>
      </c>
      <c r="AB51" s="119">
        <f>'2018'!BB378</f>
      </c>
      <c r="AC51" s="119">
        <f>'2018'!BE378</f>
        <v>18</v>
      </c>
    </row>
    <row r="52" ht="15.75" customHeight="1" spans="1:29" x14ac:dyDescent="0.25">
      <c r="A52" s="14"/>
      <c r="B52" s="115">
        <v>51</v>
      </c>
      <c r="C52" s="115">
        <v>4.95</v>
      </c>
      <c r="D52" s="117" t="s">
        <v>204</v>
      </c>
      <c r="E52" s="119">
        <f>'2018'!I386</f>
      </c>
      <c r="F52" s="119">
        <f>'2018'!J386</f>
      </c>
      <c r="G52" s="119">
        <f>'2018'!M386</f>
      </c>
      <c r="H52" s="119">
        <f>'2018'!N386</f>
      </c>
      <c r="I52" s="119">
        <f>'2018'!Q386</f>
      </c>
      <c r="J52" s="119">
        <f>'2018'!R386</f>
      </c>
      <c r="K52" s="119">
        <f>'2018'!U386</f>
      </c>
      <c r="L52" s="119">
        <f>'2018'!V386</f>
      </c>
      <c r="M52" s="119">
        <f>'2018'!Y386</f>
        <v>5</v>
      </c>
      <c r="N52" s="119">
        <f>'2018'!Z386</f>
      </c>
      <c r="O52" s="119">
        <f>'2018'!AC386</f>
        <v>5</v>
      </c>
      <c r="P52" s="119">
        <f>'2018'!AD386</f>
        <v>0</v>
      </c>
      <c r="Q52" s="119">
        <f>'2018'!AG386</f>
        <v>5</v>
      </c>
      <c r="R52" s="119">
        <f>'2018'!AH386</f>
        <v>0</v>
      </c>
      <c r="S52" s="119">
        <f>'2018'!AK386</f>
        <v>5</v>
      </c>
      <c r="T52" s="119">
        <f>'2018'!AL386</f>
        <v>0</v>
      </c>
      <c r="U52" s="119">
        <f>'2018'!AO386</f>
        <v>5</v>
      </c>
      <c r="V52" s="119">
        <f>'2018'!AP386</f>
        <v>0</v>
      </c>
      <c r="W52" s="119">
        <f>'2018'!AS386</f>
      </c>
      <c r="X52" s="119">
        <f>'2018'!AT386</f>
      </c>
      <c r="Y52" s="119">
        <f>'2018'!AW386</f>
      </c>
      <c r="Z52" s="119">
        <f>'2018'!AX386</f>
      </c>
      <c r="AA52" s="119">
        <f>'2018'!BA386</f>
      </c>
      <c r="AB52" s="119">
        <f>'2018'!BB386</f>
      </c>
      <c r="AC52" s="119">
        <f>'2018'!BE386</f>
        <v>0</v>
      </c>
    </row>
    <row r="53" ht="15.75" customHeight="1" spans="1:29" x14ac:dyDescent="0.25">
      <c r="A53" s="14"/>
      <c r="B53" s="115">
        <v>52</v>
      </c>
      <c r="C53" s="116">
        <v>5</v>
      </c>
      <c r="D53" s="117" t="s">
        <v>206</v>
      </c>
      <c r="E53" s="119">
        <f>'2018'!I394</f>
      </c>
      <c r="F53" s="119">
        <f>'2018'!J394</f>
      </c>
      <c r="G53" s="119">
        <f>'2018'!M394</f>
      </c>
      <c r="H53" s="119">
        <f>'2018'!N394</f>
      </c>
      <c r="I53" s="119">
        <f>'2018'!Q394</f>
      </c>
      <c r="J53" s="119">
        <f>'2018'!R394</f>
      </c>
      <c r="K53" s="119">
        <f>'2018'!U394</f>
      </c>
      <c r="L53" s="119">
        <f>'2018'!V394</f>
      </c>
      <c r="M53" s="119">
        <f>'2018'!Y394</f>
        <v>144</v>
      </c>
      <c r="N53" s="119">
        <f>'2018'!Z394</f>
      </c>
      <c r="O53" s="119">
        <f>'2018'!AC394</f>
        <v>144</v>
      </c>
      <c r="P53" s="119">
        <f>'2018'!AD394</f>
        <v>0</v>
      </c>
      <c r="Q53" s="119">
        <f>'2018'!AG394</f>
        <v>157</v>
      </c>
      <c r="R53" s="119">
        <f>'2018'!AH394</f>
        <v>13</v>
      </c>
      <c r="S53" s="119">
        <f>'2018'!AK394</f>
        <v>163</v>
      </c>
      <c r="T53" s="119">
        <f>'2018'!AL394</f>
        <v>6</v>
      </c>
      <c r="U53" s="119">
        <f>'2018'!AO394</f>
        <v>168</v>
      </c>
      <c r="V53" s="119">
        <f>'2018'!AP394</f>
        <v>5</v>
      </c>
      <c r="W53" s="119">
        <f>'2018'!AS394</f>
      </c>
      <c r="X53" s="119">
        <f>'2018'!AT394</f>
      </c>
      <c r="Y53" s="119">
        <f>'2018'!AW394</f>
      </c>
      <c r="Z53" s="119">
        <f>'2018'!AX394</f>
      </c>
      <c r="AA53" s="119">
        <f>'2018'!BA394</f>
      </c>
      <c r="AB53" s="119">
        <f>'2018'!BB394</f>
      </c>
      <c r="AC53" s="119">
        <f>'2018'!BE394</f>
        <v>24</v>
      </c>
    </row>
    <row r="54" ht="15.75" customHeight="1" spans="1:29" x14ac:dyDescent="0.25">
      <c r="A54" s="14"/>
      <c r="B54" s="115">
        <v>53</v>
      </c>
      <c r="C54" s="115">
        <v>5.05</v>
      </c>
      <c r="D54" s="117" t="s">
        <v>210</v>
      </c>
      <c r="E54" s="119">
        <f>'2018'!I402</f>
      </c>
      <c r="F54" s="119">
        <f>'2018'!J402</f>
      </c>
      <c r="G54" s="119">
        <f>'2018'!M402</f>
      </c>
      <c r="H54" s="119">
        <f>'2018'!N402</f>
      </c>
      <c r="I54" s="119">
        <f>'2018'!Q402</f>
      </c>
      <c r="J54" s="119">
        <f>'2018'!R402</f>
      </c>
      <c r="K54" s="119">
        <f>'2018'!U402</f>
      </c>
      <c r="L54" s="119">
        <f>'2018'!V402</f>
      </c>
      <c r="M54" s="119">
        <f>'2018'!Y402</f>
        <v>38</v>
      </c>
      <c r="N54" s="119">
        <f>'2018'!Z402</f>
      </c>
      <c r="O54" s="119">
        <f>'2018'!AC402</f>
        <v>43</v>
      </c>
      <c r="P54" s="119">
        <f>'2018'!AD402</f>
        <v>5</v>
      </c>
      <c r="Q54" s="119">
        <f>'2018'!AG402</f>
        <v>45</v>
      </c>
      <c r="R54" s="119">
        <f>'2018'!AH402</f>
        <v>2</v>
      </c>
      <c r="S54" s="119">
        <f>'2018'!AK402</f>
        <v>53</v>
      </c>
      <c r="T54" s="119">
        <f>'2018'!AL402</f>
        <v>8</v>
      </c>
      <c r="U54" s="119">
        <f>'2018'!AO402</f>
        <v>53</v>
      </c>
      <c r="V54" s="119">
        <f>'2018'!AP402</f>
        <v>0</v>
      </c>
      <c r="W54" s="119">
        <f>'2018'!AS402</f>
      </c>
      <c r="X54" s="119">
        <f>'2018'!AT402</f>
      </c>
      <c r="Y54" s="119">
        <f>'2018'!AW402</f>
      </c>
      <c r="Z54" s="119">
        <f>'2018'!AX402</f>
      </c>
      <c r="AA54" s="119">
        <f>'2018'!BA402</f>
      </c>
      <c r="AB54" s="119">
        <f>'2018'!BB402</f>
      </c>
      <c r="AC54" s="119">
        <f>'2018'!BE402</f>
        <v>15</v>
      </c>
    </row>
    <row r="55" ht="15.75" customHeight="1" spans="1:29" x14ac:dyDescent="0.25">
      <c r="A55" s="14"/>
      <c r="B55" s="115">
        <v>54</v>
      </c>
      <c r="C55" s="115">
        <v>5.54</v>
      </c>
      <c r="D55" s="117" t="s">
        <v>212</v>
      </c>
      <c r="E55" s="119">
        <f>'2018'!I410</f>
      </c>
      <c r="F55" s="119">
        <f>'2018'!J410</f>
      </c>
      <c r="G55" s="119">
        <f>'2018'!M410</f>
      </c>
      <c r="H55" s="119">
        <f>'2018'!N410</f>
      </c>
      <c r="I55" s="119">
        <f>'2018'!Q410</f>
      </c>
      <c r="J55" s="119">
        <f>'2018'!R410</f>
      </c>
      <c r="K55" s="119">
        <f>'2018'!U410</f>
      </c>
      <c r="L55" s="119">
        <f>'2018'!V410</f>
      </c>
      <c r="M55" s="119">
        <f>'2018'!Y410</f>
        <v>89</v>
      </c>
      <c r="N55" s="119">
        <f>'2018'!Z410</f>
      </c>
      <c r="O55" s="119">
        <f>'2018'!AC410</f>
        <v>89</v>
      </c>
      <c r="P55" s="119">
        <f>'2018'!AD410</f>
        <v>0</v>
      </c>
      <c r="Q55" s="119">
        <f>'2018'!AG410</f>
        <v>89</v>
      </c>
      <c r="R55" s="119">
        <f>'2018'!AH410</f>
        <v>0</v>
      </c>
      <c r="S55" s="119">
        <f>'2018'!AK410</f>
        <v>89</v>
      </c>
      <c r="T55" s="119">
        <f>'2018'!AL410</f>
        <v>0</v>
      </c>
      <c r="U55" s="119">
        <f>'2018'!AO410</f>
        <v>89</v>
      </c>
      <c r="V55" s="119">
        <f>'2018'!AP410</f>
        <v>0</v>
      </c>
      <c r="W55" s="119">
        <f>'2018'!AS410</f>
      </c>
      <c r="X55" s="119">
        <f>'2018'!AT410</f>
      </c>
      <c r="Y55" s="119">
        <f>'2018'!AW410</f>
      </c>
      <c r="Z55" s="119">
        <f>'2018'!AX410</f>
      </c>
      <c r="AA55" s="119">
        <f>'2018'!BA410</f>
      </c>
      <c r="AB55" s="119">
        <f>'2018'!BB410</f>
      </c>
      <c r="AC55" s="119">
        <f>'2018'!BE410</f>
        <v>0</v>
      </c>
    </row>
    <row r="56" ht="15.75" customHeight="1" spans="1:29" x14ac:dyDescent="0.25">
      <c r="A56" s="21"/>
      <c r="B56" s="115">
        <v>55</v>
      </c>
      <c r="C56" s="116">
        <v>5.5</v>
      </c>
      <c r="D56" s="117" t="s">
        <v>214</v>
      </c>
      <c r="E56" s="119">
        <f>'2018'!I418</f>
      </c>
      <c r="F56" s="119">
        <f>'2018'!J418</f>
      </c>
      <c r="G56" s="119">
        <f>'2018'!M418</f>
      </c>
      <c r="H56" s="119">
        <f>'2018'!N418</f>
      </c>
      <c r="I56" s="119">
        <f>'2018'!Q418</f>
      </c>
      <c r="J56" s="119">
        <f>'2018'!R418</f>
      </c>
      <c r="K56" s="119">
        <f>'2018'!U418</f>
      </c>
      <c r="L56" s="119">
        <f>'2018'!V418</f>
      </c>
      <c r="M56" s="119">
        <f>'2018'!Y418</f>
        <v>0</v>
      </c>
      <c r="N56" s="119">
        <f>'2018'!Z418</f>
      </c>
      <c r="O56" s="119">
        <f>'2018'!AC418</f>
        <v>0</v>
      </c>
      <c r="P56" s="119">
        <f>'2018'!AD418</f>
        <v>0</v>
      </c>
      <c r="Q56" s="119">
        <f>'2018'!AG418</f>
        <v>0</v>
      </c>
      <c r="R56" s="119">
        <f>'2018'!AH418</f>
        <v>0</v>
      </c>
      <c r="S56" s="119">
        <f>'2018'!AK418</f>
        <v>0</v>
      </c>
      <c r="T56" s="119">
        <f>'2018'!AL418</f>
        <v>0</v>
      </c>
      <c r="U56" s="119">
        <f>'2018'!AO418</f>
        <v>4</v>
      </c>
      <c r="V56" s="119">
        <f>'2018'!AP418</f>
        <v>4</v>
      </c>
      <c r="W56" s="119">
        <f>'2018'!AS418</f>
      </c>
      <c r="X56" s="119">
        <f>'2018'!AT418</f>
      </c>
      <c r="Y56" s="119">
        <f>'2018'!AW418</f>
      </c>
      <c r="Z56" s="119">
        <f>'2018'!AX418</f>
      </c>
      <c r="AA56" s="119">
        <f>'2018'!BA418</f>
      </c>
      <c r="AB56" s="119">
        <f>'2018'!BB418</f>
      </c>
      <c r="AC56" s="119">
        <f>'2018'!BE418</f>
        <v>4</v>
      </c>
    </row>
    <row r="57" ht="15.75" customHeight="1" spans="1:29" x14ac:dyDescent="0.25">
      <c r="A57" s="114" t="s">
        <v>217</v>
      </c>
      <c r="B57" s="115">
        <v>56</v>
      </c>
      <c r="C57" s="115">
        <v>6.23</v>
      </c>
      <c r="D57" s="117" t="s">
        <v>219</v>
      </c>
      <c r="E57" s="119">
        <f>'2018'!I426</f>
      </c>
      <c r="F57" s="119">
        <f>'2018'!J426</f>
      </c>
      <c r="G57" s="119">
        <f>'2018'!M426</f>
      </c>
      <c r="H57" s="119">
        <f>'2018'!N426</f>
      </c>
      <c r="I57" s="119">
        <f>'2018'!Q426</f>
      </c>
      <c r="J57" s="119">
        <f>'2018'!R426</f>
      </c>
      <c r="K57" s="119">
        <f>'2018'!U426</f>
      </c>
      <c r="L57" s="119">
        <f>'2018'!V426</f>
      </c>
      <c r="M57" s="119">
        <f>'2018'!Y426</f>
      </c>
      <c r="N57" s="119">
        <f>'2018'!Z426</f>
      </c>
      <c r="O57" s="119">
        <f>'2018'!AC426</f>
      </c>
      <c r="P57" s="119">
        <f>'2018'!AD426</f>
      </c>
      <c r="Q57" s="119">
        <f>'2018'!AG426</f>
      </c>
      <c r="R57" s="119">
        <f>'2018'!AH426</f>
      </c>
      <c r="S57" s="119">
        <f>'2018'!AK426</f>
      </c>
      <c r="T57" s="119">
        <f>'2018'!AL426</f>
      </c>
      <c r="U57" s="119">
        <f>'2018'!AO426</f>
      </c>
      <c r="V57" s="119">
        <f>'2018'!AP426</f>
      </c>
      <c r="W57" s="119">
        <f>'2018'!AS426</f>
      </c>
      <c r="X57" s="119">
        <f>'2018'!AT426</f>
      </c>
      <c r="Y57" s="119">
        <f>'2018'!AW426</f>
      </c>
      <c r="Z57" s="119">
        <f>'2018'!AX426</f>
      </c>
      <c r="AA57" s="119">
        <f>'2018'!BA426</f>
      </c>
      <c r="AB57" s="119">
        <f>'2018'!BB426</f>
      </c>
      <c r="AC57" s="119">
        <f>'2018'!BE426</f>
        <v>0</v>
      </c>
    </row>
    <row r="58" ht="15.75" customHeight="1" spans="1:29" x14ac:dyDescent="0.25">
      <c r="A58" s="14"/>
      <c r="B58" s="115">
        <v>57</v>
      </c>
      <c r="C58" s="116">
        <v>4</v>
      </c>
      <c r="D58" s="117" t="s">
        <v>221</v>
      </c>
      <c r="E58" s="119">
        <f>'2018'!I434</f>
      </c>
      <c r="F58" s="119">
        <f>'2018'!J434</f>
      </c>
      <c r="G58" s="119">
        <f>'2018'!M434</f>
      </c>
      <c r="H58" s="119">
        <f>'2018'!N434</f>
      </c>
      <c r="I58" s="119">
        <f>'2018'!Q434</f>
      </c>
      <c r="J58" s="119">
        <f>'2018'!R434</f>
      </c>
      <c r="K58" s="119">
        <f>'2018'!U434</f>
      </c>
      <c r="L58" s="119">
        <f>'2018'!V434</f>
      </c>
      <c r="M58" s="119">
        <f>'2018'!Y434</f>
        <v>1</v>
      </c>
      <c r="N58" s="119">
        <f>'2018'!Z434</f>
      </c>
      <c r="O58" s="119">
        <f>'2018'!AC434</f>
        <v>1</v>
      </c>
      <c r="P58" s="119">
        <f>'2018'!AD434</f>
        <v>0</v>
      </c>
      <c r="Q58" s="119">
        <f>'2018'!AG434</f>
        <v>21</v>
      </c>
      <c r="R58" s="119">
        <f>'2018'!AH434</f>
        <v>20</v>
      </c>
      <c r="S58" s="119">
        <f>'2018'!AK434</f>
        <v>21</v>
      </c>
      <c r="T58" s="119">
        <f>'2018'!AL434</f>
        <v>0</v>
      </c>
      <c r="U58" s="119">
        <f>'2018'!AO434</f>
        <v>21</v>
      </c>
      <c r="V58" s="119">
        <f>'2018'!AP434</f>
        <v>0</v>
      </c>
      <c r="W58" s="119">
        <f>'2018'!AS434</f>
      </c>
      <c r="X58" s="119">
        <f>'2018'!AT434</f>
      </c>
      <c r="Y58" s="119">
        <f>'2018'!AW434</f>
      </c>
      <c r="Z58" s="119">
        <f>'2018'!AX434</f>
      </c>
      <c r="AA58" s="119">
        <f>'2018'!BA434</f>
      </c>
      <c r="AB58" s="119">
        <f>'2018'!BB434</f>
      </c>
      <c r="AC58" s="119">
        <f>'2018'!BE434</f>
        <v>20</v>
      </c>
    </row>
    <row r="59" ht="15.75" customHeight="1" spans="1:29" x14ac:dyDescent="0.25">
      <c r="A59" s="14"/>
      <c r="B59" s="115">
        <v>59</v>
      </c>
      <c r="C59" s="116">
        <v>4</v>
      </c>
      <c r="D59" s="117" t="s">
        <v>221</v>
      </c>
      <c r="E59" s="119">
        <f>'2018'!I442</f>
      </c>
      <c r="F59" s="119">
        <f>'2018'!J442</f>
      </c>
      <c r="G59" s="119">
        <f>'2018'!M442</f>
      </c>
      <c r="H59" s="119">
        <f>'2018'!N442</f>
      </c>
      <c r="I59" s="119">
        <f>'2018'!Q442</f>
      </c>
      <c r="J59" s="119">
        <f>'2018'!R442</f>
      </c>
      <c r="K59" s="119">
        <f>'2018'!U442</f>
      </c>
      <c r="L59" s="119">
        <f>'2018'!V442</f>
      </c>
      <c r="M59" s="119">
        <f>'2018'!Y442</f>
      </c>
      <c r="N59" s="119">
        <f>'2018'!Z442</f>
      </c>
      <c r="O59" s="119">
        <f>'2018'!AC442</f>
      </c>
      <c r="P59" s="119">
        <f>'2018'!AD442</f>
      </c>
      <c r="Q59" s="119">
        <f>'2018'!AG442</f>
      </c>
      <c r="R59" s="119">
        <f>'2018'!AH442</f>
      </c>
      <c r="S59" s="119">
        <f>'2018'!AK442</f>
      </c>
      <c r="T59" s="119">
        <f>'2018'!AL442</f>
      </c>
      <c r="U59" s="119">
        <f>'2018'!AO442</f>
      </c>
      <c r="V59" s="119">
        <f>'2018'!AP442</f>
      </c>
      <c r="W59" s="119">
        <f>'2018'!AS442</f>
      </c>
      <c r="X59" s="119">
        <f>'2018'!AT442</f>
      </c>
      <c r="Y59" s="119">
        <f>'2018'!AW442</f>
      </c>
      <c r="Z59" s="119">
        <f>'2018'!AX442</f>
      </c>
      <c r="AA59" s="119">
        <f>'2018'!BA442</f>
      </c>
      <c r="AB59" s="119">
        <f>'2018'!BB442</f>
      </c>
      <c r="AC59" s="119">
        <f>'2018'!BE442</f>
        <v>0</v>
      </c>
    </row>
    <row r="60" ht="15.75" customHeight="1" spans="1:29" x14ac:dyDescent="0.25">
      <c r="A60" s="14"/>
      <c r="B60" s="115">
        <v>58</v>
      </c>
      <c r="C60" s="115">
        <v>5.08</v>
      </c>
      <c r="D60" s="117" t="s">
        <v>223</v>
      </c>
      <c r="E60" s="119">
        <f>'2018'!I450</f>
      </c>
      <c r="F60" s="119">
        <f>'2018'!J450</f>
      </c>
      <c r="G60" s="119">
        <f>'2018'!M450</f>
      </c>
      <c r="H60" s="119">
        <f>'2018'!N450</f>
      </c>
      <c r="I60" s="119">
        <f>'2018'!Q450</f>
      </c>
      <c r="J60" s="119">
        <f>'2018'!R450</f>
      </c>
      <c r="K60" s="119">
        <f>'2018'!U450</f>
      </c>
      <c r="L60" s="119">
        <f>'2018'!V450</f>
      </c>
      <c r="M60" s="119">
        <f>'2018'!Y450</f>
        <v>1402</v>
      </c>
      <c r="N60" s="119">
        <f>'2018'!Z450</f>
      </c>
      <c r="O60" s="119">
        <f>'2018'!AC450</f>
        <v>1406</v>
      </c>
      <c r="P60" s="119">
        <f>'2018'!AD450</f>
        <v>4</v>
      </c>
      <c r="Q60" s="119">
        <f>'2018'!AG450</f>
        <v>1422</v>
      </c>
      <c r="R60" s="119">
        <f>'2018'!AH450</f>
        <v>16</v>
      </c>
      <c r="S60" s="119">
        <f>'2018'!AK450</f>
        <v>1435</v>
      </c>
      <c r="T60" s="119">
        <f>'2018'!AL450</f>
        <v>13</v>
      </c>
      <c r="U60" s="119">
        <f>'2018'!AO450</f>
        <v>1438</v>
      </c>
      <c r="V60" s="119">
        <f>'2018'!AP450</f>
        <v>3</v>
      </c>
      <c r="W60" s="119">
        <f>'2018'!AS450</f>
      </c>
      <c r="X60" s="119">
        <f>'2018'!AT450</f>
      </c>
      <c r="Y60" s="119">
        <f>'2018'!AW450</f>
      </c>
      <c r="Z60" s="119">
        <f>'2018'!AX450</f>
      </c>
      <c r="AA60" s="119">
        <f>'2018'!BA450</f>
      </c>
      <c r="AB60" s="119">
        <f>'2018'!BB450</f>
      </c>
      <c r="AC60" s="119">
        <f>'2018'!BE450</f>
        <v>36</v>
      </c>
    </row>
    <row r="61" ht="15.75" customHeight="1" spans="1:29" x14ac:dyDescent="0.25">
      <c r="A61" s="14"/>
      <c r="B61" s="115">
        <v>60</v>
      </c>
      <c r="C61" s="116">
        <v>4.4</v>
      </c>
      <c r="D61" s="117" t="s">
        <v>227</v>
      </c>
      <c r="E61" s="119">
        <f>'2018'!I458</f>
      </c>
      <c r="F61" s="119">
        <f>'2018'!J458</f>
      </c>
      <c r="G61" s="119">
        <f>'2018'!M458</f>
      </c>
      <c r="H61" s="119">
        <f>'2018'!N458</f>
      </c>
      <c r="I61" s="119">
        <f>'2018'!Q458</f>
      </c>
      <c r="J61" s="119">
        <f>'2018'!R458</f>
      </c>
      <c r="K61" s="119">
        <f>'2018'!U458</f>
      </c>
      <c r="L61" s="119">
        <f>'2018'!V458</f>
      </c>
      <c r="M61" s="119">
        <f>'2018'!Y458</f>
        <v>81</v>
      </c>
      <c r="N61" s="119">
        <f>'2018'!Z458</f>
      </c>
      <c r="O61" s="119">
        <f>'2018'!AC458</f>
        <v>86</v>
      </c>
      <c r="P61" s="119">
        <f>'2018'!AD458</f>
        <v>5</v>
      </c>
      <c r="Q61" s="119">
        <f>'2018'!AG458</f>
        <v>90</v>
      </c>
      <c r="R61" s="119">
        <f>'2018'!AH458</f>
        <v>4</v>
      </c>
      <c r="S61" s="119">
        <f>'2018'!AK458</f>
        <v>90</v>
      </c>
      <c r="T61" s="119">
        <f>'2018'!AL458</f>
        <v>0</v>
      </c>
      <c r="U61" s="119">
        <f>'2018'!AO458</f>
        <v>94</v>
      </c>
      <c r="V61" s="119">
        <f>'2018'!AP458</f>
        <v>4</v>
      </c>
      <c r="W61" s="119">
        <f>'2018'!AS458</f>
      </c>
      <c r="X61" s="119">
        <f>'2018'!AT458</f>
      </c>
      <c r="Y61" s="119">
        <f>'2018'!AW458</f>
      </c>
      <c r="Z61" s="119">
        <f>'2018'!AX458</f>
      </c>
      <c r="AA61" s="119">
        <f>'2018'!BA458</f>
      </c>
      <c r="AB61" s="119">
        <f>'2018'!BB458</f>
      </c>
      <c r="AC61" s="119">
        <f>'2018'!BE458</f>
        <v>13</v>
      </c>
    </row>
    <row r="62" ht="15.75" customHeight="1" spans="1:29" x14ac:dyDescent="0.25">
      <c r="A62" s="14"/>
      <c r="B62" s="115">
        <v>61</v>
      </c>
      <c r="C62" s="115">
        <v>4.71</v>
      </c>
      <c r="D62" s="117" t="s">
        <v>231</v>
      </c>
      <c r="E62" s="119">
        <f>'2018'!I466</f>
      </c>
      <c r="F62" s="119">
        <f>'2018'!J466</f>
      </c>
      <c r="G62" s="119">
        <f>'2018'!M466</f>
      </c>
      <c r="H62" s="119">
        <f>'2018'!N466</f>
      </c>
      <c r="I62" s="119">
        <f>'2018'!Q466</f>
      </c>
      <c r="J62" s="119">
        <f>'2018'!R466</f>
      </c>
      <c r="K62" s="119">
        <f>'2018'!U466</f>
      </c>
      <c r="L62" s="119">
        <f>'2018'!V466</f>
      </c>
      <c r="M62" s="119">
        <f>'2018'!Y466</f>
        <v>231</v>
      </c>
      <c r="N62" s="119">
        <f>'2018'!Z466</f>
      </c>
      <c r="O62" s="119">
        <f>'2018'!AC466</f>
        <v>239</v>
      </c>
      <c r="P62" s="119">
        <f>'2018'!AD466</f>
        <v>8</v>
      </c>
      <c r="Q62" s="119">
        <f>'2018'!AG466</f>
        <v>239</v>
      </c>
      <c r="R62" s="119">
        <f>'2018'!AH466</f>
        <v>0</v>
      </c>
      <c r="S62" s="119">
        <f>'2018'!AK466</f>
        <v>239</v>
      </c>
      <c r="T62" s="119">
        <f>'2018'!AL466</f>
        <v>0</v>
      </c>
      <c r="U62" s="119">
        <f>'2018'!AO466</f>
        <v>248</v>
      </c>
      <c r="V62" s="119">
        <f>'2018'!AP466</f>
        <v>9</v>
      </c>
      <c r="W62" s="119">
        <f>'2018'!AS466</f>
      </c>
      <c r="X62" s="119">
        <f>'2018'!AT466</f>
      </c>
      <c r="Y62" s="119">
        <f>'2018'!AW466</f>
      </c>
      <c r="Z62" s="119">
        <f>'2018'!AX466</f>
      </c>
      <c r="AA62" s="119">
        <f>'2018'!BA466</f>
      </c>
      <c r="AB62" s="119">
        <f>'2018'!BB466</f>
      </c>
      <c r="AC62" s="119">
        <f>'2018'!BE466</f>
        <v>17</v>
      </c>
    </row>
    <row r="63" ht="15.75" customHeight="1" spans="1:29" x14ac:dyDescent="0.25">
      <c r="A63" s="14"/>
      <c r="B63" s="115">
        <v>62</v>
      </c>
      <c r="C63" s="116">
        <v>4.6</v>
      </c>
      <c r="D63" s="117" t="s">
        <v>234</v>
      </c>
      <c r="E63" s="119">
        <f>'2018'!I474</f>
      </c>
      <c r="F63" s="119">
        <f>'2018'!J474</f>
      </c>
      <c r="G63" s="119">
        <f>'2018'!M474</f>
      </c>
      <c r="H63" s="119">
        <f>'2018'!N474</f>
      </c>
      <c r="I63" s="119">
        <f>'2018'!Q474</f>
      </c>
      <c r="J63" s="119">
        <f>'2018'!R474</f>
      </c>
      <c r="K63" s="119">
        <f>'2018'!U474</f>
      </c>
      <c r="L63" s="119">
        <f>'2018'!V474</f>
      </c>
      <c r="M63" s="119">
        <f>'2018'!Y474</f>
        <v>136</v>
      </c>
      <c r="N63" s="119">
        <f>'2018'!Z474</f>
      </c>
      <c r="O63" s="119">
        <f>'2018'!AC474</f>
        <v>150</v>
      </c>
      <c r="P63" s="119">
        <f>'2018'!AD474</f>
        <v>14</v>
      </c>
      <c r="Q63" s="119">
        <f>'2018'!AG474</f>
        <v>150</v>
      </c>
      <c r="R63" s="119">
        <f>'2018'!AH474</f>
        <v>0</v>
      </c>
      <c r="S63" s="119">
        <f>'2018'!AK474</f>
        <v>160</v>
      </c>
      <c r="T63" s="119">
        <f>'2018'!AL474</f>
        <v>10</v>
      </c>
      <c r="U63" s="119">
        <f>'2018'!AO474</f>
        <v>160</v>
      </c>
      <c r="V63" s="119">
        <f>'2018'!AP474</f>
        <v>0</v>
      </c>
      <c r="W63" s="119">
        <f>'2018'!AS474</f>
      </c>
      <c r="X63" s="119">
        <f>'2018'!AT474</f>
      </c>
      <c r="Y63" s="119">
        <f>'2018'!AW474</f>
      </c>
      <c r="Z63" s="119">
        <f>'2018'!AX474</f>
      </c>
      <c r="AA63" s="119">
        <f>'2018'!BA474</f>
      </c>
      <c r="AB63" s="119">
        <f>'2018'!BB474</f>
      </c>
      <c r="AC63" s="119">
        <f>'2018'!BE474</f>
        <v>24</v>
      </c>
    </row>
    <row r="64" ht="15.75" customHeight="1" spans="1:29" x14ac:dyDescent="0.25">
      <c r="A64" s="14"/>
      <c r="B64" s="115" t="s">
        <v>237</v>
      </c>
      <c r="C64" s="115">
        <v>8.02</v>
      </c>
      <c r="D64" s="117" t="s">
        <v>238</v>
      </c>
      <c r="E64" s="119">
        <f>'2018'!I482</f>
      </c>
      <c r="F64" s="119">
        <f>'2018'!J482</f>
      </c>
      <c r="G64" s="119">
        <f>'2018'!M482</f>
      </c>
      <c r="H64" s="119">
        <f>'2018'!N482</f>
      </c>
      <c r="I64" s="119">
        <f>'2018'!Q482</f>
      </c>
      <c r="J64" s="119">
        <f>'2018'!R482</f>
      </c>
      <c r="K64" s="119">
        <f>'2018'!U482</f>
      </c>
      <c r="L64" s="119">
        <f>'2018'!V482</f>
      </c>
      <c r="M64" s="119">
        <f>'2018'!Y482</f>
        <v>104</v>
      </c>
      <c r="N64" s="119">
        <f>'2018'!Z482</f>
      </c>
      <c r="O64" s="119">
        <f>'2018'!AC482</f>
        <v>107</v>
      </c>
      <c r="P64" s="119">
        <f>'2018'!AD482</f>
        <v>3</v>
      </c>
      <c r="Q64" s="119">
        <f>'2018'!AG482</f>
        <v>107</v>
      </c>
      <c r="R64" s="119">
        <f>'2018'!AH482</f>
        <v>0</v>
      </c>
      <c r="S64" s="119">
        <f>'2018'!AK482</f>
        <v>107</v>
      </c>
      <c r="T64" s="119">
        <f>'2018'!AL482</f>
        <v>0</v>
      </c>
      <c r="U64" s="119">
        <f>'2018'!AO482</f>
        <v>113</v>
      </c>
      <c r="V64" s="119">
        <f>'2018'!AP482</f>
        <v>6</v>
      </c>
      <c r="W64" s="119">
        <f>'2018'!AS482</f>
      </c>
      <c r="X64" s="119">
        <f>'2018'!AT482</f>
      </c>
      <c r="Y64" s="119">
        <f>'2018'!AW482</f>
      </c>
      <c r="Z64" s="119">
        <f>'2018'!AX482</f>
      </c>
      <c r="AA64" s="119">
        <f>'2018'!BA482</f>
      </c>
      <c r="AB64" s="119">
        <f>'2018'!BB482</f>
      </c>
      <c r="AC64" s="119">
        <f>'2018'!BE482</f>
        <v>9</v>
      </c>
    </row>
    <row r="65" ht="15.75" customHeight="1" spans="1:29" x14ac:dyDescent="0.25">
      <c r="A65" s="14"/>
      <c r="B65" s="115">
        <v>64</v>
      </c>
      <c r="C65" s="115">
        <v>4.24</v>
      </c>
      <c r="D65" s="117" t="s">
        <v>241</v>
      </c>
      <c r="E65" s="119">
        <f>'2018'!I490</f>
      </c>
      <c r="F65" s="119">
        <f>'2018'!J490</f>
      </c>
      <c r="G65" s="119">
        <f>'2018'!M490</f>
      </c>
      <c r="H65" s="119">
        <f>'2018'!N490</f>
      </c>
      <c r="I65" s="119">
        <f>'2018'!Q490</f>
      </c>
      <c r="J65" s="119">
        <f>'2018'!R490</f>
      </c>
      <c r="K65" s="119">
        <f>'2018'!U490</f>
      </c>
      <c r="L65" s="119">
        <f>'2018'!V490</f>
      </c>
      <c r="M65" s="119">
        <f>'2018'!Y490</f>
        <v>29</v>
      </c>
      <c r="N65" s="119">
        <f>'2018'!Z490</f>
      </c>
      <c r="O65" s="119">
        <f>'2018'!AC490</f>
        <v>29</v>
      </c>
      <c r="P65" s="119">
        <f>'2018'!AD490</f>
        <v>0</v>
      </c>
      <c r="Q65" s="119">
        <f>'2018'!AG490</f>
        <v>29</v>
      </c>
      <c r="R65" s="119">
        <f>'2018'!AH490</f>
        <v>0</v>
      </c>
      <c r="S65" s="119">
        <f>'2018'!AK490</f>
        <v>44</v>
      </c>
      <c r="T65" s="119">
        <f>'2018'!AL490</f>
        <v>15</v>
      </c>
      <c r="U65" s="119">
        <f>'2018'!AO490</f>
        <v>44</v>
      </c>
      <c r="V65" s="119">
        <f>'2018'!AP490</f>
        <v>0</v>
      </c>
      <c r="W65" s="119">
        <f>'2018'!AS490</f>
      </c>
      <c r="X65" s="119">
        <f>'2018'!AT490</f>
      </c>
      <c r="Y65" s="119">
        <f>'2018'!AW490</f>
      </c>
      <c r="Z65" s="119">
        <f>'2018'!AX490</f>
      </c>
      <c r="AA65" s="119">
        <f>'2018'!BA490</f>
      </c>
      <c r="AB65" s="119">
        <f>'2018'!BB490</f>
      </c>
      <c r="AC65" s="119">
        <f>'2018'!BE490</f>
        <v>15</v>
      </c>
    </row>
    <row r="66" ht="15.75" customHeight="1" spans="1:29" x14ac:dyDescent="0.25">
      <c r="A66" s="14"/>
      <c r="B66" s="115">
        <v>66</v>
      </c>
      <c r="C66" s="115">
        <v>4.66</v>
      </c>
      <c r="D66" s="117" t="s">
        <v>244</v>
      </c>
      <c r="E66" s="119">
        <f>'2018'!I498</f>
      </c>
      <c r="F66" s="119">
        <f>'2018'!J498</f>
      </c>
      <c r="G66" s="119">
        <f>'2018'!M498</f>
      </c>
      <c r="H66" s="119">
        <f>'2018'!N498</f>
      </c>
      <c r="I66" s="119">
        <f>'2018'!Q498</f>
      </c>
      <c r="J66" s="119">
        <f>'2018'!R498</f>
      </c>
      <c r="K66" s="119">
        <f>'2018'!U498</f>
      </c>
      <c r="L66" s="119">
        <f>'2018'!V498</f>
      </c>
      <c r="M66" s="119">
        <f>'2018'!Y498</f>
        <v>32</v>
      </c>
      <c r="N66" s="119">
        <f>'2018'!Z498</f>
      </c>
      <c r="O66" s="119">
        <f>'2018'!AC498</f>
        <v>32</v>
      </c>
      <c r="P66" s="119">
        <f>'2018'!AD498</f>
        <v>0</v>
      </c>
      <c r="Q66" s="119">
        <f>'2018'!AG498</f>
        <v>32</v>
      </c>
      <c r="R66" s="119">
        <f>'2018'!AH498</f>
        <v>0</v>
      </c>
      <c r="S66" s="119">
        <f>'2018'!AK498</f>
        <v>37</v>
      </c>
      <c r="T66" s="119">
        <f>'2018'!AL498</f>
        <v>5</v>
      </c>
      <c r="U66" s="119">
        <f>'2018'!AO498</f>
        <v>37</v>
      </c>
      <c r="V66" s="119">
        <f>'2018'!AP498</f>
        <v>0</v>
      </c>
      <c r="W66" s="119">
        <f>'2018'!AS498</f>
      </c>
      <c r="X66" s="119">
        <f>'2018'!AT498</f>
      </c>
      <c r="Y66" s="119">
        <f>'2018'!AW498</f>
      </c>
      <c r="Z66" s="119">
        <f>'2018'!AX498</f>
      </c>
      <c r="AA66" s="119">
        <f>'2018'!BA498</f>
      </c>
      <c r="AB66" s="119">
        <f>'2018'!BB498</f>
      </c>
      <c r="AC66" s="119">
        <f>'2018'!BE498</f>
        <v>5</v>
      </c>
    </row>
    <row r="67" ht="15.75" customHeight="1" spans="1:29" x14ac:dyDescent="0.25">
      <c r="A67" s="14"/>
      <c r="B67" s="115">
        <v>67</v>
      </c>
      <c r="C67" s="115">
        <v>6.08</v>
      </c>
      <c r="D67" s="117" t="s">
        <v>245</v>
      </c>
      <c r="E67" s="119">
        <f>'2018'!I506</f>
      </c>
      <c r="F67" s="119">
        <f>'2018'!J506</f>
      </c>
      <c r="G67" s="119">
        <f>'2018'!M506</f>
      </c>
      <c r="H67" s="119">
        <f>'2018'!N506</f>
      </c>
      <c r="I67" s="119">
        <f>'2018'!Q506</f>
      </c>
      <c r="J67" s="119">
        <f>'2018'!R506</f>
      </c>
      <c r="K67" s="119">
        <f>'2018'!U506</f>
      </c>
      <c r="L67" s="119">
        <f>'2018'!V506</f>
      </c>
      <c r="M67" s="119">
        <f>'2018'!Y506</f>
        <v>166</v>
      </c>
      <c r="N67" s="119">
        <f>'2018'!Z506</f>
      </c>
      <c r="O67" s="119">
        <f>'2018'!AC506</f>
        <v>166</v>
      </c>
      <c r="P67" s="119">
        <f>'2018'!AD506</f>
        <v>0</v>
      </c>
      <c r="Q67" s="119">
        <f>'2018'!AG506</f>
        <v>176</v>
      </c>
      <c r="R67" s="119">
        <f>'2018'!AH506</f>
        <v>10</v>
      </c>
      <c r="S67" s="119">
        <f>'2018'!AK506</f>
        <v>185</v>
      </c>
      <c r="T67" s="119">
        <f>'2018'!AL506</f>
        <v>9</v>
      </c>
      <c r="U67" s="119">
        <f>'2018'!AO506</f>
        <v>192</v>
      </c>
      <c r="V67" s="119">
        <f>'2018'!AP506</f>
        <v>7</v>
      </c>
      <c r="W67" s="119">
        <f>'2018'!AS506</f>
      </c>
      <c r="X67" s="119">
        <f>'2018'!AT506</f>
      </c>
      <c r="Y67" s="119">
        <f>'2018'!AW506</f>
      </c>
      <c r="Z67" s="119">
        <f>'2018'!AX506</f>
      </c>
      <c r="AA67" s="119">
        <f>'2018'!BA506</f>
      </c>
      <c r="AB67" s="119">
        <f>'2018'!BB506</f>
      </c>
      <c r="AC67" s="119">
        <f>'2018'!BE506</f>
        <v>26</v>
      </c>
    </row>
    <row r="68" ht="15.75" customHeight="1" spans="1:29" x14ac:dyDescent="0.25">
      <c r="A68" s="14"/>
      <c r="B68" s="115" t="s">
        <v>248</v>
      </c>
      <c r="C68" s="115">
        <v>8.03</v>
      </c>
      <c r="D68" s="117" t="s">
        <v>249</v>
      </c>
      <c r="E68" s="119">
        <f>'2018'!I514</f>
      </c>
      <c r="F68" s="119">
        <f>'2018'!J514</f>
      </c>
      <c r="G68" s="119">
        <f>'2018'!M514</f>
      </c>
      <c r="H68" s="119">
        <f>'2018'!N514</f>
      </c>
      <c r="I68" s="119">
        <f>'2018'!Q514</f>
      </c>
      <c r="J68" s="119">
        <f>'2018'!R514</f>
      </c>
      <c r="K68" s="119">
        <f>'2018'!U514</f>
      </c>
      <c r="L68" s="119">
        <f>'2018'!V514</f>
      </c>
      <c r="M68" s="119">
        <f>'2018'!Y514</f>
        <v>199</v>
      </c>
      <c r="N68" s="119">
        <f>'2018'!Z514</f>
      </c>
      <c r="O68" s="119">
        <f>'2018'!AC514</f>
        <v>199</v>
      </c>
      <c r="P68" s="119">
        <f>'2018'!AD514</f>
        <v>0</v>
      </c>
      <c r="Q68" s="119">
        <f>'2018'!AG514</f>
        <v>199</v>
      </c>
      <c r="R68" s="119">
        <f>'2018'!AH514</f>
        <v>0</v>
      </c>
      <c r="S68" s="119">
        <f>'2018'!AK514</f>
        <v>214</v>
      </c>
      <c r="T68" s="119">
        <f>'2018'!AL514</f>
        <v>15</v>
      </c>
      <c r="U68" s="119">
        <f>'2018'!AO514</f>
        <v>289</v>
      </c>
      <c r="V68" s="119">
        <f>'2018'!AP514</f>
        <v>75</v>
      </c>
      <c r="W68" s="119">
        <f>'2018'!AS514</f>
      </c>
      <c r="X68" s="119">
        <f>'2018'!AT514</f>
      </c>
      <c r="Y68" s="119">
        <f>'2018'!AW514</f>
      </c>
      <c r="Z68" s="119">
        <f>'2018'!AX514</f>
      </c>
      <c r="AA68" s="119">
        <f>'2018'!BA514</f>
      </c>
      <c r="AB68" s="119">
        <f>'2018'!BB514</f>
      </c>
      <c r="AC68" s="119">
        <f>'2018'!BE514</f>
        <v>90</v>
      </c>
    </row>
    <row r="69" ht="15.75" customHeight="1" spans="1:29" x14ac:dyDescent="0.25">
      <c r="A69" s="14"/>
      <c r="B69" s="115">
        <v>69</v>
      </c>
      <c r="C69" s="115">
        <v>4.03</v>
      </c>
      <c r="D69" s="117" t="s">
        <v>253</v>
      </c>
      <c r="E69" s="119">
        <f>'2018'!I522</f>
      </c>
      <c r="F69" s="119">
        <f>'2018'!J522</f>
      </c>
      <c r="G69" s="119">
        <f>'2018'!M522</f>
      </c>
      <c r="H69" s="119">
        <f>'2018'!N522</f>
      </c>
      <c r="I69" s="119">
        <f>'2018'!Q522</f>
      </c>
      <c r="J69" s="119">
        <f>'2018'!R522</f>
      </c>
      <c r="K69" s="119">
        <f>'2018'!U522</f>
      </c>
      <c r="L69" s="119">
        <f>'2018'!V522</f>
      </c>
      <c r="M69" s="119">
        <f>'2018'!Y522</f>
        <v>0</v>
      </c>
      <c r="N69" s="119">
        <f>'2018'!Z522</f>
      </c>
      <c r="O69" s="119">
        <f>'2018'!AC522</f>
        <v>2</v>
      </c>
      <c r="P69" s="119">
        <f>'2018'!AD522</f>
        <v>2</v>
      </c>
      <c r="Q69" s="119">
        <f>'2018'!AG522</f>
        <v>4</v>
      </c>
      <c r="R69" s="119">
        <f>'2018'!AH522</f>
        <v>2</v>
      </c>
      <c r="S69" s="119">
        <f>'2018'!AK522</f>
        <v>4</v>
      </c>
      <c r="T69" s="119">
        <f>'2018'!AL522</f>
        <v>0</v>
      </c>
      <c r="U69" s="119">
        <f>'2018'!AO522</f>
        <v>5</v>
      </c>
      <c r="V69" s="119">
        <f>'2018'!AP522</f>
        <v>1</v>
      </c>
      <c r="W69" s="119">
        <f>'2018'!AS522</f>
      </c>
      <c r="X69" s="119">
        <f>'2018'!AT522</f>
      </c>
      <c r="Y69" s="119">
        <f>'2018'!AW522</f>
      </c>
      <c r="Z69" s="119">
        <f>'2018'!AX522</f>
      </c>
      <c r="AA69" s="119">
        <f>'2018'!BA522</f>
      </c>
      <c r="AB69" s="119">
        <f>'2018'!BB522</f>
      </c>
      <c r="AC69" s="119">
        <f>'2018'!BE522</f>
        <v>5</v>
      </c>
    </row>
    <row r="70" ht="15.75" customHeight="1" spans="1:29" x14ac:dyDescent="0.25">
      <c r="A70" s="14"/>
      <c r="B70" s="115">
        <v>71</v>
      </c>
      <c r="C70" s="115">
        <v>5.98</v>
      </c>
      <c r="D70" s="117" t="s">
        <v>255</v>
      </c>
      <c r="E70" s="119">
        <f>'2018'!I530</f>
      </c>
      <c r="F70" s="119">
        <f>'2018'!J530</f>
      </c>
      <c r="G70" s="119">
        <f>'2018'!M530</f>
      </c>
      <c r="H70" s="119">
        <f>'2018'!N530</f>
      </c>
      <c r="I70" s="119">
        <f>'2018'!Q530</f>
      </c>
      <c r="J70" s="119">
        <f>'2018'!R530</f>
      </c>
      <c r="K70" s="119">
        <f>'2018'!U530</f>
      </c>
      <c r="L70" s="119">
        <f>'2018'!V530</f>
      </c>
      <c r="M70" s="119">
        <f>'2018'!Y530</f>
        <v>145</v>
      </c>
      <c r="N70" s="119">
        <f>'2018'!Z530</f>
      </c>
      <c r="O70" s="119">
        <f>'2018'!AC530</f>
        <v>151</v>
      </c>
      <c r="P70" s="119">
        <f>'2018'!AD530</f>
        <v>6</v>
      </c>
      <c r="Q70" s="119">
        <f>'2018'!AG530</f>
        <v>164</v>
      </c>
      <c r="R70" s="119">
        <f>'2018'!AH530</f>
        <v>13</v>
      </c>
      <c r="S70" s="119">
        <f>'2018'!AK530</f>
        <v>175</v>
      </c>
      <c r="T70" s="119">
        <f>'2018'!AL530</f>
        <v>11</v>
      </c>
      <c r="U70" s="119">
        <f>'2018'!AO530</f>
        <v>176</v>
      </c>
      <c r="V70" s="119">
        <f>'2018'!AP530</f>
        <v>1</v>
      </c>
      <c r="W70" s="119">
        <f>'2018'!AS530</f>
      </c>
      <c r="X70" s="119">
        <f>'2018'!AT530</f>
      </c>
      <c r="Y70" s="119">
        <f>'2018'!AW530</f>
      </c>
      <c r="Z70" s="119">
        <f>'2018'!AX530</f>
      </c>
      <c r="AA70" s="119">
        <f>'2018'!BA530</f>
      </c>
      <c r="AB70" s="119">
        <f>'2018'!BB530</f>
      </c>
      <c r="AC70" s="119">
        <f>'2018'!BE530</f>
        <v>31</v>
      </c>
    </row>
    <row r="71" ht="15.75" customHeight="1" spans="1:29" x14ac:dyDescent="0.25">
      <c r="A71" s="14"/>
      <c r="B71" s="115">
        <v>72</v>
      </c>
      <c r="C71" s="115">
        <v>4.03</v>
      </c>
      <c r="D71" s="117" t="s">
        <v>257</v>
      </c>
      <c r="E71" s="119">
        <f>'2018'!I538</f>
      </c>
      <c r="F71" s="119">
        <f>'2018'!J538</f>
      </c>
      <c r="G71" s="119">
        <f>'2018'!M538</f>
      </c>
      <c r="H71" s="119">
        <f>'2018'!N538</f>
      </c>
      <c r="I71" s="119">
        <f>'2018'!Q538</f>
      </c>
      <c r="J71" s="119">
        <f>'2018'!R538</f>
      </c>
      <c r="K71" s="119">
        <f>'2018'!U538</f>
      </c>
      <c r="L71" s="119">
        <f>'2018'!V538</f>
      </c>
      <c r="M71" s="119">
        <f>'2018'!Y538</f>
        <v>35</v>
      </c>
      <c r="N71" s="119">
        <f>'2018'!Z538</f>
      </c>
      <c r="O71" s="119">
        <f>'2018'!AC538</f>
        <v>35</v>
      </c>
      <c r="P71" s="119">
        <f>'2018'!AD538</f>
        <v>0</v>
      </c>
      <c r="Q71" s="119">
        <f>'2018'!AG538</f>
        <v>35</v>
      </c>
      <c r="R71" s="119">
        <f>'2018'!AH538</f>
        <v>0</v>
      </c>
      <c r="S71" s="119">
        <f>'2018'!AK538</f>
        <v>35</v>
      </c>
      <c r="T71" s="119">
        <f>'2018'!AL538</f>
        <v>0</v>
      </c>
      <c r="U71" s="119">
        <f>'2018'!AO538</f>
        <v>35</v>
      </c>
      <c r="V71" s="119">
        <f>'2018'!AP538</f>
        <v>0</v>
      </c>
      <c r="W71" s="119">
        <f>'2018'!AS538</f>
      </c>
      <c r="X71" s="119">
        <f>'2018'!AT538</f>
      </c>
      <c r="Y71" s="119">
        <f>'2018'!AW538</f>
      </c>
      <c r="Z71" s="119">
        <f>'2018'!AX538</f>
      </c>
      <c r="AA71" s="119">
        <f>'2018'!BA538</f>
      </c>
      <c r="AB71" s="119">
        <f>'2018'!BB538</f>
      </c>
      <c r="AC71" s="119">
        <f>'2018'!BE538</f>
        <v>0</v>
      </c>
    </row>
    <row r="72" ht="15.75" customHeight="1" spans="1:29" x14ac:dyDescent="0.25">
      <c r="A72" s="14"/>
      <c r="B72" s="115">
        <v>73</v>
      </c>
      <c r="C72" s="115">
        <v>4.02</v>
      </c>
      <c r="D72" s="117" t="s">
        <v>259</v>
      </c>
      <c r="E72" s="119">
        <f>'2018'!I546</f>
      </c>
      <c r="F72" s="119">
        <f>'2018'!J546</f>
      </c>
      <c r="G72" s="119">
        <f>'2018'!M546</f>
      </c>
      <c r="H72" s="119">
        <f>'2018'!N546</f>
      </c>
      <c r="I72" s="119">
        <f>'2018'!Q546</f>
      </c>
      <c r="J72" s="119">
        <f>'2018'!R546</f>
      </c>
      <c r="K72" s="119">
        <f>'2018'!U546</f>
      </c>
      <c r="L72" s="119">
        <f>'2018'!V546</f>
      </c>
      <c r="M72" s="119">
        <f>'2018'!Y546</f>
        <v>48</v>
      </c>
      <c r="N72" s="119">
        <f>'2018'!Z546</f>
      </c>
      <c r="O72" s="119">
        <f>'2018'!AC546</f>
        <v>50</v>
      </c>
      <c r="P72" s="119">
        <f>'2018'!AD546</f>
        <v>2</v>
      </c>
      <c r="Q72" s="119">
        <f>'2018'!AG546</f>
        <v>54</v>
      </c>
      <c r="R72" s="119">
        <f>'2018'!AH546</f>
        <v>4</v>
      </c>
      <c r="S72" s="119">
        <f>'2018'!AK546</f>
        <v>58</v>
      </c>
      <c r="T72" s="119">
        <f>'2018'!AL546</f>
        <v>4</v>
      </c>
      <c r="U72" s="119">
        <f>'2018'!AO546</f>
        <v>61</v>
      </c>
      <c r="V72" s="119">
        <f>'2018'!AP546</f>
        <v>3</v>
      </c>
      <c r="W72" s="119">
        <f>'2018'!AS546</f>
      </c>
      <c r="X72" s="119">
        <f>'2018'!AT546</f>
      </c>
      <c r="Y72" s="119">
        <f>'2018'!AW546</f>
      </c>
      <c r="Z72" s="119">
        <f>'2018'!AX546</f>
      </c>
      <c r="AA72" s="119">
        <f>'2018'!BA546</f>
      </c>
      <c r="AB72" s="119">
        <f>'2018'!BB546</f>
      </c>
      <c r="AC72" s="119">
        <f>'2018'!BE546</f>
        <v>13</v>
      </c>
    </row>
    <row r="73" ht="15.75" customHeight="1" spans="1:29" x14ac:dyDescent="0.25">
      <c r="A73" s="21"/>
      <c r="B73" s="115">
        <v>74</v>
      </c>
      <c r="C73" s="115">
        <v>4.97</v>
      </c>
      <c r="D73" s="117" t="s">
        <v>262</v>
      </c>
      <c r="E73" s="119">
        <f>'2018'!I554</f>
      </c>
      <c r="F73" s="119">
        <f>'2018'!J554</f>
      </c>
      <c r="G73" s="119">
        <f>'2018'!M554</f>
      </c>
      <c r="H73" s="119">
        <f>'2018'!N554</f>
      </c>
      <c r="I73" s="119">
        <f>'2018'!Q554</f>
      </c>
      <c r="J73" s="119">
        <f>'2018'!R554</f>
      </c>
      <c r="K73" s="119">
        <f>'2018'!U554</f>
      </c>
      <c r="L73" s="119">
        <f>'2018'!V554</f>
      </c>
      <c r="M73" s="119">
        <f>'2018'!Y554</f>
        <v>97</v>
      </c>
      <c r="N73" s="119">
        <f>'2018'!Z554</f>
      </c>
      <c r="O73" s="119">
        <f>'2018'!AC554</f>
        <v>98</v>
      </c>
      <c r="P73" s="119">
        <f>'2018'!AD554</f>
        <v>1</v>
      </c>
      <c r="Q73" s="119">
        <f>'2018'!AG554</f>
        <v>104</v>
      </c>
      <c r="R73" s="119">
        <f>'2018'!AH554</f>
        <v>6</v>
      </c>
      <c r="S73" s="119">
        <f>'2018'!AK554</f>
        <v>109</v>
      </c>
      <c r="T73" s="119">
        <f>'2018'!AL554</f>
        <v>5</v>
      </c>
      <c r="U73" s="119">
        <f>'2018'!AO554</f>
        <v>110</v>
      </c>
      <c r="V73" s="119">
        <f>'2018'!AP554</f>
        <v>1</v>
      </c>
      <c r="W73" s="119">
        <f>'2018'!AS554</f>
      </c>
      <c r="X73" s="119">
        <f>'2018'!AT554</f>
      </c>
      <c r="Y73" s="119">
        <f>'2018'!AW554</f>
      </c>
      <c r="Z73" s="119">
        <f>'2018'!AX554</f>
      </c>
      <c r="AA73" s="119">
        <f>'2018'!BA554</f>
      </c>
      <c r="AB73" s="119">
        <f>'2018'!BB554</f>
      </c>
      <c r="AC73" s="119">
        <f>'2018'!BE554</f>
        <v>13</v>
      </c>
    </row>
    <row r="74" ht="15.75" customHeight="1" spans="1:29" x14ac:dyDescent="0.25">
      <c r="A74" s="114" t="s">
        <v>264</v>
      </c>
      <c r="B74" s="115">
        <v>75</v>
      </c>
      <c r="C74" s="115">
        <v>4.15</v>
      </c>
      <c r="D74" s="117" t="s">
        <v>265</v>
      </c>
      <c r="E74" s="119">
        <f>'2018'!I562</f>
      </c>
      <c r="F74" s="119">
        <f>'2018'!J562</f>
      </c>
      <c r="G74" s="119">
        <f>'2018'!M562</f>
      </c>
      <c r="H74" s="119">
        <f>'2018'!N562</f>
      </c>
      <c r="I74" s="119">
        <f>'2018'!Q562</f>
      </c>
      <c r="J74" s="119">
        <f>'2018'!R562</f>
      </c>
      <c r="K74" s="119">
        <f>'2018'!U562</f>
      </c>
      <c r="L74" s="119">
        <f>'2018'!V562</f>
      </c>
      <c r="M74" s="119">
        <f>'2018'!Y562</f>
        <v>55</v>
      </c>
      <c r="N74" s="119">
        <f>'2018'!Z562</f>
      </c>
      <c r="O74" s="119">
        <f>'2018'!AC562</f>
        <v>55</v>
      </c>
      <c r="P74" s="119">
        <f>'2018'!AD562</f>
        <v>0</v>
      </c>
      <c r="Q74" s="119">
        <f>'2018'!AG562</f>
        <v>58</v>
      </c>
      <c r="R74" s="119">
        <f>'2018'!AH562</f>
        <v>3</v>
      </c>
      <c r="S74" s="119">
        <f>'2018'!AK562</f>
        <v>58</v>
      </c>
      <c r="T74" s="119">
        <f>'2018'!AL562</f>
        <v>0</v>
      </c>
      <c r="U74" s="119">
        <f>'2018'!AO562</f>
        <v>61</v>
      </c>
      <c r="V74" s="119">
        <f>'2018'!AP562</f>
        <v>3</v>
      </c>
      <c r="W74" s="119">
        <f>'2018'!AS562</f>
      </c>
      <c r="X74" s="119">
        <f>'2018'!AT562</f>
      </c>
      <c r="Y74" s="119">
        <f>'2018'!AW562</f>
      </c>
      <c r="Z74" s="119">
        <f>'2018'!AX562</f>
      </c>
      <c r="AA74" s="119">
        <f>'2018'!BA562</f>
      </c>
      <c r="AB74" s="119">
        <f>'2018'!BB562</f>
      </c>
      <c r="AC74" s="119">
        <f>'2018'!BE562</f>
        <v>6</v>
      </c>
    </row>
    <row r="75" ht="15.75" customHeight="1" spans="1:29" x14ac:dyDescent="0.25">
      <c r="A75" s="14"/>
      <c r="B75" s="115">
        <v>76</v>
      </c>
      <c r="C75" s="115">
        <v>4.15</v>
      </c>
      <c r="D75" s="117" t="s">
        <v>267</v>
      </c>
      <c r="E75" s="119">
        <f>'2018'!I570</f>
      </c>
      <c r="F75" s="119">
        <f>'2018'!J570</f>
      </c>
      <c r="G75" s="119">
        <f>'2018'!M570</f>
      </c>
      <c r="H75" s="119">
        <f>'2018'!N570</f>
      </c>
      <c r="I75" s="119">
        <f>'2018'!Q570</f>
      </c>
      <c r="J75" s="119">
        <f>'2018'!R570</f>
      </c>
      <c r="K75" s="119">
        <f>'2018'!U570</f>
      </c>
      <c r="L75" s="119">
        <f>'2018'!V570</f>
      </c>
      <c r="M75" s="119">
        <f>'2018'!Y570</f>
        <v>43</v>
      </c>
      <c r="N75" s="119">
        <f>'2018'!Z570</f>
      </c>
      <c r="O75" s="119">
        <f>'2018'!AC570</f>
        <v>43</v>
      </c>
      <c r="P75" s="119">
        <f>'2018'!AD570</f>
        <v>0</v>
      </c>
      <c r="Q75" s="119">
        <f>'2018'!AG570</f>
        <v>43</v>
      </c>
      <c r="R75" s="119">
        <f>'2018'!AH570</f>
        <v>0</v>
      </c>
      <c r="S75" s="119">
        <f>'2018'!AK570</f>
        <v>51</v>
      </c>
      <c r="T75" s="119">
        <f>'2018'!AL570</f>
        <v>8</v>
      </c>
      <c r="U75" s="119">
        <f>'2018'!AO570</f>
        <v>51</v>
      </c>
      <c r="V75" s="119">
        <f>'2018'!AP570</f>
        <v>0</v>
      </c>
      <c r="W75" s="119">
        <f>'2018'!AS570</f>
      </c>
      <c r="X75" s="119">
        <f>'2018'!AT570</f>
      </c>
      <c r="Y75" s="119">
        <f>'2018'!AW570</f>
      </c>
      <c r="Z75" s="119">
        <f>'2018'!AX570</f>
      </c>
      <c r="AA75" s="119">
        <f>'2018'!BA570</f>
      </c>
      <c r="AB75" s="119">
        <f>'2018'!BB570</f>
      </c>
      <c r="AC75" s="119">
        <f>'2018'!BE570</f>
        <v>8</v>
      </c>
    </row>
    <row r="76" ht="15.75" customHeight="1" spans="1:29" x14ac:dyDescent="0.25">
      <c r="A76" s="14"/>
      <c r="B76" s="115">
        <v>77</v>
      </c>
      <c r="C76" s="115">
        <v>4.12</v>
      </c>
      <c r="D76" s="117" t="s">
        <v>268</v>
      </c>
      <c r="E76" s="119">
        <f>'2018'!I578</f>
      </c>
      <c r="F76" s="119">
        <f>'2018'!J578</f>
      </c>
      <c r="G76" s="119">
        <f>'2018'!M578</f>
      </c>
      <c r="H76" s="119">
        <f>'2018'!N578</f>
      </c>
      <c r="I76" s="119">
        <f>'2018'!Q578</f>
      </c>
      <c r="J76" s="119">
        <f>'2018'!R578</f>
      </c>
      <c r="K76" s="119">
        <f>'2018'!U578</f>
      </c>
      <c r="L76" s="119">
        <f>'2018'!V578</f>
      </c>
      <c r="M76" s="119">
        <f>'2018'!Y578</f>
        <v>375</v>
      </c>
      <c r="N76" s="119">
        <f>'2018'!Z578</f>
      </c>
      <c r="O76" s="119">
        <f>'2018'!AC578</f>
        <v>375</v>
      </c>
      <c r="P76" s="119">
        <f>'2018'!AD578</f>
        <v>0</v>
      </c>
      <c r="Q76" s="119">
        <f>'2018'!AG578</f>
        <v>370</v>
      </c>
      <c r="R76" s="119">
        <f>'2018'!AH578</f>
        <v>5</v>
      </c>
      <c r="S76" s="119">
        <f>'2018'!AK578</f>
        <v>366</v>
      </c>
      <c r="T76" s="119">
        <f>'2018'!AL578</f>
        <v>4</v>
      </c>
      <c r="U76" s="119">
        <f>'2018'!AO578</f>
        <v>366</v>
      </c>
      <c r="V76" s="119">
        <f>'2018'!AP578</f>
        <v>0</v>
      </c>
      <c r="W76" s="119">
        <f>'2018'!AS578</f>
      </c>
      <c r="X76" s="119">
        <f>'2018'!AT578</f>
      </c>
      <c r="Y76" s="119">
        <f>'2018'!AW578</f>
      </c>
      <c r="Z76" s="119">
        <f>'2018'!AX578</f>
      </c>
      <c r="AA76" s="119">
        <f>'2018'!BA578</f>
      </c>
      <c r="AB76" s="119">
        <f>'2018'!BB578</f>
      </c>
      <c r="AC76" s="119">
        <f>'2018'!BE578</f>
        <v>9</v>
      </c>
    </row>
    <row r="77" ht="15.75" customHeight="1" spans="1:29" x14ac:dyDescent="0.25">
      <c r="A77" s="14"/>
      <c r="B77" s="115">
        <v>78</v>
      </c>
      <c r="C77" s="115">
        <v>4.03</v>
      </c>
      <c r="D77" s="117" t="s">
        <v>271</v>
      </c>
      <c r="E77" s="119">
        <f>'2018'!I586</f>
      </c>
      <c r="F77" s="119">
        <f>'2018'!J586</f>
      </c>
      <c r="G77" s="119">
        <f>'2018'!M586</f>
      </c>
      <c r="H77" s="119">
        <f>'2018'!N586</f>
      </c>
      <c r="I77" s="119">
        <f>'2018'!Q586</f>
      </c>
      <c r="J77" s="119">
        <f>'2018'!R586</f>
      </c>
      <c r="K77" s="119">
        <f>'2018'!U586</f>
      </c>
      <c r="L77" s="119">
        <f>'2018'!V586</f>
      </c>
      <c r="M77" s="119">
        <f>'2018'!Y586</f>
        <v>91</v>
      </c>
      <c r="N77" s="119">
        <f>'2018'!Z586</f>
      </c>
      <c r="O77" s="119">
        <f>'2018'!AC586</f>
        <v>91</v>
      </c>
      <c r="P77" s="119">
        <f>'2018'!AD586</f>
        <v>0</v>
      </c>
      <c r="Q77" s="119">
        <f>'2018'!AG586</f>
        <v>101</v>
      </c>
      <c r="R77" s="119">
        <f>'2018'!AH586</f>
        <v>10</v>
      </c>
      <c r="S77" s="119">
        <f>'2018'!AK586</f>
        <v>106</v>
      </c>
      <c r="T77" s="119">
        <f>'2018'!AL586</f>
        <v>5</v>
      </c>
      <c r="U77" s="119">
        <f>'2018'!AO586</f>
        <v>108</v>
      </c>
      <c r="V77" s="119">
        <f>'2018'!AP586</f>
        <v>2</v>
      </c>
      <c r="W77" s="119">
        <f>'2018'!AS586</f>
      </c>
      <c r="X77" s="119">
        <f>'2018'!AT586</f>
      </c>
      <c r="Y77" s="119">
        <f>'2018'!AW586</f>
      </c>
      <c r="Z77" s="119">
        <f>'2018'!AX586</f>
      </c>
      <c r="AA77" s="119">
        <f>'2018'!BA586</f>
      </c>
      <c r="AB77" s="119">
        <f>'2018'!BB586</f>
      </c>
      <c r="AC77" s="119">
        <f>'2018'!BE586</f>
        <v>17</v>
      </c>
    </row>
    <row r="78" ht="15.75" customHeight="1" spans="1:29" x14ac:dyDescent="0.25">
      <c r="A78" s="14"/>
      <c r="B78" s="115">
        <v>79</v>
      </c>
      <c r="C78" s="115">
        <v>4.24</v>
      </c>
      <c r="D78" s="117" t="s">
        <v>275</v>
      </c>
      <c r="E78" s="119">
        <f>'2018'!I594</f>
      </c>
      <c r="F78" s="119">
        <f>'2018'!J594</f>
      </c>
      <c r="G78" s="119">
        <f>'2018'!M594</f>
      </c>
      <c r="H78" s="119">
        <f>'2018'!N594</f>
      </c>
      <c r="I78" s="119">
        <f>'2018'!Q594</f>
      </c>
      <c r="J78" s="119">
        <f>'2018'!R594</f>
      </c>
      <c r="K78" s="119">
        <f>'2018'!U594</f>
      </c>
      <c r="L78" s="119">
        <f>'2018'!V594</f>
      </c>
      <c r="M78" s="119">
        <f>'2018'!Y594</f>
      </c>
      <c r="N78" s="119">
        <f>'2018'!Z594</f>
      </c>
      <c r="O78" s="119">
        <f>'2018'!AC594</f>
      </c>
      <c r="P78" s="119">
        <f>'2018'!AD594</f>
      </c>
      <c r="Q78" s="119">
        <f>'2018'!AG594</f>
      </c>
      <c r="R78" s="119">
        <f>'2018'!AH594</f>
        <v>0</v>
      </c>
      <c r="S78" s="119">
        <f>'2018'!AK594</f>
      </c>
      <c r="T78" s="119">
        <f>'2018'!AL594</f>
        <v>0</v>
      </c>
      <c r="U78" s="119">
        <f>'2018'!AO594</f>
      </c>
      <c r="V78" s="119">
        <f>'2018'!AP594</f>
      </c>
      <c r="W78" s="119">
        <f>'2018'!AS594</f>
      </c>
      <c r="X78" s="119">
        <f>'2018'!AT594</f>
      </c>
      <c r="Y78" s="119">
        <f>'2018'!AW594</f>
      </c>
      <c r="Z78" s="119">
        <f>'2018'!AX594</f>
      </c>
      <c r="AA78" s="119">
        <f>'2018'!BA594</f>
      </c>
      <c r="AB78" s="119">
        <f>'2018'!BB594</f>
      </c>
      <c r="AC78" s="119">
        <f>'2018'!BE594</f>
        <v>0</v>
      </c>
    </row>
    <row r="79" ht="15.75" customHeight="1" spans="1:29" x14ac:dyDescent="0.25">
      <c r="A79" s="14"/>
      <c r="B79" s="115">
        <v>81</v>
      </c>
      <c r="C79" s="116">
        <v>4.3</v>
      </c>
      <c r="D79" s="117" t="s">
        <v>278</v>
      </c>
      <c r="E79" s="119">
        <f>'2018'!I602</f>
      </c>
      <c r="F79" s="119">
        <f>'2018'!J602</f>
      </c>
      <c r="G79" s="119">
        <f>'2018'!M602</f>
      </c>
      <c r="H79" s="119">
        <f>'2018'!N602</f>
      </c>
      <c r="I79" s="119">
        <f>'2018'!Q602</f>
      </c>
      <c r="J79" s="119">
        <f>'2018'!R602</f>
      </c>
      <c r="K79" s="119">
        <f>'2018'!U602</f>
      </c>
      <c r="L79" s="119">
        <f>'2018'!V602</f>
      </c>
      <c r="M79" s="119">
        <f>'2018'!Y602</f>
        <v>12</v>
      </c>
      <c r="N79" s="119">
        <f>'2018'!Z602</f>
      </c>
      <c r="O79" s="119">
        <f>'2018'!AC602</f>
        <v>16</v>
      </c>
      <c r="P79" s="119">
        <f>'2018'!AD602</f>
      </c>
      <c r="Q79" s="119">
        <f>'2018'!AG602</f>
        <v>13</v>
      </c>
      <c r="R79" s="119">
        <f>'2018'!AH602</f>
        <v>9</v>
      </c>
      <c r="S79" s="119">
        <f>'2018'!AK602</f>
        <v>17</v>
      </c>
      <c r="T79" s="119">
        <f>'2018'!AL602</f>
        <v>4</v>
      </c>
      <c r="U79" s="119">
        <f>'2018'!AO602</f>
        <v>22</v>
      </c>
      <c r="V79" s="119">
        <f>'2018'!AP602</f>
        <v>5</v>
      </c>
      <c r="W79" s="119">
        <f>'2018'!AS602</f>
      </c>
      <c r="X79" s="119">
        <f>'2018'!AT602</f>
      </c>
      <c r="Y79" s="119">
        <f>'2018'!AW602</f>
      </c>
      <c r="Z79" s="119">
        <f>'2018'!AX602</f>
      </c>
      <c r="AA79" s="119">
        <f>'2018'!BA602</f>
      </c>
      <c r="AB79" s="119">
        <f>'2018'!BB602</f>
      </c>
      <c r="AC79" s="119">
        <f>'2018'!BE602</f>
        <v>18</v>
      </c>
    </row>
    <row r="80" ht="15.75" customHeight="1" spans="1:29" x14ac:dyDescent="0.25">
      <c r="A80" s="14"/>
      <c r="B80" s="115">
        <v>83</v>
      </c>
      <c r="C80" s="115">
        <v>4.29</v>
      </c>
      <c r="D80" s="117" t="s">
        <v>280</v>
      </c>
      <c r="E80" s="119">
        <f>'2018'!I610</f>
      </c>
      <c r="F80" s="119">
        <f>'2018'!J610</f>
      </c>
      <c r="G80" s="119">
        <f>'2018'!M610</f>
      </c>
      <c r="H80" s="119">
        <f>'2018'!N610</f>
      </c>
      <c r="I80" s="119">
        <f>'2018'!Q610</f>
      </c>
      <c r="J80" s="119">
        <f>'2018'!R610</f>
      </c>
      <c r="K80" s="119">
        <f>'2018'!U610</f>
      </c>
      <c r="L80" s="119">
        <f>'2018'!V610</f>
      </c>
      <c r="M80" s="119">
        <f>'2018'!Y610</f>
        <v>32</v>
      </c>
      <c r="N80" s="119">
        <f>'2018'!Z610</f>
      </c>
      <c r="O80" s="119">
        <f>'2018'!AC610</f>
        <v>32</v>
      </c>
      <c r="P80" s="119">
        <f>'2018'!AD610</f>
        <v>0</v>
      </c>
      <c r="Q80" s="119">
        <f>'2018'!AG610</f>
        <v>32</v>
      </c>
      <c r="R80" s="119">
        <f>'2018'!AH610</f>
        <v>0</v>
      </c>
      <c r="S80" s="119">
        <f>'2018'!AK610</f>
        <v>32</v>
      </c>
      <c r="T80" s="119">
        <f>'2018'!AL610</f>
        <v>0</v>
      </c>
      <c r="U80" s="119">
        <f>'2018'!AO610</f>
        <v>37</v>
      </c>
      <c r="V80" s="119">
        <f>'2018'!AP610</f>
        <v>5</v>
      </c>
      <c r="W80" s="119">
        <f>'2018'!AS610</f>
      </c>
      <c r="X80" s="119">
        <f>'2018'!AT610</f>
      </c>
      <c r="Y80" s="119">
        <f>'2018'!AW610</f>
      </c>
      <c r="Z80" s="119">
        <f>'2018'!AX610</f>
      </c>
      <c r="AA80" s="119">
        <f>'2018'!BA610</f>
      </c>
      <c r="AB80" s="119">
        <f>'2018'!BB610</f>
      </c>
      <c r="AC80" s="119">
        <f>'2018'!BE610</f>
        <v>5</v>
      </c>
    </row>
    <row r="81" ht="15.75" customHeight="1" spans="1:29" x14ac:dyDescent="0.25">
      <c r="A81" s="14"/>
      <c r="B81" s="115">
        <v>85</v>
      </c>
      <c r="C81" s="115">
        <v>4.27</v>
      </c>
      <c r="D81" s="117" t="s">
        <v>362</v>
      </c>
      <c r="E81" s="119">
        <f>'2018'!I618</f>
      </c>
      <c r="F81" s="119">
        <f>'2018'!J618</f>
      </c>
      <c r="G81" s="119">
        <f>'2018'!M618</f>
      </c>
      <c r="H81" s="119">
        <f>'2018'!N618</f>
      </c>
      <c r="I81" s="119">
        <f>'2018'!Q618</f>
      </c>
      <c r="J81" s="119">
        <f>'2018'!R618</f>
      </c>
      <c r="K81" s="119">
        <f>'2018'!U618</f>
      </c>
      <c r="L81" s="119">
        <f>'2018'!V618</f>
      </c>
      <c r="M81" s="119">
        <f>'2018'!Y618</f>
        <v>77</v>
      </c>
      <c r="N81" s="119">
        <f>'2018'!Z618</f>
      </c>
      <c r="O81" s="119">
        <f>'2018'!AC618</f>
        <v>77</v>
      </c>
      <c r="P81" s="119">
        <f>'2018'!AD618</f>
        <v>0</v>
      </c>
      <c r="Q81" s="119">
        <f>'2018'!AG618</f>
        <v>77</v>
      </c>
      <c r="R81" s="119">
        <f>'2018'!AH618</f>
        <v>0</v>
      </c>
      <c r="S81" s="119">
        <f>'2018'!AK618</f>
        <v>77</v>
      </c>
      <c r="T81" s="119">
        <f>'2018'!AL618</f>
        <v>0</v>
      </c>
      <c r="U81" s="119">
        <f>'2018'!AO618</f>
        <v>91</v>
      </c>
      <c r="V81" s="119">
        <f>'2018'!AP618</f>
        <v>14</v>
      </c>
      <c r="W81" s="119">
        <f>'2018'!AS618</f>
      </c>
      <c r="X81" s="119">
        <f>'2018'!AT618</f>
      </c>
      <c r="Y81" s="119">
        <f>'2018'!AW618</f>
      </c>
      <c r="Z81" s="119">
        <f>'2018'!AX618</f>
      </c>
      <c r="AA81" s="119">
        <f>'2018'!BA618</f>
      </c>
      <c r="AB81" s="119">
        <f>'2018'!BB618</f>
      </c>
      <c r="AC81" s="119">
        <f>'2018'!BE618</f>
        <v>14</v>
      </c>
    </row>
    <row r="82" ht="15.75" customHeight="1" spans="1:29" x14ac:dyDescent="0.25">
      <c r="A82" s="14"/>
      <c r="B82" s="115">
        <v>87</v>
      </c>
      <c r="C82" s="115">
        <v>4.23</v>
      </c>
      <c r="D82" s="117" t="s">
        <v>284</v>
      </c>
      <c r="E82" s="119">
        <f>'2018'!I626</f>
      </c>
      <c r="F82" s="119">
        <f>'2018'!J626</f>
      </c>
      <c r="G82" s="119">
        <f>'2018'!M626</f>
      </c>
      <c r="H82" s="119">
        <f>'2018'!N626</f>
      </c>
      <c r="I82" s="119">
        <f>'2018'!Q626</f>
      </c>
      <c r="J82" s="119">
        <f>'2018'!R626</f>
      </c>
      <c r="K82" s="119">
        <f>'2018'!U626</f>
      </c>
      <c r="L82" s="119">
        <f>'2018'!V626</f>
      </c>
      <c r="M82" s="119">
        <f>'2018'!Y626</f>
        <v>132</v>
      </c>
      <c r="N82" s="119">
        <f>'2018'!Z626</f>
      </c>
      <c r="O82" s="119">
        <f>'2018'!AC626</f>
        <v>132</v>
      </c>
      <c r="P82" s="119">
        <f>'2018'!AD626</f>
        <v>0</v>
      </c>
      <c r="Q82" s="119">
        <f>'2018'!AG626</f>
        <v>132</v>
      </c>
      <c r="R82" s="119">
        <f>'2018'!AH626</f>
        <v>0</v>
      </c>
      <c r="S82" s="119">
        <f>'2018'!AK626</f>
        <v>145</v>
      </c>
      <c r="T82" s="119">
        <f>'2018'!AL626</f>
        <v>13</v>
      </c>
      <c r="U82" s="119">
        <f>'2018'!AO626</f>
        <v>145</v>
      </c>
      <c r="V82" s="119">
        <f>'2018'!AP626</f>
        <v>0</v>
      </c>
      <c r="W82" s="119">
        <f>'2018'!AS626</f>
      </c>
      <c r="X82" s="119">
        <f>'2018'!AT626</f>
      </c>
      <c r="Y82" s="119">
        <f>'2018'!AW626</f>
      </c>
      <c r="Z82" s="119">
        <f>'2018'!AX626</f>
      </c>
      <c r="AA82" s="119">
        <f>'2018'!BA626</f>
      </c>
      <c r="AB82" s="119">
        <f>'2018'!BB626</f>
      </c>
      <c r="AC82" s="119">
        <f>'2018'!BE626</f>
        <v>13</v>
      </c>
    </row>
    <row r="83" ht="15.75" customHeight="1" spans="1:29" x14ac:dyDescent="0.25">
      <c r="A83" s="14"/>
      <c r="B83" s="115">
        <v>89</v>
      </c>
      <c r="C83" s="115">
        <v>4.25</v>
      </c>
      <c r="D83" s="117" t="s">
        <v>286</v>
      </c>
      <c r="E83" s="119">
        <f>'2018'!I634</f>
      </c>
      <c r="F83" s="119">
        <f>'2018'!J634</f>
      </c>
      <c r="G83" s="119">
        <f>'2018'!M634</f>
      </c>
      <c r="H83" s="119">
        <f>'2018'!N634</f>
      </c>
      <c r="I83" s="119">
        <f>'2018'!Q634</f>
      </c>
      <c r="J83" s="119">
        <f>'2018'!R634</f>
      </c>
      <c r="K83" s="119">
        <f>'2018'!U634</f>
      </c>
      <c r="L83" s="119">
        <f>'2018'!V634</f>
      </c>
      <c r="M83" s="119">
        <f>'2018'!Y634</f>
        <v>81</v>
      </c>
      <c r="N83" s="119">
        <f>'2018'!Z634</f>
      </c>
      <c r="O83" s="119">
        <f>'2018'!AC634</f>
        <v>81</v>
      </c>
      <c r="P83" s="119">
        <f>'2018'!AD634</f>
        <v>0</v>
      </c>
      <c r="Q83" s="119">
        <f>'2018'!AG634</f>
        <v>81</v>
      </c>
      <c r="R83" s="119">
        <f>'2018'!AH634</f>
        <v>0</v>
      </c>
      <c r="S83" s="119">
        <f>'2018'!AK634</f>
        <v>89</v>
      </c>
      <c r="T83" s="119">
        <f>'2018'!AL634</f>
        <v>8</v>
      </c>
      <c r="U83" s="119">
        <f>'2018'!AO634</f>
        <v>96</v>
      </c>
      <c r="V83" s="119">
        <f>'2018'!AP634</f>
        <v>7</v>
      </c>
      <c r="W83" s="119">
        <f>'2018'!AS634</f>
      </c>
      <c r="X83" s="119">
        <f>'2018'!AT634</f>
      </c>
      <c r="Y83" s="119">
        <f>'2018'!AW634</f>
      </c>
      <c r="Z83" s="119">
        <f>'2018'!AX634</f>
      </c>
      <c r="AA83" s="119">
        <f>'2018'!BA634</f>
      </c>
      <c r="AB83" s="119">
        <f>'2018'!BB634</f>
      </c>
      <c r="AC83" s="119">
        <f>'2018'!BE634</f>
        <v>15</v>
      </c>
    </row>
    <row r="84" ht="15.75" customHeight="1" spans="1:29" x14ac:dyDescent="0.25">
      <c r="A84" s="14"/>
      <c r="B84" s="115">
        <v>91</v>
      </c>
      <c r="C84" s="115">
        <v>4.23</v>
      </c>
      <c r="D84" s="117" t="s">
        <v>363</v>
      </c>
      <c r="E84" s="119">
        <f>'2018'!I642</f>
      </c>
      <c r="F84" s="119">
        <f>'2018'!J642</f>
      </c>
      <c r="G84" s="119">
        <f>'2018'!M642</f>
      </c>
      <c r="H84" s="119">
        <f>'2018'!N642</f>
      </c>
      <c r="I84" s="119">
        <f>'2018'!Q642</f>
      </c>
      <c r="J84" s="119">
        <f>'2018'!R642</f>
      </c>
      <c r="K84" s="119">
        <f>'2018'!U642</f>
      </c>
      <c r="L84" s="119">
        <f>'2018'!V642</f>
      </c>
      <c r="M84" s="119">
        <f>'2018'!Y642</f>
        <v>59</v>
      </c>
      <c r="N84" s="119">
        <f>'2018'!Z642</f>
      </c>
      <c r="O84" s="119">
        <f>'2018'!AC642</f>
        <v>59</v>
      </c>
      <c r="P84" s="119">
        <f>'2018'!AD642</f>
        <v>0</v>
      </c>
      <c r="Q84" s="119">
        <f>'2018'!AG642</f>
        <v>62</v>
      </c>
      <c r="R84" s="119">
        <f>'2018'!AH642</f>
        <v>3</v>
      </c>
      <c r="S84" s="119">
        <f>'2018'!AK642</f>
        <v>62</v>
      </c>
      <c r="T84" s="119">
        <f>'2018'!AL642</f>
        <v>0</v>
      </c>
      <c r="U84" s="119">
        <f>'2018'!AO642</f>
        <v>70</v>
      </c>
      <c r="V84" s="119">
        <f>'2018'!AP642</f>
        <v>8</v>
      </c>
      <c r="W84" s="119">
        <f>'2018'!AS642</f>
      </c>
      <c r="X84" s="119">
        <f>'2018'!AT642</f>
      </c>
      <c r="Y84" s="119">
        <f>'2018'!AW642</f>
      </c>
      <c r="Z84" s="119">
        <f>'2018'!AX642</f>
      </c>
      <c r="AA84" s="119">
        <f>'2018'!BA642</f>
      </c>
      <c r="AB84" s="119">
        <f>'2018'!BB642</f>
      </c>
      <c r="AC84" s="119">
        <f>'2018'!BE642</f>
        <v>11</v>
      </c>
    </row>
    <row r="85" ht="15.75" customHeight="1" spans="1:29" x14ac:dyDescent="0.25">
      <c r="A85" s="21"/>
      <c r="B85" s="115" t="s">
        <v>292</v>
      </c>
      <c r="C85" s="115">
        <v>8.56</v>
      </c>
      <c r="D85" s="117" t="s">
        <v>293</v>
      </c>
      <c r="E85" s="119">
        <f>'2018'!I650</f>
      </c>
      <c r="F85" s="119">
        <f>'2018'!J650</f>
      </c>
      <c r="G85" s="119">
        <f>'2018'!M650</f>
      </c>
      <c r="H85" s="119">
        <f>'2018'!N650</f>
      </c>
      <c r="I85" s="119">
        <f>'2018'!Q650</f>
      </c>
      <c r="J85" s="119">
        <f>'2018'!R650</f>
      </c>
      <c r="K85" s="119">
        <f>'2018'!U650</f>
      </c>
      <c r="L85" s="119">
        <f>'2018'!V650</f>
      </c>
      <c r="M85" s="119">
        <f>'2018'!Y650</f>
        <v>87</v>
      </c>
      <c r="N85" s="119">
        <f>'2018'!Z650</f>
      </c>
      <c r="O85" s="119">
        <f>'2018'!AC650</f>
        <v>98</v>
      </c>
      <c r="P85" s="119">
        <f>'2018'!AD650</f>
        <v>11</v>
      </c>
      <c r="Q85" s="119">
        <f>'2018'!AG650</f>
        <v>98</v>
      </c>
      <c r="R85" s="119">
        <f>'2018'!AH650</f>
        <v>0</v>
      </c>
      <c r="S85" s="119">
        <f>'2018'!AK650</f>
        <v>110</v>
      </c>
      <c r="T85" s="119">
        <f>'2018'!AL650</f>
        <v>12</v>
      </c>
      <c r="U85" s="119">
        <f>'2018'!AO650</f>
        <v>110</v>
      </c>
      <c r="V85" s="119">
        <f>'2018'!AP650</f>
        <v>0</v>
      </c>
      <c r="W85" s="119">
        <f>'2018'!AS650</f>
      </c>
      <c r="X85" s="119">
        <f>'2018'!AT650</f>
      </c>
      <c r="Y85" s="119">
        <f>'2018'!AW650</f>
      </c>
      <c r="Z85" s="119">
        <f>'2018'!AX650</f>
      </c>
      <c r="AA85" s="119">
        <f>'2018'!BA650</f>
      </c>
      <c r="AB85" s="119">
        <f>'2018'!BB650</f>
      </c>
      <c r="AC85" s="119">
        <f>'2018'!BE650</f>
        <v>23</v>
      </c>
    </row>
    <row r="86" ht="15.75" customHeight="1" spans="1:29" x14ac:dyDescent="0.25">
      <c r="A86" s="114" t="s">
        <v>297</v>
      </c>
      <c r="B86" s="115">
        <v>80</v>
      </c>
      <c r="C86" s="115">
        <v>4.28</v>
      </c>
      <c r="D86" s="117" t="s">
        <v>298</v>
      </c>
      <c r="E86" s="119">
        <f>'2018'!I658</f>
      </c>
      <c r="F86" s="119">
        <f>'2018'!J658</f>
      </c>
      <c r="G86" s="119">
        <f>'2018'!M658</f>
      </c>
      <c r="H86" s="119">
        <f>'2018'!N658</f>
      </c>
      <c r="I86" s="119">
        <f>'2018'!Q658</f>
      </c>
      <c r="J86" s="119">
        <f>'2018'!R658</f>
      </c>
      <c r="K86" s="119">
        <f>'2018'!U658</f>
      </c>
      <c r="L86" s="119">
        <f>'2018'!V658</f>
      </c>
      <c r="M86" s="119">
        <f>'2018'!Y658</f>
        <v>0</v>
      </c>
      <c r="N86" s="119">
        <f>'2018'!Z658</f>
      </c>
      <c r="O86" s="119">
        <f>'2018'!AC658</f>
        <v>1</v>
      </c>
      <c r="P86" s="119">
        <f>'2018'!AD658</f>
        <v>1</v>
      </c>
      <c r="Q86" s="119">
        <f>'2018'!AG658</f>
        <v>1</v>
      </c>
      <c r="R86" s="119">
        <f>'2018'!AH658</f>
        <v>0</v>
      </c>
      <c r="S86" s="119">
        <f>'2018'!AK658</f>
        <v>12</v>
      </c>
      <c r="T86" s="119">
        <f>'2018'!AL658</f>
        <v>11</v>
      </c>
      <c r="U86" s="119">
        <f>'2018'!AO658</f>
        <v>12</v>
      </c>
      <c r="V86" s="119">
        <f>'2018'!AP658</f>
        <v>0</v>
      </c>
      <c r="W86" s="119">
        <f>'2018'!AS658</f>
      </c>
      <c r="X86" s="119">
        <f>'2018'!AT658</f>
      </c>
      <c r="Y86" s="119">
        <f>'2018'!AW658</f>
      </c>
      <c r="Z86" s="119">
        <f>'2018'!AX658</f>
      </c>
      <c r="AA86" s="119">
        <f>'2018'!BA658</f>
      </c>
      <c r="AB86" s="119">
        <f>'2018'!BB658</f>
      </c>
      <c r="AC86" s="119">
        <f>'2018'!BE658</f>
        <v>12</v>
      </c>
    </row>
    <row r="87" ht="15.75" customHeight="1" spans="1:29" x14ac:dyDescent="0.25">
      <c r="A87" s="14"/>
      <c r="B87" s="115">
        <v>82</v>
      </c>
      <c r="C87" s="115">
        <v>4.28</v>
      </c>
      <c r="D87" s="117" t="s">
        <v>300</v>
      </c>
      <c r="E87" s="119">
        <f>'2018'!I666</f>
      </c>
      <c r="F87" s="119">
        <f>'2018'!J666</f>
      </c>
      <c r="G87" s="119">
        <f>'2018'!M666</f>
      </c>
      <c r="H87" s="119">
        <f>'2018'!N666</f>
      </c>
      <c r="I87" s="119">
        <f>'2018'!Q666</f>
      </c>
      <c r="J87" s="119">
        <f>'2018'!R666</f>
      </c>
      <c r="K87" s="119">
        <f>'2018'!U666</f>
      </c>
      <c r="L87" s="119">
        <f>'2018'!V666</f>
      </c>
      <c r="M87" s="119">
        <f>'2018'!Y666</f>
        <v>44</v>
      </c>
      <c r="N87" s="119">
        <f>'2018'!Z666</f>
      </c>
      <c r="O87" s="119">
        <f>'2018'!AC666</f>
        <v>44</v>
      </c>
      <c r="P87" s="119">
        <f>'2018'!AD666</f>
        <v>0</v>
      </c>
      <c r="Q87" s="119">
        <f>'2018'!AG666</f>
        <v>44</v>
      </c>
      <c r="R87" s="119">
        <f>'2018'!AH666</f>
        <v>0</v>
      </c>
      <c r="S87" s="119">
        <f>'2018'!AK666</f>
        <v>44</v>
      </c>
      <c r="T87" s="119">
        <f>'2018'!AL666</f>
        <v>0</v>
      </c>
      <c r="U87" s="119">
        <f>'2018'!AO666</f>
        <v>44</v>
      </c>
      <c r="V87" s="119">
        <f>'2018'!AP666</f>
        <v>0</v>
      </c>
      <c r="W87" s="119">
        <f>'2018'!AS666</f>
      </c>
      <c r="X87" s="119">
        <f>'2018'!AT666</f>
      </c>
      <c r="Y87" s="119">
        <f>'2018'!AW666</f>
      </c>
      <c r="Z87" s="119">
        <f>'2018'!AX666</f>
      </c>
      <c r="AA87" s="119">
        <f>'2018'!BA666</f>
      </c>
      <c r="AB87" s="119">
        <f>'2018'!BB666</f>
      </c>
      <c r="AC87" s="119">
        <f>'2018'!BE666</f>
        <v>0</v>
      </c>
    </row>
    <row r="88" ht="15.75" customHeight="1" spans="1:29" x14ac:dyDescent="0.25">
      <c r="A88" s="14"/>
      <c r="B88" s="115">
        <v>84</v>
      </c>
      <c r="C88" s="115">
        <v>4.18</v>
      </c>
      <c r="D88" s="117" t="s">
        <v>301</v>
      </c>
      <c r="E88" s="119">
        <f>'2018'!I674</f>
      </c>
      <c r="F88" s="119">
        <f>'2018'!J674</f>
      </c>
      <c r="G88" s="119">
        <f>'2018'!M674</f>
      </c>
      <c r="H88" s="119">
        <f>'2018'!N674</f>
      </c>
      <c r="I88" s="119">
        <f>'2018'!Q674</f>
      </c>
      <c r="J88" s="119">
        <f>'2018'!R674</f>
      </c>
      <c r="K88" s="119">
        <f>'2018'!U674</f>
      </c>
      <c r="L88" s="119">
        <f>'2018'!V674</f>
      </c>
      <c r="M88" s="119">
        <f>'2018'!Y674</f>
      </c>
      <c r="N88" s="119">
        <f>'2018'!Z674</f>
      </c>
      <c r="O88" s="119">
        <f>'2018'!AC674</f>
      </c>
      <c r="P88" s="119">
        <f>'2018'!AD674</f>
        <v>0</v>
      </c>
      <c r="Q88" s="119">
        <f>'2018'!AG674</f>
        <v>2</v>
      </c>
      <c r="R88" s="119">
        <f>'2018'!AH674</f>
        <v>2</v>
      </c>
      <c r="S88" s="119">
        <f>'2018'!AK674</f>
        <v>2</v>
      </c>
      <c r="T88" s="119">
        <f>'2018'!AL674</f>
        <v>0</v>
      </c>
      <c r="U88" s="119">
        <f>'2018'!AO674</f>
        <v>2</v>
      </c>
      <c r="V88" s="119">
        <f>'2018'!AP674</f>
        <v>0</v>
      </c>
      <c r="W88" s="119">
        <f>'2018'!AS674</f>
      </c>
      <c r="X88" s="119">
        <f>'2018'!AT674</f>
      </c>
      <c r="Y88" s="119">
        <f>'2018'!AW674</f>
      </c>
      <c r="Z88" s="119">
        <f>'2018'!AX674</f>
      </c>
      <c r="AA88" s="119">
        <f>'2018'!BA674</f>
      </c>
      <c r="AB88" s="119">
        <f>'2018'!BB674</f>
      </c>
      <c r="AC88" s="119">
        <f>'2018'!BE674</f>
        <v>2</v>
      </c>
    </row>
    <row r="89" ht="15.75" customHeight="1" spans="1:29" x14ac:dyDescent="0.25">
      <c r="A89" s="14"/>
      <c r="B89" s="115">
        <v>86</v>
      </c>
      <c r="C89" s="115">
        <v>4.23</v>
      </c>
      <c r="D89" s="117" t="s">
        <v>304</v>
      </c>
      <c r="E89" s="119">
        <f>'2018'!I682</f>
      </c>
      <c r="F89" s="119">
        <f>'2018'!J682</f>
      </c>
      <c r="G89" s="119">
        <f>'2018'!M682</f>
      </c>
      <c r="H89" s="119">
        <f>'2018'!N682</f>
      </c>
      <c r="I89" s="119">
        <f>'2018'!Q682</f>
      </c>
      <c r="J89" s="119">
        <f>'2018'!R682</f>
      </c>
      <c r="K89" s="119">
        <f>'2018'!U682</f>
      </c>
      <c r="L89" s="119">
        <f>'2018'!V682</f>
      </c>
      <c r="M89" s="119">
        <f>'2018'!Y682</f>
      </c>
      <c r="N89" s="119">
        <f>'2018'!Z682</f>
      </c>
      <c r="O89" s="119">
        <f>'2018'!AC682</f>
      </c>
      <c r="P89" s="119">
        <f>'2018'!AD682</f>
        <v>0</v>
      </c>
      <c r="Q89" s="119">
        <f>'2018'!AG682</f>
      </c>
      <c r="R89" s="119">
        <f>'2018'!AH682</f>
        <v>0</v>
      </c>
      <c r="S89" s="119">
        <f>'2018'!AK682</f>
      </c>
      <c r="T89" s="119">
        <f>'2018'!AL682</f>
        <v>0</v>
      </c>
      <c r="U89" s="119">
        <f>'2018'!AO682</f>
      </c>
      <c r="V89" s="119">
        <f>'2018'!AP682</f>
      </c>
      <c r="W89" s="119">
        <f>'2018'!AS682</f>
      </c>
      <c r="X89" s="119">
        <f>'2018'!AT682</f>
      </c>
      <c r="Y89" s="119">
        <f>'2018'!AW682</f>
      </c>
      <c r="Z89" s="119">
        <f>'2018'!AX682</f>
      </c>
      <c r="AA89" s="119">
        <f>'2018'!BA682</f>
      </c>
      <c r="AB89" s="119">
        <f>'2018'!BB682</f>
      </c>
      <c r="AC89" s="119">
        <f>'2018'!BE682</f>
        <v>0</v>
      </c>
    </row>
    <row r="90" ht="15.75" customHeight="1" spans="1:29" x14ac:dyDescent="0.25">
      <c r="A90" s="14"/>
      <c r="B90" s="115">
        <v>88</v>
      </c>
      <c r="C90" s="115">
        <v>4.23</v>
      </c>
      <c r="D90" s="117" t="s">
        <v>308</v>
      </c>
      <c r="E90" s="119">
        <f>'2018'!I690</f>
      </c>
      <c r="F90" s="119">
        <f>'2018'!J690</f>
      </c>
      <c r="G90" s="119">
        <f>'2018'!M690</f>
      </c>
      <c r="H90" s="119">
        <f>'2018'!N690</f>
      </c>
      <c r="I90" s="119">
        <f>'2018'!Q690</f>
      </c>
      <c r="J90" s="119">
        <f>'2018'!R690</f>
      </c>
      <c r="K90" s="119">
        <f>'2018'!U690</f>
      </c>
      <c r="L90" s="119">
        <f>'2018'!V690</f>
      </c>
      <c r="M90" s="119">
        <f>'2018'!Y690</f>
      </c>
      <c r="N90" s="119">
        <f>'2018'!Z690</f>
      </c>
      <c r="O90" s="119">
        <f>'2018'!AC690</f>
      </c>
      <c r="P90" s="119">
        <f>'2018'!AD690</f>
        <v>0</v>
      </c>
      <c r="Q90" s="119">
        <f>'2018'!AG690</f>
      </c>
      <c r="R90" s="119">
        <f>'2018'!AH690</f>
        <v>0</v>
      </c>
      <c r="S90" s="119">
        <f>'2018'!AK690</f>
      </c>
      <c r="T90" s="119">
        <f>'2018'!AL690</f>
        <v>0</v>
      </c>
      <c r="U90" s="119">
        <f>'2018'!AO690</f>
      </c>
      <c r="V90" s="119">
        <f>'2018'!AP690</f>
      </c>
      <c r="W90" s="119">
        <f>'2018'!AS690</f>
      </c>
      <c r="X90" s="119">
        <f>'2018'!AT690</f>
      </c>
      <c r="Y90" s="119">
        <f>'2018'!AW690</f>
      </c>
      <c r="Z90" s="119">
        <f>'2018'!AX690</f>
      </c>
      <c r="AA90" s="119">
        <f>'2018'!BA690</f>
      </c>
      <c r="AB90" s="119">
        <f>'2018'!BB690</f>
      </c>
      <c r="AC90" s="119">
        <f>'2018'!BE690</f>
        <v>0</v>
      </c>
    </row>
    <row r="91" ht="15.75" customHeight="1" spans="1:29" x14ac:dyDescent="0.25">
      <c r="A91" s="14"/>
      <c r="B91" s="115">
        <v>90</v>
      </c>
      <c r="C91" s="115">
        <v>4.23</v>
      </c>
      <c r="D91" s="117" t="s">
        <v>311</v>
      </c>
      <c r="E91" s="119">
        <f>'2018'!I698</f>
      </c>
      <c r="F91" s="119">
        <f>'2018'!J698</f>
      </c>
      <c r="G91" s="119">
        <f>'2018'!M698</f>
      </c>
      <c r="H91" s="119">
        <f>'2018'!N698</f>
      </c>
      <c r="I91" s="119">
        <f>'2018'!Q698</f>
      </c>
      <c r="J91" s="119">
        <f>'2018'!R698</f>
      </c>
      <c r="K91" s="119">
        <f>'2018'!U698</f>
      </c>
      <c r="L91" s="119">
        <f>'2018'!V698</f>
      </c>
      <c r="M91" s="119">
        <f>'2018'!Y698</f>
      </c>
      <c r="N91" s="119">
        <f>'2018'!Z698</f>
      </c>
      <c r="O91" s="119">
        <f>'2018'!AC698</f>
      </c>
      <c r="P91" s="119">
        <f>'2018'!AD698</f>
        <v>0</v>
      </c>
      <c r="Q91" s="119">
        <f>'2018'!AG698</f>
      </c>
      <c r="R91" s="119">
        <f>'2018'!AH698</f>
        <v>0</v>
      </c>
      <c r="S91" s="119">
        <f>'2018'!AK698</f>
      </c>
      <c r="T91" s="119">
        <f>'2018'!AL698</f>
        <v>0</v>
      </c>
      <c r="U91" s="119">
        <f>'2018'!AO698</f>
      </c>
      <c r="V91" s="119">
        <f>'2018'!AP698</f>
      </c>
      <c r="W91" s="119">
        <f>'2018'!AS698</f>
      </c>
      <c r="X91" s="119">
        <f>'2018'!AT698</f>
      </c>
      <c r="Y91" s="119">
        <f>'2018'!AW698</f>
      </c>
      <c r="Z91" s="119">
        <f>'2018'!AX698</f>
      </c>
      <c r="AA91" s="119">
        <f>'2018'!BA698</f>
      </c>
      <c r="AB91" s="119">
        <f>'2018'!BB698</f>
      </c>
      <c r="AC91" s="119">
        <f>'2018'!BE698</f>
        <v>0</v>
      </c>
    </row>
    <row r="92" ht="15.75" customHeight="1" spans="1:29" x14ac:dyDescent="0.25">
      <c r="A92" s="14"/>
      <c r="B92" s="115">
        <v>92</v>
      </c>
      <c r="C92" s="115">
        <v>4.28</v>
      </c>
      <c r="D92" s="117" t="s">
        <v>312</v>
      </c>
      <c r="E92" s="119">
        <f>'2018'!I706</f>
      </c>
      <c r="F92" s="119">
        <f>'2018'!J706</f>
      </c>
      <c r="G92" s="119">
        <f>'2018'!M706</f>
      </c>
      <c r="H92" s="119">
        <f>'2018'!N706</f>
      </c>
      <c r="I92" s="119">
        <f>'2018'!Q706</f>
      </c>
      <c r="J92" s="119">
        <f>'2018'!R706</f>
      </c>
      <c r="K92" s="119">
        <f>'2018'!U706</f>
      </c>
      <c r="L92" s="119">
        <f>'2018'!V706</f>
      </c>
      <c r="M92" s="119">
        <f>'2018'!Y706</f>
        <v>134</v>
      </c>
      <c r="N92" s="119">
        <f>'2018'!Z706</f>
      </c>
      <c r="O92" s="119">
        <f>'2018'!AC706</f>
        <v>134</v>
      </c>
      <c r="P92" s="119">
        <f>'2018'!AD706</f>
        <v>0</v>
      </c>
      <c r="Q92" s="119">
        <f>'2018'!AG706</f>
        <v>134</v>
      </c>
      <c r="R92" s="119">
        <f>'2018'!AH706</f>
        <v>0</v>
      </c>
      <c r="S92" s="119">
        <f>'2018'!AK706</f>
        <v>134</v>
      </c>
      <c r="T92" s="119">
        <f>'2018'!AL706</f>
        <v>0</v>
      </c>
      <c r="U92" s="119">
        <f>'2018'!AO706</f>
        <v>134</v>
      </c>
      <c r="V92" s="119">
        <f>'2018'!AP706</f>
        <v>0</v>
      </c>
      <c r="W92" s="119">
        <f>'2018'!AS706</f>
      </c>
      <c r="X92" s="119">
        <f>'2018'!AT706</f>
      </c>
      <c r="Y92" s="119">
        <f>'2018'!AW706</f>
      </c>
      <c r="Z92" s="119">
        <f>'2018'!AX706</f>
      </c>
      <c r="AA92" s="119">
        <f>'2018'!BA706</f>
      </c>
      <c r="AB92" s="119">
        <f>'2018'!BB706</f>
      </c>
      <c r="AC92" s="119">
        <f>'2018'!BE706</f>
        <v>0</v>
      </c>
    </row>
    <row r="93" ht="15.75" customHeight="1" spans="1:29" x14ac:dyDescent="0.25">
      <c r="A93" s="14"/>
      <c r="B93" s="115" t="s">
        <v>315</v>
      </c>
      <c r="C93" s="115">
        <v>8.76</v>
      </c>
      <c r="D93" s="117" t="s">
        <v>316</v>
      </c>
      <c r="E93" s="119">
        <f>'2018'!I714</f>
      </c>
      <c r="F93" s="119">
        <f>'2018'!J714</f>
      </c>
      <c r="G93" s="119">
        <f>'2018'!M714</f>
      </c>
      <c r="H93" s="119">
        <f>'2018'!N714</f>
      </c>
      <c r="I93" s="119">
        <f>'2018'!Q714</f>
      </c>
      <c r="J93" s="119">
        <f>'2018'!R714</f>
      </c>
      <c r="K93" s="119">
        <f>'2018'!U714</f>
      </c>
      <c r="L93" s="119">
        <f>'2018'!V714</f>
      </c>
      <c r="M93" s="119">
        <f>'2018'!Y714</f>
        <v>11</v>
      </c>
      <c r="N93" s="119">
        <f>'2018'!Z714</f>
      </c>
      <c r="O93" s="119">
        <f>'2018'!AC714</f>
        <v>16</v>
      </c>
      <c r="P93" s="119">
        <f>'2018'!AD714</f>
        <v>5</v>
      </c>
      <c r="Q93" s="119">
        <f>'2018'!AG714</f>
        <v>16</v>
      </c>
      <c r="R93" s="119">
        <f>'2018'!AH714</f>
        <v>0</v>
      </c>
      <c r="S93" s="119">
        <f>'2018'!AK714</f>
        <v>20</v>
      </c>
      <c r="T93" s="119">
        <f>'2018'!AL714</f>
        <v>4</v>
      </c>
      <c r="U93" s="119">
        <f>'2018'!AO714</f>
        <v>26</v>
      </c>
      <c r="V93" s="119">
        <f>'2018'!AP714</f>
        <v>6</v>
      </c>
      <c r="W93" s="119">
        <f>'2018'!AS714</f>
      </c>
      <c r="X93" s="119">
        <f>'2018'!AT714</f>
      </c>
      <c r="Y93" s="119">
        <f>'2018'!AW714</f>
      </c>
      <c r="Z93" s="119">
        <f>'2018'!AX714</f>
      </c>
      <c r="AA93" s="119">
        <f>'2018'!BA714</f>
      </c>
      <c r="AB93" s="119">
        <f>'2018'!BB714</f>
      </c>
      <c r="AC93" s="119">
        <f>'2018'!BE714</f>
        <v>15</v>
      </c>
    </row>
    <row r="94" ht="15.75" customHeight="1" spans="1:29" x14ac:dyDescent="0.25">
      <c r="A94" s="14"/>
      <c r="B94" s="115">
        <v>99</v>
      </c>
      <c r="C94" s="115">
        <v>4.53</v>
      </c>
      <c r="D94" s="117" t="s">
        <v>319</v>
      </c>
      <c r="E94" s="119">
        <f>'2018'!I722</f>
      </c>
      <c r="F94" s="119">
        <f>'2018'!J722</f>
      </c>
      <c r="G94" s="119">
        <f>'2018'!M722</f>
      </c>
      <c r="H94" s="119">
        <f>'2018'!N722</f>
      </c>
      <c r="I94" s="119">
        <f>'2018'!Q722</f>
      </c>
      <c r="J94" s="119">
        <f>'2018'!R722</f>
      </c>
      <c r="K94" s="119">
        <f>'2018'!U722</f>
      </c>
      <c r="L94" s="119">
        <f>'2018'!V722</f>
      </c>
      <c r="M94" s="119">
        <f>'2018'!Y722</f>
        <v>113</v>
      </c>
      <c r="N94" s="119">
        <f>'2018'!Z722</f>
      </c>
      <c r="O94" s="119">
        <f>'2018'!AC722</f>
        <v>133</v>
      </c>
      <c r="P94" s="119">
        <f>'2018'!AD722</f>
        <v>20</v>
      </c>
      <c r="Q94" s="119">
        <f>'2018'!AG722</f>
        <v>133</v>
      </c>
      <c r="R94" s="119">
        <f>'2018'!AH722</f>
        <v>0</v>
      </c>
      <c r="S94" s="119">
        <f>'2018'!AK722</f>
        <v>133</v>
      </c>
      <c r="T94" s="119">
        <f>'2018'!AL722</f>
        <v>0</v>
      </c>
      <c r="U94" s="119">
        <f>'2018'!AO722</f>
        <v>133</v>
      </c>
      <c r="V94" s="119">
        <f>'2018'!AP722</f>
        <v>0</v>
      </c>
      <c r="W94" s="119">
        <f>'2018'!AS722</f>
      </c>
      <c r="X94" s="119">
        <f>'2018'!AT722</f>
      </c>
      <c r="Y94" s="119">
        <f>'2018'!AW722</f>
      </c>
      <c r="Z94" s="119">
        <f>'2018'!AX722</f>
      </c>
      <c r="AA94" s="119">
        <f>'2018'!BA722</f>
      </c>
      <c r="AB94" s="119">
        <f>'2018'!BB722</f>
      </c>
      <c r="AC94" s="119">
        <f>'2018'!BE722</f>
        <v>20</v>
      </c>
    </row>
    <row r="95" ht="15.75" customHeight="1" spans="1:29" x14ac:dyDescent="0.25">
      <c r="A95" s="14"/>
      <c r="B95" s="115">
        <v>101</v>
      </c>
      <c r="C95" s="115">
        <v>4.46</v>
      </c>
      <c r="D95" s="117" t="s">
        <v>321</v>
      </c>
      <c r="E95" s="119">
        <f>'2018'!I730</f>
      </c>
      <c r="F95" s="119">
        <f>'2018'!J730</f>
      </c>
      <c r="G95" s="119">
        <f>'2018'!M730</f>
      </c>
      <c r="H95" s="119">
        <f>'2018'!N730</f>
      </c>
      <c r="I95" s="119">
        <f>'2018'!Q730</f>
      </c>
      <c r="J95" s="119">
        <f>'2018'!R730</f>
      </c>
      <c r="K95" s="119">
        <f>'2018'!U730</f>
      </c>
      <c r="L95" s="119">
        <f>'2018'!V730</f>
      </c>
      <c r="M95" s="119">
        <f>'2018'!Y730</f>
        <v>636</v>
      </c>
      <c r="N95" s="119">
        <f>'2018'!Z730</f>
      </c>
      <c r="O95" s="119">
        <f>'2018'!AC730</f>
        <v>636</v>
      </c>
      <c r="P95" s="119">
        <f>'2018'!AD730</f>
        <v>0</v>
      </c>
      <c r="Q95" s="119">
        <f>'2018'!AG730</f>
        <v>636</v>
      </c>
      <c r="R95" s="119">
        <f>'2018'!AH730</f>
        <v>0</v>
      </c>
      <c r="S95" s="119">
        <f>'2018'!AK730</f>
        <v>646</v>
      </c>
      <c r="T95" s="119">
        <f>'2018'!AL730</f>
        <v>10</v>
      </c>
      <c r="U95" s="119">
        <f>'2018'!AO730</f>
        <v>646</v>
      </c>
      <c r="V95" s="119">
        <f>'2018'!AP730</f>
        <v>0</v>
      </c>
      <c r="W95" s="119">
        <f>'2018'!AS730</f>
      </c>
      <c r="X95" s="119">
        <f>'2018'!AT730</f>
      </c>
      <c r="Y95" s="119">
        <f>'2018'!AW730</f>
      </c>
      <c r="Z95" s="119">
        <f>'2018'!AX730</f>
      </c>
      <c r="AA95" s="119">
        <f>'2018'!BA730</f>
      </c>
      <c r="AB95" s="119">
        <f>'2018'!BB730</f>
      </c>
      <c r="AC95" s="119">
        <f>'2018'!BE730</f>
        <v>10</v>
      </c>
    </row>
    <row r="96" ht="15.75" customHeight="1" spans="1:29" x14ac:dyDescent="0.25">
      <c r="A96" s="14"/>
      <c r="B96" s="115">
        <v>103</v>
      </c>
      <c r="C96" s="115">
        <v>4.42</v>
      </c>
      <c r="D96" s="117" t="s">
        <v>322</v>
      </c>
      <c r="E96" s="119">
        <f>'2018'!I738</f>
      </c>
      <c r="F96" s="119">
        <f>'2018'!J738</f>
      </c>
      <c r="G96" s="119">
        <f>'2018'!M738</f>
      </c>
      <c r="H96" s="119">
        <f>'2018'!N738</f>
      </c>
      <c r="I96" s="119">
        <f>'2018'!Q738</f>
      </c>
      <c r="J96" s="119">
        <f>'2018'!R738</f>
      </c>
      <c r="K96" s="119">
        <f>'2018'!U738</f>
      </c>
      <c r="L96" s="119">
        <f>'2018'!V738</f>
      </c>
      <c r="M96" s="119">
        <f>'2018'!Y738</f>
        <v>15</v>
      </c>
      <c r="N96" s="119">
        <f>'2018'!Z738</f>
      </c>
      <c r="O96" s="119">
        <f>'2018'!AC738</f>
        <v>15</v>
      </c>
      <c r="P96" s="119">
        <f>'2018'!AD738</f>
        <v>0</v>
      </c>
      <c r="Q96" s="119">
        <f>'2018'!AG738</f>
        <v>15</v>
      </c>
      <c r="R96" s="119">
        <f>'2018'!AH738</f>
        <v>0</v>
      </c>
      <c r="S96" s="119">
        <f>'2018'!AK738</f>
        <v>15</v>
      </c>
      <c r="T96" s="119">
        <f>'2018'!AL738</f>
        <v>0</v>
      </c>
      <c r="U96" s="119">
        <f>'2018'!AO738</f>
        <v>15</v>
      </c>
      <c r="V96" s="119">
        <f>'2018'!AP738</f>
        <v>0</v>
      </c>
      <c r="W96" s="119">
        <f>'2018'!AS738</f>
      </c>
      <c r="X96" s="119">
        <f>'2018'!AT738</f>
      </c>
      <c r="Y96" s="119">
        <f>'2018'!AW738</f>
      </c>
      <c r="Z96" s="119">
        <f>'2018'!AX738</f>
      </c>
      <c r="AA96" s="119">
        <f>'2018'!BA738</f>
      </c>
      <c r="AB96" s="119">
        <f>'2018'!BB738</f>
      </c>
      <c r="AC96" s="119">
        <f>'2018'!BE738</f>
        <v>0</v>
      </c>
    </row>
    <row r="97" ht="15.75" customHeight="1" spans="1:29" x14ac:dyDescent="0.25">
      <c r="A97" s="14"/>
      <c r="B97" s="115">
        <v>105</v>
      </c>
      <c r="C97" s="115">
        <v>4.41</v>
      </c>
      <c r="D97" s="117" t="s">
        <v>323</v>
      </c>
      <c r="E97" s="119">
        <f>'2018'!I746</f>
      </c>
      <c r="F97" s="119">
        <f>'2018'!J746</f>
      </c>
      <c r="G97" s="119">
        <f>'2018'!M746</f>
      </c>
      <c r="H97" s="119">
        <f>'2018'!N746</f>
      </c>
      <c r="I97" s="119">
        <f>'2018'!Q746</f>
      </c>
      <c r="J97" s="119">
        <f>'2018'!R746</f>
      </c>
      <c r="K97" s="119">
        <f>'2018'!U746</f>
      </c>
      <c r="L97" s="119">
        <f>'2018'!V746</f>
      </c>
      <c r="M97" s="119">
        <f>'2018'!Y746</f>
        <v>136</v>
      </c>
      <c r="N97" s="119">
        <f>'2018'!Z746</f>
      </c>
      <c r="O97" s="119">
        <f>'2018'!AC746</f>
        <v>136</v>
      </c>
      <c r="P97" s="119">
        <f>'2018'!AD746</f>
        <v>0</v>
      </c>
      <c r="Q97" s="119">
        <f>'2018'!AG746</f>
        <v>136</v>
      </c>
      <c r="R97" s="119">
        <f>'2018'!AH746</f>
        <v>0</v>
      </c>
      <c r="S97" s="119">
        <f>'2018'!AK746</f>
        <v>150</v>
      </c>
      <c r="T97" s="119">
        <f>'2018'!AL746</f>
        <v>14</v>
      </c>
      <c r="U97" s="119">
        <f>'2018'!AO746</f>
        <v>150</v>
      </c>
      <c r="V97" s="119">
        <f>'2018'!AP746</f>
        <v>0</v>
      </c>
      <c r="W97" s="119">
        <f>'2018'!AS746</f>
      </c>
      <c r="X97" s="119">
        <f>'2018'!AT746</f>
      </c>
      <c r="Y97" s="119">
        <f>'2018'!AW746</f>
      </c>
      <c r="Z97" s="119">
        <f>'2018'!AX746</f>
      </c>
      <c r="AA97" s="119">
        <f>'2018'!BA746</f>
      </c>
      <c r="AB97" s="119">
        <f>'2018'!BB746</f>
      </c>
      <c r="AC97" s="119">
        <f>'2018'!BE746</f>
        <v>14</v>
      </c>
    </row>
    <row r="98" ht="15.75" customHeight="1" spans="1:29" x14ac:dyDescent="0.25">
      <c r="A98" s="21"/>
      <c r="B98" s="115">
        <v>107</v>
      </c>
      <c r="C98" s="115">
        <v>4.37</v>
      </c>
      <c r="D98" s="117" t="s">
        <v>325</v>
      </c>
      <c r="E98" s="119">
        <f>'2018'!I754</f>
      </c>
      <c r="F98" s="119">
        <f>'2018'!J754</f>
      </c>
      <c r="G98" s="119">
        <f>'2018'!M754</f>
      </c>
      <c r="H98" s="119">
        <f>'2018'!N754</f>
      </c>
      <c r="I98" s="119">
        <f>'2018'!Q754</f>
      </c>
      <c r="J98" s="119">
        <f>'2018'!R754</f>
      </c>
      <c r="K98" s="119">
        <f>'2018'!U754</f>
      </c>
      <c r="L98" s="119">
        <f>'2018'!V754</f>
      </c>
      <c r="M98" s="119">
        <f>'2018'!Y754</f>
        <v>54</v>
      </c>
      <c r="N98" s="119">
        <f>'2018'!Z754</f>
      </c>
      <c r="O98" s="119">
        <f>'2018'!AC754</f>
        <v>56</v>
      </c>
      <c r="P98" s="119">
        <f>'2018'!AD754</f>
        <v>2</v>
      </c>
      <c r="Q98" s="119">
        <f>'2018'!AG754</f>
        <v>56</v>
      </c>
      <c r="R98" s="119">
        <f>'2018'!AH754</f>
        <v>0</v>
      </c>
      <c r="S98" s="119">
        <f>'2018'!AK754</f>
        <v>60</v>
      </c>
      <c r="T98" s="119">
        <f>'2018'!AL754</f>
        <v>4</v>
      </c>
      <c r="U98" s="119">
        <f>'2018'!AO754</f>
        <v>60</v>
      </c>
      <c r="V98" s="119">
        <f>'2018'!AP754</f>
        <v>0</v>
      </c>
      <c r="W98" s="119">
        <f>'2018'!AS754</f>
      </c>
      <c r="X98" s="119">
        <f>'2018'!AT754</f>
      </c>
      <c r="Y98" s="119">
        <f>'2018'!AW754</f>
      </c>
      <c r="Z98" s="119">
        <f>'2018'!AX754</f>
      </c>
      <c r="AA98" s="119">
        <f>'2018'!BA754</f>
      </c>
      <c r="AB98" s="119">
        <f>'2018'!BB754</f>
      </c>
      <c r="AC98" s="119">
        <f>'2018'!BE754</f>
        <v>6</v>
      </c>
    </row>
    <row r="99" ht="15.75" customHeight="1" spans="1:29" x14ac:dyDescent="0.25">
      <c r="A99" s="114" t="s">
        <v>327</v>
      </c>
      <c r="B99" s="115">
        <v>96</v>
      </c>
      <c r="C99" s="115">
        <v>4.46</v>
      </c>
      <c r="D99" s="117" t="s">
        <v>316</v>
      </c>
      <c r="E99" s="119">
        <f>'2018'!I762</f>
      </c>
      <c r="F99" s="119">
        <f>'2018'!J762</f>
      </c>
      <c r="G99" s="119">
        <f>'2018'!M762</f>
      </c>
      <c r="H99" s="119">
        <f>'2018'!N762</f>
      </c>
      <c r="I99" s="119">
        <f>'2018'!Q762</f>
      </c>
      <c r="J99" s="119">
        <f>'2018'!R762</f>
      </c>
      <c r="K99" s="119">
        <f>'2018'!U762</f>
      </c>
      <c r="L99" s="119">
        <f>'2018'!V762</f>
      </c>
      <c r="M99" s="119">
        <f>'2018'!Y762</f>
      </c>
      <c r="N99" s="119">
        <f>'2018'!Z762</f>
      </c>
      <c r="O99" s="119">
        <f>'2018'!AC762</f>
      </c>
      <c r="P99" s="119">
        <f>'2018'!AD762</f>
        <v>0</v>
      </c>
      <c r="Q99" s="119">
        <f>'2018'!AG762</f>
      </c>
      <c r="R99" s="119">
        <f>'2018'!AH762</f>
        <v>0</v>
      </c>
      <c r="S99" s="119">
        <f>'2018'!AK762</f>
      </c>
      <c r="T99" s="119">
        <f>'2018'!AL762</f>
        <v>0</v>
      </c>
      <c r="U99" s="119">
        <f>'2018'!AO762</f>
      </c>
      <c r="V99" s="119">
        <f>'2018'!AP762</f>
      </c>
      <c r="W99" s="119">
        <f>'2018'!AS762</f>
      </c>
      <c r="X99" s="119">
        <f>'2018'!AT762</f>
      </c>
      <c r="Y99" s="119">
        <f>'2018'!AW762</f>
      </c>
      <c r="Z99" s="119">
        <f>'2018'!AX762</f>
      </c>
      <c r="AA99" s="119">
        <f>'2018'!BA762</f>
      </c>
      <c r="AB99" s="119">
        <f>'2018'!BB762</f>
      </c>
      <c r="AC99" s="119">
        <f>'2018'!BE762</f>
        <v>0</v>
      </c>
    </row>
    <row r="100" ht="15.75" customHeight="1" spans="1:29" x14ac:dyDescent="0.25">
      <c r="A100" s="14"/>
      <c r="B100" s="115">
        <v>98</v>
      </c>
      <c r="C100" s="115">
        <v>4.45</v>
      </c>
      <c r="D100" s="117" t="s">
        <v>328</v>
      </c>
      <c r="E100" s="119">
        <f>'2018'!I770</f>
      </c>
      <c r="F100" s="119">
        <f>'2018'!J770</f>
      </c>
      <c r="G100" s="119">
        <f>'2018'!M770</f>
      </c>
      <c r="H100" s="119">
        <f>'2018'!N770</f>
      </c>
      <c r="I100" s="119">
        <f>'2018'!Q770</f>
      </c>
      <c r="J100" s="119">
        <f>'2018'!R770</f>
      </c>
      <c r="K100" s="119">
        <f>'2018'!U770</f>
      </c>
      <c r="L100" s="119">
        <f>'2018'!V770</f>
      </c>
      <c r="M100" s="119">
        <f>'2018'!Y770</f>
        <v>166</v>
      </c>
      <c r="N100" s="119">
        <f>'2018'!Z770</f>
      </c>
      <c r="O100" s="119">
        <f>'2018'!AC770</f>
        <v>166</v>
      </c>
      <c r="P100" s="119">
        <f>'2018'!AD770</f>
        <v>0</v>
      </c>
      <c r="Q100" s="119">
        <f>'2018'!AG770</f>
        <v>166</v>
      </c>
      <c r="R100" s="119">
        <f>'2018'!AH770</f>
        <v>0</v>
      </c>
      <c r="S100" s="119">
        <f>'2018'!AK770</f>
        <v>166</v>
      </c>
      <c r="T100" s="119">
        <f>'2018'!AL770</f>
        <v>0</v>
      </c>
      <c r="U100" s="119">
        <f>'2018'!AO770</f>
        <v>166</v>
      </c>
      <c r="V100" s="119">
        <f>'2018'!AP770</f>
        <v>0</v>
      </c>
      <c r="W100" s="119">
        <f>'2018'!AS770</f>
      </c>
      <c r="X100" s="119">
        <f>'2018'!AT770</f>
      </c>
      <c r="Y100" s="119">
        <f>'2018'!AW770</f>
      </c>
      <c r="Z100" s="119">
        <f>'2018'!AX770</f>
      </c>
      <c r="AA100" s="119">
        <f>'2018'!BA770</f>
      </c>
      <c r="AB100" s="119">
        <f>'2018'!BB770</f>
      </c>
      <c r="AC100" s="119">
        <f>'2018'!BE770</f>
        <v>0</v>
      </c>
    </row>
    <row r="101" ht="15.75" customHeight="1" spans="1:29" x14ac:dyDescent="0.25">
      <c r="A101" s="14"/>
      <c r="B101" s="115">
        <v>100</v>
      </c>
      <c r="C101" s="115">
        <v>4.47</v>
      </c>
      <c r="D101" s="117" t="s">
        <v>330</v>
      </c>
      <c r="E101" s="119">
        <f>'2018'!I778</f>
      </c>
      <c r="F101" s="119">
        <f>'2018'!J778</f>
      </c>
      <c r="G101" s="119">
        <f>'2018'!M778</f>
      </c>
      <c r="H101" s="119">
        <f>'2018'!N778</f>
      </c>
      <c r="I101" s="119">
        <f>'2018'!Q778</f>
      </c>
      <c r="J101" s="119">
        <f>'2018'!R778</f>
      </c>
      <c r="K101" s="119">
        <f>'2018'!U778</f>
      </c>
      <c r="L101" s="119">
        <f>'2018'!V778</f>
      </c>
      <c r="M101" s="119">
        <f>'2018'!Y778</f>
        <v>61</v>
      </c>
      <c r="N101" s="119">
        <f>'2018'!Z778</f>
      </c>
      <c r="O101" s="119">
        <f>'2018'!AC778</f>
        <v>70</v>
      </c>
      <c r="P101" s="119">
        <f>'2018'!AD778</f>
        <v>9</v>
      </c>
      <c r="Q101" s="119">
        <f>'2018'!AG778</f>
        <v>70</v>
      </c>
      <c r="R101" s="119">
        <f>'2018'!AH778</f>
        <v>0</v>
      </c>
      <c r="S101" s="119">
        <f>'2018'!AK778</f>
        <v>70</v>
      </c>
      <c r="T101" s="119">
        <f>'2018'!AL778</f>
        <v>0</v>
      </c>
      <c r="U101" s="119">
        <f>'2018'!AO778</f>
        <v>70</v>
      </c>
      <c r="V101" s="119">
        <f>'2018'!AP778</f>
        <v>0</v>
      </c>
      <c r="W101" s="119">
        <f>'2018'!AS778</f>
      </c>
      <c r="X101" s="119">
        <f>'2018'!AT778</f>
      </c>
      <c r="Y101" s="119">
        <f>'2018'!AW778</f>
      </c>
      <c r="Z101" s="119">
        <f>'2018'!AX778</f>
      </c>
      <c r="AA101" s="119">
        <f>'2018'!BA778</f>
      </c>
      <c r="AB101" s="119">
        <f>'2018'!BB778</f>
      </c>
      <c r="AC101" s="119">
        <f>'2018'!BE778</f>
        <v>9</v>
      </c>
    </row>
    <row r="102" ht="15.75" customHeight="1" spans="1:29" x14ac:dyDescent="0.25">
      <c r="A102" s="14"/>
      <c r="B102" s="115">
        <v>102</v>
      </c>
      <c r="C102" s="115">
        <v>4.45</v>
      </c>
      <c r="D102" s="117" t="s">
        <v>331</v>
      </c>
      <c r="E102" s="119">
        <f>'2018'!I786</f>
      </c>
      <c r="F102" s="119">
        <f>'2018'!J786</f>
      </c>
      <c r="G102" s="119">
        <f>'2018'!M786</f>
      </c>
      <c r="H102" s="119">
        <f>'2018'!N786</f>
      </c>
      <c r="I102" s="119">
        <f>'2018'!Q786</f>
      </c>
      <c r="J102" s="119">
        <f>'2018'!R786</f>
      </c>
      <c r="K102" s="119">
        <f>'2018'!U786</f>
      </c>
      <c r="L102" s="119">
        <f>'2018'!V786</f>
      </c>
      <c r="M102" s="119">
        <f>'2018'!Y786</f>
        <v>33</v>
      </c>
      <c r="N102" s="119">
        <f>'2018'!Z786</f>
      </c>
      <c r="O102" s="119">
        <f>'2018'!AC786</f>
        <v>33</v>
      </c>
      <c r="P102" s="119">
        <f>'2018'!AD786</f>
        <v>0</v>
      </c>
      <c r="Q102" s="119">
        <f>'2018'!AG786</f>
        <v>33</v>
      </c>
      <c r="R102" s="119">
        <f>'2018'!AH786</f>
        <v>0</v>
      </c>
      <c r="S102" s="119">
        <f>'2018'!AK786</f>
        <v>41</v>
      </c>
      <c r="T102" s="119">
        <f>'2018'!AL786</f>
        <v>8</v>
      </c>
      <c r="U102" s="119">
        <f>'2018'!AO786</f>
        <v>41</v>
      </c>
      <c r="V102" s="119">
        <f>'2018'!AP786</f>
        <v>0</v>
      </c>
      <c r="W102" s="119">
        <f>'2018'!AS786</f>
      </c>
      <c r="X102" s="119">
        <f>'2018'!AT786</f>
      </c>
      <c r="Y102" s="119">
        <f>'2018'!AW786</f>
      </c>
      <c r="Z102" s="119">
        <f>'2018'!AX786</f>
      </c>
      <c r="AA102" s="119">
        <f>'2018'!BA786</f>
      </c>
      <c r="AB102" s="119">
        <f>'2018'!BB786</f>
      </c>
      <c r="AC102" s="119">
        <f>'2018'!BE786</f>
        <v>8</v>
      </c>
    </row>
    <row r="103" ht="15.75" customHeight="1" spans="1:29" x14ac:dyDescent="0.25">
      <c r="A103" s="14"/>
      <c r="B103" s="115">
        <v>104</v>
      </c>
      <c r="C103" s="115">
        <v>4.42</v>
      </c>
      <c r="D103" s="117" t="s">
        <v>333</v>
      </c>
      <c r="E103" s="119">
        <f>'2018'!I794</f>
      </c>
      <c r="F103" s="119">
        <f>'2018'!J794</f>
      </c>
      <c r="G103" s="119">
        <f>'2018'!M794</f>
      </c>
      <c r="H103" s="119">
        <f>'2018'!N794</f>
      </c>
      <c r="I103" s="119">
        <f>'2018'!Q794</f>
      </c>
      <c r="J103" s="119">
        <f>'2018'!R794</f>
      </c>
      <c r="K103" s="119">
        <f>'2018'!U794</f>
      </c>
      <c r="L103" s="119">
        <f>'2018'!V794</f>
      </c>
      <c r="M103" s="119">
        <f>'2018'!Y794</f>
        <v>147</v>
      </c>
      <c r="N103" s="119">
        <f>'2018'!Z794</f>
      </c>
      <c r="O103" s="119">
        <f>'2018'!AC794</f>
        <v>151</v>
      </c>
      <c r="P103" s="119">
        <f>'2018'!AD794</f>
        <v>4</v>
      </c>
      <c r="Q103" s="119">
        <f>'2018'!AG794</f>
        <v>160</v>
      </c>
      <c r="R103" s="119">
        <f>'2018'!AH794</f>
        <v>9</v>
      </c>
      <c r="S103" s="119">
        <f>'2018'!AK794</f>
        <v>170</v>
      </c>
      <c r="T103" s="119">
        <f>'2018'!AL794</f>
        <v>10</v>
      </c>
      <c r="U103" s="119">
        <f>'2018'!AO794</f>
        <v>170</v>
      </c>
      <c r="V103" s="119">
        <f>'2018'!AP794</f>
        <v>0</v>
      </c>
      <c r="W103" s="119">
        <f>'2018'!AS794</f>
      </c>
      <c r="X103" s="119">
        <f>'2018'!AT794</f>
      </c>
      <c r="Y103" s="119">
        <f>'2018'!AW794</f>
      </c>
      <c r="Z103" s="119">
        <f>'2018'!AX794</f>
      </c>
      <c r="AA103" s="119">
        <f>'2018'!BA794</f>
      </c>
      <c r="AB103" s="119">
        <f>'2018'!BB794</f>
      </c>
      <c r="AC103" s="119">
        <f>'2018'!BE794</f>
        <v>23</v>
      </c>
    </row>
    <row r="104" ht="15.75" customHeight="1" spans="1:29" x14ac:dyDescent="0.25">
      <c r="A104" s="14"/>
      <c r="B104" s="115">
        <v>106</v>
      </c>
      <c r="C104" s="115">
        <v>4.57</v>
      </c>
      <c r="D104" s="117" t="s">
        <v>336</v>
      </c>
      <c r="E104" s="119">
        <f>'2018'!I802</f>
      </c>
      <c r="F104" s="119">
        <f>'2018'!J802</f>
      </c>
      <c r="G104" s="119">
        <f>'2018'!M802</f>
      </c>
      <c r="H104" s="119">
        <f>'2018'!N802</f>
      </c>
      <c r="I104" s="119">
        <f>'2018'!Q802</f>
      </c>
      <c r="J104" s="119">
        <f>'2018'!R802</f>
      </c>
      <c r="K104" s="119">
        <f>'2018'!U802</f>
      </c>
      <c r="L104" s="119">
        <f>'2018'!V802</f>
      </c>
      <c r="M104" s="119">
        <f>'2018'!Y802</f>
      </c>
      <c r="N104" s="119">
        <f>'2018'!Z802</f>
      </c>
      <c r="O104" s="119">
        <f>'2018'!AC802</f>
      </c>
      <c r="P104" s="119">
        <f>'2018'!AD802</f>
        <v>0</v>
      </c>
      <c r="Q104" s="119">
        <f>'2018'!AG802</f>
      </c>
      <c r="R104" s="119">
        <f>'2018'!AH802</f>
        <v>0</v>
      </c>
      <c r="S104" s="119">
        <f>'2018'!AK802</f>
      </c>
      <c r="T104" s="119">
        <f>'2018'!AL802</f>
        <v>0</v>
      </c>
      <c r="U104" s="119">
        <f>'2018'!AO802</f>
      </c>
      <c r="V104" s="119">
        <f>'2018'!AP802</f>
      </c>
      <c r="W104" s="119">
        <f>'2018'!AS802</f>
      </c>
      <c r="X104" s="119">
        <f>'2018'!AT802</f>
      </c>
      <c r="Y104" s="119">
        <f>'2018'!AW802</f>
      </c>
      <c r="Z104" s="119">
        <f>'2018'!AX802</f>
      </c>
      <c r="AA104" s="119">
        <f>'2018'!BA802</f>
      </c>
      <c r="AB104" s="119">
        <f>'2018'!BB802</f>
      </c>
      <c r="AC104" s="119">
        <f>'2018'!BE802</f>
        <v>0</v>
      </c>
    </row>
    <row r="105" ht="15.75" customHeight="1" spans="1:29" x14ac:dyDescent="0.25">
      <c r="A105" s="14"/>
      <c r="B105" s="115">
        <v>108</v>
      </c>
      <c r="C105" s="115">
        <v>4.32</v>
      </c>
      <c r="D105" s="117" t="s">
        <v>339</v>
      </c>
      <c r="E105" s="119">
        <f>'2018'!I810</f>
      </c>
      <c r="F105" s="119">
        <f>'2018'!J810</f>
      </c>
      <c r="G105" s="119">
        <f>'2018'!M810</f>
      </c>
      <c r="H105" s="119">
        <f>'2018'!N810</f>
      </c>
      <c r="I105" s="119">
        <f>'2018'!Q810</f>
      </c>
      <c r="J105" s="119">
        <f>'2018'!R810</f>
      </c>
      <c r="K105" s="119">
        <f>'2018'!U810</f>
      </c>
      <c r="L105" s="119">
        <f>'2018'!V810</f>
      </c>
      <c r="M105" s="119">
        <f>'2018'!Y810</f>
      </c>
      <c r="N105" s="119">
        <f>'2018'!Z810</f>
      </c>
      <c r="O105" s="119">
        <f>'2018'!AC810</f>
      </c>
      <c r="P105" s="119">
        <f>'2018'!AD810</f>
        <v>0</v>
      </c>
      <c r="Q105" s="119">
        <f>'2018'!AG810</f>
      </c>
      <c r="R105" s="119">
        <f>'2018'!AH810</f>
        <v>0</v>
      </c>
      <c r="S105" s="119">
        <f>'2018'!AK810</f>
      </c>
      <c r="T105" s="119">
        <f>'2018'!AL810</f>
        <v>0</v>
      </c>
      <c r="U105" s="119">
        <f>'2018'!AO810</f>
      </c>
      <c r="V105" s="119">
        <f>'2018'!AP810</f>
      </c>
      <c r="W105" s="119">
        <f>'2018'!AS810</f>
      </c>
      <c r="X105" s="119">
        <f>'2018'!AT810</f>
      </c>
      <c r="Y105" s="119">
        <f>'2018'!AW810</f>
      </c>
      <c r="Z105" s="119">
        <f>'2018'!AX810</f>
      </c>
      <c r="AA105" s="119">
        <f>'2018'!BA810</f>
      </c>
      <c r="AB105" s="119">
        <f>'2018'!BB810</f>
      </c>
      <c r="AC105" s="119">
        <f>'2018'!BE810</f>
        <v>0</v>
      </c>
    </row>
    <row r="106" ht="15.75" customHeight="1" spans="1:29" x14ac:dyDescent="0.25">
      <c r="A106" s="14"/>
      <c r="B106" s="115">
        <v>109</v>
      </c>
      <c r="C106" s="115">
        <v>6.22</v>
      </c>
      <c r="D106" s="117" t="s">
        <v>340</v>
      </c>
      <c r="E106" s="119">
        <f>'2018'!I818</f>
      </c>
      <c r="F106" s="119">
        <f>'2018'!J818</f>
      </c>
      <c r="G106" s="119">
        <f>'2018'!M818</f>
      </c>
      <c r="H106" s="119">
        <f>'2018'!N818</f>
      </c>
      <c r="I106" s="119">
        <f>'2018'!Q818</f>
      </c>
      <c r="J106" s="119">
        <f>'2018'!R818</f>
      </c>
      <c r="K106" s="119">
        <f>'2018'!U818</f>
      </c>
      <c r="L106" s="119">
        <f>'2018'!V818</f>
      </c>
      <c r="M106" s="119">
        <f>'2018'!Y818</f>
        <v>6</v>
      </c>
      <c r="N106" s="119">
        <f>'2018'!Z818</f>
      </c>
      <c r="O106" s="119">
        <f>'2018'!AC818</f>
        <v>6</v>
      </c>
      <c r="P106" s="119">
        <f>'2018'!AD818</f>
        <v>0</v>
      </c>
      <c r="Q106" s="119">
        <f>'2018'!AG818</f>
        <v>6</v>
      </c>
      <c r="R106" s="119">
        <f>'2018'!AH818</f>
        <v>0</v>
      </c>
      <c r="S106" s="119">
        <f>'2018'!AK818</f>
        <v>6</v>
      </c>
      <c r="T106" s="119">
        <f>'2018'!AL818</f>
        <v>0</v>
      </c>
      <c r="U106" s="119">
        <f>'2018'!AO818</f>
        <v>6</v>
      </c>
      <c r="V106" s="119">
        <f>'2018'!AP818</f>
        <v>0</v>
      </c>
      <c r="W106" s="119">
        <f>'2018'!AS818</f>
      </c>
      <c r="X106" s="119">
        <f>'2018'!AT818</f>
      </c>
      <c r="Y106" s="119">
        <f>'2018'!AW818</f>
      </c>
      <c r="Z106" s="119">
        <f>'2018'!AX818</f>
      </c>
      <c r="AA106" s="119">
        <f>'2018'!BA818</f>
      </c>
      <c r="AB106" s="119">
        <f>'2018'!BB818</f>
      </c>
      <c r="AC106" s="119">
        <f>'2018'!BE818</f>
        <v>0</v>
      </c>
    </row>
    <row r="107" ht="15.75" customHeight="1" spans="1:29" x14ac:dyDescent="0.25">
      <c r="A107" s="14"/>
      <c r="B107" s="115">
        <v>110</v>
      </c>
      <c r="C107" s="115">
        <v>4.91</v>
      </c>
      <c r="D107" s="117" t="s">
        <v>342</v>
      </c>
      <c r="E107" s="119">
        <f>'2018'!I826</f>
      </c>
      <c r="F107" s="119">
        <f>'2018'!J826</f>
      </c>
      <c r="G107" s="119">
        <f>'2018'!M826</f>
      </c>
      <c r="H107" s="119">
        <f>'2018'!N826</f>
      </c>
      <c r="I107" s="119">
        <f>'2018'!Q826</f>
      </c>
      <c r="J107" s="119">
        <f>'2018'!R826</f>
      </c>
      <c r="K107" s="119">
        <f>'2018'!U826</f>
      </c>
      <c r="L107" s="119">
        <f>'2018'!V826</f>
      </c>
      <c r="M107" s="119">
        <f>'2018'!Y826</f>
        <v>9</v>
      </c>
      <c r="N107" s="119">
        <f>'2018'!Z826</f>
      </c>
      <c r="O107" s="119">
        <f>'2018'!AC826</f>
        <v>9</v>
      </c>
      <c r="P107" s="119">
        <f>'2018'!AD826</f>
        <v>0</v>
      </c>
      <c r="Q107" s="119">
        <f>'2018'!AG826</f>
        <v>14</v>
      </c>
      <c r="R107" s="119">
        <f>'2018'!AH826</f>
        <v>5</v>
      </c>
      <c r="S107" s="119">
        <f>'2018'!AK826</f>
        <v>14</v>
      </c>
      <c r="T107" s="119">
        <f>'2018'!AL826</f>
        <v>0</v>
      </c>
      <c r="U107" s="119">
        <f>'2018'!AO826</f>
        <v>14</v>
      </c>
      <c r="V107" s="119">
        <f>'2018'!AP826</f>
        <v>0</v>
      </c>
      <c r="W107" s="119">
        <f>'2018'!AS826</f>
      </c>
      <c r="X107" s="119">
        <f>'2018'!AT826</f>
      </c>
      <c r="Y107" s="119">
        <f>'2018'!AW826</f>
      </c>
      <c r="Z107" s="119">
        <f>'2018'!AX826</f>
      </c>
      <c r="AA107" s="119">
        <f>'2018'!BA826</f>
      </c>
      <c r="AB107" s="119">
        <f>'2018'!BB826</f>
      </c>
      <c r="AC107" s="119">
        <f>'2018'!BE826</f>
        <v>5</v>
      </c>
    </row>
    <row r="108" ht="15.75" customHeight="1" spans="1:29" x14ac:dyDescent="0.25">
      <c r="A108" s="14"/>
      <c r="B108" s="115">
        <v>111</v>
      </c>
      <c r="C108" s="116">
        <v>6.8</v>
      </c>
      <c r="D108" s="117" t="s">
        <v>280</v>
      </c>
      <c r="E108" s="119">
        <f>'2018'!I834</f>
      </c>
      <c r="F108" s="119">
        <f>'2018'!J834</f>
      </c>
      <c r="G108" s="119">
        <f>'2018'!M834</f>
      </c>
      <c r="H108" s="119">
        <f>'2018'!N834</f>
      </c>
      <c r="I108" s="119">
        <f>'2018'!Q834</f>
      </c>
      <c r="J108" s="119">
        <f>'2018'!R834</f>
      </c>
      <c r="K108" s="119">
        <f>'2018'!U834</f>
      </c>
      <c r="L108" s="119">
        <f>'2018'!V834</f>
      </c>
      <c r="M108" s="119">
        <f>'2018'!Y834</f>
        <v>6</v>
      </c>
      <c r="N108" s="119">
        <f>'2018'!Z834</f>
      </c>
      <c r="O108" s="119">
        <f>'2018'!AC834</f>
        <v>6</v>
      </c>
      <c r="P108" s="119">
        <f>'2018'!AD834</f>
        <v>0</v>
      </c>
      <c r="Q108" s="119">
        <f>'2018'!AG834</f>
        <v>6</v>
      </c>
      <c r="R108" s="119">
        <f>'2018'!AH834</f>
        <v>0</v>
      </c>
      <c r="S108" s="119">
        <f>'2018'!AK834</f>
        <v>6</v>
      </c>
      <c r="T108" s="119">
        <f>'2018'!AL834</f>
        <v>0</v>
      </c>
      <c r="U108" s="119">
        <f>'2018'!AO834</f>
        <v>6</v>
      </c>
      <c r="V108" s="119">
        <f>'2018'!AP834</f>
        <v>0</v>
      </c>
      <c r="W108" s="119">
        <f>'2018'!AS834</f>
      </c>
      <c r="X108" s="119">
        <f>'2018'!AT834</f>
      </c>
      <c r="Y108" s="119">
        <f>'2018'!AW834</f>
      </c>
      <c r="Z108" s="119">
        <f>'2018'!AX834</f>
      </c>
      <c r="AA108" s="119">
        <f>'2018'!BA834</f>
      </c>
      <c r="AB108" s="119">
        <f>'2018'!BB834</f>
      </c>
      <c r="AC108" s="119">
        <f>'2018'!BE834</f>
        <v>0</v>
      </c>
    </row>
    <row r="109" ht="15.75" customHeight="1" spans="1:29" x14ac:dyDescent="0.25">
      <c r="A109" s="14"/>
      <c r="B109" s="115">
        <v>112</v>
      </c>
      <c r="C109" s="115">
        <v>4.94</v>
      </c>
      <c r="D109" s="117" t="s">
        <v>364</v>
      </c>
      <c r="E109" s="119">
        <f>'2018'!I842</f>
      </c>
      <c r="F109" s="119">
        <f>'2018'!J842</f>
      </c>
      <c r="G109" s="119">
        <f>'2018'!M842</f>
      </c>
      <c r="H109" s="119">
        <f>'2018'!N842</f>
      </c>
      <c r="I109" s="119">
        <f>'2018'!Q842</f>
      </c>
      <c r="J109" s="119">
        <f>'2018'!R842</f>
      </c>
      <c r="K109" s="119">
        <f>'2018'!U842</f>
      </c>
      <c r="L109" s="119">
        <f>'2018'!V842</f>
      </c>
      <c r="M109" s="119">
        <f>'2018'!Y842</f>
      </c>
      <c r="N109" s="119">
        <f>'2018'!Z842</f>
      </c>
      <c r="O109" s="119">
        <f>'2018'!AC842</f>
        <v>2</v>
      </c>
      <c r="P109" s="119">
        <f>'2018'!AD842</f>
        <v>2</v>
      </c>
      <c r="Q109" s="119">
        <f>'2018'!AG842</f>
        <v>2</v>
      </c>
      <c r="R109" s="119">
        <f>'2018'!AH842</f>
        <v>0</v>
      </c>
      <c r="S109" s="119">
        <f>'2018'!AK842</f>
        <v>2</v>
      </c>
      <c r="T109" s="119">
        <f>'2018'!AL842</f>
        <v>0</v>
      </c>
      <c r="U109" s="119">
        <f>'2018'!AO842</f>
        <v>2</v>
      </c>
      <c r="V109" s="119">
        <f>'2018'!AP842</f>
        <v>0</v>
      </c>
      <c r="W109" s="119">
        <f>'2018'!AS842</f>
      </c>
      <c r="X109" s="119">
        <f>'2018'!AT842</f>
      </c>
      <c r="Y109" s="119">
        <f>'2018'!AW842</f>
      </c>
      <c r="Z109" s="119">
        <f>'2018'!AX842</f>
      </c>
      <c r="AA109" s="119">
        <f>'2018'!BA842</f>
      </c>
      <c r="AB109" s="119">
        <f>'2018'!BB842</f>
      </c>
      <c r="AC109" s="119">
        <f>'2018'!BE842</f>
        <v>2</v>
      </c>
    </row>
    <row r="110" ht="15.75" customHeight="1" spans="1:29" x14ac:dyDescent="0.25">
      <c r="A110" s="14"/>
      <c r="B110" s="115">
        <v>113</v>
      </c>
      <c r="C110" s="115">
        <v>4.98</v>
      </c>
      <c r="D110" s="117" t="s">
        <v>348</v>
      </c>
      <c r="E110" s="119">
        <f>'2018'!I850</f>
      </c>
      <c r="F110" s="119">
        <f>'2018'!J850</f>
      </c>
      <c r="G110" s="119">
        <f>'2018'!M850</f>
      </c>
      <c r="H110" s="119">
        <f>'2018'!N850</f>
      </c>
      <c r="I110" s="119">
        <f>'2018'!Q850</f>
      </c>
      <c r="J110" s="119">
        <f>'2018'!R850</f>
      </c>
      <c r="K110" s="119">
        <f>'2018'!U850</f>
      </c>
      <c r="L110" s="119">
        <f>'2018'!V850</f>
      </c>
      <c r="M110" s="119">
        <f>'2018'!Y850</f>
      </c>
      <c r="N110" s="119">
        <f>'2018'!Z850</f>
      </c>
      <c r="O110" s="119">
        <f>'2018'!AC850</f>
      </c>
      <c r="P110" s="119">
        <f>'2018'!AD850</f>
        <v>0</v>
      </c>
      <c r="Q110" s="119">
        <f>'2018'!AG850</f>
      </c>
      <c r="R110" s="119">
        <f>'2018'!AH850</f>
        <v>0</v>
      </c>
      <c r="S110" s="119">
        <f>'2018'!AK850</f>
      </c>
      <c r="T110" s="119">
        <f>'2018'!AL850</f>
        <v>0</v>
      </c>
      <c r="U110" s="119">
        <f>'2018'!AO850</f>
      </c>
      <c r="V110" s="119">
        <f>'2018'!AP850</f>
      </c>
      <c r="W110" s="119">
        <f>'2018'!AS850</f>
      </c>
      <c r="X110" s="119">
        <f>'2018'!AT850</f>
      </c>
      <c r="Y110" s="119">
        <f>'2018'!AW850</f>
      </c>
      <c r="Z110" s="119">
        <f>'2018'!AX850</f>
      </c>
      <c r="AA110" s="119">
        <f>'2018'!BA850</f>
      </c>
      <c r="AB110" s="119">
        <f>'2018'!BB850</f>
      </c>
      <c r="AC110" s="119">
        <f>'2018'!BE850</f>
        <v>0</v>
      </c>
    </row>
    <row r="111" ht="15.75" customHeight="1" spans="1:29" x14ac:dyDescent="0.25">
      <c r="A111" s="14"/>
      <c r="B111" s="118">
        <v>114</v>
      </c>
      <c r="C111" s="115">
        <v>4.86</v>
      </c>
      <c r="D111" s="117" t="s">
        <v>245</v>
      </c>
      <c r="E111" s="119">
        <f>'2018'!I858</f>
      </c>
      <c r="F111" s="119">
        <f>'2018'!J858</f>
      </c>
      <c r="G111" s="119">
        <f>'2018'!M858</f>
      </c>
      <c r="H111" s="119">
        <f>'2018'!N858</f>
      </c>
      <c r="I111" s="119">
        <f>'2018'!Q858</f>
      </c>
      <c r="J111" s="119">
        <f>'2018'!R858</f>
      </c>
      <c r="K111" s="119">
        <f>'2018'!U858</f>
      </c>
      <c r="L111" s="119">
        <f>'2018'!V858</f>
      </c>
      <c r="M111" s="119">
        <f>'2018'!Y858</f>
        <v>7</v>
      </c>
      <c r="N111" s="119">
        <f>'2018'!Z858</f>
      </c>
      <c r="O111" s="119">
        <f>'2018'!AC858</f>
        <v>7</v>
      </c>
      <c r="P111" s="119">
        <f>'2018'!AD858</f>
        <v>0</v>
      </c>
      <c r="Q111" s="119">
        <f>'2018'!AG858</f>
        <v>7</v>
      </c>
      <c r="R111" s="119">
        <f>'2018'!AH858</f>
        <v>0</v>
      </c>
      <c r="S111" s="119">
        <f>'2018'!AK858</f>
        <v>7</v>
      </c>
      <c r="T111" s="119">
        <f>'2018'!AL858</f>
        <v>0</v>
      </c>
      <c r="U111" s="119">
        <f>'2018'!AO858</f>
        <v>13</v>
      </c>
      <c r="V111" s="119">
        <f>'2018'!AP858</f>
        <v>6</v>
      </c>
      <c r="W111" s="119">
        <f>'2018'!AS858</f>
      </c>
      <c r="X111" s="119">
        <f>'2018'!AT858</f>
      </c>
      <c r="Y111" s="119">
        <f>'2018'!AW858</f>
      </c>
      <c r="Z111" s="119">
        <f>'2018'!AX858</f>
      </c>
      <c r="AA111" s="119">
        <f>'2018'!BA858</f>
      </c>
      <c r="AB111" s="119">
        <f>'2018'!BB858</f>
      </c>
      <c r="AC111" s="119">
        <f>'2018'!BE858</f>
        <v>6</v>
      </c>
    </row>
    <row r="112" ht="15.75" customHeight="1" spans="1:29" x14ac:dyDescent="0.25">
      <c r="A112" s="117"/>
      <c r="B112" s="115" t="s">
        <v>350</v>
      </c>
      <c r="C112" s="116">
        <f>SUM(C5:C111)</f>
        <v>505.74</v>
      </c>
      <c r="D112" s="117"/>
      <c r="E112" s="119">
        <f t="shared" ref="E112:AC112" si="0">SUM(E5:E111)</f>
        <v>0</v>
      </c>
      <c r="F112" s="119">
        <f t="shared" si="0"/>
        <v>0</v>
      </c>
      <c r="G112" s="119">
        <f t="shared" si="0"/>
        <v>0</v>
      </c>
      <c r="H112" s="119">
        <f t="shared" si="0"/>
        <v>0</v>
      </c>
      <c r="I112" s="119">
        <f t="shared" si="0"/>
        <v>0</v>
      </c>
      <c r="J112" s="119">
        <f t="shared" si="0"/>
        <v>0</v>
      </c>
      <c r="K112" s="119">
        <f t="shared" si="0"/>
        <v>0</v>
      </c>
      <c r="L112" s="119">
        <f t="shared" si="0"/>
        <v>0</v>
      </c>
      <c r="M112" s="119">
        <f t="shared" si="0"/>
        <v>8174</v>
      </c>
      <c r="N112" s="119">
        <f t="shared" si="0"/>
        <v>0</v>
      </c>
      <c r="O112" s="119">
        <f t="shared" si="0"/>
        <v>8364</v>
      </c>
      <c r="P112" s="119">
        <f t="shared" si="0"/>
        <v>186</v>
      </c>
      <c r="Q112" s="119">
        <f t="shared" si="0"/>
        <v>8566</v>
      </c>
      <c r="R112" s="119">
        <f t="shared" si="0"/>
        <v>224</v>
      </c>
      <c r="S112" s="119">
        <f t="shared" si="0"/>
        <v>8959</v>
      </c>
      <c r="T112" s="119">
        <f t="shared" si="0"/>
        <v>401</v>
      </c>
      <c r="U112" s="119">
        <f t="shared" si="0"/>
        <v>9262</v>
      </c>
      <c r="V112" s="119">
        <f t="shared" si="0"/>
        <v>303</v>
      </c>
      <c r="W112" s="119">
        <f t="shared" si="0"/>
        <v>0</v>
      </c>
      <c r="X112" s="119">
        <f t="shared" si="0"/>
        <v>0</v>
      </c>
      <c r="Y112" s="119">
        <f t="shared" si="0"/>
        <v>0</v>
      </c>
      <c r="Z112" s="119">
        <f t="shared" si="0"/>
        <v>0</v>
      </c>
      <c r="AA112" s="119">
        <f t="shared" si="0"/>
        <v>0</v>
      </c>
      <c r="AB112" s="119">
        <f t="shared" si="0"/>
        <v>0</v>
      </c>
      <c r="AC112" s="119">
        <f t="shared" si="0"/>
        <v>1114</v>
      </c>
    </row>
    <row r="113" ht="15.75" customHeight="1" spans="1:3" x14ac:dyDescent="0.25">
      <c r="A113" s="15"/>
      <c r="B113" s="112"/>
      <c r="C113" s="112"/>
    </row>
    <row r="114" ht="15.75" customHeight="1" spans="1:29" x14ac:dyDescent="0.25" outlineLevel="1" collapsed="1">
      <c r="A114" s="15"/>
      <c r="B114" s="112"/>
      <c r="C114" s="112"/>
      <c r="E114" s="120" t="b">
        <f>E112='2018'!I868</f>
        <v>1</v>
      </c>
      <c r="F114" s="120" t="b">
        <f>F112='2018'!J868</f>
        <v>1</v>
      </c>
      <c r="G114" s="120" t="b">
        <f>G112='2018'!M868</f>
        <v>1</v>
      </c>
      <c r="H114" s="120" t="b">
        <f>H112='2018'!N868</f>
        <v>1</v>
      </c>
      <c r="I114" s="120" t="b">
        <f>I112='2018'!Q868</f>
        <v>1</v>
      </c>
      <c r="J114" s="120" t="b">
        <f>J112='2018'!R868</f>
        <v>1</v>
      </c>
      <c r="K114" s="120" t="b">
        <f>K112='2018'!U868</f>
        <v>1</v>
      </c>
      <c r="L114" s="120" t="b">
        <f>L112='2018'!V868</f>
        <v>1</v>
      </c>
      <c r="M114" s="120" t="b">
        <f>M112='2018'!Y868</f>
        <v>1</v>
      </c>
      <c r="N114" s="120" t="b">
        <f>N112='2018'!Z868</f>
        <v>1</v>
      </c>
      <c r="O114" s="120" t="b">
        <f>O112='2018'!AC868</f>
        <v>1</v>
      </c>
      <c r="P114" s="120" t="b">
        <f>P112='2018'!AD868</f>
        <v>1</v>
      </c>
      <c r="Q114" s="120" t="b">
        <f>Q112='2018'!AG868</f>
        <v>1</v>
      </c>
      <c r="R114" s="120" t="b">
        <f>R112='2018'!AH868</f>
        <v>1</v>
      </c>
      <c r="S114" s="120" t="b">
        <f>S112='2018'!AK868</f>
        <v>1</v>
      </c>
      <c r="T114" s="120" t="b">
        <f>T112='2018'!AL868</f>
        <v>1</v>
      </c>
      <c r="U114" s="120" t="b">
        <f>U112='2018'!AO868</f>
        <v>1</v>
      </c>
      <c r="V114" s="120" t="b">
        <f>V112='2018'!AP868</f>
        <v>1</v>
      </c>
      <c r="W114" s="120" t="b">
        <f>W112='2018'!AS868</f>
        <v>1</v>
      </c>
      <c r="X114" s="120" t="b">
        <f>X112='2018'!AT868</f>
        <v>1</v>
      </c>
      <c r="Y114" s="120" t="b">
        <f>Y112='2018'!AW868</f>
        <v>1</v>
      </c>
      <c r="Z114" s="120" t="b">
        <f>Z112='2018'!AX868</f>
        <v>1</v>
      </c>
      <c r="AA114" s="120" t="b">
        <f>AA112='2018'!BA868</f>
        <v>1</v>
      </c>
      <c r="AB114" s="120" t="b">
        <f>AB112='2018'!BB868</f>
        <v>1</v>
      </c>
      <c r="AC114" s="120" t="b">
        <f>AC112='2018'!BE868</f>
        <v>1</v>
      </c>
    </row>
    <row r="115" ht="15.75" customHeight="1" spans="1:29" x14ac:dyDescent="0.25">
      <c r="A115" s="15"/>
      <c r="B115" s="112"/>
      <c r="C115" s="112"/>
      <c r="AC115" s="120" t="b">
        <f>AC112=F112+H112+J112+L112+N112+P112+R112+T112+V112+X112+Z112+AB112</f>
        <v>1</v>
      </c>
    </row>
    <row r="116" ht="15.75" customHeight="1" spans="1:3" x14ac:dyDescent="0.25">
      <c r="A116" s="15"/>
      <c r="B116" s="112"/>
      <c r="C116" s="112"/>
    </row>
    <row r="117" ht="15.75" customHeight="1" spans="1:3" x14ac:dyDescent="0.25">
      <c r="A117" s="15"/>
      <c r="B117" s="112"/>
      <c r="C117" s="112"/>
    </row>
    <row r="118" ht="15.75" customHeight="1" spans="1:3" x14ac:dyDescent="0.25">
      <c r="A118" s="15"/>
      <c r="B118" s="112"/>
      <c r="C118" s="112"/>
    </row>
    <row r="119" ht="15.75" customHeight="1" spans="1:3" x14ac:dyDescent="0.25">
      <c r="A119" s="15"/>
      <c r="B119" s="112"/>
      <c r="C119" s="112"/>
    </row>
    <row r="120" ht="15.75" customHeight="1" spans="1:3" x14ac:dyDescent="0.25">
      <c r="A120" s="15"/>
      <c r="B120" s="112"/>
      <c r="C120" s="112"/>
    </row>
    <row r="121" ht="15.75" customHeight="1" spans="1:3" x14ac:dyDescent="0.25">
      <c r="A121" s="15"/>
      <c r="B121" s="112"/>
      <c r="C121" s="112"/>
    </row>
    <row r="122" ht="15.75" customHeight="1" spans="1:3" x14ac:dyDescent="0.25">
      <c r="A122" s="15"/>
      <c r="B122" s="112"/>
      <c r="C122" s="112"/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B$4:$AC$114"/>
  <mergeCells count="12"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</mergeCells>
  <pageMargins left="0.196527777777778" right="0" top="0.196527777777778" bottom="0.196527777777778" header="0" footer="0"/>
  <pageSetup paperSize="9" orientation="landscape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FF"/>
  </sheetPr>
  <dimension ref="A1:BM875"/>
  <sheetViews>
    <sheetView workbookViewId="0" zoomScale="100" zoomScaleNormal="100">
      <pane xSplit="8" ySplit="6" topLeftCell="I7" activePane="bottomRight" state="frozen"/>
      <selection pane="bottomRight" activeCell="I7" sqref="I7"/>
    </sheetView>
  </sheetViews>
  <sheetFormatPr defaultRowHeight="15" outlineLevelRow="0" outlineLevelCol="2" x14ac:dyDescent="0" defaultColWidth="14.43"/>
  <cols>
    <col min="1" max="2" width="7.14" customWidth="1"/>
    <col min="3" max="3" width="18" customWidth="1"/>
    <col min="4" max="4" width="10.14" customWidth="1"/>
    <col min="5" max="7" width="8.43" customWidth="1"/>
    <col min="8" max="8" width="10.14" customWidth="1"/>
    <col min="9" max="10" width="7.86" outlineLevel="1" customWidth="1"/>
    <col min="11" max="12" width="9.14" customWidth="1"/>
    <col min="13" max="14" width="7.86" outlineLevel="1" customWidth="1"/>
    <col min="15" max="15" width="10" customWidth="1"/>
    <col min="16" max="16" width="9.14" customWidth="1"/>
    <col min="17" max="18" width="7.86" outlineLevel="1" customWidth="1"/>
    <col min="19" max="20" width="9.14" customWidth="1"/>
    <col min="21" max="22" width="7.86" outlineLevel="1" customWidth="1"/>
    <col min="23" max="24" width="9.14" customWidth="1"/>
    <col min="25" max="26" width="7.86" outlineLevel="2" collapsed="1" customWidth="1"/>
    <col min="27" max="27" width="9.86" customWidth="1"/>
    <col min="28" max="28" width="9.14" customWidth="1"/>
    <col min="29" max="30" width="7.86" outlineLevel="1" customWidth="1"/>
    <col min="31" max="32" width="10.14" customWidth="1"/>
    <col min="33" max="34" width="7.86" outlineLevel="1" customWidth="1"/>
    <col min="35" max="35" width="8.86" customWidth="1"/>
    <col min="36" max="36" width="10.14" customWidth="1"/>
    <col min="37" max="38" width="7.86" outlineLevel="2" collapsed="1" customWidth="1"/>
    <col min="39" max="39" width="8.57" customWidth="1"/>
    <col min="40" max="40" width="9.86" customWidth="1"/>
    <col min="41" max="42" width="7.86" outlineLevel="1" customWidth="1"/>
    <col min="43" max="43" width="8.86" customWidth="1"/>
    <col min="44" max="44" width="10" customWidth="1"/>
    <col min="45" max="46" width="7.86" outlineLevel="1" customWidth="1"/>
    <col min="47" max="47" width="8.86" customWidth="1"/>
    <col min="48" max="48" width="8.57" customWidth="1"/>
    <col min="49" max="50" width="7.86" outlineLevel="1" customWidth="1"/>
    <col min="51" max="52" width="9.14" customWidth="1"/>
    <col min="53" max="54" width="7.86" customWidth="1"/>
    <col min="55" max="55" width="8.57" customWidth="1"/>
    <col min="56" max="56" width="8.86" customWidth="1"/>
    <col min="57" max="57" width="7.86" customWidth="1"/>
    <col min="58" max="58" width="10" customWidth="1"/>
    <col min="59" max="59" width="9.86" customWidth="1"/>
    <col min="60" max="60" width="9.57" customWidth="1"/>
    <col min="61" max="61" width="9.43" outlineLevel="1" customWidth="1"/>
    <col min="62" max="62" width="7.14" outlineLevel="1" customWidth="1"/>
    <col min="63" max="65" width="8.43" customWidth="1"/>
  </cols>
  <sheetData>
    <row r="1" spans="2:6" x14ac:dyDescent="0.25">
      <c r="B1" s="1" t="s">
        <v>0</v>
      </c>
      <c r="F1" s="2" t="s">
        <v>376</v>
      </c>
    </row>
    <row r="2" spans="2:2" x14ac:dyDescent="0.25">
      <c r="B2" s="1"/>
    </row>
    <row r="3" spans="1:62" x14ac:dyDescent="0.25">
      <c r="A3" s="3" t="s">
        <v>2</v>
      </c>
      <c r="B3" s="4" t="s">
        <v>3</v>
      </c>
      <c r="C3" s="5" t="s">
        <v>4</v>
      </c>
      <c r="D3" s="4" t="s">
        <v>5</v>
      </c>
      <c r="E3" s="5" t="s">
        <v>6</v>
      </c>
      <c r="F3" s="6" t="s">
        <v>7</v>
      </c>
      <c r="G3" s="7"/>
      <c r="H3" s="128" t="s">
        <v>8</v>
      </c>
      <c r="I3" s="8" t="s">
        <v>9</v>
      </c>
      <c r="J3" s="9"/>
      <c r="K3" s="9"/>
      <c r="L3" s="7"/>
      <c r="M3" s="10" t="s">
        <v>10</v>
      </c>
      <c r="N3" s="9"/>
      <c r="O3" s="9"/>
      <c r="P3" s="9"/>
      <c r="Q3" s="8" t="s">
        <v>11</v>
      </c>
      <c r="R3" s="9"/>
      <c r="S3" s="9"/>
      <c r="T3" s="7"/>
      <c r="U3" s="10" t="s">
        <v>12</v>
      </c>
      <c r="V3" s="9"/>
      <c r="W3" s="9"/>
      <c r="X3" s="9"/>
      <c r="Y3" s="129" t="s">
        <v>13</v>
      </c>
      <c r="Z3" s="9"/>
      <c r="AA3" s="9"/>
      <c r="AB3" s="7"/>
      <c r="AC3" s="130" t="s">
        <v>14</v>
      </c>
      <c r="AD3" s="9"/>
      <c r="AE3" s="9"/>
      <c r="AF3" s="9"/>
      <c r="AG3" s="8" t="s">
        <v>15</v>
      </c>
      <c r="AH3" s="9"/>
      <c r="AI3" s="9"/>
      <c r="AJ3" s="7"/>
      <c r="AK3" s="8" t="s">
        <v>16</v>
      </c>
      <c r="AL3" s="9"/>
      <c r="AM3" s="9"/>
      <c r="AN3" s="7"/>
      <c r="AO3" s="8" t="s">
        <v>17</v>
      </c>
      <c r="AP3" s="9"/>
      <c r="AQ3" s="9"/>
      <c r="AR3" s="7"/>
      <c r="AS3" s="10" t="s">
        <v>18</v>
      </c>
      <c r="AT3" s="9"/>
      <c r="AU3" s="9"/>
      <c r="AV3" s="9"/>
      <c r="AW3" s="8" t="s">
        <v>19</v>
      </c>
      <c r="AX3" s="9"/>
      <c r="AY3" s="9"/>
      <c r="AZ3" s="7"/>
      <c r="BA3" s="10" t="s">
        <v>20</v>
      </c>
      <c r="BB3" s="9"/>
      <c r="BC3" s="9"/>
      <c r="BD3" s="9"/>
      <c r="BE3" s="8" t="s">
        <v>21</v>
      </c>
      <c r="BF3" s="9"/>
      <c r="BG3" s="9"/>
      <c r="BH3" s="7"/>
      <c r="BI3" s="11" t="s">
        <v>22</v>
      </c>
      <c r="BJ3" s="12"/>
    </row>
    <row r="4" spans="1:62" x14ac:dyDescent="0.25">
      <c r="A4" s="13" t="s">
        <v>23</v>
      </c>
      <c r="B4" s="14" t="s">
        <v>24</v>
      </c>
      <c r="C4" s="15" t="s">
        <v>25</v>
      </c>
      <c r="D4" s="14" t="s">
        <v>26</v>
      </c>
      <c r="E4" s="15"/>
      <c r="F4" s="14" t="s">
        <v>27</v>
      </c>
      <c r="G4" s="14" t="s">
        <v>377</v>
      </c>
      <c r="H4" s="81" t="s">
        <v>29</v>
      </c>
      <c r="I4" s="4" t="s">
        <v>30</v>
      </c>
      <c r="J4" s="4" t="s">
        <v>3</v>
      </c>
      <c r="K4" s="4" t="s">
        <v>31</v>
      </c>
      <c r="L4" s="4" t="s">
        <v>32</v>
      </c>
      <c r="M4" s="5" t="s">
        <v>30</v>
      </c>
      <c r="N4" s="4" t="s">
        <v>3</v>
      </c>
      <c r="O4" s="16" t="s">
        <v>31</v>
      </c>
      <c r="P4" s="3" t="s">
        <v>32</v>
      </c>
      <c r="Q4" s="4" t="s">
        <v>30</v>
      </c>
      <c r="R4" s="4" t="s">
        <v>3</v>
      </c>
      <c r="S4" s="4" t="s">
        <v>31</v>
      </c>
      <c r="T4" s="4" t="s">
        <v>32</v>
      </c>
      <c r="U4" s="16" t="s">
        <v>30</v>
      </c>
      <c r="V4" s="4" t="s">
        <v>3</v>
      </c>
      <c r="W4" s="4" t="s">
        <v>31</v>
      </c>
      <c r="X4" s="3" t="s">
        <v>32</v>
      </c>
      <c r="Y4" s="4" t="s">
        <v>30</v>
      </c>
      <c r="Z4" s="4" t="s">
        <v>3</v>
      </c>
      <c r="AA4" s="4" t="s">
        <v>31</v>
      </c>
      <c r="AB4" s="4" t="s">
        <v>32</v>
      </c>
      <c r="AC4" s="16" t="s">
        <v>30</v>
      </c>
      <c r="AD4" s="4" t="s">
        <v>3</v>
      </c>
      <c r="AE4" s="4" t="s">
        <v>31</v>
      </c>
      <c r="AF4" s="3" t="s">
        <v>32</v>
      </c>
      <c r="AG4" s="4" t="s">
        <v>30</v>
      </c>
      <c r="AH4" s="4" t="s">
        <v>3</v>
      </c>
      <c r="AI4" s="4" t="s">
        <v>31</v>
      </c>
      <c r="AJ4" s="4" t="s">
        <v>32</v>
      </c>
      <c r="AK4" s="4" t="s">
        <v>30</v>
      </c>
      <c r="AL4" s="4" t="s">
        <v>3</v>
      </c>
      <c r="AM4" s="4" t="s">
        <v>31</v>
      </c>
      <c r="AN4" s="4" t="s">
        <v>32</v>
      </c>
      <c r="AO4" s="4" t="s">
        <v>30</v>
      </c>
      <c r="AP4" s="4" t="s">
        <v>3</v>
      </c>
      <c r="AQ4" s="4" t="s">
        <v>31</v>
      </c>
      <c r="AR4" s="4" t="s">
        <v>32</v>
      </c>
      <c r="AS4" s="16" t="s">
        <v>30</v>
      </c>
      <c r="AT4" s="4" t="s">
        <v>3</v>
      </c>
      <c r="AU4" s="4" t="s">
        <v>31</v>
      </c>
      <c r="AV4" s="3" t="s">
        <v>32</v>
      </c>
      <c r="AW4" s="4" t="s">
        <v>30</v>
      </c>
      <c r="AX4" s="4" t="s">
        <v>3</v>
      </c>
      <c r="AY4" s="4" t="s">
        <v>31</v>
      </c>
      <c r="AZ4" s="4" t="s">
        <v>32</v>
      </c>
      <c r="BA4" s="16" t="s">
        <v>30</v>
      </c>
      <c r="BB4" s="4" t="s">
        <v>3</v>
      </c>
      <c r="BC4" s="4" t="s">
        <v>31</v>
      </c>
      <c r="BD4" s="3" t="s">
        <v>32</v>
      </c>
      <c r="BE4" s="4" t="s">
        <v>3</v>
      </c>
      <c r="BF4" s="17" t="s">
        <v>33</v>
      </c>
      <c r="BG4" s="17" t="s">
        <v>34</v>
      </c>
      <c r="BH4" s="17" t="s">
        <v>35</v>
      </c>
      <c r="BI4" s="18"/>
      <c r="BJ4" s="19"/>
    </row>
    <row r="5" spans="1:62" x14ac:dyDescent="0.25">
      <c r="A5" s="20"/>
      <c r="B5" s="21" t="s">
        <v>36</v>
      </c>
      <c r="C5" s="22"/>
      <c r="D5" s="21"/>
      <c r="E5" s="22"/>
      <c r="F5" s="21" t="s">
        <v>378</v>
      </c>
      <c r="G5" s="21" t="s">
        <v>378</v>
      </c>
      <c r="H5" s="131" t="s">
        <v>38</v>
      </c>
      <c r="I5" s="21"/>
      <c r="J5" s="21"/>
      <c r="K5" s="21" t="s">
        <v>39</v>
      </c>
      <c r="L5" s="21"/>
      <c r="M5" s="22"/>
      <c r="N5" s="21"/>
      <c r="O5" s="23" t="s">
        <v>39</v>
      </c>
      <c r="P5" s="20"/>
      <c r="Q5" s="21"/>
      <c r="R5" s="21"/>
      <c r="S5" s="21" t="s">
        <v>39</v>
      </c>
      <c r="T5" s="21"/>
      <c r="U5" s="23"/>
      <c r="V5" s="21"/>
      <c r="W5" s="21" t="s">
        <v>39</v>
      </c>
      <c r="X5" s="20"/>
      <c r="Y5" s="21"/>
      <c r="Z5" s="21"/>
      <c r="AA5" s="21" t="s">
        <v>39</v>
      </c>
      <c r="AB5" s="21"/>
      <c r="AC5" s="23"/>
      <c r="AD5" s="21"/>
      <c r="AE5" s="21" t="s">
        <v>39</v>
      </c>
      <c r="AF5" s="20"/>
      <c r="AG5" s="21"/>
      <c r="AH5" s="21"/>
      <c r="AI5" s="21" t="s">
        <v>39</v>
      </c>
      <c r="AJ5" s="21"/>
      <c r="AK5" s="21"/>
      <c r="AL5" s="21"/>
      <c r="AM5" s="21" t="s">
        <v>39</v>
      </c>
      <c r="AN5" s="21"/>
      <c r="AO5" s="21"/>
      <c r="AP5" s="21"/>
      <c r="AQ5" s="21" t="s">
        <v>39</v>
      </c>
      <c r="AR5" s="21"/>
      <c r="AS5" s="23"/>
      <c r="AT5" s="21"/>
      <c r="AU5" s="21" t="s">
        <v>39</v>
      </c>
      <c r="AV5" s="20"/>
      <c r="AW5" s="21"/>
      <c r="AX5" s="21"/>
      <c r="AY5" s="21" t="s">
        <v>39</v>
      </c>
      <c r="AZ5" s="21"/>
      <c r="BA5" s="23"/>
      <c r="BB5" s="21"/>
      <c r="BC5" s="21" t="s">
        <v>39</v>
      </c>
      <c r="BD5" s="20"/>
      <c r="BE5" s="21"/>
      <c r="BF5" s="21"/>
      <c r="BG5" s="21"/>
      <c r="BH5" s="24" t="s">
        <v>40</v>
      </c>
      <c r="BI5" s="25"/>
      <c r="BJ5" s="26"/>
    </row>
    <row r="6" spans="1:60" x14ac:dyDescent="0.25">
      <c r="A6" s="1" t="s">
        <v>41</v>
      </c>
      <c r="B6" s="27"/>
      <c r="C6" s="15"/>
      <c r="D6" s="14"/>
      <c r="E6" s="15"/>
      <c r="F6" s="13"/>
      <c r="G6" s="28"/>
      <c r="H6" s="15"/>
      <c r="I6" s="13"/>
      <c r="J6" s="15"/>
      <c r="K6" s="15"/>
      <c r="L6" s="28"/>
      <c r="M6" s="15"/>
      <c r="N6" s="15"/>
      <c r="O6" s="15"/>
      <c r="P6" s="15"/>
      <c r="Q6" s="13"/>
      <c r="R6" s="15"/>
      <c r="S6" s="15"/>
      <c r="T6" s="28"/>
      <c r="U6" s="15"/>
      <c r="V6" s="15"/>
      <c r="W6" s="15"/>
      <c r="X6" s="15"/>
      <c r="Y6" s="13"/>
      <c r="Z6" s="15"/>
      <c r="AA6" s="15"/>
      <c r="AB6" s="28"/>
      <c r="AC6" s="15"/>
      <c r="AD6" s="15"/>
      <c r="AE6" s="15"/>
      <c r="AF6" s="15"/>
      <c r="AG6" s="13"/>
      <c r="AH6" s="15"/>
      <c r="AI6" s="15"/>
      <c r="AJ6" s="28"/>
      <c r="AK6" s="13"/>
      <c r="AL6" s="15"/>
      <c r="AM6" s="15"/>
      <c r="AN6" s="28"/>
      <c r="AO6" s="13"/>
      <c r="AP6" s="15"/>
      <c r="AQ6" s="15"/>
      <c r="AR6" s="28"/>
      <c r="AS6" s="15"/>
      <c r="AT6" s="15"/>
      <c r="AU6" s="15"/>
      <c r="AV6" s="15"/>
      <c r="AW6" s="13"/>
      <c r="AX6" s="15"/>
      <c r="AY6" s="15"/>
      <c r="AZ6" s="28"/>
      <c r="BA6" s="15"/>
      <c r="BB6" s="15"/>
      <c r="BC6" s="15"/>
      <c r="BD6" s="15"/>
      <c r="BE6" s="14"/>
      <c r="BF6" s="13"/>
      <c r="BG6" s="15"/>
      <c r="BH6" s="28"/>
    </row>
    <row r="7" ht="14.25" customHeight="1" spans="1:60" x14ac:dyDescent="0.25">
      <c r="A7" s="29">
        <v>1</v>
      </c>
      <c r="B7" s="27"/>
      <c r="C7" s="15"/>
      <c r="D7" s="14" t="s">
        <v>379</v>
      </c>
      <c r="E7" s="15"/>
      <c r="F7" s="13"/>
      <c r="G7" s="28"/>
      <c r="H7" s="34">
        <f>'2018'!BH7</f>
      </c>
      <c r="I7" s="13"/>
      <c r="J7" s="15"/>
      <c r="K7" s="15"/>
      <c r="L7" s="28"/>
      <c r="M7" s="15"/>
      <c r="N7" s="15"/>
      <c r="O7" s="15"/>
      <c r="P7" s="15"/>
      <c r="Q7" s="13"/>
      <c r="R7" s="15"/>
      <c r="S7" s="15"/>
      <c r="T7" s="28"/>
      <c r="U7" s="15"/>
      <c r="V7" s="15"/>
      <c r="W7" s="15"/>
      <c r="X7" s="15"/>
      <c r="Y7" s="13"/>
      <c r="Z7" s="15"/>
      <c r="AA7" s="15"/>
      <c r="AB7" s="28"/>
      <c r="AC7" s="15"/>
      <c r="AD7" s="15"/>
      <c r="AE7" s="15"/>
      <c r="AF7" s="15"/>
      <c r="AG7" s="13"/>
      <c r="AH7" s="15"/>
      <c r="AI7" s="15"/>
      <c r="AJ7" s="28"/>
      <c r="AK7" s="13"/>
      <c r="AL7" s="15"/>
      <c r="AM7" s="15"/>
      <c r="AN7" s="28"/>
      <c r="AO7" s="13"/>
      <c r="AP7" s="15"/>
      <c r="AQ7" s="15"/>
      <c r="AR7" s="28"/>
      <c r="AS7" s="15"/>
      <c r="AT7" s="15"/>
      <c r="AU7" s="15"/>
      <c r="AV7" s="15"/>
      <c r="AW7" s="13"/>
      <c r="AX7" s="15"/>
      <c r="AY7" s="15"/>
      <c r="AZ7" s="28"/>
      <c r="BA7" s="15"/>
      <c r="BB7" s="15"/>
      <c r="BC7" s="15"/>
      <c r="BD7" s="15"/>
      <c r="BE7" s="14"/>
      <c r="BF7" s="41">
        <f t="shared" ref="BF7:BG7" si="0">K7+O7+S7+W7+AA7+AE7+AI7+AM7+AQ7+AU7+AY7+BC7</f>
        <v>0</v>
      </c>
      <c r="BG7" s="34">
        <f t="shared" si="0"/>
        <v>0</v>
      </c>
      <c r="BH7" s="35">
        <f t="shared" ref="BH7:BH14" si="1">H7+BF7-BG7</f>
        <v>0</v>
      </c>
    </row>
    <row r="8" ht="14.25" customHeight="1" spans="1:65" x14ac:dyDescent="0.25">
      <c r="A8" s="2">
        <v>1</v>
      </c>
      <c r="B8" s="30">
        <v>4</v>
      </c>
      <c r="C8" s="2" t="s">
        <v>43</v>
      </c>
      <c r="D8" s="14" t="s">
        <v>44</v>
      </c>
      <c r="E8" s="2" t="s">
        <v>45</v>
      </c>
      <c r="F8" s="31">
        <v>2.49</v>
      </c>
      <c r="G8" s="38">
        <v>2.5</v>
      </c>
      <c r="H8" s="34">
        <f>'2018'!BH8</f>
        <v>1752.36</v>
      </c>
      <c r="I8" s="13">
        <v>3507</v>
      </c>
      <c r="J8" s="15">
        <f>I8-'2018'!BA8</f>
        <v>323</v>
      </c>
      <c r="K8" s="34">
        <f t="shared" ref="K8:K9" si="2">J8*$F$8</f>
        <v>804.27</v>
      </c>
      <c r="L8" s="32">
        <v>580.17</v>
      </c>
      <c r="M8" s="15">
        <v>3704</v>
      </c>
      <c r="N8" s="15">
        <f>M8-I8</f>
        <v>197</v>
      </c>
      <c r="O8" s="34">
        <f t="shared" ref="O8:O9" si="3">N8*$F$8</f>
        <v>490.53</v>
      </c>
      <c r="P8" s="1">
        <v>766.92</v>
      </c>
      <c r="Q8" s="13">
        <v>3729</v>
      </c>
      <c r="R8" s="15">
        <f>Q8-M8</f>
        <v>25</v>
      </c>
      <c r="S8" s="34">
        <f t="shared" ref="S8:S9" si="4">R8*$F$8</f>
        <v>62.25</v>
      </c>
      <c r="T8" s="38">
        <v>1448.2</v>
      </c>
      <c r="U8" s="15">
        <v>3760</v>
      </c>
      <c r="V8" s="15">
        <f>U8-Q8</f>
        <v>31</v>
      </c>
      <c r="W8" s="34">
        <f t="shared" ref="W8:W9" si="5">V8*$F$8</f>
        <v>77.19</v>
      </c>
      <c r="X8" s="15"/>
      <c r="Y8" s="13">
        <v>3790</v>
      </c>
      <c r="Z8" s="15">
        <f>Y8-U8</f>
        <v>30</v>
      </c>
      <c r="AA8" s="34">
        <f t="shared" ref="AA8:AA9" si="6">Z8*$F$8</f>
        <v>74.7</v>
      </c>
      <c r="AB8" s="35"/>
      <c r="AC8" s="15">
        <v>3803</v>
      </c>
      <c r="AD8" s="15">
        <f>AC8-Y8</f>
        <v>13</v>
      </c>
      <c r="AE8" s="45">
        <f>AD8*$G$8</f>
        <v>32.5</v>
      </c>
      <c r="AF8" s="34"/>
      <c r="AG8" s="13">
        <v>3818</v>
      </c>
      <c r="AH8" s="15">
        <f>AG8-AC8</f>
        <v>15</v>
      </c>
      <c r="AI8" s="34">
        <f>AH8*$G$8</f>
        <v>37.5</v>
      </c>
      <c r="AJ8" s="38"/>
      <c r="AK8" s="36">
        <v>3828</v>
      </c>
      <c r="AL8" s="37">
        <f>AK8-AG8</f>
        <v>10</v>
      </c>
      <c r="AM8" s="34">
        <f>AL8*$G$8</f>
        <v>25</v>
      </c>
      <c r="AN8" s="35"/>
      <c r="AO8" s="13">
        <v>3937</v>
      </c>
      <c r="AP8" s="37">
        <f>AO8-AK8</f>
        <v>109</v>
      </c>
      <c r="AQ8" s="132">
        <f>AP8*$G$8</f>
        <v>272.5</v>
      </c>
      <c r="AR8" s="35"/>
      <c r="AS8" s="15">
        <v>4100</v>
      </c>
      <c r="AT8" s="15">
        <f>AS8-AO8</f>
        <v>163</v>
      </c>
      <c r="AU8" s="132">
        <f>AT8*$G$8</f>
        <v>407.5</v>
      </c>
      <c r="AV8" s="34"/>
      <c r="AW8" s="13">
        <v>4305</v>
      </c>
      <c r="AX8" s="15">
        <f>AW8-AS8</f>
        <v>205</v>
      </c>
      <c r="AY8" s="132">
        <f>AX8*$G$8</f>
        <v>512.5</v>
      </c>
      <c r="AZ8" s="38">
        <v>605</v>
      </c>
      <c r="BA8" s="15">
        <v>4682</v>
      </c>
      <c r="BB8" s="15">
        <f>BA8-AW8</f>
        <v>377</v>
      </c>
      <c r="BC8" s="132">
        <f>BB8*$G$8</f>
        <v>942.5</v>
      </c>
      <c r="BD8" s="34"/>
      <c r="BE8" s="40">
        <f t="shared" ref="BE8:BG8" si="7">J8+N8+R8+V8+Z8+AD8+AH8+AL8+AP8+AT8+AX8+BB8</f>
        <v>1498</v>
      </c>
      <c r="BF8" s="41">
        <f t="shared" si="7"/>
        <v>3738.94</v>
      </c>
      <c r="BG8" s="34">
        <f t="shared" si="7"/>
        <v>3400.29</v>
      </c>
      <c r="BH8" s="35">
        <f t="shared" si="1"/>
        <v>2091.01</v>
      </c>
      <c r="BK8" s="132">
        <f t="shared" ref="BK8:BL8" si="8">AQ8+AU8+AY8+BC8</f>
        <v>2135</v>
      </c>
      <c r="BL8" s="132">
        <f t="shared" si="8"/>
        <v>605</v>
      </c>
      <c r="BM8" s="132">
        <f>BK8-BL8</f>
        <v>1530</v>
      </c>
    </row>
    <row r="9" ht="14.25" customHeight="1" spans="1:60" x14ac:dyDescent="0.25">
      <c r="A9" s="29">
        <v>1</v>
      </c>
      <c r="B9" s="42"/>
      <c r="D9" s="43" t="s">
        <v>46</v>
      </c>
      <c r="E9" s="2" t="s">
        <v>45</v>
      </c>
      <c r="F9" s="31">
        <v>2.49</v>
      </c>
      <c r="G9" s="38">
        <v>2.5</v>
      </c>
      <c r="H9" s="34">
        <f>'2018'!BH9</f>
        <v>29.28</v>
      </c>
      <c r="I9" s="13"/>
      <c r="J9" s="81"/>
      <c r="K9" s="34">
        <f t="shared" si="2"/>
        <v>0</v>
      </c>
      <c r="L9" s="28"/>
      <c r="M9" s="15"/>
      <c r="N9" s="15">
        <v>17</v>
      </c>
      <c r="O9" s="34">
        <f t="shared" si="3"/>
        <v>42.33</v>
      </c>
      <c r="P9" s="15"/>
      <c r="Q9" s="13"/>
      <c r="R9" s="15"/>
      <c r="S9" s="34">
        <f t="shared" si="4"/>
        <v>0</v>
      </c>
      <c r="T9" s="28"/>
      <c r="U9" s="15"/>
      <c r="V9" s="15"/>
      <c r="W9" s="34">
        <f t="shared" si="5"/>
        <v>0</v>
      </c>
      <c r="X9" s="133">
        <v>100</v>
      </c>
      <c r="Y9" s="13"/>
      <c r="Z9" s="15"/>
      <c r="AA9" s="34">
        <f t="shared" si="6"/>
        <v>0</v>
      </c>
      <c r="AB9" s="35"/>
      <c r="AC9" s="15"/>
      <c r="AD9" s="15"/>
      <c r="AE9" s="34">
        <f>AD9*$F$8</f>
        <v>0</v>
      </c>
      <c r="AF9" s="34"/>
      <c r="AG9" s="13"/>
      <c r="AH9" s="15"/>
      <c r="AI9" s="34">
        <f>AH9*$F$8</f>
        <v>0</v>
      </c>
      <c r="AJ9" s="38"/>
      <c r="AK9" s="13"/>
      <c r="AL9" s="15"/>
      <c r="AM9" s="34">
        <f>AL9*$F$8</f>
        <v>0</v>
      </c>
      <c r="AN9" s="35"/>
      <c r="AO9" s="13"/>
      <c r="AP9" s="15"/>
      <c r="AQ9" s="34">
        <f>AP9*$F$8</f>
        <v>0</v>
      </c>
      <c r="AR9" s="134">
        <v>50</v>
      </c>
      <c r="AS9" s="15"/>
      <c r="AT9" s="15"/>
      <c r="AU9" s="34">
        <f>AT9*$F$8</f>
        <v>0</v>
      </c>
      <c r="AV9" s="34"/>
      <c r="AW9" s="13"/>
      <c r="AX9" s="15">
        <v>0</v>
      </c>
      <c r="AY9" s="34">
        <f>AX9*$F$8</f>
        <v>0</v>
      </c>
      <c r="AZ9" s="35"/>
      <c r="BA9" s="15"/>
      <c r="BB9" s="15"/>
      <c r="BC9" s="34">
        <f>BB9*$F$8</f>
        <v>0</v>
      </c>
      <c r="BD9" s="34"/>
      <c r="BE9" s="44">
        <f t="shared" ref="BE9:BG9" si="9">J9+N9+R9+V9+Z9+AD9+AH9+AL9+AP9+AT9+AX9+BB9</f>
        <v>17</v>
      </c>
      <c r="BF9" s="41">
        <f t="shared" si="9"/>
        <v>42.33</v>
      </c>
      <c r="BG9" s="34">
        <f t="shared" si="9"/>
        <v>150</v>
      </c>
      <c r="BH9" s="35">
        <f t="shared" si="1"/>
        <v>-78.39</v>
      </c>
    </row>
    <row r="10" ht="14.25" customHeight="1" spans="1:60" x14ac:dyDescent="0.25">
      <c r="A10" s="29">
        <v>1</v>
      </c>
      <c r="B10" s="14"/>
      <c r="D10" s="14" t="s">
        <v>47</v>
      </c>
      <c r="E10" s="2" t="s">
        <v>48</v>
      </c>
      <c r="F10" s="31">
        <v>17.98</v>
      </c>
      <c r="G10" s="32">
        <v>18.56</v>
      </c>
      <c r="H10" s="34">
        <f>'2018'!BH10</f>
        <v>0</v>
      </c>
      <c r="I10" s="13"/>
      <c r="J10" s="15"/>
      <c r="K10" s="34"/>
      <c r="L10" s="28"/>
      <c r="M10" s="15"/>
      <c r="N10" s="15"/>
      <c r="O10" s="34"/>
      <c r="P10" s="15"/>
      <c r="Q10" s="13"/>
      <c r="R10" s="15"/>
      <c r="S10" s="34"/>
      <c r="T10" s="28"/>
      <c r="U10" s="15"/>
      <c r="V10" s="15"/>
      <c r="W10" s="34"/>
      <c r="X10" s="15"/>
      <c r="Y10" s="13"/>
      <c r="Z10" s="15"/>
      <c r="AA10" s="34">
        <f>Z10*$F$10</f>
        <v>0</v>
      </c>
      <c r="AB10" s="28"/>
      <c r="AC10" s="15"/>
      <c r="AD10" s="15"/>
      <c r="AE10" s="34">
        <f>AD10*$F$10</f>
        <v>0</v>
      </c>
      <c r="AF10" s="15"/>
      <c r="AG10" s="13"/>
      <c r="AH10" s="15"/>
      <c r="AI10" s="45">
        <f>AH10*$G$10</f>
        <v>0</v>
      </c>
      <c r="AJ10" s="28"/>
      <c r="AK10" s="13"/>
      <c r="AL10" s="15"/>
      <c r="AM10" s="45">
        <f>AL10*$G$10</f>
        <v>0</v>
      </c>
      <c r="AN10" s="28"/>
      <c r="AO10" s="13"/>
      <c r="AP10" s="15"/>
      <c r="AQ10" s="45">
        <f>AP10*$G$10</f>
        <v>0</v>
      </c>
      <c r="AR10" s="28"/>
      <c r="AS10" s="15"/>
      <c r="AT10" s="15"/>
      <c r="AU10" s="45">
        <f>AT10*$G$10</f>
        <v>0</v>
      </c>
      <c r="AV10" s="15"/>
      <c r="AW10" s="13"/>
      <c r="AX10" s="15"/>
      <c r="AY10" s="34"/>
      <c r="AZ10" s="28"/>
      <c r="BA10" s="15"/>
      <c r="BB10" s="15"/>
      <c r="BC10" s="34"/>
      <c r="BD10" s="15"/>
      <c r="BE10" s="40">
        <f t="shared" ref="BE10:BG10" si="10">J10+N10+R10+V10+Z10+AD10+AH10+AL10+AP10+AT10+AX10+BB10</f>
        <v>0</v>
      </c>
      <c r="BF10" s="41">
        <f t="shared" si="10"/>
        <v>0</v>
      </c>
      <c r="BG10" s="34">
        <f t="shared" si="10"/>
        <v>0</v>
      </c>
      <c r="BH10" s="35">
        <f t="shared" si="1"/>
        <v>0</v>
      </c>
    </row>
    <row r="11" ht="14.25" customHeight="1" spans="1:60" x14ac:dyDescent="0.25">
      <c r="A11" s="29">
        <v>1</v>
      </c>
      <c r="B11" s="14"/>
      <c r="D11" s="14" t="s">
        <v>47</v>
      </c>
      <c r="E11" s="2" t="s">
        <v>49</v>
      </c>
      <c r="F11" s="46">
        <v>500</v>
      </c>
      <c r="G11" s="38"/>
      <c r="H11" s="34">
        <f>'2018'!BH11</f>
        <v>0</v>
      </c>
      <c r="I11" s="13"/>
      <c r="J11" s="15"/>
      <c r="K11" s="34"/>
      <c r="L11" s="28"/>
      <c r="M11" s="15"/>
      <c r="N11" s="15"/>
      <c r="O11" s="34"/>
      <c r="P11" s="15"/>
      <c r="Q11" s="13"/>
      <c r="R11" s="15"/>
      <c r="S11" s="34"/>
      <c r="T11" s="28"/>
      <c r="U11" s="15"/>
      <c r="V11" s="15"/>
      <c r="W11" s="34"/>
      <c r="X11" s="15"/>
      <c r="Y11" s="13"/>
      <c r="Z11" s="15"/>
      <c r="AA11" s="34"/>
      <c r="AB11" s="28"/>
      <c r="AC11" s="15"/>
      <c r="AD11" s="15"/>
      <c r="AE11" s="34"/>
      <c r="AF11" s="15"/>
      <c r="AG11" s="13"/>
      <c r="AH11" s="15"/>
      <c r="AI11" s="34"/>
      <c r="AJ11" s="28"/>
      <c r="AK11" s="13"/>
      <c r="AL11" s="15"/>
      <c r="AM11" s="34"/>
      <c r="AN11" s="28"/>
      <c r="AO11" s="13"/>
      <c r="AP11" s="15"/>
      <c r="AQ11" s="34"/>
      <c r="AR11" s="28"/>
      <c r="AS11" s="15"/>
      <c r="AT11" s="15"/>
      <c r="AU11" s="34"/>
      <c r="AV11" s="15"/>
      <c r="AW11" s="13"/>
      <c r="AX11" s="15"/>
      <c r="AY11" s="34"/>
      <c r="AZ11" s="28"/>
      <c r="BA11" s="15"/>
      <c r="BB11" s="15"/>
      <c r="BC11" s="34"/>
      <c r="BD11" s="15"/>
      <c r="BE11" s="14"/>
      <c r="BF11" s="41">
        <f t="shared" ref="BF11:BG11" si="11">K11+O11+S11+W11+AA11+AE11+AI11+AM11+AQ11+AU11+AY11+BC11</f>
        <v>0</v>
      </c>
      <c r="BG11" s="34">
        <f t="shared" si="11"/>
        <v>0</v>
      </c>
      <c r="BH11" s="35">
        <f t="shared" si="1"/>
        <v>0</v>
      </c>
    </row>
    <row r="12" ht="14.25" customHeight="1" spans="1:60" x14ac:dyDescent="0.25">
      <c r="A12" s="29">
        <v>1</v>
      </c>
      <c r="B12" s="14"/>
      <c r="D12" s="14" t="s">
        <v>50</v>
      </c>
      <c r="E12" s="2" t="s">
        <v>49</v>
      </c>
      <c r="F12" s="46">
        <v>1200</v>
      </c>
      <c r="G12" s="38"/>
      <c r="H12" s="34">
        <f>'2018'!BH12</f>
        <v>0</v>
      </c>
      <c r="I12" s="13"/>
      <c r="J12" s="15"/>
      <c r="K12" s="15"/>
      <c r="L12" s="28"/>
      <c r="M12" s="15"/>
      <c r="N12" s="15"/>
      <c r="O12" s="15"/>
      <c r="P12" s="15"/>
      <c r="Q12" s="13"/>
      <c r="R12" s="15"/>
      <c r="S12" s="15"/>
      <c r="T12" s="28"/>
      <c r="U12" s="15"/>
      <c r="V12" s="15"/>
      <c r="W12" s="15"/>
      <c r="X12" s="15"/>
      <c r="Y12" s="13"/>
      <c r="Z12" s="15"/>
      <c r="AA12" s="15"/>
      <c r="AB12" s="28"/>
      <c r="AC12" s="15"/>
      <c r="AD12" s="15"/>
      <c r="AE12" s="15"/>
      <c r="AF12" s="15"/>
      <c r="AG12" s="13"/>
      <c r="AH12" s="15"/>
      <c r="AI12" s="15"/>
      <c r="AJ12" s="28"/>
      <c r="AK12" s="13"/>
      <c r="AL12" s="15"/>
      <c r="AM12" s="15"/>
      <c r="AN12" s="28"/>
      <c r="AO12" s="13"/>
      <c r="AP12" s="15"/>
      <c r="AQ12" s="15"/>
      <c r="AR12" s="28">
        <v>1</v>
      </c>
      <c r="AS12" s="15"/>
      <c r="AT12" s="15"/>
      <c r="AU12" s="15"/>
      <c r="AV12" s="15"/>
      <c r="AW12" s="13"/>
      <c r="AX12" s="15"/>
      <c r="AY12" s="15"/>
      <c r="AZ12" s="28"/>
      <c r="BA12" s="15"/>
      <c r="BB12" s="15"/>
      <c r="BC12" s="15"/>
      <c r="BD12" s="15"/>
      <c r="BE12" s="14"/>
      <c r="BF12" s="41">
        <f t="shared" ref="BF12:BG12" si="12">K12+O12+S12+W12+AA12+AE12+AI12+AM12+AQ12+AU12+AY12+BC12</f>
        <v>0</v>
      </c>
      <c r="BG12" s="34">
        <f t="shared" si="12"/>
        <v>1</v>
      </c>
      <c r="BH12" s="35">
        <f t="shared" si="1"/>
        <v>-1</v>
      </c>
    </row>
    <row r="13" spans="1:60" x14ac:dyDescent="0.25">
      <c r="A13" s="29">
        <v>1</v>
      </c>
      <c r="B13" s="14"/>
      <c r="D13" s="14" t="s">
        <v>51</v>
      </c>
      <c r="E13" s="2" t="s">
        <v>49</v>
      </c>
      <c r="F13" s="46">
        <v>1000</v>
      </c>
      <c r="G13" s="38"/>
      <c r="H13" s="34">
        <f>'2018'!BH13</f>
        <v>0</v>
      </c>
      <c r="I13" s="13"/>
      <c r="J13" s="15"/>
      <c r="K13" s="34">
        <v>2000</v>
      </c>
      <c r="L13" s="38">
        <v>2000</v>
      </c>
      <c r="M13" s="15"/>
      <c r="N13" s="15"/>
      <c r="O13" s="34">
        <v>2000</v>
      </c>
      <c r="P13" s="39">
        <v>2000</v>
      </c>
      <c r="Q13" s="13"/>
      <c r="R13" s="15"/>
      <c r="S13" s="34">
        <v>1000</v>
      </c>
      <c r="T13" s="35"/>
      <c r="U13" s="15"/>
      <c r="V13" s="15"/>
      <c r="W13" s="15"/>
      <c r="X13" s="39">
        <v>1000</v>
      </c>
      <c r="Y13" s="13"/>
      <c r="Z13" s="15"/>
      <c r="AA13" s="15"/>
      <c r="AB13" s="28"/>
      <c r="AC13" s="15"/>
      <c r="AD13" s="15"/>
      <c r="AE13" s="15"/>
      <c r="AF13" s="15"/>
      <c r="AG13" s="13"/>
      <c r="AH13" s="15"/>
      <c r="AI13" s="15"/>
      <c r="AJ13" s="28"/>
      <c r="AK13" s="13"/>
      <c r="AL13" s="15"/>
      <c r="AM13" s="15"/>
      <c r="AN13" s="28"/>
      <c r="AO13" s="13"/>
      <c r="AP13" s="15"/>
      <c r="AQ13" s="15"/>
      <c r="AR13" s="28"/>
      <c r="AS13" s="15"/>
      <c r="AT13" s="15"/>
      <c r="AU13" s="15"/>
      <c r="AV13" s="15"/>
      <c r="AW13" s="13"/>
      <c r="AX13" s="15"/>
      <c r="AY13" s="15"/>
      <c r="AZ13" s="28"/>
      <c r="BA13" s="15"/>
      <c r="BB13" s="15"/>
      <c r="BC13" s="34"/>
      <c r="BD13" s="34"/>
      <c r="BE13" s="14"/>
      <c r="BF13" s="82">
        <f t="shared" ref="BF13:BG13" si="13">K13+O13+S13+W13+AA13+AE13+AI13+AM13+AQ13+AU13+AY13+BC13</f>
        <v>5000</v>
      </c>
      <c r="BG13" s="34">
        <f t="shared" si="13"/>
        <v>5000</v>
      </c>
      <c r="BH13" s="35">
        <f t="shared" si="1"/>
        <v>0</v>
      </c>
    </row>
    <row r="14" ht="14.25" customHeight="1" spans="1:60" x14ac:dyDescent="0.25">
      <c r="A14" s="29">
        <v>1</v>
      </c>
      <c r="B14" s="14"/>
      <c r="D14" s="14" t="s">
        <v>52</v>
      </c>
      <c r="E14" s="2" t="s">
        <v>39</v>
      </c>
      <c r="F14" s="46">
        <v>500</v>
      </c>
      <c r="G14" s="38"/>
      <c r="H14" s="34">
        <f>'2018'!BH14</f>
        <v>0</v>
      </c>
      <c r="I14" s="13"/>
      <c r="J14" s="15"/>
      <c r="K14" s="15"/>
      <c r="L14" s="28"/>
      <c r="M14" s="15"/>
      <c r="N14" s="15"/>
      <c r="O14" s="15"/>
      <c r="P14" s="15"/>
      <c r="Q14" s="13"/>
      <c r="R14" s="15"/>
      <c r="S14" s="15"/>
      <c r="T14" s="28"/>
      <c r="U14" s="15"/>
      <c r="V14" s="15"/>
      <c r="W14" s="15"/>
      <c r="X14" s="15"/>
      <c r="Y14" s="13"/>
      <c r="Z14" s="15"/>
      <c r="AA14" s="15"/>
      <c r="AB14" s="28"/>
      <c r="AC14" s="15"/>
      <c r="AD14" s="15"/>
      <c r="AE14" s="15"/>
      <c r="AF14" s="15"/>
      <c r="AG14" s="13"/>
      <c r="AH14" s="15"/>
      <c r="AI14" s="15"/>
      <c r="AJ14" s="28"/>
      <c r="AK14" s="13"/>
      <c r="AL14" s="15"/>
      <c r="AM14" s="15"/>
      <c r="AN14" s="28"/>
      <c r="AO14" s="13"/>
      <c r="AP14" s="15"/>
      <c r="AQ14" s="15"/>
      <c r="AR14" s="28"/>
      <c r="AS14" s="15"/>
      <c r="AT14" s="15"/>
      <c r="AU14" s="15"/>
      <c r="AV14" s="15"/>
      <c r="AW14" s="13"/>
      <c r="AX14" s="15"/>
      <c r="AY14" s="15"/>
      <c r="AZ14" s="28"/>
      <c r="BA14" s="15"/>
      <c r="BB14" s="15"/>
      <c r="BC14" s="15"/>
      <c r="BD14" s="15"/>
      <c r="BE14" s="14"/>
      <c r="BF14" s="82">
        <f t="shared" ref="BF14:BG14" si="14">K14+O14+S14+W14+AA14+AE14+AI14+AM14+AQ14+AU14+AY14+BC14</f>
        <v>0</v>
      </c>
      <c r="BG14" s="34">
        <f t="shared" si="14"/>
        <v>0</v>
      </c>
      <c r="BH14" s="35">
        <f t="shared" si="1"/>
        <v>0</v>
      </c>
    </row>
    <row r="15" spans="1:62" x14ac:dyDescent="0.25">
      <c r="A15" s="78">
        <v>1</v>
      </c>
      <c r="B15" s="21"/>
      <c r="C15" s="22" t="s">
        <v>53</v>
      </c>
      <c r="D15" s="21"/>
      <c r="E15" s="22"/>
      <c r="F15" s="20"/>
      <c r="G15" s="23"/>
      <c r="H15" s="51">
        <f>SUM(H6:H14)-H9</f>
        <v>1752.36</v>
      </c>
      <c r="I15" s="52"/>
      <c r="J15" s="53"/>
      <c r="K15" s="54">
        <f t="shared" ref="K15:L15" si="15">SUM(K8:K14)-K9</f>
        <v>2804.27</v>
      </c>
      <c r="L15" s="55">
        <f t="shared" si="15"/>
        <v>2580.17</v>
      </c>
      <c r="M15" s="53"/>
      <c r="N15" s="53"/>
      <c r="O15" s="54">
        <f t="shared" ref="O15:P15" si="16">SUM(O8:O14)-O9</f>
        <v>2490.53</v>
      </c>
      <c r="P15" s="54">
        <f t="shared" si="16"/>
        <v>2766.92</v>
      </c>
      <c r="Q15" s="52"/>
      <c r="R15" s="53"/>
      <c r="S15" s="54">
        <f t="shared" ref="S15:T15" si="17">SUM(S8:S14)-S9</f>
        <v>1062.25</v>
      </c>
      <c r="T15" s="55">
        <f t="shared" si="17"/>
        <v>1448.2</v>
      </c>
      <c r="U15" s="53"/>
      <c r="V15" s="53"/>
      <c r="W15" s="54">
        <f t="shared" ref="W15:X15" si="18">SUM(W8:W14)-W9</f>
        <v>77.19</v>
      </c>
      <c r="X15" s="54">
        <f t="shared" si="18"/>
        <v>1000</v>
      </c>
      <c r="Y15" s="52"/>
      <c r="Z15" s="53"/>
      <c r="AA15" s="54">
        <f t="shared" ref="AA15:AB15" si="19">SUM(AA8:AA14)-AA9</f>
        <v>74.7</v>
      </c>
      <c r="AB15" s="55">
        <f t="shared" si="19"/>
        <v>0</v>
      </c>
      <c r="AC15" s="53"/>
      <c r="AD15" s="53"/>
      <c r="AE15" s="54">
        <f t="shared" ref="AE15:AF15" si="20">SUM(AE8:AE14)-AE9</f>
        <v>32.5</v>
      </c>
      <c r="AF15" s="54">
        <f t="shared" si="20"/>
        <v>0</v>
      </c>
      <c r="AG15" s="52"/>
      <c r="AH15" s="53"/>
      <c r="AI15" s="54">
        <f t="shared" ref="AI15:AJ15" si="21">SUM(AI8:AI14)-AI9</f>
        <v>37.5</v>
      </c>
      <c r="AJ15" s="55">
        <f t="shared" si="21"/>
        <v>0</v>
      </c>
      <c r="AK15" s="52"/>
      <c r="AL15" s="53"/>
      <c r="AM15" s="54">
        <f t="shared" ref="AM15:AN15" si="22">SUM(AM8:AM14)-AM9</f>
        <v>25</v>
      </c>
      <c r="AN15" s="55">
        <f t="shared" si="22"/>
        <v>0</v>
      </c>
      <c r="AO15" s="52"/>
      <c r="AP15" s="53"/>
      <c r="AQ15" s="54">
        <f t="shared" ref="AQ15:AR15" si="23">SUM(AQ7:AQ14)-AQ9</f>
        <v>272.5</v>
      </c>
      <c r="AR15" s="55">
        <f t="shared" si="23"/>
        <v>1</v>
      </c>
      <c r="AS15" s="53"/>
      <c r="AT15" s="53"/>
      <c r="AU15" s="54">
        <f t="shared" ref="AU15:AV15" si="24">SUM(AU7:AU14)-AU9</f>
        <v>407.5</v>
      </c>
      <c r="AV15" s="55">
        <f t="shared" si="24"/>
        <v>0</v>
      </c>
      <c r="AW15" s="52"/>
      <c r="AX15" s="53"/>
      <c r="AY15" s="54">
        <f t="shared" ref="AY15:AZ15" si="25">SUM(AY7:AY14)-AY9</f>
        <v>512.5</v>
      </c>
      <c r="AZ15" s="55">
        <f t="shared" si="25"/>
        <v>605</v>
      </c>
      <c r="BA15" s="53"/>
      <c r="BB15" s="53"/>
      <c r="BC15" s="54">
        <f t="shared" ref="BC15:BD15" si="26">SUM(BC7:BC14)-BC9</f>
        <v>942.5</v>
      </c>
      <c r="BD15" s="55">
        <f t="shared" si="26"/>
        <v>0</v>
      </c>
      <c r="BE15" s="56"/>
      <c r="BF15" s="57">
        <f t="shared" ref="BF15:BG15" si="27">SUM(BF7:BF14)-BF9</f>
        <v>8738.94</v>
      </c>
      <c r="BG15" s="58">
        <f t="shared" si="27"/>
        <v>8401.29</v>
      </c>
      <c r="BH15" s="59">
        <f>SUM(BH8:BH14)-BH9</f>
        <v>2090.01</v>
      </c>
      <c r="BI15" s="34">
        <f>H15+BF15-BG15</f>
        <v>2090.01</v>
      </c>
      <c r="BJ15" s="34">
        <f>BH15-BI15</f>
        <v>0</v>
      </c>
    </row>
    <row r="16" ht="14.25" customHeight="1" spans="1:60" x14ac:dyDescent="0.25">
      <c r="A16" s="29">
        <v>2</v>
      </c>
      <c r="B16" s="14"/>
      <c r="D16" s="14" t="s">
        <v>379</v>
      </c>
      <c r="F16" s="13"/>
      <c r="G16" s="28"/>
      <c r="H16" s="34">
        <f>'2018'!BH16</f>
      </c>
      <c r="I16" s="61"/>
      <c r="J16" s="60"/>
      <c r="K16" s="62"/>
      <c r="L16" s="63"/>
      <c r="M16" s="60"/>
      <c r="N16" s="60"/>
      <c r="O16" s="62"/>
      <c r="P16" s="62"/>
      <c r="Q16" s="61"/>
      <c r="R16" s="60"/>
      <c r="S16" s="62"/>
      <c r="T16" s="63"/>
      <c r="U16" s="60"/>
      <c r="V16" s="60"/>
      <c r="W16" s="64"/>
      <c r="X16" s="62"/>
      <c r="Y16" s="61"/>
      <c r="Z16" s="60"/>
      <c r="AA16" s="64"/>
      <c r="AB16" s="63"/>
      <c r="AC16" s="60"/>
      <c r="AD16" s="60"/>
      <c r="AE16" s="64"/>
      <c r="AF16" s="62"/>
      <c r="AG16" s="61"/>
      <c r="AH16" s="60"/>
      <c r="AI16" s="64"/>
      <c r="AJ16" s="63"/>
      <c r="AK16" s="61"/>
      <c r="AL16" s="60"/>
      <c r="AM16" s="64"/>
      <c r="AN16" s="63"/>
      <c r="AO16" s="61"/>
      <c r="AP16" s="60"/>
      <c r="AQ16" s="64"/>
      <c r="AR16" s="63"/>
      <c r="AS16" s="60"/>
      <c r="AT16" s="60"/>
      <c r="AU16" s="64"/>
      <c r="AV16" s="62"/>
      <c r="AW16" s="61"/>
      <c r="AX16" s="60"/>
      <c r="AY16" s="64"/>
      <c r="AZ16" s="63"/>
      <c r="BA16" s="60"/>
      <c r="BB16" s="60"/>
      <c r="BC16" s="64"/>
      <c r="BD16" s="62"/>
      <c r="BE16" s="65"/>
      <c r="BF16" s="41">
        <f t="shared" ref="BF16:BG16" si="28">K16+O16+S16+W16+AA16+AE16+AI16+AM16+AQ16+AU16+AY16+BC16</f>
        <v>0</v>
      </c>
      <c r="BG16" s="34">
        <f t="shared" si="28"/>
        <v>0</v>
      </c>
      <c r="BH16" s="35">
        <f t="shared" ref="BH16:BH22" si="29">H16+BF16-BG16</f>
        <v>0</v>
      </c>
    </row>
    <row r="17" ht="14.25" customHeight="1" spans="1:60" x14ac:dyDescent="0.25">
      <c r="A17" s="135">
        <v>2</v>
      </c>
      <c r="B17" s="14">
        <v>4.12</v>
      </c>
      <c r="C17" s="2" t="s">
        <v>54</v>
      </c>
      <c r="D17" s="14" t="s">
        <v>44</v>
      </c>
      <c r="E17" s="2" t="s">
        <v>45</v>
      </c>
      <c r="F17" s="13">
        <v>2.49</v>
      </c>
      <c r="G17" s="35">
        <v>2.5</v>
      </c>
      <c r="H17" s="136">
        <f>'2018'!BH17+385.95</f>
        <v>-20.93</v>
      </c>
      <c r="I17" s="13">
        <v>15062</v>
      </c>
      <c r="J17" s="15">
        <f>I17-'2018'!BA17</f>
        <v>1007</v>
      </c>
      <c r="K17" s="34">
        <f>J17*$F$8</f>
        <v>2507.43</v>
      </c>
      <c r="L17" s="38">
        <v>2600</v>
      </c>
      <c r="M17" s="15">
        <v>15728</v>
      </c>
      <c r="N17" s="15">
        <f>M17-I17</f>
        <v>666</v>
      </c>
      <c r="O17" s="15">
        <f>N17*$F$8</f>
        <v>1658.34</v>
      </c>
      <c r="P17" s="39">
        <v>1700</v>
      </c>
      <c r="Q17" s="13">
        <v>16286</v>
      </c>
      <c r="R17" s="15">
        <f>Q17-M17</f>
        <v>558</v>
      </c>
      <c r="S17" s="34">
        <f>R17*$F$8</f>
        <v>1389.42</v>
      </c>
      <c r="T17" s="38">
        <v>1400</v>
      </c>
      <c r="U17" s="15">
        <v>16889</v>
      </c>
      <c r="V17" s="15">
        <f>U17-Q17</f>
        <v>603</v>
      </c>
      <c r="W17" s="34">
        <f>V17*$F$8</f>
        <v>1501.47</v>
      </c>
      <c r="X17" s="39">
        <v>1600</v>
      </c>
      <c r="Y17" s="13">
        <v>17429</v>
      </c>
      <c r="Z17" s="15">
        <f>Y17-U17</f>
        <v>540</v>
      </c>
      <c r="AA17" s="34">
        <f>Z17*$F$8</f>
        <v>1344.6</v>
      </c>
      <c r="AB17" s="38">
        <v>1100</v>
      </c>
      <c r="AC17" s="15">
        <v>17903</v>
      </c>
      <c r="AD17" s="15">
        <f t="shared" ref="AD17:AD18" si="30">AC17-Y17</f>
        <v>474</v>
      </c>
      <c r="AE17" s="34">
        <f>AD17*$G$8</f>
        <v>1185</v>
      </c>
      <c r="AF17" s="39">
        <v>1185</v>
      </c>
      <c r="AG17" s="13">
        <v>18383</v>
      </c>
      <c r="AH17" s="15">
        <f t="shared" ref="AH17:AH18" si="31">AG17-AC17</f>
        <v>480</v>
      </c>
      <c r="AI17" s="34">
        <f>AH17*$G$8</f>
        <v>1200</v>
      </c>
      <c r="AJ17" s="38">
        <v>1200</v>
      </c>
      <c r="AK17" s="13">
        <v>18881</v>
      </c>
      <c r="AL17" s="15">
        <f t="shared" ref="AL17:AL18" si="32">AK17-AG17</f>
        <v>498</v>
      </c>
      <c r="AM17" s="34">
        <f>AL17*$G$8</f>
        <v>1245</v>
      </c>
      <c r="AN17" s="28"/>
      <c r="AO17" s="13">
        <v>19468</v>
      </c>
      <c r="AP17" s="15">
        <f t="shared" ref="AP17:AP18" si="33">AO17-AK17</f>
        <v>587</v>
      </c>
      <c r="AQ17" s="34">
        <f>AP17*$G$8</f>
        <v>1467.5</v>
      </c>
      <c r="AR17" s="32">
        <v>1225.33</v>
      </c>
      <c r="AS17" s="15">
        <v>20020</v>
      </c>
      <c r="AT17" s="15">
        <f t="shared" ref="AT17:AT18" si="34">AS17-AO17</f>
        <v>552</v>
      </c>
      <c r="AU17" s="34">
        <f>AT17*$G$8</f>
        <v>1380</v>
      </c>
      <c r="AV17" s="39">
        <f>1467.5+1380</f>
        <v>2847.5</v>
      </c>
      <c r="AW17" s="13">
        <v>20640</v>
      </c>
      <c r="AX17" s="15">
        <f>AW17-AS17</f>
        <v>620</v>
      </c>
      <c r="AY17" s="34">
        <f>AX17*$G$8</f>
        <v>1550</v>
      </c>
      <c r="AZ17" s="38">
        <v>1550</v>
      </c>
      <c r="BA17" s="15">
        <v>21327</v>
      </c>
      <c r="BB17" s="15">
        <f>BA17-AW17</f>
        <v>687</v>
      </c>
      <c r="BC17" s="34">
        <f>BB17*$G$8</f>
        <v>1717.5</v>
      </c>
      <c r="BD17" s="39">
        <v>2000</v>
      </c>
      <c r="BE17" s="40">
        <f t="shared" ref="BE17:BG17" si="35">J17+N17+R17+V17+Z17+AD17+AH17+AL17+AP17+AT17+AX17+BB17</f>
        <v>7272</v>
      </c>
      <c r="BF17" s="41">
        <f t="shared" si="35"/>
        <v>18146.26</v>
      </c>
      <c r="BG17" s="34">
        <f t="shared" si="35"/>
        <v>18407.83</v>
      </c>
      <c r="BH17" s="35">
        <f t="shared" si="29"/>
        <v>-282.5</v>
      </c>
    </row>
    <row r="18" ht="14.25" customHeight="1" spans="1:60" x14ac:dyDescent="0.25">
      <c r="A18" s="29">
        <v>2</v>
      </c>
      <c r="B18" s="14"/>
      <c r="C18" s="2" t="s">
        <v>55</v>
      </c>
      <c r="D18" s="14" t="s">
        <v>47</v>
      </c>
      <c r="E18" s="2" t="s">
        <v>48</v>
      </c>
      <c r="F18" s="13">
        <v>17.98</v>
      </c>
      <c r="G18" s="35">
        <v>18.56</v>
      </c>
      <c r="H18" s="34">
        <f>'2018'!BH18</f>
        <v>0</v>
      </c>
      <c r="I18" s="13">
        <v>131</v>
      </c>
      <c r="J18" s="15"/>
      <c r="K18" s="15"/>
      <c r="L18" s="28"/>
      <c r="M18" s="15"/>
      <c r="N18" s="15"/>
      <c r="O18" s="15"/>
      <c r="P18" s="15"/>
      <c r="Q18" s="13"/>
      <c r="R18" s="15"/>
      <c r="S18" s="15"/>
      <c r="T18" s="28"/>
      <c r="U18" s="15"/>
      <c r="V18" s="15"/>
      <c r="W18" s="15"/>
      <c r="X18" s="15"/>
      <c r="Y18" s="13">
        <v>131</v>
      </c>
      <c r="Z18" s="15">
        <f>Y18-'2018'!AO18</f>
        <v>0</v>
      </c>
      <c r="AA18" s="34">
        <f>Z18*$F$10</f>
        <v>0</v>
      </c>
      <c r="AB18" s="28"/>
      <c r="AC18" s="15">
        <v>132</v>
      </c>
      <c r="AD18" s="15">
        <f t="shared" si="30"/>
        <v>1</v>
      </c>
      <c r="AE18" s="34">
        <f>AD18*$F$10</f>
        <v>17.98</v>
      </c>
      <c r="AF18" s="39">
        <v>100</v>
      </c>
      <c r="AG18" s="13">
        <v>135</v>
      </c>
      <c r="AH18" s="15">
        <f t="shared" si="31"/>
        <v>3</v>
      </c>
      <c r="AI18" s="45">
        <f>AH18*$G$10</f>
        <v>55.68</v>
      </c>
      <c r="AJ18" s="28"/>
      <c r="AK18" s="13">
        <v>140</v>
      </c>
      <c r="AL18" s="15">
        <f t="shared" si="32"/>
        <v>5</v>
      </c>
      <c r="AM18" s="45">
        <f>AL18*$G$10</f>
        <v>92.8</v>
      </c>
      <c r="AN18" s="28"/>
      <c r="AO18" s="13">
        <v>145</v>
      </c>
      <c r="AP18" s="15">
        <f t="shared" si="33"/>
        <v>5</v>
      </c>
      <c r="AQ18" s="45">
        <f>AP18*$G$10</f>
        <v>92.8</v>
      </c>
      <c r="AR18" s="32">
        <v>66.46</v>
      </c>
      <c r="AS18" s="13">
        <v>145</v>
      </c>
      <c r="AT18" s="15">
        <f t="shared" si="34"/>
        <v>0</v>
      </c>
      <c r="AU18" s="45">
        <f>AT18*$G$10</f>
        <v>0</v>
      </c>
      <c r="AV18" s="39">
        <v>92.8</v>
      </c>
      <c r="AW18" s="13">
        <v>145</v>
      </c>
      <c r="AX18" s="15"/>
      <c r="AY18" s="34"/>
      <c r="AZ18" s="28"/>
      <c r="BA18" s="13">
        <v>145</v>
      </c>
      <c r="BB18" s="15"/>
      <c r="BC18" s="34"/>
      <c r="BD18" s="15"/>
      <c r="BE18" s="40">
        <f t="shared" ref="BE18:BG18" si="36">J18+N18+R18+V18+Z18+AD18+AH18+AL18+AP18+AT18+AX18+BB18</f>
        <v>14</v>
      </c>
      <c r="BF18" s="41">
        <f t="shared" si="36"/>
        <v>259.26</v>
      </c>
      <c r="BG18" s="34">
        <f t="shared" si="36"/>
        <v>259.26</v>
      </c>
      <c r="BH18" s="35">
        <f t="shared" si="29"/>
        <v>0</v>
      </c>
    </row>
    <row r="19" ht="14.25" customHeight="1" spans="1:60" x14ac:dyDescent="0.25">
      <c r="A19" s="29">
        <v>2</v>
      </c>
      <c r="B19" s="14"/>
      <c r="C19" s="2" t="s">
        <v>56</v>
      </c>
      <c r="D19" s="14" t="s">
        <v>47</v>
      </c>
      <c r="E19" s="2" t="s">
        <v>49</v>
      </c>
      <c r="F19" s="41">
        <v>500</v>
      </c>
      <c r="G19" s="35"/>
      <c r="H19" s="34">
        <f>'2018'!BH19</f>
        <v>0</v>
      </c>
      <c r="I19" s="13"/>
      <c r="J19" s="15"/>
      <c r="K19" s="15"/>
      <c r="L19" s="28"/>
      <c r="M19" s="15"/>
      <c r="N19" s="15"/>
      <c r="O19" s="15"/>
      <c r="P19" s="15"/>
      <c r="Q19" s="13"/>
      <c r="R19" s="15"/>
      <c r="S19" s="15"/>
      <c r="T19" s="28"/>
      <c r="U19" s="15"/>
      <c r="V19" s="15"/>
      <c r="W19" s="15"/>
      <c r="X19" s="15"/>
      <c r="Y19" s="13"/>
      <c r="Z19" s="15"/>
      <c r="AA19" s="15"/>
      <c r="AB19" s="28"/>
      <c r="AC19" s="15"/>
      <c r="AD19" s="15"/>
      <c r="AE19" s="34"/>
      <c r="AF19" s="15"/>
      <c r="AG19" s="13"/>
      <c r="AH19" s="15"/>
      <c r="AI19" s="34"/>
      <c r="AJ19" s="28"/>
      <c r="AK19" s="13"/>
      <c r="AL19" s="15"/>
      <c r="AM19" s="34"/>
      <c r="AN19" s="28"/>
      <c r="AO19" s="13"/>
      <c r="AP19" s="15"/>
      <c r="AQ19" s="34"/>
      <c r="AR19" s="28"/>
      <c r="AS19" s="15"/>
      <c r="AT19" s="15"/>
      <c r="AU19" s="34"/>
      <c r="AV19" s="15"/>
      <c r="AW19" s="13"/>
      <c r="AX19" s="15"/>
      <c r="AY19" s="34"/>
      <c r="AZ19" s="28"/>
      <c r="BA19" s="15"/>
      <c r="BB19" s="15"/>
      <c r="BC19" s="34"/>
      <c r="BD19" s="15"/>
      <c r="BE19" s="14"/>
      <c r="BF19" s="41">
        <f t="shared" ref="BF19:BG19" si="37">K19+O19+S19+W19+AA19+AE19+AI19+AM19+AQ19+AU19+AY19+BC19</f>
        <v>0</v>
      </c>
      <c r="BG19" s="34">
        <f t="shared" si="37"/>
        <v>0</v>
      </c>
      <c r="BH19" s="35">
        <f t="shared" si="29"/>
        <v>0</v>
      </c>
    </row>
    <row r="20" ht="14.25" customHeight="1" spans="1:60" x14ac:dyDescent="0.25">
      <c r="A20" s="29">
        <v>2</v>
      </c>
      <c r="B20" s="14"/>
      <c r="C20" s="2" t="s">
        <v>57</v>
      </c>
      <c r="D20" s="14" t="s">
        <v>50</v>
      </c>
      <c r="E20" s="2" t="s">
        <v>49</v>
      </c>
      <c r="F20" s="41">
        <v>1200</v>
      </c>
      <c r="G20" s="35"/>
      <c r="H20" s="34">
        <f>'2018'!BH20</f>
        <v>0.0056</v>
      </c>
      <c r="I20" s="13"/>
      <c r="J20" s="15"/>
      <c r="K20" s="15"/>
      <c r="L20" s="28"/>
      <c r="M20" s="15"/>
      <c r="N20" s="15"/>
      <c r="O20" s="15"/>
      <c r="P20" s="15"/>
      <c r="Q20" s="13"/>
      <c r="R20" s="15"/>
      <c r="S20" s="15"/>
      <c r="T20" s="28"/>
      <c r="U20" s="15"/>
      <c r="V20" s="15"/>
      <c r="W20" s="15"/>
      <c r="X20" s="15"/>
      <c r="Y20" s="13"/>
      <c r="Z20" s="15"/>
      <c r="AA20" s="15"/>
      <c r="AB20" s="38">
        <v>4944</v>
      </c>
      <c r="AC20" s="15"/>
      <c r="AD20" s="15"/>
      <c r="AE20" s="34">
        <f>B17*$F$12</f>
        <v>4944</v>
      </c>
      <c r="AF20" s="15"/>
      <c r="AG20" s="13"/>
      <c r="AH20" s="15"/>
      <c r="AI20" s="15"/>
      <c r="AJ20" s="28"/>
      <c r="AK20" s="13"/>
      <c r="AL20" s="15"/>
      <c r="AM20" s="15"/>
      <c r="AN20" s="28"/>
      <c r="AO20" s="13"/>
      <c r="AP20" s="15"/>
      <c r="AQ20" s="15"/>
      <c r="AR20" s="28"/>
      <c r="AS20" s="15"/>
      <c r="AT20" s="15"/>
      <c r="AU20" s="15"/>
      <c r="AV20" s="15"/>
      <c r="AW20" s="13"/>
      <c r="AX20" s="15"/>
      <c r="AY20" s="15"/>
      <c r="AZ20" s="28"/>
      <c r="BA20" s="15"/>
      <c r="BB20" s="15"/>
      <c r="BC20" s="15"/>
      <c r="BD20" s="15"/>
      <c r="BE20" s="14"/>
      <c r="BF20" s="41">
        <f t="shared" ref="BF20:BG20" si="38">K20+O20+S20+W20+AA20+AE20+AI20+AM20+AQ20+AU20+AY20+BC20</f>
        <v>4944</v>
      </c>
      <c r="BG20" s="34">
        <f t="shared" si="38"/>
        <v>4944</v>
      </c>
      <c r="BH20" s="35">
        <f t="shared" si="29"/>
        <v>0.0056</v>
      </c>
    </row>
    <row r="21" ht="14.25" customHeight="1" spans="1:60" x14ac:dyDescent="0.25">
      <c r="A21" s="29">
        <v>2</v>
      </c>
      <c r="B21" s="14"/>
      <c r="C21" s="2" t="s">
        <v>58</v>
      </c>
      <c r="D21" s="14" t="s">
        <v>51</v>
      </c>
      <c r="E21" s="2" t="s">
        <v>49</v>
      </c>
      <c r="F21" s="41">
        <v>1000</v>
      </c>
      <c r="G21" s="35"/>
      <c r="H21" s="34">
        <f>'2018'!BH21</f>
        <v>0</v>
      </c>
      <c r="I21" s="13"/>
      <c r="J21" s="15"/>
      <c r="K21" s="15"/>
      <c r="L21" s="28"/>
      <c r="M21" s="15"/>
      <c r="N21" s="15"/>
      <c r="O21" s="15"/>
      <c r="P21" s="15"/>
      <c r="Q21" s="13"/>
      <c r="R21" s="15"/>
      <c r="S21" s="15"/>
      <c r="T21" s="28"/>
      <c r="U21" s="15"/>
      <c r="V21" s="15"/>
      <c r="W21" s="15"/>
      <c r="X21" s="15"/>
      <c r="Y21" s="13"/>
      <c r="Z21" s="15"/>
      <c r="AA21" s="15"/>
      <c r="AB21" s="38">
        <v>1000</v>
      </c>
      <c r="AC21" s="15"/>
      <c r="AD21" s="15"/>
      <c r="AE21" s="34">
        <f>$F$21</f>
        <v>1000</v>
      </c>
      <c r="AF21" s="15"/>
      <c r="AG21" s="13"/>
      <c r="AH21" s="15"/>
      <c r="AI21" s="15"/>
      <c r="AJ21" s="28"/>
      <c r="AK21" s="13"/>
      <c r="AL21" s="15"/>
      <c r="AM21" s="15"/>
      <c r="AN21" s="28"/>
      <c r="AO21" s="13"/>
      <c r="AP21" s="15"/>
      <c r="AQ21" s="15"/>
      <c r="AR21" s="28"/>
      <c r="AS21" s="15"/>
      <c r="AT21" s="15"/>
      <c r="AU21" s="15"/>
      <c r="AV21" s="15"/>
      <c r="AW21" s="13"/>
      <c r="AX21" s="15"/>
      <c r="AY21" s="15"/>
      <c r="AZ21" s="28"/>
      <c r="BA21" s="15"/>
      <c r="BB21" s="15"/>
      <c r="BC21" s="15"/>
      <c r="BD21" s="15"/>
      <c r="BE21" s="14"/>
      <c r="BF21" s="41">
        <f t="shared" ref="BF21:BG21" si="39">K21+O21+S21+W21+AA21+AE21+AI21+AM21+AQ21+AU21+AY21+BC21</f>
        <v>1000</v>
      </c>
      <c r="BG21" s="34">
        <f t="shared" si="39"/>
        <v>1000</v>
      </c>
      <c r="BH21" s="35">
        <f t="shared" si="29"/>
        <v>0</v>
      </c>
    </row>
    <row r="22" ht="14.25" customHeight="1" spans="1:60" x14ac:dyDescent="0.25">
      <c r="A22" s="29">
        <v>2</v>
      </c>
      <c r="B22" s="14"/>
      <c r="C22" s="2" t="s">
        <v>59</v>
      </c>
      <c r="D22" s="14" t="s">
        <v>52</v>
      </c>
      <c r="E22" s="2" t="s">
        <v>39</v>
      </c>
      <c r="F22" s="41">
        <v>500</v>
      </c>
      <c r="G22" s="35"/>
      <c r="H22" s="84">
        <f>'2018'!BH22-500</f>
        <v>-500</v>
      </c>
      <c r="I22" s="13"/>
      <c r="J22" s="15"/>
      <c r="K22" s="15"/>
      <c r="L22" s="28"/>
      <c r="M22" s="15"/>
      <c r="N22" s="15"/>
      <c r="O22" s="15"/>
      <c r="P22" s="15"/>
      <c r="Q22" s="13"/>
      <c r="R22" s="15"/>
      <c r="S22" s="15"/>
      <c r="T22" s="28"/>
      <c r="U22" s="15"/>
      <c r="V22" s="15"/>
      <c r="W22" s="15"/>
      <c r="X22" s="15"/>
      <c r="Y22" s="13"/>
      <c r="Z22" s="15"/>
      <c r="AA22" s="34">
        <f>$F$14</f>
        <v>500</v>
      </c>
      <c r="AB22" s="35"/>
      <c r="AC22" s="15"/>
      <c r="AD22" s="15"/>
      <c r="AE22" s="15"/>
      <c r="AF22" s="15"/>
      <c r="AG22" s="13"/>
      <c r="AH22" s="15"/>
      <c r="AI22" s="15"/>
      <c r="AJ22" s="28"/>
      <c r="AK22" s="13"/>
      <c r="AL22" s="15"/>
      <c r="AM22" s="15"/>
      <c r="AN22" s="28"/>
      <c r="AO22" s="13"/>
      <c r="AP22" s="15"/>
      <c r="AQ22" s="15"/>
      <c r="AR22" s="28"/>
      <c r="AS22" s="15"/>
      <c r="AT22" s="15"/>
      <c r="AU22" s="15"/>
      <c r="AV22" s="15"/>
      <c r="AW22" s="13"/>
      <c r="AX22" s="15"/>
      <c r="AY22" s="15"/>
      <c r="AZ22" s="28"/>
      <c r="BA22" s="15"/>
      <c r="BB22" s="15"/>
      <c r="BC22" s="15"/>
      <c r="BD22" s="15"/>
      <c r="BE22" s="14"/>
      <c r="BF22" s="41">
        <f t="shared" ref="BF22:BG22" si="40">K22+O22+S22+W22+AA22+AE22+AI22+AM22+AQ22+AU22+AY22+BC22</f>
        <v>500</v>
      </c>
      <c r="BG22" s="34">
        <f t="shared" si="40"/>
        <v>0</v>
      </c>
      <c r="BH22" s="35">
        <f t="shared" si="29"/>
        <v>0</v>
      </c>
    </row>
    <row r="23" ht="14.25" customHeight="1" spans="1:62" x14ac:dyDescent="0.25">
      <c r="A23" s="78">
        <v>2</v>
      </c>
      <c r="B23" s="21"/>
      <c r="C23" s="22" t="s">
        <v>53</v>
      </c>
      <c r="D23" s="21"/>
      <c r="E23" s="22"/>
      <c r="F23" s="20"/>
      <c r="G23" s="23"/>
      <c r="H23" s="51">
        <f>SUM(H16:H22)</f>
        <v>-520.9244</v>
      </c>
      <c r="I23" s="52"/>
      <c r="J23" s="53"/>
      <c r="K23" s="51">
        <f t="shared" ref="K23:L23" si="41">SUM(K17:K22)</f>
        <v>2507.43</v>
      </c>
      <c r="L23" s="68">
        <f t="shared" si="41"/>
        <v>2600</v>
      </c>
      <c r="M23" s="53"/>
      <c r="N23" s="53"/>
      <c r="O23" s="51">
        <f t="shared" ref="O23:P23" si="42">SUM(O17:O22)</f>
        <v>1658.34</v>
      </c>
      <c r="P23" s="51">
        <f t="shared" si="42"/>
        <v>1700</v>
      </c>
      <c r="Q23" s="52"/>
      <c r="R23" s="53"/>
      <c r="S23" s="51">
        <f t="shared" ref="S23:T23" si="43">SUM(S17:S22)</f>
        <v>1389.42</v>
      </c>
      <c r="T23" s="68">
        <f t="shared" si="43"/>
        <v>1400</v>
      </c>
      <c r="U23" s="53"/>
      <c r="V23" s="53"/>
      <c r="W23" s="51">
        <f t="shared" ref="W23:X23" si="44">SUM(W17:W22)</f>
        <v>1501.47</v>
      </c>
      <c r="X23" s="51">
        <f t="shared" si="44"/>
        <v>1600</v>
      </c>
      <c r="Y23" s="52"/>
      <c r="Z23" s="53"/>
      <c r="AA23" s="51">
        <f t="shared" ref="AA23:AB23" si="45">SUM(AA17:AA22)</f>
        <v>1844.6</v>
      </c>
      <c r="AB23" s="68">
        <f t="shared" si="45"/>
        <v>7044</v>
      </c>
      <c r="AC23" s="53"/>
      <c r="AD23" s="53"/>
      <c r="AE23" s="51">
        <f t="shared" ref="AE23:AF23" si="46">SUM(AE17:AE22)</f>
        <v>7146.98</v>
      </c>
      <c r="AF23" s="51">
        <f t="shared" si="46"/>
        <v>1285</v>
      </c>
      <c r="AG23" s="52"/>
      <c r="AH23" s="53"/>
      <c r="AI23" s="51">
        <f t="shared" ref="AI23:AJ23" si="47">SUM(AI17:AI22)</f>
        <v>1255.68</v>
      </c>
      <c r="AJ23" s="68">
        <f t="shared" si="47"/>
        <v>1200</v>
      </c>
      <c r="AK23" s="52"/>
      <c r="AL23" s="53"/>
      <c r="AM23" s="51">
        <f t="shared" ref="AM23:AN23" si="48">SUM(AM17:AM22)</f>
        <v>1337.8</v>
      </c>
      <c r="AN23" s="68">
        <f t="shared" si="48"/>
        <v>0</v>
      </c>
      <c r="AO23" s="52"/>
      <c r="AP23" s="53"/>
      <c r="AQ23" s="51">
        <f t="shared" ref="AQ23:AR23" si="49">SUM(AQ16:AQ22)</f>
        <v>1560.3</v>
      </c>
      <c r="AR23" s="68">
        <f t="shared" si="49"/>
        <v>1291.79</v>
      </c>
      <c r="AS23" s="53"/>
      <c r="AT23" s="53"/>
      <c r="AU23" s="51">
        <f t="shared" ref="AU23:AV23" si="50">SUM(AU16:AU22)</f>
        <v>1380</v>
      </c>
      <c r="AV23" s="68">
        <f t="shared" si="50"/>
        <v>2940.3</v>
      </c>
      <c r="AW23" s="52"/>
      <c r="AX23" s="53"/>
      <c r="AY23" s="51">
        <f t="shared" ref="AY23:AZ23" si="51">SUM(AY16:AY22)</f>
        <v>1550</v>
      </c>
      <c r="AZ23" s="68">
        <f t="shared" si="51"/>
        <v>1550</v>
      </c>
      <c r="BA23" s="53"/>
      <c r="BB23" s="53"/>
      <c r="BC23" s="51">
        <f t="shared" ref="BC23:BD23" si="52">SUM(BC16:BC22)</f>
        <v>1717.5</v>
      </c>
      <c r="BD23" s="68">
        <f t="shared" si="52"/>
        <v>2000</v>
      </c>
      <c r="BE23" s="69"/>
      <c r="BF23" s="70">
        <f t="shared" ref="BF23:BH23" si="53">SUM(BF16:BF22)</f>
        <v>24849.52</v>
      </c>
      <c r="BG23" s="71">
        <f t="shared" si="53"/>
        <v>24611.09</v>
      </c>
      <c r="BH23" s="72">
        <f t="shared" si="53"/>
        <v>-282.4944</v>
      </c>
      <c r="BI23" s="34">
        <f>H23+BF23-BG23</f>
        <v>-282.4944</v>
      </c>
      <c r="BJ23" s="34">
        <f>BH23-BI23</f>
        <v>0</v>
      </c>
    </row>
    <row r="24" ht="14.25" customHeight="1" spans="1:60" x14ac:dyDescent="0.25">
      <c r="A24" s="29">
        <v>3</v>
      </c>
      <c r="B24" s="14"/>
      <c r="D24" s="14" t="s">
        <v>379</v>
      </c>
      <c r="F24" s="13"/>
      <c r="G24" s="28"/>
      <c r="H24" s="34">
        <f>'2018'!BH24</f>
      </c>
      <c r="I24" s="61"/>
      <c r="J24" s="60"/>
      <c r="K24" s="60"/>
      <c r="L24" s="63"/>
      <c r="M24" s="60"/>
      <c r="N24" s="60"/>
      <c r="O24" s="60"/>
      <c r="P24" s="62"/>
      <c r="Q24" s="61"/>
      <c r="R24" s="60"/>
      <c r="S24" s="62"/>
      <c r="T24" s="63"/>
      <c r="U24" s="60"/>
      <c r="V24" s="60"/>
      <c r="W24" s="62"/>
      <c r="X24" s="62"/>
      <c r="Y24" s="61"/>
      <c r="Z24" s="60"/>
      <c r="AA24" s="62"/>
      <c r="AB24" s="63"/>
      <c r="AC24" s="60"/>
      <c r="AD24" s="60"/>
      <c r="AE24" s="62"/>
      <c r="AF24" s="62"/>
      <c r="AG24" s="61"/>
      <c r="AH24" s="60"/>
      <c r="AI24" s="62"/>
      <c r="AJ24" s="63"/>
      <c r="AK24" s="61"/>
      <c r="AL24" s="60"/>
      <c r="AM24" s="62"/>
      <c r="AN24" s="63"/>
      <c r="AO24" s="61"/>
      <c r="AP24" s="60"/>
      <c r="AQ24" s="62"/>
      <c r="AR24" s="63"/>
      <c r="AS24" s="60"/>
      <c r="AT24" s="60"/>
      <c r="AU24" s="62"/>
      <c r="AV24" s="62"/>
      <c r="AW24" s="61"/>
      <c r="AX24" s="60"/>
      <c r="AY24" s="62"/>
      <c r="AZ24" s="63"/>
      <c r="BA24" s="60"/>
      <c r="BB24" s="60"/>
      <c r="BC24" s="62"/>
      <c r="BD24" s="62"/>
      <c r="BE24" s="65"/>
      <c r="BF24" s="41">
        <f t="shared" ref="BF24:BG24" si="54">K24+O24+S24+W24+AA24+AE24+AI24+AM24+AQ24+AU24+AY24+BC24</f>
        <v>0</v>
      </c>
      <c r="BG24" s="34">
        <f t="shared" si="54"/>
        <v>0</v>
      </c>
      <c r="BH24" s="35">
        <f t="shared" ref="BH24:BH30" si="55">H24+BF24-BG24</f>
        <v>0</v>
      </c>
    </row>
    <row r="25" ht="14.25" customHeight="1" spans="1:60" x14ac:dyDescent="0.25">
      <c r="A25" s="2">
        <v>3</v>
      </c>
      <c r="B25" s="42">
        <v>4</v>
      </c>
      <c r="C25" s="2" t="s">
        <v>60</v>
      </c>
      <c r="D25" s="14" t="s">
        <v>44</v>
      </c>
      <c r="E25" s="2" t="s">
        <v>45</v>
      </c>
      <c r="F25" s="13">
        <v>2.49</v>
      </c>
      <c r="G25" s="35">
        <v>2.5</v>
      </c>
      <c r="H25" s="34">
        <f>'2018'!BH25</f>
        <v>2.49</v>
      </c>
      <c r="I25" s="13">
        <v>27</v>
      </c>
      <c r="J25" s="15">
        <f>I25-'2018'!BA25</f>
        <v>0</v>
      </c>
      <c r="K25" s="34">
        <f>J25*$F$8</f>
        <v>0</v>
      </c>
      <c r="L25" s="28"/>
      <c r="M25" s="15">
        <v>27</v>
      </c>
      <c r="N25" s="15">
        <f>M25-I25</f>
        <v>0</v>
      </c>
      <c r="O25" s="34">
        <f>N25*$F$8</f>
        <v>0</v>
      </c>
      <c r="P25" s="15"/>
      <c r="Q25" s="13">
        <v>27</v>
      </c>
      <c r="R25" s="15">
        <f>Q25-M25</f>
        <v>0</v>
      </c>
      <c r="S25" s="34">
        <f>R25*$F$8</f>
        <v>0</v>
      </c>
      <c r="T25" s="28"/>
      <c r="U25" s="15">
        <v>27</v>
      </c>
      <c r="V25" s="15">
        <f>U25-Q25</f>
        <v>0</v>
      </c>
      <c r="W25" s="34">
        <f>V25*$F$8</f>
        <v>0</v>
      </c>
      <c r="X25" s="15"/>
      <c r="Y25" s="13">
        <v>28</v>
      </c>
      <c r="Z25" s="15">
        <f>Y25-U25</f>
        <v>1</v>
      </c>
      <c r="AA25" s="34">
        <f>Z25*$F$8</f>
        <v>2.49</v>
      </c>
      <c r="AB25" s="28"/>
      <c r="AC25" s="15">
        <v>30</v>
      </c>
      <c r="AD25" s="15">
        <f>AC25-Y25</f>
        <v>2</v>
      </c>
      <c r="AE25" s="34">
        <f>AD25*$G$8</f>
        <v>5</v>
      </c>
      <c r="AF25" s="133">
        <v>840.4</v>
      </c>
      <c r="AG25" s="13">
        <v>31</v>
      </c>
      <c r="AH25" s="15">
        <f t="shared" ref="AH25:AH26" si="56">AG25-AC25</f>
        <v>1</v>
      </c>
      <c r="AI25" s="34">
        <f>AH25*$G$8</f>
        <v>2.5</v>
      </c>
      <c r="AJ25" s="28"/>
      <c r="AK25" s="13">
        <v>34</v>
      </c>
      <c r="AL25" s="15">
        <f t="shared" ref="AL25:AL26" si="57">AK25-AG25</f>
        <v>3</v>
      </c>
      <c r="AM25" s="34">
        <f>AL25*$G$8</f>
        <v>7.5</v>
      </c>
      <c r="AN25" s="137">
        <v>-800</v>
      </c>
      <c r="AO25" s="13">
        <v>35</v>
      </c>
      <c r="AP25" s="15">
        <f t="shared" ref="AP25:AP26" si="58">AO25-AK25</f>
        <v>1</v>
      </c>
      <c r="AQ25" s="34">
        <f>AP25*$G$8</f>
        <v>2.5</v>
      </c>
      <c r="AR25" s="28"/>
      <c r="AS25" s="15">
        <v>37</v>
      </c>
      <c r="AT25" s="15">
        <f t="shared" ref="AT25:AT26" si="59">AS25-AO25</f>
        <v>2</v>
      </c>
      <c r="AU25" s="34">
        <f>AT25*$G$8</f>
        <v>5</v>
      </c>
      <c r="AV25" s="15"/>
      <c r="AW25" s="13">
        <v>37</v>
      </c>
      <c r="AX25" s="15">
        <f>AW25-AS25</f>
        <v>0</v>
      </c>
      <c r="AY25" s="34">
        <f>AX25*$G$8</f>
        <v>0</v>
      </c>
      <c r="AZ25" s="28"/>
      <c r="BA25" s="13">
        <v>37</v>
      </c>
      <c r="BB25" s="15">
        <f>BA25-AW25</f>
        <v>0</v>
      </c>
      <c r="BC25" s="34">
        <f>BB25*$G$8</f>
        <v>0</v>
      </c>
      <c r="BD25" s="15"/>
      <c r="BE25" s="40">
        <f t="shared" ref="BE25:BG25" si="60">J25+N25+R25+V25+Z25+AD25+AH25+AL25+AP25+AT25+AX25+BB25</f>
        <v>10</v>
      </c>
      <c r="BF25" s="41">
        <f t="shared" si="60"/>
        <v>24.99</v>
      </c>
      <c r="BG25" s="34">
        <f t="shared" si="60"/>
        <v>40.4</v>
      </c>
      <c r="BH25" s="35">
        <f t="shared" si="55"/>
        <v>-12.92</v>
      </c>
    </row>
    <row r="26" ht="14.25" customHeight="1" spans="1:60" x14ac:dyDescent="0.25">
      <c r="A26" s="29">
        <v>3</v>
      </c>
      <c r="B26" s="14"/>
      <c r="C26" s="2" t="s">
        <v>61</v>
      </c>
      <c r="D26" s="14" t="s">
        <v>47</v>
      </c>
      <c r="E26" s="2" t="s">
        <v>48</v>
      </c>
      <c r="F26" s="13">
        <v>17.98</v>
      </c>
      <c r="G26" s="28">
        <v>18.56</v>
      </c>
      <c r="H26" s="34">
        <f>'2018'!BH26</f>
        <v>0</v>
      </c>
      <c r="I26" s="13">
        <v>115</v>
      </c>
      <c r="J26" s="15"/>
      <c r="K26" s="15"/>
      <c r="L26" s="28"/>
      <c r="M26" s="15"/>
      <c r="N26" s="15"/>
      <c r="O26" s="15"/>
      <c r="P26" s="15"/>
      <c r="Q26" s="13"/>
      <c r="R26" s="15"/>
      <c r="S26" s="15"/>
      <c r="T26" s="28"/>
      <c r="U26" s="15"/>
      <c r="V26" s="15"/>
      <c r="W26" s="15"/>
      <c r="X26" s="15"/>
      <c r="Y26" s="95">
        <v>115</v>
      </c>
      <c r="Z26" s="15">
        <f>Y26-'2018'!AO26</f>
        <v>0</v>
      </c>
      <c r="AA26" s="34">
        <f>Z26*$F$10</f>
        <v>0</v>
      </c>
      <c r="AB26" s="28"/>
      <c r="AC26" s="95">
        <v>155</v>
      </c>
      <c r="AD26" s="15">
        <v>20</v>
      </c>
      <c r="AE26" s="34">
        <f>AD26*$F$10</f>
        <v>359.6</v>
      </c>
      <c r="AF26" s="133">
        <v>359.6</v>
      </c>
      <c r="AG26" s="13">
        <v>155</v>
      </c>
      <c r="AH26" s="15">
        <f t="shared" si="56"/>
        <v>0</v>
      </c>
      <c r="AI26" s="45">
        <f>AH26*$G$10</f>
        <v>0</v>
      </c>
      <c r="AJ26" s="35"/>
      <c r="AK26" s="13">
        <v>225</v>
      </c>
      <c r="AL26" s="15">
        <f t="shared" si="57"/>
        <v>70</v>
      </c>
      <c r="AM26" s="45">
        <f>AL26*$G$10</f>
        <v>1299.2</v>
      </c>
      <c r="AN26" s="137">
        <f>800+500</f>
        <v>1300</v>
      </c>
      <c r="AO26" s="13">
        <v>229</v>
      </c>
      <c r="AP26" s="15">
        <f t="shared" si="58"/>
        <v>4</v>
      </c>
      <c r="AQ26" s="45">
        <f>AP26*$G$10</f>
        <v>74.24</v>
      </c>
      <c r="AR26" s="35"/>
      <c r="AS26" s="13">
        <v>229</v>
      </c>
      <c r="AT26" s="15">
        <f t="shared" si="59"/>
        <v>0</v>
      </c>
      <c r="AU26" s="45">
        <f>AT26*$G$10</f>
        <v>0</v>
      </c>
      <c r="AV26" s="15"/>
      <c r="AW26" s="13">
        <v>229</v>
      </c>
      <c r="AX26" s="15"/>
      <c r="AY26" s="34"/>
      <c r="AZ26" s="28"/>
      <c r="BA26" s="15">
        <v>229</v>
      </c>
      <c r="BB26" s="15"/>
      <c r="BC26" s="34"/>
      <c r="BD26" s="15"/>
      <c r="BE26" s="40">
        <f t="shared" ref="BE26:BG26" si="61">J26+N26+R26+V26+Z26+AD26+AH26+AL26+AP26+AT26+AX26+BB26</f>
        <v>94</v>
      </c>
      <c r="BF26" s="41">
        <f t="shared" si="61"/>
        <v>1733.04</v>
      </c>
      <c r="BG26" s="34">
        <f t="shared" si="61"/>
        <v>1659.6</v>
      </c>
      <c r="BH26" s="35">
        <f t="shared" si="55"/>
        <v>73.44</v>
      </c>
    </row>
    <row r="27" ht="14.25" customHeight="1" spans="1:60" x14ac:dyDescent="0.25">
      <c r="A27" s="29">
        <v>3</v>
      </c>
      <c r="B27" s="14"/>
      <c r="C27" s="2" t="s">
        <v>62</v>
      </c>
      <c r="D27" s="14" t="s">
        <v>47</v>
      </c>
      <c r="E27" s="2" t="s">
        <v>49</v>
      </c>
      <c r="F27" s="41">
        <v>500</v>
      </c>
      <c r="G27" s="35"/>
      <c r="H27" s="34">
        <f>'2018'!BH27</f>
        <v>0</v>
      </c>
      <c r="I27" s="13"/>
      <c r="J27" s="15"/>
      <c r="K27" s="15"/>
      <c r="L27" s="28"/>
      <c r="M27" s="15"/>
      <c r="N27" s="15"/>
      <c r="O27" s="15"/>
      <c r="P27" s="15"/>
      <c r="Q27" s="13"/>
      <c r="R27" s="15"/>
      <c r="S27" s="15"/>
      <c r="T27" s="28"/>
      <c r="U27" s="15"/>
      <c r="V27" s="15"/>
      <c r="W27" s="15"/>
      <c r="X27" s="15"/>
      <c r="Y27" s="13"/>
      <c r="Z27" s="15"/>
      <c r="AA27" s="15"/>
      <c r="AB27" s="28"/>
      <c r="AC27" s="15"/>
      <c r="AD27" s="15"/>
      <c r="AE27" s="34"/>
      <c r="AF27" s="15"/>
      <c r="AG27" s="13"/>
      <c r="AH27" s="15"/>
      <c r="AI27" s="34"/>
      <c r="AJ27" s="28"/>
      <c r="AK27" s="13"/>
      <c r="AL27" s="15"/>
      <c r="AM27" s="34"/>
      <c r="AN27" s="28"/>
      <c r="AO27" s="13"/>
      <c r="AP27" s="15"/>
      <c r="AQ27" s="34"/>
      <c r="AR27" s="28"/>
      <c r="AS27" s="15"/>
      <c r="AT27" s="15"/>
      <c r="AU27" s="34"/>
      <c r="AV27" s="15"/>
      <c r="AW27" s="13"/>
      <c r="AX27" s="15"/>
      <c r="AY27" s="34"/>
      <c r="AZ27" s="28"/>
      <c r="BA27" s="15"/>
      <c r="BB27" s="15"/>
      <c r="BC27" s="34"/>
      <c r="BD27" s="15"/>
      <c r="BE27" s="14"/>
      <c r="BF27" s="41">
        <f t="shared" ref="BF27:BG27" si="62">K27+O27+S27+W27+AA27+AE27+AI27+AM27+AQ27+AU27+AY27+BC27</f>
        <v>0</v>
      </c>
      <c r="BG27" s="34">
        <f t="shared" si="62"/>
        <v>0</v>
      </c>
      <c r="BH27" s="35">
        <f t="shared" si="55"/>
        <v>0</v>
      </c>
    </row>
    <row r="28" ht="14.25" customHeight="1" spans="1:60" x14ac:dyDescent="0.25">
      <c r="A28" s="29">
        <v>3</v>
      </c>
      <c r="B28" s="14"/>
      <c r="C28" s="2" t="s">
        <v>63</v>
      </c>
      <c r="D28" s="14" t="s">
        <v>50</v>
      </c>
      <c r="E28" s="2" t="s">
        <v>49</v>
      </c>
      <c r="F28" s="41">
        <v>1200</v>
      </c>
      <c r="G28" s="35"/>
      <c r="H28" s="34">
        <f>'2018'!BH28</f>
        <v>0</v>
      </c>
      <c r="I28" s="13"/>
      <c r="J28" s="15"/>
      <c r="K28" s="15"/>
      <c r="L28" s="28"/>
      <c r="M28" s="15"/>
      <c r="N28" s="15"/>
      <c r="O28" s="15"/>
      <c r="P28" s="15"/>
      <c r="Q28" s="13"/>
      <c r="R28" s="15"/>
      <c r="S28" s="15"/>
      <c r="T28" s="28"/>
      <c r="U28" s="15"/>
      <c r="V28" s="15"/>
      <c r="W28" s="15"/>
      <c r="X28" s="15"/>
      <c r="Y28" s="13"/>
      <c r="Z28" s="15"/>
      <c r="AA28" s="15"/>
      <c r="AB28" s="28"/>
      <c r="AC28" s="15"/>
      <c r="AD28" s="15"/>
      <c r="AE28" s="34">
        <f>B25*$F$12</f>
        <v>4800</v>
      </c>
      <c r="AF28" s="133">
        <v>4800</v>
      </c>
      <c r="AG28" s="13"/>
      <c r="AH28" s="15"/>
      <c r="AI28" s="15"/>
      <c r="AJ28" s="28"/>
      <c r="AK28" s="13"/>
      <c r="AL28" s="15"/>
      <c r="AM28" s="15"/>
      <c r="AN28" s="28"/>
      <c r="AO28" s="13"/>
      <c r="AP28" s="15"/>
      <c r="AQ28" s="15"/>
      <c r="AR28" s="28"/>
      <c r="AS28" s="15"/>
      <c r="AT28" s="15"/>
      <c r="AU28" s="15"/>
      <c r="AV28" s="15"/>
      <c r="AW28" s="13"/>
      <c r="AX28" s="15"/>
      <c r="AY28" s="15"/>
      <c r="AZ28" s="28"/>
      <c r="BA28" s="15"/>
      <c r="BB28" s="15"/>
      <c r="BC28" s="15"/>
      <c r="BD28" s="15"/>
      <c r="BE28" s="14"/>
      <c r="BF28" s="41">
        <f t="shared" ref="BF28:BG28" si="63">K28+O28+S28+W28+AA28+AE28+AI28+AM28+AQ28+AU28+AY28+BC28</f>
        <v>4800</v>
      </c>
      <c r="BG28" s="34">
        <f t="shared" si="63"/>
        <v>4800</v>
      </c>
      <c r="BH28" s="35">
        <f t="shared" si="55"/>
        <v>0</v>
      </c>
    </row>
    <row r="29" ht="14.25" customHeight="1" spans="1:60" x14ac:dyDescent="0.25">
      <c r="A29" s="29">
        <v>3</v>
      </c>
      <c r="B29" s="14"/>
      <c r="D29" s="14" t="s">
        <v>51</v>
      </c>
      <c r="E29" s="2" t="s">
        <v>49</v>
      </c>
      <c r="F29" s="41">
        <v>1000</v>
      </c>
      <c r="G29" s="35"/>
      <c r="H29" s="34">
        <f>'2018'!BH29</f>
        <v>0</v>
      </c>
      <c r="I29" s="13"/>
      <c r="J29" s="15"/>
      <c r="K29" s="15"/>
      <c r="L29" s="28"/>
      <c r="M29" s="15"/>
      <c r="N29" s="15"/>
      <c r="O29" s="15"/>
      <c r="P29" s="15"/>
      <c r="Q29" s="13"/>
      <c r="R29" s="15"/>
      <c r="S29" s="15"/>
      <c r="T29" s="28"/>
      <c r="U29" s="15"/>
      <c r="V29" s="15"/>
      <c r="W29" s="15"/>
      <c r="X29" s="15"/>
      <c r="Y29" s="13"/>
      <c r="Z29" s="15"/>
      <c r="AA29" s="15"/>
      <c r="AB29" s="28"/>
      <c r="AC29" s="15"/>
      <c r="AD29" s="15"/>
      <c r="AE29" s="34">
        <f>$F$21</f>
        <v>1000</v>
      </c>
      <c r="AF29" s="133">
        <v>1000</v>
      </c>
      <c r="AG29" s="13"/>
      <c r="AH29" s="15"/>
      <c r="AI29" s="15"/>
      <c r="AJ29" s="28"/>
      <c r="AK29" s="13"/>
      <c r="AL29" s="15"/>
      <c r="AM29" s="15"/>
      <c r="AN29" s="28"/>
      <c r="AO29" s="13"/>
      <c r="AP29" s="15"/>
      <c r="AQ29" s="15"/>
      <c r="AR29" s="28"/>
      <c r="AS29" s="15"/>
      <c r="AT29" s="15"/>
      <c r="AU29" s="15"/>
      <c r="AV29" s="15"/>
      <c r="AW29" s="13"/>
      <c r="AX29" s="15"/>
      <c r="AY29" s="15"/>
      <c r="AZ29" s="28"/>
      <c r="BA29" s="15"/>
      <c r="BB29" s="15"/>
      <c r="BC29" s="15"/>
      <c r="BD29" s="15"/>
      <c r="BE29" s="14"/>
      <c r="BF29" s="41">
        <f t="shared" ref="BF29:BG29" si="64">K29+O29+S29+W29+AA29+AE29+AI29+AM29+AQ29+AU29+AY29+BC29</f>
        <v>1000</v>
      </c>
      <c r="BG29" s="34">
        <f t="shared" si="64"/>
        <v>1000</v>
      </c>
      <c r="BH29" s="35">
        <f t="shared" si="55"/>
        <v>0</v>
      </c>
    </row>
    <row r="30" ht="14.25" customHeight="1" spans="1:60" x14ac:dyDescent="0.25">
      <c r="A30" s="29">
        <v>3</v>
      </c>
      <c r="B30" s="14"/>
      <c r="D30" s="14" t="s">
        <v>52</v>
      </c>
      <c r="E30" s="2" t="s">
        <v>39</v>
      </c>
      <c r="F30" s="41">
        <v>500</v>
      </c>
      <c r="G30" s="35"/>
      <c r="H30" s="34">
        <f>'2018'!BH30</f>
        <v>0</v>
      </c>
      <c r="I30" s="13"/>
      <c r="J30" s="15"/>
      <c r="K30" s="15"/>
      <c r="L30" s="28"/>
      <c r="M30" s="15"/>
      <c r="N30" s="15"/>
      <c r="O30" s="15"/>
      <c r="P30" s="15"/>
      <c r="Q30" s="13"/>
      <c r="R30" s="15"/>
      <c r="S30" s="15"/>
      <c r="T30" s="28"/>
      <c r="U30" s="15"/>
      <c r="V30" s="15"/>
      <c r="W30" s="15"/>
      <c r="X30" s="15"/>
      <c r="Y30" s="13"/>
      <c r="Z30" s="15"/>
      <c r="AA30" s="34">
        <f>$F$14</f>
        <v>500</v>
      </c>
      <c r="AB30" s="35"/>
      <c r="AC30" s="15"/>
      <c r="AD30" s="15"/>
      <c r="AE30" s="15"/>
      <c r="AF30" s="34"/>
      <c r="AG30" s="13"/>
      <c r="AH30" s="15"/>
      <c r="AI30" s="15"/>
      <c r="AJ30" s="28"/>
      <c r="AK30" s="13"/>
      <c r="AL30" s="15"/>
      <c r="AM30" s="15"/>
      <c r="AN30" s="134">
        <v>500</v>
      </c>
      <c r="AO30" s="13"/>
      <c r="AP30" s="15"/>
      <c r="AQ30" s="15"/>
      <c r="AR30" s="28"/>
      <c r="AS30" s="15"/>
      <c r="AT30" s="15"/>
      <c r="AU30" s="15"/>
      <c r="AV30" s="15"/>
      <c r="AW30" s="13"/>
      <c r="AX30" s="15"/>
      <c r="AY30" s="15"/>
      <c r="AZ30" s="28"/>
      <c r="BA30" s="15"/>
      <c r="BB30" s="15"/>
      <c r="BC30" s="15"/>
      <c r="BD30" s="15"/>
      <c r="BE30" s="14"/>
      <c r="BF30" s="41">
        <f t="shared" ref="BF30:BG30" si="65">K30+O30+S30+W30+AA30+AE30+AI30+AM30+AQ30+AU30+AY30+BC30</f>
        <v>500</v>
      </c>
      <c r="BG30" s="34">
        <f t="shared" si="65"/>
        <v>500</v>
      </c>
      <c r="BH30" s="35">
        <f t="shared" si="55"/>
        <v>0</v>
      </c>
    </row>
    <row r="31" ht="14.25" customHeight="1" spans="1:62" x14ac:dyDescent="0.25">
      <c r="A31" s="78">
        <v>3</v>
      </c>
      <c r="B31" s="21"/>
      <c r="C31" s="22" t="s">
        <v>53</v>
      </c>
      <c r="D31" s="21"/>
      <c r="E31" s="22"/>
      <c r="F31" s="20"/>
      <c r="G31" s="23"/>
      <c r="H31" s="51">
        <f>SUM(H24:H30)</f>
        <v>2.49</v>
      </c>
      <c r="I31" s="52"/>
      <c r="J31" s="53"/>
      <c r="K31" s="51">
        <f t="shared" ref="K31:L31" si="66">SUM(K25:K30)</f>
        <v>0</v>
      </c>
      <c r="L31" s="68">
        <f t="shared" si="66"/>
        <v>0</v>
      </c>
      <c r="M31" s="53"/>
      <c r="N31" s="53"/>
      <c r="O31" s="51">
        <f t="shared" ref="O31:P31" si="67">SUM(O25:O30)</f>
        <v>0</v>
      </c>
      <c r="P31" s="51">
        <f t="shared" si="67"/>
        <v>0</v>
      </c>
      <c r="Q31" s="52"/>
      <c r="R31" s="53"/>
      <c r="S31" s="51">
        <f t="shared" ref="S31:T31" si="68">SUM(S25:S30)</f>
        <v>0</v>
      </c>
      <c r="T31" s="68">
        <f t="shared" si="68"/>
        <v>0</v>
      </c>
      <c r="U31" s="53"/>
      <c r="V31" s="53"/>
      <c r="W31" s="51">
        <f t="shared" ref="W31:X31" si="69">SUM(W25:W30)</f>
        <v>0</v>
      </c>
      <c r="X31" s="51">
        <f t="shared" si="69"/>
        <v>0</v>
      </c>
      <c r="Y31" s="52"/>
      <c r="Z31" s="53"/>
      <c r="AA31" s="51">
        <f t="shared" ref="AA31:AB31" si="70">SUM(AA25:AA30)</f>
        <v>502.49</v>
      </c>
      <c r="AB31" s="68">
        <f t="shared" si="70"/>
        <v>0</v>
      </c>
      <c r="AC31" s="53"/>
      <c r="AD31" s="53"/>
      <c r="AE31" s="51">
        <f t="shared" ref="AE31:AF31" si="71">SUM(AE25:AE30)</f>
        <v>6164.6</v>
      </c>
      <c r="AF31" s="51">
        <f t="shared" si="71"/>
        <v>7000</v>
      </c>
      <c r="AG31" s="52"/>
      <c r="AH31" s="53"/>
      <c r="AI31" s="51">
        <f t="shared" ref="AI31:AJ31" si="72">SUM(AI25:AI30)</f>
        <v>2.5</v>
      </c>
      <c r="AJ31" s="68">
        <f t="shared" si="72"/>
        <v>0</v>
      </c>
      <c r="AK31" s="52"/>
      <c r="AL31" s="53"/>
      <c r="AM31" s="51">
        <f t="shared" ref="AM31:AN31" si="73">SUM(AM25:AM30)</f>
        <v>1306.7</v>
      </c>
      <c r="AN31" s="68">
        <f t="shared" si="73"/>
        <v>1000</v>
      </c>
      <c r="AO31" s="52"/>
      <c r="AP31" s="53"/>
      <c r="AQ31" s="51">
        <f t="shared" ref="AQ31:AR31" si="74">SUM(AQ24:AQ30)</f>
        <v>76.74</v>
      </c>
      <c r="AR31" s="68">
        <f t="shared" si="74"/>
        <v>0</v>
      </c>
      <c r="AS31" s="53"/>
      <c r="AT31" s="53"/>
      <c r="AU31" s="51">
        <f t="shared" ref="AU31:AV31" si="75">SUM(AU24:AU30)</f>
        <v>5</v>
      </c>
      <c r="AV31" s="68">
        <f t="shared" si="75"/>
        <v>0</v>
      </c>
      <c r="AW31" s="52"/>
      <c r="AX31" s="53"/>
      <c r="AY31" s="51">
        <f t="shared" ref="AY31:AZ31" si="76">SUM(AY24:AY30)</f>
        <v>0</v>
      </c>
      <c r="AZ31" s="68">
        <f t="shared" si="76"/>
        <v>0</v>
      </c>
      <c r="BA31" s="53"/>
      <c r="BB31" s="53"/>
      <c r="BC31" s="51">
        <f t="shared" ref="BC31:BD31" si="77">SUM(BC24:BC30)</f>
        <v>0</v>
      </c>
      <c r="BD31" s="68">
        <f t="shared" si="77"/>
        <v>0</v>
      </c>
      <c r="BE31" s="69"/>
      <c r="BF31" s="70">
        <f t="shared" ref="BF31:BH31" si="78">SUM(BF24:BF30)</f>
        <v>8058.03</v>
      </c>
      <c r="BG31" s="71">
        <f t="shared" si="78"/>
        <v>8000</v>
      </c>
      <c r="BH31" s="72">
        <f t="shared" si="78"/>
        <v>60.52</v>
      </c>
      <c r="BI31" s="34">
        <f>H31+BF31-BG31</f>
        <v>60.52</v>
      </c>
      <c r="BJ31" s="34">
        <f>BH31-BI31</f>
        <v>0</v>
      </c>
    </row>
    <row r="32" ht="14.25" customHeight="1" spans="1:60" x14ac:dyDescent="0.25">
      <c r="A32" s="29">
        <v>4</v>
      </c>
      <c r="B32" s="14"/>
      <c r="D32" s="14" t="s">
        <v>379</v>
      </c>
      <c r="F32" s="13"/>
      <c r="G32" s="28"/>
      <c r="H32" s="34">
        <f>'2018'!BH32</f>
      </c>
      <c r="I32" s="13"/>
      <c r="J32" s="15"/>
      <c r="K32" s="15"/>
      <c r="L32" s="28"/>
      <c r="M32" s="15"/>
      <c r="N32" s="15"/>
      <c r="O32" s="15"/>
      <c r="P32" s="15"/>
      <c r="Q32" s="13"/>
      <c r="R32" s="15"/>
      <c r="S32" s="15"/>
      <c r="T32" s="28"/>
      <c r="U32" s="15"/>
      <c r="V32" s="15"/>
      <c r="W32" s="15"/>
      <c r="X32" s="15"/>
      <c r="Y32" s="13"/>
      <c r="Z32" s="15"/>
      <c r="AA32" s="15"/>
      <c r="AB32" s="28"/>
      <c r="AC32" s="15"/>
      <c r="AD32" s="15"/>
      <c r="AE32" s="15"/>
      <c r="AF32" s="15"/>
      <c r="AG32" s="13"/>
      <c r="AH32" s="15"/>
      <c r="AI32" s="15"/>
      <c r="AJ32" s="28"/>
      <c r="AK32" s="13"/>
      <c r="AL32" s="15"/>
      <c r="AM32" s="15"/>
      <c r="AN32" s="28"/>
      <c r="AO32" s="13"/>
      <c r="AP32" s="15"/>
      <c r="AQ32" s="15"/>
      <c r="AR32" s="28"/>
      <c r="AS32" s="15"/>
      <c r="AT32" s="15"/>
      <c r="AU32" s="15"/>
      <c r="AV32" s="15"/>
      <c r="AW32" s="13"/>
      <c r="AX32" s="15"/>
      <c r="AY32" s="15"/>
      <c r="AZ32" s="28"/>
      <c r="BA32" s="15"/>
      <c r="BB32" s="15"/>
      <c r="BC32" s="15"/>
      <c r="BD32" s="15"/>
      <c r="BE32" s="14"/>
      <c r="BF32" s="41">
        <f t="shared" ref="BF32:BG32" si="79">K32+O32+S32+W32+AA32+AE32+AI32+AM32+AQ32+AU32+AY32+BC32</f>
        <v>0</v>
      </c>
      <c r="BG32" s="34">
        <f t="shared" si="79"/>
        <v>0</v>
      </c>
      <c r="BH32" s="35">
        <f t="shared" ref="BH32:BH38" si="80">H32+BF32-BG32</f>
        <v>0</v>
      </c>
    </row>
    <row r="33" ht="14.25" customHeight="1" spans="1:60" x14ac:dyDescent="0.25">
      <c r="A33" s="2">
        <v>4</v>
      </c>
      <c r="B33" s="14">
        <v>3.95</v>
      </c>
      <c r="C33" s="2" t="s">
        <v>64</v>
      </c>
      <c r="D33" s="14" t="s">
        <v>44</v>
      </c>
      <c r="E33" s="2" t="s">
        <v>45</v>
      </c>
      <c r="F33" s="13">
        <v>2.49</v>
      </c>
      <c r="G33" s="35">
        <v>2.5</v>
      </c>
      <c r="H33" s="104">
        <f>'2018'!BH33</f>
        <v>0</v>
      </c>
      <c r="I33" s="13"/>
      <c r="J33" s="15"/>
      <c r="K33" s="34">
        <f>J33*$F$8</f>
        <v>0</v>
      </c>
      <c r="L33" s="28"/>
      <c r="M33" s="15"/>
      <c r="N33" s="15">
        <f>M33-I33</f>
        <v>0</v>
      </c>
      <c r="O33" s="34">
        <f>N33*$F$8</f>
        <v>0</v>
      </c>
      <c r="P33" s="15"/>
      <c r="Q33" s="13"/>
      <c r="R33" s="15">
        <f>Q33-M33</f>
        <v>0</v>
      </c>
      <c r="S33" s="34">
        <f>R33*$F$8</f>
        <v>0</v>
      </c>
      <c r="T33" s="28"/>
      <c r="U33" s="15"/>
      <c r="V33" s="15">
        <f>U33-Q33</f>
        <v>0</v>
      </c>
      <c r="W33" s="15"/>
      <c r="X33" s="15"/>
      <c r="Y33" s="13"/>
      <c r="Z33" s="15">
        <f>Y33-U33</f>
        <v>0</v>
      </c>
      <c r="AA33" s="34">
        <f>Z33*$F$8</f>
        <v>0</v>
      </c>
      <c r="AB33" s="28"/>
      <c r="AC33" s="15"/>
      <c r="AD33" s="15">
        <f t="shared" ref="AD33:AD34" si="81">AC33-Y33</f>
        <v>0</v>
      </c>
      <c r="AE33" s="34">
        <f>AD33*$G$8</f>
        <v>0</v>
      </c>
      <c r="AF33" s="15"/>
      <c r="AG33" s="13"/>
      <c r="AH33" s="15">
        <f t="shared" ref="AH33:AH34" si="82">AG33-AC33</f>
        <v>0</v>
      </c>
      <c r="AI33" s="34">
        <f>AH33*$G$8</f>
        <v>0</v>
      </c>
      <c r="AJ33" s="28"/>
      <c r="AK33" s="13"/>
      <c r="AL33" s="37">
        <f t="shared" ref="AL33:AL34" si="83">AK33-AG33</f>
        <v>0</v>
      </c>
      <c r="AM33" s="34">
        <f>AL33*$G$8</f>
        <v>0</v>
      </c>
      <c r="AN33" s="28"/>
      <c r="AO33" s="13"/>
      <c r="AP33" s="37">
        <f t="shared" ref="AP33:AP34" si="84">AO33-AK33</f>
        <v>0</v>
      </c>
      <c r="AQ33" s="34">
        <f>AP33*$G$8</f>
        <v>0</v>
      </c>
      <c r="AR33" s="28"/>
      <c r="AS33" s="15"/>
      <c r="AT33" s="37">
        <f t="shared" ref="AT33:AT34" si="85">AS33-AO33</f>
        <v>0</v>
      </c>
      <c r="AU33" s="34">
        <f t="shared" ref="AU33:AU34" si="86">AT33*$G$8</f>
        <v>0</v>
      </c>
      <c r="AV33" s="15"/>
      <c r="AW33" s="13"/>
      <c r="AX33" s="37">
        <f>AW33-AS33</f>
        <v>0</v>
      </c>
      <c r="AY33" s="34">
        <f>AX33*$G$8</f>
        <v>0</v>
      </c>
      <c r="AZ33" s="28"/>
      <c r="BA33" s="15"/>
      <c r="BB33" s="37">
        <f>BA33-AW33</f>
        <v>0</v>
      </c>
      <c r="BC33" s="34">
        <f>BB33*$G$8</f>
        <v>0</v>
      </c>
      <c r="BD33" s="15"/>
      <c r="BE33" s="40">
        <f t="shared" ref="BE33:BG33" si="87">J33+N33+R33+V33+Z33+AD33+AH33+AL33+AP33+AT33+AX33+BB33</f>
        <v>0</v>
      </c>
      <c r="BF33" s="41">
        <f t="shared" si="87"/>
        <v>0</v>
      </c>
      <c r="BG33" s="34">
        <f t="shared" si="87"/>
        <v>0</v>
      </c>
      <c r="BH33" s="35">
        <f t="shared" si="80"/>
        <v>0</v>
      </c>
    </row>
    <row r="34" ht="14.25" customHeight="1" spans="1:60" x14ac:dyDescent="0.25">
      <c r="A34" s="29">
        <v>4</v>
      </c>
      <c r="B34" s="14"/>
      <c r="C34" s="2" t="s">
        <v>65</v>
      </c>
      <c r="D34" s="14" t="s">
        <v>47</v>
      </c>
      <c r="E34" s="2" t="s">
        <v>48</v>
      </c>
      <c r="F34" s="13">
        <v>17.98</v>
      </c>
      <c r="G34" s="28">
        <v>18.56</v>
      </c>
      <c r="H34" s="34">
        <f>'2018'!BH34</f>
        <v>0</v>
      </c>
      <c r="I34" s="13">
        <v>21</v>
      </c>
      <c r="J34" s="15"/>
      <c r="K34" s="15"/>
      <c r="L34" s="28"/>
      <c r="M34" s="15"/>
      <c r="N34" s="15"/>
      <c r="O34" s="15"/>
      <c r="P34" s="15"/>
      <c r="Q34" s="13"/>
      <c r="R34" s="15"/>
      <c r="S34" s="15"/>
      <c r="T34" s="28"/>
      <c r="U34" s="15"/>
      <c r="V34" s="15"/>
      <c r="W34" s="15"/>
      <c r="X34" s="15"/>
      <c r="Y34" s="13">
        <v>1</v>
      </c>
      <c r="Z34" s="15">
        <v>1</v>
      </c>
      <c r="AA34" s="34">
        <f>Z34*$F$10</f>
        <v>17.98</v>
      </c>
      <c r="AB34" s="28"/>
      <c r="AC34" s="15">
        <v>2</v>
      </c>
      <c r="AD34" s="15">
        <f t="shared" si="81"/>
        <v>1</v>
      </c>
      <c r="AE34" s="34">
        <f>AD34*$F$10</f>
        <v>17.98</v>
      </c>
      <c r="AF34" s="138">
        <f>35.96+24.03</f>
        <v>59.99</v>
      </c>
      <c r="AG34" s="13">
        <v>8</v>
      </c>
      <c r="AH34" s="15">
        <f t="shared" si="82"/>
        <v>6</v>
      </c>
      <c r="AI34" s="45">
        <f>AH34*$G$10</f>
        <v>111.36</v>
      </c>
      <c r="AJ34" s="38"/>
      <c r="AK34" s="13">
        <v>11</v>
      </c>
      <c r="AL34" s="15">
        <f t="shared" si="83"/>
        <v>3</v>
      </c>
      <c r="AM34" s="45">
        <f>AL34*$G$10</f>
        <v>55.68</v>
      </c>
      <c r="AN34" s="28"/>
      <c r="AO34" s="75">
        <v>11</v>
      </c>
      <c r="AP34" s="15">
        <f t="shared" si="84"/>
        <v>0</v>
      </c>
      <c r="AQ34" s="45">
        <f>AP34*$G$10</f>
        <v>0</v>
      </c>
      <c r="AR34" s="28"/>
      <c r="AS34" s="15">
        <v>18</v>
      </c>
      <c r="AT34" s="37">
        <f t="shared" si="85"/>
        <v>7</v>
      </c>
      <c r="AU34" s="34">
        <f t="shared" si="86"/>
        <v>17.5</v>
      </c>
      <c r="AV34" s="15"/>
      <c r="AW34" s="13">
        <v>18</v>
      </c>
      <c r="AX34" s="15"/>
      <c r="AY34" s="15"/>
      <c r="AZ34" s="28"/>
      <c r="BA34" s="15">
        <v>18</v>
      </c>
      <c r="BB34" s="15"/>
      <c r="BC34" s="15"/>
      <c r="BD34" s="15"/>
      <c r="BE34" s="40">
        <f t="shared" ref="BE34:BG34" si="88">J34+N34+R34+V34+Z34+AD34+AH34+AL34+AP34+AT34+AX34+BB34</f>
        <v>18</v>
      </c>
      <c r="BF34" s="41">
        <f t="shared" si="88"/>
        <v>220.5</v>
      </c>
      <c r="BG34" s="34">
        <f t="shared" si="88"/>
        <v>59.99</v>
      </c>
      <c r="BH34" s="35">
        <f t="shared" si="80"/>
        <v>160.51</v>
      </c>
    </row>
    <row r="35" ht="14.25" customHeight="1" spans="1:60" x14ac:dyDescent="0.25">
      <c r="A35" s="29">
        <v>4</v>
      </c>
      <c r="B35" s="14"/>
      <c r="C35" s="2" t="s">
        <v>58</v>
      </c>
      <c r="D35" s="14" t="s">
        <v>47</v>
      </c>
      <c r="E35" s="2" t="s">
        <v>49</v>
      </c>
      <c r="F35" s="41">
        <v>500</v>
      </c>
      <c r="G35" s="35"/>
      <c r="H35" s="34">
        <f>'2018'!BH35</f>
        <v>0</v>
      </c>
      <c r="I35" s="13"/>
      <c r="J35" s="15"/>
      <c r="K35" s="15"/>
      <c r="L35" s="28"/>
      <c r="M35" s="15"/>
      <c r="N35" s="15"/>
      <c r="O35" s="15"/>
      <c r="P35" s="15"/>
      <c r="Q35" s="13"/>
      <c r="R35" s="15"/>
      <c r="S35" s="15"/>
      <c r="T35" s="28"/>
      <c r="U35" s="15"/>
      <c r="V35" s="15"/>
      <c r="W35" s="15"/>
      <c r="X35" s="15"/>
      <c r="Y35" s="13"/>
      <c r="Z35" s="15"/>
      <c r="AA35" s="15"/>
      <c r="AB35" s="28"/>
      <c r="AC35" s="15"/>
      <c r="AD35" s="15"/>
      <c r="AE35" s="34"/>
      <c r="AF35" s="15"/>
      <c r="AG35" s="13"/>
      <c r="AH35" s="15"/>
      <c r="AI35" s="34"/>
      <c r="AJ35" s="28"/>
      <c r="AK35" s="13"/>
      <c r="AL35" s="15"/>
      <c r="AM35" s="34"/>
      <c r="AN35" s="28"/>
      <c r="AO35" s="13"/>
      <c r="AP35" s="15"/>
      <c r="AQ35" s="34"/>
      <c r="AR35" s="28"/>
      <c r="AS35" s="15"/>
      <c r="AT35" s="15"/>
      <c r="AU35" s="15"/>
      <c r="AV35" s="15"/>
      <c r="AW35" s="13"/>
      <c r="AX35" s="15"/>
      <c r="AY35" s="15"/>
      <c r="AZ35" s="28"/>
      <c r="BA35" s="15"/>
      <c r="BB35" s="15"/>
      <c r="BC35" s="15"/>
      <c r="BD35" s="15"/>
      <c r="BE35" s="14"/>
      <c r="BF35" s="41">
        <f t="shared" ref="BF35:BG35" si="89">K35+O35+S35+W35+AA35+AE35+AI35+AM35+AQ35+AU35+AY35+BC35</f>
        <v>0</v>
      </c>
      <c r="BG35" s="34">
        <f t="shared" si="89"/>
        <v>0</v>
      </c>
      <c r="BH35" s="35">
        <f t="shared" si="80"/>
        <v>0</v>
      </c>
    </row>
    <row r="36" ht="14.25" customHeight="1" spans="1:60" x14ac:dyDescent="0.25">
      <c r="A36" s="29">
        <v>4</v>
      </c>
      <c r="B36" s="14"/>
      <c r="C36" s="15" t="s">
        <v>380</v>
      </c>
      <c r="D36" s="14" t="s">
        <v>50</v>
      </c>
      <c r="E36" s="2" t="s">
        <v>49</v>
      </c>
      <c r="F36" s="41">
        <v>1200</v>
      </c>
      <c r="G36" s="35"/>
      <c r="H36" s="34">
        <f>'2018'!BH36</f>
        <v>0.006</v>
      </c>
      <c r="I36" s="13"/>
      <c r="J36" s="15"/>
      <c r="K36" s="15"/>
      <c r="L36" s="28"/>
      <c r="M36" s="15"/>
      <c r="N36" s="15"/>
      <c r="O36" s="15"/>
      <c r="P36" s="15"/>
      <c r="Q36" s="13"/>
      <c r="R36" s="15"/>
      <c r="S36" s="15"/>
      <c r="T36" s="28"/>
      <c r="U36" s="15"/>
      <c r="V36" s="15"/>
      <c r="W36" s="15"/>
      <c r="X36" s="15"/>
      <c r="Y36" s="13"/>
      <c r="Z36" s="15"/>
      <c r="AA36" s="15"/>
      <c r="AB36" s="28"/>
      <c r="AC36" s="15"/>
      <c r="AD36" s="15"/>
      <c r="AE36" s="34">
        <f>B33*$F$12</f>
        <v>4740</v>
      </c>
      <c r="AF36" s="138">
        <v>4740.01</v>
      </c>
      <c r="AG36" s="13"/>
      <c r="AH36" s="15"/>
      <c r="AI36" s="15"/>
      <c r="AJ36" s="28"/>
      <c r="AK36" s="13"/>
      <c r="AL36" s="15"/>
      <c r="AM36" s="15"/>
      <c r="AN36" s="28"/>
      <c r="AO36" s="13"/>
      <c r="AP36" s="15"/>
      <c r="AQ36" s="15"/>
      <c r="AR36" s="28"/>
      <c r="AS36" s="15"/>
      <c r="AT36" s="15"/>
      <c r="AU36" s="15"/>
      <c r="AV36" s="15"/>
      <c r="AW36" s="13"/>
      <c r="AX36" s="15"/>
      <c r="AY36" s="15"/>
      <c r="AZ36" s="28"/>
      <c r="BA36" s="15"/>
      <c r="BB36" s="15"/>
      <c r="BC36" s="15"/>
      <c r="BD36" s="15"/>
      <c r="BE36" s="14"/>
      <c r="BF36" s="41">
        <f t="shared" ref="BF36:BG36" si="90">K36+O36+S36+W36+AA36+AE36+AI36+AM36+AQ36+AU36+AY36+BC36</f>
        <v>4740</v>
      </c>
      <c r="BG36" s="34">
        <f t="shared" si="90"/>
        <v>4740.01</v>
      </c>
      <c r="BH36" s="35">
        <f t="shared" si="80"/>
        <v>-0.004</v>
      </c>
    </row>
    <row r="37" ht="14.25" customHeight="1" spans="1:60" x14ac:dyDescent="0.25">
      <c r="A37" s="29">
        <v>4</v>
      </c>
      <c r="B37" s="14"/>
      <c r="C37" s="73" t="s">
        <v>381</v>
      </c>
      <c r="D37" s="14" t="s">
        <v>51</v>
      </c>
      <c r="E37" s="2" t="s">
        <v>49</v>
      </c>
      <c r="F37" s="41">
        <v>1000</v>
      </c>
      <c r="G37" s="35"/>
      <c r="H37" s="34">
        <f>'2018'!BH37</f>
        <v>0</v>
      </c>
      <c r="I37" s="13"/>
      <c r="J37" s="15"/>
      <c r="K37" s="15"/>
      <c r="L37" s="28"/>
      <c r="M37" s="15"/>
      <c r="N37" s="15"/>
      <c r="O37" s="15"/>
      <c r="P37" s="15"/>
      <c r="Q37" s="13"/>
      <c r="R37" s="15"/>
      <c r="S37" s="15"/>
      <c r="T37" s="28"/>
      <c r="U37" s="15"/>
      <c r="V37" s="15"/>
      <c r="W37" s="15"/>
      <c r="X37" s="15"/>
      <c r="Y37" s="13"/>
      <c r="Z37" s="15"/>
      <c r="AA37" s="15"/>
      <c r="AB37" s="28"/>
      <c r="AC37" s="15"/>
      <c r="AD37" s="15"/>
      <c r="AE37" s="34">
        <f>$F$21</f>
        <v>1000</v>
      </c>
      <c r="AF37" s="133">
        <v>1000</v>
      </c>
      <c r="AG37" s="13"/>
      <c r="AH37" s="15"/>
      <c r="AI37" s="15"/>
      <c r="AJ37" s="28"/>
      <c r="AK37" s="13"/>
      <c r="AL37" s="15"/>
      <c r="AM37" s="15"/>
      <c r="AN37" s="28"/>
      <c r="AO37" s="13"/>
      <c r="AP37" s="15"/>
      <c r="AQ37" s="15"/>
      <c r="AR37" s="28"/>
      <c r="AS37" s="15"/>
      <c r="AT37" s="15"/>
      <c r="AU37" s="15"/>
      <c r="AV37" s="15"/>
      <c r="AW37" s="13"/>
      <c r="AX37" s="15"/>
      <c r="AY37" s="15"/>
      <c r="AZ37" s="28"/>
      <c r="BA37" s="15"/>
      <c r="BB37" s="15"/>
      <c r="BC37" s="15"/>
      <c r="BD37" s="15"/>
      <c r="BE37" s="14"/>
      <c r="BF37" s="41">
        <f t="shared" ref="BF37:BG37" si="91">K37+O37+S37+W37+AA37+AE37+AI37+AM37+AQ37+AU37+AY37+BC37</f>
        <v>1000</v>
      </c>
      <c r="BG37" s="34">
        <f t="shared" si="91"/>
        <v>1000</v>
      </c>
      <c r="BH37" s="35">
        <f t="shared" si="80"/>
        <v>0</v>
      </c>
    </row>
    <row r="38" ht="14.25" customHeight="1" spans="1:60" x14ac:dyDescent="0.25">
      <c r="A38" s="29">
        <v>4</v>
      </c>
      <c r="B38" s="14"/>
      <c r="C38" s="2" t="s">
        <v>382</v>
      </c>
      <c r="D38" s="14" t="s">
        <v>52</v>
      </c>
      <c r="E38" s="2" t="s">
        <v>39</v>
      </c>
      <c r="F38" s="41">
        <v>500</v>
      </c>
      <c r="G38" s="35"/>
      <c r="H38" s="34">
        <f>'2018'!BH38</f>
        <v>0</v>
      </c>
      <c r="I38" s="13"/>
      <c r="J38" s="15"/>
      <c r="K38" s="15"/>
      <c r="L38" s="28"/>
      <c r="M38" s="15"/>
      <c r="N38" s="15"/>
      <c r="O38" s="15"/>
      <c r="P38" s="15"/>
      <c r="Q38" s="13"/>
      <c r="R38" s="15"/>
      <c r="S38" s="15"/>
      <c r="T38" s="28"/>
      <c r="U38" s="15"/>
      <c r="V38" s="15"/>
      <c r="W38" s="15"/>
      <c r="X38" s="15"/>
      <c r="Y38" s="13"/>
      <c r="Z38" s="15"/>
      <c r="AA38" s="34">
        <f>$F$14</f>
        <v>500</v>
      </c>
      <c r="AB38" s="35"/>
      <c r="AC38" s="15"/>
      <c r="AD38" s="15"/>
      <c r="AE38" s="15"/>
      <c r="AF38" s="133">
        <v>500</v>
      </c>
      <c r="AG38" s="13"/>
      <c r="AH38" s="15"/>
      <c r="AI38" s="15"/>
      <c r="AJ38" s="28"/>
      <c r="AK38" s="13"/>
      <c r="AL38" s="15"/>
      <c r="AM38" s="15"/>
      <c r="AN38" s="28"/>
      <c r="AO38" s="13"/>
      <c r="AP38" s="15"/>
      <c r="AQ38" s="15"/>
      <c r="AR38" s="28"/>
      <c r="AS38" s="15"/>
      <c r="AT38" s="15"/>
      <c r="AU38" s="15"/>
      <c r="AV38" s="15"/>
      <c r="AW38" s="13"/>
      <c r="AX38" s="15"/>
      <c r="AY38" s="15"/>
      <c r="AZ38" s="28"/>
      <c r="BA38" s="15"/>
      <c r="BB38" s="15"/>
      <c r="BC38" s="15"/>
      <c r="BD38" s="15"/>
      <c r="BE38" s="14"/>
      <c r="BF38" s="41">
        <f t="shared" ref="BF38:BG38" si="92">K38+O38+S38+W38+AA38+AE38+AI38+AM38+AQ38+AU38+AY38+BC38</f>
        <v>500</v>
      </c>
      <c r="BG38" s="34">
        <f t="shared" si="92"/>
        <v>500</v>
      </c>
      <c r="BH38" s="35">
        <f t="shared" si="80"/>
        <v>0</v>
      </c>
    </row>
    <row r="39" ht="14.25" customHeight="1" spans="1:62" x14ac:dyDescent="0.25">
      <c r="A39" s="78">
        <v>4</v>
      </c>
      <c r="B39" s="21"/>
      <c r="C39" s="22" t="s">
        <v>53</v>
      </c>
      <c r="D39" s="21"/>
      <c r="E39" s="22"/>
      <c r="F39" s="20"/>
      <c r="G39" s="23"/>
      <c r="H39" s="51">
        <f>SUM(H32:H38)</f>
        <v>0.006</v>
      </c>
      <c r="I39" s="52"/>
      <c r="J39" s="53"/>
      <c r="K39" s="51">
        <f t="shared" ref="K39:L39" si="93">SUM(K33:K38)</f>
        <v>0</v>
      </c>
      <c r="L39" s="68">
        <f t="shared" si="93"/>
        <v>0</v>
      </c>
      <c r="M39" s="53"/>
      <c r="N39" s="53"/>
      <c r="O39" s="51">
        <f t="shared" ref="O39:P39" si="94">SUM(O33:O38)</f>
        <v>0</v>
      </c>
      <c r="P39" s="51">
        <f t="shared" si="94"/>
        <v>0</v>
      </c>
      <c r="Q39" s="52"/>
      <c r="R39" s="53"/>
      <c r="S39" s="51">
        <f t="shared" ref="S39:T39" si="95">SUM(S33:S38)</f>
        <v>0</v>
      </c>
      <c r="T39" s="68">
        <f t="shared" si="95"/>
        <v>0</v>
      </c>
      <c r="U39" s="53"/>
      <c r="V39" s="53"/>
      <c r="W39" s="51">
        <f t="shared" ref="W39:X39" si="96">SUM(W33:W38)</f>
        <v>0</v>
      </c>
      <c r="X39" s="51">
        <f t="shared" si="96"/>
        <v>0</v>
      </c>
      <c r="Y39" s="52"/>
      <c r="Z39" s="53"/>
      <c r="AA39" s="51">
        <f t="shared" ref="AA39:AB39" si="97">SUM(AA33:AA38)</f>
        <v>517.98</v>
      </c>
      <c r="AB39" s="68">
        <f t="shared" si="97"/>
        <v>0</v>
      </c>
      <c r="AC39" s="53"/>
      <c r="AD39" s="53"/>
      <c r="AE39" s="51">
        <f t="shared" ref="AE39:AF39" si="98">SUM(AE33:AE38)</f>
        <v>5757.98</v>
      </c>
      <c r="AF39" s="51">
        <f t="shared" si="98"/>
        <v>6300</v>
      </c>
      <c r="AG39" s="52"/>
      <c r="AH39" s="53"/>
      <c r="AI39" s="51">
        <f t="shared" ref="AI39:AJ39" si="99">SUM(AI33:AI38)</f>
        <v>111.36</v>
      </c>
      <c r="AJ39" s="68">
        <f t="shared" si="99"/>
        <v>0</v>
      </c>
      <c r="AK39" s="52"/>
      <c r="AL39" s="53"/>
      <c r="AM39" s="51">
        <f t="shared" ref="AM39:AN39" si="100">SUM(AM33:AM38)</f>
        <v>55.68</v>
      </c>
      <c r="AN39" s="68">
        <f t="shared" si="100"/>
        <v>0</v>
      </c>
      <c r="AO39" s="52"/>
      <c r="AP39" s="53"/>
      <c r="AQ39" s="51">
        <f t="shared" ref="AQ39:AR39" si="101">SUM(AQ32:AQ38)</f>
        <v>0</v>
      </c>
      <c r="AR39" s="68">
        <f t="shared" si="101"/>
        <v>0</v>
      </c>
      <c r="AS39" s="53"/>
      <c r="AT39" s="53"/>
      <c r="AU39" s="51">
        <f t="shared" ref="AU39:AV39" si="102">SUM(AU32:AU38)</f>
        <v>17.5</v>
      </c>
      <c r="AV39" s="68">
        <f t="shared" si="102"/>
        <v>0</v>
      </c>
      <c r="AW39" s="52"/>
      <c r="AX39" s="53"/>
      <c r="AY39" s="51">
        <f t="shared" ref="AY39:AZ39" si="103">SUM(AY32:AY38)</f>
        <v>0</v>
      </c>
      <c r="AZ39" s="68">
        <f t="shared" si="103"/>
        <v>0</v>
      </c>
      <c r="BA39" s="53"/>
      <c r="BB39" s="53"/>
      <c r="BC39" s="51">
        <f t="shared" ref="BC39:BD39" si="104">SUM(BC32:BC38)</f>
        <v>0</v>
      </c>
      <c r="BD39" s="68">
        <f t="shared" si="104"/>
        <v>0</v>
      </c>
      <c r="BE39" s="69"/>
      <c r="BF39" s="70">
        <f t="shared" ref="BF39:BH39" si="105">SUM(BF32:BF38)</f>
        <v>6460.5</v>
      </c>
      <c r="BG39" s="71">
        <f t="shared" si="105"/>
        <v>6300</v>
      </c>
      <c r="BH39" s="72">
        <f t="shared" si="105"/>
        <v>160.506</v>
      </c>
      <c r="BI39" s="34">
        <f>H39+BF39-BG39</f>
        <v>160.506</v>
      </c>
      <c r="BJ39" s="34">
        <f>BH39-BI39</f>
        <v>0</v>
      </c>
    </row>
    <row r="40" ht="14.25" customHeight="1" spans="1:60" x14ac:dyDescent="0.25">
      <c r="A40" s="29">
        <v>5</v>
      </c>
      <c r="B40" s="14"/>
      <c r="D40" s="14" t="s">
        <v>379</v>
      </c>
      <c r="F40" s="13"/>
      <c r="G40" s="28"/>
      <c r="H40" s="34">
        <f>'2018'!BH40</f>
      </c>
      <c r="I40" s="13"/>
      <c r="J40" s="15"/>
      <c r="K40" s="15"/>
      <c r="L40" s="28"/>
      <c r="M40" s="15"/>
      <c r="N40" s="15"/>
      <c r="O40" s="15"/>
      <c r="P40" s="15"/>
      <c r="Q40" s="13"/>
      <c r="R40" s="15"/>
      <c r="S40" s="15"/>
      <c r="T40" s="28"/>
      <c r="U40" s="15"/>
      <c r="V40" s="15"/>
      <c r="W40" s="15"/>
      <c r="X40" s="15"/>
      <c r="Y40" s="13"/>
      <c r="Z40" s="15"/>
      <c r="AA40" s="15"/>
      <c r="AB40" s="28"/>
      <c r="AC40" s="15"/>
      <c r="AD40" s="15"/>
      <c r="AE40" s="15"/>
      <c r="AF40" s="15"/>
      <c r="AG40" s="13"/>
      <c r="AH40" s="15"/>
      <c r="AI40" s="15"/>
      <c r="AJ40" s="28"/>
      <c r="AK40" s="13"/>
      <c r="AL40" s="15"/>
      <c r="AM40" s="15"/>
      <c r="AN40" s="28"/>
      <c r="AO40" s="13"/>
      <c r="AP40" s="15"/>
      <c r="AQ40" s="15"/>
      <c r="AR40" s="28"/>
      <c r="AS40" s="15"/>
      <c r="AT40" s="15"/>
      <c r="AU40" s="15"/>
      <c r="AV40" s="15"/>
      <c r="AW40" s="13"/>
      <c r="AX40" s="15"/>
      <c r="AY40" s="15"/>
      <c r="AZ40" s="28"/>
      <c r="BA40" s="15"/>
      <c r="BB40" s="15"/>
      <c r="BC40" s="15"/>
      <c r="BD40" s="15"/>
      <c r="BE40" s="14"/>
      <c r="BF40" s="41">
        <f t="shared" ref="BF40:BG40" si="106">K40+O40+S40+W40+AA40+AE40+AI40+AM40+AQ40+AU40+AY40+BC40</f>
        <v>0</v>
      </c>
      <c r="BG40" s="34">
        <f t="shared" si="106"/>
        <v>0</v>
      </c>
      <c r="BH40" s="35">
        <f t="shared" ref="BH40:BH46" si="107">H40+BF40-BG40</f>
        <v>0</v>
      </c>
    </row>
    <row r="41" ht="14.25" customHeight="1" spans="1:60" x14ac:dyDescent="0.25">
      <c r="A41" s="2">
        <v>5</v>
      </c>
      <c r="B41" s="14">
        <v>5.08</v>
      </c>
      <c r="C41" s="2" t="s">
        <v>66</v>
      </c>
      <c r="D41" s="14" t="s">
        <v>44</v>
      </c>
      <c r="E41" s="2" t="s">
        <v>45</v>
      </c>
      <c r="F41" s="13">
        <v>2.49</v>
      </c>
      <c r="G41" s="35">
        <v>2.5</v>
      </c>
      <c r="H41" s="34">
        <f>'2018'!BH41</f>
        <v>-97.51</v>
      </c>
      <c r="I41" s="13">
        <v>93</v>
      </c>
      <c r="J41" s="15">
        <f>I41-'2018'!BA41</f>
        <v>0</v>
      </c>
      <c r="K41" s="34">
        <f>J41*$F$8</f>
        <v>0</v>
      </c>
      <c r="L41" s="28"/>
      <c r="M41" s="15">
        <v>93</v>
      </c>
      <c r="N41" s="15">
        <f>M41-I41</f>
        <v>0</v>
      </c>
      <c r="O41" s="34">
        <f>N41*$F$8</f>
        <v>0</v>
      </c>
      <c r="P41" s="15"/>
      <c r="Q41" s="13">
        <v>93</v>
      </c>
      <c r="R41" s="15">
        <f>Q41-M41</f>
        <v>0</v>
      </c>
      <c r="S41" s="34">
        <f>R41*$F$8</f>
        <v>0</v>
      </c>
      <c r="T41" s="28"/>
      <c r="U41" s="15">
        <v>93</v>
      </c>
      <c r="V41" s="15">
        <f>U41-Q41</f>
        <v>0</v>
      </c>
      <c r="W41" s="34">
        <f>V41*$F$8</f>
        <v>0</v>
      </c>
      <c r="X41" s="15"/>
      <c r="Y41" s="13">
        <v>93</v>
      </c>
      <c r="Z41" s="15">
        <f>Y41-U41</f>
        <v>0</v>
      </c>
      <c r="AA41" s="34">
        <f>Z41*$F$8</f>
        <v>0</v>
      </c>
      <c r="AB41" s="28"/>
      <c r="AC41" s="15">
        <v>93</v>
      </c>
      <c r="AD41" s="15">
        <f t="shared" ref="AD41:AD42" si="108">AC41-Y41</f>
        <v>0</v>
      </c>
      <c r="AE41" s="34">
        <f>AD41*$G$8</f>
        <v>0</v>
      </c>
      <c r="AF41" s="15"/>
      <c r="AG41" s="13">
        <v>93</v>
      </c>
      <c r="AH41" s="15">
        <f t="shared" ref="AH41:AH42" si="109">AG41-AC41</f>
        <v>0</v>
      </c>
      <c r="AI41" s="34">
        <f>AH41*$G$8</f>
        <v>0</v>
      </c>
      <c r="AJ41" s="134">
        <v>100</v>
      </c>
      <c r="AK41" s="13">
        <v>93</v>
      </c>
      <c r="AL41" s="15">
        <f t="shared" ref="AL41:AL42" si="110">AK41-AG41</f>
        <v>0</v>
      </c>
      <c r="AM41" s="34">
        <f>AL41*$G$8</f>
        <v>0</v>
      </c>
      <c r="AN41" s="28"/>
      <c r="AO41" s="13">
        <v>93</v>
      </c>
      <c r="AP41" s="15">
        <f t="shared" ref="AP41:AP42" si="111">AO41-AK41</f>
        <v>0</v>
      </c>
      <c r="AQ41" s="34">
        <f>AP41*$G$8</f>
        <v>0</v>
      </c>
      <c r="AR41" s="28"/>
      <c r="AS41" s="15">
        <v>93</v>
      </c>
      <c r="AT41" s="15">
        <f t="shared" ref="AT41:AT42" si="112">AS41-AO41</f>
        <v>0</v>
      </c>
      <c r="AU41" s="34">
        <f>AT41*$G$8</f>
        <v>0</v>
      </c>
      <c r="AV41" s="15"/>
      <c r="AW41" s="13">
        <v>93</v>
      </c>
      <c r="AX41" s="15">
        <f>AW41-AS41</f>
        <v>0</v>
      </c>
      <c r="AY41" s="34">
        <f>AX41*$G$8</f>
        <v>0</v>
      </c>
      <c r="AZ41" s="28"/>
      <c r="BA41" s="13">
        <v>93</v>
      </c>
      <c r="BB41" s="15">
        <f>BA41-AW41</f>
        <v>0</v>
      </c>
      <c r="BC41" s="34">
        <f>BB41*$G$8</f>
        <v>0</v>
      </c>
      <c r="BD41" s="15"/>
      <c r="BE41" s="40">
        <f t="shared" ref="BE41:BG41" si="113">J41+N41+R41+V41+Z41+AD41+AH41+AL41+AP41+AT41+AX41+BB41</f>
        <v>0</v>
      </c>
      <c r="BF41" s="41">
        <f t="shared" si="113"/>
        <v>0</v>
      </c>
      <c r="BG41" s="34">
        <f t="shared" si="113"/>
        <v>100</v>
      </c>
      <c r="BH41" s="35">
        <f t="shared" si="107"/>
        <v>-197.51</v>
      </c>
    </row>
    <row r="42" ht="14.25" customHeight="1" spans="1:60" x14ac:dyDescent="0.25">
      <c r="A42" s="29">
        <v>5</v>
      </c>
      <c r="B42" s="14"/>
      <c r="C42" s="2" t="s">
        <v>67</v>
      </c>
      <c r="D42" s="14" t="s">
        <v>47</v>
      </c>
      <c r="E42" s="2" t="s">
        <v>48</v>
      </c>
      <c r="F42" s="13">
        <v>17.98</v>
      </c>
      <c r="G42" s="28">
        <v>18.56</v>
      </c>
      <c r="H42" s="34">
        <f>'2018'!BH42</f>
        <v>-52</v>
      </c>
      <c r="I42" s="13">
        <v>115</v>
      </c>
      <c r="J42" s="15"/>
      <c r="K42" s="15"/>
      <c r="L42" s="28"/>
      <c r="M42" s="15"/>
      <c r="N42" s="15"/>
      <c r="O42" s="15"/>
      <c r="P42" s="15"/>
      <c r="Q42" s="13"/>
      <c r="R42" s="15"/>
      <c r="S42" s="15"/>
      <c r="T42" s="28"/>
      <c r="U42" s="15"/>
      <c r="V42" s="15"/>
      <c r="W42" s="15"/>
      <c r="X42" s="15"/>
      <c r="Y42" s="13">
        <v>121</v>
      </c>
      <c r="Z42" s="15">
        <f>Y42-'2018'!AO42</f>
        <v>6</v>
      </c>
      <c r="AA42" s="34">
        <f>Z42*$F$10</f>
        <v>107.88</v>
      </c>
      <c r="AB42" s="28"/>
      <c r="AC42" s="15">
        <v>121</v>
      </c>
      <c r="AD42" s="15">
        <f t="shared" si="108"/>
        <v>0</v>
      </c>
      <c r="AE42" s="34">
        <f>AD42*$F$10</f>
        <v>0</v>
      </c>
      <c r="AF42" s="15"/>
      <c r="AG42" s="13">
        <v>146</v>
      </c>
      <c r="AH42" s="15">
        <f t="shared" si="109"/>
        <v>25</v>
      </c>
      <c r="AI42" s="45">
        <f>AH42*$G$10</f>
        <v>464</v>
      </c>
      <c r="AJ42" s="134">
        <v>620</v>
      </c>
      <c r="AK42" s="13">
        <v>146</v>
      </c>
      <c r="AL42" s="15">
        <f t="shared" si="110"/>
        <v>0</v>
      </c>
      <c r="AM42" s="45">
        <f>AL42*$G$10</f>
        <v>0</v>
      </c>
      <c r="AN42" s="28"/>
      <c r="AO42" s="13">
        <v>152</v>
      </c>
      <c r="AP42" s="15">
        <f t="shared" si="111"/>
        <v>6</v>
      </c>
      <c r="AQ42" s="45">
        <f>AP42*$G$10</f>
        <v>111.36</v>
      </c>
      <c r="AR42" s="28"/>
      <c r="AS42" s="13">
        <v>152</v>
      </c>
      <c r="AT42" s="15">
        <f t="shared" si="112"/>
        <v>0</v>
      </c>
      <c r="AU42" s="45">
        <f>AT42*$G$10</f>
        <v>0</v>
      </c>
      <c r="AV42" s="15"/>
      <c r="AW42" s="13">
        <v>152</v>
      </c>
      <c r="AX42" s="15"/>
      <c r="AY42" s="15"/>
      <c r="AZ42" s="28"/>
      <c r="BA42" s="15">
        <v>152</v>
      </c>
      <c r="BB42" s="15"/>
      <c r="BC42" s="15"/>
      <c r="BD42" s="15"/>
      <c r="BE42" s="40">
        <f t="shared" ref="BE42:BG42" si="114">J42+N42+R42+V42+Z42+AD42+AH42+AL42+AP42+AT42+AX42+BB42</f>
        <v>37</v>
      </c>
      <c r="BF42" s="41">
        <f t="shared" si="114"/>
        <v>683.24</v>
      </c>
      <c r="BG42" s="34">
        <f t="shared" si="114"/>
        <v>620</v>
      </c>
      <c r="BH42" s="35">
        <f t="shared" si="107"/>
        <v>11.24</v>
      </c>
    </row>
    <row r="43" ht="14.25" customHeight="1" spans="1:60" x14ac:dyDescent="0.25">
      <c r="A43" s="29">
        <v>5</v>
      </c>
      <c r="B43" s="14"/>
      <c r="C43" s="2" t="s">
        <v>68</v>
      </c>
      <c r="D43" s="14" t="s">
        <v>47</v>
      </c>
      <c r="E43" s="2" t="s">
        <v>49</v>
      </c>
      <c r="F43" s="41">
        <v>500</v>
      </c>
      <c r="G43" s="35"/>
      <c r="H43" s="34">
        <f>'2018'!BH43</f>
        <v>0</v>
      </c>
      <c r="I43" s="13"/>
      <c r="J43" s="15"/>
      <c r="K43" s="15"/>
      <c r="L43" s="28"/>
      <c r="M43" s="15"/>
      <c r="N43" s="15"/>
      <c r="O43" s="15"/>
      <c r="P43" s="15"/>
      <c r="Q43" s="13"/>
      <c r="R43" s="15"/>
      <c r="S43" s="15"/>
      <c r="T43" s="28"/>
      <c r="U43" s="15"/>
      <c r="V43" s="15"/>
      <c r="W43" s="15"/>
      <c r="X43" s="15"/>
      <c r="Y43" s="13"/>
      <c r="Z43" s="15"/>
      <c r="AA43" s="15"/>
      <c r="AB43" s="28"/>
      <c r="AC43" s="15"/>
      <c r="AD43" s="15"/>
      <c r="AE43" s="34"/>
      <c r="AF43" s="15"/>
      <c r="AG43" s="13"/>
      <c r="AH43" s="15"/>
      <c r="AI43" s="34"/>
      <c r="AJ43" s="28"/>
      <c r="AK43" s="13"/>
      <c r="AL43" s="15"/>
      <c r="AM43" s="34"/>
      <c r="AN43" s="28"/>
      <c r="AO43" s="13"/>
      <c r="AP43" s="15"/>
      <c r="AQ43" s="34"/>
      <c r="AR43" s="28"/>
      <c r="AS43" s="15"/>
      <c r="AT43" s="15"/>
      <c r="AU43" s="15"/>
      <c r="AV43" s="15"/>
      <c r="AW43" s="13"/>
      <c r="AX43" s="15"/>
      <c r="AY43" s="15"/>
      <c r="AZ43" s="28"/>
      <c r="BA43" s="15"/>
      <c r="BB43" s="15"/>
      <c r="BC43" s="15"/>
      <c r="BD43" s="15"/>
      <c r="BE43" s="14"/>
      <c r="BF43" s="41">
        <f t="shared" ref="BF43:BG43" si="115">K43+O43+S43+W43+AA43+AE43+AI43+AM43+AQ43+AU43+AY43+BC43</f>
        <v>0</v>
      </c>
      <c r="BG43" s="34">
        <f t="shared" si="115"/>
        <v>0</v>
      </c>
      <c r="BH43" s="35">
        <f t="shared" si="107"/>
        <v>0</v>
      </c>
    </row>
    <row r="44" ht="14.25" customHeight="1" spans="1:60" x14ac:dyDescent="0.25">
      <c r="A44" s="29">
        <v>5</v>
      </c>
      <c r="B44" s="14"/>
      <c r="C44" s="73" t="s">
        <v>69</v>
      </c>
      <c r="D44" s="14" t="s">
        <v>50</v>
      </c>
      <c r="E44" s="2" t="s">
        <v>49</v>
      </c>
      <c r="F44" s="41">
        <v>1200</v>
      </c>
      <c r="G44" s="35"/>
      <c r="H44" s="34">
        <f>'2018'!BH44</f>
        <v>0.0003999999999</v>
      </c>
      <c r="I44" s="13"/>
      <c r="J44" s="15"/>
      <c r="K44" s="15"/>
      <c r="L44" s="28"/>
      <c r="M44" s="15"/>
      <c r="N44" s="15"/>
      <c r="O44" s="15"/>
      <c r="P44" s="15"/>
      <c r="Q44" s="13"/>
      <c r="R44" s="15"/>
      <c r="S44" s="15"/>
      <c r="T44" s="28"/>
      <c r="U44" s="15"/>
      <c r="V44" s="15"/>
      <c r="W44" s="15"/>
      <c r="X44" s="15"/>
      <c r="Y44" s="13"/>
      <c r="Z44" s="15"/>
      <c r="AA44" s="15"/>
      <c r="AB44" s="28"/>
      <c r="AC44" s="15"/>
      <c r="AD44" s="15"/>
      <c r="AE44" s="34">
        <f>B41*$F$12</f>
        <v>6096</v>
      </c>
      <c r="AF44" s="15"/>
      <c r="AG44" s="13"/>
      <c r="AH44" s="15"/>
      <c r="AI44" s="15"/>
      <c r="AJ44" s="134">
        <v>6096</v>
      </c>
      <c r="AK44" s="13"/>
      <c r="AL44" s="15"/>
      <c r="AM44" s="15"/>
      <c r="AN44" s="28"/>
      <c r="AO44" s="13"/>
      <c r="AP44" s="15"/>
      <c r="AQ44" s="15"/>
      <c r="AR44" s="35"/>
      <c r="AS44" s="15"/>
      <c r="AT44" s="15"/>
      <c r="AU44" s="15"/>
      <c r="AV44" s="15"/>
      <c r="AW44" s="13"/>
      <c r="AX44" s="15"/>
      <c r="AY44" s="15"/>
      <c r="AZ44" s="28"/>
      <c r="BA44" s="15"/>
      <c r="BB44" s="15"/>
      <c r="BC44" s="15"/>
      <c r="BD44" s="15"/>
      <c r="BE44" s="14"/>
      <c r="BF44" s="41">
        <f t="shared" ref="BF44:BG44" si="116">K44+O44+S44+W44+AA44+AE44+AI44+AM44+AQ44+AU44+AY44+BC44</f>
        <v>6096</v>
      </c>
      <c r="BG44" s="34">
        <f t="shared" si="116"/>
        <v>6096</v>
      </c>
      <c r="BH44" s="35">
        <f t="shared" si="107"/>
        <v>0.0003999999999</v>
      </c>
    </row>
    <row r="45" ht="14.25" customHeight="1" spans="1:60" x14ac:dyDescent="0.25">
      <c r="A45" s="29">
        <v>5</v>
      </c>
      <c r="B45" s="14"/>
      <c r="D45" s="14" t="s">
        <v>51</v>
      </c>
      <c r="E45" s="2" t="s">
        <v>49</v>
      </c>
      <c r="F45" s="41">
        <v>1000</v>
      </c>
      <c r="G45" s="35"/>
      <c r="H45" s="34">
        <f>'2018'!BH45</f>
        <v>0</v>
      </c>
      <c r="I45" s="13"/>
      <c r="J45" s="15"/>
      <c r="K45" s="15"/>
      <c r="L45" s="28"/>
      <c r="M45" s="15"/>
      <c r="N45" s="15"/>
      <c r="O45" s="15"/>
      <c r="P45" s="15"/>
      <c r="Q45" s="13"/>
      <c r="R45" s="15"/>
      <c r="S45" s="15"/>
      <c r="T45" s="28"/>
      <c r="U45" s="15"/>
      <c r="V45" s="15"/>
      <c r="W45" s="15"/>
      <c r="X45" s="15"/>
      <c r="Y45" s="13"/>
      <c r="Z45" s="15"/>
      <c r="AA45" s="15"/>
      <c r="AB45" s="28"/>
      <c r="AC45" s="15"/>
      <c r="AD45" s="15"/>
      <c r="AE45" s="34">
        <f>$F$21</f>
        <v>1000</v>
      </c>
      <c r="AF45" s="15"/>
      <c r="AG45" s="13"/>
      <c r="AH45" s="15"/>
      <c r="AI45" s="15"/>
      <c r="AJ45" s="134">
        <v>1000</v>
      </c>
      <c r="AK45" s="13"/>
      <c r="AL45" s="15"/>
      <c r="AM45" s="15"/>
      <c r="AN45" s="28"/>
      <c r="AO45" s="13"/>
      <c r="AP45" s="15"/>
      <c r="AQ45" s="15"/>
      <c r="AR45" s="35"/>
      <c r="AS45" s="15"/>
      <c r="AT45" s="15"/>
      <c r="AU45" s="15"/>
      <c r="AV45" s="15"/>
      <c r="AW45" s="13"/>
      <c r="AX45" s="15"/>
      <c r="AY45" s="15"/>
      <c r="AZ45" s="28"/>
      <c r="BA45" s="15"/>
      <c r="BB45" s="15"/>
      <c r="BC45" s="15"/>
      <c r="BD45" s="15"/>
      <c r="BE45" s="14"/>
      <c r="BF45" s="41">
        <f t="shared" ref="BF45:BG45" si="117">K45+O45+S45+W45+AA45+AE45+AI45+AM45+AQ45+AU45+AY45+BC45</f>
        <v>1000</v>
      </c>
      <c r="BG45" s="34">
        <f t="shared" si="117"/>
        <v>1000</v>
      </c>
      <c r="BH45" s="35">
        <f t="shared" si="107"/>
        <v>0</v>
      </c>
    </row>
    <row r="46" ht="14.25" customHeight="1" spans="1:60" x14ac:dyDescent="0.25">
      <c r="A46" s="29">
        <v>5</v>
      </c>
      <c r="B46" s="14"/>
      <c r="D46" s="14" t="s">
        <v>52</v>
      </c>
      <c r="E46" s="2" t="s">
        <v>39</v>
      </c>
      <c r="F46" s="41">
        <v>500</v>
      </c>
      <c r="G46" s="35"/>
      <c r="H46" s="34">
        <f>'2018'!BH46</f>
        <v>0</v>
      </c>
      <c r="I46" s="13"/>
      <c r="J46" s="15"/>
      <c r="K46" s="15"/>
      <c r="L46" s="28"/>
      <c r="M46" s="15"/>
      <c r="N46" s="15"/>
      <c r="O46" s="15"/>
      <c r="P46" s="15"/>
      <c r="Q46" s="13"/>
      <c r="R46" s="15"/>
      <c r="S46" s="15"/>
      <c r="T46" s="28"/>
      <c r="U46" s="15"/>
      <c r="V46" s="15"/>
      <c r="W46" s="15"/>
      <c r="X46" s="15"/>
      <c r="Y46" s="13"/>
      <c r="Z46" s="15"/>
      <c r="AA46" s="34">
        <f>$F$14</f>
        <v>500</v>
      </c>
      <c r="AB46" s="28"/>
      <c r="AC46" s="15"/>
      <c r="AD46" s="15"/>
      <c r="AE46" s="15"/>
      <c r="AF46" s="15"/>
      <c r="AG46" s="13"/>
      <c r="AH46" s="15"/>
      <c r="AI46" s="15"/>
      <c r="AJ46" s="134">
        <v>500</v>
      </c>
      <c r="AK46" s="13"/>
      <c r="AL46" s="15"/>
      <c r="AM46" s="15"/>
      <c r="AN46" s="28"/>
      <c r="AO46" s="13"/>
      <c r="AP46" s="15"/>
      <c r="AQ46" s="15"/>
      <c r="AR46" s="28"/>
      <c r="AS46" s="15"/>
      <c r="AT46" s="15"/>
      <c r="AU46" s="15"/>
      <c r="AV46" s="15"/>
      <c r="AW46" s="13"/>
      <c r="AX46" s="15"/>
      <c r="AY46" s="15"/>
      <c r="AZ46" s="28"/>
      <c r="BA46" s="15"/>
      <c r="BB46" s="15"/>
      <c r="BC46" s="15"/>
      <c r="BD46" s="15"/>
      <c r="BE46" s="14"/>
      <c r="BF46" s="41">
        <f t="shared" ref="BF46:BG46" si="118">K46+O46+S46+W46+AA46+AE46+AI46+AM46+AQ46+AU46+AY46+BC46</f>
        <v>500</v>
      </c>
      <c r="BG46" s="34">
        <f t="shared" si="118"/>
        <v>500</v>
      </c>
      <c r="BH46" s="35">
        <f t="shared" si="107"/>
        <v>0</v>
      </c>
    </row>
    <row r="47" ht="14.25" customHeight="1" spans="1:62" x14ac:dyDescent="0.25">
      <c r="A47" s="78">
        <v>5</v>
      </c>
      <c r="B47" s="21"/>
      <c r="C47" s="22" t="s">
        <v>53</v>
      </c>
      <c r="D47" s="21"/>
      <c r="E47" s="22"/>
      <c r="F47" s="20"/>
      <c r="G47" s="23"/>
      <c r="H47" s="51">
        <f>SUM(H40:H46)</f>
        <v>-149.5096</v>
      </c>
      <c r="I47" s="52"/>
      <c r="J47" s="53"/>
      <c r="K47" s="51">
        <f t="shared" ref="K47:L47" si="119">SUM(K41:K46)</f>
        <v>0</v>
      </c>
      <c r="L47" s="68">
        <f t="shared" si="119"/>
        <v>0</v>
      </c>
      <c r="M47" s="53"/>
      <c r="N47" s="53"/>
      <c r="O47" s="51">
        <f t="shared" ref="O47:P47" si="120">SUM(O41:O46)</f>
        <v>0</v>
      </c>
      <c r="P47" s="51">
        <f t="shared" si="120"/>
        <v>0</v>
      </c>
      <c r="Q47" s="52"/>
      <c r="R47" s="53"/>
      <c r="S47" s="51">
        <f t="shared" ref="S47:T47" si="121">SUM(S41:S46)</f>
        <v>0</v>
      </c>
      <c r="T47" s="68">
        <f t="shared" si="121"/>
        <v>0</v>
      </c>
      <c r="U47" s="53"/>
      <c r="V47" s="53"/>
      <c r="W47" s="51">
        <f t="shared" ref="W47:X47" si="122">SUM(W41:W46)</f>
        <v>0</v>
      </c>
      <c r="X47" s="51">
        <f t="shared" si="122"/>
        <v>0</v>
      </c>
      <c r="Y47" s="52"/>
      <c r="Z47" s="53"/>
      <c r="AA47" s="51">
        <f t="shared" ref="AA47:AB47" si="123">SUM(AA41:AA46)</f>
        <v>607.88</v>
      </c>
      <c r="AB47" s="68">
        <f t="shared" si="123"/>
        <v>0</v>
      </c>
      <c r="AC47" s="53"/>
      <c r="AD47" s="53"/>
      <c r="AE47" s="51">
        <f t="shared" ref="AE47:AF47" si="124">SUM(AE41:AE46)</f>
        <v>7096</v>
      </c>
      <c r="AF47" s="51">
        <f t="shared" si="124"/>
        <v>0</v>
      </c>
      <c r="AG47" s="52"/>
      <c r="AH47" s="53"/>
      <c r="AI47" s="51">
        <f t="shared" ref="AI47:AJ47" si="125">SUM(AI41:AI46)</f>
        <v>464</v>
      </c>
      <c r="AJ47" s="68">
        <f t="shared" si="125"/>
        <v>8316</v>
      </c>
      <c r="AK47" s="52"/>
      <c r="AL47" s="53"/>
      <c r="AM47" s="51">
        <f t="shared" ref="AM47:AN47" si="126">SUM(AM41:AM46)</f>
        <v>0</v>
      </c>
      <c r="AN47" s="68">
        <f t="shared" si="126"/>
        <v>0</v>
      </c>
      <c r="AO47" s="52"/>
      <c r="AP47" s="53"/>
      <c r="AQ47" s="51">
        <f t="shared" ref="AQ47:AR47" si="127">SUM(AQ40:AQ46)</f>
        <v>111.36</v>
      </c>
      <c r="AR47" s="68">
        <f t="shared" si="127"/>
        <v>0</v>
      </c>
      <c r="AS47" s="53"/>
      <c r="AT47" s="53"/>
      <c r="AU47" s="51">
        <f t="shared" ref="AU47:AV47" si="128">SUM(AU40:AU46)</f>
        <v>0</v>
      </c>
      <c r="AV47" s="68">
        <f t="shared" si="128"/>
        <v>0</v>
      </c>
      <c r="AW47" s="52"/>
      <c r="AX47" s="53"/>
      <c r="AY47" s="51">
        <f t="shared" ref="AY47:AZ47" si="129">SUM(AY40:AY46)</f>
        <v>0</v>
      </c>
      <c r="AZ47" s="68">
        <f t="shared" si="129"/>
        <v>0</v>
      </c>
      <c r="BA47" s="53"/>
      <c r="BB47" s="53"/>
      <c r="BC47" s="51">
        <f t="shared" ref="BC47:BD47" si="130">SUM(BC40:BC46)</f>
        <v>0</v>
      </c>
      <c r="BD47" s="68">
        <f t="shared" si="130"/>
        <v>0</v>
      </c>
      <c r="BE47" s="69"/>
      <c r="BF47" s="70">
        <f t="shared" ref="BF47:BH47" si="131">SUM(BF40:BF46)</f>
        <v>8279.24</v>
      </c>
      <c r="BG47" s="71">
        <f t="shared" si="131"/>
        <v>8316</v>
      </c>
      <c r="BH47" s="72">
        <f t="shared" si="131"/>
        <v>-186.2696</v>
      </c>
      <c r="BI47" s="34">
        <f>H47+BF47-BG47</f>
        <v>-186.2696</v>
      </c>
      <c r="BJ47" s="34">
        <f>BH47-BI47</f>
        <v>0</v>
      </c>
    </row>
    <row r="48" ht="14.25" customHeight="1" spans="1:60" x14ac:dyDescent="0.25">
      <c r="A48" s="29">
        <v>6</v>
      </c>
      <c r="B48" s="14"/>
      <c r="C48" s="2"/>
      <c r="D48" s="14" t="s">
        <v>379</v>
      </c>
      <c r="F48" s="13"/>
      <c r="G48" s="28"/>
      <c r="H48" s="34">
        <f>'2018'!BH48</f>
      </c>
      <c r="I48" s="13"/>
      <c r="J48" s="15"/>
      <c r="K48" s="15"/>
      <c r="L48" s="28"/>
      <c r="M48" s="15"/>
      <c r="N48" s="15"/>
      <c r="O48" s="15"/>
      <c r="P48" s="15"/>
      <c r="Q48" s="13"/>
      <c r="R48" s="15"/>
      <c r="S48" s="15"/>
      <c r="T48" s="28"/>
      <c r="U48" s="15"/>
      <c r="V48" s="15"/>
      <c r="W48" s="15"/>
      <c r="X48" s="15"/>
      <c r="Y48" s="13"/>
      <c r="Z48" s="15"/>
      <c r="AA48" s="15"/>
      <c r="AB48" s="28"/>
      <c r="AC48" s="15"/>
      <c r="AD48" s="15"/>
      <c r="AE48" s="15"/>
      <c r="AF48" s="15"/>
      <c r="AG48" s="13"/>
      <c r="AH48" s="15"/>
      <c r="AI48" s="15"/>
      <c r="AJ48" s="28"/>
      <c r="AK48" s="13"/>
      <c r="AL48" s="15"/>
      <c r="AM48" s="15"/>
      <c r="AN48" s="28"/>
      <c r="AO48" s="13"/>
      <c r="AP48" s="15"/>
      <c r="AQ48" s="34">
        <v>3</v>
      </c>
      <c r="AR48" s="28"/>
      <c r="AS48" s="15"/>
      <c r="AT48" s="15"/>
      <c r="AU48" s="34">
        <v>2.1</v>
      </c>
      <c r="AV48" s="39">
        <v>3</v>
      </c>
      <c r="AW48" s="13"/>
      <c r="AX48" s="15"/>
      <c r="AY48" s="15"/>
      <c r="AZ48" s="28"/>
      <c r="BA48" s="15"/>
      <c r="BB48" s="15"/>
      <c r="BC48" s="15"/>
      <c r="BD48" s="15"/>
      <c r="BE48" s="14"/>
      <c r="BF48" s="41">
        <f t="shared" ref="BF48:BG48" si="132">K48+O48+S48+W48+AA48+AE48+AI48+AM48+AQ48+AU48+AY48+BC48</f>
        <v>5.1</v>
      </c>
      <c r="BG48" s="34">
        <f t="shared" si="132"/>
        <v>3</v>
      </c>
      <c r="BH48" s="35">
        <f t="shared" ref="BH48:BH54" si="133">H48+BF48-BG48</f>
        <v>2.1</v>
      </c>
    </row>
    <row r="49" ht="14.25" customHeight="1" spans="1:60" x14ac:dyDescent="0.25">
      <c r="A49" s="2">
        <v>6</v>
      </c>
      <c r="B49" s="14">
        <v>4.01</v>
      </c>
      <c r="C49" s="2" t="s">
        <v>70</v>
      </c>
      <c r="D49" s="14" t="s">
        <v>44</v>
      </c>
      <c r="E49" s="2" t="s">
        <v>45</v>
      </c>
      <c r="F49" s="13">
        <v>2.49</v>
      </c>
      <c r="G49" s="35">
        <v>2.5</v>
      </c>
      <c r="H49" s="34">
        <f>'2018'!BH49</f>
        <v>0</v>
      </c>
      <c r="I49" s="13">
        <v>6</v>
      </c>
      <c r="J49" s="15">
        <f>I49-'2018'!BA49</f>
        <v>0</v>
      </c>
      <c r="K49" s="34">
        <f>J49*$F$8</f>
        <v>0</v>
      </c>
      <c r="L49" s="28"/>
      <c r="M49" s="15">
        <v>6</v>
      </c>
      <c r="N49" s="15">
        <f>M49-I49</f>
        <v>0</v>
      </c>
      <c r="O49" s="34">
        <f>N49*$F$8</f>
        <v>0</v>
      </c>
      <c r="P49" s="15"/>
      <c r="Q49" s="13">
        <v>6</v>
      </c>
      <c r="R49" s="15">
        <f>Q49-M49</f>
        <v>0</v>
      </c>
      <c r="S49" s="34">
        <f>R49*$F$8</f>
        <v>0</v>
      </c>
      <c r="T49" s="28"/>
      <c r="U49" s="15">
        <v>6</v>
      </c>
      <c r="V49" s="15">
        <f>U49-Q49</f>
        <v>0</v>
      </c>
      <c r="W49" s="34">
        <f>V49*$F$8</f>
        <v>0</v>
      </c>
      <c r="X49" s="15"/>
      <c r="Y49" s="75">
        <v>6</v>
      </c>
      <c r="Z49" s="15">
        <f>Y49-U49</f>
        <v>0</v>
      </c>
      <c r="AA49" s="34">
        <f>Z49*$F$8</f>
        <v>0</v>
      </c>
      <c r="AB49" s="28"/>
      <c r="AC49" s="75">
        <v>6</v>
      </c>
      <c r="AD49" s="15">
        <f t="shared" ref="AD49:AD50" si="134">AC49-Y49</f>
        <v>0</v>
      </c>
      <c r="AE49" s="34">
        <f>AD49*$G$8</f>
        <v>0</v>
      </c>
      <c r="AF49" s="15"/>
      <c r="AG49" s="75">
        <v>6</v>
      </c>
      <c r="AH49" s="15">
        <f t="shared" ref="AH49:AH50" si="135">AG49-AC49</f>
        <v>0</v>
      </c>
      <c r="AI49" s="34">
        <f>AH49*$G$8</f>
        <v>0</v>
      </c>
      <c r="AJ49" s="28"/>
      <c r="AK49" s="75">
        <v>6</v>
      </c>
      <c r="AL49" s="15">
        <f t="shared" ref="AL49:AL50" si="136">AK49-AG49</f>
        <v>0</v>
      </c>
      <c r="AM49" s="34">
        <f>AL49*$G$8</f>
        <v>0</v>
      </c>
      <c r="AN49" s="28"/>
      <c r="AO49" s="75">
        <v>6</v>
      </c>
      <c r="AP49" s="15">
        <f t="shared" ref="AP49:AP50" si="137">AO49-AK49</f>
        <v>0</v>
      </c>
      <c r="AQ49" s="34">
        <f>AP49*$G$8</f>
        <v>0</v>
      </c>
      <c r="AR49" s="28"/>
      <c r="AS49" s="75">
        <v>6</v>
      </c>
      <c r="AT49" s="15">
        <f t="shared" ref="AT49:AT50" si="138">AS49-AO49</f>
        <v>0</v>
      </c>
      <c r="AU49" s="34">
        <f>AT49*$G$8</f>
        <v>0</v>
      </c>
      <c r="AV49" s="15"/>
      <c r="AW49" s="13">
        <v>13</v>
      </c>
      <c r="AX49" s="15">
        <f>AW49-AS49</f>
        <v>7</v>
      </c>
      <c r="AY49" s="34">
        <f>AX49*$G$8</f>
        <v>17.5</v>
      </c>
      <c r="AZ49" s="28"/>
      <c r="BA49" s="13">
        <v>13</v>
      </c>
      <c r="BB49" s="15">
        <f>BA49-AW49</f>
        <v>0</v>
      </c>
      <c r="BC49" s="34">
        <f>BB49*$G$8</f>
        <v>0</v>
      </c>
      <c r="BD49" s="15"/>
      <c r="BE49" s="40">
        <f t="shared" ref="BE49:BG49" si="139">J49+N49+R49+V49+Z49+AD49+AH49+AL49+AP49+AT49+AX49+BB49</f>
        <v>7</v>
      </c>
      <c r="BF49" s="41">
        <f t="shared" si="139"/>
        <v>17.5</v>
      </c>
      <c r="BG49" s="34">
        <f t="shared" si="139"/>
        <v>0</v>
      </c>
      <c r="BH49" s="35">
        <f t="shared" si="133"/>
        <v>17.5</v>
      </c>
    </row>
    <row r="50" ht="14.25" customHeight="1" spans="1:60" x14ac:dyDescent="0.25">
      <c r="A50" s="29">
        <v>6</v>
      </c>
      <c r="B50" s="14"/>
      <c r="C50" s="2" t="s">
        <v>71</v>
      </c>
      <c r="D50" s="14" t="s">
        <v>47</v>
      </c>
      <c r="E50" s="2" t="s">
        <v>48</v>
      </c>
      <c r="F50" s="13">
        <v>17.98</v>
      </c>
      <c r="G50" s="28">
        <v>18.56</v>
      </c>
      <c r="H50" s="34">
        <f>'2018'!BH50</f>
        <v>0</v>
      </c>
      <c r="I50" s="13">
        <v>233</v>
      </c>
      <c r="J50" s="15"/>
      <c r="K50" s="15"/>
      <c r="L50" s="28"/>
      <c r="M50" s="15"/>
      <c r="N50" s="15"/>
      <c r="O50" s="15"/>
      <c r="P50" s="15"/>
      <c r="Q50" s="13"/>
      <c r="R50" s="15"/>
      <c r="S50" s="15"/>
      <c r="T50" s="28"/>
      <c r="U50" s="15"/>
      <c r="V50" s="15"/>
      <c r="W50" s="15"/>
      <c r="X50" s="15"/>
      <c r="Y50" s="95">
        <v>233</v>
      </c>
      <c r="Z50" s="15">
        <f>Y50-'2018'!AO50</f>
        <v>0</v>
      </c>
      <c r="AA50" s="34">
        <f>Z50*$F$10</f>
        <v>0</v>
      </c>
      <c r="AB50" s="28"/>
      <c r="AC50" s="95">
        <v>233</v>
      </c>
      <c r="AD50" s="15">
        <f t="shared" si="134"/>
        <v>0</v>
      </c>
      <c r="AE50" s="34">
        <f>AD50*$F$10</f>
        <v>0</v>
      </c>
      <c r="AF50" s="138">
        <v>125.85</v>
      </c>
      <c r="AG50" s="95">
        <v>233</v>
      </c>
      <c r="AH50" s="15">
        <f t="shared" si="135"/>
        <v>0</v>
      </c>
      <c r="AI50" s="45">
        <f>AH50*$G$10</f>
        <v>0</v>
      </c>
      <c r="AJ50" s="28"/>
      <c r="AK50" s="95">
        <v>233</v>
      </c>
      <c r="AL50" s="15">
        <f t="shared" si="136"/>
        <v>0</v>
      </c>
      <c r="AM50" s="45">
        <f>AL50*$G$10</f>
        <v>0</v>
      </c>
      <c r="AN50" s="28"/>
      <c r="AO50" s="13">
        <v>250</v>
      </c>
      <c r="AP50" s="15">
        <f t="shared" si="137"/>
        <v>17</v>
      </c>
      <c r="AQ50" s="45">
        <f>AP50*$G$10</f>
        <v>315.52</v>
      </c>
      <c r="AR50" s="28"/>
      <c r="AS50" s="13">
        <v>250</v>
      </c>
      <c r="AT50" s="15">
        <f t="shared" si="138"/>
        <v>0</v>
      </c>
      <c r="AU50" s="45">
        <f>AT50*$G$10</f>
        <v>0</v>
      </c>
      <c r="AV50" s="1">
        <v>189.67</v>
      </c>
      <c r="AW50" s="13">
        <v>250</v>
      </c>
      <c r="AX50" s="15"/>
      <c r="AY50" s="15"/>
      <c r="AZ50" s="28"/>
      <c r="BA50" s="15">
        <v>250</v>
      </c>
      <c r="BB50" s="15"/>
      <c r="BC50" s="15"/>
      <c r="BD50" s="15"/>
      <c r="BE50" s="40">
        <f t="shared" ref="BE50:BG50" si="140">J50+N50+R50+V50+Z50+AD50+AH50+AL50+AP50+AT50+AX50+BB50</f>
        <v>17</v>
      </c>
      <c r="BF50" s="41">
        <f t="shared" si="140"/>
        <v>315.52</v>
      </c>
      <c r="BG50" s="34">
        <f t="shared" si="140"/>
        <v>315.52</v>
      </c>
      <c r="BH50" s="35">
        <f t="shared" si="133"/>
        <v>0</v>
      </c>
    </row>
    <row r="51" ht="14.25" customHeight="1" spans="1:60" x14ac:dyDescent="0.25">
      <c r="A51" s="29">
        <v>6</v>
      </c>
      <c r="B51" s="14"/>
      <c r="C51" s="2" t="s">
        <v>72</v>
      </c>
      <c r="D51" s="14" t="s">
        <v>47</v>
      </c>
      <c r="E51" s="2" t="s">
        <v>49</v>
      </c>
      <c r="F51" s="41">
        <v>500</v>
      </c>
      <c r="G51" s="35"/>
      <c r="H51" s="34">
        <f>'2018'!BH51</f>
        <v>0</v>
      </c>
      <c r="I51" s="13"/>
      <c r="J51" s="15"/>
      <c r="K51" s="15"/>
      <c r="L51" s="28"/>
      <c r="M51" s="15"/>
      <c r="N51" s="15"/>
      <c r="O51" s="15"/>
      <c r="P51" s="15"/>
      <c r="Q51" s="13"/>
      <c r="R51" s="15"/>
      <c r="S51" s="15"/>
      <c r="T51" s="28"/>
      <c r="U51" s="15"/>
      <c r="V51" s="15"/>
      <c r="W51" s="15"/>
      <c r="X51" s="15"/>
      <c r="Y51" s="13"/>
      <c r="Z51" s="15"/>
      <c r="AA51" s="15"/>
      <c r="AB51" s="28"/>
      <c r="AC51" s="15"/>
      <c r="AD51" s="15"/>
      <c r="AE51" s="34"/>
      <c r="AF51" s="15"/>
      <c r="AG51" s="13"/>
      <c r="AH51" s="15"/>
      <c r="AI51" s="34"/>
      <c r="AJ51" s="28"/>
      <c r="AK51" s="13"/>
      <c r="AL51" s="15"/>
      <c r="AM51" s="34"/>
      <c r="AN51" s="28"/>
      <c r="AO51" s="13"/>
      <c r="AP51" s="15"/>
      <c r="AQ51" s="34"/>
      <c r="AR51" s="28"/>
      <c r="AS51" s="15"/>
      <c r="AT51" s="15"/>
      <c r="AU51" s="15"/>
      <c r="AV51" s="15"/>
      <c r="AW51" s="13"/>
      <c r="AX51" s="15"/>
      <c r="AY51" s="15"/>
      <c r="AZ51" s="28"/>
      <c r="BA51" s="15"/>
      <c r="BB51" s="15"/>
      <c r="BC51" s="15"/>
      <c r="BD51" s="15"/>
      <c r="BE51" s="14"/>
      <c r="BF51" s="41">
        <f t="shared" ref="BF51:BG51" si="141">K51+O51+S51+W51+AA51+AE51+AI51+AM51+AQ51+AU51+AY51+BC51</f>
        <v>0</v>
      </c>
      <c r="BG51" s="34">
        <f t="shared" si="141"/>
        <v>0</v>
      </c>
      <c r="BH51" s="35">
        <f t="shared" si="133"/>
        <v>0</v>
      </c>
    </row>
    <row r="52" ht="14.25" customHeight="1" spans="1:60" x14ac:dyDescent="0.25">
      <c r="A52" s="29">
        <v>6</v>
      </c>
      <c r="B52" s="14"/>
      <c r="C52" s="15" t="s">
        <v>73</v>
      </c>
      <c r="D52" s="14" t="s">
        <v>50</v>
      </c>
      <c r="E52" s="2" t="s">
        <v>49</v>
      </c>
      <c r="F52" s="41">
        <v>1200</v>
      </c>
      <c r="G52" s="35"/>
      <c r="H52" s="34">
        <f>'2018'!BH52</f>
        <v>1062.1488</v>
      </c>
      <c r="I52" s="13"/>
      <c r="J52" s="15"/>
      <c r="K52" s="15"/>
      <c r="L52" s="28"/>
      <c r="M52" s="15"/>
      <c r="N52" s="15"/>
      <c r="O52" s="15"/>
      <c r="P52" s="15"/>
      <c r="Q52" s="13"/>
      <c r="R52" s="15"/>
      <c r="S52" s="15"/>
      <c r="T52" s="28"/>
      <c r="U52" s="15"/>
      <c r="V52" s="15"/>
      <c r="W52" s="15"/>
      <c r="X52" s="15"/>
      <c r="Y52" s="13"/>
      <c r="Z52" s="15"/>
      <c r="AA52" s="15"/>
      <c r="AB52" s="28"/>
      <c r="AC52" s="15"/>
      <c r="AD52" s="15"/>
      <c r="AE52" s="34">
        <f>B49*$F$12</f>
        <v>4812</v>
      </c>
      <c r="AF52" s="133">
        <v>5874.15</v>
      </c>
      <c r="AG52" s="13"/>
      <c r="AH52" s="15"/>
      <c r="AI52" s="15"/>
      <c r="AJ52" s="28"/>
      <c r="AK52" s="13"/>
      <c r="AL52" s="15"/>
      <c r="AM52" s="15"/>
      <c r="AN52" s="28"/>
      <c r="AO52" s="13"/>
      <c r="AP52" s="15"/>
      <c r="AQ52" s="15"/>
      <c r="AR52" s="28"/>
      <c r="AS52" s="15"/>
      <c r="AT52" s="15"/>
      <c r="AU52" s="15"/>
      <c r="AV52" s="15"/>
      <c r="AW52" s="13"/>
      <c r="AX52" s="15"/>
      <c r="AY52" s="15"/>
      <c r="AZ52" s="28"/>
      <c r="BA52" s="15"/>
      <c r="BB52" s="15"/>
      <c r="BC52" s="15"/>
      <c r="BD52" s="15"/>
      <c r="BE52" s="14"/>
      <c r="BF52" s="41">
        <f t="shared" ref="BF52:BG52" si="142">K52+O52+S52+W52+AA52+AE52+AI52+AM52+AQ52+AU52+AY52+BC52</f>
        <v>4812</v>
      </c>
      <c r="BG52" s="34">
        <f t="shared" si="142"/>
        <v>5874.15</v>
      </c>
      <c r="BH52" s="35">
        <f t="shared" si="133"/>
        <v>-0.0012</v>
      </c>
    </row>
    <row r="53" ht="14.25" customHeight="1" spans="1:60" x14ac:dyDescent="0.25">
      <c r="A53" s="29">
        <v>6</v>
      </c>
      <c r="B53" s="14"/>
      <c r="D53" s="14" t="s">
        <v>51</v>
      </c>
      <c r="E53" s="2" t="s">
        <v>49</v>
      </c>
      <c r="F53" s="41">
        <v>1000</v>
      </c>
      <c r="G53" s="35"/>
      <c r="H53" s="34">
        <f>'2018'!BH53</f>
        <v>0</v>
      </c>
      <c r="I53" s="13"/>
      <c r="J53" s="15"/>
      <c r="K53" s="15"/>
      <c r="L53" s="28"/>
      <c r="M53" s="15"/>
      <c r="N53" s="15"/>
      <c r="O53" s="15"/>
      <c r="P53" s="15"/>
      <c r="Q53" s="13"/>
      <c r="R53" s="15"/>
      <c r="S53" s="15"/>
      <c r="T53" s="28"/>
      <c r="U53" s="15"/>
      <c r="V53" s="15"/>
      <c r="W53" s="15"/>
      <c r="X53" s="15"/>
      <c r="Y53" s="13"/>
      <c r="Z53" s="15"/>
      <c r="AA53" s="15"/>
      <c r="AB53" s="28"/>
      <c r="AC53" s="15"/>
      <c r="AD53" s="15"/>
      <c r="AE53" s="34">
        <f>$F$21</f>
        <v>1000</v>
      </c>
      <c r="AF53" s="15"/>
      <c r="AG53" s="13"/>
      <c r="AH53" s="15"/>
      <c r="AI53" s="15"/>
      <c r="AJ53" s="28"/>
      <c r="AK53" s="13"/>
      <c r="AL53" s="15"/>
      <c r="AM53" s="15"/>
      <c r="AN53" s="28"/>
      <c r="AO53" s="13"/>
      <c r="AP53" s="15"/>
      <c r="AQ53" s="15"/>
      <c r="AR53" s="28"/>
      <c r="AS53" s="15"/>
      <c r="AT53" s="15"/>
      <c r="AU53" s="15"/>
      <c r="AV53" s="39">
        <v>1000</v>
      </c>
      <c r="AW53" s="13"/>
      <c r="AX53" s="15"/>
      <c r="AY53" s="15"/>
      <c r="AZ53" s="28"/>
      <c r="BA53" s="15"/>
      <c r="BB53" s="15"/>
      <c r="BC53" s="15"/>
      <c r="BD53" s="15"/>
      <c r="BE53" s="14"/>
      <c r="BF53" s="41">
        <f t="shared" ref="BF53:BG53" si="143">K53+O53+S53+W53+AA53+AE53+AI53+AM53+AQ53+AU53+AY53+BC53</f>
        <v>1000</v>
      </c>
      <c r="BG53" s="34">
        <f t="shared" si="143"/>
        <v>1000</v>
      </c>
      <c r="BH53" s="35">
        <f t="shared" si="133"/>
        <v>0</v>
      </c>
    </row>
    <row r="54" ht="14.25" customHeight="1" spans="1:60" x14ac:dyDescent="0.25">
      <c r="A54" s="29">
        <v>6</v>
      </c>
      <c r="B54" s="14"/>
      <c r="D54" s="14" t="s">
        <v>52</v>
      </c>
      <c r="E54" s="2" t="s">
        <v>39</v>
      </c>
      <c r="F54" s="41">
        <v>500</v>
      </c>
      <c r="G54" s="35"/>
      <c r="H54" s="34">
        <f>'2018'!BH54</f>
        <v>0</v>
      </c>
      <c r="I54" s="13"/>
      <c r="J54" s="15"/>
      <c r="K54" s="15"/>
      <c r="L54" s="28"/>
      <c r="M54" s="15"/>
      <c r="N54" s="15"/>
      <c r="O54" s="15"/>
      <c r="P54" s="15"/>
      <c r="Q54" s="13"/>
      <c r="R54" s="15"/>
      <c r="S54" s="15"/>
      <c r="T54" s="28"/>
      <c r="U54" s="15"/>
      <c r="V54" s="15"/>
      <c r="W54" s="15"/>
      <c r="X54" s="15"/>
      <c r="Y54" s="13"/>
      <c r="Z54" s="15"/>
      <c r="AA54" s="34">
        <f>$F$14</f>
        <v>500</v>
      </c>
      <c r="AB54" s="35"/>
      <c r="AC54" s="15"/>
      <c r="AD54" s="15"/>
      <c r="AE54" s="15"/>
      <c r="AF54" s="133">
        <v>500</v>
      </c>
      <c r="AG54" s="13"/>
      <c r="AH54" s="15"/>
      <c r="AI54" s="15"/>
      <c r="AJ54" s="28"/>
      <c r="AK54" s="13"/>
      <c r="AL54" s="15"/>
      <c r="AM54" s="15"/>
      <c r="AN54" s="28"/>
      <c r="AO54" s="13"/>
      <c r="AP54" s="15"/>
      <c r="AQ54" s="15"/>
      <c r="AR54" s="28"/>
      <c r="AS54" s="15"/>
      <c r="AT54" s="15"/>
      <c r="AU54" s="15"/>
      <c r="AV54" s="15"/>
      <c r="AW54" s="13"/>
      <c r="AX54" s="15"/>
      <c r="AY54" s="15"/>
      <c r="AZ54" s="28"/>
      <c r="BA54" s="15"/>
      <c r="BB54" s="15"/>
      <c r="BC54" s="15"/>
      <c r="BD54" s="15"/>
      <c r="BE54" s="14"/>
      <c r="BF54" s="41">
        <f t="shared" ref="BF54:BG54" si="144">K54+O54+S54+W54+AA54+AE54+AI54+AM54+AQ54+AU54+AY54+BC54</f>
        <v>500</v>
      </c>
      <c r="BG54" s="34">
        <f t="shared" si="144"/>
        <v>500</v>
      </c>
      <c r="BH54" s="35">
        <f t="shared" si="133"/>
        <v>0</v>
      </c>
    </row>
    <row r="55" ht="14.25" customHeight="1" spans="1:62" x14ac:dyDescent="0.25">
      <c r="A55" s="78">
        <v>6</v>
      </c>
      <c r="B55" s="21"/>
      <c r="C55" s="22" t="s">
        <v>53</v>
      </c>
      <c r="D55" s="21"/>
      <c r="E55" s="22"/>
      <c r="F55" s="20"/>
      <c r="G55" s="23"/>
      <c r="H55" s="51">
        <f>SUM(H48:H54)</f>
        <v>1062.1488</v>
      </c>
      <c r="I55" s="52"/>
      <c r="J55" s="53"/>
      <c r="K55" s="51">
        <f t="shared" ref="K55:L55" si="145">SUM(K49:K54)</f>
        <v>0</v>
      </c>
      <c r="L55" s="68">
        <f t="shared" si="145"/>
        <v>0</v>
      </c>
      <c r="M55" s="53"/>
      <c r="N55" s="53"/>
      <c r="O55" s="51">
        <f t="shared" ref="O55:P55" si="146">SUM(O49:O54)</f>
        <v>0</v>
      </c>
      <c r="P55" s="51">
        <f t="shared" si="146"/>
        <v>0</v>
      </c>
      <c r="Q55" s="52"/>
      <c r="R55" s="53"/>
      <c r="S55" s="51">
        <f t="shared" ref="S55:T55" si="147">SUM(S49:S54)</f>
        <v>0</v>
      </c>
      <c r="T55" s="68">
        <f t="shared" si="147"/>
        <v>0</v>
      </c>
      <c r="U55" s="53"/>
      <c r="V55" s="53"/>
      <c r="W55" s="51">
        <f t="shared" ref="W55:X55" si="148">SUM(W49:W54)</f>
        <v>0</v>
      </c>
      <c r="X55" s="51">
        <f t="shared" si="148"/>
        <v>0</v>
      </c>
      <c r="Y55" s="52"/>
      <c r="Z55" s="53"/>
      <c r="AA55" s="51">
        <f t="shared" ref="AA55:AB55" si="149">SUM(AA49:AA54)</f>
        <v>500</v>
      </c>
      <c r="AB55" s="68">
        <f t="shared" si="149"/>
        <v>0</v>
      </c>
      <c r="AC55" s="53"/>
      <c r="AD55" s="53"/>
      <c r="AE55" s="51">
        <f t="shared" ref="AE55:AF55" si="150">SUM(AE49:AE54)</f>
        <v>5812</v>
      </c>
      <c r="AF55" s="51">
        <f t="shared" si="150"/>
        <v>6500</v>
      </c>
      <c r="AG55" s="52"/>
      <c r="AH55" s="53"/>
      <c r="AI55" s="51">
        <f t="shared" ref="AI55:AJ55" si="151">SUM(AI49:AI54)</f>
        <v>0</v>
      </c>
      <c r="AJ55" s="68">
        <f t="shared" si="151"/>
        <v>0</v>
      </c>
      <c r="AK55" s="52"/>
      <c r="AL55" s="53"/>
      <c r="AM55" s="51">
        <f t="shared" ref="AM55:AN55" si="152">SUM(AM49:AM54)</f>
        <v>0</v>
      </c>
      <c r="AN55" s="68">
        <f t="shared" si="152"/>
        <v>0</v>
      </c>
      <c r="AO55" s="52"/>
      <c r="AP55" s="53"/>
      <c r="AQ55" s="51">
        <f t="shared" ref="AQ55:AR55" si="153">SUM(AQ48:AQ54)</f>
        <v>318.52</v>
      </c>
      <c r="AR55" s="68">
        <f t="shared" si="153"/>
        <v>0</v>
      </c>
      <c r="AS55" s="53"/>
      <c r="AT55" s="53"/>
      <c r="AU55" s="51">
        <f t="shared" ref="AU55:AV55" si="154">SUM(AU48:AU54)</f>
        <v>2.1</v>
      </c>
      <c r="AV55" s="68">
        <f t="shared" si="154"/>
        <v>1192.67</v>
      </c>
      <c r="AW55" s="52"/>
      <c r="AX55" s="53"/>
      <c r="AY55" s="51">
        <f t="shared" ref="AY55:AZ55" si="155">SUM(AY48:AY54)</f>
        <v>17.5</v>
      </c>
      <c r="AZ55" s="68">
        <f t="shared" si="155"/>
        <v>0</v>
      </c>
      <c r="BA55" s="53"/>
      <c r="BB55" s="53"/>
      <c r="BC55" s="51">
        <f t="shared" ref="BC55:BD55" si="156">SUM(BC48:BC54)</f>
        <v>0</v>
      </c>
      <c r="BD55" s="68">
        <f t="shared" si="156"/>
        <v>0</v>
      </c>
      <c r="BE55" s="69"/>
      <c r="BF55" s="70">
        <f t="shared" ref="BF55:BH55" si="157">SUM(BF48:BF54)</f>
        <v>6650.12</v>
      </c>
      <c r="BG55" s="71">
        <f t="shared" si="157"/>
        <v>7692.67</v>
      </c>
      <c r="BH55" s="72">
        <f t="shared" si="157"/>
        <v>19.5988</v>
      </c>
      <c r="BI55" s="34">
        <f>H55+BF55-BG55</f>
        <v>19.5988</v>
      </c>
      <c r="BJ55" s="34">
        <f>BH55-BI55</f>
        <v>0</v>
      </c>
    </row>
    <row r="56" ht="14.25" customHeight="1" spans="1:60" x14ac:dyDescent="0.25">
      <c r="A56" s="29">
        <v>7</v>
      </c>
      <c r="B56" s="14"/>
      <c r="D56" s="14" t="s">
        <v>379</v>
      </c>
      <c r="F56" s="13"/>
      <c r="G56" s="28"/>
      <c r="H56" s="34">
        <f>'2018'!BH56</f>
      </c>
      <c r="I56" s="13"/>
      <c r="J56" s="15"/>
      <c r="K56" s="15"/>
      <c r="L56" s="28"/>
      <c r="M56" s="15"/>
      <c r="N56" s="15"/>
      <c r="O56" s="15"/>
      <c r="P56" s="15"/>
      <c r="Q56" s="13"/>
      <c r="R56" s="15"/>
      <c r="S56" s="15"/>
      <c r="T56" s="28"/>
      <c r="U56" s="15"/>
      <c r="V56" s="15"/>
      <c r="W56" s="15"/>
      <c r="X56" s="15"/>
      <c r="Y56" s="13"/>
      <c r="Z56" s="15"/>
      <c r="AA56" s="15"/>
      <c r="AB56" s="28"/>
      <c r="AC56" s="15"/>
      <c r="AD56" s="15"/>
      <c r="AE56" s="15"/>
      <c r="AF56" s="15"/>
      <c r="AG56" s="13"/>
      <c r="AH56" s="15"/>
      <c r="AI56" s="15"/>
      <c r="AJ56" s="28"/>
      <c r="AK56" s="13"/>
      <c r="AL56" s="15"/>
      <c r="AM56" s="15"/>
      <c r="AN56" s="28"/>
      <c r="AO56" s="13"/>
      <c r="AP56" s="15"/>
      <c r="AQ56" s="15">
        <v>8.18</v>
      </c>
      <c r="AR56" s="28"/>
      <c r="AS56" s="15"/>
      <c r="AT56" s="15"/>
      <c r="AU56" s="15"/>
      <c r="AV56" s="15"/>
      <c r="AW56" s="13"/>
      <c r="AX56" s="15"/>
      <c r="AY56" s="15"/>
      <c r="AZ56" s="28"/>
      <c r="BA56" s="15"/>
      <c r="BB56" s="15"/>
      <c r="BC56" s="15"/>
      <c r="BD56" s="15"/>
      <c r="BE56" s="14"/>
      <c r="BF56" s="41">
        <f t="shared" ref="BF56:BG56" si="158">K56+O56+S56+W56+AA56+AE56+AI56+AM56+AQ56+AU56+AY56+BC56</f>
        <v>8.18</v>
      </c>
      <c r="BG56" s="34">
        <f t="shared" si="158"/>
        <v>0</v>
      </c>
      <c r="BH56" s="35">
        <f t="shared" ref="BH56:BH62" si="159">H56+BF56-BG56</f>
        <v>8.18</v>
      </c>
    </row>
    <row r="57" ht="14.25" customHeight="1" spans="1:60" x14ac:dyDescent="0.25">
      <c r="A57" s="2">
        <v>7</v>
      </c>
      <c r="B57" s="14">
        <v>4.85</v>
      </c>
      <c r="C57" s="2" t="s">
        <v>74</v>
      </c>
      <c r="D57" s="14" t="s">
        <v>44</v>
      </c>
      <c r="E57" s="2" t="s">
        <v>45</v>
      </c>
      <c r="F57" s="13">
        <v>2.49</v>
      </c>
      <c r="G57" s="35">
        <v>2.5</v>
      </c>
      <c r="H57" s="34">
        <f>'2018'!BH57</f>
        <v>9.96</v>
      </c>
      <c r="I57" s="13">
        <v>131</v>
      </c>
      <c r="J57" s="15">
        <f>I57-'2018'!BA57</f>
        <v>0</v>
      </c>
      <c r="K57" s="34">
        <f>J57*$F$8</f>
        <v>0</v>
      </c>
      <c r="L57" s="28"/>
      <c r="M57" s="15">
        <v>131</v>
      </c>
      <c r="N57" s="15">
        <f>M57-I57</f>
        <v>0</v>
      </c>
      <c r="O57" s="34">
        <f>N57*$F$8</f>
        <v>0</v>
      </c>
      <c r="P57" s="15"/>
      <c r="Q57" s="13">
        <v>131</v>
      </c>
      <c r="R57" s="15">
        <f>Q57-M57</f>
        <v>0</v>
      </c>
      <c r="S57" s="34">
        <f>R57*$F$8</f>
        <v>0</v>
      </c>
      <c r="T57" s="28"/>
      <c r="U57" s="15">
        <v>131</v>
      </c>
      <c r="V57" s="15">
        <f>U57-Q57</f>
        <v>0</v>
      </c>
      <c r="W57" s="34">
        <f>V57*$F$8</f>
        <v>0</v>
      </c>
      <c r="X57" s="15"/>
      <c r="Y57" s="13">
        <v>140</v>
      </c>
      <c r="Z57" s="15">
        <f>Y57-U57</f>
        <v>9</v>
      </c>
      <c r="AA57" s="34">
        <f>Z57*$F$8</f>
        <v>22.41</v>
      </c>
      <c r="AB57" s="28"/>
      <c r="AC57" s="15">
        <v>168</v>
      </c>
      <c r="AD57" s="15">
        <f t="shared" ref="AD57:AD58" si="160">AC57-Y57</f>
        <v>28</v>
      </c>
      <c r="AE57" s="34">
        <f>AD57*$G$8</f>
        <v>70</v>
      </c>
      <c r="AF57" s="15"/>
      <c r="AG57" s="13">
        <v>207</v>
      </c>
      <c r="AH57" s="15">
        <f t="shared" ref="AH57:AH58" si="161">AG57-AC57</f>
        <v>39</v>
      </c>
      <c r="AI57" s="34">
        <f>AH57*$G$8</f>
        <v>97.5</v>
      </c>
      <c r="AJ57" s="32"/>
      <c r="AK57" s="13">
        <v>252</v>
      </c>
      <c r="AL57" s="15">
        <f t="shared" ref="AL57:AL58" si="162">AK57-AG57</f>
        <v>45</v>
      </c>
      <c r="AM57" s="34">
        <f>AL57*$G$8</f>
        <v>112.5</v>
      </c>
      <c r="AN57" s="38">
        <v>300</v>
      </c>
      <c r="AO57" s="13">
        <v>306</v>
      </c>
      <c r="AP57" s="15">
        <f t="shared" ref="AP57:AP58" si="163">AO57-AK57</f>
        <v>54</v>
      </c>
      <c r="AQ57" s="34">
        <f>AP57*$G$8</f>
        <v>135</v>
      </c>
      <c r="AR57" s="38">
        <v>100</v>
      </c>
      <c r="AS57" s="15">
        <v>315</v>
      </c>
      <c r="AT57" s="15">
        <f t="shared" ref="AT57:AT58" si="164">AS57-AO57</f>
        <v>9</v>
      </c>
      <c r="AU57" s="34">
        <f>AT57*$G$8</f>
        <v>22.5</v>
      </c>
      <c r="AV57" s="15"/>
      <c r="AW57" s="13">
        <v>315</v>
      </c>
      <c r="AX57" s="15">
        <f>AW57-AS57</f>
        <v>0</v>
      </c>
      <c r="AY57" s="34">
        <f>AX57*$G$8</f>
        <v>0</v>
      </c>
      <c r="AZ57" s="28"/>
      <c r="BA57" s="13">
        <v>315</v>
      </c>
      <c r="BB57" s="15">
        <f>BA57-AW57</f>
        <v>0</v>
      </c>
      <c r="BC57" s="34">
        <f>BB57*$G$8</f>
        <v>0</v>
      </c>
      <c r="BD57" s="15"/>
      <c r="BE57" s="40">
        <f t="shared" ref="BE57:BG57" si="165">J57+N57+R57+V57+Z57+AD57+AH57+AL57+AP57+AT57+AX57+BB57</f>
        <v>184</v>
      </c>
      <c r="BF57" s="41">
        <f t="shared" si="165"/>
        <v>459.91</v>
      </c>
      <c r="BG57" s="34">
        <f t="shared" si="165"/>
        <v>400</v>
      </c>
      <c r="BH57" s="35">
        <f t="shared" si="159"/>
        <v>69.87</v>
      </c>
    </row>
    <row r="58" ht="14.25" customHeight="1" spans="1:60" x14ac:dyDescent="0.25">
      <c r="A58" s="29">
        <v>7</v>
      </c>
      <c r="B58" s="14"/>
      <c r="C58" s="2" t="s">
        <v>75</v>
      </c>
      <c r="D58" s="14" t="s">
        <v>47</v>
      </c>
      <c r="E58" s="2" t="s">
        <v>48</v>
      </c>
      <c r="F58" s="13">
        <v>17.98</v>
      </c>
      <c r="G58" s="28">
        <v>18.56</v>
      </c>
      <c r="H58" s="34">
        <f>'2018'!BH58</f>
        <v>0</v>
      </c>
      <c r="I58" s="13">
        <v>50</v>
      </c>
      <c r="J58" s="15"/>
      <c r="K58" s="15"/>
      <c r="L58" s="28"/>
      <c r="M58" s="15"/>
      <c r="N58" s="15"/>
      <c r="O58" s="15"/>
      <c r="P58" s="15"/>
      <c r="Q58" s="13"/>
      <c r="R58" s="15"/>
      <c r="S58" s="15"/>
      <c r="T58" s="28"/>
      <c r="U58" s="15"/>
      <c r="V58" s="15"/>
      <c r="W58" s="15"/>
      <c r="X58" s="15"/>
      <c r="Y58" s="13">
        <v>50</v>
      </c>
      <c r="Z58" s="15"/>
      <c r="AA58" s="34">
        <f>Z58*$F$10</f>
        <v>0</v>
      </c>
      <c r="AB58" s="28"/>
      <c r="AC58" s="15">
        <v>50</v>
      </c>
      <c r="AD58" s="15">
        <f t="shared" si="160"/>
        <v>0</v>
      </c>
      <c r="AE58" s="34">
        <f>AD58*$F$10</f>
        <v>0</v>
      </c>
      <c r="AF58" s="15"/>
      <c r="AG58" s="13">
        <v>50</v>
      </c>
      <c r="AH58" s="15">
        <f t="shared" si="161"/>
        <v>0</v>
      </c>
      <c r="AI58" s="45">
        <f>AH58*$G$10</f>
        <v>0</v>
      </c>
      <c r="AJ58" s="38"/>
      <c r="AK58" s="73">
        <v>50</v>
      </c>
      <c r="AL58" s="15">
        <f t="shared" si="162"/>
        <v>0</v>
      </c>
      <c r="AM58" s="45">
        <f>AL58*$G$10</f>
        <v>0</v>
      </c>
      <c r="AN58" s="38">
        <v>200</v>
      </c>
      <c r="AO58" s="15">
        <v>56</v>
      </c>
      <c r="AP58" s="15">
        <f t="shared" si="163"/>
        <v>6</v>
      </c>
      <c r="AQ58" s="45">
        <f>AP58*$G$10</f>
        <v>111.36</v>
      </c>
      <c r="AR58" s="38">
        <v>300</v>
      </c>
      <c r="AS58" s="15">
        <v>56</v>
      </c>
      <c r="AT58" s="15">
        <f t="shared" si="164"/>
        <v>0</v>
      </c>
      <c r="AU58" s="45">
        <f>AT58*$G$10</f>
        <v>0</v>
      </c>
      <c r="AV58" s="15"/>
      <c r="AW58" s="13">
        <v>56</v>
      </c>
      <c r="AX58" s="15"/>
      <c r="AY58" s="15"/>
      <c r="AZ58" s="28"/>
      <c r="BA58" s="15">
        <v>56</v>
      </c>
      <c r="BB58" s="15"/>
      <c r="BC58" s="15"/>
      <c r="BD58" s="15"/>
      <c r="BE58" s="40">
        <f t="shared" ref="BE58:BG58" si="166">J58+N58+R58+V58+Z58+AD58+AH58+AL58+AP58+AT58+AX58+BB58</f>
        <v>6</v>
      </c>
      <c r="BF58" s="41">
        <f t="shared" si="166"/>
        <v>111.36</v>
      </c>
      <c r="BG58" s="34">
        <f t="shared" si="166"/>
        <v>500</v>
      </c>
      <c r="BH58" s="35">
        <f t="shared" si="159"/>
        <v>-388.64</v>
      </c>
    </row>
    <row r="59" ht="14.25" customHeight="1" spans="1:60" x14ac:dyDescent="0.25">
      <c r="A59" s="29">
        <v>7</v>
      </c>
      <c r="B59" s="14"/>
      <c r="C59" s="2" t="s">
        <v>76</v>
      </c>
      <c r="D59" s="14" t="s">
        <v>47</v>
      </c>
      <c r="E59" s="2" t="s">
        <v>49</v>
      </c>
      <c r="F59" s="41">
        <v>500</v>
      </c>
      <c r="G59" s="35"/>
      <c r="H59" s="34">
        <f>'2018'!BH59</f>
        <v>0</v>
      </c>
      <c r="I59" s="13"/>
      <c r="J59" s="15"/>
      <c r="K59" s="15"/>
      <c r="L59" s="28"/>
      <c r="M59" s="15"/>
      <c r="N59" s="15"/>
      <c r="O59" s="15"/>
      <c r="P59" s="15"/>
      <c r="Q59" s="13"/>
      <c r="R59" s="15"/>
      <c r="S59" s="15"/>
      <c r="T59" s="28"/>
      <c r="U59" s="15"/>
      <c r="V59" s="15"/>
      <c r="W59" s="15"/>
      <c r="X59" s="15"/>
      <c r="Y59" s="13"/>
      <c r="Z59" s="15"/>
      <c r="AA59" s="15"/>
      <c r="AB59" s="28"/>
      <c r="AC59" s="15"/>
      <c r="AD59" s="15"/>
      <c r="AE59" s="34"/>
      <c r="AF59" s="15"/>
      <c r="AG59" s="13"/>
      <c r="AH59" s="15"/>
      <c r="AI59" s="34"/>
      <c r="AJ59" s="28"/>
      <c r="AK59" s="13"/>
      <c r="AL59" s="15"/>
      <c r="AM59" s="34"/>
      <c r="AN59" s="28"/>
      <c r="AO59" s="13"/>
      <c r="AP59" s="15"/>
      <c r="AQ59" s="34"/>
      <c r="AR59" s="28"/>
      <c r="AS59" s="15"/>
      <c r="AT59" s="15"/>
      <c r="AU59" s="15"/>
      <c r="AV59" s="15"/>
      <c r="AW59" s="13"/>
      <c r="AX59" s="15"/>
      <c r="AY59" s="15"/>
      <c r="AZ59" s="28"/>
      <c r="BA59" s="15"/>
      <c r="BB59" s="15"/>
      <c r="BC59" s="15"/>
      <c r="BD59" s="15"/>
      <c r="BE59" s="14"/>
      <c r="BF59" s="41">
        <f t="shared" ref="BF59:BG59" si="167">K59+O59+S59+W59+AA59+AE59+AI59+AM59+AQ59+AU59+AY59+BC59</f>
        <v>0</v>
      </c>
      <c r="BG59" s="34">
        <f t="shared" si="167"/>
        <v>0</v>
      </c>
      <c r="BH59" s="35">
        <f t="shared" si="159"/>
        <v>0</v>
      </c>
    </row>
    <row r="60" ht="14.25" customHeight="1" spans="1:60" x14ac:dyDescent="0.25">
      <c r="A60" s="29">
        <v>7</v>
      </c>
      <c r="B60" s="14"/>
      <c r="C60" s="15" t="s">
        <v>77</v>
      </c>
      <c r="D60" s="14" t="s">
        <v>50</v>
      </c>
      <c r="E60" s="2" t="s">
        <v>49</v>
      </c>
      <c r="F60" s="41">
        <v>1200</v>
      </c>
      <c r="G60" s="35"/>
      <c r="H60" s="34">
        <f>'2018'!BH60</f>
        <v>-0.002</v>
      </c>
      <c r="I60" s="13"/>
      <c r="J60" s="15"/>
      <c r="K60" s="15"/>
      <c r="L60" s="28"/>
      <c r="M60" s="15"/>
      <c r="N60" s="15"/>
      <c r="O60" s="15"/>
      <c r="P60" s="15"/>
      <c r="Q60" s="13"/>
      <c r="R60" s="15"/>
      <c r="S60" s="15"/>
      <c r="T60" s="28"/>
      <c r="U60" s="15"/>
      <c r="V60" s="15"/>
      <c r="W60" s="15"/>
      <c r="X60" s="15"/>
      <c r="Y60" s="13"/>
      <c r="Z60" s="15"/>
      <c r="AA60" s="15"/>
      <c r="AB60" s="28"/>
      <c r="AC60" s="15"/>
      <c r="AD60" s="15"/>
      <c r="AE60" s="34">
        <f>B57*$F$12</f>
        <v>5820</v>
      </c>
      <c r="AF60" s="15"/>
      <c r="AG60" s="13"/>
      <c r="AH60" s="15"/>
      <c r="AI60" s="15"/>
      <c r="AJ60" s="32"/>
      <c r="AK60" s="13"/>
      <c r="AL60" s="15"/>
      <c r="AM60" s="15"/>
      <c r="AN60" s="28"/>
      <c r="AO60" s="13"/>
      <c r="AP60" s="15"/>
      <c r="AQ60" s="15"/>
      <c r="AR60" s="38">
        <v>5820</v>
      </c>
      <c r="AS60" s="15"/>
      <c r="AT60" s="15"/>
      <c r="AU60" s="15"/>
      <c r="AV60" s="15"/>
      <c r="AW60" s="13"/>
      <c r="AX60" s="15"/>
      <c r="AY60" s="15"/>
      <c r="AZ60" s="28"/>
      <c r="BA60" s="15"/>
      <c r="BB60" s="15"/>
      <c r="BC60" s="15"/>
      <c r="BD60" s="15"/>
      <c r="BE60" s="14"/>
      <c r="BF60" s="41">
        <f t="shared" ref="BF60:BG60" si="168">K60+O60+S60+W60+AA60+AE60+AI60+AM60+AQ60+AU60+AY60+BC60</f>
        <v>5820</v>
      </c>
      <c r="BG60" s="34">
        <f t="shared" si="168"/>
        <v>5820</v>
      </c>
      <c r="BH60" s="35">
        <f t="shared" si="159"/>
        <v>-0.002</v>
      </c>
    </row>
    <row r="61" ht="14.25" customHeight="1" spans="1:60" x14ac:dyDescent="0.25">
      <c r="A61" s="29">
        <v>7</v>
      </c>
      <c r="B61" s="14"/>
      <c r="D61" s="14" t="s">
        <v>51</v>
      </c>
      <c r="E61" s="2" t="s">
        <v>49</v>
      </c>
      <c r="F61" s="41">
        <v>1000</v>
      </c>
      <c r="G61" s="35"/>
      <c r="H61" s="34">
        <f>'2018'!BH61</f>
        <v>0</v>
      </c>
      <c r="I61" s="13"/>
      <c r="J61" s="15"/>
      <c r="K61" s="15"/>
      <c r="L61" s="28"/>
      <c r="M61" s="15"/>
      <c r="N61" s="15"/>
      <c r="O61" s="15"/>
      <c r="P61" s="15"/>
      <c r="Q61" s="13"/>
      <c r="R61" s="15"/>
      <c r="S61" s="15"/>
      <c r="T61" s="28"/>
      <c r="U61" s="15"/>
      <c r="V61" s="15"/>
      <c r="W61" s="15"/>
      <c r="X61" s="15"/>
      <c r="Y61" s="13"/>
      <c r="Z61" s="15"/>
      <c r="AA61" s="15"/>
      <c r="AB61" s="28"/>
      <c r="AC61" s="15"/>
      <c r="AD61" s="15"/>
      <c r="AE61" s="34">
        <f>$F$21</f>
        <v>1000</v>
      </c>
      <c r="AF61" s="15"/>
      <c r="AG61" s="13"/>
      <c r="AH61" s="15"/>
      <c r="AI61" s="15"/>
      <c r="AJ61" s="28"/>
      <c r="AK61" s="13"/>
      <c r="AL61" s="15"/>
      <c r="AM61" s="15"/>
      <c r="AN61" s="28"/>
      <c r="AO61" s="13"/>
      <c r="AP61" s="15"/>
      <c r="AQ61" s="15"/>
      <c r="AR61" s="38">
        <v>1000</v>
      </c>
      <c r="AS61" s="15"/>
      <c r="AT61" s="15"/>
      <c r="AU61" s="15"/>
      <c r="AV61" s="15"/>
      <c r="AW61" s="13"/>
      <c r="AX61" s="15"/>
      <c r="AY61" s="15"/>
      <c r="AZ61" s="28"/>
      <c r="BA61" s="15"/>
      <c r="BB61" s="15"/>
      <c r="BC61" s="15"/>
      <c r="BD61" s="15"/>
      <c r="BE61" s="14"/>
      <c r="BF61" s="41">
        <f t="shared" ref="BF61:BG61" si="169">K61+O61+S61+W61+AA61+AE61+AI61+AM61+AQ61+AU61+AY61+BC61</f>
        <v>1000</v>
      </c>
      <c r="BG61" s="34">
        <f t="shared" si="169"/>
        <v>1000</v>
      </c>
      <c r="BH61" s="35">
        <f t="shared" si="159"/>
        <v>0</v>
      </c>
    </row>
    <row r="62" ht="14.25" customHeight="1" spans="1:60" x14ac:dyDescent="0.25">
      <c r="A62" s="29">
        <v>7</v>
      </c>
      <c r="B62" s="14"/>
      <c r="D62" s="14" t="s">
        <v>52</v>
      </c>
      <c r="E62" s="2" t="s">
        <v>39</v>
      </c>
      <c r="F62" s="41">
        <v>500</v>
      </c>
      <c r="G62" s="35"/>
      <c r="H62" s="34">
        <f>'2018'!BH62</f>
        <v>0</v>
      </c>
      <c r="I62" s="13"/>
      <c r="J62" s="15"/>
      <c r="K62" s="15"/>
      <c r="L62" s="28"/>
      <c r="M62" s="15"/>
      <c r="N62" s="15"/>
      <c r="O62" s="15"/>
      <c r="P62" s="15"/>
      <c r="Q62" s="13"/>
      <c r="R62" s="15"/>
      <c r="S62" s="15"/>
      <c r="T62" s="28"/>
      <c r="U62" s="15"/>
      <c r="V62" s="15"/>
      <c r="W62" s="15"/>
      <c r="X62" s="15"/>
      <c r="Y62" s="13"/>
      <c r="Z62" s="15"/>
      <c r="AA62" s="34">
        <f>$F$14</f>
        <v>500</v>
      </c>
      <c r="AB62" s="28"/>
      <c r="AC62" s="15"/>
      <c r="AD62" s="15"/>
      <c r="AE62" s="15"/>
      <c r="AF62" s="15"/>
      <c r="AG62" s="13"/>
      <c r="AH62" s="15"/>
      <c r="AI62" s="15"/>
      <c r="AJ62" s="38"/>
      <c r="AK62" s="13"/>
      <c r="AL62" s="15"/>
      <c r="AM62" s="15"/>
      <c r="AN62" s="38">
        <v>300</v>
      </c>
      <c r="AO62" s="13"/>
      <c r="AP62" s="15"/>
      <c r="AQ62" s="15"/>
      <c r="AR62" s="38">
        <v>200</v>
      </c>
      <c r="AS62" s="15"/>
      <c r="AT62" s="15"/>
      <c r="AU62" s="15"/>
      <c r="AV62" s="15"/>
      <c r="AW62" s="13"/>
      <c r="AX62" s="15"/>
      <c r="AY62" s="15"/>
      <c r="AZ62" s="28"/>
      <c r="BA62" s="15"/>
      <c r="BB62" s="15"/>
      <c r="BC62" s="15"/>
      <c r="BD62" s="15"/>
      <c r="BE62" s="14"/>
      <c r="BF62" s="41">
        <f t="shared" ref="BF62:BG62" si="170">K62+O62+S62+W62+AA62+AE62+AI62+AM62+AQ62+AU62+AY62+BC62</f>
        <v>500</v>
      </c>
      <c r="BG62" s="34">
        <f t="shared" si="170"/>
        <v>500</v>
      </c>
      <c r="BH62" s="35">
        <f t="shared" si="159"/>
        <v>0</v>
      </c>
    </row>
    <row r="63" ht="14.25" customHeight="1" spans="1:62" x14ac:dyDescent="0.25">
      <c r="A63" s="78">
        <v>7</v>
      </c>
      <c r="B63" s="21"/>
      <c r="C63" s="22" t="s">
        <v>53</v>
      </c>
      <c r="D63" s="21"/>
      <c r="E63" s="22"/>
      <c r="F63" s="20"/>
      <c r="G63" s="23"/>
      <c r="H63" s="51">
        <f>SUM(H56:H62)</f>
        <v>9.958</v>
      </c>
      <c r="I63" s="52"/>
      <c r="J63" s="53"/>
      <c r="K63" s="51">
        <f t="shared" ref="K63:L63" si="171">SUM(K57:K62)</f>
        <v>0</v>
      </c>
      <c r="L63" s="68">
        <f t="shared" si="171"/>
        <v>0</v>
      </c>
      <c r="M63" s="53"/>
      <c r="N63" s="53"/>
      <c r="O63" s="51">
        <f t="shared" ref="O63:P63" si="172">SUM(O57:O62)</f>
        <v>0</v>
      </c>
      <c r="P63" s="51">
        <f t="shared" si="172"/>
        <v>0</v>
      </c>
      <c r="Q63" s="52"/>
      <c r="R63" s="53"/>
      <c r="S63" s="51">
        <f t="shared" ref="S63:T63" si="173">SUM(S57:S62)</f>
        <v>0</v>
      </c>
      <c r="T63" s="68">
        <f t="shared" si="173"/>
        <v>0</v>
      </c>
      <c r="U63" s="53"/>
      <c r="V63" s="53"/>
      <c r="W63" s="51">
        <f t="shared" ref="W63:X63" si="174">SUM(W57:W62)</f>
        <v>0</v>
      </c>
      <c r="X63" s="51">
        <f t="shared" si="174"/>
        <v>0</v>
      </c>
      <c r="Y63" s="52"/>
      <c r="Z63" s="53"/>
      <c r="AA63" s="51">
        <f t="shared" ref="AA63:AB63" si="175">SUM(AA57:AA62)</f>
        <v>522.41</v>
      </c>
      <c r="AB63" s="68">
        <f t="shared" si="175"/>
        <v>0</v>
      </c>
      <c r="AC63" s="53"/>
      <c r="AD63" s="53"/>
      <c r="AE63" s="51">
        <f t="shared" ref="AE63:AF63" si="176">SUM(AE57:AE62)</f>
        <v>6890</v>
      </c>
      <c r="AF63" s="51">
        <f t="shared" si="176"/>
        <v>0</v>
      </c>
      <c r="AG63" s="52"/>
      <c r="AH63" s="53"/>
      <c r="AI63" s="51">
        <f t="shared" ref="AI63:AJ63" si="177">SUM(AI57:AI62)</f>
        <v>97.5</v>
      </c>
      <c r="AJ63" s="68">
        <f t="shared" si="177"/>
        <v>0</v>
      </c>
      <c r="AK63" s="52"/>
      <c r="AL63" s="53"/>
      <c r="AM63" s="51">
        <f t="shared" ref="AM63:AN63" si="178">SUM(AM57:AM62)</f>
        <v>112.5</v>
      </c>
      <c r="AN63" s="68">
        <f t="shared" si="178"/>
        <v>800</v>
      </c>
      <c r="AO63" s="52"/>
      <c r="AP63" s="53"/>
      <c r="AQ63" s="51">
        <f t="shared" ref="AQ63:AR63" si="179">SUM(AQ56:AQ62)</f>
        <v>254.54</v>
      </c>
      <c r="AR63" s="68">
        <f t="shared" si="179"/>
        <v>7420</v>
      </c>
      <c r="AS63" s="53"/>
      <c r="AT63" s="53"/>
      <c r="AU63" s="51">
        <f t="shared" ref="AU63:AV63" si="180">SUM(AU56:AU62)</f>
        <v>22.5</v>
      </c>
      <c r="AV63" s="68">
        <f t="shared" si="180"/>
        <v>0</v>
      </c>
      <c r="AW63" s="52"/>
      <c r="AX63" s="53"/>
      <c r="AY63" s="51">
        <f t="shared" ref="AY63:AZ63" si="181">SUM(AY56:AY62)</f>
        <v>0</v>
      </c>
      <c r="AZ63" s="68">
        <f t="shared" si="181"/>
        <v>0</v>
      </c>
      <c r="BA63" s="53"/>
      <c r="BB63" s="53"/>
      <c r="BC63" s="51">
        <f t="shared" ref="BC63:BD63" si="182">SUM(BC56:BC62)</f>
        <v>0</v>
      </c>
      <c r="BD63" s="68">
        <f t="shared" si="182"/>
        <v>0</v>
      </c>
      <c r="BE63" s="69"/>
      <c r="BF63" s="70">
        <f t="shared" ref="BF63:BH63" si="183">SUM(BF56:BF62)</f>
        <v>7899.45</v>
      </c>
      <c r="BG63" s="71">
        <f t="shared" si="183"/>
        <v>8220</v>
      </c>
      <c r="BH63" s="72">
        <f t="shared" si="183"/>
        <v>-310.592</v>
      </c>
      <c r="BI63" s="34">
        <f>H63+BF63-BG63</f>
        <v>-310.592</v>
      </c>
      <c r="BJ63" s="34">
        <f>BH63-BI63</f>
        <v>0</v>
      </c>
    </row>
    <row r="64" ht="14.25" customHeight="1" spans="1:60" x14ac:dyDescent="0.25">
      <c r="A64" s="29">
        <v>8</v>
      </c>
      <c r="B64" s="14"/>
      <c r="D64" s="14" t="s">
        <v>379</v>
      </c>
      <c r="F64" s="13"/>
      <c r="G64" s="28"/>
      <c r="H64" s="34">
        <f>'2018'!BH64</f>
      </c>
      <c r="I64" s="13"/>
      <c r="J64" s="15"/>
      <c r="K64" s="15"/>
      <c r="L64" s="28"/>
      <c r="M64" s="15"/>
      <c r="N64" s="15"/>
      <c r="O64" s="15"/>
      <c r="P64" s="15"/>
      <c r="Q64" s="13"/>
      <c r="R64" s="15"/>
      <c r="S64" s="15"/>
      <c r="T64" s="28"/>
      <c r="U64" s="15"/>
      <c r="V64" s="15"/>
      <c r="W64" s="15"/>
      <c r="X64" s="15"/>
      <c r="Y64" s="13"/>
      <c r="Z64" s="15"/>
      <c r="AA64" s="15"/>
      <c r="AB64" s="28"/>
      <c r="AC64" s="15"/>
      <c r="AD64" s="15"/>
      <c r="AE64" s="15"/>
      <c r="AF64" s="15"/>
      <c r="AG64" s="13"/>
      <c r="AH64" s="15"/>
      <c r="AI64" s="15"/>
      <c r="AJ64" s="28"/>
      <c r="AK64" s="13"/>
      <c r="AL64" s="15"/>
      <c r="AM64" s="15"/>
      <c r="AN64" s="28"/>
      <c r="AO64" s="13"/>
      <c r="AP64" s="15"/>
      <c r="AQ64" s="15"/>
      <c r="AR64" s="28"/>
      <c r="AS64" s="15"/>
      <c r="AT64" s="15"/>
      <c r="AU64" s="15"/>
      <c r="AV64" s="15"/>
      <c r="AW64" s="13"/>
      <c r="AX64" s="15"/>
      <c r="AY64" s="15"/>
      <c r="AZ64" s="28"/>
      <c r="BA64" s="15"/>
      <c r="BB64" s="15"/>
      <c r="BC64" s="15"/>
      <c r="BD64" s="15"/>
      <c r="BE64" s="14"/>
      <c r="BF64" s="41">
        <f t="shared" ref="BF64:BG64" si="184">K64+O64+S64+W64+AA64+AE64+AI64+AM64+AQ64+AU64+AY64+BC64</f>
        <v>0</v>
      </c>
      <c r="BG64" s="34">
        <f t="shared" si="184"/>
        <v>0</v>
      </c>
      <c r="BH64" s="35">
        <f t="shared" ref="BH64:BH70" si="185">H64+BF64-BG64</f>
        <v>0</v>
      </c>
    </row>
    <row r="65" ht="14.25" customHeight="1" spans="1:60" x14ac:dyDescent="0.25">
      <c r="A65" s="2">
        <v>8</v>
      </c>
      <c r="B65" s="42">
        <v>4</v>
      </c>
      <c r="C65" s="2" t="s">
        <v>383</v>
      </c>
      <c r="D65" s="14" t="s">
        <v>44</v>
      </c>
      <c r="E65" s="2" t="s">
        <v>45</v>
      </c>
      <c r="F65" s="13">
        <v>2.49</v>
      </c>
      <c r="G65" s="35">
        <v>2.5</v>
      </c>
      <c r="H65" s="34">
        <f>'2018'!BH65</f>
        <v>0</v>
      </c>
      <c r="I65" s="13">
        <v>179</v>
      </c>
      <c r="J65" s="15">
        <f>I65-'2018'!BA65</f>
        <v>0</v>
      </c>
      <c r="K65" s="34">
        <f>J65*$F$8</f>
        <v>0</v>
      </c>
      <c r="L65" s="35"/>
      <c r="M65" s="15">
        <v>179</v>
      </c>
      <c r="N65" s="15">
        <f>M65-I65</f>
        <v>0</v>
      </c>
      <c r="O65" s="34">
        <f>N65*$F$8</f>
        <v>0</v>
      </c>
      <c r="P65" s="15"/>
      <c r="Q65" s="13">
        <v>179</v>
      </c>
      <c r="R65" s="15">
        <f>Q65-M65</f>
        <v>0</v>
      </c>
      <c r="S65" s="34">
        <f>R65*$F$8</f>
        <v>0</v>
      </c>
      <c r="T65" s="28"/>
      <c r="U65" s="15">
        <v>179</v>
      </c>
      <c r="V65" s="15">
        <f>U65-Q65</f>
        <v>0</v>
      </c>
      <c r="W65" s="34">
        <f>V65*$F$8</f>
        <v>0</v>
      </c>
      <c r="X65" s="34"/>
      <c r="Y65" s="13">
        <v>189</v>
      </c>
      <c r="Z65" s="15">
        <f>Y65-U65</f>
        <v>10</v>
      </c>
      <c r="AA65" s="34">
        <f>Z65*$F$8</f>
        <v>24.9</v>
      </c>
      <c r="AB65" s="28"/>
      <c r="AC65" s="15">
        <v>215</v>
      </c>
      <c r="AD65" s="15">
        <f t="shared" ref="AD65:AD66" si="186">AC65-Y65</f>
        <v>26</v>
      </c>
      <c r="AE65" s="34">
        <f>AD65*$G$8</f>
        <v>65</v>
      </c>
      <c r="AF65" s="138">
        <f>89.9+6.16</f>
        <v>96.06</v>
      </c>
      <c r="AG65" s="13">
        <v>249</v>
      </c>
      <c r="AH65" s="15">
        <f t="shared" ref="AH65:AH66" si="187">AG65-AC65</f>
        <v>34</v>
      </c>
      <c r="AI65" s="34">
        <f>AH65*$G$8</f>
        <v>85</v>
      </c>
      <c r="AJ65" s="139">
        <f>78.84+15.48</f>
        <v>94.32</v>
      </c>
      <c r="AK65" s="13">
        <v>275</v>
      </c>
      <c r="AL65" s="15">
        <f t="shared" ref="AL65:AL66" si="188">AK65-AG65</f>
        <v>26</v>
      </c>
      <c r="AM65" s="34">
        <f>AL65*$G$8</f>
        <v>65</v>
      </c>
      <c r="AN65" s="139">
        <f>49.52+0.8</f>
        <v>50.32</v>
      </c>
      <c r="AO65" s="13">
        <v>306</v>
      </c>
      <c r="AP65" s="15">
        <f t="shared" ref="AP65:AP66" si="189">AO65-AK65</f>
        <v>31</v>
      </c>
      <c r="AQ65" s="34">
        <f>AP65*$G$8</f>
        <v>77.5</v>
      </c>
      <c r="AR65" s="28"/>
      <c r="AS65" s="15">
        <v>352</v>
      </c>
      <c r="AT65" s="15">
        <f t="shared" ref="AT65:AT66" si="190">AS65-AO65</f>
        <v>46</v>
      </c>
      <c r="AU65" s="34">
        <f>AT65*$G$8</f>
        <v>115</v>
      </c>
      <c r="AV65" s="39">
        <v>77</v>
      </c>
      <c r="AW65" s="13">
        <v>352</v>
      </c>
      <c r="AX65" s="15">
        <f>AW65-AS65</f>
        <v>0</v>
      </c>
      <c r="AY65" s="34">
        <f>AX65*$G$8</f>
        <v>0</v>
      </c>
      <c r="AZ65" s="28"/>
      <c r="BA65" s="13">
        <v>352</v>
      </c>
      <c r="BB65" s="15">
        <f>BA65-AW65</f>
        <v>0</v>
      </c>
      <c r="BC65" s="34">
        <f>BB65*$G$8</f>
        <v>0</v>
      </c>
      <c r="BD65" s="15"/>
      <c r="BE65" s="40">
        <f t="shared" ref="BE65:BG65" si="191">J65+N65+R65+V65+Z65+AD65+AH65+AL65+AP65+AT65+AX65+BB65</f>
        <v>173</v>
      </c>
      <c r="BF65" s="41">
        <f t="shared" si="191"/>
        <v>432.4</v>
      </c>
      <c r="BG65" s="34">
        <f t="shared" si="191"/>
        <v>317.7</v>
      </c>
      <c r="BH65" s="35">
        <f t="shared" si="185"/>
        <v>114.7</v>
      </c>
    </row>
    <row r="66" ht="14.25" customHeight="1" spans="1:60" x14ac:dyDescent="0.25">
      <c r="A66" s="29">
        <v>8</v>
      </c>
      <c r="B66" s="14"/>
      <c r="C66" s="2" t="s">
        <v>71</v>
      </c>
      <c r="D66" s="14" t="s">
        <v>47</v>
      </c>
      <c r="E66" s="2" t="s">
        <v>48</v>
      </c>
      <c r="F66" s="13">
        <v>17.98</v>
      </c>
      <c r="G66" s="28">
        <v>18.56</v>
      </c>
      <c r="H66" s="34">
        <f>'2018'!BH66</f>
        <v>0</v>
      </c>
      <c r="I66" s="13">
        <v>230</v>
      </c>
      <c r="J66" s="15"/>
      <c r="K66" s="15"/>
      <c r="L66" s="28"/>
      <c r="M66" s="15"/>
      <c r="N66" s="15"/>
      <c r="O66" s="15"/>
      <c r="P66" s="15"/>
      <c r="Q66" s="13"/>
      <c r="R66" s="15"/>
      <c r="S66" s="15"/>
      <c r="T66" s="28"/>
      <c r="U66" s="15"/>
      <c r="V66" s="15"/>
      <c r="W66" s="15"/>
      <c r="X66" s="15"/>
      <c r="Y66" s="13">
        <v>0</v>
      </c>
      <c r="Z66" s="15">
        <v>0</v>
      </c>
      <c r="AA66" s="34">
        <f>Z66*$F$10</f>
        <v>0</v>
      </c>
      <c r="AB66" s="28"/>
      <c r="AC66" s="15">
        <v>3</v>
      </c>
      <c r="AD66" s="15">
        <f t="shared" si="186"/>
        <v>3</v>
      </c>
      <c r="AE66" s="34">
        <f>AD66*$F$10</f>
        <v>53.94</v>
      </c>
      <c r="AF66" s="138">
        <v>53.94</v>
      </c>
      <c r="AG66" s="13">
        <v>6</v>
      </c>
      <c r="AH66" s="15">
        <f t="shared" si="187"/>
        <v>3</v>
      </c>
      <c r="AI66" s="45">
        <f>AH66*$G$10</f>
        <v>55.68</v>
      </c>
      <c r="AJ66" s="139">
        <v>55.68</v>
      </c>
      <c r="AK66" s="13">
        <v>9</v>
      </c>
      <c r="AL66" s="15">
        <f t="shared" si="188"/>
        <v>3</v>
      </c>
      <c r="AM66" s="45">
        <f>AL66*$G$10</f>
        <v>55.68</v>
      </c>
      <c r="AN66" s="139">
        <v>55.68</v>
      </c>
      <c r="AO66" s="13">
        <v>12</v>
      </c>
      <c r="AP66" s="15">
        <f t="shared" si="189"/>
        <v>3</v>
      </c>
      <c r="AQ66" s="45">
        <f>AP66*$G$10</f>
        <v>55.68</v>
      </c>
      <c r="AR66" s="28"/>
      <c r="AS66" s="13">
        <v>12</v>
      </c>
      <c r="AT66" s="15">
        <f t="shared" si="190"/>
        <v>0</v>
      </c>
      <c r="AU66" s="45">
        <f>AT66*$G$10</f>
        <v>0</v>
      </c>
      <c r="AV66" s="1">
        <v>55.68</v>
      </c>
      <c r="AW66" s="13">
        <v>12</v>
      </c>
      <c r="AX66" s="15"/>
      <c r="AY66" s="15"/>
      <c r="AZ66" s="28"/>
      <c r="BA66" s="15">
        <v>12</v>
      </c>
      <c r="BB66" s="15"/>
      <c r="BC66" s="15"/>
      <c r="BD66" s="15"/>
      <c r="BE66" s="40">
        <f t="shared" ref="BE66:BG66" si="192">J66+N66+R66+V66+Z66+AD66+AH66+AL66+AP66+AT66+AX66+BB66</f>
        <v>12</v>
      </c>
      <c r="BF66" s="41">
        <f t="shared" si="192"/>
        <v>220.98</v>
      </c>
      <c r="BG66" s="34">
        <f t="shared" si="192"/>
        <v>220.98</v>
      </c>
      <c r="BH66" s="35">
        <f t="shared" si="185"/>
        <v>0</v>
      </c>
    </row>
    <row r="67" ht="14.25" customHeight="1" spans="1:60" x14ac:dyDescent="0.25">
      <c r="A67" s="29">
        <v>8</v>
      </c>
      <c r="B67" s="14"/>
      <c r="C67" s="2" t="s">
        <v>164</v>
      </c>
      <c r="D67" s="14" t="s">
        <v>47</v>
      </c>
      <c r="E67" s="2" t="s">
        <v>49</v>
      </c>
      <c r="F67" s="41">
        <v>500</v>
      </c>
      <c r="G67" s="35"/>
      <c r="H67" s="34">
        <f>'2018'!BH67</f>
        <v>0</v>
      </c>
      <c r="I67" s="13"/>
      <c r="J67" s="15"/>
      <c r="K67" s="15"/>
      <c r="L67" s="28"/>
      <c r="M67" s="15"/>
      <c r="N67" s="15"/>
      <c r="O67" s="15"/>
      <c r="P67" s="15"/>
      <c r="Q67" s="13"/>
      <c r="R67" s="15"/>
      <c r="S67" s="15"/>
      <c r="T67" s="28"/>
      <c r="U67" s="15"/>
      <c r="V67" s="15"/>
      <c r="W67" s="15"/>
      <c r="X67" s="15"/>
      <c r="Y67" s="13"/>
      <c r="Z67" s="15"/>
      <c r="AA67" s="15"/>
      <c r="AB67" s="28"/>
      <c r="AC67" s="15"/>
      <c r="AD67" s="15"/>
      <c r="AE67" s="34"/>
      <c r="AF67" s="15"/>
      <c r="AG67" s="13"/>
      <c r="AH67" s="15"/>
      <c r="AI67" s="34"/>
      <c r="AJ67" s="28"/>
      <c r="AK67" s="13"/>
      <c r="AL67" s="15"/>
      <c r="AM67" s="34"/>
      <c r="AN67" s="28"/>
      <c r="AO67" s="13"/>
      <c r="AP67" s="15"/>
      <c r="AQ67" s="34"/>
      <c r="AR67" s="28"/>
      <c r="AS67" s="15"/>
      <c r="AT67" s="15"/>
      <c r="AU67" s="15"/>
      <c r="AV67" s="15"/>
      <c r="AW67" s="13"/>
      <c r="AX67" s="15"/>
      <c r="AY67" s="15"/>
      <c r="AZ67" s="28"/>
      <c r="BA67" s="15"/>
      <c r="BB67" s="15"/>
      <c r="BC67" s="15"/>
      <c r="BD67" s="15"/>
      <c r="BE67" s="14"/>
      <c r="BF67" s="41">
        <f t="shared" ref="BF67:BG67" si="193">K67+O67+S67+W67+AA67+AE67+AI67+AM67+AQ67+AU67+AY67+BC67</f>
        <v>0</v>
      </c>
      <c r="BG67" s="34">
        <f t="shared" si="193"/>
        <v>0</v>
      </c>
      <c r="BH67" s="35">
        <f t="shared" si="185"/>
        <v>0</v>
      </c>
    </row>
    <row r="68" ht="14.25" customHeight="1" spans="1:60" x14ac:dyDescent="0.25">
      <c r="A68" s="29">
        <v>8</v>
      </c>
      <c r="B68" s="14"/>
      <c r="C68" s="15" t="s">
        <v>384</v>
      </c>
      <c r="D68" s="14" t="s">
        <v>50</v>
      </c>
      <c r="E68" s="2" t="s">
        <v>49</v>
      </c>
      <c r="F68" s="41">
        <v>1200</v>
      </c>
      <c r="G68" s="35"/>
      <c r="H68" s="34">
        <f>'2018'!BH68</f>
        <v>0</v>
      </c>
      <c r="I68" s="13"/>
      <c r="J68" s="15"/>
      <c r="K68" s="15"/>
      <c r="L68" s="28"/>
      <c r="M68" s="15"/>
      <c r="N68" s="15"/>
      <c r="O68" s="15"/>
      <c r="P68" s="15"/>
      <c r="Q68" s="13"/>
      <c r="R68" s="15"/>
      <c r="S68" s="15"/>
      <c r="T68" s="28"/>
      <c r="U68" s="15"/>
      <c r="V68" s="15"/>
      <c r="W68" s="15"/>
      <c r="X68" s="15"/>
      <c r="Y68" s="13"/>
      <c r="Z68" s="15"/>
      <c r="AA68" s="15"/>
      <c r="AB68" s="28"/>
      <c r="AC68" s="15"/>
      <c r="AD68" s="15"/>
      <c r="AE68" s="34">
        <f>B65*$F$12</f>
        <v>4800</v>
      </c>
      <c r="AF68" s="133">
        <v>4800</v>
      </c>
      <c r="AG68" s="13"/>
      <c r="AH68" s="15"/>
      <c r="AI68" s="15"/>
      <c r="AJ68" s="28"/>
      <c r="AK68" s="13"/>
      <c r="AL68" s="15"/>
      <c r="AM68" s="15"/>
      <c r="AN68" s="28"/>
      <c r="AO68" s="13"/>
      <c r="AP68" s="15"/>
      <c r="AQ68" s="15"/>
      <c r="AR68" s="28"/>
      <c r="AS68" s="15"/>
      <c r="AT68" s="15"/>
      <c r="AU68" s="15"/>
      <c r="AV68" s="15"/>
      <c r="AW68" s="13"/>
      <c r="AX68" s="15"/>
      <c r="AY68" s="15"/>
      <c r="AZ68" s="28"/>
      <c r="BA68" s="15"/>
      <c r="BB68" s="15"/>
      <c r="BC68" s="15"/>
      <c r="BD68" s="15"/>
      <c r="BE68" s="14"/>
      <c r="BF68" s="41">
        <f t="shared" ref="BF68:BG68" si="194">K68+O68+S68+W68+AA68+AE68+AI68+AM68+AQ68+AU68+AY68+BC68</f>
        <v>4800</v>
      </c>
      <c r="BG68" s="34">
        <f t="shared" si="194"/>
        <v>4800</v>
      </c>
      <c r="BH68" s="35">
        <f t="shared" si="185"/>
        <v>0</v>
      </c>
    </row>
    <row r="69" ht="14.25" customHeight="1" spans="1:60" x14ac:dyDescent="0.25">
      <c r="A69" s="29">
        <v>8</v>
      </c>
      <c r="B69" s="14"/>
      <c r="C69" s="2"/>
      <c r="D69" s="14" t="s">
        <v>51</v>
      </c>
      <c r="E69" s="2" t="s">
        <v>49</v>
      </c>
      <c r="F69" s="41">
        <v>1000</v>
      </c>
      <c r="G69" s="35"/>
      <c r="H69" s="34">
        <f>'2018'!BH69</f>
        <v>0</v>
      </c>
      <c r="I69" s="13"/>
      <c r="J69" s="15"/>
      <c r="K69" s="15"/>
      <c r="L69" s="28"/>
      <c r="M69" s="15"/>
      <c r="N69" s="15"/>
      <c r="O69" s="15"/>
      <c r="P69" s="15"/>
      <c r="Q69" s="13"/>
      <c r="R69" s="15"/>
      <c r="S69" s="15"/>
      <c r="T69" s="28"/>
      <c r="U69" s="15"/>
      <c r="V69" s="15"/>
      <c r="W69" s="15"/>
      <c r="X69" s="15"/>
      <c r="Y69" s="13"/>
      <c r="Z69" s="15"/>
      <c r="AA69" s="15"/>
      <c r="AB69" s="28"/>
      <c r="AC69" s="15"/>
      <c r="AD69" s="15"/>
      <c r="AE69" s="34">
        <f>$F$21</f>
        <v>1000</v>
      </c>
      <c r="AF69" s="133">
        <v>1000</v>
      </c>
      <c r="AG69" s="13"/>
      <c r="AH69" s="15"/>
      <c r="AI69" s="15"/>
      <c r="AJ69" s="28"/>
      <c r="AK69" s="13"/>
      <c r="AL69" s="15"/>
      <c r="AM69" s="15"/>
      <c r="AN69" s="28"/>
      <c r="AO69" s="13"/>
      <c r="AP69" s="15"/>
      <c r="AQ69" s="15"/>
      <c r="AR69" s="28"/>
      <c r="AS69" s="15"/>
      <c r="AT69" s="15"/>
      <c r="AU69" s="15"/>
      <c r="AV69" s="15"/>
      <c r="AW69" s="13"/>
      <c r="AX69" s="15"/>
      <c r="AY69" s="15"/>
      <c r="AZ69" s="28"/>
      <c r="BA69" s="15"/>
      <c r="BB69" s="15"/>
      <c r="BC69" s="15"/>
      <c r="BD69" s="15"/>
      <c r="BE69" s="14"/>
      <c r="BF69" s="41">
        <f t="shared" ref="BF69:BG69" si="195">K69+O69+S69+W69+AA69+AE69+AI69+AM69+AQ69+AU69+AY69+BC69</f>
        <v>1000</v>
      </c>
      <c r="BG69" s="34">
        <f t="shared" si="195"/>
        <v>1000</v>
      </c>
      <c r="BH69" s="35">
        <f t="shared" si="185"/>
        <v>0</v>
      </c>
    </row>
    <row r="70" ht="14.25" customHeight="1" spans="1:60" x14ac:dyDescent="0.25">
      <c r="A70" s="29">
        <v>8</v>
      </c>
      <c r="B70" s="14"/>
      <c r="C70" s="15"/>
      <c r="D70" s="14" t="s">
        <v>52</v>
      </c>
      <c r="E70" s="2" t="s">
        <v>39</v>
      </c>
      <c r="F70" s="41">
        <v>500</v>
      </c>
      <c r="G70" s="35"/>
      <c r="H70" s="34">
        <f>'2018'!BH70</f>
        <v>0</v>
      </c>
      <c r="I70" s="13"/>
      <c r="J70" s="15"/>
      <c r="K70" s="15"/>
      <c r="L70" s="28"/>
      <c r="M70" s="15"/>
      <c r="N70" s="15"/>
      <c r="O70" s="15"/>
      <c r="P70" s="15"/>
      <c r="Q70" s="13"/>
      <c r="R70" s="15"/>
      <c r="S70" s="15"/>
      <c r="T70" s="28"/>
      <c r="U70" s="15"/>
      <c r="V70" s="15"/>
      <c r="W70" s="15"/>
      <c r="X70" s="15"/>
      <c r="Y70" s="13"/>
      <c r="Z70" s="15"/>
      <c r="AA70" s="34">
        <f>$F$14</f>
        <v>500</v>
      </c>
      <c r="AB70" s="28"/>
      <c r="AC70" s="15"/>
      <c r="AD70" s="15"/>
      <c r="AE70" s="15"/>
      <c r="AF70" s="133">
        <v>500</v>
      </c>
      <c r="AG70" s="13"/>
      <c r="AH70" s="15"/>
      <c r="AI70" s="15"/>
      <c r="AJ70" s="28"/>
      <c r="AK70" s="13"/>
      <c r="AL70" s="15"/>
      <c r="AM70" s="15"/>
      <c r="AN70" s="35"/>
      <c r="AO70" s="13"/>
      <c r="AP70" s="15"/>
      <c r="AQ70" s="15"/>
      <c r="AR70" s="28"/>
      <c r="AS70" s="15"/>
      <c r="AT70" s="15"/>
      <c r="AU70" s="15"/>
      <c r="AV70" s="15"/>
      <c r="AW70" s="13"/>
      <c r="AX70" s="15"/>
      <c r="AY70" s="15"/>
      <c r="AZ70" s="28"/>
      <c r="BA70" s="15"/>
      <c r="BB70" s="15"/>
      <c r="BC70" s="15"/>
      <c r="BD70" s="15"/>
      <c r="BE70" s="14"/>
      <c r="BF70" s="41">
        <f t="shared" ref="BF70:BG70" si="196">K70+O70+S70+W70+AA70+AE70+AI70+AM70+AQ70+AU70+AY70+BC70</f>
        <v>500</v>
      </c>
      <c r="BG70" s="34">
        <f t="shared" si="196"/>
        <v>500</v>
      </c>
      <c r="BH70" s="35">
        <f t="shared" si="185"/>
        <v>0</v>
      </c>
    </row>
    <row r="71" ht="14.25" customHeight="1" spans="1:62" x14ac:dyDescent="0.25">
      <c r="A71" s="78">
        <v>8</v>
      </c>
      <c r="B71" s="21"/>
      <c r="C71" s="22" t="s">
        <v>53</v>
      </c>
      <c r="D71" s="21"/>
      <c r="E71" s="22"/>
      <c r="F71" s="20"/>
      <c r="G71" s="23"/>
      <c r="H71" s="51">
        <f>SUM(H64:H70)</f>
        <v>0</v>
      </c>
      <c r="I71" s="52"/>
      <c r="J71" s="53"/>
      <c r="K71" s="51">
        <f t="shared" ref="K71:L71" si="197">SUM(K65:K70)</f>
        <v>0</v>
      </c>
      <c r="L71" s="68">
        <f t="shared" si="197"/>
        <v>0</v>
      </c>
      <c r="M71" s="53"/>
      <c r="N71" s="53"/>
      <c r="O71" s="51">
        <f t="shared" ref="O71:P71" si="198">SUM(O65:O70)</f>
        <v>0</v>
      </c>
      <c r="P71" s="51">
        <f t="shared" si="198"/>
        <v>0</v>
      </c>
      <c r="Q71" s="52"/>
      <c r="R71" s="53"/>
      <c r="S71" s="51">
        <f t="shared" ref="S71:T71" si="199">SUM(S65:S70)</f>
        <v>0</v>
      </c>
      <c r="T71" s="68">
        <f t="shared" si="199"/>
        <v>0</v>
      </c>
      <c r="U71" s="53"/>
      <c r="V71" s="53"/>
      <c r="W71" s="51">
        <f t="shared" ref="W71:X71" si="200">SUM(W65:W70)</f>
        <v>0</v>
      </c>
      <c r="X71" s="51">
        <f t="shared" si="200"/>
        <v>0</v>
      </c>
      <c r="Y71" s="52"/>
      <c r="Z71" s="53"/>
      <c r="AA71" s="51">
        <f t="shared" ref="AA71:AB71" si="201">SUM(AA65:AA70)</f>
        <v>524.9</v>
      </c>
      <c r="AB71" s="68">
        <f t="shared" si="201"/>
        <v>0</v>
      </c>
      <c r="AC71" s="53"/>
      <c r="AD71" s="53"/>
      <c r="AE71" s="51">
        <f t="shared" ref="AE71:AF71" si="202">SUM(AE65:AE70)</f>
        <v>5918.94</v>
      </c>
      <c r="AF71" s="51">
        <f t="shared" si="202"/>
        <v>6450</v>
      </c>
      <c r="AG71" s="52"/>
      <c r="AH71" s="53"/>
      <c r="AI71" s="51">
        <f t="shared" ref="AI71:AJ71" si="203">SUM(AI65:AI70)</f>
        <v>140.68</v>
      </c>
      <c r="AJ71" s="68">
        <f t="shared" si="203"/>
        <v>150</v>
      </c>
      <c r="AK71" s="52"/>
      <c r="AL71" s="53"/>
      <c r="AM71" s="51">
        <f t="shared" ref="AM71:AN71" si="204">SUM(AM65:AM70)</f>
        <v>120.68</v>
      </c>
      <c r="AN71" s="68">
        <f t="shared" si="204"/>
        <v>106</v>
      </c>
      <c r="AO71" s="52"/>
      <c r="AP71" s="53"/>
      <c r="AQ71" s="51">
        <f t="shared" ref="AQ71:AR71" si="205">SUM(AQ64:AQ70)</f>
        <v>133.18</v>
      </c>
      <c r="AR71" s="68">
        <f t="shared" si="205"/>
        <v>0</v>
      </c>
      <c r="AS71" s="53"/>
      <c r="AT71" s="53"/>
      <c r="AU71" s="51">
        <f t="shared" ref="AU71:AV71" si="206">SUM(AU64:AU70)</f>
        <v>115</v>
      </c>
      <c r="AV71" s="68">
        <f t="shared" si="206"/>
        <v>132.68</v>
      </c>
      <c r="AW71" s="52"/>
      <c r="AX71" s="53"/>
      <c r="AY71" s="51">
        <f t="shared" ref="AY71:AZ71" si="207">SUM(AY64:AY70)</f>
        <v>0</v>
      </c>
      <c r="AZ71" s="68">
        <f t="shared" si="207"/>
        <v>0</v>
      </c>
      <c r="BA71" s="53"/>
      <c r="BB71" s="53"/>
      <c r="BC71" s="51">
        <f t="shared" ref="BC71:BD71" si="208">SUM(BC64:BC70)</f>
        <v>0</v>
      </c>
      <c r="BD71" s="68">
        <f t="shared" si="208"/>
        <v>0</v>
      </c>
      <c r="BE71" s="69"/>
      <c r="BF71" s="70">
        <f t="shared" ref="BF71:BH71" si="209">SUM(BF64:BF70)</f>
        <v>6953.38</v>
      </c>
      <c r="BG71" s="71">
        <f t="shared" si="209"/>
        <v>6838.68</v>
      </c>
      <c r="BH71" s="72">
        <f t="shared" si="209"/>
        <v>114.7</v>
      </c>
      <c r="BI71" s="34">
        <f>H71+BF71-BG71</f>
        <v>114.7</v>
      </c>
      <c r="BJ71" s="34">
        <f>BH71-BI71</f>
        <v>0</v>
      </c>
    </row>
    <row r="72" ht="14.25" customHeight="1" spans="1:60" x14ac:dyDescent="0.25">
      <c r="A72" s="29">
        <v>9</v>
      </c>
      <c r="B72" s="14"/>
      <c r="D72" s="14" t="s">
        <v>379</v>
      </c>
      <c r="F72" s="13"/>
      <c r="G72" s="28"/>
      <c r="H72" s="34">
        <f>'2018'!BH72</f>
      </c>
      <c r="I72" s="13"/>
      <c r="J72" s="15"/>
      <c r="K72" s="15"/>
      <c r="L72" s="28"/>
      <c r="M72" s="15"/>
      <c r="N72" s="15"/>
      <c r="O72" s="15"/>
      <c r="P72" s="15"/>
      <c r="Q72" s="13"/>
      <c r="R72" s="15"/>
      <c r="S72" s="15"/>
      <c r="T72" s="28"/>
      <c r="U72" s="15"/>
      <c r="V72" s="15"/>
      <c r="W72" s="15"/>
      <c r="X72" s="15"/>
      <c r="Y72" s="13"/>
      <c r="Z72" s="15"/>
      <c r="AA72" s="15"/>
      <c r="AB72" s="28"/>
      <c r="AC72" s="15"/>
      <c r="AD72" s="15"/>
      <c r="AE72" s="15"/>
      <c r="AF72" s="15"/>
      <c r="AG72" s="13"/>
      <c r="AH72" s="15"/>
      <c r="AI72" s="15"/>
      <c r="AJ72" s="28"/>
      <c r="AK72" s="13"/>
      <c r="AL72" s="15"/>
      <c r="AM72" s="15"/>
      <c r="AN72" s="28"/>
      <c r="AO72" s="13"/>
      <c r="AP72" s="15"/>
      <c r="AQ72" s="15"/>
      <c r="AR72" s="28"/>
      <c r="AS72" s="15"/>
      <c r="AT72" s="15"/>
      <c r="AU72" s="15"/>
      <c r="AV72" s="15"/>
      <c r="AW72" s="13"/>
      <c r="AX72" s="15"/>
      <c r="AY72" s="15"/>
      <c r="AZ72" s="28"/>
      <c r="BA72" s="15"/>
      <c r="BB72" s="15"/>
      <c r="BC72" s="15"/>
      <c r="BD72" s="15"/>
      <c r="BE72" s="14"/>
      <c r="BF72" s="41">
        <f t="shared" ref="BF72:BG72" si="210">K72+O72+S72+W72+AA72+AE72+AI72+AM72+AQ72+AU72+AY72+BC72</f>
        <v>0</v>
      </c>
      <c r="BG72" s="34">
        <f t="shared" si="210"/>
        <v>0</v>
      </c>
      <c r="BH72" s="35">
        <f t="shared" ref="BH72:BH78" si="211">H72+BF72-BG72</f>
        <v>0</v>
      </c>
    </row>
    <row r="73" ht="14.25" customHeight="1" spans="1:60" x14ac:dyDescent="0.25">
      <c r="A73" s="2">
        <v>9</v>
      </c>
      <c r="B73" s="14">
        <v>4.03</v>
      </c>
      <c r="C73" s="2" t="s">
        <v>82</v>
      </c>
      <c r="D73" s="14" t="s">
        <v>44</v>
      </c>
      <c r="E73" s="2" t="s">
        <v>45</v>
      </c>
      <c r="F73" s="13">
        <v>2.49</v>
      </c>
      <c r="G73" s="35">
        <v>2.5</v>
      </c>
      <c r="H73" s="34">
        <f>'2018'!BH73</f>
        <v>2.49</v>
      </c>
      <c r="I73" s="13">
        <v>41</v>
      </c>
      <c r="J73" s="15">
        <f>I73-'2018'!BA73</f>
        <v>0</v>
      </c>
      <c r="K73" s="34">
        <f>J73*$F$8</f>
        <v>0</v>
      </c>
      <c r="L73" s="28"/>
      <c r="M73" s="15">
        <v>41</v>
      </c>
      <c r="N73" s="15">
        <f>M73-I73</f>
        <v>0</v>
      </c>
      <c r="O73" s="34">
        <f>N73*$F$8</f>
        <v>0</v>
      </c>
      <c r="P73" s="15"/>
      <c r="Q73" s="13">
        <v>41</v>
      </c>
      <c r="R73" s="15">
        <f>Q73-M73</f>
        <v>0</v>
      </c>
      <c r="S73" s="34">
        <f>R73*$F$8</f>
        <v>0</v>
      </c>
      <c r="T73" s="28"/>
      <c r="U73" s="15">
        <v>41</v>
      </c>
      <c r="V73" s="15">
        <f>U73-Q73</f>
        <v>0</v>
      </c>
      <c r="W73" s="34">
        <f>V73*$F$8</f>
        <v>0</v>
      </c>
      <c r="X73" s="15"/>
      <c r="Y73" s="13">
        <v>43</v>
      </c>
      <c r="Z73" s="15">
        <f>Y73-U73</f>
        <v>2</v>
      </c>
      <c r="AA73" s="34">
        <f>Z73*$F$8</f>
        <v>4.98</v>
      </c>
      <c r="AB73" s="28"/>
      <c r="AC73" s="15">
        <v>45</v>
      </c>
      <c r="AD73" s="15">
        <f t="shared" ref="AD73:AD74" si="212">AC73-Y73</f>
        <v>2</v>
      </c>
      <c r="AE73" s="34">
        <f>AD73*$G$8</f>
        <v>5</v>
      </c>
      <c r="AF73" s="39">
        <v>100</v>
      </c>
      <c r="AG73" s="13">
        <v>46</v>
      </c>
      <c r="AH73" s="15">
        <f t="shared" ref="AH73:AH74" si="213">AG73-AC73</f>
        <v>1</v>
      </c>
      <c r="AI73" s="34">
        <f>AH73*$G$8</f>
        <v>2.5</v>
      </c>
      <c r="AJ73" s="28"/>
      <c r="AK73" s="13">
        <v>46</v>
      </c>
      <c r="AL73" s="15">
        <f t="shared" ref="AL73:AL74" si="214">AK73-AG73</f>
        <v>0</v>
      </c>
      <c r="AM73" s="34">
        <f>AL73*$G$8</f>
        <v>0</v>
      </c>
      <c r="AN73" s="35"/>
      <c r="AO73" s="13">
        <v>46</v>
      </c>
      <c r="AP73" s="15">
        <f t="shared" ref="AP73:AP74" si="215">AO73-AK73</f>
        <v>0</v>
      </c>
      <c r="AQ73" s="34">
        <f>AP73*$G$8</f>
        <v>0</v>
      </c>
      <c r="AR73" s="28"/>
      <c r="AS73" s="15">
        <v>46</v>
      </c>
      <c r="AT73" s="15">
        <f t="shared" ref="AT73:AT74" si="216">AS73-AO73</f>
        <v>0</v>
      </c>
      <c r="AU73" s="34">
        <f t="shared" ref="AU73:AU74" si="217">AT73*$G$8</f>
        <v>0</v>
      </c>
      <c r="AV73" s="15"/>
      <c r="AW73" s="13">
        <v>46</v>
      </c>
      <c r="AX73" s="15">
        <f>AW73-AS73</f>
        <v>0</v>
      </c>
      <c r="AY73" s="34">
        <f>AX73*$G$8</f>
        <v>0</v>
      </c>
      <c r="AZ73" s="28"/>
      <c r="BA73" s="13">
        <v>46</v>
      </c>
      <c r="BB73" s="15">
        <f>BA73-AW73</f>
        <v>0</v>
      </c>
      <c r="BC73" s="34">
        <f>BB73*$G$8</f>
        <v>0</v>
      </c>
      <c r="BD73" s="15"/>
      <c r="BE73" s="40">
        <f t="shared" ref="BE73:BG73" si="218">J73+N73+R73+V73+Z73+AD73+AH73+AL73+AP73+AT73+AX73+BB73</f>
        <v>5</v>
      </c>
      <c r="BF73" s="41">
        <f t="shared" si="218"/>
        <v>12.48</v>
      </c>
      <c r="BG73" s="34">
        <f t="shared" si="218"/>
        <v>100</v>
      </c>
      <c r="BH73" s="35">
        <f t="shared" si="211"/>
        <v>-85.03</v>
      </c>
    </row>
    <row r="74" ht="14.25" customHeight="1" spans="1:60" x14ac:dyDescent="0.25">
      <c r="A74" s="29">
        <v>9</v>
      </c>
      <c r="B74" s="14"/>
      <c r="C74" s="2" t="s">
        <v>83</v>
      </c>
      <c r="D74" s="14" t="s">
        <v>47</v>
      </c>
      <c r="E74" s="2" t="s">
        <v>48</v>
      </c>
      <c r="F74" s="13">
        <v>17.98</v>
      </c>
      <c r="G74" s="28">
        <v>18.56</v>
      </c>
      <c r="H74" s="34">
        <f>'2018'!BH74</f>
        <v>0</v>
      </c>
      <c r="I74" s="13">
        <v>90</v>
      </c>
      <c r="J74" s="15"/>
      <c r="K74" s="15"/>
      <c r="L74" s="28"/>
      <c r="M74" s="15"/>
      <c r="N74" s="15"/>
      <c r="O74" s="15"/>
      <c r="P74" s="15"/>
      <c r="Q74" s="13"/>
      <c r="R74" s="15"/>
      <c r="S74" s="15"/>
      <c r="T74" s="28"/>
      <c r="U74" s="15"/>
      <c r="V74" s="15"/>
      <c r="W74" s="15"/>
      <c r="X74" s="15"/>
      <c r="Y74" s="95">
        <v>90</v>
      </c>
      <c r="Z74" s="15">
        <f>Y74-'2018'!AO74</f>
        <v>0</v>
      </c>
      <c r="AA74" s="34">
        <f>Z74*$F$10</f>
        <v>0</v>
      </c>
      <c r="AB74" s="28"/>
      <c r="AC74" s="15">
        <v>102</v>
      </c>
      <c r="AD74" s="15">
        <f t="shared" si="212"/>
        <v>12</v>
      </c>
      <c r="AE74" s="34">
        <f>AD74*$F$10</f>
        <v>215.76</v>
      </c>
      <c r="AF74" s="39">
        <v>150</v>
      </c>
      <c r="AG74" s="13">
        <v>110</v>
      </c>
      <c r="AH74" s="15">
        <f t="shared" si="213"/>
        <v>8</v>
      </c>
      <c r="AI74" s="45">
        <f>AH74*$G$10</f>
        <v>148.48</v>
      </c>
      <c r="AJ74" s="32"/>
      <c r="AK74" s="13">
        <v>110</v>
      </c>
      <c r="AL74" s="15">
        <f t="shared" si="214"/>
        <v>0</v>
      </c>
      <c r="AM74" s="45">
        <f>AL74*$G$10</f>
        <v>0</v>
      </c>
      <c r="AN74" s="38">
        <v>100</v>
      </c>
      <c r="AO74" s="13">
        <v>119</v>
      </c>
      <c r="AP74" s="15">
        <f t="shared" si="215"/>
        <v>9</v>
      </c>
      <c r="AQ74" s="45">
        <f>AP74*$G$10</f>
        <v>167.04</v>
      </c>
      <c r="AR74" s="28"/>
      <c r="AS74" s="15">
        <v>120</v>
      </c>
      <c r="AT74" s="15">
        <f t="shared" si="216"/>
        <v>1</v>
      </c>
      <c r="AU74" s="34">
        <f t="shared" si="217"/>
        <v>2.5</v>
      </c>
      <c r="AV74" s="39">
        <v>282</v>
      </c>
      <c r="AW74" s="13">
        <v>120</v>
      </c>
      <c r="AX74" s="15"/>
      <c r="AY74" s="15"/>
      <c r="AZ74" s="28"/>
      <c r="BA74" s="15">
        <v>120</v>
      </c>
      <c r="BB74" s="15"/>
      <c r="BC74" s="15"/>
      <c r="BD74" s="15"/>
      <c r="BE74" s="40">
        <f t="shared" ref="BE74:BG74" si="219">J74+N74+R74+V74+Z74+AD74+AH74+AL74+AP74+AT74+AX74+BB74</f>
        <v>30</v>
      </c>
      <c r="BF74" s="41">
        <f t="shared" si="219"/>
        <v>533.78</v>
      </c>
      <c r="BG74" s="34">
        <f t="shared" si="219"/>
        <v>532</v>
      </c>
      <c r="BH74" s="35">
        <f t="shared" si="211"/>
        <v>1.78</v>
      </c>
    </row>
    <row r="75" ht="14.25" customHeight="1" spans="1:60" x14ac:dyDescent="0.25">
      <c r="A75" s="29">
        <v>9</v>
      </c>
      <c r="B75" s="14"/>
      <c r="C75" s="2" t="s">
        <v>84</v>
      </c>
      <c r="D75" s="14" t="s">
        <v>47</v>
      </c>
      <c r="E75" s="2" t="s">
        <v>49</v>
      </c>
      <c r="F75" s="41">
        <v>500</v>
      </c>
      <c r="G75" s="35"/>
      <c r="H75" s="34">
        <f>'2018'!BH75</f>
        <v>0</v>
      </c>
      <c r="I75" s="13"/>
      <c r="J75" s="15"/>
      <c r="K75" s="15"/>
      <c r="L75" s="28"/>
      <c r="M75" s="15"/>
      <c r="N75" s="15"/>
      <c r="O75" s="15"/>
      <c r="P75" s="15"/>
      <c r="Q75" s="13"/>
      <c r="R75" s="15"/>
      <c r="S75" s="15"/>
      <c r="T75" s="28"/>
      <c r="U75" s="15"/>
      <c r="V75" s="15"/>
      <c r="W75" s="15"/>
      <c r="X75" s="15"/>
      <c r="Y75" s="13"/>
      <c r="Z75" s="15"/>
      <c r="AA75" s="15"/>
      <c r="AB75" s="28"/>
      <c r="AC75" s="15"/>
      <c r="AD75" s="15"/>
      <c r="AE75" s="34"/>
      <c r="AF75" s="15"/>
      <c r="AG75" s="13"/>
      <c r="AH75" s="15"/>
      <c r="AI75" s="34"/>
      <c r="AJ75" s="28"/>
      <c r="AK75" s="13"/>
      <c r="AL75" s="15"/>
      <c r="AM75" s="34"/>
      <c r="AN75" s="28"/>
      <c r="AO75" s="13"/>
      <c r="AP75" s="15"/>
      <c r="AQ75" s="34"/>
      <c r="AR75" s="28"/>
      <c r="AS75" s="15"/>
      <c r="AT75" s="15"/>
      <c r="AU75" s="15"/>
      <c r="AV75" s="15"/>
      <c r="AW75" s="13"/>
      <c r="AX75" s="15"/>
      <c r="AY75" s="15"/>
      <c r="AZ75" s="28"/>
      <c r="BA75" s="15"/>
      <c r="BB75" s="15"/>
      <c r="BC75" s="15"/>
      <c r="BD75" s="15"/>
      <c r="BE75" s="14"/>
      <c r="BF75" s="41">
        <f t="shared" ref="BF75:BG75" si="220">K75+O75+S75+W75+AA75+AE75+AI75+AM75+AQ75+AU75+AY75+BC75</f>
        <v>0</v>
      </c>
      <c r="BG75" s="34">
        <f t="shared" si="220"/>
        <v>0</v>
      </c>
      <c r="BH75" s="35">
        <f t="shared" si="211"/>
        <v>0</v>
      </c>
    </row>
    <row r="76" ht="14.25" customHeight="1" spans="1:60" x14ac:dyDescent="0.25">
      <c r="A76" s="29">
        <v>9</v>
      </c>
      <c r="B76" s="14"/>
      <c r="C76" s="15" t="s">
        <v>85</v>
      </c>
      <c r="D76" s="14" t="s">
        <v>50</v>
      </c>
      <c r="E76" s="2" t="s">
        <v>49</v>
      </c>
      <c r="F76" s="41">
        <v>1200</v>
      </c>
      <c r="G76" s="35"/>
      <c r="H76" s="34">
        <f>'2018'!BH76</f>
        <v>-0.003599999999</v>
      </c>
      <c r="I76" s="13"/>
      <c r="J76" s="15"/>
      <c r="K76" s="15"/>
      <c r="L76" s="28"/>
      <c r="M76" s="15"/>
      <c r="N76" s="15"/>
      <c r="O76" s="15"/>
      <c r="P76" s="15"/>
      <c r="Q76" s="13"/>
      <c r="R76" s="15"/>
      <c r="S76" s="15"/>
      <c r="T76" s="28"/>
      <c r="U76" s="15"/>
      <c r="V76" s="15"/>
      <c r="W76" s="15"/>
      <c r="X76" s="15"/>
      <c r="Y76" s="13"/>
      <c r="Z76" s="15"/>
      <c r="AA76" s="15"/>
      <c r="AB76" s="28"/>
      <c r="AC76" s="15"/>
      <c r="AD76" s="15"/>
      <c r="AE76" s="34">
        <f>B73*$F$12</f>
        <v>4836</v>
      </c>
      <c r="AF76" s="34"/>
      <c r="AG76" s="13"/>
      <c r="AH76" s="15"/>
      <c r="AI76" s="15"/>
      <c r="AJ76" s="32"/>
      <c r="AK76" s="13"/>
      <c r="AL76" s="15"/>
      <c r="AM76" s="15"/>
      <c r="AN76" s="38">
        <v>4836</v>
      </c>
      <c r="AO76" s="13"/>
      <c r="AP76" s="15"/>
      <c r="AQ76" s="15"/>
      <c r="AR76" s="28"/>
      <c r="AS76" s="15"/>
      <c r="AT76" s="15"/>
      <c r="AU76" s="15"/>
      <c r="AV76" s="15"/>
      <c r="AW76" s="13"/>
      <c r="AX76" s="15"/>
      <c r="AY76" s="15"/>
      <c r="AZ76" s="28"/>
      <c r="BA76" s="15"/>
      <c r="BB76" s="15"/>
      <c r="BC76" s="15"/>
      <c r="BD76" s="15"/>
      <c r="BE76" s="14"/>
      <c r="BF76" s="41">
        <f t="shared" ref="BF76:BG76" si="221">K76+O76+S76+W76+AA76+AE76+AI76+AM76+AQ76+AU76+AY76+BC76</f>
        <v>4836</v>
      </c>
      <c r="BG76" s="34">
        <f t="shared" si="221"/>
        <v>4836</v>
      </c>
      <c r="BH76" s="35">
        <f t="shared" si="211"/>
        <v>-0.003599999999</v>
      </c>
    </row>
    <row r="77" ht="14.25" customHeight="1" spans="1:60" x14ac:dyDescent="0.25">
      <c r="A77" s="29">
        <v>9</v>
      </c>
      <c r="B77" s="14"/>
      <c r="D77" s="14" t="s">
        <v>51</v>
      </c>
      <c r="E77" s="2" t="s">
        <v>49</v>
      </c>
      <c r="F77" s="41">
        <v>1000</v>
      </c>
      <c r="G77" s="35"/>
      <c r="H77" s="34">
        <f>'2018'!BH77</f>
        <v>0</v>
      </c>
      <c r="I77" s="13"/>
      <c r="J77" s="15"/>
      <c r="K77" s="15"/>
      <c r="L77" s="28"/>
      <c r="M77" s="15"/>
      <c r="N77" s="15"/>
      <c r="O77" s="15"/>
      <c r="P77" s="15"/>
      <c r="Q77" s="13"/>
      <c r="R77" s="15"/>
      <c r="S77" s="15"/>
      <c r="T77" s="28"/>
      <c r="U77" s="15"/>
      <c r="V77" s="15"/>
      <c r="W77" s="15"/>
      <c r="X77" s="15"/>
      <c r="Y77" s="13"/>
      <c r="Z77" s="15"/>
      <c r="AA77" s="15"/>
      <c r="AB77" s="28"/>
      <c r="AC77" s="15"/>
      <c r="AD77" s="15"/>
      <c r="AE77" s="34">
        <f>$F$21</f>
        <v>1000</v>
      </c>
      <c r="AF77" s="39">
        <v>1000</v>
      </c>
      <c r="AG77" s="13"/>
      <c r="AH77" s="15"/>
      <c r="AI77" s="15"/>
      <c r="AJ77" s="28"/>
      <c r="AK77" s="13"/>
      <c r="AL77" s="15"/>
      <c r="AM77" s="15"/>
      <c r="AN77" s="28"/>
      <c r="AO77" s="13"/>
      <c r="AP77" s="15"/>
      <c r="AQ77" s="15"/>
      <c r="AR77" s="28"/>
      <c r="AS77" s="15"/>
      <c r="AT77" s="15"/>
      <c r="AU77" s="15"/>
      <c r="AV77" s="15"/>
      <c r="AW77" s="13"/>
      <c r="AX77" s="15"/>
      <c r="AY77" s="15"/>
      <c r="AZ77" s="28"/>
      <c r="BA77" s="15"/>
      <c r="BB77" s="15"/>
      <c r="BC77" s="15"/>
      <c r="BD77" s="15"/>
      <c r="BE77" s="14"/>
      <c r="BF77" s="41">
        <f t="shared" ref="BF77:BG77" si="222">K77+O77+S77+W77+AA77+AE77+AI77+AM77+AQ77+AU77+AY77+BC77</f>
        <v>1000</v>
      </c>
      <c r="BG77" s="34">
        <f t="shared" si="222"/>
        <v>1000</v>
      </c>
      <c r="BH77" s="35">
        <f t="shared" si="211"/>
        <v>0</v>
      </c>
    </row>
    <row r="78" ht="14.25" customHeight="1" spans="1:60" x14ac:dyDescent="0.25">
      <c r="A78" s="29">
        <v>9</v>
      </c>
      <c r="B78" s="14"/>
      <c r="D78" s="14" t="s">
        <v>52</v>
      </c>
      <c r="E78" s="2" t="s">
        <v>39</v>
      </c>
      <c r="F78" s="41">
        <v>500</v>
      </c>
      <c r="G78" s="35"/>
      <c r="H78" s="34">
        <f>'2018'!BH78</f>
        <v>0</v>
      </c>
      <c r="I78" s="13"/>
      <c r="J78" s="15"/>
      <c r="K78" s="15"/>
      <c r="L78" s="28"/>
      <c r="M78" s="15"/>
      <c r="N78" s="15"/>
      <c r="O78" s="15"/>
      <c r="P78" s="15"/>
      <c r="Q78" s="13"/>
      <c r="R78" s="15"/>
      <c r="S78" s="15"/>
      <c r="T78" s="28"/>
      <c r="U78" s="15"/>
      <c r="V78" s="15"/>
      <c r="W78" s="15"/>
      <c r="X78" s="15"/>
      <c r="Y78" s="13"/>
      <c r="Z78" s="15"/>
      <c r="AA78" s="34">
        <f>$F$14</f>
        <v>500</v>
      </c>
      <c r="AB78" s="35"/>
      <c r="AC78" s="15"/>
      <c r="AD78" s="15"/>
      <c r="AE78" s="15"/>
      <c r="AF78" s="15"/>
      <c r="AG78" s="13"/>
      <c r="AH78" s="15"/>
      <c r="AI78" s="15"/>
      <c r="AJ78" s="28"/>
      <c r="AK78" s="13"/>
      <c r="AL78" s="15"/>
      <c r="AM78" s="15"/>
      <c r="AN78" s="38">
        <v>500</v>
      </c>
      <c r="AO78" s="13"/>
      <c r="AP78" s="15"/>
      <c r="AQ78" s="15"/>
      <c r="AR78" s="28"/>
      <c r="AS78" s="15"/>
      <c r="AT78" s="15"/>
      <c r="AU78" s="15"/>
      <c r="AV78" s="15"/>
      <c r="AW78" s="13"/>
      <c r="AX78" s="15"/>
      <c r="AY78" s="15"/>
      <c r="AZ78" s="28"/>
      <c r="BA78" s="15"/>
      <c r="BB78" s="15"/>
      <c r="BC78" s="15"/>
      <c r="BD78" s="15"/>
      <c r="BE78" s="14"/>
      <c r="BF78" s="41">
        <f t="shared" ref="BF78:BG78" si="223">K78+O78+S78+W78+AA78+AE78+AI78+AM78+AQ78+AU78+AY78+BC78</f>
        <v>500</v>
      </c>
      <c r="BG78" s="34">
        <f t="shared" si="223"/>
        <v>500</v>
      </c>
      <c r="BH78" s="35">
        <f t="shared" si="211"/>
        <v>0</v>
      </c>
    </row>
    <row r="79" ht="14.25" customHeight="1" spans="1:62" x14ac:dyDescent="0.25">
      <c r="A79" s="78">
        <v>9</v>
      </c>
      <c r="B79" s="21"/>
      <c r="C79" s="22" t="s">
        <v>53</v>
      </c>
      <c r="D79" s="21"/>
      <c r="E79" s="22"/>
      <c r="F79" s="20"/>
      <c r="G79" s="23"/>
      <c r="H79" s="51">
        <f>SUM(H72:H78)</f>
        <v>2.4864</v>
      </c>
      <c r="I79" s="52"/>
      <c r="J79" s="53"/>
      <c r="K79" s="51">
        <f t="shared" ref="K79:L79" si="224">SUM(K73:K78)</f>
        <v>0</v>
      </c>
      <c r="L79" s="68">
        <f t="shared" si="224"/>
        <v>0</v>
      </c>
      <c r="M79" s="53"/>
      <c r="N79" s="53"/>
      <c r="O79" s="51">
        <f t="shared" ref="O79:P79" si="225">SUM(O73:O78)</f>
        <v>0</v>
      </c>
      <c r="P79" s="51">
        <f t="shared" si="225"/>
        <v>0</v>
      </c>
      <c r="Q79" s="52"/>
      <c r="R79" s="53"/>
      <c r="S79" s="51">
        <f t="shared" ref="S79:T79" si="226">SUM(S73:S78)</f>
        <v>0</v>
      </c>
      <c r="T79" s="68">
        <f t="shared" si="226"/>
        <v>0</v>
      </c>
      <c r="U79" s="53"/>
      <c r="V79" s="53"/>
      <c r="W79" s="51">
        <f t="shared" ref="W79:X79" si="227">SUM(W73:W78)</f>
        <v>0</v>
      </c>
      <c r="X79" s="51">
        <f t="shared" si="227"/>
        <v>0</v>
      </c>
      <c r="Y79" s="52"/>
      <c r="Z79" s="53"/>
      <c r="AA79" s="51">
        <f t="shared" ref="AA79:AB79" si="228">SUM(AA73:AA78)</f>
        <v>504.98</v>
      </c>
      <c r="AB79" s="68">
        <f t="shared" si="228"/>
        <v>0</v>
      </c>
      <c r="AC79" s="53"/>
      <c r="AD79" s="53"/>
      <c r="AE79" s="51">
        <f t="shared" ref="AE79:AF79" si="229">SUM(AE73:AE78)</f>
        <v>6056.76</v>
      </c>
      <c r="AF79" s="51">
        <f t="shared" si="229"/>
        <v>1250</v>
      </c>
      <c r="AG79" s="52"/>
      <c r="AH79" s="53"/>
      <c r="AI79" s="51">
        <f t="shared" ref="AI79:AJ79" si="230">SUM(AI73:AI78)</f>
        <v>150.98</v>
      </c>
      <c r="AJ79" s="68">
        <f t="shared" si="230"/>
        <v>0</v>
      </c>
      <c r="AK79" s="52"/>
      <c r="AL79" s="53"/>
      <c r="AM79" s="51">
        <f t="shared" ref="AM79:AN79" si="231">SUM(AM73:AM78)</f>
        <v>0</v>
      </c>
      <c r="AN79" s="68">
        <f t="shared" si="231"/>
        <v>5436</v>
      </c>
      <c r="AO79" s="52"/>
      <c r="AP79" s="53"/>
      <c r="AQ79" s="51">
        <f t="shared" ref="AQ79:AR79" si="232">SUM(AQ72:AQ78)</f>
        <v>167.04</v>
      </c>
      <c r="AR79" s="68">
        <f t="shared" si="232"/>
        <v>0</v>
      </c>
      <c r="AS79" s="53"/>
      <c r="AT79" s="53"/>
      <c r="AU79" s="51">
        <f t="shared" ref="AU79:AV79" si="233">SUM(AU72:AU78)</f>
        <v>2.5</v>
      </c>
      <c r="AV79" s="68">
        <f t="shared" si="233"/>
        <v>282</v>
      </c>
      <c r="AW79" s="52"/>
      <c r="AX79" s="53"/>
      <c r="AY79" s="51">
        <f t="shared" ref="AY79:AZ79" si="234">SUM(AY72:AY78)</f>
        <v>0</v>
      </c>
      <c r="AZ79" s="68">
        <f t="shared" si="234"/>
        <v>0</v>
      </c>
      <c r="BA79" s="53"/>
      <c r="BB79" s="53"/>
      <c r="BC79" s="51">
        <f t="shared" ref="BC79:BD79" si="235">SUM(BC72:BC78)</f>
        <v>0</v>
      </c>
      <c r="BD79" s="68">
        <f t="shared" si="235"/>
        <v>0</v>
      </c>
      <c r="BE79" s="69"/>
      <c r="BF79" s="70">
        <f t="shared" ref="BF79:BH79" si="236">SUM(BF72:BF78)</f>
        <v>6882.26</v>
      </c>
      <c r="BG79" s="71">
        <f t="shared" si="236"/>
        <v>6968</v>
      </c>
      <c r="BH79" s="72">
        <f t="shared" si="236"/>
        <v>-83.2536</v>
      </c>
      <c r="BI79" s="34">
        <f>H79+BF79-BG79</f>
        <v>-83.2536</v>
      </c>
      <c r="BJ79" s="34">
        <f>BH79-BI79</f>
        <v>0</v>
      </c>
    </row>
    <row r="80" ht="14.25" customHeight="1" spans="1:60" x14ac:dyDescent="0.25">
      <c r="A80" s="29">
        <v>10</v>
      </c>
      <c r="B80" s="14"/>
      <c r="C80" s="15"/>
      <c r="D80" s="14" t="s">
        <v>379</v>
      </c>
      <c r="E80" s="15"/>
      <c r="F80" s="13"/>
      <c r="G80" s="28"/>
      <c r="H80" s="34">
        <f>'2018'!BH80</f>
      </c>
      <c r="I80" s="61"/>
      <c r="J80" s="60"/>
      <c r="K80" s="60"/>
      <c r="L80" s="63"/>
      <c r="M80" s="60"/>
      <c r="N80" s="60"/>
      <c r="O80" s="60"/>
      <c r="P80" s="62"/>
      <c r="Q80" s="61"/>
      <c r="R80" s="60"/>
      <c r="S80" s="62"/>
      <c r="T80" s="63"/>
      <c r="U80" s="60"/>
      <c r="V80" s="60"/>
      <c r="W80" s="62"/>
      <c r="X80" s="62"/>
      <c r="Y80" s="61"/>
      <c r="Z80" s="60"/>
      <c r="AA80" s="62"/>
      <c r="AB80" s="63"/>
      <c r="AC80" s="60"/>
      <c r="AD80" s="60"/>
      <c r="AE80" s="62"/>
      <c r="AF80" s="62"/>
      <c r="AG80" s="61"/>
      <c r="AH80" s="60"/>
      <c r="AI80" s="62"/>
      <c r="AJ80" s="63"/>
      <c r="AK80" s="61"/>
      <c r="AL80" s="60"/>
      <c r="AM80" s="62"/>
      <c r="AN80" s="63"/>
      <c r="AO80" s="61"/>
      <c r="AP80" s="60"/>
      <c r="AQ80" s="62"/>
      <c r="AR80" s="63"/>
      <c r="AS80" s="60"/>
      <c r="AT80" s="60"/>
      <c r="AU80" s="62"/>
      <c r="AV80" s="62"/>
      <c r="AW80" s="61"/>
      <c r="AX80" s="60"/>
      <c r="AY80" s="62"/>
      <c r="AZ80" s="63"/>
      <c r="BA80" s="60"/>
      <c r="BB80" s="60"/>
      <c r="BC80" s="62"/>
      <c r="BD80" s="62"/>
      <c r="BE80" s="65"/>
      <c r="BF80" s="41">
        <f t="shared" ref="BF80:BG80" si="237">K80+O80+S80+W80+AA80+AE80+AI80+AM80+AQ80+AU80+AY80+BC80</f>
        <v>0</v>
      </c>
      <c r="BG80" s="34">
        <f t="shared" si="237"/>
        <v>0</v>
      </c>
      <c r="BH80" s="35">
        <f t="shared" ref="BH80:BH86" si="238">H80+BF80-BG80</f>
        <v>0</v>
      </c>
    </row>
    <row r="81" ht="14.25" customHeight="1" spans="1:60" x14ac:dyDescent="0.25">
      <c r="A81" s="2">
        <v>10</v>
      </c>
      <c r="B81" s="14">
        <v>4.01</v>
      </c>
      <c r="C81" s="2" t="s">
        <v>86</v>
      </c>
      <c r="D81" s="14" t="s">
        <v>44</v>
      </c>
      <c r="E81" s="2" t="s">
        <v>45</v>
      </c>
      <c r="F81" s="13">
        <v>2.49</v>
      </c>
      <c r="G81" s="35">
        <v>2.5</v>
      </c>
      <c r="H81" s="104">
        <f>'2018'!BH81</f>
        <v>0</v>
      </c>
      <c r="I81" s="13"/>
      <c r="J81" s="15"/>
      <c r="K81" s="34">
        <f>J81*$F$8</f>
        <v>0</v>
      </c>
      <c r="L81" s="28"/>
      <c r="M81" s="15"/>
      <c r="N81" s="15">
        <f>M81-I81</f>
        <v>0</v>
      </c>
      <c r="O81" s="34">
        <f>N81*$F$8</f>
        <v>0</v>
      </c>
      <c r="P81" s="15"/>
      <c r="Q81" s="13"/>
      <c r="R81" s="15">
        <f>Q81-M81</f>
        <v>0</v>
      </c>
      <c r="S81" s="34">
        <f>R81*$F$8</f>
        <v>0</v>
      </c>
      <c r="T81" s="28"/>
      <c r="U81" s="15"/>
      <c r="V81" s="15">
        <f>U81-Q81</f>
        <v>0</v>
      </c>
      <c r="W81" s="15"/>
      <c r="X81" s="15"/>
      <c r="Y81" s="13"/>
      <c r="Z81" s="15">
        <f>Y81-U81</f>
        <v>0</v>
      </c>
      <c r="AA81" s="34">
        <f>Z81*$F$8</f>
        <v>0</v>
      </c>
      <c r="AB81" s="28"/>
      <c r="AC81" s="15"/>
      <c r="AD81" s="15">
        <f t="shared" ref="AD81:AD82" si="239">AC81-Y81</f>
        <v>0</v>
      </c>
      <c r="AE81" s="34">
        <f>AD81*$G$8</f>
        <v>0</v>
      </c>
      <c r="AF81" s="15"/>
      <c r="AG81" s="13"/>
      <c r="AH81" s="15">
        <f t="shared" ref="AH81:AH82" si="240">AG81-AC81</f>
        <v>0</v>
      </c>
      <c r="AI81" s="34">
        <f>AH81*$G$8</f>
        <v>0</v>
      </c>
      <c r="AJ81" s="28"/>
      <c r="AK81" s="13"/>
      <c r="AL81" s="15">
        <f t="shared" ref="AL81:AL82" si="241">AK81-AG81</f>
        <v>0</v>
      </c>
      <c r="AM81" s="34">
        <f>AL81*$G$8</f>
        <v>0</v>
      </c>
      <c r="AN81" s="28"/>
      <c r="AO81" s="13"/>
      <c r="AP81" s="15">
        <f t="shared" ref="AP81:AP82" si="242">AO81-AK81</f>
        <v>0</v>
      </c>
      <c r="AQ81" s="34">
        <f>AP81*$G$8</f>
        <v>0</v>
      </c>
      <c r="AR81" s="28"/>
      <c r="AS81" s="15"/>
      <c r="AT81" s="15">
        <f t="shared" ref="AT81:AT82" si="243">AS81-AO81</f>
        <v>0</v>
      </c>
      <c r="AU81" s="34">
        <f>AT81*$G$8</f>
        <v>0</v>
      </c>
      <c r="AV81" s="15"/>
      <c r="AW81" s="13"/>
      <c r="AX81" s="15">
        <f>AW81-AS81</f>
        <v>0</v>
      </c>
      <c r="AY81" s="34">
        <f>AX81*$G$8</f>
        <v>0</v>
      </c>
      <c r="AZ81" s="28"/>
      <c r="BA81" s="15"/>
      <c r="BB81" s="15">
        <f>BA81-AW81</f>
        <v>0</v>
      </c>
      <c r="BC81" s="34">
        <f>BB81*$G$8</f>
        <v>0</v>
      </c>
      <c r="BD81" s="15"/>
      <c r="BE81" s="40">
        <f t="shared" ref="BE81:BG81" si="244">J81+N81+R81+V81+Z81+AD81+AH81+AL81+AP81+AT81+AX81+BB81</f>
        <v>0</v>
      </c>
      <c r="BF81" s="41">
        <f t="shared" si="244"/>
        <v>0</v>
      </c>
      <c r="BG81" s="34">
        <f t="shared" si="244"/>
        <v>0</v>
      </c>
      <c r="BH81" s="35">
        <f t="shared" si="238"/>
        <v>0</v>
      </c>
    </row>
    <row r="82" ht="14.25" customHeight="1" spans="1:60" x14ac:dyDescent="0.25">
      <c r="A82" s="29">
        <v>10</v>
      </c>
      <c r="B82" s="14"/>
      <c r="C82" s="2" t="s">
        <v>87</v>
      </c>
      <c r="D82" s="14" t="s">
        <v>47</v>
      </c>
      <c r="E82" s="2" t="s">
        <v>48</v>
      </c>
      <c r="F82" s="13">
        <v>17.98</v>
      </c>
      <c r="G82" s="28">
        <v>18.56</v>
      </c>
      <c r="H82" s="34">
        <f>'2018'!BH82</f>
        <v>0</v>
      </c>
      <c r="I82" s="13">
        <v>82</v>
      </c>
      <c r="J82" s="15"/>
      <c r="K82" s="15"/>
      <c r="L82" s="28"/>
      <c r="M82" s="15"/>
      <c r="N82" s="15"/>
      <c r="O82" s="15"/>
      <c r="P82" s="15"/>
      <c r="Q82" s="13"/>
      <c r="R82" s="15"/>
      <c r="S82" s="15"/>
      <c r="T82" s="28"/>
      <c r="U82" s="15"/>
      <c r="V82" s="15"/>
      <c r="W82" s="15"/>
      <c r="X82" s="15"/>
      <c r="Y82" s="95">
        <v>3</v>
      </c>
      <c r="Z82" s="81">
        <v>3</v>
      </c>
      <c r="AA82" s="34">
        <f>Z82*$F$10</f>
        <v>53.94</v>
      </c>
      <c r="AB82" s="28"/>
      <c r="AC82" s="15">
        <v>5</v>
      </c>
      <c r="AD82" s="15">
        <f t="shared" si="239"/>
        <v>2</v>
      </c>
      <c r="AE82" s="34">
        <f>AD82*$F$10</f>
        <v>35.96</v>
      </c>
      <c r="AF82" s="133">
        <f>89.9+0.19</f>
        <v>90.09</v>
      </c>
      <c r="AG82" s="13">
        <v>5</v>
      </c>
      <c r="AH82" s="15">
        <f t="shared" si="240"/>
        <v>0</v>
      </c>
      <c r="AI82" s="45">
        <f>AH82*$G$10</f>
        <v>0</v>
      </c>
      <c r="AJ82" s="32"/>
      <c r="AK82" s="13">
        <v>21</v>
      </c>
      <c r="AL82" s="15">
        <f t="shared" si="241"/>
        <v>16</v>
      </c>
      <c r="AM82" s="45">
        <f>AL82*$G$10</f>
        <v>296.96</v>
      </c>
      <c r="AN82" s="134">
        <v>300</v>
      </c>
      <c r="AO82" s="13">
        <v>24</v>
      </c>
      <c r="AP82" s="15">
        <f t="shared" si="242"/>
        <v>3</v>
      </c>
      <c r="AQ82" s="45">
        <f>AP82*$G$10</f>
        <v>55.68</v>
      </c>
      <c r="AR82" s="28"/>
      <c r="AS82" s="13">
        <v>24</v>
      </c>
      <c r="AT82" s="15">
        <f t="shared" si="243"/>
        <v>0</v>
      </c>
      <c r="AU82" s="45">
        <f>AT82*$G$10</f>
        <v>0</v>
      </c>
      <c r="AV82" s="15"/>
      <c r="AW82" s="13">
        <v>24</v>
      </c>
      <c r="AX82" s="15"/>
      <c r="AY82" s="15"/>
      <c r="AZ82" s="28"/>
      <c r="BA82" s="15">
        <v>24</v>
      </c>
      <c r="BB82" s="15"/>
      <c r="BC82" s="15"/>
      <c r="BD82" s="15"/>
      <c r="BE82" s="40">
        <f t="shared" ref="BE82:BG82" si="245">J82+N82+R82+V82+Z82+AD82+AH82+AL82+AP82+AT82+AX82+BB82</f>
        <v>24</v>
      </c>
      <c r="BF82" s="41">
        <f t="shared" si="245"/>
        <v>442.54</v>
      </c>
      <c r="BG82" s="34">
        <f t="shared" si="245"/>
        <v>390.09</v>
      </c>
      <c r="BH82" s="35">
        <f t="shared" si="238"/>
        <v>52.45</v>
      </c>
    </row>
    <row r="83" ht="14.25" customHeight="1" spans="1:60" x14ac:dyDescent="0.25">
      <c r="A83" s="29">
        <v>10</v>
      </c>
      <c r="B83" s="14"/>
      <c r="C83" s="2" t="s">
        <v>68</v>
      </c>
      <c r="D83" s="14" t="s">
        <v>47</v>
      </c>
      <c r="E83" s="2" t="s">
        <v>49</v>
      </c>
      <c r="F83" s="41">
        <v>500</v>
      </c>
      <c r="G83" s="35"/>
      <c r="H83" s="34">
        <f>'2018'!BH83</f>
        <v>0</v>
      </c>
      <c r="I83" s="13"/>
      <c r="J83" s="15"/>
      <c r="K83" s="15"/>
      <c r="L83" s="28"/>
      <c r="M83" s="15"/>
      <c r="N83" s="15"/>
      <c r="O83" s="15"/>
      <c r="P83" s="15"/>
      <c r="Q83" s="13"/>
      <c r="R83" s="15"/>
      <c r="S83" s="15"/>
      <c r="T83" s="28"/>
      <c r="U83" s="15"/>
      <c r="V83" s="15"/>
      <c r="W83" s="15"/>
      <c r="X83" s="15"/>
      <c r="Y83" s="13"/>
      <c r="Z83" s="15"/>
      <c r="AA83" s="15"/>
      <c r="AB83" s="28"/>
      <c r="AC83" s="15"/>
      <c r="AD83" s="15"/>
      <c r="AE83" s="34"/>
      <c r="AF83" s="15"/>
      <c r="AG83" s="13"/>
      <c r="AH83" s="15"/>
      <c r="AI83" s="34"/>
      <c r="AJ83" s="28"/>
      <c r="AK83" s="13"/>
      <c r="AL83" s="15"/>
      <c r="AM83" s="34"/>
      <c r="AN83" s="28"/>
      <c r="AO83" s="13"/>
      <c r="AP83" s="15"/>
      <c r="AQ83" s="34"/>
      <c r="AR83" s="28"/>
      <c r="AS83" s="15"/>
      <c r="AT83" s="15"/>
      <c r="AU83" s="15"/>
      <c r="AV83" s="15"/>
      <c r="AW83" s="13"/>
      <c r="AX83" s="15"/>
      <c r="AY83" s="15"/>
      <c r="AZ83" s="28"/>
      <c r="BA83" s="15"/>
      <c r="BB83" s="15"/>
      <c r="BC83" s="15"/>
      <c r="BD83" s="15"/>
      <c r="BE83" s="14"/>
      <c r="BF83" s="41">
        <f t="shared" ref="BF83:BG83" si="246">K83+O83+S83+W83+AA83+AE83+AI83+AM83+AQ83+AU83+AY83+BC83</f>
        <v>0</v>
      </c>
      <c r="BG83" s="34">
        <f t="shared" si="246"/>
        <v>0</v>
      </c>
      <c r="BH83" s="35">
        <f t="shared" si="238"/>
        <v>0</v>
      </c>
    </row>
    <row r="84" ht="14.25" customHeight="1" spans="1:60" x14ac:dyDescent="0.25">
      <c r="A84" s="29">
        <v>10</v>
      </c>
      <c r="B84" s="14"/>
      <c r="C84" s="15" t="s">
        <v>88</v>
      </c>
      <c r="D84" s="14" t="s">
        <v>50</v>
      </c>
      <c r="E84" s="2" t="s">
        <v>49</v>
      </c>
      <c r="F84" s="41">
        <v>1200</v>
      </c>
      <c r="G84" s="35"/>
      <c r="H84" s="34">
        <f>'2018'!BH84</f>
        <v>-0.0912</v>
      </c>
      <c r="I84" s="13"/>
      <c r="J84" s="15"/>
      <c r="K84" s="15"/>
      <c r="L84" s="28"/>
      <c r="M84" s="15"/>
      <c r="N84" s="15"/>
      <c r="O84" s="15"/>
      <c r="P84" s="15"/>
      <c r="Q84" s="13"/>
      <c r="R84" s="15"/>
      <c r="S84" s="15"/>
      <c r="T84" s="28"/>
      <c r="U84" s="15"/>
      <c r="V84" s="15"/>
      <c r="W84" s="15"/>
      <c r="X84" s="15"/>
      <c r="Y84" s="13"/>
      <c r="Z84" s="15"/>
      <c r="AA84" s="15"/>
      <c r="AB84" s="28"/>
      <c r="AC84" s="15"/>
      <c r="AD84" s="15"/>
      <c r="AE84" s="34">
        <f>B81*$F$12</f>
        <v>4812</v>
      </c>
      <c r="AF84" s="138">
        <v>4811.91</v>
      </c>
      <c r="AG84" s="13"/>
      <c r="AH84" s="15"/>
      <c r="AI84" s="15"/>
      <c r="AJ84" s="32"/>
      <c r="AK84" s="13"/>
      <c r="AL84" s="15"/>
      <c r="AM84" s="15"/>
      <c r="AN84" s="28"/>
      <c r="AO84" s="13"/>
      <c r="AP84" s="15"/>
      <c r="AQ84" s="15"/>
      <c r="AR84" s="28"/>
      <c r="AS84" s="15"/>
      <c r="AT84" s="15"/>
      <c r="AU84" s="15"/>
      <c r="AV84" s="15"/>
      <c r="AW84" s="13"/>
      <c r="AX84" s="15"/>
      <c r="AY84" s="15"/>
      <c r="AZ84" s="28"/>
      <c r="BA84" s="15"/>
      <c r="BB84" s="15"/>
      <c r="BC84" s="15"/>
      <c r="BD84" s="15"/>
      <c r="BE84" s="14"/>
      <c r="BF84" s="41">
        <f t="shared" ref="BF84:BG84" si="247">K84+O84+S84+W84+AA84+AE84+AI84+AM84+AQ84+AU84+AY84+BC84</f>
        <v>4812</v>
      </c>
      <c r="BG84" s="34">
        <f t="shared" si="247"/>
        <v>4811.91</v>
      </c>
      <c r="BH84" s="35">
        <f t="shared" si="238"/>
        <v>-0.0012</v>
      </c>
    </row>
    <row r="85" ht="14.25" customHeight="1" spans="1:60" x14ac:dyDescent="0.25">
      <c r="A85" s="29">
        <v>10</v>
      </c>
      <c r="B85" s="14"/>
      <c r="D85" s="14" t="s">
        <v>51</v>
      </c>
      <c r="E85" s="2" t="s">
        <v>49</v>
      </c>
      <c r="F85" s="41">
        <v>1000</v>
      </c>
      <c r="G85" s="35"/>
      <c r="H85" s="34">
        <f>'2018'!BH85</f>
        <v>0</v>
      </c>
      <c r="I85" s="13"/>
      <c r="J85" s="15"/>
      <c r="K85" s="15"/>
      <c r="L85" s="28"/>
      <c r="M85" s="15"/>
      <c r="N85" s="15"/>
      <c r="O85" s="15"/>
      <c r="P85" s="15"/>
      <c r="Q85" s="13"/>
      <c r="R85" s="15"/>
      <c r="S85" s="15"/>
      <c r="T85" s="28"/>
      <c r="U85" s="15"/>
      <c r="V85" s="15"/>
      <c r="W85" s="15"/>
      <c r="X85" s="15"/>
      <c r="Y85" s="13"/>
      <c r="Z85" s="15"/>
      <c r="AA85" s="15"/>
      <c r="AB85" s="28"/>
      <c r="AC85" s="15"/>
      <c r="AD85" s="15"/>
      <c r="AE85" s="34">
        <f>$F$21</f>
        <v>1000</v>
      </c>
      <c r="AF85" s="133">
        <v>1000</v>
      </c>
      <c r="AG85" s="13"/>
      <c r="AH85" s="15"/>
      <c r="AI85" s="15"/>
      <c r="AJ85" s="28"/>
      <c r="AK85" s="13"/>
      <c r="AL85" s="15"/>
      <c r="AM85" s="15"/>
      <c r="AN85" s="28"/>
      <c r="AO85" s="13"/>
      <c r="AP85" s="15"/>
      <c r="AQ85" s="15"/>
      <c r="AR85" s="28"/>
      <c r="AS85" s="15"/>
      <c r="AT85" s="15"/>
      <c r="AU85" s="15"/>
      <c r="AV85" s="15"/>
      <c r="AW85" s="13"/>
      <c r="AX85" s="15"/>
      <c r="AY85" s="15"/>
      <c r="AZ85" s="28"/>
      <c r="BA85" s="15"/>
      <c r="BB85" s="15"/>
      <c r="BC85" s="15"/>
      <c r="BD85" s="15"/>
      <c r="BE85" s="14"/>
      <c r="BF85" s="41">
        <f t="shared" ref="BF85:BG85" si="248">K85+O85+S85+W85+AA85+AE85+AI85+AM85+AQ85+AU85+AY85+BC85</f>
        <v>1000</v>
      </c>
      <c r="BG85" s="34">
        <f t="shared" si="248"/>
        <v>1000</v>
      </c>
      <c r="BH85" s="35">
        <f t="shared" si="238"/>
        <v>0</v>
      </c>
    </row>
    <row r="86" ht="14.25" customHeight="1" spans="1:60" x14ac:dyDescent="0.25">
      <c r="A86" s="29">
        <v>10</v>
      </c>
      <c r="B86" s="14"/>
      <c r="D86" s="14" t="s">
        <v>52</v>
      </c>
      <c r="E86" s="2" t="s">
        <v>39</v>
      </c>
      <c r="F86" s="41">
        <v>500</v>
      </c>
      <c r="G86" s="35"/>
      <c r="H86" s="34">
        <f>'2018'!BH86</f>
        <v>0</v>
      </c>
      <c r="I86" s="13"/>
      <c r="J86" s="15"/>
      <c r="K86" s="15"/>
      <c r="L86" s="28"/>
      <c r="M86" s="15"/>
      <c r="N86" s="15"/>
      <c r="O86" s="15"/>
      <c r="P86" s="15"/>
      <c r="Q86" s="13"/>
      <c r="R86" s="15"/>
      <c r="S86" s="15"/>
      <c r="T86" s="28"/>
      <c r="U86" s="15"/>
      <c r="V86" s="15"/>
      <c r="W86" s="15"/>
      <c r="X86" s="15"/>
      <c r="Y86" s="13"/>
      <c r="Z86" s="15"/>
      <c r="AA86" s="34">
        <f>$F$14</f>
        <v>500</v>
      </c>
      <c r="AB86" s="35"/>
      <c r="AC86" s="15"/>
      <c r="AD86" s="15"/>
      <c r="AE86" s="15"/>
      <c r="AF86" s="133">
        <v>500</v>
      </c>
      <c r="AG86" s="13"/>
      <c r="AH86" s="15"/>
      <c r="AI86" s="15"/>
      <c r="AJ86" s="28"/>
      <c r="AK86" s="13"/>
      <c r="AL86" s="15"/>
      <c r="AM86" s="15"/>
      <c r="AN86" s="28"/>
      <c r="AO86" s="13"/>
      <c r="AP86" s="15"/>
      <c r="AQ86" s="15"/>
      <c r="AR86" s="28"/>
      <c r="AS86" s="15"/>
      <c r="AT86" s="15"/>
      <c r="AU86" s="15"/>
      <c r="AV86" s="15"/>
      <c r="AW86" s="13"/>
      <c r="AX86" s="15"/>
      <c r="AY86" s="15"/>
      <c r="AZ86" s="28"/>
      <c r="BA86" s="15"/>
      <c r="BB86" s="15"/>
      <c r="BC86" s="15"/>
      <c r="BD86" s="15"/>
      <c r="BE86" s="14"/>
      <c r="BF86" s="41">
        <f t="shared" ref="BF86:BG86" si="249">K86+O86+S86+W86+AA86+AE86+AI86+AM86+AQ86+AU86+AY86+BC86</f>
        <v>500</v>
      </c>
      <c r="BG86" s="34">
        <f t="shared" si="249"/>
        <v>500</v>
      </c>
      <c r="BH86" s="35">
        <f t="shared" si="238"/>
        <v>0</v>
      </c>
    </row>
    <row r="87" ht="14.25" customHeight="1" spans="1:62" x14ac:dyDescent="0.25">
      <c r="A87" s="78">
        <v>10</v>
      </c>
      <c r="B87" s="21"/>
      <c r="C87" s="22" t="s">
        <v>53</v>
      </c>
      <c r="D87" s="21"/>
      <c r="E87" s="22"/>
      <c r="F87" s="20"/>
      <c r="G87" s="23"/>
      <c r="H87" s="51">
        <f>SUM(H80:H86)</f>
        <v>-0.0912</v>
      </c>
      <c r="I87" s="52"/>
      <c r="J87" s="53"/>
      <c r="K87" s="51">
        <f t="shared" ref="K87:L87" si="250">SUM(K81:K86)</f>
        <v>0</v>
      </c>
      <c r="L87" s="68">
        <f t="shared" si="250"/>
        <v>0</v>
      </c>
      <c r="M87" s="53"/>
      <c r="N87" s="53"/>
      <c r="O87" s="51">
        <f t="shared" ref="O87:P87" si="251">SUM(O81:O86)</f>
        <v>0</v>
      </c>
      <c r="P87" s="51">
        <f t="shared" si="251"/>
        <v>0</v>
      </c>
      <c r="Q87" s="52"/>
      <c r="R87" s="53"/>
      <c r="S87" s="51">
        <f t="shared" ref="S87:T87" si="252">SUM(S81:S86)</f>
        <v>0</v>
      </c>
      <c r="T87" s="68">
        <f t="shared" si="252"/>
        <v>0</v>
      </c>
      <c r="U87" s="53"/>
      <c r="V87" s="53"/>
      <c r="W87" s="51">
        <f t="shared" ref="W87:X87" si="253">SUM(W81:W86)</f>
        <v>0</v>
      </c>
      <c r="X87" s="51">
        <f t="shared" si="253"/>
        <v>0</v>
      </c>
      <c r="Y87" s="52"/>
      <c r="Z87" s="53"/>
      <c r="AA87" s="51">
        <f t="shared" ref="AA87:AB87" si="254">SUM(AA81:AA86)</f>
        <v>553.94</v>
      </c>
      <c r="AB87" s="68">
        <f t="shared" si="254"/>
        <v>0</v>
      </c>
      <c r="AC87" s="53"/>
      <c r="AD87" s="53"/>
      <c r="AE87" s="51">
        <f t="shared" ref="AE87:AF87" si="255">SUM(AE81:AE86)</f>
        <v>5847.96</v>
      </c>
      <c r="AF87" s="51">
        <f t="shared" si="255"/>
        <v>6402</v>
      </c>
      <c r="AG87" s="52"/>
      <c r="AH87" s="53"/>
      <c r="AI87" s="51">
        <f t="shared" ref="AI87:AJ87" si="256">SUM(AI81:AI86)</f>
        <v>0</v>
      </c>
      <c r="AJ87" s="68">
        <f t="shared" si="256"/>
        <v>0</v>
      </c>
      <c r="AK87" s="52"/>
      <c r="AL87" s="53"/>
      <c r="AM87" s="51">
        <f t="shared" ref="AM87:AN87" si="257">SUM(AM81:AM86)</f>
        <v>296.96</v>
      </c>
      <c r="AN87" s="68">
        <f t="shared" si="257"/>
        <v>300</v>
      </c>
      <c r="AO87" s="52"/>
      <c r="AP87" s="53"/>
      <c r="AQ87" s="51">
        <f t="shared" ref="AQ87:AR87" si="258">SUM(AQ80:AQ86)</f>
        <v>55.68</v>
      </c>
      <c r="AR87" s="68">
        <f t="shared" si="258"/>
        <v>0</v>
      </c>
      <c r="AS87" s="53"/>
      <c r="AT87" s="53"/>
      <c r="AU87" s="51">
        <f t="shared" ref="AU87:AV87" si="259">SUM(AU80:AU86)</f>
        <v>0</v>
      </c>
      <c r="AV87" s="68">
        <f t="shared" si="259"/>
        <v>0</v>
      </c>
      <c r="AW87" s="52"/>
      <c r="AX87" s="53"/>
      <c r="AY87" s="51">
        <f t="shared" ref="AY87:AZ87" si="260">SUM(AY80:AY86)</f>
        <v>0</v>
      </c>
      <c r="AZ87" s="68">
        <f t="shared" si="260"/>
        <v>0</v>
      </c>
      <c r="BA87" s="53"/>
      <c r="BB87" s="53"/>
      <c r="BC87" s="51">
        <f t="shared" ref="BC87:BD87" si="261">SUM(BC80:BC86)</f>
        <v>0</v>
      </c>
      <c r="BD87" s="68">
        <f t="shared" si="261"/>
        <v>0</v>
      </c>
      <c r="BE87" s="69"/>
      <c r="BF87" s="70">
        <f t="shared" ref="BF87:BH87" si="262">SUM(BF80:BF86)</f>
        <v>6754.54</v>
      </c>
      <c r="BG87" s="71">
        <f t="shared" si="262"/>
        <v>6702</v>
      </c>
      <c r="BH87" s="72">
        <f t="shared" si="262"/>
        <v>52.4488</v>
      </c>
      <c r="BI87" s="34">
        <f>H87+BF87-BG87</f>
        <v>52.4488</v>
      </c>
      <c r="BJ87" s="34">
        <f>BH87-BI87</f>
        <v>0</v>
      </c>
    </row>
    <row r="88" ht="14.25" customHeight="1" spans="1:60" x14ac:dyDescent="0.25">
      <c r="A88" s="29">
        <v>11</v>
      </c>
      <c r="B88" s="14"/>
      <c r="D88" s="14" t="s">
        <v>379</v>
      </c>
      <c r="F88" s="13"/>
      <c r="G88" s="28"/>
      <c r="H88" s="34">
        <f>'2018'!BH88</f>
      </c>
      <c r="I88" s="13"/>
      <c r="J88" s="15"/>
      <c r="K88" s="15"/>
      <c r="L88" s="28"/>
      <c r="M88" s="15"/>
      <c r="N88" s="15"/>
      <c r="O88" s="15"/>
      <c r="P88" s="15"/>
      <c r="Q88" s="13"/>
      <c r="R88" s="15"/>
      <c r="S88" s="15"/>
      <c r="T88" s="28"/>
      <c r="U88" s="15"/>
      <c r="V88" s="15"/>
      <c r="W88" s="15"/>
      <c r="X88" s="15"/>
      <c r="Y88" s="13"/>
      <c r="Z88" s="15"/>
      <c r="AA88" s="15"/>
      <c r="AB88" s="28"/>
      <c r="AC88" s="15"/>
      <c r="AD88" s="15"/>
      <c r="AE88" s="15"/>
      <c r="AF88" s="15"/>
      <c r="AG88" s="13"/>
      <c r="AH88" s="15"/>
      <c r="AI88" s="15"/>
      <c r="AJ88" s="28"/>
      <c r="AK88" s="13"/>
      <c r="AL88" s="15"/>
      <c r="AM88" s="15"/>
      <c r="AN88" s="28"/>
      <c r="AO88" s="13"/>
      <c r="AP88" s="15"/>
      <c r="AQ88" s="15">
        <v>17.47</v>
      </c>
      <c r="AR88" s="28"/>
      <c r="AS88" s="15"/>
      <c r="AT88" s="15"/>
      <c r="AU88" s="15">
        <v>13.71</v>
      </c>
      <c r="AV88" s="1">
        <v>17.47</v>
      </c>
      <c r="AW88" s="13"/>
      <c r="AX88" s="15"/>
      <c r="AY88" s="15"/>
      <c r="AZ88" s="28"/>
      <c r="BA88" s="15"/>
      <c r="BB88" s="15"/>
      <c r="BC88" s="15"/>
      <c r="BD88" s="15"/>
      <c r="BE88" s="14"/>
      <c r="BF88" s="41">
        <f t="shared" ref="BF88:BG88" si="263">K88+O88+S88+W88+AA88+AE88+AI88+AM88+AQ88+AU88+AY88+BC88</f>
        <v>31.18</v>
      </c>
      <c r="BG88" s="34">
        <f t="shared" si="263"/>
        <v>17.47</v>
      </c>
      <c r="BH88" s="35">
        <f t="shared" ref="BH88:BH94" si="264">H88+BF88-BG88</f>
        <v>13.71</v>
      </c>
    </row>
    <row r="89" ht="14.25" customHeight="1" spans="1:60" x14ac:dyDescent="0.25">
      <c r="A89" s="2">
        <v>11</v>
      </c>
      <c r="B89" s="14">
        <v>4.02</v>
      </c>
      <c r="C89" s="2" t="s">
        <v>89</v>
      </c>
      <c r="D89" s="14" t="s">
        <v>44</v>
      </c>
      <c r="E89" s="2" t="s">
        <v>45</v>
      </c>
      <c r="F89" s="13">
        <v>2.49</v>
      </c>
      <c r="G89" s="35">
        <v>2.5</v>
      </c>
      <c r="H89" s="34">
        <f>'2018'!BH89</f>
        <v>-75.1</v>
      </c>
      <c r="I89" s="13">
        <v>37</v>
      </c>
      <c r="J89" s="15">
        <f>I89-'2018'!BA89</f>
        <v>0</v>
      </c>
      <c r="K89" s="34">
        <f>J89*$F$8</f>
        <v>0</v>
      </c>
      <c r="L89" s="28"/>
      <c r="M89" s="15">
        <v>37</v>
      </c>
      <c r="N89" s="15">
        <f>M89-I89</f>
        <v>0</v>
      </c>
      <c r="O89" s="34">
        <f>N89*$F$8</f>
        <v>0</v>
      </c>
      <c r="P89" s="15"/>
      <c r="Q89" s="13">
        <v>37</v>
      </c>
      <c r="R89" s="15">
        <f>Q89-M89</f>
        <v>0</v>
      </c>
      <c r="S89" s="34">
        <f>R89*$F$8</f>
        <v>0</v>
      </c>
      <c r="T89" s="28"/>
      <c r="U89" s="15">
        <v>37</v>
      </c>
      <c r="V89" s="15">
        <f>U89-Q89</f>
        <v>0</v>
      </c>
      <c r="W89" s="34">
        <f>V89*$F$8</f>
        <v>0</v>
      </c>
      <c r="X89" s="15"/>
      <c r="Y89" s="75">
        <v>33</v>
      </c>
      <c r="Z89" s="15">
        <f>Y89-U89</f>
        <v>-4</v>
      </c>
      <c r="AA89" s="34">
        <f>Z89*$F$8</f>
        <v>-9.96</v>
      </c>
      <c r="AB89" s="35"/>
      <c r="AC89" s="75">
        <v>33</v>
      </c>
      <c r="AD89" s="15">
        <f t="shared" ref="AD89:AD90" si="265">AC89-Y89</f>
        <v>0</v>
      </c>
      <c r="AE89" s="34">
        <f>AD89*$G$8</f>
        <v>0</v>
      </c>
      <c r="AF89" s="15"/>
      <c r="AG89" s="13">
        <v>35</v>
      </c>
      <c r="AH89" s="15">
        <f t="shared" ref="AH89:AH90" si="266">AG89-AC89</f>
        <v>2</v>
      </c>
      <c r="AI89" s="34">
        <f>AH89*$G$8</f>
        <v>5</v>
      </c>
      <c r="AJ89" s="28"/>
      <c r="AK89" s="13">
        <v>35</v>
      </c>
      <c r="AL89" s="15">
        <f t="shared" ref="AL89:AL90" si="267">AK89-AG89</f>
        <v>0</v>
      </c>
      <c r="AM89" s="34">
        <f>AL89*$G$8</f>
        <v>0</v>
      </c>
      <c r="AN89" s="28"/>
      <c r="AO89" s="13">
        <v>35</v>
      </c>
      <c r="AP89" s="15">
        <f t="shared" ref="AP89:AP90" si="268">AO89-AK89</f>
        <v>0</v>
      </c>
      <c r="AQ89" s="34">
        <f>AP89*$G$8</f>
        <v>0</v>
      </c>
      <c r="AR89" s="28"/>
      <c r="AS89" s="75">
        <v>35</v>
      </c>
      <c r="AT89" s="15">
        <f t="shared" ref="AT89:AT90" si="269">AS89-AO89</f>
        <v>0</v>
      </c>
      <c r="AU89" s="34">
        <f>AT89*$G$8</f>
        <v>0</v>
      </c>
      <c r="AV89" s="91">
        <v>0.54</v>
      </c>
      <c r="AW89" s="13">
        <v>35</v>
      </c>
      <c r="AX89" s="15">
        <f>AW89-AS89</f>
        <v>0</v>
      </c>
      <c r="AY89" s="34">
        <f>AX89*$G$8</f>
        <v>0</v>
      </c>
      <c r="AZ89" s="28"/>
      <c r="BA89" s="13">
        <v>35</v>
      </c>
      <c r="BB89" s="15">
        <f>BA89-AW89</f>
        <v>0</v>
      </c>
      <c r="BC89" s="34">
        <f>BB89*$G$8</f>
        <v>0</v>
      </c>
      <c r="BD89" s="15"/>
      <c r="BE89" s="40">
        <f t="shared" ref="BE89:BG89" si="270">J89+N89+R89+V89+Z89+AD89+AH89+AL89+AP89+AT89+AX89+BB89</f>
        <v>-2</v>
      </c>
      <c r="BF89" s="41">
        <f t="shared" si="270"/>
        <v>-4.96</v>
      </c>
      <c r="BG89" s="34">
        <f t="shared" si="270"/>
        <v>0.54</v>
      </c>
      <c r="BH89" s="35">
        <f t="shared" si="264"/>
        <v>-80.6</v>
      </c>
    </row>
    <row r="90" ht="14.25" customHeight="1" spans="1:60" x14ac:dyDescent="0.25">
      <c r="A90" s="29">
        <v>11</v>
      </c>
      <c r="B90" s="14"/>
      <c r="C90" s="2" t="s">
        <v>90</v>
      </c>
      <c r="D90" s="14" t="s">
        <v>47</v>
      </c>
      <c r="E90" s="2" t="s">
        <v>48</v>
      </c>
      <c r="F90" s="13">
        <v>17.98</v>
      </c>
      <c r="G90" s="28">
        <v>18.56</v>
      </c>
      <c r="H90" s="34">
        <f>'2018'!BH90</f>
        <v>0</v>
      </c>
      <c r="I90" s="13">
        <v>9</v>
      </c>
      <c r="J90" s="15"/>
      <c r="K90" s="15"/>
      <c r="L90" s="28"/>
      <c r="M90" s="15"/>
      <c r="N90" s="15"/>
      <c r="O90" s="15"/>
      <c r="P90" s="15"/>
      <c r="Q90" s="13"/>
      <c r="R90" s="15"/>
      <c r="S90" s="15"/>
      <c r="T90" s="28"/>
      <c r="U90" s="15"/>
      <c r="V90" s="15"/>
      <c r="W90" s="15"/>
      <c r="X90" s="15"/>
      <c r="Y90" s="13">
        <v>10</v>
      </c>
      <c r="Z90" s="15">
        <f>Y90-'2018'!AO90</f>
        <v>1</v>
      </c>
      <c r="AA90" s="34">
        <f>Z90*$F$10</f>
        <v>17.98</v>
      </c>
      <c r="AB90" s="28"/>
      <c r="AC90" s="15">
        <v>10</v>
      </c>
      <c r="AD90" s="15">
        <f t="shared" si="265"/>
        <v>0</v>
      </c>
      <c r="AE90" s="34">
        <f>AD90*$F$10</f>
        <v>0</v>
      </c>
      <c r="AF90" s="15"/>
      <c r="AG90" s="13">
        <v>10</v>
      </c>
      <c r="AH90" s="15">
        <f t="shared" si="266"/>
        <v>0</v>
      </c>
      <c r="AI90" s="45">
        <f>AH90*$G$10</f>
        <v>0</v>
      </c>
      <c r="AJ90" s="28"/>
      <c r="AK90" s="15">
        <v>10</v>
      </c>
      <c r="AL90" s="15">
        <f t="shared" si="267"/>
        <v>0</v>
      </c>
      <c r="AM90" s="45">
        <f>AL90*$G$10</f>
        <v>0</v>
      </c>
      <c r="AN90" s="28"/>
      <c r="AO90" s="73">
        <v>10</v>
      </c>
      <c r="AP90" s="15">
        <f t="shared" si="268"/>
        <v>0</v>
      </c>
      <c r="AQ90" s="45">
        <f>AP90*$G$10</f>
        <v>0</v>
      </c>
      <c r="AR90" s="28"/>
      <c r="AS90" s="73">
        <v>10</v>
      </c>
      <c r="AT90" s="15">
        <f t="shared" si="269"/>
        <v>0</v>
      </c>
      <c r="AU90" s="45">
        <f>AT90*$G$10</f>
        <v>0</v>
      </c>
      <c r="AV90" s="1">
        <v>17.98</v>
      </c>
      <c r="AW90" s="73">
        <v>10</v>
      </c>
      <c r="AX90" s="15"/>
      <c r="AY90" s="15"/>
      <c r="AZ90" s="28"/>
      <c r="BA90" s="73">
        <v>10</v>
      </c>
      <c r="BB90" s="15"/>
      <c r="BC90" s="15"/>
      <c r="BD90" s="15"/>
      <c r="BE90" s="40">
        <f t="shared" ref="BE90:BG90" si="271">J90+N90+R90+V90+Z90+AD90+AH90+AL90+AP90+AT90+AX90+BB90</f>
        <v>1</v>
      </c>
      <c r="BF90" s="41">
        <f t="shared" si="271"/>
        <v>17.98</v>
      </c>
      <c r="BG90" s="34">
        <f t="shared" si="271"/>
        <v>17.98</v>
      </c>
      <c r="BH90" s="35">
        <f t="shared" si="264"/>
        <v>0</v>
      </c>
    </row>
    <row r="91" ht="14.25" customHeight="1" spans="1:60" x14ac:dyDescent="0.25">
      <c r="A91" s="29">
        <v>11</v>
      </c>
      <c r="B91" s="14"/>
      <c r="C91" s="2" t="s">
        <v>91</v>
      </c>
      <c r="D91" s="14" t="s">
        <v>47</v>
      </c>
      <c r="E91" s="2" t="s">
        <v>49</v>
      </c>
      <c r="F91" s="41">
        <v>500</v>
      </c>
      <c r="G91" s="35"/>
      <c r="H91" s="34">
        <f>'2018'!BH91</f>
        <v>0</v>
      </c>
      <c r="I91" s="13"/>
      <c r="J91" s="15"/>
      <c r="K91" s="15"/>
      <c r="L91" s="28"/>
      <c r="M91" s="15"/>
      <c r="N91" s="15"/>
      <c r="O91" s="15"/>
      <c r="P91" s="15"/>
      <c r="Q91" s="13"/>
      <c r="R91" s="15"/>
      <c r="S91" s="15"/>
      <c r="T91" s="28"/>
      <c r="U91" s="15"/>
      <c r="V91" s="15"/>
      <c r="W91" s="15"/>
      <c r="X91" s="15"/>
      <c r="Y91" s="13"/>
      <c r="Z91" s="15"/>
      <c r="AA91" s="15"/>
      <c r="AB91" s="28"/>
      <c r="AC91" s="15"/>
      <c r="AD91" s="15"/>
      <c r="AE91" s="34"/>
      <c r="AF91" s="15"/>
      <c r="AG91" s="13"/>
      <c r="AH91" s="15"/>
      <c r="AI91" s="34"/>
      <c r="AJ91" s="28"/>
      <c r="AK91" s="13"/>
      <c r="AL91" s="15"/>
      <c r="AM91" s="34"/>
      <c r="AN91" s="28"/>
      <c r="AO91" s="13"/>
      <c r="AP91" s="15"/>
      <c r="AQ91" s="34"/>
      <c r="AR91" s="28"/>
      <c r="AS91" s="15"/>
      <c r="AT91" s="15"/>
      <c r="AU91" s="15"/>
      <c r="AV91" s="15"/>
      <c r="AW91" s="13"/>
      <c r="AX91" s="15"/>
      <c r="AY91" s="15"/>
      <c r="AZ91" s="28"/>
      <c r="BA91" s="15"/>
      <c r="BB91" s="15"/>
      <c r="BC91" s="15"/>
      <c r="BD91" s="15"/>
      <c r="BE91" s="14"/>
      <c r="BF91" s="41">
        <f t="shared" ref="BF91:BG91" si="272">K91+O91+S91+W91+AA91+AE91+AI91+AM91+AQ91+AU91+AY91+BC91</f>
        <v>0</v>
      </c>
      <c r="BG91" s="34">
        <f t="shared" si="272"/>
        <v>0</v>
      </c>
      <c r="BH91" s="35">
        <f t="shared" si="264"/>
        <v>0</v>
      </c>
    </row>
    <row r="92" ht="14.25" customHeight="1" spans="1:60" x14ac:dyDescent="0.25">
      <c r="A92" s="29">
        <v>11</v>
      </c>
      <c r="B92" s="14"/>
      <c r="C92" s="73"/>
      <c r="D92" s="14" t="s">
        <v>50</v>
      </c>
      <c r="E92" s="2" t="s">
        <v>49</v>
      </c>
      <c r="F92" s="41">
        <v>1200</v>
      </c>
      <c r="G92" s="35"/>
      <c r="H92" s="34">
        <f>'2018'!BH92</f>
        <v>0.0076</v>
      </c>
      <c r="I92" s="13"/>
      <c r="J92" s="15"/>
      <c r="K92" s="15"/>
      <c r="L92" s="28"/>
      <c r="M92" s="15"/>
      <c r="N92" s="15"/>
      <c r="O92" s="15"/>
      <c r="P92" s="15"/>
      <c r="Q92" s="13"/>
      <c r="R92" s="15"/>
      <c r="S92" s="15"/>
      <c r="T92" s="28"/>
      <c r="U92" s="15"/>
      <c r="V92" s="15"/>
      <c r="W92" s="15"/>
      <c r="X92" s="15"/>
      <c r="Y92" s="13"/>
      <c r="Z92" s="15"/>
      <c r="AA92" s="15"/>
      <c r="AB92" s="28"/>
      <c r="AC92" s="15"/>
      <c r="AD92" s="15"/>
      <c r="AE92" s="34">
        <f>B89*$F$12</f>
        <v>4824</v>
      </c>
      <c r="AF92" s="15"/>
      <c r="AG92" s="13"/>
      <c r="AH92" s="15"/>
      <c r="AI92" s="15"/>
      <c r="AJ92" s="28"/>
      <c r="AK92" s="13"/>
      <c r="AL92" s="15"/>
      <c r="AM92" s="15"/>
      <c r="AN92" s="28"/>
      <c r="AO92" s="13"/>
      <c r="AP92" s="15"/>
      <c r="AQ92" s="15"/>
      <c r="AR92" s="28"/>
      <c r="AS92" s="15"/>
      <c r="AT92" s="15"/>
      <c r="AU92" s="15"/>
      <c r="AV92" s="39">
        <v>4824.01</v>
      </c>
      <c r="AW92" s="13"/>
      <c r="AX92" s="15"/>
      <c r="AY92" s="15"/>
      <c r="AZ92" s="28"/>
      <c r="BA92" s="15"/>
      <c r="BB92" s="15"/>
      <c r="BC92" s="15"/>
      <c r="BD92" s="15"/>
      <c r="BE92" s="14"/>
      <c r="BF92" s="41">
        <f t="shared" ref="BF92:BG92" si="273">K92+O92+S92+W92+AA92+AE92+AI92+AM92+AQ92+AU92+AY92+BC92</f>
        <v>4824</v>
      </c>
      <c r="BG92" s="34">
        <f t="shared" si="273"/>
        <v>4824.01</v>
      </c>
      <c r="BH92" s="35">
        <f t="shared" si="264"/>
        <v>-0.002400000001</v>
      </c>
    </row>
    <row r="93" ht="14.25" customHeight="1" spans="1:60" x14ac:dyDescent="0.25">
      <c r="A93" s="29">
        <v>11</v>
      </c>
      <c r="B93" s="14"/>
      <c r="D93" s="14" t="s">
        <v>51</v>
      </c>
      <c r="E93" s="2" t="s">
        <v>49</v>
      </c>
      <c r="F93" s="41">
        <v>1000</v>
      </c>
      <c r="G93" s="35"/>
      <c r="H93" s="34">
        <f>'2018'!BH93</f>
        <v>0</v>
      </c>
      <c r="I93" s="13"/>
      <c r="J93" s="15"/>
      <c r="K93" s="15"/>
      <c r="L93" s="28"/>
      <c r="M93" s="15"/>
      <c r="N93" s="15"/>
      <c r="O93" s="15"/>
      <c r="P93" s="15"/>
      <c r="Q93" s="13"/>
      <c r="R93" s="15"/>
      <c r="S93" s="15"/>
      <c r="T93" s="28"/>
      <c r="U93" s="15"/>
      <c r="V93" s="15"/>
      <c r="W93" s="15"/>
      <c r="X93" s="15"/>
      <c r="Y93" s="13"/>
      <c r="Z93" s="15"/>
      <c r="AA93" s="15"/>
      <c r="AB93" s="28"/>
      <c r="AC93" s="15"/>
      <c r="AD93" s="15"/>
      <c r="AE93" s="34">
        <f>$F$21</f>
        <v>1000</v>
      </c>
      <c r="AF93" s="15"/>
      <c r="AG93" s="13"/>
      <c r="AH93" s="15"/>
      <c r="AI93" s="15"/>
      <c r="AJ93" s="28"/>
      <c r="AK93" s="13"/>
      <c r="AL93" s="15"/>
      <c r="AM93" s="15"/>
      <c r="AN93" s="28"/>
      <c r="AO93" s="13"/>
      <c r="AP93" s="15"/>
      <c r="AQ93" s="15"/>
      <c r="AR93" s="28"/>
      <c r="AS93" s="15"/>
      <c r="AT93" s="15"/>
      <c r="AU93" s="15"/>
      <c r="AV93" s="39">
        <v>1000</v>
      </c>
      <c r="AW93" s="13"/>
      <c r="AX93" s="15"/>
      <c r="AY93" s="15"/>
      <c r="AZ93" s="28"/>
      <c r="BA93" s="15"/>
      <c r="BB93" s="15"/>
      <c r="BC93" s="15"/>
      <c r="BD93" s="15"/>
      <c r="BE93" s="14"/>
      <c r="BF93" s="41">
        <f t="shared" ref="BF93:BG93" si="274">K93+O93+S93+W93+AA93+AE93+AI93+AM93+AQ93+AU93+AY93+BC93</f>
        <v>1000</v>
      </c>
      <c r="BG93" s="34">
        <f t="shared" si="274"/>
        <v>1000</v>
      </c>
      <c r="BH93" s="35">
        <f t="shared" si="264"/>
        <v>0</v>
      </c>
    </row>
    <row r="94" ht="14.25" customHeight="1" spans="1:60" x14ac:dyDescent="0.25">
      <c r="A94" s="29">
        <v>11</v>
      </c>
      <c r="B94" s="14"/>
      <c r="D94" s="14" t="s">
        <v>52</v>
      </c>
      <c r="E94" s="2" t="s">
        <v>39</v>
      </c>
      <c r="F94" s="41">
        <v>500</v>
      </c>
      <c r="G94" s="35"/>
      <c r="H94" s="34">
        <f>'2018'!BH94</f>
        <v>0</v>
      </c>
      <c r="I94" s="13"/>
      <c r="J94" s="15"/>
      <c r="K94" s="15"/>
      <c r="L94" s="28"/>
      <c r="M94" s="15"/>
      <c r="N94" s="15"/>
      <c r="O94" s="15"/>
      <c r="P94" s="15"/>
      <c r="Q94" s="13"/>
      <c r="R94" s="15"/>
      <c r="S94" s="15"/>
      <c r="T94" s="28"/>
      <c r="U94" s="15"/>
      <c r="V94" s="15"/>
      <c r="W94" s="15"/>
      <c r="X94" s="15"/>
      <c r="Y94" s="13"/>
      <c r="Z94" s="15"/>
      <c r="AA94" s="34">
        <f>$F$14</f>
        <v>500</v>
      </c>
      <c r="AB94" s="35"/>
      <c r="AC94" s="15"/>
      <c r="AD94" s="15"/>
      <c r="AE94" s="15"/>
      <c r="AF94" s="15"/>
      <c r="AG94" s="13"/>
      <c r="AH94" s="15"/>
      <c r="AI94" s="15"/>
      <c r="AJ94" s="28"/>
      <c r="AK94" s="13"/>
      <c r="AL94" s="15"/>
      <c r="AM94" s="15"/>
      <c r="AN94" s="28"/>
      <c r="AO94" s="13"/>
      <c r="AP94" s="15"/>
      <c r="AQ94" s="15"/>
      <c r="AR94" s="28"/>
      <c r="AS94" s="15"/>
      <c r="AT94" s="15"/>
      <c r="AU94" s="15"/>
      <c r="AV94" s="39">
        <v>500</v>
      </c>
      <c r="AW94" s="13"/>
      <c r="AX94" s="15"/>
      <c r="AY94" s="15"/>
      <c r="AZ94" s="28"/>
      <c r="BA94" s="15"/>
      <c r="BB94" s="15"/>
      <c r="BC94" s="15"/>
      <c r="BD94" s="15"/>
      <c r="BE94" s="14"/>
      <c r="BF94" s="41">
        <f t="shared" ref="BF94:BG94" si="275">K94+O94+S94+W94+AA94+AE94+AI94+AM94+AQ94+AU94+AY94+BC94</f>
        <v>500</v>
      </c>
      <c r="BG94" s="34">
        <f t="shared" si="275"/>
        <v>500</v>
      </c>
      <c r="BH94" s="35">
        <f t="shared" si="264"/>
        <v>0</v>
      </c>
    </row>
    <row r="95" ht="14.25" customHeight="1" spans="1:62" x14ac:dyDescent="0.25">
      <c r="A95" s="50">
        <v>11</v>
      </c>
      <c r="B95" s="21"/>
      <c r="C95" s="22" t="s">
        <v>53</v>
      </c>
      <c r="D95" s="21"/>
      <c r="E95" s="22"/>
      <c r="F95" s="20"/>
      <c r="G95" s="23"/>
      <c r="H95" s="51">
        <f>SUM(H88:H94)</f>
        <v>-75.0924</v>
      </c>
      <c r="I95" s="52"/>
      <c r="J95" s="53"/>
      <c r="K95" s="51">
        <f t="shared" ref="K95:L95" si="276">SUM(K89:K94)</f>
        <v>0</v>
      </c>
      <c r="L95" s="68">
        <f t="shared" si="276"/>
        <v>0</v>
      </c>
      <c r="M95" s="53"/>
      <c r="N95" s="53"/>
      <c r="O95" s="51">
        <f t="shared" ref="O95:P95" si="277">SUM(O89:O94)</f>
        <v>0</v>
      </c>
      <c r="P95" s="51">
        <f t="shared" si="277"/>
        <v>0</v>
      </c>
      <c r="Q95" s="52"/>
      <c r="R95" s="53"/>
      <c r="S95" s="51">
        <f t="shared" ref="S95:T95" si="278">SUM(S89:S94)</f>
        <v>0</v>
      </c>
      <c r="T95" s="68">
        <f t="shared" si="278"/>
        <v>0</v>
      </c>
      <c r="U95" s="53"/>
      <c r="V95" s="53"/>
      <c r="W95" s="51">
        <f t="shared" ref="W95:X95" si="279">SUM(W89:W94)</f>
        <v>0</v>
      </c>
      <c r="X95" s="51">
        <f t="shared" si="279"/>
        <v>0</v>
      </c>
      <c r="Y95" s="52"/>
      <c r="Z95" s="53"/>
      <c r="AA95" s="51">
        <f t="shared" ref="AA95:AB95" si="280">SUM(AA89:AA94)</f>
        <v>508.02</v>
      </c>
      <c r="AB95" s="68">
        <f t="shared" si="280"/>
        <v>0</v>
      </c>
      <c r="AC95" s="53"/>
      <c r="AD95" s="53"/>
      <c r="AE95" s="51">
        <f t="shared" ref="AE95:AF95" si="281">SUM(AE89:AE94)</f>
        <v>5824</v>
      </c>
      <c r="AF95" s="51">
        <f t="shared" si="281"/>
        <v>0</v>
      </c>
      <c r="AG95" s="52"/>
      <c r="AH95" s="53"/>
      <c r="AI95" s="51">
        <f t="shared" ref="AI95:AJ95" si="282">SUM(AI89:AI94)</f>
        <v>5</v>
      </c>
      <c r="AJ95" s="68">
        <f t="shared" si="282"/>
        <v>0</v>
      </c>
      <c r="AK95" s="52"/>
      <c r="AL95" s="53"/>
      <c r="AM95" s="51">
        <f t="shared" ref="AM95:AN95" si="283">SUM(AM89:AM94)</f>
        <v>0</v>
      </c>
      <c r="AN95" s="68">
        <f t="shared" si="283"/>
        <v>0</v>
      </c>
      <c r="AO95" s="52"/>
      <c r="AP95" s="53"/>
      <c r="AQ95" s="51">
        <f t="shared" ref="AQ95:AR95" si="284">SUM(AQ88:AQ94)</f>
        <v>17.47</v>
      </c>
      <c r="AR95" s="68">
        <f t="shared" si="284"/>
        <v>0</v>
      </c>
      <c r="AS95" s="53"/>
      <c r="AT95" s="53"/>
      <c r="AU95" s="51">
        <f t="shared" ref="AU95:AV95" si="285">SUM(AU88:AU94)</f>
        <v>13.71</v>
      </c>
      <c r="AV95" s="68">
        <f t="shared" si="285"/>
        <v>6360</v>
      </c>
      <c r="AW95" s="52"/>
      <c r="AX95" s="53"/>
      <c r="AY95" s="51">
        <f t="shared" ref="AY95:AZ95" si="286">SUM(AY88:AY94)</f>
        <v>0</v>
      </c>
      <c r="AZ95" s="68">
        <f t="shared" si="286"/>
        <v>0</v>
      </c>
      <c r="BA95" s="53"/>
      <c r="BB95" s="53"/>
      <c r="BC95" s="51">
        <f t="shared" ref="BC95:BD95" si="287">SUM(BC88:BC94)</f>
        <v>0</v>
      </c>
      <c r="BD95" s="68">
        <f t="shared" si="287"/>
        <v>0</v>
      </c>
      <c r="BE95" s="69"/>
      <c r="BF95" s="70">
        <f t="shared" ref="BF95:BH95" si="288">SUM(BF88:BF94)</f>
        <v>6368.2</v>
      </c>
      <c r="BG95" s="71">
        <f t="shared" si="288"/>
        <v>6360</v>
      </c>
      <c r="BH95" s="72">
        <f t="shared" si="288"/>
        <v>-66.8924</v>
      </c>
      <c r="BI95" s="34">
        <f>H95+BF95-BG95</f>
        <v>-66.8924</v>
      </c>
      <c r="BJ95" s="34">
        <f>BH95-BI95</f>
        <v>0</v>
      </c>
    </row>
    <row r="96" ht="14.25" customHeight="1" spans="1:60" x14ac:dyDescent="0.25">
      <c r="A96" s="29">
        <v>12</v>
      </c>
      <c r="B96" s="14"/>
      <c r="D96" s="14" t="s">
        <v>379</v>
      </c>
      <c r="F96" s="13"/>
      <c r="G96" s="28"/>
      <c r="H96" s="34">
        <f>'2018'!BH96</f>
      </c>
      <c r="I96" s="13"/>
      <c r="J96" s="15"/>
      <c r="K96" s="15"/>
      <c r="L96" s="28"/>
      <c r="M96" s="15"/>
      <c r="N96" s="15"/>
      <c r="O96" s="15"/>
      <c r="P96" s="15"/>
      <c r="Q96" s="13"/>
      <c r="R96" s="15"/>
      <c r="S96" s="15"/>
      <c r="T96" s="28"/>
      <c r="U96" s="15"/>
      <c r="V96" s="15"/>
      <c r="W96" s="15"/>
      <c r="X96" s="15"/>
      <c r="Y96" s="13"/>
      <c r="Z96" s="15"/>
      <c r="AA96" s="15"/>
      <c r="AB96" s="28"/>
      <c r="AC96" s="15"/>
      <c r="AD96" s="15"/>
      <c r="AE96" s="15"/>
      <c r="AF96" s="15"/>
      <c r="AG96" s="13"/>
      <c r="AH96" s="15"/>
      <c r="AI96" s="15"/>
      <c r="AJ96" s="28"/>
      <c r="AK96" s="13"/>
      <c r="AL96" s="15"/>
      <c r="AM96" s="15"/>
      <c r="AN96" s="28"/>
      <c r="AO96" s="13"/>
      <c r="AP96" s="15"/>
      <c r="AQ96" s="15"/>
      <c r="AR96" s="28"/>
      <c r="AS96" s="15"/>
      <c r="AT96" s="15"/>
      <c r="AU96" s="15"/>
      <c r="AV96" s="15"/>
      <c r="AW96" s="13"/>
      <c r="AX96" s="15"/>
      <c r="AY96" s="15"/>
      <c r="AZ96" s="28"/>
      <c r="BA96" s="15"/>
      <c r="BB96" s="15"/>
      <c r="BC96" s="15"/>
      <c r="BD96" s="15"/>
      <c r="BE96" s="14"/>
      <c r="BF96" s="41">
        <f t="shared" ref="BF96:BG96" si="289">K96+O96+S96+W96+AA96+AE96+AI96+AM96+AQ96+AU96+AY96+BC96</f>
        <v>0</v>
      </c>
      <c r="BG96" s="34">
        <f t="shared" si="289"/>
        <v>0</v>
      </c>
      <c r="BH96" s="35">
        <f t="shared" ref="BH96:BH102" si="290">H96+BF96-BG96</f>
        <v>0</v>
      </c>
    </row>
    <row r="97" ht="14.25" customHeight="1" spans="1:60" x14ac:dyDescent="0.25">
      <c r="A97" s="2">
        <v>12</v>
      </c>
      <c r="B97" s="14">
        <v>4.02</v>
      </c>
      <c r="C97" s="15" t="s">
        <v>92</v>
      </c>
      <c r="D97" s="14" t="s">
        <v>44</v>
      </c>
      <c r="E97" s="2" t="s">
        <v>45</v>
      </c>
      <c r="F97" s="13">
        <v>2.49</v>
      </c>
      <c r="G97" s="35">
        <v>2.5</v>
      </c>
      <c r="H97" s="104">
        <f>'2018'!BH97</f>
        <v>0</v>
      </c>
      <c r="I97" s="13"/>
      <c r="J97" s="15"/>
      <c r="K97" s="34">
        <f>J97*$F$8</f>
        <v>0</v>
      </c>
      <c r="L97" s="28"/>
      <c r="M97" s="15"/>
      <c r="N97" s="15">
        <f>M97-I97</f>
        <v>0</v>
      </c>
      <c r="O97" s="34">
        <f>N97*$F$8</f>
        <v>0</v>
      </c>
      <c r="P97" s="15"/>
      <c r="Q97" s="13"/>
      <c r="R97" s="15">
        <f>Q97-M97</f>
        <v>0</v>
      </c>
      <c r="S97" s="34">
        <f>R97*$F$8</f>
        <v>0</v>
      </c>
      <c r="T97" s="28"/>
      <c r="U97" s="15"/>
      <c r="V97" s="15">
        <f>U97-Q97</f>
        <v>0</v>
      </c>
      <c r="W97" s="15"/>
      <c r="X97" s="15"/>
      <c r="Y97" s="13"/>
      <c r="Z97" s="15">
        <f>Y97-U97</f>
        <v>0</v>
      </c>
      <c r="AA97" s="34">
        <f>Z97*$F$8</f>
        <v>0</v>
      </c>
      <c r="AB97" s="28"/>
      <c r="AC97" s="15"/>
      <c r="AD97" s="15">
        <f>AC97-Y97</f>
        <v>0</v>
      </c>
      <c r="AE97" s="34">
        <f>AD97*$G$8</f>
        <v>0</v>
      </c>
      <c r="AF97" s="15"/>
      <c r="AG97" s="13"/>
      <c r="AH97" s="15">
        <f t="shared" ref="AH97:AH98" si="291">AG97-AC97</f>
        <v>0</v>
      </c>
      <c r="AI97" s="34">
        <f>AH97*$G$8</f>
        <v>0</v>
      </c>
      <c r="AJ97" s="28"/>
      <c r="AK97" s="13"/>
      <c r="AL97" s="15">
        <f t="shared" ref="AL97:AL98" si="292">AK97-AG97</f>
        <v>0</v>
      </c>
      <c r="AM97" s="34">
        <f>AL97*$G$8</f>
        <v>0</v>
      </c>
      <c r="AN97" s="28"/>
      <c r="AO97" s="13"/>
      <c r="AP97" s="15">
        <f t="shared" ref="AP97:AP98" si="293">AO97-AK97</f>
        <v>0</v>
      </c>
      <c r="AQ97" s="34">
        <f>AP97*$G$8</f>
        <v>0</v>
      </c>
      <c r="AR97" s="28"/>
      <c r="AS97" s="15"/>
      <c r="AT97" s="15">
        <f>AS97-AO97</f>
        <v>0</v>
      </c>
      <c r="AU97" s="34">
        <f>AT97*$G$8</f>
        <v>0</v>
      </c>
      <c r="AV97" s="15"/>
      <c r="AW97" s="13"/>
      <c r="AX97" s="15">
        <f>AW97-AS97</f>
        <v>0</v>
      </c>
      <c r="AY97" s="34">
        <f>AX97*$G$8</f>
        <v>0</v>
      </c>
      <c r="AZ97" s="28"/>
      <c r="BA97" s="15"/>
      <c r="BB97" s="15">
        <f>BA97-AW97</f>
        <v>0</v>
      </c>
      <c r="BC97" s="34">
        <f>BB97*$G$8</f>
        <v>0</v>
      </c>
      <c r="BD97" s="15"/>
      <c r="BE97" s="40">
        <f t="shared" ref="BE97:BG97" si="294">J97+N97+R97+V97+Z97+AD97+AH97+AL97+AP97+AT97+AX97+BB97</f>
        <v>0</v>
      </c>
      <c r="BF97" s="41">
        <f t="shared" si="294"/>
        <v>0</v>
      </c>
      <c r="BG97" s="34">
        <f t="shared" si="294"/>
        <v>0</v>
      </c>
      <c r="BH97" s="35">
        <f t="shared" si="290"/>
        <v>0</v>
      </c>
    </row>
    <row r="98" ht="14.25" customHeight="1" spans="1:60" x14ac:dyDescent="0.25">
      <c r="A98" s="76">
        <v>12</v>
      </c>
      <c r="B98" s="14"/>
      <c r="C98" s="15" t="s">
        <v>93</v>
      </c>
      <c r="D98" s="14" t="s">
        <v>47</v>
      </c>
      <c r="E98" s="2" t="s">
        <v>48</v>
      </c>
      <c r="F98" s="13">
        <v>17.98</v>
      </c>
      <c r="G98" s="28">
        <v>18.56</v>
      </c>
      <c r="H98" s="34">
        <f>'2018'!BH98</f>
        <v>0</v>
      </c>
      <c r="I98" s="13"/>
      <c r="J98" s="15"/>
      <c r="K98" s="15"/>
      <c r="L98" s="28"/>
      <c r="M98" s="15"/>
      <c r="N98" s="15"/>
      <c r="O98" s="15"/>
      <c r="P98" s="15"/>
      <c r="Q98" s="13"/>
      <c r="R98" s="15"/>
      <c r="S98" s="15"/>
      <c r="T98" s="28"/>
      <c r="U98" s="15"/>
      <c r="V98" s="15"/>
      <c r="W98" s="15"/>
      <c r="X98" s="15"/>
      <c r="Y98" s="13"/>
      <c r="Z98" s="15"/>
      <c r="AA98" s="15"/>
      <c r="AB98" s="28"/>
      <c r="AC98" s="15"/>
      <c r="AD98" s="15"/>
      <c r="AE98" s="34">
        <f>AD98*$F$10</f>
        <v>0</v>
      </c>
      <c r="AF98" s="15"/>
      <c r="AG98" s="13"/>
      <c r="AH98" s="15">
        <f t="shared" si="291"/>
        <v>0</v>
      </c>
      <c r="AI98" s="45">
        <f>AH98*$G$10</f>
        <v>0</v>
      </c>
      <c r="AJ98" s="28"/>
      <c r="AK98" s="13"/>
      <c r="AL98" s="15">
        <f t="shared" si="292"/>
        <v>0</v>
      </c>
      <c r="AM98" s="45">
        <f>AL98*$G$10</f>
        <v>0</v>
      </c>
      <c r="AN98" s="28"/>
      <c r="AO98" s="13"/>
      <c r="AP98" s="15">
        <f t="shared" si="293"/>
        <v>0</v>
      </c>
      <c r="AQ98" s="45">
        <f>AP98*$G$10</f>
        <v>0</v>
      </c>
      <c r="AR98" s="28"/>
      <c r="AS98" s="13"/>
      <c r="AT98" s="15"/>
      <c r="AU98" s="45">
        <f>AT98*$G$10</f>
        <v>0</v>
      </c>
      <c r="AV98" s="15"/>
      <c r="AW98" s="13"/>
      <c r="AX98" s="15"/>
      <c r="AY98" s="15"/>
      <c r="AZ98" s="28"/>
      <c r="BA98" s="15"/>
      <c r="BB98" s="15"/>
      <c r="BC98" s="15"/>
      <c r="BD98" s="15"/>
      <c r="BE98" s="40">
        <f t="shared" ref="BE98:BG98" si="295">J98+N98+R98+V98+Z98+AD98+AH98+AL98+AP98+AT98+AX98+BB98</f>
        <v>0</v>
      </c>
      <c r="BF98" s="41">
        <f t="shared" si="295"/>
        <v>0</v>
      </c>
      <c r="BG98" s="34">
        <f t="shared" si="295"/>
        <v>0</v>
      </c>
      <c r="BH98" s="35">
        <f t="shared" si="290"/>
        <v>0</v>
      </c>
    </row>
    <row r="99" ht="14.25" customHeight="1" spans="1:60" x14ac:dyDescent="0.25">
      <c r="A99" s="76">
        <v>12</v>
      </c>
      <c r="B99" s="14"/>
      <c r="C99" s="15" t="s">
        <v>94</v>
      </c>
      <c r="D99" s="14" t="s">
        <v>47</v>
      </c>
      <c r="E99" s="2" t="s">
        <v>49</v>
      </c>
      <c r="F99" s="41">
        <v>500</v>
      </c>
      <c r="G99" s="35"/>
      <c r="H99" s="77">
        <f>'2018'!BH99</f>
        <v>0</v>
      </c>
      <c r="I99" s="13"/>
      <c r="J99" s="15"/>
      <c r="K99" s="15"/>
      <c r="L99" s="28"/>
      <c r="M99" s="15"/>
      <c r="N99" s="15"/>
      <c r="O99" s="15"/>
      <c r="P99" s="15"/>
      <c r="Q99" s="13"/>
      <c r="R99" s="15"/>
      <c r="S99" s="15"/>
      <c r="T99" s="28"/>
      <c r="U99" s="15"/>
      <c r="V99" s="15"/>
      <c r="W99" s="15"/>
      <c r="X99" s="15"/>
      <c r="Y99" s="13"/>
      <c r="Z99" s="15"/>
      <c r="AA99" s="34">
        <f>B97*$F$11</f>
        <v>2010</v>
      </c>
      <c r="AB99" s="28"/>
      <c r="AC99" s="15"/>
      <c r="AD99" s="15"/>
      <c r="AE99" s="34"/>
      <c r="AF99" s="15"/>
      <c r="AG99" s="13"/>
      <c r="AH99" s="15"/>
      <c r="AI99" s="34"/>
      <c r="AJ99" s="28"/>
      <c r="AK99" s="13"/>
      <c r="AL99" s="15"/>
      <c r="AM99" s="34"/>
      <c r="AN99" s="134">
        <v>2010</v>
      </c>
      <c r="AO99" s="13"/>
      <c r="AP99" s="15"/>
      <c r="AQ99" s="34"/>
      <c r="AR99" s="28"/>
      <c r="AS99" s="15"/>
      <c r="AT99" s="15"/>
      <c r="AU99" s="15"/>
      <c r="AV99" s="15"/>
      <c r="AW99" s="13"/>
      <c r="AX99" s="15"/>
      <c r="AY99" s="15"/>
      <c r="AZ99" s="28"/>
      <c r="BA99" s="15"/>
      <c r="BB99" s="15"/>
      <c r="BC99" s="15"/>
      <c r="BD99" s="15"/>
      <c r="BE99" s="14"/>
      <c r="BF99" s="41">
        <f t="shared" ref="BF99:BG99" si="296">K99+O99+S99+W99+AA99+AE99+AI99+AM99+AQ99+AU99+AY99+BC99</f>
        <v>2010</v>
      </c>
      <c r="BG99" s="34">
        <f t="shared" si="296"/>
        <v>2010</v>
      </c>
      <c r="BH99" s="35">
        <f t="shared" si="290"/>
        <v>0</v>
      </c>
    </row>
    <row r="100" ht="14.25" customHeight="1" spans="1:60" x14ac:dyDescent="0.25">
      <c r="A100" s="76">
        <v>12</v>
      </c>
      <c r="B100" s="14"/>
      <c r="C100" s="15" t="s">
        <v>95</v>
      </c>
      <c r="D100" s="14" t="s">
        <v>50</v>
      </c>
      <c r="E100" s="2" t="s">
        <v>49</v>
      </c>
      <c r="F100" s="41">
        <v>1200</v>
      </c>
      <c r="G100" s="35"/>
      <c r="H100" s="34">
        <f>'2018'!BH100</f>
        <v>-0.002399999999</v>
      </c>
      <c r="I100" s="13"/>
      <c r="J100" s="15"/>
      <c r="K100" s="15"/>
      <c r="L100" s="28"/>
      <c r="M100" s="15"/>
      <c r="N100" s="15"/>
      <c r="O100" s="15"/>
      <c r="P100" s="15"/>
      <c r="Q100" s="13"/>
      <c r="R100" s="15"/>
      <c r="S100" s="15"/>
      <c r="T100" s="28"/>
      <c r="U100" s="15"/>
      <c r="V100" s="15"/>
      <c r="W100" s="15"/>
      <c r="X100" s="15"/>
      <c r="Y100" s="13"/>
      <c r="Z100" s="15"/>
      <c r="AA100" s="15"/>
      <c r="AB100" s="28"/>
      <c r="AC100" s="15"/>
      <c r="AD100" s="15"/>
      <c r="AE100" s="34">
        <f>B97*$F$12</f>
        <v>4824</v>
      </c>
      <c r="AF100" s="15"/>
      <c r="AG100" s="13"/>
      <c r="AH100" s="15"/>
      <c r="AI100" s="15"/>
      <c r="AJ100" s="28"/>
      <c r="AK100" s="13"/>
      <c r="AL100" s="15"/>
      <c r="AM100" s="15"/>
      <c r="AN100" s="134">
        <v>4824</v>
      </c>
      <c r="AO100" s="13"/>
      <c r="AP100" s="15"/>
      <c r="AQ100" s="15"/>
      <c r="AR100" s="28"/>
      <c r="AS100" s="15"/>
      <c r="AT100" s="15"/>
      <c r="AU100" s="15"/>
      <c r="AV100" s="15"/>
      <c r="AW100" s="13"/>
      <c r="AX100" s="15"/>
      <c r="AY100" s="15"/>
      <c r="AZ100" s="28"/>
      <c r="BA100" s="15"/>
      <c r="BB100" s="15"/>
      <c r="BC100" s="15"/>
      <c r="BD100" s="15"/>
      <c r="BE100" s="14"/>
      <c r="BF100" s="41">
        <f t="shared" ref="BF100:BG100" si="297">K100+O100+S100+W100+AA100+AE100+AI100+AM100+AQ100+AU100+AY100+BC100</f>
        <v>4824</v>
      </c>
      <c r="BG100" s="34">
        <f t="shared" si="297"/>
        <v>4824</v>
      </c>
      <c r="BH100" s="35">
        <f t="shared" si="290"/>
        <v>-0.0024</v>
      </c>
    </row>
    <row r="101" ht="14.25" customHeight="1" spans="1:60" x14ac:dyDescent="0.25">
      <c r="A101" s="76">
        <v>12</v>
      </c>
      <c r="B101" s="14"/>
      <c r="C101" s="15" t="s">
        <v>385</v>
      </c>
      <c r="D101" s="14" t="s">
        <v>51</v>
      </c>
      <c r="E101" s="2" t="s">
        <v>49</v>
      </c>
      <c r="F101" s="41">
        <v>1000</v>
      </c>
      <c r="G101" s="35"/>
      <c r="H101" s="34">
        <f>'2018'!BH101</f>
        <v>0</v>
      </c>
      <c r="I101" s="13"/>
      <c r="J101" s="15"/>
      <c r="K101" s="15"/>
      <c r="L101" s="28"/>
      <c r="M101" s="15"/>
      <c r="N101" s="15"/>
      <c r="O101" s="15"/>
      <c r="P101" s="15"/>
      <c r="Q101" s="13"/>
      <c r="R101" s="15"/>
      <c r="S101" s="15"/>
      <c r="T101" s="28"/>
      <c r="U101" s="15"/>
      <c r="V101" s="15"/>
      <c r="W101" s="15"/>
      <c r="X101" s="15"/>
      <c r="Y101" s="13"/>
      <c r="Z101" s="15"/>
      <c r="AA101" s="15"/>
      <c r="AB101" s="28"/>
      <c r="AC101" s="15"/>
      <c r="AD101" s="15"/>
      <c r="AE101" s="34">
        <f>$F$21</f>
        <v>1000</v>
      </c>
      <c r="AF101" s="15"/>
      <c r="AG101" s="13"/>
      <c r="AH101" s="15"/>
      <c r="AI101" s="15"/>
      <c r="AJ101" s="28"/>
      <c r="AK101" s="13"/>
      <c r="AL101" s="15"/>
      <c r="AM101" s="15"/>
      <c r="AN101" s="134">
        <v>1000</v>
      </c>
      <c r="AO101" s="13"/>
      <c r="AP101" s="15"/>
      <c r="AQ101" s="15"/>
      <c r="AR101" s="28"/>
      <c r="AS101" s="15"/>
      <c r="AT101" s="15"/>
      <c r="AU101" s="15"/>
      <c r="AV101" s="15"/>
      <c r="AW101" s="13"/>
      <c r="AX101" s="15"/>
      <c r="AY101" s="15"/>
      <c r="AZ101" s="28"/>
      <c r="BA101" s="15"/>
      <c r="BB101" s="15"/>
      <c r="BC101" s="15"/>
      <c r="BD101" s="15"/>
      <c r="BE101" s="14"/>
      <c r="BF101" s="41">
        <f t="shared" ref="BF101:BG101" si="298">K101+O101+S101+W101+AA101+AE101+AI101+AM101+AQ101+AU101+AY101+BC101</f>
        <v>1000</v>
      </c>
      <c r="BG101" s="34">
        <f t="shared" si="298"/>
        <v>1000</v>
      </c>
      <c r="BH101" s="35">
        <f t="shared" si="290"/>
        <v>0</v>
      </c>
    </row>
    <row r="102" ht="14.25" customHeight="1" spans="1:60" x14ac:dyDescent="0.25">
      <c r="A102" s="76">
        <v>12</v>
      </c>
      <c r="B102" s="14"/>
      <c r="D102" s="14" t="s">
        <v>52</v>
      </c>
      <c r="E102" s="2" t="s">
        <v>39</v>
      </c>
      <c r="F102" s="41">
        <v>500</v>
      </c>
      <c r="G102" s="35"/>
      <c r="H102" s="34">
        <f>'2018'!BH102</f>
        <v>0</v>
      </c>
      <c r="I102" s="13"/>
      <c r="J102" s="15"/>
      <c r="K102" s="15"/>
      <c r="L102" s="28"/>
      <c r="M102" s="15"/>
      <c r="N102" s="15"/>
      <c r="O102" s="15"/>
      <c r="P102" s="15"/>
      <c r="Q102" s="13"/>
      <c r="R102" s="15"/>
      <c r="S102" s="15"/>
      <c r="T102" s="28"/>
      <c r="U102" s="15"/>
      <c r="V102" s="15"/>
      <c r="W102" s="15"/>
      <c r="X102" s="15"/>
      <c r="Y102" s="13"/>
      <c r="Z102" s="15"/>
      <c r="AA102" s="34">
        <f>$F$14</f>
        <v>500</v>
      </c>
      <c r="AB102" s="28"/>
      <c r="AC102" s="15"/>
      <c r="AD102" s="15"/>
      <c r="AE102" s="15"/>
      <c r="AF102" s="15"/>
      <c r="AG102" s="13"/>
      <c r="AH102" s="15"/>
      <c r="AI102" s="15"/>
      <c r="AJ102" s="28"/>
      <c r="AK102" s="13"/>
      <c r="AL102" s="15"/>
      <c r="AM102" s="15"/>
      <c r="AN102" s="134">
        <v>500</v>
      </c>
      <c r="AO102" s="13"/>
      <c r="AP102" s="15"/>
      <c r="AQ102" s="15"/>
      <c r="AR102" s="28"/>
      <c r="AS102" s="15"/>
      <c r="AT102" s="15"/>
      <c r="AU102" s="15"/>
      <c r="AV102" s="15"/>
      <c r="AW102" s="13"/>
      <c r="AX102" s="15"/>
      <c r="AY102" s="15"/>
      <c r="AZ102" s="28"/>
      <c r="BA102" s="15"/>
      <c r="BB102" s="15"/>
      <c r="BC102" s="15"/>
      <c r="BD102" s="15"/>
      <c r="BE102" s="14"/>
      <c r="BF102" s="41">
        <f t="shared" ref="BF102:BG102" si="299">K102+O102+S102+W102+AA102+AE102+AI102+AM102+AQ102+AU102+AY102+BC102</f>
        <v>500</v>
      </c>
      <c r="BG102" s="34">
        <f t="shared" si="299"/>
        <v>500</v>
      </c>
      <c r="BH102" s="35">
        <f t="shared" si="290"/>
        <v>0</v>
      </c>
    </row>
    <row r="103" ht="14.25" customHeight="1" spans="1:62" x14ac:dyDescent="0.25">
      <c r="A103" s="78">
        <v>12</v>
      </c>
      <c r="B103" s="21"/>
      <c r="C103" s="22" t="s">
        <v>53</v>
      </c>
      <c r="D103" s="21"/>
      <c r="E103" s="22"/>
      <c r="F103" s="20"/>
      <c r="G103" s="23"/>
      <c r="H103" s="51">
        <f>SUM(H96:H102)</f>
        <v>-0.0024</v>
      </c>
      <c r="I103" s="52"/>
      <c r="J103" s="53"/>
      <c r="K103" s="51">
        <f t="shared" ref="K103:L103" si="300">SUM(K97:K102)</f>
        <v>0</v>
      </c>
      <c r="L103" s="68">
        <f t="shared" si="300"/>
        <v>0</v>
      </c>
      <c r="M103" s="53"/>
      <c r="N103" s="53"/>
      <c r="O103" s="51">
        <f t="shared" ref="O103:P103" si="301">SUM(O97:O102)</f>
        <v>0</v>
      </c>
      <c r="P103" s="51">
        <f t="shared" si="301"/>
        <v>0</v>
      </c>
      <c r="Q103" s="52"/>
      <c r="R103" s="53"/>
      <c r="S103" s="51">
        <f t="shared" ref="S103:T103" si="302">SUM(S97:S102)</f>
        <v>0</v>
      </c>
      <c r="T103" s="68">
        <f t="shared" si="302"/>
        <v>0</v>
      </c>
      <c r="U103" s="53"/>
      <c r="V103" s="53"/>
      <c r="W103" s="51">
        <f t="shared" ref="W103:X103" si="303">SUM(W97:W102)</f>
        <v>0</v>
      </c>
      <c r="X103" s="51">
        <f t="shared" si="303"/>
        <v>0</v>
      </c>
      <c r="Y103" s="52"/>
      <c r="Z103" s="53"/>
      <c r="AA103" s="51">
        <f t="shared" ref="AA103:AB103" si="304">SUM(AA97:AA102)</f>
        <v>2510</v>
      </c>
      <c r="AB103" s="68">
        <f t="shared" si="304"/>
        <v>0</v>
      </c>
      <c r="AC103" s="53"/>
      <c r="AD103" s="53"/>
      <c r="AE103" s="51">
        <f t="shared" ref="AE103:AF103" si="305">SUM(AE97:AE102)</f>
        <v>5824</v>
      </c>
      <c r="AF103" s="51">
        <f t="shared" si="305"/>
        <v>0</v>
      </c>
      <c r="AG103" s="52"/>
      <c r="AH103" s="53"/>
      <c r="AI103" s="51">
        <f t="shared" ref="AI103:AJ103" si="306">SUM(AI97:AI102)</f>
        <v>0</v>
      </c>
      <c r="AJ103" s="68">
        <f t="shared" si="306"/>
        <v>0</v>
      </c>
      <c r="AK103" s="52"/>
      <c r="AL103" s="53"/>
      <c r="AM103" s="51">
        <f t="shared" ref="AM103:AN103" si="307">SUM(AM97:AM102)</f>
        <v>0</v>
      </c>
      <c r="AN103" s="68">
        <f t="shared" si="307"/>
        <v>8334</v>
      </c>
      <c r="AO103" s="52"/>
      <c r="AP103" s="53"/>
      <c r="AQ103" s="51">
        <f t="shared" ref="AQ103:AR103" si="308">SUM(AQ96:AQ102)</f>
        <v>0</v>
      </c>
      <c r="AR103" s="68">
        <f t="shared" si="308"/>
        <v>0</v>
      </c>
      <c r="AS103" s="53"/>
      <c r="AT103" s="53"/>
      <c r="AU103" s="51">
        <f t="shared" ref="AU103:AV103" si="309">SUM(AU96:AU102)</f>
        <v>0</v>
      </c>
      <c r="AV103" s="68">
        <f t="shared" si="309"/>
        <v>0</v>
      </c>
      <c r="AW103" s="52"/>
      <c r="AX103" s="53"/>
      <c r="AY103" s="51">
        <f t="shared" ref="AY103:AZ103" si="310">SUM(AY96:AY102)</f>
        <v>0</v>
      </c>
      <c r="AZ103" s="68">
        <f t="shared" si="310"/>
        <v>0</v>
      </c>
      <c r="BA103" s="53"/>
      <c r="BB103" s="53"/>
      <c r="BC103" s="51">
        <f t="shared" ref="BC103:BD103" si="311">SUM(BC96:BC102)</f>
        <v>0</v>
      </c>
      <c r="BD103" s="68">
        <f t="shared" si="311"/>
        <v>0</v>
      </c>
      <c r="BE103" s="69"/>
      <c r="BF103" s="70">
        <f t="shared" ref="BF103:BH103" si="312">SUM(BF96:BF102)</f>
        <v>8334</v>
      </c>
      <c r="BG103" s="71">
        <f t="shared" si="312"/>
        <v>8334</v>
      </c>
      <c r="BH103" s="72">
        <f t="shared" si="312"/>
        <v>-0.002400000001</v>
      </c>
      <c r="BI103" s="34">
        <f>H103+BF103-BG103</f>
        <v>-0.002399999999</v>
      </c>
      <c r="BJ103" s="34">
        <f>BH103-BI103</f>
        <v>0</v>
      </c>
    </row>
    <row r="104" ht="14.25" customHeight="1" spans="1:60" x14ac:dyDescent="0.25">
      <c r="A104" s="79" t="s">
        <v>96</v>
      </c>
      <c r="B104" s="14"/>
      <c r="D104" s="14" t="s">
        <v>379</v>
      </c>
      <c r="F104" s="13"/>
      <c r="G104" s="28"/>
      <c r="H104" s="34">
        <f>'2018'!BH104</f>
      </c>
      <c r="I104" s="13"/>
      <c r="J104" s="15"/>
      <c r="K104" s="15"/>
      <c r="L104" s="28"/>
      <c r="M104" s="15"/>
      <c r="N104" s="15"/>
      <c r="O104" s="15"/>
      <c r="P104" s="15"/>
      <c r="Q104" s="13"/>
      <c r="R104" s="15"/>
      <c r="S104" s="15"/>
      <c r="T104" s="28"/>
      <c r="U104" s="15"/>
      <c r="V104" s="15"/>
      <c r="W104" s="15"/>
      <c r="X104" s="15"/>
      <c r="Y104" s="13"/>
      <c r="Z104" s="15"/>
      <c r="AA104" s="15"/>
      <c r="AB104" s="28"/>
      <c r="AC104" s="15"/>
      <c r="AD104" s="15"/>
      <c r="AE104" s="15"/>
      <c r="AF104" s="15"/>
      <c r="AG104" s="13"/>
      <c r="AH104" s="15"/>
      <c r="AI104" s="15"/>
      <c r="AJ104" s="28"/>
      <c r="AK104" s="13"/>
      <c r="AL104" s="15"/>
      <c r="AM104" s="15"/>
      <c r="AN104" s="28"/>
      <c r="AO104" s="13"/>
      <c r="AP104" s="15"/>
      <c r="AQ104" s="15">
        <v>18.66</v>
      </c>
      <c r="AR104" s="28"/>
      <c r="AS104" s="15"/>
      <c r="AT104" s="15"/>
      <c r="AU104" s="15"/>
      <c r="AV104" s="15"/>
      <c r="AW104" s="13"/>
      <c r="AX104" s="15"/>
      <c r="AY104" s="15"/>
      <c r="AZ104" s="28"/>
      <c r="BA104" s="15"/>
      <c r="BB104" s="15"/>
      <c r="BC104" s="15"/>
      <c r="BD104" s="15"/>
      <c r="BE104" s="14"/>
      <c r="BF104" s="41">
        <f t="shared" ref="BF104:BG104" si="313">K104+O104+S104+W104+AA104+AE104+AI104+AM104+AQ104+AU104+AY104+BC104</f>
        <v>18.66</v>
      </c>
      <c r="BG104" s="34">
        <f t="shared" si="313"/>
        <v>0</v>
      </c>
      <c r="BH104" s="35">
        <f t="shared" ref="BH104:BH110" si="314">H104+BF104-BG104</f>
        <v>18.66</v>
      </c>
    </row>
    <row r="105" ht="14.25" customHeight="1" spans="1:60" x14ac:dyDescent="0.25">
      <c r="A105" s="80" t="s">
        <v>96</v>
      </c>
      <c r="B105" s="14">
        <f>3.94+4</f>
        <v>7.94</v>
      </c>
      <c r="C105" s="2" t="s">
        <v>97</v>
      </c>
      <c r="D105" s="14" t="s">
        <v>44</v>
      </c>
      <c r="E105" s="2" t="s">
        <v>45</v>
      </c>
      <c r="F105" s="13">
        <v>2.49</v>
      </c>
      <c r="G105" s="35">
        <v>2.5</v>
      </c>
      <c r="H105" s="34">
        <f>'2018'!BH105</f>
        <v>1152.87</v>
      </c>
      <c r="I105" s="13">
        <v>5007</v>
      </c>
      <c r="J105" s="15">
        <f>I105-'2018'!BA105</f>
        <v>300</v>
      </c>
      <c r="K105" s="34">
        <f>J105*$F$8</f>
        <v>747</v>
      </c>
      <c r="L105" s="28"/>
      <c r="M105" s="15">
        <v>5007</v>
      </c>
      <c r="N105" s="15">
        <f>M105-I105</f>
        <v>0</v>
      </c>
      <c r="O105" s="34">
        <f>N105*$F$8</f>
        <v>0</v>
      </c>
      <c r="P105" s="15"/>
      <c r="Q105" s="13">
        <v>5007</v>
      </c>
      <c r="R105" s="15">
        <f>Q105-M105</f>
        <v>0</v>
      </c>
      <c r="S105" s="34">
        <f>R105*$F$8</f>
        <v>0</v>
      </c>
      <c r="T105" s="28"/>
      <c r="U105" s="13">
        <v>5135</v>
      </c>
      <c r="V105" s="15">
        <f>U105-Q105</f>
        <v>128</v>
      </c>
      <c r="W105" s="34">
        <f>V105*$F$8</f>
        <v>318.72</v>
      </c>
      <c r="X105" s="15"/>
      <c r="Y105" s="13">
        <v>5135</v>
      </c>
      <c r="Z105" s="15">
        <f>Y105-U105</f>
        <v>0</v>
      </c>
      <c r="AA105" s="34">
        <f>Z105*$F$8</f>
        <v>0</v>
      </c>
      <c r="AB105" s="38">
        <v>1830</v>
      </c>
      <c r="AC105" s="15">
        <v>5160</v>
      </c>
      <c r="AD105" s="15">
        <f t="shared" ref="AD105:AD106" si="315">AC105-Y105</f>
        <v>25</v>
      </c>
      <c r="AE105" s="34">
        <f>AD105*$G$8</f>
        <v>62.5</v>
      </c>
      <c r="AF105" s="138">
        <v>451.09</v>
      </c>
      <c r="AG105" s="13">
        <v>5456</v>
      </c>
      <c r="AH105" s="15">
        <f t="shared" ref="AH105:AH106" si="316">AG105-AC105</f>
        <v>296</v>
      </c>
      <c r="AI105" s="34">
        <f>AH105*$G$8</f>
        <v>740</v>
      </c>
      <c r="AJ105" s="28"/>
      <c r="AK105" s="13">
        <v>5523</v>
      </c>
      <c r="AL105" s="15">
        <f t="shared" ref="AL105:AL106" si="317">AK105-AG105</f>
        <v>67</v>
      </c>
      <c r="AM105" s="34">
        <f>AL105*$G$8</f>
        <v>167.5</v>
      </c>
      <c r="AN105" s="35"/>
      <c r="AO105" s="13">
        <v>5523</v>
      </c>
      <c r="AP105" s="15">
        <f t="shared" ref="AP105:AP106" si="318">AO105-AK105</f>
        <v>0</v>
      </c>
      <c r="AQ105" s="34">
        <f>AP105*$G$8</f>
        <v>0</v>
      </c>
      <c r="AR105" s="38">
        <v>907.5</v>
      </c>
      <c r="AS105" s="13">
        <v>5523</v>
      </c>
      <c r="AT105" s="15">
        <f t="shared" ref="AT105:AT106" si="319">AS105-AO105</f>
        <v>0</v>
      </c>
      <c r="AU105" s="34">
        <f t="shared" ref="AU105:AU106" si="320">AT105*$G$8</f>
        <v>0</v>
      </c>
      <c r="AV105" s="15"/>
      <c r="AW105" s="13">
        <v>5523</v>
      </c>
      <c r="AX105" s="15">
        <f>AW105-AS105</f>
        <v>0</v>
      </c>
      <c r="AY105" s="34">
        <f>AX105*$G$8</f>
        <v>0</v>
      </c>
      <c r="AZ105" s="35"/>
      <c r="BA105" s="13">
        <v>5523</v>
      </c>
      <c r="BB105" s="15">
        <f>BA105-AW105</f>
        <v>0</v>
      </c>
      <c r="BC105" s="34">
        <f>BB105*$G$8</f>
        <v>0</v>
      </c>
      <c r="BD105" s="15"/>
      <c r="BE105" s="40">
        <f t="shared" ref="BE105:BG105" si="321">J105+N105+R105+V105+Z105+AD105+AH105+AL105+AP105+AT105+AX105+BB105</f>
        <v>816</v>
      </c>
      <c r="BF105" s="41">
        <f t="shared" si="321"/>
        <v>2035.72</v>
      </c>
      <c r="BG105" s="34">
        <f t="shared" si="321"/>
        <v>3188.59</v>
      </c>
      <c r="BH105" s="35">
        <f t="shared" si="314"/>
        <v>0</v>
      </c>
    </row>
    <row r="106" ht="14.25" customHeight="1" spans="1:60" x14ac:dyDescent="0.25">
      <c r="A106" s="79" t="s">
        <v>96</v>
      </c>
      <c r="B106" s="14"/>
      <c r="C106" s="2" t="s">
        <v>98</v>
      </c>
      <c r="D106" s="14" t="s">
        <v>47</v>
      </c>
      <c r="E106" s="2" t="s">
        <v>48</v>
      </c>
      <c r="F106" s="13">
        <v>17.98</v>
      </c>
      <c r="G106" s="28">
        <v>18.56</v>
      </c>
      <c r="H106" s="90">
        <f>'2018'!BH106</f>
        <v>-17.16</v>
      </c>
      <c r="I106" s="75">
        <f>0+36</f>
        <v>36</v>
      </c>
      <c r="J106" s="15"/>
      <c r="K106" s="15"/>
      <c r="L106" s="28"/>
      <c r="M106" s="15"/>
      <c r="N106" s="15"/>
      <c r="O106" s="15"/>
      <c r="P106" s="15"/>
      <c r="Q106" s="13"/>
      <c r="R106" s="15"/>
      <c r="S106" s="15"/>
      <c r="T106" s="28"/>
      <c r="U106" s="15"/>
      <c r="V106" s="15"/>
      <c r="W106" s="15"/>
      <c r="X106" s="15"/>
      <c r="Y106" s="13">
        <f>26+38</f>
        <v>64</v>
      </c>
      <c r="Z106" s="15">
        <f>Y106-'2018'!AO106</f>
        <v>28</v>
      </c>
      <c r="AA106" s="34">
        <f>Z106*$F$10</f>
        <v>503.44</v>
      </c>
      <c r="AB106" s="28"/>
      <c r="AC106" s="13">
        <f>26+38</f>
        <v>64</v>
      </c>
      <c r="AD106" s="15">
        <f t="shared" si="315"/>
        <v>0</v>
      </c>
      <c r="AE106" s="34">
        <f>AD106*$F$10</f>
        <v>0</v>
      </c>
      <c r="AF106" s="138">
        <v>486.28</v>
      </c>
      <c r="AG106" s="13">
        <f>26+38</f>
        <v>64</v>
      </c>
      <c r="AH106" s="15">
        <f t="shared" si="316"/>
        <v>0</v>
      </c>
      <c r="AI106" s="45">
        <f>AH106*$G$10</f>
        <v>0</v>
      </c>
      <c r="AJ106" s="28"/>
      <c r="AK106" s="13">
        <f>30+38</f>
        <v>68</v>
      </c>
      <c r="AL106" s="15">
        <f t="shared" si="317"/>
        <v>4</v>
      </c>
      <c r="AM106" s="45">
        <f>AL106*$G$10</f>
        <v>74.24</v>
      </c>
      <c r="AN106" s="28"/>
      <c r="AO106" s="75">
        <f>30+38</f>
        <v>68</v>
      </c>
      <c r="AP106" s="15">
        <f t="shared" si="318"/>
        <v>0</v>
      </c>
      <c r="AQ106" s="45">
        <f>AP106*$G$10</f>
        <v>0</v>
      </c>
      <c r="AR106" s="32">
        <v>74.24</v>
      </c>
      <c r="AS106" s="13">
        <f>30+38</f>
        <v>68</v>
      </c>
      <c r="AT106" s="15">
        <f t="shared" si="319"/>
        <v>0</v>
      </c>
      <c r="AU106" s="34">
        <f t="shared" si="320"/>
        <v>0</v>
      </c>
      <c r="AV106" s="15"/>
      <c r="AW106" s="13">
        <f>30+38</f>
        <v>68</v>
      </c>
      <c r="AX106" s="15"/>
      <c r="AY106" s="15"/>
      <c r="AZ106" s="28"/>
      <c r="BA106" s="13">
        <f>30+38</f>
        <v>68</v>
      </c>
      <c r="BB106" s="15"/>
      <c r="BC106" s="15"/>
      <c r="BD106" s="15"/>
      <c r="BE106" s="40">
        <f t="shared" ref="BE106:BG106" si="322">J106+N106+R106+V106+Z106+AD106+AH106+AL106+AP106+AT106+AX106+BB106</f>
        <v>32</v>
      </c>
      <c r="BF106" s="41">
        <f t="shared" si="322"/>
        <v>577.68</v>
      </c>
      <c r="BG106" s="34">
        <f t="shared" si="322"/>
        <v>560.52</v>
      </c>
      <c r="BH106" s="35">
        <f t="shared" si="314"/>
        <v>0</v>
      </c>
    </row>
    <row r="107" ht="14.25" customHeight="1" spans="1:60" x14ac:dyDescent="0.25">
      <c r="A107" s="79" t="s">
        <v>96</v>
      </c>
      <c r="B107" s="14"/>
      <c r="C107" s="2" t="s">
        <v>99</v>
      </c>
      <c r="D107" s="14" t="s">
        <v>47</v>
      </c>
      <c r="E107" s="2" t="s">
        <v>49</v>
      </c>
      <c r="F107" s="41">
        <v>500</v>
      </c>
      <c r="G107" s="35"/>
      <c r="H107" s="34">
        <f>'2018'!BH107</f>
        <v>0</v>
      </c>
      <c r="I107" s="13"/>
      <c r="J107" s="15"/>
      <c r="K107" s="15"/>
      <c r="L107" s="28"/>
      <c r="M107" s="15"/>
      <c r="N107" s="15"/>
      <c r="O107" s="15"/>
      <c r="P107" s="15"/>
      <c r="Q107" s="13"/>
      <c r="R107" s="15"/>
      <c r="S107" s="15"/>
      <c r="T107" s="28"/>
      <c r="U107" s="15"/>
      <c r="V107" s="15"/>
      <c r="W107" s="15"/>
      <c r="X107" s="15"/>
      <c r="Y107" s="13"/>
      <c r="Z107" s="15"/>
      <c r="AA107" s="15"/>
      <c r="AB107" s="28"/>
      <c r="AC107" s="15"/>
      <c r="AD107" s="15"/>
      <c r="AE107" s="34"/>
      <c r="AF107" s="15"/>
      <c r="AG107" s="13"/>
      <c r="AH107" s="15"/>
      <c r="AI107" s="34"/>
      <c r="AJ107" s="28"/>
      <c r="AK107" s="13"/>
      <c r="AL107" s="15"/>
      <c r="AM107" s="34"/>
      <c r="AN107" s="28"/>
      <c r="AO107" s="13"/>
      <c r="AP107" s="15"/>
      <c r="AQ107" s="34"/>
      <c r="AR107" s="28"/>
      <c r="AS107" s="15"/>
      <c r="AT107" s="15"/>
      <c r="AU107" s="15"/>
      <c r="AV107" s="15"/>
      <c r="AW107" s="13"/>
      <c r="AX107" s="15"/>
      <c r="AY107" s="15"/>
      <c r="AZ107" s="28"/>
      <c r="BA107" s="15"/>
      <c r="BB107" s="15"/>
      <c r="BC107" s="15"/>
      <c r="BD107" s="15"/>
      <c r="BE107" s="14"/>
      <c r="BF107" s="41">
        <f t="shared" ref="BF107:BG107" si="323">K107+O107+S107+W107+AA107+AE107+AI107+AM107+AQ107+AU107+AY107+BC107</f>
        <v>0</v>
      </c>
      <c r="BG107" s="34">
        <f t="shared" si="323"/>
        <v>0</v>
      </c>
      <c r="BH107" s="35">
        <f t="shared" si="314"/>
        <v>0</v>
      </c>
    </row>
    <row r="108" ht="14.25" customHeight="1" spans="1:60" x14ac:dyDescent="0.25">
      <c r="A108" s="79" t="s">
        <v>96</v>
      </c>
      <c r="B108" s="14"/>
      <c r="C108" s="73"/>
      <c r="D108" s="14" t="s">
        <v>50</v>
      </c>
      <c r="E108" s="2" t="s">
        <v>49</v>
      </c>
      <c r="F108" s="41">
        <v>1200</v>
      </c>
      <c r="G108" s="35"/>
      <c r="H108" s="34">
        <f>'2018'!BH108</f>
        <v>15.9972</v>
      </c>
      <c r="I108" s="13"/>
      <c r="J108" s="15"/>
      <c r="K108" s="15"/>
      <c r="L108" s="28"/>
      <c r="M108" s="15"/>
      <c r="N108" s="15"/>
      <c r="O108" s="15"/>
      <c r="P108" s="15"/>
      <c r="Q108" s="13"/>
      <c r="R108" s="15"/>
      <c r="S108" s="15"/>
      <c r="T108" s="28"/>
      <c r="U108" s="15"/>
      <c r="V108" s="15"/>
      <c r="W108" s="15"/>
      <c r="X108" s="15"/>
      <c r="Y108" s="13"/>
      <c r="Z108" s="15"/>
      <c r="AA108" s="15"/>
      <c r="AB108" s="28"/>
      <c r="AC108" s="15"/>
      <c r="AD108" s="15"/>
      <c r="AE108" s="34">
        <f>B105*$F$12</f>
        <v>9528</v>
      </c>
      <c r="AF108" s="138">
        <v>3062.63</v>
      </c>
      <c r="AG108" s="13"/>
      <c r="AH108" s="15"/>
      <c r="AI108" s="15"/>
      <c r="AJ108" s="28"/>
      <c r="AK108" s="13"/>
      <c r="AL108" s="15"/>
      <c r="AM108" s="15"/>
      <c r="AN108" s="35"/>
      <c r="AO108" s="13"/>
      <c r="AP108" s="15"/>
      <c r="AQ108" s="15"/>
      <c r="AR108" s="32">
        <v>6481.37</v>
      </c>
      <c r="AS108" s="15"/>
      <c r="AT108" s="15"/>
      <c r="AU108" s="15"/>
      <c r="AV108" s="15"/>
      <c r="AW108" s="13"/>
      <c r="AX108" s="15"/>
      <c r="AY108" s="15"/>
      <c r="AZ108" s="28"/>
      <c r="BA108" s="15"/>
      <c r="BB108" s="15"/>
      <c r="BC108" s="15"/>
      <c r="BD108" s="15"/>
      <c r="BE108" s="14"/>
      <c r="BF108" s="41">
        <f t="shared" ref="BF108:BG108" si="324">K108+O108+S108+W108+AA108+AE108+AI108+AM108+AQ108+AU108+AY108+BC108</f>
        <v>9528</v>
      </c>
      <c r="BG108" s="34">
        <f t="shared" si="324"/>
        <v>9544</v>
      </c>
      <c r="BH108" s="35">
        <f t="shared" si="314"/>
        <v>-0.0028</v>
      </c>
    </row>
    <row r="109" ht="14.25" customHeight="1" spans="1:60" x14ac:dyDescent="0.25">
      <c r="A109" s="79" t="s">
        <v>96</v>
      </c>
      <c r="B109" s="14"/>
      <c r="C109" s="2" t="s">
        <v>386</v>
      </c>
      <c r="D109" s="14" t="s">
        <v>51</v>
      </c>
      <c r="E109" s="2" t="s">
        <v>49</v>
      </c>
      <c r="F109" s="41">
        <v>1000</v>
      </c>
      <c r="G109" s="35"/>
      <c r="H109" s="34">
        <f>'2018'!BH109</f>
        <v>0</v>
      </c>
      <c r="I109" s="13"/>
      <c r="J109" s="15"/>
      <c r="K109" s="15"/>
      <c r="L109" s="28"/>
      <c r="M109" s="15"/>
      <c r="N109" s="15"/>
      <c r="O109" s="15"/>
      <c r="P109" s="15"/>
      <c r="Q109" s="13"/>
      <c r="R109" s="15"/>
      <c r="S109" s="15"/>
      <c r="T109" s="28"/>
      <c r="U109" s="15"/>
      <c r="V109" s="15"/>
      <c r="W109" s="15"/>
      <c r="X109" s="15"/>
      <c r="Y109" s="13"/>
      <c r="Z109" s="15"/>
      <c r="AA109" s="15"/>
      <c r="AB109" s="28"/>
      <c r="AC109" s="15"/>
      <c r="AD109" s="15"/>
      <c r="AE109" s="34">
        <f>$F$21*2</f>
        <v>2000</v>
      </c>
      <c r="AF109" s="15"/>
      <c r="AG109" s="13"/>
      <c r="AH109" s="15"/>
      <c r="AI109" s="15"/>
      <c r="AJ109" s="28"/>
      <c r="AK109" s="13"/>
      <c r="AL109" s="15"/>
      <c r="AM109" s="15"/>
      <c r="AN109" s="28"/>
      <c r="AO109" s="13"/>
      <c r="AP109" s="15"/>
      <c r="AQ109" s="15"/>
      <c r="AR109" s="38">
        <v>2000</v>
      </c>
      <c r="AS109" s="15"/>
      <c r="AT109" s="15"/>
      <c r="AU109" s="15"/>
      <c r="AV109" s="15"/>
      <c r="AW109" s="13"/>
      <c r="AX109" s="15"/>
      <c r="AY109" s="15"/>
      <c r="AZ109" s="28"/>
      <c r="BA109" s="15"/>
      <c r="BB109" s="15"/>
      <c r="BC109" s="15"/>
      <c r="BD109" s="15"/>
      <c r="BE109" s="14"/>
      <c r="BF109" s="41">
        <f t="shared" ref="BF109:BG109" si="325">K109+O109+S109+W109+AA109+AE109+AI109+AM109+AQ109+AU109+AY109+BC109</f>
        <v>2000</v>
      </c>
      <c r="BG109" s="34">
        <f t="shared" si="325"/>
        <v>2000</v>
      </c>
      <c r="BH109" s="35">
        <f t="shared" si="314"/>
        <v>0</v>
      </c>
    </row>
    <row r="110" ht="14.25" customHeight="1" spans="1:60" x14ac:dyDescent="0.25">
      <c r="A110" s="79" t="s">
        <v>96</v>
      </c>
      <c r="B110" s="14"/>
      <c r="D110" s="14" t="s">
        <v>52</v>
      </c>
      <c r="E110" s="2" t="s">
        <v>39</v>
      </c>
      <c r="F110" s="41">
        <v>500</v>
      </c>
      <c r="G110" s="35"/>
      <c r="H110" s="34">
        <f>'2018'!BH110</f>
        <v>0</v>
      </c>
      <c r="I110" s="13"/>
      <c r="J110" s="15"/>
      <c r="K110" s="15"/>
      <c r="L110" s="28"/>
      <c r="M110" s="15"/>
      <c r="N110" s="15"/>
      <c r="O110" s="15"/>
      <c r="P110" s="15"/>
      <c r="Q110" s="13"/>
      <c r="R110" s="15"/>
      <c r="S110" s="15"/>
      <c r="T110" s="28"/>
      <c r="U110" s="15"/>
      <c r="V110" s="15"/>
      <c r="W110" s="15"/>
      <c r="X110" s="15"/>
      <c r="Y110" s="13"/>
      <c r="Z110" s="15"/>
      <c r="AA110" s="34">
        <f>$F$14*2</f>
        <v>1000</v>
      </c>
      <c r="AB110" s="28"/>
      <c r="AC110" s="15"/>
      <c r="AD110" s="15"/>
      <c r="AE110" s="15"/>
      <c r="AF110" s="133">
        <v>1000</v>
      </c>
      <c r="AG110" s="13"/>
      <c r="AH110" s="15"/>
      <c r="AI110" s="15"/>
      <c r="AJ110" s="28"/>
      <c r="AK110" s="13"/>
      <c r="AL110" s="15"/>
      <c r="AM110" s="15"/>
      <c r="AN110" s="28"/>
      <c r="AO110" s="13"/>
      <c r="AP110" s="15"/>
      <c r="AQ110" s="15"/>
      <c r="AR110" s="28"/>
      <c r="AS110" s="15"/>
      <c r="AT110" s="15"/>
      <c r="AU110" s="15"/>
      <c r="AV110" s="15"/>
      <c r="AW110" s="13"/>
      <c r="AX110" s="15"/>
      <c r="AY110" s="15"/>
      <c r="AZ110" s="35"/>
      <c r="BA110" s="15"/>
      <c r="BB110" s="15"/>
      <c r="BC110" s="15"/>
      <c r="BD110" s="15"/>
      <c r="BE110" s="14"/>
      <c r="BF110" s="41">
        <f t="shared" ref="BF110:BG110" si="326">K110+O110+S110+W110+AA110+AE110+AI110+AM110+AQ110+AU110+AY110+BC110</f>
        <v>1000</v>
      </c>
      <c r="BG110" s="34">
        <f t="shared" si="326"/>
        <v>1000</v>
      </c>
      <c r="BH110" s="35">
        <f t="shared" si="314"/>
        <v>0</v>
      </c>
    </row>
    <row r="111" ht="14.25" customHeight="1" spans="1:62" x14ac:dyDescent="0.25">
      <c r="A111" s="50" t="s">
        <v>96</v>
      </c>
      <c r="B111" s="21"/>
      <c r="C111" s="22" t="s">
        <v>53</v>
      </c>
      <c r="D111" s="21"/>
      <c r="E111" s="22"/>
      <c r="F111" s="20"/>
      <c r="G111" s="23"/>
      <c r="H111" s="51">
        <f>SUM(H104:H110)</f>
        <v>1151.7072</v>
      </c>
      <c r="I111" s="52"/>
      <c r="J111" s="53"/>
      <c r="K111" s="51">
        <f t="shared" ref="K111:L111" si="327">SUM(K105:K110)</f>
        <v>747</v>
      </c>
      <c r="L111" s="68">
        <f t="shared" si="327"/>
        <v>0</v>
      </c>
      <c r="M111" s="53"/>
      <c r="N111" s="53"/>
      <c r="O111" s="51">
        <f t="shared" ref="O111:P111" si="328">SUM(O105:O110)</f>
        <v>0</v>
      </c>
      <c r="P111" s="51">
        <f t="shared" si="328"/>
        <v>0</v>
      </c>
      <c r="Q111" s="52"/>
      <c r="R111" s="53"/>
      <c r="S111" s="51">
        <f t="shared" ref="S111:T111" si="329">SUM(S105:S110)</f>
        <v>0</v>
      </c>
      <c r="T111" s="68">
        <f t="shared" si="329"/>
        <v>0</v>
      </c>
      <c r="U111" s="53"/>
      <c r="V111" s="53"/>
      <c r="W111" s="51">
        <f t="shared" ref="W111:X111" si="330">SUM(W105:W110)</f>
        <v>318.72</v>
      </c>
      <c r="X111" s="51">
        <f t="shared" si="330"/>
        <v>0</v>
      </c>
      <c r="Y111" s="52"/>
      <c r="Z111" s="53"/>
      <c r="AA111" s="51">
        <f t="shared" ref="AA111:AB111" si="331">SUM(AA105:AA110)</f>
        <v>1503.44</v>
      </c>
      <c r="AB111" s="68">
        <f t="shared" si="331"/>
        <v>1830</v>
      </c>
      <c r="AC111" s="53"/>
      <c r="AD111" s="53"/>
      <c r="AE111" s="51">
        <f t="shared" ref="AE111:AF111" si="332">SUM(AE105:AE110)</f>
        <v>11590.5</v>
      </c>
      <c r="AF111" s="51">
        <f t="shared" si="332"/>
        <v>5000</v>
      </c>
      <c r="AG111" s="52"/>
      <c r="AH111" s="53"/>
      <c r="AI111" s="51">
        <f t="shared" ref="AI111:AJ111" si="333">SUM(AI105:AI110)</f>
        <v>740</v>
      </c>
      <c r="AJ111" s="68">
        <f t="shared" si="333"/>
        <v>0</v>
      </c>
      <c r="AK111" s="52"/>
      <c r="AL111" s="53"/>
      <c r="AM111" s="51">
        <f t="shared" ref="AM111:AN111" si="334">SUM(AM105:AM110)</f>
        <v>241.74</v>
      </c>
      <c r="AN111" s="68">
        <f t="shared" si="334"/>
        <v>0</v>
      </c>
      <c r="AO111" s="52"/>
      <c r="AP111" s="53"/>
      <c r="AQ111" s="51">
        <f t="shared" ref="AQ111:AR111" si="335">SUM(AQ104:AQ110)</f>
        <v>18.66</v>
      </c>
      <c r="AR111" s="68">
        <f t="shared" si="335"/>
        <v>9463.11</v>
      </c>
      <c r="AS111" s="53"/>
      <c r="AT111" s="53"/>
      <c r="AU111" s="51">
        <f t="shared" ref="AU111:AV111" si="336">SUM(AU104:AU110)</f>
        <v>0</v>
      </c>
      <c r="AV111" s="68">
        <f t="shared" si="336"/>
        <v>0</v>
      </c>
      <c r="AW111" s="52"/>
      <c r="AX111" s="53"/>
      <c r="AY111" s="51">
        <f t="shared" ref="AY111:AZ111" si="337">SUM(AY104:AY110)</f>
        <v>0</v>
      </c>
      <c r="AZ111" s="68">
        <f t="shared" si="337"/>
        <v>0</v>
      </c>
      <c r="BA111" s="53"/>
      <c r="BB111" s="53"/>
      <c r="BC111" s="51">
        <f t="shared" ref="BC111:BD111" si="338">SUM(BC104:BC110)</f>
        <v>0</v>
      </c>
      <c r="BD111" s="68">
        <f t="shared" si="338"/>
        <v>0</v>
      </c>
      <c r="BE111" s="69"/>
      <c r="BF111" s="70">
        <f t="shared" ref="BF111:BH111" si="339">SUM(BF104:BF110)</f>
        <v>15160.06</v>
      </c>
      <c r="BG111" s="71">
        <f t="shared" si="339"/>
        <v>16293.11</v>
      </c>
      <c r="BH111" s="72">
        <f t="shared" si="339"/>
        <v>18.6572</v>
      </c>
      <c r="BI111" s="34">
        <f>H111+BF111-BG111</f>
        <v>18.6572</v>
      </c>
      <c r="BJ111" s="34">
        <f>BH111-BI111</f>
        <v>0</v>
      </c>
    </row>
    <row r="112" ht="14.25" customHeight="1" spans="1:60" x14ac:dyDescent="0.25">
      <c r="A112" s="29">
        <v>14</v>
      </c>
      <c r="B112" s="14"/>
      <c r="D112" s="14" t="s">
        <v>379</v>
      </c>
      <c r="F112" s="13"/>
      <c r="G112" s="28"/>
      <c r="H112" s="34">
        <f>'2018'!BH112</f>
      </c>
      <c r="I112" s="13"/>
      <c r="J112" s="15"/>
      <c r="K112" s="15"/>
      <c r="L112" s="28"/>
      <c r="M112" s="15"/>
      <c r="N112" s="15"/>
      <c r="O112" s="15"/>
      <c r="P112" s="15"/>
      <c r="Q112" s="13"/>
      <c r="R112" s="15"/>
      <c r="S112" s="15"/>
      <c r="T112" s="28"/>
      <c r="U112" s="15"/>
      <c r="V112" s="15"/>
      <c r="W112" s="15"/>
      <c r="X112" s="15"/>
      <c r="Y112" s="13"/>
      <c r="Z112" s="15"/>
      <c r="AA112" s="15"/>
      <c r="AB112" s="28"/>
      <c r="AC112" s="15"/>
      <c r="AD112" s="15"/>
      <c r="AE112" s="15"/>
      <c r="AF112" s="15"/>
      <c r="AG112" s="13"/>
      <c r="AH112" s="15"/>
      <c r="AI112" s="15"/>
      <c r="AJ112" s="28"/>
      <c r="AK112" s="13"/>
      <c r="AL112" s="15"/>
      <c r="AM112" s="15"/>
      <c r="AN112" s="28"/>
      <c r="AO112" s="13"/>
      <c r="AP112" s="15"/>
      <c r="AQ112" s="15"/>
      <c r="AR112" s="28"/>
      <c r="AS112" s="15"/>
      <c r="AT112" s="15"/>
      <c r="AU112" s="15"/>
      <c r="AV112" s="15"/>
      <c r="AW112" s="13"/>
      <c r="AX112" s="15"/>
      <c r="AY112" s="15"/>
      <c r="AZ112" s="28"/>
      <c r="BA112" s="15"/>
      <c r="BB112" s="15"/>
      <c r="BC112" s="15"/>
      <c r="BD112" s="15"/>
      <c r="BE112" s="14"/>
      <c r="BF112" s="41">
        <f t="shared" ref="BF112:BG112" si="340">K112+O112+S112+W112+AA112+AE112+AI112+AM112+AQ112+AU112+AY112+BC112</f>
        <v>0</v>
      </c>
      <c r="BG112" s="34">
        <f t="shared" si="340"/>
        <v>0</v>
      </c>
      <c r="BH112" s="35">
        <f t="shared" ref="BH112:BH118" si="341">H112+BF112-BG112</f>
        <v>0</v>
      </c>
    </row>
    <row r="113" ht="14.25" customHeight="1" spans="1:60" x14ac:dyDescent="0.25">
      <c r="A113" s="2">
        <v>14</v>
      </c>
      <c r="B113" s="14">
        <v>4.02</v>
      </c>
      <c r="C113" s="15" t="s">
        <v>100</v>
      </c>
      <c r="D113" s="14" t="s">
        <v>44</v>
      </c>
      <c r="E113" s="2" t="s">
        <v>45</v>
      </c>
      <c r="F113" s="13">
        <v>2.49</v>
      </c>
      <c r="G113" s="35">
        <v>2.5</v>
      </c>
      <c r="H113" s="104">
        <f>'2018'!BH113</f>
        <v>0</v>
      </c>
      <c r="I113" s="13"/>
      <c r="J113" s="15"/>
      <c r="K113" s="34">
        <f>J113*$F$8</f>
        <v>0</v>
      </c>
      <c r="L113" s="28"/>
      <c r="M113" s="15"/>
      <c r="N113" s="15">
        <f>M113-I113</f>
        <v>0</v>
      </c>
      <c r="O113" s="34">
        <f>N113*$F$8</f>
        <v>0</v>
      </c>
      <c r="P113" s="15"/>
      <c r="Q113" s="13"/>
      <c r="R113" s="15">
        <f>Q113-M113</f>
        <v>0</v>
      </c>
      <c r="S113" s="34">
        <f>R113*$F$8</f>
        <v>0</v>
      </c>
      <c r="T113" s="28"/>
      <c r="U113" s="15"/>
      <c r="V113" s="15">
        <f>U113-Q113</f>
        <v>0</v>
      </c>
      <c r="W113" s="15"/>
      <c r="X113" s="15"/>
      <c r="Y113" s="13"/>
      <c r="Z113" s="15">
        <f>Y113-U113</f>
        <v>0</v>
      </c>
      <c r="AA113" s="34">
        <f>Z113*$F$8</f>
        <v>0</v>
      </c>
      <c r="AB113" s="28"/>
      <c r="AC113" s="15"/>
      <c r="AD113" s="15">
        <f>AC113-Y113</f>
        <v>0</v>
      </c>
      <c r="AE113" s="34">
        <f>AD113*$G$8</f>
        <v>0</v>
      </c>
      <c r="AF113" s="15"/>
      <c r="AG113" s="13"/>
      <c r="AH113" s="15">
        <f>AG113-AC113</f>
        <v>0</v>
      </c>
      <c r="AI113" s="34">
        <f>AH113*$G$8</f>
        <v>0</v>
      </c>
      <c r="AJ113" s="28"/>
      <c r="AK113" s="13"/>
      <c r="AL113" s="15">
        <f>AK113-AG113</f>
        <v>0</v>
      </c>
      <c r="AM113" s="34">
        <f>AL113*$G$8</f>
        <v>0</v>
      </c>
      <c r="AN113" s="28"/>
      <c r="AO113" s="13"/>
      <c r="AP113" s="15">
        <f>AO113-AK113</f>
        <v>0</v>
      </c>
      <c r="AQ113" s="34">
        <f>AP113*$G$8</f>
        <v>0</v>
      </c>
      <c r="AR113" s="28"/>
      <c r="AS113" s="15"/>
      <c r="AT113" s="15">
        <f>AS113-AO113</f>
        <v>0</v>
      </c>
      <c r="AU113" s="34">
        <f>AT113*$G$8</f>
        <v>0</v>
      </c>
      <c r="AV113" s="15"/>
      <c r="AW113" s="13"/>
      <c r="AX113" s="15">
        <f>AW113-AS113</f>
        <v>0</v>
      </c>
      <c r="AY113" s="34">
        <f>AX113*$G$8</f>
        <v>0</v>
      </c>
      <c r="AZ113" s="28"/>
      <c r="BA113" s="15"/>
      <c r="BB113" s="15">
        <f>BA113-AW113</f>
        <v>0</v>
      </c>
      <c r="BC113" s="34">
        <f>BB113*$G$8</f>
        <v>0</v>
      </c>
      <c r="BD113" s="15"/>
      <c r="BE113" s="40">
        <f t="shared" ref="BE113:BG113" si="342">J113+N113+R113+V113+Z113+AD113+AH113+AL113+AP113+AT113+AX113+BB113</f>
        <v>0</v>
      </c>
      <c r="BF113" s="41">
        <f t="shared" si="342"/>
        <v>0</v>
      </c>
      <c r="BG113" s="34">
        <f t="shared" si="342"/>
        <v>0</v>
      </c>
      <c r="BH113" s="35">
        <f t="shared" si="341"/>
        <v>0</v>
      </c>
    </row>
    <row r="114" ht="14.25" customHeight="1" spans="1:60" x14ac:dyDescent="0.25">
      <c r="A114" s="29">
        <v>14</v>
      </c>
      <c r="B114" s="14"/>
      <c r="C114" s="2" t="s">
        <v>101</v>
      </c>
      <c r="D114" s="14" t="s">
        <v>47</v>
      </c>
      <c r="E114" s="2" t="s">
        <v>48</v>
      </c>
      <c r="F114" s="13">
        <v>17.98</v>
      </c>
      <c r="G114" s="28">
        <v>18.56</v>
      </c>
      <c r="H114" s="34">
        <f>'2018'!BH114</f>
        <v>0</v>
      </c>
      <c r="I114" s="13"/>
      <c r="J114" s="15"/>
      <c r="K114" s="15"/>
      <c r="L114" s="28"/>
      <c r="M114" s="15"/>
      <c r="N114" s="15"/>
      <c r="O114" s="15"/>
      <c r="P114" s="15"/>
      <c r="Q114" s="13"/>
      <c r="R114" s="15"/>
      <c r="S114" s="15"/>
      <c r="T114" s="28"/>
      <c r="U114" s="15"/>
      <c r="V114" s="15"/>
      <c r="W114" s="15"/>
      <c r="X114" s="15"/>
      <c r="Y114" s="13"/>
      <c r="Z114" s="15"/>
      <c r="AA114" s="15"/>
      <c r="AB114" s="28"/>
      <c r="AC114" s="15"/>
      <c r="AD114" s="15"/>
      <c r="AE114" s="34">
        <f>AD114*$F$10</f>
        <v>0</v>
      </c>
      <c r="AF114" s="15"/>
      <c r="AG114" s="13"/>
      <c r="AH114" s="15"/>
      <c r="AI114" s="45">
        <f>AH114*$G$10</f>
        <v>0</v>
      </c>
      <c r="AJ114" s="28"/>
      <c r="AK114" s="13"/>
      <c r="AL114" s="15"/>
      <c r="AM114" s="45">
        <f>AL114*$G$10</f>
        <v>0</v>
      </c>
      <c r="AN114" s="28"/>
      <c r="AO114" s="13"/>
      <c r="AP114" s="15"/>
      <c r="AQ114" s="45">
        <f>AP114*$G$10</f>
        <v>0</v>
      </c>
      <c r="AR114" s="28"/>
      <c r="AS114" s="13"/>
      <c r="AT114" s="15"/>
      <c r="AU114" s="45">
        <f>AT114*$G$10</f>
        <v>0</v>
      </c>
      <c r="AV114" s="15"/>
      <c r="AW114" s="13"/>
      <c r="AX114" s="15"/>
      <c r="AY114" s="15"/>
      <c r="AZ114" s="28"/>
      <c r="BA114" s="15"/>
      <c r="BB114" s="15"/>
      <c r="BC114" s="15"/>
      <c r="BD114" s="15"/>
      <c r="BE114" s="40">
        <f t="shared" ref="BE114:BG114" si="343">J114+N114+R114+V114+Z114+AD114+AH114+AL114+AP114+AT114+AX114+BB114</f>
        <v>0</v>
      </c>
      <c r="BF114" s="41">
        <f t="shared" si="343"/>
        <v>0</v>
      </c>
      <c r="BG114" s="34">
        <f t="shared" si="343"/>
        <v>0</v>
      </c>
      <c r="BH114" s="35">
        <f t="shared" si="341"/>
        <v>0</v>
      </c>
    </row>
    <row r="115" ht="14.25" customHeight="1" spans="1:60" x14ac:dyDescent="0.25">
      <c r="A115" s="29">
        <v>14</v>
      </c>
      <c r="B115" s="14"/>
      <c r="C115" s="2" t="s">
        <v>102</v>
      </c>
      <c r="D115" s="14" t="s">
        <v>47</v>
      </c>
      <c r="E115" s="2" t="s">
        <v>49</v>
      </c>
      <c r="F115" s="41">
        <v>500</v>
      </c>
      <c r="G115" s="35"/>
      <c r="H115" s="77">
        <f>'2018'!BH115</f>
        <v>0</v>
      </c>
      <c r="I115" s="13"/>
      <c r="J115" s="15"/>
      <c r="K115" s="15"/>
      <c r="L115" s="28"/>
      <c r="M115" s="15"/>
      <c r="N115" s="15"/>
      <c r="O115" s="15"/>
      <c r="P115" s="15"/>
      <c r="Q115" s="13"/>
      <c r="R115" s="15"/>
      <c r="S115" s="15"/>
      <c r="T115" s="28"/>
      <c r="U115" s="15"/>
      <c r="V115" s="15"/>
      <c r="W115" s="15"/>
      <c r="X115" s="15"/>
      <c r="Y115" s="13"/>
      <c r="Z115" s="15"/>
      <c r="AA115" s="34">
        <f>B113*$F$11</f>
        <v>2010</v>
      </c>
      <c r="AB115" s="28"/>
      <c r="AC115" s="15"/>
      <c r="AD115" s="15"/>
      <c r="AE115" s="34"/>
      <c r="AF115" s="133">
        <v>2010</v>
      </c>
      <c r="AG115" s="13"/>
      <c r="AH115" s="15"/>
      <c r="AI115" s="34"/>
      <c r="AJ115" s="38"/>
      <c r="AK115" s="13"/>
      <c r="AL115" s="15"/>
      <c r="AM115" s="34"/>
      <c r="AN115" s="28"/>
      <c r="AO115" s="13"/>
      <c r="AP115" s="15"/>
      <c r="AQ115" s="34"/>
      <c r="AR115" s="28"/>
      <c r="AS115" s="15"/>
      <c r="AT115" s="15"/>
      <c r="AU115" s="15"/>
      <c r="AV115" s="15"/>
      <c r="AW115" s="13"/>
      <c r="AX115" s="15"/>
      <c r="AY115" s="15"/>
      <c r="AZ115" s="28"/>
      <c r="BA115" s="15"/>
      <c r="BB115" s="15"/>
      <c r="BC115" s="15"/>
      <c r="BD115" s="15"/>
      <c r="BE115" s="14"/>
      <c r="BF115" s="41">
        <f t="shared" ref="BF115:BG115" si="344">K115+O115+S115+W115+AA115+AE115+AI115+AM115+AQ115+AU115+AY115+BC115</f>
        <v>2010</v>
      </c>
      <c r="BG115" s="34">
        <f t="shared" si="344"/>
        <v>2010</v>
      </c>
      <c r="BH115" s="35">
        <f t="shared" si="341"/>
        <v>0</v>
      </c>
    </row>
    <row r="116" ht="14.25" customHeight="1" spans="1:60" x14ac:dyDescent="0.25">
      <c r="A116" s="29">
        <v>14</v>
      </c>
      <c r="B116" s="14"/>
      <c r="C116" s="15" t="s">
        <v>387</v>
      </c>
      <c r="D116" s="14" t="s">
        <v>50</v>
      </c>
      <c r="E116" s="2" t="s">
        <v>49</v>
      </c>
      <c r="F116" s="41">
        <v>1200</v>
      </c>
      <c r="G116" s="35"/>
      <c r="H116" s="34">
        <f>'2018'!BH116</f>
        <v>0.0076</v>
      </c>
      <c r="I116" s="13"/>
      <c r="J116" s="15"/>
      <c r="K116" s="15"/>
      <c r="L116" s="28"/>
      <c r="M116" s="15"/>
      <c r="N116" s="15"/>
      <c r="O116" s="15"/>
      <c r="P116" s="15"/>
      <c r="Q116" s="13"/>
      <c r="R116" s="15"/>
      <c r="S116" s="15"/>
      <c r="T116" s="28"/>
      <c r="U116" s="15"/>
      <c r="V116" s="15"/>
      <c r="W116" s="15"/>
      <c r="X116" s="15"/>
      <c r="Y116" s="13"/>
      <c r="Z116" s="15"/>
      <c r="AA116" s="15"/>
      <c r="AB116" s="28"/>
      <c r="AC116" s="15"/>
      <c r="AD116" s="15"/>
      <c r="AE116" s="34">
        <f>B113*$F$12</f>
        <v>4824</v>
      </c>
      <c r="AF116" s="133">
        <v>4824.01</v>
      </c>
      <c r="AG116" s="13"/>
      <c r="AH116" s="15"/>
      <c r="AI116" s="15"/>
      <c r="AJ116" s="28"/>
      <c r="AK116" s="13"/>
      <c r="AL116" s="15"/>
      <c r="AM116" s="15"/>
      <c r="AN116" s="28"/>
      <c r="AO116" s="13"/>
      <c r="AP116" s="15"/>
      <c r="AQ116" s="15"/>
      <c r="AR116" s="28"/>
      <c r="AS116" s="15"/>
      <c r="AT116" s="15"/>
      <c r="AU116" s="15"/>
      <c r="AV116" s="15"/>
      <c r="AW116" s="13"/>
      <c r="AX116" s="15"/>
      <c r="AY116" s="15"/>
      <c r="AZ116" s="28"/>
      <c r="BA116" s="15"/>
      <c r="BB116" s="15"/>
      <c r="BC116" s="15"/>
      <c r="BD116" s="15"/>
      <c r="BE116" s="14"/>
      <c r="BF116" s="41">
        <f t="shared" ref="BF116:BG116" si="345">K116+O116+S116+W116+AA116+AE116+AI116+AM116+AQ116+AU116+AY116+BC116</f>
        <v>4824</v>
      </c>
      <c r="BG116" s="34">
        <f t="shared" si="345"/>
        <v>4824.01</v>
      </c>
      <c r="BH116" s="35">
        <f t="shared" si="341"/>
        <v>-0.002400000001</v>
      </c>
    </row>
    <row r="117" ht="14.25" customHeight="1" spans="1:60" x14ac:dyDescent="0.25">
      <c r="A117" s="29">
        <v>14</v>
      </c>
      <c r="B117" s="14"/>
      <c r="C117" s="15" t="s">
        <v>388</v>
      </c>
      <c r="D117" s="14" t="s">
        <v>51</v>
      </c>
      <c r="E117" s="2" t="s">
        <v>49</v>
      </c>
      <c r="F117" s="41">
        <v>1000</v>
      </c>
      <c r="G117" s="35"/>
      <c r="H117" s="34">
        <f>'2018'!BH117</f>
        <v>0</v>
      </c>
      <c r="I117" s="13"/>
      <c r="J117" s="15"/>
      <c r="K117" s="15"/>
      <c r="L117" s="28"/>
      <c r="M117" s="15"/>
      <c r="N117" s="15"/>
      <c r="O117" s="15"/>
      <c r="P117" s="15"/>
      <c r="Q117" s="13"/>
      <c r="R117" s="15"/>
      <c r="S117" s="15"/>
      <c r="T117" s="28"/>
      <c r="U117" s="15"/>
      <c r="V117" s="15"/>
      <c r="W117" s="15"/>
      <c r="X117" s="15"/>
      <c r="Y117" s="13"/>
      <c r="Z117" s="15"/>
      <c r="AA117" s="15"/>
      <c r="AB117" s="28"/>
      <c r="AC117" s="15"/>
      <c r="AD117" s="15"/>
      <c r="AE117" s="34">
        <f>$F$21</f>
        <v>1000</v>
      </c>
      <c r="AF117" s="133">
        <v>1000</v>
      </c>
      <c r="AG117" s="13"/>
      <c r="AH117" s="15"/>
      <c r="AI117" s="15"/>
      <c r="AJ117" s="28"/>
      <c r="AK117" s="13"/>
      <c r="AL117" s="15"/>
      <c r="AM117" s="15"/>
      <c r="AN117" s="28"/>
      <c r="AO117" s="13"/>
      <c r="AP117" s="15"/>
      <c r="AQ117" s="15"/>
      <c r="AR117" s="28"/>
      <c r="AS117" s="15"/>
      <c r="AT117" s="15"/>
      <c r="AU117" s="15"/>
      <c r="AV117" s="15"/>
      <c r="AW117" s="13"/>
      <c r="AX117" s="15"/>
      <c r="AY117" s="15"/>
      <c r="AZ117" s="28"/>
      <c r="BA117" s="15"/>
      <c r="BB117" s="15"/>
      <c r="BC117" s="15"/>
      <c r="BD117" s="15"/>
      <c r="BE117" s="14"/>
      <c r="BF117" s="41">
        <f t="shared" ref="BF117:BG117" si="346">K117+O117+S117+W117+AA117+AE117+AI117+AM117+AQ117+AU117+AY117+BC117</f>
        <v>1000</v>
      </c>
      <c r="BG117" s="34">
        <f t="shared" si="346"/>
        <v>1000</v>
      </c>
      <c r="BH117" s="35">
        <f t="shared" si="341"/>
        <v>0</v>
      </c>
    </row>
    <row r="118" ht="14.25" customHeight="1" spans="1:60" x14ac:dyDescent="0.25">
      <c r="A118" s="29">
        <v>14</v>
      </c>
      <c r="B118" s="14"/>
      <c r="C118" s="15" t="s">
        <v>389</v>
      </c>
      <c r="D118" s="14" t="s">
        <v>52</v>
      </c>
      <c r="E118" s="2" t="s">
        <v>39</v>
      </c>
      <c r="F118" s="41">
        <v>500</v>
      </c>
      <c r="G118" s="35"/>
      <c r="H118" s="34">
        <f>'2018'!BH118</f>
        <v>0</v>
      </c>
      <c r="I118" s="13"/>
      <c r="J118" s="15"/>
      <c r="K118" s="15"/>
      <c r="L118" s="28"/>
      <c r="M118" s="15"/>
      <c r="N118" s="15"/>
      <c r="O118" s="15"/>
      <c r="P118" s="15"/>
      <c r="Q118" s="13"/>
      <c r="R118" s="15"/>
      <c r="S118" s="15"/>
      <c r="T118" s="28"/>
      <c r="U118" s="15"/>
      <c r="V118" s="15"/>
      <c r="W118" s="15"/>
      <c r="X118" s="15"/>
      <c r="Y118" s="13"/>
      <c r="Z118" s="15"/>
      <c r="AA118" s="34">
        <f>$F$14</f>
        <v>500</v>
      </c>
      <c r="AB118" s="35"/>
      <c r="AC118" s="15"/>
      <c r="AD118" s="15"/>
      <c r="AE118" s="15"/>
      <c r="AF118" s="133">
        <v>500</v>
      </c>
      <c r="AG118" s="13"/>
      <c r="AH118" s="15"/>
      <c r="AI118" s="15"/>
      <c r="AJ118" s="28"/>
      <c r="AK118" s="13"/>
      <c r="AL118" s="15"/>
      <c r="AM118" s="15"/>
      <c r="AN118" s="28"/>
      <c r="AO118" s="13"/>
      <c r="AP118" s="15"/>
      <c r="AQ118" s="15"/>
      <c r="AR118" s="28"/>
      <c r="AS118" s="15"/>
      <c r="AT118" s="15"/>
      <c r="AU118" s="15"/>
      <c r="AV118" s="15"/>
      <c r="AW118" s="13"/>
      <c r="AX118" s="15"/>
      <c r="AY118" s="15"/>
      <c r="AZ118" s="28"/>
      <c r="BA118" s="15"/>
      <c r="BB118" s="15"/>
      <c r="BC118" s="15"/>
      <c r="BD118" s="15"/>
      <c r="BE118" s="14"/>
      <c r="BF118" s="41">
        <f t="shared" ref="BF118:BG118" si="347">K118+O118+S118+W118+AA118+AE118+AI118+AM118+AQ118+AU118+AY118+BC118</f>
        <v>500</v>
      </c>
      <c r="BG118" s="34">
        <f t="shared" si="347"/>
        <v>500</v>
      </c>
      <c r="BH118" s="35">
        <f t="shared" si="341"/>
        <v>0</v>
      </c>
    </row>
    <row r="119" ht="14.25" customHeight="1" spans="1:62" x14ac:dyDescent="0.25">
      <c r="A119" s="50">
        <v>14</v>
      </c>
      <c r="B119" s="21"/>
      <c r="C119" s="22" t="s">
        <v>53</v>
      </c>
      <c r="D119" s="21"/>
      <c r="E119" s="22"/>
      <c r="F119" s="20"/>
      <c r="G119" s="23"/>
      <c r="H119" s="51">
        <f>SUM(H112:H118)</f>
        <v>0.0076</v>
      </c>
      <c r="I119" s="52"/>
      <c r="J119" s="53"/>
      <c r="K119" s="51">
        <f t="shared" ref="K119:L119" si="348">SUM(K113:K118)</f>
        <v>0</v>
      </c>
      <c r="L119" s="68">
        <f t="shared" si="348"/>
        <v>0</v>
      </c>
      <c r="M119" s="53"/>
      <c r="N119" s="53"/>
      <c r="O119" s="51">
        <f t="shared" ref="O119:P119" si="349">SUM(O113:O118)</f>
        <v>0</v>
      </c>
      <c r="P119" s="51">
        <f t="shared" si="349"/>
        <v>0</v>
      </c>
      <c r="Q119" s="52"/>
      <c r="R119" s="53"/>
      <c r="S119" s="51">
        <f t="shared" ref="S119:T119" si="350">SUM(S113:S118)</f>
        <v>0</v>
      </c>
      <c r="T119" s="68">
        <f t="shared" si="350"/>
        <v>0</v>
      </c>
      <c r="U119" s="53"/>
      <c r="V119" s="53"/>
      <c r="W119" s="51">
        <f t="shared" ref="W119:X119" si="351">SUM(W113:W118)</f>
        <v>0</v>
      </c>
      <c r="X119" s="51">
        <f t="shared" si="351"/>
        <v>0</v>
      </c>
      <c r="Y119" s="52"/>
      <c r="Z119" s="53"/>
      <c r="AA119" s="51">
        <f t="shared" ref="AA119:AB119" si="352">SUM(AA113:AA118)</f>
        <v>2510</v>
      </c>
      <c r="AB119" s="68">
        <f t="shared" si="352"/>
        <v>0</v>
      </c>
      <c r="AC119" s="53"/>
      <c r="AD119" s="53"/>
      <c r="AE119" s="51">
        <f t="shared" ref="AE119:AF119" si="353">SUM(AE113:AE118)</f>
        <v>5824</v>
      </c>
      <c r="AF119" s="51">
        <f t="shared" si="353"/>
        <v>8334.01</v>
      </c>
      <c r="AG119" s="52"/>
      <c r="AH119" s="53"/>
      <c r="AI119" s="51">
        <f t="shared" ref="AI119:AJ119" si="354">SUM(AI113:AI118)</f>
        <v>0</v>
      </c>
      <c r="AJ119" s="68">
        <f t="shared" si="354"/>
        <v>0</v>
      </c>
      <c r="AK119" s="52"/>
      <c r="AL119" s="53"/>
      <c r="AM119" s="51">
        <f t="shared" ref="AM119:AN119" si="355">SUM(AM113:AM118)</f>
        <v>0</v>
      </c>
      <c r="AN119" s="68">
        <f t="shared" si="355"/>
        <v>0</v>
      </c>
      <c r="AO119" s="52"/>
      <c r="AP119" s="53"/>
      <c r="AQ119" s="51">
        <f t="shared" ref="AQ119:AR119" si="356">SUM(AQ112:AQ118)</f>
        <v>0</v>
      </c>
      <c r="AR119" s="68">
        <f t="shared" si="356"/>
        <v>0</v>
      </c>
      <c r="AS119" s="53"/>
      <c r="AT119" s="53"/>
      <c r="AU119" s="51">
        <f t="shared" ref="AU119:AV119" si="357">SUM(AU112:AU118)</f>
        <v>0</v>
      </c>
      <c r="AV119" s="68">
        <f t="shared" si="357"/>
        <v>0</v>
      </c>
      <c r="AW119" s="52"/>
      <c r="AX119" s="53"/>
      <c r="AY119" s="51">
        <f t="shared" ref="AY119:AZ119" si="358">SUM(AY112:AY118)</f>
        <v>0</v>
      </c>
      <c r="AZ119" s="68">
        <f t="shared" si="358"/>
        <v>0</v>
      </c>
      <c r="BA119" s="53"/>
      <c r="BB119" s="53"/>
      <c r="BC119" s="51">
        <f t="shared" ref="BC119:BD119" si="359">SUM(BC112:BC118)</f>
        <v>0</v>
      </c>
      <c r="BD119" s="68">
        <f t="shared" si="359"/>
        <v>0</v>
      </c>
      <c r="BE119" s="69"/>
      <c r="BF119" s="70">
        <f t="shared" ref="BF119:BH119" si="360">SUM(BF112:BF118)</f>
        <v>8334</v>
      </c>
      <c r="BG119" s="71">
        <f t="shared" si="360"/>
        <v>8334.01</v>
      </c>
      <c r="BH119" s="72">
        <f t="shared" si="360"/>
        <v>-0.002400000002</v>
      </c>
      <c r="BI119" s="34">
        <f>H119+BF119-BG119</f>
        <v>-0.002400000001</v>
      </c>
      <c r="BJ119" s="34">
        <f>BH119-BI119</f>
        <v>0</v>
      </c>
    </row>
    <row r="120" ht="14.25" customHeight="1" spans="1:60" x14ac:dyDescent="0.25">
      <c r="A120" s="29">
        <v>16</v>
      </c>
      <c r="B120" s="14"/>
      <c r="D120" s="14" t="s">
        <v>379</v>
      </c>
      <c r="F120" s="41"/>
      <c r="G120" s="28"/>
      <c r="H120" s="34">
        <f>'2018'!BH120</f>
        <v>0</v>
      </c>
      <c r="I120" s="13"/>
      <c r="J120" s="15"/>
      <c r="K120" s="34"/>
      <c r="L120" s="35"/>
      <c r="M120" s="15"/>
      <c r="N120" s="15"/>
      <c r="O120" s="15"/>
      <c r="P120" s="15"/>
      <c r="Q120" s="13"/>
      <c r="R120" s="15"/>
      <c r="S120" s="15"/>
      <c r="T120" s="28"/>
      <c r="U120" s="15"/>
      <c r="V120" s="15"/>
      <c r="W120" s="15"/>
      <c r="X120" s="15"/>
      <c r="Y120" s="13"/>
      <c r="Z120" s="15"/>
      <c r="AA120" s="15"/>
      <c r="AB120" s="28"/>
      <c r="AC120" s="15"/>
      <c r="AD120" s="15"/>
      <c r="AE120" s="15"/>
      <c r="AF120" s="15"/>
      <c r="AG120" s="13"/>
      <c r="AH120" s="15"/>
      <c r="AI120" s="15"/>
      <c r="AJ120" s="38"/>
      <c r="AK120" s="13"/>
      <c r="AL120" s="15"/>
      <c r="AM120" s="15"/>
      <c r="AN120" s="28"/>
      <c r="AO120" s="13"/>
      <c r="AP120" s="15"/>
      <c r="AQ120" s="15"/>
      <c r="AR120" s="28"/>
      <c r="AS120" s="15"/>
      <c r="AT120" s="15"/>
      <c r="AU120" s="15"/>
      <c r="AV120" s="15"/>
      <c r="AW120" s="13"/>
      <c r="AX120" s="15"/>
      <c r="AY120" s="15"/>
      <c r="AZ120" s="28"/>
      <c r="BA120" s="15"/>
      <c r="BB120" s="15"/>
      <c r="BC120" s="15"/>
      <c r="BD120" s="15"/>
      <c r="BE120" s="14"/>
      <c r="BF120" s="41">
        <f t="shared" ref="BF120:BG120" si="361">K120+O120+S120+W120+AA120+AE120+AI120+AM120+AQ120+AU120+AY120+BC120</f>
        <v>0</v>
      </c>
      <c r="BG120" s="34">
        <f t="shared" si="361"/>
        <v>0</v>
      </c>
      <c r="BH120" s="35">
        <f t="shared" ref="BH120:BH126" si="362">H120+BF120-BG120</f>
        <v>0</v>
      </c>
    </row>
    <row r="121" ht="14.25" customHeight="1" spans="1:60" x14ac:dyDescent="0.25">
      <c r="A121" s="2">
        <v>16</v>
      </c>
      <c r="B121" s="14">
        <v>3.98</v>
      </c>
      <c r="C121" s="2" t="s">
        <v>103</v>
      </c>
      <c r="D121" s="14" t="s">
        <v>44</v>
      </c>
      <c r="E121" s="2" t="s">
        <v>45</v>
      </c>
      <c r="F121" s="13">
        <v>2.49</v>
      </c>
      <c r="G121" s="35">
        <v>2.5</v>
      </c>
      <c r="H121" s="34">
        <f>'2018'!BH121</f>
        <v>390.93</v>
      </c>
      <c r="I121" s="13">
        <v>488</v>
      </c>
      <c r="J121" s="15">
        <f>I121-'2018'!BA121</f>
        <v>0</v>
      </c>
      <c r="K121" s="34">
        <f>J121*$F$8</f>
        <v>0</v>
      </c>
      <c r="L121" s="28"/>
      <c r="M121" s="15">
        <v>488</v>
      </c>
      <c r="N121" s="15">
        <f>M121-I121</f>
        <v>0</v>
      </c>
      <c r="O121" s="34">
        <f>N121*$F$8</f>
        <v>0</v>
      </c>
      <c r="P121" s="15"/>
      <c r="Q121" s="13">
        <v>488</v>
      </c>
      <c r="R121" s="15">
        <f>Q121-M121</f>
        <v>0</v>
      </c>
      <c r="S121" s="34">
        <f>R121*$F$8</f>
        <v>0</v>
      </c>
      <c r="T121" s="28"/>
      <c r="U121" s="15">
        <v>490</v>
      </c>
      <c r="V121" s="15">
        <f>U121-Q121</f>
        <v>2</v>
      </c>
      <c r="W121" s="34">
        <f>V121*$F$8</f>
        <v>4.98</v>
      </c>
      <c r="X121" s="15"/>
      <c r="Y121" s="13">
        <v>560</v>
      </c>
      <c r="Z121" s="15">
        <f>Y121-U121</f>
        <v>70</v>
      </c>
      <c r="AA121" s="34">
        <f>Z121*$F$8</f>
        <v>174.3</v>
      </c>
      <c r="AB121" s="38">
        <v>600</v>
      </c>
      <c r="AC121" s="15">
        <v>594</v>
      </c>
      <c r="AD121" s="15">
        <f t="shared" ref="AD121:AD122" si="363">AC121-Y121</f>
        <v>34</v>
      </c>
      <c r="AE121" s="34">
        <f>AD121*$G$8</f>
        <v>85</v>
      </c>
      <c r="AF121" s="138">
        <f>55.21+8.83</f>
        <v>64.04</v>
      </c>
      <c r="AG121" s="13">
        <v>637</v>
      </c>
      <c r="AH121" s="15">
        <f t="shared" ref="AH121:AH122" si="364">AG121-AC121</f>
        <v>43</v>
      </c>
      <c r="AI121" s="34">
        <f>AH121*$G$8</f>
        <v>107.5</v>
      </c>
      <c r="AJ121" s="32"/>
      <c r="AK121" s="13">
        <v>651</v>
      </c>
      <c r="AL121" s="15">
        <f t="shared" ref="AL121:AL122" si="365">AK121-AG121</f>
        <v>14</v>
      </c>
      <c r="AM121" s="34">
        <f>AL121*$G$8</f>
        <v>35</v>
      </c>
      <c r="AN121" s="139">
        <f>133.67+36.17</f>
        <v>169.84</v>
      </c>
      <c r="AO121" s="13">
        <v>744</v>
      </c>
      <c r="AP121" s="15">
        <f t="shared" ref="AP121:AP122" si="366">AO121-AK121</f>
        <v>93</v>
      </c>
      <c r="AQ121" s="34">
        <f>AP121*$G$8</f>
        <v>232.5</v>
      </c>
      <c r="AR121" s="28"/>
      <c r="AS121" s="15">
        <v>761</v>
      </c>
      <c r="AT121" s="15">
        <f t="shared" ref="AT121:AT122" si="367">AS121-AO121</f>
        <v>17</v>
      </c>
      <c r="AU121" s="34">
        <f>AT121*$G$8</f>
        <v>42.5</v>
      </c>
      <c r="AV121" s="15"/>
      <c r="AW121" s="13">
        <v>761</v>
      </c>
      <c r="AX121" s="15">
        <f>AW121-AS121</f>
        <v>0</v>
      </c>
      <c r="AY121" s="34">
        <f>AX121*$G$8</f>
        <v>0</v>
      </c>
      <c r="AZ121" s="28"/>
      <c r="BA121" s="13">
        <v>761</v>
      </c>
      <c r="BB121" s="15">
        <f>BA121-AW121</f>
        <v>0</v>
      </c>
      <c r="BC121" s="34">
        <f>BB121*$G$8</f>
        <v>0</v>
      </c>
      <c r="BD121" s="15"/>
      <c r="BE121" s="40">
        <f t="shared" ref="BE121:BG121" si="368">J121+N121+R121+V121+Z121+AD121+AH121+AL121+AP121+AT121+AX121+BB121</f>
        <v>273</v>
      </c>
      <c r="BF121" s="41">
        <f t="shared" si="368"/>
        <v>681.78</v>
      </c>
      <c r="BG121" s="34">
        <f t="shared" si="368"/>
        <v>833.88</v>
      </c>
      <c r="BH121" s="35">
        <f t="shared" si="362"/>
        <v>238.83</v>
      </c>
    </row>
    <row r="122" ht="14.25" customHeight="1" spans="1:60" x14ac:dyDescent="0.25">
      <c r="A122" s="29">
        <v>16</v>
      </c>
      <c r="B122" s="14"/>
      <c r="C122" s="2" t="s">
        <v>104</v>
      </c>
      <c r="D122" s="14" t="s">
        <v>47</v>
      </c>
      <c r="E122" s="2" t="s">
        <v>48</v>
      </c>
      <c r="F122" s="13">
        <v>17.98</v>
      </c>
      <c r="G122" s="28">
        <v>18.56</v>
      </c>
      <c r="H122" s="34">
        <f>'2018'!BH122</f>
        <v>0</v>
      </c>
      <c r="I122" s="13">
        <v>95</v>
      </c>
      <c r="J122" s="15"/>
      <c r="K122" s="15"/>
      <c r="L122" s="28"/>
      <c r="M122" s="15"/>
      <c r="N122" s="15"/>
      <c r="O122" s="15"/>
      <c r="P122" s="15"/>
      <c r="Q122" s="13"/>
      <c r="R122" s="15"/>
      <c r="S122" s="15"/>
      <c r="T122" s="28"/>
      <c r="U122" s="15"/>
      <c r="V122" s="15"/>
      <c r="W122" s="15"/>
      <c r="X122" s="15"/>
      <c r="Y122" s="13">
        <v>92</v>
      </c>
      <c r="Z122" s="15">
        <f>Y122-'2018'!AO122</f>
        <v>-3</v>
      </c>
      <c r="AA122" s="34">
        <f>Z122*$F$10</f>
        <v>-53.94</v>
      </c>
      <c r="AB122" s="28"/>
      <c r="AC122" s="15">
        <v>97</v>
      </c>
      <c r="AD122" s="15">
        <f t="shared" si="363"/>
        <v>5</v>
      </c>
      <c r="AE122" s="34">
        <f>AD122*$F$10</f>
        <v>89.9</v>
      </c>
      <c r="AF122" s="133">
        <v>35.96</v>
      </c>
      <c r="AG122" s="13">
        <v>97</v>
      </c>
      <c r="AH122" s="15">
        <f t="shared" si="364"/>
        <v>0</v>
      </c>
      <c r="AI122" s="45">
        <f>AH122*$G$10</f>
        <v>0</v>
      </c>
      <c r="AJ122" s="38"/>
      <c r="AK122" s="15">
        <v>108</v>
      </c>
      <c r="AL122" s="15">
        <f t="shared" si="365"/>
        <v>11</v>
      </c>
      <c r="AM122" s="45">
        <f>AL122*$G$10</f>
        <v>204.16</v>
      </c>
      <c r="AN122" s="139">
        <v>204.16</v>
      </c>
      <c r="AO122" s="15">
        <v>110</v>
      </c>
      <c r="AP122" s="15">
        <f t="shared" si="366"/>
        <v>2</v>
      </c>
      <c r="AQ122" s="45">
        <f>AP122*$G$10</f>
        <v>37.12</v>
      </c>
      <c r="AR122" s="28"/>
      <c r="AS122" s="15">
        <v>110</v>
      </c>
      <c r="AT122" s="15">
        <f t="shared" si="367"/>
        <v>0</v>
      </c>
      <c r="AU122" s="45">
        <f>AT122*$G$10</f>
        <v>0</v>
      </c>
      <c r="AV122" s="15"/>
      <c r="AW122" s="13">
        <v>110</v>
      </c>
      <c r="AX122" s="15"/>
      <c r="AY122" s="15"/>
      <c r="AZ122" s="28"/>
      <c r="BA122" s="15">
        <v>110</v>
      </c>
      <c r="BB122" s="15"/>
      <c r="BC122" s="15"/>
      <c r="BD122" s="15"/>
      <c r="BE122" s="40">
        <f t="shared" ref="BE122:BG122" si="369">J122+N122+R122+V122+Z122+AD122+AH122+AL122+AP122+AT122+AX122+BB122</f>
        <v>15</v>
      </c>
      <c r="BF122" s="41">
        <f t="shared" si="369"/>
        <v>277.24</v>
      </c>
      <c r="BG122" s="34">
        <f t="shared" si="369"/>
        <v>240.12</v>
      </c>
      <c r="BH122" s="35">
        <f t="shared" si="362"/>
        <v>37.12</v>
      </c>
    </row>
    <row r="123" ht="14.25" customHeight="1" spans="1:60" x14ac:dyDescent="0.25">
      <c r="A123" s="29">
        <v>16</v>
      </c>
      <c r="B123" s="14"/>
      <c r="C123" s="2" t="s">
        <v>91</v>
      </c>
      <c r="D123" s="14" t="s">
        <v>47</v>
      </c>
      <c r="E123" s="2" t="s">
        <v>49</v>
      </c>
      <c r="F123" s="41">
        <v>500</v>
      </c>
      <c r="G123" s="35"/>
      <c r="H123" s="34">
        <f>'2018'!BH123</f>
        <v>0</v>
      </c>
      <c r="I123" s="13"/>
      <c r="J123" s="15"/>
      <c r="K123" s="15"/>
      <c r="L123" s="28"/>
      <c r="M123" s="15"/>
      <c r="N123" s="15"/>
      <c r="O123" s="15"/>
      <c r="P123" s="15"/>
      <c r="Q123" s="13"/>
      <c r="R123" s="15"/>
      <c r="S123" s="15"/>
      <c r="T123" s="28"/>
      <c r="U123" s="15"/>
      <c r="V123" s="15"/>
      <c r="W123" s="15"/>
      <c r="X123" s="15"/>
      <c r="Y123" s="13"/>
      <c r="Z123" s="15"/>
      <c r="AA123" s="15"/>
      <c r="AB123" s="28"/>
      <c r="AC123" s="15"/>
      <c r="AD123" s="15"/>
      <c r="AE123" s="15"/>
      <c r="AF123" s="15"/>
      <c r="AG123" s="13"/>
      <c r="AH123" s="15"/>
      <c r="AI123" s="34"/>
      <c r="AJ123" s="28"/>
      <c r="AK123" s="13"/>
      <c r="AL123" s="15"/>
      <c r="AM123" s="34"/>
      <c r="AN123" s="28"/>
      <c r="AO123" s="13"/>
      <c r="AP123" s="15"/>
      <c r="AQ123" s="34"/>
      <c r="AR123" s="28"/>
      <c r="AS123" s="15"/>
      <c r="AT123" s="15"/>
      <c r="AU123" s="15"/>
      <c r="AV123" s="15"/>
      <c r="AW123" s="13"/>
      <c r="AX123" s="15"/>
      <c r="AY123" s="15"/>
      <c r="AZ123" s="28"/>
      <c r="BA123" s="15"/>
      <c r="BB123" s="15"/>
      <c r="BC123" s="15"/>
      <c r="BD123" s="15"/>
      <c r="BE123" s="14"/>
      <c r="BF123" s="41">
        <f t="shared" ref="BF123:BG123" si="370">K123+O123+S123+W123+AA123+AE123+AI123+AM123+AQ123+AU123+AY123+BC123</f>
        <v>0</v>
      </c>
      <c r="BG123" s="34">
        <f t="shared" si="370"/>
        <v>0</v>
      </c>
      <c r="BH123" s="35">
        <f t="shared" si="362"/>
        <v>0</v>
      </c>
    </row>
    <row r="124" ht="14.25" customHeight="1" spans="1:60" x14ac:dyDescent="0.25">
      <c r="A124" s="29">
        <v>16</v>
      </c>
      <c r="B124" s="14"/>
      <c r="C124" s="2" t="s">
        <v>105</v>
      </c>
      <c r="D124" s="14" t="s">
        <v>50</v>
      </c>
      <c r="E124" s="2" t="s">
        <v>49</v>
      </c>
      <c r="F124" s="41">
        <v>1200</v>
      </c>
      <c r="G124" s="35"/>
      <c r="H124" s="34">
        <f>'2018'!BH124</f>
        <v>0.0024</v>
      </c>
      <c r="I124" s="13"/>
      <c r="J124" s="15"/>
      <c r="K124" s="15"/>
      <c r="L124" s="28"/>
      <c r="M124" s="15"/>
      <c r="N124" s="15"/>
      <c r="O124" s="15"/>
      <c r="P124" s="15"/>
      <c r="Q124" s="13"/>
      <c r="R124" s="15"/>
      <c r="S124" s="15"/>
      <c r="T124" s="28"/>
      <c r="U124" s="15"/>
      <c r="V124" s="15"/>
      <c r="W124" s="15"/>
      <c r="X124" s="15"/>
      <c r="Y124" s="13"/>
      <c r="Z124" s="15"/>
      <c r="AA124" s="15"/>
      <c r="AB124" s="28"/>
      <c r="AC124" s="15"/>
      <c r="AD124" s="15"/>
      <c r="AE124" s="34">
        <f>B121*$F$12</f>
        <v>4776</v>
      </c>
      <c r="AF124" s="133">
        <v>2500</v>
      </c>
      <c r="AG124" s="13"/>
      <c r="AH124" s="15"/>
      <c r="AI124" s="15"/>
      <c r="AJ124" s="38"/>
      <c r="AK124" s="13"/>
      <c r="AL124" s="15"/>
      <c r="AM124" s="15"/>
      <c r="AN124" s="134">
        <v>2276</v>
      </c>
      <c r="AO124" s="13"/>
      <c r="AP124" s="15"/>
      <c r="AQ124" s="15"/>
      <c r="AR124" s="28"/>
      <c r="AS124" s="15"/>
      <c r="AT124" s="15"/>
      <c r="AU124" s="15"/>
      <c r="AV124" s="15"/>
      <c r="AW124" s="13"/>
      <c r="AX124" s="15"/>
      <c r="AY124" s="15"/>
      <c r="AZ124" s="28"/>
      <c r="BA124" s="15"/>
      <c r="BB124" s="15"/>
      <c r="BC124" s="15"/>
      <c r="BD124" s="15"/>
      <c r="BE124" s="14"/>
      <c r="BF124" s="41">
        <f t="shared" ref="BF124:BG124" si="371">K124+O124+S124+W124+AA124+AE124+AI124+AM124+AQ124+AU124+AY124+BC124</f>
        <v>4776</v>
      </c>
      <c r="BG124" s="34">
        <f t="shared" si="371"/>
        <v>4776</v>
      </c>
      <c r="BH124" s="35">
        <f t="shared" si="362"/>
        <v>0.0024</v>
      </c>
    </row>
    <row r="125" ht="14.25" customHeight="1" spans="1:60" x14ac:dyDescent="0.25">
      <c r="A125" s="29">
        <v>16</v>
      </c>
      <c r="B125" s="14"/>
      <c r="C125" s="2" t="s">
        <v>93</v>
      </c>
      <c r="D125" s="14" t="s">
        <v>51</v>
      </c>
      <c r="E125" s="2" t="s">
        <v>49</v>
      </c>
      <c r="F125" s="41">
        <v>1000</v>
      </c>
      <c r="G125" s="35"/>
      <c r="H125" s="34">
        <f>'2018'!BH125</f>
        <v>0</v>
      </c>
      <c r="I125" s="13"/>
      <c r="J125" s="15"/>
      <c r="K125" s="15"/>
      <c r="L125" s="28"/>
      <c r="M125" s="15"/>
      <c r="N125" s="15"/>
      <c r="O125" s="15"/>
      <c r="P125" s="15"/>
      <c r="Q125" s="13"/>
      <c r="R125" s="15"/>
      <c r="S125" s="15"/>
      <c r="T125" s="28"/>
      <c r="U125" s="15"/>
      <c r="V125" s="15"/>
      <c r="W125" s="15"/>
      <c r="X125" s="15"/>
      <c r="Y125" s="13"/>
      <c r="Z125" s="15"/>
      <c r="AA125" s="15"/>
      <c r="AB125" s="28"/>
      <c r="AC125" s="15"/>
      <c r="AD125" s="15"/>
      <c r="AE125" s="34">
        <f>$F$21</f>
        <v>1000</v>
      </c>
      <c r="AF125" s="133">
        <v>1000</v>
      </c>
      <c r="AG125" s="13"/>
      <c r="AH125" s="15"/>
      <c r="AI125" s="15"/>
      <c r="AJ125" s="28"/>
      <c r="AK125" s="13"/>
      <c r="AL125" s="15"/>
      <c r="AM125" s="15"/>
      <c r="AN125" s="28"/>
      <c r="AO125" s="13"/>
      <c r="AP125" s="15"/>
      <c r="AQ125" s="15"/>
      <c r="AR125" s="28"/>
      <c r="AS125" s="15"/>
      <c r="AT125" s="15"/>
      <c r="AU125" s="15"/>
      <c r="AV125" s="15"/>
      <c r="AW125" s="13"/>
      <c r="AX125" s="15"/>
      <c r="AY125" s="15"/>
      <c r="AZ125" s="28"/>
      <c r="BA125" s="15"/>
      <c r="BB125" s="15"/>
      <c r="BC125" s="15"/>
      <c r="BD125" s="15"/>
      <c r="BE125" s="14"/>
      <c r="BF125" s="41">
        <f t="shared" ref="BF125:BG125" si="372">K125+O125+S125+W125+AA125+AE125+AI125+AM125+AQ125+AU125+AY125+BC125</f>
        <v>1000</v>
      </c>
      <c r="BG125" s="34">
        <f t="shared" si="372"/>
        <v>1000</v>
      </c>
      <c r="BH125" s="35">
        <f t="shared" si="362"/>
        <v>0</v>
      </c>
    </row>
    <row r="126" ht="14.25" customHeight="1" spans="1:60" x14ac:dyDescent="0.25">
      <c r="A126" s="29">
        <v>16</v>
      </c>
      <c r="B126" s="14"/>
      <c r="C126" s="2" t="s">
        <v>390</v>
      </c>
      <c r="D126" s="14" t="s">
        <v>52</v>
      </c>
      <c r="E126" s="2" t="s">
        <v>39</v>
      </c>
      <c r="F126" s="41">
        <v>500</v>
      </c>
      <c r="G126" s="35"/>
      <c r="H126" s="34">
        <f>'2018'!BH126</f>
        <v>0</v>
      </c>
      <c r="I126" s="13"/>
      <c r="J126" s="15"/>
      <c r="K126" s="15"/>
      <c r="L126" s="28"/>
      <c r="M126" s="15"/>
      <c r="N126" s="15"/>
      <c r="O126" s="15"/>
      <c r="P126" s="15"/>
      <c r="Q126" s="13"/>
      <c r="R126" s="15"/>
      <c r="S126" s="15"/>
      <c r="T126" s="28"/>
      <c r="U126" s="15"/>
      <c r="V126" s="15"/>
      <c r="W126" s="15"/>
      <c r="X126" s="15"/>
      <c r="Y126" s="13"/>
      <c r="Z126" s="15"/>
      <c r="AA126" s="34">
        <f>$F$14</f>
        <v>500</v>
      </c>
      <c r="AB126" s="35"/>
      <c r="AC126" s="15"/>
      <c r="AD126" s="15"/>
      <c r="AE126" s="15"/>
      <c r="AF126" s="133">
        <v>500</v>
      </c>
      <c r="AG126" s="13"/>
      <c r="AH126" s="15"/>
      <c r="AI126" s="15"/>
      <c r="AJ126" s="28"/>
      <c r="AK126" s="13"/>
      <c r="AL126" s="15"/>
      <c r="AM126" s="15"/>
      <c r="AN126" s="28"/>
      <c r="AO126" s="13"/>
      <c r="AP126" s="15"/>
      <c r="AQ126" s="15"/>
      <c r="AR126" s="28"/>
      <c r="AS126" s="15"/>
      <c r="AT126" s="15"/>
      <c r="AU126" s="15"/>
      <c r="AV126" s="15"/>
      <c r="AW126" s="13"/>
      <c r="AX126" s="15"/>
      <c r="AY126" s="15"/>
      <c r="AZ126" s="28"/>
      <c r="BA126" s="15"/>
      <c r="BB126" s="15"/>
      <c r="BC126" s="15"/>
      <c r="BD126" s="15"/>
      <c r="BE126" s="14"/>
      <c r="BF126" s="41">
        <f t="shared" ref="BF126:BG126" si="373">K126+O126+S126+W126+AA126+AE126+AI126+AM126+AQ126+AU126+AY126+BC126</f>
        <v>500</v>
      </c>
      <c r="BG126" s="34">
        <f t="shared" si="373"/>
        <v>500</v>
      </c>
      <c r="BH126" s="35">
        <f t="shared" si="362"/>
        <v>0</v>
      </c>
    </row>
    <row r="127" ht="14.25" customHeight="1" spans="1:62" x14ac:dyDescent="0.25">
      <c r="A127" s="50">
        <v>16</v>
      </c>
      <c r="B127" s="21"/>
      <c r="C127" s="22" t="s">
        <v>53</v>
      </c>
      <c r="D127" s="21"/>
      <c r="E127" s="22"/>
      <c r="F127" s="20"/>
      <c r="G127" s="23"/>
      <c r="H127" s="51">
        <f>SUM(H120:H126)</f>
        <v>390.9324</v>
      </c>
      <c r="I127" s="52"/>
      <c r="J127" s="53"/>
      <c r="K127" s="51">
        <f t="shared" ref="K127:L127" si="374">SUM(K120:K126)</f>
        <v>0</v>
      </c>
      <c r="L127" s="68">
        <f t="shared" si="374"/>
        <v>0</v>
      </c>
      <c r="M127" s="53"/>
      <c r="N127" s="53"/>
      <c r="O127" s="51">
        <f t="shared" ref="O127:P127" si="375">SUM(O121:O126)</f>
        <v>0</v>
      </c>
      <c r="P127" s="51">
        <f t="shared" si="375"/>
        <v>0</v>
      </c>
      <c r="Q127" s="52"/>
      <c r="R127" s="53"/>
      <c r="S127" s="51">
        <f t="shared" ref="S127:T127" si="376">SUM(S121:S126)</f>
        <v>0</v>
      </c>
      <c r="T127" s="68">
        <f t="shared" si="376"/>
        <v>0</v>
      </c>
      <c r="U127" s="53"/>
      <c r="V127" s="53"/>
      <c r="W127" s="51">
        <f t="shared" ref="W127:X127" si="377">SUM(W121:W126)</f>
        <v>4.98</v>
      </c>
      <c r="X127" s="51">
        <f t="shared" si="377"/>
        <v>0</v>
      </c>
      <c r="Y127" s="52"/>
      <c r="Z127" s="53"/>
      <c r="AA127" s="51">
        <f t="shared" ref="AA127:AB127" si="378">SUM(AA121:AA126)</f>
        <v>620.36</v>
      </c>
      <c r="AB127" s="68">
        <f t="shared" si="378"/>
        <v>600</v>
      </c>
      <c r="AC127" s="53"/>
      <c r="AD127" s="53"/>
      <c r="AE127" s="51">
        <f t="shared" ref="AE127:AF127" si="379">SUM(AE121:AE126)</f>
        <v>5950.9</v>
      </c>
      <c r="AF127" s="51">
        <f t="shared" si="379"/>
        <v>4100</v>
      </c>
      <c r="AG127" s="52"/>
      <c r="AH127" s="53"/>
      <c r="AI127" s="51">
        <f>SUM(AI121:AI126)</f>
        <v>107.5</v>
      </c>
      <c r="AJ127" s="68">
        <f>SUM(AJ120:AJ126)</f>
        <v>0</v>
      </c>
      <c r="AK127" s="52"/>
      <c r="AL127" s="53"/>
      <c r="AM127" s="51">
        <f t="shared" ref="AM127:AN127" si="380">SUM(AM121:AM126)</f>
        <v>239.16</v>
      </c>
      <c r="AN127" s="68">
        <f t="shared" si="380"/>
        <v>2650</v>
      </c>
      <c r="AO127" s="52"/>
      <c r="AP127" s="53"/>
      <c r="AQ127" s="51">
        <f t="shared" ref="AQ127:AR127" si="381">SUM(AQ120:AQ126)</f>
        <v>269.62</v>
      </c>
      <c r="AR127" s="68">
        <f t="shared" si="381"/>
        <v>0</v>
      </c>
      <c r="AS127" s="53"/>
      <c r="AT127" s="53"/>
      <c r="AU127" s="51">
        <f t="shared" ref="AU127:AV127" si="382">SUM(AU120:AU126)</f>
        <v>42.5</v>
      </c>
      <c r="AV127" s="68">
        <f t="shared" si="382"/>
        <v>0</v>
      </c>
      <c r="AW127" s="52"/>
      <c r="AX127" s="53"/>
      <c r="AY127" s="51">
        <f t="shared" ref="AY127:AZ127" si="383">SUM(AY120:AY126)</f>
        <v>0</v>
      </c>
      <c r="AZ127" s="68">
        <f t="shared" si="383"/>
        <v>0</v>
      </c>
      <c r="BA127" s="53"/>
      <c r="BB127" s="53"/>
      <c r="BC127" s="51">
        <f t="shared" ref="BC127:BD127" si="384">SUM(BC120:BC126)</f>
        <v>0</v>
      </c>
      <c r="BD127" s="68">
        <f t="shared" si="384"/>
        <v>0</v>
      </c>
      <c r="BE127" s="69"/>
      <c r="BF127" s="70">
        <f t="shared" ref="BF127:BH127" si="385">SUM(BF120:BF126)</f>
        <v>7235.02</v>
      </c>
      <c r="BG127" s="71">
        <f t="shared" si="385"/>
        <v>7350</v>
      </c>
      <c r="BH127" s="72">
        <f t="shared" si="385"/>
        <v>275.9524</v>
      </c>
      <c r="BI127" s="34">
        <f>H127+BF127-BG127</f>
        <v>275.9524</v>
      </c>
      <c r="BJ127" s="34">
        <f>BH127-BI127</f>
        <v>0</v>
      </c>
    </row>
    <row r="128" ht="14.25" customHeight="1" spans="1:60" x14ac:dyDescent="0.25">
      <c r="A128" s="29">
        <v>17</v>
      </c>
      <c r="B128" s="14"/>
      <c r="D128" s="14" t="s">
        <v>379</v>
      </c>
      <c r="F128" s="13"/>
      <c r="G128" s="28"/>
      <c r="H128" s="34">
        <f>'2018'!BH128</f>
      </c>
      <c r="I128" s="13"/>
      <c r="J128" s="15"/>
      <c r="K128" s="15"/>
      <c r="L128" s="28"/>
      <c r="Q128" s="13"/>
      <c r="R128" s="15"/>
      <c r="S128" s="15"/>
      <c r="T128" s="28"/>
      <c r="Y128" s="13"/>
      <c r="Z128" s="15"/>
      <c r="AA128" s="15"/>
      <c r="AB128" s="28"/>
      <c r="AG128" s="13"/>
      <c r="AH128" s="15"/>
      <c r="AI128" s="15"/>
      <c r="AJ128" s="28"/>
      <c r="AK128" s="13"/>
      <c r="AL128" s="15"/>
      <c r="AM128" s="15"/>
      <c r="AN128" s="28"/>
      <c r="AO128" s="13"/>
      <c r="AP128" s="15"/>
      <c r="AQ128" s="15"/>
      <c r="AR128" s="28"/>
      <c r="AW128" s="13"/>
      <c r="AX128" s="15"/>
      <c r="AY128" s="15"/>
      <c r="AZ128" s="28"/>
      <c r="BE128" s="14"/>
      <c r="BF128" s="41">
        <f t="shared" ref="BF128:BG128" si="386">K128+O128+S128+W128+AA128+AE128+AI128+AM128+AQ128+AU128+AY128+BC128</f>
        <v>0</v>
      </c>
      <c r="BG128" s="34">
        <f t="shared" si="386"/>
        <v>0</v>
      </c>
      <c r="BH128" s="35">
        <f t="shared" ref="BH128:BH134" si="387">H128+BF128-BG128</f>
        <v>0</v>
      </c>
    </row>
    <row r="129" ht="14.25" customHeight="1" spans="1:60" x14ac:dyDescent="0.25">
      <c r="A129" s="2">
        <v>17</v>
      </c>
      <c r="B129" s="86">
        <v>4</v>
      </c>
      <c r="C129" s="2" t="s">
        <v>106</v>
      </c>
      <c r="D129" s="14" t="s">
        <v>44</v>
      </c>
      <c r="E129" s="2" t="s">
        <v>45</v>
      </c>
      <c r="F129" s="13">
        <v>2.49</v>
      </c>
      <c r="G129" s="35">
        <v>2.5</v>
      </c>
      <c r="H129" s="34">
        <f>'2018'!BH129</f>
        <v>-39.84</v>
      </c>
      <c r="I129" s="13">
        <v>9</v>
      </c>
      <c r="J129" s="15">
        <f>I129-'2018'!BA129</f>
        <v>0</v>
      </c>
      <c r="K129" s="34">
        <f>J129*$F$8</f>
        <v>0</v>
      </c>
      <c r="L129" s="28"/>
      <c r="M129" s="2">
        <v>9</v>
      </c>
      <c r="N129" s="15">
        <f>M129-I129</f>
        <v>0</v>
      </c>
      <c r="O129" s="34">
        <f>N129*$F$8</f>
        <v>0</v>
      </c>
      <c r="Q129" s="13">
        <v>9</v>
      </c>
      <c r="R129" s="15">
        <f>Q129-M129</f>
        <v>0</v>
      </c>
      <c r="S129" s="34">
        <f>R129*$F$8</f>
        <v>0</v>
      </c>
      <c r="T129" s="28"/>
      <c r="U129" s="15">
        <v>9</v>
      </c>
      <c r="V129" s="15">
        <f>U129-Q129</f>
        <v>0</v>
      </c>
      <c r="W129" s="34">
        <f>V129*$F$8</f>
        <v>0</v>
      </c>
      <c r="Y129" s="13">
        <v>14</v>
      </c>
      <c r="Z129" s="15">
        <f>Y129-U129</f>
        <v>5</v>
      </c>
      <c r="AA129" s="34">
        <f>Z129*$F$8</f>
        <v>12.45</v>
      </c>
      <c r="AB129" s="28"/>
      <c r="AC129" s="75">
        <v>14</v>
      </c>
      <c r="AD129" s="15">
        <f t="shared" ref="AD129:AD130" si="388">AC129-Y129</f>
        <v>0</v>
      </c>
      <c r="AE129" s="34">
        <f>AD129*$G$8</f>
        <v>0</v>
      </c>
      <c r="AG129" s="13">
        <v>18</v>
      </c>
      <c r="AH129" s="15">
        <f t="shared" ref="AH129:AH130" si="389">AG129-AC129</f>
        <v>4</v>
      </c>
      <c r="AI129" s="34">
        <f>AH129*$G$8</f>
        <v>10</v>
      </c>
      <c r="AJ129" s="28"/>
      <c r="AK129" s="75">
        <v>18</v>
      </c>
      <c r="AL129" s="15">
        <f t="shared" ref="AL129:AL130" si="390">AK129-AG129</f>
        <v>0</v>
      </c>
      <c r="AM129" s="34">
        <f>AL129*$G$8</f>
        <v>0</v>
      </c>
      <c r="AN129" s="35"/>
      <c r="AO129" s="75">
        <v>18</v>
      </c>
      <c r="AP129" s="15">
        <f t="shared" ref="AP129:AP130" si="391">AO129-AK129</f>
        <v>0</v>
      </c>
      <c r="AQ129" s="34">
        <f>AP129*$G$8</f>
        <v>0</v>
      </c>
      <c r="AR129" s="28"/>
      <c r="AS129" s="15">
        <v>18</v>
      </c>
      <c r="AT129" s="15">
        <f t="shared" ref="AT129:AT130" si="392">AS129-AO129</f>
        <v>0</v>
      </c>
      <c r="AU129" s="34">
        <f>AT129*$G$8</f>
        <v>0</v>
      </c>
      <c r="AV129" s="15"/>
      <c r="AW129" s="13">
        <v>18</v>
      </c>
      <c r="AX129" s="15">
        <f>AW129-AS129</f>
        <v>0</v>
      </c>
      <c r="AY129" s="34">
        <f>AX129*$G$8</f>
        <v>0</v>
      </c>
      <c r="AZ129" s="28"/>
      <c r="BA129" s="13">
        <v>18</v>
      </c>
      <c r="BB129" s="15">
        <f>BA129-AW129</f>
        <v>0</v>
      </c>
      <c r="BC129" s="34">
        <f>BB129*$G$8</f>
        <v>0</v>
      </c>
      <c r="BD129" s="15"/>
      <c r="BE129" s="40">
        <f t="shared" ref="BE129:BG129" si="393">J129+N129+R129+V129+Z129+AD129+AH129+AL129+AP129+AT129+AX129+BB129</f>
        <v>9</v>
      </c>
      <c r="BF129" s="41">
        <f t="shared" si="393"/>
        <v>22.45</v>
      </c>
      <c r="BG129" s="34">
        <f t="shared" si="393"/>
        <v>0</v>
      </c>
      <c r="BH129" s="35">
        <f t="shared" si="387"/>
        <v>-17.39</v>
      </c>
    </row>
    <row r="130" ht="14.25" customHeight="1" spans="1:60" x14ac:dyDescent="0.25">
      <c r="A130" s="29">
        <v>17</v>
      </c>
      <c r="B130" s="14"/>
      <c r="C130" s="2" t="s">
        <v>83</v>
      </c>
      <c r="D130" s="14" t="s">
        <v>47</v>
      </c>
      <c r="E130" s="2" t="s">
        <v>48</v>
      </c>
      <c r="F130" s="13">
        <v>17.98</v>
      </c>
      <c r="G130" s="28">
        <v>18.56</v>
      </c>
      <c r="H130" s="34">
        <f>'2018'!BH130</f>
        <v>0</v>
      </c>
      <c r="I130" s="13">
        <v>35</v>
      </c>
      <c r="J130" s="15"/>
      <c r="K130" s="15"/>
      <c r="L130" s="28"/>
      <c r="Q130" s="13"/>
      <c r="R130" s="15"/>
      <c r="S130" s="15"/>
      <c r="T130" s="28"/>
      <c r="Y130" s="95">
        <v>35</v>
      </c>
      <c r="Z130" s="15">
        <f>Y130-'2018'!AO130</f>
        <v>0</v>
      </c>
      <c r="AA130" s="34">
        <f>Z130*$F$10</f>
        <v>0</v>
      </c>
      <c r="AB130" s="38">
        <v>540</v>
      </c>
      <c r="AC130" s="15">
        <v>67</v>
      </c>
      <c r="AD130" s="15">
        <f t="shared" si="388"/>
        <v>32</v>
      </c>
      <c r="AE130" s="34">
        <f>AD130*$F$10</f>
        <v>575.36</v>
      </c>
      <c r="AG130" s="13">
        <v>69</v>
      </c>
      <c r="AH130" s="15">
        <f t="shared" si="389"/>
        <v>2</v>
      </c>
      <c r="AI130" s="45">
        <f>AH130*$G$10</f>
        <v>37.12</v>
      </c>
      <c r="AJ130" s="139">
        <f>72.48+18.56</f>
        <v>91.04</v>
      </c>
      <c r="AK130" s="13">
        <v>69</v>
      </c>
      <c r="AL130" s="15">
        <f t="shared" si="390"/>
        <v>0</v>
      </c>
      <c r="AM130" s="45">
        <f>AL130*$G$10</f>
        <v>0</v>
      </c>
      <c r="AN130" s="28"/>
      <c r="AO130" s="13">
        <v>69</v>
      </c>
      <c r="AP130" s="15">
        <f t="shared" si="391"/>
        <v>0</v>
      </c>
      <c r="AQ130" s="45">
        <f>AP130*$G$10</f>
        <v>0</v>
      </c>
      <c r="AR130" s="28"/>
      <c r="AS130" s="13">
        <v>69</v>
      </c>
      <c r="AT130" s="15">
        <f t="shared" si="392"/>
        <v>0</v>
      </c>
      <c r="AU130" s="45">
        <f>AT130*$G$10</f>
        <v>0</v>
      </c>
      <c r="AV130" s="15"/>
      <c r="AW130" s="13">
        <v>69</v>
      </c>
      <c r="AX130" s="15"/>
      <c r="AY130" s="15"/>
      <c r="AZ130" s="28"/>
      <c r="BA130" s="15">
        <v>69</v>
      </c>
      <c r="BB130" s="15"/>
      <c r="BC130" s="15"/>
      <c r="BD130" s="15"/>
      <c r="BE130" s="40">
        <f t="shared" ref="BE130:BG130" si="394">J130+N130+R130+V130+Z130+AD130+AH130+AL130+AP130+AT130+AX130+BB130</f>
        <v>34</v>
      </c>
      <c r="BF130" s="41">
        <f t="shared" si="394"/>
        <v>612.48</v>
      </c>
      <c r="BG130" s="34">
        <f t="shared" si="394"/>
        <v>631.04</v>
      </c>
      <c r="BH130" s="35">
        <f t="shared" si="387"/>
        <v>-18.56</v>
      </c>
    </row>
    <row r="131" ht="14.25" customHeight="1" spans="1:60" x14ac:dyDescent="0.25">
      <c r="A131" s="29">
        <v>17</v>
      </c>
      <c r="B131" s="14"/>
      <c r="C131" s="2" t="s">
        <v>107</v>
      </c>
      <c r="D131" s="14" t="s">
        <v>47</v>
      </c>
      <c r="E131" s="2" t="s">
        <v>49</v>
      </c>
      <c r="F131" s="41">
        <v>500</v>
      </c>
      <c r="G131" s="35"/>
      <c r="H131" s="34">
        <f>'2018'!BH131</f>
        <v>0</v>
      </c>
      <c r="I131" s="13"/>
      <c r="J131" s="15"/>
      <c r="K131" s="15"/>
      <c r="L131" s="28"/>
      <c r="Q131" s="13"/>
      <c r="R131" s="15"/>
      <c r="S131" s="15"/>
      <c r="T131" s="28"/>
      <c r="Y131" s="13"/>
      <c r="Z131" s="15"/>
      <c r="AA131" s="15"/>
      <c r="AB131" s="28"/>
      <c r="AG131" s="13"/>
      <c r="AH131" s="15"/>
      <c r="AI131" s="34"/>
      <c r="AJ131" s="28"/>
      <c r="AK131" s="13"/>
      <c r="AL131" s="15"/>
      <c r="AM131" s="34"/>
      <c r="AN131" s="28"/>
      <c r="AO131" s="13"/>
      <c r="AP131" s="15"/>
      <c r="AQ131" s="34"/>
      <c r="AR131" s="28"/>
      <c r="AS131" s="15"/>
      <c r="AT131" s="15"/>
      <c r="AU131" s="15"/>
      <c r="AV131" s="15"/>
      <c r="AW131" s="13"/>
      <c r="AX131" s="15"/>
      <c r="AY131" s="15"/>
      <c r="AZ131" s="28"/>
      <c r="BA131" s="15"/>
      <c r="BB131" s="15"/>
      <c r="BC131" s="15"/>
      <c r="BD131" s="15"/>
      <c r="BE131" s="14"/>
      <c r="BF131" s="41">
        <f t="shared" ref="BF131:BG131" si="395">K131+O131+S131+W131+AA131+AE131+AI131+AM131+AQ131+AU131+AY131+BC131</f>
        <v>0</v>
      </c>
      <c r="BG131" s="34">
        <f t="shared" si="395"/>
        <v>0</v>
      </c>
      <c r="BH131" s="35">
        <f t="shared" si="387"/>
        <v>0</v>
      </c>
    </row>
    <row r="132" ht="14.25" customHeight="1" spans="1:60" x14ac:dyDescent="0.25">
      <c r="A132" s="29">
        <v>17</v>
      </c>
      <c r="B132" s="14"/>
      <c r="C132" s="15" t="s">
        <v>108</v>
      </c>
      <c r="D132" s="14" t="s">
        <v>50</v>
      </c>
      <c r="E132" s="2" t="s">
        <v>49</v>
      </c>
      <c r="F132" s="41">
        <v>1200</v>
      </c>
      <c r="G132" s="35"/>
      <c r="H132" s="34">
        <f>'2018'!BH132</f>
        <v>0</v>
      </c>
      <c r="I132" s="13"/>
      <c r="J132" s="15"/>
      <c r="K132" s="15"/>
      <c r="L132" s="28"/>
      <c r="Q132" s="13"/>
      <c r="R132" s="15"/>
      <c r="S132" s="15"/>
      <c r="T132" s="28"/>
      <c r="Y132" s="13"/>
      <c r="Z132" s="15"/>
      <c r="AA132" s="15"/>
      <c r="AB132" s="28"/>
      <c r="AE132" s="34">
        <f>B129*$F$12</f>
        <v>4800</v>
      </c>
      <c r="AF132" s="133">
        <v>4800</v>
      </c>
      <c r="AG132" s="13"/>
      <c r="AH132" s="15"/>
      <c r="AI132" s="15"/>
      <c r="AJ132" s="28"/>
      <c r="AK132" s="13"/>
      <c r="AL132" s="15"/>
      <c r="AM132" s="15"/>
      <c r="AN132" s="28"/>
      <c r="AO132" s="13"/>
      <c r="AP132" s="15"/>
      <c r="AQ132" s="15"/>
      <c r="AR132" s="28"/>
      <c r="AS132" s="15"/>
      <c r="AT132" s="15"/>
      <c r="AU132" s="15"/>
      <c r="AV132" s="15"/>
      <c r="AW132" s="13"/>
      <c r="AX132" s="15"/>
      <c r="AY132" s="15"/>
      <c r="AZ132" s="28"/>
      <c r="BA132" s="15"/>
      <c r="BB132" s="15"/>
      <c r="BC132" s="15"/>
      <c r="BD132" s="15"/>
      <c r="BE132" s="14"/>
      <c r="BF132" s="41">
        <f t="shared" ref="BF132:BG132" si="396">K132+O132+S132+W132+AA132+AE132+AI132+AM132+AQ132+AU132+AY132+BC132</f>
        <v>4800</v>
      </c>
      <c r="BG132" s="34">
        <f t="shared" si="396"/>
        <v>4800</v>
      </c>
      <c r="BH132" s="35">
        <f t="shared" si="387"/>
        <v>0</v>
      </c>
    </row>
    <row r="133" ht="14.25" customHeight="1" spans="1:60" x14ac:dyDescent="0.25">
      <c r="A133" s="29">
        <v>17</v>
      </c>
      <c r="B133" s="14"/>
      <c r="D133" s="14" t="s">
        <v>51</v>
      </c>
      <c r="E133" s="2" t="s">
        <v>49</v>
      </c>
      <c r="F133" s="41">
        <v>1000</v>
      </c>
      <c r="G133" s="35"/>
      <c r="H133" s="34">
        <f>'2018'!BH133</f>
        <v>0</v>
      </c>
      <c r="I133" s="13"/>
      <c r="J133" s="15"/>
      <c r="K133" s="15"/>
      <c r="L133" s="28"/>
      <c r="Q133" s="13"/>
      <c r="R133" s="15"/>
      <c r="S133" s="15"/>
      <c r="T133" s="28"/>
      <c r="Y133" s="13"/>
      <c r="Z133" s="15"/>
      <c r="AA133" s="15"/>
      <c r="AB133" s="28"/>
      <c r="AE133" s="34">
        <f>$F$21</f>
        <v>1000</v>
      </c>
      <c r="AF133" s="133">
        <v>1000</v>
      </c>
      <c r="AG133" s="13"/>
      <c r="AH133" s="15"/>
      <c r="AI133" s="15"/>
      <c r="AJ133" s="28"/>
      <c r="AK133" s="13"/>
      <c r="AL133" s="15"/>
      <c r="AM133" s="15"/>
      <c r="AN133" s="28"/>
      <c r="AO133" s="13"/>
      <c r="AP133" s="15"/>
      <c r="AQ133" s="15"/>
      <c r="AR133" s="28"/>
      <c r="AS133" s="15"/>
      <c r="AT133" s="15"/>
      <c r="AU133" s="15"/>
      <c r="AV133" s="15"/>
      <c r="AW133" s="13"/>
      <c r="AX133" s="15"/>
      <c r="AY133" s="15"/>
      <c r="AZ133" s="28"/>
      <c r="BA133" s="15"/>
      <c r="BB133" s="15"/>
      <c r="BC133" s="15"/>
      <c r="BD133" s="15"/>
      <c r="BE133" s="14"/>
      <c r="BF133" s="41">
        <f t="shared" ref="BF133:BG133" si="397">K133+O133+S133+W133+AA133+AE133+AI133+AM133+AQ133+AU133+AY133+BC133</f>
        <v>1000</v>
      </c>
      <c r="BG133" s="34">
        <f t="shared" si="397"/>
        <v>1000</v>
      </c>
      <c r="BH133" s="35">
        <f t="shared" si="387"/>
        <v>0</v>
      </c>
    </row>
    <row r="134" ht="14.25" customHeight="1" spans="1:60" x14ac:dyDescent="0.25">
      <c r="A134" s="29">
        <v>17</v>
      </c>
      <c r="B134" s="14"/>
      <c r="D134" s="14" t="s">
        <v>52</v>
      </c>
      <c r="E134" s="2" t="s">
        <v>39</v>
      </c>
      <c r="F134" s="41">
        <v>500</v>
      </c>
      <c r="G134" s="35"/>
      <c r="H134" s="34">
        <f>'2018'!BH134</f>
        <v>0</v>
      </c>
      <c r="I134" s="13"/>
      <c r="J134" s="15"/>
      <c r="K134" s="15"/>
      <c r="L134" s="28"/>
      <c r="Q134" s="13"/>
      <c r="R134" s="15"/>
      <c r="S134" s="15"/>
      <c r="T134" s="28"/>
      <c r="Y134" s="13"/>
      <c r="Z134" s="15"/>
      <c r="AA134" s="34">
        <f>$F$14</f>
        <v>500</v>
      </c>
      <c r="AB134" s="35"/>
      <c r="AF134" s="133">
        <v>500</v>
      </c>
      <c r="AG134" s="13"/>
      <c r="AH134" s="15"/>
      <c r="AI134" s="15"/>
      <c r="AJ134" s="28"/>
      <c r="AK134" s="13"/>
      <c r="AL134" s="15"/>
      <c r="AM134" s="15"/>
      <c r="AN134" s="28"/>
      <c r="AO134" s="13"/>
      <c r="AP134" s="15"/>
      <c r="AQ134" s="15"/>
      <c r="AR134" s="28"/>
      <c r="AS134" s="15"/>
      <c r="AT134" s="15"/>
      <c r="AU134" s="15"/>
      <c r="AV134" s="15"/>
      <c r="AW134" s="13"/>
      <c r="AX134" s="15"/>
      <c r="AY134" s="15"/>
      <c r="AZ134" s="28"/>
      <c r="BA134" s="15"/>
      <c r="BB134" s="15"/>
      <c r="BC134" s="15"/>
      <c r="BD134" s="15"/>
      <c r="BE134" s="14"/>
      <c r="BF134" s="41">
        <f t="shared" ref="BF134:BG134" si="398">K134+O134+S134+W134+AA134+AE134+AI134+AM134+AQ134+AU134+AY134+BC134</f>
        <v>500</v>
      </c>
      <c r="BG134" s="34">
        <f t="shared" si="398"/>
        <v>500</v>
      </c>
      <c r="BH134" s="35">
        <f t="shared" si="387"/>
        <v>0</v>
      </c>
    </row>
    <row r="135" ht="14.25" customHeight="1" spans="1:62" x14ac:dyDescent="0.25">
      <c r="A135" s="50">
        <v>17</v>
      </c>
      <c r="B135" s="21"/>
      <c r="C135" s="22" t="s">
        <v>53</v>
      </c>
      <c r="D135" s="21"/>
      <c r="E135" s="22"/>
      <c r="F135" s="20"/>
      <c r="G135" s="23"/>
      <c r="H135" s="51">
        <f>SUM(H128:H134)</f>
        <v>-39.84</v>
      </c>
      <c r="I135" s="52"/>
      <c r="J135" s="53"/>
      <c r="K135" s="51">
        <f t="shared" ref="K135:L135" si="399">SUM(K129:K134)</f>
        <v>0</v>
      </c>
      <c r="L135" s="68">
        <f t="shared" si="399"/>
        <v>0</v>
      </c>
      <c r="M135" s="53"/>
      <c r="N135" s="53"/>
      <c r="O135" s="51">
        <f t="shared" ref="O135:P135" si="400">SUM(O129:O134)</f>
        <v>0</v>
      </c>
      <c r="P135" s="51">
        <f t="shared" si="400"/>
        <v>0</v>
      </c>
      <c r="Q135" s="52"/>
      <c r="R135" s="53"/>
      <c r="S135" s="51">
        <f t="shared" ref="S135:T135" si="401">SUM(S129:S134)</f>
        <v>0</v>
      </c>
      <c r="T135" s="68">
        <f t="shared" si="401"/>
        <v>0</v>
      </c>
      <c r="U135" s="53"/>
      <c r="V135" s="53"/>
      <c r="W135" s="51">
        <f t="shared" ref="W135:X135" si="402">SUM(W129:W134)</f>
        <v>0</v>
      </c>
      <c r="X135" s="51">
        <f t="shared" si="402"/>
        <v>0</v>
      </c>
      <c r="Y135" s="52"/>
      <c r="Z135" s="53"/>
      <c r="AA135" s="51">
        <f t="shared" ref="AA135:AB135" si="403">SUM(AA129:AA134)</f>
        <v>512.45</v>
      </c>
      <c r="AB135" s="68">
        <f t="shared" si="403"/>
        <v>540</v>
      </c>
      <c r="AC135" s="53"/>
      <c r="AD135" s="53"/>
      <c r="AE135" s="51">
        <f t="shared" ref="AE135:AF135" si="404">SUM(AE129:AE134)</f>
        <v>6375.36</v>
      </c>
      <c r="AF135" s="51">
        <f t="shared" si="404"/>
        <v>6300</v>
      </c>
      <c r="AG135" s="52"/>
      <c r="AH135" s="53"/>
      <c r="AI135" s="51">
        <f t="shared" ref="AI135:AJ135" si="405">SUM(AI129:AI134)</f>
        <v>47.12</v>
      </c>
      <c r="AJ135" s="68">
        <f t="shared" si="405"/>
        <v>91.04</v>
      </c>
      <c r="AK135" s="52"/>
      <c r="AL135" s="53"/>
      <c r="AM135" s="51">
        <f t="shared" ref="AM135:AN135" si="406">SUM(AM129:AM134)</f>
        <v>0</v>
      </c>
      <c r="AN135" s="68">
        <f t="shared" si="406"/>
        <v>0</v>
      </c>
      <c r="AO135" s="52"/>
      <c r="AP135" s="53"/>
      <c r="AQ135" s="51">
        <f t="shared" ref="AQ135:AR135" si="407">SUM(AQ128:AQ134)</f>
        <v>0</v>
      </c>
      <c r="AR135" s="68">
        <f t="shared" si="407"/>
        <v>0</v>
      </c>
      <c r="AS135" s="53"/>
      <c r="AT135" s="53"/>
      <c r="AU135" s="51">
        <f t="shared" ref="AU135:AV135" si="408">SUM(AU128:AU134)</f>
        <v>0</v>
      </c>
      <c r="AV135" s="68">
        <f t="shared" si="408"/>
        <v>0</v>
      </c>
      <c r="AW135" s="52"/>
      <c r="AX135" s="53"/>
      <c r="AY135" s="51">
        <f t="shared" ref="AY135:AZ135" si="409">SUM(AY128:AY134)</f>
        <v>0</v>
      </c>
      <c r="AZ135" s="68">
        <f t="shared" si="409"/>
        <v>0</v>
      </c>
      <c r="BA135" s="53"/>
      <c r="BB135" s="53"/>
      <c r="BC135" s="51">
        <f t="shared" ref="BC135:BD135" si="410">SUM(BC128:BC134)</f>
        <v>0</v>
      </c>
      <c r="BD135" s="68">
        <f t="shared" si="410"/>
        <v>0</v>
      </c>
      <c r="BE135" s="69"/>
      <c r="BF135" s="70">
        <f t="shared" ref="BF135:BH135" si="411">SUM(BF128:BF134)</f>
        <v>6934.93</v>
      </c>
      <c r="BG135" s="71">
        <f t="shared" si="411"/>
        <v>6931.04</v>
      </c>
      <c r="BH135" s="72">
        <f t="shared" si="411"/>
        <v>-35.95</v>
      </c>
      <c r="BI135" s="34">
        <f>H135+BF135-BG135</f>
        <v>-35.95</v>
      </c>
      <c r="BJ135" s="34">
        <f>BH135-BI135</f>
        <v>0</v>
      </c>
    </row>
    <row r="136" ht="14.25" customHeight="1" spans="1:60" x14ac:dyDescent="0.25">
      <c r="A136" s="29">
        <v>18</v>
      </c>
      <c r="B136" s="14"/>
      <c r="D136" s="14" t="s">
        <v>379</v>
      </c>
      <c r="F136" s="13"/>
      <c r="G136" s="28"/>
      <c r="H136" s="34">
        <f>'2018'!BH136</f>
      </c>
      <c r="I136" s="13"/>
      <c r="J136" s="15"/>
      <c r="K136" s="15"/>
      <c r="L136" s="28"/>
      <c r="Q136" s="13"/>
      <c r="R136" s="15"/>
      <c r="S136" s="15"/>
      <c r="T136" s="28"/>
      <c r="Y136" s="13"/>
      <c r="Z136" s="15"/>
      <c r="AA136" s="15"/>
      <c r="AB136" s="28"/>
      <c r="AG136" s="13"/>
      <c r="AH136" s="15"/>
      <c r="AI136" s="15"/>
      <c r="AJ136" s="28"/>
      <c r="AK136" s="13"/>
      <c r="AL136" s="15"/>
      <c r="AM136" s="15"/>
      <c r="AN136" s="28"/>
      <c r="AO136" s="13"/>
      <c r="AP136" s="15"/>
      <c r="AQ136" s="15"/>
      <c r="AR136" s="28"/>
      <c r="AW136" s="13"/>
      <c r="AX136" s="15"/>
      <c r="AY136" s="15"/>
      <c r="AZ136" s="28"/>
      <c r="BE136" s="14"/>
      <c r="BF136" s="41">
        <f t="shared" ref="BF136:BG136" si="412">K136+O136+S136+W136+AA136+AE136+AI136+AM136+AQ136+AU136+AY136+BC136</f>
        <v>0</v>
      </c>
      <c r="BG136" s="34">
        <f t="shared" si="412"/>
        <v>0</v>
      </c>
      <c r="BH136" s="35">
        <f t="shared" ref="BH136:BH142" si="413">H136+BF136-BG136</f>
        <v>0</v>
      </c>
    </row>
    <row r="137" ht="14.25" customHeight="1" spans="1:60" x14ac:dyDescent="0.25">
      <c r="A137" s="2">
        <v>18</v>
      </c>
      <c r="B137" s="14">
        <v>4.03</v>
      </c>
      <c r="C137" s="2" t="s">
        <v>109</v>
      </c>
      <c r="D137" s="14" t="s">
        <v>44</v>
      </c>
      <c r="E137" s="2" t="s">
        <v>45</v>
      </c>
      <c r="F137" s="13">
        <v>2.49</v>
      </c>
      <c r="G137" s="35">
        <v>2.5</v>
      </c>
      <c r="H137" s="34">
        <f>'2018'!BH137</f>
        <v>12.45</v>
      </c>
      <c r="I137" s="13">
        <v>189</v>
      </c>
      <c r="J137" s="15">
        <f>I137-'2018'!BA137</f>
        <v>0</v>
      </c>
      <c r="K137" s="34">
        <f>J137*$F$8</f>
        <v>0</v>
      </c>
      <c r="L137" s="28"/>
      <c r="M137" s="2">
        <v>189</v>
      </c>
      <c r="N137" s="15">
        <f>M137-I137</f>
        <v>0</v>
      </c>
      <c r="O137" s="34">
        <f>N137*$F$8</f>
        <v>0</v>
      </c>
      <c r="Q137" s="13">
        <v>189</v>
      </c>
      <c r="R137" s="15">
        <f>Q137-M137</f>
        <v>0</v>
      </c>
      <c r="S137" s="34">
        <f>R137*$F$8</f>
        <v>0</v>
      </c>
      <c r="T137" s="28"/>
      <c r="U137" s="15">
        <v>192</v>
      </c>
      <c r="V137" s="15">
        <f>U137-Q137</f>
        <v>3</v>
      </c>
      <c r="W137" s="34">
        <f>V137*$F$8</f>
        <v>7.47</v>
      </c>
      <c r="Y137" s="13">
        <v>201</v>
      </c>
      <c r="Z137" s="15">
        <f>Y137-U137</f>
        <v>9</v>
      </c>
      <c r="AA137" s="34">
        <f>Z137*$F$8</f>
        <v>22.41</v>
      </c>
      <c r="AB137" s="28"/>
      <c r="AC137" s="15">
        <v>209</v>
      </c>
      <c r="AD137" s="15">
        <f t="shared" ref="AD137:AD138" si="414">AC137-Y137</f>
        <v>8</v>
      </c>
      <c r="AE137" s="34">
        <f>AD137*$G$8</f>
        <v>20</v>
      </c>
      <c r="AF137" s="138">
        <v>62.33</v>
      </c>
      <c r="AG137" s="13">
        <v>226</v>
      </c>
      <c r="AH137" s="15">
        <f t="shared" ref="AH137:AH138" si="415">AG137-AC137</f>
        <v>17</v>
      </c>
      <c r="AI137" s="34">
        <f>AH137*$G$8</f>
        <v>42.5</v>
      </c>
      <c r="AJ137" s="32"/>
      <c r="AK137" s="13">
        <v>242</v>
      </c>
      <c r="AL137" s="15">
        <f t="shared" ref="AL137:AL138" si="416">AK137-AG137</f>
        <v>16</v>
      </c>
      <c r="AM137" s="34">
        <f>AL137*$G$8</f>
        <v>40</v>
      </c>
      <c r="AN137" s="134">
        <v>82.5</v>
      </c>
      <c r="AO137" s="13">
        <v>252</v>
      </c>
      <c r="AP137" s="15">
        <f t="shared" ref="AP137:AP138" si="417">AO137-AK137</f>
        <v>10</v>
      </c>
      <c r="AQ137" s="34">
        <f>AP137*$G$8</f>
        <v>25</v>
      </c>
      <c r="AR137" s="28"/>
      <c r="AS137" s="15">
        <v>257</v>
      </c>
      <c r="AT137" s="15">
        <f t="shared" ref="AT137:AT138" si="418">AS137-AO137</f>
        <v>5</v>
      </c>
      <c r="AU137" s="34">
        <f>AT137*$G$8</f>
        <v>12.5</v>
      </c>
      <c r="AV137" s="15"/>
      <c r="AW137" s="13">
        <v>258</v>
      </c>
      <c r="AX137" s="15">
        <f>AW137-AS137</f>
        <v>1</v>
      </c>
      <c r="AY137" s="34">
        <f>AX137*$G$8</f>
        <v>2.5</v>
      </c>
      <c r="AZ137" s="28"/>
      <c r="BA137" s="13">
        <v>258</v>
      </c>
      <c r="BB137" s="15">
        <f>BA137-AW137</f>
        <v>0</v>
      </c>
      <c r="BC137" s="34">
        <f>BB137*$G$8</f>
        <v>0</v>
      </c>
      <c r="BD137" s="15"/>
      <c r="BE137" s="40">
        <f t="shared" ref="BE137:BG137" si="419">J137+N137+R137+V137+Z137+AD137+AH137+AL137+AP137+AT137+AX137+BB137</f>
        <v>69</v>
      </c>
      <c r="BF137" s="41">
        <f t="shared" si="419"/>
        <v>172.38</v>
      </c>
      <c r="BG137" s="34">
        <f t="shared" si="419"/>
        <v>144.83</v>
      </c>
      <c r="BH137" s="35">
        <f t="shared" si="413"/>
        <v>40</v>
      </c>
    </row>
    <row r="138" ht="14.25" customHeight="1" spans="1:60" x14ac:dyDescent="0.25">
      <c r="A138" s="29">
        <v>18</v>
      </c>
      <c r="B138" s="14"/>
      <c r="C138" s="2" t="s">
        <v>110</v>
      </c>
      <c r="D138" s="14" t="s">
        <v>47</v>
      </c>
      <c r="E138" s="2" t="s">
        <v>48</v>
      </c>
      <c r="F138" s="13">
        <v>17.98</v>
      </c>
      <c r="G138" s="28">
        <v>18.56</v>
      </c>
      <c r="H138" s="34">
        <f>'2018'!BH138</f>
        <v>0</v>
      </c>
      <c r="I138" s="13">
        <v>305</v>
      </c>
      <c r="J138" s="15"/>
      <c r="K138" s="15"/>
      <c r="L138" s="28"/>
      <c r="Q138" s="13"/>
      <c r="R138" s="15"/>
      <c r="S138" s="15"/>
      <c r="T138" s="28"/>
      <c r="Y138" s="13">
        <v>205</v>
      </c>
      <c r="Z138" s="15">
        <v>0</v>
      </c>
      <c r="AA138" s="34">
        <f>Z138*$F$10</f>
        <v>0</v>
      </c>
      <c r="AB138" s="28"/>
      <c r="AC138" s="15">
        <v>208</v>
      </c>
      <c r="AD138" s="15">
        <f t="shared" si="414"/>
        <v>3</v>
      </c>
      <c r="AE138" s="34">
        <f>AD138*$F$10</f>
        <v>53.94</v>
      </c>
      <c r="AF138" s="138">
        <f>53.94+47.73</f>
        <v>101.67</v>
      </c>
      <c r="AG138" s="13">
        <v>208</v>
      </c>
      <c r="AH138" s="15">
        <f t="shared" si="415"/>
        <v>0</v>
      </c>
      <c r="AI138" s="45">
        <f>AH138*$G$10</f>
        <v>0</v>
      </c>
      <c r="AJ138" s="32"/>
      <c r="AK138" s="15">
        <v>219</v>
      </c>
      <c r="AL138" s="15">
        <f t="shared" si="416"/>
        <v>11</v>
      </c>
      <c r="AM138" s="45">
        <f>AL138*$G$10</f>
        <v>204.16</v>
      </c>
      <c r="AN138" s="134">
        <f>156.43+1.07</f>
        <v>157.5</v>
      </c>
      <c r="AO138" s="15">
        <v>219</v>
      </c>
      <c r="AP138" s="15">
        <f t="shared" si="417"/>
        <v>0</v>
      </c>
      <c r="AQ138" s="45">
        <f>AP138*$G$10</f>
        <v>0</v>
      </c>
      <c r="AR138" s="28"/>
      <c r="AS138" s="15">
        <v>219</v>
      </c>
      <c r="AT138" s="15">
        <f t="shared" si="418"/>
        <v>0</v>
      </c>
      <c r="AU138" s="45">
        <f>AT138*$G$10</f>
        <v>0</v>
      </c>
      <c r="AV138" s="15"/>
      <c r="AW138" s="13">
        <v>219</v>
      </c>
      <c r="AX138" s="15"/>
      <c r="AY138" s="15"/>
      <c r="AZ138" s="28"/>
      <c r="BA138" s="15">
        <v>219</v>
      </c>
      <c r="BB138" s="15"/>
      <c r="BC138" s="15"/>
      <c r="BD138" s="15"/>
      <c r="BE138" s="40">
        <f t="shared" ref="BE138:BG138" si="420">J138+N138+R138+V138+Z138+AD138+AH138+AL138+AP138+AT138+AX138+BB138</f>
        <v>14</v>
      </c>
      <c r="BF138" s="41">
        <f t="shared" si="420"/>
        <v>258.1</v>
      </c>
      <c r="BG138" s="34">
        <f t="shared" si="420"/>
        <v>259.17</v>
      </c>
      <c r="BH138" s="35">
        <f t="shared" si="413"/>
        <v>-1.07</v>
      </c>
    </row>
    <row r="139" ht="14.25" customHeight="1" spans="1:60" x14ac:dyDescent="0.25">
      <c r="A139" s="29">
        <v>18</v>
      </c>
      <c r="B139" s="14"/>
      <c r="C139" s="2" t="s">
        <v>111</v>
      </c>
      <c r="D139" s="14" t="s">
        <v>47</v>
      </c>
      <c r="E139" s="2" t="s">
        <v>49</v>
      </c>
      <c r="F139" s="41">
        <v>500</v>
      </c>
      <c r="G139" s="35"/>
      <c r="H139" s="34">
        <f>'2018'!BH139</f>
        <v>0</v>
      </c>
      <c r="I139" s="13"/>
      <c r="J139" s="15"/>
      <c r="K139" s="15"/>
      <c r="L139" s="28"/>
      <c r="Q139" s="13"/>
      <c r="R139" s="15"/>
      <c r="S139" s="15"/>
      <c r="T139" s="28"/>
      <c r="Y139" s="13"/>
      <c r="Z139" s="15"/>
      <c r="AA139" s="15"/>
      <c r="AB139" s="28"/>
      <c r="AG139" s="13"/>
      <c r="AH139" s="15"/>
      <c r="AI139" s="34"/>
      <c r="AJ139" s="28"/>
      <c r="AK139" s="13"/>
      <c r="AL139" s="15"/>
      <c r="AM139" s="34"/>
      <c r="AN139" s="28"/>
      <c r="AO139" s="13"/>
      <c r="AP139" s="15"/>
      <c r="AQ139" s="34"/>
      <c r="AR139" s="28"/>
      <c r="AS139" s="15"/>
      <c r="AT139" s="15"/>
      <c r="AU139" s="15"/>
      <c r="AV139" s="15"/>
      <c r="AW139" s="13"/>
      <c r="AX139" s="15"/>
      <c r="AY139" s="15"/>
      <c r="AZ139" s="28"/>
      <c r="BA139" s="15"/>
      <c r="BB139" s="15"/>
      <c r="BC139" s="15"/>
      <c r="BD139" s="15"/>
      <c r="BE139" s="14"/>
      <c r="BF139" s="41">
        <f t="shared" ref="BF139:BG139" si="421">K139+O139+S139+W139+AA139+AE139+AI139+AM139+AQ139+AU139+AY139+BC139</f>
        <v>0</v>
      </c>
      <c r="BG139" s="34">
        <f t="shared" si="421"/>
        <v>0</v>
      </c>
      <c r="BH139" s="35">
        <f t="shared" si="413"/>
        <v>0</v>
      </c>
    </row>
    <row r="140" ht="14.25" customHeight="1" spans="1:60" x14ac:dyDescent="0.25">
      <c r="A140" s="29">
        <v>18</v>
      </c>
      <c r="B140" s="14"/>
      <c r="C140" s="15" t="s">
        <v>112</v>
      </c>
      <c r="D140" s="14" t="s">
        <v>50</v>
      </c>
      <c r="E140" s="2" t="s">
        <v>49</v>
      </c>
      <c r="F140" s="41">
        <v>1200</v>
      </c>
      <c r="G140" s="35"/>
      <c r="H140" s="34">
        <f>'2018'!BH140</f>
        <v>-0.003599999999</v>
      </c>
      <c r="I140" s="13"/>
      <c r="J140" s="15"/>
      <c r="K140" s="15"/>
      <c r="L140" s="28"/>
      <c r="Q140" s="13"/>
      <c r="R140" s="15"/>
      <c r="S140" s="15"/>
      <c r="T140" s="28"/>
      <c r="Y140" s="13"/>
      <c r="Z140" s="15"/>
      <c r="AA140" s="15"/>
      <c r="AB140" s="28"/>
      <c r="AE140" s="34">
        <f>B137*$F$12</f>
        <v>4836</v>
      </c>
      <c r="AF140" s="133">
        <v>4836</v>
      </c>
      <c r="AG140" s="13"/>
      <c r="AH140" s="15"/>
      <c r="AI140" s="15"/>
      <c r="AJ140" s="32"/>
      <c r="AK140" s="13"/>
      <c r="AL140" s="15"/>
      <c r="AM140" s="15"/>
      <c r="AN140" s="28"/>
      <c r="AO140" s="13"/>
      <c r="AP140" s="15"/>
      <c r="AQ140" s="15"/>
      <c r="AR140" s="28"/>
      <c r="AS140" s="15"/>
      <c r="AT140" s="15"/>
      <c r="AU140" s="15"/>
      <c r="AV140" s="15"/>
      <c r="AW140" s="13"/>
      <c r="AX140" s="15"/>
      <c r="AY140" s="15"/>
      <c r="AZ140" s="28"/>
      <c r="BA140" s="15"/>
      <c r="BB140" s="15"/>
      <c r="BC140" s="15"/>
      <c r="BD140" s="15"/>
      <c r="BE140" s="14"/>
      <c r="BF140" s="41">
        <f t="shared" ref="BF140:BG140" si="422">K140+O140+S140+W140+AA140+AE140+AI140+AM140+AQ140+AU140+AY140+BC140</f>
        <v>4836</v>
      </c>
      <c r="BG140" s="34">
        <f t="shared" si="422"/>
        <v>4836</v>
      </c>
      <c r="BH140" s="35">
        <f t="shared" si="413"/>
        <v>-0.003599999999</v>
      </c>
    </row>
    <row r="141" ht="14.25" customHeight="1" spans="1:60" x14ac:dyDescent="0.25">
      <c r="A141" s="29">
        <v>18</v>
      </c>
      <c r="B141" s="14"/>
      <c r="D141" s="14" t="s">
        <v>51</v>
      </c>
      <c r="E141" s="2" t="s">
        <v>49</v>
      </c>
      <c r="F141" s="41">
        <v>1000</v>
      </c>
      <c r="G141" s="35"/>
      <c r="H141" s="34">
        <f>'2018'!BH141</f>
        <v>0</v>
      </c>
      <c r="I141" s="13"/>
      <c r="J141" s="15"/>
      <c r="K141" s="15"/>
      <c r="L141" s="28"/>
      <c r="Q141" s="13"/>
      <c r="R141" s="15"/>
      <c r="S141" s="15"/>
      <c r="T141" s="28"/>
      <c r="Y141" s="13"/>
      <c r="Z141" s="15"/>
      <c r="AA141" s="15"/>
      <c r="AB141" s="28"/>
      <c r="AE141" s="34">
        <f>$F$21</f>
        <v>1000</v>
      </c>
      <c r="AF141" s="133">
        <v>1000</v>
      </c>
      <c r="AG141" s="13"/>
      <c r="AH141" s="15"/>
      <c r="AI141" s="15"/>
      <c r="AJ141" s="28"/>
      <c r="AK141" s="13"/>
      <c r="AL141" s="15"/>
      <c r="AM141" s="15"/>
      <c r="AN141" s="28"/>
      <c r="AO141" s="13"/>
      <c r="AP141" s="15"/>
      <c r="AQ141" s="15"/>
      <c r="AR141" s="28"/>
      <c r="AS141" s="15"/>
      <c r="AT141" s="15"/>
      <c r="AU141" s="15"/>
      <c r="AV141" s="15"/>
      <c r="AW141" s="13"/>
      <c r="AX141" s="15"/>
      <c r="AY141" s="15"/>
      <c r="AZ141" s="28"/>
      <c r="BA141" s="15"/>
      <c r="BB141" s="15"/>
      <c r="BC141" s="15"/>
      <c r="BD141" s="15"/>
      <c r="BE141" s="14"/>
      <c r="BF141" s="41">
        <f t="shared" ref="BF141:BG141" si="423">K141+O141+S141+W141+AA141+AE141+AI141+AM141+AQ141+AU141+AY141+BC141</f>
        <v>1000</v>
      </c>
      <c r="BG141" s="34">
        <f t="shared" si="423"/>
        <v>1000</v>
      </c>
      <c r="BH141" s="35">
        <f t="shared" si="413"/>
        <v>0</v>
      </c>
    </row>
    <row r="142" ht="14.25" customHeight="1" spans="1:60" x14ac:dyDescent="0.25">
      <c r="A142" s="29">
        <v>18</v>
      </c>
      <c r="B142" s="14"/>
      <c r="D142" s="14" t="s">
        <v>52</v>
      </c>
      <c r="E142" s="2" t="s">
        <v>39</v>
      </c>
      <c r="F142" s="41">
        <v>500</v>
      </c>
      <c r="G142" s="35"/>
      <c r="H142" s="34">
        <f>'2018'!BH142</f>
        <v>0</v>
      </c>
      <c r="I142" s="13"/>
      <c r="J142" s="15"/>
      <c r="K142" s="15"/>
      <c r="L142" s="28"/>
      <c r="Q142" s="13"/>
      <c r="R142" s="15"/>
      <c r="S142" s="15"/>
      <c r="T142" s="28"/>
      <c r="Y142" s="13"/>
      <c r="Z142" s="15"/>
      <c r="AA142" s="34">
        <f>$F$14</f>
        <v>500</v>
      </c>
      <c r="AB142" s="28"/>
      <c r="AF142" s="133">
        <v>500</v>
      </c>
      <c r="AG142" s="13"/>
      <c r="AH142" s="15"/>
      <c r="AI142" s="15"/>
      <c r="AJ142" s="38"/>
      <c r="AK142" s="13"/>
      <c r="AL142" s="15"/>
      <c r="AM142" s="15"/>
      <c r="AN142" s="28"/>
      <c r="AO142" s="13"/>
      <c r="AP142" s="15"/>
      <c r="AQ142" s="15"/>
      <c r="AR142" s="28"/>
      <c r="AS142" s="15"/>
      <c r="AT142" s="15"/>
      <c r="AU142" s="15"/>
      <c r="AV142" s="15"/>
      <c r="AW142" s="13"/>
      <c r="AX142" s="15"/>
      <c r="AY142" s="15"/>
      <c r="AZ142" s="28"/>
      <c r="BA142" s="15"/>
      <c r="BB142" s="15"/>
      <c r="BC142" s="15"/>
      <c r="BD142" s="15"/>
      <c r="BE142" s="14"/>
      <c r="BF142" s="41">
        <f t="shared" ref="BF142:BG142" si="424">K142+O142+S142+W142+AA142+AE142+AI142+AM142+AQ142+AU142+AY142+BC142</f>
        <v>500</v>
      </c>
      <c r="BG142" s="34">
        <f t="shared" si="424"/>
        <v>500</v>
      </c>
      <c r="BH142" s="35">
        <f t="shared" si="413"/>
        <v>0</v>
      </c>
    </row>
    <row r="143" ht="14.25" customHeight="1" spans="1:62" x14ac:dyDescent="0.25">
      <c r="A143" s="50">
        <v>18</v>
      </c>
      <c r="B143" s="21"/>
      <c r="C143" s="22" t="s">
        <v>53</v>
      </c>
      <c r="D143" s="21"/>
      <c r="E143" s="22"/>
      <c r="F143" s="20"/>
      <c r="G143" s="23"/>
      <c r="H143" s="51">
        <f>SUM(H136:H142)</f>
        <v>12.4464</v>
      </c>
      <c r="I143" s="52"/>
      <c r="J143" s="53"/>
      <c r="K143" s="51">
        <f t="shared" ref="K143:L143" si="425">SUM(K137:K142)</f>
        <v>0</v>
      </c>
      <c r="L143" s="68">
        <f t="shared" si="425"/>
        <v>0</v>
      </c>
      <c r="M143" s="53"/>
      <c r="N143" s="53"/>
      <c r="O143" s="51">
        <f t="shared" ref="O143:P143" si="426">SUM(O137:O142)</f>
        <v>0</v>
      </c>
      <c r="P143" s="51">
        <f t="shared" si="426"/>
        <v>0</v>
      </c>
      <c r="Q143" s="52"/>
      <c r="R143" s="53"/>
      <c r="S143" s="51">
        <f t="shared" ref="S143:T143" si="427">SUM(S137:S142)</f>
        <v>0</v>
      </c>
      <c r="T143" s="68">
        <f t="shared" si="427"/>
        <v>0</v>
      </c>
      <c r="U143" s="53"/>
      <c r="V143" s="53"/>
      <c r="W143" s="51">
        <f t="shared" ref="W143:X143" si="428">SUM(W137:W142)</f>
        <v>7.47</v>
      </c>
      <c r="X143" s="51">
        <f t="shared" si="428"/>
        <v>0</v>
      </c>
      <c r="Y143" s="52"/>
      <c r="Z143" s="53"/>
      <c r="AA143" s="51">
        <f t="shared" ref="AA143:AB143" si="429">SUM(AA137:AA142)</f>
        <v>522.41</v>
      </c>
      <c r="AB143" s="68">
        <f t="shared" si="429"/>
        <v>0</v>
      </c>
      <c r="AC143" s="53"/>
      <c r="AD143" s="53"/>
      <c r="AE143" s="51">
        <f t="shared" ref="AE143:AF143" si="430">SUM(AE137:AE142)</f>
        <v>5909.94</v>
      </c>
      <c r="AF143" s="51">
        <f t="shared" si="430"/>
        <v>6500</v>
      </c>
      <c r="AG143" s="52"/>
      <c r="AH143" s="53"/>
      <c r="AI143" s="51">
        <f t="shared" ref="AI143:AJ143" si="431">SUM(AI137:AI142)</f>
        <v>42.5</v>
      </c>
      <c r="AJ143" s="68">
        <f t="shared" si="431"/>
        <v>0</v>
      </c>
      <c r="AK143" s="52"/>
      <c r="AL143" s="53"/>
      <c r="AM143" s="51">
        <f t="shared" ref="AM143:AN143" si="432">SUM(AM137:AM142)</f>
        <v>244.16</v>
      </c>
      <c r="AN143" s="68">
        <f t="shared" si="432"/>
        <v>240</v>
      </c>
      <c r="AO143" s="52"/>
      <c r="AP143" s="53"/>
      <c r="AQ143" s="51">
        <f t="shared" ref="AQ143:AR143" si="433">SUM(AQ136:AQ142)</f>
        <v>25</v>
      </c>
      <c r="AR143" s="68">
        <f t="shared" si="433"/>
        <v>0</v>
      </c>
      <c r="AS143" s="53"/>
      <c r="AT143" s="53"/>
      <c r="AU143" s="51">
        <f t="shared" ref="AU143:AV143" si="434">SUM(AU136:AU142)</f>
        <v>12.5</v>
      </c>
      <c r="AV143" s="68">
        <f t="shared" si="434"/>
        <v>0</v>
      </c>
      <c r="AW143" s="52"/>
      <c r="AX143" s="53"/>
      <c r="AY143" s="51">
        <f t="shared" ref="AY143:AZ143" si="435">SUM(AY136:AY142)</f>
        <v>2.5</v>
      </c>
      <c r="AZ143" s="68">
        <f t="shared" si="435"/>
        <v>0</v>
      </c>
      <c r="BA143" s="53"/>
      <c r="BB143" s="53"/>
      <c r="BC143" s="51">
        <f t="shared" ref="BC143:BD143" si="436">SUM(BC136:BC142)</f>
        <v>0</v>
      </c>
      <c r="BD143" s="68">
        <f t="shared" si="436"/>
        <v>0</v>
      </c>
      <c r="BE143" s="69"/>
      <c r="BF143" s="70">
        <f t="shared" ref="BF143:BH143" si="437">SUM(BF136:BF142)</f>
        <v>6766.48</v>
      </c>
      <c r="BG143" s="71">
        <f t="shared" si="437"/>
        <v>6740</v>
      </c>
      <c r="BH143" s="72">
        <f t="shared" si="437"/>
        <v>38.9264</v>
      </c>
      <c r="BI143" s="34">
        <f>H143+BF143-BG143</f>
        <v>38.9264</v>
      </c>
      <c r="BJ143" s="34">
        <f>BH143-BI143</f>
        <v>0</v>
      </c>
    </row>
    <row r="144" ht="14.25" customHeight="1" spans="1:60" x14ac:dyDescent="0.25">
      <c r="A144" s="29">
        <v>19</v>
      </c>
      <c r="B144" s="14"/>
      <c r="D144" s="14" t="s">
        <v>379</v>
      </c>
      <c r="F144" s="13"/>
      <c r="G144" s="28"/>
      <c r="H144" s="34">
        <f>'2018'!BH144</f>
      </c>
      <c r="I144" s="13"/>
      <c r="J144" s="15"/>
      <c r="K144" s="15"/>
      <c r="L144" s="28"/>
      <c r="Q144" s="13"/>
      <c r="R144" s="15"/>
      <c r="S144" s="15"/>
      <c r="T144" s="28"/>
      <c r="Y144" s="13"/>
      <c r="Z144" s="15"/>
      <c r="AA144" s="15"/>
      <c r="AB144" s="28"/>
      <c r="AG144" s="13"/>
      <c r="AH144" s="15"/>
      <c r="AI144" s="15"/>
      <c r="AJ144" s="28"/>
      <c r="AK144" s="13"/>
      <c r="AL144" s="15"/>
      <c r="AM144" s="15"/>
      <c r="AN144" s="28"/>
      <c r="AO144" s="13"/>
      <c r="AP144" s="15"/>
      <c r="AQ144" s="15">
        <v>16.71</v>
      </c>
      <c r="AR144" s="28"/>
      <c r="AW144" s="13"/>
      <c r="AX144" s="15"/>
      <c r="AY144" s="15"/>
      <c r="AZ144" s="28"/>
      <c r="BE144" s="14"/>
      <c r="BF144" s="41">
        <f t="shared" ref="BF144:BG144" si="438">K144+O144+S144+W144+AA144+AE144+AI144+AM144+AQ144+AU144+AY144+BC144</f>
        <v>16.71</v>
      </c>
      <c r="BG144" s="34">
        <f t="shared" si="438"/>
        <v>0</v>
      </c>
      <c r="BH144" s="35">
        <f t="shared" ref="BH144:BH150" si="439">H144+BF144-BG144</f>
        <v>16.71</v>
      </c>
    </row>
    <row r="145" ht="14.25" customHeight="1" spans="1:60" x14ac:dyDescent="0.25">
      <c r="A145" s="2">
        <v>19</v>
      </c>
      <c r="B145" s="42">
        <v>4.1</v>
      </c>
      <c r="C145" s="2" t="s">
        <v>113</v>
      </c>
      <c r="D145" s="14" t="s">
        <v>44</v>
      </c>
      <c r="E145" s="2" t="s">
        <v>45</v>
      </c>
      <c r="F145" s="13">
        <v>2.49</v>
      </c>
      <c r="G145" s="35">
        <v>2.5</v>
      </c>
      <c r="H145" s="34">
        <f>'2018'!BH145</f>
        <v>0</v>
      </c>
      <c r="I145" s="13">
        <v>1</v>
      </c>
      <c r="J145" s="15">
        <f>I145-'2018'!BA145</f>
        <v>0</v>
      </c>
      <c r="K145" s="34">
        <f>J145*$F$8</f>
        <v>0</v>
      </c>
      <c r="L145" s="28"/>
      <c r="M145" s="2">
        <v>1</v>
      </c>
      <c r="N145" s="15">
        <f>M145-I145</f>
        <v>0</v>
      </c>
      <c r="O145" s="34">
        <f>N145*$F$8</f>
        <v>0</v>
      </c>
      <c r="Q145" s="13">
        <v>1</v>
      </c>
      <c r="R145" s="15">
        <f>Q145-M145</f>
        <v>0</v>
      </c>
      <c r="S145" s="34">
        <f>R145*$F$8</f>
        <v>0</v>
      </c>
      <c r="T145" s="28"/>
      <c r="U145" s="15">
        <v>1</v>
      </c>
      <c r="V145" s="15">
        <f>U145-Q145</f>
        <v>0</v>
      </c>
      <c r="W145" s="34">
        <f>V145*$F$8</f>
        <v>0</v>
      </c>
      <c r="Y145" s="13">
        <v>1</v>
      </c>
      <c r="Z145" s="15">
        <f>Y145-U145</f>
        <v>0</v>
      </c>
      <c r="AA145" s="34">
        <f>Z145*$F$8</f>
        <v>0</v>
      </c>
      <c r="AB145" s="28"/>
      <c r="AC145" s="15">
        <v>1</v>
      </c>
      <c r="AD145" s="15">
        <f t="shared" ref="AD145:AD146" si="440">AC145-Y145</f>
        <v>0</v>
      </c>
      <c r="AE145" s="34">
        <f>AD145*$G$8</f>
        <v>0</v>
      </c>
      <c r="AG145" s="13">
        <v>1</v>
      </c>
      <c r="AH145" s="15">
        <f t="shared" ref="AH145:AH146" si="441">AG145-AC145</f>
        <v>0</v>
      </c>
      <c r="AI145" s="34">
        <f>AH145*$G$8</f>
        <v>0</v>
      </c>
      <c r="AJ145" s="28"/>
      <c r="AK145" s="75">
        <v>1</v>
      </c>
      <c r="AL145" s="15">
        <f t="shared" ref="AL145:AL146" si="442">AK145-AG145</f>
        <v>0</v>
      </c>
      <c r="AM145" s="34">
        <f>AL145*$G$8</f>
        <v>0</v>
      </c>
      <c r="AN145" s="28"/>
      <c r="AO145" s="75">
        <v>1</v>
      </c>
      <c r="AP145" s="15">
        <f t="shared" ref="AP145:AP146" si="443">AO145-AK145</f>
        <v>0</v>
      </c>
      <c r="AQ145" s="34">
        <f>AP145*$G$8</f>
        <v>0</v>
      </c>
      <c r="AR145" s="28"/>
      <c r="AS145" s="75">
        <v>1</v>
      </c>
      <c r="AT145" s="15">
        <f t="shared" ref="AT145:AT146" si="444">AS145-AO145</f>
        <v>0</v>
      </c>
      <c r="AU145" s="34">
        <f>AT145*$G$8</f>
        <v>0</v>
      </c>
      <c r="AV145" s="15"/>
      <c r="AW145" s="13">
        <v>1</v>
      </c>
      <c r="AX145" s="15">
        <f>AW145-AS145</f>
        <v>0</v>
      </c>
      <c r="AY145" s="34">
        <f>AX145*$G$8</f>
        <v>0</v>
      </c>
      <c r="AZ145" s="28"/>
      <c r="BA145" s="13">
        <v>1</v>
      </c>
      <c r="BB145" s="15">
        <f>BA145-AW145</f>
        <v>0</v>
      </c>
      <c r="BC145" s="34">
        <f>BB145*$G$8</f>
        <v>0</v>
      </c>
      <c r="BD145" s="15"/>
      <c r="BE145" s="40">
        <f t="shared" ref="BE145:BG145" si="445">J145+N145+R145+V145+Z145+AD145+AH145+AL145+AP145+AT145+AX145+BB145</f>
        <v>0</v>
      </c>
      <c r="BF145" s="41">
        <f t="shared" si="445"/>
        <v>0</v>
      </c>
      <c r="BG145" s="34">
        <f t="shared" si="445"/>
        <v>0</v>
      </c>
      <c r="BH145" s="35">
        <f t="shared" si="439"/>
        <v>0</v>
      </c>
    </row>
    <row r="146" ht="14.25" customHeight="1" spans="1:60" x14ac:dyDescent="0.25">
      <c r="A146" s="29">
        <v>19</v>
      </c>
      <c r="B146" s="14"/>
      <c r="C146" s="2" t="s">
        <v>114</v>
      </c>
      <c r="D146" s="14" t="s">
        <v>47</v>
      </c>
      <c r="E146" s="2" t="s">
        <v>48</v>
      </c>
      <c r="F146" s="13">
        <v>17.98</v>
      </c>
      <c r="G146" s="28">
        <v>18.56</v>
      </c>
      <c r="H146" s="34">
        <f>'2018'!BH146</f>
        <v>0</v>
      </c>
      <c r="I146" s="13">
        <v>21</v>
      </c>
      <c r="J146" s="15"/>
      <c r="K146" s="15"/>
      <c r="L146" s="28"/>
      <c r="Q146" s="13"/>
      <c r="R146" s="15"/>
      <c r="S146" s="15"/>
      <c r="T146" s="28"/>
      <c r="Y146" s="13">
        <v>27</v>
      </c>
      <c r="Z146" s="15">
        <f>Y146-'2018'!AO146</f>
        <v>6</v>
      </c>
      <c r="AA146" s="34">
        <f>Z146*$F$10</f>
        <v>107.88</v>
      </c>
      <c r="AB146" s="28"/>
      <c r="AC146" s="15">
        <v>27</v>
      </c>
      <c r="AD146" s="15">
        <f t="shared" si="440"/>
        <v>0</v>
      </c>
      <c r="AE146" s="34">
        <f>AD146*$F$10</f>
        <v>0</v>
      </c>
      <c r="AG146" s="13">
        <v>27</v>
      </c>
      <c r="AH146" s="15">
        <f t="shared" si="441"/>
        <v>0</v>
      </c>
      <c r="AI146" s="45">
        <f>AH146*$G$10</f>
        <v>0</v>
      </c>
      <c r="AJ146" s="28"/>
      <c r="AK146" s="15">
        <v>27</v>
      </c>
      <c r="AL146" s="15">
        <f t="shared" si="442"/>
        <v>0</v>
      </c>
      <c r="AM146" s="45">
        <f>AL146*$G$10</f>
        <v>0</v>
      </c>
      <c r="AN146" s="28"/>
      <c r="AO146" s="15">
        <v>78</v>
      </c>
      <c r="AP146" s="15">
        <f t="shared" si="443"/>
        <v>51</v>
      </c>
      <c r="AQ146" s="45">
        <f>AP146*$G$10</f>
        <v>946.56</v>
      </c>
      <c r="AR146" s="28"/>
      <c r="AS146" s="15">
        <v>78</v>
      </c>
      <c r="AT146" s="15">
        <f t="shared" si="444"/>
        <v>0</v>
      </c>
      <c r="AU146" s="45">
        <f>AT146*$G$10</f>
        <v>0</v>
      </c>
      <c r="AV146" s="39">
        <v>1054.44</v>
      </c>
      <c r="AW146" s="13">
        <v>78</v>
      </c>
      <c r="AX146" s="15"/>
      <c r="AY146" s="15"/>
      <c r="AZ146" s="28"/>
      <c r="BA146" s="15">
        <v>78</v>
      </c>
      <c r="BB146" s="15"/>
      <c r="BC146" s="15"/>
      <c r="BD146" s="15"/>
      <c r="BE146" s="40">
        <f t="shared" ref="BE146:BG146" si="446">J146+N146+R146+V146+Z146+AD146+AH146+AL146+AP146+AT146+AX146+BB146</f>
        <v>57</v>
      </c>
      <c r="BF146" s="41">
        <f t="shared" si="446"/>
        <v>1054.44</v>
      </c>
      <c r="BG146" s="34">
        <f t="shared" si="446"/>
        <v>1054.44</v>
      </c>
      <c r="BH146" s="35">
        <f t="shared" si="439"/>
        <v>0</v>
      </c>
    </row>
    <row r="147" ht="14.25" customHeight="1" spans="1:60" x14ac:dyDescent="0.25">
      <c r="A147" s="29">
        <v>19</v>
      </c>
      <c r="B147" s="14"/>
      <c r="C147" s="2" t="s">
        <v>115</v>
      </c>
      <c r="D147" s="14" t="s">
        <v>47</v>
      </c>
      <c r="E147" s="2" t="s">
        <v>49</v>
      </c>
      <c r="F147" s="41">
        <v>500</v>
      </c>
      <c r="G147" s="35"/>
      <c r="H147" s="34">
        <f>'2018'!BH147</f>
        <v>0</v>
      </c>
      <c r="I147" s="13"/>
      <c r="J147" s="15"/>
      <c r="K147" s="15"/>
      <c r="L147" s="28"/>
      <c r="Q147" s="13"/>
      <c r="R147" s="15"/>
      <c r="S147" s="15"/>
      <c r="T147" s="28"/>
      <c r="Y147" s="13"/>
      <c r="Z147" s="15"/>
      <c r="AA147" s="15"/>
      <c r="AB147" s="28"/>
      <c r="AG147" s="13"/>
      <c r="AH147" s="15"/>
      <c r="AI147" s="34"/>
      <c r="AJ147" s="28"/>
      <c r="AK147" s="13"/>
      <c r="AL147" s="15"/>
      <c r="AM147" s="34"/>
      <c r="AN147" s="28"/>
      <c r="AO147" s="13"/>
      <c r="AP147" s="15"/>
      <c r="AQ147" s="34"/>
      <c r="AR147" s="28"/>
      <c r="AS147" s="15"/>
      <c r="AT147" s="15"/>
      <c r="AU147" s="15"/>
      <c r="AV147" s="15"/>
      <c r="AW147" s="13"/>
      <c r="AX147" s="15"/>
      <c r="AY147" s="15"/>
      <c r="AZ147" s="28"/>
      <c r="BA147" s="15"/>
      <c r="BB147" s="15"/>
      <c r="BC147" s="15"/>
      <c r="BD147" s="15"/>
      <c r="BE147" s="14"/>
      <c r="BF147" s="41">
        <f t="shared" ref="BF147:BG147" si="447">K147+O147+S147+W147+AA147+AE147+AI147+AM147+AQ147+AU147+AY147+BC147</f>
        <v>0</v>
      </c>
      <c r="BG147" s="34">
        <f t="shared" si="447"/>
        <v>0</v>
      </c>
      <c r="BH147" s="35">
        <f t="shared" si="439"/>
        <v>0</v>
      </c>
    </row>
    <row r="148" ht="14.25" customHeight="1" spans="1:60" x14ac:dyDescent="0.25">
      <c r="A148" s="29">
        <v>19</v>
      </c>
      <c r="B148" s="14"/>
      <c r="C148" s="73"/>
      <c r="D148" s="14" t="s">
        <v>50</v>
      </c>
      <c r="E148" s="2" t="s">
        <v>49</v>
      </c>
      <c r="F148" s="41">
        <v>1200</v>
      </c>
      <c r="G148" s="35"/>
      <c r="H148" s="34">
        <f>'2018'!BH148</f>
        <v>4357.808</v>
      </c>
      <c r="I148" s="13"/>
      <c r="J148" s="15"/>
      <c r="K148" s="15"/>
      <c r="L148" s="28"/>
      <c r="Q148" s="13"/>
      <c r="R148" s="15"/>
      <c r="S148" s="15"/>
      <c r="T148" s="28"/>
      <c r="Y148" s="13"/>
      <c r="Z148" s="15"/>
      <c r="AA148" s="15"/>
      <c r="AB148" s="28"/>
      <c r="AE148" s="34">
        <f>B145*$F$12</f>
        <v>4920</v>
      </c>
      <c r="AF148" s="39">
        <v>4708</v>
      </c>
      <c r="AG148" s="13"/>
      <c r="AH148" s="15"/>
      <c r="AI148" s="15"/>
      <c r="AJ148" s="28"/>
      <c r="AK148" s="13"/>
      <c r="AL148" s="15"/>
      <c r="AM148" s="15"/>
      <c r="AN148" s="28"/>
      <c r="AO148" s="13"/>
      <c r="AP148" s="15"/>
      <c r="AQ148" s="15"/>
      <c r="AR148" s="28"/>
      <c r="AS148" s="15"/>
      <c r="AT148" s="15"/>
      <c r="AU148" s="15"/>
      <c r="AV148" s="39">
        <v>4569.81</v>
      </c>
      <c r="AW148" s="13"/>
      <c r="AX148" s="15"/>
      <c r="AY148" s="15"/>
      <c r="AZ148" s="28"/>
      <c r="BA148" s="15"/>
      <c r="BB148" s="15"/>
      <c r="BC148" s="15"/>
      <c r="BD148" s="15"/>
      <c r="BE148" s="14"/>
      <c r="BF148" s="41">
        <f t="shared" ref="BF148:BG148" si="448">K148+O148+S148+W148+AA148+AE148+AI148+AM148+AQ148+AU148+AY148+BC148</f>
        <v>4920</v>
      </c>
      <c r="BG148" s="34">
        <f t="shared" si="448"/>
        <v>9277.81</v>
      </c>
      <c r="BH148" s="35">
        <f t="shared" si="439"/>
        <v>-0.002</v>
      </c>
    </row>
    <row r="149" ht="14.25" customHeight="1" spans="1:60" x14ac:dyDescent="0.25">
      <c r="A149" s="29">
        <v>19</v>
      </c>
      <c r="B149" s="14"/>
      <c r="D149" s="14" t="s">
        <v>51</v>
      </c>
      <c r="E149" s="2" t="s">
        <v>49</v>
      </c>
      <c r="F149" s="41">
        <v>1000</v>
      </c>
      <c r="G149" s="35"/>
      <c r="H149" s="34">
        <f>'2018'!BH149</f>
        <v>0</v>
      </c>
      <c r="I149" s="13"/>
      <c r="J149" s="15"/>
      <c r="K149" s="15"/>
      <c r="L149" s="28"/>
      <c r="Q149" s="13"/>
      <c r="R149" s="15"/>
      <c r="S149" s="15"/>
      <c r="T149" s="28"/>
      <c r="Y149" s="13"/>
      <c r="Z149" s="15"/>
      <c r="AA149" s="15"/>
      <c r="AB149" s="28"/>
      <c r="AE149" s="34">
        <f>$F$21</f>
        <v>1000</v>
      </c>
      <c r="AG149" s="13"/>
      <c r="AH149" s="15"/>
      <c r="AI149" s="15"/>
      <c r="AJ149" s="28"/>
      <c r="AK149" s="13"/>
      <c r="AL149" s="15"/>
      <c r="AM149" s="15"/>
      <c r="AN149" s="28"/>
      <c r="AO149" s="13"/>
      <c r="AP149" s="15"/>
      <c r="AQ149" s="15"/>
      <c r="AR149" s="28"/>
      <c r="AS149" s="15"/>
      <c r="AT149" s="15"/>
      <c r="AU149" s="15"/>
      <c r="AV149" s="39">
        <v>1000</v>
      </c>
      <c r="AW149" s="13"/>
      <c r="AX149" s="15"/>
      <c r="AY149" s="15"/>
      <c r="AZ149" s="28"/>
      <c r="BA149" s="15"/>
      <c r="BB149" s="15"/>
      <c r="BC149" s="15"/>
      <c r="BD149" s="15"/>
      <c r="BE149" s="14"/>
      <c r="BF149" s="41">
        <f t="shared" ref="BF149:BG149" si="449">K149+O149+S149+W149+AA149+AE149+AI149+AM149+AQ149+AU149+AY149+BC149</f>
        <v>1000</v>
      </c>
      <c r="BG149" s="34">
        <f t="shared" si="449"/>
        <v>1000</v>
      </c>
      <c r="BH149" s="35">
        <f t="shared" si="439"/>
        <v>0</v>
      </c>
    </row>
    <row r="150" ht="14.25" customHeight="1" spans="1:60" x14ac:dyDescent="0.25">
      <c r="A150" s="29">
        <v>19</v>
      </c>
      <c r="B150" s="14"/>
      <c r="D150" s="14" t="s">
        <v>52</v>
      </c>
      <c r="E150" s="2" t="s">
        <v>39</v>
      </c>
      <c r="F150" s="41">
        <v>500</v>
      </c>
      <c r="G150" s="35"/>
      <c r="H150" s="34">
        <f>'2018'!BH150</f>
        <v>350</v>
      </c>
      <c r="I150" s="13"/>
      <c r="J150" s="15"/>
      <c r="K150" s="15"/>
      <c r="L150" s="28"/>
      <c r="Q150" s="13"/>
      <c r="R150" s="15"/>
      <c r="S150" s="15"/>
      <c r="T150" s="28"/>
      <c r="Y150" s="13"/>
      <c r="Z150" s="15"/>
      <c r="AA150" s="34">
        <f>$F$14</f>
        <v>500</v>
      </c>
      <c r="AB150" s="28"/>
      <c r="AG150" s="13"/>
      <c r="AH150" s="15"/>
      <c r="AI150" s="15"/>
      <c r="AJ150" s="28"/>
      <c r="AK150" s="13"/>
      <c r="AL150" s="15"/>
      <c r="AM150" s="15"/>
      <c r="AN150" s="28"/>
      <c r="AO150" s="13"/>
      <c r="AP150" s="15"/>
      <c r="AQ150" s="15"/>
      <c r="AR150" s="28"/>
      <c r="AS150" s="15"/>
      <c r="AT150" s="15"/>
      <c r="AU150" s="15"/>
      <c r="AV150" s="140">
        <v>375.75</v>
      </c>
      <c r="AW150" s="13"/>
      <c r="AX150" s="15"/>
      <c r="AY150" s="15"/>
      <c r="AZ150" s="28"/>
      <c r="BA150" s="15"/>
      <c r="BB150" s="15"/>
      <c r="BC150" s="15"/>
      <c r="BD150" s="15"/>
      <c r="BE150" s="14"/>
      <c r="BF150" s="41">
        <f t="shared" ref="BF150:BG150" si="450">K150+O150+S150+W150+AA150+AE150+AI150+AM150+AQ150+AU150+AY150+BC150</f>
        <v>500</v>
      </c>
      <c r="BG150" s="34">
        <f t="shared" si="450"/>
        <v>375.75</v>
      </c>
      <c r="BH150" s="35">
        <f t="shared" si="439"/>
        <v>474.25</v>
      </c>
    </row>
    <row r="151" ht="14.25" customHeight="1" spans="1:62" x14ac:dyDescent="0.25">
      <c r="A151" s="88" t="s">
        <v>116</v>
      </c>
      <c r="B151" s="21"/>
      <c r="C151" s="22" t="s">
        <v>53</v>
      </c>
      <c r="D151" s="21"/>
      <c r="E151" s="22"/>
      <c r="F151" s="20"/>
      <c r="G151" s="23"/>
      <c r="H151" s="51">
        <f>SUM(H144:H150)</f>
        <v>4707.808</v>
      </c>
      <c r="I151" s="52"/>
      <c r="J151" s="53"/>
      <c r="K151" s="51">
        <f t="shared" ref="K151:L151" si="451">SUM(K145:K150)</f>
        <v>0</v>
      </c>
      <c r="L151" s="68">
        <f t="shared" si="451"/>
        <v>0</v>
      </c>
      <c r="M151" s="53"/>
      <c r="N151" s="53"/>
      <c r="O151" s="51">
        <f t="shared" ref="O151:P151" si="452">SUM(O145:O150)</f>
        <v>0</v>
      </c>
      <c r="P151" s="51">
        <f t="shared" si="452"/>
        <v>0</v>
      </c>
      <c r="Q151" s="52"/>
      <c r="R151" s="53"/>
      <c r="S151" s="51">
        <f t="shared" ref="S151:T151" si="453">SUM(S145:S150)</f>
        <v>0</v>
      </c>
      <c r="T151" s="68">
        <f t="shared" si="453"/>
        <v>0</v>
      </c>
      <c r="U151" s="53"/>
      <c r="V151" s="53"/>
      <c r="W151" s="51">
        <f t="shared" ref="W151:X151" si="454">SUM(W145:W150)</f>
        <v>0</v>
      </c>
      <c r="X151" s="51">
        <f t="shared" si="454"/>
        <v>0</v>
      </c>
      <c r="Y151" s="52"/>
      <c r="Z151" s="53"/>
      <c r="AA151" s="51">
        <f t="shared" ref="AA151:AB151" si="455">SUM(AA145:AA150)</f>
        <v>607.88</v>
      </c>
      <c r="AB151" s="68">
        <f t="shared" si="455"/>
        <v>0</v>
      </c>
      <c r="AC151" s="53"/>
      <c r="AD151" s="53"/>
      <c r="AE151" s="51">
        <f t="shared" ref="AE151:AF151" si="456">SUM(AE145:AE150)</f>
        <v>5920</v>
      </c>
      <c r="AF151" s="51">
        <f t="shared" si="456"/>
        <v>4708</v>
      </c>
      <c r="AG151" s="52"/>
      <c r="AH151" s="53"/>
      <c r="AI151" s="51">
        <f t="shared" ref="AI151:AJ151" si="457">SUM(AI145:AI150)</f>
        <v>0</v>
      </c>
      <c r="AJ151" s="68">
        <f t="shared" si="457"/>
        <v>0</v>
      </c>
      <c r="AK151" s="52"/>
      <c r="AL151" s="53"/>
      <c r="AM151" s="51">
        <f t="shared" ref="AM151:AN151" si="458">SUM(AM145:AM150)</f>
        <v>0</v>
      </c>
      <c r="AN151" s="68">
        <f t="shared" si="458"/>
        <v>0</v>
      </c>
      <c r="AO151" s="52"/>
      <c r="AP151" s="53"/>
      <c r="AQ151" s="51">
        <f t="shared" ref="AQ151:AR151" si="459">SUM(AQ144:AQ150)</f>
        <v>963.27</v>
      </c>
      <c r="AR151" s="68">
        <f t="shared" si="459"/>
        <v>0</v>
      </c>
      <c r="AS151" s="53"/>
      <c r="AT151" s="53"/>
      <c r="AU151" s="51">
        <f t="shared" ref="AU151:AV151" si="460">SUM(AU144:AU150)</f>
        <v>0</v>
      </c>
      <c r="AV151" s="68">
        <f t="shared" si="460"/>
        <v>7000</v>
      </c>
      <c r="AW151" s="52"/>
      <c r="AX151" s="53"/>
      <c r="AY151" s="51">
        <f t="shared" ref="AY151:AZ151" si="461">SUM(AY144:AY150)</f>
        <v>0</v>
      </c>
      <c r="AZ151" s="68">
        <f t="shared" si="461"/>
        <v>0</v>
      </c>
      <c r="BA151" s="53"/>
      <c r="BB151" s="53"/>
      <c r="BC151" s="51">
        <f t="shared" ref="BC151:BD151" si="462">SUM(BC144:BC150)</f>
        <v>0</v>
      </c>
      <c r="BD151" s="68">
        <f t="shared" si="462"/>
        <v>0</v>
      </c>
      <c r="BE151" s="69"/>
      <c r="BF151" s="70">
        <f t="shared" ref="BF151:BH151" si="463">SUM(BF144:BF150)</f>
        <v>7491.15</v>
      </c>
      <c r="BG151" s="71">
        <f t="shared" si="463"/>
        <v>11708</v>
      </c>
      <c r="BH151" s="72">
        <f t="shared" si="463"/>
        <v>490.958</v>
      </c>
      <c r="BI151" s="34">
        <f>H151+BF151-BG151</f>
        <v>490.958</v>
      </c>
      <c r="BJ151" s="34">
        <f>BH151-BI151</f>
        <v>0</v>
      </c>
    </row>
    <row r="152" ht="14.25" customHeight="1" spans="1:60" x14ac:dyDescent="0.25">
      <c r="A152" s="79" t="s">
        <v>117</v>
      </c>
      <c r="B152" s="14"/>
      <c r="D152" s="14" t="s">
        <v>379</v>
      </c>
      <c r="F152" s="13"/>
      <c r="G152" s="28"/>
      <c r="H152" s="34">
        <f>'2018'!BH152</f>
      </c>
      <c r="I152" s="13"/>
      <c r="J152" s="15"/>
      <c r="K152" s="15"/>
      <c r="L152" s="28"/>
      <c r="Q152" s="13"/>
      <c r="R152" s="15"/>
      <c r="S152" s="15"/>
      <c r="T152" s="28"/>
      <c r="Y152" s="13"/>
      <c r="Z152" s="15"/>
      <c r="AA152" s="15"/>
      <c r="AB152" s="28"/>
      <c r="AG152" s="13"/>
      <c r="AH152" s="15"/>
      <c r="AI152" s="15"/>
      <c r="AJ152" s="28"/>
      <c r="AK152" s="13"/>
      <c r="AL152" s="15"/>
      <c r="AM152" s="15"/>
      <c r="AN152" s="28"/>
      <c r="AO152" s="13"/>
      <c r="AP152" s="15"/>
      <c r="AQ152" s="15"/>
      <c r="AR152" s="28"/>
      <c r="AW152" s="13"/>
      <c r="AX152" s="15"/>
      <c r="AY152" s="15"/>
      <c r="AZ152" s="28"/>
      <c r="BE152" s="14"/>
      <c r="BF152" s="41">
        <f t="shared" ref="BF152:BG152" si="464">K152+O152+S152+W152+AA152+AE152+AI152+AM152+AQ152+AU152+AY152+BC152</f>
        <v>0</v>
      </c>
      <c r="BG152" s="34">
        <f t="shared" si="464"/>
        <v>0</v>
      </c>
      <c r="BH152" s="35">
        <f t="shared" ref="BH152:BH158" si="465">H152+BF152-BG152</f>
        <v>0</v>
      </c>
    </row>
    <row r="153" ht="14.25" customHeight="1" spans="1:60" x14ac:dyDescent="0.25">
      <c r="A153" s="89" t="s">
        <v>117</v>
      </c>
      <c r="B153" s="30">
        <f>4+4</f>
        <v>8</v>
      </c>
      <c r="C153" s="2" t="s">
        <v>118</v>
      </c>
      <c r="D153" s="14" t="s">
        <v>44</v>
      </c>
      <c r="E153" s="2" t="s">
        <v>45</v>
      </c>
      <c r="F153" s="13">
        <v>2.49</v>
      </c>
      <c r="G153" s="35">
        <v>2.5</v>
      </c>
      <c r="H153" s="34">
        <f>'2018'!BH153</f>
        <v>184.26</v>
      </c>
      <c r="I153" s="13">
        <v>2425</v>
      </c>
      <c r="J153" s="15">
        <f>I153-'2018'!BA153</f>
        <v>0</v>
      </c>
      <c r="K153" s="34">
        <f>J153*$F$8</f>
        <v>0</v>
      </c>
      <c r="L153" s="28"/>
      <c r="M153" s="2">
        <v>2425</v>
      </c>
      <c r="N153" s="15">
        <f>M153-I153</f>
        <v>0</v>
      </c>
      <c r="O153" s="34">
        <f>N153*$F$8</f>
        <v>0</v>
      </c>
      <c r="Q153" s="13">
        <v>2425</v>
      </c>
      <c r="R153" s="15">
        <f>Q153-M153</f>
        <v>0</v>
      </c>
      <c r="S153" s="34">
        <f>R153*$F$8</f>
        <v>0</v>
      </c>
      <c r="T153" s="28"/>
      <c r="U153" s="15">
        <v>2436</v>
      </c>
      <c r="V153" s="15">
        <f>U153-Q153</f>
        <v>11</v>
      </c>
      <c r="W153" s="34">
        <f>V153*$F$8</f>
        <v>27.39</v>
      </c>
      <c r="X153" s="34"/>
      <c r="Y153" s="75">
        <v>2471</v>
      </c>
      <c r="Z153" s="15">
        <f>Y153-U153</f>
        <v>35</v>
      </c>
      <c r="AA153" s="34">
        <f>Z153*$F$8</f>
        <v>87.15</v>
      </c>
      <c r="AB153" s="28"/>
      <c r="AC153" s="15">
        <v>2556</v>
      </c>
      <c r="AD153" s="15">
        <f t="shared" ref="AD153:AD154" si="466">AC153-Y153</f>
        <v>85</v>
      </c>
      <c r="AE153" s="34">
        <f>AD153*$G$8</f>
        <v>212.5</v>
      </c>
      <c r="AF153" s="133">
        <v>511.3</v>
      </c>
      <c r="AG153" s="13">
        <v>2698</v>
      </c>
      <c r="AH153" s="15">
        <f t="shared" ref="AH153:AH154" si="467">AG153-AC153</f>
        <v>142</v>
      </c>
      <c r="AI153" s="34">
        <f>AH153*$G$8</f>
        <v>355</v>
      </c>
      <c r="AJ153" s="139">
        <f>355+28.62</f>
        <v>383.62</v>
      </c>
      <c r="AK153" s="13">
        <v>2818</v>
      </c>
      <c r="AL153" s="15">
        <f t="shared" ref="AL153:AL154" si="468">AK153-AG153</f>
        <v>120</v>
      </c>
      <c r="AM153" s="34">
        <f>AL153*$G$8</f>
        <v>300</v>
      </c>
      <c r="AN153" s="28"/>
      <c r="AO153" s="13">
        <v>2930</v>
      </c>
      <c r="AP153" s="15">
        <f t="shared" ref="AP153:AP154" si="469">AO153-AK153</f>
        <v>112</v>
      </c>
      <c r="AQ153" s="34">
        <f>AP153*$G$8</f>
        <v>280</v>
      </c>
      <c r="AR153" s="38">
        <v>500</v>
      </c>
      <c r="AS153" s="15">
        <v>2980</v>
      </c>
      <c r="AT153" s="15">
        <f t="shared" ref="AT153:AT154" si="470">AS153-AO153</f>
        <v>50</v>
      </c>
      <c r="AU153" s="34">
        <f t="shared" ref="AU153:AU154" si="471">AT153*$G$8</f>
        <v>125</v>
      </c>
      <c r="AV153" s="15"/>
      <c r="AW153" s="13">
        <v>2985</v>
      </c>
      <c r="AX153" s="15">
        <f>AW153-AS153</f>
        <v>5</v>
      </c>
      <c r="AY153" s="34">
        <f>AX153*$G$8</f>
        <v>12.5</v>
      </c>
      <c r="AZ153" s="28"/>
      <c r="BA153" s="13">
        <v>2985</v>
      </c>
      <c r="BB153" s="15">
        <f>BA153-AW153</f>
        <v>0</v>
      </c>
      <c r="BC153" s="34">
        <f>BB153*$G$8</f>
        <v>0</v>
      </c>
      <c r="BD153" s="15"/>
      <c r="BE153" s="40">
        <f t="shared" ref="BE153:BG153" si="472">J153+N153+R153+V153+Z153+AD153+AH153+AL153+AP153+AT153+AX153+BB153</f>
        <v>560</v>
      </c>
      <c r="BF153" s="41">
        <f t="shared" si="472"/>
        <v>1399.54</v>
      </c>
      <c r="BG153" s="34">
        <f t="shared" si="472"/>
        <v>1394.92</v>
      </c>
      <c r="BH153" s="35">
        <f t="shared" si="465"/>
        <v>188.88</v>
      </c>
    </row>
    <row r="154" ht="14.25" customHeight="1" spans="1:60" x14ac:dyDescent="0.25">
      <c r="A154" s="79" t="s">
        <v>117</v>
      </c>
      <c r="B154" s="14"/>
      <c r="C154" s="2" t="s">
        <v>75</v>
      </c>
      <c r="D154" s="14" t="s">
        <v>47</v>
      </c>
      <c r="E154" s="2" t="s">
        <v>48</v>
      </c>
      <c r="F154" s="13">
        <v>17.98</v>
      </c>
      <c r="G154" s="28">
        <v>18.56</v>
      </c>
      <c r="H154" s="90">
        <f>'2018'!BH154</f>
        <v>-86.86</v>
      </c>
      <c r="I154" s="13">
        <f>70+70</f>
        <v>140</v>
      </c>
      <c r="J154" s="15"/>
      <c r="K154" s="15"/>
      <c r="L154" s="28"/>
      <c r="Q154" s="13"/>
      <c r="R154" s="15"/>
      <c r="S154" s="15"/>
      <c r="T154" s="28"/>
      <c r="Y154" s="13">
        <f>70+70</f>
        <v>140</v>
      </c>
      <c r="Z154" s="15">
        <f>Y154-'2018'!AO154</f>
        <v>0</v>
      </c>
      <c r="AA154" s="34">
        <f>Z154*$F$10</f>
        <v>0</v>
      </c>
      <c r="AB154" s="28"/>
      <c r="AC154" s="13">
        <f>70+75</f>
        <v>145</v>
      </c>
      <c r="AD154" s="15">
        <f t="shared" si="466"/>
        <v>5</v>
      </c>
      <c r="AE154" s="34">
        <f>AD154*$F$10</f>
        <v>89.9</v>
      </c>
      <c r="AF154" s="133">
        <f>3.04+0.66</f>
        <v>3.7</v>
      </c>
      <c r="AG154" s="13">
        <f>71+83</f>
        <v>154</v>
      </c>
      <c r="AH154" s="15">
        <f t="shared" si="467"/>
        <v>9</v>
      </c>
      <c r="AI154" s="45">
        <f>AH154*$G$10</f>
        <v>167.04</v>
      </c>
      <c r="AJ154" s="139">
        <v>166.38</v>
      </c>
      <c r="AK154" s="13">
        <f>71+87</f>
        <v>158</v>
      </c>
      <c r="AL154" s="15">
        <f t="shared" si="468"/>
        <v>4</v>
      </c>
      <c r="AM154" s="45">
        <f>AL154*$G$10</f>
        <v>74.24</v>
      </c>
      <c r="AN154" s="28"/>
      <c r="AO154" s="13">
        <f>72+88</f>
        <v>160</v>
      </c>
      <c r="AP154" s="15">
        <f t="shared" si="469"/>
        <v>2</v>
      </c>
      <c r="AQ154" s="45">
        <f>AP154*$G$10</f>
        <v>37.12</v>
      </c>
      <c r="AR154" s="38">
        <v>500</v>
      </c>
      <c r="AS154" s="15">
        <f>73+89</f>
        <v>162</v>
      </c>
      <c r="AT154" s="15">
        <f t="shared" si="470"/>
        <v>2</v>
      </c>
      <c r="AU154" s="34">
        <f t="shared" si="471"/>
        <v>5</v>
      </c>
      <c r="AV154" s="15"/>
      <c r="AW154" s="15">
        <f>73+89</f>
        <v>162</v>
      </c>
      <c r="AX154" s="15"/>
      <c r="AY154" s="15"/>
      <c r="AZ154" s="28"/>
      <c r="BA154" s="15">
        <f>73+89</f>
        <v>162</v>
      </c>
      <c r="BB154" s="15"/>
      <c r="BC154" s="15"/>
      <c r="BD154" s="15"/>
      <c r="BE154" s="40">
        <f t="shared" ref="BE154:BG154" si="473">J154+N154+R154+V154+Z154+AD154+AH154+AL154+AP154+AT154+AX154+BB154</f>
        <v>22</v>
      </c>
      <c r="BF154" s="41">
        <f t="shared" si="473"/>
        <v>373.3</v>
      </c>
      <c r="BG154" s="34">
        <f t="shared" si="473"/>
        <v>670.08</v>
      </c>
      <c r="BH154" s="35">
        <f t="shared" si="465"/>
        <v>-383.64</v>
      </c>
    </row>
    <row r="155" ht="14.25" customHeight="1" spans="1:60" x14ac:dyDescent="0.25">
      <c r="A155" s="79" t="s">
        <v>117</v>
      </c>
      <c r="B155" s="14"/>
      <c r="C155" s="2" t="s">
        <v>119</v>
      </c>
      <c r="D155" s="14" t="s">
        <v>47</v>
      </c>
      <c r="E155" s="2" t="s">
        <v>49</v>
      </c>
      <c r="F155" s="41">
        <v>500</v>
      </c>
      <c r="G155" s="35"/>
      <c r="H155" s="34">
        <f>'2018'!BH155</f>
        <v>0</v>
      </c>
      <c r="I155" s="13"/>
      <c r="J155" s="15"/>
      <c r="K155" s="15"/>
      <c r="L155" s="28"/>
      <c r="Q155" s="13"/>
      <c r="R155" s="15"/>
      <c r="S155" s="15"/>
      <c r="T155" s="28"/>
      <c r="Y155" s="13"/>
      <c r="Z155" s="15"/>
      <c r="AA155" s="15"/>
      <c r="AB155" s="28"/>
      <c r="AG155" s="13"/>
      <c r="AH155" s="15"/>
      <c r="AI155" s="34"/>
      <c r="AJ155" s="28"/>
      <c r="AK155" s="13"/>
      <c r="AL155" s="15"/>
      <c r="AM155" s="34"/>
      <c r="AN155" s="28"/>
      <c r="AO155" s="13"/>
      <c r="AP155" s="15"/>
      <c r="AQ155" s="34"/>
      <c r="AR155" s="28"/>
      <c r="AS155" s="15"/>
      <c r="AT155" s="15"/>
      <c r="AU155" s="15"/>
      <c r="AV155" s="15"/>
      <c r="AW155" s="13"/>
      <c r="AX155" s="15"/>
      <c r="AY155" s="15"/>
      <c r="AZ155" s="28"/>
      <c r="BA155" s="15"/>
      <c r="BB155" s="15"/>
      <c r="BC155" s="15"/>
      <c r="BD155" s="15"/>
      <c r="BE155" s="14"/>
      <c r="BF155" s="41">
        <f t="shared" ref="BF155:BG155" si="474">K155+O155+S155+W155+AA155+AE155+AI155+AM155+AQ155+AU155+AY155+BC155</f>
        <v>0</v>
      </c>
      <c r="BG155" s="34">
        <f t="shared" si="474"/>
        <v>0</v>
      </c>
      <c r="BH155" s="35">
        <f t="shared" si="465"/>
        <v>0</v>
      </c>
    </row>
    <row r="156" ht="14.25" customHeight="1" spans="1:60" x14ac:dyDescent="0.25">
      <c r="A156" s="79" t="s">
        <v>117</v>
      </c>
      <c r="B156" s="14"/>
      <c r="C156" s="2" t="s">
        <v>391</v>
      </c>
      <c r="D156" s="14" t="s">
        <v>50</v>
      </c>
      <c r="E156" s="2" t="s">
        <v>49</v>
      </c>
      <c r="F156" s="41">
        <v>1200</v>
      </c>
      <c r="G156" s="35"/>
      <c r="H156" s="34">
        <f>'2018'!BH156</f>
        <v>0</v>
      </c>
      <c r="I156" s="13"/>
      <c r="J156" s="15"/>
      <c r="K156" s="15"/>
      <c r="L156" s="28"/>
      <c r="Q156" s="13"/>
      <c r="R156" s="15"/>
      <c r="S156" s="15"/>
      <c r="T156" s="28"/>
      <c r="Y156" s="13"/>
      <c r="Z156" s="15"/>
      <c r="AA156" s="15"/>
      <c r="AB156" s="28"/>
      <c r="AE156" s="34">
        <f>B153*$F$12</f>
        <v>9600</v>
      </c>
      <c r="AF156" s="133">
        <v>9600</v>
      </c>
      <c r="AG156" s="13"/>
      <c r="AH156" s="15"/>
      <c r="AI156" s="15"/>
      <c r="AJ156" s="32"/>
      <c r="AK156" s="13"/>
      <c r="AL156" s="15"/>
      <c r="AM156" s="15"/>
      <c r="AN156" s="28"/>
      <c r="AO156" s="13"/>
      <c r="AP156" s="15"/>
      <c r="AQ156" s="15"/>
      <c r="AR156" s="28"/>
      <c r="AS156" s="15"/>
      <c r="AT156" s="15"/>
      <c r="AU156" s="15"/>
      <c r="AV156" s="15"/>
      <c r="AW156" s="13"/>
      <c r="AX156" s="15"/>
      <c r="AY156" s="15"/>
      <c r="AZ156" s="28"/>
      <c r="BA156" s="15"/>
      <c r="BB156" s="15"/>
      <c r="BC156" s="15"/>
      <c r="BD156" s="15"/>
      <c r="BE156" s="14"/>
      <c r="BF156" s="41">
        <f t="shared" ref="BF156:BG156" si="475">K156+O156+S156+W156+AA156+AE156+AI156+AM156+AQ156+AU156+AY156+BC156</f>
        <v>9600</v>
      </c>
      <c r="BG156" s="34">
        <f t="shared" si="475"/>
        <v>9600</v>
      </c>
      <c r="BH156" s="35">
        <f t="shared" si="465"/>
        <v>0</v>
      </c>
    </row>
    <row r="157" ht="14.25" customHeight="1" spans="1:60" x14ac:dyDescent="0.25">
      <c r="A157" s="79" t="s">
        <v>117</v>
      </c>
      <c r="B157" s="14"/>
      <c r="C157" s="2" t="s">
        <v>392</v>
      </c>
      <c r="D157" s="14" t="s">
        <v>51</v>
      </c>
      <c r="E157" s="2" t="s">
        <v>49</v>
      </c>
      <c r="F157" s="41">
        <v>1000</v>
      </c>
      <c r="G157" s="35"/>
      <c r="H157" s="34">
        <f>'2018'!BH157</f>
        <v>0</v>
      </c>
      <c r="I157" s="13"/>
      <c r="J157" s="15"/>
      <c r="K157" s="15"/>
      <c r="L157" s="28"/>
      <c r="Q157" s="13"/>
      <c r="R157" s="15"/>
      <c r="S157" s="15"/>
      <c r="T157" s="28"/>
      <c r="Y157" s="13"/>
      <c r="Z157" s="15"/>
      <c r="AA157" s="15"/>
      <c r="AB157" s="28"/>
      <c r="AE157" s="34">
        <f>$F$21*2</f>
        <v>2000</v>
      </c>
      <c r="AF157" s="133">
        <v>2000</v>
      </c>
      <c r="AG157" s="13"/>
      <c r="AH157" s="15"/>
      <c r="AI157" s="15"/>
      <c r="AJ157" s="28"/>
      <c r="AK157" s="13"/>
      <c r="AL157" s="15"/>
      <c r="AM157" s="15"/>
      <c r="AN157" s="28"/>
      <c r="AO157" s="13"/>
      <c r="AP157" s="15"/>
      <c r="AQ157" s="15"/>
      <c r="AR157" s="28"/>
      <c r="AS157" s="15"/>
      <c r="AT157" s="15"/>
      <c r="AU157" s="15"/>
      <c r="AV157" s="15"/>
      <c r="AW157" s="13"/>
      <c r="AX157" s="15"/>
      <c r="AY157" s="15"/>
      <c r="AZ157" s="28"/>
      <c r="BA157" s="15"/>
      <c r="BB157" s="15"/>
      <c r="BC157" s="15"/>
      <c r="BD157" s="15"/>
      <c r="BE157" s="14"/>
      <c r="BF157" s="41">
        <f t="shared" ref="BF157:BG157" si="476">K157+O157+S157+W157+AA157+AE157+AI157+AM157+AQ157+AU157+AY157+BC157</f>
        <v>2000</v>
      </c>
      <c r="BG157" s="34">
        <f t="shared" si="476"/>
        <v>2000</v>
      </c>
      <c r="BH157" s="35">
        <f t="shared" si="465"/>
        <v>0</v>
      </c>
    </row>
    <row r="158" ht="14.25" customHeight="1" spans="1:60" x14ac:dyDescent="0.25">
      <c r="A158" s="79" t="s">
        <v>117</v>
      </c>
      <c r="B158" s="14"/>
      <c r="D158" s="14" t="s">
        <v>52</v>
      </c>
      <c r="E158" s="2" t="s">
        <v>39</v>
      </c>
      <c r="F158" s="41">
        <v>500</v>
      </c>
      <c r="G158" s="35"/>
      <c r="H158" s="34">
        <f>'2018'!BH158</f>
        <v>0</v>
      </c>
      <c r="I158" s="13"/>
      <c r="J158" s="15"/>
      <c r="K158" s="15"/>
      <c r="L158" s="28"/>
      <c r="Q158" s="13"/>
      <c r="R158" s="15"/>
      <c r="S158" s="15"/>
      <c r="T158" s="28"/>
      <c r="Y158" s="13"/>
      <c r="Z158" s="15"/>
      <c r="AA158" s="34">
        <f>$F$14*2</f>
        <v>1000</v>
      </c>
      <c r="AB158" s="28"/>
      <c r="AF158" s="133">
        <v>1000</v>
      </c>
      <c r="AG158" s="13"/>
      <c r="AH158" s="15"/>
      <c r="AI158" s="15"/>
      <c r="AJ158" s="38"/>
      <c r="AK158" s="13"/>
      <c r="AL158" s="15"/>
      <c r="AM158" s="15"/>
      <c r="AN158" s="28"/>
      <c r="AO158" s="13"/>
      <c r="AP158" s="15"/>
      <c r="AQ158" s="15"/>
      <c r="AR158" s="28"/>
      <c r="AS158" s="15"/>
      <c r="AT158" s="15"/>
      <c r="AU158" s="15"/>
      <c r="AV158" s="15"/>
      <c r="AW158" s="13"/>
      <c r="AX158" s="15"/>
      <c r="AY158" s="15"/>
      <c r="AZ158" s="28"/>
      <c r="BA158" s="15"/>
      <c r="BB158" s="15"/>
      <c r="BC158" s="15"/>
      <c r="BD158" s="15"/>
      <c r="BE158" s="14"/>
      <c r="BF158" s="41">
        <f t="shared" ref="BF158:BG158" si="477">K158+O158+S158+W158+AA158+AE158+AI158+AM158+AQ158+AU158+AY158+BC158</f>
        <v>1000</v>
      </c>
      <c r="BG158" s="34">
        <f t="shared" si="477"/>
        <v>1000</v>
      </c>
      <c r="BH158" s="35">
        <f t="shared" si="465"/>
        <v>0</v>
      </c>
    </row>
    <row r="159" ht="14.25" customHeight="1" spans="1:62" x14ac:dyDescent="0.25">
      <c r="A159" s="50" t="s">
        <v>117</v>
      </c>
      <c r="B159" s="21"/>
      <c r="C159" s="22" t="s">
        <v>53</v>
      </c>
      <c r="D159" s="21"/>
      <c r="E159" s="22"/>
      <c r="F159" s="20"/>
      <c r="G159" s="23"/>
      <c r="H159" s="51">
        <f>SUM(H152:H158)</f>
        <v>97.4</v>
      </c>
      <c r="I159" s="52"/>
      <c r="J159" s="53"/>
      <c r="K159" s="51">
        <f t="shared" ref="K159:L159" si="478">SUM(K153:K158)</f>
        <v>0</v>
      </c>
      <c r="L159" s="68">
        <f t="shared" si="478"/>
        <v>0</v>
      </c>
      <c r="M159" s="53"/>
      <c r="N159" s="53"/>
      <c r="O159" s="51">
        <f t="shared" ref="O159:P159" si="479">SUM(O153:O158)</f>
        <v>0</v>
      </c>
      <c r="P159" s="51">
        <f t="shared" si="479"/>
        <v>0</v>
      </c>
      <c r="Q159" s="52"/>
      <c r="R159" s="53"/>
      <c r="S159" s="51">
        <f t="shared" ref="S159:T159" si="480">SUM(S153:S158)</f>
        <v>0</v>
      </c>
      <c r="T159" s="68">
        <f t="shared" si="480"/>
        <v>0</v>
      </c>
      <c r="U159" s="53"/>
      <c r="V159" s="53"/>
      <c r="W159" s="51">
        <f t="shared" ref="W159:X159" si="481">SUM(W153:W158)</f>
        <v>27.39</v>
      </c>
      <c r="X159" s="51">
        <f t="shared" si="481"/>
        <v>0</v>
      </c>
      <c r="Y159" s="52"/>
      <c r="Z159" s="53"/>
      <c r="AA159" s="51">
        <f t="shared" ref="AA159:AB159" si="482">SUM(AA153:AA158)</f>
        <v>1087.15</v>
      </c>
      <c r="AB159" s="68">
        <f t="shared" si="482"/>
        <v>0</v>
      </c>
      <c r="AC159" s="53"/>
      <c r="AD159" s="53"/>
      <c r="AE159" s="51">
        <f t="shared" ref="AE159:AF159" si="483">SUM(AE153:AE158)</f>
        <v>11902.4</v>
      </c>
      <c r="AF159" s="51">
        <f t="shared" si="483"/>
        <v>13115</v>
      </c>
      <c r="AG159" s="52"/>
      <c r="AH159" s="53"/>
      <c r="AI159" s="51">
        <f t="shared" ref="AI159:AJ159" si="484">SUM(AI153:AI158)</f>
        <v>522.04</v>
      </c>
      <c r="AJ159" s="68">
        <f t="shared" si="484"/>
        <v>550</v>
      </c>
      <c r="AK159" s="52"/>
      <c r="AL159" s="53"/>
      <c r="AM159" s="51">
        <f t="shared" ref="AM159:AN159" si="485">SUM(AM153:AM158)</f>
        <v>374.24</v>
      </c>
      <c r="AN159" s="68">
        <f t="shared" si="485"/>
        <v>0</v>
      </c>
      <c r="AO159" s="52"/>
      <c r="AP159" s="53"/>
      <c r="AQ159" s="51">
        <f t="shared" ref="AQ159:AR159" si="486">SUM(AQ152:AQ158)</f>
        <v>317.12</v>
      </c>
      <c r="AR159" s="68">
        <f t="shared" si="486"/>
        <v>1000</v>
      </c>
      <c r="AS159" s="53"/>
      <c r="AT159" s="53"/>
      <c r="AU159" s="51">
        <f t="shared" ref="AU159:AV159" si="487">SUM(AU152:AU158)</f>
        <v>130</v>
      </c>
      <c r="AV159" s="68">
        <f t="shared" si="487"/>
        <v>0</v>
      </c>
      <c r="AW159" s="52"/>
      <c r="AX159" s="53"/>
      <c r="AY159" s="51">
        <f t="shared" ref="AY159:AZ159" si="488">SUM(AY152:AY158)</f>
        <v>12.5</v>
      </c>
      <c r="AZ159" s="68">
        <f t="shared" si="488"/>
        <v>0</v>
      </c>
      <c r="BA159" s="53"/>
      <c r="BB159" s="53"/>
      <c r="BC159" s="51">
        <f t="shared" ref="BC159:BD159" si="489">SUM(BC152:BC158)</f>
        <v>0</v>
      </c>
      <c r="BD159" s="68">
        <f t="shared" si="489"/>
        <v>0</v>
      </c>
      <c r="BE159" s="69"/>
      <c r="BF159" s="70">
        <f t="shared" ref="BF159:BH159" si="490">SUM(BF152:BF158)</f>
        <v>14372.84</v>
      </c>
      <c r="BG159" s="71">
        <f t="shared" si="490"/>
        <v>14665</v>
      </c>
      <c r="BH159" s="72">
        <f t="shared" si="490"/>
        <v>-194.76</v>
      </c>
      <c r="BI159" s="34">
        <f>H159+BF159-BG159</f>
        <v>-194.76</v>
      </c>
      <c r="BJ159" s="34">
        <f>BH159-BI159</f>
        <v>0</v>
      </c>
    </row>
    <row r="160" ht="14.25" customHeight="1" spans="1:60" x14ac:dyDescent="0.25">
      <c r="A160" s="29">
        <v>21</v>
      </c>
      <c r="B160" s="14"/>
      <c r="C160" s="15"/>
      <c r="D160" s="14" t="s">
        <v>379</v>
      </c>
      <c r="E160" s="15"/>
      <c r="F160" s="13"/>
      <c r="G160" s="28"/>
      <c r="H160" s="34">
        <f>'2018'!BH160</f>
      </c>
      <c r="I160" s="61"/>
      <c r="J160" s="60"/>
      <c r="K160" s="60"/>
      <c r="L160" s="63"/>
      <c r="M160" s="60"/>
      <c r="N160" s="60"/>
      <c r="O160" s="60"/>
      <c r="P160" s="62"/>
      <c r="Q160" s="61"/>
      <c r="R160" s="60"/>
      <c r="S160" s="62"/>
      <c r="T160" s="63"/>
      <c r="U160" s="60"/>
      <c r="V160" s="60"/>
      <c r="W160" s="62"/>
      <c r="X160" s="62"/>
      <c r="Y160" s="61"/>
      <c r="Z160" s="60"/>
      <c r="AA160" s="62"/>
      <c r="AB160" s="63"/>
      <c r="AC160" s="60"/>
      <c r="AD160" s="60"/>
      <c r="AE160" s="62"/>
      <c r="AF160" s="62"/>
      <c r="AG160" s="61"/>
      <c r="AH160" s="60"/>
      <c r="AI160" s="62"/>
      <c r="AJ160" s="63"/>
      <c r="AK160" s="61"/>
      <c r="AL160" s="60"/>
      <c r="AM160" s="62"/>
      <c r="AN160" s="63"/>
      <c r="AO160" s="61"/>
      <c r="AP160" s="60"/>
      <c r="AQ160" s="34">
        <v>1.8</v>
      </c>
      <c r="AR160" s="63"/>
      <c r="AS160" s="60"/>
      <c r="AT160" s="60"/>
      <c r="AU160" s="62"/>
      <c r="AV160" s="39">
        <v>1.8</v>
      </c>
      <c r="AW160" s="61"/>
      <c r="AX160" s="60"/>
      <c r="AY160" s="62"/>
      <c r="AZ160" s="63"/>
      <c r="BA160" s="60"/>
      <c r="BB160" s="60"/>
      <c r="BC160" s="62"/>
      <c r="BD160" s="62"/>
      <c r="BE160" s="65"/>
      <c r="BF160" s="41">
        <f t="shared" ref="BF160:BG160" si="491">K160+O160+S160+W160+AA160+AE160+AI160+AM160+AQ160+AU160+AY160+BC160</f>
        <v>1.8</v>
      </c>
      <c r="BG160" s="34">
        <f t="shared" si="491"/>
        <v>1.8</v>
      </c>
      <c r="BH160" s="35">
        <f t="shared" ref="BH160:BH166" si="492">H160+BF160-BG160</f>
        <v>0</v>
      </c>
    </row>
    <row r="161" ht="15.75" customHeight="1" spans="1:60" x14ac:dyDescent="0.25">
      <c r="A161" s="135">
        <v>21</v>
      </c>
      <c r="B161" s="14">
        <v>3.96</v>
      </c>
      <c r="C161" s="15" t="s">
        <v>120</v>
      </c>
      <c r="D161" s="14" t="s">
        <v>44</v>
      </c>
      <c r="E161" s="2" t="s">
        <v>45</v>
      </c>
      <c r="F161" s="13">
        <v>2.49</v>
      </c>
      <c r="G161" s="35">
        <v>2.5</v>
      </c>
      <c r="H161" s="136">
        <f>'2018'!BH161+385.95</f>
        <v>0</v>
      </c>
      <c r="I161" s="13">
        <v>658</v>
      </c>
      <c r="J161" s="15">
        <f>I161-'2018'!BA161</f>
        <v>72</v>
      </c>
      <c r="K161" s="34">
        <f>J161*$F$8</f>
        <v>179.28</v>
      </c>
      <c r="L161" s="28"/>
      <c r="M161" s="15">
        <v>966</v>
      </c>
      <c r="N161" s="15">
        <f>M161-I161</f>
        <v>308</v>
      </c>
      <c r="O161" s="34">
        <f>N161*$F$8</f>
        <v>766.92</v>
      </c>
      <c r="Q161" s="13">
        <v>984</v>
      </c>
      <c r="R161" s="15">
        <f>Q161-M161</f>
        <v>18</v>
      </c>
      <c r="S161" s="34">
        <f>R161*$F$8</f>
        <v>44.82</v>
      </c>
      <c r="T161" s="38">
        <v>767</v>
      </c>
      <c r="U161" s="15">
        <v>1094</v>
      </c>
      <c r="V161" s="15">
        <f>U161-Q161</f>
        <v>110</v>
      </c>
      <c r="W161" s="34">
        <f>V161*$F$8</f>
        <v>273.9</v>
      </c>
      <c r="X161" s="39">
        <f>45+257</f>
        <v>302</v>
      </c>
      <c r="Y161" s="75">
        <v>1175</v>
      </c>
      <c r="Z161" s="15">
        <f>Y161-U161</f>
        <v>81</v>
      </c>
      <c r="AA161" s="34">
        <f>Z161*$F$8</f>
        <v>201.69</v>
      </c>
      <c r="AB161" s="38">
        <v>397.61</v>
      </c>
      <c r="AC161" s="15">
        <v>1205</v>
      </c>
      <c r="AD161" s="15">
        <f t="shared" ref="AD161:AD162" si="493">AC161-Y161</f>
        <v>30</v>
      </c>
      <c r="AE161" s="34">
        <f>AD161*$G$8</f>
        <v>75</v>
      </c>
      <c r="AG161" s="13">
        <v>1280</v>
      </c>
      <c r="AH161" s="15">
        <f t="shared" ref="AH161:AH162" si="494">AG161-AC161</f>
        <v>75</v>
      </c>
      <c r="AI161" s="34">
        <f>AH161*$G$8</f>
        <v>187.5</v>
      </c>
      <c r="AJ161" s="38">
        <v>100</v>
      </c>
      <c r="AK161" s="13">
        <v>1354</v>
      </c>
      <c r="AL161" s="15">
        <f t="shared" ref="AL161:AL162" si="495">AK161-AG161</f>
        <v>74</v>
      </c>
      <c r="AM161" s="34">
        <f>AL161*$G$8</f>
        <v>185</v>
      </c>
      <c r="AN161" s="38">
        <v>347.5</v>
      </c>
      <c r="AO161" s="13">
        <v>1416</v>
      </c>
      <c r="AP161" s="15">
        <f t="shared" ref="AP161:AP162" si="496">AO161-AK161</f>
        <v>62</v>
      </c>
      <c r="AQ161" s="34">
        <f>AP161*$G$8</f>
        <v>155</v>
      </c>
      <c r="AR161" s="38">
        <v>48</v>
      </c>
      <c r="AS161" s="15">
        <v>1455</v>
      </c>
      <c r="AT161" s="15">
        <f t="shared" ref="AT161:AT162" si="497">AS161-AO161</f>
        <v>39</v>
      </c>
      <c r="AU161" s="34">
        <f t="shared" ref="AU161:AU162" si="498">AT161*$G$8</f>
        <v>97.5</v>
      </c>
      <c r="AV161" s="15"/>
      <c r="AW161" s="13">
        <v>1491</v>
      </c>
      <c r="AX161" s="15">
        <f>AW161-AS161</f>
        <v>36</v>
      </c>
      <c r="AY161" s="34">
        <f>AX161*$G$8</f>
        <v>90</v>
      </c>
      <c r="AZ161" s="38">
        <f>205+33</f>
        <v>238</v>
      </c>
      <c r="BA161" s="15">
        <v>1519</v>
      </c>
      <c r="BB161" s="15">
        <f>BA161-AW161</f>
        <v>28</v>
      </c>
      <c r="BC161" s="34">
        <f>BB161*$G$8</f>
        <v>70</v>
      </c>
      <c r="BD161" s="39">
        <f>295+70</f>
        <v>365</v>
      </c>
      <c r="BE161" s="40">
        <f t="shared" ref="BE161:BG161" si="499">J161+N161+R161+V161+Z161+AD161+AH161+AL161+AP161+AT161+AX161+BB161</f>
        <v>933</v>
      </c>
      <c r="BF161" s="41">
        <f t="shared" si="499"/>
        <v>2326.61</v>
      </c>
      <c r="BG161" s="34">
        <f t="shared" si="499"/>
        <v>2565.11</v>
      </c>
      <c r="BH161" s="35">
        <f t="shared" si="492"/>
        <v>-238.5</v>
      </c>
    </row>
    <row r="162" ht="14.25" customHeight="1" spans="1:60" x14ac:dyDescent="0.25">
      <c r="A162" s="29">
        <v>21</v>
      </c>
      <c r="B162" s="14"/>
      <c r="C162" s="15" t="s">
        <v>121</v>
      </c>
      <c r="D162" s="14" t="s">
        <v>47</v>
      </c>
      <c r="E162" s="2" t="s">
        <v>48</v>
      </c>
      <c r="F162" s="13">
        <v>17.98</v>
      </c>
      <c r="G162" s="28">
        <v>18.56</v>
      </c>
      <c r="H162" s="34">
        <f>'2018'!BH162</f>
        <v>-82.24</v>
      </c>
      <c r="I162" s="13">
        <v>26</v>
      </c>
      <c r="J162" s="15"/>
      <c r="K162" s="15"/>
      <c r="L162" s="28"/>
      <c r="Q162" s="13"/>
      <c r="R162" s="15"/>
      <c r="S162" s="15"/>
      <c r="T162" s="28"/>
      <c r="Y162" s="13">
        <v>27</v>
      </c>
      <c r="Z162" s="15">
        <f>Y162-'2018'!AO162</f>
        <v>1</v>
      </c>
      <c r="AA162" s="34">
        <f>Z162*$F$10</f>
        <v>17.98</v>
      </c>
      <c r="AB162" s="28"/>
      <c r="AC162" s="15">
        <v>29</v>
      </c>
      <c r="AD162" s="15">
        <f t="shared" si="493"/>
        <v>2</v>
      </c>
      <c r="AE162" s="34">
        <f>AD162*$F$10</f>
        <v>35.96</v>
      </c>
      <c r="AG162" s="13">
        <v>32</v>
      </c>
      <c r="AH162" s="15">
        <f t="shared" si="494"/>
        <v>3</v>
      </c>
      <c r="AI162" s="45">
        <f>AH162*$G$10</f>
        <v>55.68</v>
      </c>
      <c r="AJ162" s="28"/>
      <c r="AK162" s="13">
        <v>36</v>
      </c>
      <c r="AL162" s="15">
        <f t="shared" si="495"/>
        <v>4</v>
      </c>
      <c r="AM162" s="45">
        <f>AL162*$G$10</f>
        <v>74.24</v>
      </c>
      <c r="AN162" s="38">
        <v>262.5</v>
      </c>
      <c r="AO162" s="13">
        <v>36</v>
      </c>
      <c r="AP162" s="15">
        <f t="shared" si="496"/>
        <v>0</v>
      </c>
      <c r="AQ162" s="45">
        <f>AP162*$G$10</f>
        <v>0</v>
      </c>
      <c r="AR162" s="28"/>
      <c r="AS162" s="13">
        <v>36</v>
      </c>
      <c r="AT162" s="15">
        <f t="shared" si="497"/>
        <v>0</v>
      </c>
      <c r="AU162" s="34">
        <f t="shared" si="498"/>
        <v>0</v>
      </c>
      <c r="AV162" s="39">
        <v>108.2</v>
      </c>
      <c r="AW162" s="13">
        <v>36</v>
      </c>
      <c r="AX162" s="15"/>
      <c r="AY162" s="15"/>
      <c r="AZ162" s="28"/>
      <c r="BA162" s="15">
        <v>36</v>
      </c>
      <c r="BB162" s="15"/>
      <c r="BC162" s="15"/>
      <c r="BD162" s="15"/>
      <c r="BE162" s="40">
        <f t="shared" ref="BE162:BG162" si="500">J162+N162+R162+V162+Z162+AD162+AH162+AL162+AP162+AT162+AX162+BB162</f>
        <v>10</v>
      </c>
      <c r="BF162" s="41">
        <f t="shared" si="500"/>
        <v>183.86</v>
      </c>
      <c r="BG162" s="34">
        <f t="shared" si="500"/>
        <v>370.7</v>
      </c>
      <c r="BH162" s="35">
        <f t="shared" si="492"/>
        <v>-269.08</v>
      </c>
    </row>
    <row r="163" ht="14.25" customHeight="1" spans="1:60" x14ac:dyDescent="0.25">
      <c r="A163" s="29">
        <v>21</v>
      </c>
      <c r="B163" s="14"/>
      <c r="C163" s="15" t="s">
        <v>122</v>
      </c>
      <c r="D163" s="14" t="s">
        <v>47</v>
      </c>
      <c r="E163" s="2" t="s">
        <v>49</v>
      </c>
      <c r="F163" s="41">
        <v>500</v>
      </c>
      <c r="G163" s="28"/>
      <c r="H163" s="34">
        <f>'2018'!BH163</f>
        <v>0</v>
      </c>
      <c r="I163" s="13"/>
      <c r="J163" s="15"/>
      <c r="K163" s="15"/>
      <c r="L163" s="28"/>
      <c r="Q163" s="13"/>
      <c r="R163" s="15"/>
      <c r="S163" s="15"/>
      <c r="T163" s="28"/>
      <c r="Y163" s="13"/>
      <c r="Z163" s="15"/>
      <c r="AA163" s="15"/>
      <c r="AB163" s="28"/>
      <c r="AG163" s="13"/>
      <c r="AH163" s="15"/>
      <c r="AI163" s="34"/>
      <c r="AJ163" s="28"/>
      <c r="AK163" s="13"/>
      <c r="AL163" s="15"/>
      <c r="AM163" s="34"/>
      <c r="AN163" s="28"/>
      <c r="AO163" s="13"/>
      <c r="AP163" s="15"/>
      <c r="AQ163" s="34"/>
      <c r="AR163" s="28"/>
      <c r="AS163" s="15"/>
      <c r="AT163" s="15"/>
      <c r="AU163" s="15"/>
      <c r="AV163" s="15"/>
      <c r="AW163" s="13"/>
      <c r="AX163" s="15"/>
      <c r="AY163" s="15"/>
      <c r="AZ163" s="28"/>
      <c r="BA163" s="15"/>
      <c r="BB163" s="15"/>
      <c r="BC163" s="15"/>
      <c r="BD163" s="15"/>
      <c r="BE163" s="14"/>
      <c r="BF163" s="41">
        <f t="shared" ref="BF163:BG163" si="501">K163+O163+S163+W163+AA163+AE163+AI163+AM163+AQ163+AU163+AY163+BC163</f>
        <v>0</v>
      </c>
      <c r="BG163" s="34">
        <f t="shared" si="501"/>
        <v>0</v>
      </c>
      <c r="BH163" s="35">
        <f t="shared" si="492"/>
        <v>0</v>
      </c>
    </row>
    <row r="164" ht="14.25" customHeight="1" spans="1:60" x14ac:dyDescent="0.25">
      <c r="A164" s="29">
        <v>21</v>
      </c>
      <c r="B164" s="14"/>
      <c r="C164" s="15" t="s">
        <v>123</v>
      </c>
      <c r="D164" s="14" t="s">
        <v>50</v>
      </c>
      <c r="E164" s="2" t="s">
        <v>49</v>
      </c>
      <c r="F164" s="41">
        <v>1200</v>
      </c>
      <c r="G164" s="28"/>
      <c r="H164" s="34">
        <f>'2018'!BH164</f>
        <v>0.004800000001</v>
      </c>
      <c r="I164" s="13"/>
      <c r="J164" s="15"/>
      <c r="K164" s="15"/>
      <c r="L164" s="28"/>
      <c r="Q164" s="13"/>
      <c r="R164" s="15"/>
      <c r="S164" s="15"/>
      <c r="T164" s="28"/>
      <c r="Y164" s="13"/>
      <c r="Z164" s="15"/>
      <c r="AA164" s="15"/>
      <c r="AB164" s="28"/>
      <c r="AE164" s="34">
        <f>B161*$F$12</f>
        <v>4752</v>
      </c>
      <c r="AF164" s="34"/>
      <c r="AG164" s="13"/>
      <c r="AH164" s="15"/>
      <c r="AI164" s="15"/>
      <c r="AJ164" s="28"/>
      <c r="AK164" s="13"/>
      <c r="AL164" s="15"/>
      <c r="AM164" s="15"/>
      <c r="AN164" s="38">
        <v>2500</v>
      </c>
      <c r="AO164" s="13"/>
      <c r="AP164" s="15"/>
      <c r="AQ164" s="15"/>
      <c r="AR164" s="38">
        <v>2252</v>
      </c>
      <c r="AS164" s="15"/>
      <c r="AT164" s="15"/>
      <c r="AU164" s="15"/>
      <c r="AV164" s="15"/>
      <c r="AW164" s="13"/>
      <c r="AX164" s="15"/>
      <c r="AY164" s="15"/>
      <c r="AZ164" s="28"/>
      <c r="BA164" s="15"/>
      <c r="BB164" s="15"/>
      <c r="BC164" s="15"/>
      <c r="BD164" s="15"/>
      <c r="BE164" s="14"/>
      <c r="BF164" s="41">
        <f t="shared" ref="BF164:BG164" si="502">K164+O164+S164+W164+AA164+AE164+AI164+AM164+AQ164+AU164+AY164+BC164</f>
        <v>4752</v>
      </c>
      <c r="BG164" s="34">
        <f t="shared" si="502"/>
        <v>4752</v>
      </c>
      <c r="BH164" s="35">
        <f t="shared" si="492"/>
        <v>0.004800000001</v>
      </c>
    </row>
    <row r="165" ht="14.25" customHeight="1" spans="1:60" x14ac:dyDescent="0.25">
      <c r="A165" s="29">
        <v>21</v>
      </c>
      <c r="B165" s="14"/>
      <c r="D165" s="14" t="s">
        <v>51</v>
      </c>
      <c r="E165" s="2" t="s">
        <v>49</v>
      </c>
      <c r="F165" s="41">
        <v>1000</v>
      </c>
      <c r="G165" s="28"/>
      <c r="H165" s="34">
        <f>'2018'!BH165</f>
        <v>0</v>
      </c>
      <c r="I165" s="13"/>
      <c r="J165" s="15"/>
      <c r="K165" s="15"/>
      <c r="L165" s="28"/>
      <c r="Q165" s="13"/>
      <c r="R165" s="15"/>
      <c r="S165" s="15"/>
      <c r="T165" s="28"/>
      <c r="Y165" s="13"/>
      <c r="Z165" s="15"/>
      <c r="AA165" s="15"/>
      <c r="AB165" s="28"/>
      <c r="AE165" s="34">
        <f>$F$21</f>
        <v>1000</v>
      </c>
      <c r="AF165" s="133">
        <v>1000</v>
      </c>
      <c r="AG165" s="13"/>
      <c r="AH165" s="15"/>
      <c r="AI165" s="15"/>
      <c r="AJ165" s="28"/>
      <c r="AK165" s="13"/>
      <c r="AL165" s="15"/>
      <c r="AM165" s="15"/>
      <c r="AN165" s="28"/>
      <c r="AO165" s="13"/>
      <c r="AP165" s="15"/>
      <c r="AQ165" s="15"/>
      <c r="AR165" s="28"/>
      <c r="AS165" s="15"/>
      <c r="AT165" s="15"/>
      <c r="AU165" s="15"/>
      <c r="AV165" s="15"/>
      <c r="AW165" s="13"/>
      <c r="AX165" s="15"/>
      <c r="AY165" s="15"/>
      <c r="AZ165" s="28"/>
      <c r="BA165" s="15"/>
      <c r="BB165" s="15"/>
      <c r="BC165" s="15"/>
      <c r="BD165" s="15"/>
      <c r="BE165" s="14"/>
      <c r="BF165" s="41">
        <f t="shared" ref="BF165:BG165" si="503">K165+O165+S165+W165+AA165+AE165+AI165+AM165+AQ165+AU165+AY165+BC165</f>
        <v>1000</v>
      </c>
      <c r="BG165" s="34">
        <f t="shared" si="503"/>
        <v>1000</v>
      </c>
      <c r="BH165" s="35">
        <f t="shared" si="492"/>
        <v>0</v>
      </c>
    </row>
    <row r="166" ht="14.25" customHeight="1" spans="1:60" x14ac:dyDescent="0.25">
      <c r="A166" s="29">
        <v>21</v>
      </c>
      <c r="B166" s="14"/>
      <c r="D166" s="14" t="s">
        <v>52</v>
      </c>
      <c r="E166" s="2" t="s">
        <v>39</v>
      </c>
      <c r="F166" s="41">
        <v>500</v>
      </c>
      <c r="G166" s="28"/>
      <c r="H166" s="34">
        <f>'2018'!BH166</f>
        <v>0</v>
      </c>
      <c r="I166" s="13"/>
      <c r="J166" s="15"/>
      <c r="K166" s="15"/>
      <c r="L166" s="28"/>
      <c r="Q166" s="13"/>
      <c r="R166" s="15"/>
      <c r="S166" s="15"/>
      <c r="T166" s="28"/>
      <c r="Y166" s="13"/>
      <c r="Z166" s="15"/>
      <c r="AA166" s="34">
        <f>$F$14</f>
        <v>500</v>
      </c>
      <c r="AB166" s="35"/>
      <c r="AF166" s="133">
        <v>500</v>
      </c>
      <c r="AG166" s="13"/>
      <c r="AH166" s="15"/>
      <c r="AI166" s="15"/>
      <c r="AJ166" s="28"/>
      <c r="AK166" s="13"/>
      <c r="AL166" s="15"/>
      <c r="AM166" s="15"/>
      <c r="AN166" s="28"/>
      <c r="AO166" s="13"/>
      <c r="AP166" s="15"/>
      <c r="AQ166" s="15"/>
      <c r="AR166" s="28"/>
      <c r="AS166" s="15"/>
      <c r="AT166" s="15"/>
      <c r="AU166" s="15"/>
      <c r="AV166" s="15"/>
      <c r="AW166" s="13"/>
      <c r="AX166" s="15"/>
      <c r="AY166" s="15"/>
      <c r="AZ166" s="28"/>
      <c r="BA166" s="15"/>
      <c r="BB166" s="15"/>
      <c r="BC166" s="15"/>
      <c r="BD166" s="15"/>
      <c r="BE166" s="14"/>
      <c r="BF166" s="41">
        <f t="shared" ref="BF166:BG166" si="504">K166+O166+S166+W166+AA166+AE166+AI166+AM166+AQ166+AU166+AY166+BC166</f>
        <v>500</v>
      </c>
      <c r="BG166" s="34">
        <f t="shared" si="504"/>
        <v>500</v>
      </c>
      <c r="BH166" s="35">
        <f t="shared" si="492"/>
        <v>0</v>
      </c>
    </row>
    <row r="167" ht="15.75" customHeight="1" spans="1:62" x14ac:dyDescent="0.25">
      <c r="A167" s="50">
        <v>21</v>
      </c>
      <c r="B167" s="21"/>
      <c r="C167" s="22" t="s">
        <v>53</v>
      </c>
      <c r="D167" s="21"/>
      <c r="E167" s="22"/>
      <c r="F167" s="20"/>
      <c r="G167" s="23"/>
      <c r="H167" s="51">
        <f>SUM(H160:H166)</f>
        <v>-82.2352</v>
      </c>
      <c r="I167" s="52"/>
      <c r="J167" s="53"/>
      <c r="K167" s="51">
        <f t="shared" ref="K167:L167" si="505">SUM(K161:K166)</f>
        <v>179.28</v>
      </c>
      <c r="L167" s="68">
        <f t="shared" si="505"/>
        <v>0</v>
      </c>
      <c r="M167" s="53"/>
      <c r="N167" s="53"/>
      <c r="O167" s="51">
        <f t="shared" ref="O167:P167" si="506">SUM(O161:O166)</f>
        <v>766.92</v>
      </c>
      <c r="P167" s="51">
        <f t="shared" si="506"/>
        <v>0</v>
      </c>
      <c r="Q167" s="52"/>
      <c r="R167" s="53"/>
      <c r="S167" s="51">
        <f t="shared" ref="S167:T167" si="507">SUM(S161:S166)</f>
        <v>44.82</v>
      </c>
      <c r="T167" s="68">
        <f t="shared" si="507"/>
        <v>767</v>
      </c>
      <c r="U167" s="53"/>
      <c r="V167" s="53"/>
      <c r="W167" s="51">
        <f t="shared" ref="W167:X167" si="508">SUM(W161:W166)</f>
        <v>273.9</v>
      </c>
      <c r="X167" s="51">
        <f t="shared" si="508"/>
        <v>302</v>
      </c>
      <c r="Y167" s="52"/>
      <c r="Z167" s="53"/>
      <c r="AA167" s="51">
        <f t="shared" ref="AA167:AB167" si="509">SUM(AA161:AA166)</f>
        <v>719.67</v>
      </c>
      <c r="AB167" s="68">
        <f t="shared" si="509"/>
        <v>397.61</v>
      </c>
      <c r="AC167" s="53"/>
      <c r="AD167" s="53"/>
      <c r="AE167" s="51">
        <f t="shared" ref="AE167:AF167" si="510">SUM(AE161:AE166)</f>
        <v>5862.96</v>
      </c>
      <c r="AF167" s="51">
        <f t="shared" si="510"/>
        <v>1500</v>
      </c>
      <c r="AG167" s="52"/>
      <c r="AH167" s="53"/>
      <c r="AI167" s="51">
        <f t="shared" ref="AI167:AJ167" si="511">SUM(AI161:AI166)</f>
        <v>243.18</v>
      </c>
      <c r="AJ167" s="68">
        <f t="shared" si="511"/>
        <v>100</v>
      </c>
      <c r="AK167" s="52"/>
      <c r="AL167" s="53"/>
      <c r="AM167" s="51">
        <f t="shared" ref="AM167:AN167" si="512">SUM(AM161:AM166)</f>
        <v>259.24</v>
      </c>
      <c r="AN167" s="68">
        <f t="shared" si="512"/>
        <v>3110</v>
      </c>
      <c r="AO167" s="52"/>
      <c r="AP167" s="53"/>
      <c r="AQ167" s="51">
        <f t="shared" ref="AQ167:AR167" si="513">SUM(AQ160:AQ166)</f>
        <v>156.8</v>
      </c>
      <c r="AR167" s="68">
        <f t="shared" si="513"/>
        <v>2300</v>
      </c>
      <c r="AS167" s="53"/>
      <c r="AT167" s="53"/>
      <c r="AU167" s="51">
        <f t="shared" ref="AU167:AV167" si="514">SUM(AU160:AU166)</f>
        <v>97.5</v>
      </c>
      <c r="AV167" s="68">
        <f t="shared" si="514"/>
        <v>110</v>
      </c>
      <c r="AW167" s="52"/>
      <c r="AX167" s="53"/>
      <c r="AY167" s="51">
        <f t="shared" ref="AY167:AZ167" si="515">SUM(AY160:AY166)</f>
        <v>90</v>
      </c>
      <c r="AZ167" s="68">
        <f t="shared" si="515"/>
        <v>238</v>
      </c>
      <c r="BA167" s="53"/>
      <c r="BB167" s="53"/>
      <c r="BC167" s="51">
        <f t="shared" ref="BC167:BD167" si="516">SUM(BC160:BC166)</f>
        <v>70</v>
      </c>
      <c r="BD167" s="68">
        <f t="shared" si="516"/>
        <v>365</v>
      </c>
      <c r="BE167" s="69"/>
      <c r="BF167" s="70">
        <f t="shared" ref="BF167:BH167" si="517">SUM(BF160:BF166)</f>
        <v>8764.27</v>
      </c>
      <c r="BG167" s="71">
        <f t="shared" si="517"/>
        <v>9189.61</v>
      </c>
      <c r="BH167" s="72">
        <f t="shared" si="517"/>
        <v>-507.5752</v>
      </c>
      <c r="BI167" s="34">
        <f>H167+BF167-BG167</f>
        <v>-507.5752</v>
      </c>
      <c r="BJ167" s="34">
        <f>BH167-BI167</f>
        <v>0</v>
      </c>
    </row>
    <row r="168" ht="14.25" customHeight="1" spans="1:60" x14ac:dyDescent="0.25">
      <c r="A168" s="29">
        <v>23</v>
      </c>
      <c r="B168" s="14"/>
      <c r="D168" s="14" t="s">
        <v>379</v>
      </c>
      <c r="F168" s="13"/>
      <c r="G168" s="28"/>
      <c r="H168" s="34">
        <f>'2018'!BH168</f>
      </c>
      <c r="I168" s="13"/>
      <c r="J168" s="15"/>
      <c r="K168" s="15"/>
      <c r="L168" s="28"/>
      <c r="Q168" s="13"/>
      <c r="R168" s="15"/>
      <c r="S168" s="15"/>
      <c r="T168" s="28"/>
      <c r="Y168" s="13"/>
      <c r="Z168" s="15"/>
      <c r="AA168" s="15"/>
      <c r="AB168" s="28"/>
      <c r="AG168" s="13"/>
      <c r="AH168" s="15"/>
      <c r="AI168" s="15"/>
      <c r="AJ168" s="28"/>
      <c r="AK168" s="13"/>
      <c r="AL168" s="15"/>
      <c r="AM168" s="15"/>
      <c r="AN168" s="28"/>
      <c r="AO168" s="13"/>
      <c r="AP168" s="15"/>
      <c r="AQ168" s="15"/>
      <c r="AR168" s="28"/>
      <c r="AW168" s="13"/>
      <c r="AX168" s="15"/>
      <c r="AY168" s="15"/>
      <c r="AZ168" s="28"/>
      <c r="BE168" s="14"/>
      <c r="BF168" s="41">
        <f t="shared" ref="BF168:BG168" si="518">K168+O168+S168+W168+AA168+AE168+AI168+AM168+AQ168+AU168+AY168+BC168</f>
        <v>0</v>
      </c>
      <c r="BG168" s="34">
        <f t="shared" si="518"/>
        <v>0</v>
      </c>
      <c r="BH168" s="35">
        <f t="shared" ref="BH168:BH174" si="519">H168+BF168-BG168</f>
        <v>0</v>
      </c>
    </row>
    <row r="169" ht="15.75" customHeight="1" spans="1:60" x14ac:dyDescent="0.25">
      <c r="A169" s="2">
        <v>23</v>
      </c>
      <c r="B169" s="14">
        <v>3.98</v>
      </c>
      <c r="C169" s="2" t="s">
        <v>124</v>
      </c>
      <c r="D169" s="14" t="s">
        <v>44</v>
      </c>
      <c r="E169" s="2" t="s">
        <v>45</v>
      </c>
      <c r="F169" s="13">
        <v>2.49</v>
      </c>
      <c r="G169" s="35">
        <v>2.5</v>
      </c>
      <c r="H169" s="34">
        <f>'2018'!BH169</f>
        <v>52.29</v>
      </c>
      <c r="I169" s="13">
        <v>1901</v>
      </c>
      <c r="J169" s="15">
        <f>I169-'2018'!BA169</f>
        <v>0</v>
      </c>
      <c r="K169" s="34">
        <f>J169*$F$8</f>
        <v>0</v>
      </c>
      <c r="L169" s="28"/>
      <c r="M169" s="2">
        <v>1930</v>
      </c>
      <c r="N169" s="15">
        <f>M169-I169</f>
        <v>29</v>
      </c>
      <c r="O169" s="34">
        <f>N169*$F$8</f>
        <v>72.21</v>
      </c>
      <c r="P169" s="39">
        <v>124.5</v>
      </c>
      <c r="Q169" s="13">
        <v>1960</v>
      </c>
      <c r="R169" s="15">
        <f>Q169-M169</f>
        <v>30</v>
      </c>
      <c r="S169" s="34">
        <f>R169*$F$8</f>
        <v>74.7</v>
      </c>
      <c r="T169" s="28"/>
      <c r="U169" s="15">
        <v>1983</v>
      </c>
      <c r="V169" s="15">
        <f>U169-Q169</f>
        <v>23</v>
      </c>
      <c r="W169" s="34">
        <f>V169*$F$8</f>
        <v>57.27</v>
      </c>
      <c r="X169" s="39">
        <v>74.7</v>
      </c>
      <c r="Y169" s="13">
        <v>2146</v>
      </c>
      <c r="Z169" s="15">
        <f>Y169-U169</f>
        <v>163</v>
      </c>
      <c r="AA169" s="34">
        <f>Z169*$F$8</f>
        <v>405.87</v>
      </c>
      <c r="AB169" s="28"/>
      <c r="AC169" s="15">
        <v>2252</v>
      </c>
      <c r="AD169" s="15">
        <f t="shared" ref="AD169:AD170" si="520">AC169-Y169</f>
        <v>106</v>
      </c>
      <c r="AE169" s="34">
        <f>AD169*$G$8</f>
        <v>265</v>
      </c>
      <c r="AF169" s="138">
        <v>728.14</v>
      </c>
      <c r="AG169" s="13">
        <v>2397</v>
      </c>
      <c r="AH169" s="15">
        <f t="shared" ref="AH169:AH170" si="521">AG169-AC169</f>
        <v>145</v>
      </c>
      <c r="AI169" s="34">
        <f>AH169*$G$8</f>
        <v>362.5</v>
      </c>
      <c r="AJ169" s="139">
        <v>360.42</v>
      </c>
      <c r="AK169" s="13">
        <v>2491</v>
      </c>
      <c r="AL169" s="15">
        <f t="shared" ref="AL169:AL170" si="522">AK169-AG169</f>
        <v>94</v>
      </c>
      <c r="AM169" s="34">
        <f>AL169*$G$8</f>
        <v>235</v>
      </c>
      <c r="AN169" s="28"/>
      <c r="AO169" s="13">
        <v>3027</v>
      </c>
      <c r="AP169" s="15">
        <f t="shared" ref="AP169:AP170" si="523">AO169-AK169</f>
        <v>536</v>
      </c>
      <c r="AQ169" s="34">
        <f>AP169*$G$8</f>
        <v>1340</v>
      </c>
      <c r="AR169" s="32">
        <v>258.04</v>
      </c>
      <c r="AS169" s="15">
        <v>3353</v>
      </c>
      <c r="AT169" s="15">
        <f t="shared" ref="AT169:AT170" si="524">AS169-AO169</f>
        <v>326</v>
      </c>
      <c r="AU169" s="34">
        <f>AT169*$G$8</f>
        <v>815</v>
      </c>
      <c r="AV169" s="39">
        <v>1340</v>
      </c>
      <c r="AW169" s="13">
        <v>3353</v>
      </c>
      <c r="AX169" s="15">
        <f>AW169-AS169</f>
        <v>0</v>
      </c>
      <c r="AY169" s="34">
        <f>AX169*$G$8</f>
        <v>0</v>
      </c>
      <c r="AZ169" s="38">
        <v>690</v>
      </c>
      <c r="BA169" s="13">
        <v>3353</v>
      </c>
      <c r="BB169" s="15">
        <f>BA169-AW169</f>
        <v>0</v>
      </c>
      <c r="BC169" s="34">
        <f>BB169*$G$8</f>
        <v>0</v>
      </c>
      <c r="BD169" s="15"/>
      <c r="BE169" s="40">
        <f t="shared" ref="BE169:BG169" si="525">J169+N169+R169+V169+Z169+AD169+AH169+AL169+AP169+AT169+AX169+BB169</f>
        <v>1452</v>
      </c>
      <c r="BF169" s="41">
        <f t="shared" si="525"/>
        <v>3627.55</v>
      </c>
      <c r="BG169" s="34">
        <f t="shared" si="525"/>
        <v>3575.8</v>
      </c>
      <c r="BH169" s="35">
        <f t="shared" si="519"/>
        <v>104.04</v>
      </c>
    </row>
    <row r="170" ht="14.25" customHeight="1" spans="1:60" x14ac:dyDescent="0.25">
      <c r="A170" s="29">
        <v>23</v>
      </c>
      <c r="B170" s="14"/>
      <c r="C170" s="2" t="s">
        <v>93</v>
      </c>
      <c r="D170" s="14" t="s">
        <v>47</v>
      </c>
      <c r="E170" s="2" t="s">
        <v>48</v>
      </c>
      <c r="F170" s="13">
        <v>17.98</v>
      </c>
      <c r="G170" s="28">
        <v>18.56</v>
      </c>
      <c r="H170" s="34">
        <f>'2018'!BH170</f>
        <v>68.64</v>
      </c>
      <c r="I170" s="13">
        <v>70</v>
      </c>
      <c r="J170" s="15"/>
      <c r="K170" s="15"/>
      <c r="L170" s="28"/>
      <c r="Q170" s="13"/>
      <c r="R170" s="15"/>
      <c r="S170" s="15"/>
      <c r="T170" s="28"/>
      <c r="Y170" s="95">
        <v>3</v>
      </c>
      <c r="Z170" s="15">
        <v>3</v>
      </c>
      <c r="AA170" s="34">
        <f>Z170*$F$10</f>
        <v>53.94</v>
      </c>
      <c r="AB170" s="28"/>
      <c r="AC170" s="15">
        <v>8</v>
      </c>
      <c r="AD170" s="15">
        <f t="shared" si="520"/>
        <v>5</v>
      </c>
      <c r="AE170" s="34">
        <f>AD170*$F$10</f>
        <v>89.9</v>
      </c>
      <c r="AF170" s="138">
        <v>212.48</v>
      </c>
      <c r="AG170" s="13">
        <v>24</v>
      </c>
      <c r="AH170" s="15">
        <f t="shared" si="521"/>
        <v>16</v>
      </c>
      <c r="AI170" s="45">
        <f>AH170*$G$10</f>
        <v>296.96</v>
      </c>
      <c r="AJ170" s="139">
        <v>296.96</v>
      </c>
      <c r="AK170" s="13">
        <v>37</v>
      </c>
      <c r="AL170" s="15">
        <f t="shared" si="522"/>
        <v>13</v>
      </c>
      <c r="AM170" s="45">
        <f>AL170*$G$10</f>
        <v>241.28</v>
      </c>
      <c r="AN170" s="28"/>
      <c r="AO170" s="13">
        <v>43</v>
      </c>
      <c r="AP170" s="15">
        <f t="shared" si="523"/>
        <v>6</v>
      </c>
      <c r="AQ170" s="45">
        <f>AP170*$G$10</f>
        <v>111.36</v>
      </c>
      <c r="AR170" s="32">
        <v>241.28</v>
      </c>
      <c r="AS170" s="15">
        <v>45</v>
      </c>
      <c r="AT170" s="15">
        <f t="shared" si="524"/>
        <v>2</v>
      </c>
      <c r="AU170" s="45">
        <f>AT170*$G$10</f>
        <v>37.12</v>
      </c>
      <c r="AV170" s="1">
        <v>148.48</v>
      </c>
      <c r="AW170" s="13">
        <v>45</v>
      </c>
      <c r="AX170" s="15"/>
      <c r="AY170" s="15"/>
      <c r="AZ170" s="28"/>
      <c r="BA170" s="15">
        <v>45</v>
      </c>
      <c r="BB170" s="15"/>
      <c r="BC170" s="15"/>
      <c r="BD170" s="15"/>
      <c r="BE170" s="40">
        <f t="shared" ref="BE170:BG170" si="526">J170+N170+R170+V170+Z170+AD170+AH170+AL170+AP170+AT170+AX170+BB170</f>
        <v>45</v>
      </c>
      <c r="BF170" s="41">
        <f t="shared" si="526"/>
        <v>830.56</v>
      </c>
      <c r="BG170" s="34">
        <f t="shared" si="526"/>
        <v>899.2</v>
      </c>
      <c r="BH170" s="35">
        <f t="shared" si="519"/>
        <v>0</v>
      </c>
    </row>
    <row r="171" ht="14.25" customHeight="1" spans="1:60" x14ac:dyDescent="0.25">
      <c r="A171" s="29">
        <v>23</v>
      </c>
      <c r="B171" s="14"/>
      <c r="C171" s="2" t="s">
        <v>125</v>
      </c>
      <c r="D171" s="14" t="s">
        <v>47</v>
      </c>
      <c r="E171" s="2" t="s">
        <v>49</v>
      </c>
      <c r="F171" s="41">
        <v>500</v>
      </c>
      <c r="G171" s="28"/>
      <c r="H171" s="34">
        <f>'2018'!BH171</f>
        <v>0</v>
      </c>
      <c r="I171" s="13"/>
      <c r="J171" s="15"/>
      <c r="K171" s="15"/>
      <c r="L171" s="28"/>
      <c r="Q171" s="13"/>
      <c r="R171" s="15"/>
      <c r="S171" s="15"/>
      <c r="T171" s="28"/>
      <c r="Y171" s="13"/>
      <c r="Z171" s="15"/>
      <c r="AA171" s="15"/>
      <c r="AB171" s="28"/>
      <c r="AG171" s="13"/>
      <c r="AH171" s="15"/>
      <c r="AI171" s="34"/>
      <c r="AJ171" s="28"/>
      <c r="AK171" s="13"/>
      <c r="AL171" s="15"/>
      <c r="AM171" s="34"/>
      <c r="AN171" s="28"/>
      <c r="AO171" s="13"/>
      <c r="AP171" s="15"/>
      <c r="AQ171" s="34"/>
      <c r="AR171" s="28"/>
      <c r="AS171" s="15"/>
      <c r="AT171" s="15"/>
      <c r="AU171" s="15"/>
      <c r="AV171" s="15"/>
      <c r="AW171" s="13"/>
      <c r="AX171" s="15"/>
      <c r="AY171" s="15"/>
      <c r="AZ171" s="28"/>
      <c r="BA171" s="15"/>
      <c r="BB171" s="15"/>
      <c r="BC171" s="15"/>
      <c r="BD171" s="15"/>
      <c r="BE171" s="14"/>
      <c r="BF171" s="41">
        <f t="shared" ref="BF171:BG171" si="527">K171+O171+S171+W171+AA171+AE171+AI171+AM171+AQ171+AU171+AY171+BC171</f>
        <v>0</v>
      </c>
      <c r="BG171" s="34">
        <f t="shared" si="527"/>
        <v>0</v>
      </c>
      <c r="BH171" s="35">
        <f t="shared" si="519"/>
        <v>0</v>
      </c>
    </row>
    <row r="172" ht="14.25" customHeight="1" spans="1:60" x14ac:dyDescent="0.25">
      <c r="A172" s="29">
        <v>23</v>
      </c>
      <c r="B172" s="14"/>
      <c r="C172" s="15" t="s">
        <v>126</v>
      </c>
      <c r="D172" s="14" t="s">
        <v>50</v>
      </c>
      <c r="E172" s="2" t="s">
        <v>49</v>
      </c>
      <c r="F172" s="41">
        <v>1200</v>
      </c>
      <c r="G172" s="28"/>
      <c r="H172" s="34">
        <f>'2018'!BH172</f>
        <v>0.0024</v>
      </c>
      <c r="I172" s="13"/>
      <c r="J172" s="15"/>
      <c r="K172" s="15"/>
      <c r="L172" s="28"/>
      <c r="Q172" s="13"/>
      <c r="R172" s="15"/>
      <c r="S172" s="15"/>
      <c r="T172" s="28"/>
      <c r="Y172" s="13"/>
      <c r="Z172" s="15"/>
      <c r="AA172" s="15"/>
      <c r="AB172" s="28"/>
      <c r="AE172" s="34">
        <f>B169*$F$12</f>
        <v>4776</v>
      </c>
      <c r="AF172" s="138">
        <v>1559.38</v>
      </c>
      <c r="AG172" s="13"/>
      <c r="AH172" s="15"/>
      <c r="AI172" s="15"/>
      <c r="AJ172" s="139">
        <v>3216.62</v>
      </c>
      <c r="AK172" s="13"/>
      <c r="AL172" s="15"/>
      <c r="AM172" s="15"/>
      <c r="AN172" s="28"/>
      <c r="AO172" s="13"/>
      <c r="AP172" s="15"/>
      <c r="AQ172" s="15"/>
      <c r="AR172" s="28"/>
      <c r="AS172" s="15"/>
      <c r="AT172" s="15"/>
      <c r="AU172" s="15"/>
      <c r="AV172" s="15"/>
      <c r="AW172" s="13"/>
      <c r="AX172" s="15"/>
      <c r="AY172" s="15"/>
      <c r="AZ172" s="28"/>
      <c r="BA172" s="15"/>
      <c r="BB172" s="15"/>
      <c r="BC172" s="15"/>
      <c r="BD172" s="15"/>
      <c r="BE172" s="14"/>
      <c r="BF172" s="41">
        <f t="shared" ref="BF172:BG172" si="528">K172+O172+S172+W172+AA172+AE172+AI172+AM172+AQ172+AU172+AY172+BC172</f>
        <v>4776</v>
      </c>
      <c r="BG172" s="34">
        <f t="shared" si="528"/>
        <v>4776</v>
      </c>
      <c r="BH172" s="35">
        <f t="shared" si="519"/>
        <v>0.0024</v>
      </c>
    </row>
    <row r="173" ht="14.25" customHeight="1" spans="1:60" x14ac:dyDescent="0.25">
      <c r="A173" s="29">
        <v>23</v>
      </c>
      <c r="B173" s="14"/>
      <c r="D173" s="14" t="s">
        <v>51</v>
      </c>
      <c r="E173" s="2" t="s">
        <v>49</v>
      </c>
      <c r="F173" s="41">
        <v>1000</v>
      </c>
      <c r="G173" s="28"/>
      <c r="H173" s="34">
        <f>'2018'!BH173</f>
        <v>0</v>
      </c>
      <c r="I173" s="13"/>
      <c r="J173" s="15"/>
      <c r="K173" s="15"/>
      <c r="L173" s="28"/>
      <c r="Q173" s="13"/>
      <c r="R173" s="15"/>
      <c r="S173" s="15"/>
      <c r="T173" s="28"/>
      <c r="Y173" s="13"/>
      <c r="Z173" s="15"/>
      <c r="AA173" s="15"/>
      <c r="AB173" s="28"/>
      <c r="AE173" s="34">
        <f>$F$21</f>
        <v>1000</v>
      </c>
      <c r="AF173" s="133">
        <v>1000</v>
      </c>
      <c r="AG173" s="13"/>
      <c r="AH173" s="15"/>
      <c r="AI173" s="15"/>
      <c r="AJ173" s="28"/>
      <c r="AK173" s="13"/>
      <c r="AL173" s="15"/>
      <c r="AM173" s="15"/>
      <c r="AN173" s="28"/>
      <c r="AO173" s="13"/>
      <c r="AP173" s="15"/>
      <c r="AQ173" s="15"/>
      <c r="AR173" s="28"/>
      <c r="AS173" s="15"/>
      <c r="AT173" s="15"/>
      <c r="AU173" s="15"/>
      <c r="AV173" s="15"/>
      <c r="AW173" s="13"/>
      <c r="AX173" s="15"/>
      <c r="AY173" s="15"/>
      <c r="AZ173" s="28"/>
      <c r="BA173" s="15"/>
      <c r="BB173" s="15"/>
      <c r="BC173" s="15"/>
      <c r="BD173" s="15"/>
      <c r="BE173" s="14"/>
      <c r="BF173" s="41">
        <f t="shared" ref="BF173:BG173" si="529">K173+O173+S173+W173+AA173+AE173+AI173+AM173+AQ173+AU173+AY173+BC173</f>
        <v>1000</v>
      </c>
      <c r="BG173" s="34">
        <f t="shared" si="529"/>
        <v>1000</v>
      </c>
      <c r="BH173" s="35">
        <f t="shared" si="519"/>
        <v>0</v>
      </c>
    </row>
    <row r="174" ht="14.25" customHeight="1" spans="1:60" x14ac:dyDescent="0.25">
      <c r="A174" s="29">
        <v>23</v>
      </c>
      <c r="B174" s="14"/>
      <c r="D174" s="14" t="s">
        <v>52</v>
      </c>
      <c r="E174" s="2" t="s">
        <v>39</v>
      </c>
      <c r="F174" s="41">
        <v>500</v>
      </c>
      <c r="G174" s="28"/>
      <c r="H174" s="34">
        <f>'2018'!BH174</f>
        <v>0</v>
      </c>
      <c r="I174" s="13"/>
      <c r="J174" s="15"/>
      <c r="K174" s="15"/>
      <c r="L174" s="28"/>
      <c r="Q174" s="13"/>
      <c r="R174" s="15"/>
      <c r="S174" s="15"/>
      <c r="T174" s="28"/>
      <c r="Y174" s="13"/>
      <c r="Z174" s="15"/>
      <c r="AA174" s="34">
        <f>$F$14</f>
        <v>500</v>
      </c>
      <c r="AB174" s="35"/>
      <c r="AF174" s="133">
        <v>500</v>
      </c>
      <c r="AG174" s="13"/>
      <c r="AH174" s="15"/>
      <c r="AI174" s="15"/>
      <c r="AJ174" s="28"/>
      <c r="AK174" s="13"/>
      <c r="AL174" s="15"/>
      <c r="AM174" s="15"/>
      <c r="AN174" s="28"/>
      <c r="AO174" s="13"/>
      <c r="AP174" s="15"/>
      <c r="AQ174" s="15"/>
      <c r="AR174" s="28"/>
      <c r="AS174" s="15"/>
      <c r="AT174" s="15"/>
      <c r="AU174" s="15"/>
      <c r="AV174" s="15"/>
      <c r="AW174" s="13"/>
      <c r="AX174" s="15"/>
      <c r="AY174" s="15"/>
      <c r="AZ174" s="28"/>
      <c r="BA174" s="15"/>
      <c r="BB174" s="15"/>
      <c r="BC174" s="15"/>
      <c r="BD174" s="15"/>
      <c r="BE174" s="14"/>
      <c r="BF174" s="41">
        <f t="shared" ref="BF174:BG174" si="530">K174+O174+S174+W174+AA174+AE174+AI174+AM174+AQ174+AU174+AY174+BC174</f>
        <v>500</v>
      </c>
      <c r="BG174" s="34">
        <f t="shared" si="530"/>
        <v>500</v>
      </c>
      <c r="BH174" s="35">
        <f t="shared" si="519"/>
        <v>0</v>
      </c>
    </row>
    <row r="175" ht="15.75" customHeight="1" spans="1:62" x14ac:dyDescent="0.25">
      <c r="A175" s="50">
        <v>23</v>
      </c>
      <c r="B175" s="21"/>
      <c r="C175" s="22" t="s">
        <v>53</v>
      </c>
      <c r="D175" s="21"/>
      <c r="E175" s="22"/>
      <c r="F175" s="20"/>
      <c r="G175" s="23"/>
      <c r="H175" s="51">
        <f>SUM(H168:H174)</f>
        <v>120.9324</v>
      </c>
      <c r="I175" s="52"/>
      <c r="J175" s="53"/>
      <c r="K175" s="51">
        <f t="shared" ref="K175:L175" si="531">SUM(K169:K174)</f>
        <v>0</v>
      </c>
      <c r="L175" s="68">
        <f t="shared" si="531"/>
        <v>0</v>
      </c>
      <c r="M175" s="53"/>
      <c r="N175" s="53"/>
      <c r="O175" s="51">
        <f t="shared" ref="O175:P175" si="532">SUM(O169:O174)</f>
        <v>72.21</v>
      </c>
      <c r="P175" s="51">
        <f t="shared" si="532"/>
        <v>124.5</v>
      </c>
      <c r="Q175" s="52"/>
      <c r="R175" s="53"/>
      <c r="S175" s="51">
        <f t="shared" ref="S175:T175" si="533">SUM(S169:S174)</f>
        <v>74.7</v>
      </c>
      <c r="T175" s="68">
        <f t="shared" si="533"/>
        <v>0</v>
      </c>
      <c r="U175" s="53"/>
      <c r="V175" s="53"/>
      <c r="W175" s="51">
        <f t="shared" ref="W175:X175" si="534">SUM(W169:W174)</f>
        <v>57.27</v>
      </c>
      <c r="X175" s="51">
        <f t="shared" si="534"/>
        <v>74.7</v>
      </c>
      <c r="Y175" s="52"/>
      <c r="Z175" s="53"/>
      <c r="AA175" s="51">
        <f t="shared" ref="AA175:AB175" si="535">SUM(AA169:AA174)</f>
        <v>959.81</v>
      </c>
      <c r="AB175" s="68">
        <f t="shared" si="535"/>
        <v>0</v>
      </c>
      <c r="AC175" s="53"/>
      <c r="AD175" s="53"/>
      <c r="AE175" s="51">
        <f t="shared" ref="AE175:AF175" si="536">SUM(AE169:AE174)</f>
        <v>6130.9</v>
      </c>
      <c r="AF175" s="51">
        <f t="shared" si="536"/>
        <v>4000</v>
      </c>
      <c r="AG175" s="52"/>
      <c r="AH175" s="53"/>
      <c r="AI175" s="51">
        <f t="shared" ref="AI175:AJ175" si="537">SUM(AI169:AI174)</f>
        <v>659.46</v>
      </c>
      <c r="AJ175" s="68">
        <f t="shared" si="537"/>
        <v>3874</v>
      </c>
      <c r="AK175" s="52"/>
      <c r="AL175" s="53"/>
      <c r="AM175" s="51">
        <f t="shared" ref="AM175:AN175" si="538">SUM(AM169:AM174)</f>
        <v>476.28</v>
      </c>
      <c r="AN175" s="68">
        <f t="shared" si="538"/>
        <v>0</v>
      </c>
      <c r="AO175" s="52"/>
      <c r="AP175" s="53"/>
      <c r="AQ175" s="51">
        <f t="shared" ref="AQ175:AR175" si="539">SUM(AQ168:AQ174)</f>
        <v>1451.36</v>
      </c>
      <c r="AR175" s="68">
        <f t="shared" si="539"/>
        <v>499.32</v>
      </c>
      <c r="AS175" s="53"/>
      <c r="AT175" s="53"/>
      <c r="AU175" s="51">
        <f t="shared" ref="AU175:AV175" si="540">SUM(AU168:AU174)</f>
        <v>852.12</v>
      </c>
      <c r="AV175" s="68">
        <f t="shared" si="540"/>
        <v>1488.48</v>
      </c>
      <c r="AW175" s="52"/>
      <c r="AX175" s="53"/>
      <c r="AY175" s="51">
        <f t="shared" ref="AY175:AZ175" si="541">SUM(AY168:AY174)</f>
        <v>0</v>
      </c>
      <c r="AZ175" s="68">
        <f t="shared" si="541"/>
        <v>690</v>
      </c>
      <c r="BA175" s="53"/>
      <c r="BB175" s="53"/>
      <c r="BC175" s="51">
        <f t="shared" ref="BC175:BD175" si="542">SUM(BC168:BC174)</f>
        <v>0</v>
      </c>
      <c r="BD175" s="68">
        <f t="shared" si="542"/>
        <v>0</v>
      </c>
      <c r="BE175" s="69"/>
      <c r="BF175" s="70">
        <f t="shared" ref="BF175:BH175" si="543">SUM(BF168:BF174)</f>
        <v>10734.11</v>
      </c>
      <c r="BG175" s="71">
        <f t="shared" si="543"/>
        <v>10751</v>
      </c>
      <c r="BH175" s="72">
        <f t="shared" si="543"/>
        <v>104.0424</v>
      </c>
      <c r="BI175" s="34">
        <f>H175+BF175-BG175</f>
        <v>104.0424</v>
      </c>
      <c r="BJ175" s="34">
        <f>BH175-BI175</f>
        <v>0</v>
      </c>
    </row>
    <row r="176" ht="14.25" customHeight="1" spans="1:60" x14ac:dyDescent="0.25">
      <c r="A176" s="29">
        <v>24</v>
      </c>
      <c r="B176" s="14"/>
      <c r="D176" s="14" t="s">
        <v>379</v>
      </c>
      <c r="F176" s="13"/>
      <c r="G176" s="28"/>
      <c r="H176" s="34">
        <f>'2018'!BH176</f>
      </c>
      <c r="I176" s="13"/>
      <c r="J176" s="15"/>
      <c r="K176" s="15"/>
      <c r="L176" s="28"/>
      <c r="Q176" s="13"/>
      <c r="R176" s="15"/>
      <c r="S176" s="15"/>
      <c r="T176" s="28"/>
      <c r="Y176" s="13"/>
      <c r="Z176" s="15"/>
      <c r="AA176" s="15"/>
      <c r="AB176" s="28"/>
      <c r="AG176" s="13"/>
      <c r="AH176" s="15"/>
      <c r="AI176" s="15"/>
      <c r="AJ176" s="28"/>
      <c r="AK176" s="13"/>
      <c r="AL176" s="15"/>
      <c r="AM176" s="15"/>
      <c r="AN176" s="28"/>
      <c r="AO176" s="13"/>
      <c r="AP176" s="15"/>
      <c r="AQ176" s="15"/>
      <c r="AR176" s="28"/>
      <c r="AW176" s="13"/>
      <c r="AX176" s="15"/>
      <c r="AY176" s="15"/>
      <c r="AZ176" s="28"/>
      <c r="BE176" s="14"/>
      <c r="BF176" s="41">
        <f t="shared" ref="BF176:BG176" si="544">K176+O176+S176+W176+AA176+AE176+AI176+AM176+AQ176+AU176+AY176+BC176</f>
        <v>0</v>
      </c>
      <c r="BG176" s="34">
        <f t="shared" si="544"/>
        <v>0</v>
      </c>
      <c r="BH176" s="35">
        <f t="shared" ref="BH176:BH182" si="545">H176+BF176-BG176</f>
        <v>0</v>
      </c>
    </row>
    <row r="177" ht="14.25" customHeight="1" spans="1:60" x14ac:dyDescent="0.25">
      <c r="A177" s="2">
        <v>24</v>
      </c>
      <c r="B177" s="14">
        <v>4.01</v>
      </c>
      <c r="C177" s="2" t="s">
        <v>127</v>
      </c>
      <c r="D177" s="14" t="s">
        <v>44</v>
      </c>
      <c r="E177" s="2" t="s">
        <v>45</v>
      </c>
      <c r="F177" s="13">
        <v>2.49</v>
      </c>
      <c r="G177" s="35">
        <v>2.5</v>
      </c>
      <c r="H177" s="34">
        <f>'2018'!BH177</f>
        <v>0</v>
      </c>
      <c r="I177" s="13">
        <v>56</v>
      </c>
      <c r="J177" s="15">
        <f>I177-'2018'!BA177</f>
        <v>0</v>
      </c>
      <c r="K177" s="34">
        <f>J177*$F$8</f>
        <v>0</v>
      </c>
      <c r="L177" s="28"/>
      <c r="M177" s="2">
        <v>56</v>
      </c>
      <c r="N177" s="15">
        <f>M177-I177</f>
        <v>0</v>
      </c>
      <c r="O177" s="34">
        <f>N177*$F$8</f>
        <v>0</v>
      </c>
      <c r="Q177" s="13">
        <v>56</v>
      </c>
      <c r="R177" s="15">
        <f>Q177-M177</f>
        <v>0</v>
      </c>
      <c r="S177" s="34">
        <f>R177*$F$8</f>
        <v>0</v>
      </c>
      <c r="T177" s="28"/>
      <c r="U177" s="15">
        <v>56</v>
      </c>
      <c r="V177" s="15">
        <f>U177-Q177</f>
        <v>0</v>
      </c>
      <c r="W177" s="34">
        <f>V177*$F$8</f>
        <v>0</v>
      </c>
      <c r="Y177" s="13">
        <v>56</v>
      </c>
      <c r="Z177" s="15">
        <f>Y177-U177</f>
        <v>0</v>
      </c>
      <c r="AA177" s="34">
        <f>Z177*$F$8</f>
        <v>0</v>
      </c>
      <c r="AB177" s="32">
        <v>89.64</v>
      </c>
      <c r="AC177" s="15">
        <v>61</v>
      </c>
      <c r="AD177" s="15">
        <f t="shared" ref="AD177:AD178" si="546">AC177-Y177</f>
        <v>5</v>
      </c>
      <c r="AE177" s="34">
        <f>AD177*$G$8</f>
        <v>12.5</v>
      </c>
      <c r="AG177" s="13">
        <v>66</v>
      </c>
      <c r="AH177" s="15">
        <f t="shared" ref="AH177:AH178" si="547">AG177-AC177</f>
        <v>5</v>
      </c>
      <c r="AI177" s="34">
        <f>AH177*$G$8</f>
        <v>12.5</v>
      </c>
      <c r="AJ177" s="32"/>
      <c r="AK177" s="13">
        <v>71</v>
      </c>
      <c r="AL177" s="15">
        <f t="shared" ref="AL177:AL178" si="548">AK177-AG177</f>
        <v>5</v>
      </c>
      <c r="AM177" s="34">
        <f>AL177*$G$8</f>
        <v>12.5</v>
      </c>
      <c r="AN177" s="35"/>
      <c r="AO177" s="13">
        <v>75</v>
      </c>
      <c r="AP177" s="15">
        <f t="shared" ref="AP177:AP178" si="549">AO177-AK177</f>
        <v>4</v>
      </c>
      <c r="AQ177" s="34">
        <f>AP177*$G$8</f>
        <v>10</v>
      </c>
      <c r="AR177" s="28"/>
      <c r="AS177" s="15">
        <v>76</v>
      </c>
      <c r="AT177" s="15">
        <f t="shared" ref="AT177:AT178" si="550">AS177-AO177</f>
        <v>1</v>
      </c>
      <c r="AU177" s="34">
        <f>AT177*$G$8</f>
        <v>2.5</v>
      </c>
      <c r="AV177" s="15"/>
      <c r="AW177" s="13">
        <v>76</v>
      </c>
      <c r="AX177" s="15">
        <f>AW177-AS177</f>
        <v>0</v>
      </c>
      <c r="AY177" s="34">
        <f>AX177*$G$8</f>
        <v>0</v>
      </c>
      <c r="AZ177" s="28"/>
      <c r="BA177" s="13">
        <v>76</v>
      </c>
      <c r="BB177" s="15">
        <f>BA177-AW177</f>
        <v>0</v>
      </c>
      <c r="BC177" s="34">
        <f>BB177*$G$8</f>
        <v>0</v>
      </c>
      <c r="BD177" s="15"/>
      <c r="BE177" s="40">
        <f t="shared" ref="BE177:BG177" si="551">J177+N177+R177+V177+Z177+AD177+AH177+AL177+AP177+AT177+AX177+BB177</f>
        <v>20</v>
      </c>
      <c r="BF177" s="41">
        <f t="shared" si="551"/>
        <v>50</v>
      </c>
      <c r="BG177" s="34">
        <f t="shared" si="551"/>
        <v>89.64</v>
      </c>
      <c r="BH177" s="35">
        <f t="shared" si="545"/>
        <v>-39.64</v>
      </c>
    </row>
    <row r="178" ht="14.25" customHeight="1" spans="1:60" x14ac:dyDescent="0.25">
      <c r="A178" s="29">
        <v>24</v>
      </c>
      <c r="B178" s="14"/>
      <c r="C178" s="2" t="s">
        <v>128</v>
      </c>
      <c r="D178" s="14" t="s">
        <v>47</v>
      </c>
      <c r="E178" s="2" t="s">
        <v>48</v>
      </c>
      <c r="F178" s="13">
        <v>17.98</v>
      </c>
      <c r="G178" s="28">
        <v>18.56</v>
      </c>
      <c r="H178" s="34">
        <f>'2018'!BH178</f>
        <v>-17.16</v>
      </c>
      <c r="I178" s="13">
        <v>66</v>
      </c>
      <c r="J178" s="15"/>
      <c r="K178" s="15"/>
      <c r="L178" s="28"/>
      <c r="Q178" s="13"/>
      <c r="R178" s="15"/>
      <c r="S178" s="15"/>
      <c r="T178" s="28"/>
      <c r="Y178" s="13">
        <v>65</v>
      </c>
      <c r="Z178" s="15">
        <f>Y178-'2018'!AO178</f>
        <v>-1</v>
      </c>
      <c r="AA178" s="34">
        <f>Z178*$F$10</f>
        <v>-17.98</v>
      </c>
      <c r="AB178" s="28"/>
      <c r="AC178" s="15">
        <v>68</v>
      </c>
      <c r="AD178" s="15">
        <f t="shared" si="546"/>
        <v>3</v>
      </c>
      <c r="AE178" s="34">
        <f>AD178*$F$10</f>
        <v>53.94</v>
      </c>
      <c r="AF178" s="34"/>
      <c r="AG178" s="13">
        <v>75</v>
      </c>
      <c r="AH178" s="15">
        <f t="shared" si="547"/>
        <v>7</v>
      </c>
      <c r="AI178" s="45">
        <f>AH178*$G$10</f>
        <v>129.92</v>
      </c>
      <c r="AJ178" s="141">
        <v>144</v>
      </c>
      <c r="AK178" s="13">
        <v>80</v>
      </c>
      <c r="AL178" s="15">
        <f t="shared" si="548"/>
        <v>5</v>
      </c>
      <c r="AM178" s="45">
        <f>AL178*$G$10</f>
        <v>92.8</v>
      </c>
      <c r="AN178" s="28"/>
      <c r="AO178" s="13">
        <v>81</v>
      </c>
      <c r="AP178" s="15">
        <f t="shared" si="549"/>
        <v>1</v>
      </c>
      <c r="AQ178" s="45">
        <f>AP178*$G$10</f>
        <v>18.56</v>
      </c>
      <c r="AR178" s="38">
        <v>92.8</v>
      </c>
      <c r="AS178" s="15">
        <v>79</v>
      </c>
      <c r="AT178" s="15">
        <f t="shared" si="550"/>
        <v>-2</v>
      </c>
      <c r="AU178" s="45">
        <f>AT178*$G$10</f>
        <v>-37.12</v>
      </c>
      <c r="AV178" s="1">
        <v>23.28</v>
      </c>
      <c r="AW178" s="13">
        <v>79</v>
      </c>
      <c r="AX178" s="15"/>
      <c r="AY178" s="15"/>
      <c r="AZ178" s="28"/>
      <c r="BA178" s="15">
        <v>79</v>
      </c>
      <c r="BB178" s="15"/>
      <c r="BC178" s="15"/>
      <c r="BD178" s="15"/>
      <c r="BE178" s="40">
        <f t="shared" ref="BE178:BG178" si="552">J178+N178+R178+V178+Z178+AD178+AH178+AL178+AP178+AT178+AX178+BB178</f>
        <v>13</v>
      </c>
      <c r="BF178" s="41">
        <f t="shared" si="552"/>
        <v>240.12</v>
      </c>
      <c r="BG178" s="34">
        <f t="shared" si="552"/>
        <v>260.08</v>
      </c>
      <c r="BH178" s="35">
        <f t="shared" si="545"/>
        <v>-37.12</v>
      </c>
    </row>
    <row r="179" ht="14.25" customHeight="1" spans="1:60" x14ac:dyDescent="0.25">
      <c r="A179" s="29">
        <v>24</v>
      </c>
      <c r="B179" s="14"/>
      <c r="C179" s="2" t="s">
        <v>129</v>
      </c>
      <c r="D179" s="14" t="s">
        <v>47</v>
      </c>
      <c r="E179" s="2" t="s">
        <v>49</v>
      </c>
      <c r="F179" s="41">
        <v>500</v>
      </c>
      <c r="G179" s="28"/>
      <c r="H179" s="34">
        <f>'2018'!BH179</f>
        <v>0</v>
      </c>
      <c r="I179" s="13"/>
      <c r="J179" s="15"/>
      <c r="K179" s="15"/>
      <c r="L179" s="28"/>
      <c r="Q179" s="13"/>
      <c r="R179" s="15"/>
      <c r="S179" s="15"/>
      <c r="T179" s="28"/>
      <c r="Y179" s="13"/>
      <c r="Z179" s="15"/>
      <c r="AA179" s="15"/>
      <c r="AB179" s="28"/>
      <c r="AG179" s="13"/>
      <c r="AH179" s="15"/>
      <c r="AI179" s="34"/>
      <c r="AJ179" s="28"/>
      <c r="AK179" s="13"/>
      <c r="AL179" s="15"/>
      <c r="AM179" s="34"/>
      <c r="AN179" s="28"/>
      <c r="AO179" s="13"/>
      <c r="AP179" s="15"/>
      <c r="AQ179" s="34"/>
      <c r="AR179" s="28"/>
      <c r="AS179" s="15"/>
      <c r="AT179" s="15"/>
      <c r="AU179" s="15"/>
      <c r="AV179" s="15"/>
      <c r="AW179" s="13"/>
      <c r="AX179" s="15"/>
      <c r="AY179" s="15"/>
      <c r="AZ179" s="28"/>
      <c r="BA179" s="15"/>
      <c r="BB179" s="15"/>
      <c r="BC179" s="15"/>
      <c r="BD179" s="15"/>
      <c r="BE179" s="14"/>
      <c r="BF179" s="41">
        <f t="shared" ref="BF179:BG179" si="553">K179+O179+S179+W179+AA179+AE179+AI179+AM179+AQ179+AU179+AY179+BC179</f>
        <v>0</v>
      </c>
      <c r="BG179" s="34">
        <f t="shared" si="553"/>
        <v>0</v>
      </c>
      <c r="BH179" s="35">
        <f t="shared" si="545"/>
        <v>0</v>
      </c>
    </row>
    <row r="180" ht="14.25" customHeight="1" spans="1:60" x14ac:dyDescent="0.25">
      <c r="A180" s="29">
        <v>24</v>
      </c>
      <c r="B180" s="14"/>
      <c r="C180" s="2" t="s">
        <v>393</v>
      </c>
      <c r="D180" s="14" t="s">
        <v>50</v>
      </c>
      <c r="E180" s="2" t="s">
        <v>49</v>
      </c>
      <c r="F180" s="41">
        <v>1200</v>
      </c>
      <c r="G180" s="28"/>
      <c r="H180" s="34">
        <f>'2018'!BH180</f>
        <v>0.0088</v>
      </c>
      <c r="I180" s="13"/>
      <c r="J180" s="15"/>
      <c r="K180" s="15"/>
      <c r="L180" s="28"/>
      <c r="Q180" s="13"/>
      <c r="R180" s="15"/>
      <c r="S180" s="15"/>
      <c r="T180" s="28"/>
      <c r="Y180" s="13"/>
      <c r="Z180" s="15"/>
      <c r="AA180" s="15"/>
      <c r="AB180" s="28"/>
      <c r="AE180" s="34">
        <f>B177*$F$12</f>
        <v>4812</v>
      </c>
      <c r="AF180" s="39">
        <v>4812</v>
      </c>
      <c r="AG180" s="13"/>
      <c r="AH180" s="15"/>
      <c r="AI180" s="15"/>
      <c r="AJ180" s="142">
        <f>(4812-4668)-144</f>
        <v>0</v>
      </c>
      <c r="AK180" s="13"/>
      <c r="AL180" s="15"/>
      <c r="AM180" s="15"/>
      <c r="AN180" s="28"/>
      <c r="AO180" s="13"/>
      <c r="AP180" s="15"/>
      <c r="AQ180" s="15"/>
      <c r="AR180" s="28"/>
      <c r="AS180" s="15"/>
      <c r="AT180" s="15"/>
      <c r="AU180" s="15"/>
      <c r="AV180" s="1">
        <v>0.01</v>
      </c>
      <c r="AW180" s="13"/>
      <c r="AX180" s="15"/>
      <c r="AY180" s="15"/>
      <c r="AZ180" s="28"/>
      <c r="BA180" s="15"/>
      <c r="BB180" s="15"/>
      <c r="BC180" s="15"/>
      <c r="BD180" s="15"/>
      <c r="BE180" s="14"/>
      <c r="BF180" s="41">
        <f t="shared" ref="BF180:BG180" si="554">K180+O180+S180+W180+AA180+AE180+AI180+AM180+AQ180+AU180+AY180+BC180</f>
        <v>4812</v>
      </c>
      <c r="BG180" s="34">
        <f t="shared" si="554"/>
        <v>4812.01</v>
      </c>
      <c r="BH180" s="35">
        <f t="shared" si="545"/>
        <v>-0.001200000001</v>
      </c>
    </row>
    <row r="181" ht="14.25" customHeight="1" spans="1:60" x14ac:dyDescent="0.25">
      <c r="A181" s="29">
        <v>24</v>
      </c>
      <c r="B181" s="14"/>
      <c r="C181" s="73" t="s">
        <v>130</v>
      </c>
      <c r="D181" s="14" t="s">
        <v>51</v>
      </c>
      <c r="E181" s="2" t="s">
        <v>49</v>
      </c>
      <c r="F181" s="41">
        <v>1000</v>
      </c>
      <c r="G181" s="28"/>
      <c r="H181" s="34">
        <f>'2018'!BH181</f>
        <v>0</v>
      </c>
      <c r="I181" s="13"/>
      <c r="J181" s="15"/>
      <c r="K181" s="15"/>
      <c r="L181" s="28"/>
      <c r="Q181" s="13"/>
      <c r="R181" s="15"/>
      <c r="S181" s="15"/>
      <c r="T181" s="28"/>
      <c r="Y181" s="13"/>
      <c r="Z181" s="15"/>
      <c r="AA181" s="15"/>
      <c r="AB181" s="28"/>
      <c r="AE181" s="34">
        <f>$F$21</f>
        <v>1000</v>
      </c>
      <c r="AF181" s="39">
        <v>1000</v>
      </c>
      <c r="AG181" s="13"/>
      <c r="AH181" s="15"/>
      <c r="AI181" s="15"/>
      <c r="AJ181" s="143">
        <f>1000-1000</f>
        <v>0</v>
      </c>
      <c r="AK181" s="13"/>
      <c r="AL181" s="15"/>
      <c r="AM181" s="15"/>
      <c r="AN181" s="28"/>
      <c r="AO181" s="13"/>
      <c r="AP181" s="15"/>
      <c r="AQ181" s="15"/>
      <c r="AR181" s="28"/>
      <c r="AS181" s="15"/>
      <c r="AT181" s="15"/>
      <c r="AU181" s="15"/>
      <c r="AV181" s="15"/>
      <c r="AW181" s="13"/>
      <c r="AX181" s="15"/>
      <c r="AY181" s="15"/>
      <c r="AZ181" s="28"/>
      <c r="BA181" s="15"/>
      <c r="BB181" s="15"/>
      <c r="BC181" s="15"/>
      <c r="BD181" s="15"/>
      <c r="BE181" s="14"/>
      <c r="BF181" s="41">
        <f t="shared" ref="BF181:BG181" si="555">K181+O181+S181+W181+AA181+AE181+AI181+AM181+AQ181+AU181+AY181+BC181</f>
        <v>1000</v>
      </c>
      <c r="BG181" s="34">
        <f t="shared" si="555"/>
        <v>1000</v>
      </c>
      <c r="BH181" s="35">
        <f t="shared" si="545"/>
        <v>0</v>
      </c>
    </row>
    <row r="182" ht="14.25" customHeight="1" spans="1:60" x14ac:dyDescent="0.25">
      <c r="A182" s="29">
        <v>24</v>
      </c>
      <c r="B182" s="14"/>
      <c r="D182" s="14" t="s">
        <v>52</v>
      </c>
      <c r="E182" s="2" t="s">
        <v>39</v>
      </c>
      <c r="F182" s="41">
        <v>500</v>
      </c>
      <c r="G182" s="28"/>
      <c r="H182" s="34">
        <f>'2018'!BH182</f>
        <v>0</v>
      </c>
      <c r="I182" s="13"/>
      <c r="J182" s="15"/>
      <c r="K182" s="15"/>
      <c r="L182" s="28"/>
      <c r="Q182" s="13"/>
      <c r="R182" s="15"/>
      <c r="S182" s="15"/>
      <c r="T182" s="28"/>
      <c r="Y182" s="13"/>
      <c r="Z182" s="15"/>
      <c r="AA182" s="34">
        <f>$F$14</f>
        <v>500</v>
      </c>
      <c r="AB182" s="35"/>
      <c r="AG182" s="13"/>
      <c r="AH182" s="15"/>
      <c r="AI182" s="15"/>
      <c r="AJ182" s="134">
        <v>500</v>
      </c>
      <c r="AK182" s="13"/>
      <c r="AL182" s="15"/>
      <c r="AM182" s="15"/>
      <c r="AN182" s="28"/>
      <c r="AO182" s="13"/>
      <c r="AP182" s="15"/>
      <c r="AQ182" s="15"/>
      <c r="AR182" s="28"/>
      <c r="AS182" s="15"/>
      <c r="AT182" s="15"/>
      <c r="AU182" s="15"/>
      <c r="AV182" s="15"/>
      <c r="AW182" s="13"/>
      <c r="AX182" s="15"/>
      <c r="AY182" s="15"/>
      <c r="AZ182" s="28"/>
      <c r="BA182" s="15"/>
      <c r="BB182" s="15"/>
      <c r="BC182" s="15"/>
      <c r="BD182" s="15"/>
      <c r="BE182" s="14"/>
      <c r="BF182" s="41">
        <f t="shared" ref="BF182:BG182" si="556">K182+O182+S182+W182+AA182+AE182+AI182+AM182+AQ182+AU182+AY182+BC182</f>
        <v>500</v>
      </c>
      <c r="BG182" s="34">
        <f t="shared" si="556"/>
        <v>500</v>
      </c>
      <c r="BH182" s="35">
        <f t="shared" si="545"/>
        <v>0</v>
      </c>
    </row>
    <row r="183" ht="14.25" customHeight="1" spans="1:62" x14ac:dyDescent="0.25">
      <c r="A183" s="50">
        <v>24</v>
      </c>
      <c r="B183" s="21"/>
      <c r="C183" s="22" t="s">
        <v>53</v>
      </c>
      <c r="D183" s="21"/>
      <c r="E183" s="22"/>
      <c r="F183" s="20"/>
      <c r="G183" s="23"/>
      <c r="H183" s="51">
        <f>SUM(H176:H182)</f>
        <v>-17.1512</v>
      </c>
      <c r="I183" s="52"/>
      <c r="J183" s="53"/>
      <c r="K183" s="51">
        <f t="shared" ref="K183:L183" si="557">SUM(K177:K182)</f>
        <v>0</v>
      </c>
      <c r="L183" s="68">
        <f t="shared" si="557"/>
        <v>0</v>
      </c>
      <c r="M183" s="53"/>
      <c r="N183" s="53"/>
      <c r="O183" s="51">
        <f t="shared" ref="O183:P183" si="558">SUM(O177:O182)</f>
        <v>0</v>
      </c>
      <c r="P183" s="51">
        <f t="shared" si="558"/>
        <v>0</v>
      </c>
      <c r="Q183" s="52"/>
      <c r="R183" s="53"/>
      <c r="S183" s="51">
        <f t="shared" ref="S183:T183" si="559">SUM(S177:S182)</f>
        <v>0</v>
      </c>
      <c r="T183" s="68">
        <f t="shared" si="559"/>
        <v>0</v>
      </c>
      <c r="U183" s="53"/>
      <c r="V183" s="53"/>
      <c r="W183" s="51">
        <f t="shared" ref="W183:X183" si="560">SUM(W177:W182)</f>
        <v>0</v>
      </c>
      <c r="X183" s="51">
        <f t="shared" si="560"/>
        <v>0</v>
      </c>
      <c r="Y183" s="52"/>
      <c r="Z183" s="53"/>
      <c r="AA183" s="51">
        <f t="shared" ref="AA183:AB183" si="561">SUM(AA177:AA182)</f>
        <v>482.02</v>
      </c>
      <c r="AB183" s="68">
        <f t="shared" si="561"/>
        <v>89.64</v>
      </c>
      <c r="AC183" s="53"/>
      <c r="AD183" s="53"/>
      <c r="AE183" s="51">
        <f t="shared" ref="AE183:AF183" si="562">SUM(AE177:AE182)</f>
        <v>5878.44</v>
      </c>
      <c r="AF183" s="51">
        <f t="shared" si="562"/>
        <v>5812</v>
      </c>
      <c r="AG183" s="52"/>
      <c r="AH183" s="53"/>
      <c r="AI183" s="51">
        <f t="shared" ref="AI183:AJ183" si="563">SUM(AI177:AI182)</f>
        <v>142.42</v>
      </c>
      <c r="AJ183" s="68">
        <f t="shared" si="563"/>
        <v>644</v>
      </c>
      <c r="AK183" s="52"/>
      <c r="AL183" s="53"/>
      <c r="AM183" s="51">
        <f t="shared" ref="AM183:AN183" si="564">SUM(AM177:AM182)</f>
        <v>105.3</v>
      </c>
      <c r="AN183" s="68">
        <f t="shared" si="564"/>
        <v>0</v>
      </c>
      <c r="AO183" s="52"/>
      <c r="AP183" s="53"/>
      <c r="AQ183" s="51">
        <f t="shared" ref="AQ183:AR183" si="565">SUM(AQ176:AQ182)</f>
        <v>28.56</v>
      </c>
      <c r="AR183" s="68">
        <f t="shared" si="565"/>
        <v>92.8</v>
      </c>
      <c r="AS183" s="53"/>
      <c r="AT183" s="53"/>
      <c r="AU183" s="51">
        <f t="shared" ref="AU183:AV183" si="566">SUM(AU176:AU182)</f>
        <v>-34.62</v>
      </c>
      <c r="AV183" s="68">
        <f t="shared" si="566"/>
        <v>23.29</v>
      </c>
      <c r="AW183" s="52"/>
      <c r="AX183" s="53"/>
      <c r="AY183" s="51">
        <f t="shared" ref="AY183:AZ183" si="567">SUM(AY176:AY182)</f>
        <v>0</v>
      </c>
      <c r="AZ183" s="68">
        <f t="shared" si="567"/>
        <v>0</v>
      </c>
      <c r="BA183" s="53"/>
      <c r="BB183" s="53"/>
      <c r="BC183" s="51">
        <f t="shared" ref="BC183:BD183" si="568">SUM(BC176:BC182)</f>
        <v>0</v>
      </c>
      <c r="BD183" s="68">
        <f t="shared" si="568"/>
        <v>0</v>
      </c>
      <c r="BE183" s="69"/>
      <c r="BF183" s="70">
        <f t="shared" ref="BF183:BH183" si="569">SUM(BF176:BF182)</f>
        <v>6602.12</v>
      </c>
      <c r="BG183" s="71">
        <f t="shared" si="569"/>
        <v>6661.73</v>
      </c>
      <c r="BH183" s="72">
        <f t="shared" si="569"/>
        <v>-76.7612</v>
      </c>
      <c r="BI183" s="34">
        <f>H183+BF183-BG183</f>
        <v>-76.7612</v>
      </c>
      <c r="BJ183" s="34">
        <f>BH183-BI183</f>
        <v>0</v>
      </c>
    </row>
    <row r="184" ht="14.25" customHeight="1" spans="1:60" x14ac:dyDescent="0.25">
      <c r="A184" s="29">
        <v>25</v>
      </c>
      <c r="B184" s="14"/>
      <c r="D184" s="14" t="s">
        <v>379</v>
      </c>
      <c r="F184" s="41"/>
      <c r="G184" s="28"/>
      <c r="H184" s="34">
        <f>'2018'!BH184</f>
        <v>0</v>
      </c>
      <c r="I184" s="13"/>
      <c r="J184" s="15"/>
      <c r="K184" s="34"/>
      <c r="L184" s="35"/>
      <c r="Q184" s="13"/>
      <c r="R184" s="15"/>
      <c r="S184" s="15"/>
      <c r="T184" s="28"/>
      <c r="Y184" s="13"/>
      <c r="Z184" s="15"/>
      <c r="AA184" s="15"/>
      <c r="AB184" s="28"/>
      <c r="AG184" s="13"/>
      <c r="AH184" s="15"/>
      <c r="AI184" s="15"/>
      <c r="AJ184" s="28"/>
      <c r="AK184" s="13"/>
      <c r="AL184" s="15"/>
      <c r="AM184" s="15"/>
      <c r="AN184" s="28"/>
      <c r="AO184" s="13"/>
      <c r="AP184" s="15"/>
      <c r="AQ184" s="15">
        <v>3.02</v>
      </c>
      <c r="AR184" s="28"/>
      <c r="AW184" s="13"/>
      <c r="AX184" s="15"/>
      <c r="AY184" s="15"/>
      <c r="AZ184" s="28"/>
      <c r="BE184" s="14"/>
      <c r="BF184" s="41">
        <f t="shared" ref="BF184:BG184" si="570">K184+O184+S184+W184+AA184+AE184+AI184+AM184+AQ184+AU184+AY184+BC184</f>
        <v>3.02</v>
      </c>
      <c r="BG184" s="34">
        <f t="shared" si="570"/>
        <v>0</v>
      </c>
      <c r="BH184" s="35">
        <f t="shared" ref="BH184:BH190" si="571">H184+BF184-BG184</f>
        <v>3.02</v>
      </c>
    </row>
    <row r="185" ht="14.25" customHeight="1" spans="1:60" x14ac:dyDescent="0.25">
      <c r="A185" s="2">
        <v>25</v>
      </c>
      <c r="B185" s="30">
        <v>4</v>
      </c>
      <c r="C185" s="2" t="s">
        <v>131</v>
      </c>
      <c r="D185" s="14" t="s">
        <v>44</v>
      </c>
      <c r="E185" s="2" t="s">
        <v>45</v>
      </c>
      <c r="F185" s="13">
        <v>2.49</v>
      </c>
      <c r="G185" s="35">
        <v>2.5</v>
      </c>
      <c r="H185" s="33">
        <f>'2018'!BH185</f>
        <v>32.37</v>
      </c>
      <c r="I185" s="13">
        <v>13</v>
      </c>
      <c r="J185" s="15"/>
      <c r="K185" s="34">
        <f>J185*$F$8</f>
        <v>0</v>
      </c>
      <c r="L185" s="28"/>
      <c r="M185" s="2">
        <v>13</v>
      </c>
      <c r="N185" s="15">
        <f>M185-I185</f>
        <v>0</v>
      </c>
      <c r="O185" s="34">
        <f>N185*$F$8</f>
        <v>0</v>
      </c>
      <c r="Q185" s="13">
        <v>13</v>
      </c>
      <c r="R185" s="15">
        <f>Q185-M185</f>
        <v>0</v>
      </c>
      <c r="S185" s="34">
        <f>R185*$F$8</f>
        <v>0</v>
      </c>
      <c r="T185" s="28"/>
      <c r="U185" s="73">
        <v>13</v>
      </c>
      <c r="V185" s="15">
        <f>U185-Q185</f>
        <v>0</v>
      </c>
      <c r="W185" s="34">
        <f>V185*$F$8</f>
        <v>0</v>
      </c>
      <c r="Y185" s="75">
        <v>13</v>
      </c>
      <c r="Z185" s="15">
        <f>Y185-U185</f>
        <v>0</v>
      </c>
      <c r="AA185" s="34">
        <f>Z185*$F$8</f>
        <v>0</v>
      </c>
      <c r="AB185" s="28"/>
      <c r="AC185" s="75">
        <v>13</v>
      </c>
      <c r="AD185" s="15">
        <f>AC185-Y185</f>
        <v>0</v>
      </c>
      <c r="AE185" s="34">
        <f>AD185*$G$8</f>
        <v>0</v>
      </c>
      <c r="AG185" s="75">
        <v>13</v>
      </c>
      <c r="AH185" s="15">
        <f>AG185-AC185</f>
        <v>0</v>
      </c>
      <c r="AI185" s="34">
        <f>AH185*$G$8</f>
        <v>0</v>
      </c>
      <c r="AJ185" s="28"/>
      <c r="AK185" s="75">
        <v>13</v>
      </c>
      <c r="AL185" s="15">
        <f>AK185-AG185</f>
        <v>0</v>
      </c>
      <c r="AM185" s="34">
        <f>AL185*$G$8</f>
        <v>0</v>
      </c>
      <c r="AN185" s="28"/>
      <c r="AO185" s="75">
        <v>13</v>
      </c>
      <c r="AP185" s="15">
        <f>AO185-AK185</f>
        <v>0</v>
      </c>
      <c r="AQ185" s="34">
        <f>AP185*$G$8</f>
        <v>0</v>
      </c>
      <c r="AR185" s="32">
        <f>32.37+66.11</f>
        <v>98.48</v>
      </c>
      <c r="AS185" s="75">
        <v>13</v>
      </c>
      <c r="AT185" s="15">
        <f>AS185-AO185</f>
        <v>0</v>
      </c>
      <c r="AU185" s="34">
        <f>AT185*$G$8</f>
        <v>0</v>
      </c>
      <c r="AV185" s="15"/>
      <c r="AW185" s="75">
        <v>13</v>
      </c>
      <c r="AX185" s="15">
        <f>AW185-AS185</f>
        <v>0</v>
      </c>
      <c r="AY185" s="34">
        <f>AX185*$G$8</f>
        <v>0</v>
      </c>
      <c r="AZ185" s="28"/>
      <c r="BA185" s="75">
        <v>13</v>
      </c>
      <c r="BB185" s="15">
        <f>BA185-AW185</f>
        <v>0</v>
      </c>
      <c r="BC185" s="34">
        <f>BB185*$G$8</f>
        <v>0</v>
      </c>
      <c r="BD185" s="15"/>
      <c r="BE185" s="40">
        <f t="shared" ref="BE185:BG185" si="572">J185+N185+R185+V185+Z185+AD185+AH185+AL185+AP185+AT185+AX185+BB185</f>
        <v>0</v>
      </c>
      <c r="BF185" s="41">
        <f t="shared" si="572"/>
        <v>0</v>
      </c>
      <c r="BG185" s="34">
        <f t="shared" si="572"/>
        <v>98.48</v>
      </c>
      <c r="BH185" s="35">
        <f t="shared" si="571"/>
        <v>-66.11</v>
      </c>
    </row>
    <row r="186" ht="14.25" customHeight="1" spans="1:60" x14ac:dyDescent="0.25">
      <c r="A186" s="29">
        <v>25</v>
      </c>
      <c r="B186" s="14"/>
      <c r="C186" s="15" t="s">
        <v>394</v>
      </c>
      <c r="D186" s="14" t="s">
        <v>47</v>
      </c>
      <c r="E186" s="2" t="s">
        <v>48</v>
      </c>
      <c r="F186" s="13">
        <v>17.98</v>
      </c>
      <c r="G186" s="28">
        <v>18.56</v>
      </c>
      <c r="H186" s="34">
        <f>'2018'!BH186</f>
        <v>0</v>
      </c>
      <c r="I186" s="13"/>
      <c r="J186" s="15"/>
      <c r="K186" s="15"/>
      <c r="L186" s="28"/>
      <c r="Q186" s="13"/>
      <c r="R186" s="15"/>
      <c r="S186" s="15"/>
      <c r="T186" s="28"/>
      <c r="Y186" s="13"/>
      <c r="Z186" s="15"/>
      <c r="AA186" s="15"/>
      <c r="AB186" s="28"/>
      <c r="AC186" s="15"/>
      <c r="AE186" s="34">
        <f>AD186*$F$10</f>
        <v>0</v>
      </c>
      <c r="AG186" s="13"/>
      <c r="AH186" s="15"/>
      <c r="AI186" s="45">
        <f>AH186*$G$10</f>
        <v>0</v>
      </c>
      <c r="AJ186" s="28"/>
      <c r="AK186" s="13"/>
      <c r="AL186" s="15"/>
      <c r="AM186" s="45">
        <f>AL186*$G$10</f>
        <v>0</v>
      </c>
      <c r="AN186" s="28"/>
      <c r="AO186" s="13"/>
      <c r="AP186" s="15"/>
      <c r="AQ186" s="45">
        <f>AP186*$G$10</f>
        <v>0</v>
      </c>
      <c r="AR186" s="28"/>
      <c r="AS186" s="15"/>
      <c r="AT186" s="15"/>
      <c r="AU186" s="45">
        <f>AT186*$G$10</f>
        <v>0</v>
      </c>
      <c r="AV186" s="15"/>
      <c r="AW186" s="13"/>
      <c r="AX186" s="15"/>
      <c r="AY186" s="15"/>
      <c r="AZ186" s="28"/>
      <c r="BA186" s="15"/>
      <c r="BB186" s="15"/>
      <c r="BC186" s="15"/>
      <c r="BD186" s="15"/>
      <c r="BE186" s="40">
        <f t="shared" ref="BE186:BG186" si="573">J186+N186+R186+V186+Z186+AD186+AH186+AL186+AP186+AT186+AX186+BB186</f>
        <v>0</v>
      </c>
      <c r="BF186" s="41">
        <f t="shared" si="573"/>
        <v>0</v>
      </c>
      <c r="BG186" s="34">
        <f t="shared" si="573"/>
        <v>0</v>
      </c>
      <c r="BH186" s="35">
        <f t="shared" si="571"/>
        <v>0</v>
      </c>
    </row>
    <row r="187" ht="14.25" customHeight="1" spans="1:60" x14ac:dyDescent="0.25">
      <c r="A187" s="29">
        <v>25</v>
      </c>
      <c r="B187" s="14"/>
      <c r="C187" s="15" t="s">
        <v>151</v>
      </c>
      <c r="D187" s="14" t="s">
        <v>47</v>
      </c>
      <c r="E187" s="2" t="s">
        <v>49</v>
      </c>
      <c r="F187" s="41">
        <v>500</v>
      </c>
      <c r="G187" s="28"/>
      <c r="H187" s="144">
        <f>'2018'!BH187</f>
        <v>0</v>
      </c>
      <c r="I187" s="13"/>
      <c r="J187" s="15"/>
      <c r="K187" s="15"/>
      <c r="L187" s="28"/>
      <c r="Q187" s="13"/>
      <c r="R187" s="15"/>
      <c r="S187" s="15"/>
      <c r="T187" s="28"/>
      <c r="Y187" s="13"/>
      <c r="Z187" s="15"/>
      <c r="AA187" s="34"/>
      <c r="AB187" s="28"/>
      <c r="AC187" s="15"/>
      <c r="AG187" s="13"/>
      <c r="AH187" s="15"/>
      <c r="AI187" s="15"/>
      <c r="AJ187" s="28"/>
      <c r="AK187" s="13"/>
      <c r="AL187" s="15"/>
      <c r="AM187" s="34"/>
      <c r="AN187" s="28"/>
      <c r="AO187" s="13"/>
      <c r="AP187" s="15"/>
      <c r="AQ187" s="34"/>
      <c r="AR187" s="28"/>
      <c r="AS187" s="15"/>
      <c r="AT187" s="15"/>
      <c r="AU187" s="15"/>
      <c r="AV187" s="15"/>
      <c r="AW187" s="13"/>
      <c r="AX187" s="15"/>
      <c r="AY187" s="15"/>
      <c r="AZ187" s="28"/>
      <c r="BA187" s="15"/>
      <c r="BB187" s="15"/>
      <c r="BC187" s="15"/>
      <c r="BD187" s="15"/>
      <c r="BE187" s="14"/>
      <c r="BF187" s="41">
        <f t="shared" ref="BF187:BG187" si="574">K187+O187+S187+W187+AA187+AE187+AI187+AM187+AQ187+AU187+AY187+BC187</f>
        <v>0</v>
      </c>
      <c r="BG187" s="34">
        <f t="shared" si="574"/>
        <v>0</v>
      </c>
      <c r="BH187" s="35">
        <f t="shared" si="571"/>
        <v>0</v>
      </c>
    </row>
    <row r="188" ht="14.25" customHeight="1" spans="1:60" x14ac:dyDescent="0.25">
      <c r="A188" s="29">
        <v>25</v>
      </c>
      <c r="B188" s="14"/>
      <c r="C188" s="73"/>
      <c r="D188" s="14" t="s">
        <v>50</v>
      </c>
      <c r="E188" s="2" t="s">
        <v>49</v>
      </c>
      <c r="F188" s="41">
        <v>1200</v>
      </c>
      <c r="G188" s="28"/>
      <c r="H188" s="34">
        <f>'2018'!BH188</f>
        <v>4251.52</v>
      </c>
      <c r="I188" s="13"/>
      <c r="J188" s="15"/>
      <c r="K188" s="15"/>
      <c r="L188" s="28"/>
      <c r="Q188" s="13"/>
      <c r="R188" s="15"/>
      <c r="S188" s="15"/>
      <c r="T188" s="28"/>
      <c r="Y188" s="13"/>
      <c r="Z188" s="15"/>
      <c r="AA188" s="15"/>
      <c r="AB188" s="28"/>
      <c r="AE188" s="34">
        <f>B185*$F$12</f>
        <v>4800</v>
      </c>
      <c r="AG188" s="13"/>
      <c r="AH188" s="15"/>
      <c r="AI188" s="15"/>
      <c r="AJ188" s="28"/>
      <c r="AK188" s="13"/>
      <c r="AL188" s="15"/>
      <c r="AM188" s="15"/>
      <c r="AN188" s="28"/>
      <c r="AO188" s="13"/>
      <c r="AP188" s="15"/>
      <c r="AQ188" s="15"/>
      <c r="AR188" s="32">
        <v>9051.52</v>
      </c>
      <c r="AS188" s="15"/>
      <c r="AT188" s="15"/>
      <c r="AU188" s="15"/>
      <c r="AV188" s="15"/>
      <c r="AW188" s="13"/>
      <c r="AX188" s="15"/>
      <c r="AY188" s="15"/>
      <c r="AZ188" s="28"/>
      <c r="BA188" s="15"/>
      <c r="BB188" s="15"/>
      <c r="BC188" s="15"/>
      <c r="BD188" s="15"/>
      <c r="BE188" s="14"/>
      <c r="BF188" s="41">
        <f t="shared" ref="BF188:BG188" si="575">K188+O188+S188+W188+AA188+AE188+AI188+AM188+AQ188+AU188+AY188+BC188</f>
        <v>4800</v>
      </c>
      <c r="BG188" s="34">
        <f t="shared" si="575"/>
        <v>9051.52</v>
      </c>
      <c r="BH188" s="35">
        <f t="shared" si="571"/>
        <v>0</v>
      </c>
    </row>
    <row r="189" ht="14.25" customHeight="1" spans="1:60" x14ac:dyDescent="0.25">
      <c r="A189" s="29">
        <v>25</v>
      </c>
      <c r="B189" s="14"/>
      <c r="C189" s="15" t="s">
        <v>250</v>
      </c>
      <c r="D189" s="14" t="s">
        <v>51</v>
      </c>
      <c r="E189" s="2" t="s">
        <v>49</v>
      </c>
      <c r="F189" s="41">
        <v>1000</v>
      </c>
      <c r="G189" s="28"/>
      <c r="H189" s="34">
        <f>'2018'!BH189</f>
        <v>0</v>
      </c>
      <c r="I189" s="13"/>
      <c r="J189" s="15"/>
      <c r="K189" s="15"/>
      <c r="L189" s="28"/>
      <c r="Q189" s="13"/>
      <c r="R189" s="15"/>
      <c r="S189" s="15"/>
      <c r="T189" s="28"/>
      <c r="Y189" s="13"/>
      <c r="Z189" s="15"/>
      <c r="AA189" s="15"/>
      <c r="AB189" s="28"/>
      <c r="AE189" s="34">
        <f>$F$21</f>
        <v>1000</v>
      </c>
      <c r="AG189" s="13"/>
      <c r="AH189" s="15"/>
      <c r="AI189" s="15"/>
      <c r="AJ189" s="28"/>
      <c r="AK189" s="13"/>
      <c r="AL189" s="15"/>
      <c r="AM189" s="15"/>
      <c r="AN189" s="28"/>
      <c r="AO189" s="13"/>
      <c r="AP189" s="15"/>
      <c r="AQ189" s="15"/>
      <c r="AR189" s="38">
        <v>1000</v>
      </c>
      <c r="AS189" s="15"/>
      <c r="AT189" s="15"/>
      <c r="AU189" s="15"/>
      <c r="AV189" s="15"/>
      <c r="AW189" s="13"/>
      <c r="AX189" s="15"/>
      <c r="AY189" s="15"/>
      <c r="AZ189" s="28"/>
      <c r="BA189" s="15"/>
      <c r="BB189" s="15"/>
      <c r="BC189" s="15"/>
      <c r="BD189" s="15"/>
      <c r="BE189" s="14"/>
      <c r="BF189" s="41">
        <f t="shared" ref="BF189:BG189" si="576">K189+O189+S189+W189+AA189+AE189+AI189+AM189+AQ189+AU189+AY189+BC189</f>
        <v>1000</v>
      </c>
      <c r="BG189" s="34">
        <f t="shared" si="576"/>
        <v>1000</v>
      </c>
      <c r="BH189" s="35">
        <f t="shared" si="571"/>
        <v>0</v>
      </c>
    </row>
    <row r="190" ht="14.25" customHeight="1" spans="1:60" x14ac:dyDescent="0.25">
      <c r="A190" s="29">
        <v>25</v>
      </c>
      <c r="B190" s="14"/>
      <c r="C190" s="15" t="s">
        <v>395</v>
      </c>
      <c r="D190" s="14" t="s">
        <v>52</v>
      </c>
      <c r="E190" s="2" t="s">
        <v>39</v>
      </c>
      <c r="F190" s="41">
        <v>500</v>
      </c>
      <c r="G190" s="28"/>
      <c r="H190" s="34">
        <f>'2018'!BH190</f>
        <v>350</v>
      </c>
      <c r="I190" s="13"/>
      <c r="J190" s="15"/>
      <c r="K190" s="15"/>
      <c r="L190" s="28"/>
      <c r="Q190" s="13"/>
      <c r="R190" s="15"/>
      <c r="S190" s="15"/>
      <c r="T190" s="28"/>
      <c r="Y190" s="13"/>
      <c r="Z190" s="15"/>
      <c r="AA190" s="34">
        <f>$F$14</f>
        <v>500</v>
      </c>
      <c r="AB190" s="28"/>
      <c r="AG190" s="13"/>
      <c r="AH190" s="15"/>
      <c r="AI190" s="15"/>
      <c r="AJ190" s="28"/>
      <c r="AK190" s="13"/>
      <c r="AL190" s="15"/>
      <c r="AM190" s="15"/>
      <c r="AN190" s="28"/>
      <c r="AO190" s="13"/>
      <c r="AP190" s="15"/>
      <c r="AQ190" s="15"/>
      <c r="AR190" s="38">
        <v>850</v>
      </c>
      <c r="AS190" s="15"/>
      <c r="AT190" s="15"/>
      <c r="AU190" s="15"/>
      <c r="AV190" s="15"/>
      <c r="AW190" s="13"/>
      <c r="AX190" s="15"/>
      <c r="AY190" s="15"/>
      <c r="AZ190" s="28"/>
      <c r="BA190" s="15"/>
      <c r="BB190" s="15"/>
      <c r="BC190" s="15"/>
      <c r="BD190" s="15"/>
      <c r="BE190" s="14"/>
      <c r="BF190" s="41">
        <f t="shared" ref="BF190:BG190" si="577">K190+O190+S190+W190+AA190+AE190+AI190+AM190+AQ190+AU190+AY190+BC190</f>
        <v>500</v>
      </c>
      <c r="BG190" s="34">
        <f t="shared" si="577"/>
        <v>850</v>
      </c>
      <c r="BH190" s="35">
        <f t="shared" si="571"/>
        <v>0</v>
      </c>
    </row>
    <row r="191" ht="14.25" customHeight="1" spans="1:62" x14ac:dyDescent="0.25">
      <c r="A191" s="50">
        <v>25</v>
      </c>
      <c r="B191" s="21"/>
      <c r="C191" s="22" t="s">
        <v>53</v>
      </c>
      <c r="D191" s="21"/>
      <c r="E191" s="22"/>
      <c r="F191" s="20"/>
      <c r="G191" s="23"/>
      <c r="H191" s="51">
        <f>SUM(H184:H190)</f>
        <v>4633.89</v>
      </c>
      <c r="I191" s="52"/>
      <c r="J191" s="53"/>
      <c r="K191" s="51">
        <f t="shared" ref="K191:L191" si="578">SUM(K184:K190)</f>
        <v>0</v>
      </c>
      <c r="L191" s="68">
        <f t="shared" si="578"/>
        <v>0</v>
      </c>
      <c r="M191" s="53"/>
      <c r="N191" s="53"/>
      <c r="O191" s="51">
        <f t="shared" ref="O191:P191" si="579">SUM(O185:O190)</f>
        <v>0</v>
      </c>
      <c r="P191" s="51">
        <f t="shared" si="579"/>
        <v>0</v>
      </c>
      <c r="Q191" s="52"/>
      <c r="R191" s="53"/>
      <c r="S191" s="51">
        <f t="shared" ref="S191:T191" si="580">SUM(S185:S190)</f>
        <v>0</v>
      </c>
      <c r="T191" s="68">
        <f t="shared" si="580"/>
        <v>0</v>
      </c>
      <c r="U191" s="53"/>
      <c r="V191" s="53"/>
      <c r="W191" s="51">
        <f t="shared" ref="W191:X191" si="581">SUM(W185:W190)</f>
        <v>0</v>
      </c>
      <c r="X191" s="51">
        <f t="shared" si="581"/>
        <v>0</v>
      </c>
      <c r="Y191" s="52"/>
      <c r="Z191" s="53"/>
      <c r="AA191" s="51">
        <f t="shared" ref="AA191:AB191" si="582">SUM(AA185:AA190)</f>
        <v>500</v>
      </c>
      <c r="AB191" s="68">
        <f t="shared" si="582"/>
        <v>0</v>
      </c>
      <c r="AC191" s="53"/>
      <c r="AD191" s="53"/>
      <c r="AE191" s="51">
        <f t="shared" ref="AE191:AF191" si="583">SUM(AE185:AE190)</f>
        <v>5800</v>
      </c>
      <c r="AF191" s="51">
        <f t="shared" si="583"/>
        <v>0</v>
      </c>
      <c r="AG191" s="52"/>
      <c r="AH191" s="53"/>
      <c r="AI191" s="51">
        <f t="shared" ref="AI191:AJ191" si="584">SUM(AI185:AI190)</f>
        <v>0</v>
      </c>
      <c r="AJ191" s="68">
        <f t="shared" si="584"/>
        <v>0</v>
      </c>
      <c r="AK191" s="52"/>
      <c r="AL191" s="53"/>
      <c r="AM191" s="51">
        <f t="shared" ref="AM191:AN191" si="585">SUM(AM185:AM190)</f>
        <v>0</v>
      </c>
      <c r="AN191" s="68">
        <f t="shared" si="585"/>
        <v>0</v>
      </c>
      <c r="AO191" s="52"/>
      <c r="AP191" s="53"/>
      <c r="AQ191" s="51">
        <f t="shared" ref="AQ191:AR191" si="586">SUM(AQ184:AQ190)</f>
        <v>3.02</v>
      </c>
      <c r="AR191" s="68">
        <f t="shared" si="586"/>
        <v>11000</v>
      </c>
      <c r="AS191" s="53"/>
      <c r="AT191" s="53"/>
      <c r="AU191" s="51">
        <f t="shared" ref="AU191:AV191" si="587">SUM(AU184:AU190)</f>
        <v>0</v>
      </c>
      <c r="AV191" s="68">
        <f t="shared" si="587"/>
        <v>0</v>
      </c>
      <c r="AW191" s="52"/>
      <c r="AX191" s="53"/>
      <c r="AY191" s="51">
        <f t="shared" ref="AY191:AZ191" si="588">SUM(AY184:AY190)</f>
        <v>0</v>
      </c>
      <c r="AZ191" s="68">
        <f t="shared" si="588"/>
        <v>0</v>
      </c>
      <c r="BA191" s="53"/>
      <c r="BB191" s="53"/>
      <c r="BC191" s="51">
        <f t="shared" ref="BC191:BD191" si="589">SUM(BC184:BC190)</f>
        <v>0</v>
      </c>
      <c r="BD191" s="68">
        <f t="shared" si="589"/>
        <v>0</v>
      </c>
      <c r="BE191" s="69"/>
      <c r="BF191" s="70">
        <f t="shared" ref="BF191:BH191" si="590">SUM(BF184:BF190)</f>
        <v>6303.02</v>
      </c>
      <c r="BG191" s="71">
        <f t="shared" si="590"/>
        <v>11000</v>
      </c>
      <c r="BH191" s="72">
        <f t="shared" si="590"/>
        <v>-63.09</v>
      </c>
      <c r="BI191" s="34">
        <f>H191+BF191-BG191</f>
        <v>-63.09</v>
      </c>
      <c r="BJ191" s="34">
        <f>BH191-BI191</f>
        <v>0</v>
      </c>
    </row>
    <row r="192" ht="14.25" customHeight="1" spans="1:60" x14ac:dyDescent="0.25">
      <c r="A192" s="29">
        <v>26</v>
      </c>
      <c r="B192" s="14"/>
      <c r="D192" s="14" t="s">
        <v>132</v>
      </c>
      <c r="F192" s="13"/>
      <c r="G192" s="28"/>
      <c r="H192" s="34">
        <f>'2018'!BH192</f>
        <v>4830</v>
      </c>
      <c r="I192" s="13"/>
      <c r="J192" s="15"/>
      <c r="K192" s="15"/>
      <c r="L192" s="28"/>
      <c r="Q192" s="13"/>
      <c r="R192" s="15"/>
      <c r="S192" s="15"/>
      <c r="T192" s="28"/>
      <c r="Y192" s="13"/>
      <c r="Z192" s="15"/>
      <c r="AA192" s="15"/>
      <c r="AB192" s="28"/>
      <c r="AG192" s="13"/>
      <c r="AH192" s="15"/>
      <c r="AI192" s="15"/>
      <c r="AJ192" s="28"/>
      <c r="AK192" s="13"/>
      <c r="AL192" s="15"/>
      <c r="AM192" s="15"/>
      <c r="AN192" s="28"/>
      <c r="AO192" s="13"/>
      <c r="AP192" s="15"/>
      <c r="AQ192" s="15">
        <v>110.03</v>
      </c>
      <c r="AR192" s="28"/>
      <c r="AU192" s="34">
        <v>113.7</v>
      </c>
      <c r="AW192" s="13"/>
      <c r="AX192" s="15"/>
      <c r="AY192" s="15">
        <v>110.03</v>
      </c>
      <c r="AZ192" s="28"/>
      <c r="BC192" s="34">
        <v>113.7</v>
      </c>
      <c r="BE192" s="14"/>
      <c r="BF192" s="41">
        <f t="shared" ref="BF192:BG192" si="591">K192+O192+S192+W192+AA192+AE192+AI192+AM192+AQ192+AU192+AY192+BC192</f>
        <v>447.46</v>
      </c>
      <c r="BG192" s="34">
        <f t="shared" si="591"/>
        <v>0</v>
      </c>
      <c r="BH192" s="35">
        <f t="shared" ref="BH192:BH198" si="592">H192+BF192-BG192</f>
        <v>5277.46</v>
      </c>
    </row>
    <row r="193" ht="14.25" customHeight="1" spans="1:60" x14ac:dyDescent="0.25">
      <c r="A193" s="2">
        <v>26</v>
      </c>
      <c r="B193" s="14">
        <v>3.98</v>
      </c>
      <c r="C193" s="2" t="s">
        <v>133</v>
      </c>
      <c r="D193" s="14" t="s">
        <v>44</v>
      </c>
      <c r="E193" s="2" t="s">
        <v>45</v>
      </c>
      <c r="F193" s="13">
        <v>2.49</v>
      </c>
      <c r="G193" s="35">
        <v>2.5</v>
      </c>
      <c r="H193" s="104">
        <f>'2018'!BH193</f>
        <v>0</v>
      </c>
      <c r="I193" s="13"/>
      <c r="J193" s="15"/>
      <c r="K193" s="34">
        <f>J193*$F$8</f>
        <v>0</v>
      </c>
      <c r="L193" s="28"/>
      <c r="N193" s="15">
        <f>M193-I193</f>
        <v>0</v>
      </c>
      <c r="O193" s="34">
        <f>N193*$F$8</f>
        <v>0</v>
      </c>
      <c r="Q193" s="13"/>
      <c r="R193" s="15">
        <f>Q193-M193</f>
        <v>0</v>
      </c>
      <c r="S193" s="34">
        <f>R193*$F$8</f>
        <v>0</v>
      </c>
      <c r="T193" s="28"/>
      <c r="V193" s="15">
        <f>U193-Q193</f>
        <v>0</v>
      </c>
      <c r="Y193" s="13"/>
      <c r="Z193" s="15">
        <f>Y193-U193</f>
        <v>0</v>
      </c>
      <c r="AA193" s="34">
        <f>Z193*$F$8</f>
        <v>0</v>
      </c>
      <c r="AB193" s="28"/>
      <c r="AC193" s="15"/>
      <c r="AD193" s="15">
        <f>AC193-Y193</f>
        <v>0</v>
      </c>
      <c r="AE193" s="34">
        <f>AD193*$G$8</f>
        <v>0</v>
      </c>
      <c r="AG193" s="13"/>
      <c r="AH193" s="15">
        <f>AG193-AC193</f>
        <v>0</v>
      </c>
      <c r="AI193" s="34">
        <f>AH193*$G$8</f>
        <v>0</v>
      </c>
      <c r="AJ193" s="28"/>
      <c r="AK193" s="13"/>
      <c r="AL193" s="15">
        <f>AK193-AG193</f>
        <v>0</v>
      </c>
      <c r="AM193" s="34">
        <f>AL193*$G$8</f>
        <v>0</v>
      </c>
      <c r="AN193" s="28"/>
      <c r="AO193" s="13"/>
      <c r="AP193" s="15">
        <f>AO193-AK193</f>
        <v>0</v>
      </c>
      <c r="AQ193" s="34">
        <f>AP193*$G$8</f>
        <v>0</v>
      </c>
      <c r="AR193" s="28"/>
      <c r="AS193" s="15"/>
      <c r="AT193" s="15">
        <f>AS193-AO193</f>
        <v>0</v>
      </c>
      <c r="AU193" s="34">
        <f>AT193*$G$8</f>
        <v>0</v>
      </c>
      <c r="AV193" s="15"/>
      <c r="AW193" s="13"/>
      <c r="AX193" s="15">
        <f>AW193-AS193</f>
        <v>0</v>
      </c>
      <c r="AY193" s="34">
        <f>AX193*$G$8</f>
        <v>0</v>
      </c>
      <c r="AZ193" s="28"/>
      <c r="BA193" s="15"/>
      <c r="BB193" s="15">
        <f>BA193-AW193</f>
        <v>0</v>
      </c>
      <c r="BC193" s="34">
        <f>BB193*$G$8</f>
        <v>0</v>
      </c>
      <c r="BD193" s="15"/>
      <c r="BE193" s="40">
        <f t="shared" ref="BE193:BG193" si="593">J193+N193+R193+V193+Z193+AD193+AH193+AL193+AP193+AT193+AX193+BB193</f>
        <v>0</v>
      </c>
      <c r="BF193" s="41">
        <f t="shared" si="593"/>
        <v>0</v>
      </c>
      <c r="BG193" s="34">
        <f t="shared" si="593"/>
        <v>0</v>
      </c>
      <c r="BH193" s="35">
        <f t="shared" si="592"/>
        <v>0</v>
      </c>
    </row>
    <row r="194" ht="14.25" customHeight="1" spans="1:60" x14ac:dyDescent="0.25">
      <c r="A194" s="29">
        <v>26</v>
      </c>
      <c r="B194" s="14"/>
      <c r="C194" s="2" t="s">
        <v>134</v>
      </c>
      <c r="D194" s="14" t="s">
        <v>47</v>
      </c>
      <c r="E194" s="2" t="s">
        <v>48</v>
      </c>
      <c r="F194" s="13">
        <v>17.98</v>
      </c>
      <c r="G194" s="28">
        <v>18.56</v>
      </c>
      <c r="H194" s="34">
        <f>'2018'!BH194</f>
        <v>0</v>
      </c>
      <c r="I194" s="13"/>
      <c r="J194" s="15"/>
      <c r="K194" s="15"/>
      <c r="L194" s="28"/>
      <c r="Q194" s="13"/>
      <c r="R194" s="15"/>
      <c r="S194" s="15"/>
      <c r="T194" s="28"/>
      <c r="Y194" s="13"/>
      <c r="Z194" s="15"/>
      <c r="AA194" s="15"/>
      <c r="AB194" s="28"/>
      <c r="AC194" s="15"/>
      <c r="AE194" s="34">
        <f>AD194*$F$10</f>
        <v>0</v>
      </c>
      <c r="AG194" s="13"/>
      <c r="AH194" s="15"/>
      <c r="AI194" s="45">
        <f>AH194*$G$10</f>
        <v>0</v>
      </c>
      <c r="AJ194" s="28"/>
      <c r="AK194" s="13"/>
      <c r="AL194" s="15"/>
      <c r="AM194" s="45">
        <f>AL194*$G$10</f>
        <v>0</v>
      </c>
      <c r="AN194" s="28"/>
      <c r="AO194" s="13"/>
      <c r="AP194" s="15"/>
      <c r="AQ194" s="45">
        <f>AP194*$G$10</f>
        <v>0</v>
      </c>
      <c r="AR194" s="28"/>
      <c r="AS194" s="15"/>
      <c r="AT194" s="15"/>
      <c r="AU194" s="45">
        <f>AT194*$G$10</f>
        <v>0</v>
      </c>
      <c r="AV194" s="15"/>
      <c r="AW194" s="13"/>
      <c r="AX194" s="15"/>
      <c r="AY194" s="15"/>
      <c r="AZ194" s="28"/>
      <c r="BA194" s="15"/>
      <c r="BB194" s="15"/>
      <c r="BC194" s="15"/>
      <c r="BD194" s="15"/>
      <c r="BE194" s="40">
        <f t="shared" ref="BE194:BG194" si="594">J194+N194+R194+V194+Z194+AD194+AH194+AL194+AP194+AT194+AX194+BB194</f>
        <v>0</v>
      </c>
      <c r="BF194" s="41">
        <f t="shared" si="594"/>
        <v>0</v>
      </c>
      <c r="BG194" s="34">
        <f t="shared" si="594"/>
        <v>0</v>
      </c>
      <c r="BH194" s="35">
        <f t="shared" si="592"/>
        <v>0</v>
      </c>
    </row>
    <row r="195" ht="14.25" customHeight="1" spans="1:60" x14ac:dyDescent="0.25">
      <c r="A195" s="29">
        <v>26</v>
      </c>
      <c r="B195" s="14"/>
      <c r="C195" s="2" t="s">
        <v>135</v>
      </c>
      <c r="D195" s="14" t="s">
        <v>47</v>
      </c>
      <c r="E195" s="2" t="s">
        <v>49</v>
      </c>
      <c r="F195" s="41">
        <v>500</v>
      </c>
      <c r="G195" s="28"/>
      <c r="H195" s="144">
        <f>'2018'!BH195</f>
        <v>0</v>
      </c>
      <c r="I195" s="13"/>
      <c r="J195" s="15"/>
      <c r="K195" s="15"/>
      <c r="L195" s="28"/>
      <c r="Q195" s="13"/>
      <c r="R195" s="15"/>
      <c r="S195" s="15"/>
      <c r="T195" s="28"/>
      <c r="Y195" s="13"/>
      <c r="Z195" s="15"/>
      <c r="AA195" s="34"/>
      <c r="AB195" s="28"/>
      <c r="AC195" s="15"/>
      <c r="AG195" s="13"/>
      <c r="AH195" s="15"/>
      <c r="AI195" s="15"/>
      <c r="AJ195" s="28"/>
      <c r="AK195" s="13"/>
      <c r="AL195" s="15"/>
      <c r="AM195" s="34"/>
      <c r="AN195" s="28"/>
      <c r="AO195" s="13"/>
      <c r="AP195" s="15"/>
      <c r="AQ195" s="34"/>
      <c r="AR195" s="28"/>
      <c r="AS195" s="15"/>
      <c r="AT195" s="15"/>
      <c r="AU195" s="15"/>
      <c r="AV195" s="15"/>
      <c r="AW195" s="13"/>
      <c r="AX195" s="15"/>
      <c r="AY195" s="15"/>
      <c r="AZ195" s="28"/>
      <c r="BA195" s="15"/>
      <c r="BB195" s="15"/>
      <c r="BC195" s="15"/>
      <c r="BD195" s="15"/>
      <c r="BE195" s="14"/>
      <c r="BF195" s="41">
        <f t="shared" ref="BF195:BG195" si="595">K195+O195+S195+W195+AA195+AE195+AI195+AM195+AQ195+AU195+AY195+BC195</f>
        <v>0</v>
      </c>
      <c r="BG195" s="34">
        <f t="shared" si="595"/>
        <v>0</v>
      </c>
      <c r="BH195" s="35">
        <f t="shared" si="592"/>
        <v>0</v>
      </c>
    </row>
    <row r="196" ht="14.25" customHeight="1" spans="1:60" x14ac:dyDescent="0.25">
      <c r="A196" s="29">
        <v>26</v>
      </c>
      <c r="B196" s="14"/>
      <c r="D196" s="14" t="s">
        <v>50</v>
      </c>
      <c r="E196" s="2" t="s">
        <v>49</v>
      </c>
      <c r="F196" s="41">
        <v>1200</v>
      </c>
      <c r="G196" s="28"/>
      <c r="H196" s="34">
        <f>'2018'!BH196</f>
        <v>15374.2624</v>
      </c>
      <c r="I196" s="13"/>
      <c r="J196" s="15"/>
      <c r="K196" s="15"/>
      <c r="L196" s="28"/>
      <c r="Q196" s="13"/>
      <c r="R196" s="15"/>
      <c r="S196" s="15"/>
      <c r="T196" s="28"/>
      <c r="Y196" s="13"/>
      <c r="Z196" s="15"/>
      <c r="AA196" s="15"/>
      <c r="AB196" s="28"/>
      <c r="AE196" s="34">
        <f>B193*$F$12</f>
        <v>4776</v>
      </c>
      <c r="AG196" s="13"/>
      <c r="AH196" s="15"/>
      <c r="AI196" s="15"/>
      <c r="AJ196" s="28"/>
      <c r="AK196" s="13"/>
      <c r="AL196" s="15"/>
      <c r="AM196" s="15"/>
      <c r="AN196" s="28"/>
      <c r="AO196" s="13"/>
      <c r="AP196" s="15"/>
      <c r="AQ196" s="15"/>
      <c r="AR196" s="28"/>
      <c r="AS196" s="15"/>
      <c r="AT196" s="15"/>
      <c r="AU196" s="15"/>
      <c r="AV196" s="15"/>
      <c r="AW196" s="13"/>
      <c r="AX196" s="15"/>
      <c r="AY196" s="15"/>
      <c r="AZ196" s="28"/>
      <c r="BA196" s="15"/>
      <c r="BB196" s="15"/>
      <c r="BC196" s="15"/>
      <c r="BD196" s="15"/>
      <c r="BE196" s="14"/>
      <c r="BF196" s="41">
        <f t="shared" ref="BF196:BG196" si="596">K196+O196+S196+W196+AA196+AE196+AI196+AM196+AQ196+AU196+AY196+BC196</f>
        <v>4776</v>
      </c>
      <c r="BG196" s="34">
        <f t="shared" si="596"/>
        <v>0</v>
      </c>
      <c r="BH196" s="35">
        <f t="shared" si="592"/>
        <v>20150.2624</v>
      </c>
    </row>
    <row r="197" ht="14.25" customHeight="1" spans="1:60" x14ac:dyDescent="0.25">
      <c r="A197" s="29">
        <v>26</v>
      </c>
      <c r="B197" s="14"/>
      <c r="D197" s="14" t="s">
        <v>51</v>
      </c>
      <c r="E197" s="2" t="s">
        <v>49</v>
      </c>
      <c r="F197" s="41">
        <v>1000</v>
      </c>
      <c r="G197" s="28"/>
      <c r="H197" s="34">
        <f>'2018'!BH197</f>
        <v>15527</v>
      </c>
      <c r="I197" s="13"/>
      <c r="J197" s="15"/>
      <c r="K197" s="15"/>
      <c r="L197" s="28"/>
      <c r="Q197" s="13"/>
      <c r="R197" s="15"/>
      <c r="S197" s="15"/>
      <c r="T197" s="28"/>
      <c r="Y197" s="13"/>
      <c r="Z197" s="15"/>
      <c r="AA197" s="15"/>
      <c r="AB197" s="28"/>
      <c r="AE197" s="34">
        <f>$F$21</f>
        <v>1000</v>
      </c>
      <c r="AG197" s="13"/>
      <c r="AH197" s="15"/>
      <c r="AI197" s="15"/>
      <c r="AJ197" s="28"/>
      <c r="AK197" s="13"/>
      <c r="AL197" s="15"/>
      <c r="AM197" s="15"/>
      <c r="AN197" s="28"/>
      <c r="AO197" s="13"/>
      <c r="AP197" s="15"/>
      <c r="AQ197" s="15"/>
      <c r="AR197" s="28"/>
      <c r="AS197" s="15"/>
      <c r="AT197" s="15"/>
      <c r="AU197" s="15"/>
      <c r="AV197" s="15"/>
      <c r="AW197" s="13"/>
      <c r="AX197" s="15"/>
      <c r="AY197" s="15"/>
      <c r="AZ197" s="28"/>
      <c r="BA197" s="15"/>
      <c r="BB197" s="15"/>
      <c r="BC197" s="15"/>
      <c r="BD197" s="15"/>
      <c r="BE197" s="14"/>
      <c r="BF197" s="41">
        <f t="shared" ref="BF197:BG197" si="597">K197+O197+S197+W197+AA197+AE197+AI197+AM197+AQ197+AU197+AY197+BC197</f>
        <v>1000</v>
      </c>
      <c r="BG197" s="34">
        <f t="shared" si="597"/>
        <v>0</v>
      </c>
      <c r="BH197" s="35">
        <f t="shared" si="592"/>
        <v>16527</v>
      </c>
    </row>
    <row r="198" ht="14.25" customHeight="1" spans="1:60" x14ac:dyDescent="0.25">
      <c r="A198" s="29">
        <v>26</v>
      </c>
      <c r="B198" s="14"/>
      <c r="D198" s="14" t="s">
        <v>52</v>
      </c>
      <c r="E198" s="2" t="s">
        <v>39</v>
      </c>
      <c r="F198" s="41">
        <v>500</v>
      </c>
      <c r="G198" s="28"/>
      <c r="H198" s="34">
        <f>'2018'!BH198</f>
        <v>1450</v>
      </c>
      <c r="I198" s="13"/>
      <c r="J198" s="15"/>
      <c r="K198" s="15"/>
      <c r="L198" s="28"/>
      <c r="Q198" s="13"/>
      <c r="R198" s="15"/>
      <c r="S198" s="15"/>
      <c r="T198" s="28"/>
      <c r="Y198" s="13"/>
      <c r="Z198" s="15"/>
      <c r="AA198" s="34">
        <f>$F$14</f>
        <v>500</v>
      </c>
      <c r="AB198" s="28"/>
      <c r="AG198" s="13"/>
      <c r="AH198" s="15"/>
      <c r="AI198" s="15"/>
      <c r="AJ198" s="28"/>
      <c r="AK198" s="13"/>
      <c r="AL198" s="15"/>
      <c r="AM198" s="15"/>
      <c r="AN198" s="28"/>
      <c r="AO198" s="13"/>
      <c r="AP198" s="15"/>
      <c r="AQ198" s="15"/>
      <c r="AR198" s="28"/>
      <c r="AS198" s="15"/>
      <c r="AT198" s="15"/>
      <c r="AU198" s="15"/>
      <c r="AV198" s="15"/>
      <c r="AW198" s="13"/>
      <c r="AX198" s="15"/>
      <c r="AY198" s="15"/>
      <c r="AZ198" s="28"/>
      <c r="BA198" s="15"/>
      <c r="BB198" s="15"/>
      <c r="BC198" s="15"/>
      <c r="BD198" s="15"/>
      <c r="BE198" s="14"/>
      <c r="BF198" s="41">
        <f t="shared" ref="BF198:BG198" si="598">K198+O198+S198+W198+AA198+AE198+AI198+AM198+AQ198+AU198+AY198+BC198</f>
        <v>500</v>
      </c>
      <c r="BG198" s="34">
        <f t="shared" si="598"/>
        <v>0</v>
      </c>
      <c r="BH198" s="35">
        <f t="shared" si="592"/>
        <v>1950</v>
      </c>
    </row>
    <row r="199" ht="14.25" customHeight="1" spans="1:62" x14ac:dyDescent="0.25">
      <c r="A199" s="50">
        <v>26</v>
      </c>
      <c r="B199" s="21"/>
      <c r="C199" s="22" t="s">
        <v>53</v>
      </c>
      <c r="D199" s="21"/>
      <c r="E199" s="22"/>
      <c r="F199" s="20"/>
      <c r="G199" s="23"/>
      <c r="H199" s="51">
        <f>SUM(H192:H198)</f>
        <v>37181.2624</v>
      </c>
      <c r="I199" s="52"/>
      <c r="J199" s="53"/>
      <c r="K199" s="51">
        <f t="shared" ref="K199:L199" si="599">SUM(K192:K198)</f>
        <v>0</v>
      </c>
      <c r="L199" s="68">
        <f t="shared" si="599"/>
        <v>0</v>
      </c>
      <c r="M199" s="53"/>
      <c r="N199" s="53"/>
      <c r="O199" s="51">
        <f t="shared" ref="O199:P199" si="600">SUM(O193:O198)</f>
        <v>0</v>
      </c>
      <c r="P199" s="51">
        <f t="shared" si="600"/>
        <v>0</v>
      </c>
      <c r="Q199" s="52"/>
      <c r="R199" s="53"/>
      <c r="S199" s="51">
        <f t="shared" ref="S199:T199" si="601">SUM(S193:S198)</f>
        <v>0</v>
      </c>
      <c r="T199" s="68">
        <f t="shared" si="601"/>
        <v>0</v>
      </c>
      <c r="U199" s="53"/>
      <c r="V199" s="53"/>
      <c r="W199" s="51">
        <f t="shared" ref="W199:X199" si="602">SUM(W193:W198)</f>
        <v>0</v>
      </c>
      <c r="X199" s="51">
        <f t="shared" si="602"/>
        <v>0</v>
      </c>
      <c r="Y199" s="52"/>
      <c r="Z199" s="53"/>
      <c r="AA199" s="51">
        <f t="shared" ref="AA199:AB199" si="603">SUM(AA193:AA198)</f>
        <v>500</v>
      </c>
      <c r="AB199" s="68">
        <f t="shared" si="603"/>
        <v>0</v>
      </c>
      <c r="AC199" s="53"/>
      <c r="AD199" s="53"/>
      <c r="AE199" s="51">
        <f t="shared" ref="AE199:AF199" si="604">SUM(AE193:AE198)</f>
        <v>5776</v>
      </c>
      <c r="AF199" s="51">
        <f t="shared" si="604"/>
        <v>0</v>
      </c>
      <c r="AG199" s="52"/>
      <c r="AH199" s="53"/>
      <c r="AI199" s="51">
        <f t="shared" ref="AI199:AJ199" si="605">SUM(AI193:AI198)</f>
        <v>0</v>
      </c>
      <c r="AJ199" s="68">
        <f t="shared" si="605"/>
        <v>0</v>
      </c>
      <c r="AK199" s="52"/>
      <c r="AL199" s="53"/>
      <c r="AM199" s="51">
        <f t="shared" ref="AM199:AN199" si="606">SUM(AM193:AM198)</f>
        <v>0</v>
      </c>
      <c r="AN199" s="68">
        <f t="shared" si="606"/>
        <v>0</v>
      </c>
      <c r="AO199" s="52"/>
      <c r="AP199" s="53"/>
      <c r="AQ199" s="51">
        <f t="shared" ref="AQ199:AR199" si="607">SUM(AQ192:AQ198)</f>
        <v>110.03</v>
      </c>
      <c r="AR199" s="68">
        <f t="shared" si="607"/>
        <v>0</v>
      </c>
      <c r="AS199" s="53"/>
      <c r="AT199" s="53"/>
      <c r="AU199" s="51">
        <f t="shared" ref="AU199:AV199" si="608">SUM(AU192:AU198)</f>
        <v>113.7</v>
      </c>
      <c r="AV199" s="68">
        <f t="shared" si="608"/>
        <v>0</v>
      </c>
      <c r="AW199" s="52"/>
      <c r="AX199" s="53"/>
      <c r="AY199" s="51">
        <f t="shared" ref="AY199:AZ199" si="609">SUM(AY192:AY198)</f>
        <v>110.03</v>
      </c>
      <c r="AZ199" s="68">
        <f t="shared" si="609"/>
        <v>0</v>
      </c>
      <c r="BA199" s="53"/>
      <c r="BB199" s="53"/>
      <c r="BC199" s="51">
        <f t="shared" ref="BC199:BD199" si="610">SUM(BC192:BC198)</f>
        <v>113.7</v>
      </c>
      <c r="BD199" s="68">
        <f t="shared" si="610"/>
        <v>0</v>
      </c>
      <c r="BE199" s="69"/>
      <c r="BF199" s="70">
        <f t="shared" ref="BF199:BH199" si="611">SUM(BF192:BF198)</f>
        <v>6723.46</v>
      </c>
      <c r="BG199" s="71">
        <f t="shared" si="611"/>
        <v>0</v>
      </c>
      <c r="BH199" s="72">
        <f t="shared" si="611"/>
        <v>43904.7224</v>
      </c>
      <c r="BI199" s="34">
        <f>H199+BF199-BG199</f>
        <v>43904.7224</v>
      </c>
      <c r="BJ199" s="34">
        <f>BH199-BI199</f>
        <v>0</v>
      </c>
    </row>
    <row r="200" ht="14.25" customHeight="1" spans="1:60" x14ac:dyDescent="0.25">
      <c r="A200" s="29">
        <v>27</v>
      </c>
      <c r="B200" s="14"/>
      <c r="D200" s="14" t="s">
        <v>379</v>
      </c>
      <c r="F200" s="13"/>
      <c r="G200" s="28"/>
      <c r="H200" s="34">
        <f>'2018'!BH200</f>
      </c>
      <c r="I200" s="13"/>
      <c r="J200" s="15"/>
      <c r="K200" s="15"/>
      <c r="L200" s="28"/>
      <c r="Q200" s="13"/>
      <c r="R200" s="15"/>
      <c r="S200" s="15"/>
      <c r="T200" s="28"/>
      <c r="Y200" s="13"/>
      <c r="Z200" s="15"/>
      <c r="AA200" s="15"/>
      <c r="AB200" s="28"/>
      <c r="AG200" s="13"/>
      <c r="AH200" s="15"/>
      <c r="AI200" s="15"/>
      <c r="AJ200" s="28"/>
      <c r="AK200" s="13"/>
      <c r="AL200" s="15"/>
      <c r="AM200" s="15"/>
      <c r="AN200" s="28"/>
      <c r="AO200" s="13"/>
      <c r="AP200" s="15"/>
      <c r="AQ200" s="15">
        <v>62.23</v>
      </c>
      <c r="AR200" s="28"/>
      <c r="AU200" s="34">
        <v>64.3</v>
      </c>
      <c r="AW200" s="13"/>
      <c r="AX200" s="15"/>
      <c r="AY200" s="15">
        <v>62.23</v>
      </c>
      <c r="AZ200" s="28"/>
      <c r="BC200" s="34">
        <v>64.3</v>
      </c>
      <c r="BE200" s="14"/>
      <c r="BF200" s="41">
        <f t="shared" ref="BF200:BG200" si="612">K200+O200+S200+W200+AA200+AE200+AI200+AM200+AQ200+AU200+AY200+BC200</f>
        <v>253.06</v>
      </c>
      <c r="BG200" s="34">
        <f t="shared" si="612"/>
        <v>0</v>
      </c>
      <c r="BH200" s="35">
        <f t="shared" ref="BH200:BH206" si="613">H200+BF200-BG200</f>
        <v>253.06</v>
      </c>
    </row>
    <row r="201" ht="14.25" customHeight="1" spans="1:60" x14ac:dyDescent="0.25">
      <c r="A201" s="2">
        <v>27</v>
      </c>
      <c r="B201" s="14">
        <v>4.04</v>
      </c>
      <c r="C201" s="2" t="s">
        <v>136</v>
      </c>
      <c r="D201" s="14" t="s">
        <v>44</v>
      </c>
      <c r="E201" s="2" t="s">
        <v>45</v>
      </c>
      <c r="F201" s="13">
        <v>2.49</v>
      </c>
      <c r="G201" s="35">
        <v>2.5</v>
      </c>
      <c r="H201" s="104">
        <f>'2018'!BH201</f>
        <v>0</v>
      </c>
      <c r="I201" s="13"/>
      <c r="J201" s="15"/>
      <c r="K201" s="34">
        <f>J201*$F$8</f>
        <v>0</v>
      </c>
      <c r="L201" s="28"/>
      <c r="N201" s="15">
        <f>M201-I201</f>
        <v>0</v>
      </c>
      <c r="O201" s="34">
        <f>N201*$F$8</f>
        <v>0</v>
      </c>
      <c r="Q201" s="13"/>
      <c r="R201" s="15">
        <f>Q201-M201</f>
        <v>0</v>
      </c>
      <c r="S201" s="34">
        <f>R201*$F$8</f>
        <v>0</v>
      </c>
      <c r="T201" s="28"/>
      <c r="V201" s="15">
        <f>U201-Q201</f>
        <v>0</v>
      </c>
      <c r="Y201" s="13"/>
      <c r="Z201" s="15">
        <f>Y201-U201</f>
        <v>0</v>
      </c>
      <c r="AA201" s="34">
        <f>Z201*$F$8</f>
        <v>0</v>
      </c>
      <c r="AB201" s="28"/>
      <c r="AC201" s="15"/>
      <c r="AD201" s="15">
        <f>AC201-Y201</f>
        <v>0</v>
      </c>
      <c r="AE201" s="34">
        <f>AD201*$G$8</f>
        <v>0</v>
      </c>
      <c r="AG201" s="13"/>
      <c r="AH201" s="15">
        <f>AG201-AC201</f>
        <v>0</v>
      </c>
      <c r="AI201" s="34">
        <f>AH201*$G$8</f>
        <v>0</v>
      </c>
      <c r="AJ201" s="28"/>
      <c r="AK201" s="13"/>
      <c r="AL201" s="15">
        <f>AK201-AG201</f>
        <v>0</v>
      </c>
      <c r="AM201" s="34">
        <f>AL201*$G$8</f>
        <v>0</v>
      </c>
      <c r="AN201" s="28"/>
      <c r="AO201" s="13"/>
      <c r="AP201" s="15">
        <f>AO201-AK201</f>
        <v>0</v>
      </c>
      <c r="AQ201" s="34">
        <f>AP201*$G$8</f>
        <v>0</v>
      </c>
      <c r="AR201" s="28"/>
      <c r="AS201" s="15"/>
      <c r="AT201" s="15">
        <f>AS201-AO201</f>
        <v>0</v>
      </c>
      <c r="AU201" s="34">
        <f>AT201*$G$8</f>
        <v>0</v>
      </c>
      <c r="AV201" s="15"/>
      <c r="AW201" s="13"/>
      <c r="AX201" s="15">
        <f>AW201-AS201</f>
        <v>0</v>
      </c>
      <c r="AY201" s="34">
        <f>AX201*$G$8</f>
        <v>0</v>
      </c>
      <c r="AZ201" s="28"/>
      <c r="BA201" s="15"/>
      <c r="BB201" s="15">
        <f>BA201-AW201</f>
        <v>0</v>
      </c>
      <c r="BC201" s="34">
        <f>BB201*$G$8</f>
        <v>0</v>
      </c>
      <c r="BD201" s="15"/>
      <c r="BE201" s="40">
        <f t="shared" ref="BE201:BG201" si="614">J201+N201+R201+V201+Z201+AD201+AH201+AL201+AP201+AT201+AX201+BB201</f>
        <v>0</v>
      </c>
      <c r="BF201" s="41">
        <f t="shared" si="614"/>
        <v>0</v>
      </c>
      <c r="BG201" s="34">
        <f t="shared" si="614"/>
        <v>0</v>
      </c>
      <c r="BH201" s="35">
        <f t="shared" si="613"/>
        <v>0</v>
      </c>
    </row>
    <row r="202" ht="14.25" customHeight="1" spans="1:60" x14ac:dyDescent="0.25">
      <c r="A202" s="29">
        <v>27</v>
      </c>
      <c r="B202" s="14"/>
      <c r="C202" s="2" t="s">
        <v>137</v>
      </c>
      <c r="D202" s="14" t="s">
        <v>47</v>
      </c>
      <c r="E202" s="2" t="s">
        <v>48</v>
      </c>
      <c r="F202" s="13">
        <v>17.98</v>
      </c>
      <c r="G202" s="28">
        <v>18.56</v>
      </c>
      <c r="H202" s="34">
        <f>'2018'!BH202</f>
        <v>0</v>
      </c>
      <c r="I202" s="13"/>
      <c r="J202" s="15"/>
      <c r="K202" s="15"/>
      <c r="L202" s="28"/>
      <c r="Q202" s="13"/>
      <c r="R202" s="15"/>
      <c r="S202" s="15"/>
      <c r="T202" s="28"/>
      <c r="Y202" s="13"/>
      <c r="Z202" s="15"/>
      <c r="AA202" s="15"/>
      <c r="AB202" s="28"/>
      <c r="AC202" s="15"/>
      <c r="AE202" s="34">
        <f>AD202*$F$10</f>
        <v>0</v>
      </c>
      <c r="AG202" s="13"/>
      <c r="AH202" s="15"/>
      <c r="AI202" s="45">
        <f>AH202*$G$10</f>
        <v>0</v>
      </c>
      <c r="AJ202" s="28"/>
      <c r="AK202" s="13"/>
      <c r="AL202" s="15"/>
      <c r="AM202" s="45">
        <f>AL202*$G$10</f>
        <v>0</v>
      </c>
      <c r="AN202" s="28"/>
      <c r="AO202" s="13"/>
      <c r="AP202" s="15"/>
      <c r="AQ202" s="45">
        <f>AP202*$G$10</f>
        <v>0</v>
      </c>
      <c r="AR202" s="28"/>
      <c r="AS202" s="15"/>
      <c r="AT202" s="15"/>
      <c r="AU202" s="45">
        <f>AT202*$G$10</f>
        <v>0</v>
      </c>
      <c r="AV202" s="15"/>
      <c r="AW202" s="13"/>
      <c r="AX202" s="15"/>
      <c r="AY202" s="15"/>
      <c r="AZ202" s="28"/>
      <c r="BA202" s="15"/>
      <c r="BB202" s="15"/>
      <c r="BC202" s="15"/>
      <c r="BD202" s="15"/>
      <c r="BE202" s="40">
        <f t="shared" ref="BE202:BG202" si="615">J202+N202+R202+V202+Z202+AD202+AH202+AL202+AP202+AT202+AX202+BB202</f>
        <v>0</v>
      </c>
      <c r="BF202" s="41">
        <f t="shared" si="615"/>
        <v>0</v>
      </c>
      <c r="BG202" s="34">
        <f t="shared" si="615"/>
        <v>0</v>
      </c>
      <c r="BH202" s="35">
        <f t="shared" si="613"/>
        <v>0</v>
      </c>
    </row>
    <row r="203" ht="14.25" customHeight="1" spans="1:60" x14ac:dyDescent="0.25">
      <c r="A203" s="29">
        <v>27</v>
      </c>
      <c r="B203" s="14"/>
      <c r="C203" s="2" t="s">
        <v>138</v>
      </c>
      <c r="D203" s="14" t="s">
        <v>47</v>
      </c>
      <c r="E203" s="2" t="s">
        <v>49</v>
      </c>
      <c r="F203" s="41">
        <v>500</v>
      </c>
      <c r="G203" s="28"/>
      <c r="H203" s="144">
        <f>'2018'!BH203</f>
        <v>0</v>
      </c>
      <c r="I203" s="13"/>
      <c r="J203" s="15"/>
      <c r="K203" s="15"/>
      <c r="L203" s="28"/>
      <c r="Q203" s="13"/>
      <c r="R203" s="15"/>
      <c r="S203" s="15"/>
      <c r="T203" s="28"/>
      <c r="Y203" s="13"/>
      <c r="Z203" s="15"/>
      <c r="AA203" s="34"/>
      <c r="AB203" s="28"/>
      <c r="AC203" s="15"/>
      <c r="AG203" s="13"/>
      <c r="AH203" s="15"/>
      <c r="AI203" s="15"/>
      <c r="AJ203" s="28"/>
      <c r="AK203" s="13"/>
      <c r="AL203" s="15"/>
      <c r="AM203" s="34"/>
      <c r="AN203" s="28"/>
      <c r="AO203" s="13"/>
      <c r="AP203" s="15"/>
      <c r="AQ203" s="34"/>
      <c r="AR203" s="28"/>
      <c r="AS203" s="15"/>
      <c r="AT203" s="15"/>
      <c r="AU203" s="15"/>
      <c r="AV203" s="15"/>
      <c r="AW203" s="13"/>
      <c r="AX203" s="15"/>
      <c r="AY203" s="15"/>
      <c r="AZ203" s="28"/>
      <c r="BA203" s="15"/>
      <c r="BB203" s="15"/>
      <c r="BC203" s="15"/>
      <c r="BD203" s="15"/>
      <c r="BE203" s="14"/>
      <c r="BF203" s="41">
        <f t="shared" ref="BF203:BG203" si="616">K203+O203+S203+W203+AA203+AE203+AI203+AM203+AQ203+AU203+AY203+BC203</f>
        <v>0</v>
      </c>
      <c r="BG203" s="34">
        <f t="shared" si="616"/>
        <v>0</v>
      </c>
      <c r="BH203" s="35">
        <f t="shared" si="613"/>
        <v>0</v>
      </c>
    </row>
    <row r="204" ht="14.25" customHeight="1" spans="1:60" x14ac:dyDescent="0.25">
      <c r="A204" s="29">
        <v>27</v>
      </c>
      <c r="B204" s="14"/>
      <c r="D204" s="14" t="s">
        <v>50</v>
      </c>
      <c r="E204" s="2" t="s">
        <v>49</v>
      </c>
      <c r="F204" s="41">
        <v>1200</v>
      </c>
      <c r="G204" s="28"/>
      <c r="H204" s="34">
        <f>'2018'!BH204</f>
        <v>13086.0352</v>
      </c>
      <c r="I204" s="13"/>
      <c r="J204" s="15"/>
      <c r="K204" s="15"/>
      <c r="L204" s="28"/>
      <c r="Q204" s="13"/>
      <c r="R204" s="15"/>
      <c r="S204" s="15"/>
      <c r="T204" s="28"/>
      <c r="Y204" s="13"/>
      <c r="Z204" s="15"/>
      <c r="AA204" s="15"/>
      <c r="AB204" s="28"/>
      <c r="AE204" s="34">
        <f>B201*$F$12</f>
        <v>4848</v>
      </c>
      <c r="AG204" s="13"/>
      <c r="AH204" s="15"/>
      <c r="AI204" s="15"/>
      <c r="AJ204" s="28"/>
      <c r="AK204" s="13"/>
      <c r="AL204" s="15"/>
      <c r="AM204" s="15"/>
      <c r="AN204" s="28"/>
      <c r="AO204" s="13"/>
      <c r="AP204" s="15"/>
      <c r="AQ204" s="15"/>
      <c r="AR204" s="28"/>
      <c r="AS204" s="15"/>
      <c r="AT204" s="15"/>
      <c r="AU204" s="15"/>
      <c r="AV204" s="15"/>
      <c r="AW204" s="13"/>
      <c r="AX204" s="15"/>
      <c r="AY204" s="15"/>
      <c r="AZ204" s="28"/>
      <c r="BA204" s="15"/>
      <c r="BB204" s="15"/>
      <c r="BC204" s="15"/>
      <c r="BD204" s="15"/>
      <c r="BE204" s="14"/>
      <c r="BF204" s="41">
        <f t="shared" ref="BF204:BG204" si="617">K204+O204+S204+W204+AA204+AE204+AI204+AM204+AQ204+AU204+AY204+BC204</f>
        <v>4848</v>
      </c>
      <c r="BG204" s="34">
        <f t="shared" si="617"/>
        <v>0</v>
      </c>
      <c r="BH204" s="35">
        <f t="shared" si="613"/>
        <v>17934.0352</v>
      </c>
    </row>
    <row r="205" ht="14.25" customHeight="1" spans="1:60" x14ac:dyDescent="0.25">
      <c r="A205" s="29">
        <v>27</v>
      </c>
      <c r="B205" s="14"/>
      <c r="D205" s="14" t="s">
        <v>51</v>
      </c>
      <c r="E205" s="2" t="s">
        <v>49</v>
      </c>
      <c r="F205" s="41">
        <v>1000</v>
      </c>
      <c r="G205" s="28"/>
      <c r="H205" s="34">
        <f>'2018'!BH205</f>
        <v>1808</v>
      </c>
      <c r="I205" s="13"/>
      <c r="J205" s="15"/>
      <c r="K205" s="15"/>
      <c r="L205" s="28"/>
      <c r="Q205" s="13"/>
      <c r="R205" s="15"/>
      <c r="S205" s="15"/>
      <c r="T205" s="28"/>
      <c r="Y205" s="13"/>
      <c r="Z205" s="15"/>
      <c r="AA205" s="15"/>
      <c r="AB205" s="28"/>
      <c r="AE205" s="34">
        <f>$F$21</f>
        <v>1000</v>
      </c>
      <c r="AG205" s="13"/>
      <c r="AH205" s="15"/>
      <c r="AI205" s="15"/>
      <c r="AJ205" s="28"/>
      <c r="AK205" s="13"/>
      <c r="AL205" s="15"/>
      <c r="AM205" s="15"/>
      <c r="AN205" s="28"/>
      <c r="AO205" s="13"/>
      <c r="AP205" s="15"/>
      <c r="AQ205" s="15"/>
      <c r="AR205" s="28"/>
      <c r="AS205" s="15"/>
      <c r="AT205" s="15"/>
      <c r="AU205" s="15"/>
      <c r="AV205" s="15"/>
      <c r="AW205" s="13"/>
      <c r="AX205" s="15"/>
      <c r="AY205" s="15"/>
      <c r="AZ205" s="28"/>
      <c r="BA205" s="15"/>
      <c r="BB205" s="15"/>
      <c r="BC205" s="15"/>
      <c r="BD205" s="15"/>
      <c r="BE205" s="14"/>
      <c r="BF205" s="41">
        <f t="shared" ref="BF205:BG205" si="618">K205+O205+S205+W205+AA205+AE205+AI205+AM205+AQ205+AU205+AY205+BC205</f>
        <v>1000</v>
      </c>
      <c r="BG205" s="34">
        <f t="shared" si="618"/>
        <v>0</v>
      </c>
      <c r="BH205" s="35">
        <f t="shared" si="613"/>
        <v>2808</v>
      </c>
    </row>
    <row r="206" ht="14.25" customHeight="1" spans="1:60" x14ac:dyDescent="0.25">
      <c r="A206" s="29">
        <v>27</v>
      </c>
      <c r="B206" s="14"/>
      <c r="D206" s="14" t="s">
        <v>52</v>
      </c>
      <c r="E206" s="2" t="s">
        <v>39</v>
      </c>
      <c r="F206" s="41">
        <v>500</v>
      </c>
      <c r="G206" s="28"/>
      <c r="H206" s="34">
        <f>'2018'!BH206</f>
        <v>1200</v>
      </c>
      <c r="I206" s="13"/>
      <c r="J206" s="15"/>
      <c r="K206" s="15"/>
      <c r="L206" s="28"/>
      <c r="Q206" s="13"/>
      <c r="R206" s="15"/>
      <c r="S206" s="15"/>
      <c r="T206" s="28"/>
      <c r="Y206" s="13"/>
      <c r="Z206" s="15"/>
      <c r="AA206" s="34">
        <f>$F$14</f>
        <v>500</v>
      </c>
      <c r="AB206" s="28"/>
      <c r="AG206" s="13"/>
      <c r="AH206" s="15"/>
      <c r="AI206" s="15"/>
      <c r="AJ206" s="28"/>
      <c r="AK206" s="13"/>
      <c r="AL206" s="15"/>
      <c r="AM206" s="15"/>
      <c r="AN206" s="28"/>
      <c r="AO206" s="13"/>
      <c r="AP206" s="15"/>
      <c r="AQ206" s="15"/>
      <c r="AR206" s="28"/>
      <c r="AS206" s="15"/>
      <c r="AT206" s="15"/>
      <c r="AU206" s="15"/>
      <c r="AV206" s="15"/>
      <c r="AW206" s="13"/>
      <c r="AX206" s="15"/>
      <c r="AY206" s="15"/>
      <c r="AZ206" s="28"/>
      <c r="BA206" s="15"/>
      <c r="BB206" s="15"/>
      <c r="BC206" s="15"/>
      <c r="BD206" s="15"/>
      <c r="BE206" s="14"/>
      <c r="BF206" s="41">
        <f t="shared" ref="BF206:BG206" si="619">K206+O206+S206+W206+AA206+AE206+AI206+AM206+AQ206+AU206+AY206+BC206</f>
        <v>500</v>
      </c>
      <c r="BG206" s="34">
        <f t="shared" si="619"/>
        <v>0</v>
      </c>
      <c r="BH206" s="35">
        <f t="shared" si="613"/>
        <v>1700</v>
      </c>
    </row>
    <row r="207" ht="14.25" customHeight="1" spans="1:62" x14ac:dyDescent="0.25">
      <c r="A207" s="50">
        <v>27</v>
      </c>
      <c r="B207" s="21"/>
      <c r="C207" s="22" t="s">
        <v>53</v>
      </c>
      <c r="D207" s="21"/>
      <c r="E207" s="22"/>
      <c r="F207" s="20"/>
      <c r="G207" s="23"/>
      <c r="H207" s="51">
        <f>SUM(H200:H206)</f>
        <v>16094.0352</v>
      </c>
      <c r="I207" s="52"/>
      <c r="J207" s="53"/>
      <c r="K207" s="51">
        <f t="shared" ref="K207:L207" si="620">SUM(K200:K206)</f>
        <v>0</v>
      </c>
      <c r="L207" s="68">
        <f t="shared" si="620"/>
        <v>0</v>
      </c>
      <c r="M207" s="53"/>
      <c r="N207" s="53"/>
      <c r="O207" s="51">
        <f t="shared" ref="O207:P207" si="621">SUM(O201:O206)</f>
        <v>0</v>
      </c>
      <c r="P207" s="51">
        <f t="shared" si="621"/>
        <v>0</v>
      </c>
      <c r="Q207" s="52"/>
      <c r="R207" s="53"/>
      <c r="S207" s="51">
        <f t="shared" ref="S207:T207" si="622">SUM(S201:S206)</f>
        <v>0</v>
      </c>
      <c r="T207" s="68">
        <f t="shared" si="622"/>
        <v>0</v>
      </c>
      <c r="U207" s="53"/>
      <c r="V207" s="53"/>
      <c r="W207" s="51">
        <f t="shared" ref="W207:X207" si="623">SUM(W201:W206)</f>
        <v>0</v>
      </c>
      <c r="X207" s="51">
        <f t="shared" si="623"/>
        <v>0</v>
      </c>
      <c r="Y207" s="52"/>
      <c r="Z207" s="53"/>
      <c r="AA207" s="51">
        <f t="shared" ref="AA207:AB207" si="624">SUM(AA201:AA206)</f>
        <v>500</v>
      </c>
      <c r="AB207" s="68">
        <f t="shared" si="624"/>
        <v>0</v>
      </c>
      <c r="AC207" s="53"/>
      <c r="AD207" s="53"/>
      <c r="AE207" s="51">
        <f t="shared" ref="AE207:AF207" si="625">SUM(AE201:AE206)</f>
        <v>5848</v>
      </c>
      <c r="AF207" s="51">
        <f t="shared" si="625"/>
        <v>0</v>
      </c>
      <c r="AG207" s="52"/>
      <c r="AH207" s="53"/>
      <c r="AI207" s="51">
        <f t="shared" ref="AI207:AJ207" si="626">SUM(AI201:AI206)</f>
        <v>0</v>
      </c>
      <c r="AJ207" s="68">
        <f t="shared" si="626"/>
        <v>0</v>
      </c>
      <c r="AK207" s="52"/>
      <c r="AL207" s="53"/>
      <c r="AM207" s="51">
        <f t="shared" ref="AM207:AN207" si="627">SUM(AM201:AM206)</f>
        <v>0</v>
      </c>
      <c r="AN207" s="68">
        <f t="shared" si="627"/>
        <v>0</v>
      </c>
      <c r="AO207" s="52"/>
      <c r="AP207" s="53"/>
      <c r="AQ207" s="51">
        <f t="shared" ref="AQ207:AR207" si="628">SUM(AQ200:AQ206)</f>
        <v>62.23</v>
      </c>
      <c r="AR207" s="68">
        <f t="shared" si="628"/>
        <v>0</v>
      </c>
      <c r="AS207" s="53"/>
      <c r="AT207" s="53"/>
      <c r="AU207" s="51">
        <f t="shared" ref="AU207:AV207" si="629">SUM(AU200:AU206)</f>
        <v>64.3</v>
      </c>
      <c r="AV207" s="68">
        <f t="shared" si="629"/>
        <v>0</v>
      </c>
      <c r="AW207" s="52"/>
      <c r="AX207" s="53"/>
      <c r="AY207" s="51">
        <f t="shared" ref="AY207:AZ207" si="630">SUM(AY200:AY206)</f>
        <v>62.23</v>
      </c>
      <c r="AZ207" s="68">
        <f t="shared" si="630"/>
        <v>0</v>
      </c>
      <c r="BA207" s="53"/>
      <c r="BB207" s="53"/>
      <c r="BC207" s="51">
        <f t="shared" ref="BC207:BD207" si="631">SUM(BC200:BC206)</f>
        <v>64.3</v>
      </c>
      <c r="BD207" s="68">
        <f t="shared" si="631"/>
        <v>0</v>
      </c>
      <c r="BE207" s="69"/>
      <c r="BF207" s="70">
        <f t="shared" ref="BF207:BH207" si="632">SUM(BF200:BF206)</f>
        <v>6601.06</v>
      </c>
      <c r="BG207" s="71">
        <f t="shared" si="632"/>
        <v>0</v>
      </c>
      <c r="BH207" s="72">
        <f t="shared" si="632"/>
        <v>22695.0952</v>
      </c>
      <c r="BI207" s="34">
        <f>H207+BF207-BG207</f>
        <v>22695.0952</v>
      </c>
      <c r="BJ207" s="34">
        <f>BH207-BI207</f>
        <v>0</v>
      </c>
    </row>
    <row r="208" ht="14.25" customHeight="1" spans="1:60" x14ac:dyDescent="0.25">
      <c r="A208" s="79" t="s">
        <v>139</v>
      </c>
      <c r="B208" s="14"/>
      <c r="D208" s="14" t="s">
        <v>379</v>
      </c>
      <c r="F208" s="13"/>
      <c r="G208" s="28"/>
      <c r="H208" s="34">
        <f>'2018'!BH208</f>
      </c>
      <c r="I208" s="13"/>
      <c r="J208" s="15"/>
      <c r="K208" s="15"/>
      <c r="L208" s="28"/>
      <c r="Q208" s="13"/>
      <c r="R208" s="15"/>
      <c r="S208" s="15"/>
      <c r="T208" s="28"/>
      <c r="Y208" s="13"/>
      <c r="Z208" s="15"/>
      <c r="AA208" s="15"/>
      <c r="AB208" s="28"/>
      <c r="AG208" s="13"/>
      <c r="AH208" s="15"/>
      <c r="AI208" s="15"/>
      <c r="AJ208" s="28"/>
      <c r="AK208" s="13"/>
      <c r="AL208" s="15"/>
      <c r="AM208" s="15"/>
      <c r="AN208" s="28"/>
      <c r="AO208" s="13"/>
      <c r="AP208" s="15"/>
      <c r="AQ208" s="15"/>
      <c r="AR208" s="28"/>
      <c r="AW208" s="13"/>
      <c r="AX208" s="15"/>
      <c r="AY208" s="15"/>
      <c r="AZ208" s="28"/>
      <c r="BE208" s="14"/>
      <c r="BF208" s="41">
        <f t="shared" ref="BF208:BG208" si="633">K208+O208+S208+W208+AA208+AE208+AI208+AM208+AQ208+AU208+AY208+BC208</f>
        <v>0</v>
      </c>
      <c r="BG208" s="34">
        <f t="shared" si="633"/>
        <v>0</v>
      </c>
      <c r="BH208" s="35">
        <f t="shared" ref="BH208:BH214" si="634">H208+BF208-BG208</f>
        <v>0</v>
      </c>
    </row>
    <row r="209" ht="15.75" customHeight="1" spans="1:60" x14ac:dyDescent="0.25">
      <c r="A209" s="89" t="s">
        <v>139</v>
      </c>
      <c r="B209" s="14">
        <f>3.96+4.05</f>
        <v>8.01</v>
      </c>
      <c r="C209" s="2" t="s">
        <v>140</v>
      </c>
      <c r="D209" s="14" t="s">
        <v>44</v>
      </c>
      <c r="E209" s="2" t="s">
        <v>45</v>
      </c>
      <c r="F209" s="13">
        <v>2.49</v>
      </c>
      <c r="G209" s="35">
        <v>2.5</v>
      </c>
      <c r="H209" s="136">
        <f>'2018'!BH209+385.95</f>
        <v>0</v>
      </c>
      <c r="I209" s="13">
        <v>13817</v>
      </c>
      <c r="J209" s="15">
        <f>I209-'2018'!BA209</f>
        <v>881</v>
      </c>
      <c r="K209" s="34">
        <f>J209*$F$8</f>
        <v>2193.69</v>
      </c>
      <c r="L209" s="35"/>
      <c r="M209" s="37">
        <v>14559</v>
      </c>
      <c r="N209" s="37">
        <f>M209-I209</f>
        <v>742</v>
      </c>
      <c r="O209" s="34">
        <f>N209*$F$8</f>
        <v>1847.58</v>
      </c>
      <c r="P209" s="38">
        <v>2193.69</v>
      </c>
      <c r="Q209" s="13">
        <v>14951</v>
      </c>
      <c r="R209" s="37">
        <f>Q209-M209</f>
        <v>392</v>
      </c>
      <c r="S209" s="34">
        <f>R209*$F$8</f>
        <v>976.08</v>
      </c>
      <c r="T209" s="38">
        <v>1847.58</v>
      </c>
      <c r="U209" s="15">
        <v>15338</v>
      </c>
      <c r="V209" s="37">
        <f>U209-Q209</f>
        <v>387</v>
      </c>
      <c r="W209" s="34">
        <f>V209*$F$8</f>
        <v>963.63</v>
      </c>
      <c r="X209" s="39">
        <v>976.08</v>
      </c>
      <c r="Y209" s="36">
        <v>15547</v>
      </c>
      <c r="Z209" s="37">
        <f>Y209-U209</f>
        <v>209</v>
      </c>
      <c r="AA209" s="34">
        <f>Z209*$F$8</f>
        <v>520.41</v>
      </c>
      <c r="AB209" s="38">
        <v>963.63</v>
      </c>
      <c r="AC209" s="37">
        <v>15639</v>
      </c>
      <c r="AD209" s="37">
        <f t="shared" ref="AD209:AD210" si="635">AC209-Y209</f>
        <v>92</v>
      </c>
      <c r="AE209" s="34">
        <f>AD209*$G$8</f>
        <v>230</v>
      </c>
      <c r="AF209" s="1">
        <v>520.41</v>
      </c>
      <c r="AG209" s="13">
        <v>15715</v>
      </c>
      <c r="AH209" s="37">
        <f t="shared" ref="AH209:AH210" si="636">AG209-AC209</f>
        <v>76</v>
      </c>
      <c r="AI209" s="34">
        <f>AH209*$G$8</f>
        <v>190</v>
      </c>
      <c r="AJ209" s="38">
        <v>230</v>
      </c>
      <c r="AK209" s="13">
        <v>15784</v>
      </c>
      <c r="AL209" s="15">
        <f t="shared" ref="AL209:AL210" si="637">AK209-AG209</f>
        <v>69</v>
      </c>
      <c r="AM209" s="34">
        <f>AL209*$G$8</f>
        <v>172.5</v>
      </c>
      <c r="AN209" s="38">
        <v>190</v>
      </c>
      <c r="AO209" s="13">
        <v>15919</v>
      </c>
      <c r="AP209" s="15">
        <f t="shared" ref="AP209:AP210" si="638">AO209-AK209</f>
        <v>135</v>
      </c>
      <c r="AQ209" s="34">
        <f>AP209*$G$8</f>
        <v>337.5</v>
      </c>
      <c r="AR209" s="28"/>
      <c r="AS209" s="15">
        <v>16233</v>
      </c>
      <c r="AT209" s="15">
        <f t="shared" ref="AT209:AT210" si="639">AS209-AO209</f>
        <v>314</v>
      </c>
      <c r="AU209" s="34">
        <f t="shared" ref="AU209:AU210" si="640">AT209*$G$8</f>
        <v>785</v>
      </c>
      <c r="AV209" s="15"/>
      <c r="AW209" s="13">
        <v>16807</v>
      </c>
      <c r="AX209" s="15">
        <f>AW209-AS209</f>
        <v>574</v>
      </c>
      <c r="AY209" s="34">
        <f>AX209*$G$8</f>
        <v>1435</v>
      </c>
      <c r="AZ209" s="38">
        <v>1295</v>
      </c>
      <c r="BA209" s="15">
        <v>17600</v>
      </c>
      <c r="BB209" s="15">
        <f>BA209-AW209</f>
        <v>793</v>
      </c>
      <c r="BC209" s="34">
        <f>BB209*$G$8</f>
        <v>1982.5</v>
      </c>
      <c r="BD209" s="39">
        <v>1435</v>
      </c>
      <c r="BE209" s="40">
        <f t="shared" ref="BE209:BG209" si="641">J209+N209+R209+V209+Z209+AD209+AH209+AL209+AP209+AT209+AX209+BB209</f>
        <v>4664</v>
      </c>
      <c r="BF209" s="41">
        <f t="shared" si="641"/>
        <v>11633.89</v>
      </c>
      <c r="BG209" s="34">
        <f t="shared" si="641"/>
        <v>9651.39</v>
      </c>
      <c r="BH209" s="35">
        <f t="shared" si="634"/>
        <v>1982.5</v>
      </c>
    </row>
    <row r="210" ht="14.25" customHeight="1" spans="1:60" x14ac:dyDescent="0.25">
      <c r="A210" s="79" t="s">
        <v>139</v>
      </c>
      <c r="B210" s="14"/>
      <c r="C210" s="2" t="s">
        <v>141</v>
      </c>
      <c r="D210" s="14" t="s">
        <v>47</v>
      </c>
      <c r="E210" s="2" t="s">
        <v>48</v>
      </c>
      <c r="F210" s="13">
        <v>17.98</v>
      </c>
      <c r="G210" s="28">
        <v>18.56</v>
      </c>
      <c r="H210" s="90">
        <f>'2018'!BH210</f>
        <v>0</v>
      </c>
      <c r="I210" s="13">
        <f>19+66</f>
        <v>85</v>
      </c>
      <c r="J210" s="15"/>
      <c r="K210" s="15"/>
      <c r="L210" s="28"/>
      <c r="Q210" s="13"/>
      <c r="R210" s="15"/>
      <c r="S210" s="15"/>
      <c r="T210" s="28"/>
      <c r="Y210" s="13">
        <f>19+66</f>
        <v>85</v>
      </c>
      <c r="Z210" s="15">
        <f>Y210-'2018'!AO210</f>
        <v>0</v>
      </c>
      <c r="AA210" s="34">
        <f>Z210*$F$10</f>
        <v>0</v>
      </c>
      <c r="AB210" s="28"/>
      <c r="AC210" s="13">
        <f>19+66</f>
        <v>85</v>
      </c>
      <c r="AD210" s="15">
        <f t="shared" si="635"/>
        <v>0</v>
      </c>
      <c r="AE210" s="34">
        <f>AD210*$F$10</f>
        <v>0</v>
      </c>
      <c r="AG210" s="13">
        <f>19+66</f>
        <v>85</v>
      </c>
      <c r="AH210" s="15">
        <f t="shared" si="636"/>
        <v>0</v>
      </c>
      <c r="AI210" s="45">
        <f>AH210*$G$10</f>
        <v>0</v>
      </c>
      <c r="AJ210" s="32"/>
      <c r="AK210" s="13">
        <f>19+66</f>
        <v>85</v>
      </c>
      <c r="AL210" s="15">
        <f t="shared" si="637"/>
        <v>0</v>
      </c>
      <c r="AM210" s="45">
        <f>AL210*$G$10</f>
        <v>0</v>
      </c>
      <c r="AN210" s="28"/>
      <c r="AO210" s="13">
        <f>19+66</f>
        <v>85</v>
      </c>
      <c r="AP210" s="15">
        <f t="shared" si="638"/>
        <v>0</v>
      </c>
      <c r="AQ210" s="45">
        <f>AP210*$G$10</f>
        <v>0</v>
      </c>
      <c r="AR210" s="35"/>
      <c r="AS210" s="15">
        <f>19+67</f>
        <v>86</v>
      </c>
      <c r="AT210" s="15">
        <f t="shared" si="639"/>
        <v>1</v>
      </c>
      <c r="AU210" s="34">
        <f t="shared" si="640"/>
        <v>2.5</v>
      </c>
      <c r="AV210" s="15"/>
      <c r="AW210" s="13">
        <f>19+67</f>
        <v>86</v>
      </c>
      <c r="AX210" s="15"/>
      <c r="AY210" s="15"/>
      <c r="AZ210" s="28"/>
      <c r="BA210" s="15">
        <f>19+67</f>
        <v>86</v>
      </c>
      <c r="BB210" s="15"/>
      <c r="BC210" s="15"/>
      <c r="BD210" s="39">
        <v>2.5</v>
      </c>
      <c r="BE210" s="40">
        <f t="shared" ref="BE210:BG210" si="642">J210+N210+R210+V210+Z210+AD210+AH210+AL210+AP210+AT210+AX210+BB210</f>
        <v>1</v>
      </c>
      <c r="BF210" s="41">
        <f t="shared" si="642"/>
        <v>2.5</v>
      </c>
      <c r="BG210" s="34">
        <f t="shared" si="642"/>
        <v>2.5</v>
      </c>
      <c r="BH210" s="35">
        <f t="shared" si="634"/>
        <v>0</v>
      </c>
    </row>
    <row r="211" ht="14.25" customHeight="1" spans="1:60" x14ac:dyDescent="0.25">
      <c r="A211" s="79" t="s">
        <v>139</v>
      </c>
      <c r="B211" s="14"/>
      <c r="C211" s="2" t="s">
        <v>142</v>
      </c>
      <c r="D211" s="14" t="s">
        <v>47</v>
      </c>
      <c r="E211" s="2" t="s">
        <v>49</v>
      </c>
      <c r="F211" s="41">
        <v>500</v>
      </c>
      <c r="G211" s="28"/>
      <c r="H211" s="34">
        <f>'2018'!BH211</f>
        <v>0</v>
      </c>
      <c r="I211" s="13"/>
      <c r="J211" s="15"/>
      <c r="K211" s="15"/>
      <c r="L211" s="28"/>
      <c r="Q211" s="13"/>
      <c r="R211" s="15"/>
      <c r="S211" s="15"/>
      <c r="T211" s="28"/>
      <c r="Y211" s="13"/>
      <c r="Z211" s="15"/>
      <c r="AA211" s="15"/>
      <c r="AB211" s="28"/>
      <c r="AG211" s="13"/>
      <c r="AH211" s="15"/>
      <c r="AI211" s="15"/>
      <c r="AJ211" s="28"/>
      <c r="AK211" s="13"/>
      <c r="AL211" s="15"/>
      <c r="AM211" s="34"/>
      <c r="AN211" s="28"/>
      <c r="AO211" s="13"/>
      <c r="AP211" s="15"/>
      <c r="AQ211" s="34"/>
      <c r="AR211" s="28"/>
      <c r="AS211" s="15"/>
      <c r="AT211" s="15"/>
      <c r="AU211" s="15"/>
      <c r="AV211" s="15"/>
      <c r="AW211" s="13"/>
      <c r="AX211" s="15"/>
      <c r="AY211" s="15"/>
      <c r="AZ211" s="28"/>
      <c r="BA211" s="15"/>
      <c r="BB211" s="15"/>
      <c r="BC211" s="15"/>
      <c r="BD211" s="15"/>
      <c r="BE211" s="14"/>
      <c r="BF211" s="41">
        <f t="shared" ref="BF211:BG211" si="643">K211+O211+S211+W211+AA211+AE211+AI211+AM211+AQ211+AU211+AY211+BC211</f>
        <v>0</v>
      </c>
      <c r="BG211" s="34">
        <f t="shared" si="643"/>
        <v>0</v>
      </c>
      <c r="BH211" s="35">
        <f t="shared" si="634"/>
        <v>0</v>
      </c>
    </row>
    <row r="212" ht="14.25" customHeight="1" spans="1:60" x14ac:dyDescent="0.25">
      <c r="A212" s="79" t="s">
        <v>139</v>
      </c>
      <c r="B212" s="14"/>
      <c r="C212" s="2" t="s">
        <v>143</v>
      </c>
      <c r="D212" s="14" t="s">
        <v>50</v>
      </c>
      <c r="E212" s="2" t="s">
        <v>49</v>
      </c>
      <c r="F212" s="41">
        <v>1200</v>
      </c>
      <c r="G212" s="28"/>
      <c r="H212" s="34">
        <f>'2018'!BH212</f>
        <v>-0.001199999999</v>
      </c>
      <c r="I212" s="13"/>
      <c r="J212" s="15"/>
      <c r="K212" s="15"/>
      <c r="L212" s="28"/>
      <c r="Q212" s="13"/>
      <c r="R212" s="15"/>
      <c r="S212" s="15"/>
      <c r="T212" s="28"/>
      <c r="Y212" s="13"/>
      <c r="Z212" s="15"/>
      <c r="AA212" s="15"/>
      <c r="AB212" s="28"/>
      <c r="AE212" s="34">
        <f>B209*$F$12</f>
        <v>9612</v>
      </c>
      <c r="AG212" s="13"/>
      <c r="AH212" s="15"/>
      <c r="AI212" s="15"/>
      <c r="AJ212" s="38">
        <v>4752</v>
      </c>
      <c r="AK212" s="13"/>
      <c r="AL212" s="15"/>
      <c r="AM212" s="15"/>
      <c r="AN212" s="38">
        <v>4860</v>
      </c>
      <c r="AO212" s="13"/>
      <c r="AP212" s="15"/>
      <c r="AQ212" s="15"/>
      <c r="AR212" s="28"/>
      <c r="AS212" s="15"/>
      <c r="AT212" s="15"/>
      <c r="AU212" s="15"/>
      <c r="AV212" s="15"/>
      <c r="AW212" s="13"/>
      <c r="AX212" s="15"/>
      <c r="AY212" s="15"/>
      <c r="AZ212" s="28"/>
      <c r="BA212" s="15"/>
      <c r="BB212" s="15"/>
      <c r="BC212" s="15"/>
      <c r="BD212" s="15"/>
      <c r="BE212" s="14"/>
      <c r="BF212" s="41">
        <f t="shared" ref="BF212:BG212" si="644">K212+O212+S212+W212+AA212+AE212+AI212+AM212+AQ212+AU212+AY212+BC212</f>
        <v>9612</v>
      </c>
      <c r="BG212" s="34">
        <f t="shared" si="644"/>
        <v>9612</v>
      </c>
      <c r="BH212" s="35">
        <f t="shared" si="634"/>
        <v>-0.001199999999</v>
      </c>
    </row>
    <row r="213" ht="14.25" customHeight="1" spans="1:60" x14ac:dyDescent="0.25">
      <c r="A213" s="79" t="s">
        <v>139</v>
      </c>
      <c r="B213" s="14"/>
      <c r="C213" s="2" t="s">
        <v>144</v>
      </c>
      <c r="D213" s="14" t="s">
        <v>51</v>
      </c>
      <c r="E213" s="2" t="s">
        <v>49</v>
      </c>
      <c r="F213" s="41">
        <v>1000</v>
      </c>
      <c r="G213" s="28"/>
      <c r="H213" s="34">
        <f>'2018'!BH213</f>
        <v>0</v>
      </c>
      <c r="I213" s="13"/>
      <c r="J213" s="15"/>
      <c r="K213" s="15"/>
      <c r="L213" s="28"/>
      <c r="Q213" s="13"/>
      <c r="R213" s="15"/>
      <c r="S213" s="15"/>
      <c r="T213" s="28"/>
      <c r="Y213" s="13"/>
      <c r="Z213" s="15"/>
      <c r="AA213" s="15"/>
      <c r="AB213" s="28"/>
      <c r="AE213" s="34">
        <f>$F$21*2</f>
        <v>2000</v>
      </c>
      <c r="AG213" s="13"/>
      <c r="AH213" s="15"/>
      <c r="AI213" s="15"/>
      <c r="AJ213" s="38">
        <v>1000</v>
      </c>
      <c r="AK213" s="13"/>
      <c r="AL213" s="15"/>
      <c r="AM213" s="15"/>
      <c r="AN213" s="38">
        <v>1000</v>
      </c>
      <c r="AO213" s="13"/>
      <c r="AP213" s="15"/>
      <c r="AQ213" s="15"/>
      <c r="AR213" s="28"/>
      <c r="AS213" s="15"/>
      <c r="AT213" s="15"/>
      <c r="AU213" s="15"/>
      <c r="AV213" s="15"/>
      <c r="AW213" s="13"/>
      <c r="AX213" s="15"/>
      <c r="AY213" s="15"/>
      <c r="AZ213" s="28"/>
      <c r="BA213" s="15"/>
      <c r="BB213" s="15"/>
      <c r="BC213" s="15"/>
      <c r="BD213" s="15"/>
      <c r="BE213" s="14"/>
      <c r="BF213" s="41">
        <f t="shared" ref="BF213:BG213" si="645">K213+O213+S213+W213+AA213+AE213+AI213+AM213+AQ213+AU213+AY213+BC213</f>
        <v>2000</v>
      </c>
      <c r="BG213" s="34">
        <f t="shared" si="645"/>
        <v>2000</v>
      </c>
      <c r="BH213" s="35">
        <f t="shared" si="634"/>
        <v>0</v>
      </c>
    </row>
    <row r="214" ht="14.25" customHeight="1" spans="1:60" x14ac:dyDescent="0.25">
      <c r="A214" s="79" t="s">
        <v>139</v>
      </c>
      <c r="B214" s="14"/>
      <c r="C214" s="2" t="s">
        <v>145</v>
      </c>
      <c r="D214" s="14" t="s">
        <v>52</v>
      </c>
      <c r="E214" s="2" t="s">
        <v>39</v>
      </c>
      <c r="F214" s="41">
        <v>500</v>
      </c>
      <c r="G214" s="28"/>
      <c r="H214" s="84">
        <f>'2018'!BH214-1000</f>
        <v>-1000</v>
      </c>
      <c r="I214" s="13"/>
      <c r="J214" s="15"/>
      <c r="K214" s="15"/>
      <c r="L214" s="28"/>
      <c r="Q214" s="13"/>
      <c r="R214" s="15"/>
      <c r="S214" s="15"/>
      <c r="T214" s="28"/>
      <c r="Y214" s="13"/>
      <c r="Z214" s="15"/>
      <c r="AA214" s="34">
        <f>$F$14*2</f>
        <v>1000</v>
      </c>
      <c r="AB214" s="28"/>
      <c r="AG214" s="13"/>
      <c r="AH214" s="15"/>
      <c r="AI214" s="15"/>
      <c r="AJ214" s="28"/>
      <c r="AK214" s="13"/>
      <c r="AL214" s="15"/>
      <c r="AM214" s="15"/>
      <c r="AN214" s="28"/>
      <c r="AO214" s="13"/>
      <c r="AP214" s="15"/>
      <c r="AQ214" s="15"/>
      <c r="AR214" s="28"/>
      <c r="AS214" s="15"/>
      <c r="AT214" s="15"/>
      <c r="AU214" s="15"/>
      <c r="AV214" s="15"/>
      <c r="AW214" s="13"/>
      <c r="AX214" s="15"/>
      <c r="AY214" s="15"/>
      <c r="AZ214" s="28"/>
      <c r="BA214" s="15"/>
      <c r="BB214" s="15"/>
      <c r="BC214" s="15"/>
      <c r="BD214" s="15"/>
      <c r="BE214" s="14"/>
      <c r="BF214" s="41">
        <f t="shared" ref="BF214:BG214" si="646">K214+O214+S214+W214+AA214+AE214+AI214+AM214+AQ214+AU214+AY214+BC214</f>
        <v>1000</v>
      </c>
      <c r="BG214" s="34">
        <f t="shared" si="646"/>
        <v>0</v>
      </c>
      <c r="BH214" s="35">
        <f t="shared" si="634"/>
        <v>0</v>
      </c>
    </row>
    <row r="215" ht="15.75" customHeight="1" spans="1:62" x14ac:dyDescent="0.25">
      <c r="A215" s="50" t="s">
        <v>139</v>
      </c>
      <c r="B215" s="21"/>
      <c r="C215" s="22" t="s">
        <v>53</v>
      </c>
      <c r="D215" s="21"/>
      <c r="E215" s="22"/>
      <c r="F215" s="20"/>
      <c r="G215" s="23"/>
      <c r="H215" s="51">
        <f>SUM(H208:H214)</f>
        <v>-1000.0012</v>
      </c>
      <c r="I215" s="52"/>
      <c r="J215" s="53"/>
      <c r="K215" s="51">
        <f t="shared" ref="K215:L215" si="647">SUM(K208:K214)</f>
        <v>2193.69</v>
      </c>
      <c r="L215" s="68">
        <f t="shared" si="647"/>
        <v>0</v>
      </c>
      <c r="M215" s="53"/>
      <c r="N215" s="53"/>
      <c r="O215" s="51">
        <f t="shared" ref="O215:P215" si="648">SUM(O209:O214)</f>
        <v>1847.58</v>
      </c>
      <c r="P215" s="51">
        <f t="shared" si="648"/>
        <v>2193.69</v>
      </c>
      <c r="Q215" s="52"/>
      <c r="R215" s="53"/>
      <c r="S215" s="51">
        <f t="shared" ref="S215:T215" si="649">SUM(S209:S214)</f>
        <v>976.08</v>
      </c>
      <c r="T215" s="68">
        <f t="shared" si="649"/>
        <v>1847.58</v>
      </c>
      <c r="U215" s="53"/>
      <c r="V215" s="53"/>
      <c r="W215" s="51">
        <f t="shared" ref="W215:X215" si="650">SUM(W209:W214)</f>
        <v>963.63</v>
      </c>
      <c r="X215" s="51">
        <f t="shared" si="650"/>
        <v>976.08</v>
      </c>
      <c r="Y215" s="52"/>
      <c r="Z215" s="53"/>
      <c r="AA215" s="51">
        <f t="shared" ref="AA215:AB215" si="651">SUM(AA209:AA214)</f>
        <v>1520.41</v>
      </c>
      <c r="AB215" s="68">
        <f t="shared" si="651"/>
        <v>963.63</v>
      </c>
      <c r="AC215" s="53"/>
      <c r="AD215" s="53"/>
      <c r="AE215" s="51">
        <f t="shared" ref="AE215:AF215" si="652">SUM(AE209:AE214)</f>
        <v>11842</v>
      </c>
      <c r="AF215" s="51">
        <f t="shared" si="652"/>
        <v>520.41</v>
      </c>
      <c r="AG215" s="52"/>
      <c r="AH215" s="53"/>
      <c r="AI215" s="51">
        <f t="shared" ref="AI215:AJ215" si="653">SUM(AI209:AI214)</f>
        <v>190</v>
      </c>
      <c r="AJ215" s="68">
        <f t="shared" si="653"/>
        <v>5982</v>
      </c>
      <c r="AK215" s="52"/>
      <c r="AL215" s="53"/>
      <c r="AM215" s="51">
        <f t="shared" ref="AM215:AN215" si="654">SUM(AM209:AM214)</f>
        <v>172.5</v>
      </c>
      <c r="AN215" s="68">
        <f t="shared" si="654"/>
        <v>6050</v>
      </c>
      <c r="AO215" s="52"/>
      <c r="AP215" s="53"/>
      <c r="AQ215" s="51">
        <f t="shared" ref="AQ215:AR215" si="655">SUM(AQ208:AQ214)</f>
        <v>337.5</v>
      </c>
      <c r="AR215" s="68">
        <f t="shared" si="655"/>
        <v>0</v>
      </c>
      <c r="AS215" s="53"/>
      <c r="AT215" s="53"/>
      <c r="AU215" s="51">
        <f t="shared" ref="AU215:AV215" si="656">SUM(AU208:AU214)</f>
        <v>787.5</v>
      </c>
      <c r="AV215" s="68">
        <f t="shared" si="656"/>
        <v>0</v>
      </c>
      <c r="AW215" s="52"/>
      <c r="AX215" s="53"/>
      <c r="AY215" s="51">
        <f t="shared" ref="AY215:AZ215" si="657">SUM(AY208:AY214)</f>
        <v>1435</v>
      </c>
      <c r="AZ215" s="68">
        <f t="shared" si="657"/>
        <v>1295</v>
      </c>
      <c r="BA215" s="53"/>
      <c r="BB215" s="53"/>
      <c r="BC215" s="51">
        <f t="shared" ref="BC215:BD215" si="658">SUM(BC208:BC214)</f>
        <v>1982.5</v>
      </c>
      <c r="BD215" s="68">
        <f t="shared" si="658"/>
        <v>1437.5</v>
      </c>
      <c r="BE215" s="69"/>
      <c r="BF215" s="70">
        <f t="shared" ref="BF215:BH215" si="659">SUM(BF208:BF214)</f>
        <v>24248.39</v>
      </c>
      <c r="BG215" s="71">
        <f t="shared" si="659"/>
        <v>21265.89</v>
      </c>
      <c r="BH215" s="72">
        <f t="shared" si="659"/>
        <v>1982.4988</v>
      </c>
      <c r="BI215" s="34">
        <f>H215+BF215-BG215</f>
        <v>1982.4988</v>
      </c>
      <c r="BJ215" s="34">
        <f>BH215-BI215</f>
        <v>0</v>
      </c>
    </row>
    <row r="216" ht="14.25" customHeight="1" spans="1:60" x14ac:dyDescent="0.25">
      <c r="A216" s="29">
        <v>29</v>
      </c>
      <c r="B216" s="14"/>
      <c r="D216" s="14" t="s">
        <v>379</v>
      </c>
      <c r="F216" s="13"/>
      <c r="G216" s="28"/>
      <c r="H216" s="34">
        <f>'2018'!BH216</f>
      </c>
      <c r="I216" s="13"/>
      <c r="J216" s="15"/>
      <c r="K216" s="15"/>
      <c r="L216" s="28"/>
      <c r="Q216" s="13"/>
      <c r="R216" s="15"/>
      <c r="S216" s="15"/>
      <c r="T216" s="28"/>
      <c r="Y216" s="13"/>
      <c r="Z216" s="15"/>
      <c r="AA216" s="15"/>
      <c r="AB216" s="28"/>
      <c r="AG216" s="13"/>
      <c r="AH216" s="15"/>
      <c r="AI216" s="15"/>
      <c r="AJ216" s="28"/>
      <c r="AK216" s="13"/>
      <c r="AL216" s="15"/>
      <c r="AM216" s="15"/>
      <c r="AN216" s="28"/>
      <c r="AO216" s="13"/>
      <c r="AP216" s="15"/>
      <c r="AQ216" s="15"/>
      <c r="AR216" s="28"/>
      <c r="AW216" s="13"/>
      <c r="AX216" s="15"/>
      <c r="AY216" s="15"/>
      <c r="AZ216" s="28"/>
      <c r="BE216" s="14"/>
      <c r="BF216" s="41">
        <f t="shared" ref="BF216:BG216" si="660">K216+O216+S216+W216+AA216+AE216+AI216+AM216+AQ216+AU216+AY216+BC216</f>
        <v>0</v>
      </c>
      <c r="BG216" s="34">
        <f t="shared" si="660"/>
        <v>0</v>
      </c>
      <c r="BH216" s="35">
        <f t="shared" ref="BH216:BH222" si="661">H216+BF216-BG216</f>
        <v>0</v>
      </c>
    </row>
    <row r="217" ht="14.25" customHeight="1" spans="1:60" x14ac:dyDescent="0.25">
      <c r="A217" s="2">
        <v>29</v>
      </c>
      <c r="B217" s="14">
        <v>4.02</v>
      </c>
      <c r="C217" s="2" t="s">
        <v>146</v>
      </c>
      <c r="D217" s="14" t="s">
        <v>44</v>
      </c>
      <c r="E217" s="2" t="s">
        <v>45</v>
      </c>
      <c r="F217" s="13">
        <v>2.49</v>
      </c>
      <c r="G217" s="35">
        <v>2.5</v>
      </c>
      <c r="H217" s="104">
        <f>'2018'!BH217</f>
        <v>0</v>
      </c>
      <c r="I217" s="13"/>
      <c r="J217" s="15"/>
      <c r="K217" s="34">
        <f>J217*$F$8</f>
        <v>0</v>
      </c>
      <c r="L217" s="28"/>
      <c r="N217" s="15">
        <f>M217-I217</f>
        <v>0</v>
      </c>
      <c r="O217" s="34">
        <f>N217*$F$8</f>
        <v>0</v>
      </c>
      <c r="Q217" s="13"/>
      <c r="R217" s="15">
        <f>Q217-M217</f>
        <v>0</v>
      </c>
      <c r="S217" s="34">
        <f>R217*$F$8</f>
        <v>0</v>
      </c>
      <c r="T217" s="28"/>
      <c r="V217" s="15">
        <f>U217-Q217</f>
        <v>0</v>
      </c>
      <c r="Y217" s="13"/>
      <c r="Z217" s="15">
        <f>Y217-U217</f>
        <v>0</v>
      </c>
      <c r="AA217" s="34">
        <f>Z217*$F$8</f>
        <v>0</v>
      </c>
      <c r="AB217" s="28"/>
      <c r="AC217" s="15"/>
      <c r="AD217" s="15">
        <f t="shared" ref="AD217:AD218" si="662">AC217-Y217</f>
        <v>0</v>
      </c>
      <c r="AE217" s="34">
        <f>AD217*$G$8</f>
        <v>0</v>
      </c>
      <c r="AG217" s="13"/>
      <c r="AH217" s="15">
        <f t="shared" ref="AH217:AH218" si="663">AG217-AC217</f>
        <v>0</v>
      </c>
      <c r="AI217" s="34">
        <f>AH217*$G$8</f>
        <v>0</v>
      </c>
      <c r="AJ217" s="28"/>
      <c r="AK217" s="13"/>
      <c r="AL217" s="15">
        <f t="shared" ref="AL217:AL218" si="664">AK217-AG217</f>
        <v>0</v>
      </c>
      <c r="AM217" s="34">
        <f>AL217*$G$8</f>
        <v>0</v>
      </c>
      <c r="AN217" s="28"/>
      <c r="AO217" s="13"/>
      <c r="AP217" s="15">
        <f t="shared" ref="AP217:AP218" si="665">AO217-AK217</f>
        <v>0</v>
      </c>
      <c r="AQ217" s="34">
        <f>AP217*$G$8</f>
        <v>0</v>
      </c>
      <c r="AR217" s="28"/>
      <c r="AS217" s="15"/>
      <c r="AT217" s="15">
        <f t="shared" ref="AT217:AT218" si="666">AS217-AO217</f>
        <v>0</v>
      </c>
      <c r="AU217" s="34">
        <f>AT217*$G$8</f>
        <v>0</v>
      </c>
      <c r="AV217" s="15"/>
      <c r="AW217" s="13"/>
      <c r="AX217" s="15">
        <f>AW217-AS217</f>
        <v>0</v>
      </c>
      <c r="AY217" s="34">
        <f>AX217*$G$8</f>
        <v>0</v>
      </c>
      <c r="AZ217" s="28"/>
      <c r="BA217" s="15"/>
      <c r="BB217" s="15">
        <f>BA217-AW217</f>
        <v>0</v>
      </c>
      <c r="BC217" s="34">
        <f>BB217*$G$8</f>
        <v>0</v>
      </c>
      <c r="BD217" s="15"/>
      <c r="BE217" s="40">
        <f t="shared" ref="BE217:BG217" si="667">J217+N217+R217+V217+Z217+AD217+AH217+AL217+AP217+AT217+AX217+BB217</f>
        <v>0</v>
      </c>
      <c r="BF217" s="41">
        <f t="shared" si="667"/>
        <v>0</v>
      </c>
      <c r="BG217" s="34">
        <f t="shared" si="667"/>
        <v>0</v>
      </c>
      <c r="BH217" s="35">
        <f t="shared" si="661"/>
        <v>0</v>
      </c>
    </row>
    <row r="218" ht="14.25" customHeight="1" spans="1:60" x14ac:dyDescent="0.25">
      <c r="A218" s="29">
        <v>29</v>
      </c>
      <c r="B218" s="14"/>
      <c r="C218" s="2" t="s">
        <v>87</v>
      </c>
      <c r="D218" s="14" t="s">
        <v>47</v>
      </c>
      <c r="E218" s="2" t="s">
        <v>48</v>
      </c>
      <c r="F218" s="13">
        <v>17.98</v>
      </c>
      <c r="G218" s="28">
        <v>18.56</v>
      </c>
      <c r="H218" s="34">
        <f>'2018'!BH218</f>
        <v>0</v>
      </c>
      <c r="I218" s="13">
        <v>19</v>
      </c>
      <c r="J218" s="15"/>
      <c r="K218" s="15"/>
      <c r="L218" s="28"/>
      <c r="Q218" s="13"/>
      <c r="R218" s="15"/>
      <c r="S218" s="15"/>
      <c r="T218" s="28"/>
      <c r="Y218" s="95">
        <v>19</v>
      </c>
      <c r="Z218" s="15">
        <f>Y218-'2018'!AO218</f>
        <v>0</v>
      </c>
      <c r="AA218" s="34">
        <f>Z218*$F$10</f>
        <v>0</v>
      </c>
      <c r="AB218" s="28"/>
      <c r="AC218" s="15">
        <v>19</v>
      </c>
      <c r="AD218" s="15">
        <f t="shared" si="662"/>
        <v>0</v>
      </c>
      <c r="AE218" s="34">
        <f>AD218*$F$10</f>
        <v>0</v>
      </c>
      <c r="AG218" s="13">
        <v>23</v>
      </c>
      <c r="AH218" s="15">
        <f t="shared" si="663"/>
        <v>4</v>
      </c>
      <c r="AI218" s="45">
        <f>AH218*$G$10</f>
        <v>74.24</v>
      </c>
      <c r="AJ218" s="134">
        <f>74.24+1.76</f>
        <v>76</v>
      </c>
      <c r="AK218" s="75">
        <v>23</v>
      </c>
      <c r="AL218" s="15">
        <f t="shared" si="664"/>
        <v>0</v>
      </c>
      <c r="AM218" s="45">
        <f>AL218*$G$10</f>
        <v>0</v>
      </c>
      <c r="AN218" s="28"/>
      <c r="AO218" s="75">
        <v>23</v>
      </c>
      <c r="AP218" s="15">
        <f t="shared" si="665"/>
        <v>0</v>
      </c>
      <c r="AQ218" s="45">
        <f>AP218*$G$10</f>
        <v>0</v>
      </c>
      <c r="AR218" s="28"/>
      <c r="AS218" s="75">
        <v>23</v>
      </c>
      <c r="AT218" s="15">
        <f t="shared" si="666"/>
        <v>0</v>
      </c>
      <c r="AU218" s="45">
        <f>AT218*$G$10</f>
        <v>0</v>
      </c>
      <c r="AV218" s="15"/>
      <c r="AW218" s="75">
        <v>23</v>
      </c>
      <c r="AX218" s="15"/>
      <c r="AY218" s="15"/>
      <c r="AZ218" s="28"/>
      <c r="BA218" s="75">
        <v>23</v>
      </c>
      <c r="BB218" s="15"/>
      <c r="BC218" s="15"/>
      <c r="BD218" s="15"/>
      <c r="BE218" s="40">
        <f t="shared" ref="BE218:BG218" si="668">J218+N218+R218+V218+Z218+AD218+AH218+AL218+AP218+AT218+AX218+BB218</f>
        <v>4</v>
      </c>
      <c r="BF218" s="41">
        <f t="shared" si="668"/>
        <v>74.24</v>
      </c>
      <c r="BG218" s="34">
        <f t="shared" si="668"/>
        <v>76</v>
      </c>
      <c r="BH218" s="35">
        <f t="shared" si="661"/>
        <v>-1.76</v>
      </c>
    </row>
    <row r="219" ht="14.25" customHeight="1" spans="1:60" x14ac:dyDescent="0.25">
      <c r="A219" s="29">
        <v>29</v>
      </c>
      <c r="B219" s="14"/>
      <c r="C219" s="15" t="s">
        <v>147</v>
      </c>
      <c r="D219" s="14" t="s">
        <v>47</v>
      </c>
      <c r="E219" s="2" t="s">
        <v>49</v>
      </c>
      <c r="F219" s="41">
        <v>500</v>
      </c>
      <c r="G219" s="28"/>
      <c r="H219" s="34">
        <f>'2018'!BH219</f>
        <v>0</v>
      </c>
      <c r="I219" s="13"/>
      <c r="J219" s="15"/>
      <c r="K219" s="15"/>
      <c r="L219" s="28"/>
      <c r="Q219" s="13"/>
      <c r="R219" s="15"/>
      <c r="S219" s="15"/>
      <c r="T219" s="28"/>
      <c r="Y219" s="13"/>
      <c r="Z219" s="15"/>
      <c r="AA219" s="15"/>
      <c r="AB219" s="28"/>
      <c r="AG219" s="13"/>
      <c r="AH219" s="15"/>
      <c r="AI219" s="15"/>
      <c r="AJ219" s="28"/>
      <c r="AK219" s="13"/>
      <c r="AL219" s="15"/>
      <c r="AM219" s="34"/>
      <c r="AN219" s="28"/>
      <c r="AO219" s="13"/>
      <c r="AP219" s="15"/>
      <c r="AQ219" s="34"/>
      <c r="AR219" s="28"/>
      <c r="AS219" s="15"/>
      <c r="AT219" s="15"/>
      <c r="AU219" s="15"/>
      <c r="AV219" s="15"/>
      <c r="AW219" s="13"/>
      <c r="AX219" s="15"/>
      <c r="AY219" s="15"/>
      <c r="AZ219" s="28"/>
      <c r="BA219" s="15"/>
      <c r="BB219" s="15"/>
      <c r="BC219" s="15"/>
      <c r="BD219" s="15"/>
      <c r="BE219" s="14"/>
      <c r="BF219" s="41">
        <f t="shared" ref="BF219:BG219" si="669">K219+O219+S219+W219+AA219+AE219+AI219+AM219+AQ219+AU219+AY219+BC219</f>
        <v>0</v>
      </c>
      <c r="BG219" s="34">
        <f t="shared" si="669"/>
        <v>0</v>
      </c>
      <c r="BH219" s="35">
        <f t="shared" si="661"/>
        <v>0</v>
      </c>
    </row>
    <row r="220" ht="14.25" customHeight="1" spans="1:60" x14ac:dyDescent="0.25">
      <c r="A220" s="29">
        <v>29</v>
      </c>
      <c r="B220" s="14"/>
      <c r="C220" s="2" t="s">
        <v>148</v>
      </c>
      <c r="D220" s="14" t="s">
        <v>50</v>
      </c>
      <c r="E220" s="2" t="s">
        <v>49</v>
      </c>
      <c r="F220" s="41">
        <v>1200</v>
      </c>
      <c r="G220" s="28"/>
      <c r="H220" s="34">
        <f>'2018'!BH220</f>
        <v>-0.002399999999</v>
      </c>
      <c r="I220" s="13"/>
      <c r="J220" s="15"/>
      <c r="K220" s="15"/>
      <c r="L220" s="28"/>
      <c r="Q220" s="13"/>
      <c r="R220" s="15"/>
      <c r="S220" s="15"/>
      <c r="T220" s="28"/>
      <c r="Y220" s="13"/>
      <c r="Z220" s="15"/>
      <c r="AA220" s="15"/>
      <c r="AB220" s="28"/>
      <c r="AE220" s="34">
        <f>B217*$F$12</f>
        <v>4824</v>
      </c>
      <c r="AG220" s="13"/>
      <c r="AH220" s="15"/>
      <c r="AI220" s="15"/>
      <c r="AJ220" s="134">
        <v>4824</v>
      </c>
      <c r="AK220" s="13"/>
      <c r="AL220" s="15"/>
      <c r="AM220" s="15"/>
      <c r="AN220" s="28"/>
      <c r="AO220" s="13"/>
      <c r="AP220" s="15"/>
      <c r="AQ220" s="15"/>
      <c r="AR220" s="28"/>
      <c r="AS220" s="15"/>
      <c r="AT220" s="15"/>
      <c r="AU220" s="15"/>
      <c r="AV220" s="15"/>
      <c r="AW220" s="13"/>
      <c r="AX220" s="15"/>
      <c r="AY220" s="15"/>
      <c r="AZ220" s="28"/>
      <c r="BA220" s="15"/>
      <c r="BB220" s="15"/>
      <c r="BC220" s="15"/>
      <c r="BD220" s="15"/>
      <c r="BE220" s="14"/>
      <c r="BF220" s="41">
        <f t="shared" ref="BF220:BG220" si="670">K220+O220+S220+W220+AA220+AE220+AI220+AM220+AQ220+AU220+AY220+BC220</f>
        <v>4824</v>
      </c>
      <c r="BG220" s="34">
        <f t="shared" si="670"/>
        <v>4824</v>
      </c>
      <c r="BH220" s="35">
        <f t="shared" si="661"/>
        <v>-0.0024</v>
      </c>
    </row>
    <row r="221" ht="14.25" customHeight="1" spans="1:60" x14ac:dyDescent="0.25">
      <c r="A221" s="29">
        <v>29</v>
      </c>
      <c r="B221" s="14"/>
      <c r="D221" s="14" t="s">
        <v>51</v>
      </c>
      <c r="E221" s="2" t="s">
        <v>49</v>
      </c>
      <c r="F221" s="41">
        <v>1000</v>
      </c>
      <c r="G221" s="28"/>
      <c r="H221" s="34">
        <f>'2018'!BH221</f>
        <v>0</v>
      </c>
      <c r="I221" s="13"/>
      <c r="J221" s="15"/>
      <c r="K221" s="15"/>
      <c r="L221" s="28"/>
      <c r="Q221" s="13"/>
      <c r="R221" s="15"/>
      <c r="S221" s="15"/>
      <c r="T221" s="28"/>
      <c r="Y221" s="13"/>
      <c r="Z221" s="15"/>
      <c r="AA221" s="15"/>
      <c r="AB221" s="28"/>
      <c r="AE221" s="34">
        <f>$F$21</f>
        <v>1000</v>
      </c>
      <c r="AG221" s="13"/>
      <c r="AH221" s="15"/>
      <c r="AI221" s="15"/>
      <c r="AJ221" s="134">
        <v>1000</v>
      </c>
      <c r="AK221" s="13"/>
      <c r="AL221" s="15"/>
      <c r="AM221" s="15"/>
      <c r="AN221" s="28"/>
      <c r="AO221" s="13"/>
      <c r="AP221" s="15"/>
      <c r="AQ221" s="15"/>
      <c r="AR221" s="28"/>
      <c r="AS221" s="15"/>
      <c r="AT221" s="15"/>
      <c r="AU221" s="15"/>
      <c r="AV221" s="15"/>
      <c r="AW221" s="13"/>
      <c r="AX221" s="15"/>
      <c r="AY221" s="15"/>
      <c r="AZ221" s="28"/>
      <c r="BA221" s="15"/>
      <c r="BB221" s="15"/>
      <c r="BC221" s="15"/>
      <c r="BD221" s="15"/>
      <c r="BE221" s="14"/>
      <c r="BF221" s="41">
        <f t="shared" ref="BF221:BG221" si="671">K221+O221+S221+W221+AA221+AE221+AI221+AM221+AQ221+AU221+AY221+BC221</f>
        <v>1000</v>
      </c>
      <c r="BG221" s="34">
        <f t="shared" si="671"/>
        <v>1000</v>
      </c>
      <c r="BH221" s="35">
        <f t="shared" si="661"/>
        <v>0</v>
      </c>
    </row>
    <row r="222" ht="14.25" customHeight="1" spans="1:60" x14ac:dyDescent="0.25">
      <c r="A222" s="29">
        <v>29</v>
      </c>
      <c r="B222" s="14"/>
      <c r="D222" s="14" t="s">
        <v>52</v>
      </c>
      <c r="E222" s="2" t="s">
        <v>39</v>
      </c>
      <c r="F222" s="41">
        <v>500</v>
      </c>
      <c r="G222" s="28"/>
      <c r="H222" s="34">
        <f>'2018'!BH222</f>
        <v>0</v>
      </c>
      <c r="I222" s="13"/>
      <c r="J222" s="15"/>
      <c r="K222" s="15"/>
      <c r="L222" s="28"/>
      <c r="Q222" s="13"/>
      <c r="R222" s="15"/>
      <c r="S222" s="15"/>
      <c r="T222" s="28"/>
      <c r="Y222" s="13"/>
      <c r="Z222" s="15"/>
      <c r="AA222" s="34">
        <f>$F$14</f>
        <v>500</v>
      </c>
      <c r="AB222" s="28"/>
      <c r="AG222" s="13"/>
      <c r="AH222" s="15"/>
      <c r="AI222" s="15"/>
      <c r="AJ222" s="134">
        <v>500</v>
      </c>
      <c r="AK222" s="13"/>
      <c r="AL222" s="15"/>
      <c r="AM222" s="15"/>
      <c r="AN222" s="28"/>
      <c r="AO222" s="13"/>
      <c r="AP222" s="15"/>
      <c r="AQ222" s="15"/>
      <c r="AR222" s="28"/>
      <c r="AS222" s="15"/>
      <c r="AT222" s="15"/>
      <c r="AU222" s="15"/>
      <c r="AV222" s="15"/>
      <c r="AW222" s="13"/>
      <c r="AX222" s="15"/>
      <c r="AY222" s="15"/>
      <c r="AZ222" s="28"/>
      <c r="BA222" s="15"/>
      <c r="BB222" s="15"/>
      <c r="BC222" s="15"/>
      <c r="BD222" s="15"/>
      <c r="BE222" s="14"/>
      <c r="BF222" s="41">
        <f t="shared" ref="BF222:BG222" si="672">K222+O222+S222+W222+AA222+AE222+AI222+AM222+AQ222+AU222+AY222+BC222</f>
        <v>500</v>
      </c>
      <c r="BG222" s="34">
        <f t="shared" si="672"/>
        <v>500</v>
      </c>
      <c r="BH222" s="35">
        <f t="shared" si="661"/>
        <v>0</v>
      </c>
    </row>
    <row r="223" ht="14.25" customHeight="1" spans="1:62" x14ac:dyDescent="0.25">
      <c r="A223" s="50">
        <v>29</v>
      </c>
      <c r="B223" s="21"/>
      <c r="C223" s="22" t="s">
        <v>53</v>
      </c>
      <c r="D223" s="21"/>
      <c r="E223" s="22"/>
      <c r="F223" s="20"/>
      <c r="G223" s="23"/>
      <c r="H223" s="51">
        <f>SUM(H216:H222)</f>
        <v>-0.002399999999</v>
      </c>
      <c r="I223" s="52"/>
      <c r="J223" s="53"/>
      <c r="K223" s="51">
        <f t="shared" ref="K223:L223" si="673">SUM(K216:K222)</f>
        <v>0</v>
      </c>
      <c r="L223" s="68">
        <f t="shared" si="673"/>
        <v>0</v>
      </c>
      <c r="M223" s="53"/>
      <c r="N223" s="53"/>
      <c r="O223" s="51">
        <f t="shared" ref="O223:P223" si="674">SUM(O217:O222)</f>
        <v>0</v>
      </c>
      <c r="P223" s="51">
        <f t="shared" si="674"/>
        <v>0</v>
      </c>
      <c r="Q223" s="52"/>
      <c r="R223" s="53"/>
      <c r="S223" s="51">
        <f t="shared" ref="S223:T223" si="675">SUM(S217:S222)</f>
        <v>0</v>
      </c>
      <c r="T223" s="68">
        <f t="shared" si="675"/>
        <v>0</v>
      </c>
      <c r="U223" s="53"/>
      <c r="V223" s="53"/>
      <c r="W223" s="51">
        <f t="shared" ref="W223:X223" si="676">SUM(W217:W222)</f>
        <v>0</v>
      </c>
      <c r="X223" s="51">
        <f t="shared" si="676"/>
        <v>0</v>
      </c>
      <c r="Y223" s="52"/>
      <c r="Z223" s="53"/>
      <c r="AA223" s="51">
        <f t="shared" ref="AA223:AB223" si="677">SUM(AA217:AA222)</f>
        <v>500</v>
      </c>
      <c r="AB223" s="68">
        <f t="shared" si="677"/>
        <v>0</v>
      </c>
      <c r="AC223" s="53"/>
      <c r="AD223" s="53"/>
      <c r="AE223" s="51">
        <f t="shared" ref="AE223:AF223" si="678">SUM(AE217:AE222)</f>
        <v>5824</v>
      </c>
      <c r="AF223" s="51">
        <f t="shared" si="678"/>
        <v>0</v>
      </c>
      <c r="AG223" s="52"/>
      <c r="AH223" s="53"/>
      <c r="AI223" s="51">
        <f t="shared" ref="AI223:AJ223" si="679">SUM(AI217:AI222)</f>
        <v>74.24</v>
      </c>
      <c r="AJ223" s="68">
        <f t="shared" si="679"/>
        <v>6400</v>
      </c>
      <c r="AK223" s="52"/>
      <c r="AL223" s="53"/>
      <c r="AM223" s="51">
        <f t="shared" ref="AM223:AN223" si="680">SUM(AM217:AM222)</f>
        <v>0</v>
      </c>
      <c r="AN223" s="68">
        <f t="shared" si="680"/>
        <v>0</v>
      </c>
      <c r="AO223" s="52"/>
      <c r="AP223" s="53"/>
      <c r="AQ223" s="51">
        <f t="shared" ref="AQ223:AR223" si="681">SUM(AQ216:AQ222)</f>
        <v>0</v>
      </c>
      <c r="AR223" s="68">
        <f t="shared" si="681"/>
        <v>0</v>
      </c>
      <c r="AS223" s="53"/>
      <c r="AT223" s="53"/>
      <c r="AU223" s="51">
        <f t="shared" ref="AU223:AV223" si="682">SUM(AU216:AU222)</f>
        <v>0</v>
      </c>
      <c r="AV223" s="68">
        <f t="shared" si="682"/>
        <v>0</v>
      </c>
      <c r="AW223" s="52"/>
      <c r="AX223" s="53"/>
      <c r="AY223" s="51">
        <f t="shared" ref="AY223:AZ223" si="683">SUM(AY216:AY222)</f>
        <v>0</v>
      </c>
      <c r="AZ223" s="68">
        <f t="shared" si="683"/>
        <v>0</v>
      </c>
      <c r="BA223" s="53"/>
      <c r="BB223" s="53"/>
      <c r="BC223" s="51">
        <f t="shared" ref="BC223:BD223" si="684">SUM(BC216:BC222)</f>
        <v>0</v>
      </c>
      <c r="BD223" s="68">
        <f t="shared" si="684"/>
        <v>0</v>
      </c>
      <c r="BE223" s="69"/>
      <c r="BF223" s="70">
        <f t="shared" ref="BF223:BH223" si="685">SUM(BF216:BF222)</f>
        <v>6398.24</v>
      </c>
      <c r="BG223" s="71">
        <f t="shared" si="685"/>
        <v>6400</v>
      </c>
      <c r="BH223" s="72">
        <f t="shared" si="685"/>
        <v>-1.7624</v>
      </c>
      <c r="BI223" s="34">
        <f>H223+BF223-BG223</f>
        <v>-1.7624</v>
      </c>
      <c r="BJ223" s="34">
        <f>BH223-BI223</f>
        <v>0</v>
      </c>
    </row>
    <row r="224" ht="14.25" customHeight="1" spans="1:60" x14ac:dyDescent="0.25">
      <c r="A224" s="29">
        <v>31</v>
      </c>
      <c r="B224" s="14"/>
      <c r="D224" s="14" t="s">
        <v>379</v>
      </c>
      <c r="F224" s="13"/>
      <c r="G224" s="28"/>
      <c r="H224" s="34">
        <f>'2018'!BH224</f>
      </c>
      <c r="I224" s="13"/>
      <c r="J224" s="15"/>
      <c r="K224" s="15"/>
      <c r="L224" s="28"/>
      <c r="Q224" s="13"/>
      <c r="R224" s="15"/>
      <c r="S224" s="15"/>
      <c r="T224" s="28"/>
      <c r="Y224" s="13"/>
      <c r="Z224" s="15"/>
      <c r="AA224" s="15"/>
      <c r="AB224" s="28"/>
      <c r="AG224" s="13"/>
      <c r="AH224" s="15"/>
      <c r="AI224" s="15"/>
      <c r="AJ224" s="28"/>
      <c r="AK224" s="13"/>
      <c r="AL224" s="15"/>
      <c r="AM224" s="15"/>
      <c r="AN224" s="28"/>
      <c r="AO224" s="13"/>
      <c r="AP224" s="15"/>
      <c r="AQ224" s="15"/>
      <c r="AR224" s="28"/>
      <c r="AW224" s="13"/>
      <c r="AX224" s="15"/>
      <c r="AY224" s="15"/>
      <c r="AZ224" s="28"/>
      <c r="BE224" s="14"/>
      <c r="BF224" s="41">
        <f t="shared" ref="BF224:BG224" si="686">K224+O224+S224+W224+AA224+AE224+AI224+AM224+AQ224+AU224+AY224+BC224</f>
        <v>0</v>
      </c>
      <c r="BG224" s="34">
        <f t="shared" si="686"/>
        <v>0</v>
      </c>
      <c r="BH224" s="35">
        <f t="shared" ref="BH224:BH230" si="687">H224+BF224-BG224</f>
        <v>0</v>
      </c>
    </row>
    <row r="225" ht="14.25" customHeight="1" spans="1:60" x14ac:dyDescent="0.25">
      <c r="A225" s="2">
        <v>31</v>
      </c>
      <c r="B225" s="42">
        <v>4</v>
      </c>
      <c r="C225" s="2" t="s">
        <v>149</v>
      </c>
      <c r="D225" s="14" t="s">
        <v>44</v>
      </c>
      <c r="E225" s="2" t="s">
        <v>45</v>
      </c>
      <c r="F225" s="13">
        <v>2.49</v>
      </c>
      <c r="G225" s="35">
        <v>2.5</v>
      </c>
      <c r="H225" s="104">
        <f>'2018'!BH225</f>
        <v>0</v>
      </c>
      <c r="I225" s="13"/>
      <c r="J225" s="15"/>
      <c r="K225" s="34">
        <f>J225*$F$8</f>
        <v>0</v>
      </c>
      <c r="L225" s="28"/>
      <c r="N225" s="15">
        <f>M225-I225</f>
        <v>0</v>
      </c>
      <c r="O225" s="34">
        <f>N225*$F$8</f>
        <v>0</v>
      </c>
      <c r="Q225" s="13"/>
      <c r="R225" s="15">
        <f>Q225-M225</f>
        <v>0</v>
      </c>
      <c r="S225" s="34">
        <f>R225*$F$8</f>
        <v>0</v>
      </c>
      <c r="T225" s="28"/>
      <c r="V225" s="15">
        <f>U225-Q225</f>
        <v>0</v>
      </c>
      <c r="Y225" s="13"/>
      <c r="Z225" s="15">
        <f>Y225-U225</f>
        <v>0</v>
      </c>
      <c r="AA225" s="34">
        <f>Z225*$F$8</f>
        <v>0</v>
      </c>
      <c r="AB225" s="28"/>
      <c r="AC225" s="15"/>
      <c r="AD225" s="15">
        <f>AC225-Y225</f>
        <v>0</v>
      </c>
      <c r="AE225" s="34">
        <f>AD225*$G$8</f>
        <v>0</v>
      </c>
      <c r="AG225" s="13"/>
      <c r="AH225" s="15">
        <f>AG225-AC225</f>
        <v>0</v>
      </c>
      <c r="AI225" s="34">
        <f>AH225*$G$8</f>
        <v>0</v>
      </c>
      <c r="AJ225" s="28"/>
      <c r="AK225" s="13"/>
      <c r="AL225" s="15">
        <f>AK225-AG225</f>
        <v>0</v>
      </c>
      <c r="AM225" s="34">
        <f>AL225*$G$8</f>
        <v>0</v>
      </c>
      <c r="AN225" s="28"/>
      <c r="AO225" s="13"/>
      <c r="AP225" s="15">
        <f>AO225-AK225</f>
        <v>0</v>
      </c>
      <c r="AQ225" s="34">
        <f>AP225*$G$8</f>
        <v>0</v>
      </c>
      <c r="AR225" s="28"/>
      <c r="AS225" s="15">
        <v>5</v>
      </c>
      <c r="AT225" s="15">
        <f>AS225-AO225</f>
        <v>5</v>
      </c>
      <c r="AU225" s="34">
        <f>AT225*$G$8</f>
        <v>12.5</v>
      </c>
      <c r="AV225" s="15"/>
      <c r="AW225" s="13">
        <v>5</v>
      </c>
      <c r="AX225" s="15">
        <f>AW225-AS225</f>
        <v>0</v>
      </c>
      <c r="AY225" s="34">
        <f>AX225*$G$8</f>
        <v>0</v>
      </c>
      <c r="AZ225" s="28"/>
      <c r="BA225" s="13">
        <v>5</v>
      </c>
      <c r="BB225" s="15">
        <f>BA225-AW225</f>
        <v>0</v>
      </c>
      <c r="BC225" s="34">
        <f>BB225*$G$8</f>
        <v>0</v>
      </c>
      <c r="BD225" s="15"/>
      <c r="BE225" s="40">
        <f t="shared" ref="BE225:BG225" si="688">J225+N225+R225+V225+Z225+AD225+AH225+AL225+AP225+AT225+AX225+BB225</f>
        <v>5</v>
      </c>
      <c r="BF225" s="41">
        <f t="shared" si="688"/>
        <v>12.5</v>
      </c>
      <c r="BG225" s="34">
        <f t="shared" si="688"/>
        <v>0</v>
      </c>
      <c r="BH225" s="35">
        <f t="shared" si="687"/>
        <v>12.5</v>
      </c>
    </row>
    <row r="226" ht="14.25" customHeight="1" spans="1:60" x14ac:dyDescent="0.25">
      <c r="A226" s="29">
        <v>31</v>
      </c>
      <c r="B226" s="14"/>
      <c r="C226" s="2" t="s">
        <v>150</v>
      </c>
      <c r="D226" s="14" t="s">
        <v>47</v>
      </c>
      <c r="E226" s="2" t="s">
        <v>48</v>
      </c>
      <c r="F226" s="13">
        <v>17.98</v>
      </c>
      <c r="G226" s="28">
        <v>18.56</v>
      </c>
      <c r="H226" s="34">
        <f>'2018'!BH226</f>
        <v>0</v>
      </c>
      <c r="I226" s="13"/>
      <c r="J226" s="15"/>
      <c r="K226" s="15"/>
      <c r="L226" s="28"/>
      <c r="Q226" s="13"/>
      <c r="R226" s="15"/>
      <c r="S226" s="15"/>
      <c r="T226" s="28"/>
      <c r="Y226" s="13"/>
      <c r="Z226" s="15"/>
      <c r="AA226" s="15"/>
      <c r="AB226" s="28"/>
      <c r="AC226" s="15"/>
      <c r="AD226" s="15"/>
      <c r="AE226" s="34">
        <f>AD226*$F$10</f>
        <v>0</v>
      </c>
      <c r="AG226" s="13"/>
      <c r="AH226" s="15"/>
      <c r="AI226" s="45">
        <f>AH226*$G$10</f>
        <v>0</v>
      </c>
      <c r="AJ226" s="28"/>
      <c r="AK226" s="13"/>
      <c r="AL226" s="15"/>
      <c r="AM226" s="45">
        <f>AL226*$G$10</f>
        <v>0</v>
      </c>
      <c r="AN226" s="28"/>
      <c r="AO226" s="13"/>
      <c r="AP226" s="15"/>
      <c r="AQ226" s="45">
        <f>AP226*$G$10</f>
        <v>0</v>
      </c>
      <c r="AR226" s="28"/>
      <c r="AS226" s="15"/>
      <c r="AT226" s="15"/>
      <c r="AU226" s="45">
        <f>AT226*$G$10</f>
        <v>0</v>
      </c>
      <c r="AV226" s="15"/>
      <c r="AW226" s="13"/>
      <c r="AX226" s="15"/>
      <c r="AY226" s="15"/>
      <c r="AZ226" s="28"/>
      <c r="BA226" s="15"/>
      <c r="BB226" s="15"/>
      <c r="BC226" s="15"/>
      <c r="BD226" s="15"/>
      <c r="BE226" s="40">
        <f t="shared" ref="BE226:BG226" si="689">J226+N226+R226+V226+Z226+AD226+AH226+AL226+AP226+AT226+AX226+BB226</f>
        <v>0</v>
      </c>
      <c r="BF226" s="41">
        <f t="shared" si="689"/>
        <v>0</v>
      </c>
      <c r="BG226" s="34">
        <f t="shared" si="689"/>
        <v>0</v>
      </c>
      <c r="BH226" s="35">
        <f t="shared" si="687"/>
        <v>0</v>
      </c>
    </row>
    <row r="227" ht="14.25" customHeight="1" spans="1:60" x14ac:dyDescent="0.25">
      <c r="A227" s="29">
        <v>31</v>
      </c>
      <c r="B227" s="14"/>
      <c r="C227" s="2" t="s">
        <v>151</v>
      </c>
      <c r="D227" s="14" t="s">
        <v>47</v>
      </c>
      <c r="E227" s="2" t="s">
        <v>49</v>
      </c>
      <c r="F227" s="41">
        <v>500</v>
      </c>
      <c r="G227" s="28"/>
      <c r="H227" s="77">
        <f>'2018'!BH227</f>
        <v>0</v>
      </c>
      <c r="I227" s="13"/>
      <c r="J227" s="15"/>
      <c r="K227" s="15"/>
      <c r="L227" s="28"/>
      <c r="Q227" s="13"/>
      <c r="R227" s="15"/>
      <c r="S227" s="15"/>
      <c r="T227" s="28"/>
      <c r="Y227" s="13"/>
      <c r="Z227" s="15"/>
      <c r="AA227" s="34">
        <f>B225*$F$11</f>
        <v>2000</v>
      </c>
      <c r="AB227" s="28"/>
      <c r="AC227" s="15"/>
      <c r="AG227" s="13"/>
      <c r="AH227" s="15"/>
      <c r="AI227" s="15"/>
      <c r="AJ227" s="134">
        <v>2000</v>
      </c>
      <c r="AK227" s="13"/>
      <c r="AL227" s="15"/>
      <c r="AM227" s="34"/>
      <c r="AN227" s="28"/>
      <c r="AO227" s="13"/>
      <c r="AP227" s="15"/>
      <c r="AQ227" s="34"/>
      <c r="AR227" s="35"/>
      <c r="AS227" s="15"/>
      <c r="AT227" s="15"/>
      <c r="AU227" s="15"/>
      <c r="AV227" s="15"/>
      <c r="AW227" s="13"/>
      <c r="AX227" s="15"/>
      <c r="AY227" s="15"/>
      <c r="AZ227" s="28"/>
      <c r="BA227" s="15"/>
      <c r="BB227" s="15"/>
      <c r="BC227" s="15"/>
      <c r="BD227" s="15"/>
      <c r="BE227" s="14"/>
      <c r="BF227" s="41">
        <f t="shared" ref="BF227:BG227" si="690">K227+O227+S227+W227+AA227+AE227+AI227+AM227+AQ227+AU227+AY227+BC227</f>
        <v>2000</v>
      </c>
      <c r="BG227" s="34">
        <f t="shared" si="690"/>
        <v>2000</v>
      </c>
      <c r="BH227" s="35">
        <f t="shared" si="687"/>
        <v>0</v>
      </c>
    </row>
    <row r="228" ht="14.25" customHeight="1" spans="1:60" x14ac:dyDescent="0.25">
      <c r="A228" s="29">
        <v>31</v>
      </c>
      <c r="B228" s="14"/>
      <c r="C228" s="2" t="s">
        <v>396</v>
      </c>
      <c r="D228" s="14" t="s">
        <v>50</v>
      </c>
      <c r="E228" s="2" t="s">
        <v>49</v>
      </c>
      <c r="F228" s="41">
        <v>1200</v>
      </c>
      <c r="G228" s="28"/>
      <c r="H228" s="34">
        <f>'2018'!BH228</f>
        <v>0</v>
      </c>
      <c r="I228" s="13"/>
      <c r="J228" s="15"/>
      <c r="K228" s="15"/>
      <c r="L228" s="28"/>
      <c r="Q228" s="13"/>
      <c r="R228" s="15"/>
      <c r="S228" s="15"/>
      <c r="T228" s="28"/>
      <c r="Y228" s="13"/>
      <c r="Z228" s="15"/>
      <c r="AA228" s="15"/>
      <c r="AB228" s="28"/>
      <c r="AE228" s="34">
        <f>B225*$F$12</f>
        <v>4800</v>
      </c>
      <c r="AG228" s="13"/>
      <c r="AH228" s="15"/>
      <c r="AI228" s="15"/>
      <c r="AJ228" s="134">
        <v>4800</v>
      </c>
      <c r="AK228" s="13"/>
      <c r="AL228" s="15"/>
      <c r="AM228" s="15"/>
      <c r="AN228" s="28"/>
      <c r="AO228" s="13"/>
      <c r="AP228" s="15"/>
      <c r="AQ228" s="15"/>
      <c r="AR228" s="28"/>
      <c r="AS228" s="15"/>
      <c r="AT228" s="15"/>
      <c r="AU228" s="15"/>
      <c r="AV228" s="15"/>
      <c r="AW228" s="13"/>
      <c r="AX228" s="15"/>
      <c r="AY228" s="15"/>
      <c r="AZ228" s="28"/>
      <c r="BA228" s="15"/>
      <c r="BB228" s="15"/>
      <c r="BC228" s="15"/>
      <c r="BD228" s="15"/>
      <c r="BE228" s="14"/>
      <c r="BF228" s="41">
        <f t="shared" ref="BF228:BG228" si="691">K228+O228+S228+W228+AA228+AE228+AI228+AM228+AQ228+AU228+AY228+BC228</f>
        <v>4800</v>
      </c>
      <c r="BG228" s="34">
        <f t="shared" si="691"/>
        <v>4800</v>
      </c>
      <c r="BH228" s="35">
        <f t="shared" si="687"/>
        <v>0</v>
      </c>
    </row>
    <row r="229" ht="14.25" customHeight="1" spans="1:60" x14ac:dyDescent="0.25">
      <c r="A229" s="29">
        <v>31</v>
      </c>
      <c r="B229" s="14"/>
      <c r="D229" s="14" t="s">
        <v>51</v>
      </c>
      <c r="E229" s="2" t="s">
        <v>49</v>
      </c>
      <c r="F229" s="41">
        <v>1000</v>
      </c>
      <c r="G229" s="28"/>
      <c r="H229" s="34">
        <f>'2018'!BH229</f>
        <v>0</v>
      </c>
      <c r="I229" s="13"/>
      <c r="J229" s="15"/>
      <c r="K229" s="15"/>
      <c r="L229" s="28"/>
      <c r="Q229" s="13"/>
      <c r="R229" s="15"/>
      <c r="S229" s="15"/>
      <c r="T229" s="28"/>
      <c r="Y229" s="13"/>
      <c r="Z229" s="15"/>
      <c r="AA229" s="15"/>
      <c r="AB229" s="28"/>
      <c r="AE229" s="34">
        <f>$F$21</f>
        <v>1000</v>
      </c>
      <c r="AG229" s="13"/>
      <c r="AH229" s="15"/>
      <c r="AI229" s="15"/>
      <c r="AJ229" s="134">
        <v>1000</v>
      </c>
      <c r="AK229" s="13"/>
      <c r="AL229" s="15"/>
      <c r="AM229" s="15"/>
      <c r="AN229" s="28"/>
      <c r="AO229" s="13"/>
      <c r="AP229" s="15"/>
      <c r="AQ229" s="15"/>
      <c r="AR229" s="28"/>
      <c r="AS229" s="15"/>
      <c r="AT229" s="15"/>
      <c r="AU229" s="15"/>
      <c r="AV229" s="15"/>
      <c r="AW229" s="13"/>
      <c r="AX229" s="15"/>
      <c r="AY229" s="15"/>
      <c r="AZ229" s="28"/>
      <c r="BA229" s="15"/>
      <c r="BB229" s="15"/>
      <c r="BC229" s="15"/>
      <c r="BD229" s="15"/>
      <c r="BE229" s="14"/>
      <c r="BF229" s="41">
        <f t="shared" ref="BF229:BG229" si="692">K229+O229+S229+W229+AA229+AE229+AI229+AM229+AQ229+AU229+AY229+BC229</f>
        <v>1000</v>
      </c>
      <c r="BG229" s="34">
        <f t="shared" si="692"/>
        <v>1000</v>
      </c>
      <c r="BH229" s="35">
        <f t="shared" si="687"/>
        <v>0</v>
      </c>
    </row>
    <row r="230" ht="14.25" customHeight="1" spans="1:60" x14ac:dyDescent="0.25">
      <c r="A230" s="29">
        <v>31</v>
      </c>
      <c r="B230" s="14"/>
      <c r="D230" s="14" t="s">
        <v>52</v>
      </c>
      <c r="E230" s="2" t="s">
        <v>39</v>
      </c>
      <c r="F230" s="41">
        <v>500</v>
      </c>
      <c r="G230" s="28"/>
      <c r="H230" s="34">
        <f>'2018'!BH230</f>
        <v>0</v>
      </c>
      <c r="I230" s="13"/>
      <c r="J230" s="15"/>
      <c r="K230" s="15"/>
      <c r="L230" s="28"/>
      <c r="Q230" s="13"/>
      <c r="R230" s="15"/>
      <c r="S230" s="15"/>
      <c r="T230" s="28"/>
      <c r="Y230" s="13"/>
      <c r="Z230" s="15"/>
      <c r="AA230" s="34">
        <f>$F$14</f>
        <v>500</v>
      </c>
      <c r="AB230" s="28"/>
      <c r="AG230" s="13"/>
      <c r="AH230" s="15"/>
      <c r="AI230" s="15"/>
      <c r="AJ230" s="134">
        <v>500</v>
      </c>
      <c r="AK230" s="13"/>
      <c r="AL230" s="15"/>
      <c r="AM230" s="15"/>
      <c r="AN230" s="28"/>
      <c r="AO230" s="13"/>
      <c r="AP230" s="15"/>
      <c r="AQ230" s="15"/>
      <c r="AR230" s="35"/>
      <c r="AS230" s="15"/>
      <c r="AT230" s="15"/>
      <c r="AU230" s="15"/>
      <c r="AV230" s="15"/>
      <c r="AW230" s="13"/>
      <c r="AX230" s="15"/>
      <c r="AY230" s="15"/>
      <c r="AZ230" s="28"/>
      <c r="BA230" s="15"/>
      <c r="BB230" s="15"/>
      <c r="BC230" s="15"/>
      <c r="BD230" s="15"/>
      <c r="BE230" s="14"/>
      <c r="BF230" s="41">
        <f t="shared" ref="BF230:BG230" si="693">K230+O230+S230+W230+AA230+AE230+AI230+AM230+AQ230+AU230+AY230+BC230</f>
        <v>500</v>
      </c>
      <c r="BG230" s="34">
        <f t="shared" si="693"/>
        <v>500</v>
      </c>
      <c r="BH230" s="35">
        <f t="shared" si="687"/>
        <v>0</v>
      </c>
    </row>
    <row r="231" ht="14.25" customHeight="1" spans="1:62" x14ac:dyDescent="0.25">
      <c r="A231" s="50">
        <v>31</v>
      </c>
      <c r="B231" s="21"/>
      <c r="C231" s="22" t="s">
        <v>53</v>
      </c>
      <c r="D231" s="21"/>
      <c r="E231" s="22"/>
      <c r="F231" s="20"/>
      <c r="G231" s="23"/>
      <c r="H231" s="51">
        <f>SUM(H224:H230)</f>
        <v>0</v>
      </c>
      <c r="I231" s="52"/>
      <c r="J231" s="53"/>
      <c r="K231" s="51">
        <f t="shared" ref="K231:L231" si="694">SUM(K224:K230)</f>
        <v>0</v>
      </c>
      <c r="L231" s="68">
        <f t="shared" si="694"/>
        <v>0</v>
      </c>
      <c r="M231" s="53"/>
      <c r="N231" s="53"/>
      <c r="O231" s="51">
        <f t="shared" ref="O231:P231" si="695">SUM(O225:O230)</f>
        <v>0</v>
      </c>
      <c r="P231" s="51">
        <f t="shared" si="695"/>
        <v>0</v>
      </c>
      <c r="Q231" s="52"/>
      <c r="R231" s="53"/>
      <c r="S231" s="51">
        <f t="shared" ref="S231:T231" si="696">SUM(S225:S230)</f>
        <v>0</v>
      </c>
      <c r="T231" s="68">
        <f t="shared" si="696"/>
        <v>0</v>
      </c>
      <c r="U231" s="53"/>
      <c r="V231" s="53"/>
      <c r="W231" s="51">
        <f t="shared" ref="W231:X231" si="697">SUM(W225:W230)</f>
        <v>0</v>
      </c>
      <c r="X231" s="51">
        <f t="shared" si="697"/>
        <v>0</v>
      </c>
      <c r="Y231" s="52"/>
      <c r="Z231" s="53"/>
      <c r="AA231" s="51">
        <f t="shared" ref="AA231:AB231" si="698">SUM(AA225:AA230)</f>
        <v>2500</v>
      </c>
      <c r="AB231" s="68">
        <f t="shared" si="698"/>
        <v>0</v>
      </c>
      <c r="AC231" s="53"/>
      <c r="AD231" s="53"/>
      <c r="AE231" s="51">
        <f t="shared" ref="AE231:AF231" si="699">SUM(AE225:AE230)</f>
        <v>5800</v>
      </c>
      <c r="AF231" s="51">
        <f t="shared" si="699"/>
        <v>0</v>
      </c>
      <c r="AG231" s="52"/>
      <c r="AH231" s="53"/>
      <c r="AI231" s="51">
        <f t="shared" ref="AI231:AJ231" si="700">SUM(AI225:AI230)</f>
        <v>0</v>
      </c>
      <c r="AJ231" s="68">
        <f t="shared" si="700"/>
        <v>8300</v>
      </c>
      <c r="AK231" s="52"/>
      <c r="AL231" s="53"/>
      <c r="AM231" s="51">
        <f t="shared" ref="AM231:AN231" si="701">SUM(AM225:AM230)</f>
        <v>0</v>
      </c>
      <c r="AN231" s="68">
        <f t="shared" si="701"/>
        <v>0</v>
      </c>
      <c r="AO231" s="52"/>
      <c r="AP231" s="53"/>
      <c r="AQ231" s="51">
        <f t="shared" ref="AQ231:AR231" si="702">SUM(AQ224:AQ230)</f>
        <v>0</v>
      </c>
      <c r="AR231" s="68">
        <f t="shared" si="702"/>
        <v>0</v>
      </c>
      <c r="AS231" s="53"/>
      <c r="AT231" s="53"/>
      <c r="AU231" s="51">
        <f t="shared" ref="AU231:AV231" si="703">SUM(AU224:AU230)</f>
        <v>12.5</v>
      </c>
      <c r="AV231" s="68">
        <f t="shared" si="703"/>
        <v>0</v>
      </c>
      <c r="AW231" s="52"/>
      <c r="AX231" s="53"/>
      <c r="AY231" s="51">
        <f t="shared" ref="AY231:AZ231" si="704">SUM(AY224:AY230)</f>
        <v>0</v>
      </c>
      <c r="AZ231" s="68">
        <f t="shared" si="704"/>
        <v>0</v>
      </c>
      <c r="BA231" s="53"/>
      <c r="BB231" s="53"/>
      <c r="BC231" s="51">
        <f t="shared" ref="BC231:BD231" si="705">SUM(BC224:BC230)</f>
        <v>0</v>
      </c>
      <c r="BD231" s="68">
        <f t="shared" si="705"/>
        <v>0</v>
      </c>
      <c r="BE231" s="69"/>
      <c r="BF231" s="70">
        <f t="shared" ref="BF231:BH231" si="706">SUM(BF224:BF230)</f>
        <v>8312.5</v>
      </c>
      <c r="BG231" s="71">
        <f t="shared" si="706"/>
        <v>8300</v>
      </c>
      <c r="BH231" s="72">
        <f t="shared" si="706"/>
        <v>12.5</v>
      </c>
      <c r="BI231" s="34">
        <f>H231+BF231-BG231</f>
        <v>12.5</v>
      </c>
      <c r="BJ231" s="34">
        <f>BH231-BI231</f>
        <v>0</v>
      </c>
    </row>
    <row r="232" ht="14.25" customHeight="1" spans="1:60" x14ac:dyDescent="0.25">
      <c r="A232" s="29">
        <v>32</v>
      </c>
      <c r="B232" s="14"/>
      <c r="D232" s="14" t="s">
        <v>379</v>
      </c>
      <c r="F232" s="13"/>
      <c r="G232" s="28"/>
      <c r="H232" s="34">
        <f>'2018'!BH232</f>
      </c>
      <c r="I232" s="13"/>
      <c r="J232" s="15"/>
      <c r="K232" s="15"/>
      <c r="L232" s="28"/>
      <c r="Q232" s="13"/>
      <c r="R232" s="15"/>
      <c r="S232" s="15"/>
      <c r="T232" s="28"/>
      <c r="Y232" s="13"/>
      <c r="Z232" s="15"/>
      <c r="AA232" s="15"/>
      <c r="AB232" s="28"/>
      <c r="AG232" s="13"/>
      <c r="AH232" s="15"/>
      <c r="AI232" s="15"/>
      <c r="AJ232" s="28"/>
      <c r="AK232" s="13"/>
      <c r="AL232" s="15"/>
      <c r="AM232" s="15"/>
      <c r="AN232" s="28"/>
      <c r="AO232" s="13"/>
      <c r="AP232" s="15"/>
      <c r="AQ232" s="15">
        <v>13.45</v>
      </c>
      <c r="AR232" s="28"/>
      <c r="AU232" s="34">
        <v>0.6</v>
      </c>
      <c r="AW232" s="13"/>
      <c r="AX232" s="15"/>
      <c r="AY232" s="15"/>
      <c r="AZ232" s="28"/>
      <c r="BE232" s="14"/>
      <c r="BF232" s="41">
        <f t="shared" ref="BF232:BG232" si="707">K232+O232+S232+W232+AA232+AE232+AI232+AM232+AQ232+AU232+AY232+BC232</f>
        <v>14.05</v>
      </c>
      <c r="BG232" s="34">
        <f t="shared" si="707"/>
        <v>0</v>
      </c>
      <c r="BH232" s="35">
        <f t="shared" ref="BH232:BH238" si="708">H232+BF232-BG232</f>
        <v>14.05</v>
      </c>
    </row>
    <row r="233" ht="14.25" customHeight="1" spans="1:60" x14ac:dyDescent="0.25">
      <c r="A233" s="2">
        <v>32</v>
      </c>
      <c r="B233" s="14">
        <v>3.96</v>
      </c>
      <c r="C233" s="2" t="s">
        <v>152</v>
      </c>
      <c r="D233" s="14" t="s">
        <v>44</v>
      </c>
      <c r="E233" s="2" t="s">
        <v>45</v>
      </c>
      <c r="F233" s="13">
        <v>2.49</v>
      </c>
      <c r="G233" s="35">
        <v>2.5</v>
      </c>
      <c r="H233" s="34">
        <f>'2018'!BH233</f>
        <v>-58.78</v>
      </c>
      <c r="I233" s="13">
        <v>381</v>
      </c>
      <c r="J233" s="15">
        <f>I233-'2018'!BA233</f>
        <v>0</v>
      </c>
      <c r="K233" s="34">
        <f>J233*$F$8</f>
        <v>0</v>
      </c>
      <c r="L233" s="28"/>
      <c r="M233" s="2">
        <v>381</v>
      </c>
      <c r="N233" s="15">
        <f>M233-I233</f>
        <v>0</v>
      </c>
      <c r="O233" s="34">
        <f>N233*$F$8</f>
        <v>0</v>
      </c>
      <c r="Q233" s="13">
        <v>381</v>
      </c>
      <c r="R233" s="15">
        <f>Q233-M233</f>
        <v>0</v>
      </c>
      <c r="S233" s="34">
        <f>R233*$F$8</f>
        <v>0</v>
      </c>
      <c r="T233" s="28"/>
      <c r="U233" s="15">
        <v>384</v>
      </c>
      <c r="V233" s="15">
        <f>U233-Q233</f>
        <v>3</v>
      </c>
      <c r="W233" s="34">
        <f>V233*$F$8</f>
        <v>7.47</v>
      </c>
      <c r="Y233" s="75">
        <v>417</v>
      </c>
      <c r="Z233" s="15">
        <f>Y233-U233</f>
        <v>33</v>
      </c>
      <c r="AA233" s="34">
        <f>Z233*$F$8</f>
        <v>82.17</v>
      </c>
      <c r="AB233" s="28"/>
      <c r="AC233" s="15">
        <v>471</v>
      </c>
      <c r="AD233" s="15">
        <f>AC233-Y233</f>
        <v>54</v>
      </c>
      <c r="AE233" s="34">
        <f>AD233*$G$8</f>
        <v>135</v>
      </c>
      <c r="AG233" s="13">
        <v>534</v>
      </c>
      <c r="AH233" s="15">
        <f t="shared" ref="AH233:AH234" si="709">AG233-AC233</f>
        <v>63</v>
      </c>
      <c r="AI233" s="34">
        <f>AH233*$G$8</f>
        <v>157.5</v>
      </c>
      <c r="AJ233" s="32">
        <v>165.86</v>
      </c>
      <c r="AK233" s="13">
        <v>593</v>
      </c>
      <c r="AL233" s="15">
        <f>AK233-AG233</f>
        <v>59</v>
      </c>
      <c r="AM233" s="34">
        <f>AL233*$G$8</f>
        <v>147.5</v>
      </c>
      <c r="AN233" s="28"/>
      <c r="AO233" s="13">
        <v>656</v>
      </c>
      <c r="AP233" s="15">
        <f>AO233-AK233</f>
        <v>63</v>
      </c>
      <c r="AQ233" s="34">
        <f>AP233*$G$8</f>
        <v>157.5</v>
      </c>
      <c r="AR233" s="38">
        <v>157.5</v>
      </c>
      <c r="AS233" s="15">
        <v>668</v>
      </c>
      <c r="AT233" s="15">
        <f>AS233-AO233</f>
        <v>12</v>
      </c>
      <c r="AU233" s="34">
        <f>AT233*$G$8</f>
        <v>30</v>
      </c>
      <c r="AV233" s="39">
        <v>320</v>
      </c>
      <c r="AW233" s="13">
        <v>677</v>
      </c>
      <c r="AX233" s="15">
        <f>AW233-AS233</f>
        <v>9</v>
      </c>
      <c r="AY233" s="34">
        <f>AX233*$G$8</f>
        <v>22.5</v>
      </c>
      <c r="AZ233" s="28"/>
      <c r="BA233" s="13">
        <v>677</v>
      </c>
      <c r="BB233" s="15">
        <f>BA233-AW233</f>
        <v>0</v>
      </c>
      <c r="BC233" s="34">
        <f>BB233*$G$8</f>
        <v>0</v>
      </c>
      <c r="BD233" s="15"/>
      <c r="BE233" s="40">
        <f t="shared" ref="BE233:BG233" si="710">J233+N233+R233+V233+Z233+AD233+AH233+AL233+AP233+AT233+AX233+BB233</f>
        <v>296</v>
      </c>
      <c r="BF233" s="41">
        <f t="shared" si="710"/>
        <v>739.64</v>
      </c>
      <c r="BG233" s="34">
        <f t="shared" si="710"/>
        <v>643.36</v>
      </c>
      <c r="BH233" s="35">
        <f t="shared" si="708"/>
        <v>37.5</v>
      </c>
    </row>
    <row r="234" ht="14.25" customHeight="1" spans="1:60" x14ac:dyDescent="0.25">
      <c r="A234" s="29">
        <v>32</v>
      </c>
      <c r="B234" s="14"/>
      <c r="C234" s="2" t="s">
        <v>153</v>
      </c>
      <c r="D234" s="14" t="s">
        <v>47</v>
      </c>
      <c r="E234" s="2" t="s">
        <v>48</v>
      </c>
      <c r="F234" s="13">
        <v>17.98</v>
      </c>
      <c r="G234" s="28">
        <v>18.56</v>
      </c>
      <c r="H234" s="34">
        <f>'2018'!BH234</f>
        <v>0</v>
      </c>
      <c r="I234" s="13"/>
      <c r="J234" s="15"/>
      <c r="K234" s="15"/>
      <c r="L234" s="28"/>
      <c r="Q234" s="13"/>
      <c r="R234" s="15"/>
      <c r="S234" s="15"/>
      <c r="T234" s="28"/>
      <c r="Y234" s="13"/>
      <c r="Z234" s="15"/>
      <c r="AA234" s="15"/>
      <c r="AB234" s="28"/>
      <c r="AC234" s="15"/>
      <c r="AD234" s="15"/>
      <c r="AE234" s="34">
        <f>AD234*$F$10</f>
        <v>0</v>
      </c>
      <c r="AG234" s="13"/>
      <c r="AH234" s="15">
        <f t="shared" si="709"/>
        <v>0</v>
      </c>
      <c r="AI234" s="45">
        <f>AH234*$G$10</f>
        <v>0</v>
      </c>
      <c r="AJ234" s="28"/>
      <c r="AK234" s="13"/>
      <c r="AL234" s="15"/>
      <c r="AM234" s="45">
        <f>AL234*$G$10</f>
        <v>0</v>
      </c>
      <c r="AN234" s="28"/>
      <c r="AO234" s="13"/>
      <c r="AP234" s="15"/>
      <c r="AQ234" s="45">
        <f>AP234*$G$10</f>
        <v>0</v>
      </c>
      <c r="AR234" s="28"/>
      <c r="AS234" s="15"/>
      <c r="AT234" s="15"/>
      <c r="AU234" s="45">
        <f>AT234*$G$10</f>
        <v>0</v>
      </c>
      <c r="AV234" s="15"/>
      <c r="AW234" s="13"/>
      <c r="AX234" s="15"/>
      <c r="AY234" s="15"/>
      <c r="AZ234" s="28"/>
      <c r="BA234" s="15"/>
      <c r="BB234" s="15"/>
      <c r="BC234" s="15"/>
      <c r="BD234" s="15"/>
      <c r="BE234" s="40">
        <f t="shared" ref="BE234:BG234" si="711">J234+N234+R234+V234+Z234+AD234+AH234+AL234+AP234+AT234+AX234+BB234</f>
        <v>0</v>
      </c>
      <c r="BF234" s="41">
        <f t="shared" si="711"/>
        <v>0</v>
      </c>
      <c r="BG234" s="34">
        <f t="shared" si="711"/>
        <v>0</v>
      </c>
      <c r="BH234" s="35">
        <f t="shared" si="708"/>
        <v>0</v>
      </c>
    </row>
    <row r="235" ht="14.25" customHeight="1" spans="1:60" x14ac:dyDescent="0.25">
      <c r="A235" s="29">
        <v>32</v>
      </c>
      <c r="B235" s="14"/>
      <c r="C235" s="15" t="s">
        <v>122</v>
      </c>
      <c r="D235" s="14" t="s">
        <v>47</v>
      </c>
      <c r="E235" s="2" t="s">
        <v>49</v>
      </c>
      <c r="F235" s="41">
        <v>500</v>
      </c>
      <c r="G235" s="28"/>
      <c r="H235" s="77">
        <f>'2018'!BH235</f>
        <v>1188</v>
      </c>
      <c r="I235" s="13"/>
      <c r="J235" s="15"/>
      <c r="K235" s="15"/>
      <c r="L235" s="28"/>
      <c r="Q235" s="13"/>
      <c r="R235" s="15"/>
      <c r="S235" s="15"/>
      <c r="T235" s="28"/>
      <c r="Y235" s="13"/>
      <c r="Z235" s="15"/>
      <c r="AA235" s="34">
        <f>B233*$F$11</f>
        <v>1980</v>
      </c>
      <c r="AB235" s="38">
        <v>1188</v>
      </c>
      <c r="AC235" s="15"/>
      <c r="AG235" s="13"/>
      <c r="AH235" s="15"/>
      <c r="AI235" s="15"/>
      <c r="AJ235" s="38">
        <v>1980</v>
      </c>
      <c r="AK235" s="13"/>
      <c r="AL235" s="15"/>
      <c r="AM235" s="34"/>
      <c r="AN235" s="28"/>
      <c r="AO235" s="13"/>
      <c r="AP235" s="15"/>
      <c r="AQ235" s="34"/>
      <c r="AR235" s="28"/>
      <c r="AS235" s="15"/>
      <c r="AT235" s="15"/>
      <c r="AU235" s="15"/>
      <c r="AV235" s="15"/>
      <c r="AW235" s="13"/>
      <c r="AX235" s="15"/>
      <c r="AY235" s="15"/>
      <c r="AZ235" s="28"/>
      <c r="BA235" s="15"/>
      <c r="BB235" s="15"/>
      <c r="BC235" s="15"/>
      <c r="BD235" s="15"/>
      <c r="BE235" s="14"/>
      <c r="BF235" s="41">
        <f t="shared" ref="BF235:BG235" si="712">K235+O235+S235+W235+AA235+AE235+AI235+AM235+AQ235+AU235+AY235+BC235</f>
        <v>1980</v>
      </c>
      <c r="BG235" s="34">
        <f t="shared" si="712"/>
        <v>3168</v>
      </c>
      <c r="BH235" s="35">
        <f t="shared" si="708"/>
        <v>0</v>
      </c>
    </row>
    <row r="236" ht="14.25" customHeight="1" spans="1:60" x14ac:dyDescent="0.25">
      <c r="A236" s="29">
        <v>32</v>
      </c>
      <c r="B236" s="14"/>
      <c r="C236" s="15" t="s">
        <v>397</v>
      </c>
      <c r="D236" s="14" t="s">
        <v>50</v>
      </c>
      <c r="E236" s="2" t="s">
        <v>49</v>
      </c>
      <c r="F236" s="41">
        <v>1200</v>
      </c>
      <c r="G236" s="28"/>
      <c r="H236" s="34">
        <f>'2018'!BH236</f>
        <v>0.004800000001</v>
      </c>
      <c r="I236" s="13"/>
      <c r="J236" s="15"/>
      <c r="K236" s="15"/>
      <c r="L236" s="28"/>
      <c r="Q236" s="13"/>
      <c r="R236" s="15"/>
      <c r="S236" s="15"/>
      <c r="T236" s="28"/>
      <c r="Y236" s="13"/>
      <c r="Z236" s="15"/>
      <c r="AA236" s="15"/>
      <c r="AB236" s="28"/>
      <c r="AE236" s="34">
        <f>B233*$F$12</f>
        <v>4752</v>
      </c>
      <c r="AG236" s="13"/>
      <c r="AH236" s="15"/>
      <c r="AI236" s="15"/>
      <c r="AJ236" s="38"/>
      <c r="AK236" s="13"/>
      <c r="AL236" s="15"/>
      <c r="AM236" s="15"/>
      <c r="AN236" s="28"/>
      <c r="AO236" s="13"/>
      <c r="AP236" s="15"/>
      <c r="AQ236" s="15"/>
      <c r="AR236" s="38">
        <v>4752</v>
      </c>
      <c r="AS236" s="15"/>
      <c r="AT236" s="15"/>
      <c r="AU236" s="15"/>
      <c r="AV236" s="15"/>
      <c r="AW236" s="13"/>
      <c r="AX236" s="15"/>
      <c r="AY236" s="15"/>
      <c r="AZ236" s="28"/>
      <c r="BA236" s="15"/>
      <c r="BB236" s="15"/>
      <c r="BC236" s="15"/>
      <c r="BD236" s="15"/>
      <c r="BE236" s="14"/>
      <c r="BF236" s="41">
        <f t="shared" ref="BF236:BG236" si="713">K236+O236+S236+W236+AA236+AE236+AI236+AM236+AQ236+AU236+AY236+BC236</f>
        <v>4752</v>
      </c>
      <c r="BG236" s="34">
        <f t="shared" si="713"/>
        <v>4752</v>
      </c>
      <c r="BH236" s="35">
        <f t="shared" si="708"/>
        <v>0.004800000001</v>
      </c>
    </row>
    <row r="237" ht="14.25" customHeight="1" spans="1:60" x14ac:dyDescent="0.25">
      <c r="A237" s="29">
        <v>32</v>
      </c>
      <c r="B237" s="14"/>
      <c r="D237" s="14" t="s">
        <v>51</v>
      </c>
      <c r="E237" s="2" t="s">
        <v>49</v>
      </c>
      <c r="F237" s="41">
        <v>1000</v>
      </c>
      <c r="G237" s="28"/>
      <c r="H237" s="34">
        <f>'2018'!BH237</f>
        <v>0</v>
      </c>
      <c r="I237" s="13"/>
      <c r="J237" s="15"/>
      <c r="K237" s="15"/>
      <c r="L237" s="28"/>
      <c r="Q237" s="13"/>
      <c r="R237" s="15"/>
      <c r="S237" s="15"/>
      <c r="T237" s="28"/>
      <c r="Y237" s="13"/>
      <c r="Z237" s="15"/>
      <c r="AA237" s="15"/>
      <c r="AB237" s="28"/>
      <c r="AE237" s="34">
        <f>$F$21</f>
        <v>1000</v>
      </c>
      <c r="AG237" s="13"/>
      <c r="AH237" s="15"/>
      <c r="AI237" s="15"/>
      <c r="AJ237" s="28"/>
      <c r="AK237" s="13"/>
      <c r="AL237" s="15"/>
      <c r="AM237" s="15"/>
      <c r="AN237" s="28"/>
      <c r="AO237" s="13"/>
      <c r="AP237" s="15"/>
      <c r="AQ237" s="15"/>
      <c r="AR237" s="28"/>
      <c r="AS237" s="15"/>
      <c r="AT237" s="15"/>
      <c r="AU237" s="15"/>
      <c r="AV237" s="39">
        <v>1000</v>
      </c>
      <c r="AW237" s="13"/>
      <c r="AX237" s="15"/>
      <c r="AY237" s="15"/>
      <c r="AZ237" s="28"/>
      <c r="BA237" s="15"/>
      <c r="BB237" s="15"/>
      <c r="BC237" s="15"/>
      <c r="BD237" s="15"/>
      <c r="BE237" s="14"/>
      <c r="BF237" s="41">
        <f t="shared" ref="BF237:BG237" si="714">K237+O237+S237+W237+AA237+AE237+AI237+AM237+AQ237+AU237+AY237+BC237</f>
        <v>1000</v>
      </c>
      <c r="BG237" s="34">
        <f t="shared" si="714"/>
        <v>1000</v>
      </c>
      <c r="BH237" s="35">
        <f t="shared" si="708"/>
        <v>0</v>
      </c>
    </row>
    <row r="238" ht="14.25" customHeight="1" spans="1:60" x14ac:dyDescent="0.25">
      <c r="A238" s="29">
        <v>32</v>
      </c>
      <c r="B238" s="14"/>
      <c r="D238" s="14" t="s">
        <v>52</v>
      </c>
      <c r="E238" s="2" t="s">
        <v>39</v>
      </c>
      <c r="F238" s="41">
        <v>500</v>
      </c>
      <c r="G238" s="28"/>
      <c r="H238" s="84">
        <f>'2018'!BH238-500</f>
        <v>-150</v>
      </c>
      <c r="I238" s="13"/>
      <c r="J238" s="15"/>
      <c r="K238" s="15"/>
      <c r="L238" s="28"/>
      <c r="Q238" s="13"/>
      <c r="R238" s="15"/>
      <c r="S238" s="15"/>
      <c r="T238" s="28"/>
      <c r="Y238" s="13"/>
      <c r="Z238" s="15"/>
      <c r="AA238" s="34">
        <f>$F$14</f>
        <v>500</v>
      </c>
      <c r="AB238" s="38">
        <v>350</v>
      </c>
      <c r="AG238" s="13"/>
      <c r="AH238" s="15"/>
      <c r="AI238" s="15"/>
      <c r="AJ238" s="28"/>
      <c r="AK238" s="13"/>
      <c r="AL238" s="15"/>
      <c r="AM238" s="15"/>
      <c r="AN238" s="28"/>
      <c r="AO238" s="13"/>
      <c r="AP238" s="15"/>
      <c r="AQ238" s="15"/>
      <c r="AR238" s="28"/>
      <c r="AS238" s="15"/>
      <c r="AT238" s="15"/>
      <c r="AU238" s="15"/>
      <c r="AV238" s="15"/>
      <c r="AW238" s="13"/>
      <c r="AX238" s="15"/>
      <c r="AY238" s="15"/>
      <c r="AZ238" s="28"/>
      <c r="BA238" s="15"/>
      <c r="BB238" s="15"/>
      <c r="BC238" s="15"/>
      <c r="BD238" s="15"/>
      <c r="BE238" s="14"/>
      <c r="BF238" s="41">
        <f t="shared" ref="BF238:BG238" si="715">K238+O238+S238+W238+AA238+AE238+AI238+AM238+AQ238+AU238+AY238+BC238</f>
        <v>500</v>
      </c>
      <c r="BG238" s="34">
        <f t="shared" si="715"/>
        <v>350</v>
      </c>
      <c r="BH238" s="35">
        <f t="shared" si="708"/>
        <v>0</v>
      </c>
    </row>
    <row r="239" ht="14.25" customHeight="1" spans="1:62" x14ac:dyDescent="0.25">
      <c r="A239" s="50">
        <v>32</v>
      </c>
      <c r="B239" s="21"/>
      <c r="C239" s="22" t="s">
        <v>53</v>
      </c>
      <c r="D239" s="21"/>
      <c r="E239" s="22"/>
      <c r="F239" s="20"/>
      <c r="G239" s="23"/>
      <c r="H239" s="51">
        <f>SUM(H232:H238)</f>
        <v>979.2248</v>
      </c>
      <c r="I239" s="52"/>
      <c r="J239" s="53"/>
      <c r="K239" s="51">
        <f t="shared" ref="K239:L239" si="716">SUM(K232:K238)</f>
        <v>0</v>
      </c>
      <c r="L239" s="68">
        <f t="shared" si="716"/>
        <v>0</v>
      </c>
      <c r="M239" s="53"/>
      <c r="N239" s="53"/>
      <c r="O239" s="51">
        <f t="shared" ref="O239:P239" si="717">SUM(O233:O238)</f>
        <v>0</v>
      </c>
      <c r="P239" s="51">
        <f t="shared" si="717"/>
        <v>0</v>
      </c>
      <c r="Q239" s="52"/>
      <c r="R239" s="53"/>
      <c r="S239" s="51">
        <f t="shared" ref="S239:T239" si="718">SUM(S233:S238)</f>
        <v>0</v>
      </c>
      <c r="T239" s="68">
        <f t="shared" si="718"/>
        <v>0</v>
      </c>
      <c r="U239" s="53"/>
      <c r="V239" s="53"/>
      <c r="W239" s="51">
        <f t="shared" ref="W239:X239" si="719">SUM(W233:W238)</f>
        <v>7.47</v>
      </c>
      <c r="X239" s="51">
        <f t="shared" si="719"/>
        <v>0</v>
      </c>
      <c r="Y239" s="52"/>
      <c r="Z239" s="53"/>
      <c r="AA239" s="51">
        <f t="shared" ref="AA239:AB239" si="720">SUM(AA233:AA238)</f>
        <v>2562.17</v>
      </c>
      <c r="AB239" s="68">
        <f t="shared" si="720"/>
        <v>1538</v>
      </c>
      <c r="AC239" s="53"/>
      <c r="AD239" s="53"/>
      <c r="AE239" s="51">
        <f t="shared" ref="AE239:AF239" si="721">SUM(AE233:AE238)</f>
        <v>5887</v>
      </c>
      <c r="AF239" s="51">
        <f t="shared" si="721"/>
        <v>0</v>
      </c>
      <c r="AG239" s="52"/>
      <c r="AH239" s="53"/>
      <c r="AI239" s="51">
        <f t="shared" ref="AI239:AJ239" si="722">SUM(AI233:AI238)</f>
        <v>157.5</v>
      </c>
      <c r="AJ239" s="68">
        <f t="shared" si="722"/>
        <v>2145.86</v>
      </c>
      <c r="AK239" s="52"/>
      <c r="AL239" s="53"/>
      <c r="AM239" s="51">
        <f t="shared" ref="AM239:AN239" si="723">SUM(AM233:AM238)</f>
        <v>147.5</v>
      </c>
      <c r="AN239" s="68">
        <f t="shared" si="723"/>
        <v>0</v>
      </c>
      <c r="AO239" s="52"/>
      <c r="AP239" s="53"/>
      <c r="AQ239" s="51">
        <f t="shared" ref="AQ239:AR239" si="724">SUM(AQ232:AQ238)</f>
        <v>170.95</v>
      </c>
      <c r="AR239" s="68">
        <f t="shared" si="724"/>
        <v>4909.5</v>
      </c>
      <c r="AS239" s="53"/>
      <c r="AT239" s="53"/>
      <c r="AU239" s="51">
        <f t="shared" ref="AU239:AV239" si="725">SUM(AU232:AU238)</f>
        <v>30.6</v>
      </c>
      <c r="AV239" s="68">
        <f t="shared" si="725"/>
        <v>1320</v>
      </c>
      <c r="AW239" s="52"/>
      <c r="AX239" s="53"/>
      <c r="AY239" s="51">
        <f t="shared" ref="AY239:AZ239" si="726">SUM(AY232:AY238)</f>
        <v>22.5</v>
      </c>
      <c r="AZ239" s="68">
        <f t="shared" si="726"/>
        <v>0</v>
      </c>
      <c r="BA239" s="53"/>
      <c r="BB239" s="53"/>
      <c r="BC239" s="51">
        <f t="shared" ref="BC239:BD239" si="727">SUM(BC232:BC238)</f>
        <v>0</v>
      </c>
      <c r="BD239" s="68">
        <f t="shared" si="727"/>
        <v>0</v>
      </c>
      <c r="BE239" s="69"/>
      <c r="BF239" s="70">
        <f t="shared" ref="BF239:BH239" si="728">SUM(BF232:BF238)</f>
        <v>8985.69</v>
      </c>
      <c r="BG239" s="71">
        <f t="shared" si="728"/>
        <v>9913.36</v>
      </c>
      <c r="BH239" s="72">
        <f t="shared" si="728"/>
        <v>51.5548</v>
      </c>
      <c r="BI239" s="34">
        <f>H239+BF239-BG239</f>
        <v>51.5548</v>
      </c>
      <c r="BJ239" s="34">
        <f>BH239-BI239</f>
        <v>0</v>
      </c>
    </row>
    <row r="240" ht="14.25" customHeight="1" spans="1:60" x14ac:dyDescent="0.25">
      <c r="A240" s="29">
        <v>33</v>
      </c>
      <c r="B240" s="14"/>
      <c r="D240" s="14" t="s">
        <v>379</v>
      </c>
      <c r="F240" s="13"/>
      <c r="G240" s="28"/>
      <c r="H240" s="34">
        <f>'2018'!BH240</f>
      </c>
      <c r="I240" s="13"/>
      <c r="J240" s="15"/>
      <c r="K240" s="15"/>
      <c r="L240" s="28"/>
      <c r="Q240" s="13"/>
      <c r="R240" s="15"/>
      <c r="S240" s="15"/>
      <c r="T240" s="28"/>
      <c r="Y240" s="13"/>
      <c r="Z240" s="15"/>
      <c r="AA240" s="15"/>
      <c r="AB240" s="28"/>
      <c r="AG240" s="13"/>
      <c r="AH240" s="15"/>
      <c r="AI240" s="15"/>
      <c r="AJ240" s="28"/>
      <c r="AK240" s="13"/>
      <c r="AL240" s="15"/>
      <c r="AM240" s="15"/>
      <c r="AN240" s="28"/>
      <c r="AO240" s="13"/>
      <c r="AP240" s="15"/>
      <c r="AQ240" s="15">
        <v>30.22</v>
      </c>
      <c r="AR240" s="28"/>
      <c r="AU240" s="2">
        <v>15.64</v>
      </c>
      <c r="AW240" s="13"/>
      <c r="AX240" s="15"/>
      <c r="AY240" s="15">
        <v>2.71</v>
      </c>
      <c r="AZ240" s="28"/>
      <c r="BC240" s="34">
        <v>2.8</v>
      </c>
      <c r="BE240" s="14"/>
      <c r="BF240" s="41">
        <f t="shared" ref="BF240:BG240" si="729">K240+O240+S240+W240+AA240+AE240+AI240+AM240+AQ240+AU240+AY240+BC240</f>
        <v>51.37</v>
      </c>
      <c r="BG240" s="34">
        <f t="shared" si="729"/>
        <v>0</v>
      </c>
      <c r="BH240" s="35">
        <f t="shared" ref="BH240:BH246" si="730">H240+BF240-BG240</f>
        <v>51.37</v>
      </c>
    </row>
    <row r="241" ht="14.25" customHeight="1" spans="1:60" x14ac:dyDescent="0.25">
      <c r="A241" s="2">
        <v>33</v>
      </c>
      <c r="B241" s="14">
        <v>4.01</v>
      </c>
      <c r="C241" s="2" t="s">
        <v>154</v>
      </c>
      <c r="D241" s="14" t="s">
        <v>44</v>
      </c>
      <c r="E241" s="2" t="s">
        <v>45</v>
      </c>
      <c r="F241" s="13">
        <v>2.49</v>
      </c>
      <c r="G241" s="35">
        <v>2.5</v>
      </c>
      <c r="H241" s="34">
        <f>'2018'!BH241</f>
        <v>2.49</v>
      </c>
      <c r="I241" s="13">
        <v>1</v>
      </c>
      <c r="J241" s="15">
        <f>I241-'2018'!BA241</f>
        <v>0</v>
      </c>
      <c r="K241" s="34">
        <f>J241*$F$8</f>
        <v>0</v>
      </c>
      <c r="L241" s="28"/>
      <c r="M241" s="2">
        <v>1</v>
      </c>
      <c r="N241" s="15">
        <f>M241-I241</f>
        <v>0</v>
      </c>
      <c r="O241" s="34">
        <f>N241*$F$8</f>
        <v>0</v>
      </c>
      <c r="Q241" s="13">
        <v>1</v>
      </c>
      <c r="R241" s="15">
        <f>Q241-M241</f>
        <v>0</v>
      </c>
      <c r="S241" s="34">
        <f>R241*$F$8</f>
        <v>0</v>
      </c>
      <c r="T241" s="28"/>
      <c r="U241" s="15">
        <v>1</v>
      </c>
      <c r="V241" s="15">
        <f>U241-Q241</f>
        <v>0</v>
      </c>
      <c r="W241" s="34">
        <f>V241*$F$8</f>
        <v>0</v>
      </c>
      <c r="Y241" s="75">
        <v>1</v>
      </c>
      <c r="Z241" s="15">
        <f>Y241-U241</f>
        <v>0</v>
      </c>
      <c r="AA241" s="34">
        <f>Z241*$F$8</f>
        <v>0</v>
      </c>
      <c r="AB241" s="28"/>
      <c r="AC241" s="75">
        <v>1</v>
      </c>
      <c r="AD241" s="15">
        <f t="shared" ref="AD241:AD242" si="731">AC241-Y241</f>
        <v>0</v>
      </c>
      <c r="AE241" s="34">
        <f>AD241*$G$8</f>
        <v>0</v>
      </c>
      <c r="AG241" s="75">
        <v>1</v>
      </c>
      <c r="AH241" s="15">
        <f t="shared" ref="AH241:AH242" si="732">AG241-AC241</f>
        <v>0</v>
      </c>
      <c r="AI241" s="34">
        <f>AH241*$G$8</f>
        <v>0</v>
      </c>
      <c r="AJ241" s="28"/>
      <c r="AK241" s="75">
        <v>1</v>
      </c>
      <c r="AL241" s="15">
        <f t="shared" ref="AL241:AL242" si="733">AK241-AG241</f>
        <v>0</v>
      </c>
      <c r="AM241" s="34">
        <f>AL241*$G$8</f>
        <v>0</v>
      </c>
      <c r="AN241" s="28"/>
      <c r="AO241" s="95">
        <v>33</v>
      </c>
      <c r="AP241" s="15">
        <f t="shared" ref="AP241:AP242" si="734">AO241-AK241</f>
        <v>32</v>
      </c>
      <c r="AQ241" s="34">
        <f>AP241*$G$8</f>
        <v>80</v>
      </c>
      <c r="AR241" s="28"/>
      <c r="AS241" s="75">
        <v>33</v>
      </c>
      <c r="AT241" s="15">
        <f t="shared" ref="AT241:AT242" si="735">AS241-AO241</f>
        <v>0</v>
      </c>
      <c r="AU241" s="34">
        <f>AT241*$G$8</f>
        <v>0</v>
      </c>
      <c r="AV241" s="15"/>
      <c r="AW241" s="13">
        <v>33</v>
      </c>
      <c r="AX241" s="15">
        <f>AW241-AS241</f>
        <v>0</v>
      </c>
      <c r="AY241" s="34">
        <f>AX241*$G$8</f>
        <v>0</v>
      </c>
      <c r="AZ241" s="28"/>
      <c r="BA241" s="13">
        <v>33</v>
      </c>
      <c r="BB241" s="15">
        <f>BA241-AW241</f>
        <v>0</v>
      </c>
      <c r="BC241" s="34">
        <f>BB241*$G$8</f>
        <v>0</v>
      </c>
      <c r="BD241" s="15"/>
      <c r="BE241" s="40">
        <f t="shared" ref="BE241:BG241" si="736">J241+N241+R241+V241+Z241+AD241+AH241+AL241+AP241+AT241+AX241+BB241</f>
        <v>32</v>
      </c>
      <c r="BF241" s="41">
        <f t="shared" si="736"/>
        <v>80</v>
      </c>
      <c r="BG241" s="34">
        <f t="shared" si="736"/>
        <v>0</v>
      </c>
      <c r="BH241" s="35">
        <f t="shared" si="730"/>
        <v>82.49</v>
      </c>
    </row>
    <row r="242" ht="14.25" customHeight="1" spans="1:60" x14ac:dyDescent="0.25">
      <c r="A242" s="29">
        <v>33</v>
      </c>
      <c r="B242" s="14"/>
      <c r="C242" s="2" t="s">
        <v>93</v>
      </c>
      <c r="D242" s="14" t="s">
        <v>47</v>
      </c>
      <c r="E242" s="2" t="s">
        <v>48</v>
      </c>
      <c r="F242" s="13">
        <v>17.98</v>
      </c>
      <c r="G242" s="28">
        <v>18.56</v>
      </c>
      <c r="H242" s="34">
        <f>'2018'!BH242</f>
        <v>0</v>
      </c>
      <c r="I242" s="13">
        <v>12</v>
      </c>
      <c r="J242" s="15"/>
      <c r="K242" s="15"/>
      <c r="L242" s="28"/>
      <c r="Q242" s="13"/>
      <c r="R242" s="15"/>
      <c r="S242" s="15"/>
      <c r="T242" s="28"/>
      <c r="Y242" s="13">
        <v>16</v>
      </c>
      <c r="Z242" s="15">
        <f>Y242-'2018'!AO242</f>
        <v>4</v>
      </c>
      <c r="AA242" s="34">
        <f>Z242*$F$10</f>
        <v>71.92</v>
      </c>
      <c r="AB242" s="28"/>
      <c r="AC242" s="13">
        <v>16</v>
      </c>
      <c r="AD242" s="15">
        <f t="shared" si="731"/>
        <v>0</v>
      </c>
      <c r="AE242" s="34">
        <f>AD242*$F$10</f>
        <v>0</v>
      </c>
      <c r="AG242" s="13">
        <v>16</v>
      </c>
      <c r="AH242" s="15">
        <f t="shared" si="732"/>
        <v>0</v>
      </c>
      <c r="AI242" s="45">
        <f>AH242*$G$10</f>
        <v>0</v>
      </c>
      <c r="AJ242" s="28"/>
      <c r="AK242" s="13">
        <v>16</v>
      </c>
      <c r="AL242" s="15">
        <f t="shared" si="733"/>
        <v>0</v>
      </c>
      <c r="AM242" s="45">
        <f>AL242*$G$10</f>
        <v>0</v>
      </c>
      <c r="AN242" s="28"/>
      <c r="AO242" s="75">
        <v>16</v>
      </c>
      <c r="AP242" s="15">
        <f t="shared" si="734"/>
        <v>0</v>
      </c>
      <c r="AQ242" s="45">
        <f>AP242*$G$10</f>
        <v>0</v>
      </c>
      <c r="AR242" s="28"/>
      <c r="AS242" s="75">
        <v>16</v>
      </c>
      <c r="AT242" s="15">
        <f t="shared" si="735"/>
        <v>0</v>
      </c>
      <c r="AU242" s="45">
        <f>AT242*$G$10</f>
        <v>0</v>
      </c>
      <c r="AV242" s="15"/>
      <c r="AW242" s="75">
        <v>16</v>
      </c>
      <c r="AX242" s="15"/>
      <c r="AY242" s="15"/>
      <c r="AZ242" s="28"/>
      <c r="BA242" s="75">
        <v>16</v>
      </c>
      <c r="BB242" s="15"/>
      <c r="BC242" s="15"/>
      <c r="BD242" s="15"/>
      <c r="BE242" s="40">
        <f t="shared" ref="BE242:BG242" si="737">J242+N242+R242+V242+Z242+AD242+AH242+AL242+AP242+AT242+AX242+BB242</f>
        <v>4</v>
      </c>
      <c r="BF242" s="41">
        <f t="shared" si="737"/>
        <v>71.92</v>
      </c>
      <c r="BG242" s="34">
        <f t="shared" si="737"/>
        <v>0</v>
      </c>
      <c r="BH242" s="35">
        <f t="shared" si="730"/>
        <v>71.92</v>
      </c>
    </row>
    <row r="243" ht="14.25" customHeight="1" spans="1:60" x14ac:dyDescent="0.25">
      <c r="A243" s="29">
        <v>33</v>
      </c>
      <c r="B243" s="14"/>
      <c r="C243" s="2" t="s">
        <v>68</v>
      </c>
      <c r="D243" s="14" t="s">
        <v>47</v>
      </c>
      <c r="E243" s="2" t="s">
        <v>49</v>
      </c>
      <c r="F243" s="41">
        <v>500</v>
      </c>
      <c r="G243" s="28"/>
      <c r="H243" s="34">
        <f>'2018'!BH243</f>
        <v>1203</v>
      </c>
      <c r="I243" s="13"/>
      <c r="J243" s="15"/>
      <c r="K243" s="15"/>
      <c r="L243" s="28"/>
      <c r="Q243" s="13"/>
      <c r="R243" s="15"/>
      <c r="S243" s="15"/>
      <c r="T243" s="28"/>
      <c r="Y243" s="13"/>
      <c r="Z243" s="15"/>
      <c r="AA243" s="34"/>
      <c r="AB243" s="28"/>
      <c r="AC243" s="15"/>
      <c r="AG243" s="13"/>
      <c r="AH243" s="15"/>
      <c r="AI243" s="15"/>
      <c r="AJ243" s="28"/>
      <c r="AK243" s="13"/>
      <c r="AL243" s="15"/>
      <c r="AM243" s="34"/>
      <c r="AN243" s="28"/>
      <c r="AO243" s="13"/>
      <c r="AP243" s="15"/>
      <c r="AQ243" s="34"/>
      <c r="AR243" s="28"/>
      <c r="AS243" s="15"/>
      <c r="AT243" s="15"/>
      <c r="AU243" s="15"/>
      <c r="AV243" s="15"/>
      <c r="AW243" s="13"/>
      <c r="AX243" s="15"/>
      <c r="AY243" s="15"/>
      <c r="AZ243" s="28"/>
      <c r="BA243" s="15"/>
      <c r="BB243" s="15"/>
      <c r="BC243" s="15"/>
      <c r="BD243" s="15"/>
      <c r="BE243" s="14"/>
      <c r="BF243" s="41">
        <f t="shared" ref="BF243:BG243" si="738">K243+O243+S243+W243+AA243+AE243+AI243+AM243+AQ243+AU243+AY243+BC243</f>
        <v>0</v>
      </c>
      <c r="BG243" s="34">
        <f t="shared" si="738"/>
        <v>0</v>
      </c>
      <c r="BH243" s="35">
        <f t="shared" si="730"/>
        <v>1203</v>
      </c>
    </row>
    <row r="244" ht="14.25" customHeight="1" spans="1:60" x14ac:dyDescent="0.25">
      <c r="A244" s="29">
        <v>33</v>
      </c>
      <c r="B244" s="14"/>
      <c r="C244" s="73" t="s">
        <v>398</v>
      </c>
      <c r="D244" s="14" t="s">
        <v>50</v>
      </c>
      <c r="E244" s="2" t="s">
        <v>49</v>
      </c>
      <c r="F244" s="41">
        <v>1200</v>
      </c>
      <c r="G244" s="28"/>
      <c r="H244" s="34">
        <f>'2018'!BH244</f>
        <v>4262.1488</v>
      </c>
      <c r="I244" s="13"/>
      <c r="J244" s="15"/>
      <c r="K244" s="15"/>
      <c r="L244" s="28"/>
      <c r="Q244" s="13"/>
      <c r="R244" s="15"/>
      <c r="S244" s="15"/>
      <c r="T244" s="28"/>
      <c r="Y244" s="13"/>
      <c r="Z244" s="15"/>
      <c r="AA244" s="15"/>
      <c r="AB244" s="28"/>
      <c r="AE244" s="34">
        <f>B241*$F$12</f>
        <v>4812</v>
      </c>
      <c r="AG244" s="13"/>
      <c r="AH244" s="15"/>
      <c r="AI244" s="15"/>
      <c r="AJ244" s="28"/>
      <c r="AK244" s="13"/>
      <c r="AL244" s="15"/>
      <c r="AM244" s="15"/>
      <c r="AN244" s="28"/>
      <c r="AO244" s="13"/>
      <c r="AP244" s="15"/>
      <c r="AQ244" s="15"/>
      <c r="AR244" s="28"/>
      <c r="AS244" s="15"/>
      <c r="AT244" s="15"/>
      <c r="AU244" s="15"/>
      <c r="AV244" s="39">
        <f>4357.72+4812</f>
        <v>9169.72</v>
      </c>
      <c r="AW244" s="13"/>
      <c r="AX244" s="15"/>
      <c r="AY244" s="15"/>
      <c r="AZ244" s="28"/>
      <c r="BA244" s="15"/>
      <c r="BB244" s="15"/>
      <c r="BC244" s="15"/>
      <c r="BD244" s="15"/>
      <c r="BE244" s="14"/>
      <c r="BF244" s="41">
        <f t="shared" ref="BF244:BG244" si="739">K244+O244+S244+W244+AA244+AE244+AI244+AM244+AQ244+AU244+AY244+BC244</f>
        <v>4812</v>
      </c>
      <c r="BG244" s="34">
        <f t="shared" si="739"/>
        <v>9169.72</v>
      </c>
      <c r="BH244" s="35">
        <f t="shared" si="730"/>
        <v>-95.5712</v>
      </c>
    </row>
    <row r="245" ht="14.25" customHeight="1" spans="1:60" x14ac:dyDescent="0.25">
      <c r="A245" s="29">
        <v>33</v>
      </c>
      <c r="B245" s="14"/>
      <c r="D245" s="14" t="s">
        <v>51</v>
      </c>
      <c r="E245" s="2" t="s">
        <v>49</v>
      </c>
      <c r="F245" s="41">
        <v>1000</v>
      </c>
      <c r="G245" s="28"/>
      <c r="H245" s="34">
        <f>'2018'!BH245</f>
        <v>0</v>
      </c>
      <c r="I245" s="13"/>
      <c r="J245" s="15"/>
      <c r="K245" s="15"/>
      <c r="L245" s="28"/>
      <c r="Q245" s="13"/>
      <c r="R245" s="15"/>
      <c r="S245" s="15"/>
      <c r="T245" s="28"/>
      <c r="Y245" s="13"/>
      <c r="Z245" s="15"/>
      <c r="AA245" s="15"/>
      <c r="AB245" s="28"/>
      <c r="AE245" s="34">
        <f>$F$21</f>
        <v>1000</v>
      </c>
      <c r="AG245" s="13"/>
      <c r="AH245" s="15"/>
      <c r="AI245" s="15"/>
      <c r="AJ245" s="28"/>
      <c r="AK245" s="13"/>
      <c r="AL245" s="15"/>
      <c r="AM245" s="15"/>
      <c r="AN245" s="28"/>
      <c r="AO245" s="13"/>
      <c r="AP245" s="15"/>
      <c r="AQ245" s="15"/>
      <c r="AR245" s="28"/>
      <c r="AS245" s="15"/>
      <c r="AT245" s="15"/>
      <c r="AU245" s="15"/>
      <c r="AV245" s="15"/>
      <c r="AW245" s="13"/>
      <c r="AX245" s="15"/>
      <c r="AY245" s="15"/>
      <c r="AZ245" s="28"/>
      <c r="BA245" s="15"/>
      <c r="BB245" s="15"/>
      <c r="BC245" s="15"/>
      <c r="BD245" s="15"/>
      <c r="BE245" s="14"/>
      <c r="BF245" s="41">
        <f t="shared" ref="BF245:BG245" si="740">K245+O245+S245+W245+AA245+AE245+AI245+AM245+AQ245+AU245+AY245+BC245</f>
        <v>1000</v>
      </c>
      <c r="BG245" s="34">
        <f t="shared" si="740"/>
        <v>0</v>
      </c>
      <c r="BH245" s="35">
        <f t="shared" si="730"/>
        <v>1000</v>
      </c>
    </row>
    <row r="246" ht="14.25" customHeight="1" spans="1:60" x14ac:dyDescent="0.25">
      <c r="A246" s="29">
        <v>33</v>
      </c>
      <c r="B246" s="14"/>
      <c r="D246" s="14" t="s">
        <v>52</v>
      </c>
      <c r="E246" s="2" t="s">
        <v>39</v>
      </c>
      <c r="F246" s="41">
        <v>500</v>
      </c>
      <c r="G246" s="28"/>
      <c r="H246" s="34">
        <f>'2018'!BH246</f>
        <v>350</v>
      </c>
      <c r="I246" s="13"/>
      <c r="J246" s="15"/>
      <c r="K246" s="15"/>
      <c r="L246" s="28"/>
      <c r="Q246" s="13"/>
      <c r="R246" s="15"/>
      <c r="S246" s="15"/>
      <c r="T246" s="28"/>
      <c r="Y246" s="13"/>
      <c r="Z246" s="15"/>
      <c r="AA246" s="34">
        <f>$F$14</f>
        <v>500</v>
      </c>
      <c r="AB246" s="28"/>
      <c r="AG246" s="13"/>
      <c r="AH246" s="15"/>
      <c r="AI246" s="15"/>
      <c r="AJ246" s="28"/>
      <c r="AK246" s="13"/>
      <c r="AL246" s="15"/>
      <c r="AM246" s="15"/>
      <c r="AN246" s="28"/>
      <c r="AO246" s="13"/>
      <c r="AP246" s="15"/>
      <c r="AQ246" s="15"/>
      <c r="AR246" s="28"/>
      <c r="AS246" s="15"/>
      <c r="AT246" s="15"/>
      <c r="AU246" s="15"/>
      <c r="AV246" s="15"/>
      <c r="AW246" s="13"/>
      <c r="AX246" s="15"/>
      <c r="AY246" s="15"/>
      <c r="AZ246" s="28"/>
      <c r="BA246" s="15"/>
      <c r="BB246" s="15"/>
      <c r="BC246" s="15"/>
      <c r="BD246" s="15"/>
      <c r="BE246" s="14"/>
      <c r="BF246" s="41">
        <f t="shared" ref="BF246:BG246" si="741">K246+O246+S246+W246+AA246+AE246+AI246+AM246+AQ246+AU246+AY246+BC246</f>
        <v>500</v>
      </c>
      <c r="BG246" s="34">
        <f t="shared" si="741"/>
        <v>0</v>
      </c>
      <c r="BH246" s="35">
        <f t="shared" si="730"/>
        <v>850</v>
      </c>
    </row>
    <row r="247" ht="14.25" customHeight="1" spans="1:62" x14ac:dyDescent="0.25">
      <c r="A247" s="50">
        <v>33</v>
      </c>
      <c r="B247" s="21"/>
      <c r="C247" s="22" t="s">
        <v>53</v>
      </c>
      <c r="D247" s="21"/>
      <c r="E247" s="22"/>
      <c r="F247" s="20"/>
      <c r="G247" s="23"/>
      <c r="H247" s="51">
        <f>SUM(H240:H246)</f>
        <v>5817.6388</v>
      </c>
      <c r="I247" s="52"/>
      <c r="J247" s="53"/>
      <c r="K247" s="51">
        <f t="shared" ref="K247:L247" si="742">SUM(K240:K246)</f>
        <v>0</v>
      </c>
      <c r="L247" s="68">
        <f t="shared" si="742"/>
        <v>0</v>
      </c>
      <c r="M247" s="53"/>
      <c r="N247" s="53"/>
      <c r="O247" s="51">
        <f t="shared" ref="O247:P247" si="743">SUM(O241:O246)</f>
        <v>0</v>
      </c>
      <c r="P247" s="51">
        <f t="shared" si="743"/>
        <v>0</v>
      </c>
      <c r="Q247" s="52"/>
      <c r="R247" s="53"/>
      <c r="S247" s="51">
        <f t="shared" ref="S247:T247" si="744">SUM(S241:S246)</f>
        <v>0</v>
      </c>
      <c r="T247" s="68">
        <f t="shared" si="744"/>
        <v>0</v>
      </c>
      <c r="U247" s="53"/>
      <c r="V247" s="53"/>
      <c r="W247" s="51">
        <f t="shared" ref="W247:X247" si="745">SUM(W241:W246)</f>
        <v>0</v>
      </c>
      <c r="X247" s="51">
        <f t="shared" si="745"/>
        <v>0</v>
      </c>
      <c r="Y247" s="52"/>
      <c r="Z247" s="53"/>
      <c r="AA247" s="51">
        <f t="shared" ref="AA247:AB247" si="746">SUM(AA241:AA246)</f>
        <v>571.92</v>
      </c>
      <c r="AB247" s="68">
        <f t="shared" si="746"/>
        <v>0</v>
      </c>
      <c r="AC247" s="53"/>
      <c r="AD247" s="53"/>
      <c r="AE247" s="51">
        <f t="shared" ref="AE247:AF247" si="747">SUM(AE241:AE246)</f>
        <v>5812</v>
      </c>
      <c r="AF247" s="51">
        <f t="shared" si="747"/>
        <v>0</v>
      </c>
      <c r="AG247" s="52"/>
      <c r="AH247" s="53"/>
      <c r="AI247" s="51">
        <f t="shared" ref="AI247:AJ247" si="748">SUM(AI241:AI246)</f>
        <v>0</v>
      </c>
      <c r="AJ247" s="68">
        <f t="shared" si="748"/>
        <v>0</v>
      </c>
      <c r="AK247" s="52"/>
      <c r="AL247" s="53"/>
      <c r="AM247" s="51">
        <f t="shared" ref="AM247:AN247" si="749">SUM(AM241:AM246)</f>
        <v>0</v>
      </c>
      <c r="AN247" s="68">
        <f t="shared" si="749"/>
        <v>0</v>
      </c>
      <c r="AO247" s="52"/>
      <c r="AP247" s="53"/>
      <c r="AQ247" s="51">
        <f t="shared" ref="AQ247:AR247" si="750">SUM(AQ240:AQ246)</f>
        <v>110.22</v>
      </c>
      <c r="AR247" s="68">
        <f t="shared" si="750"/>
        <v>0</v>
      </c>
      <c r="AS247" s="53"/>
      <c r="AT247" s="53"/>
      <c r="AU247" s="51">
        <f t="shared" ref="AU247:AV247" si="751">SUM(AU240:AU246)</f>
        <v>15.64</v>
      </c>
      <c r="AV247" s="68">
        <f t="shared" si="751"/>
        <v>9169.72</v>
      </c>
      <c r="AW247" s="52"/>
      <c r="AX247" s="53"/>
      <c r="AY247" s="51">
        <f t="shared" ref="AY247:AZ247" si="752">SUM(AY240:AY246)</f>
        <v>2.71</v>
      </c>
      <c r="AZ247" s="68">
        <f t="shared" si="752"/>
        <v>0</v>
      </c>
      <c r="BA247" s="53"/>
      <c r="BB247" s="53"/>
      <c r="BC247" s="51">
        <f t="shared" ref="BC247:BD247" si="753">SUM(BC240:BC246)</f>
        <v>2.8</v>
      </c>
      <c r="BD247" s="68">
        <f t="shared" si="753"/>
        <v>0</v>
      </c>
      <c r="BE247" s="69"/>
      <c r="BF247" s="70">
        <f t="shared" ref="BF247:BH247" si="754">SUM(BF240:BF246)</f>
        <v>6515.29</v>
      </c>
      <c r="BG247" s="71">
        <f t="shared" si="754"/>
        <v>9169.72</v>
      </c>
      <c r="BH247" s="72">
        <f t="shared" si="754"/>
        <v>3163.2088</v>
      </c>
      <c r="BI247" s="34">
        <f>H247+BF247-BG247</f>
        <v>3163.2088</v>
      </c>
      <c r="BJ247" s="34">
        <f>BH247-BI247</f>
        <v>0</v>
      </c>
    </row>
    <row r="248" ht="14.25" customHeight="1" spans="1:60" x14ac:dyDescent="0.25">
      <c r="A248" s="29">
        <v>34</v>
      </c>
      <c r="B248" s="14"/>
      <c r="D248" s="14" t="s">
        <v>379</v>
      </c>
      <c r="F248" s="13"/>
      <c r="G248" s="28"/>
      <c r="H248" s="34">
        <f>'2018'!BH248</f>
      </c>
      <c r="I248" s="13"/>
      <c r="J248" s="15"/>
      <c r="K248" s="15"/>
      <c r="L248" s="28"/>
      <c r="Q248" s="13"/>
      <c r="R248" s="15"/>
      <c r="S248" s="15"/>
      <c r="T248" s="28"/>
      <c r="Y248" s="13"/>
      <c r="Z248" s="15"/>
      <c r="AA248" s="15"/>
      <c r="AB248" s="28"/>
      <c r="AG248" s="13"/>
      <c r="AH248" s="15"/>
      <c r="AI248" s="15"/>
      <c r="AJ248" s="28"/>
      <c r="AK248" s="13"/>
      <c r="AL248" s="15"/>
      <c r="AM248" s="15"/>
      <c r="AN248" s="28"/>
      <c r="AO248" s="13"/>
      <c r="AP248" s="15"/>
      <c r="AQ248" s="15">
        <v>17.44</v>
      </c>
      <c r="AR248" s="28"/>
      <c r="AU248" s="2">
        <v>18.02</v>
      </c>
      <c r="AW248" s="13"/>
      <c r="AX248" s="15"/>
      <c r="AY248" s="15">
        <v>17.44</v>
      </c>
      <c r="AZ248" s="28"/>
      <c r="BC248" s="2">
        <v>18.02</v>
      </c>
      <c r="BE248" s="14"/>
      <c r="BF248" s="41">
        <f t="shared" ref="BF248:BG248" si="755">K248+O248+S248+W248+AA248+AE248+AI248+AM248+AQ248+AU248+AY248+BC248</f>
        <v>70.92</v>
      </c>
      <c r="BG248" s="34">
        <f t="shared" si="755"/>
        <v>0</v>
      </c>
      <c r="BH248" s="35">
        <f t="shared" ref="BH248:BH254" si="756">H248+BF248-BG248</f>
        <v>70.92</v>
      </c>
    </row>
    <row r="249" ht="15.75" customHeight="1" spans="1:60" x14ac:dyDescent="0.25">
      <c r="A249" s="2">
        <v>34</v>
      </c>
      <c r="B249" s="14">
        <v>4.01</v>
      </c>
      <c r="C249" s="15" t="s">
        <v>155</v>
      </c>
      <c r="D249" s="14" t="s">
        <v>44</v>
      </c>
      <c r="E249" s="2" t="s">
        <v>45</v>
      </c>
      <c r="F249" s="13">
        <v>2.49</v>
      </c>
      <c r="G249" s="35">
        <v>2.5</v>
      </c>
      <c r="H249" s="34">
        <f>'2018'!BH249</f>
        <v>326.19</v>
      </c>
      <c r="I249" s="13">
        <v>743</v>
      </c>
      <c r="J249" s="15">
        <f>I249-'2018'!BA249</f>
        <v>0</v>
      </c>
      <c r="K249" s="34">
        <f>J249*$F$8</f>
        <v>0</v>
      </c>
      <c r="L249" s="28"/>
      <c r="M249" s="2">
        <v>743</v>
      </c>
      <c r="N249" s="15">
        <f>M249-I249</f>
        <v>0</v>
      </c>
      <c r="O249" s="34">
        <f>N249*$F$8</f>
        <v>0</v>
      </c>
      <c r="Q249" s="13">
        <v>743</v>
      </c>
      <c r="R249" s="15">
        <f>Q249-M249</f>
        <v>0</v>
      </c>
      <c r="S249" s="34">
        <f>R249*$F$8</f>
        <v>0</v>
      </c>
      <c r="T249" s="28"/>
      <c r="U249" s="73">
        <v>743</v>
      </c>
      <c r="V249" s="15">
        <f>U249-Q249</f>
        <v>0</v>
      </c>
      <c r="W249" s="34">
        <f>V249*$F$8</f>
        <v>0</v>
      </c>
      <c r="X249" s="1">
        <v>164.79</v>
      </c>
      <c r="Y249" s="75">
        <v>743</v>
      </c>
      <c r="Z249" s="15">
        <f>Y249-U249</f>
        <v>0</v>
      </c>
      <c r="AA249" s="34">
        <f>Z249*$F$8</f>
        <v>0</v>
      </c>
      <c r="AB249" s="28"/>
      <c r="AC249" s="75">
        <v>743</v>
      </c>
      <c r="AD249" s="15">
        <f t="shared" ref="AD249:AD250" si="757">AC249-Y249</f>
        <v>0</v>
      </c>
      <c r="AE249" s="34">
        <f>AD249*$G$8</f>
        <v>0</v>
      </c>
      <c r="AG249" s="13">
        <v>1282</v>
      </c>
      <c r="AH249" s="15">
        <f t="shared" ref="AH249:AH250" si="758">AG249-AC249</f>
        <v>539</v>
      </c>
      <c r="AI249" s="34">
        <f>AH249*$G$8</f>
        <v>1347.5</v>
      </c>
      <c r="AJ249" s="28"/>
      <c r="AK249" s="13">
        <v>1348</v>
      </c>
      <c r="AL249" s="15">
        <f t="shared" ref="AL249:AL250" si="759">AK249-AG249</f>
        <v>66</v>
      </c>
      <c r="AM249" s="34">
        <f>AL249*$G$8</f>
        <v>165</v>
      </c>
      <c r="AN249" s="28"/>
      <c r="AO249" s="95">
        <v>2016.5</v>
      </c>
      <c r="AP249" s="15">
        <f t="shared" ref="AP249:AP250" si="760">AO249-AK249</f>
        <v>668.5</v>
      </c>
      <c r="AQ249" s="34">
        <f>AP249*$G$8</f>
        <v>1671.25</v>
      </c>
      <c r="AR249" s="38">
        <v>1674</v>
      </c>
      <c r="AS249" s="15">
        <v>2221</v>
      </c>
      <c r="AT249" s="15">
        <f t="shared" ref="AT249:AT250" si="761">AS249-AO249</f>
        <v>204.5</v>
      </c>
      <c r="AU249" s="34">
        <f>AT249*$G$8</f>
        <v>511.25</v>
      </c>
      <c r="AV249" s="15"/>
      <c r="AW249" s="13">
        <v>2282</v>
      </c>
      <c r="AX249" s="15">
        <f>AW249-AS249</f>
        <v>61</v>
      </c>
      <c r="AY249" s="34">
        <f>AX249*$G$8</f>
        <v>152.5</v>
      </c>
      <c r="AZ249" s="38">
        <v>2600</v>
      </c>
      <c r="BA249" s="13">
        <v>2306</v>
      </c>
      <c r="BB249" s="15">
        <f>BA249-AW249</f>
        <v>24</v>
      </c>
      <c r="BC249" s="34">
        <f>BB249*$G$8</f>
        <v>60</v>
      </c>
      <c r="BD249" s="15"/>
      <c r="BE249" s="40">
        <f t="shared" ref="BE249:BG249" si="762">J249+N249+R249+V249+Z249+AD249+AH249+AL249+AP249+AT249+AX249+BB249</f>
        <v>1563</v>
      </c>
      <c r="BF249" s="41">
        <f t="shared" si="762"/>
        <v>3907.5</v>
      </c>
      <c r="BG249" s="34">
        <f t="shared" si="762"/>
        <v>4438.79</v>
      </c>
      <c r="BH249" s="35">
        <f t="shared" si="756"/>
        <v>-205.1</v>
      </c>
    </row>
    <row r="250" ht="14.25" customHeight="1" spans="1:60" x14ac:dyDescent="0.25">
      <c r="A250" s="29">
        <v>34</v>
      </c>
      <c r="B250" s="14"/>
      <c r="C250" s="2" t="s">
        <v>114</v>
      </c>
      <c r="D250" s="14" t="s">
        <v>47</v>
      </c>
      <c r="E250" s="2" t="s">
        <v>48</v>
      </c>
      <c r="F250" s="13">
        <v>17.98</v>
      </c>
      <c r="G250" s="28">
        <v>18.56</v>
      </c>
      <c r="H250" s="34">
        <f>'2018'!BH250</f>
        <v>353.6</v>
      </c>
      <c r="I250" s="13">
        <v>33</v>
      </c>
      <c r="J250" s="15"/>
      <c r="K250" s="15"/>
      <c r="L250" s="28"/>
      <c r="Q250" s="13"/>
      <c r="R250" s="15"/>
      <c r="S250" s="15"/>
      <c r="T250" s="28"/>
      <c r="Y250" s="95">
        <v>33</v>
      </c>
      <c r="Z250" s="15">
        <v>0</v>
      </c>
      <c r="AA250" s="34">
        <f>Z250*$F$10</f>
        <v>0</v>
      </c>
      <c r="AB250" s="28"/>
      <c r="AC250" s="15">
        <v>40</v>
      </c>
      <c r="AD250" s="15">
        <f t="shared" si="757"/>
        <v>7</v>
      </c>
      <c r="AE250" s="34">
        <f>AD250*$F$10</f>
        <v>125.86</v>
      </c>
      <c r="AG250" s="13">
        <v>54</v>
      </c>
      <c r="AH250" s="15">
        <f t="shared" si="758"/>
        <v>14</v>
      </c>
      <c r="AI250" s="45">
        <f>AH250*$G$10</f>
        <v>259.84</v>
      </c>
      <c r="AJ250" s="28"/>
      <c r="AK250" s="13">
        <v>65</v>
      </c>
      <c r="AL250" s="15">
        <f t="shared" si="759"/>
        <v>11</v>
      </c>
      <c r="AM250" s="45">
        <f>AL250*$G$10</f>
        <v>204.16</v>
      </c>
      <c r="AN250" s="28"/>
      <c r="AO250" s="13">
        <v>67</v>
      </c>
      <c r="AP250" s="15">
        <f t="shared" si="760"/>
        <v>2</v>
      </c>
      <c r="AQ250" s="45">
        <f>AP250*$G$10</f>
        <v>37.12</v>
      </c>
      <c r="AR250" s="38">
        <v>950</v>
      </c>
      <c r="AS250" s="13">
        <v>67</v>
      </c>
      <c r="AT250" s="15">
        <f t="shared" si="761"/>
        <v>0</v>
      </c>
      <c r="AU250" s="45">
        <f>AT250*$G$10</f>
        <v>0</v>
      </c>
      <c r="AV250" s="15"/>
      <c r="AW250" s="13">
        <v>67</v>
      </c>
      <c r="AX250" s="15"/>
      <c r="AY250" s="15"/>
      <c r="AZ250" s="28"/>
      <c r="BA250" s="15">
        <v>67</v>
      </c>
      <c r="BB250" s="15"/>
      <c r="BC250" s="15"/>
      <c r="BD250" s="15"/>
      <c r="BE250" s="40">
        <f t="shared" ref="BE250:BG250" si="763">J250+N250+R250+V250+Z250+AD250+AH250+AL250+AP250+AT250+AX250+BB250</f>
        <v>34</v>
      </c>
      <c r="BF250" s="41">
        <f t="shared" si="763"/>
        <v>626.98</v>
      </c>
      <c r="BG250" s="34">
        <f t="shared" si="763"/>
        <v>950</v>
      </c>
      <c r="BH250" s="35">
        <f t="shared" si="756"/>
        <v>30.58</v>
      </c>
    </row>
    <row r="251" ht="14.25" customHeight="1" spans="1:60" x14ac:dyDescent="0.25">
      <c r="A251" s="29">
        <v>34</v>
      </c>
      <c r="B251" s="14"/>
      <c r="C251" s="2" t="s">
        <v>115</v>
      </c>
      <c r="D251" s="14" t="s">
        <v>47</v>
      </c>
      <c r="E251" s="2" t="s">
        <v>49</v>
      </c>
      <c r="F251" s="41">
        <v>500</v>
      </c>
      <c r="G251" s="28"/>
      <c r="H251" s="34">
        <f>'2018'!BH251</f>
        <v>0</v>
      </c>
      <c r="I251" s="13"/>
      <c r="J251" s="15"/>
      <c r="K251" s="15"/>
      <c r="L251" s="28"/>
      <c r="Q251" s="13"/>
      <c r="R251" s="15"/>
      <c r="S251" s="15"/>
      <c r="T251" s="28"/>
      <c r="Y251" s="13"/>
      <c r="Z251" s="15"/>
      <c r="AA251" s="34"/>
      <c r="AB251" s="28"/>
      <c r="AC251" s="15"/>
      <c r="AG251" s="13"/>
      <c r="AH251" s="15"/>
      <c r="AI251" s="15"/>
      <c r="AJ251" s="28"/>
      <c r="AK251" s="13"/>
      <c r="AL251" s="15"/>
      <c r="AM251" s="34"/>
      <c r="AN251" s="28"/>
      <c r="AO251" s="13"/>
      <c r="AP251" s="15"/>
      <c r="AQ251" s="34"/>
      <c r="AR251" s="28"/>
      <c r="AS251" s="15"/>
      <c r="AT251" s="15"/>
      <c r="AU251" s="15"/>
      <c r="AV251" s="15"/>
      <c r="AW251" s="13"/>
      <c r="AX251" s="15"/>
      <c r="AY251" s="15"/>
      <c r="AZ251" s="28"/>
      <c r="BA251" s="15"/>
      <c r="BB251" s="15"/>
      <c r="BC251" s="15"/>
      <c r="BD251" s="15"/>
      <c r="BE251" s="14"/>
      <c r="BF251" s="41">
        <f t="shared" ref="BF251:BG251" si="764">K251+O251+S251+W251+AA251+AE251+AI251+AM251+AQ251+AU251+AY251+BC251</f>
        <v>0</v>
      </c>
      <c r="BG251" s="34">
        <f t="shared" si="764"/>
        <v>0</v>
      </c>
      <c r="BH251" s="35">
        <f t="shared" si="756"/>
        <v>0</v>
      </c>
    </row>
    <row r="252" ht="15.75" customHeight="1" spans="1:60" x14ac:dyDescent="0.25">
      <c r="A252" s="29">
        <v>34</v>
      </c>
      <c r="B252" s="14"/>
      <c r="C252" s="2" t="s">
        <v>156</v>
      </c>
      <c r="D252" s="14" t="s">
        <v>50</v>
      </c>
      <c r="E252" s="2" t="s">
        <v>49</v>
      </c>
      <c r="F252" s="41">
        <v>1200</v>
      </c>
      <c r="G252" s="28"/>
      <c r="H252" s="34">
        <f>'2018'!BH252</f>
        <v>1285.2088</v>
      </c>
      <c r="I252" s="13"/>
      <c r="J252" s="15"/>
      <c r="K252" s="15"/>
      <c r="L252" s="28"/>
      <c r="Q252" s="13"/>
      <c r="R252" s="15"/>
      <c r="S252" s="15"/>
      <c r="T252" s="28"/>
      <c r="X252" s="1">
        <v>1285.21</v>
      </c>
      <c r="Y252" s="13"/>
      <c r="Z252" s="15"/>
      <c r="AA252" s="15"/>
      <c r="AB252" s="28"/>
      <c r="AE252" s="34">
        <f>B249*$F$12</f>
        <v>4812</v>
      </c>
      <c r="AG252" s="13"/>
      <c r="AH252" s="15"/>
      <c r="AI252" s="15"/>
      <c r="AJ252" s="28"/>
      <c r="AK252" s="13"/>
      <c r="AL252" s="15"/>
      <c r="AM252" s="15"/>
      <c r="AN252" s="28"/>
      <c r="AO252" s="13"/>
      <c r="AP252" s="15"/>
      <c r="AQ252" s="15"/>
      <c r="AR252" s="28"/>
      <c r="AS252" s="15"/>
      <c r="AT252" s="15"/>
      <c r="AU252" s="15"/>
      <c r="AV252" s="15"/>
      <c r="AW252" s="13"/>
      <c r="AX252" s="15"/>
      <c r="AY252" s="15"/>
      <c r="AZ252" s="28"/>
      <c r="BA252" s="15"/>
      <c r="BB252" s="15"/>
      <c r="BC252" s="15"/>
      <c r="BD252" s="15"/>
      <c r="BE252" s="14"/>
      <c r="BF252" s="41">
        <f t="shared" ref="BF252:BG252" si="765">K252+O252+S252+W252+AA252+AE252+AI252+AM252+AQ252+AU252+AY252+BC252</f>
        <v>4812</v>
      </c>
      <c r="BG252" s="34">
        <f t="shared" si="765"/>
        <v>1285.21</v>
      </c>
      <c r="BH252" s="35">
        <f t="shared" si="756"/>
        <v>4811.9988</v>
      </c>
    </row>
    <row r="253" ht="14.25" customHeight="1" spans="1:60" x14ac:dyDescent="0.25">
      <c r="A253" s="29">
        <v>34</v>
      </c>
      <c r="B253" s="14"/>
      <c r="D253" s="14" t="s">
        <v>51</v>
      </c>
      <c r="E253" s="2" t="s">
        <v>49</v>
      </c>
      <c r="F253" s="41">
        <v>1000</v>
      </c>
      <c r="G253" s="28"/>
      <c r="H253" s="34">
        <f>'2018'!BH253</f>
        <v>0</v>
      </c>
      <c r="I253" s="13"/>
      <c r="J253" s="15"/>
      <c r="K253" s="15"/>
      <c r="L253" s="28"/>
      <c r="Q253" s="13"/>
      <c r="R253" s="15"/>
      <c r="S253" s="15"/>
      <c r="T253" s="28"/>
      <c r="Y253" s="13"/>
      <c r="Z253" s="15"/>
      <c r="AA253" s="15"/>
      <c r="AB253" s="28"/>
      <c r="AE253" s="34">
        <f>$F$21</f>
        <v>1000</v>
      </c>
      <c r="AG253" s="13"/>
      <c r="AH253" s="15"/>
      <c r="AI253" s="15"/>
      <c r="AJ253" s="28"/>
      <c r="AK253" s="13"/>
      <c r="AL253" s="15"/>
      <c r="AM253" s="15"/>
      <c r="AN253" s="28"/>
      <c r="AO253" s="13"/>
      <c r="AP253" s="15"/>
      <c r="AQ253" s="15"/>
      <c r="AR253" s="28"/>
      <c r="AS253" s="15"/>
      <c r="AT253" s="15"/>
      <c r="AU253" s="15"/>
      <c r="AV253" s="15"/>
      <c r="AW253" s="13"/>
      <c r="AX253" s="15"/>
      <c r="AY253" s="15"/>
      <c r="AZ253" s="28"/>
      <c r="BA253" s="15"/>
      <c r="BB253" s="15"/>
      <c r="BC253" s="15"/>
      <c r="BD253" s="15"/>
      <c r="BE253" s="14"/>
      <c r="BF253" s="41">
        <f t="shared" ref="BF253:BG253" si="766">K253+O253+S253+W253+AA253+AE253+AI253+AM253+AQ253+AU253+AY253+BC253</f>
        <v>1000</v>
      </c>
      <c r="BG253" s="34">
        <f t="shared" si="766"/>
        <v>0</v>
      </c>
      <c r="BH253" s="35">
        <f t="shared" si="756"/>
        <v>1000</v>
      </c>
    </row>
    <row r="254" ht="14.25" customHeight="1" spans="1:60" x14ac:dyDescent="0.25">
      <c r="A254" s="29">
        <v>34</v>
      </c>
      <c r="B254" s="14"/>
      <c r="D254" s="14" t="s">
        <v>52</v>
      </c>
      <c r="E254" s="2" t="s">
        <v>39</v>
      </c>
      <c r="F254" s="41">
        <v>500</v>
      </c>
      <c r="G254" s="28"/>
      <c r="H254" s="84">
        <f>'2018'!BH254-500</f>
        <v>-500</v>
      </c>
      <c r="I254" s="13"/>
      <c r="J254" s="15"/>
      <c r="K254" s="15"/>
      <c r="L254" s="28"/>
      <c r="Q254" s="13"/>
      <c r="R254" s="15"/>
      <c r="S254" s="15"/>
      <c r="T254" s="28"/>
      <c r="Y254" s="13"/>
      <c r="Z254" s="15"/>
      <c r="AA254" s="34">
        <f>$F$14</f>
        <v>500</v>
      </c>
      <c r="AB254" s="28"/>
      <c r="AG254" s="13"/>
      <c r="AH254" s="15"/>
      <c r="AI254" s="15"/>
      <c r="AJ254" s="28"/>
      <c r="AK254" s="13"/>
      <c r="AL254" s="15"/>
      <c r="AM254" s="15"/>
      <c r="AN254" s="35"/>
      <c r="AO254" s="13"/>
      <c r="AP254" s="15"/>
      <c r="AQ254" s="15"/>
      <c r="AR254" s="28"/>
      <c r="AS254" s="15"/>
      <c r="AT254" s="15"/>
      <c r="AU254" s="15"/>
      <c r="AV254" s="15"/>
      <c r="AW254" s="13"/>
      <c r="AX254" s="15"/>
      <c r="AY254" s="15"/>
      <c r="AZ254" s="28"/>
      <c r="BA254" s="15"/>
      <c r="BB254" s="15"/>
      <c r="BC254" s="15"/>
      <c r="BD254" s="15"/>
      <c r="BE254" s="14"/>
      <c r="BF254" s="41">
        <f t="shared" ref="BF254:BG254" si="767">K254+O254+S254+W254+AA254+AE254+AI254+AM254+AQ254+AU254+AY254+BC254</f>
        <v>500</v>
      </c>
      <c r="BG254" s="34">
        <f t="shared" si="767"/>
        <v>0</v>
      </c>
      <c r="BH254" s="35">
        <f t="shared" si="756"/>
        <v>0</v>
      </c>
    </row>
    <row r="255" ht="15.75" customHeight="1" spans="1:62" x14ac:dyDescent="0.25">
      <c r="A255" s="50">
        <v>34</v>
      </c>
      <c r="B255" s="21"/>
      <c r="C255" s="22" t="s">
        <v>53</v>
      </c>
      <c r="D255" s="21"/>
      <c r="E255" s="22"/>
      <c r="F255" s="20"/>
      <c r="G255" s="23"/>
      <c r="H255" s="51">
        <f>SUM(H248:H254)</f>
        <v>1464.9988</v>
      </c>
      <c r="I255" s="52"/>
      <c r="J255" s="53"/>
      <c r="K255" s="51">
        <f t="shared" ref="K255:L255" si="768">SUM(K248:K254)</f>
        <v>0</v>
      </c>
      <c r="L255" s="68">
        <f t="shared" si="768"/>
        <v>0</v>
      </c>
      <c r="M255" s="53"/>
      <c r="N255" s="53"/>
      <c r="O255" s="51">
        <f t="shared" ref="O255:P255" si="769">SUM(O249:O254)</f>
        <v>0</v>
      </c>
      <c r="P255" s="51">
        <f t="shared" si="769"/>
        <v>0</v>
      </c>
      <c r="Q255" s="52"/>
      <c r="R255" s="53"/>
      <c r="S255" s="51">
        <f t="shared" ref="S255:T255" si="770">SUM(S249:S254)</f>
        <v>0</v>
      </c>
      <c r="T255" s="68">
        <f t="shared" si="770"/>
        <v>0</v>
      </c>
      <c r="U255" s="53"/>
      <c r="V255" s="53"/>
      <c r="W255" s="51">
        <f t="shared" ref="W255:X255" si="771">SUM(W249:W254)</f>
        <v>0</v>
      </c>
      <c r="X255" s="51">
        <f t="shared" si="771"/>
        <v>1450</v>
      </c>
      <c r="Y255" s="52"/>
      <c r="Z255" s="53"/>
      <c r="AA255" s="51">
        <f t="shared" ref="AA255:AB255" si="772">SUM(AA249:AA254)</f>
        <v>500</v>
      </c>
      <c r="AB255" s="68">
        <f t="shared" si="772"/>
        <v>0</v>
      </c>
      <c r="AC255" s="53"/>
      <c r="AD255" s="53"/>
      <c r="AE255" s="51">
        <f t="shared" ref="AE255:AF255" si="773">SUM(AE249:AE254)</f>
        <v>5937.86</v>
      </c>
      <c r="AF255" s="51">
        <f t="shared" si="773"/>
        <v>0</v>
      </c>
      <c r="AG255" s="52"/>
      <c r="AH255" s="53"/>
      <c r="AI255" s="51">
        <f t="shared" ref="AI255:AJ255" si="774">SUM(AI249:AI254)</f>
        <v>1607.34</v>
      </c>
      <c r="AJ255" s="68">
        <f t="shared" si="774"/>
        <v>0</v>
      </c>
      <c r="AK255" s="52"/>
      <c r="AL255" s="53"/>
      <c r="AM255" s="51">
        <f t="shared" ref="AM255:AN255" si="775">SUM(AM249:AM254)</f>
        <v>369.16</v>
      </c>
      <c r="AN255" s="68">
        <f t="shared" si="775"/>
        <v>0</v>
      </c>
      <c r="AO255" s="52"/>
      <c r="AP255" s="53"/>
      <c r="AQ255" s="51">
        <f t="shared" ref="AQ255:AR255" si="776">SUM(AQ248:AQ254)</f>
        <v>1725.81</v>
      </c>
      <c r="AR255" s="68">
        <f t="shared" si="776"/>
        <v>2624</v>
      </c>
      <c r="AS255" s="53"/>
      <c r="AT255" s="53"/>
      <c r="AU255" s="51">
        <f t="shared" ref="AU255:AV255" si="777">SUM(AU248:AU254)</f>
        <v>529.27</v>
      </c>
      <c r="AV255" s="68">
        <f t="shared" si="777"/>
        <v>0</v>
      </c>
      <c r="AW255" s="52"/>
      <c r="AX255" s="53"/>
      <c r="AY255" s="51">
        <f t="shared" ref="AY255:AZ255" si="778">SUM(AY248:AY254)</f>
        <v>169.94</v>
      </c>
      <c r="AZ255" s="68">
        <f t="shared" si="778"/>
        <v>2600</v>
      </c>
      <c r="BA255" s="53"/>
      <c r="BB255" s="53"/>
      <c r="BC255" s="51">
        <f t="shared" ref="BC255:BD255" si="779">SUM(BC248:BC254)</f>
        <v>78.02</v>
      </c>
      <c r="BD255" s="68">
        <f t="shared" si="779"/>
        <v>0</v>
      </c>
      <c r="BE255" s="69"/>
      <c r="BF255" s="70">
        <f t="shared" ref="BF255:BH255" si="780">SUM(BF248:BF254)</f>
        <v>10917.4</v>
      </c>
      <c r="BG255" s="71">
        <f t="shared" si="780"/>
        <v>6674</v>
      </c>
      <c r="BH255" s="72">
        <f t="shared" si="780"/>
        <v>5708.3988</v>
      </c>
      <c r="BI255" s="34">
        <f>H255+BF255-BG255</f>
        <v>5708.3988</v>
      </c>
      <c r="BJ255" s="34">
        <f>BH255-BI255</f>
        <v>0</v>
      </c>
    </row>
    <row r="256" ht="14.25" customHeight="1" spans="1:60" x14ac:dyDescent="0.25">
      <c r="A256" s="29">
        <v>35</v>
      </c>
      <c r="B256" s="14"/>
      <c r="D256" s="14" t="s">
        <v>379</v>
      </c>
      <c r="F256" s="13"/>
      <c r="G256" s="28"/>
      <c r="H256" s="34">
        <f>'2018'!BH256</f>
      </c>
      <c r="I256" s="13"/>
      <c r="J256" s="15"/>
      <c r="K256" s="15"/>
      <c r="L256" s="28"/>
      <c r="Q256" s="13"/>
      <c r="R256" s="15"/>
      <c r="S256" s="15"/>
      <c r="T256" s="28"/>
      <c r="Y256" s="13"/>
      <c r="Z256" s="15"/>
      <c r="AA256" s="15"/>
      <c r="AB256" s="28"/>
      <c r="AG256" s="13"/>
      <c r="AH256" s="15"/>
      <c r="AI256" s="15"/>
      <c r="AJ256" s="28"/>
      <c r="AK256" s="13"/>
      <c r="AL256" s="15"/>
      <c r="AM256" s="15"/>
      <c r="AN256" s="28"/>
      <c r="AO256" s="13"/>
      <c r="AP256" s="15"/>
      <c r="AQ256" s="15"/>
      <c r="AR256" s="28"/>
      <c r="AW256" s="13"/>
      <c r="AX256" s="15"/>
      <c r="AY256" s="15"/>
      <c r="AZ256" s="28"/>
      <c r="BE256" s="14"/>
      <c r="BF256" s="41">
        <f t="shared" ref="BF256:BG256" si="781">K256+O256+S256+W256+AA256+AE256+AI256+AM256+AQ256+AU256+AY256+BC256</f>
        <v>0</v>
      </c>
      <c r="BG256" s="34">
        <f t="shared" si="781"/>
        <v>0</v>
      </c>
      <c r="BH256" s="35">
        <f t="shared" ref="BH256:BH262" si="782">H256+BF256-BG256</f>
        <v>0</v>
      </c>
    </row>
    <row r="257" ht="14.25" customHeight="1" spans="1:60" x14ac:dyDescent="0.25">
      <c r="A257" s="2">
        <v>35</v>
      </c>
      <c r="B257" s="14">
        <v>4.01</v>
      </c>
      <c r="C257" s="2" t="s">
        <v>157</v>
      </c>
      <c r="D257" s="14" t="s">
        <v>44</v>
      </c>
      <c r="E257" s="2" t="s">
        <v>45</v>
      </c>
      <c r="F257" s="13">
        <v>2.49</v>
      </c>
      <c r="G257" s="35">
        <v>2.5</v>
      </c>
      <c r="H257" s="34">
        <f>'2018'!BH257</f>
        <v>0</v>
      </c>
      <c r="I257" s="13">
        <v>33</v>
      </c>
      <c r="J257" s="15">
        <f>I257-'2018'!BA257</f>
        <v>0</v>
      </c>
      <c r="K257" s="34">
        <f>J257*$F$8</f>
        <v>0</v>
      </c>
      <c r="L257" s="28"/>
      <c r="M257" s="2">
        <v>33</v>
      </c>
      <c r="N257" s="15">
        <f>M257-I257</f>
        <v>0</v>
      </c>
      <c r="O257" s="34">
        <f>N257*$F$8</f>
        <v>0</v>
      </c>
      <c r="Q257" s="13">
        <v>33</v>
      </c>
      <c r="R257" s="15">
        <f>Q257-M257</f>
        <v>0</v>
      </c>
      <c r="S257" s="34">
        <f>R257*$F$8</f>
        <v>0</v>
      </c>
      <c r="T257" s="28"/>
      <c r="U257" s="15">
        <v>33</v>
      </c>
      <c r="V257" s="15">
        <f>U257-Q257</f>
        <v>0</v>
      </c>
      <c r="W257" s="34">
        <f>V257*$F$8</f>
        <v>0</v>
      </c>
      <c r="Y257" s="75">
        <v>33</v>
      </c>
      <c r="Z257" s="15">
        <f>Y257-U257</f>
        <v>0</v>
      </c>
      <c r="AA257" s="34">
        <f>Z257*$F$8</f>
        <v>0</v>
      </c>
      <c r="AB257" s="28"/>
      <c r="AC257" s="75">
        <v>33</v>
      </c>
      <c r="AD257" s="15">
        <f t="shared" ref="AD257:AD258" si="783">AC257-Y257</f>
        <v>0</v>
      </c>
      <c r="AE257" s="34">
        <f>AD257*$G$8</f>
        <v>0</v>
      </c>
      <c r="AG257" s="75">
        <v>33</v>
      </c>
      <c r="AH257" s="15">
        <f t="shared" ref="AH257:AH258" si="784">AG257-AC257</f>
        <v>0</v>
      </c>
      <c r="AI257" s="34">
        <f>AH257*$G$8</f>
        <v>0</v>
      </c>
      <c r="AJ257" s="28"/>
      <c r="AK257" s="13">
        <v>33</v>
      </c>
      <c r="AL257" s="15">
        <f t="shared" ref="AL257:AL258" si="785">AK257-AG257</f>
        <v>0</v>
      </c>
      <c r="AM257" s="34">
        <f>AL257*$G$8</f>
        <v>0</v>
      </c>
      <c r="AN257" s="28"/>
      <c r="AO257" s="13">
        <v>33</v>
      </c>
      <c r="AP257" s="15">
        <f t="shared" ref="AP257:AP258" si="786">AO257-AK257</f>
        <v>0</v>
      </c>
      <c r="AQ257" s="34">
        <f>AP257*$G$8</f>
        <v>0</v>
      </c>
      <c r="AR257" s="28"/>
      <c r="AS257" s="75">
        <v>33</v>
      </c>
      <c r="AT257" s="15">
        <f t="shared" ref="AT257:AT258" si="787">AS257-AO257</f>
        <v>0</v>
      </c>
      <c r="AU257" s="34">
        <f>AT257*$G$8</f>
        <v>0</v>
      </c>
      <c r="AV257" s="15"/>
      <c r="AW257" s="13">
        <v>33</v>
      </c>
      <c r="AX257" s="15">
        <f>AW257-AS257</f>
        <v>0</v>
      </c>
      <c r="AY257" s="34">
        <f>AX257*$G$8</f>
        <v>0</v>
      </c>
      <c r="AZ257" s="28"/>
      <c r="BA257" s="13">
        <v>33</v>
      </c>
      <c r="BB257" s="15">
        <f>BA257-AW257</f>
        <v>0</v>
      </c>
      <c r="BC257" s="34">
        <f>BB257*$G$8</f>
        <v>0</v>
      </c>
      <c r="BD257" s="15"/>
      <c r="BE257" s="40">
        <f t="shared" ref="BE257:BG257" si="788">J257+N257+R257+V257+Z257+AD257+AH257+AL257+AP257+AT257+AX257+BB257</f>
        <v>0</v>
      </c>
      <c r="BF257" s="41">
        <f t="shared" si="788"/>
        <v>0</v>
      </c>
      <c r="BG257" s="34">
        <f t="shared" si="788"/>
        <v>0</v>
      </c>
      <c r="BH257" s="35">
        <f t="shared" si="782"/>
        <v>0</v>
      </c>
    </row>
    <row r="258" ht="14.25" customHeight="1" spans="1:60" x14ac:dyDescent="0.25">
      <c r="A258" s="29">
        <v>35</v>
      </c>
      <c r="B258" s="14"/>
      <c r="C258" s="2" t="s">
        <v>75</v>
      </c>
      <c r="D258" s="14" t="s">
        <v>47</v>
      </c>
      <c r="E258" s="2" t="s">
        <v>48</v>
      </c>
      <c r="F258" s="13">
        <v>17.98</v>
      </c>
      <c r="G258" s="28">
        <v>18.56</v>
      </c>
      <c r="H258" s="34">
        <f>'2018'!BH258</f>
        <v>0</v>
      </c>
      <c r="I258" s="13">
        <v>107</v>
      </c>
      <c r="J258" s="15"/>
      <c r="K258" s="15"/>
      <c r="L258" s="28"/>
      <c r="Q258" s="13"/>
      <c r="R258" s="15"/>
      <c r="S258" s="15"/>
      <c r="T258" s="28"/>
      <c r="Y258" s="13">
        <v>106</v>
      </c>
      <c r="Z258" s="15">
        <f>Y258-'2018'!AO258</f>
        <v>-1</v>
      </c>
      <c r="AA258" s="34">
        <f>Z258*$F$10</f>
        <v>-17.98</v>
      </c>
      <c r="AB258" s="28"/>
      <c r="AC258" s="15">
        <v>112</v>
      </c>
      <c r="AD258" s="15">
        <f t="shared" si="783"/>
        <v>6</v>
      </c>
      <c r="AE258" s="34">
        <f>AD258*$F$10</f>
        <v>107.88</v>
      </c>
      <c r="AF258" s="133">
        <v>89.9</v>
      </c>
      <c r="AG258" s="13">
        <v>122</v>
      </c>
      <c r="AH258" s="15">
        <f t="shared" si="784"/>
        <v>10</v>
      </c>
      <c r="AI258" s="45">
        <f>AH258*$G$10</f>
        <v>185.6</v>
      </c>
      <c r="AJ258" s="134">
        <v>185</v>
      </c>
      <c r="AK258" s="13">
        <v>131</v>
      </c>
      <c r="AL258" s="15">
        <f t="shared" si="785"/>
        <v>9</v>
      </c>
      <c r="AM258" s="45">
        <f>AL258*$G$10</f>
        <v>167.04</v>
      </c>
      <c r="AN258" s="134">
        <f>167.64+2.36</f>
        <v>170</v>
      </c>
      <c r="AO258" s="75">
        <v>131</v>
      </c>
      <c r="AP258" s="15">
        <f t="shared" si="786"/>
        <v>0</v>
      </c>
      <c r="AQ258" s="45">
        <f>AP258*$G$10</f>
        <v>0</v>
      </c>
      <c r="AR258" s="28"/>
      <c r="AS258" s="75">
        <v>131</v>
      </c>
      <c r="AT258" s="15">
        <f t="shared" si="787"/>
        <v>0</v>
      </c>
      <c r="AU258" s="45">
        <f>AT258*$G$10</f>
        <v>0</v>
      </c>
      <c r="AV258" s="15"/>
      <c r="AW258" s="75">
        <v>131</v>
      </c>
      <c r="AX258" s="15"/>
      <c r="AY258" s="15"/>
      <c r="AZ258" s="28"/>
      <c r="BA258" s="75">
        <v>131</v>
      </c>
      <c r="BB258" s="15"/>
      <c r="BC258" s="15"/>
      <c r="BD258" s="15"/>
      <c r="BE258" s="40">
        <f t="shared" ref="BE258:BG258" si="789">J258+N258+R258+V258+Z258+AD258+AH258+AL258+AP258+AT258+AX258+BB258</f>
        <v>24</v>
      </c>
      <c r="BF258" s="41">
        <f t="shared" si="789"/>
        <v>442.54</v>
      </c>
      <c r="BG258" s="34">
        <f t="shared" si="789"/>
        <v>444.9</v>
      </c>
      <c r="BH258" s="35">
        <f t="shared" si="782"/>
        <v>-2.36</v>
      </c>
    </row>
    <row r="259" ht="14.25" customHeight="1" spans="1:60" x14ac:dyDescent="0.25">
      <c r="A259" s="29">
        <v>35</v>
      </c>
      <c r="B259" s="14"/>
      <c r="C259" s="2" t="s">
        <v>158</v>
      </c>
      <c r="D259" s="14" t="s">
        <v>47</v>
      </c>
      <c r="E259" s="2" t="s">
        <v>49</v>
      </c>
      <c r="F259" s="41">
        <v>500</v>
      </c>
      <c r="G259" s="28"/>
      <c r="H259" s="34">
        <f>'2018'!BH259</f>
        <v>0</v>
      </c>
      <c r="I259" s="13"/>
      <c r="J259" s="15"/>
      <c r="K259" s="15"/>
      <c r="L259" s="28"/>
      <c r="Q259" s="13"/>
      <c r="R259" s="15"/>
      <c r="S259" s="15"/>
      <c r="T259" s="28"/>
      <c r="Y259" s="13"/>
      <c r="Z259" s="15"/>
      <c r="AA259" s="15"/>
      <c r="AB259" s="28"/>
      <c r="AG259" s="13"/>
      <c r="AH259" s="15"/>
      <c r="AI259" s="15"/>
      <c r="AJ259" s="28"/>
      <c r="AK259" s="13"/>
      <c r="AL259" s="15"/>
      <c r="AM259" s="34"/>
      <c r="AN259" s="28"/>
      <c r="AO259" s="13"/>
      <c r="AP259" s="15"/>
      <c r="AQ259" s="34"/>
      <c r="AR259" s="28"/>
      <c r="AS259" s="15"/>
      <c r="AT259" s="15"/>
      <c r="AU259" s="15"/>
      <c r="AV259" s="15"/>
      <c r="AW259" s="13"/>
      <c r="AX259" s="15"/>
      <c r="AY259" s="15"/>
      <c r="AZ259" s="28"/>
      <c r="BA259" s="15"/>
      <c r="BB259" s="15"/>
      <c r="BC259" s="15"/>
      <c r="BD259" s="15"/>
      <c r="BE259" s="14"/>
      <c r="BF259" s="41">
        <f t="shared" ref="BF259:BG259" si="790">K259+O259+S259+W259+AA259+AE259+AI259+AM259+AQ259+AU259+AY259+BC259</f>
        <v>0</v>
      </c>
      <c r="BG259" s="34">
        <f t="shared" si="790"/>
        <v>0</v>
      </c>
      <c r="BH259" s="35">
        <f t="shared" si="782"/>
        <v>0</v>
      </c>
    </row>
    <row r="260" ht="14.25" customHeight="1" spans="1:60" x14ac:dyDescent="0.25">
      <c r="A260" s="29">
        <v>35</v>
      </c>
      <c r="B260" s="14"/>
      <c r="C260" s="2" t="s">
        <v>159</v>
      </c>
      <c r="D260" s="14" t="s">
        <v>50</v>
      </c>
      <c r="E260" s="2" t="s">
        <v>49</v>
      </c>
      <c r="F260" s="41">
        <v>1200</v>
      </c>
      <c r="G260" s="28"/>
      <c r="H260" s="34">
        <f>'2018'!BH260</f>
        <v>-0.0012</v>
      </c>
      <c r="I260" s="13"/>
      <c r="J260" s="15"/>
      <c r="K260" s="15"/>
      <c r="L260" s="28"/>
      <c r="Q260" s="13"/>
      <c r="R260" s="15"/>
      <c r="S260" s="15"/>
      <c r="T260" s="28"/>
      <c r="Y260" s="13"/>
      <c r="Z260" s="15"/>
      <c r="AA260" s="15"/>
      <c r="AB260" s="28"/>
      <c r="AE260" s="34">
        <f>B257*$F$12</f>
        <v>4812</v>
      </c>
      <c r="AF260" s="133">
        <v>4812</v>
      </c>
      <c r="AG260" s="13"/>
      <c r="AH260" s="15"/>
      <c r="AI260" s="15"/>
      <c r="AJ260" s="28"/>
      <c r="AK260" s="13"/>
      <c r="AL260" s="15"/>
      <c r="AM260" s="15"/>
      <c r="AN260" s="28"/>
      <c r="AO260" s="13"/>
      <c r="AP260" s="15"/>
      <c r="AQ260" s="15"/>
      <c r="AR260" s="28"/>
      <c r="AS260" s="15"/>
      <c r="AT260" s="15"/>
      <c r="AU260" s="15"/>
      <c r="AV260" s="15"/>
      <c r="AW260" s="13"/>
      <c r="AX260" s="15"/>
      <c r="AY260" s="15"/>
      <c r="AZ260" s="28"/>
      <c r="BA260" s="15"/>
      <c r="BB260" s="15"/>
      <c r="BC260" s="15"/>
      <c r="BD260" s="15"/>
      <c r="BE260" s="14"/>
      <c r="BF260" s="41">
        <f t="shared" ref="BF260:BG260" si="791">K260+O260+S260+W260+AA260+AE260+AI260+AM260+AQ260+AU260+AY260+BC260</f>
        <v>4812</v>
      </c>
      <c r="BG260" s="34">
        <f t="shared" si="791"/>
        <v>4812</v>
      </c>
      <c r="BH260" s="35">
        <f t="shared" si="782"/>
        <v>-0.0012</v>
      </c>
    </row>
    <row r="261" ht="14.25" customHeight="1" spans="1:60" x14ac:dyDescent="0.25">
      <c r="A261" s="29">
        <v>35</v>
      </c>
      <c r="B261" s="14"/>
      <c r="D261" s="14" t="s">
        <v>51</v>
      </c>
      <c r="E261" s="2" t="s">
        <v>49</v>
      </c>
      <c r="F261" s="41">
        <v>1000</v>
      </c>
      <c r="G261" s="28"/>
      <c r="H261" s="34">
        <f>'2018'!BH261</f>
        <v>0</v>
      </c>
      <c r="I261" s="13"/>
      <c r="J261" s="15"/>
      <c r="K261" s="15"/>
      <c r="L261" s="28"/>
      <c r="Q261" s="13"/>
      <c r="R261" s="15"/>
      <c r="S261" s="15"/>
      <c r="T261" s="28"/>
      <c r="Y261" s="13"/>
      <c r="Z261" s="15"/>
      <c r="AA261" s="15"/>
      <c r="AB261" s="28"/>
      <c r="AE261" s="34">
        <f>$F$21</f>
        <v>1000</v>
      </c>
      <c r="AF261" s="133">
        <v>1000</v>
      </c>
      <c r="AG261" s="13"/>
      <c r="AH261" s="15"/>
      <c r="AI261" s="15"/>
      <c r="AJ261" s="28"/>
      <c r="AK261" s="13"/>
      <c r="AL261" s="15"/>
      <c r="AM261" s="15"/>
      <c r="AN261" s="28"/>
      <c r="AO261" s="13"/>
      <c r="AP261" s="15"/>
      <c r="AQ261" s="15"/>
      <c r="AR261" s="28"/>
      <c r="AS261" s="15"/>
      <c r="AT261" s="15"/>
      <c r="AU261" s="15"/>
      <c r="AV261" s="15"/>
      <c r="AW261" s="13"/>
      <c r="AX261" s="15"/>
      <c r="AY261" s="15"/>
      <c r="AZ261" s="28"/>
      <c r="BA261" s="15"/>
      <c r="BB261" s="15"/>
      <c r="BC261" s="15"/>
      <c r="BD261" s="15"/>
      <c r="BE261" s="14"/>
      <c r="BF261" s="41">
        <f t="shared" ref="BF261:BG261" si="792">K261+O261+S261+W261+AA261+AE261+AI261+AM261+AQ261+AU261+AY261+BC261</f>
        <v>1000</v>
      </c>
      <c r="BG261" s="34">
        <f t="shared" si="792"/>
        <v>1000</v>
      </c>
      <c r="BH261" s="35">
        <f t="shared" si="782"/>
        <v>0</v>
      </c>
    </row>
    <row r="262" ht="14.25" customHeight="1" spans="1:60" x14ac:dyDescent="0.25">
      <c r="A262" s="29">
        <v>35</v>
      </c>
      <c r="B262" s="14"/>
      <c r="D262" s="14" t="s">
        <v>52</v>
      </c>
      <c r="E262" s="2" t="s">
        <v>39</v>
      </c>
      <c r="F262" s="41">
        <v>500</v>
      </c>
      <c r="G262" s="28"/>
      <c r="H262" s="34">
        <f>'2018'!BH262</f>
        <v>0</v>
      </c>
      <c r="I262" s="13"/>
      <c r="J262" s="15"/>
      <c r="K262" s="15"/>
      <c r="L262" s="28"/>
      <c r="Q262" s="13"/>
      <c r="R262" s="15"/>
      <c r="S262" s="15"/>
      <c r="T262" s="28"/>
      <c r="Y262" s="13"/>
      <c r="Z262" s="15"/>
      <c r="AA262" s="34">
        <f>$F$14</f>
        <v>500</v>
      </c>
      <c r="AB262" s="28"/>
      <c r="AF262" s="133">
        <v>500</v>
      </c>
      <c r="AG262" s="13"/>
      <c r="AH262" s="15"/>
      <c r="AI262" s="15"/>
      <c r="AJ262" s="28"/>
      <c r="AK262" s="13"/>
      <c r="AL262" s="15"/>
      <c r="AM262" s="15"/>
      <c r="AN262" s="35"/>
      <c r="AO262" s="13"/>
      <c r="AP262" s="15"/>
      <c r="AQ262" s="15"/>
      <c r="AR262" s="28"/>
      <c r="AS262" s="15"/>
      <c r="AT262" s="15"/>
      <c r="AU262" s="15"/>
      <c r="AV262" s="15"/>
      <c r="AW262" s="13"/>
      <c r="AX262" s="15"/>
      <c r="AY262" s="15"/>
      <c r="AZ262" s="28"/>
      <c r="BA262" s="15"/>
      <c r="BB262" s="15"/>
      <c r="BC262" s="15"/>
      <c r="BD262" s="15"/>
      <c r="BE262" s="14"/>
      <c r="BF262" s="41">
        <f t="shared" ref="BF262:BG262" si="793">K262+O262+S262+W262+AA262+AE262+AI262+AM262+AQ262+AU262+AY262+BC262</f>
        <v>500</v>
      </c>
      <c r="BG262" s="34">
        <f t="shared" si="793"/>
        <v>500</v>
      </c>
      <c r="BH262" s="35">
        <f t="shared" si="782"/>
        <v>0</v>
      </c>
    </row>
    <row r="263" ht="14.25" customHeight="1" spans="1:62" x14ac:dyDescent="0.25">
      <c r="A263" s="50">
        <v>35</v>
      </c>
      <c r="B263" s="21"/>
      <c r="C263" s="22" t="s">
        <v>53</v>
      </c>
      <c r="D263" s="21"/>
      <c r="E263" s="22"/>
      <c r="F263" s="20"/>
      <c r="G263" s="23"/>
      <c r="H263" s="51">
        <f>SUM(H256:H262)</f>
        <v>-0.0012</v>
      </c>
      <c r="I263" s="52"/>
      <c r="J263" s="53"/>
      <c r="K263" s="51">
        <f t="shared" ref="K263:L263" si="794">SUM(K256:K262)</f>
        <v>0</v>
      </c>
      <c r="L263" s="68">
        <f t="shared" si="794"/>
        <v>0</v>
      </c>
      <c r="M263" s="53"/>
      <c r="N263" s="53"/>
      <c r="O263" s="51">
        <f t="shared" ref="O263:P263" si="795">SUM(O257:O262)</f>
        <v>0</v>
      </c>
      <c r="P263" s="51">
        <f t="shared" si="795"/>
        <v>0</v>
      </c>
      <c r="Q263" s="52"/>
      <c r="R263" s="53"/>
      <c r="S263" s="51">
        <f t="shared" ref="S263:T263" si="796">SUM(S257:S262)</f>
        <v>0</v>
      </c>
      <c r="T263" s="68">
        <f t="shared" si="796"/>
        <v>0</v>
      </c>
      <c r="U263" s="53"/>
      <c r="V263" s="53"/>
      <c r="W263" s="51">
        <f t="shared" ref="W263:X263" si="797">SUM(W257:W262)</f>
        <v>0</v>
      </c>
      <c r="X263" s="51">
        <f t="shared" si="797"/>
        <v>0</v>
      </c>
      <c r="Y263" s="52"/>
      <c r="Z263" s="53"/>
      <c r="AA263" s="51">
        <f t="shared" ref="AA263:AB263" si="798">SUM(AA257:AA262)</f>
        <v>482.02</v>
      </c>
      <c r="AB263" s="68">
        <f t="shared" si="798"/>
        <v>0</v>
      </c>
      <c r="AC263" s="53"/>
      <c r="AD263" s="53"/>
      <c r="AE263" s="51">
        <f t="shared" ref="AE263:AF263" si="799">SUM(AE257:AE262)</f>
        <v>5919.88</v>
      </c>
      <c r="AF263" s="51">
        <f t="shared" si="799"/>
        <v>6401.9</v>
      </c>
      <c r="AG263" s="52"/>
      <c r="AH263" s="53"/>
      <c r="AI263" s="51">
        <f t="shared" ref="AI263:AJ263" si="800">SUM(AI257:AI262)</f>
        <v>185.6</v>
      </c>
      <c r="AJ263" s="68">
        <f t="shared" si="800"/>
        <v>185</v>
      </c>
      <c r="AK263" s="52"/>
      <c r="AL263" s="53"/>
      <c r="AM263" s="51">
        <f t="shared" ref="AM263:AN263" si="801">SUM(AM257:AM262)</f>
        <v>167.04</v>
      </c>
      <c r="AN263" s="68">
        <f t="shared" si="801"/>
        <v>170</v>
      </c>
      <c r="AO263" s="52"/>
      <c r="AP263" s="53"/>
      <c r="AQ263" s="51">
        <f t="shared" ref="AQ263:AR263" si="802">SUM(AQ256:AQ262)</f>
        <v>0</v>
      </c>
      <c r="AR263" s="68">
        <f t="shared" si="802"/>
        <v>0</v>
      </c>
      <c r="AS263" s="53"/>
      <c r="AT263" s="53"/>
      <c r="AU263" s="51">
        <f t="shared" ref="AU263:AV263" si="803">SUM(AU256:AU262)</f>
        <v>0</v>
      </c>
      <c r="AV263" s="68">
        <f t="shared" si="803"/>
        <v>0</v>
      </c>
      <c r="AW263" s="52"/>
      <c r="AX263" s="53"/>
      <c r="AY263" s="51">
        <f t="shared" ref="AY263:AZ263" si="804">SUM(AY256:AY262)</f>
        <v>0</v>
      </c>
      <c r="AZ263" s="68">
        <f t="shared" si="804"/>
        <v>0</v>
      </c>
      <c r="BA263" s="53"/>
      <c r="BB263" s="53"/>
      <c r="BC263" s="51">
        <f t="shared" ref="BC263:BD263" si="805">SUM(BC256:BC262)</f>
        <v>0</v>
      </c>
      <c r="BD263" s="68">
        <f t="shared" si="805"/>
        <v>0</v>
      </c>
      <c r="BE263" s="69"/>
      <c r="BF263" s="70">
        <f t="shared" ref="BF263:BH263" si="806">SUM(BF256:BF262)</f>
        <v>6754.54</v>
      </c>
      <c r="BG263" s="71">
        <f t="shared" si="806"/>
        <v>6756.9</v>
      </c>
      <c r="BH263" s="72">
        <f t="shared" si="806"/>
        <v>-2.3612</v>
      </c>
      <c r="BI263" s="34">
        <f>H263+BF263-BG263</f>
        <v>-2.3612</v>
      </c>
      <c r="BJ263" s="34">
        <f>BH263-BI263</f>
        <v>0</v>
      </c>
    </row>
    <row r="264" ht="14.25" customHeight="1" spans="1:60" x14ac:dyDescent="0.25">
      <c r="A264" s="29">
        <v>36</v>
      </c>
      <c r="B264" s="14"/>
      <c r="D264" s="14" t="s">
        <v>379</v>
      </c>
      <c r="F264" s="13"/>
      <c r="G264" s="28"/>
      <c r="H264" s="34">
        <f>'2018'!BH264</f>
      </c>
      <c r="I264" s="13"/>
      <c r="J264" s="15"/>
      <c r="K264" s="15"/>
      <c r="L264" s="28"/>
      <c r="Q264" s="13"/>
      <c r="R264" s="15"/>
      <c r="S264" s="15"/>
      <c r="T264" s="28"/>
      <c r="Y264" s="13"/>
      <c r="Z264" s="15"/>
      <c r="AA264" s="15"/>
      <c r="AB264" s="28"/>
      <c r="AG264" s="13"/>
      <c r="AH264" s="15"/>
      <c r="AI264" s="15"/>
      <c r="AJ264" s="28"/>
      <c r="AK264" s="13"/>
      <c r="AL264" s="15"/>
      <c r="AM264" s="15"/>
      <c r="AN264" s="28"/>
      <c r="AO264" s="13"/>
      <c r="AP264" s="15"/>
      <c r="AQ264" s="15"/>
      <c r="AR264" s="28"/>
      <c r="AW264" s="13"/>
      <c r="AX264" s="15"/>
      <c r="AY264" s="15"/>
      <c r="AZ264" s="28"/>
      <c r="BE264" s="14"/>
      <c r="BF264" s="41">
        <f t="shared" ref="BF264:BG264" si="807">K264+O264+S264+W264+AA264+AE264+AI264+AM264+AQ264+AU264+AY264+BC264</f>
        <v>0</v>
      </c>
      <c r="BG264" s="34">
        <f t="shared" si="807"/>
        <v>0</v>
      </c>
      <c r="BH264" s="35">
        <f t="shared" ref="BH264:BH270" si="808">H264+BF264-BG264</f>
        <v>0</v>
      </c>
    </row>
    <row r="265" ht="14.25" customHeight="1" spans="1:60" x14ac:dyDescent="0.25">
      <c r="A265" s="2">
        <v>36</v>
      </c>
      <c r="B265" s="14">
        <v>4.03</v>
      </c>
      <c r="C265" s="2" t="s">
        <v>160</v>
      </c>
      <c r="D265" s="14" t="s">
        <v>44</v>
      </c>
      <c r="E265" s="2" t="s">
        <v>45</v>
      </c>
      <c r="F265" s="13">
        <v>2.49</v>
      </c>
      <c r="G265" s="35">
        <v>2.5</v>
      </c>
      <c r="H265" s="34">
        <f>'2018'!BH265</f>
        <v>48.4</v>
      </c>
      <c r="I265" s="13">
        <v>251</v>
      </c>
      <c r="J265" s="15">
        <f>I265-'2018'!BA265</f>
        <v>0</v>
      </c>
      <c r="K265" s="34">
        <f>J265*$F$8</f>
        <v>0</v>
      </c>
      <c r="L265" s="28"/>
      <c r="M265" s="2">
        <v>251</v>
      </c>
      <c r="N265" s="15">
        <f>M265-I265</f>
        <v>0</v>
      </c>
      <c r="O265" s="34">
        <f>N265*$F$8</f>
        <v>0</v>
      </c>
      <c r="Q265" s="13">
        <v>251</v>
      </c>
      <c r="R265" s="15">
        <f>Q265-M265</f>
        <v>0</v>
      </c>
      <c r="S265" s="34">
        <f>R265*$F$8</f>
        <v>0</v>
      </c>
      <c r="T265" s="28"/>
      <c r="U265" s="15">
        <v>254</v>
      </c>
      <c r="V265" s="15">
        <f>U265-Q265</f>
        <v>3</v>
      </c>
      <c r="W265" s="34">
        <f>V265*$F$8</f>
        <v>7.47</v>
      </c>
      <c r="X265" s="34"/>
      <c r="Y265" s="13">
        <v>254</v>
      </c>
      <c r="Z265" s="15">
        <f>Y265-U265</f>
        <v>0</v>
      </c>
      <c r="AA265" s="34">
        <f>Z265*$F$8</f>
        <v>0</v>
      </c>
      <c r="AB265" s="28"/>
      <c r="AC265" s="15">
        <v>263</v>
      </c>
      <c r="AD265" s="15">
        <f t="shared" ref="AD265:AD266" si="809">AC265-Y265</f>
        <v>9</v>
      </c>
      <c r="AE265" s="34">
        <f>AD265*$G$8</f>
        <v>22.5</v>
      </c>
      <c r="AG265" s="13">
        <v>272</v>
      </c>
      <c r="AH265" s="15">
        <f t="shared" ref="AH265:AH266" si="810">AG265-AC265</f>
        <v>9</v>
      </c>
      <c r="AI265" s="34">
        <f>AH265*$G$8</f>
        <v>22.5</v>
      </c>
      <c r="AJ265" s="134">
        <f>101.61+1.29</f>
        <v>102.9</v>
      </c>
      <c r="AK265" s="13">
        <v>281</v>
      </c>
      <c r="AL265" s="15">
        <f t="shared" ref="AL265:AL266" si="811">AK265-AG265</f>
        <v>9</v>
      </c>
      <c r="AM265" s="34">
        <f>AL265*$G$8</f>
        <v>22.5</v>
      </c>
      <c r="AN265" s="28"/>
      <c r="AO265" s="13">
        <v>289</v>
      </c>
      <c r="AP265" s="15">
        <f t="shared" ref="AP265:AP266" si="812">AO265-AK265</f>
        <v>8</v>
      </c>
      <c r="AQ265" s="34">
        <f>AP265*$G$8</f>
        <v>20</v>
      </c>
      <c r="AR265" s="28"/>
      <c r="AS265" s="15">
        <v>299</v>
      </c>
      <c r="AT265" s="15">
        <f t="shared" ref="AT265:AT266" si="813">AS265-AO265</f>
        <v>10</v>
      </c>
      <c r="AU265" s="34">
        <f>AT265*$G$8</f>
        <v>25</v>
      </c>
      <c r="AV265" s="15"/>
      <c r="AW265" s="13">
        <v>299</v>
      </c>
      <c r="AX265" s="15">
        <f>AW265-AS265</f>
        <v>0</v>
      </c>
      <c r="AY265" s="34">
        <f>AX265*$G$8</f>
        <v>0</v>
      </c>
      <c r="AZ265" s="28"/>
      <c r="BA265" s="13">
        <v>299</v>
      </c>
      <c r="BB265" s="15">
        <f>BA265-AW265</f>
        <v>0</v>
      </c>
      <c r="BC265" s="34">
        <f>BB265*$G$8</f>
        <v>0</v>
      </c>
      <c r="BD265" s="15"/>
      <c r="BE265" s="40">
        <f t="shared" ref="BE265:BG265" si="814">J265+N265+R265+V265+Z265+AD265+AH265+AL265+AP265+AT265+AX265+BB265</f>
        <v>48</v>
      </c>
      <c r="BF265" s="41">
        <f t="shared" si="814"/>
        <v>119.97</v>
      </c>
      <c r="BG265" s="34">
        <f t="shared" si="814"/>
        <v>102.9</v>
      </c>
      <c r="BH265" s="35">
        <f t="shared" si="808"/>
        <v>65.47</v>
      </c>
    </row>
    <row r="266" ht="14.25" customHeight="1" spans="1:60" x14ac:dyDescent="0.25">
      <c r="A266" s="29">
        <v>36</v>
      </c>
      <c r="B266" s="14"/>
      <c r="C266" s="2" t="s">
        <v>161</v>
      </c>
      <c r="D266" s="14" t="s">
        <v>47</v>
      </c>
      <c r="E266" s="2" t="s">
        <v>48</v>
      </c>
      <c r="F266" s="13">
        <v>17.98</v>
      </c>
      <c r="G266" s="28">
        <v>18.56</v>
      </c>
      <c r="H266" s="34">
        <f>'2018'!BH266</f>
        <v>0</v>
      </c>
      <c r="I266" s="13">
        <v>25</v>
      </c>
      <c r="J266" s="15"/>
      <c r="K266" s="15"/>
      <c r="L266" s="28"/>
      <c r="Q266" s="13"/>
      <c r="R266" s="15"/>
      <c r="S266" s="15"/>
      <c r="T266" s="28"/>
      <c r="Y266" s="95">
        <v>0</v>
      </c>
      <c r="Z266" s="15">
        <v>0</v>
      </c>
      <c r="AA266" s="34">
        <f>Z266*$F$10</f>
        <v>0</v>
      </c>
      <c r="AB266" s="28"/>
      <c r="AC266" s="15">
        <v>5</v>
      </c>
      <c r="AD266" s="15">
        <f t="shared" si="809"/>
        <v>5</v>
      </c>
      <c r="AE266" s="34">
        <f>AD266*$F$10</f>
        <v>89.9</v>
      </c>
      <c r="AF266" s="34"/>
      <c r="AG266" s="13">
        <v>25</v>
      </c>
      <c r="AH266" s="15">
        <f t="shared" si="810"/>
        <v>20</v>
      </c>
      <c r="AI266" s="45">
        <f>AH266*$G$10</f>
        <v>371.2</v>
      </c>
      <c r="AJ266" s="134">
        <v>461.1</v>
      </c>
      <c r="AK266" s="13">
        <v>25</v>
      </c>
      <c r="AL266" s="15">
        <f t="shared" si="811"/>
        <v>0</v>
      </c>
      <c r="AM266" s="45">
        <f>AL266*$G$10</f>
        <v>0</v>
      </c>
      <c r="AN266" s="35"/>
      <c r="AO266" s="75">
        <v>25</v>
      </c>
      <c r="AP266" s="15">
        <f t="shared" si="812"/>
        <v>0</v>
      </c>
      <c r="AQ266" s="45">
        <f>AP266*$G$10</f>
        <v>0</v>
      </c>
      <c r="AR266" s="28"/>
      <c r="AS266" s="75">
        <v>25</v>
      </c>
      <c r="AT266" s="15">
        <f t="shared" si="813"/>
        <v>0</v>
      </c>
      <c r="AU266" s="45">
        <f>AT266*$G$10</f>
        <v>0</v>
      </c>
      <c r="AV266" s="15"/>
      <c r="AW266" s="75">
        <v>25</v>
      </c>
      <c r="AX266" s="15"/>
      <c r="AY266" s="15"/>
      <c r="AZ266" s="28"/>
      <c r="BA266" s="75">
        <v>25</v>
      </c>
      <c r="BB266" s="15"/>
      <c r="BC266" s="15"/>
      <c r="BD266" s="15"/>
      <c r="BE266" s="40">
        <f t="shared" ref="BE266:BG266" si="815">J266+N266+R266+V266+Z266+AD266+AH266+AL266+AP266+AT266+AX266+BB266</f>
        <v>25</v>
      </c>
      <c r="BF266" s="41">
        <f t="shared" si="815"/>
        <v>461.1</v>
      </c>
      <c r="BG266" s="34">
        <f t="shared" si="815"/>
        <v>461.1</v>
      </c>
      <c r="BH266" s="35">
        <f t="shared" si="808"/>
        <v>0</v>
      </c>
    </row>
    <row r="267" ht="14.25" customHeight="1" spans="1:60" x14ac:dyDescent="0.25">
      <c r="A267" s="29">
        <v>36</v>
      </c>
      <c r="B267" s="14"/>
      <c r="C267" s="2" t="s">
        <v>68</v>
      </c>
      <c r="D267" s="14" t="s">
        <v>47</v>
      </c>
      <c r="E267" s="2" t="s">
        <v>49</v>
      </c>
      <c r="F267" s="41">
        <v>500</v>
      </c>
      <c r="G267" s="28"/>
      <c r="H267" s="34">
        <f>'2018'!BH267</f>
        <v>0</v>
      </c>
      <c r="I267" s="13"/>
      <c r="J267" s="15"/>
      <c r="K267" s="15"/>
      <c r="L267" s="28"/>
      <c r="Q267" s="13"/>
      <c r="R267" s="15"/>
      <c r="S267" s="15"/>
      <c r="T267" s="28"/>
      <c r="Y267" s="13"/>
      <c r="Z267" s="15"/>
      <c r="AA267" s="15"/>
      <c r="AB267" s="28"/>
      <c r="AG267" s="13"/>
      <c r="AH267" s="15"/>
      <c r="AI267" s="15"/>
      <c r="AJ267" s="28"/>
      <c r="AK267" s="13"/>
      <c r="AL267" s="15"/>
      <c r="AM267" s="34"/>
      <c r="AN267" s="28"/>
      <c r="AO267" s="13"/>
      <c r="AP267" s="15"/>
      <c r="AQ267" s="34"/>
      <c r="AR267" s="28"/>
      <c r="AS267" s="15"/>
      <c r="AT267" s="15"/>
      <c r="AU267" s="15"/>
      <c r="AV267" s="15"/>
      <c r="AW267" s="13"/>
      <c r="AX267" s="15"/>
      <c r="AY267" s="15"/>
      <c r="AZ267" s="28"/>
      <c r="BA267" s="15"/>
      <c r="BB267" s="15"/>
      <c r="BC267" s="15"/>
      <c r="BD267" s="15"/>
      <c r="BE267" s="14"/>
      <c r="BF267" s="41">
        <f t="shared" ref="BF267:BG267" si="816">K267+O267+S267+W267+AA267+AE267+AI267+AM267+AQ267+AU267+AY267+BC267</f>
        <v>0</v>
      </c>
      <c r="BG267" s="34">
        <f t="shared" si="816"/>
        <v>0</v>
      </c>
      <c r="BH267" s="35">
        <f t="shared" si="808"/>
        <v>0</v>
      </c>
    </row>
    <row r="268" ht="14.25" customHeight="1" spans="1:60" x14ac:dyDescent="0.25">
      <c r="A268" s="29">
        <v>36</v>
      </c>
      <c r="B268" s="14"/>
      <c r="C268" s="2" t="s">
        <v>399</v>
      </c>
      <c r="D268" s="14" t="s">
        <v>50</v>
      </c>
      <c r="E268" s="2" t="s">
        <v>49</v>
      </c>
      <c r="F268" s="41">
        <v>1200</v>
      </c>
      <c r="G268" s="28"/>
      <c r="H268" s="34">
        <f>'2018'!BH268</f>
        <v>-0.003599999999</v>
      </c>
      <c r="I268" s="13"/>
      <c r="J268" s="15"/>
      <c r="K268" s="15"/>
      <c r="L268" s="28"/>
      <c r="Q268" s="13"/>
      <c r="R268" s="15"/>
      <c r="S268" s="15"/>
      <c r="T268" s="28"/>
      <c r="Y268" s="13"/>
      <c r="Z268" s="15"/>
      <c r="AA268" s="15"/>
      <c r="AB268" s="28"/>
      <c r="AE268" s="34">
        <f>B265*$F$12</f>
        <v>4836</v>
      </c>
      <c r="AG268" s="13"/>
      <c r="AH268" s="15"/>
      <c r="AI268" s="15"/>
      <c r="AJ268" s="134">
        <v>4836</v>
      </c>
      <c r="AK268" s="13"/>
      <c r="AL268" s="15"/>
      <c r="AM268" s="15"/>
      <c r="AN268" s="28"/>
      <c r="AO268" s="13"/>
      <c r="AP268" s="15"/>
      <c r="AQ268" s="15"/>
      <c r="AR268" s="28"/>
      <c r="AS268" s="15"/>
      <c r="AT268" s="15"/>
      <c r="AU268" s="15"/>
      <c r="AV268" s="15"/>
      <c r="AW268" s="13"/>
      <c r="AX268" s="15"/>
      <c r="AY268" s="15"/>
      <c r="AZ268" s="28"/>
      <c r="BA268" s="15"/>
      <c r="BB268" s="15"/>
      <c r="BC268" s="15"/>
      <c r="BD268" s="15"/>
      <c r="BE268" s="14"/>
      <c r="BF268" s="41">
        <f t="shared" ref="BF268:BG268" si="817">K268+O268+S268+W268+AA268+AE268+AI268+AM268+AQ268+AU268+AY268+BC268</f>
        <v>4836</v>
      </c>
      <c r="BG268" s="34">
        <f t="shared" si="817"/>
        <v>4836</v>
      </c>
      <c r="BH268" s="35">
        <f t="shared" si="808"/>
        <v>-0.003599999999</v>
      </c>
    </row>
    <row r="269" ht="14.25" customHeight="1" spans="1:60" x14ac:dyDescent="0.25">
      <c r="A269" s="29">
        <v>36</v>
      </c>
      <c r="B269" s="14"/>
      <c r="D269" s="14" t="s">
        <v>51</v>
      </c>
      <c r="E269" s="2" t="s">
        <v>49</v>
      </c>
      <c r="F269" s="41">
        <v>1000</v>
      </c>
      <c r="G269" s="28"/>
      <c r="H269" s="34">
        <f>'2018'!BH269</f>
        <v>0</v>
      </c>
      <c r="I269" s="13"/>
      <c r="J269" s="15"/>
      <c r="K269" s="15"/>
      <c r="L269" s="28"/>
      <c r="Q269" s="13"/>
      <c r="R269" s="15"/>
      <c r="S269" s="15"/>
      <c r="T269" s="28"/>
      <c r="Y269" s="13"/>
      <c r="Z269" s="15"/>
      <c r="AA269" s="15"/>
      <c r="AB269" s="28"/>
      <c r="AE269" s="34">
        <f>$F$21</f>
        <v>1000</v>
      </c>
      <c r="AG269" s="13"/>
      <c r="AH269" s="15"/>
      <c r="AI269" s="15"/>
      <c r="AJ269" s="134">
        <v>1000</v>
      </c>
      <c r="AK269" s="13"/>
      <c r="AL269" s="15"/>
      <c r="AM269" s="15"/>
      <c r="AN269" s="28"/>
      <c r="AO269" s="13"/>
      <c r="AP269" s="15"/>
      <c r="AQ269" s="15"/>
      <c r="AR269" s="28"/>
      <c r="AS269" s="15"/>
      <c r="AT269" s="15"/>
      <c r="AU269" s="15"/>
      <c r="AV269" s="15"/>
      <c r="AW269" s="13"/>
      <c r="AX269" s="15"/>
      <c r="AY269" s="15"/>
      <c r="AZ269" s="28"/>
      <c r="BA269" s="15"/>
      <c r="BB269" s="15"/>
      <c r="BC269" s="15"/>
      <c r="BD269" s="15"/>
      <c r="BE269" s="14"/>
      <c r="BF269" s="41">
        <f t="shared" ref="BF269:BG269" si="818">K269+O269+S269+W269+AA269+AE269+AI269+AM269+AQ269+AU269+AY269+BC269</f>
        <v>1000</v>
      </c>
      <c r="BG269" s="34">
        <f t="shared" si="818"/>
        <v>1000</v>
      </c>
      <c r="BH269" s="35">
        <f t="shared" si="808"/>
        <v>0</v>
      </c>
    </row>
    <row r="270" ht="14.25" customHeight="1" spans="1:60" x14ac:dyDescent="0.25">
      <c r="A270" s="29">
        <v>36</v>
      </c>
      <c r="B270" s="14"/>
      <c r="D270" s="14" t="s">
        <v>52</v>
      </c>
      <c r="E270" s="2" t="s">
        <v>39</v>
      </c>
      <c r="F270" s="41">
        <v>500</v>
      </c>
      <c r="G270" s="28"/>
      <c r="H270" s="34">
        <f>'2018'!BH270</f>
        <v>0</v>
      </c>
      <c r="I270" s="13"/>
      <c r="J270" s="15"/>
      <c r="K270" s="15"/>
      <c r="L270" s="28"/>
      <c r="Q270" s="13"/>
      <c r="R270" s="15"/>
      <c r="S270" s="15"/>
      <c r="T270" s="28"/>
      <c r="Y270" s="13"/>
      <c r="Z270" s="15"/>
      <c r="AA270" s="34">
        <f>$F$14</f>
        <v>500</v>
      </c>
      <c r="AB270" s="28"/>
      <c r="AG270" s="13"/>
      <c r="AH270" s="15"/>
      <c r="AI270" s="15"/>
      <c r="AJ270" s="134">
        <v>500</v>
      </c>
      <c r="AK270" s="13"/>
      <c r="AL270" s="15"/>
      <c r="AM270" s="15"/>
      <c r="AN270" s="28"/>
      <c r="AO270" s="13"/>
      <c r="AP270" s="15"/>
      <c r="AQ270" s="15"/>
      <c r="AR270" s="28"/>
      <c r="AS270" s="15"/>
      <c r="AT270" s="15"/>
      <c r="AU270" s="15"/>
      <c r="AV270" s="15"/>
      <c r="AW270" s="13"/>
      <c r="AX270" s="15"/>
      <c r="AY270" s="15"/>
      <c r="AZ270" s="28"/>
      <c r="BA270" s="15"/>
      <c r="BB270" s="15"/>
      <c r="BC270" s="15"/>
      <c r="BD270" s="15"/>
      <c r="BE270" s="14"/>
      <c r="BF270" s="41">
        <f t="shared" ref="BF270:BG270" si="819">K270+O270+S270+W270+AA270+AE270+AI270+AM270+AQ270+AU270+AY270+BC270</f>
        <v>500</v>
      </c>
      <c r="BG270" s="34">
        <f t="shared" si="819"/>
        <v>500</v>
      </c>
      <c r="BH270" s="35">
        <f t="shared" si="808"/>
        <v>0</v>
      </c>
    </row>
    <row r="271" ht="14.25" customHeight="1" spans="1:62" x14ac:dyDescent="0.25">
      <c r="A271" s="50">
        <v>36</v>
      </c>
      <c r="B271" s="21"/>
      <c r="C271" s="22" t="s">
        <v>53</v>
      </c>
      <c r="D271" s="21"/>
      <c r="E271" s="22"/>
      <c r="F271" s="20"/>
      <c r="G271" s="23"/>
      <c r="H271" s="51">
        <f>SUM(H264:H270)</f>
        <v>48.3964</v>
      </c>
      <c r="I271" s="52"/>
      <c r="J271" s="53"/>
      <c r="K271" s="51">
        <f t="shared" ref="K271:L271" si="820">SUM(K264:K270)</f>
        <v>0</v>
      </c>
      <c r="L271" s="68">
        <f t="shared" si="820"/>
        <v>0</v>
      </c>
      <c r="M271" s="53"/>
      <c r="N271" s="53"/>
      <c r="O271" s="51">
        <f t="shared" ref="O271:P271" si="821">SUM(O265:O270)</f>
        <v>0</v>
      </c>
      <c r="P271" s="51">
        <f t="shared" si="821"/>
        <v>0</v>
      </c>
      <c r="Q271" s="52"/>
      <c r="R271" s="53"/>
      <c r="S271" s="51">
        <f t="shared" ref="S271:T271" si="822">SUM(S265:S270)</f>
        <v>0</v>
      </c>
      <c r="T271" s="68">
        <f t="shared" si="822"/>
        <v>0</v>
      </c>
      <c r="U271" s="53"/>
      <c r="V271" s="53"/>
      <c r="W271" s="51">
        <f t="shared" ref="W271:X271" si="823">SUM(W265:W270)</f>
        <v>7.47</v>
      </c>
      <c r="X271" s="51">
        <f t="shared" si="823"/>
        <v>0</v>
      </c>
      <c r="Y271" s="52"/>
      <c r="Z271" s="53"/>
      <c r="AA271" s="51">
        <f t="shared" ref="AA271:AB271" si="824">SUM(AA265:AA270)</f>
        <v>500</v>
      </c>
      <c r="AB271" s="68">
        <f t="shared" si="824"/>
        <v>0</v>
      </c>
      <c r="AC271" s="53"/>
      <c r="AD271" s="53"/>
      <c r="AE271" s="51">
        <f t="shared" ref="AE271:AF271" si="825">SUM(AE265:AE270)</f>
        <v>5948.4</v>
      </c>
      <c r="AF271" s="51">
        <f t="shared" si="825"/>
        <v>0</v>
      </c>
      <c r="AG271" s="52"/>
      <c r="AH271" s="53"/>
      <c r="AI271" s="51">
        <f t="shared" ref="AI271:AJ271" si="826">SUM(AI265:AI270)</f>
        <v>393.7</v>
      </c>
      <c r="AJ271" s="68">
        <f t="shared" si="826"/>
        <v>6900</v>
      </c>
      <c r="AK271" s="52"/>
      <c r="AL271" s="53"/>
      <c r="AM271" s="51">
        <f t="shared" ref="AM271:AN271" si="827">SUM(AM265:AM270)</f>
        <v>22.5</v>
      </c>
      <c r="AN271" s="68">
        <f t="shared" si="827"/>
        <v>0</v>
      </c>
      <c r="AO271" s="52"/>
      <c r="AP271" s="53"/>
      <c r="AQ271" s="51">
        <f t="shared" ref="AQ271:AR271" si="828">SUM(AQ264:AQ270)</f>
        <v>20</v>
      </c>
      <c r="AR271" s="68">
        <f t="shared" si="828"/>
        <v>0</v>
      </c>
      <c r="AS271" s="53"/>
      <c r="AT271" s="53"/>
      <c r="AU271" s="51">
        <f t="shared" ref="AU271:AV271" si="829">SUM(AU264:AU270)</f>
        <v>25</v>
      </c>
      <c r="AV271" s="68">
        <f t="shared" si="829"/>
        <v>0</v>
      </c>
      <c r="AW271" s="52"/>
      <c r="AX271" s="53"/>
      <c r="AY271" s="51">
        <f t="shared" ref="AY271:AZ271" si="830">SUM(AY264:AY270)</f>
        <v>0</v>
      </c>
      <c r="AZ271" s="68">
        <f t="shared" si="830"/>
        <v>0</v>
      </c>
      <c r="BA271" s="53"/>
      <c r="BB271" s="53"/>
      <c r="BC271" s="51">
        <f t="shared" ref="BC271:BD271" si="831">SUM(BC264:BC270)</f>
        <v>0</v>
      </c>
      <c r="BD271" s="68">
        <f t="shared" si="831"/>
        <v>0</v>
      </c>
      <c r="BE271" s="69"/>
      <c r="BF271" s="70">
        <f t="shared" ref="BF271:BH271" si="832">SUM(BF264:BF270)</f>
        <v>6917.07</v>
      </c>
      <c r="BG271" s="71">
        <f t="shared" si="832"/>
        <v>6900</v>
      </c>
      <c r="BH271" s="72">
        <f t="shared" si="832"/>
        <v>65.4664</v>
      </c>
      <c r="BI271" s="34">
        <f>H271+BF271-BG271</f>
        <v>65.4664</v>
      </c>
      <c r="BJ271" s="34">
        <f>BH271-BI271</f>
        <v>0</v>
      </c>
    </row>
    <row r="272" ht="14.25" customHeight="1" spans="1:60" x14ac:dyDescent="0.25">
      <c r="A272" s="29">
        <v>37</v>
      </c>
      <c r="B272" s="14"/>
      <c r="D272" s="14" t="s">
        <v>379</v>
      </c>
      <c r="F272" s="13"/>
      <c r="G272" s="28"/>
      <c r="H272" s="34">
        <f>'2018'!BH272</f>
      </c>
      <c r="I272" s="13"/>
      <c r="J272" s="15"/>
      <c r="K272" s="15"/>
      <c r="L272" s="28"/>
      <c r="Q272" s="13"/>
      <c r="R272" s="15"/>
      <c r="S272" s="15"/>
      <c r="T272" s="28"/>
      <c r="Y272" s="13"/>
      <c r="Z272" s="15"/>
      <c r="AA272" s="15"/>
      <c r="AB272" s="28"/>
      <c r="AG272" s="13"/>
      <c r="AH272" s="15"/>
      <c r="AI272" s="15"/>
      <c r="AJ272" s="28"/>
      <c r="AK272" s="13"/>
      <c r="AL272" s="15"/>
      <c r="AM272" s="15"/>
      <c r="AN272" s="28"/>
      <c r="AO272" s="13"/>
      <c r="AP272" s="15"/>
      <c r="AQ272" s="15"/>
      <c r="AR272" s="28"/>
      <c r="AW272" s="13"/>
      <c r="AX272" s="15"/>
      <c r="AY272" s="15"/>
      <c r="AZ272" s="28"/>
      <c r="BE272" s="14"/>
      <c r="BF272" s="41">
        <f t="shared" ref="BF272:BG272" si="833">K272+O272+S272+W272+AA272+AE272+AI272+AM272+AQ272+AU272+AY272+BC272</f>
        <v>0</v>
      </c>
      <c r="BG272" s="34">
        <f t="shared" si="833"/>
        <v>0</v>
      </c>
      <c r="BH272" s="35">
        <f t="shared" ref="BH272:BH278" si="834">H272+BF272-BG272</f>
        <v>0</v>
      </c>
    </row>
    <row r="273" ht="14.25" customHeight="1" spans="1:60" x14ac:dyDescent="0.25">
      <c r="A273" s="2">
        <v>37</v>
      </c>
      <c r="B273" s="14">
        <v>4.06</v>
      </c>
      <c r="C273" s="2" t="s">
        <v>162</v>
      </c>
      <c r="D273" s="14" t="s">
        <v>44</v>
      </c>
      <c r="E273" s="2" t="s">
        <v>45</v>
      </c>
      <c r="F273" s="13">
        <v>2.49</v>
      </c>
      <c r="G273" s="35">
        <v>2.5</v>
      </c>
      <c r="H273" s="104">
        <f>'2018'!BH273</f>
        <v>0</v>
      </c>
      <c r="I273" s="13"/>
      <c r="J273" s="15"/>
      <c r="K273" s="34">
        <f>J273*$F$8</f>
        <v>0</v>
      </c>
      <c r="L273" s="28"/>
      <c r="N273" s="15">
        <f>M273-I273</f>
        <v>0</v>
      </c>
      <c r="O273" s="34">
        <f>N273*$F$8</f>
        <v>0</v>
      </c>
      <c r="Q273" s="13"/>
      <c r="R273" s="15">
        <f>Q273-M273</f>
        <v>0</v>
      </c>
      <c r="S273" s="34">
        <f>R273*$F$8</f>
        <v>0</v>
      </c>
      <c r="T273" s="28"/>
      <c r="V273" s="15">
        <f>U273-Q273</f>
        <v>0</v>
      </c>
      <c r="Y273" s="13"/>
      <c r="Z273" s="15">
        <f>Y273-U273</f>
        <v>0</v>
      </c>
      <c r="AA273" s="34">
        <f>Z273*$F$8</f>
        <v>0</v>
      </c>
      <c r="AB273" s="28"/>
      <c r="AC273" s="15"/>
      <c r="AD273" s="15"/>
      <c r="AE273" s="34">
        <f>AD273*$G$8</f>
        <v>0</v>
      </c>
      <c r="AG273" s="13"/>
      <c r="AH273" s="15"/>
      <c r="AI273" s="34">
        <f>AH273*$G$8</f>
        <v>0</v>
      </c>
      <c r="AJ273" s="28"/>
      <c r="AK273" s="13"/>
      <c r="AL273" s="15">
        <f t="shared" ref="AL273:AL274" si="835">AK273-AG273</f>
        <v>0</v>
      </c>
      <c r="AM273" s="34">
        <f>AL273*$G$8</f>
        <v>0</v>
      </c>
      <c r="AN273" s="28"/>
      <c r="AO273" s="13"/>
      <c r="AP273" s="15">
        <f t="shared" ref="AP273:AP274" si="836">AO273-AK273</f>
        <v>0</v>
      </c>
      <c r="AQ273" s="34">
        <f>AP273*$G$8</f>
        <v>0</v>
      </c>
      <c r="AR273" s="28"/>
      <c r="AS273" s="15"/>
      <c r="AT273" s="15">
        <f t="shared" ref="AT273:AT274" si="837">AS273-AO273</f>
        <v>0</v>
      </c>
      <c r="AU273" s="34">
        <f>AT273*$G$8</f>
        <v>0</v>
      </c>
      <c r="AV273" s="15"/>
      <c r="AW273" s="13"/>
      <c r="AX273" s="15">
        <f>AW273-AS273</f>
        <v>0</v>
      </c>
      <c r="AY273" s="34">
        <f>AX273*$G$8</f>
        <v>0</v>
      </c>
      <c r="AZ273" s="28"/>
      <c r="BA273" s="15"/>
      <c r="BB273" s="15">
        <f>BA273-AW273</f>
        <v>0</v>
      </c>
      <c r="BC273" s="34">
        <f>BB273*$G$8</f>
        <v>0</v>
      </c>
      <c r="BD273" s="15"/>
      <c r="BE273" s="40">
        <f t="shared" ref="BE273:BG273" si="838">J273+N273+R273+V273+Z273+AD273+AH273+AL273+AP273+AT273+AX273+BB273</f>
        <v>0</v>
      </c>
      <c r="BF273" s="41">
        <f t="shared" si="838"/>
        <v>0</v>
      </c>
      <c r="BG273" s="34">
        <f t="shared" si="838"/>
        <v>0</v>
      </c>
      <c r="BH273" s="35">
        <f t="shared" si="834"/>
        <v>0</v>
      </c>
    </row>
    <row r="274" ht="14.25" customHeight="1" spans="1:60" x14ac:dyDescent="0.25">
      <c r="A274" s="29">
        <v>37</v>
      </c>
      <c r="B274" s="14"/>
      <c r="C274" s="2" t="s">
        <v>163</v>
      </c>
      <c r="D274" s="14" t="s">
        <v>47</v>
      </c>
      <c r="E274" s="2" t="s">
        <v>48</v>
      </c>
      <c r="F274" s="13">
        <v>17.98</v>
      </c>
      <c r="G274" s="28">
        <v>18.56</v>
      </c>
      <c r="H274" s="34">
        <f>'2018'!BH274</f>
        <v>0</v>
      </c>
      <c r="I274" s="13">
        <v>137</v>
      </c>
      <c r="J274" s="15"/>
      <c r="K274" s="15"/>
      <c r="L274" s="28"/>
      <c r="Q274" s="13"/>
      <c r="R274" s="15"/>
      <c r="S274" s="15"/>
      <c r="T274" s="28"/>
      <c r="Y274" s="13">
        <v>138</v>
      </c>
      <c r="Z274" s="15">
        <f>Y274-'2018'!AO274</f>
        <v>1</v>
      </c>
      <c r="AA274" s="34">
        <f>Z274*$F$10</f>
        <v>17.98</v>
      </c>
      <c r="AB274" s="28"/>
      <c r="AC274" s="13">
        <v>138</v>
      </c>
      <c r="AD274" s="15">
        <f>AC274-Y274</f>
        <v>0</v>
      </c>
      <c r="AE274" s="34">
        <f>AD274*$F$10</f>
        <v>0</v>
      </c>
      <c r="AF274" s="34"/>
      <c r="AG274" s="13">
        <v>154</v>
      </c>
      <c r="AH274" s="15">
        <f>AG274-AC274</f>
        <v>16</v>
      </c>
      <c r="AI274" s="45">
        <f>AH274*$G$10</f>
        <v>296.96</v>
      </c>
      <c r="AJ274" s="134">
        <v>315</v>
      </c>
      <c r="AK274" s="13">
        <v>161</v>
      </c>
      <c r="AL274" s="15">
        <f t="shared" si="835"/>
        <v>7</v>
      </c>
      <c r="AM274" s="45">
        <f>AL274*$G$10</f>
        <v>129.92</v>
      </c>
      <c r="AN274" s="134">
        <f>130+60</f>
        <v>190</v>
      </c>
      <c r="AO274" s="13">
        <v>164</v>
      </c>
      <c r="AP274" s="15">
        <f t="shared" si="836"/>
        <v>3</v>
      </c>
      <c r="AQ274" s="45">
        <f>AP274*$G$10</f>
        <v>55.68</v>
      </c>
      <c r="AR274" s="28"/>
      <c r="AS274" s="13">
        <v>164</v>
      </c>
      <c r="AT274" s="15">
        <f t="shared" si="837"/>
        <v>0</v>
      </c>
      <c r="AU274" s="45">
        <f>AT274*$G$10</f>
        <v>0</v>
      </c>
      <c r="AV274" s="15"/>
      <c r="AW274" s="13">
        <v>164</v>
      </c>
      <c r="AX274" s="15"/>
      <c r="AY274" s="15"/>
      <c r="AZ274" s="28"/>
      <c r="BA274" s="15">
        <v>164</v>
      </c>
      <c r="BB274" s="15"/>
      <c r="BC274" s="15"/>
      <c r="BD274" s="15"/>
      <c r="BE274" s="40">
        <f t="shared" ref="BE274:BG274" si="839">J274+N274+R274+V274+Z274+AD274+AH274+AL274+AP274+AT274+AX274+BB274</f>
        <v>27</v>
      </c>
      <c r="BF274" s="41">
        <f t="shared" si="839"/>
        <v>500.54</v>
      </c>
      <c r="BG274" s="34">
        <f t="shared" si="839"/>
        <v>505</v>
      </c>
      <c r="BH274" s="35">
        <f t="shared" si="834"/>
        <v>-4.46</v>
      </c>
    </row>
    <row r="275" ht="14.25" customHeight="1" spans="1:60" x14ac:dyDescent="0.25">
      <c r="A275" s="29">
        <v>37</v>
      </c>
      <c r="B275" s="14"/>
      <c r="C275" s="2" t="s">
        <v>164</v>
      </c>
      <c r="D275" s="14" t="s">
        <v>47</v>
      </c>
      <c r="E275" s="2" t="s">
        <v>49</v>
      </c>
      <c r="F275" s="41">
        <v>500</v>
      </c>
      <c r="G275" s="28"/>
      <c r="H275" s="34">
        <f>'2018'!BH275</f>
        <v>0</v>
      </c>
      <c r="I275" s="13"/>
      <c r="J275" s="15"/>
      <c r="K275" s="15"/>
      <c r="L275" s="28"/>
      <c r="Q275" s="13"/>
      <c r="R275" s="15"/>
      <c r="S275" s="15"/>
      <c r="T275" s="28"/>
      <c r="Y275" s="13"/>
      <c r="Z275" s="15"/>
      <c r="AA275" s="15"/>
      <c r="AB275" s="28"/>
      <c r="AG275" s="13"/>
      <c r="AH275" s="15"/>
      <c r="AI275" s="15"/>
      <c r="AJ275" s="28"/>
      <c r="AK275" s="13"/>
      <c r="AL275" s="15"/>
      <c r="AM275" s="34"/>
      <c r="AN275" s="28"/>
      <c r="AO275" s="13"/>
      <c r="AP275" s="15"/>
      <c r="AQ275" s="34"/>
      <c r="AR275" s="28"/>
      <c r="AS275" s="15"/>
      <c r="AT275" s="15"/>
      <c r="AU275" s="15"/>
      <c r="AV275" s="15"/>
      <c r="AW275" s="13"/>
      <c r="AX275" s="15"/>
      <c r="AY275" s="15"/>
      <c r="AZ275" s="28"/>
      <c r="BA275" s="15"/>
      <c r="BB275" s="15"/>
      <c r="BC275" s="15"/>
      <c r="BD275" s="15"/>
      <c r="BE275" s="14"/>
      <c r="BF275" s="41">
        <f t="shared" ref="BF275:BG275" si="840">K275+O275+S275+W275+AA275+AE275+AI275+AM275+AQ275+AU275+AY275+BC275</f>
        <v>0</v>
      </c>
      <c r="BG275" s="34">
        <f t="shared" si="840"/>
        <v>0</v>
      </c>
      <c r="BH275" s="35">
        <f t="shared" si="834"/>
        <v>0</v>
      </c>
    </row>
    <row r="276" ht="14.25" customHeight="1" spans="1:60" x14ac:dyDescent="0.25">
      <c r="A276" s="29">
        <v>37</v>
      </c>
      <c r="B276" s="14"/>
      <c r="C276" s="15" t="s">
        <v>165</v>
      </c>
      <c r="D276" s="14" t="s">
        <v>50</v>
      </c>
      <c r="E276" s="2" t="s">
        <v>49</v>
      </c>
      <c r="F276" s="41">
        <v>1200</v>
      </c>
      <c r="G276" s="28"/>
      <c r="H276" s="34">
        <f>'2018'!BH276</f>
        <v>0.0028</v>
      </c>
      <c r="I276" s="13"/>
      <c r="J276" s="15"/>
      <c r="K276" s="15"/>
      <c r="L276" s="28"/>
      <c r="Q276" s="13"/>
      <c r="R276" s="15"/>
      <c r="S276" s="15"/>
      <c r="T276" s="28"/>
      <c r="Y276" s="13"/>
      <c r="Z276" s="15"/>
      <c r="AA276" s="15"/>
      <c r="AB276" s="28"/>
      <c r="AE276" s="34">
        <f>B273*$F$12</f>
        <v>4872</v>
      </c>
      <c r="AF276" s="34"/>
      <c r="AG276" s="13"/>
      <c r="AH276" s="15"/>
      <c r="AI276" s="15"/>
      <c r="AJ276" s="134">
        <v>4872</v>
      </c>
      <c r="AK276" s="13"/>
      <c r="AL276" s="15"/>
      <c r="AM276" s="15"/>
      <c r="AN276" s="28"/>
      <c r="AO276" s="13"/>
      <c r="AP276" s="15"/>
      <c r="AQ276" s="15"/>
      <c r="AR276" s="28"/>
      <c r="AS276" s="15"/>
      <c r="AT276" s="15"/>
      <c r="AU276" s="15"/>
      <c r="AV276" s="15"/>
      <c r="AW276" s="13"/>
      <c r="AX276" s="15"/>
      <c r="AY276" s="15"/>
      <c r="AZ276" s="28"/>
      <c r="BA276" s="15"/>
      <c r="BB276" s="15"/>
      <c r="BC276" s="15"/>
      <c r="BD276" s="15"/>
      <c r="BE276" s="14"/>
      <c r="BF276" s="41">
        <f t="shared" ref="BF276:BG276" si="841">K276+O276+S276+W276+AA276+AE276+AI276+AM276+AQ276+AU276+AY276+BC276</f>
        <v>4872</v>
      </c>
      <c r="BG276" s="34">
        <f t="shared" si="841"/>
        <v>4872</v>
      </c>
      <c r="BH276" s="35">
        <f t="shared" si="834"/>
        <v>0.002799999999</v>
      </c>
    </row>
    <row r="277" ht="14.25" customHeight="1" spans="1:60" x14ac:dyDescent="0.25">
      <c r="A277" s="29">
        <v>37</v>
      </c>
      <c r="B277" s="14"/>
      <c r="C277" s="2" t="s">
        <v>166</v>
      </c>
      <c r="D277" s="14" t="s">
        <v>51</v>
      </c>
      <c r="E277" s="2" t="s">
        <v>49</v>
      </c>
      <c r="F277" s="41">
        <v>1000</v>
      </c>
      <c r="G277" s="28"/>
      <c r="H277" s="34">
        <f>'2018'!BH277</f>
        <v>0</v>
      </c>
      <c r="I277" s="13"/>
      <c r="J277" s="15"/>
      <c r="K277" s="15"/>
      <c r="L277" s="28"/>
      <c r="Q277" s="13"/>
      <c r="R277" s="15"/>
      <c r="S277" s="15"/>
      <c r="T277" s="28"/>
      <c r="Y277" s="13"/>
      <c r="Z277" s="15"/>
      <c r="AA277" s="15"/>
      <c r="AB277" s="28"/>
      <c r="AE277" s="34">
        <f>$F$21</f>
        <v>1000</v>
      </c>
      <c r="AG277" s="13"/>
      <c r="AH277" s="15"/>
      <c r="AI277" s="15"/>
      <c r="AJ277" s="134">
        <v>1000</v>
      </c>
      <c r="AK277" s="13"/>
      <c r="AL277" s="15"/>
      <c r="AM277" s="15"/>
      <c r="AN277" s="28"/>
      <c r="AO277" s="13"/>
      <c r="AP277" s="15"/>
      <c r="AQ277" s="15"/>
      <c r="AR277" s="28"/>
      <c r="AS277" s="15"/>
      <c r="AT277" s="15"/>
      <c r="AU277" s="15"/>
      <c r="AV277" s="15"/>
      <c r="AW277" s="13"/>
      <c r="AX277" s="15"/>
      <c r="AY277" s="15"/>
      <c r="AZ277" s="28"/>
      <c r="BA277" s="15"/>
      <c r="BB277" s="15"/>
      <c r="BC277" s="15"/>
      <c r="BD277" s="15"/>
      <c r="BE277" s="14"/>
      <c r="BF277" s="41">
        <f t="shared" ref="BF277:BG277" si="842">K277+O277+S277+W277+AA277+AE277+AI277+AM277+AQ277+AU277+AY277+BC277</f>
        <v>1000</v>
      </c>
      <c r="BG277" s="34">
        <f t="shared" si="842"/>
        <v>1000</v>
      </c>
      <c r="BH277" s="35">
        <f t="shared" si="834"/>
        <v>0</v>
      </c>
    </row>
    <row r="278" ht="14.25" customHeight="1" spans="1:60" x14ac:dyDescent="0.25">
      <c r="A278" s="29">
        <v>37</v>
      </c>
      <c r="B278" s="14"/>
      <c r="D278" s="14" t="s">
        <v>52</v>
      </c>
      <c r="E278" s="2" t="s">
        <v>39</v>
      </c>
      <c r="F278" s="41">
        <v>500</v>
      </c>
      <c r="G278" s="28"/>
      <c r="H278" s="34">
        <f>'2018'!BH278</f>
        <v>0</v>
      </c>
      <c r="I278" s="13"/>
      <c r="J278" s="15"/>
      <c r="K278" s="15"/>
      <c r="L278" s="28"/>
      <c r="Q278" s="13"/>
      <c r="R278" s="15"/>
      <c r="S278" s="15"/>
      <c r="T278" s="28"/>
      <c r="Y278" s="13"/>
      <c r="Z278" s="15"/>
      <c r="AA278" s="34">
        <f>$F$14</f>
        <v>500</v>
      </c>
      <c r="AB278" s="35"/>
      <c r="AG278" s="13"/>
      <c r="AH278" s="15"/>
      <c r="AI278" s="15"/>
      <c r="AJ278" s="134">
        <v>500</v>
      </c>
      <c r="AK278" s="13"/>
      <c r="AL278" s="15"/>
      <c r="AM278" s="15"/>
      <c r="AN278" s="28"/>
      <c r="AO278" s="13"/>
      <c r="AP278" s="15"/>
      <c r="AQ278" s="15"/>
      <c r="AR278" s="28"/>
      <c r="AS278" s="15"/>
      <c r="AT278" s="15"/>
      <c r="AU278" s="15"/>
      <c r="AV278" s="15"/>
      <c r="AW278" s="13"/>
      <c r="AX278" s="15"/>
      <c r="AY278" s="15"/>
      <c r="AZ278" s="28"/>
      <c r="BA278" s="15"/>
      <c r="BB278" s="15"/>
      <c r="BC278" s="15"/>
      <c r="BD278" s="15"/>
      <c r="BE278" s="14"/>
      <c r="BF278" s="41">
        <f t="shared" ref="BF278:BG278" si="843">K278+O278+S278+W278+AA278+AE278+AI278+AM278+AQ278+AU278+AY278+BC278</f>
        <v>500</v>
      </c>
      <c r="BG278" s="34">
        <f t="shared" si="843"/>
        <v>500</v>
      </c>
      <c r="BH278" s="35">
        <f t="shared" si="834"/>
        <v>0</v>
      </c>
    </row>
    <row r="279" ht="14.25" customHeight="1" spans="1:62" x14ac:dyDescent="0.25">
      <c r="A279" s="50">
        <v>37</v>
      </c>
      <c r="B279" s="21"/>
      <c r="C279" s="22" t="s">
        <v>53</v>
      </c>
      <c r="D279" s="21"/>
      <c r="E279" s="22"/>
      <c r="F279" s="20"/>
      <c r="G279" s="23"/>
      <c r="H279" s="51">
        <f>SUM(H272:H278)</f>
        <v>0.0028</v>
      </c>
      <c r="I279" s="52"/>
      <c r="J279" s="53"/>
      <c r="K279" s="51">
        <f t="shared" ref="K279:L279" si="844">SUM(K272:K278)</f>
        <v>0</v>
      </c>
      <c r="L279" s="68">
        <f t="shared" si="844"/>
        <v>0</v>
      </c>
      <c r="M279" s="53"/>
      <c r="N279" s="53"/>
      <c r="O279" s="51">
        <f t="shared" ref="O279:P279" si="845">SUM(O273:O278)</f>
        <v>0</v>
      </c>
      <c r="P279" s="51">
        <f t="shared" si="845"/>
        <v>0</v>
      </c>
      <c r="Q279" s="52"/>
      <c r="R279" s="53"/>
      <c r="S279" s="51">
        <f t="shared" ref="S279:T279" si="846">SUM(S273:S278)</f>
        <v>0</v>
      </c>
      <c r="T279" s="68">
        <f t="shared" si="846"/>
        <v>0</v>
      </c>
      <c r="U279" s="53"/>
      <c r="V279" s="53"/>
      <c r="W279" s="51">
        <f t="shared" ref="W279:X279" si="847">SUM(W273:W278)</f>
        <v>0</v>
      </c>
      <c r="X279" s="51">
        <f t="shared" si="847"/>
        <v>0</v>
      </c>
      <c r="Y279" s="52"/>
      <c r="Z279" s="53"/>
      <c r="AA279" s="51">
        <f t="shared" ref="AA279:AB279" si="848">SUM(AA273:AA278)</f>
        <v>517.98</v>
      </c>
      <c r="AB279" s="68">
        <f t="shared" si="848"/>
        <v>0</v>
      </c>
      <c r="AC279" s="53"/>
      <c r="AD279" s="53"/>
      <c r="AE279" s="51">
        <f t="shared" ref="AE279:AF279" si="849">SUM(AE273:AE278)</f>
        <v>5872</v>
      </c>
      <c r="AF279" s="51">
        <f t="shared" si="849"/>
        <v>0</v>
      </c>
      <c r="AG279" s="52"/>
      <c r="AH279" s="53"/>
      <c r="AI279" s="51">
        <f t="shared" ref="AI279:AJ279" si="850">SUM(AI273:AI278)</f>
        <v>296.96</v>
      </c>
      <c r="AJ279" s="68">
        <f t="shared" si="850"/>
        <v>6687</v>
      </c>
      <c r="AK279" s="52"/>
      <c r="AL279" s="53"/>
      <c r="AM279" s="51">
        <f t="shared" ref="AM279:AN279" si="851">SUM(AM273:AM278)</f>
        <v>129.92</v>
      </c>
      <c r="AN279" s="68">
        <f t="shared" si="851"/>
        <v>190</v>
      </c>
      <c r="AO279" s="52"/>
      <c r="AP279" s="53"/>
      <c r="AQ279" s="51">
        <f t="shared" ref="AQ279:AR279" si="852">SUM(AQ272:AQ278)</f>
        <v>55.68</v>
      </c>
      <c r="AR279" s="68">
        <f t="shared" si="852"/>
        <v>0</v>
      </c>
      <c r="AS279" s="53"/>
      <c r="AT279" s="53"/>
      <c r="AU279" s="51">
        <f t="shared" ref="AU279:AV279" si="853">SUM(AU272:AU278)</f>
        <v>0</v>
      </c>
      <c r="AV279" s="68">
        <f t="shared" si="853"/>
        <v>0</v>
      </c>
      <c r="AW279" s="52"/>
      <c r="AX279" s="53"/>
      <c r="AY279" s="51">
        <f t="shared" ref="AY279:AZ279" si="854">SUM(AY272:AY278)</f>
        <v>0</v>
      </c>
      <c r="AZ279" s="68">
        <f t="shared" si="854"/>
        <v>0</v>
      </c>
      <c r="BA279" s="53"/>
      <c r="BB279" s="53"/>
      <c r="BC279" s="51">
        <f t="shared" ref="BC279:BD279" si="855">SUM(BC272:BC278)</f>
        <v>0</v>
      </c>
      <c r="BD279" s="68">
        <f t="shared" si="855"/>
        <v>0</v>
      </c>
      <c r="BE279" s="69"/>
      <c r="BF279" s="70">
        <f t="shared" ref="BF279:BH279" si="856">SUM(BF272:BF278)</f>
        <v>6872.54</v>
      </c>
      <c r="BG279" s="71">
        <f t="shared" si="856"/>
        <v>6877</v>
      </c>
      <c r="BH279" s="72">
        <f t="shared" si="856"/>
        <v>-4.4572</v>
      </c>
      <c r="BI279" s="34">
        <f>H279+BF279-BG279</f>
        <v>-4.4572</v>
      </c>
      <c r="BJ279" s="34">
        <f>BH279-BI279</f>
        <v>0</v>
      </c>
    </row>
    <row r="280" ht="14.25" customHeight="1" spans="1:60" x14ac:dyDescent="0.25">
      <c r="A280" s="29">
        <v>38</v>
      </c>
      <c r="B280" s="14"/>
      <c r="D280" s="14" t="s">
        <v>379</v>
      </c>
      <c r="F280" s="13"/>
      <c r="G280" s="28"/>
      <c r="H280" s="34">
        <f>'2018'!BH280</f>
      </c>
      <c r="I280" s="13"/>
      <c r="J280" s="15"/>
      <c r="K280" s="15"/>
      <c r="L280" s="28"/>
      <c r="Q280" s="13"/>
      <c r="R280" s="15"/>
      <c r="S280" s="15"/>
      <c r="T280" s="28"/>
      <c r="Y280" s="13"/>
      <c r="Z280" s="15"/>
      <c r="AA280" s="15"/>
      <c r="AB280" s="28"/>
      <c r="AG280" s="13"/>
      <c r="AH280" s="15"/>
      <c r="AI280" s="15"/>
      <c r="AJ280" s="28"/>
      <c r="AK280" s="13"/>
      <c r="AL280" s="15"/>
      <c r="AM280" s="15"/>
      <c r="AN280" s="28"/>
      <c r="AO280" s="13"/>
      <c r="AP280" s="15"/>
      <c r="AQ280" s="15"/>
      <c r="AR280" s="28"/>
      <c r="AW280" s="13"/>
      <c r="AX280" s="15"/>
      <c r="AY280" s="15"/>
      <c r="AZ280" s="28"/>
      <c r="BE280" s="14"/>
      <c r="BF280" s="41">
        <f t="shared" ref="BF280:BG280" si="857">K280+O280+S280+W280+AA280+AE280+AI280+AM280+AQ280+AU280+AY280+BC280</f>
        <v>0</v>
      </c>
      <c r="BG280" s="34">
        <f t="shared" si="857"/>
        <v>0</v>
      </c>
      <c r="BH280" s="35">
        <f t="shared" ref="BH280:BH286" si="858">H280+BF280-BG280</f>
        <v>0</v>
      </c>
    </row>
    <row r="281" ht="14.25" customHeight="1" spans="1:60" x14ac:dyDescent="0.25">
      <c r="A281" s="2">
        <v>38</v>
      </c>
      <c r="B281" s="14">
        <v>4.34</v>
      </c>
      <c r="C281" s="2" t="s">
        <v>167</v>
      </c>
      <c r="D281" s="14" t="s">
        <v>44</v>
      </c>
      <c r="E281" s="2" t="s">
        <v>45</v>
      </c>
      <c r="F281" s="13">
        <v>2.49</v>
      </c>
      <c r="G281" s="35">
        <v>2.5</v>
      </c>
      <c r="H281" s="34">
        <f>'2018'!BH281</f>
        <v>0</v>
      </c>
      <c r="I281" s="13">
        <v>17</v>
      </c>
      <c r="J281" s="15">
        <f>I281-'2018'!BA281</f>
        <v>0</v>
      </c>
      <c r="K281" s="34">
        <f>J281*$F$8</f>
        <v>0</v>
      </c>
      <c r="L281" s="28"/>
      <c r="M281" s="2">
        <v>17</v>
      </c>
      <c r="N281" s="15">
        <f>M281-I281</f>
        <v>0</v>
      </c>
      <c r="O281" s="34">
        <f>N281*$F$8</f>
        <v>0</v>
      </c>
      <c r="Q281" s="13">
        <v>17</v>
      </c>
      <c r="R281" s="15">
        <f>Q281-M281</f>
        <v>0</v>
      </c>
      <c r="S281" s="34">
        <f>R281*$F$8</f>
        <v>0</v>
      </c>
      <c r="T281" s="28"/>
      <c r="U281" s="15">
        <v>17</v>
      </c>
      <c r="V281" s="15">
        <f>U281-Q281</f>
        <v>0</v>
      </c>
      <c r="W281" s="34">
        <f>V281*$F$8</f>
        <v>0</v>
      </c>
      <c r="Y281" s="95">
        <v>17</v>
      </c>
      <c r="Z281" s="15">
        <f>Y281-U281</f>
        <v>0</v>
      </c>
      <c r="AA281" s="34">
        <f>Z281*$F$8</f>
        <v>0</v>
      </c>
      <c r="AB281" s="28"/>
      <c r="AC281" s="73">
        <v>18</v>
      </c>
      <c r="AD281" s="15">
        <f t="shared" ref="AD281:AD282" si="859">AC281-Y281</f>
        <v>1</v>
      </c>
      <c r="AE281" s="34">
        <f>AD281*$G$8</f>
        <v>2.5</v>
      </c>
      <c r="AG281" s="13">
        <v>18</v>
      </c>
      <c r="AH281" s="15">
        <f t="shared" ref="AH281:AH282" si="860">AG281-AC281</f>
        <v>0</v>
      </c>
      <c r="AI281" s="34">
        <f>AH281*$G$8</f>
        <v>0</v>
      </c>
      <c r="AJ281" s="28"/>
      <c r="AK281" s="13">
        <v>18</v>
      </c>
      <c r="AL281" s="15">
        <f t="shared" ref="AL281:AL282" si="861">AK281-AG281</f>
        <v>0</v>
      </c>
      <c r="AM281" s="34">
        <f>AL281*$G$8</f>
        <v>0</v>
      </c>
      <c r="AN281" s="28"/>
      <c r="AO281" s="13">
        <v>18</v>
      </c>
      <c r="AP281" s="15">
        <f t="shared" ref="AP281:AP282" si="862">AO281-AK281</f>
        <v>0</v>
      </c>
      <c r="AQ281" s="34">
        <f>AP281*$G$8</f>
        <v>0</v>
      </c>
      <c r="AR281" s="28"/>
      <c r="AS281" s="73">
        <v>18</v>
      </c>
      <c r="AT281" s="15">
        <f t="shared" ref="AT281:AT282" si="863">AS281-AO281</f>
        <v>0</v>
      </c>
      <c r="AU281" s="34">
        <f t="shared" ref="AU281:AU282" si="864">AT281*$G$8</f>
        <v>0</v>
      </c>
      <c r="AV281" s="15"/>
      <c r="AW281" s="13">
        <v>18</v>
      </c>
      <c r="AX281" s="15">
        <f>AW281-AS281</f>
        <v>0</v>
      </c>
      <c r="AY281" s="34">
        <f>AX281*$G$8</f>
        <v>0</v>
      </c>
      <c r="AZ281" s="28"/>
      <c r="BA281" s="13">
        <v>18</v>
      </c>
      <c r="BB281" s="15">
        <f>BA281-AW281</f>
        <v>0</v>
      </c>
      <c r="BC281" s="34">
        <f>BB281*$G$8</f>
        <v>0</v>
      </c>
      <c r="BD281" s="15"/>
      <c r="BE281" s="40">
        <f t="shared" ref="BE281:BG281" si="865">J281+N281+R281+V281+Z281+AD281+AH281+AL281+AP281+AT281+AX281+BB281</f>
        <v>1</v>
      </c>
      <c r="BF281" s="41">
        <f t="shared" si="865"/>
        <v>2.5</v>
      </c>
      <c r="BG281" s="34">
        <f t="shared" si="865"/>
        <v>0</v>
      </c>
      <c r="BH281" s="35">
        <f t="shared" si="858"/>
        <v>2.5</v>
      </c>
    </row>
    <row r="282" ht="14.25" customHeight="1" spans="1:60" x14ac:dyDescent="0.25">
      <c r="A282" s="29">
        <v>38</v>
      </c>
      <c r="B282" s="14"/>
      <c r="C282" s="2" t="s">
        <v>83</v>
      </c>
      <c r="D282" s="14" t="s">
        <v>47</v>
      </c>
      <c r="E282" s="2" t="s">
        <v>48</v>
      </c>
      <c r="F282" s="13">
        <v>17.98</v>
      </c>
      <c r="G282" s="28">
        <v>18.56</v>
      </c>
      <c r="H282" s="34">
        <f>'2018'!BH282</f>
        <v>-17.16</v>
      </c>
      <c r="I282" s="13">
        <v>75</v>
      </c>
      <c r="J282" s="15"/>
      <c r="K282" s="15"/>
      <c r="L282" s="28"/>
      <c r="Q282" s="13"/>
      <c r="R282" s="15"/>
      <c r="S282" s="15"/>
      <c r="T282" s="28"/>
      <c r="Y282" s="95">
        <v>77</v>
      </c>
      <c r="Z282" s="15">
        <f>Y282-'2018'!AO282</f>
        <v>2</v>
      </c>
      <c r="AA282" s="34">
        <f>Z282*$F$10</f>
        <v>35.96</v>
      </c>
      <c r="AB282" s="28"/>
      <c r="AC282" s="15">
        <v>101</v>
      </c>
      <c r="AD282" s="15">
        <f t="shared" si="859"/>
        <v>24</v>
      </c>
      <c r="AE282" s="34">
        <f>AD282*$F$10</f>
        <v>431.52</v>
      </c>
      <c r="AG282" s="13">
        <v>101</v>
      </c>
      <c r="AH282" s="15">
        <f t="shared" si="860"/>
        <v>0</v>
      </c>
      <c r="AI282" s="45">
        <f>AH282*$G$10</f>
        <v>0</v>
      </c>
      <c r="AJ282" s="139">
        <v>291.99</v>
      </c>
      <c r="AK282" s="13">
        <v>101</v>
      </c>
      <c r="AL282" s="15">
        <f t="shared" si="861"/>
        <v>0</v>
      </c>
      <c r="AM282" s="45">
        <f>AL282*$G$10</f>
        <v>0</v>
      </c>
      <c r="AN282" s="28"/>
      <c r="AO282" s="13">
        <v>112</v>
      </c>
      <c r="AP282" s="15">
        <f t="shared" si="862"/>
        <v>11</v>
      </c>
      <c r="AQ282" s="45">
        <f>AP282*$G$10</f>
        <v>204.16</v>
      </c>
      <c r="AR282" s="28"/>
      <c r="AS282" s="13">
        <v>112</v>
      </c>
      <c r="AT282" s="15">
        <f t="shared" si="863"/>
        <v>0</v>
      </c>
      <c r="AU282" s="34">
        <f t="shared" si="864"/>
        <v>0</v>
      </c>
      <c r="AV282" s="15"/>
      <c r="AW282" s="13">
        <v>112</v>
      </c>
      <c r="AX282" s="15"/>
      <c r="AY282" s="15"/>
      <c r="AZ282" s="28"/>
      <c r="BA282" s="15">
        <v>112</v>
      </c>
      <c r="BB282" s="15"/>
      <c r="BC282" s="15"/>
      <c r="BD282" s="15"/>
      <c r="BE282" s="40">
        <f t="shared" ref="BE282:BG282" si="866">J282+N282+R282+V282+Z282+AD282+AH282+AL282+AP282+AT282+AX282+BB282</f>
        <v>37</v>
      </c>
      <c r="BF282" s="41">
        <f t="shared" si="866"/>
        <v>671.64</v>
      </c>
      <c r="BG282" s="34">
        <f t="shared" si="866"/>
        <v>291.99</v>
      </c>
      <c r="BH282" s="35">
        <f t="shared" si="858"/>
        <v>362.49</v>
      </c>
    </row>
    <row r="283" ht="14.25" customHeight="1" spans="1:60" x14ac:dyDescent="0.25">
      <c r="A283" s="29">
        <v>38</v>
      </c>
      <c r="B283" s="14"/>
      <c r="C283" s="2" t="s">
        <v>168</v>
      </c>
      <c r="D283" s="14" t="s">
        <v>47</v>
      </c>
      <c r="E283" s="2" t="s">
        <v>49</v>
      </c>
      <c r="F283" s="41">
        <v>500</v>
      </c>
      <c r="G283" s="28"/>
      <c r="H283" s="34">
        <f>'2018'!BH283</f>
        <v>0</v>
      </c>
      <c r="I283" s="13"/>
      <c r="J283" s="15"/>
      <c r="K283" s="15"/>
      <c r="L283" s="28"/>
      <c r="Q283" s="13"/>
      <c r="R283" s="15"/>
      <c r="S283" s="15"/>
      <c r="T283" s="28"/>
      <c r="Y283" s="13"/>
      <c r="Z283" s="15"/>
      <c r="AA283" s="15"/>
      <c r="AB283" s="28"/>
      <c r="AG283" s="13"/>
      <c r="AH283" s="15"/>
      <c r="AI283" s="15"/>
      <c r="AJ283" s="28"/>
      <c r="AK283" s="13"/>
      <c r="AL283" s="15"/>
      <c r="AM283" s="34"/>
      <c r="AN283" s="28"/>
      <c r="AO283" s="13"/>
      <c r="AP283" s="15"/>
      <c r="AQ283" s="34"/>
      <c r="AR283" s="28"/>
      <c r="AS283" s="15"/>
      <c r="AT283" s="15"/>
      <c r="AU283" s="15"/>
      <c r="AV283" s="15"/>
      <c r="AW283" s="13"/>
      <c r="AX283" s="15"/>
      <c r="AY283" s="15"/>
      <c r="AZ283" s="28"/>
      <c r="BA283" s="15"/>
      <c r="BB283" s="15"/>
      <c r="BC283" s="15"/>
      <c r="BD283" s="15"/>
      <c r="BE283" s="14"/>
      <c r="BF283" s="41">
        <f t="shared" ref="BF283:BG283" si="867">K283+O283+S283+W283+AA283+AE283+AI283+AM283+AQ283+AU283+AY283+BC283</f>
        <v>0</v>
      </c>
      <c r="BG283" s="34">
        <f t="shared" si="867"/>
        <v>0</v>
      </c>
      <c r="BH283" s="35">
        <f t="shared" si="858"/>
        <v>0</v>
      </c>
    </row>
    <row r="284" ht="14.25" customHeight="1" spans="1:60" x14ac:dyDescent="0.25">
      <c r="A284" s="29">
        <v>38</v>
      </c>
      <c r="B284" s="14"/>
      <c r="C284" s="73"/>
      <c r="D284" s="14" t="s">
        <v>50</v>
      </c>
      <c r="E284" s="2" t="s">
        <v>49</v>
      </c>
      <c r="F284" s="41">
        <v>1200</v>
      </c>
      <c r="G284" s="28"/>
      <c r="H284" s="34">
        <f>'2018'!BH284</f>
        <v>0.0092</v>
      </c>
      <c r="I284" s="13"/>
      <c r="J284" s="15"/>
      <c r="K284" s="15"/>
      <c r="L284" s="28"/>
      <c r="Q284" s="13"/>
      <c r="R284" s="15"/>
      <c r="S284" s="15"/>
      <c r="T284" s="28"/>
      <c r="Y284" s="13"/>
      <c r="Z284" s="15"/>
      <c r="AA284" s="15"/>
      <c r="AB284" s="28"/>
      <c r="AE284" s="34">
        <f>B281*$F$12</f>
        <v>5208</v>
      </c>
      <c r="AF284" s="15"/>
      <c r="AG284" s="13"/>
      <c r="AH284" s="15"/>
      <c r="AI284" s="15"/>
      <c r="AJ284" s="139">
        <v>5208.01</v>
      </c>
      <c r="AK284" s="13"/>
      <c r="AL284" s="15"/>
      <c r="AM284" s="15"/>
      <c r="AN284" s="28"/>
      <c r="AO284" s="13"/>
      <c r="AP284" s="15"/>
      <c r="AQ284" s="15"/>
      <c r="AR284" s="28"/>
      <c r="AS284" s="15"/>
      <c r="AT284" s="15"/>
      <c r="AU284" s="15"/>
      <c r="AV284" s="15"/>
      <c r="AW284" s="13"/>
      <c r="AX284" s="15"/>
      <c r="AY284" s="15"/>
      <c r="AZ284" s="28"/>
      <c r="BA284" s="15"/>
      <c r="BB284" s="15"/>
      <c r="BC284" s="15"/>
      <c r="BD284" s="15"/>
      <c r="BE284" s="14"/>
      <c r="BF284" s="41">
        <f t="shared" ref="BF284:BG284" si="868">K284+O284+S284+W284+AA284+AE284+AI284+AM284+AQ284+AU284+AY284+BC284</f>
        <v>5208</v>
      </c>
      <c r="BG284" s="34">
        <f t="shared" si="868"/>
        <v>5208.01</v>
      </c>
      <c r="BH284" s="35">
        <f t="shared" si="858"/>
        <v>-0.0007999999998</v>
      </c>
    </row>
    <row r="285" ht="14.25" customHeight="1" spans="1:60" x14ac:dyDescent="0.25">
      <c r="A285" s="29">
        <v>38</v>
      </c>
      <c r="B285" s="14"/>
      <c r="C285" s="2" t="s">
        <v>400</v>
      </c>
      <c r="D285" s="14" t="s">
        <v>51</v>
      </c>
      <c r="E285" s="2" t="s">
        <v>49</v>
      </c>
      <c r="F285" s="41">
        <v>1000</v>
      </c>
      <c r="G285" s="28"/>
      <c r="H285" s="34">
        <f>'2018'!BH285</f>
        <v>0</v>
      </c>
      <c r="I285" s="13"/>
      <c r="J285" s="15"/>
      <c r="K285" s="15"/>
      <c r="L285" s="28"/>
      <c r="Q285" s="13"/>
      <c r="R285" s="15"/>
      <c r="S285" s="15"/>
      <c r="T285" s="28"/>
      <c r="Y285" s="13"/>
      <c r="Z285" s="15"/>
      <c r="AA285" s="15"/>
      <c r="AB285" s="28"/>
      <c r="AE285" s="34">
        <f>$F$21</f>
        <v>1000</v>
      </c>
      <c r="AG285" s="13"/>
      <c r="AH285" s="15"/>
      <c r="AI285" s="15"/>
      <c r="AJ285" s="134">
        <v>1000</v>
      </c>
      <c r="AK285" s="13"/>
      <c r="AL285" s="15"/>
      <c r="AM285" s="15"/>
      <c r="AN285" s="28"/>
      <c r="AO285" s="13"/>
      <c r="AP285" s="15"/>
      <c r="AQ285" s="15"/>
      <c r="AR285" s="28"/>
      <c r="AS285" s="15"/>
      <c r="AT285" s="15"/>
      <c r="AU285" s="15"/>
      <c r="AV285" s="15"/>
      <c r="AW285" s="13"/>
      <c r="AX285" s="15"/>
      <c r="AY285" s="15"/>
      <c r="AZ285" s="28"/>
      <c r="BA285" s="15"/>
      <c r="BB285" s="15"/>
      <c r="BC285" s="15"/>
      <c r="BD285" s="15"/>
      <c r="BE285" s="14"/>
      <c r="BF285" s="41">
        <f t="shared" ref="BF285:BG285" si="869">K285+O285+S285+W285+AA285+AE285+AI285+AM285+AQ285+AU285+AY285+BC285</f>
        <v>1000</v>
      </c>
      <c r="BG285" s="34">
        <f t="shared" si="869"/>
        <v>1000</v>
      </c>
      <c r="BH285" s="35">
        <f t="shared" si="858"/>
        <v>0</v>
      </c>
    </row>
    <row r="286" ht="14.25" customHeight="1" spans="1:60" x14ac:dyDescent="0.25">
      <c r="A286" s="29">
        <v>38</v>
      </c>
      <c r="B286" s="14"/>
      <c r="C286" s="2" t="s">
        <v>401</v>
      </c>
      <c r="D286" s="14" t="s">
        <v>52</v>
      </c>
      <c r="E286" s="2" t="s">
        <v>39</v>
      </c>
      <c r="F286" s="41">
        <v>500</v>
      </c>
      <c r="G286" s="28"/>
      <c r="H286" s="34">
        <f>'2018'!BH286</f>
        <v>0</v>
      </c>
      <c r="I286" s="13"/>
      <c r="J286" s="15"/>
      <c r="K286" s="15"/>
      <c r="L286" s="28"/>
      <c r="Q286" s="13"/>
      <c r="R286" s="15"/>
      <c r="S286" s="15"/>
      <c r="T286" s="28"/>
      <c r="Y286" s="13"/>
      <c r="Z286" s="15"/>
      <c r="AA286" s="34">
        <f>$F$14</f>
        <v>500</v>
      </c>
      <c r="AB286" s="35"/>
      <c r="AG286" s="13"/>
      <c r="AH286" s="15"/>
      <c r="AI286" s="15"/>
      <c r="AJ286" s="134">
        <v>500</v>
      </c>
      <c r="AK286" s="13"/>
      <c r="AL286" s="15"/>
      <c r="AM286" s="15"/>
      <c r="AN286" s="28"/>
      <c r="AO286" s="13"/>
      <c r="AP286" s="15"/>
      <c r="AQ286" s="15"/>
      <c r="AR286" s="28"/>
      <c r="AS286" s="15"/>
      <c r="AT286" s="15"/>
      <c r="AU286" s="15"/>
      <c r="AV286" s="15"/>
      <c r="AW286" s="13"/>
      <c r="AX286" s="15"/>
      <c r="AY286" s="15"/>
      <c r="AZ286" s="28"/>
      <c r="BA286" s="15"/>
      <c r="BB286" s="15"/>
      <c r="BC286" s="15"/>
      <c r="BD286" s="15"/>
      <c r="BE286" s="14"/>
      <c r="BF286" s="41">
        <f t="shared" ref="BF286:BG286" si="870">K286+O286+S286+W286+AA286+AE286+AI286+AM286+AQ286+AU286+AY286+BC286</f>
        <v>500</v>
      </c>
      <c r="BG286" s="34">
        <f t="shared" si="870"/>
        <v>500</v>
      </c>
      <c r="BH286" s="35">
        <f t="shared" si="858"/>
        <v>0</v>
      </c>
    </row>
    <row r="287" ht="14.25" customHeight="1" spans="1:62" x14ac:dyDescent="0.25">
      <c r="A287" s="50">
        <v>38</v>
      </c>
      <c r="B287" s="21"/>
      <c r="C287" s="22" t="s">
        <v>53</v>
      </c>
      <c r="D287" s="21"/>
      <c r="E287" s="22"/>
      <c r="F287" s="20"/>
      <c r="G287" s="23"/>
      <c r="H287" s="51">
        <f>SUM(H280:H286)</f>
        <v>-17.1508</v>
      </c>
      <c r="I287" s="52"/>
      <c r="J287" s="53"/>
      <c r="K287" s="51">
        <f t="shared" ref="K287:L287" si="871">SUM(K280:K286)</f>
        <v>0</v>
      </c>
      <c r="L287" s="68">
        <f t="shared" si="871"/>
        <v>0</v>
      </c>
      <c r="M287" s="53"/>
      <c r="N287" s="53"/>
      <c r="O287" s="51">
        <f t="shared" ref="O287:P287" si="872">SUM(O281:O286)</f>
        <v>0</v>
      </c>
      <c r="P287" s="51">
        <f t="shared" si="872"/>
        <v>0</v>
      </c>
      <c r="Q287" s="52"/>
      <c r="R287" s="53"/>
      <c r="S287" s="51">
        <f t="shared" ref="S287:T287" si="873">SUM(S281:S286)</f>
        <v>0</v>
      </c>
      <c r="T287" s="68">
        <f t="shared" si="873"/>
        <v>0</v>
      </c>
      <c r="U287" s="53"/>
      <c r="V287" s="53"/>
      <c r="W287" s="51">
        <f t="shared" ref="W287:X287" si="874">SUM(W281:W286)</f>
        <v>0</v>
      </c>
      <c r="X287" s="51">
        <f t="shared" si="874"/>
        <v>0</v>
      </c>
      <c r="Y287" s="52"/>
      <c r="Z287" s="53"/>
      <c r="AA287" s="51">
        <f t="shared" ref="AA287:AB287" si="875">SUM(AA281:AA286)</f>
        <v>535.96</v>
      </c>
      <c r="AB287" s="68">
        <f t="shared" si="875"/>
        <v>0</v>
      </c>
      <c r="AC287" s="53"/>
      <c r="AD287" s="53"/>
      <c r="AE287" s="51">
        <f t="shared" ref="AE287:AF287" si="876">SUM(AE281:AE286)</f>
        <v>6642.02</v>
      </c>
      <c r="AF287" s="51">
        <f t="shared" si="876"/>
        <v>0</v>
      </c>
      <c r="AG287" s="52"/>
      <c r="AH287" s="53"/>
      <c r="AI287" s="51">
        <f t="shared" ref="AI287:AJ287" si="877">SUM(AI281:AI286)</f>
        <v>0</v>
      </c>
      <c r="AJ287" s="68">
        <f t="shared" si="877"/>
        <v>7000</v>
      </c>
      <c r="AK287" s="52"/>
      <c r="AL287" s="53"/>
      <c r="AM287" s="51">
        <f t="shared" ref="AM287:AN287" si="878">SUM(AM281:AM286)</f>
        <v>0</v>
      </c>
      <c r="AN287" s="68">
        <f t="shared" si="878"/>
        <v>0</v>
      </c>
      <c r="AO287" s="52"/>
      <c r="AP287" s="53"/>
      <c r="AQ287" s="51">
        <f t="shared" ref="AQ287:AR287" si="879">SUM(AQ280:AQ286)</f>
        <v>204.16</v>
      </c>
      <c r="AR287" s="68">
        <f t="shared" si="879"/>
        <v>0</v>
      </c>
      <c r="AS287" s="53"/>
      <c r="AT287" s="53"/>
      <c r="AU287" s="51">
        <f t="shared" ref="AU287:AV287" si="880">SUM(AU280:AU286)</f>
        <v>0</v>
      </c>
      <c r="AV287" s="68">
        <f t="shared" si="880"/>
        <v>0</v>
      </c>
      <c r="AW287" s="52"/>
      <c r="AX287" s="53"/>
      <c r="AY287" s="51">
        <f t="shared" ref="AY287:AZ287" si="881">SUM(AY280:AY286)</f>
        <v>0</v>
      </c>
      <c r="AZ287" s="68">
        <f t="shared" si="881"/>
        <v>0</v>
      </c>
      <c r="BA287" s="53"/>
      <c r="BB287" s="53"/>
      <c r="BC287" s="51">
        <f t="shared" ref="BC287:BD287" si="882">SUM(BC280:BC286)</f>
        <v>0</v>
      </c>
      <c r="BD287" s="68">
        <f t="shared" si="882"/>
        <v>0</v>
      </c>
      <c r="BE287" s="69"/>
      <c r="BF287" s="70">
        <f t="shared" ref="BF287:BH287" si="883">SUM(BF280:BF286)</f>
        <v>7382.14</v>
      </c>
      <c r="BG287" s="71">
        <f t="shared" si="883"/>
        <v>7000</v>
      </c>
      <c r="BH287" s="72">
        <f t="shared" si="883"/>
        <v>364.9892</v>
      </c>
      <c r="BI287" s="34">
        <f>H287+BF287-BG287</f>
        <v>364.9892</v>
      </c>
      <c r="BJ287" s="34">
        <f>BH287-BI287</f>
        <v>0</v>
      </c>
    </row>
    <row r="288" ht="14.25" customHeight="1" spans="1:60" x14ac:dyDescent="0.25">
      <c r="A288" s="29">
        <v>39</v>
      </c>
      <c r="B288" s="14"/>
      <c r="D288" s="14" t="s">
        <v>379</v>
      </c>
      <c r="F288" s="13"/>
      <c r="G288" s="28"/>
      <c r="H288" s="34">
        <f>'2018'!BH288</f>
      </c>
      <c r="I288" s="13"/>
      <c r="J288" s="15"/>
      <c r="K288" s="15"/>
      <c r="L288" s="28"/>
      <c r="Q288" s="13"/>
      <c r="R288" s="15"/>
      <c r="S288" s="15"/>
      <c r="T288" s="28"/>
      <c r="Y288" s="13"/>
      <c r="Z288" s="15"/>
      <c r="AA288" s="15"/>
      <c r="AB288" s="28"/>
      <c r="AG288" s="13"/>
      <c r="AH288" s="15"/>
      <c r="AI288" s="15"/>
      <c r="AJ288" s="28"/>
      <c r="AK288" s="13"/>
      <c r="AL288" s="15"/>
      <c r="AM288" s="15"/>
      <c r="AN288" s="28"/>
      <c r="AO288" s="13"/>
      <c r="AP288" s="15"/>
      <c r="AQ288" s="34">
        <v>8.7</v>
      </c>
      <c r="AR288" s="28"/>
      <c r="AW288" s="13"/>
      <c r="AX288" s="15"/>
      <c r="AY288" s="15"/>
      <c r="AZ288" s="28"/>
      <c r="BE288" s="14"/>
      <c r="BF288" s="41">
        <f t="shared" ref="BF288:BG288" si="884">K288+O288+S288+W288+AA288+AE288+AI288+AM288+AQ288+AU288+AY288+BC288</f>
        <v>8.7</v>
      </c>
      <c r="BG288" s="34">
        <f t="shared" si="884"/>
        <v>0</v>
      </c>
      <c r="BH288" s="35">
        <f t="shared" ref="BH288:BH294" si="885">H288+BF288-BG288</f>
        <v>8.7</v>
      </c>
    </row>
    <row r="289" ht="14.25" customHeight="1" spans="1:60" x14ac:dyDescent="0.25">
      <c r="A289" s="2">
        <v>39</v>
      </c>
      <c r="B289" s="42">
        <v>4</v>
      </c>
      <c r="C289" s="2" t="s">
        <v>169</v>
      </c>
      <c r="D289" s="14" t="s">
        <v>44</v>
      </c>
      <c r="E289" s="2" t="s">
        <v>45</v>
      </c>
      <c r="F289" s="13">
        <v>2.49</v>
      </c>
      <c r="G289" s="35">
        <v>2.5</v>
      </c>
      <c r="H289" s="34">
        <f>'2018'!BH289</f>
        <v>0</v>
      </c>
      <c r="I289" s="13"/>
      <c r="J289" s="15"/>
      <c r="K289" s="34">
        <f>J289*$F$8</f>
        <v>0</v>
      </c>
      <c r="L289" s="28"/>
      <c r="N289" s="15">
        <f>M289-I289</f>
        <v>0</v>
      </c>
      <c r="O289" s="34">
        <f>N289*$F$8</f>
        <v>0</v>
      </c>
      <c r="Q289" s="13"/>
      <c r="R289" s="15">
        <f>Q289-M289</f>
        <v>0</v>
      </c>
      <c r="S289" s="34">
        <f>R289*$F$8</f>
        <v>0</v>
      </c>
      <c r="T289" s="28"/>
      <c r="U289" s="81"/>
      <c r="V289" s="15">
        <f>U289-Q289</f>
        <v>0</v>
      </c>
      <c r="W289" s="34">
        <f>V289*$F$8</f>
        <v>0</v>
      </c>
      <c r="Y289" s="13">
        <v>33</v>
      </c>
      <c r="Z289" s="15">
        <f>Y289-U289</f>
        <v>33</v>
      </c>
      <c r="AA289" s="34">
        <f>Z289*$F$8</f>
        <v>82.17</v>
      </c>
      <c r="AB289" s="28"/>
      <c r="AC289" s="15">
        <v>33</v>
      </c>
      <c r="AD289" s="15">
        <f t="shared" ref="AD289:AD290" si="886">AC289-Y289</f>
        <v>0</v>
      </c>
      <c r="AE289" s="34">
        <f>AD289*$G$8</f>
        <v>0</v>
      </c>
      <c r="AG289" s="13">
        <v>46</v>
      </c>
      <c r="AH289" s="15">
        <f t="shared" ref="AH289:AH290" si="887">AG289-AC289</f>
        <v>13</v>
      </c>
      <c r="AI289" s="34">
        <f>AH289*$G$8</f>
        <v>32.5</v>
      </c>
      <c r="AJ289" s="28"/>
      <c r="AK289" s="13">
        <v>47</v>
      </c>
      <c r="AL289" s="15">
        <f t="shared" ref="AL289:AL290" si="888">AK289-AG289</f>
        <v>1</v>
      </c>
      <c r="AM289" s="34">
        <f>AL289*$G$8</f>
        <v>2.5</v>
      </c>
      <c r="AN289" s="28"/>
      <c r="AO289" s="13">
        <v>48</v>
      </c>
      <c r="AP289" s="15">
        <f t="shared" ref="AP289:AP290" si="889">AO289-AK289</f>
        <v>1</v>
      </c>
      <c r="AQ289" s="34">
        <f>AP289*$G$8</f>
        <v>2.5</v>
      </c>
      <c r="AR289" s="32">
        <v>63.72</v>
      </c>
      <c r="AS289" s="75">
        <v>48</v>
      </c>
      <c r="AT289" s="15">
        <f t="shared" ref="AT289:AT290" si="890">AS289-AO289</f>
        <v>0</v>
      </c>
      <c r="AU289" s="34">
        <f>AT289*$G$8</f>
        <v>0</v>
      </c>
      <c r="AV289" s="140">
        <v>500</v>
      </c>
      <c r="AW289" s="13">
        <v>48</v>
      </c>
      <c r="AX289" s="15">
        <f>AW289-AS289</f>
        <v>0</v>
      </c>
      <c r="AY289" s="34">
        <f>AX289*$G$8</f>
        <v>0</v>
      </c>
      <c r="AZ289" s="28"/>
      <c r="BA289" s="13">
        <v>48</v>
      </c>
      <c r="BB289" s="15">
        <f>BA289-AW289</f>
        <v>0</v>
      </c>
      <c r="BC289" s="34">
        <f>BB289*$G$8</f>
        <v>0</v>
      </c>
      <c r="BD289" s="15"/>
      <c r="BE289" s="40">
        <f t="shared" ref="BE289:BG289" si="891">J289+N289+R289+V289+Z289+AD289+AH289+AL289+AP289+AT289+AX289+BB289</f>
        <v>48</v>
      </c>
      <c r="BF289" s="41">
        <f t="shared" si="891"/>
        <v>119.67</v>
      </c>
      <c r="BG289" s="34">
        <f t="shared" si="891"/>
        <v>563.72</v>
      </c>
      <c r="BH289" s="35">
        <f t="shared" si="885"/>
        <v>-444.05</v>
      </c>
    </row>
    <row r="290" ht="14.25" customHeight="1" spans="1:60" x14ac:dyDescent="0.25">
      <c r="A290" s="29">
        <v>39</v>
      </c>
      <c r="B290" s="14"/>
      <c r="C290" s="2" t="s">
        <v>170</v>
      </c>
      <c r="D290" s="14" t="s">
        <v>47</v>
      </c>
      <c r="E290" s="2" t="s">
        <v>48</v>
      </c>
      <c r="F290" s="13">
        <v>17.98</v>
      </c>
      <c r="G290" s="28">
        <v>18.56</v>
      </c>
      <c r="H290" s="34">
        <f>'2018'!BH290</f>
        <v>0</v>
      </c>
      <c r="I290" s="13"/>
      <c r="J290" s="15"/>
      <c r="K290" s="15"/>
      <c r="L290" s="28"/>
      <c r="Q290" s="13"/>
      <c r="R290" s="15"/>
      <c r="S290" s="15"/>
      <c r="T290" s="28"/>
      <c r="Y290" s="13">
        <v>0</v>
      </c>
      <c r="Z290" s="15">
        <f>Y290-'2018'!AO290</f>
        <v>0</v>
      </c>
      <c r="AA290" s="34">
        <f>Z290*$F$10</f>
        <v>0</v>
      </c>
      <c r="AB290" s="28"/>
      <c r="AC290" s="15">
        <v>6</v>
      </c>
      <c r="AD290" s="15">
        <f t="shared" si="886"/>
        <v>6</v>
      </c>
      <c r="AE290" s="34">
        <f>AD290*$F$10</f>
        <v>107.88</v>
      </c>
      <c r="AG290" s="13">
        <v>16</v>
      </c>
      <c r="AH290" s="15">
        <f t="shared" si="887"/>
        <v>10</v>
      </c>
      <c r="AI290" s="45">
        <f>AH290*$G$10</f>
        <v>185.6</v>
      </c>
      <c r="AJ290" s="28"/>
      <c r="AK290" s="13">
        <v>25</v>
      </c>
      <c r="AL290" s="15">
        <f t="shared" si="888"/>
        <v>9</v>
      </c>
      <c r="AM290" s="45">
        <f>AL290*$G$10</f>
        <v>167.04</v>
      </c>
      <c r="AN290" s="28"/>
      <c r="AO290" s="13">
        <v>29</v>
      </c>
      <c r="AP290" s="15">
        <f t="shared" si="889"/>
        <v>4</v>
      </c>
      <c r="AQ290" s="45">
        <f>AP290*$G$10</f>
        <v>74.24</v>
      </c>
      <c r="AR290" s="32">
        <v>534.76</v>
      </c>
      <c r="AS290" s="13">
        <v>29</v>
      </c>
      <c r="AT290" s="15">
        <f t="shared" si="890"/>
        <v>0</v>
      </c>
      <c r="AU290" s="45">
        <f>AT290*$G$10</f>
        <v>0</v>
      </c>
      <c r="AV290" s="15"/>
      <c r="AW290" s="13">
        <v>29</v>
      </c>
      <c r="AX290" s="15"/>
      <c r="AY290" s="15"/>
      <c r="AZ290" s="28"/>
      <c r="BA290" s="15">
        <v>29</v>
      </c>
      <c r="BB290" s="15"/>
      <c r="BC290" s="15"/>
      <c r="BD290" s="15"/>
      <c r="BE290" s="40">
        <f t="shared" ref="BE290:BG290" si="892">J290+N290+R290+V290+Z290+AD290+AH290+AL290+AP290+AT290+AX290+BB290</f>
        <v>29</v>
      </c>
      <c r="BF290" s="41">
        <f t="shared" si="892"/>
        <v>534.76</v>
      </c>
      <c r="BG290" s="34">
        <f t="shared" si="892"/>
        <v>534.76</v>
      </c>
      <c r="BH290" s="35">
        <f t="shared" si="885"/>
        <v>0</v>
      </c>
    </row>
    <row r="291" ht="14.25" customHeight="1" spans="1:60" x14ac:dyDescent="0.25">
      <c r="A291" s="29">
        <v>39</v>
      </c>
      <c r="B291" s="14"/>
      <c r="C291" s="2" t="s">
        <v>171</v>
      </c>
      <c r="D291" s="14" t="s">
        <v>47</v>
      </c>
      <c r="E291" s="2" t="s">
        <v>49</v>
      </c>
      <c r="F291" s="41">
        <v>500</v>
      </c>
      <c r="G291" s="28"/>
      <c r="H291" s="34">
        <f>'2018'!BH291</f>
        <v>2400</v>
      </c>
      <c r="I291" s="13"/>
      <c r="J291" s="15"/>
      <c r="K291" s="15"/>
      <c r="L291" s="28"/>
      <c r="Q291" s="13"/>
      <c r="R291" s="15"/>
      <c r="S291" s="15"/>
      <c r="T291" s="28"/>
      <c r="X291" s="133">
        <v>2400</v>
      </c>
      <c r="Y291" s="13"/>
      <c r="Z291" s="15"/>
      <c r="AA291" s="34"/>
      <c r="AB291" s="28"/>
      <c r="AC291" s="15"/>
      <c r="AG291" s="13"/>
      <c r="AH291" s="15"/>
      <c r="AI291" s="15"/>
      <c r="AJ291" s="28"/>
      <c r="AK291" s="13"/>
      <c r="AL291" s="15"/>
      <c r="AM291" s="34"/>
      <c r="AN291" s="28"/>
      <c r="AO291" s="13"/>
      <c r="AP291" s="15"/>
      <c r="AQ291" s="34"/>
      <c r="AR291" s="28"/>
      <c r="AS291" s="15"/>
      <c r="AT291" s="15"/>
      <c r="AU291" s="15"/>
      <c r="AV291" s="15"/>
      <c r="AW291" s="13"/>
      <c r="AX291" s="15"/>
      <c r="AY291" s="15"/>
      <c r="AZ291" s="28"/>
      <c r="BA291" s="15"/>
      <c r="BB291" s="15"/>
      <c r="BC291" s="15"/>
      <c r="BD291" s="15"/>
      <c r="BE291" s="14"/>
      <c r="BF291" s="41">
        <f t="shared" ref="BF291:BG291" si="893">K291+O291+S291+W291+AA291+AE291+AI291+AM291+AQ291+AU291+AY291+BC291</f>
        <v>0</v>
      </c>
      <c r="BG291" s="34">
        <f t="shared" si="893"/>
        <v>2400</v>
      </c>
      <c r="BH291" s="35">
        <f t="shared" si="885"/>
        <v>0</v>
      </c>
    </row>
    <row r="292" ht="14.25" customHeight="1" spans="1:60" x14ac:dyDescent="0.25">
      <c r="A292" s="29">
        <v>39</v>
      </c>
      <c r="B292" s="14"/>
      <c r="C292" s="73" t="s">
        <v>402</v>
      </c>
      <c r="D292" s="14" t="s">
        <v>50</v>
      </c>
      <c r="E292" s="2" t="s">
        <v>49</v>
      </c>
      <c r="F292" s="41">
        <v>1200</v>
      </c>
      <c r="G292" s="28"/>
      <c r="H292" s="34">
        <f>'2018'!BH292</f>
        <v>4251.52</v>
      </c>
      <c r="I292" s="13"/>
      <c r="J292" s="15"/>
      <c r="K292" s="15"/>
      <c r="L292" s="28"/>
      <c r="Q292" s="13"/>
      <c r="R292" s="15"/>
      <c r="S292" s="15"/>
      <c r="T292" s="28"/>
      <c r="X292" s="138">
        <v>4251.52</v>
      </c>
      <c r="Y292" s="13"/>
      <c r="Z292" s="15"/>
      <c r="AA292" s="15"/>
      <c r="AB292" s="28"/>
      <c r="AE292" s="34">
        <f>B289*$F$12</f>
        <v>4800</v>
      </c>
      <c r="AG292" s="13"/>
      <c r="AH292" s="15"/>
      <c r="AI292" s="15"/>
      <c r="AJ292" s="28"/>
      <c r="AK292" s="13"/>
      <c r="AL292" s="15"/>
      <c r="AM292" s="15"/>
      <c r="AN292" s="28"/>
      <c r="AO292" s="13"/>
      <c r="AP292" s="15"/>
      <c r="AQ292" s="15"/>
      <c r="AR292" s="38">
        <v>4800</v>
      </c>
      <c r="AS292" s="15"/>
      <c r="AT292" s="15"/>
      <c r="AU292" s="15"/>
      <c r="AV292" s="15"/>
      <c r="AW292" s="13"/>
      <c r="AX292" s="15"/>
      <c r="AY292" s="15"/>
      <c r="AZ292" s="28"/>
      <c r="BA292" s="15"/>
      <c r="BB292" s="15"/>
      <c r="BC292" s="15"/>
      <c r="BD292" s="15"/>
      <c r="BE292" s="14"/>
      <c r="BF292" s="41">
        <f t="shared" ref="BF292:BG292" si="894">K292+O292+S292+W292+AA292+AE292+AI292+AM292+AQ292+AU292+AY292+BC292</f>
        <v>4800</v>
      </c>
      <c r="BG292" s="34">
        <f t="shared" si="894"/>
        <v>9051.52</v>
      </c>
      <c r="BH292" s="35">
        <f t="shared" si="885"/>
        <v>0</v>
      </c>
    </row>
    <row r="293" ht="14.25" customHeight="1" spans="1:60" x14ac:dyDescent="0.25">
      <c r="A293" s="29">
        <v>39</v>
      </c>
      <c r="B293" s="14"/>
      <c r="C293" s="2" t="s">
        <v>172</v>
      </c>
      <c r="D293" s="14" t="s">
        <v>51</v>
      </c>
      <c r="E293" s="2" t="s">
        <v>49</v>
      </c>
      <c r="F293" s="41">
        <v>1000</v>
      </c>
      <c r="G293" s="28"/>
      <c r="H293" s="34">
        <f>'2018'!BH293</f>
        <v>600</v>
      </c>
      <c r="I293" s="13"/>
      <c r="J293" s="15"/>
      <c r="K293" s="15"/>
      <c r="L293" s="28"/>
      <c r="Q293" s="13"/>
      <c r="R293" s="15"/>
      <c r="S293" s="15"/>
      <c r="T293" s="28"/>
      <c r="X293" s="138">
        <v>598.48</v>
      </c>
      <c r="Y293" s="13"/>
      <c r="Z293" s="15"/>
      <c r="AA293" s="15"/>
      <c r="AB293" s="28"/>
      <c r="AE293" s="34">
        <f>$F$21</f>
        <v>1000</v>
      </c>
      <c r="AG293" s="13"/>
      <c r="AH293" s="15"/>
      <c r="AI293" s="15"/>
      <c r="AJ293" s="28"/>
      <c r="AK293" s="13"/>
      <c r="AL293" s="15"/>
      <c r="AM293" s="15"/>
      <c r="AN293" s="28"/>
      <c r="AO293" s="13"/>
      <c r="AP293" s="15"/>
      <c r="AQ293" s="15"/>
      <c r="AR293" s="32">
        <v>1001.52</v>
      </c>
      <c r="AS293" s="15"/>
      <c r="AT293" s="15"/>
      <c r="AU293" s="15"/>
      <c r="AV293" s="15"/>
      <c r="AW293" s="13"/>
      <c r="AX293" s="15"/>
      <c r="AY293" s="15"/>
      <c r="AZ293" s="28"/>
      <c r="BA293" s="15"/>
      <c r="BB293" s="15"/>
      <c r="BC293" s="15"/>
      <c r="BD293" s="15"/>
      <c r="BE293" s="14"/>
      <c r="BF293" s="41">
        <f t="shared" ref="BF293:BG293" si="895">K293+O293+S293+W293+AA293+AE293+AI293+AM293+AQ293+AU293+AY293+BC293</f>
        <v>1000</v>
      </c>
      <c r="BG293" s="34">
        <f t="shared" si="895"/>
        <v>1600</v>
      </c>
      <c r="BH293" s="35">
        <f t="shared" si="885"/>
        <v>0</v>
      </c>
    </row>
    <row r="294" ht="14.25" customHeight="1" spans="1:60" x14ac:dyDescent="0.25">
      <c r="A294" s="29">
        <v>39</v>
      </c>
      <c r="B294" s="14"/>
      <c r="C294" s="15" t="s">
        <v>403</v>
      </c>
      <c r="D294" s="14" t="s">
        <v>52</v>
      </c>
      <c r="E294" s="2" t="s">
        <v>39</v>
      </c>
      <c r="F294" s="41">
        <v>500</v>
      </c>
      <c r="G294" s="28"/>
      <c r="H294" s="34">
        <f>'2018'!BH294</f>
        <v>350</v>
      </c>
      <c r="I294" s="13"/>
      <c r="J294" s="15"/>
      <c r="K294" s="15"/>
      <c r="L294" s="28"/>
      <c r="Q294" s="13"/>
      <c r="R294" s="15"/>
      <c r="S294" s="15"/>
      <c r="T294" s="28"/>
      <c r="X294" s="133">
        <v>350</v>
      </c>
      <c r="Y294" s="13"/>
      <c r="Z294" s="15"/>
      <c r="AA294" s="34">
        <f>$F$14</f>
        <v>500</v>
      </c>
      <c r="AB294" s="28"/>
      <c r="AG294" s="13"/>
      <c r="AH294" s="15"/>
      <c r="AI294" s="15"/>
      <c r="AJ294" s="28"/>
      <c r="AK294" s="13"/>
      <c r="AL294" s="15"/>
      <c r="AM294" s="15"/>
      <c r="AN294" s="28"/>
      <c r="AO294" s="13"/>
      <c r="AP294" s="15"/>
      <c r="AQ294" s="15"/>
      <c r="AR294" s="38">
        <v>500</v>
      </c>
      <c r="AS294" s="15"/>
      <c r="AT294" s="15"/>
      <c r="AU294" s="15"/>
      <c r="AV294" s="15"/>
      <c r="AW294" s="13"/>
      <c r="AX294" s="15"/>
      <c r="AY294" s="15"/>
      <c r="AZ294" s="28"/>
      <c r="BA294" s="15"/>
      <c r="BB294" s="15"/>
      <c r="BC294" s="15"/>
      <c r="BD294" s="15"/>
      <c r="BE294" s="14"/>
      <c r="BF294" s="41">
        <f t="shared" ref="BF294:BG294" si="896">K294+O294+S294+W294+AA294+AE294+AI294+AM294+AQ294+AU294+AY294+BC294</f>
        <v>500</v>
      </c>
      <c r="BG294" s="34">
        <f t="shared" si="896"/>
        <v>850</v>
      </c>
      <c r="BH294" s="35">
        <f t="shared" si="885"/>
        <v>0</v>
      </c>
    </row>
    <row r="295" ht="14.25" customHeight="1" spans="1:62" x14ac:dyDescent="0.25">
      <c r="A295" s="88" t="s">
        <v>173</v>
      </c>
      <c r="B295" s="21"/>
      <c r="C295" s="22" t="s">
        <v>53</v>
      </c>
      <c r="D295" s="21"/>
      <c r="E295" s="22"/>
      <c r="F295" s="20"/>
      <c r="G295" s="23"/>
      <c r="H295" s="51">
        <f>SUM(H288:H294)</f>
        <v>7601.52</v>
      </c>
      <c r="I295" s="52"/>
      <c r="J295" s="53"/>
      <c r="K295" s="51">
        <f t="shared" ref="K295:L295" si="897">SUM(K288:K294)</f>
        <v>0</v>
      </c>
      <c r="L295" s="68">
        <f t="shared" si="897"/>
        <v>0</v>
      </c>
      <c r="M295" s="53"/>
      <c r="N295" s="53"/>
      <c r="O295" s="51">
        <f t="shared" ref="O295:P295" si="898">SUM(O289:O294)</f>
        <v>0</v>
      </c>
      <c r="P295" s="51">
        <f t="shared" si="898"/>
        <v>0</v>
      </c>
      <c r="Q295" s="52"/>
      <c r="R295" s="53"/>
      <c r="S295" s="51">
        <f t="shared" ref="S295:T295" si="899">SUM(S289:S294)</f>
        <v>0</v>
      </c>
      <c r="T295" s="68">
        <f t="shared" si="899"/>
        <v>0</v>
      </c>
      <c r="U295" s="53"/>
      <c r="V295" s="53"/>
      <c r="W295" s="51">
        <f t="shared" ref="W295:X295" si="900">SUM(W289:W294)</f>
        <v>0</v>
      </c>
      <c r="X295" s="51">
        <f t="shared" si="900"/>
        <v>7600</v>
      </c>
      <c r="Y295" s="52"/>
      <c r="Z295" s="53"/>
      <c r="AA295" s="51">
        <f t="shared" ref="AA295:AB295" si="901">SUM(AA289:AA294)</f>
        <v>582.17</v>
      </c>
      <c r="AB295" s="68">
        <f t="shared" si="901"/>
        <v>0</v>
      </c>
      <c r="AC295" s="53"/>
      <c r="AD295" s="53"/>
      <c r="AE295" s="51">
        <f t="shared" ref="AE295:AF295" si="902">SUM(AE289:AE294)</f>
        <v>5907.88</v>
      </c>
      <c r="AF295" s="51">
        <f t="shared" si="902"/>
        <v>0</v>
      </c>
      <c r="AG295" s="52"/>
      <c r="AH295" s="53"/>
      <c r="AI295" s="51">
        <f t="shared" ref="AI295:AJ295" si="903">SUM(AI289:AI294)</f>
        <v>218.1</v>
      </c>
      <c r="AJ295" s="68">
        <f t="shared" si="903"/>
        <v>0</v>
      </c>
      <c r="AK295" s="52"/>
      <c r="AL295" s="53"/>
      <c r="AM295" s="51">
        <f t="shared" ref="AM295:AN295" si="904">SUM(AM289:AM294)</f>
        <v>169.54</v>
      </c>
      <c r="AN295" s="68">
        <f t="shared" si="904"/>
        <v>0</v>
      </c>
      <c r="AO295" s="52"/>
      <c r="AP295" s="53"/>
      <c r="AQ295" s="51">
        <f t="shared" ref="AQ295:AR295" si="905">SUM(AQ288:AQ294)</f>
        <v>85.44</v>
      </c>
      <c r="AR295" s="68">
        <f t="shared" si="905"/>
        <v>6900</v>
      </c>
      <c r="AS295" s="53"/>
      <c r="AT295" s="53"/>
      <c r="AU295" s="51">
        <f t="shared" ref="AU295:AV295" si="906">SUM(AU288:AU294)</f>
        <v>0</v>
      </c>
      <c r="AV295" s="68">
        <f t="shared" si="906"/>
        <v>500</v>
      </c>
      <c r="AW295" s="52"/>
      <c r="AX295" s="53"/>
      <c r="AY295" s="51">
        <f t="shared" ref="AY295:AZ295" si="907">SUM(AY288:AY294)</f>
        <v>0</v>
      </c>
      <c r="AZ295" s="68">
        <f t="shared" si="907"/>
        <v>0</v>
      </c>
      <c r="BA295" s="53"/>
      <c r="BB295" s="53"/>
      <c r="BC295" s="51">
        <f t="shared" ref="BC295:BD295" si="908">SUM(BC288:BC294)</f>
        <v>0</v>
      </c>
      <c r="BD295" s="68">
        <f t="shared" si="908"/>
        <v>0</v>
      </c>
      <c r="BE295" s="69"/>
      <c r="BF295" s="70">
        <f t="shared" ref="BF295:BH295" si="909">SUM(BF288:BF294)</f>
        <v>6963.13</v>
      </c>
      <c r="BG295" s="71">
        <f t="shared" si="909"/>
        <v>15000</v>
      </c>
      <c r="BH295" s="72">
        <f t="shared" si="909"/>
        <v>-435.35</v>
      </c>
      <c r="BI295" s="34">
        <f>H295+BF295-BG295</f>
        <v>-435.35</v>
      </c>
      <c r="BJ295" s="34">
        <f>BH295-BI295</f>
        <v>0</v>
      </c>
    </row>
    <row r="296" ht="14.25" customHeight="1" spans="1:60" x14ac:dyDescent="0.25">
      <c r="A296" s="29">
        <v>40</v>
      </c>
      <c r="B296" s="14"/>
      <c r="D296" s="14" t="s">
        <v>379</v>
      </c>
      <c r="F296" s="13"/>
      <c r="G296" s="28"/>
      <c r="H296" s="34">
        <f>'2018'!BH296</f>
      </c>
      <c r="I296" s="13"/>
      <c r="J296" s="15"/>
      <c r="K296" s="15"/>
      <c r="L296" s="28"/>
      <c r="Q296" s="13"/>
      <c r="R296" s="15"/>
      <c r="S296" s="15"/>
      <c r="T296" s="28"/>
      <c r="Y296" s="13"/>
      <c r="Z296" s="15"/>
      <c r="AA296" s="15"/>
      <c r="AB296" s="28"/>
      <c r="AG296" s="13"/>
      <c r="AH296" s="15"/>
      <c r="AI296" s="15"/>
      <c r="AJ296" s="28"/>
      <c r="AK296" s="13"/>
      <c r="AL296" s="15"/>
      <c r="AM296" s="15"/>
      <c r="AN296" s="28"/>
      <c r="AO296" s="13"/>
      <c r="AP296" s="15"/>
      <c r="AQ296" s="15"/>
      <c r="AR296" s="28"/>
      <c r="AW296" s="13"/>
      <c r="AX296" s="15"/>
      <c r="AY296" s="15"/>
      <c r="AZ296" s="28"/>
      <c r="BE296" s="14"/>
      <c r="BF296" s="41">
        <f t="shared" ref="BF296:BG296" si="910">K296+O296+S296+W296+AA296+AE296+AI296+AM296+AQ296+AU296+AY296+BC296</f>
        <v>0</v>
      </c>
      <c r="BG296" s="34">
        <f t="shared" si="910"/>
        <v>0</v>
      </c>
      <c r="BH296" s="35">
        <f t="shared" ref="BH296:BH302" si="911">H296+BF296-BG296</f>
        <v>0</v>
      </c>
    </row>
    <row r="297" ht="15.75" customHeight="1" spans="1:60" x14ac:dyDescent="0.25">
      <c r="A297" s="2">
        <v>40</v>
      </c>
      <c r="B297" s="14">
        <v>4.92</v>
      </c>
      <c r="C297" s="2" t="s">
        <v>174</v>
      </c>
      <c r="D297" s="14" t="s">
        <v>44</v>
      </c>
      <c r="E297" s="2" t="s">
        <v>45</v>
      </c>
      <c r="F297" s="13">
        <v>2.49</v>
      </c>
      <c r="G297" s="35">
        <v>2.5</v>
      </c>
      <c r="H297" s="136">
        <f>'2018'!BH297+385.95</f>
        <v>1405.79</v>
      </c>
      <c r="I297" s="13">
        <v>23169</v>
      </c>
      <c r="J297" s="15">
        <f>I297-'2018'!BA297</f>
        <v>1183</v>
      </c>
      <c r="K297" s="34">
        <f>J297*$F$8</f>
        <v>2945.67</v>
      </c>
      <c r="L297" s="28"/>
      <c r="M297" s="2">
        <v>23992</v>
      </c>
      <c r="N297" s="15">
        <f>M297-I297</f>
        <v>823</v>
      </c>
      <c r="O297" s="34">
        <f>N297*$F$8</f>
        <v>2049.27</v>
      </c>
      <c r="P297" s="39">
        <v>5500</v>
      </c>
      <c r="Q297" s="13">
        <v>24298</v>
      </c>
      <c r="R297" s="15">
        <f>Q297-M297</f>
        <v>306</v>
      </c>
      <c r="S297" s="34">
        <f>R297*$F$8</f>
        <v>761.94</v>
      </c>
      <c r="T297" s="38">
        <v>2100</v>
      </c>
      <c r="U297" s="15">
        <v>24664</v>
      </c>
      <c r="V297" s="15">
        <f>U297-Q297</f>
        <v>366</v>
      </c>
      <c r="W297" s="34">
        <f>V297*$F$8</f>
        <v>911.34</v>
      </c>
      <c r="X297" s="39">
        <v>800</v>
      </c>
      <c r="Y297" s="13">
        <v>25292</v>
      </c>
      <c r="Z297" s="15">
        <f>Y297-U297</f>
        <v>628</v>
      </c>
      <c r="AA297" s="34">
        <f>Z297*$F$8</f>
        <v>1563.72</v>
      </c>
      <c r="AB297" s="28"/>
      <c r="AC297" s="15">
        <v>25652</v>
      </c>
      <c r="AD297" s="15">
        <f t="shared" ref="AD297:AD298" si="912">AC297-Y297</f>
        <v>360</v>
      </c>
      <c r="AE297" s="34">
        <f>AD297*$G$8</f>
        <v>900</v>
      </c>
      <c r="AF297" s="34"/>
      <c r="AG297" s="13">
        <v>25938</v>
      </c>
      <c r="AH297" s="15">
        <f t="shared" ref="AH297:AH298" si="913">AG297-AC297</f>
        <v>286</v>
      </c>
      <c r="AI297" s="34">
        <f>AH297*$G$8</f>
        <v>715</v>
      </c>
      <c r="AJ297" s="38"/>
      <c r="AK297" s="13">
        <v>26171</v>
      </c>
      <c r="AL297" s="15">
        <f t="shared" ref="AL297:AL298" si="914">AK297-AG297</f>
        <v>233</v>
      </c>
      <c r="AM297" s="34">
        <f>AL297*$G$8</f>
        <v>582.5</v>
      </c>
      <c r="AN297" s="28"/>
      <c r="AO297" s="13">
        <v>26555</v>
      </c>
      <c r="AP297" s="15">
        <f t="shared" ref="AP297:AP298" si="915">AO297-AK297</f>
        <v>384</v>
      </c>
      <c r="AQ297" s="34">
        <f>AP297*$G$8</f>
        <v>960</v>
      </c>
      <c r="AR297" s="38">
        <v>3000</v>
      </c>
      <c r="AS297" s="15">
        <v>26835</v>
      </c>
      <c r="AT297" s="15">
        <f t="shared" ref="AT297:AT298" si="916">AS297-AO297</f>
        <v>280</v>
      </c>
      <c r="AU297" s="34">
        <f>AT297*$G$8</f>
        <v>700</v>
      </c>
      <c r="AV297" s="39">
        <v>1000</v>
      </c>
      <c r="AW297" s="13">
        <v>27280</v>
      </c>
      <c r="AX297" s="15">
        <f>AW297-AS297</f>
        <v>445</v>
      </c>
      <c r="AY297" s="34">
        <f>AX297*$G$8</f>
        <v>1112.5</v>
      </c>
      <c r="AZ297" s="38">
        <v>1100</v>
      </c>
      <c r="BA297" s="15">
        <v>27882</v>
      </c>
      <c r="BB297" s="15">
        <f>BA297-AW297</f>
        <v>602</v>
      </c>
      <c r="BC297" s="34">
        <f>BB297*$G$8</f>
        <v>1505</v>
      </c>
      <c r="BD297" s="34"/>
      <c r="BE297" s="40">
        <f t="shared" ref="BE297:BG297" si="917">J297+N297+R297+V297+Z297+AD297+AH297+AL297+AP297+AT297+AX297+BB297</f>
        <v>5896</v>
      </c>
      <c r="BF297" s="41">
        <f t="shared" si="917"/>
        <v>14706.94</v>
      </c>
      <c r="BG297" s="34">
        <f t="shared" si="917"/>
        <v>13500</v>
      </c>
      <c r="BH297" s="35">
        <f t="shared" si="911"/>
        <v>2612.73</v>
      </c>
    </row>
    <row r="298" ht="14.25" customHeight="1" spans="1:60" x14ac:dyDescent="0.25">
      <c r="A298" s="29">
        <v>40</v>
      </c>
      <c r="B298" s="14"/>
      <c r="C298" s="15" t="s">
        <v>175</v>
      </c>
      <c r="D298" s="14" t="s">
        <v>47</v>
      </c>
      <c r="E298" s="2" t="s">
        <v>48</v>
      </c>
      <c r="F298" s="13">
        <v>17.98</v>
      </c>
      <c r="G298" s="28">
        <v>18.56</v>
      </c>
      <c r="H298" s="34">
        <f>'2018'!BH298</f>
        <v>-7.25</v>
      </c>
      <c r="I298" s="13">
        <v>91</v>
      </c>
      <c r="J298" s="15"/>
      <c r="K298" s="15"/>
      <c r="L298" s="28"/>
      <c r="Q298" s="13"/>
      <c r="R298" s="15"/>
      <c r="S298" s="15"/>
      <c r="T298" s="28"/>
      <c r="Y298" s="13">
        <v>108</v>
      </c>
      <c r="Z298" s="15">
        <f>Y298-'2018'!AO298</f>
        <v>17</v>
      </c>
      <c r="AA298" s="34">
        <f>Z298*$F$10</f>
        <v>305.66</v>
      </c>
      <c r="AB298" s="28"/>
      <c r="AC298" s="15">
        <v>108</v>
      </c>
      <c r="AD298" s="15">
        <f t="shared" si="912"/>
        <v>0</v>
      </c>
      <c r="AE298" s="34">
        <f>AD298*$F$10</f>
        <v>0</v>
      </c>
      <c r="AG298" s="13">
        <v>114</v>
      </c>
      <c r="AH298" s="15">
        <f t="shared" si="913"/>
        <v>6</v>
      </c>
      <c r="AI298" s="45">
        <f>AH298*$G$10</f>
        <v>111.36</v>
      </c>
      <c r="AJ298" s="28"/>
      <c r="AK298" s="13">
        <v>114</v>
      </c>
      <c r="AL298" s="15">
        <f t="shared" si="914"/>
        <v>0</v>
      </c>
      <c r="AM298" s="45">
        <f>AL298*$G$10</f>
        <v>0</v>
      </c>
      <c r="AN298" s="28"/>
      <c r="AO298" s="13">
        <v>120</v>
      </c>
      <c r="AP298" s="15">
        <f t="shared" si="915"/>
        <v>6</v>
      </c>
      <c r="AQ298" s="45">
        <f>AP298*$G$10</f>
        <v>111.36</v>
      </c>
      <c r="AR298" s="28"/>
      <c r="AS298" s="13">
        <v>120</v>
      </c>
      <c r="AT298" s="15">
        <f t="shared" si="916"/>
        <v>0</v>
      </c>
      <c r="AU298" s="45">
        <f>AT298*$G$10</f>
        <v>0</v>
      </c>
      <c r="AV298" s="39">
        <v>350</v>
      </c>
      <c r="AW298" s="13">
        <v>120</v>
      </c>
      <c r="AX298" s="15"/>
      <c r="AY298" s="15"/>
      <c r="AZ298" s="38">
        <v>172</v>
      </c>
      <c r="BA298" s="15">
        <v>120</v>
      </c>
      <c r="BB298" s="15"/>
      <c r="BC298" s="15"/>
      <c r="BD298" s="15"/>
      <c r="BE298" s="40">
        <f t="shared" ref="BE298:BG298" si="918">J298+N298+R298+V298+Z298+AD298+AH298+AL298+AP298+AT298+AX298+BB298</f>
        <v>29</v>
      </c>
      <c r="BF298" s="41">
        <f t="shared" si="918"/>
        <v>528.38</v>
      </c>
      <c r="BG298" s="34">
        <f t="shared" si="918"/>
        <v>522</v>
      </c>
      <c r="BH298" s="35">
        <f t="shared" si="911"/>
        <v>-0.87</v>
      </c>
    </row>
    <row r="299" ht="14.25" customHeight="1" spans="1:60" x14ac:dyDescent="0.25">
      <c r="A299" s="29">
        <v>40</v>
      </c>
      <c r="B299" s="14"/>
      <c r="C299" s="15" t="s">
        <v>176</v>
      </c>
      <c r="D299" s="14" t="s">
        <v>47</v>
      </c>
      <c r="E299" s="2" t="s">
        <v>49</v>
      </c>
      <c r="F299" s="41">
        <v>500</v>
      </c>
      <c r="G299" s="28"/>
      <c r="H299" s="34">
        <f>'2018'!BH299</f>
        <v>0</v>
      </c>
      <c r="I299" s="13"/>
      <c r="J299" s="15"/>
      <c r="K299" s="15"/>
      <c r="L299" s="28"/>
      <c r="Q299" s="13"/>
      <c r="R299" s="15"/>
      <c r="S299" s="15"/>
      <c r="T299" s="28"/>
      <c r="Y299" s="13"/>
      <c r="Z299" s="15"/>
      <c r="AA299" s="15"/>
      <c r="AB299" s="28"/>
      <c r="AG299" s="13"/>
      <c r="AH299" s="15"/>
      <c r="AI299" s="15"/>
      <c r="AJ299" s="28"/>
      <c r="AK299" s="13"/>
      <c r="AL299" s="15"/>
      <c r="AM299" s="34"/>
      <c r="AN299" s="28"/>
      <c r="AO299" s="13"/>
      <c r="AP299" s="15"/>
      <c r="AQ299" s="34"/>
      <c r="AR299" s="28"/>
      <c r="AS299" s="15"/>
      <c r="AT299" s="15"/>
      <c r="AU299" s="15"/>
      <c r="AV299" s="15"/>
      <c r="AW299" s="13"/>
      <c r="AX299" s="15"/>
      <c r="AY299" s="15"/>
      <c r="AZ299" s="28"/>
      <c r="BA299" s="15"/>
      <c r="BB299" s="15"/>
      <c r="BC299" s="15"/>
      <c r="BD299" s="15"/>
      <c r="BE299" s="14"/>
      <c r="BF299" s="41">
        <f t="shared" ref="BF299:BG299" si="919">K299+O299+S299+W299+AA299+AE299+AI299+AM299+AQ299+AU299+AY299+BC299</f>
        <v>0</v>
      </c>
      <c r="BG299" s="34">
        <f t="shared" si="919"/>
        <v>0</v>
      </c>
      <c r="BH299" s="35">
        <f t="shared" si="911"/>
        <v>0</v>
      </c>
    </row>
    <row r="300" ht="14.25" customHeight="1" spans="1:60" x14ac:dyDescent="0.25">
      <c r="A300" s="29">
        <v>40</v>
      </c>
      <c r="B300" s="14"/>
      <c r="C300" s="15" t="s">
        <v>404</v>
      </c>
      <c r="D300" s="14" t="s">
        <v>50</v>
      </c>
      <c r="E300" s="2" t="s">
        <v>49</v>
      </c>
      <c r="F300" s="41">
        <v>1200</v>
      </c>
      <c r="G300" s="28"/>
      <c r="H300" s="34">
        <f>'2018'!BH300</f>
        <v>-0.000399999999</v>
      </c>
      <c r="I300" s="13"/>
      <c r="J300" s="15"/>
      <c r="K300" s="15"/>
      <c r="L300" s="28"/>
      <c r="Q300" s="13"/>
      <c r="R300" s="15"/>
      <c r="S300" s="15"/>
      <c r="T300" s="28"/>
      <c r="Y300" s="13"/>
      <c r="Z300" s="15"/>
      <c r="AA300" s="15"/>
      <c r="AB300" s="28"/>
      <c r="AE300" s="34">
        <f>B297*$F$12</f>
        <v>5904</v>
      </c>
      <c r="AG300" s="13"/>
      <c r="AH300" s="15"/>
      <c r="AI300" s="15"/>
      <c r="AJ300" s="38">
        <v>5904</v>
      </c>
      <c r="AK300" s="13"/>
      <c r="AL300" s="15"/>
      <c r="AM300" s="15"/>
      <c r="AN300" s="28"/>
      <c r="AO300" s="13"/>
      <c r="AP300" s="15"/>
      <c r="AQ300" s="15"/>
      <c r="AR300" s="28"/>
      <c r="AS300" s="15"/>
      <c r="AT300" s="15"/>
      <c r="AU300" s="15"/>
      <c r="AV300" s="15"/>
      <c r="AW300" s="13"/>
      <c r="AX300" s="15"/>
      <c r="AY300" s="15"/>
      <c r="AZ300" s="28"/>
      <c r="BA300" s="15"/>
      <c r="BB300" s="15"/>
      <c r="BC300" s="15"/>
      <c r="BD300" s="15"/>
      <c r="BE300" s="14"/>
      <c r="BF300" s="41">
        <f t="shared" ref="BF300:BG300" si="920">K300+O300+S300+W300+AA300+AE300+AI300+AM300+AQ300+AU300+AY300+BC300</f>
        <v>5904</v>
      </c>
      <c r="BG300" s="34">
        <f t="shared" si="920"/>
        <v>5904</v>
      </c>
      <c r="BH300" s="35">
        <f t="shared" si="911"/>
        <v>-0.000399999999</v>
      </c>
    </row>
    <row r="301" ht="14.25" customHeight="1" spans="1:60" x14ac:dyDescent="0.25">
      <c r="A301" s="29">
        <v>40</v>
      </c>
      <c r="B301" s="14"/>
      <c r="C301" s="15" t="s">
        <v>405</v>
      </c>
      <c r="D301" s="14" t="s">
        <v>51</v>
      </c>
      <c r="E301" s="2" t="s">
        <v>49</v>
      </c>
      <c r="F301" s="41">
        <v>1000</v>
      </c>
      <c r="G301" s="28"/>
      <c r="H301" s="34">
        <f>'2018'!BH301</f>
        <v>0</v>
      </c>
      <c r="I301" s="13"/>
      <c r="J301" s="15"/>
      <c r="K301" s="15"/>
      <c r="L301" s="28"/>
      <c r="Q301" s="13"/>
      <c r="R301" s="15"/>
      <c r="S301" s="15"/>
      <c r="T301" s="28"/>
      <c r="Y301" s="13"/>
      <c r="Z301" s="15"/>
      <c r="AA301" s="15"/>
      <c r="AB301" s="28"/>
      <c r="AE301" s="34">
        <f>$F$21</f>
        <v>1000</v>
      </c>
      <c r="AG301" s="13"/>
      <c r="AH301" s="15"/>
      <c r="AI301" s="15"/>
      <c r="AJ301" s="38">
        <v>1000</v>
      </c>
      <c r="AK301" s="13"/>
      <c r="AL301" s="15"/>
      <c r="AM301" s="15"/>
      <c r="AN301" s="28"/>
      <c r="AO301" s="13"/>
      <c r="AP301" s="15"/>
      <c r="AQ301" s="15"/>
      <c r="AR301" s="28"/>
      <c r="AS301" s="15"/>
      <c r="AT301" s="15"/>
      <c r="AU301" s="15"/>
      <c r="AV301" s="15"/>
      <c r="AW301" s="13"/>
      <c r="AX301" s="15"/>
      <c r="AY301" s="15"/>
      <c r="AZ301" s="28"/>
      <c r="BA301" s="15"/>
      <c r="BB301" s="15"/>
      <c r="BC301" s="15"/>
      <c r="BD301" s="15"/>
      <c r="BE301" s="14"/>
      <c r="BF301" s="41">
        <f t="shared" ref="BF301:BG301" si="921">K301+O301+S301+W301+AA301+AE301+AI301+AM301+AQ301+AU301+AY301+BC301</f>
        <v>1000</v>
      </c>
      <c r="BG301" s="34">
        <f t="shared" si="921"/>
        <v>1000</v>
      </c>
      <c r="BH301" s="35">
        <f t="shared" si="911"/>
        <v>0</v>
      </c>
    </row>
    <row r="302" ht="14.25" customHeight="1" spans="1:60" x14ac:dyDescent="0.25">
      <c r="A302" s="29">
        <v>40</v>
      </c>
      <c r="B302" s="14"/>
      <c r="C302" s="73" t="s">
        <v>406</v>
      </c>
      <c r="D302" s="14" t="s">
        <v>52</v>
      </c>
      <c r="E302" s="2" t="s">
        <v>39</v>
      </c>
      <c r="F302" s="41">
        <v>500</v>
      </c>
      <c r="G302" s="28"/>
      <c r="H302" s="34">
        <f>'2018'!BH302</f>
        <v>0</v>
      </c>
      <c r="I302" s="13"/>
      <c r="J302" s="15"/>
      <c r="K302" s="15"/>
      <c r="L302" s="28"/>
      <c r="Q302" s="13"/>
      <c r="R302" s="15"/>
      <c r="S302" s="15"/>
      <c r="T302" s="28"/>
      <c r="Y302" s="13"/>
      <c r="Z302" s="15"/>
      <c r="AA302" s="34">
        <f>$F$14</f>
        <v>500</v>
      </c>
      <c r="AB302" s="35"/>
      <c r="AG302" s="13"/>
      <c r="AH302" s="15"/>
      <c r="AI302" s="15"/>
      <c r="AJ302" s="38">
        <v>500</v>
      </c>
      <c r="AK302" s="13"/>
      <c r="AL302" s="15"/>
      <c r="AM302" s="15"/>
      <c r="AN302" s="28"/>
      <c r="AO302" s="13"/>
      <c r="AP302" s="15"/>
      <c r="AQ302" s="15"/>
      <c r="AR302" s="28"/>
      <c r="AS302" s="15"/>
      <c r="AT302" s="15"/>
      <c r="AU302" s="15"/>
      <c r="AV302" s="15"/>
      <c r="AW302" s="13"/>
      <c r="AX302" s="15"/>
      <c r="AY302" s="15"/>
      <c r="AZ302" s="28"/>
      <c r="BA302" s="15"/>
      <c r="BB302" s="15"/>
      <c r="BC302" s="15"/>
      <c r="BD302" s="15"/>
      <c r="BE302" s="14"/>
      <c r="BF302" s="41">
        <f t="shared" ref="BF302:BG302" si="922">K302+O302+S302+W302+AA302+AE302+AI302+AM302+AQ302+AU302+AY302+BC302</f>
        <v>500</v>
      </c>
      <c r="BG302" s="34">
        <f t="shared" si="922"/>
        <v>500</v>
      </c>
      <c r="BH302" s="35">
        <f t="shared" si="911"/>
        <v>0</v>
      </c>
    </row>
    <row r="303" ht="15.75" customHeight="1" spans="1:62" x14ac:dyDescent="0.25">
      <c r="A303" s="50">
        <v>40</v>
      </c>
      <c r="B303" s="21"/>
      <c r="C303" s="22" t="s">
        <v>53</v>
      </c>
      <c r="D303" s="21"/>
      <c r="E303" s="22"/>
      <c r="F303" s="20"/>
      <c r="G303" s="23"/>
      <c r="H303" s="51">
        <f>SUM(H296:H302)</f>
        <v>1398.5396</v>
      </c>
      <c r="I303" s="52"/>
      <c r="J303" s="53"/>
      <c r="K303" s="51">
        <f t="shared" ref="K303:L303" si="923">SUM(K296:K302)</f>
        <v>2945.67</v>
      </c>
      <c r="L303" s="68">
        <f t="shared" si="923"/>
        <v>0</v>
      </c>
      <c r="M303" s="53"/>
      <c r="N303" s="53"/>
      <c r="O303" s="51">
        <f t="shared" ref="O303:P303" si="924">SUM(O297:O302)</f>
        <v>2049.27</v>
      </c>
      <c r="P303" s="51">
        <f t="shared" si="924"/>
        <v>5500</v>
      </c>
      <c r="Q303" s="52"/>
      <c r="R303" s="53"/>
      <c r="S303" s="51">
        <f t="shared" ref="S303:T303" si="925">SUM(S297:S302)</f>
        <v>761.94</v>
      </c>
      <c r="T303" s="68">
        <f t="shared" si="925"/>
        <v>2100</v>
      </c>
      <c r="U303" s="53"/>
      <c r="V303" s="53"/>
      <c r="W303" s="51">
        <f t="shared" ref="W303:X303" si="926">SUM(W297:W302)</f>
        <v>911.34</v>
      </c>
      <c r="X303" s="51">
        <f t="shared" si="926"/>
        <v>800</v>
      </c>
      <c r="Y303" s="52"/>
      <c r="Z303" s="53"/>
      <c r="AA303" s="51">
        <f t="shared" ref="AA303:AB303" si="927">SUM(AA297:AA302)</f>
        <v>2369.38</v>
      </c>
      <c r="AB303" s="68">
        <f t="shared" si="927"/>
        <v>0</v>
      </c>
      <c r="AC303" s="53"/>
      <c r="AD303" s="53"/>
      <c r="AE303" s="51">
        <f t="shared" ref="AE303:AF303" si="928">SUM(AE297:AE302)</f>
        <v>7804</v>
      </c>
      <c r="AF303" s="51">
        <f t="shared" si="928"/>
        <v>0</v>
      </c>
      <c r="AG303" s="52"/>
      <c r="AH303" s="53"/>
      <c r="AI303" s="51">
        <f t="shared" ref="AI303:AJ303" si="929">SUM(AI297:AI302)</f>
        <v>826.36</v>
      </c>
      <c r="AJ303" s="68">
        <f t="shared" si="929"/>
        <v>7404</v>
      </c>
      <c r="AK303" s="52"/>
      <c r="AL303" s="53"/>
      <c r="AM303" s="51">
        <f t="shared" ref="AM303:AN303" si="930">SUM(AM297:AM302)</f>
        <v>582.5</v>
      </c>
      <c r="AN303" s="68">
        <f t="shared" si="930"/>
        <v>0</v>
      </c>
      <c r="AO303" s="52"/>
      <c r="AP303" s="53"/>
      <c r="AQ303" s="51">
        <f t="shared" ref="AQ303:AR303" si="931">SUM(AQ296:AQ302)</f>
        <v>1071.36</v>
      </c>
      <c r="AR303" s="68">
        <f t="shared" si="931"/>
        <v>3000</v>
      </c>
      <c r="AS303" s="53"/>
      <c r="AT303" s="53"/>
      <c r="AU303" s="51">
        <f t="shared" ref="AU303:AV303" si="932">SUM(AU296:AU302)</f>
        <v>700</v>
      </c>
      <c r="AV303" s="68">
        <f t="shared" si="932"/>
        <v>1350</v>
      </c>
      <c r="AW303" s="52"/>
      <c r="AX303" s="53"/>
      <c r="AY303" s="51">
        <f t="shared" ref="AY303:AZ303" si="933">SUM(AY296:AY302)</f>
        <v>1112.5</v>
      </c>
      <c r="AZ303" s="68">
        <f t="shared" si="933"/>
        <v>1272</v>
      </c>
      <c r="BA303" s="53"/>
      <c r="BB303" s="53"/>
      <c r="BC303" s="51">
        <f t="shared" ref="BC303:BD303" si="934">SUM(BC296:BC302)</f>
        <v>1505</v>
      </c>
      <c r="BD303" s="68">
        <f t="shared" si="934"/>
        <v>0</v>
      </c>
      <c r="BE303" s="69"/>
      <c r="BF303" s="70">
        <f t="shared" ref="BF303:BH303" si="935">SUM(BF296:BF302)</f>
        <v>22639.32</v>
      </c>
      <c r="BG303" s="71">
        <f t="shared" si="935"/>
        <v>21426</v>
      </c>
      <c r="BH303" s="72">
        <f t="shared" si="935"/>
        <v>2611.8596</v>
      </c>
      <c r="BI303" s="34">
        <f>H303+BF303-BG303</f>
        <v>2611.8596</v>
      </c>
      <c r="BJ303" s="34">
        <f>BH303-BI303</f>
        <v>0</v>
      </c>
    </row>
    <row r="304" ht="14.25" customHeight="1" spans="1:60" x14ac:dyDescent="0.25">
      <c r="A304" s="29">
        <v>41</v>
      </c>
      <c r="B304" s="14"/>
      <c r="D304" s="14" t="s">
        <v>379</v>
      </c>
      <c r="F304" s="13"/>
      <c r="G304" s="28"/>
      <c r="H304" s="34">
        <f>'2018'!BH304</f>
      </c>
      <c r="I304" s="13"/>
      <c r="J304" s="15"/>
      <c r="K304" s="15"/>
      <c r="L304" s="28"/>
      <c r="Q304" s="13"/>
      <c r="R304" s="15"/>
      <c r="S304" s="15"/>
      <c r="T304" s="28"/>
      <c r="Y304" s="13"/>
      <c r="Z304" s="15"/>
      <c r="AA304" s="15"/>
      <c r="AB304" s="28"/>
      <c r="AG304" s="13"/>
      <c r="AH304" s="15"/>
      <c r="AI304" s="15"/>
      <c r="AJ304" s="28"/>
      <c r="AK304" s="13"/>
      <c r="AL304" s="15"/>
      <c r="AM304" s="15"/>
      <c r="AN304" s="28"/>
      <c r="AO304" s="13"/>
      <c r="AP304" s="15"/>
      <c r="AQ304" s="15">
        <v>18.38</v>
      </c>
      <c r="AR304" s="28"/>
      <c r="AU304" s="2">
        <v>8.29</v>
      </c>
      <c r="AW304" s="13"/>
      <c r="AX304" s="15"/>
      <c r="AY304" s="15"/>
      <c r="AZ304" s="28"/>
      <c r="BE304" s="14"/>
      <c r="BF304" s="41">
        <f t="shared" ref="BF304:BG304" si="936">K304+O304+S304+W304+AA304+AE304+AI304+AM304+AQ304+AU304+AY304+BC304</f>
        <v>26.67</v>
      </c>
      <c r="BG304" s="34">
        <f t="shared" si="936"/>
        <v>0</v>
      </c>
      <c r="BH304" s="35">
        <f t="shared" ref="BH304:BH310" si="937">H304+BF304-BG304</f>
        <v>26.67</v>
      </c>
    </row>
    <row r="305" ht="14.25" customHeight="1" spans="1:60" x14ac:dyDescent="0.25">
      <c r="A305" s="2">
        <v>41</v>
      </c>
      <c r="B305" s="14">
        <v>4.87</v>
      </c>
      <c r="C305" s="2" t="s">
        <v>177</v>
      </c>
      <c r="D305" s="14" t="s">
        <v>44</v>
      </c>
      <c r="E305" s="2" t="s">
        <v>45</v>
      </c>
      <c r="F305" s="13">
        <v>2.49</v>
      </c>
      <c r="G305" s="35">
        <v>2.5</v>
      </c>
      <c r="H305" s="34">
        <f>'2018'!BH305</f>
        <v>209.16</v>
      </c>
      <c r="I305" s="13">
        <v>88</v>
      </c>
      <c r="J305" s="15">
        <f>I305-'2018'!BA305</f>
        <v>0</v>
      </c>
      <c r="K305" s="15"/>
      <c r="L305" s="28"/>
      <c r="M305" s="2">
        <v>88</v>
      </c>
      <c r="N305" s="15">
        <f>M305-I305</f>
        <v>0</v>
      </c>
      <c r="O305" s="34">
        <f>N305*$F$8</f>
        <v>0</v>
      </c>
      <c r="Q305" s="13">
        <v>88</v>
      </c>
      <c r="R305" s="15">
        <f>Q305-M305</f>
        <v>0</v>
      </c>
      <c r="S305" s="34">
        <f>R305*$F$8</f>
        <v>0</v>
      </c>
      <c r="T305" s="28"/>
      <c r="U305" s="15">
        <v>88</v>
      </c>
      <c r="V305" s="15">
        <f>U305-Q305</f>
        <v>0</v>
      </c>
      <c r="W305" s="34">
        <f>V305*$F$8</f>
        <v>0</v>
      </c>
      <c r="Y305" s="75">
        <v>88</v>
      </c>
      <c r="Z305" s="15">
        <f>Y305-U305</f>
        <v>0</v>
      </c>
      <c r="AA305" s="34">
        <f>Z305*$F$8</f>
        <v>0</v>
      </c>
      <c r="AB305" s="28"/>
      <c r="AC305" s="15">
        <v>96</v>
      </c>
      <c r="AD305" s="15">
        <f t="shared" ref="AD305:AD306" si="938">AC305-Y305</f>
        <v>8</v>
      </c>
      <c r="AE305" s="34">
        <f>AD305*$G$8</f>
        <v>20</v>
      </c>
      <c r="AG305" s="13">
        <v>98</v>
      </c>
      <c r="AH305" s="15">
        <f t="shared" ref="AH305:AH306" si="939">AG305-AC305</f>
        <v>2</v>
      </c>
      <c r="AI305" s="34">
        <f>AH305*$G$8</f>
        <v>5</v>
      </c>
      <c r="AJ305" s="139">
        <v>234.16</v>
      </c>
      <c r="AK305" s="13">
        <v>208</v>
      </c>
      <c r="AL305" s="15">
        <f t="shared" ref="AL305:AL306" si="940">AK305-AG305</f>
        <v>110</v>
      </c>
      <c r="AM305" s="34">
        <f>AL305*$G$8</f>
        <v>275</v>
      </c>
      <c r="AN305" s="28"/>
      <c r="AO305" s="13">
        <v>300</v>
      </c>
      <c r="AP305" s="15">
        <f t="shared" ref="AP305:AP306" si="941">AO305-AK305</f>
        <v>92</v>
      </c>
      <c r="AQ305" s="34">
        <f>AP305*$G$8</f>
        <v>230</v>
      </c>
      <c r="AR305" s="28"/>
      <c r="AS305" s="75">
        <v>300</v>
      </c>
      <c r="AT305" s="15">
        <f t="shared" ref="AT305:AT306" si="942">AS305-AO305</f>
        <v>0</v>
      </c>
      <c r="AU305" s="34">
        <f>AT305*$G$8</f>
        <v>0</v>
      </c>
      <c r="AV305" s="39">
        <f>250+275</f>
        <v>525</v>
      </c>
      <c r="AW305" s="13">
        <v>300</v>
      </c>
      <c r="AX305" s="15">
        <f>AW305-AS305</f>
        <v>0</v>
      </c>
      <c r="AY305" s="34">
        <f>AX305*$G$8</f>
        <v>0</v>
      </c>
      <c r="AZ305" s="28"/>
      <c r="BA305" s="13">
        <v>300</v>
      </c>
      <c r="BB305" s="15">
        <f>BA305-AW305</f>
        <v>0</v>
      </c>
      <c r="BC305" s="34">
        <f>BB305*$G$8</f>
        <v>0</v>
      </c>
      <c r="BD305" s="15"/>
      <c r="BE305" s="40">
        <f t="shared" ref="BE305:BG305" si="943">J305+N305+R305+V305+Z305+AD305+AH305+AL305+AP305+AT305+AX305+BB305</f>
        <v>212</v>
      </c>
      <c r="BF305" s="41">
        <f t="shared" si="943"/>
        <v>530</v>
      </c>
      <c r="BG305" s="34">
        <f t="shared" si="943"/>
        <v>759.16</v>
      </c>
      <c r="BH305" s="35">
        <f t="shared" si="937"/>
        <v>-20</v>
      </c>
    </row>
    <row r="306" ht="14.25" customHeight="1" spans="1:60" x14ac:dyDescent="0.25">
      <c r="A306" s="29">
        <v>41</v>
      </c>
      <c r="B306" s="14"/>
      <c r="C306" s="2" t="s">
        <v>75</v>
      </c>
      <c r="D306" s="14" t="s">
        <v>47</v>
      </c>
      <c r="E306" s="2" t="s">
        <v>48</v>
      </c>
      <c r="F306" s="13">
        <v>17.98</v>
      </c>
      <c r="G306" s="28">
        <v>18.56</v>
      </c>
      <c r="H306" s="34">
        <f>'2018'!BH306</f>
        <v>-99</v>
      </c>
      <c r="I306" s="13">
        <v>27</v>
      </c>
      <c r="J306" s="15"/>
      <c r="K306" s="15"/>
      <c r="L306" s="28"/>
      <c r="Q306" s="13"/>
      <c r="R306" s="15"/>
      <c r="S306" s="15"/>
      <c r="T306" s="28"/>
      <c r="Y306" s="95">
        <v>27</v>
      </c>
      <c r="Z306" s="15">
        <f>Y306-'2018'!AO306</f>
        <v>0</v>
      </c>
      <c r="AA306" s="34">
        <f>Z306*$F$10</f>
        <v>0</v>
      </c>
      <c r="AB306" s="28"/>
      <c r="AC306" s="15">
        <v>27</v>
      </c>
      <c r="AD306" s="15">
        <f t="shared" si="938"/>
        <v>0</v>
      </c>
      <c r="AE306" s="34">
        <f>AD306*$F$10</f>
        <v>0</v>
      </c>
      <c r="AG306" s="13">
        <v>35</v>
      </c>
      <c r="AH306" s="15">
        <f t="shared" si="939"/>
        <v>8</v>
      </c>
      <c r="AI306" s="45">
        <f>AH306*$G$10</f>
        <v>148.48</v>
      </c>
      <c r="AJ306" s="139">
        <v>49.48</v>
      </c>
      <c r="AK306" s="13">
        <v>35</v>
      </c>
      <c r="AL306" s="15">
        <f t="shared" si="940"/>
        <v>0</v>
      </c>
      <c r="AM306" s="45">
        <f>AL306*$G$10</f>
        <v>0</v>
      </c>
      <c r="AN306" s="28"/>
      <c r="AO306" s="75">
        <v>35</v>
      </c>
      <c r="AP306" s="15">
        <f t="shared" si="941"/>
        <v>0</v>
      </c>
      <c r="AQ306" s="45">
        <f>AP306*$G$10</f>
        <v>0</v>
      </c>
      <c r="AR306" s="28"/>
      <c r="AS306" s="75">
        <v>35</v>
      </c>
      <c r="AT306" s="15">
        <f t="shared" si="942"/>
        <v>0</v>
      </c>
      <c r="AU306" s="45">
        <f>AT306*$G$10</f>
        <v>0</v>
      </c>
      <c r="AV306" s="15"/>
      <c r="AW306" s="75">
        <v>35</v>
      </c>
      <c r="AX306" s="15"/>
      <c r="AY306" s="15"/>
      <c r="AZ306" s="28"/>
      <c r="BA306" s="75">
        <v>35</v>
      </c>
      <c r="BB306" s="15"/>
      <c r="BC306" s="15"/>
      <c r="BD306" s="15"/>
      <c r="BE306" s="40">
        <f t="shared" ref="BE306:BG306" si="944">J306+N306+R306+V306+Z306+AD306+AH306+AL306+AP306+AT306+AX306+BB306</f>
        <v>8</v>
      </c>
      <c r="BF306" s="41">
        <f t="shared" si="944"/>
        <v>148.48</v>
      </c>
      <c r="BG306" s="34">
        <f t="shared" si="944"/>
        <v>49.48</v>
      </c>
      <c r="BH306" s="35">
        <f t="shared" si="937"/>
        <v>0</v>
      </c>
    </row>
    <row r="307" ht="14.25" customHeight="1" spans="1:60" x14ac:dyDescent="0.25">
      <c r="A307" s="29">
        <v>41</v>
      </c>
      <c r="B307" s="14"/>
      <c r="C307" s="2" t="s">
        <v>178</v>
      </c>
      <c r="D307" s="14" t="s">
        <v>47</v>
      </c>
      <c r="E307" s="2" t="s">
        <v>49</v>
      </c>
      <c r="F307" s="41">
        <v>500</v>
      </c>
      <c r="G307" s="28"/>
      <c r="H307" s="34">
        <f>'2018'!BH307</f>
        <v>0</v>
      </c>
      <c r="I307" s="13"/>
      <c r="J307" s="15"/>
      <c r="K307" s="15"/>
      <c r="L307" s="28"/>
      <c r="Q307" s="13"/>
      <c r="R307" s="15"/>
      <c r="S307" s="15"/>
      <c r="T307" s="28"/>
      <c r="Y307" s="13"/>
      <c r="Z307" s="15"/>
      <c r="AA307" s="15"/>
      <c r="AB307" s="28"/>
      <c r="AG307" s="13"/>
      <c r="AH307" s="15"/>
      <c r="AI307" s="15"/>
      <c r="AJ307" s="28"/>
      <c r="AK307" s="13"/>
      <c r="AL307" s="15"/>
      <c r="AM307" s="34"/>
      <c r="AN307" s="28"/>
      <c r="AO307" s="13"/>
      <c r="AP307" s="15"/>
      <c r="AQ307" s="34"/>
      <c r="AR307" s="28"/>
      <c r="AS307" s="15"/>
      <c r="AT307" s="15"/>
      <c r="AU307" s="15"/>
      <c r="AV307" s="15"/>
      <c r="AW307" s="13"/>
      <c r="AX307" s="15"/>
      <c r="AY307" s="15"/>
      <c r="AZ307" s="28"/>
      <c r="BA307" s="15"/>
      <c r="BB307" s="15"/>
      <c r="BC307" s="15"/>
      <c r="BD307" s="15"/>
      <c r="BE307" s="14"/>
      <c r="BF307" s="41">
        <f t="shared" ref="BF307:BG307" si="945">K307+O307+S307+W307+AA307+AE307+AI307+AM307+AQ307+AU307+AY307+BC307</f>
        <v>0</v>
      </c>
      <c r="BG307" s="34">
        <f t="shared" si="945"/>
        <v>0</v>
      </c>
      <c r="BH307" s="35">
        <f t="shared" si="937"/>
        <v>0</v>
      </c>
    </row>
    <row r="308" ht="14.25" customHeight="1" spans="1:60" x14ac:dyDescent="0.25">
      <c r="A308" s="29">
        <v>41</v>
      </c>
      <c r="B308" s="14"/>
      <c r="C308" s="2" t="s">
        <v>407</v>
      </c>
      <c r="D308" s="14" t="s">
        <v>50</v>
      </c>
      <c r="E308" s="2" t="s">
        <v>49</v>
      </c>
      <c r="F308" s="41">
        <v>1200</v>
      </c>
      <c r="G308" s="28"/>
      <c r="H308" s="34">
        <f>'2018'!BH308</f>
        <v>-0.004399999999</v>
      </c>
      <c r="I308" s="13"/>
      <c r="J308" s="15"/>
      <c r="K308" s="15"/>
      <c r="L308" s="28"/>
      <c r="Q308" s="13"/>
      <c r="R308" s="15"/>
      <c r="S308" s="15"/>
      <c r="T308" s="28"/>
      <c r="Y308" s="13"/>
      <c r="Z308" s="15"/>
      <c r="AA308" s="15"/>
      <c r="AB308" s="28"/>
      <c r="AE308" s="34">
        <f>B305*$F$12</f>
        <v>5844</v>
      </c>
      <c r="AG308" s="13"/>
      <c r="AH308" s="15"/>
      <c r="AI308" s="15"/>
      <c r="AJ308" s="139">
        <v>716.36</v>
      </c>
      <c r="AK308" s="13"/>
      <c r="AL308" s="15"/>
      <c r="AM308" s="15"/>
      <c r="AN308" s="28"/>
      <c r="AO308" s="13"/>
      <c r="AP308" s="15"/>
      <c r="AQ308" s="15"/>
      <c r="AR308" s="28"/>
      <c r="AS308" s="15"/>
      <c r="AT308" s="15"/>
      <c r="AU308" s="15"/>
      <c r="AV308" s="39">
        <v>5127.64</v>
      </c>
      <c r="AW308" s="13"/>
      <c r="AX308" s="15"/>
      <c r="AY308" s="15"/>
      <c r="AZ308" s="28"/>
      <c r="BA308" s="15"/>
      <c r="BB308" s="15"/>
      <c r="BC308" s="15"/>
      <c r="BD308" s="15"/>
      <c r="BE308" s="14"/>
      <c r="BF308" s="41">
        <f t="shared" ref="BF308:BG308" si="946">K308+O308+S308+W308+AA308+AE308+AI308+AM308+AQ308+AU308+AY308+BC308</f>
        <v>5844</v>
      </c>
      <c r="BG308" s="34">
        <f t="shared" si="946"/>
        <v>5844</v>
      </c>
      <c r="BH308" s="35">
        <f t="shared" si="937"/>
        <v>-0.004399999999</v>
      </c>
    </row>
    <row r="309" ht="14.25" customHeight="1" spans="1:60" x14ac:dyDescent="0.25">
      <c r="A309" s="29">
        <v>41</v>
      </c>
      <c r="B309" s="14"/>
      <c r="C309" s="2" t="s">
        <v>180</v>
      </c>
      <c r="D309" s="14" t="s">
        <v>51</v>
      </c>
      <c r="E309" s="2" t="s">
        <v>49</v>
      </c>
      <c r="F309" s="41">
        <v>1000</v>
      </c>
      <c r="G309" s="28"/>
      <c r="H309" s="34">
        <f>'2018'!BH309</f>
        <v>0</v>
      </c>
      <c r="I309" s="13"/>
      <c r="J309" s="15"/>
      <c r="K309" s="15"/>
      <c r="L309" s="28"/>
      <c r="Q309" s="13"/>
      <c r="R309" s="15"/>
      <c r="S309" s="15"/>
      <c r="T309" s="28"/>
      <c r="Y309" s="13"/>
      <c r="Z309" s="15"/>
      <c r="AA309" s="15"/>
      <c r="AB309" s="28"/>
      <c r="AE309" s="34">
        <f>$F$21</f>
        <v>1000</v>
      </c>
      <c r="AG309" s="13"/>
      <c r="AH309" s="15"/>
      <c r="AI309" s="15"/>
      <c r="AJ309" s="28"/>
      <c r="AK309" s="13"/>
      <c r="AL309" s="15"/>
      <c r="AM309" s="15"/>
      <c r="AN309" s="28"/>
      <c r="AO309" s="13"/>
      <c r="AP309" s="15"/>
      <c r="AQ309" s="15"/>
      <c r="AR309" s="28"/>
      <c r="AS309" s="15"/>
      <c r="AT309" s="15"/>
      <c r="AU309" s="15"/>
      <c r="AV309" s="39">
        <v>1000</v>
      </c>
      <c r="AW309" s="13"/>
      <c r="AX309" s="15"/>
      <c r="AY309" s="15"/>
      <c r="AZ309" s="28"/>
      <c r="BA309" s="15"/>
      <c r="BB309" s="15"/>
      <c r="BC309" s="15"/>
      <c r="BD309" s="15"/>
      <c r="BE309" s="14"/>
      <c r="BF309" s="41">
        <f t="shared" ref="BF309:BG309" si="947">K309+O309+S309+W309+AA309+AE309+AI309+AM309+AQ309+AU309+AY309+BC309</f>
        <v>1000</v>
      </c>
      <c r="BG309" s="34">
        <f t="shared" si="947"/>
        <v>1000</v>
      </c>
      <c r="BH309" s="35">
        <f t="shared" si="937"/>
        <v>0</v>
      </c>
    </row>
    <row r="310" ht="14.25" customHeight="1" spans="1:60" x14ac:dyDescent="0.25">
      <c r="A310" s="29">
        <v>41</v>
      </c>
      <c r="B310" s="14"/>
      <c r="D310" s="14" t="s">
        <v>52</v>
      </c>
      <c r="E310" s="2" t="s">
        <v>39</v>
      </c>
      <c r="F310" s="41">
        <v>500</v>
      </c>
      <c r="G310" s="28"/>
      <c r="H310" s="34">
        <f>'2018'!BH310</f>
        <v>0</v>
      </c>
      <c r="I310" s="13"/>
      <c r="J310" s="15"/>
      <c r="K310" s="15"/>
      <c r="L310" s="28"/>
      <c r="Q310" s="13"/>
      <c r="R310" s="15"/>
      <c r="S310" s="15"/>
      <c r="T310" s="28"/>
      <c r="Y310" s="13"/>
      <c r="Z310" s="15"/>
      <c r="AA310" s="34">
        <f>$F$14</f>
        <v>500</v>
      </c>
      <c r="AB310" s="28"/>
      <c r="AG310" s="13"/>
      <c r="AH310" s="15"/>
      <c r="AI310" s="15"/>
      <c r="AJ310" s="28"/>
      <c r="AK310" s="13"/>
      <c r="AL310" s="15"/>
      <c r="AM310" s="15"/>
      <c r="AN310" s="35"/>
      <c r="AO310" s="13"/>
      <c r="AP310" s="15"/>
      <c r="AQ310" s="15"/>
      <c r="AR310" s="28"/>
      <c r="AS310" s="15"/>
      <c r="AT310" s="15"/>
      <c r="AU310" s="15"/>
      <c r="AV310" s="39">
        <v>500</v>
      </c>
      <c r="AW310" s="13"/>
      <c r="AX310" s="15"/>
      <c r="AY310" s="15"/>
      <c r="AZ310" s="28"/>
      <c r="BA310" s="15"/>
      <c r="BB310" s="15"/>
      <c r="BC310" s="15"/>
      <c r="BD310" s="15"/>
      <c r="BE310" s="14"/>
      <c r="BF310" s="41">
        <f t="shared" ref="BF310:BG310" si="948">K310+O310+S310+W310+AA310+AE310+AI310+AM310+AQ310+AU310+AY310+BC310</f>
        <v>500</v>
      </c>
      <c r="BG310" s="34">
        <f t="shared" si="948"/>
        <v>500</v>
      </c>
      <c r="BH310" s="35">
        <f t="shared" si="937"/>
        <v>0</v>
      </c>
    </row>
    <row r="311" ht="14.25" customHeight="1" spans="1:62" x14ac:dyDescent="0.25">
      <c r="A311" s="50">
        <v>41</v>
      </c>
      <c r="B311" s="21"/>
      <c r="C311" s="22" t="s">
        <v>53</v>
      </c>
      <c r="D311" s="21"/>
      <c r="E311" s="22"/>
      <c r="F311" s="20"/>
      <c r="G311" s="23"/>
      <c r="H311" s="51">
        <f>SUM(H304:H310)</f>
        <v>110.1556</v>
      </c>
      <c r="I311" s="52"/>
      <c r="J311" s="53"/>
      <c r="K311" s="51">
        <f t="shared" ref="K311:L311" si="949">SUM(K304:K310)</f>
        <v>0</v>
      </c>
      <c r="L311" s="68">
        <f t="shared" si="949"/>
        <v>0</v>
      </c>
      <c r="M311" s="53"/>
      <c r="N311" s="53"/>
      <c r="O311" s="51">
        <f t="shared" ref="O311:P311" si="950">SUM(O305:O310)</f>
        <v>0</v>
      </c>
      <c r="P311" s="51">
        <f t="shared" si="950"/>
        <v>0</v>
      </c>
      <c r="Q311" s="52"/>
      <c r="R311" s="53"/>
      <c r="S311" s="51">
        <f t="shared" ref="S311:T311" si="951">SUM(S305:S310)</f>
        <v>0</v>
      </c>
      <c r="T311" s="68">
        <f t="shared" si="951"/>
        <v>0</v>
      </c>
      <c r="U311" s="53"/>
      <c r="V311" s="53"/>
      <c r="W311" s="51">
        <f t="shared" ref="W311:X311" si="952">SUM(W305:W310)</f>
        <v>0</v>
      </c>
      <c r="X311" s="51">
        <f t="shared" si="952"/>
        <v>0</v>
      </c>
      <c r="Y311" s="52"/>
      <c r="Z311" s="53"/>
      <c r="AA311" s="51">
        <f t="shared" ref="AA311:AB311" si="953">SUM(AA305:AA310)</f>
        <v>500</v>
      </c>
      <c r="AB311" s="68">
        <f t="shared" si="953"/>
        <v>0</v>
      </c>
      <c r="AC311" s="53"/>
      <c r="AD311" s="53"/>
      <c r="AE311" s="51">
        <f t="shared" ref="AE311:AF311" si="954">SUM(AE305:AE310)</f>
        <v>6864</v>
      </c>
      <c r="AF311" s="51">
        <f t="shared" si="954"/>
        <v>0</v>
      </c>
      <c r="AG311" s="52"/>
      <c r="AH311" s="53"/>
      <c r="AI311" s="51">
        <f t="shared" ref="AI311:AJ311" si="955">SUM(AI305:AI310)</f>
        <v>153.48</v>
      </c>
      <c r="AJ311" s="68">
        <f t="shared" si="955"/>
        <v>1000</v>
      </c>
      <c r="AK311" s="52"/>
      <c r="AL311" s="53"/>
      <c r="AM311" s="51">
        <f t="shared" ref="AM311:AN311" si="956">SUM(AM305:AM310)</f>
        <v>275</v>
      </c>
      <c r="AN311" s="68">
        <f t="shared" si="956"/>
        <v>0</v>
      </c>
      <c r="AO311" s="52"/>
      <c r="AP311" s="53"/>
      <c r="AQ311" s="51">
        <f t="shared" ref="AQ311:AR311" si="957">SUM(AQ304:AQ310)</f>
        <v>248.38</v>
      </c>
      <c r="AR311" s="68">
        <f t="shared" si="957"/>
        <v>0</v>
      </c>
      <c r="AS311" s="53"/>
      <c r="AT311" s="53"/>
      <c r="AU311" s="51">
        <f t="shared" ref="AU311:AV311" si="958">SUM(AU304:AU310)</f>
        <v>8.29</v>
      </c>
      <c r="AV311" s="68">
        <f t="shared" si="958"/>
        <v>7152.64</v>
      </c>
      <c r="AW311" s="52"/>
      <c r="AX311" s="53"/>
      <c r="AY311" s="51">
        <f t="shared" ref="AY311:AZ311" si="959">SUM(AY304:AY310)</f>
        <v>0</v>
      </c>
      <c r="AZ311" s="68">
        <f t="shared" si="959"/>
        <v>0</v>
      </c>
      <c r="BA311" s="53"/>
      <c r="BB311" s="53"/>
      <c r="BC311" s="51">
        <f t="shared" ref="BC311:BD311" si="960">SUM(BC304:BC310)</f>
        <v>0</v>
      </c>
      <c r="BD311" s="68">
        <f t="shared" si="960"/>
        <v>0</v>
      </c>
      <c r="BE311" s="69"/>
      <c r="BF311" s="70">
        <f t="shared" ref="BF311:BH311" si="961">SUM(BF304:BF310)</f>
        <v>8049.15</v>
      </c>
      <c r="BG311" s="71">
        <f t="shared" si="961"/>
        <v>8152.64</v>
      </c>
      <c r="BH311" s="72">
        <f t="shared" si="961"/>
        <v>6.6656</v>
      </c>
      <c r="BI311" s="34">
        <f>H311+BF311-BG311</f>
        <v>6.6656</v>
      </c>
      <c r="BJ311" s="34">
        <f>BH311-BI311</f>
        <v>0</v>
      </c>
    </row>
    <row r="312" ht="14.25" customHeight="1" spans="1:60" x14ac:dyDescent="0.25">
      <c r="A312" s="29">
        <v>42</v>
      </c>
      <c r="B312" s="14"/>
      <c r="D312" s="14" t="s">
        <v>379</v>
      </c>
      <c r="F312" s="41"/>
      <c r="G312" s="28"/>
      <c r="H312" s="34">
        <f>'2018'!BH312</f>
        <v>0</v>
      </c>
      <c r="I312" s="13"/>
      <c r="J312" s="15"/>
      <c r="K312" s="34"/>
      <c r="L312" s="28"/>
      <c r="Q312" s="13"/>
      <c r="R312" s="15"/>
      <c r="S312" s="15"/>
      <c r="T312" s="28"/>
      <c r="Y312" s="13"/>
      <c r="Z312" s="15"/>
      <c r="AA312" s="15"/>
      <c r="AB312" s="28"/>
      <c r="AG312" s="13"/>
      <c r="AH312" s="15"/>
      <c r="AI312" s="15"/>
      <c r="AJ312" s="28"/>
      <c r="AK312" s="13"/>
      <c r="AL312" s="15"/>
      <c r="AM312" s="15"/>
      <c r="AN312" s="35"/>
      <c r="AO312" s="13"/>
      <c r="AP312" s="15"/>
      <c r="AQ312" s="15">
        <v>20.64</v>
      </c>
      <c r="AR312" s="28"/>
      <c r="AU312" s="2">
        <v>21.33</v>
      </c>
      <c r="AW312" s="13"/>
      <c r="AX312" s="15"/>
      <c r="AY312" s="15">
        <v>20.64</v>
      </c>
      <c r="AZ312" s="28"/>
      <c r="BC312" s="2">
        <v>21.33</v>
      </c>
      <c r="BE312" s="14"/>
      <c r="BF312" s="41">
        <f t="shared" ref="BF312:BG312" si="962">K312+O312+S312+W312+AA312+AE312+AI312+AM312+AQ312+AU312+AY312+BC312</f>
        <v>83.94</v>
      </c>
      <c r="BG312" s="34">
        <f t="shared" si="962"/>
        <v>0</v>
      </c>
      <c r="BH312" s="35">
        <f t="shared" ref="BH312:BH318" si="963">H312+BF312-BG312</f>
        <v>83.94</v>
      </c>
    </row>
    <row r="313" ht="14.25" customHeight="1" spans="1:60" x14ac:dyDescent="0.25">
      <c r="A313" s="2">
        <v>42</v>
      </c>
      <c r="B313" s="42">
        <v>4.9</v>
      </c>
      <c r="C313" s="15" t="s">
        <v>181</v>
      </c>
      <c r="D313" s="14" t="s">
        <v>44</v>
      </c>
      <c r="E313" s="2" t="s">
        <v>45</v>
      </c>
      <c r="F313" s="13">
        <v>2.49</v>
      </c>
      <c r="G313" s="35">
        <v>2.5</v>
      </c>
      <c r="H313" s="104">
        <f>'2018'!BH313</f>
        <v>0</v>
      </c>
      <c r="I313" s="13"/>
      <c r="J313" s="15"/>
      <c r="K313" s="34">
        <f>J313*$F$8</f>
        <v>0</v>
      </c>
      <c r="L313" s="28"/>
      <c r="N313" s="15">
        <f>M313-I313</f>
        <v>0</v>
      </c>
      <c r="O313" s="34">
        <f>N313*$F$8</f>
        <v>0</v>
      </c>
      <c r="Q313" s="13"/>
      <c r="R313" s="15">
        <f>Q313-M313</f>
        <v>0</v>
      </c>
      <c r="S313" s="34">
        <f>R313*$F$8</f>
        <v>0</v>
      </c>
      <c r="T313" s="28"/>
      <c r="V313" s="15">
        <f>U313-Q313</f>
        <v>0</v>
      </c>
      <c r="Y313" s="13"/>
      <c r="Z313" s="15">
        <f>Y313-U313</f>
        <v>0</v>
      </c>
      <c r="AA313" s="34">
        <f>Z313*$F$8</f>
        <v>0</v>
      </c>
      <c r="AB313" s="28"/>
      <c r="AC313" s="15"/>
      <c r="AD313" s="15">
        <f>AC313-Y313</f>
        <v>0</v>
      </c>
      <c r="AE313" s="34">
        <f>AD313*$G$8</f>
        <v>0</v>
      </c>
      <c r="AG313" s="13"/>
      <c r="AH313" s="15">
        <f t="shared" ref="AH313:AH314" si="964">AG313-AC313</f>
        <v>0</v>
      </c>
      <c r="AI313" s="34">
        <f>AH313*$G$8</f>
        <v>0</v>
      </c>
      <c r="AJ313" s="28"/>
      <c r="AK313" s="13">
        <v>0</v>
      </c>
      <c r="AL313" s="15">
        <f>AK313-AG313</f>
        <v>0</v>
      </c>
      <c r="AM313" s="34">
        <f>AL313*$G$8</f>
        <v>0</v>
      </c>
      <c r="AN313" s="28"/>
      <c r="AO313" s="13">
        <v>0</v>
      </c>
      <c r="AP313" s="15">
        <f t="shared" ref="AP313:AP314" si="965">AO313-AK313</f>
        <v>0</v>
      </c>
      <c r="AQ313" s="34">
        <f>AP313*$G$8</f>
        <v>0</v>
      </c>
      <c r="AR313" s="28"/>
      <c r="AS313" s="15">
        <v>0</v>
      </c>
      <c r="AT313" s="15">
        <f t="shared" ref="AT313:AT314" si="966">AS313-AO313</f>
        <v>0</v>
      </c>
      <c r="AU313" s="34">
        <f>AT313*$G$8</f>
        <v>0</v>
      </c>
      <c r="AV313" s="15"/>
      <c r="AW313" s="13">
        <v>0</v>
      </c>
      <c r="AX313" s="15">
        <f>AW313-AS313</f>
        <v>0</v>
      </c>
      <c r="AY313" s="34">
        <f>AX313*$G$8</f>
        <v>0</v>
      </c>
      <c r="AZ313" s="28"/>
      <c r="BA313" s="13">
        <v>0</v>
      </c>
      <c r="BB313" s="15">
        <f>BA313-AW313</f>
        <v>0</v>
      </c>
      <c r="BC313" s="34">
        <f>BB313*$G$8</f>
        <v>0</v>
      </c>
      <c r="BD313" s="15"/>
      <c r="BE313" s="40">
        <f t="shared" ref="BE313:BG313" si="967">J313+N313+R313+V313+Z313+AD313+AH313+AL313+AP313+AT313+AX313+BB313</f>
        <v>0</v>
      </c>
      <c r="BF313" s="41">
        <f t="shared" si="967"/>
        <v>0</v>
      </c>
      <c r="BG313" s="34">
        <f t="shared" si="967"/>
        <v>0</v>
      </c>
      <c r="BH313" s="35">
        <f t="shared" si="963"/>
        <v>0</v>
      </c>
    </row>
    <row r="314" ht="14.25" customHeight="1" spans="1:60" x14ac:dyDescent="0.25">
      <c r="A314" s="29">
        <v>42</v>
      </c>
      <c r="B314" s="14"/>
      <c r="C314" s="15" t="s">
        <v>182</v>
      </c>
      <c r="D314" s="14" t="s">
        <v>47</v>
      </c>
      <c r="E314" s="2" t="s">
        <v>48</v>
      </c>
      <c r="F314" s="13">
        <v>17.98</v>
      </c>
      <c r="G314" s="28">
        <v>18.56</v>
      </c>
      <c r="H314" s="34">
        <f>'2018'!BH314</f>
        <v>0</v>
      </c>
      <c r="I314" s="13"/>
      <c r="J314" s="15"/>
      <c r="K314" s="15"/>
      <c r="L314" s="28"/>
      <c r="Q314" s="13"/>
      <c r="R314" s="15"/>
      <c r="S314" s="15"/>
      <c r="T314" s="28"/>
      <c r="Y314" s="13"/>
      <c r="Z314" s="15"/>
      <c r="AA314" s="15"/>
      <c r="AB314" s="28"/>
      <c r="AC314" s="15"/>
      <c r="AD314" s="15"/>
      <c r="AE314" s="34">
        <f>AD314*$F$10</f>
        <v>0</v>
      </c>
      <c r="AG314" s="13"/>
      <c r="AH314" s="15">
        <f t="shared" si="964"/>
        <v>0</v>
      </c>
      <c r="AI314" s="45">
        <f>AH314*$G$10</f>
        <v>0</v>
      </c>
      <c r="AJ314" s="28"/>
      <c r="AK314" s="13"/>
      <c r="AL314" s="15"/>
      <c r="AM314" s="45">
        <f>AL314*$G$10</f>
        <v>0</v>
      </c>
      <c r="AN314" s="28"/>
      <c r="AO314" s="13">
        <v>7</v>
      </c>
      <c r="AP314" s="15">
        <f t="shared" si="965"/>
        <v>7</v>
      </c>
      <c r="AQ314" s="45">
        <f>AP314*$G$10</f>
        <v>129.92</v>
      </c>
      <c r="AR314" s="28"/>
      <c r="AS314" s="13">
        <v>7</v>
      </c>
      <c r="AT314" s="15">
        <f t="shared" si="966"/>
        <v>0</v>
      </c>
      <c r="AU314" s="45">
        <f>AT314*$G$10</f>
        <v>0</v>
      </c>
      <c r="AV314" s="15"/>
      <c r="AW314" s="13">
        <v>7</v>
      </c>
      <c r="AX314" s="15"/>
      <c r="AY314" s="15"/>
      <c r="AZ314" s="28"/>
      <c r="BA314" s="15">
        <v>7</v>
      </c>
      <c r="BB314" s="15"/>
      <c r="BC314" s="15"/>
      <c r="BD314" s="15"/>
      <c r="BE314" s="40">
        <f t="shared" ref="BE314:BG314" si="968">J314+N314+R314+V314+Z314+AD314+AH314+AL314+AP314+AT314+AX314+BB314</f>
        <v>7</v>
      </c>
      <c r="BF314" s="41">
        <f t="shared" si="968"/>
        <v>129.92</v>
      </c>
      <c r="BG314" s="34">
        <f t="shared" si="968"/>
        <v>0</v>
      </c>
      <c r="BH314" s="35">
        <f t="shared" si="963"/>
        <v>129.92</v>
      </c>
    </row>
    <row r="315" ht="14.25" customHeight="1" spans="1:60" x14ac:dyDescent="0.25">
      <c r="A315" s="29">
        <v>42</v>
      </c>
      <c r="B315" s="14"/>
      <c r="C315" s="15" t="s">
        <v>183</v>
      </c>
      <c r="D315" s="14" t="s">
        <v>47</v>
      </c>
      <c r="E315" s="2" t="s">
        <v>49</v>
      </c>
      <c r="F315" s="41">
        <v>500</v>
      </c>
      <c r="G315" s="28"/>
      <c r="H315" s="144">
        <f>'2018'!BH315</f>
        <v>0</v>
      </c>
      <c r="I315" s="13"/>
      <c r="J315" s="15"/>
      <c r="K315" s="15"/>
      <c r="L315" s="28"/>
      <c r="Q315" s="13"/>
      <c r="R315" s="15"/>
      <c r="S315" s="15"/>
      <c r="T315" s="28"/>
      <c r="Y315" s="13"/>
      <c r="Z315" s="15"/>
      <c r="AA315" s="34"/>
      <c r="AB315" s="28"/>
      <c r="AC315" s="15"/>
      <c r="AG315" s="13"/>
      <c r="AH315" s="15"/>
      <c r="AI315" s="15"/>
      <c r="AJ315" s="28"/>
      <c r="AK315" s="13"/>
      <c r="AL315" s="15"/>
      <c r="AM315" s="34"/>
      <c r="AN315" s="28"/>
      <c r="AO315" s="13"/>
      <c r="AP315" s="15"/>
      <c r="AQ315" s="34"/>
      <c r="AR315" s="28"/>
      <c r="AS315" s="15"/>
      <c r="AT315" s="15"/>
      <c r="AU315" s="15"/>
      <c r="AV315" s="15"/>
      <c r="AW315" s="13"/>
      <c r="AX315" s="15"/>
      <c r="AY315" s="15"/>
      <c r="AZ315" s="28"/>
      <c r="BA315" s="15"/>
      <c r="BB315" s="15"/>
      <c r="BC315" s="15"/>
      <c r="BD315" s="15"/>
      <c r="BE315" s="14"/>
      <c r="BF315" s="41">
        <f t="shared" ref="BF315:BG315" si="969">K315+O315+S315+W315+AA315+AE315+AI315+AM315+AQ315+AU315+AY315+BC315</f>
        <v>0</v>
      </c>
      <c r="BG315" s="34">
        <f t="shared" si="969"/>
        <v>0</v>
      </c>
      <c r="BH315" s="35">
        <f t="shared" si="963"/>
        <v>0</v>
      </c>
    </row>
    <row r="316" ht="14.25" customHeight="1" spans="1:60" x14ac:dyDescent="0.25">
      <c r="A316" s="29">
        <v>42</v>
      </c>
      <c r="B316" s="14"/>
      <c r="C316" s="15" t="s">
        <v>184</v>
      </c>
      <c r="D316" s="14" t="s">
        <v>50</v>
      </c>
      <c r="E316" s="2" t="s">
        <v>49</v>
      </c>
      <c r="F316" s="41">
        <v>1200</v>
      </c>
      <c r="G316" s="28"/>
      <c r="H316" s="34">
        <f>'2018'!BH316</f>
        <v>0.002000000001</v>
      </c>
      <c r="I316" s="13"/>
      <c r="J316" s="15"/>
      <c r="K316" s="15"/>
      <c r="L316" s="28"/>
      <c r="Q316" s="13"/>
      <c r="R316" s="15"/>
      <c r="S316" s="15"/>
      <c r="T316" s="28"/>
      <c r="Y316" s="13"/>
      <c r="Z316" s="15"/>
      <c r="AA316" s="15"/>
      <c r="AB316" s="28"/>
      <c r="AE316" s="34">
        <f>B313*$F$12</f>
        <v>5880</v>
      </c>
      <c r="AG316" s="13"/>
      <c r="AH316" s="15"/>
      <c r="AI316" s="15"/>
      <c r="AJ316" s="28"/>
      <c r="AK316" s="13"/>
      <c r="AL316" s="15"/>
      <c r="AM316" s="15"/>
      <c r="AN316" s="28"/>
      <c r="AO316" s="13"/>
      <c r="AP316" s="15"/>
      <c r="AQ316" s="15"/>
      <c r="AR316" s="28"/>
      <c r="AS316" s="15"/>
      <c r="AT316" s="15"/>
      <c r="AU316" s="15"/>
      <c r="AV316" s="15"/>
      <c r="AW316" s="13"/>
      <c r="AX316" s="15"/>
      <c r="AY316" s="15"/>
      <c r="AZ316" s="28"/>
      <c r="BA316" s="15"/>
      <c r="BB316" s="15"/>
      <c r="BC316" s="15"/>
      <c r="BD316" s="15"/>
      <c r="BE316" s="14"/>
      <c r="BF316" s="41">
        <f t="shared" ref="BF316:BG316" si="970">K316+O316+S316+W316+AA316+AE316+AI316+AM316+AQ316+AU316+AY316+BC316</f>
        <v>5880</v>
      </c>
      <c r="BG316" s="34">
        <f t="shared" si="970"/>
        <v>0</v>
      </c>
      <c r="BH316" s="35">
        <f t="shared" si="963"/>
        <v>5880.002</v>
      </c>
    </row>
    <row r="317" ht="14.25" customHeight="1" spans="1:60" x14ac:dyDescent="0.25">
      <c r="A317" s="29">
        <v>42</v>
      </c>
      <c r="B317" s="14"/>
      <c r="C317" s="73" t="s">
        <v>408</v>
      </c>
      <c r="D317" s="14" t="s">
        <v>51</v>
      </c>
      <c r="E317" s="2" t="s">
        <v>49</v>
      </c>
      <c r="F317" s="41">
        <v>1000</v>
      </c>
      <c r="G317" s="28"/>
      <c r="H317" s="34">
        <f>'2018'!BH317</f>
        <v>0</v>
      </c>
      <c r="I317" s="13"/>
      <c r="J317" s="15"/>
      <c r="K317" s="15"/>
      <c r="L317" s="28"/>
      <c r="Q317" s="13"/>
      <c r="R317" s="15"/>
      <c r="S317" s="15"/>
      <c r="T317" s="28"/>
      <c r="Y317" s="13"/>
      <c r="Z317" s="15"/>
      <c r="AA317" s="15"/>
      <c r="AB317" s="28"/>
      <c r="AE317" s="34">
        <f>$F$21</f>
        <v>1000</v>
      </c>
      <c r="AG317" s="13"/>
      <c r="AH317" s="15"/>
      <c r="AI317" s="15"/>
      <c r="AJ317" s="28"/>
      <c r="AK317" s="13"/>
      <c r="AL317" s="15"/>
      <c r="AM317" s="15"/>
      <c r="AN317" s="28"/>
      <c r="AO317" s="13"/>
      <c r="AP317" s="15"/>
      <c r="AQ317" s="15"/>
      <c r="AR317" s="28"/>
      <c r="AS317" s="15"/>
      <c r="AT317" s="15"/>
      <c r="AU317" s="15"/>
      <c r="AV317" s="15"/>
      <c r="AW317" s="13"/>
      <c r="AX317" s="15"/>
      <c r="AY317" s="15"/>
      <c r="AZ317" s="28"/>
      <c r="BA317" s="15"/>
      <c r="BB317" s="15"/>
      <c r="BC317" s="15"/>
      <c r="BD317" s="15"/>
      <c r="BE317" s="14"/>
      <c r="BF317" s="41">
        <f t="shared" ref="BF317:BG317" si="971">K317+O317+S317+W317+AA317+AE317+AI317+AM317+AQ317+AU317+AY317+BC317</f>
        <v>1000</v>
      </c>
      <c r="BG317" s="34">
        <f t="shared" si="971"/>
        <v>0</v>
      </c>
      <c r="BH317" s="35">
        <f t="shared" si="963"/>
        <v>1000</v>
      </c>
    </row>
    <row r="318" ht="14.25" customHeight="1" spans="1:60" x14ac:dyDescent="0.25">
      <c r="A318" s="29">
        <v>42</v>
      </c>
      <c r="B318" s="14"/>
      <c r="C318" s="15" t="s">
        <v>409</v>
      </c>
      <c r="D318" s="14" t="s">
        <v>52</v>
      </c>
      <c r="E318" s="2" t="s">
        <v>39</v>
      </c>
      <c r="F318" s="41">
        <v>500</v>
      </c>
      <c r="G318" s="28"/>
      <c r="H318" s="34">
        <f>'2018'!BH318</f>
        <v>0</v>
      </c>
      <c r="I318" s="13"/>
      <c r="J318" s="15"/>
      <c r="K318" s="15"/>
      <c r="L318" s="28"/>
      <c r="Q318" s="13"/>
      <c r="R318" s="15"/>
      <c r="S318" s="15"/>
      <c r="T318" s="28"/>
      <c r="Y318" s="13"/>
      <c r="Z318" s="15"/>
      <c r="AA318" s="34">
        <f>$F$14</f>
        <v>500</v>
      </c>
      <c r="AB318" s="28"/>
      <c r="AG318" s="13"/>
      <c r="AH318" s="15"/>
      <c r="AI318" s="15"/>
      <c r="AJ318" s="28"/>
      <c r="AK318" s="13"/>
      <c r="AL318" s="15"/>
      <c r="AM318" s="15"/>
      <c r="AN318" s="28"/>
      <c r="AO318" s="13"/>
      <c r="AP318" s="15"/>
      <c r="AQ318" s="15"/>
      <c r="AR318" s="35"/>
      <c r="AS318" s="15"/>
      <c r="AT318" s="15"/>
      <c r="AU318" s="15"/>
      <c r="AV318" s="15"/>
      <c r="AW318" s="13"/>
      <c r="AX318" s="15"/>
      <c r="AY318" s="15"/>
      <c r="AZ318" s="28"/>
      <c r="BA318" s="15"/>
      <c r="BB318" s="15"/>
      <c r="BC318" s="15"/>
      <c r="BD318" s="15"/>
      <c r="BE318" s="14"/>
      <c r="BF318" s="41">
        <f t="shared" ref="BF318:BG318" si="972">K318+O318+S318+W318+AA318+AE318+AI318+AM318+AQ318+AU318+AY318+BC318</f>
        <v>500</v>
      </c>
      <c r="BG318" s="34">
        <f t="shared" si="972"/>
        <v>0</v>
      </c>
      <c r="BH318" s="35">
        <f t="shared" si="963"/>
        <v>500</v>
      </c>
    </row>
    <row r="319" ht="14.25" customHeight="1" spans="1:62" x14ac:dyDescent="0.25">
      <c r="A319" s="50">
        <v>42</v>
      </c>
      <c r="B319" s="21"/>
      <c r="C319" s="22" t="s">
        <v>53</v>
      </c>
      <c r="D319" s="21"/>
      <c r="E319" s="22"/>
      <c r="F319" s="20"/>
      <c r="G319" s="23"/>
      <c r="H319" s="51">
        <f>SUM(H312:H318)</f>
        <v>0.002000000001</v>
      </c>
      <c r="I319" s="52"/>
      <c r="J319" s="53"/>
      <c r="K319" s="51">
        <f t="shared" ref="K319:L319" si="973">SUM(K312:K318)</f>
        <v>0</v>
      </c>
      <c r="L319" s="68">
        <f t="shared" si="973"/>
        <v>0</v>
      </c>
      <c r="M319" s="53"/>
      <c r="N319" s="53"/>
      <c r="O319" s="51">
        <f t="shared" ref="O319:P319" si="974">SUM(O313:O318)</f>
        <v>0</v>
      </c>
      <c r="P319" s="51">
        <f t="shared" si="974"/>
        <v>0</v>
      </c>
      <c r="Q319" s="52"/>
      <c r="R319" s="53"/>
      <c r="S319" s="51">
        <f t="shared" ref="S319:T319" si="975">SUM(S313:S318)</f>
        <v>0</v>
      </c>
      <c r="T319" s="68">
        <f t="shared" si="975"/>
        <v>0</v>
      </c>
      <c r="U319" s="53"/>
      <c r="V319" s="53"/>
      <c r="W319" s="51">
        <f t="shared" ref="W319:X319" si="976">SUM(W313:W318)</f>
        <v>0</v>
      </c>
      <c r="X319" s="51">
        <f t="shared" si="976"/>
        <v>0</v>
      </c>
      <c r="Y319" s="52"/>
      <c r="Z319" s="53"/>
      <c r="AA319" s="51">
        <f t="shared" ref="AA319:AB319" si="977">SUM(AA313:AA318)</f>
        <v>500</v>
      </c>
      <c r="AB319" s="68">
        <f t="shared" si="977"/>
        <v>0</v>
      </c>
      <c r="AC319" s="53"/>
      <c r="AD319" s="53"/>
      <c r="AE319" s="51">
        <f t="shared" ref="AE319:AF319" si="978">SUM(AE313:AE318)</f>
        <v>6880</v>
      </c>
      <c r="AF319" s="51">
        <f t="shared" si="978"/>
        <v>0</v>
      </c>
      <c r="AG319" s="52"/>
      <c r="AH319" s="53"/>
      <c r="AI319" s="51">
        <f t="shared" ref="AI319:AJ319" si="979">SUM(AI313:AI318)</f>
        <v>0</v>
      </c>
      <c r="AJ319" s="68">
        <f t="shared" si="979"/>
        <v>0</v>
      </c>
      <c r="AK319" s="52"/>
      <c r="AL319" s="53"/>
      <c r="AM319" s="51">
        <f t="shared" ref="AM319:AN319" si="980">SUM(AM313:AM318)</f>
        <v>0</v>
      </c>
      <c r="AN319" s="68">
        <f t="shared" si="980"/>
        <v>0</v>
      </c>
      <c r="AO319" s="52"/>
      <c r="AP319" s="53"/>
      <c r="AQ319" s="51">
        <f t="shared" ref="AQ319:AR319" si="981">SUM(AQ312:AQ318)</f>
        <v>150.56</v>
      </c>
      <c r="AR319" s="68">
        <f t="shared" si="981"/>
        <v>0</v>
      </c>
      <c r="AS319" s="53"/>
      <c r="AT319" s="53"/>
      <c r="AU319" s="51">
        <f t="shared" ref="AU319:AV319" si="982">SUM(AU312:AU318)</f>
        <v>21.33</v>
      </c>
      <c r="AV319" s="68">
        <f t="shared" si="982"/>
        <v>0</v>
      </c>
      <c r="AW319" s="52"/>
      <c r="AX319" s="53"/>
      <c r="AY319" s="51">
        <f t="shared" ref="AY319:AZ319" si="983">SUM(AY312:AY318)</f>
        <v>20.64</v>
      </c>
      <c r="AZ319" s="68">
        <f t="shared" si="983"/>
        <v>0</v>
      </c>
      <c r="BA319" s="53"/>
      <c r="BB319" s="53"/>
      <c r="BC319" s="51">
        <f t="shared" ref="BC319:BD319" si="984">SUM(BC312:BC318)</f>
        <v>21.33</v>
      </c>
      <c r="BD319" s="68">
        <f t="shared" si="984"/>
        <v>0</v>
      </c>
      <c r="BE319" s="69"/>
      <c r="BF319" s="70">
        <f t="shared" ref="BF319:BH319" si="985">SUM(BF312:BF318)</f>
        <v>7593.86</v>
      </c>
      <c r="BG319" s="71">
        <f t="shared" si="985"/>
        <v>0</v>
      </c>
      <c r="BH319" s="72">
        <f t="shared" si="985"/>
        <v>7593.862</v>
      </c>
      <c r="BI319" s="34">
        <f>H319+BF319-BG319</f>
        <v>7593.862</v>
      </c>
      <c r="BJ319" s="34">
        <f>BH319-BI319</f>
        <v>0</v>
      </c>
    </row>
    <row r="320" ht="14.25" customHeight="1" spans="1:60" x14ac:dyDescent="0.25">
      <c r="A320" s="29">
        <v>43</v>
      </c>
      <c r="B320" s="14"/>
      <c r="D320" s="14" t="s">
        <v>379</v>
      </c>
      <c r="F320" s="13"/>
      <c r="G320" s="28"/>
      <c r="H320" s="34">
        <f>'2018'!BH320</f>
      </c>
      <c r="I320" s="13"/>
      <c r="J320" s="15"/>
      <c r="K320" s="15"/>
      <c r="L320" s="28"/>
      <c r="Q320" s="13"/>
      <c r="R320" s="15"/>
      <c r="S320" s="15"/>
      <c r="T320" s="28"/>
      <c r="Y320" s="13"/>
      <c r="Z320" s="15"/>
      <c r="AA320" s="15"/>
      <c r="AB320" s="28"/>
      <c r="AG320" s="13"/>
      <c r="AH320" s="15"/>
      <c r="AI320" s="15"/>
      <c r="AJ320" s="28"/>
      <c r="AK320" s="13"/>
      <c r="AL320" s="15"/>
      <c r="AM320" s="15"/>
      <c r="AN320" s="28"/>
      <c r="AO320" s="13"/>
      <c r="AP320" s="15"/>
      <c r="AQ320" s="15"/>
      <c r="AR320" s="28"/>
      <c r="AW320" s="13"/>
      <c r="AX320" s="15"/>
      <c r="AY320" s="15"/>
      <c r="AZ320" s="28"/>
      <c r="BE320" s="14"/>
      <c r="BF320" s="41">
        <f t="shared" ref="BF320:BG320" si="986">K320+O320+S320+W320+AA320+AE320+AI320+AM320+AQ320+AU320+AY320+BC320</f>
        <v>0</v>
      </c>
      <c r="BG320" s="34">
        <f t="shared" si="986"/>
        <v>0</v>
      </c>
      <c r="BH320" s="35">
        <f t="shared" ref="BH320:BH326" si="987">H320+BF320-BG320</f>
        <v>0</v>
      </c>
    </row>
    <row r="321" ht="15.75" customHeight="1" spans="1:60" x14ac:dyDescent="0.25">
      <c r="A321" s="2">
        <v>43</v>
      </c>
      <c r="B321" s="14">
        <v>4.96</v>
      </c>
      <c r="C321" s="2" t="s">
        <v>185</v>
      </c>
      <c r="D321" s="14" t="s">
        <v>44</v>
      </c>
      <c r="E321" s="2" t="s">
        <v>45</v>
      </c>
      <c r="F321" s="13">
        <v>2.49</v>
      </c>
      <c r="G321" s="35">
        <v>2.5</v>
      </c>
      <c r="H321" s="34">
        <f>'2018'!BH321</f>
        <v>-142.73</v>
      </c>
      <c r="I321" s="13">
        <v>358</v>
      </c>
      <c r="J321" s="15">
        <f>I321-'2018'!BA321</f>
        <v>0</v>
      </c>
      <c r="K321" s="34">
        <f>J321*$F$8</f>
        <v>0</v>
      </c>
      <c r="L321" s="28"/>
      <c r="M321" s="15">
        <v>358</v>
      </c>
      <c r="N321" s="15">
        <f>M321-I321</f>
        <v>0</v>
      </c>
      <c r="O321" s="34">
        <f>N321*$F$8</f>
        <v>0</v>
      </c>
      <c r="Q321" s="13">
        <v>358</v>
      </c>
      <c r="R321" s="15">
        <f>Q321-M321</f>
        <v>0</v>
      </c>
      <c r="S321" s="34">
        <f>R321*$F$8</f>
        <v>0</v>
      </c>
      <c r="T321" s="28"/>
      <c r="U321" s="15">
        <v>360</v>
      </c>
      <c r="V321" s="15">
        <f>U321-Q321</f>
        <v>2</v>
      </c>
      <c r="W321" s="34">
        <f>V321*$F$8</f>
        <v>4.98</v>
      </c>
      <c r="X321" s="39">
        <v>600</v>
      </c>
      <c r="Y321" s="75">
        <v>372</v>
      </c>
      <c r="Z321" s="15">
        <f>Y321-U321</f>
        <v>12</v>
      </c>
      <c r="AA321" s="34">
        <f>Z321*$F$8</f>
        <v>29.88</v>
      </c>
      <c r="AB321" s="28"/>
      <c r="AC321" s="15">
        <v>413</v>
      </c>
      <c r="AD321" s="15">
        <f t="shared" ref="AD321:AD322" si="988">AC321-Y321</f>
        <v>41</v>
      </c>
      <c r="AE321" s="34">
        <f>AD321*$G$8</f>
        <v>102.5</v>
      </c>
      <c r="AG321" s="13">
        <v>514</v>
      </c>
      <c r="AH321" s="15">
        <f t="shared" ref="AH321:AH322" si="989">AG321-AC321</f>
        <v>101</v>
      </c>
      <c r="AI321" s="34">
        <f>AH321*$G$8</f>
        <v>252.5</v>
      </c>
      <c r="AJ321" s="28"/>
      <c r="AK321" s="13">
        <v>644</v>
      </c>
      <c r="AL321" s="15">
        <f t="shared" ref="AL321:AL322" si="990">AK321-AG321</f>
        <v>130</v>
      </c>
      <c r="AM321" s="34">
        <f>AL321*$G$8</f>
        <v>325</v>
      </c>
      <c r="AN321" s="28"/>
      <c r="AO321" s="13">
        <v>759</v>
      </c>
      <c r="AP321" s="15">
        <f t="shared" ref="AP321:AP322" si="991">AO321-AK321</f>
        <v>115</v>
      </c>
      <c r="AQ321" s="34">
        <f>AP321*$G$8</f>
        <v>287.5</v>
      </c>
      <c r="AR321" s="28"/>
      <c r="AS321" s="15">
        <v>848</v>
      </c>
      <c r="AT321" s="15">
        <f t="shared" ref="AT321:AT322" si="992">AS321-AO321</f>
        <v>89</v>
      </c>
      <c r="AU321" s="34">
        <f t="shared" ref="AU321:AU322" si="993">AT321*$G$8</f>
        <v>222.5</v>
      </c>
      <c r="AV321" s="15"/>
      <c r="AW321" s="13">
        <v>924</v>
      </c>
      <c r="AX321" s="15">
        <f>AW321-AS321</f>
        <v>76</v>
      </c>
      <c r="AY321" s="34">
        <f>AX321*$G$8</f>
        <v>190</v>
      </c>
      <c r="AZ321" s="28"/>
      <c r="BA321" s="13">
        <v>924</v>
      </c>
      <c r="BB321" s="15">
        <f>BA321-AW321</f>
        <v>0</v>
      </c>
      <c r="BC321" s="34">
        <f>BB321*$G$8</f>
        <v>0</v>
      </c>
      <c r="BD321" s="39">
        <v>1000</v>
      </c>
      <c r="BE321" s="40">
        <f t="shared" ref="BE321:BG321" si="994">J321+N321+R321+V321+Z321+AD321+AH321+AL321+AP321+AT321+AX321+BB321</f>
        <v>566</v>
      </c>
      <c r="BF321" s="41">
        <f t="shared" si="994"/>
        <v>1414.86</v>
      </c>
      <c r="BG321" s="34">
        <f t="shared" si="994"/>
        <v>1600</v>
      </c>
      <c r="BH321" s="35">
        <f t="shared" si="987"/>
        <v>-327.87</v>
      </c>
    </row>
    <row r="322" ht="14.25" customHeight="1" spans="1:60" x14ac:dyDescent="0.25">
      <c r="A322" s="29">
        <v>43</v>
      </c>
      <c r="B322" s="14"/>
      <c r="C322" s="2" t="s">
        <v>186</v>
      </c>
      <c r="D322" s="14" t="s">
        <v>47</v>
      </c>
      <c r="E322" s="2" t="s">
        <v>48</v>
      </c>
      <c r="F322" s="13">
        <v>17.98</v>
      </c>
      <c r="G322" s="28">
        <v>18.56</v>
      </c>
      <c r="H322" s="34">
        <f>'2018'!BH322</f>
        <v>0</v>
      </c>
      <c r="I322" s="13">
        <v>37</v>
      </c>
      <c r="J322" s="15"/>
      <c r="K322" s="15"/>
      <c r="L322" s="28"/>
      <c r="Q322" s="13"/>
      <c r="R322" s="15"/>
      <c r="S322" s="15"/>
      <c r="T322" s="28"/>
      <c r="Y322" s="13">
        <v>37</v>
      </c>
      <c r="Z322" s="15">
        <f>Y322-'2018'!AO322</f>
        <v>0</v>
      </c>
      <c r="AA322" s="34">
        <f>Z322*$F$10</f>
        <v>0</v>
      </c>
      <c r="AB322" s="28"/>
      <c r="AC322" s="15">
        <v>46</v>
      </c>
      <c r="AD322" s="15">
        <f t="shared" si="988"/>
        <v>9</v>
      </c>
      <c r="AE322" s="34">
        <f>AD322*$F$10</f>
        <v>161.82</v>
      </c>
      <c r="AG322" s="13">
        <v>57</v>
      </c>
      <c r="AH322" s="15">
        <f t="shared" si="989"/>
        <v>11</v>
      </c>
      <c r="AI322" s="45">
        <f>AH322*$G$10</f>
        <v>204.16</v>
      </c>
      <c r="AJ322" s="134">
        <v>366</v>
      </c>
      <c r="AK322" s="13">
        <v>65</v>
      </c>
      <c r="AL322" s="15">
        <f t="shared" si="990"/>
        <v>8</v>
      </c>
      <c r="AM322" s="45">
        <f>AL322*$G$10</f>
        <v>148.48</v>
      </c>
      <c r="AN322" s="28"/>
      <c r="AO322" s="13">
        <v>68</v>
      </c>
      <c r="AP322" s="15">
        <f t="shared" si="991"/>
        <v>3</v>
      </c>
      <c r="AQ322" s="45">
        <f>AP322*$G$10</f>
        <v>55.68</v>
      </c>
      <c r="AR322" s="28"/>
      <c r="AS322" s="13">
        <v>68</v>
      </c>
      <c r="AT322" s="15">
        <f t="shared" si="992"/>
        <v>0</v>
      </c>
      <c r="AU322" s="34">
        <f t="shared" si="993"/>
        <v>0</v>
      </c>
      <c r="AV322" s="15"/>
      <c r="AW322" s="13">
        <v>68</v>
      </c>
      <c r="AX322" s="15"/>
      <c r="AY322" s="15"/>
      <c r="AZ322" s="28"/>
      <c r="BA322" s="15">
        <v>68</v>
      </c>
      <c r="BB322" s="15"/>
      <c r="BC322" s="15"/>
      <c r="BD322" s="15"/>
      <c r="BE322" s="40">
        <f t="shared" ref="BE322:BG322" si="995">J322+N322+R322+V322+Z322+AD322+AH322+AL322+AP322+AT322+AX322+BB322</f>
        <v>31</v>
      </c>
      <c r="BF322" s="41">
        <f t="shared" si="995"/>
        <v>570.14</v>
      </c>
      <c r="BG322" s="34">
        <f t="shared" si="995"/>
        <v>366</v>
      </c>
      <c r="BH322" s="35">
        <f t="shared" si="987"/>
        <v>204.14</v>
      </c>
    </row>
    <row r="323" ht="14.25" customHeight="1" spans="1:60" x14ac:dyDescent="0.25">
      <c r="A323" s="29">
        <v>43</v>
      </c>
      <c r="B323" s="14"/>
      <c r="C323" s="2" t="s">
        <v>187</v>
      </c>
      <c r="D323" s="14" t="s">
        <v>47</v>
      </c>
      <c r="E323" s="2" t="s">
        <v>49</v>
      </c>
      <c r="F323" s="41">
        <v>500</v>
      </c>
      <c r="G323" s="28"/>
      <c r="H323" s="34">
        <f>'2018'!BH323</f>
        <v>0</v>
      </c>
      <c r="I323" s="13"/>
      <c r="J323" s="15"/>
      <c r="K323" s="15"/>
      <c r="L323" s="28"/>
      <c r="Q323" s="13"/>
      <c r="R323" s="15"/>
      <c r="S323" s="15"/>
      <c r="T323" s="28"/>
      <c r="Y323" s="13"/>
      <c r="Z323" s="15"/>
      <c r="AA323" s="15"/>
      <c r="AB323" s="28"/>
      <c r="AD323" s="15"/>
      <c r="AG323" s="13"/>
      <c r="AH323" s="15"/>
      <c r="AI323" s="15"/>
      <c r="AJ323" s="35"/>
      <c r="AK323" s="13"/>
      <c r="AL323" s="15"/>
      <c r="AM323" s="34"/>
      <c r="AN323" s="28"/>
      <c r="AO323" s="13"/>
      <c r="AP323" s="15"/>
      <c r="AQ323" s="34"/>
      <c r="AR323" s="28"/>
      <c r="AS323" s="15"/>
      <c r="AT323" s="15"/>
      <c r="AU323" s="15"/>
      <c r="AV323" s="15"/>
      <c r="AW323" s="13"/>
      <c r="AX323" s="15"/>
      <c r="AY323" s="15"/>
      <c r="AZ323" s="28"/>
      <c r="BA323" s="15"/>
      <c r="BB323" s="15"/>
      <c r="BC323" s="15"/>
      <c r="BD323" s="15"/>
      <c r="BE323" s="14"/>
      <c r="BF323" s="41">
        <f t="shared" ref="BF323:BG323" si="996">K323+O323+S323+W323+AA323+AE323+AI323+AM323+AQ323+AU323+AY323+BC323</f>
        <v>0</v>
      </c>
      <c r="BG323" s="34">
        <f t="shared" si="996"/>
        <v>0</v>
      </c>
      <c r="BH323" s="35">
        <f t="shared" si="987"/>
        <v>0</v>
      </c>
    </row>
    <row r="324" ht="14.25" customHeight="1" spans="1:60" x14ac:dyDescent="0.25">
      <c r="A324" s="29">
        <v>43</v>
      </c>
      <c r="B324" s="14"/>
      <c r="C324" s="2" t="s">
        <v>410</v>
      </c>
      <c r="D324" s="14" t="s">
        <v>50</v>
      </c>
      <c r="E324" s="2" t="s">
        <v>49</v>
      </c>
      <c r="F324" s="41">
        <v>1200</v>
      </c>
      <c r="G324" s="28"/>
      <c r="H324" s="34">
        <f>'2018'!BH324</f>
        <v>0.004800000001</v>
      </c>
      <c r="M324" s="13"/>
      <c r="Q324" s="13"/>
      <c r="R324" s="15"/>
      <c r="S324" s="15"/>
      <c r="T324" s="28"/>
      <c r="Y324" s="13"/>
      <c r="Z324" s="15"/>
      <c r="AA324" s="15"/>
      <c r="AB324" s="28"/>
      <c r="AE324" s="34">
        <f>B321*$F$12</f>
        <v>5952</v>
      </c>
      <c r="AF324" s="15"/>
      <c r="AG324" s="13"/>
      <c r="AH324" s="15"/>
      <c r="AI324" s="15"/>
      <c r="AJ324" s="38">
        <v>6000</v>
      </c>
      <c r="AK324" s="13"/>
      <c r="AL324" s="15"/>
      <c r="AM324" s="15"/>
      <c r="AN324" s="35"/>
      <c r="AO324" s="13"/>
      <c r="AP324" s="15"/>
      <c r="AQ324" s="15"/>
      <c r="AR324" s="28"/>
      <c r="AS324" s="15"/>
      <c r="AT324" s="15"/>
      <c r="AU324" s="15"/>
      <c r="AV324" s="15"/>
      <c r="AW324" s="13"/>
      <c r="AX324" s="15"/>
      <c r="AY324" s="15"/>
      <c r="AZ324" s="28"/>
      <c r="BA324" s="15"/>
      <c r="BB324" s="15"/>
      <c r="BC324" s="15"/>
      <c r="BD324" s="15"/>
      <c r="BE324" s="14"/>
      <c r="BF324" s="41">
        <f t="shared" ref="BF324:BG324" si="997">K324+O324+S324+W324+AA324+AE324+AI324+AM324+AQ324+AU324+AY324+BC324</f>
        <v>5952</v>
      </c>
      <c r="BG324" s="34">
        <f t="shared" si="997"/>
        <v>6000</v>
      </c>
      <c r="BH324" s="35">
        <f t="shared" si="987"/>
        <v>-47.9952</v>
      </c>
    </row>
    <row r="325" ht="14.25" customHeight="1" spans="1:60" x14ac:dyDescent="0.25">
      <c r="A325" s="29">
        <v>43</v>
      </c>
      <c r="B325" s="14"/>
      <c r="D325" s="14" t="s">
        <v>51</v>
      </c>
      <c r="E325" s="2" t="s">
        <v>49</v>
      </c>
      <c r="F325" s="41">
        <v>1000</v>
      </c>
      <c r="G325" s="28"/>
      <c r="H325" s="34">
        <f>'2018'!BH325</f>
        <v>0</v>
      </c>
      <c r="I325" s="13"/>
      <c r="J325" s="15"/>
      <c r="K325" s="15"/>
      <c r="L325" s="28"/>
      <c r="Q325" s="13"/>
      <c r="R325" s="15"/>
      <c r="S325" s="15"/>
      <c r="T325" s="28"/>
      <c r="Y325" s="13"/>
      <c r="Z325" s="15"/>
      <c r="AA325" s="15"/>
      <c r="AB325" s="28"/>
      <c r="AE325" s="34">
        <f>$F$21</f>
        <v>1000</v>
      </c>
      <c r="AG325" s="13"/>
      <c r="AH325" s="15"/>
      <c r="AI325" s="15"/>
      <c r="AJ325" s="134">
        <v>1000</v>
      </c>
      <c r="AK325" s="13"/>
      <c r="AL325" s="15"/>
      <c r="AM325" s="15"/>
      <c r="AN325" s="28"/>
      <c r="AO325" s="13"/>
      <c r="AP325" s="15"/>
      <c r="AQ325" s="15"/>
      <c r="AR325" s="28"/>
      <c r="AS325" s="15"/>
      <c r="AT325" s="15"/>
      <c r="AU325" s="15"/>
      <c r="AV325" s="15"/>
      <c r="AW325" s="13"/>
      <c r="AX325" s="15"/>
      <c r="AY325" s="15"/>
      <c r="AZ325" s="28"/>
      <c r="BA325" s="15"/>
      <c r="BB325" s="15"/>
      <c r="BC325" s="15"/>
      <c r="BD325" s="15"/>
      <c r="BE325" s="14"/>
      <c r="BF325" s="41">
        <f t="shared" ref="BF325:BG325" si="998">K325+O325+S325+W325+AA325+AE325+AI325+AM325+AQ325+AU325+AY325+BC325</f>
        <v>1000</v>
      </c>
      <c r="BG325" s="34">
        <f t="shared" si="998"/>
        <v>1000</v>
      </c>
      <c r="BH325" s="35">
        <f t="shared" si="987"/>
        <v>0</v>
      </c>
    </row>
    <row r="326" ht="14.25" customHeight="1" spans="1:60" x14ac:dyDescent="0.25">
      <c r="A326" s="29">
        <v>43</v>
      </c>
      <c r="B326" s="14"/>
      <c r="D326" s="14" t="s">
        <v>52</v>
      </c>
      <c r="E326" s="2" t="s">
        <v>39</v>
      </c>
      <c r="F326" s="41">
        <v>500</v>
      </c>
      <c r="G326" s="28"/>
      <c r="H326" s="34">
        <f>'2018'!BH326</f>
        <v>0</v>
      </c>
      <c r="I326" s="13"/>
      <c r="J326" s="15"/>
      <c r="K326" s="15"/>
      <c r="L326" s="28"/>
      <c r="Q326" s="13"/>
      <c r="R326" s="15"/>
      <c r="S326" s="15"/>
      <c r="T326" s="28"/>
      <c r="Y326" s="13"/>
      <c r="Z326" s="15"/>
      <c r="AA326" s="34">
        <f>$F$14</f>
        <v>500</v>
      </c>
      <c r="AB326" s="35"/>
      <c r="AG326" s="13"/>
      <c r="AH326" s="15"/>
      <c r="AI326" s="15"/>
      <c r="AJ326" s="134">
        <v>500</v>
      </c>
      <c r="AK326" s="13"/>
      <c r="AL326" s="15"/>
      <c r="AM326" s="15"/>
      <c r="AN326" s="28"/>
      <c r="AO326" s="13"/>
      <c r="AP326" s="15"/>
      <c r="AQ326" s="15"/>
      <c r="AR326" s="28"/>
      <c r="AS326" s="15"/>
      <c r="AT326" s="15"/>
      <c r="AU326" s="15"/>
      <c r="AV326" s="15"/>
      <c r="AW326" s="13"/>
      <c r="AX326" s="15"/>
      <c r="AY326" s="15"/>
      <c r="AZ326" s="28"/>
      <c r="BA326" s="15"/>
      <c r="BB326" s="15"/>
      <c r="BC326" s="15"/>
      <c r="BD326" s="15"/>
      <c r="BE326" s="14"/>
      <c r="BF326" s="41">
        <f t="shared" ref="BF326:BG326" si="999">K326+O326+S326+W326+AA326+AE326+AI326+AM326+AQ326+AU326+AY326+BC326</f>
        <v>500</v>
      </c>
      <c r="BG326" s="34">
        <f t="shared" si="999"/>
        <v>500</v>
      </c>
      <c r="BH326" s="35">
        <f t="shared" si="987"/>
        <v>0</v>
      </c>
    </row>
    <row r="327" ht="15.75" customHeight="1" spans="1:62" x14ac:dyDescent="0.25">
      <c r="A327" s="50">
        <v>43</v>
      </c>
      <c r="B327" s="21"/>
      <c r="C327" s="22" t="s">
        <v>53</v>
      </c>
      <c r="D327" s="21"/>
      <c r="E327" s="22"/>
      <c r="F327" s="20"/>
      <c r="G327" s="23"/>
      <c r="H327" s="51">
        <f>SUM(H320:H326)</f>
        <v>-142.7252</v>
      </c>
      <c r="I327" s="52"/>
      <c r="J327" s="53"/>
      <c r="K327" s="51">
        <f t="shared" ref="K327:L327" si="1000">SUM(K320:K326)</f>
        <v>0</v>
      </c>
      <c r="L327" s="68">
        <f t="shared" si="1000"/>
        <v>0</v>
      </c>
      <c r="M327" s="53"/>
      <c r="N327" s="53"/>
      <c r="O327" s="51">
        <f t="shared" ref="O327:P327" si="1001">SUM(O321:O326)</f>
        <v>0</v>
      </c>
      <c r="P327" s="51">
        <f t="shared" si="1001"/>
        <v>0</v>
      </c>
      <c r="Q327" s="52"/>
      <c r="R327" s="53"/>
      <c r="S327" s="51">
        <f t="shared" ref="S327:T327" si="1002">SUM(S321:S326)</f>
        <v>0</v>
      </c>
      <c r="T327" s="68">
        <f t="shared" si="1002"/>
        <v>0</v>
      </c>
      <c r="U327" s="53"/>
      <c r="V327" s="53"/>
      <c r="W327" s="51">
        <f t="shared" ref="W327:X327" si="1003">SUM(W321:W326)</f>
        <v>4.98</v>
      </c>
      <c r="X327" s="51">
        <f t="shared" si="1003"/>
        <v>600</v>
      </c>
      <c r="Y327" s="52"/>
      <c r="Z327" s="53"/>
      <c r="AA327" s="51">
        <f t="shared" ref="AA327:AB327" si="1004">SUM(AA321:AA326)</f>
        <v>529.88</v>
      </c>
      <c r="AB327" s="68">
        <f t="shared" si="1004"/>
        <v>0</v>
      </c>
      <c r="AC327" s="53"/>
      <c r="AD327" s="53"/>
      <c r="AE327" s="51">
        <f t="shared" ref="AE327:AF327" si="1005">SUM(AE321:AE326)</f>
        <v>7216.32</v>
      </c>
      <c r="AF327" s="51">
        <f t="shared" si="1005"/>
        <v>0</v>
      </c>
      <c r="AG327" s="52"/>
      <c r="AH327" s="53"/>
      <c r="AI327" s="51">
        <f t="shared" ref="AI327:AJ327" si="1006">SUM(AI321:AI326)</f>
        <v>456.66</v>
      </c>
      <c r="AJ327" s="68">
        <f t="shared" si="1006"/>
        <v>7866</v>
      </c>
      <c r="AK327" s="52"/>
      <c r="AL327" s="53"/>
      <c r="AM327" s="51">
        <f t="shared" ref="AM327:AN327" si="1007">SUM(AM321:AM326)</f>
        <v>473.48</v>
      </c>
      <c r="AN327" s="68">
        <f t="shared" si="1007"/>
        <v>0</v>
      </c>
      <c r="AO327" s="52"/>
      <c r="AP327" s="53"/>
      <c r="AQ327" s="51">
        <f t="shared" ref="AQ327:AR327" si="1008">SUM(AQ320:AQ326)</f>
        <v>343.18</v>
      </c>
      <c r="AR327" s="68">
        <f t="shared" si="1008"/>
        <v>0</v>
      </c>
      <c r="AS327" s="53"/>
      <c r="AT327" s="53"/>
      <c r="AU327" s="51">
        <f t="shared" ref="AU327:AV327" si="1009">SUM(AU320:AU326)</f>
        <v>222.5</v>
      </c>
      <c r="AV327" s="68">
        <f t="shared" si="1009"/>
        <v>0</v>
      </c>
      <c r="AW327" s="52"/>
      <c r="AX327" s="53"/>
      <c r="AY327" s="51">
        <f t="shared" ref="AY327:AZ327" si="1010">SUM(AY320:AY326)</f>
        <v>190</v>
      </c>
      <c r="AZ327" s="68">
        <f t="shared" si="1010"/>
        <v>0</v>
      </c>
      <c r="BA327" s="53"/>
      <c r="BB327" s="53"/>
      <c r="BC327" s="51">
        <f t="shared" ref="BC327:BD327" si="1011">SUM(BC320:BC326)</f>
        <v>0</v>
      </c>
      <c r="BD327" s="68">
        <f t="shared" si="1011"/>
        <v>1000</v>
      </c>
      <c r="BE327" s="69"/>
      <c r="BF327" s="70">
        <f t="shared" ref="BF327:BH327" si="1012">SUM(BF320:BF326)</f>
        <v>9437</v>
      </c>
      <c r="BG327" s="71">
        <f t="shared" si="1012"/>
        <v>9466</v>
      </c>
      <c r="BH327" s="72">
        <f t="shared" si="1012"/>
        <v>-171.7252</v>
      </c>
      <c r="BI327" s="34">
        <f>H327+BF327-BG327</f>
        <v>-171.7252</v>
      </c>
      <c r="BJ327" s="34">
        <f>BH327-BI327</f>
        <v>0</v>
      </c>
    </row>
    <row r="328" ht="14.25" customHeight="1" spans="1:60" x14ac:dyDescent="0.25">
      <c r="A328" s="29">
        <v>44</v>
      </c>
      <c r="B328" s="14"/>
      <c r="D328" s="14" t="s">
        <v>411</v>
      </c>
      <c r="E328" s="2" t="s">
        <v>39</v>
      </c>
      <c r="F328" s="41"/>
      <c r="G328" s="28"/>
      <c r="H328" s="34">
        <f>'2018'!BH328</f>
        <v>5000</v>
      </c>
      <c r="I328" s="13"/>
      <c r="J328" s="15"/>
      <c r="K328" s="34"/>
      <c r="L328" s="28"/>
      <c r="Q328" s="13"/>
      <c r="R328" s="15"/>
      <c r="S328" s="15"/>
      <c r="T328" s="28"/>
      <c r="X328" s="133">
        <v>5000</v>
      </c>
      <c r="Y328" s="13"/>
      <c r="Z328" s="15"/>
      <c r="AA328" s="15"/>
      <c r="AB328" s="28"/>
      <c r="AG328" s="13"/>
      <c r="AH328" s="15"/>
      <c r="AI328" s="15"/>
      <c r="AJ328" s="28"/>
      <c r="AK328" s="13"/>
      <c r="AL328" s="15"/>
      <c r="AM328" s="15"/>
      <c r="AN328" s="28"/>
      <c r="AO328" s="13"/>
      <c r="AP328" s="15"/>
      <c r="AQ328" s="15">
        <v>8.72</v>
      </c>
      <c r="AR328" s="28"/>
      <c r="AW328" s="13"/>
      <c r="AX328" s="15"/>
      <c r="AY328" s="15"/>
      <c r="AZ328" s="28"/>
      <c r="BE328" s="14"/>
      <c r="BF328" s="41">
        <f t="shared" ref="BF328:BG328" si="1013">K328+O328+S328+W328+AA328+AE328+AI328+AM328+AQ328+AU328+AY328+BC328</f>
        <v>8.72</v>
      </c>
      <c r="BG328" s="34">
        <f t="shared" si="1013"/>
        <v>5000</v>
      </c>
      <c r="BH328" s="35">
        <f t="shared" ref="BH328:BH334" si="1014">H328+BF328-BG328</f>
        <v>8.72</v>
      </c>
    </row>
    <row r="329" ht="14.25" customHeight="1" spans="1:60" x14ac:dyDescent="0.25">
      <c r="A329" s="2">
        <v>44</v>
      </c>
      <c r="B329" s="14">
        <v>4.01</v>
      </c>
      <c r="C329" s="15" t="s">
        <v>412</v>
      </c>
      <c r="D329" s="14" t="s">
        <v>44</v>
      </c>
      <c r="E329" s="2" t="s">
        <v>45</v>
      </c>
      <c r="F329" s="13">
        <v>2.49</v>
      </c>
      <c r="G329" s="35">
        <v>2.5</v>
      </c>
      <c r="H329" s="104">
        <f>'2018'!BH329</f>
        <v>0</v>
      </c>
      <c r="I329" s="13"/>
      <c r="J329" s="15"/>
      <c r="K329" s="34">
        <f>J329*$F$8</f>
        <v>0</v>
      </c>
      <c r="L329" s="28"/>
      <c r="N329" s="15">
        <f>M329-I329</f>
        <v>0</v>
      </c>
      <c r="O329" s="34">
        <f>N329*$F$8</f>
        <v>0</v>
      </c>
      <c r="Q329" s="13"/>
      <c r="R329" s="15">
        <f>Q329-M329</f>
        <v>0</v>
      </c>
      <c r="S329" s="34">
        <f>R329*$F$8</f>
        <v>0</v>
      </c>
      <c r="T329" s="28"/>
      <c r="V329" s="15">
        <f>U329-Q329</f>
        <v>0</v>
      </c>
      <c r="Y329" s="13"/>
      <c r="Z329" s="15">
        <f>Y329-U329</f>
        <v>0</v>
      </c>
      <c r="AA329" s="34">
        <f>Z329*$F$8</f>
        <v>0</v>
      </c>
      <c r="AB329" s="28"/>
      <c r="AC329" s="15"/>
      <c r="AD329" s="15">
        <f t="shared" ref="AD329:AD330" si="1015">AC329-Y329</f>
        <v>0</v>
      </c>
      <c r="AE329" s="34">
        <f>AD329*$G$8</f>
        <v>0</v>
      </c>
      <c r="AG329" s="13"/>
      <c r="AH329" s="15">
        <f t="shared" ref="AH329:AH330" si="1016">AG329-AC329</f>
        <v>0</v>
      </c>
      <c r="AI329" s="34">
        <f>AH329*$G$8</f>
        <v>0</v>
      </c>
      <c r="AJ329" s="28"/>
      <c r="AK329" s="13">
        <v>5</v>
      </c>
      <c r="AL329" s="15">
        <f t="shared" ref="AL329:AL330" si="1017">AK329-AG329</f>
        <v>5</v>
      </c>
      <c r="AM329" s="34">
        <f>AL329*$G$8</f>
        <v>12.5</v>
      </c>
      <c r="AN329" s="28"/>
      <c r="AO329" s="13">
        <v>6</v>
      </c>
      <c r="AP329" s="15">
        <f t="shared" ref="AP329:AP330" si="1018">AO329-AK329</f>
        <v>1</v>
      </c>
      <c r="AQ329" s="34">
        <f>AP329*$G$8</f>
        <v>2.5</v>
      </c>
      <c r="AR329" s="28"/>
      <c r="AS329" s="15">
        <v>8</v>
      </c>
      <c r="AT329" s="15">
        <f t="shared" ref="AT329:AT330" si="1019">AS329-AO329</f>
        <v>2</v>
      </c>
      <c r="AU329" s="34">
        <f>AT329*$G$8</f>
        <v>5</v>
      </c>
      <c r="AV329" s="15"/>
      <c r="AW329" s="13">
        <v>10</v>
      </c>
      <c r="AX329" s="15">
        <f>AW329-AS329</f>
        <v>2</v>
      </c>
      <c r="AY329" s="34">
        <f>AX329*$G$8</f>
        <v>5</v>
      </c>
      <c r="AZ329" s="28"/>
      <c r="BA329" s="15">
        <v>10</v>
      </c>
      <c r="BB329" s="15">
        <f>BA329-AW329</f>
        <v>0</v>
      </c>
      <c r="BC329" s="34">
        <f>BB329*$G$8</f>
        <v>0</v>
      </c>
      <c r="BD329" s="15"/>
      <c r="BE329" s="40">
        <f t="shared" ref="BE329:BG329" si="1020">J329+N329+R329+V329+Z329+AD329+AH329+AL329+AP329+AT329+AX329+BB329</f>
        <v>10</v>
      </c>
      <c r="BF329" s="41">
        <f t="shared" si="1020"/>
        <v>25</v>
      </c>
      <c r="BG329" s="34">
        <f t="shared" si="1020"/>
        <v>0</v>
      </c>
      <c r="BH329" s="35">
        <f t="shared" si="1014"/>
        <v>25</v>
      </c>
    </row>
    <row r="330" ht="14.25" customHeight="1" spans="1:60" x14ac:dyDescent="0.25">
      <c r="A330" s="29">
        <v>44</v>
      </c>
      <c r="B330" s="14"/>
      <c r="C330" s="15" t="s">
        <v>170</v>
      </c>
      <c r="D330" s="14" t="s">
        <v>47</v>
      </c>
      <c r="E330" s="2" t="s">
        <v>48</v>
      </c>
      <c r="F330" s="13">
        <v>17.98</v>
      </c>
      <c r="G330" s="28">
        <v>18.56</v>
      </c>
      <c r="H330" s="34">
        <f>'2018'!BH330</f>
        <v>-17.16</v>
      </c>
      <c r="I330" s="13">
        <v>47</v>
      </c>
      <c r="J330" s="15"/>
      <c r="K330" s="15"/>
      <c r="L330" s="28"/>
      <c r="Q330" s="13"/>
      <c r="R330" s="15"/>
      <c r="S330" s="15"/>
      <c r="T330" s="28"/>
      <c r="X330" s="138">
        <v>-17.16</v>
      </c>
      <c r="Y330" s="13">
        <v>53</v>
      </c>
      <c r="Z330" s="15">
        <f>Y330-'2018'!AO330</f>
        <v>6</v>
      </c>
      <c r="AA330" s="34">
        <f>Z330*$F$10</f>
        <v>107.88</v>
      </c>
      <c r="AB330" s="28"/>
      <c r="AC330" s="15">
        <v>53</v>
      </c>
      <c r="AD330" s="15">
        <f t="shared" si="1015"/>
        <v>0</v>
      </c>
      <c r="AE330" s="34">
        <f>AD330*$F$10</f>
        <v>0</v>
      </c>
      <c r="AG330" s="13">
        <v>53</v>
      </c>
      <c r="AH330" s="15">
        <f t="shared" si="1016"/>
        <v>0</v>
      </c>
      <c r="AI330" s="45">
        <f>AH330*$G$10</f>
        <v>0</v>
      </c>
      <c r="AJ330" s="28"/>
      <c r="AK330" s="15">
        <v>53</v>
      </c>
      <c r="AL330" s="15">
        <f t="shared" si="1017"/>
        <v>0</v>
      </c>
      <c r="AM330" s="45">
        <f>AL330*$G$10</f>
        <v>0</v>
      </c>
      <c r="AN330" s="28"/>
      <c r="AO330" s="73">
        <v>53</v>
      </c>
      <c r="AP330" s="15">
        <f t="shared" si="1018"/>
        <v>0</v>
      </c>
      <c r="AQ330" s="45">
        <f>AP330*$G$10</f>
        <v>0</v>
      </c>
      <c r="AR330" s="38">
        <v>108</v>
      </c>
      <c r="AS330" s="73">
        <v>53</v>
      </c>
      <c r="AT330" s="15">
        <f t="shared" si="1019"/>
        <v>0</v>
      </c>
      <c r="AU330" s="45">
        <f>AT330*$G$10</f>
        <v>0</v>
      </c>
      <c r="AV330" s="15"/>
      <c r="AW330" s="75">
        <v>53</v>
      </c>
      <c r="AX330" s="15"/>
      <c r="AY330" s="15"/>
      <c r="AZ330" s="28"/>
      <c r="BA330" s="75">
        <v>53</v>
      </c>
      <c r="BB330" s="15"/>
      <c r="BC330" s="15"/>
      <c r="BD330" s="15"/>
      <c r="BE330" s="40">
        <f t="shared" ref="BE330:BG330" si="1021">J330+N330+R330+V330+Z330+AD330+AH330+AL330+AP330+AT330+AX330+BB330</f>
        <v>6</v>
      </c>
      <c r="BF330" s="41">
        <f t="shared" si="1021"/>
        <v>107.88</v>
      </c>
      <c r="BG330" s="34">
        <f t="shared" si="1021"/>
        <v>90.84</v>
      </c>
      <c r="BH330" s="35">
        <f t="shared" si="1014"/>
        <v>-0.12</v>
      </c>
    </row>
    <row r="331" ht="14.25" customHeight="1" spans="1:60" x14ac:dyDescent="0.25">
      <c r="A331" s="29">
        <v>44</v>
      </c>
      <c r="B331" s="14"/>
      <c r="C331" s="15" t="s">
        <v>413</v>
      </c>
      <c r="D331" s="14" t="s">
        <v>47</v>
      </c>
      <c r="E331" s="2" t="s">
        <v>49</v>
      </c>
      <c r="F331" s="41">
        <v>500</v>
      </c>
      <c r="G331" s="28"/>
      <c r="H331" s="34">
        <f>'2018'!BH331</f>
        <v>0</v>
      </c>
      <c r="I331" s="13"/>
      <c r="J331" s="15"/>
      <c r="K331" s="15"/>
      <c r="L331" s="28"/>
      <c r="Q331" s="13"/>
      <c r="R331" s="15"/>
      <c r="S331" s="15"/>
      <c r="T331" s="28"/>
      <c r="Y331" s="13"/>
      <c r="Z331" s="15"/>
      <c r="AA331" s="15"/>
      <c r="AB331" s="28"/>
      <c r="AG331" s="13"/>
      <c r="AH331" s="15"/>
      <c r="AI331" s="15"/>
      <c r="AJ331" s="28"/>
      <c r="AK331" s="13"/>
      <c r="AL331" s="15"/>
      <c r="AM331" s="34"/>
      <c r="AN331" s="28"/>
      <c r="AO331" s="13"/>
      <c r="AP331" s="15"/>
      <c r="AQ331" s="34"/>
      <c r="AR331" s="28"/>
      <c r="AS331" s="15"/>
      <c r="AT331" s="15"/>
      <c r="AU331" s="15"/>
      <c r="AV331" s="15"/>
      <c r="AW331" s="13"/>
      <c r="AX331" s="15"/>
      <c r="AY331" s="15"/>
      <c r="AZ331" s="28"/>
      <c r="BA331" s="15"/>
      <c r="BB331" s="15"/>
      <c r="BC331" s="15"/>
      <c r="BD331" s="15"/>
      <c r="BE331" s="14"/>
      <c r="BF331" s="41">
        <f t="shared" ref="BF331:BG331" si="1022">K331+O331+S331+W331+AA331+AE331+AI331+AM331+AQ331+AU331+AY331+BC331</f>
        <v>0</v>
      </c>
      <c r="BG331" s="34">
        <f t="shared" si="1022"/>
        <v>0</v>
      </c>
      <c r="BH331" s="35">
        <f t="shared" si="1014"/>
        <v>0</v>
      </c>
    </row>
    <row r="332" ht="14.25" customHeight="1" spans="1:60" x14ac:dyDescent="0.25">
      <c r="A332" s="29">
        <v>44</v>
      </c>
      <c r="B332" s="14"/>
      <c r="C332" s="15" t="s">
        <v>414</v>
      </c>
      <c r="D332" s="14" t="s">
        <v>50</v>
      </c>
      <c r="E332" s="2" t="s">
        <v>49</v>
      </c>
      <c r="F332" s="41">
        <v>1200</v>
      </c>
      <c r="G332" s="28"/>
      <c r="H332" s="34">
        <f>'2018'!BH332</f>
        <v>4262.1488</v>
      </c>
      <c r="I332" s="13"/>
      <c r="J332" s="15"/>
      <c r="K332" s="15"/>
      <c r="L332" s="28"/>
      <c r="Q332" s="13"/>
      <c r="R332" s="15"/>
      <c r="S332" s="15"/>
      <c r="T332" s="28"/>
      <c r="X332" s="138">
        <v>4262.15</v>
      </c>
      <c r="Y332" s="13"/>
      <c r="Z332" s="15"/>
      <c r="AA332" s="15"/>
      <c r="AB332" s="28"/>
      <c r="AE332" s="34">
        <f>B329*$F$12</f>
        <v>4812</v>
      </c>
      <c r="AG332" s="13"/>
      <c r="AH332" s="15"/>
      <c r="AI332" s="15"/>
      <c r="AJ332" s="28"/>
      <c r="AK332" s="13"/>
      <c r="AL332" s="15"/>
      <c r="AM332" s="15"/>
      <c r="AN332" s="28"/>
      <c r="AO332" s="13"/>
      <c r="AP332" s="15"/>
      <c r="AQ332" s="15"/>
      <c r="AR332" s="38">
        <v>4812</v>
      </c>
      <c r="AS332" s="15"/>
      <c r="AT332" s="15"/>
      <c r="AU332" s="15"/>
      <c r="AV332" s="15"/>
      <c r="AW332" s="13"/>
      <c r="AX332" s="15"/>
      <c r="AY332" s="15"/>
      <c r="AZ332" s="28"/>
      <c r="BA332" s="15"/>
      <c r="BB332" s="15"/>
      <c r="BC332" s="15"/>
      <c r="BD332" s="15"/>
      <c r="BE332" s="14"/>
      <c r="BF332" s="41">
        <f t="shared" ref="BF332:BG332" si="1023">K332+O332+S332+W332+AA332+AE332+AI332+AM332+AQ332+AU332+AY332+BC332</f>
        <v>4812</v>
      </c>
      <c r="BG332" s="34">
        <f t="shared" si="1023"/>
        <v>9074.15</v>
      </c>
      <c r="BH332" s="35">
        <f t="shared" si="1014"/>
        <v>-0.001200000001</v>
      </c>
    </row>
    <row r="333" ht="14.25" customHeight="1" spans="1:60" x14ac:dyDescent="0.25">
      <c r="A333" s="29">
        <v>44</v>
      </c>
      <c r="B333" s="14"/>
      <c r="C333" s="73" t="s">
        <v>415</v>
      </c>
      <c r="D333" s="14" t="s">
        <v>51</v>
      </c>
      <c r="E333" s="2" t="s">
        <v>49</v>
      </c>
      <c r="F333" s="41">
        <v>1000</v>
      </c>
      <c r="G333" s="28"/>
      <c r="H333" s="34">
        <f>'2018'!BH333</f>
        <v>0</v>
      </c>
      <c r="I333" s="13"/>
      <c r="J333" s="15"/>
      <c r="K333" s="15"/>
      <c r="L333" s="28"/>
      <c r="Q333" s="13"/>
      <c r="R333" s="15"/>
      <c r="S333" s="15"/>
      <c r="T333" s="28"/>
      <c r="Y333" s="13"/>
      <c r="Z333" s="15"/>
      <c r="AA333" s="15"/>
      <c r="AB333" s="28"/>
      <c r="AE333" s="34">
        <f>$F$21</f>
        <v>1000</v>
      </c>
      <c r="AG333" s="13"/>
      <c r="AH333" s="15"/>
      <c r="AI333" s="15"/>
      <c r="AJ333" s="28"/>
      <c r="AK333" s="13"/>
      <c r="AL333" s="15"/>
      <c r="AM333" s="15"/>
      <c r="AN333" s="28"/>
      <c r="AO333" s="13"/>
      <c r="AP333" s="15"/>
      <c r="AQ333" s="15"/>
      <c r="AR333" s="38">
        <v>1000</v>
      </c>
      <c r="AS333" s="15"/>
      <c r="AT333" s="15"/>
      <c r="AU333" s="15"/>
      <c r="AV333" s="15"/>
      <c r="AW333" s="13"/>
      <c r="AX333" s="15"/>
      <c r="AY333" s="15"/>
      <c r="AZ333" s="28"/>
      <c r="BA333" s="15"/>
      <c r="BB333" s="15"/>
      <c r="BC333" s="15"/>
      <c r="BD333" s="15"/>
      <c r="BE333" s="14"/>
      <c r="BF333" s="41">
        <f t="shared" ref="BF333:BG333" si="1024">K333+O333+S333+W333+AA333+AE333+AI333+AM333+AQ333+AU333+AY333+BC333</f>
        <v>1000</v>
      </c>
      <c r="BG333" s="34">
        <f t="shared" si="1024"/>
        <v>1000</v>
      </c>
      <c r="BH333" s="35">
        <f t="shared" si="1014"/>
        <v>0</v>
      </c>
    </row>
    <row r="334" ht="14.25" customHeight="1" spans="1:60" x14ac:dyDescent="0.25">
      <c r="A334" s="29">
        <v>44</v>
      </c>
      <c r="B334" s="14"/>
      <c r="D334" s="14" t="s">
        <v>52</v>
      </c>
      <c r="E334" s="2" t="s">
        <v>39</v>
      </c>
      <c r="F334" s="41">
        <v>500</v>
      </c>
      <c r="G334" s="28"/>
      <c r="H334" s="84">
        <f>'2018'!BH334-500</f>
        <v>-150</v>
      </c>
      <c r="I334" s="13"/>
      <c r="J334" s="15"/>
      <c r="K334" s="15"/>
      <c r="L334" s="28"/>
      <c r="Q334" s="13"/>
      <c r="R334" s="15"/>
      <c r="S334" s="15"/>
      <c r="T334" s="28"/>
      <c r="X334" s="145">
        <v>350</v>
      </c>
      <c r="Y334" s="13"/>
      <c r="Z334" s="15"/>
      <c r="AA334" s="34">
        <f>$F$14</f>
        <v>500</v>
      </c>
      <c r="AB334" s="28"/>
      <c r="AG334" s="13"/>
      <c r="AH334" s="15"/>
      <c r="AI334" s="15"/>
      <c r="AJ334" s="28"/>
      <c r="AK334" s="13"/>
      <c r="AL334" s="15"/>
      <c r="AM334" s="15"/>
      <c r="AN334" s="28"/>
      <c r="AO334" s="13"/>
      <c r="AP334" s="15"/>
      <c r="AQ334" s="15"/>
      <c r="AR334" s="28"/>
      <c r="AS334" s="15"/>
      <c r="AT334" s="15"/>
      <c r="AU334" s="15"/>
      <c r="AV334" s="15"/>
      <c r="AW334" s="13"/>
      <c r="AX334" s="15"/>
      <c r="AY334" s="15"/>
      <c r="AZ334" s="28"/>
      <c r="BA334" s="15"/>
      <c r="BB334" s="15"/>
      <c r="BC334" s="15"/>
      <c r="BD334" s="15"/>
      <c r="BE334" s="14"/>
      <c r="BF334" s="41">
        <f t="shared" ref="BF334:BG334" si="1025">K334+O334+S334+W334+AA334+AE334+AI334+AM334+AQ334+AU334+AY334+BC334</f>
        <v>500</v>
      </c>
      <c r="BG334" s="34">
        <f t="shared" si="1025"/>
        <v>350</v>
      </c>
      <c r="BH334" s="35">
        <f t="shared" si="1014"/>
        <v>0</v>
      </c>
    </row>
    <row r="335" ht="14.25" customHeight="1" spans="1:62" x14ac:dyDescent="0.25">
      <c r="A335" s="50">
        <v>44</v>
      </c>
      <c r="B335" s="21"/>
      <c r="C335" s="22" t="s">
        <v>53</v>
      </c>
      <c r="D335" s="21"/>
      <c r="E335" s="22"/>
      <c r="F335" s="20"/>
      <c r="G335" s="23"/>
      <c r="H335" s="51">
        <f>SUM(H328:H334)</f>
        <v>9094.9888</v>
      </c>
      <c r="I335" s="52"/>
      <c r="J335" s="53"/>
      <c r="K335" s="51">
        <f t="shared" ref="K335:L335" si="1026">SUM(K328:K334)</f>
        <v>0</v>
      </c>
      <c r="L335" s="68">
        <f t="shared" si="1026"/>
        <v>0</v>
      </c>
      <c r="M335" s="53"/>
      <c r="N335" s="53"/>
      <c r="O335" s="51">
        <f t="shared" ref="O335:P335" si="1027">SUM(O328:O334)</f>
        <v>0</v>
      </c>
      <c r="P335" s="51">
        <f t="shared" si="1027"/>
        <v>0</v>
      </c>
      <c r="Q335" s="52"/>
      <c r="R335" s="53"/>
      <c r="S335" s="51">
        <f t="shared" ref="S335:T335" si="1028">SUM(S328:S334)</f>
        <v>0</v>
      </c>
      <c r="T335" s="51">
        <f t="shared" si="1028"/>
        <v>0</v>
      </c>
      <c r="U335" s="52"/>
      <c r="V335" s="53"/>
      <c r="W335" s="51">
        <f t="shared" ref="W335:X335" si="1029">SUM(W328:W334)</f>
        <v>0</v>
      </c>
      <c r="X335" s="51">
        <f t="shared" si="1029"/>
        <v>9594.99</v>
      </c>
      <c r="Y335" s="52"/>
      <c r="Z335" s="53"/>
      <c r="AA335" s="51">
        <f t="shared" ref="AA335:AB335" si="1030">SUM(AA329:AA334)</f>
        <v>607.88</v>
      </c>
      <c r="AB335" s="68">
        <f t="shared" si="1030"/>
        <v>0</v>
      </c>
      <c r="AC335" s="53"/>
      <c r="AD335" s="53"/>
      <c r="AE335" s="51">
        <f t="shared" ref="AE335:AF335" si="1031">SUM(AE329:AE334)</f>
        <v>5812</v>
      </c>
      <c r="AF335" s="51">
        <f t="shared" si="1031"/>
        <v>0</v>
      </c>
      <c r="AG335" s="52"/>
      <c r="AH335" s="53"/>
      <c r="AI335" s="51">
        <f t="shared" ref="AI335:AJ335" si="1032">SUM(AI329:AI334)</f>
        <v>0</v>
      </c>
      <c r="AJ335" s="68">
        <f t="shared" si="1032"/>
        <v>0</v>
      </c>
      <c r="AK335" s="52"/>
      <c r="AL335" s="53"/>
      <c r="AM335" s="51">
        <f t="shared" ref="AM335:AN335" si="1033">SUM(AM329:AM334)</f>
        <v>12.5</v>
      </c>
      <c r="AN335" s="68">
        <f t="shared" si="1033"/>
        <v>0</v>
      </c>
      <c r="AO335" s="52"/>
      <c r="AP335" s="53"/>
      <c r="AQ335" s="51">
        <f t="shared" ref="AQ335:AR335" si="1034">SUM(AQ328:AQ334)</f>
        <v>11.22</v>
      </c>
      <c r="AR335" s="68">
        <f t="shared" si="1034"/>
        <v>5920</v>
      </c>
      <c r="AS335" s="53"/>
      <c r="AT335" s="53"/>
      <c r="AU335" s="51">
        <f t="shared" ref="AU335:AV335" si="1035">SUM(AU328:AU334)</f>
        <v>5</v>
      </c>
      <c r="AV335" s="68">
        <f t="shared" si="1035"/>
        <v>0</v>
      </c>
      <c r="AW335" s="52"/>
      <c r="AX335" s="53"/>
      <c r="AY335" s="51">
        <f t="shared" ref="AY335:AZ335" si="1036">SUM(AY328:AY334)</f>
        <v>5</v>
      </c>
      <c r="AZ335" s="68">
        <f t="shared" si="1036"/>
        <v>0</v>
      </c>
      <c r="BA335" s="53"/>
      <c r="BB335" s="53"/>
      <c r="BC335" s="51">
        <f t="shared" ref="BC335:BD335" si="1037">SUM(BC328:BC334)</f>
        <v>0</v>
      </c>
      <c r="BD335" s="68">
        <f t="shared" si="1037"/>
        <v>0</v>
      </c>
      <c r="BE335" s="69"/>
      <c r="BF335" s="70">
        <f t="shared" ref="BF335:BH335" si="1038">SUM(BF328:BF334)</f>
        <v>6453.6</v>
      </c>
      <c r="BG335" s="71">
        <f t="shared" si="1038"/>
        <v>15514.99</v>
      </c>
      <c r="BH335" s="72">
        <f t="shared" si="1038"/>
        <v>33.5988</v>
      </c>
      <c r="BI335" s="34">
        <f>H335+BF335-BG335</f>
        <v>33.5988</v>
      </c>
      <c r="BJ335" s="34">
        <f>BH335-BI335</f>
        <v>0</v>
      </c>
    </row>
    <row r="336" ht="14.25" customHeight="1" spans="1:60" x14ac:dyDescent="0.25">
      <c r="A336" s="29">
        <v>45</v>
      </c>
      <c r="B336" s="14"/>
      <c r="D336" s="14" t="s">
        <v>379</v>
      </c>
      <c r="F336" s="13"/>
      <c r="G336" s="28"/>
      <c r="H336" s="34">
        <f>'2018'!BH336</f>
      </c>
      <c r="I336" s="13"/>
      <c r="J336" s="15"/>
      <c r="K336" s="15"/>
      <c r="L336" s="28"/>
      <c r="Q336" s="13"/>
      <c r="R336" s="15"/>
      <c r="S336" s="15"/>
      <c r="T336" s="28"/>
      <c r="Y336" s="13"/>
      <c r="Z336" s="15"/>
      <c r="AA336" s="15"/>
      <c r="AB336" s="28"/>
      <c r="AG336" s="13"/>
      <c r="AH336" s="15"/>
      <c r="AI336" s="15"/>
      <c r="AJ336" s="28"/>
      <c r="AK336" s="13"/>
      <c r="AL336" s="15"/>
      <c r="AM336" s="15"/>
      <c r="AN336" s="28"/>
      <c r="AO336" s="13"/>
      <c r="AP336" s="15"/>
      <c r="AQ336" s="15"/>
      <c r="AR336" s="28"/>
      <c r="AW336" s="13"/>
      <c r="AX336" s="15"/>
      <c r="AY336" s="15"/>
      <c r="AZ336" s="28"/>
      <c r="BE336" s="14"/>
      <c r="BF336" s="41">
        <f t="shared" ref="BF336:BG336" si="1039">K336+O336+S336+W336+AA336+AE336+AI336+AM336+AQ336+AU336+AY336+BC336</f>
        <v>0</v>
      </c>
      <c r="BG336" s="34">
        <f t="shared" si="1039"/>
        <v>0</v>
      </c>
      <c r="BH336" s="35">
        <f t="shared" ref="BH336:BH342" si="1040">H336+BF336-BG336</f>
        <v>0</v>
      </c>
    </row>
    <row r="337" ht="14.25" customHeight="1" spans="1:60" x14ac:dyDescent="0.25">
      <c r="A337" s="2">
        <v>45</v>
      </c>
      <c r="B337" s="14">
        <v>5.04</v>
      </c>
      <c r="C337" s="2" t="s">
        <v>189</v>
      </c>
      <c r="D337" s="14" t="s">
        <v>44</v>
      </c>
      <c r="E337" s="2" t="s">
        <v>45</v>
      </c>
      <c r="F337" s="13">
        <v>2.49</v>
      </c>
      <c r="G337" s="35">
        <v>2.5</v>
      </c>
      <c r="H337" s="34">
        <f>'2018'!BH337</f>
        <v>0</v>
      </c>
      <c r="I337" s="13">
        <v>12</v>
      </c>
      <c r="J337" s="15">
        <f>I337-'2018'!BA337</f>
        <v>0</v>
      </c>
      <c r="K337" s="34">
        <f>J337*$F$8</f>
        <v>0</v>
      </c>
      <c r="L337" s="28"/>
      <c r="M337" s="2">
        <v>12</v>
      </c>
      <c r="N337" s="15">
        <f>M337-I337</f>
        <v>0</v>
      </c>
      <c r="O337" s="34">
        <f>N337*$F$8</f>
        <v>0</v>
      </c>
      <c r="Q337" s="13">
        <v>12</v>
      </c>
      <c r="R337" s="15">
        <f>Q337-M337</f>
        <v>0</v>
      </c>
      <c r="S337" s="34">
        <f>R337*$F$8</f>
        <v>0</v>
      </c>
      <c r="T337" s="28"/>
      <c r="U337" s="15">
        <v>12</v>
      </c>
      <c r="V337" s="15">
        <f>U337-Q337</f>
        <v>0</v>
      </c>
      <c r="W337" s="34">
        <f>V337*$F$8</f>
        <v>0</v>
      </c>
      <c r="Y337" s="75">
        <v>12</v>
      </c>
      <c r="Z337" s="15">
        <f>Y337-U337</f>
        <v>0</v>
      </c>
      <c r="AA337" s="34">
        <f>Z337*$F$8</f>
        <v>0</v>
      </c>
      <c r="AB337" s="28"/>
      <c r="AC337" s="15">
        <v>12</v>
      </c>
      <c r="AD337" s="15">
        <f t="shared" ref="AD337:AD338" si="1041">AC337-Y337</f>
        <v>0</v>
      </c>
      <c r="AE337" s="34">
        <f>AD337*$G$8</f>
        <v>0</v>
      </c>
      <c r="AG337" s="13">
        <v>12</v>
      </c>
      <c r="AH337" s="15">
        <f t="shared" ref="AH337:AH338" si="1042">AG337-AC337</f>
        <v>0</v>
      </c>
      <c r="AI337" s="34">
        <f>AH337*$G$8</f>
        <v>0</v>
      </c>
      <c r="AJ337" s="28"/>
      <c r="AK337" s="13">
        <v>13</v>
      </c>
      <c r="AL337" s="15">
        <f t="shared" ref="AL337:AL338" si="1043">AK337-AG337</f>
        <v>1</v>
      </c>
      <c r="AM337" s="34">
        <f>AL337*$G$8</f>
        <v>2.5</v>
      </c>
      <c r="AN337" s="28"/>
      <c r="AO337" s="13">
        <v>13</v>
      </c>
      <c r="AP337" s="15">
        <f t="shared" ref="AP337:AP338" si="1044">AO337-AK337</f>
        <v>0</v>
      </c>
      <c r="AQ337" s="34">
        <f>AP337*$G$8</f>
        <v>0</v>
      </c>
      <c r="AR337" s="28"/>
      <c r="AS337" s="75">
        <v>13</v>
      </c>
      <c r="AT337" s="15">
        <f t="shared" ref="AT337:AT338" si="1045">AS337-AO337</f>
        <v>0</v>
      </c>
      <c r="AU337" s="34">
        <f>AT337*$G$8</f>
        <v>0</v>
      </c>
      <c r="AV337" s="15"/>
      <c r="AW337" s="13">
        <v>13</v>
      </c>
      <c r="AX337" s="15">
        <f>AW337-AS337</f>
        <v>0</v>
      </c>
      <c r="AY337" s="34">
        <f>AX337*$G$8</f>
        <v>0</v>
      </c>
      <c r="AZ337" s="28"/>
      <c r="BA337" s="13">
        <v>13</v>
      </c>
      <c r="BB337" s="15">
        <f>BA337-AW337</f>
        <v>0</v>
      </c>
      <c r="BC337" s="34">
        <f>BB337*$G$8</f>
        <v>0</v>
      </c>
      <c r="BD337" s="15"/>
      <c r="BE337" s="40">
        <f t="shared" ref="BE337:BG337" si="1046">J337+N337+R337+V337+Z337+AD337+AH337+AL337+AP337+AT337+AX337+BB337</f>
        <v>1</v>
      </c>
      <c r="BF337" s="41">
        <f t="shared" si="1046"/>
        <v>2.5</v>
      </c>
      <c r="BG337" s="34">
        <f t="shared" si="1046"/>
        <v>0</v>
      </c>
      <c r="BH337" s="35">
        <f t="shared" si="1040"/>
        <v>2.5</v>
      </c>
    </row>
    <row r="338" ht="14.25" customHeight="1" spans="1:60" x14ac:dyDescent="0.25">
      <c r="A338" s="29">
        <v>45</v>
      </c>
      <c r="B338" s="14"/>
      <c r="C338" s="2" t="s">
        <v>114</v>
      </c>
      <c r="D338" s="14" t="s">
        <v>47</v>
      </c>
      <c r="E338" s="2" t="s">
        <v>48</v>
      </c>
      <c r="F338" s="13">
        <v>17.98</v>
      </c>
      <c r="G338" s="28">
        <v>18.56</v>
      </c>
      <c r="H338" s="34">
        <f>'2018'!BH338</f>
        <v>-17.16</v>
      </c>
      <c r="I338" s="13">
        <v>3</v>
      </c>
      <c r="J338" s="15"/>
      <c r="K338" s="15"/>
      <c r="L338" s="28"/>
      <c r="Q338" s="13"/>
      <c r="R338" s="15"/>
      <c r="S338" s="15"/>
      <c r="T338" s="28"/>
      <c r="Y338" s="95">
        <v>0</v>
      </c>
      <c r="Z338" s="73"/>
      <c r="AA338" s="34">
        <f>Z338*$F$10</f>
        <v>0</v>
      </c>
      <c r="AB338" s="28"/>
      <c r="AC338" s="15">
        <v>1</v>
      </c>
      <c r="AD338" s="15">
        <f t="shared" si="1041"/>
        <v>1</v>
      </c>
      <c r="AE338" s="34">
        <f>AD338*$F$10</f>
        <v>17.98</v>
      </c>
      <c r="AF338" s="15"/>
      <c r="AG338" s="13">
        <v>1</v>
      </c>
      <c r="AH338" s="15">
        <f t="shared" si="1042"/>
        <v>0</v>
      </c>
      <c r="AI338" s="45">
        <f>AH338*$G$10</f>
        <v>0</v>
      </c>
      <c r="AJ338" s="28"/>
      <c r="AK338" s="15">
        <v>2</v>
      </c>
      <c r="AL338" s="15">
        <f t="shared" si="1043"/>
        <v>1</v>
      </c>
      <c r="AM338" s="45">
        <f>AL338*$G$10</f>
        <v>18.56</v>
      </c>
      <c r="AN338" s="32">
        <v>0.82</v>
      </c>
      <c r="AO338" s="73">
        <v>2</v>
      </c>
      <c r="AP338" s="15">
        <f t="shared" si="1044"/>
        <v>0</v>
      </c>
      <c r="AQ338" s="45">
        <f>AP338*$G$10</f>
        <v>0</v>
      </c>
      <c r="AR338" s="28"/>
      <c r="AS338" s="73">
        <v>2</v>
      </c>
      <c r="AT338" s="15">
        <f t="shared" si="1045"/>
        <v>0</v>
      </c>
      <c r="AU338" s="45">
        <f>AT338*$G$10</f>
        <v>0</v>
      </c>
      <c r="AV338" s="15"/>
      <c r="AW338" s="75">
        <v>2</v>
      </c>
      <c r="AX338" s="15"/>
      <c r="AY338" s="15"/>
      <c r="AZ338" s="28"/>
      <c r="BA338" s="75">
        <v>2</v>
      </c>
      <c r="BB338" s="15"/>
      <c r="BC338" s="15"/>
      <c r="BD338" s="15"/>
      <c r="BE338" s="40">
        <f t="shared" ref="BE338:BG338" si="1047">J338+N338+R338+V338+Z338+AD338+AH338+AL338+AP338+AT338+AX338+BB338</f>
        <v>2</v>
      </c>
      <c r="BF338" s="41">
        <f t="shared" si="1047"/>
        <v>36.54</v>
      </c>
      <c r="BG338" s="34">
        <f t="shared" si="1047"/>
        <v>0.82</v>
      </c>
      <c r="BH338" s="35">
        <f t="shared" si="1040"/>
        <v>18.56</v>
      </c>
    </row>
    <row r="339" ht="14.25" customHeight="1" spans="1:60" x14ac:dyDescent="0.25">
      <c r="A339" s="29">
        <v>45</v>
      </c>
      <c r="B339" s="14"/>
      <c r="C339" s="2" t="s">
        <v>115</v>
      </c>
      <c r="D339" s="14" t="s">
        <v>47</v>
      </c>
      <c r="E339" s="2" t="s">
        <v>49</v>
      </c>
      <c r="F339" s="41">
        <v>500</v>
      </c>
      <c r="G339" s="28"/>
      <c r="H339" s="34">
        <f>'2018'!BH339</f>
        <v>0</v>
      </c>
      <c r="I339" s="13"/>
      <c r="J339" s="15"/>
      <c r="K339" s="15"/>
      <c r="L339" s="28"/>
      <c r="Q339" s="13"/>
      <c r="R339" s="15"/>
      <c r="S339" s="15"/>
      <c r="T339" s="28"/>
      <c r="Y339" s="13"/>
      <c r="Z339" s="15"/>
      <c r="AA339" s="15"/>
      <c r="AB339" s="28"/>
      <c r="AG339" s="13"/>
      <c r="AH339" s="15"/>
      <c r="AI339" s="15"/>
      <c r="AJ339" s="28"/>
      <c r="AK339" s="13"/>
      <c r="AL339" s="15"/>
      <c r="AM339" s="34"/>
      <c r="AN339" s="28"/>
      <c r="AO339" s="13"/>
      <c r="AP339" s="15"/>
      <c r="AQ339" s="34"/>
      <c r="AR339" s="28"/>
      <c r="AS339" s="15"/>
      <c r="AT339" s="15"/>
      <c r="AU339" s="15"/>
      <c r="AV339" s="15"/>
      <c r="AW339" s="13"/>
      <c r="AX339" s="15"/>
      <c r="AY339" s="15"/>
      <c r="AZ339" s="28"/>
      <c r="BA339" s="15"/>
      <c r="BB339" s="15"/>
      <c r="BC339" s="15"/>
      <c r="BD339" s="15"/>
      <c r="BE339" s="14"/>
      <c r="BF339" s="41">
        <f t="shared" ref="BF339:BG339" si="1048">K339+O339+S339+W339+AA339+AE339+AI339+AM339+AQ339+AU339+AY339+BC339</f>
        <v>0</v>
      </c>
      <c r="BG339" s="34">
        <f t="shared" si="1048"/>
        <v>0</v>
      </c>
      <c r="BH339" s="35">
        <f t="shared" si="1040"/>
        <v>0</v>
      </c>
    </row>
    <row r="340" ht="14.25" customHeight="1" spans="1:60" x14ac:dyDescent="0.25">
      <c r="A340" s="29">
        <v>45</v>
      </c>
      <c r="B340" s="14"/>
      <c r="C340" s="2" t="s">
        <v>416</v>
      </c>
      <c r="D340" s="14" t="s">
        <v>50</v>
      </c>
      <c r="E340" s="2" t="s">
        <v>49</v>
      </c>
      <c r="F340" s="41">
        <v>1200</v>
      </c>
      <c r="G340" s="28"/>
      <c r="H340" s="34">
        <f>'2018'!BH340</f>
        <v>0.005200000001</v>
      </c>
      <c r="I340" s="13"/>
      <c r="J340" s="15"/>
      <c r="K340" s="15"/>
      <c r="L340" s="28"/>
      <c r="Q340" s="13"/>
      <c r="R340" s="15"/>
      <c r="S340" s="15"/>
      <c r="T340" s="28"/>
      <c r="Y340" s="13"/>
      <c r="Z340" s="15"/>
      <c r="AA340" s="15"/>
      <c r="AB340" s="28"/>
      <c r="AE340" s="34">
        <f>B337*$F$12</f>
        <v>6048</v>
      </c>
      <c r="AF340" s="15"/>
      <c r="AG340" s="13"/>
      <c r="AH340" s="15"/>
      <c r="AI340" s="15"/>
      <c r="AJ340" s="28"/>
      <c r="AK340" s="13"/>
      <c r="AL340" s="15"/>
      <c r="AM340" s="15"/>
      <c r="AN340" s="32">
        <v>6048.01</v>
      </c>
      <c r="AO340" s="13"/>
      <c r="AP340" s="15"/>
      <c r="AQ340" s="15"/>
      <c r="AR340" s="28"/>
      <c r="AS340" s="15"/>
      <c r="AT340" s="15"/>
      <c r="AU340" s="15"/>
      <c r="AV340" s="15"/>
      <c r="AW340" s="13"/>
      <c r="AX340" s="15"/>
      <c r="AY340" s="15"/>
      <c r="AZ340" s="28"/>
      <c r="BA340" s="15"/>
      <c r="BB340" s="15"/>
      <c r="BC340" s="15"/>
      <c r="BD340" s="15"/>
      <c r="BE340" s="14"/>
      <c r="BF340" s="41">
        <f t="shared" ref="BF340:BG340" si="1049">K340+O340+S340+W340+AA340+AE340+AI340+AM340+AQ340+AU340+AY340+BC340</f>
        <v>6048</v>
      </c>
      <c r="BG340" s="34">
        <f t="shared" si="1049"/>
        <v>6048.01</v>
      </c>
      <c r="BH340" s="35">
        <f t="shared" si="1040"/>
        <v>-0.0048</v>
      </c>
    </row>
    <row r="341" ht="14.25" customHeight="1" spans="1:60" x14ac:dyDescent="0.25">
      <c r="A341" s="29">
        <v>45</v>
      </c>
      <c r="B341" s="14"/>
      <c r="D341" s="14" t="s">
        <v>51</v>
      </c>
      <c r="E341" s="2" t="s">
        <v>49</v>
      </c>
      <c r="F341" s="41">
        <v>1000</v>
      </c>
      <c r="G341" s="28"/>
      <c r="H341" s="34">
        <f>'2018'!BH341</f>
        <v>0</v>
      </c>
      <c r="I341" s="13"/>
      <c r="J341" s="15"/>
      <c r="K341" s="15"/>
      <c r="L341" s="28"/>
      <c r="Q341" s="13"/>
      <c r="R341" s="15"/>
      <c r="S341" s="15"/>
      <c r="T341" s="28"/>
      <c r="Y341" s="13"/>
      <c r="Z341" s="15"/>
      <c r="AA341" s="15"/>
      <c r="AB341" s="28"/>
      <c r="AE341" s="34">
        <f>$F$21</f>
        <v>1000</v>
      </c>
      <c r="AG341" s="13"/>
      <c r="AH341" s="15"/>
      <c r="AI341" s="15"/>
      <c r="AJ341" s="28"/>
      <c r="AK341" s="13"/>
      <c r="AL341" s="15"/>
      <c r="AM341" s="15"/>
      <c r="AN341" s="38">
        <v>1000</v>
      </c>
      <c r="AO341" s="13"/>
      <c r="AP341" s="15"/>
      <c r="AQ341" s="15"/>
      <c r="AR341" s="28"/>
      <c r="AS341" s="15"/>
      <c r="AT341" s="15"/>
      <c r="AU341" s="15"/>
      <c r="AV341" s="15"/>
      <c r="AW341" s="13"/>
      <c r="AX341" s="15"/>
      <c r="AY341" s="15"/>
      <c r="AZ341" s="28"/>
      <c r="BA341" s="15"/>
      <c r="BB341" s="15"/>
      <c r="BC341" s="15"/>
      <c r="BD341" s="15"/>
      <c r="BE341" s="14"/>
      <c r="BF341" s="41">
        <f t="shared" ref="BF341:BG341" si="1050">K341+O341+S341+W341+AA341+AE341+AI341+AM341+AQ341+AU341+AY341+BC341</f>
        <v>1000</v>
      </c>
      <c r="BG341" s="34">
        <f t="shared" si="1050"/>
        <v>1000</v>
      </c>
      <c r="BH341" s="35">
        <f t="shared" si="1040"/>
        <v>0</v>
      </c>
    </row>
    <row r="342" ht="14.25" customHeight="1" spans="1:60" x14ac:dyDescent="0.25">
      <c r="A342" s="29">
        <v>45</v>
      </c>
      <c r="B342" s="14"/>
      <c r="D342" s="14" t="s">
        <v>52</v>
      </c>
      <c r="E342" s="2" t="s">
        <v>39</v>
      </c>
      <c r="F342" s="41">
        <v>500</v>
      </c>
      <c r="G342" s="28"/>
      <c r="H342" s="34">
        <f>'2018'!BH342</f>
        <v>0</v>
      </c>
      <c r="I342" s="13"/>
      <c r="J342" s="15"/>
      <c r="K342" s="15"/>
      <c r="L342" s="28"/>
      <c r="Q342" s="13"/>
      <c r="R342" s="15"/>
      <c r="S342" s="15"/>
      <c r="T342" s="28"/>
      <c r="Y342" s="13"/>
      <c r="Z342" s="15"/>
      <c r="AA342" s="34">
        <f>$F$14</f>
        <v>500</v>
      </c>
      <c r="AB342" s="35"/>
      <c r="AG342" s="13"/>
      <c r="AH342" s="15"/>
      <c r="AI342" s="15"/>
      <c r="AJ342" s="28"/>
      <c r="AK342" s="13"/>
      <c r="AL342" s="15"/>
      <c r="AM342" s="15"/>
      <c r="AN342" s="38">
        <v>500</v>
      </c>
      <c r="AO342" s="13"/>
      <c r="AP342" s="15"/>
      <c r="AQ342" s="15"/>
      <c r="AR342" s="28"/>
      <c r="AS342" s="15"/>
      <c r="AT342" s="15"/>
      <c r="AU342" s="15"/>
      <c r="AV342" s="15"/>
      <c r="AW342" s="13"/>
      <c r="AX342" s="15"/>
      <c r="AY342" s="15"/>
      <c r="AZ342" s="28"/>
      <c r="BA342" s="15"/>
      <c r="BB342" s="15"/>
      <c r="BC342" s="15"/>
      <c r="BD342" s="15"/>
      <c r="BE342" s="14"/>
      <c r="BF342" s="41">
        <f t="shared" ref="BF342:BG342" si="1051">K342+O342+S342+W342+AA342+AE342+AI342+AM342+AQ342+AU342+AY342+BC342</f>
        <v>500</v>
      </c>
      <c r="BG342" s="34">
        <f t="shared" si="1051"/>
        <v>500</v>
      </c>
      <c r="BH342" s="35">
        <f t="shared" si="1040"/>
        <v>0</v>
      </c>
    </row>
    <row r="343" ht="14.25" customHeight="1" spans="1:62" x14ac:dyDescent="0.25">
      <c r="A343" s="50">
        <v>45</v>
      </c>
      <c r="B343" s="21"/>
      <c r="C343" s="22" t="s">
        <v>53</v>
      </c>
      <c r="D343" s="21"/>
      <c r="E343" s="22"/>
      <c r="F343" s="20"/>
      <c r="G343" s="23"/>
      <c r="H343" s="51">
        <f>SUM(H336:H342)</f>
        <v>-17.1548</v>
      </c>
      <c r="I343" s="52"/>
      <c r="J343" s="53"/>
      <c r="K343" s="51">
        <f t="shared" ref="K343:L343" si="1052">SUM(K336:K342)</f>
        <v>0</v>
      </c>
      <c r="L343" s="68">
        <f t="shared" si="1052"/>
        <v>0</v>
      </c>
      <c r="M343" s="53"/>
      <c r="N343" s="53"/>
      <c r="O343" s="51">
        <f t="shared" ref="O343:P343" si="1053">SUM(O337:O342)</f>
        <v>0</v>
      </c>
      <c r="P343" s="51">
        <f t="shared" si="1053"/>
        <v>0</v>
      </c>
      <c r="Q343" s="52"/>
      <c r="R343" s="53"/>
      <c r="S343" s="51">
        <f t="shared" ref="S343:T343" si="1054">SUM(S337:S342)</f>
        <v>0</v>
      </c>
      <c r="T343" s="68">
        <f t="shared" si="1054"/>
        <v>0</v>
      </c>
      <c r="U343" s="53"/>
      <c r="V343" s="53"/>
      <c r="W343" s="51">
        <f t="shared" ref="W343:X343" si="1055">SUM(W337:W342)</f>
        <v>0</v>
      </c>
      <c r="X343" s="51">
        <f t="shared" si="1055"/>
        <v>0</v>
      </c>
      <c r="Y343" s="52"/>
      <c r="Z343" s="53"/>
      <c r="AA343" s="51">
        <f t="shared" ref="AA343:AB343" si="1056">SUM(AA337:AA342)</f>
        <v>500</v>
      </c>
      <c r="AB343" s="68">
        <f t="shared" si="1056"/>
        <v>0</v>
      </c>
      <c r="AC343" s="53"/>
      <c r="AD343" s="53"/>
      <c r="AE343" s="51">
        <f t="shared" ref="AE343:AF343" si="1057">SUM(AE337:AE342)</f>
        <v>7065.98</v>
      </c>
      <c r="AF343" s="51">
        <f t="shared" si="1057"/>
        <v>0</v>
      </c>
      <c r="AG343" s="52"/>
      <c r="AH343" s="53"/>
      <c r="AI343" s="51">
        <f t="shared" ref="AI343:AJ343" si="1058">SUM(AI337:AI342)</f>
        <v>0</v>
      </c>
      <c r="AJ343" s="68">
        <f t="shared" si="1058"/>
        <v>0</v>
      </c>
      <c r="AK343" s="52"/>
      <c r="AL343" s="53"/>
      <c r="AM343" s="51">
        <f t="shared" ref="AM343:AN343" si="1059">SUM(AM337:AM342)</f>
        <v>21.06</v>
      </c>
      <c r="AN343" s="68">
        <f t="shared" si="1059"/>
        <v>7548.83</v>
      </c>
      <c r="AO343" s="52"/>
      <c r="AP343" s="53"/>
      <c r="AQ343" s="51">
        <f t="shared" ref="AQ343:AR343" si="1060">SUM(AQ336:AQ342)</f>
        <v>0</v>
      </c>
      <c r="AR343" s="68">
        <f t="shared" si="1060"/>
        <v>0</v>
      </c>
      <c r="AS343" s="53"/>
      <c r="AT343" s="53"/>
      <c r="AU343" s="51">
        <f t="shared" ref="AU343:AV343" si="1061">SUM(AU336:AU342)</f>
        <v>0</v>
      </c>
      <c r="AV343" s="68">
        <f t="shared" si="1061"/>
        <v>0</v>
      </c>
      <c r="AW343" s="52"/>
      <c r="AX343" s="53"/>
      <c r="AY343" s="51">
        <f t="shared" ref="AY343:AZ343" si="1062">SUM(AY336:AY342)</f>
        <v>0</v>
      </c>
      <c r="AZ343" s="68">
        <f t="shared" si="1062"/>
        <v>0</v>
      </c>
      <c r="BA343" s="53"/>
      <c r="BB343" s="53"/>
      <c r="BC343" s="51">
        <f t="shared" ref="BC343:BD343" si="1063">SUM(BC336:BC342)</f>
        <v>0</v>
      </c>
      <c r="BD343" s="68">
        <f t="shared" si="1063"/>
        <v>0</v>
      </c>
      <c r="BE343" s="69"/>
      <c r="BF343" s="70">
        <f t="shared" ref="BF343:BH343" si="1064">SUM(BF336:BF342)</f>
        <v>7587.04</v>
      </c>
      <c r="BG343" s="71">
        <f t="shared" si="1064"/>
        <v>7548.83</v>
      </c>
      <c r="BH343" s="72">
        <f t="shared" si="1064"/>
        <v>21.0552</v>
      </c>
      <c r="BI343" s="34">
        <f>H343+BF343-BG343</f>
        <v>21.0552</v>
      </c>
      <c r="BJ343" s="34">
        <f>BH343-BI343</f>
        <v>0</v>
      </c>
    </row>
    <row r="344" ht="14.25" customHeight="1" spans="1:60" x14ac:dyDescent="0.25">
      <c r="A344" s="29">
        <v>46</v>
      </c>
      <c r="B344" s="14"/>
      <c r="D344" s="14" t="s">
        <v>379</v>
      </c>
      <c r="F344" s="13"/>
      <c r="G344" s="28"/>
      <c r="H344" s="34">
        <f>'2018'!BH344</f>
      </c>
      <c r="I344" s="13"/>
      <c r="J344" s="15"/>
      <c r="K344" s="15"/>
      <c r="L344" s="28"/>
      <c r="Q344" s="13"/>
      <c r="R344" s="15"/>
      <c r="S344" s="15"/>
      <c r="T344" s="28"/>
      <c r="Y344" s="13"/>
      <c r="Z344" s="15"/>
      <c r="AA344" s="15"/>
      <c r="AB344" s="28"/>
      <c r="AG344" s="13"/>
      <c r="AH344" s="15"/>
      <c r="AI344" s="15"/>
      <c r="AJ344" s="28"/>
      <c r="AK344" s="13"/>
      <c r="AL344" s="15"/>
      <c r="AM344" s="15"/>
      <c r="AN344" s="28"/>
      <c r="AO344" s="13"/>
      <c r="AP344" s="15"/>
      <c r="AQ344" s="15"/>
      <c r="AR344" s="28"/>
      <c r="AW344" s="13"/>
      <c r="AX344" s="15"/>
      <c r="AY344" s="15"/>
      <c r="AZ344" s="28"/>
      <c r="BE344" s="14"/>
      <c r="BF344" s="41">
        <f t="shared" ref="BF344:BG344" si="1065">K344+O344+S344+W344+AA344+AE344+AI344+AM344+AQ344+AU344+AY344+BC344</f>
        <v>0</v>
      </c>
      <c r="BG344" s="34">
        <f t="shared" si="1065"/>
        <v>0</v>
      </c>
      <c r="BH344" s="35">
        <f t="shared" ref="BH344:BH350" si="1066">H344+BF344-BG344</f>
        <v>0</v>
      </c>
    </row>
    <row r="345" ht="14.25" customHeight="1" spans="1:60" x14ac:dyDescent="0.25">
      <c r="A345" s="2">
        <v>46</v>
      </c>
      <c r="B345" s="42">
        <v>4</v>
      </c>
      <c r="C345" s="2" t="s">
        <v>188</v>
      </c>
      <c r="D345" s="14" t="s">
        <v>44</v>
      </c>
      <c r="E345" s="2" t="s">
        <v>45</v>
      </c>
      <c r="F345" s="13">
        <v>2.49</v>
      </c>
      <c r="G345" s="35">
        <v>2.5</v>
      </c>
      <c r="H345" s="34">
        <f>'2018'!BH345</f>
        <v>129.48</v>
      </c>
      <c r="I345" s="13">
        <v>2215</v>
      </c>
      <c r="J345" s="15">
        <f>I345-'2018'!BA345</f>
        <v>0</v>
      </c>
      <c r="K345" s="34">
        <f>J345*$F$8</f>
        <v>0</v>
      </c>
      <c r="L345" s="28"/>
      <c r="M345" s="2">
        <v>2215</v>
      </c>
      <c r="N345" s="15">
        <f>M345-I345</f>
        <v>0</v>
      </c>
      <c r="O345" s="34">
        <f>N345*$F$8</f>
        <v>0</v>
      </c>
      <c r="Q345" s="13">
        <v>2215</v>
      </c>
      <c r="R345" s="15">
        <f>Q345-M345</f>
        <v>0</v>
      </c>
      <c r="S345" s="34">
        <f>R345*$F$8</f>
        <v>0</v>
      </c>
      <c r="T345" s="28"/>
      <c r="U345" s="15">
        <v>2217</v>
      </c>
      <c r="V345" s="15">
        <f>U345-Q345</f>
        <v>2</v>
      </c>
      <c r="W345" s="34">
        <f>V345*$F$8</f>
        <v>4.98</v>
      </c>
      <c r="X345" s="34"/>
      <c r="Y345" s="13">
        <v>2312</v>
      </c>
      <c r="Z345" s="15">
        <f>Y345-U345</f>
        <v>95</v>
      </c>
      <c r="AA345" s="34">
        <f>Z345*$F$8</f>
        <v>236.55</v>
      </c>
      <c r="AB345" s="28"/>
      <c r="AC345" s="15">
        <v>2410</v>
      </c>
      <c r="AD345" s="15">
        <f t="shared" ref="AD345:AD346" si="1067">AC345-Y345</f>
        <v>98</v>
      </c>
      <c r="AE345" s="34">
        <f>AD345*$G$8</f>
        <v>245</v>
      </c>
      <c r="AG345" s="13">
        <v>2534</v>
      </c>
      <c r="AH345" s="15">
        <f t="shared" ref="AH345:AH346" si="1068">AG345-AC345</f>
        <v>124</v>
      </c>
      <c r="AI345" s="34">
        <f>AH345*$G$8</f>
        <v>310</v>
      </c>
      <c r="AJ345" s="139">
        <v>926.01</v>
      </c>
      <c r="AK345" s="13">
        <v>2646</v>
      </c>
      <c r="AL345" s="15">
        <f t="shared" ref="AL345:AL346" si="1069">AK345-AG345</f>
        <v>112</v>
      </c>
      <c r="AM345" s="34">
        <f>AL345*$G$8</f>
        <v>280</v>
      </c>
      <c r="AN345" s="134">
        <f>280+200</f>
        <v>480</v>
      </c>
      <c r="AO345" s="13">
        <v>2765</v>
      </c>
      <c r="AP345" s="15">
        <f t="shared" ref="AP345:AP346" si="1070">AO345-AK345</f>
        <v>119</v>
      </c>
      <c r="AQ345" s="34">
        <f>AP345*$G$8</f>
        <v>297.5</v>
      </c>
      <c r="AR345" s="35"/>
      <c r="AS345" s="15">
        <v>2834</v>
      </c>
      <c r="AT345" s="15">
        <f t="shared" ref="AT345:AT346" si="1071">AS345-AO345</f>
        <v>69</v>
      </c>
      <c r="AU345" s="34">
        <f>AT345*$G$8</f>
        <v>172.5</v>
      </c>
      <c r="AV345" s="15"/>
      <c r="AW345" s="13">
        <v>2834</v>
      </c>
      <c r="AX345" s="15">
        <f>AW345-AS345</f>
        <v>0</v>
      </c>
      <c r="AY345" s="34">
        <f>AX345*$G$8</f>
        <v>0</v>
      </c>
      <c r="AZ345" s="28"/>
      <c r="BA345" s="13">
        <v>2834</v>
      </c>
      <c r="BB345" s="15">
        <f>BA345-AW345</f>
        <v>0</v>
      </c>
      <c r="BC345" s="34">
        <f>BB345*$G$8</f>
        <v>0</v>
      </c>
      <c r="BD345" s="15"/>
      <c r="BE345" s="40">
        <f t="shared" ref="BE345:BG345" si="1072">J345+N345+R345+V345+Z345+AD345+AH345+AL345+AP345+AT345+AX345+BB345</f>
        <v>619</v>
      </c>
      <c r="BF345" s="41">
        <f t="shared" si="1072"/>
        <v>1546.53</v>
      </c>
      <c r="BG345" s="34">
        <f t="shared" si="1072"/>
        <v>1406.01</v>
      </c>
      <c r="BH345" s="35">
        <f t="shared" si="1066"/>
        <v>270</v>
      </c>
    </row>
    <row r="346" ht="14.25" customHeight="1" spans="1:60" x14ac:dyDescent="0.25">
      <c r="A346" s="29">
        <v>46</v>
      </c>
      <c r="B346" s="14"/>
      <c r="C346" s="2" t="s">
        <v>98</v>
      </c>
      <c r="D346" s="14" t="s">
        <v>47</v>
      </c>
      <c r="E346" s="2" t="s">
        <v>48</v>
      </c>
      <c r="F346" s="13">
        <v>17.98</v>
      </c>
      <c r="G346" s="35">
        <v>18.56</v>
      </c>
      <c r="H346" s="34">
        <f>'2018'!BH346</f>
        <v>-26.96</v>
      </c>
      <c r="I346" s="13">
        <v>83</v>
      </c>
      <c r="J346" s="15"/>
      <c r="K346" s="15"/>
      <c r="L346" s="28"/>
      <c r="Q346" s="13"/>
      <c r="R346" s="15"/>
      <c r="S346" s="15"/>
      <c r="T346" s="28"/>
      <c r="Y346" s="13">
        <v>92</v>
      </c>
      <c r="Z346" s="15">
        <f>Y346-'2018'!AO346</f>
        <v>9</v>
      </c>
      <c r="AA346" s="34">
        <f>Z346*$F$10</f>
        <v>161.82</v>
      </c>
      <c r="AB346" s="28"/>
      <c r="AC346" s="15">
        <v>92</v>
      </c>
      <c r="AD346" s="15">
        <f t="shared" si="1067"/>
        <v>0</v>
      </c>
      <c r="AE346" s="34">
        <f>AD346*$F$10</f>
        <v>0</v>
      </c>
      <c r="AG346" s="13">
        <v>109</v>
      </c>
      <c r="AH346" s="15">
        <f t="shared" si="1068"/>
        <v>17</v>
      </c>
      <c r="AI346" s="45">
        <f>AH346*$G$10</f>
        <v>315.52</v>
      </c>
      <c r="AJ346" s="139">
        <v>450.38</v>
      </c>
      <c r="AK346" s="13">
        <v>120</v>
      </c>
      <c r="AL346" s="15">
        <f t="shared" si="1069"/>
        <v>11</v>
      </c>
      <c r="AM346" s="45">
        <f>AL346*$G$10</f>
        <v>204.16</v>
      </c>
      <c r="AN346" s="139">
        <f>204.16-0.55</f>
        <v>203.61</v>
      </c>
      <c r="AO346" s="13">
        <v>117</v>
      </c>
      <c r="AP346" s="15">
        <f t="shared" si="1070"/>
        <v>-3</v>
      </c>
      <c r="AQ346" s="45">
        <f>AP346*$G$10</f>
        <v>-55.68</v>
      </c>
      <c r="AR346" s="28"/>
      <c r="AS346" s="13">
        <v>117</v>
      </c>
      <c r="AT346" s="15">
        <f t="shared" si="1071"/>
        <v>0</v>
      </c>
      <c r="AU346" s="45">
        <f>AT346*$G$10</f>
        <v>0</v>
      </c>
      <c r="AV346" s="15"/>
      <c r="AW346" s="13">
        <v>117</v>
      </c>
      <c r="AX346" s="15"/>
      <c r="AY346" s="15"/>
      <c r="AZ346" s="28"/>
      <c r="BA346" s="15">
        <v>117</v>
      </c>
      <c r="BB346" s="15"/>
      <c r="BC346" s="15"/>
      <c r="BD346" s="15"/>
      <c r="BE346" s="40">
        <f t="shared" ref="BE346:BG346" si="1073">J346+N346+R346+V346+Z346+AD346+AH346+AL346+AP346+AT346+AX346+BB346</f>
        <v>34</v>
      </c>
      <c r="BF346" s="41">
        <f t="shared" si="1073"/>
        <v>625.82</v>
      </c>
      <c r="BG346" s="34">
        <f t="shared" si="1073"/>
        <v>653.99</v>
      </c>
      <c r="BH346" s="35">
        <f t="shared" si="1066"/>
        <v>-55.13</v>
      </c>
    </row>
    <row r="347" ht="14.25" customHeight="1" spans="1:60" x14ac:dyDescent="0.25">
      <c r="A347" s="29">
        <v>46</v>
      </c>
      <c r="B347" s="14"/>
      <c r="C347" s="2" t="s">
        <v>190</v>
      </c>
      <c r="D347" s="14" t="s">
        <v>47</v>
      </c>
      <c r="E347" s="2" t="s">
        <v>49</v>
      </c>
      <c r="F347" s="41">
        <v>500</v>
      </c>
      <c r="G347" s="28"/>
      <c r="H347" s="34">
        <f>'2018'!BH347</f>
        <v>0</v>
      </c>
      <c r="I347" s="13"/>
      <c r="J347" s="15"/>
      <c r="K347" s="15"/>
      <c r="L347" s="28"/>
      <c r="Q347" s="13"/>
      <c r="R347" s="15"/>
      <c r="S347" s="15"/>
      <c r="T347" s="28"/>
      <c r="Y347" s="13"/>
      <c r="Z347" s="15"/>
      <c r="AA347" s="15"/>
      <c r="AB347" s="28"/>
      <c r="AG347" s="13"/>
      <c r="AH347" s="15"/>
      <c r="AI347" s="15"/>
      <c r="AJ347" s="28"/>
      <c r="AK347" s="13"/>
      <c r="AL347" s="15"/>
      <c r="AM347" s="34"/>
      <c r="AN347" s="28"/>
      <c r="AO347" s="13"/>
      <c r="AP347" s="15"/>
      <c r="AQ347" s="34"/>
      <c r="AR347" s="28"/>
      <c r="AS347" s="15"/>
      <c r="AT347" s="15"/>
      <c r="AU347" s="15"/>
      <c r="AV347" s="15"/>
      <c r="AW347" s="13"/>
      <c r="AX347" s="15"/>
      <c r="AY347" s="15"/>
      <c r="AZ347" s="28"/>
      <c r="BA347" s="15"/>
      <c r="BB347" s="15"/>
      <c r="BC347" s="15"/>
      <c r="BD347" s="15"/>
      <c r="BE347" s="14"/>
      <c r="BF347" s="41">
        <f t="shared" ref="BF347:BG347" si="1074">K347+O347+S347+W347+AA347+AE347+AI347+AM347+AQ347+AU347+AY347+BC347</f>
        <v>0</v>
      </c>
      <c r="BG347" s="34">
        <f t="shared" si="1074"/>
        <v>0</v>
      </c>
      <c r="BH347" s="35">
        <f t="shared" si="1066"/>
        <v>0</v>
      </c>
    </row>
    <row r="348" ht="14.25" customHeight="1" spans="1:60" x14ac:dyDescent="0.25">
      <c r="A348" s="29">
        <v>46</v>
      </c>
      <c r="B348" s="14"/>
      <c r="C348" s="2" t="s">
        <v>191</v>
      </c>
      <c r="D348" s="14" t="s">
        <v>50</v>
      </c>
      <c r="E348" s="2" t="s">
        <v>49</v>
      </c>
      <c r="F348" s="41">
        <v>1200</v>
      </c>
      <c r="G348" s="28"/>
      <c r="H348" s="34">
        <f>'2018'!BH348</f>
        <v>0</v>
      </c>
      <c r="I348" s="13"/>
      <c r="J348" s="15"/>
      <c r="K348" s="15"/>
      <c r="L348" s="28"/>
      <c r="Q348" s="13"/>
      <c r="R348" s="15"/>
      <c r="S348" s="15"/>
      <c r="T348" s="28"/>
      <c r="Y348" s="13"/>
      <c r="Z348" s="15"/>
      <c r="AA348" s="15"/>
      <c r="AB348" s="28"/>
      <c r="AE348" s="34">
        <f>B345*$F$12</f>
        <v>4800</v>
      </c>
      <c r="AF348" s="34"/>
      <c r="AG348" s="13"/>
      <c r="AH348" s="15"/>
      <c r="AI348" s="15"/>
      <c r="AJ348" s="134">
        <v>4800</v>
      </c>
      <c r="AK348" s="13"/>
      <c r="AL348" s="15"/>
      <c r="AM348" s="15"/>
      <c r="AN348" s="28"/>
      <c r="AO348" s="13"/>
      <c r="AP348" s="15"/>
      <c r="AQ348" s="15"/>
      <c r="AR348" s="28"/>
      <c r="AS348" s="15"/>
      <c r="AT348" s="15"/>
      <c r="AU348" s="15"/>
      <c r="AV348" s="15"/>
      <c r="AW348" s="13"/>
      <c r="AX348" s="15"/>
      <c r="AY348" s="15"/>
      <c r="AZ348" s="28"/>
      <c r="BA348" s="15"/>
      <c r="BB348" s="15"/>
      <c r="BC348" s="15"/>
      <c r="BD348" s="15"/>
      <c r="BE348" s="14"/>
      <c r="BF348" s="41">
        <f t="shared" ref="BF348:BG348" si="1075">K348+O348+S348+W348+AA348+AE348+AI348+AM348+AQ348+AU348+AY348+BC348</f>
        <v>4800</v>
      </c>
      <c r="BG348" s="34">
        <f t="shared" si="1075"/>
        <v>4800</v>
      </c>
      <c r="BH348" s="35">
        <f t="shared" si="1066"/>
        <v>0</v>
      </c>
    </row>
    <row r="349" ht="14.25" customHeight="1" spans="1:60" x14ac:dyDescent="0.25">
      <c r="A349" s="29">
        <v>46</v>
      </c>
      <c r="B349" s="14"/>
      <c r="D349" s="14" t="s">
        <v>51</v>
      </c>
      <c r="E349" s="2" t="s">
        <v>49</v>
      </c>
      <c r="F349" s="41">
        <v>1000</v>
      </c>
      <c r="G349" s="28"/>
      <c r="H349" s="34">
        <f>'2018'!BH349</f>
        <v>0</v>
      </c>
      <c r="I349" s="13"/>
      <c r="J349" s="15"/>
      <c r="K349" s="15"/>
      <c r="L349" s="28"/>
      <c r="Q349" s="13"/>
      <c r="R349" s="15"/>
      <c r="S349" s="15"/>
      <c r="T349" s="28"/>
      <c r="Y349" s="13"/>
      <c r="Z349" s="15"/>
      <c r="AA349" s="15"/>
      <c r="AB349" s="28"/>
      <c r="AE349" s="34">
        <f>$F$21</f>
        <v>1000</v>
      </c>
      <c r="AG349" s="13"/>
      <c r="AH349" s="15"/>
      <c r="AI349" s="15"/>
      <c r="AJ349" s="139">
        <v>323.61</v>
      </c>
      <c r="AK349" s="13"/>
      <c r="AL349" s="15"/>
      <c r="AM349" s="15"/>
      <c r="AN349" s="139">
        <v>676.39</v>
      </c>
      <c r="AO349" s="13"/>
      <c r="AP349" s="15"/>
      <c r="AQ349" s="15"/>
      <c r="AR349" s="28"/>
      <c r="AS349" s="15"/>
      <c r="AT349" s="15"/>
      <c r="AU349" s="15"/>
      <c r="AV349" s="15"/>
      <c r="AW349" s="13"/>
      <c r="AX349" s="15"/>
      <c r="AY349" s="15"/>
      <c r="AZ349" s="28"/>
      <c r="BA349" s="15"/>
      <c r="BB349" s="15"/>
      <c r="BC349" s="15"/>
      <c r="BD349" s="15"/>
      <c r="BE349" s="14"/>
      <c r="BF349" s="41">
        <f t="shared" ref="BF349:BG349" si="1076">K349+O349+S349+W349+AA349+AE349+AI349+AM349+AQ349+AU349+AY349+BC349</f>
        <v>1000</v>
      </c>
      <c r="BG349" s="34">
        <f t="shared" si="1076"/>
        <v>1000</v>
      </c>
      <c r="BH349" s="35">
        <f t="shared" si="1066"/>
        <v>0</v>
      </c>
    </row>
    <row r="350" ht="14.25" customHeight="1" spans="1:60" x14ac:dyDescent="0.25">
      <c r="A350" s="29">
        <v>46</v>
      </c>
      <c r="B350" s="14"/>
      <c r="D350" s="14" t="s">
        <v>52</v>
      </c>
      <c r="E350" s="2" t="s">
        <v>39</v>
      </c>
      <c r="F350" s="41">
        <v>500</v>
      </c>
      <c r="G350" s="28"/>
      <c r="H350" s="34">
        <f>'2018'!BH350</f>
        <v>0</v>
      </c>
      <c r="I350" s="13"/>
      <c r="J350" s="15"/>
      <c r="K350" s="15"/>
      <c r="L350" s="28"/>
      <c r="Q350" s="13"/>
      <c r="R350" s="15"/>
      <c r="S350" s="15"/>
      <c r="T350" s="28"/>
      <c r="Y350" s="13"/>
      <c r="Z350" s="15"/>
      <c r="AA350" s="34">
        <f>$F$14</f>
        <v>500</v>
      </c>
      <c r="AB350" s="28"/>
      <c r="AG350" s="13"/>
      <c r="AH350" s="15"/>
      <c r="AI350" s="15"/>
      <c r="AJ350" s="134">
        <v>500</v>
      </c>
      <c r="AK350" s="13"/>
      <c r="AL350" s="15"/>
      <c r="AM350" s="15"/>
      <c r="AN350" s="28"/>
      <c r="AO350" s="13"/>
      <c r="AP350" s="15"/>
      <c r="AQ350" s="15"/>
      <c r="AR350" s="28"/>
      <c r="AS350" s="15"/>
      <c r="AT350" s="15"/>
      <c r="AU350" s="15"/>
      <c r="AV350" s="15"/>
      <c r="AW350" s="13"/>
      <c r="AX350" s="15"/>
      <c r="AY350" s="15"/>
      <c r="AZ350" s="28"/>
      <c r="BA350" s="15"/>
      <c r="BB350" s="15"/>
      <c r="BC350" s="15"/>
      <c r="BD350" s="15"/>
      <c r="BE350" s="14"/>
      <c r="BF350" s="41">
        <f t="shared" ref="BF350:BG350" si="1077">K350+O350+S350+W350+AA350+AE350+AI350+AM350+AQ350+AU350+AY350+BC350</f>
        <v>500</v>
      </c>
      <c r="BG350" s="34">
        <f t="shared" si="1077"/>
        <v>500</v>
      </c>
      <c r="BH350" s="35">
        <f t="shared" si="1066"/>
        <v>0</v>
      </c>
    </row>
    <row r="351" ht="14.25" customHeight="1" spans="1:62" x14ac:dyDescent="0.25">
      <c r="A351" s="50">
        <v>46</v>
      </c>
      <c r="B351" s="21"/>
      <c r="C351" s="22" t="s">
        <v>53</v>
      </c>
      <c r="D351" s="21"/>
      <c r="E351" s="22"/>
      <c r="F351" s="20"/>
      <c r="G351" s="23"/>
      <c r="H351" s="51">
        <f>SUM(H344:H350)</f>
        <v>102.52</v>
      </c>
      <c r="I351" s="52"/>
      <c r="J351" s="53"/>
      <c r="K351" s="51">
        <f t="shared" ref="K351:L351" si="1078">SUM(K344:K350)</f>
        <v>0</v>
      </c>
      <c r="L351" s="68">
        <f t="shared" si="1078"/>
        <v>0</v>
      </c>
      <c r="M351" s="53"/>
      <c r="N351" s="53"/>
      <c r="O351" s="51">
        <f t="shared" ref="O351:P351" si="1079">SUM(O345:O350)</f>
        <v>0</v>
      </c>
      <c r="P351" s="51">
        <f t="shared" si="1079"/>
        <v>0</v>
      </c>
      <c r="Q351" s="52"/>
      <c r="R351" s="53"/>
      <c r="S351" s="51">
        <f t="shared" ref="S351:T351" si="1080">SUM(S345:S350)</f>
        <v>0</v>
      </c>
      <c r="T351" s="68">
        <f t="shared" si="1080"/>
        <v>0</v>
      </c>
      <c r="U351" s="53"/>
      <c r="V351" s="53"/>
      <c r="W351" s="51">
        <f t="shared" ref="W351:X351" si="1081">SUM(W345:W350)</f>
        <v>4.98</v>
      </c>
      <c r="X351" s="51">
        <f t="shared" si="1081"/>
        <v>0</v>
      </c>
      <c r="Y351" s="52"/>
      <c r="Z351" s="53"/>
      <c r="AA351" s="51">
        <f t="shared" ref="AA351:AB351" si="1082">SUM(AA345:AA350)</f>
        <v>898.37</v>
      </c>
      <c r="AB351" s="68">
        <f t="shared" si="1082"/>
        <v>0</v>
      </c>
      <c r="AC351" s="53"/>
      <c r="AD351" s="53"/>
      <c r="AE351" s="51">
        <f t="shared" ref="AE351:AF351" si="1083">SUM(AE345:AE350)</f>
        <v>6045</v>
      </c>
      <c r="AF351" s="51">
        <f t="shared" si="1083"/>
        <v>0</v>
      </c>
      <c r="AG351" s="52"/>
      <c r="AH351" s="53"/>
      <c r="AI351" s="51">
        <f t="shared" ref="AI351:AJ351" si="1084">SUM(AI345:AI350)</f>
        <v>625.52</v>
      </c>
      <c r="AJ351" s="68">
        <f t="shared" si="1084"/>
        <v>7000</v>
      </c>
      <c r="AK351" s="52"/>
      <c r="AL351" s="53"/>
      <c r="AM351" s="51">
        <f t="shared" ref="AM351:AN351" si="1085">SUM(AM345:AM350)</f>
        <v>484.16</v>
      </c>
      <c r="AN351" s="68">
        <f t="shared" si="1085"/>
        <v>1360</v>
      </c>
      <c r="AO351" s="52"/>
      <c r="AP351" s="53"/>
      <c r="AQ351" s="51">
        <f t="shared" ref="AQ351:AR351" si="1086">SUM(AQ344:AQ350)</f>
        <v>241.82</v>
      </c>
      <c r="AR351" s="68">
        <f t="shared" si="1086"/>
        <v>0</v>
      </c>
      <c r="AS351" s="53"/>
      <c r="AT351" s="53"/>
      <c r="AU351" s="51">
        <f t="shared" ref="AU351:AV351" si="1087">SUM(AU344:AU350)</f>
        <v>172.5</v>
      </c>
      <c r="AV351" s="68">
        <f t="shared" si="1087"/>
        <v>0</v>
      </c>
      <c r="AW351" s="52"/>
      <c r="AX351" s="53"/>
      <c r="AY351" s="51">
        <f t="shared" ref="AY351:AZ351" si="1088">SUM(AY344:AY350)</f>
        <v>0</v>
      </c>
      <c r="AZ351" s="68">
        <f t="shared" si="1088"/>
        <v>0</v>
      </c>
      <c r="BA351" s="53"/>
      <c r="BB351" s="53"/>
      <c r="BC351" s="51">
        <f t="shared" ref="BC351:BD351" si="1089">SUM(BC344:BC350)</f>
        <v>0</v>
      </c>
      <c r="BD351" s="68">
        <f t="shared" si="1089"/>
        <v>0</v>
      </c>
      <c r="BE351" s="69"/>
      <c r="BF351" s="70">
        <f t="shared" ref="BF351:BH351" si="1090">SUM(BF344:BF350)</f>
        <v>8472.35</v>
      </c>
      <c r="BG351" s="71">
        <f t="shared" si="1090"/>
        <v>8360</v>
      </c>
      <c r="BH351" s="72">
        <f t="shared" si="1090"/>
        <v>214.87</v>
      </c>
      <c r="BI351" s="34">
        <f>H351+BF351-BG351</f>
        <v>214.87</v>
      </c>
      <c r="BJ351" s="34">
        <f>BH351-BI351</f>
        <v>0</v>
      </c>
    </row>
    <row r="352" ht="14.25" customHeight="1" spans="1:60" x14ac:dyDescent="0.25">
      <c r="A352" s="29">
        <v>47</v>
      </c>
      <c r="B352" s="14"/>
      <c r="D352" s="14" t="s">
        <v>379</v>
      </c>
      <c r="F352" s="13"/>
      <c r="G352" s="28"/>
      <c r="H352" s="34">
        <f>'2018'!BH352</f>
      </c>
      <c r="I352" s="13"/>
      <c r="J352" s="15"/>
      <c r="K352" s="15"/>
      <c r="L352" s="28"/>
      <c r="Q352" s="13"/>
      <c r="R352" s="15"/>
      <c r="S352" s="15"/>
      <c r="T352" s="28"/>
      <c r="Y352" s="13"/>
      <c r="Z352" s="15"/>
      <c r="AA352" s="15"/>
      <c r="AB352" s="28"/>
      <c r="AG352" s="13"/>
      <c r="AH352" s="15"/>
      <c r="AI352" s="15"/>
      <c r="AJ352" s="28"/>
      <c r="AK352" s="13"/>
      <c r="AL352" s="15"/>
      <c r="AM352" s="15"/>
      <c r="AN352" s="28"/>
      <c r="AO352" s="13"/>
      <c r="AP352" s="15"/>
      <c r="AQ352" s="15"/>
      <c r="AR352" s="28"/>
      <c r="AW352" s="13"/>
      <c r="AX352" s="15"/>
      <c r="AY352" s="15"/>
      <c r="AZ352" s="28"/>
      <c r="BE352" s="14"/>
      <c r="BF352" s="41">
        <f t="shared" ref="BF352:BG352" si="1091">K352+O352+S352+W352+AA352+AE352+AI352+AM352+AQ352+AU352+AY352+BC352</f>
        <v>0</v>
      </c>
      <c r="BG352" s="34">
        <f t="shared" si="1091"/>
        <v>0</v>
      </c>
      <c r="BH352" s="35">
        <f t="shared" ref="BH352:BH358" si="1092">H352+BF352-BG352</f>
        <v>0</v>
      </c>
    </row>
    <row r="353" ht="14.25" customHeight="1" spans="1:60" x14ac:dyDescent="0.25">
      <c r="A353" s="2">
        <v>47</v>
      </c>
      <c r="B353" s="42">
        <v>5</v>
      </c>
      <c r="C353" s="2" t="s">
        <v>192</v>
      </c>
      <c r="D353" s="14" t="s">
        <v>44</v>
      </c>
      <c r="E353" s="2" t="s">
        <v>45</v>
      </c>
      <c r="F353" s="13">
        <v>2.49</v>
      </c>
      <c r="G353" s="35">
        <v>2.5</v>
      </c>
      <c r="H353" s="34">
        <f>'2018'!BH353</f>
        <v>0</v>
      </c>
      <c r="I353" s="13">
        <v>165</v>
      </c>
      <c r="J353" s="15">
        <f>I353-'2018'!BA353</f>
        <v>0</v>
      </c>
      <c r="K353" s="34">
        <f>J353*$F$8</f>
        <v>0</v>
      </c>
      <c r="L353" s="28"/>
      <c r="M353" s="2">
        <v>165</v>
      </c>
      <c r="N353" s="15">
        <f>M353-I353</f>
        <v>0</v>
      </c>
      <c r="O353" s="34">
        <f>N353*$F$8</f>
        <v>0</v>
      </c>
      <c r="Q353" s="13">
        <v>165</v>
      </c>
      <c r="R353" s="15">
        <f>Q353-M353</f>
        <v>0</v>
      </c>
      <c r="S353" s="34">
        <f>R353*$F$8</f>
        <v>0</v>
      </c>
      <c r="T353" s="28"/>
      <c r="U353" s="15">
        <v>165</v>
      </c>
      <c r="V353" s="15">
        <f>U353-Q353</f>
        <v>0</v>
      </c>
      <c r="W353" s="34">
        <f>V353*$F$8</f>
        <v>0</v>
      </c>
      <c r="X353" s="15"/>
      <c r="Y353" s="13">
        <v>165</v>
      </c>
      <c r="Z353" s="15">
        <f>Y353-U353</f>
        <v>0</v>
      </c>
      <c r="AA353" s="34">
        <f>Z353*$F$8</f>
        <v>0</v>
      </c>
      <c r="AB353" s="28"/>
      <c r="AC353" s="15">
        <v>165</v>
      </c>
      <c r="AD353" s="15">
        <f t="shared" ref="AD353:AD354" si="1093">AC353-Y353</f>
        <v>0</v>
      </c>
      <c r="AE353" s="34">
        <f>AD353*$G$8</f>
        <v>0</v>
      </c>
      <c r="AG353" s="13">
        <v>165</v>
      </c>
      <c r="AH353" s="15">
        <f t="shared" ref="AH353:AH354" si="1094">AG353-AC353</f>
        <v>0</v>
      </c>
      <c r="AI353" s="34">
        <f>AH353*$G$8</f>
        <v>0</v>
      </c>
      <c r="AJ353" s="28"/>
      <c r="AK353" s="13">
        <v>165</v>
      </c>
      <c r="AL353" s="15">
        <f t="shared" ref="AL353:AL354" si="1095">AK353-AG353</f>
        <v>0</v>
      </c>
      <c r="AM353" s="34">
        <f>AL353*$G$8</f>
        <v>0</v>
      </c>
      <c r="AN353" s="28"/>
      <c r="AO353" s="13">
        <v>165</v>
      </c>
      <c r="AP353" s="15">
        <f t="shared" ref="AP353:AP354" si="1096">AO353-AK353</f>
        <v>0</v>
      </c>
      <c r="AQ353" s="34">
        <f>AP353*$G$8</f>
        <v>0</v>
      </c>
      <c r="AR353" s="28"/>
      <c r="AS353" s="75">
        <v>165</v>
      </c>
      <c r="AT353" s="15">
        <f t="shared" ref="AT353:AT354" si="1097">AS353-AO353</f>
        <v>0</v>
      </c>
      <c r="AU353" s="34">
        <f>AT353*$G$8</f>
        <v>0</v>
      </c>
      <c r="AV353" s="15"/>
      <c r="AW353" s="13">
        <v>165</v>
      </c>
      <c r="AX353" s="15">
        <f>AW353-AS353</f>
        <v>0</v>
      </c>
      <c r="AY353" s="34">
        <f>AX353*$G$8</f>
        <v>0</v>
      </c>
      <c r="AZ353" s="28"/>
      <c r="BA353" s="13">
        <v>165</v>
      </c>
      <c r="BB353" s="15">
        <f>BA353-AW353</f>
        <v>0</v>
      </c>
      <c r="BC353" s="34">
        <f>BB353*$G$8</f>
        <v>0</v>
      </c>
      <c r="BD353" s="15"/>
      <c r="BE353" s="40">
        <f t="shared" ref="BE353:BG353" si="1098">J353+N353+R353+V353+Z353+AD353+AH353+AL353+AP353+AT353+AX353+BB353</f>
        <v>0</v>
      </c>
      <c r="BF353" s="41">
        <f t="shared" si="1098"/>
        <v>0</v>
      </c>
      <c r="BG353" s="34">
        <f t="shared" si="1098"/>
        <v>0</v>
      </c>
      <c r="BH353" s="35">
        <f t="shared" si="1092"/>
        <v>0</v>
      </c>
    </row>
    <row r="354" ht="14.25" customHeight="1" spans="1:60" x14ac:dyDescent="0.25">
      <c r="A354" s="29">
        <v>47</v>
      </c>
      <c r="B354" s="14"/>
      <c r="C354" s="2" t="s">
        <v>193</v>
      </c>
      <c r="D354" s="14" t="s">
        <v>47</v>
      </c>
      <c r="E354" s="2" t="s">
        <v>48</v>
      </c>
      <c r="F354" s="13">
        <v>17.98</v>
      </c>
      <c r="G354" s="28">
        <v>18.56</v>
      </c>
      <c r="H354" s="34">
        <f>'2018'!BH354</f>
        <v>0</v>
      </c>
      <c r="I354" s="13">
        <v>9</v>
      </c>
      <c r="J354" s="15"/>
      <c r="K354" s="15"/>
      <c r="L354" s="28"/>
      <c r="Q354" s="13"/>
      <c r="R354" s="15"/>
      <c r="S354" s="15"/>
      <c r="T354" s="28"/>
      <c r="Y354" s="13">
        <v>9</v>
      </c>
      <c r="Z354" s="15">
        <f>Y354-'2018'!AO354</f>
        <v>0</v>
      </c>
      <c r="AA354" s="34">
        <f>Z354*$F$10</f>
        <v>0</v>
      </c>
      <c r="AB354" s="28"/>
      <c r="AC354" s="15">
        <v>10</v>
      </c>
      <c r="AD354" s="15">
        <f t="shared" si="1093"/>
        <v>1</v>
      </c>
      <c r="AE354" s="34">
        <f>AD354*$F$10</f>
        <v>17.98</v>
      </c>
      <c r="AG354" s="13">
        <v>10</v>
      </c>
      <c r="AH354" s="15">
        <f t="shared" si="1094"/>
        <v>0</v>
      </c>
      <c r="AI354" s="45">
        <f>AH354*$G$10</f>
        <v>0</v>
      </c>
      <c r="AJ354" s="28"/>
      <c r="AK354" s="15">
        <v>13</v>
      </c>
      <c r="AL354" s="15">
        <f t="shared" si="1095"/>
        <v>3</v>
      </c>
      <c r="AM354" s="45">
        <f>AL354*$G$10</f>
        <v>55.68</v>
      </c>
      <c r="AN354" s="28"/>
      <c r="AO354" s="13">
        <v>12</v>
      </c>
      <c r="AP354" s="15">
        <f t="shared" si="1096"/>
        <v>-1</v>
      </c>
      <c r="AQ354" s="45">
        <f>AP354*$G$10</f>
        <v>-18.56</v>
      </c>
      <c r="AR354" s="28"/>
      <c r="AS354" s="13">
        <v>12</v>
      </c>
      <c r="AT354" s="15">
        <f t="shared" si="1097"/>
        <v>0</v>
      </c>
      <c r="AU354" s="45">
        <f>AT354*$G$10</f>
        <v>0</v>
      </c>
      <c r="AV354" s="15"/>
      <c r="AW354" s="13">
        <v>12</v>
      </c>
      <c r="AX354" s="15"/>
      <c r="AY354" s="15"/>
      <c r="AZ354" s="28"/>
      <c r="BA354" s="15">
        <v>12</v>
      </c>
      <c r="BB354" s="15"/>
      <c r="BC354" s="15"/>
      <c r="BD354" s="15"/>
      <c r="BE354" s="40">
        <f t="shared" ref="BE354:BG354" si="1099">J354+N354+R354+V354+Z354+AD354+AH354+AL354+AP354+AT354+AX354+BB354</f>
        <v>3</v>
      </c>
      <c r="BF354" s="41">
        <f t="shared" si="1099"/>
        <v>55.1</v>
      </c>
      <c r="BG354" s="34">
        <f t="shared" si="1099"/>
        <v>0</v>
      </c>
      <c r="BH354" s="35">
        <f t="shared" si="1092"/>
        <v>55.1</v>
      </c>
    </row>
    <row r="355" ht="14.25" customHeight="1" spans="1:60" x14ac:dyDescent="0.25">
      <c r="A355" s="29">
        <v>47</v>
      </c>
      <c r="B355" s="14"/>
      <c r="C355" s="2" t="s">
        <v>194</v>
      </c>
      <c r="D355" s="14" t="s">
        <v>47</v>
      </c>
      <c r="E355" s="2" t="s">
        <v>49</v>
      </c>
      <c r="F355" s="41">
        <v>500</v>
      </c>
      <c r="G355" s="28"/>
      <c r="H355" s="34">
        <f>'2018'!BH355</f>
        <v>0</v>
      </c>
      <c r="I355" s="13"/>
      <c r="J355" s="15"/>
      <c r="K355" s="15"/>
      <c r="L355" s="28"/>
      <c r="Q355" s="13"/>
      <c r="R355" s="15"/>
      <c r="S355" s="15"/>
      <c r="T355" s="28"/>
      <c r="Y355" s="13"/>
      <c r="Z355" s="15"/>
      <c r="AA355" s="15"/>
      <c r="AB355" s="28"/>
      <c r="AG355" s="13"/>
      <c r="AH355" s="15"/>
      <c r="AI355" s="15"/>
      <c r="AJ355" s="28"/>
      <c r="AK355" s="13"/>
      <c r="AL355" s="15"/>
      <c r="AM355" s="34"/>
      <c r="AN355" s="28"/>
      <c r="AO355" s="13"/>
      <c r="AP355" s="15"/>
      <c r="AQ355" s="34"/>
      <c r="AR355" s="28"/>
      <c r="AS355" s="15"/>
      <c r="AT355" s="15"/>
      <c r="AU355" s="15"/>
      <c r="AV355" s="15"/>
      <c r="AW355" s="13"/>
      <c r="AX355" s="15"/>
      <c r="AY355" s="15"/>
      <c r="AZ355" s="28"/>
      <c r="BA355" s="15"/>
      <c r="BB355" s="15"/>
      <c r="BC355" s="15"/>
      <c r="BD355" s="15"/>
      <c r="BE355" s="14"/>
      <c r="BF355" s="41">
        <f t="shared" ref="BF355:BG355" si="1100">K355+O355+S355+W355+AA355+AE355+AI355+AM355+AQ355+AU355+AY355+BC355</f>
        <v>0</v>
      </c>
      <c r="BG355" s="34">
        <f t="shared" si="1100"/>
        <v>0</v>
      </c>
      <c r="BH355" s="35">
        <f t="shared" si="1092"/>
        <v>0</v>
      </c>
    </row>
    <row r="356" ht="14.25" customHeight="1" spans="1:60" x14ac:dyDescent="0.25">
      <c r="A356" s="29">
        <v>47</v>
      </c>
      <c r="B356" s="14"/>
      <c r="C356" s="2" t="s">
        <v>195</v>
      </c>
      <c r="D356" s="14" t="s">
        <v>50</v>
      </c>
      <c r="E356" s="2" t="s">
        <v>49</v>
      </c>
      <c r="F356" s="41">
        <v>1200</v>
      </c>
      <c r="G356" s="28"/>
      <c r="H356" s="34">
        <f>'2018'!BH356</f>
        <v>0</v>
      </c>
      <c r="I356" s="13"/>
      <c r="J356" s="15"/>
      <c r="K356" s="15"/>
      <c r="L356" s="28"/>
      <c r="Q356" s="13"/>
      <c r="R356" s="15"/>
      <c r="S356" s="15"/>
      <c r="T356" s="28"/>
      <c r="Y356" s="13"/>
      <c r="Z356" s="15"/>
      <c r="AA356" s="15"/>
      <c r="AB356" s="28"/>
      <c r="AE356" s="34">
        <f>B353*$F$12</f>
        <v>6000</v>
      </c>
      <c r="AF356" s="34"/>
      <c r="AG356" s="13"/>
      <c r="AH356" s="15"/>
      <c r="AI356" s="15"/>
      <c r="AJ356" s="38">
        <v>6000</v>
      </c>
      <c r="AK356" s="13"/>
      <c r="AL356" s="15"/>
      <c r="AM356" s="15"/>
      <c r="AN356" s="28"/>
      <c r="AO356" s="13"/>
      <c r="AP356" s="15"/>
      <c r="AQ356" s="15"/>
      <c r="AR356" s="28"/>
      <c r="AS356" s="15"/>
      <c r="AT356" s="15"/>
      <c r="AU356" s="15"/>
      <c r="AV356" s="15"/>
      <c r="AW356" s="13"/>
      <c r="AX356" s="15"/>
      <c r="AY356" s="15"/>
      <c r="AZ356" s="28"/>
      <c r="BA356" s="15"/>
      <c r="BB356" s="15"/>
      <c r="BC356" s="15"/>
      <c r="BD356" s="15"/>
      <c r="BE356" s="14"/>
      <c r="BF356" s="41">
        <f t="shared" ref="BF356:BG356" si="1101">K356+O356+S356+W356+AA356+AE356+AI356+AM356+AQ356+AU356+AY356+BC356</f>
        <v>6000</v>
      </c>
      <c r="BG356" s="34">
        <f t="shared" si="1101"/>
        <v>6000</v>
      </c>
      <c r="BH356" s="35">
        <f t="shared" si="1092"/>
        <v>0</v>
      </c>
    </row>
    <row r="357" ht="14.25" customHeight="1" spans="1:60" x14ac:dyDescent="0.25">
      <c r="A357" s="29">
        <v>47</v>
      </c>
      <c r="B357" s="14"/>
      <c r="C357" s="2" t="s">
        <v>417</v>
      </c>
      <c r="D357" s="14" t="s">
        <v>51</v>
      </c>
      <c r="E357" s="2" t="s">
        <v>49</v>
      </c>
      <c r="F357" s="41">
        <v>1000</v>
      </c>
      <c r="G357" s="28"/>
      <c r="H357" s="34">
        <f>'2018'!BH357</f>
        <v>0</v>
      </c>
      <c r="I357" s="13"/>
      <c r="J357" s="15"/>
      <c r="K357" s="15"/>
      <c r="L357" s="28"/>
      <c r="Q357" s="13"/>
      <c r="R357" s="15"/>
      <c r="S357" s="15"/>
      <c r="T357" s="28"/>
      <c r="Y357" s="13"/>
      <c r="Z357" s="15"/>
      <c r="AA357" s="15"/>
      <c r="AB357" s="28"/>
      <c r="AE357" s="34">
        <f>$F$21</f>
        <v>1000</v>
      </c>
      <c r="AG357" s="13"/>
      <c r="AH357" s="15"/>
      <c r="AI357" s="15"/>
      <c r="AJ357" s="38">
        <v>1000</v>
      </c>
      <c r="AK357" s="13"/>
      <c r="AL357" s="15"/>
      <c r="AM357" s="15"/>
      <c r="AN357" s="28"/>
      <c r="AO357" s="13"/>
      <c r="AP357" s="15"/>
      <c r="AQ357" s="15"/>
      <c r="AR357" s="28"/>
      <c r="AS357" s="15"/>
      <c r="AT357" s="15"/>
      <c r="AU357" s="15"/>
      <c r="AV357" s="15"/>
      <c r="AW357" s="13"/>
      <c r="AX357" s="15"/>
      <c r="AY357" s="15"/>
      <c r="AZ357" s="28"/>
      <c r="BA357" s="15"/>
      <c r="BB357" s="15"/>
      <c r="BC357" s="15"/>
      <c r="BD357" s="15"/>
      <c r="BE357" s="14"/>
      <c r="BF357" s="41">
        <f t="shared" ref="BF357:BG357" si="1102">K357+O357+S357+W357+AA357+AE357+AI357+AM357+AQ357+AU357+AY357+BC357</f>
        <v>1000</v>
      </c>
      <c r="BG357" s="34">
        <f t="shared" si="1102"/>
        <v>1000</v>
      </c>
      <c r="BH357" s="35">
        <f t="shared" si="1092"/>
        <v>0</v>
      </c>
    </row>
    <row r="358" ht="14.25" customHeight="1" spans="1:60" x14ac:dyDescent="0.25">
      <c r="A358" s="29">
        <v>47</v>
      </c>
      <c r="B358" s="14"/>
      <c r="C358" s="2" t="s">
        <v>418</v>
      </c>
      <c r="D358" s="14" t="s">
        <v>52</v>
      </c>
      <c r="E358" s="2" t="s">
        <v>39</v>
      </c>
      <c r="F358" s="41">
        <v>500</v>
      </c>
      <c r="G358" s="28"/>
      <c r="H358" s="34">
        <f>'2018'!BH358</f>
        <v>0</v>
      </c>
      <c r="I358" s="13"/>
      <c r="J358" s="15"/>
      <c r="K358" s="15"/>
      <c r="L358" s="28"/>
      <c r="Q358" s="13"/>
      <c r="R358" s="15"/>
      <c r="S358" s="15"/>
      <c r="T358" s="28"/>
      <c r="Y358" s="13"/>
      <c r="Z358" s="15"/>
      <c r="AA358" s="34">
        <f>$F$14</f>
        <v>500</v>
      </c>
      <c r="AB358" s="35"/>
      <c r="AG358" s="13"/>
      <c r="AH358" s="15"/>
      <c r="AI358" s="15"/>
      <c r="AJ358" s="38">
        <v>500</v>
      </c>
      <c r="AK358" s="13"/>
      <c r="AL358" s="15"/>
      <c r="AM358" s="15"/>
      <c r="AN358" s="28"/>
      <c r="AO358" s="13"/>
      <c r="AP358" s="15"/>
      <c r="AQ358" s="15"/>
      <c r="AR358" s="28"/>
      <c r="AS358" s="15"/>
      <c r="AT358" s="15"/>
      <c r="AU358" s="15"/>
      <c r="AV358" s="15"/>
      <c r="AW358" s="13"/>
      <c r="AX358" s="15"/>
      <c r="AY358" s="15"/>
      <c r="AZ358" s="28"/>
      <c r="BA358" s="15"/>
      <c r="BB358" s="15"/>
      <c r="BC358" s="15"/>
      <c r="BD358" s="15"/>
      <c r="BE358" s="14"/>
      <c r="BF358" s="41">
        <f t="shared" ref="BF358:BG358" si="1103">K358+O358+S358+W358+AA358+AE358+AI358+AM358+AQ358+AU358+AY358+BC358</f>
        <v>500</v>
      </c>
      <c r="BG358" s="34">
        <f t="shared" si="1103"/>
        <v>500</v>
      </c>
      <c r="BH358" s="35">
        <f t="shared" si="1092"/>
        <v>0</v>
      </c>
    </row>
    <row r="359" ht="14.25" customHeight="1" spans="1:62" x14ac:dyDescent="0.25">
      <c r="A359" s="50">
        <v>47</v>
      </c>
      <c r="B359" s="21"/>
      <c r="C359" s="22" t="s">
        <v>53</v>
      </c>
      <c r="D359" s="21"/>
      <c r="E359" s="22"/>
      <c r="F359" s="20"/>
      <c r="G359" s="23"/>
      <c r="H359" s="51">
        <f>SUM(H352:H358)</f>
        <v>0</v>
      </c>
      <c r="I359" s="52"/>
      <c r="J359" s="53"/>
      <c r="K359" s="51">
        <f t="shared" ref="K359:L359" si="1104">SUM(K352:K358)</f>
        <v>0</v>
      </c>
      <c r="L359" s="68">
        <f t="shared" si="1104"/>
        <v>0</v>
      </c>
      <c r="M359" s="53"/>
      <c r="N359" s="53"/>
      <c r="O359" s="51">
        <f t="shared" ref="O359:P359" si="1105">SUM(O353:O358)</f>
        <v>0</v>
      </c>
      <c r="P359" s="51">
        <f t="shared" si="1105"/>
        <v>0</v>
      </c>
      <c r="Q359" s="52"/>
      <c r="R359" s="53"/>
      <c r="S359" s="51">
        <f t="shared" ref="S359:T359" si="1106">SUM(S353:S358)</f>
        <v>0</v>
      </c>
      <c r="T359" s="68">
        <f t="shared" si="1106"/>
        <v>0</v>
      </c>
      <c r="U359" s="53"/>
      <c r="V359" s="53"/>
      <c r="W359" s="51">
        <f t="shared" ref="W359:X359" si="1107">SUM(W353:W358)</f>
        <v>0</v>
      </c>
      <c r="X359" s="51">
        <f t="shared" si="1107"/>
        <v>0</v>
      </c>
      <c r="Y359" s="52"/>
      <c r="Z359" s="53"/>
      <c r="AA359" s="51">
        <f t="shared" ref="AA359:AB359" si="1108">SUM(AA353:AA358)</f>
        <v>500</v>
      </c>
      <c r="AB359" s="68">
        <f t="shared" si="1108"/>
        <v>0</v>
      </c>
      <c r="AC359" s="53"/>
      <c r="AD359" s="53"/>
      <c r="AE359" s="51">
        <f t="shared" ref="AE359:AF359" si="1109">SUM(AE353:AE358)</f>
        <v>7017.98</v>
      </c>
      <c r="AF359" s="51">
        <f t="shared" si="1109"/>
        <v>0</v>
      </c>
      <c r="AG359" s="52"/>
      <c r="AH359" s="53"/>
      <c r="AI359" s="51">
        <f t="shared" ref="AI359:AJ359" si="1110">SUM(AI353:AI358)</f>
        <v>0</v>
      </c>
      <c r="AJ359" s="68">
        <f t="shared" si="1110"/>
        <v>7500</v>
      </c>
      <c r="AK359" s="52"/>
      <c r="AL359" s="53"/>
      <c r="AM359" s="51">
        <f t="shared" ref="AM359:AN359" si="1111">SUM(AM353:AM358)</f>
        <v>55.68</v>
      </c>
      <c r="AN359" s="68">
        <f t="shared" si="1111"/>
        <v>0</v>
      </c>
      <c r="AO359" s="52"/>
      <c r="AP359" s="53"/>
      <c r="AQ359" s="51">
        <f t="shared" ref="AQ359:AR359" si="1112">SUM(AQ352:AQ358)</f>
        <v>-18.56</v>
      </c>
      <c r="AR359" s="68">
        <f t="shared" si="1112"/>
        <v>0</v>
      </c>
      <c r="AS359" s="53"/>
      <c r="AT359" s="53"/>
      <c r="AU359" s="51">
        <f t="shared" ref="AU359:AV359" si="1113">SUM(AU352:AU358)</f>
        <v>0</v>
      </c>
      <c r="AV359" s="68">
        <f t="shared" si="1113"/>
        <v>0</v>
      </c>
      <c r="AW359" s="52"/>
      <c r="AX359" s="53"/>
      <c r="AY359" s="51">
        <f t="shared" ref="AY359:AZ359" si="1114">SUM(AY352:AY358)</f>
        <v>0</v>
      </c>
      <c r="AZ359" s="68">
        <f t="shared" si="1114"/>
        <v>0</v>
      </c>
      <c r="BA359" s="53"/>
      <c r="BB359" s="53"/>
      <c r="BC359" s="51">
        <f t="shared" ref="BC359:BD359" si="1115">SUM(BC352:BC358)</f>
        <v>0</v>
      </c>
      <c r="BD359" s="68">
        <f t="shared" si="1115"/>
        <v>0</v>
      </c>
      <c r="BE359" s="69"/>
      <c r="BF359" s="70">
        <f t="shared" ref="BF359:BH359" si="1116">SUM(BF352:BF358)</f>
        <v>7555.1</v>
      </c>
      <c r="BG359" s="71">
        <f t="shared" si="1116"/>
        <v>7500</v>
      </c>
      <c r="BH359" s="72">
        <f t="shared" si="1116"/>
        <v>55.1</v>
      </c>
      <c r="BI359" s="34">
        <f>H359+BF359-BG359</f>
        <v>55.1</v>
      </c>
      <c r="BJ359" s="34">
        <f>BH359-BI359</f>
        <v>0</v>
      </c>
    </row>
    <row r="360" ht="14.25" customHeight="1" spans="1:60" x14ac:dyDescent="0.25">
      <c r="A360" s="29">
        <v>48</v>
      </c>
      <c r="B360" s="14"/>
      <c r="D360" s="14" t="s">
        <v>379</v>
      </c>
      <c r="F360" s="13"/>
      <c r="G360" s="28"/>
      <c r="H360" s="34">
        <f>'2018'!BH360</f>
      </c>
      <c r="I360" s="13"/>
      <c r="J360" s="15"/>
      <c r="K360" s="15"/>
      <c r="L360" s="28"/>
      <c r="Q360" s="13"/>
      <c r="R360" s="15"/>
      <c r="S360" s="15"/>
      <c r="T360" s="28"/>
      <c r="Y360" s="13"/>
      <c r="Z360" s="15"/>
      <c r="AA360" s="15"/>
      <c r="AB360" s="28"/>
      <c r="AG360" s="13"/>
      <c r="AH360" s="15"/>
      <c r="AI360" s="15"/>
      <c r="AJ360" s="28"/>
      <c r="AK360" s="13"/>
      <c r="AL360" s="15"/>
      <c r="AM360" s="15"/>
      <c r="AN360" s="28"/>
      <c r="AO360" s="13"/>
      <c r="AP360" s="15"/>
      <c r="AQ360" s="15">
        <v>17.86</v>
      </c>
      <c r="AR360" s="28"/>
      <c r="AW360" s="13"/>
      <c r="AX360" s="15"/>
      <c r="AY360" s="15"/>
      <c r="AZ360" s="28"/>
      <c r="BE360" s="14"/>
      <c r="BF360" s="41">
        <f t="shared" ref="BF360:BG360" si="1117">K360+O360+S360+W360+AA360+AE360+AI360+AM360+AQ360+AU360+AY360+BC360</f>
        <v>17.86</v>
      </c>
      <c r="BG360" s="34">
        <f t="shared" si="1117"/>
        <v>0</v>
      </c>
      <c r="BH360" s="35">
        <f t="shared" ref="BH360:BH366" si="1118">H360+BF360-BG360</f>
        <v>17.86</v>
      </c>
    </row>
    <row r="361" ht="14.25" customHeight="1" spans="1:60" x14ac:dyDescent="0.25">
      <c r="A361" s="2">
        <v>48</v>
      </c>
      <c r="B361" s="14">
        <v>5.93</v>
      </c>
      <c r="C361" s="73" t="s">
        <v>97</v>
      </c>
      <c r="D361" s="14" t="s">
        <v>44</v>
      </c>
      <c r="E361" s="2" t="s">
        <v>45</v>
      </c>
      <c r="F361" s="13">
        <v>2.49</v>
      </c>
      <c r="G361" s="35">
        <v>2.5</v>
      </c>
      <c r="H361" s="104">
        <f>'2018'!BH361</f>
        <v>0</v>
      </c>
      <c r="I361" s="13"/>
      <c r="J361" s="15"/>
      <c r="K361" s="34">
        <f>J361*$F$8</f>
        <v>0</v>
      </c>
      <c r="L361" s="28"/>
      <c r="N361" s="15">
        <f>M361-I361</f>
        <v>0</v>
      </c>
      <c r="O361" s="34">
        <f>N361*$F$8</f>
        <v>0</v>
      </c>
      <c r="Q361" s="13"/>
      <c r="R361" s="15">
        <f>Q361-M361</f>
        <v>0</v>
      </c>
      <c r="S361" s="34">
        <f>R361*$F$8</f>
        <v>0</v>
      </c>
      <c r="T361" s="28"/>
      <c r="V361" s="15">
        <f>U361-Q361</f>
        <v>0</v>
      </c>
      <c r="Y361" s="13"/>
      <c r="Z361" s="15">
        <f>Y361-U361</f>
        <v>0</v>
      </c>
      <c r="AA361" s="34">
        <f>Z361*$F$8</f>
        <v>0</v>
      </c>
      <c r="AB361" s="28"/>
      <c r="AC361" s="15"/>
      <c r="AD361" s="15">
        <f t="shared" ref="AD361:AD362" si="1119">AC361-Y361</f>
        <v>0</v>
      </c>
      <c r="AE361" s="34">
        <f>AD361*$G$8</f>
        <v>0</v>
      </c>
      <c r="AG361" s="13"/>
      <c r="AH361" s="15">
        <f t="shared" ref="AH361:AH362" si="1120">AG361-AC361</f>
        <v>0</v>
      </c>
      <c r="AI361" s="34">
        <f>AH361*$G$8</f>
        <v>0</v>
      </c>
      <c r="AJ361" s="28"/>
      <c r="AK361" s="13"/>
      <c r="AL361" s="15">
        <f t="shared" ref="AL361:AL362" si="1121">AK361-AG361</f>
        <v>0</v>
      </c>
      <c r="AM361" s="34">
        <f>AL361*$G$8</f>
        <v>0</v>
      </c>
      <c r="AN361" s="28"/>
      <c r="AO361" s="13"/>
      <c r="AP361" s="15">
        <f t="shared" ref="AP361:AP362" si="1122">AO361-AK361</f>
        <v>0</v>
      </c>
      <c r="AQ361" s="34">
        <f>AP361*$G$8</f>
        <v>0</v>
      </c>
      <c r="AR361" s="28"/>
      <c r="AS361" s="15"/>
      <c r="AT361" s="15">
        <f t="shared" ref="AT361:AT362" si="1123">AS361-AO361</f>
        <v>0</v>
      </c>
      <c r="AU361" s="34">
        <f t="shared" ref="AU361:AU362" si="1124">AT361*$G$8</f>
        <v>0</v>
      </c>
      <c r="AV361" s="15"/>
      <c r="AW361" s="13"/>
      <c r="AX361" s="15">
        <f>AW361-AS361</f>
        <v>0</v>
      </c>
      <c r="AY361" s="34">
        <f>AX361*$G$8</f>
        <v>0</v>
      </c>
      <c r="AZ361" s="28"/>
      <c r="BA361" s="15"/>
      <c r="BB361" s="15">
        <f>BA361-AW361</f>
        <v>0</v>
      </c>
      <c r="BC361" s="34">
        <f>BB361*$G$8</f>
        <v>0</v>
      </c>
      <c r="BD361" s="15"/>
      <c r="BE361" s="40">
        <f t="shared" ref="BE361:BG361" si="1125">J361+N361+R361+V361+Z361+AD361+AH361+AL361+AP361+AT361+AX361+BB361</f>
        <v>0</v>
      </c>
      <c r="BF361" s="41">
        <f t="shared" si="1125"/>
        <v>0</v>
      </c>
      <c r="BG361" s="34">
        <f t="shared" si="1125"/>
        <v>0</v>
      </c>
      <c r="BH361" s="35">
        <f t="shared" si="1118"/>
        <v>0</v>
      </c>
    </row>
    <row r="362" ht="14.25" customHeight="1" spans="1:60" x14ac:dyDescent="0.25">
      <c r="A362" s="29">
        <v>48</v>
      </c>
      <c r="B362" s="14"/>
      <c r="C362" s="2" t="s">
        <v>196</v>
      </c>
      <c r="D362" s="14" t="s">
        <v>47</v>
      </c>
      <c r="E362" s="2" t="s">
        <v>48</v>
      </c>
      <c r="F362" s="13">
        <v>17.98</v>
      </c>
      <c r="G362" s="28">
        <v>18.56</v>
      </c>
      <c r="H362" s="90">
        <f>'2018'!BH362</f>
        <v>34.32</v>
      </c>
      <c r="I362" s="75">
        <f>(16+49)+18</f>
        <v>83</v>
      </c>
      <c r="J362" s="15"/>
      <c r="K362" s="15"/>
      <c r="L362" s="28"/>
      <c r="Q362" s="13"/>
      <c r="R362" s="15"/>
      <c r="S362" s="15"/>
      <c r="T362" s="28"/>
      <c r="Y362" s="13">
        <f>25+60</f>
        <v>85</v>
      </c>
      <c r="Z362" s="15">
        <f>Y362-'2018'!AO362</f>
        <v>2</v>
      </c>
      <c r="AA362" s="34">
        <f>Z362*$F$10</f>
        <v>35.96</v>
      </c>
      <c r="AB362" s="28"/>
      <c r="AC362" s="13">
        <v>85</v>
      </c>
      <c r="AD362" s="15">
        <f t="shared" si="1119"/>
        <v>0</v>
      </c>
      <c r="AE362" s="34">
        <f>AD362*$F$10</f>
        <v>0</v>
      </c>
      <c r="AG362" s="13">
        <v>85</v>
      </c>
      <c r="AH362" s="15">
        <f t="shared" si="1120"/>
        <v>0</v>
      </c>
      <c r="AI362" s="45">
        <f>AH362*$G$10</f>
        <v>0</v>
      </c>
      <c r="AJ362" s="28"/>
      <c r="AK362" s="13">
        <v>85</v>
      </c>
      <c r="AL362" s="15">
        <f t="shared" si="1121"/>
        <v>0</v>
      </c>
      <c r="AM362" s="45">
        <f>AL362*$G$10</f>
        <v>0</v>
      </c>
      <c r="AN362" s="28"/>
      <c r="AO362" s="75">
        <v>85</v>
      </c>
      <c r="AP362" s="15">
        <f t="shared" si="1122"/>
        <v>0</v>
      </c>
      <c r="AQ362" s="45">
        <f>AP362*$G$10</f>
        <v>0</v>
      </c>
      <c r="AR362" s="32">
        <v>70.28</v>
      </c>
      <c r="AS362" s="95">
        <f>85+34</f>
        <v>119</v>
      </c>
      <c r="AT362" s="15">
        <f t="shared" si="1123"/>
        <v>34</v>
      </c>
      <c r="AU362" s="34">
        <f t="shared" si="1124"/>
        <v>85</v>
      </c>
      <c r="AV362" s="15"/>
      <c r="AW362" s="95">
        <f>85+34</f>
        <v>119</v>
      </c>
      <c r="AX362" s="15"/>
      <c r="AY362" s="15"/>
      <c r="AZ362" s="28"/>
      <c r="BA362" s="95">
        <f>85+34</f>
        <v>119</v>
      </c>
      <c r="BB362" s="15"/>
      <c r="BC362" s="15"/>
      <c r="BD362" s="15"/>
      <c r="BE362" s="40">
        <f t="shared" ref="BE362:BG362" si="1126">J362+N362+R362+V362+Z362+AD362+AH362+AL362+AP362+AT362+AX362+BB362</f>
        <v>36</v>
      </c>
      <c r="BF362" s="41">
        <f t="shared" si="1126"/>
        <v>120.96</v>
      </c>
      <c r="BG362" s="34">
        <f t="shared" si="1126"/>
        <v>70.28</v>
      </c>
      <c r="BH362" s="35">
        <f t="shared" si="1118"/>
        <v>85</v>
      </c>
    </row>
    <row r="363" ht="14.25" customHeight="1" spans="1:60" x14ac:dyDescent="0.25">
      <c r="A363" s="29">
        <v>48</v>
      </c>
      <c r="B363" s="14"/>
      <c r="D363" s="14" t="s">
        <v>47</v>
      </c>
      <c r="E363" s="2" t="s">
        <v>49</v>
      </c>
      <c r="F363" s="41">
        <v>500</v>
      </c>
      <c r="G363" s="28"/>
      <c r="H363" s="34">
        <f>'2018'!BH363</f>
        <v>0</v>
      </c>
      <c r="I363" s="13"/>
      <c r="J363" s="15"/>
      <c r="K363" s="15"/>
      <c r="L363" s="28"/>
      <c r="Q363" s="13"/>
      <c r="R363" s="15"/>
      <c r="S363" s="15"/>
      <c r="T363" s="28"/>
      <c r="Y363" s="13"/>
      <c r="Z363" s="15"/>
      <c r="AA363" s="15"/>
      <c r="AB363" s="28"/>
      <c r="AG363" s="13"/>
      <c r="AH363" s="15"/>
      <c r="AI363" s="15"/>
      <c r="AJ363" s="28"/>
      <c r="AK363" s="13"/>
      <c r="AL363" s="15"/>
      <c r="AM363" s="34"/>
      <c r="AN363" s="28"/>
      <c r="AO363" s="13"/>
      <c r="AP363" s="15"/>
      <c r="AQ363" s="34"/>
      <c r="AR363" s="28"/>
      <c r="AS363" s="15"/>
      <c r="AT363" s="15"/>
      <c r="AU363" s="15"/>
      <c r="AV363" s="15"/>
      <c r="AW363" s="13"/>
      <c r="AX363" s="15"/>
      <c r="AY363" s="15"/>
      <c r="AZ363" s="28"/>
      <c r="BA363" s="15"/>
      <c r="BB363" s="15"/>
      <c r="BC363" s="15"/>
      <c r="BD363" s="15"/>
      <c r="BE363" s="14"/>
      <c r="BF363" s="41">
        <f t="shared" ref="BF363:BG363" si="1127">K363+O363+S363+W363+AA363+AE363+AI363+AM363+AQ363+AU363+AY363+BC363</f>
        <v>0</v>
      </c>
      <c r="BG363" s="34">
        <f t="shared" si="1127"/>
        <v>0</v>
      </c>
      <c r="BH363" s="35">
        <f t="shared" si="1118"/>
        <v>0</v>
      </c>
    </row>
    <row r="364" ht="14.25" customHeight="1" spans="1:60" x14ac:dyDescent="0.25">
      <c r="A364" s="29">
        <v>48</v>
      </c>
      <c r="B364" s="14"/>
      <c r="D364" s="14" t="s">
        <v>50</v>
      </c>
      <c r="E364" s="2" t="s">
        <v>49</v>
      </c>
      <c r="F364" s="41">
        <v>1200</v>
      </c>
      <c r="G364" s="28"/>
      <c r="H364" s="34">
        <f>'2018'!BH364</f>
        <v>-0.0016</v>
      </c>
      <c r="I364" s="13"/>
      <c r="J364" s="15"/>
      <c r="K364" s="15"/>
      <c r="L364" s="28"/>
      <c r="Q364" s="13"/>
      <c r="R364" s="15"/>
      <c r="S364" s="15"/>
      <c r="T364" s="28"/>
      <c r="Y364" s="13"/>
      <c r="Z364" s="15"/>
      <c r="AA364" s="15"/>
      <c r="AB364" s="28"/>
      <c r="AE364" s="34">
        <f>B361*$F$12</f>
        <v>7116</v>
      </c>
      <c r="AG364" s="13"/>
      <c r="AH364" s="15"/>
      <c r="AI364" s="15"/>
      <c r="AJ364" s="28"/>
      <c r="AK364" s="13"/>
      <c r="AL364" s="15"/>
      <c r="AM364" s="15"/>
      <c r="AN364" s="28"/>
      <c r="AO364" s="13"/>
      <c r="AP364" s="15"/>
      <c r="AQ364" s="15"/>
      <c r="AR364" s="38">
        <v>7116</v>
      </c>
      <c r="AS364" s="15"/>
      <c r="AT364" s="15"/>
      <c r="AU364" s="15"/>
      <c r="AV364" s="15"/>
      <c r="AW364" s="13"/>
      <c r="AX364" s="15"/>
      <c r="AY364" s="15"/>
      <c r="AZ364" s="28"/>
      <c r="BA364" s="15"/>
      <c r="BB364" s="15"/>
      <c r="BC364" s="15"/>
      <c r="BD364" s="15"/>
      <c r="BE364" s="14"/>
      <c r="BF364" s="41">
        <f t="shared" ref="BF364:BG364" si="1128">K364+O364+S364+W364+AA364+AE364+AI364+AM364+AQ364+AU364+AY364+BC364</f>
        <v>7116</v>
      </c>
      <c r="BG364" s="34">
        <f t="shared" si="1128"/>
        <v>7116</v>
      </c>
      <c r="BH364" s="35">
        <f t="shared" si="1118"/>
        <v>-0.0016</v>
      </c>
    </row>
    <row r="365" ht="14.25" customHeight="1" spans="1:60" x14ac:dyDescent="0.25">
      <c r="A365" s="29">
        <v>48</v>
      </c>
      <c r="B365" s="14"/>
      <c r="D365" s="14" t="s">
        <v>51</v>
      </c>
      <c r="E365" s="2" t="s">
        <v>49</v>
      </c>
      <c r="F365" s="41">
        <v>1000</v>
      </c>
      <c r="G365" s="28"/>
      <c r="H365" s="34">
        <f>'2018'!BH365</f>
        <v>0</v>
      </c>
      <c r="I365" s="13"/>
      <c r="J365" s="15"/>
      <c r="K365" s="15"/>
      <c r="L365" s="28"/>
      <c r="Q365" s="13"/>
      <c r="R365" s="15"/>
      <c r="S365" s="15"/>
      <c r="T365" s="28"/>
      <c r="Y365" s="13"/>
      <c r="Z365" s="15"/>
      <c r="AA365" s="15"/>
      <c r="AB365" s="28"/>
      <c r="AE365" s="34">
        <f>$F$21</f>
        <v>1000</v>
      </c>
      <c r="AG365" s="13"/>
      <c r="AH365" s="15"/>
      <c r="AI365" s="15"/>
      <c r="AJ365" s="28"/>
      <c r="AK365" s="13"/>
      <c r="AL365" s="15"/>
      <c r="AM365" s="15"/>
      <c r="AN365" s="28"/>
      <c r="AO365" s="13"/>
      <c r="AP365" s="15"/>
      <c r="AQ365" s="15"/>
      <c r="AR365" s="38">
        <v>1000</v>
      </c>
      <c r="AS365" s="15"/>
      <c r="AT365" s="15"/>
      <c r="AU365" s="15"/>
      <c r="AV365" s="15"/>
      <c r="AW365" s="13"/>
      <c r="AX365" s="15"/>
      <c r="AY365" s="15"/>
      <c r="AZ365" s="28"/>
      <c r="BA365" s="15"/>
      <c r="BB365" s="15"/>
      <c r="BC365" s="15"/>
      <c r="BD365" s="15"/>
      <c r="BE365" s="14"/>
      <c r="BF365" s="41">
        <f t="shared" ref="BF365:BG365" si="1129">K365+O365+S365+W365+AA365+AE365+AI365+AM365+AQ365+AU365+AY365+BC365</f>
        <v>1000</v>
      </c>
      <c r="BG365" s="34">
        <f t="shared" si="1129"/>
        <v>1000</v>
      </c>
      <c r="BH365" s="35">
        <f t="shared" si="1118"/>
        <v>0</v>
      </c>
    </row>
    <row r="366" ht="14.25" customHeight="1" spans="1:60" x14ac:dyDescent="0.25">
      <c r="A366" s="29">
        <v>48</v>
      </c>
      <c r="B366" s="14"/>
      <c r="D366" s="14" t="s">
        <v>52</v>
      </c>
      <c r="E366" s="2" t="s">
        <v>39</v>
      </c>
      <c r="F366" s="41">
        <v>500</v>
      </c>
      <c r="G366" s="28"/>
      <c r="H366" s="34">
        <f>'2018'!BH366</f>
        <v>0</v>
      </c>
      <c r="I366" s="13"/>
      <c r="J366" s="15"/>
      <c r="K366" s="15"/>
      <c r="L366" s="28"/>
      <c r="Q366" s="13"/>
      <c r="R366" s="15"/>
      <c r="S366" s="15"/>
      <c r="T366" s="28"/>
      <c r="Y366" s="13"/>
      <c r="Z366" s="15"/>
      <c r="AA366" s="34">
        <f>$F$14</f>
        <v>500</v>
      </c>
      <c r="AB366" s="28"/>
      <c r="AG366" s="13"/>
      <c r="AH366" s="15"/>
      <c r="AI366" s="15"/>
      <c r="AJ366" s="28"/>
      <c r="AK366" s="13"/>
      <c r="AL366" s="15"/>
      <c r="AM366" s="15"/>
      <c r="AN366" s="35"/>
      <c r="AO366" s="13"/>
      <c r="AP366" s="15"/>
      <c r="AQ366" s="15"/>
      <c r="AR366" s="38">
        <v>500</v>
      </c>
      <c r="AS366" s="15"/>
      <c r="AT366" s="15"/>
      <c r="AU366" s="15"/>
      <c r="AV366" s="15"/>
      <c r="AW366" s="13"/>
      <c r="AX366" s="15"/>
      <c r="AY366" s="15"/>
      <c r="AZ366" s="28"/>
      <c r="BA366" s="15"/>
      <c r="BB366" s="15"/>
      <c r="BC366" s="15"/>
      <c r="BD366" s="15"/>
      <c r="BE366" s="14"/>
      <c r="BF366" s="41">
        <f t="shared" ref="BF366:BG366" si="1130">K366+O366+S366+W366+AA366+AE366+AI366+AM366+AQ366+AU366+AY366+BC366</f>
        <v>500</v>
      </c>
      <c r="BG366" s="34">
        <f t="shared" si="1130"/>
        <v>500</v>
      </c>
      <c r="BH366" s="35">
        <f t="shared" si="1118"/>
        <v>0</v>
      </c>
    </row>
    <row r="367" ht="14.25" customHeight="1" spans="1:62" x14ac:dyDescent="0.25">
      <c r="A367" s="50">
        <v>48</v>
      </c>
      <c r="B367" s="21"/>
      <c r="C367" s="22" t="s">
        <v>53</v>
      </c>
      <c r="D367" s="21"/>
      <c r="E367" s="22"/>
      <c r="F367" s="20"/>
      <c r="G367" s="23"/>
      <c r="H367" s="51">
        <f>SUM(H360:H366)</f>
        <v>34.3184</v>
      </c>
      <c r="I367" s="52"/>
      <c r="J367" s="53"/>
      <c r="K367" s="51">
        <f t="shared" ref="K367:L367" si="1131">SUM(K360:K366)</f>
        <v>0</v>
      </c>
      <c r="L367" s="68">
        <f t="shared" si="1131"/>
        <v>0</v>
      </c>
      <c r="M367" s="53"/>
      <c r="N367" s="53"/>
      <c r="O367" s="51">
        <f t="shared" ref="O367:P367" si="1132">SUM(O361:O366)</f>
        <v>0</v>
      </c>
      <c r="P367" s="51">
        <f t="shared" si="1132"/>
        <v>0</v>
      </c>
      <c r="Q367" s="52"/>
      <c r="R367" s="53"/>
      <c r="S367" s="51">
        <f t="shared" ref="S367:T367" si="1133">SUM(S361:S366)</f>
        <v>0</v>
      </c>
      <c r="T367" s="68">
        <f t="shared" si="1133"/>
        <v>0</v>
      </c>
      <c r="U367" s="53"/>
      <c r="V367" s="53"/>
      <c r="W367" s="51">
        <f t="shared" ref="W367:X367" si="1134">SUM(W361:W366)</f>
        <v>0</v>
      </c>
      <c r="X367" s="51">
        <f t="shared" si="1134"/>
        <v>0</v>
      </c>
      <c r="Y367" s="52"/>
      <c r="Z367" s="53"/>
      <c r="AA367" s="51">
        <f t="shared" ref="AA367:AB367" si="1135">SUM(AA361:AA366)</f>
        <v>535.96</v>
      </c>
      <c r="AB367" s="68">
        <f t="shared" si="1135"/>
        <v>0</v>
      </c>
      <c r="AC367" s="53"/>
      <c r="AD367" s="53"/>
      <c r="AE367" s="51">
        <f t="shared" ref="AE367:AF367" si="1136">SUM(AE361:AE366)</f>
        <v>8116</v>
      </c>
      <c r="AF367" s="51">
        <f t="shared" si="1136"/>
        <v>0</v>
      </c>
      <c r="AG367" s="52"/>
      <c r="AH367" s="53"/>
      <c r="AI367" s="51">
        <f t="shared" ref="AI367:AJ367" si="1137">SUM(AI361:AI366)</f>
        <v>0</v>
      </c>
      <c r="AJ367" s="68">
        <f t="shared" si="1137"/>
        <v>0</v>
      </c>
      <c r="AK367" s="52"/>
      <c r="AL367" s="53"/>
      <c r="AM367" s="51">
        <f t="shared" ref="AM367:AN367" si="1138">SUM(AM361:AM366)</f>
        <v>0</v>
      </c>
      <c r="AN367" s="68">
        <f t="shared" si="1138"/>
        <v>0</v>
      </c>
      <c r="AO367" s="52"/>
      <c r="AP367" s="53"/>
      <c r="AQ367" s="51">
        <f t="shared" ref="AQ367:AR367" si="1139">SUM(AQ360:AQ366)</f>
        <v>17.86</v>
      </c>
      <c r="AR367" s="68">
        <f t="shared" si="1139"/>
        <v>8686.28</v>
      </c>
      <c r="AS367" s="53"/>
      <c r="AT367" s="53"/>
      <c r="AU367" s="51">
        <f t="shared" ref="AU367:AV367" si="1140">SUM(AU360:AU366)</f>
        <v>85</v>
      </c>
      <c r="AV367" s="68">
        <f t="shared" si="1140"/>
        <v>0</v>
      </c>
      <c r="AW367" s="52"/>
      <c r="AX367" s="53"/>
      <c r="AY367" s="51">
        <f t="shared" ref="AY367:AZ367" si="1141">SUM(AY360:AY366)</f>
        <v>0</v>
      </c>
      <c r="AZ367" s="68">
        <f t="shared" si="1141"/>
        <v>0</v>
      </c>
      <c r="BA367" s="53"/>
      <c r="BB367" s="53"/>
      <c r="BC367" s="51">
        <f t="shared" ref="BC367:BD367" si="1142">SUM(BC360:BC366)</f>
        <v>0</v>
      </c>
      <c r="BD367" s="68">
        <f t="shared" si="1142"/>
        <v>0</v>
      </c>
      <c r="BE367" s="69"/>
      <c r="BF367" s="70">
        <f t="shared" ref="BF367:BH367" si="1143">SUM(BF360:BF366)</f>
        <v>8754.82</v>
      </c>
      <c r="BG367" s="71">
        <f t="shared" si="1143"/>
        <v>8686.28</v>
      </c>
      <c r="BH367" s="72">
        <f t="shared" si="1143"/>
        <v>102.8584</v>
      </c>
      <c r="BI367" s="34">
        <f>H367+BF367-BG367</f>
        <v>102.8584</v>
      </c>
      <c r="BJ367" s="34">
        <f>BH367-BI367</f>
        <v>0</v>
      </c>
    </row>
    <row r="368" ht="14.25" customHeight="1" spans="1:60" x14ac:dyDescent="0.25">
      <c r="A368" s="29">
        <v>49</v>
      </c>
      <c r="B368" s="14"/>
      <c r="D368" s="14" t="s">
        <v>379</v>
      </c>
      <c r="F368" s="13"/>
      <c r="G368" s="28"/>
      <c r="H368" s="34">
        <f>'2018'!BH368</f>
      </c>
      <c r="I368" s="13"/>
      <c r="J368" s="15"/>
      <c r="K368" s="15"/>
      <c r="L368" s="28"/>
      <c r="Q368" s="13"/>
      <c r="R368" s="15"/>
      <c r="S368" s="15"/>
      <c r="T368" s="28"/>
      <c r="Y368" s="13"/>
      <c r="Z368" s="15"/>
      <c r="AA368" s="15"/>
      <c r="AB368" s="28"/>
      <c r="AG368" s="13"/>
      <c r="AH368" s="15"/>
      <c r="AI368" s="15"/>
      <c r="AJ368" s="28"/>
      <c r="AK368" s="13"/>
      <c r="AL368" s="15"/>
      <c r="AM368" s="15"/>
      <c r="AN368" s="28"/>
      <c r="AO368" s="13"/>
      <c r="AP368" s="15"/>
      <c r="AQ368" s="15"/>
      <c r="AR368" s="28"/>
      <c r="AW368" s="13"/>
      <c r="AX368" s="15"/>
      <c r="AY368" s="15"/>
      <c r="AZ368" s="28"/>
      <c r="BE368" s="14"/>
      <c r="BF368" s="41">
        <f t="shared" ref="BF368:BG368" si="1144">K368+O368+S368+W368+AA368+AE368+AI368+AM368+AQ368+AU368+AY368+BC368</f>
        <v>0</v>
      </c>
      <c r="BG368" s="34">
        <f t="shared" si="1144"/>
        <v>0</v>
      </c>
      <c r="BH368" s="35">
        <f t="shared" ref="BH368:BH374" si="1145">H368+BF368-BG368</f>
        <v>0</v>
      </c>
    </row>
    <row r="369" ht="14.25" customHeight="1" spans="1:60" x14ac:dyDescent="0.25">
      <c r="A369" s="2">
        <v>49</v>
      </c>
      <c r="B369" s="14">
        <v>5.03</v>
      </c>
      <c r="C369" s="2" t="s">
        <v>197</v>
      </c>
      <c r="D369" s="14" t="s">
        <v>44</v>
      </c>
      <c r="E369" s="2" t="s">
        <v>45</v>
      </c>
      <c r="F369" s="13">
        <v>2.49</v>
      </c>
      <c r="G369" s="35">
        <v>2.5</v>
      </c>
      <c r="H369" s="104">
        <f>'2018'!BH369</f>
        <v>0</v>
      </c>
      <c r="I369" s="13"/>
      <c r="J369" s="15"/>
      <c r="K369" s="34">
        <f>J369*$F$8</f>
        <v>0</v>
      </c>
      <c r="L369" s="28"/>
      <c r="N369" s="15">
        <f>M369-I369</f>
        <v>0</v>
      </c>
      <c r="O369" s="34">
        <f>N369*$F$8</f>
        <v>0</v>
      </c>
      <c r="Q369" s="13"/>
      <c r="R369" s="15">
        <f>Q369-M369</f>
        <v>0</v>
      </c>
      <c r="S369" s="34">
        <f>R369*$F$8</f>
        <v>0</v>
      </c>
      <c r="T369" s="28"/>
      <c r="V369" s="15">
        <f>U369-Q369</f>
        <v>0</v>
      </c>
      <c r="Y369" s="13"/>
      <c r="Z369" s="15">
        <f>Y369-U369</f>
        <v>0</v>
      </c>
      <c r="AA369" s="34">
        <f>Z369*$F$8</f>
        <v>0</v>
      </c>
      <c r="AB369" s="28"/>
      <c r="AC369" s="15"/>
      <c r="AD369" s="15">
        <f t="shared" ref="AD369:AD370" si="1146">AC369-Y369</f>
        <v>0</v>
      </c>
      <c r="AE369" s="34">
        <f>AD369*$G$8</f>
        <v>0</v>
      </c>
      <c r="AG369" s="13"/>
      <c r="AH369" s="15">
        <f t="shared" ref="AH369:AH370" si="1147">AG369-AC369</f>
        <v>0</v>
      </c>
      <c r="AI369" s="34">
        <f>AH369*$G$8</f>
        <v>0</v>
      </c>
      <c r="AJ369" s="28"/>
      <c r="AK369" s="13"/>
      <c r="AL369" s="15">
        <f t="shared" ref="AL369:AL370" si="1148">AK369-AG369</f>
        <v>0</v>
      </c>
      <c r="AM369" s="34">
        <f>AL369*$G$8</f>
        <v>0</v>
      </c>
      <c r="AN369" s="28"/>
      <c r="AO369" s="13"/>
      <c r="AP369" s="15">
        <f t="shared" ref="AP369:AP370" si="1149">AO369-AK369</f>
        <v>0</v>
      </c>
      <c r="AQ369" s="34">
        <f>AP369*$G$8</f>
        <v>0</v>
      </c>
      <c r="AR369" s="28"/>
      <c r="AS369" s="15"/>
      <c r="AT369" s="15">
        <f t="shared" ref="AT369:AT370" si="1150">AS369-AO369</f>
        <v>0</v>
      </c>
      <c r="AU369" s="34">
        <f>AT369*$G$8</f>
        <v>0</v>
      </c>
      <c r="AV369" s="15"/>
      <c r="AW369" s="13"/>
      <c r="AX369" s="15">
        <f>AW369-AS369</f>
        <v>0</v>
      </c>
      <c r="AY369" s="34">
        <f>AX369*$G$8</f>
        <v>0</v>
      </c>
      <c r="AZ369" s="28"/>
      <c r="BA369" s="15"/>
      <c r="BB369" s="15">
        <f>BA369-AW369</f>
        <v>0</v>
      </c>
      <c r="BC369" s="34">
        <f>BB369*$G$8</f>
        <v>0</v>
      </c>
      <c r="BD369" s="15"/>
      <c r="BE369" s="40">
        <f t="shared" ref="BE369:BG369" si="1151">J369+N369+R369+V369+Z369+AD369+AH369+AL369+AP369+AT369+AX369+BB369</f>
        <v>0</v>
      </c>
      <c r="BF369" s="41">
        <f t="shared" si="1151"/>
        <v>0</v>
      </c>
      <c r="BG369" s="34">
        <f t="shared" si="1151"/>
        <v>0</v>
      </c>
      <c r="BH369" s="35">
        <f t="shared" si="1145"/>
        <v>0</v>
      </c>
    </row>
    <row r="370" ht="14.25" customHeight="1" spans="1:60" x14ac:dyDescent="0.25">
      <c r="A370" s="29">
        <v>49</v>
      </c>
      <c r="B370" s="14"/>
      <c r="C370" s="2" t="s">
        <v>198</v>
      </c>
      <c r="D370" s="14" t="s">
        <v>47</v>
      </c>
      <c r="E370" s="2" t="s">
        <v>48</v>
      </c>
      <c r="F370" s="13">
        <v>17.98</v>
      </c>
      <c r="G370" s="28">
        <v>18.56</v>
      </c>
      <c r="H370" s="34">
        <f>'2018'!BH370</f>
        <v>0</v>
      </c>
      <c r="I370" s="13">
        <v>131</v>
      </c>
      <c r="J370" s="15"/>
      <c r="K370" s="15"/>
      <c r="L370" s="28"/>
      <c r="Q370" s="13"/>
      <c r="R370" s="15"/>
      <c r="S370" s="15"/>
      <c r="T370" s="28"/>
      <c r="Y370" s="13">
        <v>131</v>
      </c>
      <c r="Z370" s="15">
        <f>Y370-'2018'!AO370</f>
        <v>0</v>
      </c>
      <c r="AA370" s="34">
        <f>Z370*$F$10</f>
        <v>0</v>
      </c>
      <c r="AB370" s="28"/>
      <c r="AC370" s="15">
        <v>148</v>
      </c>
      <c r="AD370" s="15">
        <f t="shared" si="1146"/>
        <v>17</v>
      </c>
      <c r="AE370" s="34">
        <f>AD370*$F$10</f>
        <v>305.66</v>
      </c>
      <c r="AF370" s="133">
        <f>305.66+8.34</f>
        <v>314</v>
      </c>
      <c r="AG370" s="13">
        <v>157</v>
      </c>
      <c r="AH370" s="15">
        <f t="shared" si="1147"/>
        <v>9</v>
      </c>
      <c r="AI370" s="45">
        <f>AH370*$G$10</f>
        <v>167.04</v>
      </c>
      <c r="AJ370" s="134">
        <v>150</v>
      </c>
      <c r="AK370" s="13">
        <v>168</v>
      </c>
      <c r="AL370" s="15">
        <f t="shared" si="1148"/>
        <v>11</v>
      </c>
      <c r="AM370" s="45">
        <f>AL370*$G$10</f>
        <v>204.16</v>
      </c>
      <c r="AN370" s="134">
        <v>215</v>
      </c>
      <c r="AO370" s="13">
        <v>167</v>
      </c>
      <c r="AP370" s="15">
        <f t="shared" si="1149"/>
        <v>-1</v>
      </c>
      <c r="AQ370" s="45">
        <f>AP370*$G$10</f>
        <v>-18.56</v>
      </c>
      <c r="AR370" s="28"/>
      <c r="AS370" s="13">
        <v>167</v>
      </c>
      <c r="AT370" s="15">
        <f t="shared" si="1150"/>
        <v>0</v>
      </c>
      <c r="AU370" s="45">
        <f>AT370*$G$10</f>
        <v>0</v>
      </c>
      <c r="AV370" s="15"/>
      <c r="AW370" s="13">
        <v>167</v>
      </c>
      <c r="AX370" s="15"/>
      <c r="AY370" s="15"/>
      <c r="AZ370" s="28"/>
      <c r="BA370" s="15">
        <v>167</v>
      </c>
      <c r="BB370" s="15"/>
      <c r="BC370" s="15"/>
      <c r="BD370" s="15"/>
      <c r="BE370" s="40">
        <f t="shared" ref="BE370:BG370" si="1152">J370+N370+R370+V370+Z370+AD370+AH370+AL370+AP370+AT370+AX370+BB370</f>
        <v>36</v>
      </c>
      <c r="BF370" s="41">
        <f t="shared" si="1152"/>
        <v>658.3</v>
      </c>
      <c r="BG370" s="34">
        <f t="shared" si="1152"/>
        <v>679</v>
      </c>
      <c r="BH370" s="35">
        <f t="shared" si="1145"/>
        <v>-20.7</v>
      </c>
    </row>
    <row r="371" ht="14.25" customHeight="1" spans="1:60" x14ac:dyDescent="0.25">
      <c r="A371" s="29">
        <v>49</v>
      </c>
      <c r="B371" s="14"/>
      <c r="C371" s="2" t="s">
        <v>164</v>
      </c>
      <c r="D371" s="14" t="s">
        <v>47</v>
      </c>
      <c r="E371" s="2" t="s">
        <v>49</v>
      </c>
      <c r="F371" s="41">
        <v>500</v>
      </c>
      <c r="G371" s="28"/>
      <c r="H371" s="34">
        <f>'2018'!BH371</f>
        <v>0</v>
      </c>
      <c r="I371" s="13"/>
      <c r="J371" s="15"/>
      <c r="K371" s="15"/>
      <c r="L371" s="28"/>
      <c r="Q371" s="13"/>
      <c r="R371" s="15"/>
      <c r="S371" s="15"/>
      <c r="T371" s="28"/>
      <c r="Y371" s="13"/>
      <c r="Z371" s="15"/>
      <c r="AA371" s="15"/>
      <c r="AB371" s="28"/>
      <c r="AG371" s="13"/>
      <c r="AH371" s="15"/>
      <c r="AI371" s="15"/>
      <c r="AJ371" s="28"/>
      <c r="AK371" s="13"/>
      <c r="AL371" s="15"/>
      <c r="AM371" s="34"/>
      <c r="AN371" s="28"/>
      <c r="AO371" s="13"/>
      <c r="AP371" s="15"/>
      <c r="AQ371" s="34"/>
      <c r="AR371" s="28"/>
      <c r="AS371" s="15"/>
      <c r="AT371" s="15"/>
      <c r="AU371" s="15"/>
      <c r="AV371" s="15"/>
      <c r="AW371" s="13"/>
      <c r="AX371" s="15"/>
      <c r="AY371" s="15"/>
      <c r="AZ371" s="28"/>
      <c r="BA371" s="15"/>
      <c r="BB371" s="15"/>
      <c r="BC371" s="15"/>
      <c r="BD371" s="15"/>
      <c r="BE371" s="14"/>
      <c r="BF371" s="41">
        <f t="shared" ref="BF371:BG371" si="1153">K371+O371+S371+W371+AA371+AE371+AI371+AM371+AQ371+AU371+AY371+BC371</f>
        <v>0</v>
      </c>
      <c r="BG371" s="34">
        <f t="shared" si="1153"/>
        <v>0</v>
      </c>
      <c r="BH371" s="35">
        <f t="shared" si="1145"/>
        <v>0</v>
      </c>
    </row>
    <row r="372" ht="14.25" customHeight="1" spans="1:60" x14ac:dyDescent="0.25">
      <c r="A372" s="29">
        <v>49</v>
      </c>
      <c r="B372" s="14"/>
      <c r="C372" s="2" t="s">
        <v>199</v>
      </c>
      <c r="D372" s="14" t="s">
        <v>50</v>
      </c>
      <c r="E372" s="2" t="s">
        <v>49</v>
      </c>
      <c r="F372" s="41">
        <v>1200</v>
      </c>
      <c r="G372" s="28"/>
      <c r="H372" s="34">
        <f>'2018'!BH372</f>
        <v>-0.003599999999</v>
      </c>
      <c r="I372" s="13"/>
      <c r="J372" s="15"/>
      <c r="K372" s="15"/>
      <c r="L372" s="28"/>
      <c r="Q372" s="13"/>
      <c r="R372" s="15"/>
      <c r="S372" s="15"/>
      <c r="T372" s="28"/>
      <c r="Y372" s="13"/>
      <c r="Z372" s="15"/>
      <c r="AA372" s="15"/>
      <c r="AB372" s="28"/>
      <c r="AE372" s="34">
        <f>B369*$F$12</f>
        <v>6036</v>
      </c>
      <c r="AF372" s="133">
        <v>6036</v>
      </c>
      <c r="AG372" s="13"/>
      <c r="AH372" s="15"/>
      <c r="AI372" s="15"/>
      <c r="AJ372" s="28"/>
      <c r="AK372" s="13"/>
      <c r="AL372" s="15"/>
      <c r="AM372" s="15"/>
      <c r="AN372" s="28"/>
      <c r="AO372" s="13"/>
      <c r="AP372" s="15"/>
      <c r="AQ372" s="15"/>
      <c r="AR372" s="28"/>
      <c r="AS372" s="15"/>
      <c r="AT372" s="15"/>
      <c r="AU372" s="15"/>
      <c r="AV372" s="15"/>
      <c r="AW372" s="13"/>
      <c r="AX372" s="15"/>
      <c r="AY372" s="15"/>
      <c r="AZ372" s="28"/>
      <c r="BA372" s="15"/>
      <c r="BB372" s="15"/>
      <c r="BC372" s="15"/>
      <c r="BD372" s="15"/>
      <c r="BE372" s="14"/>
      <c r="BF372" s="41">
        <f t="shared" ref="BF372:BG372" si="1154">K372+O372+S372+W372+AA372+AE372+AI372+AM372+AQ372+AU372+AY372+BC372</f>
        <v>6036</v>
      </c>
      <c r="BG372" s="34">
        <f t="shared" si="1154"/>
        <v>6036</v>
      </c>
      <c r="BH372" s="35">
        <f t="shared" si="1145"/>
        <v>-0.003599999999</v>
      </c>
    </row>
    <row r="373" ht="14.25" customHeight="1" spans="1:60" x14ac:dyDescent="0.25">
      <c r="A373" s="29">
        <v>49</v>
      </c>
      <c r="B373" s="14"/>
      <c r="D373" s="14" t="s">
        <v>51</v>
      </c>
      <c r="E373" s="2" t="s">
        <v>49</v>
      </c>
      <c r="F373" s="41">
        <v>1000</v>
      </c>
      <c r="G373" s="28"/>
      <c r="H373" s="34">
        <f>'2018'!BH373</f>
        <v>0</v>
      </c>
      <c r="I373" s="13"/>
      <c r="J373" s="15"/>
      <c r="K373" s="15"/>
      <c r="L373" s="28"/>
      <c r="Q373" s="13"/>
      <c r="R373" s="15"/>
      <c r="S373" s="15"/>
      <c r="T373" s="28"/>
      <c r="Y373" s="13"/>
      <c r="Z373" s="15"/>
      <c r="AA373" s="15"/>
      <c r="AB373" s="28"/>
      <c r="AE373" s="34">
        <f>$F$21</f>
        <v>1000</v>
      </c>
      <c r="AF373" s="133">
        <v>1000</v>
      </c>
      <c r="AG373" s="13"/>
      <c r="AH373" s="15"/>
      <c r="AI373" s="15"/>
      <c r="AJ373" s="28"/>
      <c r="AK373" s="13"/>
      <c r="AL373" s="15"/>
      <c r="AM373" s="15"/>
      <c r="AN373" s="28"/>
      <c r="AO373" s="13"/>
      <c r="AP373" s="15"/>
      <c r="AQ373" s="15"/>
      <c r="AR373" s="28"/>
      <c r="AS373" s="15"/>
      <c r="AT373" s="15"/>
      <c r="AU373" s="15"/>
      <c r="AV373" s="15"/>
      <c r="AW373" s="13"/>
      <c r="AX373" s="15"/>
      <c r="AY373" s="15"/>
      <c r="AZ373" s="28"/>
      <c r="BA373" s="15"/>
      <c r="BB373" s="15"/>
      <c r="BC373" s="15"/>
      <c r="BD373" s="15"/>
      <c r="BE373" s="14"/>
      <c r="BF373" s="41">
        <f t="shared" ref="BF373:BG373" si="1155">K373+O373+S373+W373+AA373+AE373+AI373+AM373+AQ373+AU373+AY373+BC373</f>
        <v>1000</v>
      </c>
      <c r="BG373" s="34">
        <f t="shared" si="1155"/>
        <v>1000</v>
      </c>
      <c r="BH373" s="35">
        <f t="shared" si="1145"/>
        <v>0</v>
      </c>
    </row>
    <row r="374" ht="14.25" customHeight="1" spans="1:60" x14ac:dyDescent="0.25">
      <c r="A374" s="29">
        <v>49</v>
      </c>
      <c r="B374" s="14"/>
      <c r="D374" s="14" t="s">
        <v>52</v>
      </c>
      <c r="E374" s="2" t="s">
        <v>39</v>
      </c>
      <c r="F374" s="41">
        <v>500</v>
      </c>
      <c r="G374" s="28"/>
      <c r="H374" s="34">
        <f>'2018'!BH374</f>
        <v>0</v>
      </c>
      <c r="I374" s="13"/>
      <c r="J374" s="15"/>
      <c r="K374" s="15"/>
      <c r="L374" s="28"/>
      <c r="Q374" s="13"/>
      <c r="R374" s="15"/>
      <c r="S374" s="15"/>
      <c r="T374" s="28"/>
      <c r="Y374" s="13"/>
      <c r="Z374" s="15"/>
      <c r="AA374" s="34">
        <f>$F$14</f>
        <v>500</v>
      </c>
      <c r="AB374" s="35"/>
      <c r="AF374" s="133">
        <v>500</v>
      </c>
      <c r="AG374" s="13"/>
      <c r="AH374" s="15"/>
      <c r="AI374" s="15"/>
      <c r="AJ374" s="28"/>
      <c r="AK374" s="13"/>
      <c r="AL374" s="15"/>
      <c r="AM374" s="15"/>
      <c r="AN374" s="28"/>
      <c r="AO374" s="13"/>
      <c r="AP374" s="15"/>
      <c r="AQ374" s="15"/>
      <c r="AR374" s="28"/>
      <c r="AS374" s="15"/>
      <c r="AT374" s="15"/>
      <c r="AU374" s="15"/>
      <c r="AV374" s="15"/>
      <c r="AW374" s="13"/>
      <c r="AX374" s="15"/>
      <c r="AY374" s="15"/>
      <c r="AZ374" s="28"/>
      <c r="BA374" s="15"/>
      <c r="BB374" s="15"/>
      <c r="BC374" s="15"/>
      <c r="BD374" s="15"/>
      <c r="BE374" s="14"/>
      <c r="BF374" s="41">
        <f t="shared" ref="BF374:BG374" si="1156">K374+O374+S374+W374+AA374+AE374+AI374+AM374+AQ374+AU374+AY374+BC374</f>
        <v>500</v>
      </c>
      <c r="BG374" s="34">
        <f t="shared" si="1156"/>
        <v>500</v>
      </c>
      <c r="BH374" s="35">
        <f t="shared" si="1145"/>
        <v>0</v>
      </c>
    </row>
    <row r="375" ht="14.25" customHeight="1" spans="1:62" x14ac:dyDescent="0.25">
      <c r="A375" s="50">
        <v>49</v>
      </c>
      <c r="B375" s="21"/>
      <c r="C375" s="22" t="s">
        <v>53</v>
      </c>
      <c r="D375" s="21"/>
      <c r="E375" s="22"/>
      <c r="F375" s="20"/>
      <c r="G375" s="23"/>
      <c r="H375" s="51">
        <f>SUM(H368:H374)</f>
        <v>-0.003599999999</v>
      </c>
      <c r="I375" s="52"/>
      <c r="J375" s="53"/>
      <c r="K375" s="51">
        <f t="shared" ref="K375:L375" si="1157">SUM(K368:K374)</f>
        <v>0</v>
      </c>
      <c r="L375" s="68">
        <f t="shared" si="1157"/>
        <v>0</v>
      </c>
      <c r="M375" s="53"/>
      <c r="N375" s="53"/>
      <c r="O375" s="51">
        <f t="shared" ref="O375:P375" si="1158">SUM(O369:O374)</f>
        <v>0</v>
      </c>
      <c r="P375" s="51">
        <f t="shared" si="1158"/>
        <v>0</v>
      </c>
      <c r="Q375" s="52"/>
      <c r="R375" s="53"/>
      <c r="S375" s="51">
        <f t="shared" ref="S375:T375" si="1159">SUM(S369:S374)</f>
        <v>0</v>
      </c>
      <c r="T375" s="68">
        <f t="shared" si="1159"/>
        <v>0</v>
      </c>
      <c r="U375" s="53"/>
      <c r="V375" s="53"/>
      <c r="W375" s="51">
        <f t="shared" ref="W375:X375" si="1160">SUM(W369:W374)</f>
        <v>0</v>
      </c>
      <c r="X375" s="51">
        <f t="shared" si="1160"/>
        <v>0</v>
      </c>
      <c r="Y375" s="52"/>
      <c r="Z375" s="53"/>
      <c r="AA375" s="51">
        <f t="shared" ref="AA375:AB375" si="1161">SUM(AA369:AA374)</f>
        <v>500</v>
      </c>
      <c r="AB375" s="68">
        <f t="shared" si="1161"/>
        <v>0</v>
      </c>
      <c r="AC375" s="53"/>
      <c r="AD375" s="53"/>
      <c r="AE375" s="51">
        <f t="shared" ref="AE375:AF375" si="1162">SUM(AE369:AE374)</f>
        <v>7341.66</v>
      </c>
      <c r="AF375" s="51">
        <f t="shared" si="1162"/>
        <v>7850</v>
      </c>
      <c r="AG375" s="52"/>
      <c r="AH375" s="53"/>
      <c r="AI375" s="51">
        <f t="shared" ref="AI375:AJ375" si="1163">SUM(AI369:AI374)</f>
        <v>167.04</v>
      </c>
      <c r="AJ375" s="68">
        <f t="shared" si="1163"/>
        <v>150</v>
      </c>
      <c r="AK375" s="52"/>
      <c r="AL375" s="53"/>
      <c r="AM375" s="51">
        <f t="shared" ref="AM375:AN375" si="1164">SUM(AM369:AM374)</f>
        <v>204.16</v>
      </c>
      <c r="AN375" s="68">
        <f t="shared" si="1164"/>
        <v>215</v>
      </c>
      <c r="AO375" s="52"/>
      <c r="AP375" s="53"/>
      <c r="AQ375" s="51">
        <f t="shared" ref="AQ375:AR375" si="1165">SUM(AQ368:AQ374)</f>
        <v>-18.56</v>
      </c>
      <c r="AR375" s="68">
        <f t="shared" si="1165"/>
        <v>0</v>
      </c>
      <c r="AS375" s="53"/>
      <c r="AT375" s="53"/>
      <c r="AU375" s="51">
        <f t="shared" ref="AU375:AV375" si="1166">SUM(AU368:AU374)</f>
        <v>0</v>
      </c>
      <c r="AV375" s="68">
        <f t="shared" si="1166"/>
        <v>0</v>
      </c>
      <c r="AW375" s="52"/>
      <c r="AX375" s="53"/>
      <c r="AY375" s="51">
        <f t="shared" ref="AY375:AZ375" si="1167">SUM(AY368:AY374)</f>
        <v>0</v>
      </c>
      <c r="AZ375" s="68">
        <f t="shared" si="1167"/>
        <v>0</v>
      </c>
      <c r="BA375" s="53"/>
      <c r="BB375" s="53"/>
      <c r="BC375" s="51">
        <f t="shared" ref="BC375:BD375" si="1168">SUM(BC368:BC374)</f>
        <v>0</v>
      </c>
      <c r="BD375" s="68">
        <f t="shared" si="1168"/>
        <v>0</v>
      </c>
      <c r="BE375" s="69"/>
      <c r="BF375" s="70">
        <f t="shared" ref="BF375:BH375" si="1169">SUM(BF368:BF374)</f>
        <v>8194.3</v>
      </c>
      <c r="BG375" s="71">
        <f t="shared" si="1169"/>
        <v>8215</v>
      </c>
      <c r="BH375" s="72">
        <f t="shared" si="1169"/>
        <v>-20.7036</v>
      </c>
      <c r="BI375" s="34">
        <f>H375+BF375-BG375</f>
        <v>-20.7036</v>
      </c>
      <c r="BJ375" s="34">
        <f>BH375-BI375</f>
        <v>0</v>
      </c>
    </row>
    <row r="376" ht="14.25" customHeight="1" spans="1:60" x14ac:dyDescent="0.25">
      <c r="A376" s="29">
        <v>50</v>
      </c>
      <c r="B376" s="14"/>
      <c r="D376" s="14" t="s">
        <v>379</v>
      </c>
      <c r="F376" s="13"/>
      <c r="G376" s="28"/>
      <c r="H376" s="34">
        <f>'2018'!BH376</f>
      </c>
      <c r="I376" s="13"/>
      <c r="J376" s="15"/>
      <c r="K376" s="15"/>
      <c r="L376" s="28"/>
      <c r="Q376" s="13"/>
      <c r="R376" s="15"/>
      <c r="S376" s="15"/>
      <c r="T376" s="28"/>
      <c r="Y376" s="13"/>
      <c r="Z376" s="15"/>
      <c r="AA376" s="15"/>
      <c r="AB376" s="28"/>
      <c r="AG376" s="13"/>
      <c r="AH376" s="15"/>
      <c r="AI376" s="15"/>
      <c r="AJ376" s="28"/>
      <c r="AK376" s="13"/>
      <c r="AL376" s="15"/>
      <c r="AM376" s="15"/>
      <c r="AN376" s="28"/>
      <c r="AO376" s="13"/>
      <c r="AP376" s="15"/>
      <c r="AQ376" s="15">
        <v>11.78</v>
      </c>
      <c r="AR376" s="28"/>
      <c r="AU376" s="34">
        <v>4.24</v>
      </c>
      <c r="AV376" s="39">
        <v>12</v>
      </c>
      <c r="AW376" s="13"/>
      <c r="AX376" s="15"/>
      <c r="AY376" s="15"/>
      <c r="AZ376" s="28"/>
      <c r="BE376" s="14"/>
      <c r="BF376" s="41">
        <f t="shared" ref="BF376:BG376" si="1170">K376+O376+S376+W376+AA376+AE376+AI376+AM376+AQ376+AU376+AY376+BC376</f>
        <v>16.02</v>
      </c>
      <c r="BG376" s="34">
        <f t="shared" si="1170"/>
        <v>12</v>
      </c>
      <c r="BH376" s="35">
        <f t="shared" ref="BH376:BH382" si="1171">H376+BF376-BG376</f>
        <v>4.02</v>
      </c>
    </row>
    <row r="377" ht="14.25" customHeight="1" spans="1:60" x14ac:dyDescent="0.25">
      <c r="A377" s="2">
        <v>50</v>
      </c>
      <c r="B377" s="14">
        <v>6.05</v>
      </c>
      <c r="C377" s="15" t="s">
        <v>200</v>
      </c>
      <c r="D377" s="14" t="s">
        <v>44</v>
      </c>
      <c r="E377" s="2" t="s">
        <v>45</v>
      </c>
      <c r="F377" s="13">
        <v>2.49</v>
      </c>
      <c r="G377" s="35">
        <v>2.5</v>
      </c>
      <c r="H377" s="34">
        <f>'2018'!BH377</f>
        <v>443.22</v>
      </c>
      <c r="I377" s="13">
        <v>1387</v>
      </c>
      <c r="J377" s="15">
        <f>I377-'2018'!BA377</f>
        <v>0</v>
      </c>
      <c r="K377" s="34">
        <f>J377*$F$8</f>
        <v>0</v>
      </c>
      <c r="L377" s="28"/>
      <c r="M377" s="2">
        <v>1387</v>
      </c>
      <c r="N377" s="15">
        <f>M377-I377</f>
        <v>0</v>
      </c>
      <c r="O377" s="34">
        <f>N377*$F$8</f>
        <v>0</v>
      </c>
      <c r="Q377" s="13">
        <v>1387</v>
      </c>
      <c r="R377" s="15">
        <f>Q377-M377</f>
        <v>0</v>
      </c>
      <c r="S377" s="34">
        <f>R377*$F$8</f>
        <v>0</v>
      </c>
      <c r="T377" s="28"/>
      <c r="U377" s="15">
        <v>1392</v>
      </c>
      <c r="V377" s="15">
        <f>U377-Q377</f>
        <v>5</v>
      </c>
      <c r="W377" s="34">
        <f>V377*$F$8</f>
        <v>12.45</v>
      </c>
      <c r="X377" s="15"/>
      <c r="Y377" s="13">
        <v>1512</v>
      </c>
      <c r="Z377" s="15">
        <f>Y377-U377</f>
        <v>120</v>
      </c>
      <c r="AA377" s="34">
        <f>Z377*$F$8</f>
        <v>298.8</v>
      </c>
      <c r="AB377" s="28"/>
      <c r="AC377" s="15">
        <v>1566</v>
      </c>
      <c r="AD377" s="15">
        <f t="shared" ref="AD377:AD378" si="1172">AC377-Y377</f>
        <v>54</v>
      </c>
      <c r="AE377" s="34">
        <f>AD377*$G$8</f>
        <v>135</v>
      </c>
      <c r="AF377" s="39">
        <v>754.47</v>
      </c>
      <c r="AG377" s="13">
        <v>1667</v>
      </c>
      <c r="AH377" s="15">
        <f t="shared" ref="AH377:AH378" si="1173">AG377-AC377</f>
        <v>101</v>
      </c>
      <c r="AI377" s="34">
        <f>AH377*$G$8</f>
        <v>252.5</v>
      </c>
      <c r="AJ377" s="32"/>
      <c r="AK377" s="13">
        <v>1780</v>
      </c>
      <c r="AL377" s="15">
        <f t="shared" ref="AL377:AL378" si="1174">AK377-AG377</f>
        <v>113</v>
      </c>
      <c r="AM377" s="34">
        <f>AL377*$G$8</f>
        <v>282.5</v>
      </c>
      <c r="AN377" s="28"/>
      <c r="AO377" s="13">
        <v>1869</v>
      </c>
      <c r="AP377" s="15">
        <f t="shared" ref="AP377:AP378" si="1175">AO377-AK377</f>
        <v>89</v>
      </c>
      <c r="AQ377" s="34">
        <f>AP377*$G$8</f>
        <v>222.5</v>
      </c>
      <c r="AR377" s="38">
        <v>670</v>
      </c>
      <c r="AS377" s="15">
        <v>2313</v>
      </c>
      <c r="AT377" s="15">
        <f t="shared" ref="AT377:AT378" si="1176">AS377-AO377</f>
        <v>444</v>
      </c>
      <c r="AU377" s="34">
        <f>AT377*$G$8</f>
        <v>1110</v>
      </c>
      <c r="AV377" s="39">
        <v>222.5</v>
      </c>
      <c r="AW377" s="13">
        <v>2382</v>
      </c>
      <c r="AX377" s="15">
        <f>AW377-AS377</f>
        <v>69</v>
      </c>
      <c r="AY377" s="34">
        <f>AX377*$G$8</f>
        <v>172.5</v>
      </c>
      <c r="AZ377" s="38">
        <v>1110</v>
      </c>
      <c r="BA377" s="13">
        <v>2406</v>
      </c>
      <c r="BB377" s="15">
        <f>BA377-AW377</f>
        <v>24</v>
      </c>
      <c r="BC377" s="34">
        <f>BB377*$G$8</f>
        <v>60</v>
      </c>
      <c r="BD377" s="39">
        <v>180</v>
      </c>
      <c r="BE377" s="40">
        <f t="shared" ref="BE377:BG377" si="1177">J377+N377+R377+V377+Z377+AD377+AH377+AL377+AP377+AT377+AX377+BB377</f>
        <v>1019</v>
      </c>
      <c r="BF377" s="41">
        <f t="shared" si="1177"/>
        <v>2546.25</v>
      </c>
      <c r="BG377" s="34">
        <f t="shared" si="1177"/>
        <v>2936.97</v>
      </c>
      <c r="BH377" s="35">
        <f t="shared" si="1171"/>
        <v>52.5</v>
      </c>
    </row>
    <row r="378" ht="14.25" customHeight="1" spans="1:60" x14ac:dyDescent="0.25">
      <c r="A378" s="29">
        <v>50</v>
      </c>
      <c r="B378" s="14"/>
      <c r="C378" s="15" t="s">
        <v>201</v>
      </c>
      <c r="D378" s="14" t="s">
        <v>47</v>
      </c>
      <c r="E378" s="2" t="s">
        <v>48</v>
      </c>
      <c r="F378" s="13">
        <v>17.98</v>
      </c>
      <c r="G378" s="28">
        <v>18.56</v>
      </c>
      <c r="H378" s="34">
        <f>'2018'!BH378</f>
        <v>0</v>
      </c>
      <c r="I378" s="13">
        <v>179</v>
      </c>
      <c r="J378" s="15"/>
      <c r="K378" s="15"/>
      <c r="L378" s="28"/>
      <c r="Q378" s="13"/>
      <c r="R378" s="15"/>
      <c r="S378" s="15"/>
      <c r="T378" s="28"/>
      <c r="Y378" s="13">
        <v>181</v>
      </c>
      <c r="Z378" s="15">
        <f>Y378-'2018'!AO378</f>
        <v>2</v>
      </c>
      <c r="AA378" s="34">
        <f>Z378*$F$10</f>
        <v>35.96</v>
      </c>
      <c r="AB378" s="28"/>
      <c r="AC378" s="15">
        <v>198</v>
      </c>
      <c r="AD378" s="15">
        <f t="shared" si="1172"/>
        <v>17</v>
      </c>
      <c r="AE378" s="34">
        <f>AD378*$F$10</f>
        <v>305.66</v>
      </c>
      <c r="AG378" s="13">
        <v>208</v>
      </c>
      <c r="AH378" s="15">
        <f t="shared" si="1173"/>
        <v>10</v>
      </c>
      <c r="AI378" s="45">
        <f>AH378*$G$10</f>
        <v>185.6</v>
      </c>
      <c r="AJ378" s="32"/>
      <c r="AK378" s="13">
        <v>216</v>
      </c>
      <c r="AL378" s="15">
        <f t="shared" si="1174"/>
        <v>8</v>
      </c>
      <c r="AM378" s="45">
        <f>AL378*$G$10</f>
        <v>148.48</v>
      </c>
      <c r="AN378" s="28"/>
      <c r="AO378" s="13">
        <v>219</v>
      </c>
      <c r="AP378" s="15">
        <f t="shared" si="1175"/>
        <v>3</v>
      </c>
      <c r="AQ378" s="45">
        <f>AP378*$G$10</f>
        <v>55.68</v>
      </c>
      <c r="AR378" s="38">
        <v>675.7</v>
      </c>
      <c r="AS378" s="13">
        <v>219</v>
      </c>
      <c r="AT378" s="15">
        <f t="shared" si="1176"/>
        <v>0</v>
      </c>
      <c r="AU378" s="45">
        <f>AT378*$G$10</f>
        <v>0</v>
      </c>
      <c r="AV378" s="39">
        <v>56</v>
      </c>
      <c r="AW378" s="13">
        <v>219</v>
      </c>
      <c r="AX378" s="15"/>
      <c r="AY378" s="15"/>
      <c r="AZ378" s="28"/>
      <c r="BA378" s="15">
        <v>219</v>
      </c>
      <c r="BB378" s="15"/>
      <c r="BC378" s="15"/>
      <c r="BD378" s="15"/>
      <c r="BE378" s="40">
        <f t="shared" ref="BE378:BG378" si="1178">J378+N378+R378+V378+Z378+AD378+AH378+AL378+AP378+AT378+AX378+BB378</f>
        <v>40</v>
      </c>
      <c r="BF378" s="41">
        <f t="shared" si="1178"/>
        <v>731.38</v>
      </c>
      <c r="BG378" s="34">
        <f t="shared" si="1178"/>
        <v>731.7</v>
      </c>
      <c r="BH378" s="35">
        <f t="shared" si="1171"/>
        <v>-0.32</v>
      </c>
    </row>
    <row r="379" ht="14.25" customHeight="1" spans="1:60" x14ac:dyDescent="0.25">
      <c r="A379" s="29">
        <v>50</v>
      </c>
      <c r="B379" s="14"/>
      <c r="C379" s="15" t="s">
        <v>115</v>
      </c>
      <c r="D379" s="14" t="s">
        <v>47</v>
      </c>
      <c r="E379" s="2" t="s">
        <v>49</v>
      </c>
      <c r="F379" s="41">
        <v>500</v>
      </c>
      <c r="G379" s="28"/>
      <c r="H379" s="34">
        <f>'2018'!BH379</f>
        <v>0</v>
      </c>
      <c r="I379" s="13"/>
      <c r="J379" s="15"/>
      <c r="K379" s="15"/>
      <c r="L379" s="28"/>
      <c r="Q379" s="13"/>
      <c r="R379" s="15"/>
      <c r="S379" s="15"/>
      <c r="T379" s="28"/>
      <c r="Y379" s="13"/>
      <c r="Z379" s="15"/>
      <c r="AA379" s="15"/>
      <c r="AB379" s="28"/>
      <c r="AG379" s="13"/>
      <c r="AH379" s="15"/>
      <c r="AI379" s="15"/>
      <c r="AJ379" s="28"/>
      <c r="AK379" s="13"/>
      <c r="AL379" s="15"/>
      <c r="AM379" s="34"/>
      <c r="AN379" s="28"/>
      <c r="AO379" s="13"/>
      <c r="AP379" s="15"/>
      <c r="AQ379" s="34"/>
      <c r="AR379" s="28"/>
      <c r="AS379" s="15"/>
      <c r="AT379" s="15"/>
      <c r="AU379" s="15"/>
      <c r="AV379" s="15"/>
      <c r="AW379" s="13"/>
      <c r="AX379" s="15"/>
      <c r="AY379" s="15"/>
      <c r="AZ379" s="28"/>
      <c r="BA379" s="15"/>
      <c r="BB379" s="15"/>
      <c r="BC379" s="15"/>
      <c r="BD379" s="15"/>
      <c r="BE379" s="14"/>
      <c r="BF379" s="41">
        <f t="shared" ref="BF379:BG379" si="1179">K379+O379+S379+W379+AA379+AE379+AI379+AM379+AQ379+AU379+AY379+BC379</f>
        <v>0</v>
      </c>
      <c r="BG379" s="34">
        <f t="shared" si="1179"/>
        <v>0</v>
      </c>
      <c r="BH379" s="35">
        <f t="shared" si="1171"/>
        <v>0</v>
      </c>
    </row>
    <row r="380" ht="14.25" customHeight="1" spans="1:60" x14ac:dyDescent="0.25">
      <c r="A380" s="29">
        <v>50</v>
      </c>
      <c r="B380" s="14"/>
      <c r="C380" s="15" t="s">
        <v>202</v>
      </c>
      <c r="D380" s="14" t="s">
        <v>50</v>
      </c>
      <c r="E380" s="2" t="s">
        <v>49</v>
      </c>
      <c r="F380" s="41">
        <v>1200</v>
      </c>
      <c r="G380" s="28"/>
      <c r="H380" s="34">
        <f>'2018'!BH380</f>
        <v>0.004000000001</v>
      </c>
      <c r="I380" s="13"/>
      <c r="J380" s="15"/>
      <c r="K380" s="15"/>
      <c r="L380" s="28"/>
      <c r="Q380" s="13"/>
      <c r="R380" s="15"/>
      <c r="S380" s="15"/>
      <c r="T380" s="28"/>
      <c r="Y380" s="13"/>
      <c r="Z380" s="15"/>
      <c r="AA380" s="15"/>
      <c r="AB380" s="28"/>
      <c r="AE380" s="34">
        <f>B377*$F$12</f>
        <v>7260</v>
      </c>
      <c r="AF380" s="34"/>
      <c r="AG380" s="13"/>
      <c r="AH380" s="15"/>
      <c r="AI380" s="15"/>
      <c r="AJ380" s="28"/>
      <c r="AK380" s="13"/>
      <c r="AL380" s="15"/>
      <c r="AM380" s="15"/>
      <c r="AN380" s="28"/>
      <c r="AO380" s="13"/>
      <c r="AP380" s="15"/>
      <c r="AQ380" s="15"/>
      <c r="AR380" s="38">
        <v>4000</v>
      </c>
      <c r="AS380" s="15"/>
      <c r="AT380" s="15"/>
      <c r="AU380" s="15"/>
      <c r="AV380" s="39">
        <v>3260</v>
      </c>
      <c r="AW380" s="13"/>
      <c r="AX380" s="15"/>
      <c r="AY380" s="15"/>
      <c r="AZ380" s="28"/>
      <c r="BA380" s="15"/>
      <c r="BB380" s="15"/>
      <c r="BC380" s="15"/>
      <c r="BD380" s="15"/>
      <c r="BE380" s="14"/>
      <c r="BF380" s="41">
        <f t="shared" ref="BF380:BG380" si="1180">K380+O380+S380+W380+AA380+AE380+AI380+AM380+AQ380+AU380+AY380+BC380</f>
        <v>7260</v>
      </c>
      <c r="BG380" s="34">
        <f t="shared" si="1180"/>
        <v>7260</v>
      </c>
      <c r="BH380" s="35">
        <f t="shared" si="1171"/>
        <v>0.004000000001</v>
      </c>
    </row>
    <row r="381" ht="14.25" customHeight="1" spans="1:60" x14ac:dyDescent="0.25">
      <c r="A381" s="29">
        <v>50</v>
      </c>
      <c r="B381" s="14"/>
      <c r="C381" s="15" t="s">
        <v>203</v>
      </c>
      <c r="D381" s="14" t="s">
        <v>51</v>
      </c>
      <c r="E381" s="2" t="s">
        <v>49</v>
      </c>
      <c r="F381" s="41">
        <v>1000</v>
      </c>
      <c r="G381" s="28"/>
      <c r="H381" s="34">
        <f>'2018'!BH381</f>
        <v>0</v>
      </c>
      <c r="I381" s="13"/>
      <c r="J381" s="15"/>
      <c r="K381" s="15"/>
      <c r="L381" s="28"/>
      <c r="Q381" s="13"/>
      <c r="R381" s="15"/>
      <c r="S381" s="15"/>
      <c r="T381" s="28"/>
      <c r="Y381" s="13"/>
      <c r="Z381" s="15"/>
      <c r="AA381" s="15"/>
      <c r="AB381" s="28"/>
      <c r="AE381" s="34">
        <f>$F$21</f>
        <v>1000</v>
      </c>
      <c r="AG381" s="13"/>
      <c r="AH381" s="15"/>
      <c r="AI381" s="15"/>
      <c r="AJ381" s="28"/>
      <c r="AK381" s="13"/>
      <c r="AL381" s="15"/>
      <c r="AM381" s="15"/>
      <c r="AN381" s="28"/>
      <c r="AO381" s="13"/>
      <c r="AP381" s="15"/>
      <c r="AQ381" s="15"/>
      <c r="AR381" s="38">
        <v>1000</v>
      </c>
      <c r="AS381" s="15"/>
      <c r="AT381" s="15"/>
      <c r="AU381" s="15"/>
      <c r="AV381" s="15"/>
      <c r="AW381" s="13"/>
      <c r="AX381" s="15"/>
      <c r="AY381" s="15"/>
      <c r="AZ381" s="28"/>
      <c r="BA381" s="15"/>
      <c r="BB381" s="15"/>
      <c r="BC381" s="15"/>
      <c r="BD381" s="15"/>
      <c r="BE381" s="14"/>
      <c r="BF381" s="41">
        <f t="shared" ref="BF381:BG381" si="1181">K381+O381+S381+W381+AA381+AE381+AI381+AM381+AQ381+AU381+AY381+BC381</f>
        <v>1000</v>
      </c>
      <c r="BG381" s="34">
        <f t="shared" si="1181"/>
        <v>1000</v>
      </c>
      <c r="BH381" s="35">
        <f t="shared" si="1171"/>
        <v>0</v>
      </c>
    </row>
    <row r="382" ht="14.25" customHeight="1" spans="1:60" x14ac:dyDescent="0.25">
      <c r="A382" s="29">
        <v>50</v>
      </c>
      <c r="B382" s="14"/>
      <c r="D382" s="14" t="s">
        <v>52</v>
      </c>
      <c r="E382" s="2" t="s">
        <v>39</v>
      </c>
      <c r="F382" s="41">
        <v>500</v>
      </c>
      <c r="G382" s="28"/>
      <c r="H382" s="84">
        <f>'2018'!BH382-500</f>
        <v>-500</v>
      </c>
      <c r="I382" s="13"/>
      <c r="J382" s="15"/>
      <c r="K382" s="15"/>
      <c r="L382" s="28"/>
      <c r="Q382" s="13"/>
      <c r="R382" s="15"/>
      <c r="S382" s="15"/>
      <c r="T382" s="28"/>
      <c r="Y382" s="13"/>
      <c r="Z382" s="15"/>
      <c r="AA382" s="34">
        <f>$F$14</f>
        <v>500</v>
      </c>
      <c r="AB382" s="35"/>
      <c r="AG382" s="13"/>
      <c r="AH382" s="15"/>
      <c r="AI382" s="15"/>
      <c r="AJ382" s="28"/>
      <c r="AK382" s="13"/>
      <c r="AL382" s="15"/>
      <c r="AM382" s="15"/>
      <c r="AN382" s="28"/>
      <c r="AO382" s="13"/>
      <c r="AP382" s="15"/>
      <c r="AQ382" s="15"/>
      <c r="AR382" s="28"/>
      <c r="AS382" s="15"/>
      <c r="AT382" s="15"/>
      <c r="AU382" s="15"/>
      <c r="AV382" s="15"/>
      <c r="AW382" s="13"/>
      <c r="AX382" s="15"/>
      <c r="AY382" s="15"/>
      <c r="AZ382" s="28"/>
      <c r="BA382" s="15"/>
      <c r="BB382" s="15"/>
      <c r="BC382" s="15"/>
      <c r="BD382" s="15"/>
      <c r="BE382" s="14"/>
      <c r="BF382" s="41">
        <f t="shared" ref="BF382:BG382" si="1182">K382+O382+S382+W382+AA382+AE382+AI382+AM382+AQ382+AU382+AY382+BC382</f>
        <v>500</v>
      </c>
      <c r="BG382" s="34">
        <f t="shared" si="1182"/>
        <v>0</v>
      </c>
      <c r="BH382" s="35">
        <f t="shared" si="1171"/>
        <v>0</v>
      </c>
    </row>
    <row r="383" ht="14.25" customHeight="1" spans="1:62" x14ac:dyDescent="0.25">
      <c r="A383" s="50">
        <v>50</v>
      </c>
      <c r="B383" s="21"/>
      <c r="C383" s="22" t="s">
        <v>53</v>
      </c>
      <c r="D383" s="21"/>
      <c r="E383" s="22"/>
      <c r="F383" s="20"/>
      <c r="G383" s="23"/>
      <c r="H383" s="51">
        <f>SUM(H376:H382)</f>
        <v>-56.776</v>
      </c>
      <c r="I383" s="52"/>
      <c r="J383" s="53"/>
      <c r="K383" s="51">
        <f t="shared" ref="K383:L383" si="1183">SUM(K376:K382)</f>
        <v>0</v>
      </c>
      <c r="L383" s="68">
        <f t="shared" si="1183"/>
        <v>0</v>
      </c>
      <c r="M383" s="53"/>
      <c r="N383" s="53"/>
      <c r="O383" s="51">
        <f t="shared" ref="O383:P383" si="1184">SUM(O377:O382)</f>
        <v>0</v>
      </c>
      <c r="P383" s="51">
        <f t="shared" si="1184"/>
        <v>0</v>
      </c>
      <c r="Q383" s="52"/>
      <c r="R383" s="53"/>
      <c r="S383" s="51">
        <f t="shared" ref="S383:T383" si="1185">SUM(S377:S382)</f>
        <v>0</v>
      </c>
      <c r="T383" s="68">
        <f t="shared" si="1185"/>
        <v>0</v>
      </c>
      <c r="U383" s="53"/>
      <c r="V383" s="53"/>
      <c r="W383" s="51">
        <f t="shared" ref="W383:X383" si="1186">SUM(W377:W382)</f>
        <v>12.45</v>
      </c>
      <c r="X383" s="51">
        <f t="shared" si="1186"/>
        <v>0</v>
      </c>
      <c r="Y383" s="52"/>
      <c r="Z383" s="53"/>
      <c r="AA383" s="51">
        <f t="shared" ref="AA383:AB383" si="1187">SUM(AA377:AA382)</f>
        <v>834.76</v>
      </c>
      <c r="AB383" s="68">
        <f t="shared" si="1187"/>
        <v>0</v>
      </c>
      <c r="AC383" s="53"/>
      <c r="AD383" s="53"/>
      <c r="AE383" s="51">
        <f t="shared" ref="AE383:AF383" si="1188">SUM(AE377:AE382)</f>
        <v>8700.66</v>
      </c>
      <c r="AF383" s="51">
        <f t="shared" si="1188"/>
        <v>754.47</v>
      </c>
      <c r="AG383" s="52"/>
      <c r="AH383" s="53"/>
      <c r="AI383" s="51">
        <f t="shared" ref="AI383:AJ383" si="1189">SUM(AI377:AI382)</f>
        <v>438.1</v>
      </c>
      <c r="AJ383" s="68">
        <f t="shared" si="1189"/>
        <v>0</v>
      </c>
      <c r="AK383" s="52"/>
      <c r="AL383" s="53"/>
      <c r="AM383" s="51">
        <f t="shared" ref="AM383:AN383" si="1190">SUM(AM377:AM382)</f>
        <v>430.98</v>
      </c>
      <c r="AN383" s="68">
        <f t="shared" si="1190"/>
        <v>0</v>
      </c>
      <c r="AO383" s="52"/>
      <c r="AP383" s="53"/>
      <c r="AQ383" s="51">
        <f t="shared" ref="AQ383:AR383" si="1191">SUM(AQ376:AQ382)</f>
        <v>289.96</v>
      </c>
      <c r="AR383" s="68">
        <f t="shared" si="1191"/>
        <v>6345.7</v>
      </c>
      <c r="AS383" s="53"/>
      <c r="AT383" s="53"/>
      <c r="AU383" s="51">
        <f t="shared" ref="AU383:AV383" si="1192">SUM(AU376:AU382)</f>
        <v>1114.24</v>
      </c>
      <c r="AV383" s="68">
        <f t="shared" si="1192"/>
        <v>3550.5</v>
      </c>
      <c r="AW383" s="52"/>
      <c r="AX383" s="53"/>
      <c r="AY383" s="51">
        <f t="shared" ref="AY383:AZ383" si="1193">SUM(AY376:AY382)</f>
        <v>172.5</v>
      </c>
      <c r="AZ383" s="68">
        <f t="shared" si="1193"/>
        <v>1110</v>
      </c>
      <c r="BA383" s="53"/>
      <c r="BB383" s="53"/>
      <c r="BC383" s="51">
        <f t="shared" ref="BC383:BD383" si="1194">SUM(BC376:BC382)</f>
        <v>60</v>
      </c>
      <c r="BD383" s="68">
        <f t="shared" si="1194"/>
        <v>180</v>
      </c>
      <c r="BE383" s="69"/>
      <c r="BF383" s="70">
        <f t="shared" ref="BF383:BH383" si="1195">SUM(BF376:BF382)</f>
        <v>12053.65</v>
      </c>
      <c r="BG383" s="71">
        <f t="shared" si="1195"/>
        <v>11940.67</v>
      </c>
      <c r="BH383" s="72">
        <f t="shared" si="1195"/>
        <v>56.204</v>
      </c>
      <c r="BI383" s="34">
        <f>H383+BF383-BG383</f>
        <v>56.204</v>
      </c>
      <c r="BJ383" s="34">
        <f>BH383-BI383</f>
        <v>0</v>
      </c>
    </row>
    <row r="384" ht="14.25" customHeight="1" spans="1:60" x14ac:dyDescent="0.25">
      <c r="A384" s="29">
        <v>51</v>
      </c>
      <c r="B384" s="14"/>
      <c r="D384" s="14" t="s">
        <v>379</v>
      </c>
      <c r="F384" s="13"/>
      <c r="G384" s="28"/>
      <c r="H384" s="34">
        <f>'2018'!BH384</f>
      </c>
      <c r="I384" s="13"/>
      <c r="J384" s="15"/>
      <c r="K384" s="15"/>
      <c r="L384" s="28"/>
      <c r="Q384" s="13"/>
      <c r="R384" s="15"/>
      <c r="S384" s="15"/>
      <c r="T384" s="28"/>
      <c r="Y384" s="13"/>
      <c r="Z384" s="15"/>
      <c r="AA384" s="15"/>
      <c r="AB384" s="28"/>
      <c r="AG384" s="13"/>
      <c r="AH384" s="15"/>
      <c r="AI384" s="15"/>
      <c r="AJ384" s="28"/>
      <c r="AK384" s="13"/>
      <c r="AL384" s="15"/>
      <c r="AM384" s="15"/>
      <c r="AN384" s="28"/>
      <c r="AO384" s="13"/>
      <c r="AP384" s="15"/>
      <c r="AQ384" s="15">
        <v>8.33</v>
      </c>
      <c r="AR384" s="28"/>
      <c r="AW384" s="13"/>
      <c r="AX384" s="15"/>
      <c r="AY384" s="15"/>
      <c r="AZ384" s="28"/>
      <c r="BE384" s="14"/>
      <c r="BF384" s="41">
        <f t="shared" ref="BF384:BG384" si="1196">K384+O384+S384+W384+AA384+AE384+AI384+AM384+AQ384+AU384+AY384+BC384</f>
        <v>8.33</v>
      </c>
      <c r="BG384" s="34">
        <f t="shared" si="1196"/>
        <v>0</v>
      </c>
      <c r="BH384" s="35">
        <f t="shared" ref="BH384:BH390" si="1197">H384+BF384-BG384</f>
        <v>8.33</v>
      </c>
    </row>
    <row r="385" ht="14.25" customHeight="1" spans="1:60" x14ac:dyDescent="0.25">
      <c r="A385" s="2">
        <v>51</v>
      </c>
      <c r="B385" s="14">
        <v>4.95</v>
      </c>
      <c r="C385" s="15" t="s">
        <v>204</v>
      </c>
      <c r="D385" s="14" t="s">
        <v>44</v>
      </c>
      <c r="E385" s="2" t="s">
        <v>45</v>
      </c>
      <c r="F385" s="13">
        <v>2.49</v>
      </c>
      <c r="G385" s="35">
        <v>2.5</v>
      </c>
      <c r="H385" s="104">
        <f>'2018'!BH385</f>
        <v>0</v>
      </c>
      <c r="I385" s="13"/>
      <c r="J385" s="15"/>
      <c r="K385" s="34">
        <f>J385*$F$8</f>
        <v>0</v>
      </c>
      <c r="L385" s="28"/>
      <c r="N385" s="15">
        <f>M385-I385</f>
        <v>0</v>
      </c>
      <c r="O385" s="34">
        <f>N385*$F$8</f>
        <v>0</v>
      </c>
      <c r="Q385" s="13"/>
      <c r="R385" s="15">
        <f>Q385-M385</f>
        <v>0</v>
      </c>
      <c r="S385" s="34">
        <f>R385*$F$8</f>
        <v>0</v>
      </c>
      <c r="T385" s="28"/>
      <c r="V385" s="15">
        <f>U385-Q385</f>
        <v>0</v>
      </c>
      <c r="Y385" s="13"/>
      <c r="Z385" s="15">
        <f>Y385-U385</f>
        <v>0</v>
      </c>
      <c r="AA385" s="34">
        <f>Z385*$F$8</f>
        <v>0</v>
      </c>
      <c r="AB385" s="28"/>
      <c r="AC385" s="15"/>
      <c r="AD385" s="15">
        <f t="shared" ref="AD385:AD386" si="1198">AC385-Y385</f>
        <v>0</v>
      </c>
      <c r="AE385" s="34">
        <f>AD385*$G$8</f>
        <v>0</v>
      </c>
      <c r="AG385" s="13"/>
      <c r="AH385" s="15">
        <f t="shared" ref="AH385:AH386" si="1199">AG385-AC385</f>
        <v>0</v>
      </c>
      <c r="AI385" s="34">
        <f>AH385*$G$8</f>
        <v>0</v>
      </c>
      <c r="AJ385" s="28"/>
      <c r="AK385" s="13"/>
      <c r="AL385" s="15">
        <f t="shared" ref="AL385:AL386" si="1200">AK385-AG385</f>
        <v>0</v>
      </c>
      <c r="AM385" s="34">
        <f>AL385*$G$8</f>
        <v>0</v>
      </c>
      <c r="AN385" s="28"/>
      <c r="AO385" s="13"/>
      <c r="AP385" s="15">
        <f t="shared" ref="AP385:AP386" si="1201">AO385-AK385</f>
        <v>0</v>
      </c>
      <c r="AQ385" s="34">
        <f>AP385*$G$8</f>
        <v>0</v>
      </c>
      <c r="AR385" s="28"/>
      <c r="AS385" s="15"/>
      <c r="AT385" s="15">
        <f t="shared" ref="AT385:AT386" si="1202">AS385-AO385</f>
        <v>0</v>
      </c>
      <c r="AU385" s="34">
        <f t="shared" ref="AU385:AU386" si="1203">AT385*$G$8</f>
        <v>0</v>
      </c>
      <c r="AV385" s="15"/>
      <c r="AW385" s="13"/>
      <c r="AX385" s="15">
        <f>AW385-AS385</f>
        <v>0</v>
      </c>
      <c r="AY385" s="34">
        <f>AX385*$G$8</f>
        <v>0</v>
      </c>
      <c r="AZ385" s="28"/>
      <c r="BA385" s="15"/>
      <c r="BB385" s="15">
        <f>BA385-AW385</f>
        <v>0</v>
      </c>
      <c r="BC385" s="34">
        <f>BB385*$G$8</f>
        <v>0</v>
      </c>
      <c r="BD385" s="15"/>
      <c r="BE385" s="40">
        <f t="shared" ref="BE385:BG385" si="1204">J385+N385+R385+V385+Z385+AD385+AH385+AL385+AP385+AT385+AX385+BB385</f>
        <v>0</v>
      </c>
      <c r="BF385" s="41">
        <f t="shared" si="1204"/>
        <v>0</v>
      </c>
      <c r="BG385" s="34">
        <f t="shared" si="1204"/>
        <v>0</v>
      </c>
      <c r="BH385" s="35">
        <f t="shared" si="1197"/>
        <v>0</v>
      </c>
    </row>
    <row r="386" ht="14.25" customHeight="1" spans="1:60" x14ac:dyDescent="0.25">
      <c r="A386" s="29">
        <v>51</v>
      </c>
      <c r="B386" s="14"/>
      <c r="C386" s="15" t="s">
        <v>121</v>
      </c>
      <c r="D386" s="14" t="s">
        <v>47</v>
      </c>
      <c r="E386" s="2" t="s">
        <v>48</v>
      </c>
      <c r="F386" s="13">
        <v>17.98</v>
      </c>
      <c r="G386" s="28">
        <v>18.56</v>
      </c>
      <c r="H386" s="34">
        <f>'2018'!BH386</f>
        <v>0</v>
      </c>
      <c r="I386" s="13">
        <v>5</v>
      </c>
      <c r="J386" s="15"/>
      <c r="K386" s="15"/>
      <c r="L386" s="28"/>
      <c r="Q386" s="13"/>
      <c r="R386" s="15"/>
      <c r="S386" s="15"/>
      <c r="T386" s="28"/>
      <c r="Y386" s="13">
        <v>3</v>
      </c>
      <c r="Z386" s="15">
        <f>Y386-'2018'!AO386</f>
        <v>-2</v>
      </c>
      <c r="AA386" s="34">
        <f>Z386*$F$10</f>
        <v>-35.96</v>
      </c>
      <c r="AB386" s="28"/>
      <c r="AC386" s="15">
        <v>3</v>
      </c>
      <c r="AD386" s="15">
        <f t="shared" si="1198"/>
        <v>0</v>
      </c>
      <c r="AE386" s="34">
        <f>AD386*$F$10</f>
        <v>0</v>
      </c>
      <c r="AG386" s="13">
        <v>21</v>
      </c>
      <c r="AH386" s="15">
        <f t="shared" si="1199"/>
        <v>18</v>
      </c>
      <c r="AI386" s="45">
        <f>AH386*$G$10</f>
        <v>334.08</v>
      </c>
      <c r="AJ386" s="28"/>
      <c r="AK386" s="13">
        <v>21</v>
      </c>
      <c r="AL386" s="15">
        <f t="shared" si="1200"/>
        <v>0</v>
      </c>
      <c r="AM386" s="45">
        <f>AL386*$G$10</f>
        <v>0</v>
      </c>
      <c r="AN386" s="28"/>
      <c r="AO386" s="75">
        <v>21</v>
      </c>
      <c r="AP386" s="15">
        <f t="shared" si="1201"/>
        <v>0</v>
      </c>
      <c r="AQ386" s="45">
        <f>AP386*$G$10</f>
        <v>0</v>
      </c>
      <c r="AR386" s="38">
        <v>300</v>
      </c>
      <c r="AS386" s="15">
        <v>27</v>
      </c>
      <c r="AT386" s="15">
        <f t="shared" si="1202"/>
        <v>6</v>
      </c>
      <c r="AU386" s="34">
        <f t="shared" si="1203"/>
        <v>15</v>
      </c>
      <c r="AV386" s="15"/>
      <c r="AW386" s="13">
        <v>27</v>
      </c>
      <c r="AX386" s="15"/>
      <c r="AY386" s="15"/>
      <c r="AZ386" s="28"/>
      <c r="BA386" s="15">
        <v>27</v>
      </c>
      <c r="BB386" s="15"/>
      <c r="BC386" s="15"/>
      <c r="BD386" s="15"/>
      <c r="BE386" s="40">
        <f t="shared" ref="BE386:BG386" si="1205">J386+N386+R386+V386+Z386+AD386+AH386+AL386+AP386+AT386+AX386+BB386</f>
        <v>22</v>
      </c>
      <c r="BF386" s="41">
        <f t="shared" si="1205"/>
        <v>313.12</v>
      </c>
      <c r="BG386" s="34">
        <f t="shared" si="1205"/>
        <v>300</v>
      </c>
      <c r="BH386" s="35">
        <f t="shared" si="1197"/>
        <v>13.12</v>
      </c>
    </row>
    <row r="387" ht="14.25" customHeight="1" spans="1:60" x14ac:dyDescent="0.25">
      <c r="A387" s="29">
        <v>51</v>
      </c>
      <c r="B387" s="14"/>
      <c r="C387" s="15" t="s">
        <v>58</v>
      </c>
      <c r="D387" s="14" t="s">
        <v>47</v>
      </c>
      <c r="E387" s="2" t="s">
        <v>49</v>
      </c>
      <c r="F387" s="41">
        <v>500</v>
      </c>
      <c r="G387" s="28"/>
      <c r="H387" s="34">
        <f>'2018'!BH387</f>
        <v>0</v>
      </c>
      <c r="I387" s="13"/>
      <c r="J387" s="15"/>
      <c r="K387" s="15"/>
      <c r="L387" s="28"/>
      <c r="Q387" s="13"/>
      <c r="R387" s="15"/>
      <c r="S387" s="15"/>
      <c r="T387" s="28"/>
      <c r="Y387" s="13"/>
      <c r="Z387" s="15"/>
      <c r="AA387" s="15"/>
      <c r="AB387" s="28"/>
      <c r="AG387" s="13"/>
      <c r="AH387" s="15"/>
      <c r="AI387" s="15"/>
      <c r="AJ387" s="28"/>
      <c r="AK387" s="13"/>
      <c r="AL387" s="15"/>
      <c r="AM387" s="34"/>
      <c r="AN387" s="28"/>
      <c r="AO387" s="13"/>
      <c r="AP387" s="15"/>
      <c r="AQ387" s="34"/>
      <c r="AR387" s="28"/>
      <c r="AS387" s="15"/>
      <c r="AT387" s="15"/>
      <c r="AU387" s="15"/>
      <c r="AV387" s="15"/>
      <c r="AW387" s="13"/>
      <c r="AX387" s="15"/>
      <c r="AY387" s="15"/>
      <c r="AZ387" s="28"/>
      <c r="BA387" s="15"/>
      <c r="BB387" s="15"/>
      <c r="BC387" s="15"/>
      <c r="BD387" s="15"/>
      <c r="BE387" s="14"/>
      <c r="BF387" s="41">
        <f t="shared" ref="BF387:BG387" si="1206">K387+O387+S387+W387+AA387+AE387+AI387+AM387+AQ387+AU387+AY387+BC387</f>
        <v>0</v>
      </c>
      <c r="BG387" s="34">
        <f t="shared" si="1206"/>
        <v>0</v>
      </c>
      <c r="BH387" s="35">
        <f t="shared" si="1197"/>
        <v>0</v>
      </c>
    </row>
    <row r="388" ht="14.25" customHeight="1" spans="1:60" x14ac:dyDescent="0.25">
      <c r="A388" s="29">
        <v>51</v>
      </c>
      <c r="B388" s="14"/>
      <c r="C388" s="73" t="s">
        <v>419</v>
      </c>
      <c r="D388" s="14" t="s">
        <v>50</v>
      </c>
      <c r="E388" s="2" t="s">
        <v>49</v>
      </c>
      <c r="F388" s="41">
        <v>1200</v>
      </c>
      <c r="G388" s="28"/>
      <c r="H388" s="34">
        <f>'2018'!BH388</f>
        <v>-0.004</v>
      </c>
      <c r="I388" s="13"/>
      <c r="J388" s="15"/>
      <c r="K388" s="15"/>
      <c r="L388" s="28"/>
      <c r="Q388" s="13"/>
      <c r="R388" s="15"/>
      <c r="S388" s="15"/>
      <c r="T388" s="28"/>
      <c r="Y388" s="13"/>
      <c r="Z388" s="15"/>
      <c r="AA388" s="15"/>
      <c r="AB388" s="28"/>
      <c r="AE388" s="34">
        <f>B385*$F$12</f>
        <v>5940</v>
      </c>
      <c r="AF388" s="34"/>
      <c r="AG388" s="13"/>
      <c r="AH388" s="15"/>
      <c r="AI388" s="15"/>
      <c r="AJ388" s="28"/>
      <c r="AK388" s="13"/>
      <c r="AL388" s="15"/>
      <c r="AM388" s="15"/>
      <c r="AN388" s="28"/>
      <c r="AO388" s="13"/>
      <c r="AP388" s="15"/>
      <c r="AQ388" s="15"/>
      <c r="AR388" s="38">
        <v>5940</v>
      </c>
      <c r="AS388" s="15"/>
      <c r="AT388" s="15"/>
      <c r="AU388" s="15"/>
      <c r="AV388" s="15"/>
      <c r="AW388" s="13"/>
      <c r="AX388" s="15"/>
      <c r="AY388" s="15"/>
      <c r="AZ388" s="35"/>
      <c r="BA388" s="15"/>
      <c r="BB388" s="15"/>
      <c r="BC388" s="15"/>
      <c r="BD388" s="15"/>
      <c r="BE388" s="14"/>
      <c r="BF388" s="41">
        <f t="shared" ref="BF388:BG388" si="1207">K388+O388+S388+W388+AA388+AE388+AI388+AM388+AQ388+AU388+AY388+BC388</f>
        <v>5940</v>
      </c>
      <c r="BG388" s="34">
        <f t="shared" si="1207"/>
        <v>5940</v>
      </c>
      <c r="BH388" s="35">
        <f t="shared" si="1197"/>
        <v>-0.004</v>
      </c>
    </row>
    <row r="389" ht="14.25" customHeight="1" spans="1:60" x14ac:dyDescent="0.25">
      <c r="A389" s="29">
        <v>51</v>
      </c>
      <c r="B389" s="14"/>
      <c r="C389" s="73" t="s">
        <v>205</v>
      </c>
      <c r="D389" s="14" t="s">
        <v>51</v>
      </c>
      <c r="E389" s="2" t="s">
        <v>49</v>
      </c>
      <c r="F389" s="41">
        <v>1000</v>
      </c>
      <c r="G389" s="28"/>
      <c r="H389" s="34">
        <f>'2018'!BH389</f>
        <v>0</v>
      </c>
      <c r="I389" s="13"/>
      <c r="J389" s="15"/>
      <c r="K389" s="15"/>
      <c r="L389" s="28"/>
      <c r="Q389" s="13"/>
      <c r="R389" s="15"/>
      <c r="S389" s="15"/>
      <c r="T389" s="28"/>
      <c r="Y389" s="13"/>
      <c r="Z389" s="15"/>
      <c r="AA389" s="15"/>
      <c r="AB389" s="28"/>
      <c r="AE389" s="34">
        <f>$F$21</f>
        <v>1000</v>
      </c>
      <c r="AG389" s="13"/>
      <c r="AH389" s="15"/>
      <c r="AI389" s="15"/>
      <c r="AJ389" s="28"/>
      <c r="AK389" s="13"/>
      <c r="AL389" s="15"/>
      <c r="AM389" s="15"/>
      <c r="AN389" s="28"/>
      <c r="AO389" s="13"/>
      <c r="AP389" s="15"/>
      <c r="AQ389" s="15"/>
      <c r="AR389" s="38">
        <v>1000</v>
      </c>
      <c r="AS389" s="15"/>
      <c r="AT389" s="15"/>
      <c r="AU389" s="15"/>
      <c r="AV389" s="15"/>
      <c r="AW389" s="13"/>
      <c r="AX389" s="15"/>
      <c r="AY389" s="15"/>
      <c r="AZ389" s="28"/>
      <c r="BA389" s="15"/>
      <c r="BB389" s="15"/>
      <c r="BC389" s="15"/>
      <c r="BD389" s="15"/>
      <c r="BE389" s="14"/>
      <c r="BF389" s="41">
        <f t="shared" ref="BF389:BG389" si="1208">K389+O389+S389+W389+AA389+AE389+AI389+AM389+AQ389+AU389+AY389+BC389</f>
        <v>1000</v>
      </c>
      <c r="BG389" s="34">
        <f t="shared" si="1208"/>
        <v>1000</v>
      </c>
      <c r="BH389" s="35">
        <f t="shared" si="1197"/>
        <v>0</v>
      </c>
    </row>
    <row r="390" ht="14.25" customHeight="1" spans="1:60" x14ac:dyDescent="0.25">
      <c r="A390" s="29">
        <v>51</v>
      </c>
      <c r="B390" s="14"/>
      <c r="C390" s="73" t="s">
        <v>420</v>
      </c>
      <c r="D390" s="14" t="s">
        <v>52</v>
      </c>
      <c r="E390" s="2" t="s">
        <v>39</v>
      </c>
      <c r="F390" s="41">
        <v>500</v>
      </c>
      <c r="G390" s="28"/>
      <c r="H390" s="34">
        <f>'2018'!BH390</f>
        <v>0</v>
      </c>
      <c r="I390" s="13"/>
      <c r="J390" s="15"/>
      <c r="K390" s="15"/>
      <c r="L390" s="28"/>
      <c r="Q390" s="13"/>
      <c r="R390" s="15"/>
      <c r="S390" s="15"/>
      <c r="T390" s="28"/>
      <c r="Y390" s="13"/>
      <c r="Z390" s="15"/>
      <c r="AA390" s="34">
        <f>$F$14</f>
        <v>500</v>
      </c>
      <c r="AB390" s="28"/>
      <c r="AG390" s="13"/>
      <c r="AH390" s="15"/>
      <c r="AI390" s="15"/>
      <c r="AJ390" s="28"/>
      <c r="AK390" s="13"/>
      <c r="AL390" s="15"/>
      <c r="AM390" s="15"/>
      <c r="AN390" s="28"/>
      <c r="AO390" s="13"/>
      <c r="AP390" s="15"/>
      <c r="AQ390" s="15"/>
      <c r="AR390" s="38">
        <v>500</v>
      </c>
      <c r="AS390" s="15"/>
      <c r="AT390" s="15"/>
      <c r="AU390" s="15"/>
      <c r="AV390" s="15"/>
      <c r="AW390" s="13"/>
      <c r="AX390" s="15"/>
      <c r="AY390" s="15"/>
      <c r="AZ390" s="35"/>
      <c r="BA390" s="15"/>
      <c r="BB390" s="15"/>
      <c r="BC390" s="15"/>
      <c r="BD390" s="15"/>
      <c r="BE390" s="14"/>
      <c r="BF390" s="41">
        <f t="shared" ref="BF390:BG390" si="1209">K390+O390+S390+W390+AA390+AE390+AI390+AM390+AQ390+AU390+AY390+BC390</f>
        <v>500</v>
      </c>
      <c r="BG390" s="34">
        <f t="shared" si="1209"/>
        <v>500</v>
      </c>
      <c r="BH390" s="35">
        <f t="shared" si="1197"/>
        <v>0</v>
      </c>
    </row>
    <row r="391" ht="14.25" customHeight="1" spans="1:62" x14ac:dyDescent="0.25">
      <c r="A391" s="50">
        <v>51</v>
      </c>
      <c r="B391" s="21"/>
      <c r="C391" s="22" t="s">
        <v>53</v>
      </c>
      <c r="D391" s="21"/>
      <c r="E391" s="22"/>
      <c r="F391" s="20"/>
      <c r="G391" s="23"/>
      <c r="H391" s="51">
        <f>SUM(H384:H390)</f>
        <v>-0.004</v>
      </c>
      <c r="I391" s="52"/>
      <c r="J391" s="53"/>
      <c r="K391" s="51">
        <f t="shared" ref="K391:L391" si="1210">SUM(K384:K390)</f>
        <v>0</v>
      </c>
      <c r="L391" s="68">
        <f t="shared" si="1210"/>
        <v>0</v>
      </c>
      <c r="M391" s="53"/>
      <c r="N391" s="53"/>
      <c r="O391" s="51">
        <f t="shared" ref="O391:P391" si="1211">SUM(O385:O390)</f>
        <v>0</v>
      </c>
      <c r="P391" s="51">
        <f t="shared" si="1211"/>
        <v>0</v>
      </c>
      <c r="Q391" s="52"/>
      <c r="R391" s="53"/>
      <c r="S391" s="51">
        <f t="shared" ref="S391:T391" si="1212">SUM(S385:S390)</f>
        <v>0</v>
      </c>
      <c r="T391" s="68">
        <f t="shared" si="1212"/>
        <v>0</v>
      </c>
      <c r="U391" s="53"/>
      <c r="V391" s="53"/>
      <c r="W391" s="51">
        <f t="shared" ref="W391:X391" si="1213">SUM(W385:W390)</f>
        <v>0</v>
      </c>
      <c r="X391" s="51">
        <f t="shared" si="1213"/>
        <v>0</v>
      </c>
      <c r="Y391" s="52"/>
      <c r="Z391" s="53"/>
      <c r="AA391" s="51">
        <f t="shared" ref="AA391:AB391" si="1214">SUM(AA385:AA390)</f>
        <v>464.04</v>
      </c>
      <c r="AB391" s="68">
        <f t="shared" si="1214"/>
        <v>0</v>
      </c>
      <c r="AC391" s="53"/>
      <c r="AD391" s="53"/>
      <c r="AE391" s="51">
        <f t="shared" ref="AE391:AF391" si="1215">SUM(AE385:AE390)</f>
        <v>6940</v>
      </c>
      <c r="AF391" s="51">
        <f t="shared" si="1215"/>
        <v>0</v>
      </c>
      <c r="AG391" s="52"/>
      <c r="AH391" s="53"/>
      <c r="AI391" s="51">
        <f t="shared" ref="AI391:AJ391" si="1216">SUM(AI385:AI390)</f>
        <v>334.08</v>
      </c>
      <c r="AJ391" s="68">
        <f t="shared" si="1216"/>
        <v>0</v>
      </c>
      <c r="AK391" s="52"/>
      <c r="AL391" s="53"/>
      <c r="AM391" s="51">
        <f t="shared" ref="AM391:AN391" si="1217">SUM(AM385:AM390)</f>
        <v>0</v>
      </c>
      <c r="AN391" s="68">
        <f t="shared" si="1217"/>
        <v>0</v>
      </c>
      <c r="AO391" s="52"/>
      <c r="AP391" s="53"/>
      <c r="AQ391" s="51">
        <f t="shared" ref="AQ391:AR391" si="1218">SUM(AQ384:AQ390)</f>
        <v>8.33</v>
      </c>
      <c r="AR391" s="68">
        <f t="shared" si="1218"/>
        <v>7740</v>
      </c>
      <c r="AS391" s="53"/>
      <c r="AT391" s="53"/>
      <c r="AU391" s="51">
        <f t="shared" ref="AU391:AV391" si="1219">SUM(AU384:AU390)</f>
        <v>15</v>
      </c>
      <c r="AV391" s="68">
        <f t="shared" si="1219"/>
        <v>0</v>
      </c>
      <c r="AW391" s="52"/>
      <c r="AX391" s="53"/>
      <c r="AY391" s="51">
        <f t="shared" ref="AY391:AZ391" si="1220">SUM(AY384:AY390)</f>
        <v>0</v>
      </c>
      <c r="AZ391" s="68">
        <f t="shared" si="1220"/>
        <v>0</v>
      </c>
      <c r="BA391" s="53"/>
      <c r="BB391" s="53"/>
      <c r="BC391" s="51">
        <f t="shared" ref="BC391:BD391" si="1221">SUM(BC384:BC390)</f>
        <v>0</v>
      </c>
      <c r="BD391" s="68">
        <f t="shared" si="1221"/>
        <v>0</v>
      </c>
      <c r="BE391" s="69"/>
      <c r="BF391" s="70">
        <f t="shared" ref="BF391:BH391" si="1222">SUM(BF384:BF390)</f>
        <v>7761.45</v>
      </c>
      <c r="BG391" s="71">
        <f t="shared" si="1222"/>
        <v>7740</v>
      </c>
      <c r="BH391" s="72">
        <f t="shared" si="1222"/>
        <v>21.446</v>
      </c>
      <c r="BI391" s="34">
        <f>H391+BF391-BG391</f>
        <v>21.446</v>
      </c>
      <c r="BJ391" s="34">
        <f>BH391-BI391</f>
        <v>0</v>
      </c>
    </row>
    <row r="392" ht="14.25" customHeight="1" spans="1:60" x14ac:dyDescent="0.25">
      <c r="A392" s="29">
        <v>52</v>
      </c>
      <c r="B392" s="14"/>
      <c r="D392" s="14" t="s">
        <v>379</v>
      </c>
      <c r="F392" s="13"/>
      <c r="G392" s="28"/>
      <c r="H392" s="34">
        <f>'2018'!BH392</f>
      </c>
      <c r="I392" s="13"/>
      <c r="J392" s="15"/>
      <c r="K392" s="15"/>
      <c r="L392" s="28"/>
      <c r="Q392" s="13"/>
      <c r="R392" s="15"/>
      <c r="S392" s="15"/>
      <c r="T392" s="28"/>
      <c r="Y392" s="13"/>
      <c r="Z392" s="15"/>
      <c r="AA392" s="15"/>
      <c r="AB392" s="28"/>
      <c r="AG392" s="13"/>
      <c r="AH392" s="15"/>
      <c r="AI392" s="15"/>
      <c r="AJ392" s="28"/>
      <c r="AK392" s="13"/>
      <c r="AL392" s="15"/>
      <c r="AM392" s="15"/>
      <c r="AN392" s="28"/>
      <c r="AO392" s="13"/>
      <c r="AP392" s="15"/>
      <c r="AQ392" s="15"/>
      <c r="AR392" s="28"/>
      <c r="AW392" s="13"/>
      <c r="AX392" s="15"/>
      <c r="AY392" s="15"/>
      <c r="AZ392" s="28"/>
      <c r="BE392" s="14"/>
      <c r="BF392" s="41">
        <f t="shared" ref="BF392:BG392" si="1223">K392+O392+S392+W392+AA392+AE392+AI392+AM392+AQ392+AU392+AY392+BC392</f>
        <v>0</v>
      </c>
      <c r="BG392" s="34">
        <f t="shared" si="1223"/>
        <v>0</v>
      </c>
      <c r="BH392" s="35">
        <f t="shared" ref="BH392:BH398" si="1224">H392+BF392-BG392</f>
        <v>0</v>
      </c>
    </row>
    <row r="393" ht="14.25" customHeight="1" spans="1:60" x14ac:dyDescent="0.25">
      <c r="A393" s="2">
        <v>52</v>
      </c>
      <c r="B393" s="42">
        <v>5</v>
      </c>
      <c r="C393" s="15" t="s">
        <v>206</v>
      </c>
      <c r="D393" s="14" t="s">
        <v>44</v>
      </c>
      <c r="E393" s="2" t="s">
        <v>45</v>
      </c>
      <c r="F393" s="13">
        <v>2.49</v>
      </c>
      <c r="G393" s="35">
        <v>2.5</v>
      </c>
      <c r="H393" s="34">
        <f>'2018'!BH393</f>
        <v>2.49</v>
      </c>
      <c r="I393" s="13">
        <v>63</v>
      </c>
      <c r="J393" s="15">
        <f>I393-'2018'!BA393</f>
        <v>0</v>
      </c>
      <c r="K393" s="34">
        <f>J393*$F$8</f>
        <v>0</v>
      </c>
      <c r="L393" s="28"/>
      <c r="M393" s="2">
        <v>63</v>
      </c>
      <c r="N393" s="15">
        <f>M393-I393</f>
        <v>0</v>
      </c>
      <c r="O393" s="34">
        <f>N393*$F$8</f>
        <v>0</v>
      </c>
      <c r="Q393" s="13">
        <v>63</v>
      </c>
      <c r="R393" s="15">
        <f>Q393-M393</f>
        <v>0</v>
      </c>
      <c r="S393" s="34">
        <f>R393*$F$8</f>
        <v>0</v>
      </c>
      <c r="T393" s="28"/>
      <c r="U393" s="15">
        <v>64</v>
      </c>
      <c r="V393" s="15">
        <f>U393-Q393</f>
        <v>1</v>
      </c>
      <c r="W393" s="34">
        <f>V393*$F$8</f>
        <v>2.49</v>
      </c>
      <c r="X393" s="15"/>
      <c r="Y393" s="13">
        <v>68</v>
      </c>
      <c r="Z393" s="15">
        <f>Y393-U393</f>
        <v>4</v>
      </c>
      <c r="AA393" s="34">
        <f>Z393*$F$8</f>
        <v>9.96</v>
      </c>
      <c r="AB393" s="28"/>
      <c r="AC393" s="15">
        <v>72</v>
      </c>
      <c r="AD393" s="15">
        <f t="shared" ref="AD393:AD394" si="1225">AC393-Y393</f>
        <v>4</v>
      </c>
      <c r="AE393" s="34">
        <f>AD393*$G$8</f>
        <v>10</v>
      </c>
      <c r="AF393" s="138">
        <v>24.94</v>
      </c>
      <c r="AG393" s="13">
        <v>76</v>
      </c>
      <c r="AH393" s="15">
        <f t="shared" ref="AH393:AH394" si="1226">AG393-AC393</f>
        <v>4</v>
      </c>
      <c r="AI393" s="34">
        <f>AH393*$G$8</f>
        <v>10</v>
      </c>
      <c r="AJ393" s="32"/>
      <c r="AK393" s="13">
        <v>83</v>
      </c>
      <c r="AL393" s="15">
        <f t="shared" ref="AL393:AL394" si="1227">AK393-AG393</f>
        <v>7</v>
      </c>
      <c r="AM393" s="34">
        <f>AL393*$G$8</f>
        <v>17.5</v>
      </c>
      <c r="AN393" s="134">
        <f>27.5+20.8</f>
        <v>48.3</v>
      </c>
      <c r="AO393" s="13">
        <v>91</v>
      </c>
      <c r="AP393" s="15">
        <f t="shared" ref="AP393:AP394" si="1228">AO393-AK393</f>
        <v>8</v>
      </c>
      <c r="AQ393" s="34">
        <f>AP393*$G$8</f>
        <v>20</v>
      </c>
      <c r="AR393" s="28"/>
      <c r="AS393" s="15">
        <v>95</v>
      </c>
      <c r="AT393" s="15">
        <f t="shared" ref="AT393:AT394" si="1229">AS393-AO393</f>
        <v>4</v>
      </c>
      <c r="AU393" s="34">
        <f>AT393*$G$8</f>
        <v>10</v>
      </c>
      <c r="AV393" s="15"/>
      <c r="AW393" s="13">
        <v>95</v>
      </c>
      <c r="AX393" s="15">
        <f>AW393-AS393</f>
        <v>0</v>
      </c>
      <c r="AY393" s="34">
        <f>AX393*$G$8</f>
        <v>0</v>
      </c>
      <c r="AZ393" s="28"/>
      <c r="BA393" s="13">
        <v>95</v>
      </c>
      <c r="BB393" s="15">
        <f>BA393-AW393</f>
        <v>0</v>
      </c>
      <c r="BC393" s="34">
        <f>BB393*$G$8</f>
        <v>0</v>
      </c>
      <c r="BD393" s="15"/>
      <c r="BE393" s="40">
        <f t="shared" ref="BE393:BG393" si="1230">J393+N393+R393+V393+Z393+AD393+AH393+AL393+AP393+AT393+AX393+BB393</f>
        <v>32</v>
      </c>
      <c r="BF393" s="41">
        <f t="shared" si="1230"/>
        <v>79.95</v>
      </c>
      <c r="BG393" s="34">
        <f t="shared" si="1230"/>
        <v>73.24</v>
      </c>
      <c r="BH393" s="35">
        <f t="shared" si="1224"/>
        <v>9.2</v>
      </c>
    </row>
    <row r="394" ht="14.25" customHeight="1" spans="1:61" x14ac:dyDescent="0.25">
      <c r="A394" s="29">
        <v>52</v>
      </c>
      <c r="B394" s="14"/>
      <c r="C394" s="2" t="s">
        <v>104</v>
      </c>
      <c r="D394" s="14" t="s">
        <v>47</v>
      </c>
      <c r="E394" s="2" t="s">
        <v>48</v>
      </c>
      <c r="F394" s="13">
        <v>17.98</v>
      </c>
      <c r="G394" s="28">
        <v>18.56</v>
      </c>
      <c r="H394" s="90">
        <f>'2018'!BH394</f>
        <v>0</v>
      </c>
      <c r="I394" s="75">
        <f>59+109</f>
        <v>168</v>
      </c>
      <c r="J394" s="15"/>
      <c r="K394" s="15"/>
      <c r="L394" s="28"/>
      <c r="Q394" s="13"/>
      <c r="R394" s="15"/>
      <c r="S394" s="15"/>
      <c r="T394" s="28"/>
      <c r="Y394" s="13">
        <f>111+60</f>
        <v>171</v>
      </c>
      <c r="Z394" s="15">
        <f>Y394-'2018'!AO394</f>
        <v>3</v>
      </c>
      <c r="AA394" s="34">
        <f>Z394*$F$10</f>
        <v>53.94</v>
      </c>
      <c r="AB394" s="28"/>
      <c r="AC394" s="13">
        <f>117+61</f>
        <v>178</v>
      </c>
      <c r="AD394" s="15">
        <f t="shared" si="1225"/>
        <v>7</v>
      </c>
      <c r="AE394" s="34">
        <f>AD394*$F$10</f>
        <v>125.86</v>
      </c>
      <c r="AF394" s="133">
        <f>179.8-4.74</f>
        <v>175.06</v>
      </c>
      <c r="AG394" s="13">
        <f>117+61</f>
        <v>178</v>
      </c>
      <c r="AH394" s="15">
        <f t="shared" si="1226"/>
        <v>0</v>
      </c>
      <c r="AI394" s="45">
        <f>AH394*$G$10</f>
        <v>0</v>
      </c>
      <c r="AJ394" s="32"/>
      <c r="AK394" s="13">
        <f>132+62</f>
        <v>194</v>
      </c>
      <c r="AL394" s="15">
        <f t="shared" si="1227"/>
        <v>16</v>
      </c>
      <c r="AM394" s="45">
        <f>AL394*$G$10</f>
        <v>296.96</v>
      </c>
      <c r="AN394" s="134">
        <v>301.7</v>
      </c>
      <c r="AO394" s="13">
        <f>134+62</f>
        <v>196</v>
      </c>
      <c r="AP394" s="15">
        <f t="shared" si="1228"/>
        <v>2</v>
      </c>
      <c r="AQ394" s="45">
        <f>AP394*$G$10</f>
        <v>37.12</v>
      </c>
      <c r="AR394" s="35"/>
      <c r="AS394" s="13">
        <f>134+62</f>
        <v>196</v>
      </c>
      <c r="AT394" s="15">
        <f t="shared" si="1229"/>
        <v>0</v>
      </c>
      <c r="AU394" s="45">
        <f>AT394*$G$10</f>
        <v>0</v>
      </c>
      <c r="AV394" s="15"/>
      <c r="AW394" s="13">
        <f>134+62</f>
        <v>196</v>
      </c>
      <c r="AX394" s="15"/>
      <c r="AY394" s="15"/>
      <c r="AZ394" s="28"/>
      <c r="BA394" s="13">
        <f>134+62</f>
        <v>196</v>
      </c>
      <c r="BB394" s="15"/>
      <c r="BC394" s="15"/>
      <c r="BD394" s="15"/>
      <c r="BE394" s="40">
        <f t="shared" ref="BE394:BG394" si="1231">J394+N394+R394+V394+Z394+AD394+AH394+AL394+AP394+AT394+AX394+BB394</f>
        <v>28</v>
      </c>
      <c r="BF394" s="41">
        <f t="shared" si="1231"/>
        <v>513.88</v>
      </c>
      <c r="BG394" s="34">
        <f t="shared" si="1231"/>
        <v>476.76</v>
      </c>
      <c r="BH394" s="35">
        <f t="shared" si="1224"/>
        <v>37.12</v>
      </c>
      <c r="BI394" s="34"/>
    </row>
    <row r="395" ht="14.25" customHeight="1" spans="1:60" x14ac:dyDescent="0.25">
      <c r="A395" s="29">
        <v>52</v>
      </c>
      <c r="B395" s="14"/>
      <c r="C395" s="2" t="s">
        <v>208</v>
      </c>
      <c r="D395" s="14" t="s">
        <v>47</v>
      </c>
      <c r="E395" s="2" t="s">
        <v>49</v>
      </c>
      <c r="F395" s="41">
        <v>500</v>
      </c>
      <c r="G395" s="28"/>
      <c r="H395" s="34">
        <f>'2018'!BH395</f>
        <v>0</v>
      </c>
      <c r="I395" s="13"/>
      <c r="J395" s="15"/>
      <c r="K395" s="15"/>
      <c r="L395" s="28"/>
      <c r="Q395" s="13"/>
      <c r="R395" s="15"/>
      <c r="S395" s="15"/>
      <c r="T395" s="28"/>
      <c r="Y395" s="13"/>
      <c r="Z395" s="15"/>
      <c r="AA395" s="15"/>
      <c r="AB395" s="28"/>
      <c r="AG395" s="13"/>
      <c r="AH395" s="15"/>
      <c r="AI395" s="15"/>
      <c r="AJ395" s="28"/>
      <c r="AK395" s="13"/>
      <c r="AL395" s="15"/>
      <c r="AM395" s="34"/>
      <c r="AN395" s="28"/>
      <c r="AO395" s="13"/>
      <c r="AP395" s="15"/>
      <c r="AQ395" s="34"/>
      <c r="AR395" s="28"/>
      <c r="AS395" s="15"/>
      <c r="AT395" s="15"/>
      <c r="AU395" s="15"/>
      <c r="AV395" s="15"/>
      <c r="AW395" s="13"/>
      <c r="AX395" s="15"/>
      <c r="AY395" s="15"/>
      <c r="AZ395" s="28"/>
      <c r="BA395" s="15"/>
      <c r="BB395" s="15"/>
      <c r="BC395" s="15"/>
      <c r="BD395" s="15"/>
      <c r="BE395" s="14"/>
      <c r="BF395" s="41">
        <f t="shared" ref="BF395:BG395" si="1232">K395+O395+S395+W395+AA395+AE395+AI395+AM395+AQ395+AU395+AY395+BC395</f>
        <v>0</v>
      </c>
      <c r="BG395" s="34">
        <f t="shared" si="1232"/>
        <v>0</v>
      </c>
      <c r="BH395" s="35">
        <f t="shared" si="1224"/>
        <v>0</v>
      </c>
    </row>
    <row r="396" ht="14.25" customHeight="1" spans="1:60" x14ac:dyDescent="0.25">
      <c r="A396" s="29">
        <v>52</v>
      </c>
      <c r="B396" s="14"/>
      <c r="C396" s="2" t="s">
        <v>209</v>
      </c>
      <c r="D396" s="14" t="s">
        <v>50</v>
      </c>
      <c r="E396" s="2" t="s">
        <v>49</v>
      </c>
      <c r="F396" s="41">
        <v>1200</v>
      </c>
      <c r="G396" s="28"/>
      <c r="H396" s="34">
        <f>'2018'!BH396</f>
        <v>0</v>
      </c>
      <c r="I396" s="13"/>
      <c r="J396" s="15"/>
      <c r="K396" s="15"/>
      <c r="L396" s="28"/>
      <c r="Q396" s="13"/>
      <c r="R396" s="15"/>
      <c r="S396" s="15"/>
      <c r="T396" s="28"/>
      <c r="Y396" s="13"/>
      <c r="Z396" s="15"/>
      <c r="AA396" s="15"/>
      <c r="AB396" s="28"/>
      <c r="AE396" s="34">
        <f>B393*$F$12</f>
        <v>6000</v>
      </c>
      <c r="AF396" s="133">
        <v>6000</v>
      </c>
      <c r="AG396" s="13"/>
      <c r="AH396" s="15"/>
      <c r="AI396" s="15"/>
      <c r="AJ396" s="38"/>
      <c r="AK396" s="13"/>
      <c r="AL396" s="15"/>
      <c r="AM396" s="15"/>
      <c r="AN396" s="28"/>
      <c r="AO396" s="13"/>
      <c r="AP396" s="15"/>
      <c r="AQ396" s="15"/>
      <c r="AR396" s="28"/>
      <c r="AS396" s="15"/>
      <c r="AT396" s="15"/>
      <c r="AU396" s="15"/>
      <c r="AV396" s="15"/>
      <c r="AW396" s="13"/>
      <c r="AX396" s="15"/>
      <c r="AY396" s="15"/>
      <c r="AZ396" s="28"/>
      <c r="BA396" s="15"/>
      <c r="BB396" s="15"/>
      <c r="BC396" s="15"/>
      <c r="BD396" s="15"/>
      <c r="BE396" s="14"/>
      <c r="BF396" s="41">
        <f t="shared" ref="BF396:BG396" si="1233">K396+O396+S396+W396+AA396+AE396+AI396+AM396+AQ396+AU396+AY396+BC396</f>
        <v>6000</v>
      </c>
      <c r="BG396" s="34">
        <f t="shared" si="1233"/>
        <v>6000</v>
      </c>
      <c r="BH396" s="35">
        <f t="shared" si="1224"/>
        <v>0</v>
      </c>
    </row>
    <row r="397" ht="14.25" customHeight="1" spans="1:60" x14ac:dyDescent="0.25">
      <c r="A397" s="29">
        <v>52</v>
      </c>
      <c r="B397" s="14"/>
      <c r="D397" s="14" t="s">
        <v>51</v>
      </c>
      <c r="E397" s="2" t="s">
        <v>49</v>
      </c>
      <c r="F397" s="41">
        <v>1000</v>
      </c>
      <c r="G397" s="28"/>
      <c r="H397" s="34">
        <f>'2018'!BH397</f>
        <v>0</v>
      </c>
      <c r="I397" s="13"/>
      <c r="J397" s="15"/>
      <c r="K397" s="15"/>
      <c r="L397" s="28"/>
      <c r="Q397" s="13"/>
      <c r="R397" s="15"/>
      <c r="S397" s="15"/>
      <c r="T397" s="28"/>
      <c r="Y397" s="13"/>
      <c r="Z397" s="15"/>
      <c r="AA397" s="15"/>
      <c r="AB397" s="28"/>
      <c r="AE397" s="34">
        <f>$F$21</f>
        <v>1000</v>
      </c>
      <c r="AF397" s="133">
        <v>1000</v>
      </c>
      <c r="AG397" s="13"/>
      <c r="AH397" s="15"/>
      <c r="AI397" s="15"/>
      <c r="AJ397" s="28"/>
      <c r="AK397" s="13"/>
      <c r="AL397" s="15"/>
      <c r="AM397" s="15"/>
      <c r="AN397" s="28"/>
      <c r="AO397" s="13"/>
      <c r="AP397" s="15"/>
      <c r="AQ397" s="15"/>
      <c r="AR397" s="28"/>
      <c r="AS397" s="15"/>
      <c r="AT397" s="15"/>
      <c r="AU397" s="15"/>
      <c r="AV397" s="15"/>
      <c r="AW397" s="13"/>
      <c r="AX397" s="15"/>
      <c r="AY397" s="15"/>
      <c r="AZ397" s="28"/>
      <c r="BA397" s="15"/>
      <c r="BB397" s="15"/>
      <c r="BC397" s="15"/>
      <c r="BD397" s="15"/>
      <c r="BE397" s="14"/>
      <c r="BF397" s="41">
        <f t="shared" ref="BF397:BG397" si="1234">K397+O397+S397+W397+AA397+AE397+AI397+AM397+AQ397+AU397+AY397+BC397</f>
        <v>1000</v>
      </c>
      <c r="BG397" s="34">
        <f t="shared" si="1234"/>
        <v>1000</v>
      </c>
      <c r="BH397" s="35">
        <f t="shared" si="1224"/>
        <v>0</v>
      </c>
    </row>
    <row r="398" ht="14.25" customHeight="1" spans="1:60" x14ac:dyDescent="0.25">
      <c r="A398" s="29">
        <v>52</v>
      </c>
      <c r="B398" s="14"/>
      <c r="D398" s="14" t="s">
        <v>52</v>
      </c>
      <c r="E398" s="2" t="s">
        <v>39</v>
      </c>
      <c r="F398" s="41">
        <v>500</v>
      </c>
      <c r="G398" s="28"/>
      <c r="H398" s="34">
        <f>'2018'!BH398</f>
        <v>0</v>
      </c>
      <c r="I398" s="13"/>
      <c r="J398" s="15"/>
      <c r="K398" s="15"/>
      <c r="L398" s="28"/>
      <c r="Q398" s="13"/>
      <c r="R398" s="15"/>
      <c r="S398" s="15"/>
      <c r="T398" s="28"/>
      <c r="Y398" s="13"/>
      <c r="Z398" s="15"/>
      <c r="AA398" s="34">
        <f>$F$14</f>
        <v>500</v>
      </c>
      <c r="AB398" s="35"/>
      <c r="AF398" s="133">
        <v>500</v>
      </c>
      <c r="AG398" s="13"/>
      <c r="AH398" s="15"/>
      <c r="AI398" s="15"/>
      <c r="AJ398" s="28"/>
      <c r="AK398" s="13"/>
      <c r="AL398" s="15"/>
      <c r="AM398" s="15"/>
      <c r="AN398" s="28"/>
      <c r="AO398" s="13"/>
      <c r="AP398" s="15"/>
      <c r="AQ398" s="15"/>
      <c r="AR398" s="28"/>
      <c r="AS398" s="15"/>
      <c r="AT398" s="15"/>
      <c r="AU398" s="15"/>
      <c r="AV398" s="15"/>
      <c r="AW398" s="13"/>
      <c r="AX398" s="15"/>
      <c r="AY398" s="15"/>
      <c r="AZ398" s="28"/>
      <c r="BA398" s="15"/>
      <c r="BB398" s="15"/>
      <c r="BC398" s="15"/>
      <c r="BD398" s="15"/>
      <c r="BE398" s="14"/>
      <c r="BF398" s="41">
        <f t="shared" ref="BF398:BG398" si="1235">K398+O398+S398+W398+AA398+AE398+AI398+AM398+AQ398+AU398+AY398+BC398</f>
        <v>500</v>
      </c>
      <c r="BG398" s="34">
        <f t="shared" si="1235"/>
        <v>500</v>
      </c>
      <c r="BH398" s="35">
        <f t="shared" si="1224"/>
        <v>0</v>
      </c>
    </row>
    <row r="399" ht="14.25" customHeight="1" spans="1:62" x14ac:dyDescent="0.25">
      <c r="A399" s="50">
        <v>52</v>
      </c>
      <c r="B399" s="21"/>
      <c r="C399" s="22" t="s">
        <v>53</v>
      </c>
      <c r="D399" s="21"/>
      <c r="E399" s="22"/>
      <c r="F399" s="20"/>
      <c r="G399" s="23"/>
      <c r="H399" s="51">
        <f>SUM(H392:H398)</f>
        <v>2.49</v>
      </c>
      <c r="I399" s="52"/>
      <c r="J399" s="53"/>
      <c r="K399" s="51">
        <f t="shared" ref="K399:L399" si="1236">SUM(K392:K398)</f>
        <v>0</v>
      </c>
      <c r="L399" s="68">
        <f t="shared" si="1236"/>
        <v>0</v>
      </c>
      <c r="M399" s="53"/>
      <c r="N399" s="53"/>
      <c r="O399" s="51">
        <f t="shared" ref="O399:P399" si="1237">SUM(O393:O398)</f>
        <v>0</v>
      </c>
      <c r="P399" s="51">
        <f t="shared" si="1237"/>
        <v>0</v>
      </c>
      <c r="Q399" s="52"/>
      <c r="R399" s="53"/>
      <c r="S399" s="51">
        <f t="shared" ref="S399:T399" si="1238">SUM(S393:S398)</f>
        <v>0</v>
      </c>
      <c r="T399" s="68">
        <f t="shared" si="1238"/>
        <v>0</v>
      </c>
      <c r="U399" s="53"/>
      <c r="V399" s="53"/>
      <c r="W399" s="51">
        <f t="shared" ref="W399:X399" si="1239">SUM(W393:W398)</f>
        <v>2.49</v>
      </c>
      <c r="X399" s="51">
        <f t="shared" si="1239"/>
        <v>0</v>
      </c>
      <c r="Y399" s="52"/>
      <c r="Z399" s="53"/>
      <c r="AA399" s="51">
        <f t="shared" ref="AA399:AB399" si="1240">SUM(AA393:AA398)</f>
        <v>563.9</v>
      </c>
      <c r="AB399" s="68">
        <f t="shared" si="1240"/>
        <v>0</v>
      </c>
      <c r="AC399" s="53"/>
      <c r="AD399" s="53"/>
      <c r="AE399" s="51">
        <f t="shared" ref="AE399:AF399" si="1241">SUM(AE393:AE398)</f>
        <v>7135.86</v>
      </c>
      <c r="AF399" s="51">
        <f t="shared" si="1241"/>
        <v>7700</v>
      </c>
      <c r="AG399" s="52"/>
      <c r="AH399" s="53"/>
      <c r="AI399" s="51">
        <f t="shared" ref="AI399:AJ399" si="1242">SUM(AI393:AI398)</f>
        <v>10</v>
      </c>
      <c r="AJ399" s="68">
        <f t="shared" si="1242"/>
        <v>0</v>
      </c>
      <c r="AK399" s="52"/>
      <c r="AL399" s="53"/>
      <c r="AM399" s="51">
        <f t="shared" ref="AM399:AN399" si="1243">SUM(AM393:AM398)</f>
        <v>314.46</v>
      </c>
      <c r="AN399" s="68">
        <f t="shared" si="1243"/>
        <v>350</v>
      </c>
      <c r="AO399" s="52"/>
      <c r="AP399" s="53"/>
      <c r="AQ399" s="51">
        <f t="shared" ref="AQ399:AR399" si="1244">SUM(AQ392:AQ398)</f>
        <v>57.12</v>
      </c>
      <c r="AR399" s="68">
        <f t="shared" si="1244"/>
        <v>0</v>
      </c>
      <c r="AS399" s="53"/>
      <c r="AT399" s="53"/>
      <c r="AU399" s="51">
        <f t="shared" ref="AU399:AV399" si="1245">SUM(AU392:AU398)</f>
        <v>10</v>
      </c>
      <c r="AV399" s="68">
        <f t="shared" si="1245"/>
        <v>0</v>
      </c>
      <c r="AW399" s="52"/>
      <c r="AX399" s="53"/>
      <c r="AY399" s="51">
        <f t="shared" ref="AY399:AZ399" si="1246">SUM(AY392:AY398)</f>
        <v>0</v>
      </c>
      <c r="AZ399" s="68">
        <f t="shared" si="1246"/>
        <v>0</v>
      </c>
      <c r="BA399" s="53"/>
      <c r="BB399" s="53"/>
      <c r="BC399" s="51">
        <f t="shared" ref="BC399:BD399" si="1247">SUM(BC392:BC398)</f>
        <v>0</v>
      </c>
      <c r="BD399" s="68">
        <f t="shared" si="1247"/>
        <v>0</v>
      </c>
      <c r="BE399" s="69"/>
      <c r="BF399" s="70">
        <f t="shared" ref="BF399:BH399" si="1248">SUM(BF392:BF398)</f>
        <v>8093.83</v>
      </c>
      <c r="BG399" s="71">
        <f t="shared" si="1248"/>
        <v>8050</v>
      </c>
      <c r="BH399" s="72">
        <f t="shared" si="1248"/>
        <v>46.32</v>
      </c>
      <c r="BI399" s="34">
        <f>H399+BF399-BG399</f>
        <v>46.32</v>
      </c>
      <c r="BJ399" s="34">
        <f>BH399-BI399</f>
        <v>0</v>
      </c>
    </row>
    <row r="400" ht="14.25" customHeight="1" spans="1:60" x14ac:dyDescent="0.25">
      <c r="A400" s="29">
        <v>53</v>
      </c>
      <c r="B400" s="14"/>
      <c r="D400" s="14" t="s">
        <v>379</v>
      </c>
      <c r="F400" s="13"/>
      <c r="G400" s="28"/>
      <c r="H400" s="34">
        <f>'2018'!BH400</f>
      </c>
      <c r="I400" s="13"/>
      <c r="J400" s="15"/>
      <c r="K400" s="15"/>
      <c r="L400" s="28"/>
      <c r="Q400" s="13"/>
      <c r="R400" s="15"/>
      <c r="S400" s="15"/>
      <c r="T400" s="28"/>
      <c r="Y400" s="13"/>
      <c r="Z400" s="15"/>
      <c r="AA400" s="15"/>
      <c r="AB400" s="28"/>
      <c r="AG400" s="13"/>
      <c r="AH400" s="15"/>
      <c r="AI400" s="15"/>
      <c r="AJ400" s="28"/>
      <c r="AK400" s="13"/>
      <c r="AL400" s="15"/>
      <c r="AM400" s="15"/>
      <c r="AN400" s="28"/>
      <c r="AO400" s="13"/>
      <c r="AP400" s="15"/>
      <c r="AQ400" s="15"/>
      <c r="AR400" s="28"/>
      <c r="AW400" s="13"/>
      <c r="AX400" s="15"/>
      <c r="AY400" s="15"/>
      <c r="AZ400" s="28"/>
      <c r="BE400" s="14"/>
      <c r="BF400" s="41">
        <f t="shared" ref="BF400:BG400" si="1249">K400+O400+S400+W400+AA400+AE400+AI400+AM400+AQ400+AU400+AY400+BC400</f>
        <v>0</v>
      </c>
      <c r="BG400" s="34">
        <f t="shared" si="1249"/>
        <v>0</v>
      </c>
      <c r="BH400" s="35">
        <f t="shared" ref="BH400:BH406" si="1250">H400+BF400-BG400</f>
        <v>0</v>
      </c>
    </row>
    <row r="401" ht="15.75" customHeight="1" spans="1:60" x14ac:dyDescent="0.25">
      <c r="A401" s="2">
        <v>53</v>
      </c>
      <c r="B401" s="14">
        <v>5.05</v>
      </c>
      <c r="C401" s="2" t="s">
        <v>210</v>
      </c>
      <c r="D401" s="14" t="s">
        <v>44</v>
      </c>
      <c r="E401" s="2" t="s">
        <v>45</v>
      </c>
      <c r="F401" s="13">
        <v>2.49</v>
      </c>
      <c r="G401" s="35">
        <v>2.5</v>
      </c>
      <c r="H401" s="136">
        <f>'2018'!BH401+385.95</f>
        <v>-606.35</v>
      </c>
      <c r="I401" s="13">
        <v>4537</v>
      </c>
      <c r="J401" s="15">
        <f>I401-'2018'!BA401</f>
        <v>497</v>
      </c>
      <c r="K401" s="34">
        <f>J401*$F$8</f>
        <v>1237.53</v>
      </c>
      <c r="L401" s="38">
        <v>350</v>
      </c>
      <c r="M401" s="2">
        <v>5272</v>
      </c>
      <c r="N401" s="15">
        <f>M401-I401</f>
        <v>735</v>
      </c>
      <c r="O401" s="34">
        <f>N401*$F$8</f>
        <v>1830.15</v>
      </c>
      <c r="P401" s="39">
        <v>750</v>
      </c>
      <c r="Q401" s="13">
        <v>5765</v>
      </c>
      <c r="R401" s="15">
        <f>Q401-M401</f>
        <v>493</v>
      </c>
      <c r="S401" s="34">
        <f>R401*$F$8</f>
        <v>1227.57</v>
      </c>
      <c r="T401" s="35"/>
      <c r="U401" s="37">
        <v>5887</v>
      </c>
      <c r="V401" s="37">
        <f>U401-Q401</f>
        <v>122</v>
      </c>
      <c r="W401" s="34">
        <f>V401*$F$8</f>
        <v>303.78</v>
      </c>
      <c r="X401" s="39">
        <v>400</v>
      </c>
      <c r="Y401" s="36">
        <v>5982</v>
      </c>
      <c r="Z401" s="37">
        <f>Y401-U401</f>
        <v>95</v>
      </c>
      <c r="AA401" s="34">
        <f>Z401*$F$8</f>
        <v>236.55</v>
      </c>
      <c r="AB401" s="38">
        <f>50+2730</f>
        <v>2780</v>
      </c>
      <c r="AC401" s="15">
        <v>6063</v>
      </c>
      <c r="AD401" s="37">
        <f t="shared" ref="AD401:AD402" si="1251">AC401-Y401</f>
        <v>81</v>
      </c>
      <c r="AE401" s="34">
        <f>AD401*$G$8</f>
        <v>202.5</v>
      </c>
      <c r="AF401" s="39">
        <f>700+500</f>
        <v>1200</v>
      </c>
      <c r="AG401" s="13">
        <v>6213</v>
      </c>
      <c r="AH401" s="15">
        <f t="shared" ref="AH401:AH402" si="1252">AG401-AC401</f>
        <v>150</v>
      </c>
      <c r="AI401" s="34">
        <f>AH401*$G$8</f>
        <v>375</v>
      </c>
      <c r="AJ401" s="38">
        <f>600+350</f>
        <v>950</v>
      </c>
      <c r="AK401" s="13">
        <v>6294</v>
      </c>
      <c r="AL401" s="15">
        <f t="shared" ref="AL401:AL402" si="1253">AK401-AG401</f>
        <v>81</v>
      </c>
      <c r="AM401" s="34">
        <f>AL401*$G$8</f>
        <v>202.5</v>
      </c>
      <c r="AN401" s="28"/>
      <c r="AO401" s="95">
        <v>6375</v>
      </c>
      <c r="AP401" s="15">
        <f t="shared" ref="AP401:AP402" si="1254">AO401-AK401</f>
        <v>81</v>
      </c>
      <c r="AQ401" s="34">
        <f>AP401*$G$8</f>
        <v>202.5</v>
      </c>
      <c r="AR401" s="28"/>
      <c r="AS401" s="15">
        <v>6587</v>
      </c>
      <c r="AT401" s="15">
        <f t="shared" ref="AT401:AT402" si="1255">AS401-AO401</f>
        <v>212</v>
      </c>
      <c r="AU401" s="34">
        <f>AT401*$G$8</f>
        <v>530</v>
      </c>
      <c r="AV401" s="39">
        <v>700</v>
      </c>
      <c r="AW401" s="13">
        <v>6607</v>
      </c>
      <c r="AX401" s="15">
        <f>AW401-AS401</f>
        <v>20</v>
      </c>
      <c r="AY401" s="34">
        <f>AX401*$G$8</f>
        <v>50</v>
      </c>
      <c r="AZ401" s="38">
        <f>300+300</f>
        <v>600</v>
      </c>
      <c r="BA401" s="15">
        <v>6781</v>
      </c>
      <c r="BB401" s="15">
        <f>BA401-AW401</f>
        <v>174</v>
      </c>
      <c r="BC401" s="34">
        <f>BB401*$G$8</f>
        <v>435</v>
      </c>
      <c r="BD401" s="39">
        <v>350</v>
      </c>
      <c r="BE401" s="40">
        <f t="shared" ref="BE401:BG401" si="1256">J401+N401+R401+V401+Z401+AD401+AH401+AL401+AP401+AT401+AX401+BB401</f>
        <v>2741</v>
      </c>
      <c r="BF401" s="41">
        <f t="shared" si="1256"/>
        <v>6833.08</v>
      </c>
      <c r="BG401" s="34">
        <f t="shared" si="1256"/>
        <v>8080</v>
      </c>
      <c r="BH401" s="35">
        <f t="shared" si="1250"/>
        <v>-1853.27</v>
      </c>
    </row>
    <row r="402" ht="14.25" customHeight="1" spans="1:60" x14ac:dyDescent="0.25">
      <c r="A402" s="29">
        <v>53</v>
      </c>
      <c r="B402" s="14"/>
      <c r="C402" s="2" t="s">
        <v>153</v>
      </c>
      <c r="D402" s="14" t="s">
        <v>47</v>
      </c>
      <c r="E402" s="2" t="s">
        <v>48</v>
      </c>
      <c r="F402" s="13">
        <v>17.98</v>
      </c>
      <c r="G402" s="28">
        <v>18.56</v>
      </c>
      <c r="H402" s="34">
        <f>'2018'!BH402</f>
        <v>0</v>
      </c>
      <c r="I402" s="13">
        <v>53</v>
      </c>
      <c r="J402" s="15"/>
      <c r="K402" s="15"/>
      <c r="L402" s="28"/>
      <c r="Q402" s="13"/>
      <c r="R402" s="15"/>
      <c r="S402" s="15"/>
      <c r="T402" s="28"/>
      <c r="Y402" s="13">
        <v>53</v>
      </c>
      <c r="Z402" s="15">
        <f>Y402-'2018'!AO402</f>
        <v>0</v>
      </c>
      <c r="AA402" s="34">
        <f>Z402*$F$10</f>
        <v>0</v>
      </c>
      <c r="AB402" s="28"/>
      <c r="AC402" s="15">
        <v>59</v>
      </c>
      <c r="AD402" s="15">
        <f t="shared" si="1251"/>
        <v>6</v>
      </c>
      <c r="AE402" s="34">
        <f>AD402*$F$10</f>
        <v>107.88</v>
      </c>
      <c r="AF402" s="39">
        <v>650</v>
      </c>
      <c r="AG402" s="13">
        <v>62</v>
      </c>
      <c r="AH402" s="15">
        <f t="shared" si="1252"/>
        <v>3</v>
      </c>
      <c r="AI402" s="45">
        <f>AH402*$G$10</f>
        <v>55.68</v>
      </c>
      <c r="AJ402" s="38">
        <f>300+300</f>
        <v>600</v>
      </c>
      <c r="AK402" s="13">
        <v>68</v>
      </c>
      <c r="AL402" s="15">
        <f t="shared" si="1253"/>
        <v>6</v>
      </c>
      <c r="AM402" s="45">
        <f>AL402*$G$10</f>
        <v>111.36</v>
      </c>
      <c r="AN402" s="28"/>
      <c r="AO402" s="13">
        <v>69</v>
      </c>
      <c r="AP402" s="15">
        <f t="shared" si="1254"/>
        <v>1</v>
      </c>
      <c r="AQ402" s="45">
        <f>AP402*$G$10</f>
        <v>18.56</v>
      </c>
      <c r="AR402" s="28"/>
      <c r="AS402" s="13">
        <v>69</v>
      </c>
      <c r="AT402" s="15">
        <f t="shared" si="1255"/>
        <v>0</v>
      </c>
      <c r="AU402" s="45">
        <f>AT402*$G$10</f>
        <v>0</v>
      </c>
      <c r="AV402" s="39">
        <v>250</v>
      </c>
      <c r="AW402" s="13">
        <v>69</v>
      </c>
      <c r="AX402" s="15"/>
      <c r="AY402" s="15"/>
      <c r="AZ402" s="28"/>
      <c r="BA402" s="15">
        <v>69</v>
      </c>
      <c r="BB402" s="15"/>
      <c r="BC402" s="15"/>
      <c r="BD402" s="15"/>
      <c r="BE402" s="40">
        <f t="shared" ref="BE402:BG402" si="1257">J402+N402+R402+V402+Z402+AD402+AH402+AL402+AP402+AT402+AX402+BB402</f>
        <v>16</v>
      </c>
      <c r="BF402" s="41">
        <f t="shared" si="1257"/>
        <v>293.48</v>
      </c>
      <c r="BG402" s="34">
        <f t="shared" si="1257"/>
        <v>1500</v>
      </c>
      <c r="BH402" s="35">
        <f t="shared" si="1250"/>
        <v>-1206.52</v>
      </c>
    </row>
    <row r="403" ht="14.25" customHeight="1" spans="1:60" x14ac:dyDescent="0.25">
      <c r="A403" s="29">
        <v>53</v>
      </c>
      <c r="B403" s="14"/>
      <c r="C403" s="2" t="s">
        <v>58</v>
      </c>
      <c r="D403" s="14" t="s">
        <v>47</v>
      </c>
      <c r="E403" s="2" t="s">
        <v>49</v>
      </c>
      <c r="F403" s="41">
        <v>500</v>
      </c>
      <c r="G403" s="28"/>
      <c r="H403" s="34">
        <f>'2018'!BH403</f>
        <v>0</v>
      </c>
      <c r="I403" s="13"/>
      <c r="J403" s="15"/>
      <c r="K403" s="15"/>
      <c r="L403" s="28"/>
      <c r="Q403" s="13"/>
      <c r="R403" s="15"/>
      <c r="S403" s="15"/>
      <c r="T403" s="28"/>
      <c r="Y403" s="13"/>
      <c r="Z403" s="15"/>
      <c r="AA403" s="15"/>
      <c r="AB403" s="28"/>
      <c r="AG403" s="13"/>
      <c r="AH403" s="15"/>
      <c r="AI403" s="15"/>
      <c r="AJ403" s="28"/>
      <c r="AK403" s="13"/>
      <c r="AL403" s="15"/>
      <c r="AM403" s="34"/>
      <c r="AN403" s="28"/>
      <c r="AO403" s="13"/>
      <c r="AP403" s="15"/>
      <c r="AQ403" s="34"/>
      <c r="AR403" s="28"/>
      <c r="AS403" s="15"/>
      <c r="AT403" s="15"/>
      <c r="AU403" s="15"/>
      <c r="AV403" s="15"/>
      <c r="AW403" s="13"/>
      <c r="AX403" s="15"/>
      <c r="AY403" s="15"/>
      <c r="AZ403" s="28"/>
      <c r="BA403" s="15"/>
      <c r="BB403" s="15"/>
      <c r="BC403" s="15"/>
      <c r="BD403" s="15"/>
      <c r="BE403" s="14"/>
      <c r="BF403" s="41">
        <f t="shared" ref="BF403:BG403" si="1258">K403+O403+S403+W403+AA403+AE403+AI403+AM403+AQ403+AU403+AY403+BC403</f>
        <v>0</v>
      </c>
      <c r="BG403" s="34">
        <f t="shared" si="1258"/>
        <v>0</v>
      </c>
      <c r="BH403" s="35">
        <f t="shared" si="1250"/>
        <v>0</v>
      </c>
    </row>
    <row r="404" ht="14.25" customHeight="1" spans="1:60" x14ac:dyDescent="0.25">
      <c r="A404" s="29">
        <v>53</v>
      </c>
      <c r="B404" s="14"/>
      <c r="C404" s="73"/>
      <c r="D404" s="14" t="s">
        <v>50</v>
      </c>
      <c r="E404" s="2" t="s">
        <v>49</v>
      </c>
      <c r="F404" s="41">
        <v>1200</v>
      </c>
      <c r="G404" s="28"/>
      <c r="H404" s="34">
        <f>'2018'!BH404</f>
        <v>0.004000000001</v>
      </c>
      <c r="I404" s="13"/>
      <c r="J404" s="15"/>
      <c r="K404" s="15"/>
      <c r="L404" s="28"/>
      <c r="Q404" s="13"/>
      <c r="R404" s="15"/>
      <c r="S404" s="15"/>
      <c r="T404" s="28"/>
      <c r="Y404" s="13"/>
      <c r="Z404" s="15"/>
      <c r="AA404" s="15"/>
      <c r="AB404" s="28"/>
      <c r="AE404" s="34">
        <f>B401*$F$12</f>
        <v>6060</v>
      </c>
      <c r="AF404" s="39">
        <v>6100</v>
      </c>
      <c r="AG404" s="13"/>
      <c r="AH404" s="15"/>
      <c r="AI404" s="15"/>
      <c r="AJ404" s="28"/>
      <c r="AK404" s="13"/>
      <c r="AL404" s="15"/>
      <c r="AM404" s="15"/>
      <c r="AN404" s="28"/>
      <c r="AO404" s="13"/>
      <c r="AP404" s="15"/>
      <c r="AQ404" s="15"/>
      <c r="AR404" s="28"/>
      <c r="AS404" s="15"/>
      <c r="AT404" s="15"/>
      <c r="AU404" s="15"/>
      <c r="AV404" s="15"/>
      <c r="AW404" s="13"/>
      <c r="AX404" s="15"/>
      <c r="AY404" s="15"/>
      <c r="AZ404" s="28"/>
      <c r="BA404" s="15"/>
      <c r="BB404" s="15"/>
      <c r="BC404" s="15"/>
      <c r="BD404" s="15"/>
      <c r="BE404" s="14"/>
      <c r="BF404" s="41">
        <f t="shared" ref="BF404:BG404" si="1259">K404+O404+S404+W404+AA404+AE404+AI404+AM404+AQ404+AU404+AY404+BC404</f>
        <v>6060</v>
      </c>
      <c r="BG404" s="34">
        <f t="shared" si="1259"/>
        <v>6100</v>
      </c>
      <c r="BH404" s="35">
        <f t="shared" si="1250"/>
        <v>-39.996</v>
      </c>
    </row>
    <row r="405" ht="14.25" customHeight="1" spans="1:60" x14ac:dyDescent="0.25">
      <c r="A405" s="29">
        <v>53</v>
      </c>
      <c r="B405" s="14"/>
      <c r="C405" s="2" t="s">
        <v>193</v>
      </c>
      <c r="D405" s="14" t="s">
        <v>51</v>
      </c>
      <c r="E405" s="2" t="s">
        <v>49</v>
      </c>
      <c r="F405" s="41">
        <v>1000</v>
      </c>
      <c r="G405" s="28"/>
      <c r="H405" s="34">
        <f>'2018'!BH405</f>
        <v>0</v>
      </c>
      <c r="I405" s="13"/>
      <c r="J405" s="15"/>
      <c r="K405" s="15"/>
      <c r="L405" s="28"/>
      <c r="Q405" s="13"/>
      <c r="R405" s="15"/>
      <c r="S405" s="15"/>
      <c r="T405" s="28"/>
      <c r="Y405" s="13"/>
      <c r="Z405" s="15"/>
      <c r="AA405" s="15"/>
      <c r="AB405" s="28"/>
      <c r="AE405" s="34">
        <f>$F$21</f>
        <v>1000</v>
      </c>
      <c r="AG405" s="13"/>
      <c r="AH405" s="15"/>
      <c r="AI405" s="15"/>
      <c r="AJ405" s="38">
        <v>1000</v>
      </c>
      <c r="AK405" s="13"/>
      <c r="AL405" s="15"/>
      <c r="AM405" s="15"/>
      <c r="AN405" s="28"/>
      <c r="AO405" s="13"/>
      <c r="AP405" s="15"/>
      <c r="AQ405" s="15"/>
      <c r="AR405" s="28"/>
      <c r="AS405" s="15"/>
      <c r="AT405" s="15"/>
      <c r="AU405" s="15"/>
      <c r="AV405" s="15"/>
      <c r="AW405" s="13"/>
      <c r="AX405" s="15"/>
      <c r="AY405" s="15"/>
      <c r="AZ405" s="28"/>
      <c r="BA405" s="15"/>
      <c r="BB405" s="15"/>
      <c r="BC405" s="15"/>
      <c r="BD405" s="15"/>
      <c r="BE405" s="14"/>
      <c r="BF405" s="41">
        <f t="shared" ref="BF405:BG405" si="1260">K405+O405+S405+W405+AA405+AE405+AI405+AM405+AQ405+AU405+AY405+BC405</f>
        <v>1000</v>
      </c>
      <c r="BG405" s="34">
        <f t="shared" si="1260"/>
        <v>1000</v>
      </c>
      <c r="BH405" s="35">
        <f t="shared" si="1250"/>
        <v>0</v>
      </c>
    </row>
    <row r="406" ht="14.25" customHeight="1" spans="1:60" x14ac:dyDescent="0.25">
      <c r="A406" s="29">
        <v>53</v>
      </c>
      <c r="B406" s="14"/>
      <c r="C406" s="2" t="s">
        <v>211</v>
      </c>
      <c r="D406" s="14" t="s">
        <v>52</v>
      </c>
      <c r="E406" s="2" t="s">
        <v>39</v>
      </c>
      <c r="F406" s="41">
        <v>500</v>
      </c>
      <c r="G406" s="28"/>
      <c r="H406" s="34">
        <f>'2018'!BH406</f>
        <v>0</v>
      </c>
      <c r="I406" s="13"/>
      <c r="J406" s="15"/>
      <c r="K406" s="15"/>
      <c r="L406" s="28"/>
      <c r="Q406" s="13"/>
      <c r="R406" s="15"/>
      <c r="S406" s="15"/>
      <c r="T406" s="28"/>
      <c r="Y406" s="13"/>
      <c r="Z406" s="15"/>
      <c r="AA406" s="34">
        <f>$F$14</f>
        <v>500</v>
      </c>
      <c r="AB406" s="28"/>
      <c r="AG406" s="13"/>
      <c r="AH406" s="15"/>
      <c r="AI406" s="15"/>
      <c r="AJ406" s="38">
        <v>505</v>
      </c>
      <c r="AK406" s="13"/>
      <c r="AL406" s="15"/>
      <c r="AM406" s="15"/>
      <c r="AN406" s="35"/>
      <c r="AO406" s="13"/>
      <c r="AP406" s="15"/>
      <c r="AQ406" s="15"/>
      <c r="AR406" s="28"/>
      <c r="AS406" s="15"/>
      <c r="AT406" s="15"/>
      <c r="AU406" s="15"/>
      <c r="AV406" s="15"/>
      <c r="AW406" s="13"/>
      <c r="AX406" s="15"/>
      <c r="AY406" s="15"/>
      <c r="AZ406" s="28"/>
      <c r="BA406" s="15"/>
      <c r="BB406" s="15"/>
      <c r="BC406" s="15"/>
      <c r="BD406" s="15"/>
      <c r="BE406" s="14"/>
      <c r="BF406" s="41">
        <f t="shared" ref="BF406:BG406" si="1261">K406+O406+S406+W406+AA406+AE406+AI406+AM406+AQ406+AU406+AY406+BC406</f>
        <v>500</v>
      </c>
      <c r="BG406" s="34">
        <f t="shared" si="1261"/>
        <v>505</v>
      </c>
      <c r="BH406" s="35">
        <f t="shared" si="1250"/>
        <v>-5</v>
      </c>
    </row>
    <row r="407" ht="15.75" customHeight="1" spans="1:62" x14ac:dyDescent="0.25">
      <c r="A407" s="50">
        <v>53</v>
      </c>
      <c r="B407" s="21"/>
      <c r="C407" s="22" t="s">
        <v>53</v>
      </c>
      <c r="D407" s="21"/>
      <c r="E407" s="22"/>
      <c r="F407" s="20"/>
      <c r="G407" s="23"/>
      <c r="H407" s="51">
        <f>SUM(H400:H406)</f>
        <v>-606.346</v>
      </c>
      <c r="I407" s="52"/>
      <c r="J407" s="53"/>
      <c r="K407" s="51">
        <f t="shared" ref="K407:L407" si="1262">SUM(K400:K406)</f>
        <v>1237.53</v>
      </c>
      <c r="L407" s="68">
        <f t="shared" si="1262"/>
        <v>350</v>
      </c>
      <c r="M407" s="53"/>
      <c r="N407" s="53"/>
      <c r="O407" s="51">
        <f t="shared" ref="O407:P407" si="1263">SUM(O401:O406)</f>
        <v>1830.15</v>
      </c>
      <c r="P407" s="51">
        <f t="shared" si="1263"/>
        <v>750</v>
      </c>
      <c r="Q407" s="52"/>
      <c r="R407" s="53"/>
      <c r="S407" s="51">
        <f t="shared" ref="S407:T407" si="1264">SUM(S401:S406)</f>
        <v>1227.57</v>
      </c>
      <c r="T407" s="68">
        <f t="shared" si="1264"/>
        <v>0</v>
      </c>
      <c r="U407" s="53"/>
      <c r="V407" s="53"/>
      <c r="W407" s="51">
        <f t="shared" ref="W407:X407" si="1265">SUM(W401:W406)</f>
        <v>303.78</v>
      </c>
      <c r="X407" s="51">
        <f t="shared" si="1265"/>
        <v>400</v>
      </c>
      <c r="Y407" s="52"/>
      <c r="Z407" s="53"/>
      <c r="AA407" s="51">
        <f t="shared" ref="AA407:AB407" si="1266">SUM(AA401:AA406)</f>
        <v>736.55</v>
      </c>
      <c r="AB407" s="68">
        <f t="shared" si="1266"/>
        <v>2780</v>
      </c>
      <c r="AC407" s="53"/>
      <c r="AD407" s="53"/>
      <c r="AE407" s="51">
        <f t="shared" ref="AE407:AF407" si="1267">SUM(AE401:AE406)</f>
        <v>7370.38</v>
      </c>
      <c r="AF407" s="51">
        <f t="shared" si="1267"/>
        <v>7950</v>
      </c>
      <c r="AG407" s="52"/>
      <c r="AH407" s="53"/>
      <c r="AI407" s="51">
        <f t="shared" ref="AI407:AJ407" si="1268">SUM(AI401:AI406)</f>
        <v>430.68</v>
      </c>
      <c r="AJ407" s="68">
        <f t="shared" si="1268"/>
        <v>3055</v>
      </c>
      <c r="AK407" s="52"/>
      <c r="AL407" s="53"/>
      <c r="AM407" s="51">
        <f t="shared" ref="AM407:AN407" si="1269">SUM(AM401:AM406)</f>
        <v>313.86</v>
      </c>
      <c r="AN407" s="68">
        <f t="shared" si="1269"/>
        <v>0</v>
      </c>
      <c r="AO407" s="52"/>
      <c r="AP407" s="53"/>
      <c r="AQ407" s="51">
        <f t="shared" ref="AQ407:AR407" si="1270">SUM(AQ400:AQ406)</f>
        <v>221.06</v>
      </c>
      <c r="AR407" s="68">
        <f t="shared" si="1270"/>
        <v>0</v>
      </c>
      <c r="AS407" s="53"/>
      <c r="AT407" s="53"/>
      <c r="AU407" s="51">
        <f t="shared" ref="AU407:AV407" si="1271">SUM(AU400:AU406)</f>
        <v>530</v>
      </c>
      <c r="AV407" s="68">
        <f t="shared" si="1271"/>
        <v>950</v>
      </c>
      <c r="AW407" s="52"/>
      <c r="AX407" s="53"/>
      <c r="AY407" s="51">
        <f t="shared" ref="AY407:AZ407" si="1272">SUM(AY400:AY406)</f>
        <v>50</v>
      </c>
      <c r="AZ407" s="68">
        <f t="shared" si="1272"/>
        <v>600</v>
      </c>
      <c r="BA407" s="53"/>
      <c r="BB407" s="53"/>
      <c r="BC407" s="51">
        <f t="shared" ref="BC407:BD407" si="1273">SUM(BC400:BC406)</f>
        <v>435</v>
      </c>
      <c r="BD407" s="68">
        <f t="shared" si="1273"/>
        <v>350</v>
      </c>
      <c r="BE407" s="69"/>
      <c r="BF407" s="70">
        <f t="shared" ref="BF407:BH407" si="1274">SUM(BF400:BF406)</f>
        <v>14686.56</v>
      </c>
      <c r="BG407" s="71">
        <f t="shared" si="1274"/>
        <v>17185</v>
      </c>
      <c r="BH407" s="72">
        <f t="shared" si="1274"/>
        <v>-3104.786</v>
      </c>
      <c r="BI407" s="34">
        <f>H407+BF407-BG407</f>
        <v>-3104.786</v>
      </c>
      <c r="BJ407" s="34">
        <f>BH407-BI407</f>
        <v>0</v>
      </c>
    </row>
    <row r="408" ht="14.25" customHeight="1" spans="1:60" x14ac:dyDescent="0.25">
      <c r="A408" s="29">
        <v>54</v>
      </c>
      <c r="B408" s="14"/>
      <c r="D408" s="14" t="s">
        <v>379</v>
      </c>
      <c r="F408" s="13"/>
      <c r="G408" s="28"/>
      <c r="H408" s="34">
        <f>'2018'!BH408</f>
      </c>
      <c r="I408" s="13"/>
      <c r="J408" s="15"/>
      <c r="K408" s="15"/>
      <c r="L408" s="28"/>
      <c r="Q408" s="13"/>
      <c r="R408" s="15"/>
      <c r="S408" s="15"/>
      <c r="T408" s="28"/>
      <c r="Y408" s="13"/>
      <c r="Z408" s="15"/>
      <c r="AA408" s="15"/>
      <c r="AB408" s="28"/>
      <c r="AG408" s="13"/>
      <c r="AH408" s="15"/>
      <c r="AI408" s="15"/>
      <c r="AJ408" s="28"/>
      <c r="AK408" s="13"/>
      <c r="AL408" s="15"/>
      <c r="AM408" s="15"/>
      <c r="AN408" s="28"/>
      <c r="AO408" s="13"/>
      <c r="AP408" s="15"/>
      <c r="AQ408" s="15">
        <v>4.53</v>
      </c>
      <c r="AR408" s="28"/>
      <c r="AW408" s="13"/>
      <c r="AX408" s="15"/>
      <c r="AY408" s="15"/>
      <c r="AZ408" s="28"/>
      <c r="BE408" s="14"/>
      <c r="BF408" s="41">
        <f t="shared" ref="BF408:BG408" si="1275">K408+O408+S408+W408+AA408+AE408+AI408+AM408+AQ408+AU408+AY408+BC408</f>
        <v>4.53</v>
      </c>
      <c r="BG408" s="34">
        <f t="shared" si="1275"/>
        <v>0</v>
      </c>
      <c r="BH408" s="35">
        <f t="shared" ref="BH408:BH414" si="1276">H408+BF408-BG408</f>
        <v>4.53</v>
      </c>
    </row>
    <row r="409" ht="14.25" customHeight="1" spans="1:60" x14ac:dyDescent="0.25">
      <c r="A409" s="2">
        <v>54</v>
      </c>
      <c r="B409" s="14">
        <v>5.54</v>
      </c>
      <c r="C409" s="2" t="s">
        <v>212</v>
      </c>
      <c r="D409" s="14" t="s">
        <v>44</v>
      </c>
      <c r="E409" s="2" t="s">
        <v>45</v>
      </c>
      <c r="F409" s="13">
        <v>2.49</v>
      </c>
      <c r="G409" s="35">
        <v>2.5</v>
      </c>
      <c r="H409" s="34">
        <f>'2018'!BH409</f>
        <v>49.8</v>
      </c>
      <c r="I409" s="13">
        <v>176</v>
      </c>
      <c r="J409" s="15">
        <f>I409-'2018'!BA409</f>
        <v>0</v>
      </c>
      <c r="K409" s="34">
        <f>J409*$F$8</f>
        <v>0</v>
      </c>
      <c r="L409" s="28"/>
      <c r="M409" s="2">
        <v>176</v>
      </c>
      <c r="N409" s="15">
        <f>M409-I409</f>
        <v>0</v>
      </c>
      <c r="O409" s="34">
        <f>N409*$F$8</f>
        <v>0</v>
      </c>
      <c r="Q409" s="13">
        <v>176</v>
      </c>
      <c r="R409" s="15">
        <f>Q409-M409</f>
        <v>0</v>
      </c>
      <c r="S409" s="34">
        <f>R409*$F$8</f>
        <v>0</v>
      </c>
      <c r="T409" s="28"/>
      <c r="U409" s="15">
        <v>176</v>
      </c>
      <c r="V409" s="15">
        <f>U409-Q409</f>
        <v>0</v>
      </c>
      <c r="W409" s="34">
        <f>V409*$F$8</f>
        <v>0</v>
      </c>
      <c r="X409" s="34"/>
      <c r="Y409" s="13">
        <v>179</v>
      </c>
      <c r="Z409" s="15">
        <f>Y409-U409</f>
        <v>3</v>
      </c>
      <c r="AA409" s="34">
        <f>Z409*$F$8</f>
        <v>7.47</v>
      </c>
      <c r="AB409" s="28"/>
      <c r="AC409" s="73">
        <v>197</v>
      </c>
      <c r="AD409" s="15">
        <f t="shared" ref="AD409:AD410" si="1277">AC409-Y409</f>
        <v>18</v>
      </c>
      <c r="AE409" s="34">
        <f>AD409*$G$8</f>
        <v>45</v>
      </c>
      <c r="AF409" s="133">
        <f>50+(52.27+97.73)</f>
        <v>200</v>
      </c>
      <c r="AG409" s="13">
        <v>208</v>
      </c>
      <c r="AH409" s="15">
        <f t="shared" ref="AH409:AH410" si="1278">AG409-AC409</f>
        <v>11</v>
      </c>
      <c r="AI409" s="34">
        <f>AH409*$G$8</f>
        <v>27.5</v>
      </c>
      <c r="AJ409" s="28"/>
      <c r="AK409" s="13">
        <v>225</v>
      </c>
      <c r="AL409" s="15">
        <f t="shared" ref="AL409:AL410" si="1279">AK409-AG409</f>
        <v>17</v>
      </c>
      <c r="AM409" s="34">
        <f>AL409*$G$8</f>
        <v>42.5</v>
      </c>
      <c r="AN409" s="28"/>
      <c r="AO409" s="13">
        <v>232</v>
      </c>
      <c r="AP409" s="15">
        <f t="shared" ref="AP409:AP410" si="1280">AO409-AK409</f>
        <v>7</v>
      </c>
      <c r="AQ409" s="34">
        <f>AP409*$G$8</f>
        <v>17.5</v>
      </c>
      <c r="AR409" s="28"/>
      <c r="AS409" s="15">
        <v>243</v>
      </c>
      <c r="AT409" s="15">
        <f t="shared" ref="AT409:AT410" si="1281">AS409-AO409</f>
        <v>11</v>
      </c>
      <c r="AU409" s="34">
        <f>AT409*$G$8</f>
        <v>27.5</v>
      </c>
      <c r="AV409" s="15"/>
      <c r="AW409" s="13">
        <v>243</v>
      </c>
      <c r="AX409" s="15">
        <f>AW409-AS409</f>
        <v>0</v>
      </c>
      <c r="AY409" s="34">
        <f>AX409*$G$8</f>
        <v>0</v>
      </c>
      <c r="AZ409" s="28"/>
      <c r="BA409" s="13">
        <v>243</v>
      </c>
      <c r="BB409" s="15">
        <f>BA409-AW409</f>
        <v>0</v>
      </c>
      <c r="BC409" s="34">
        <f>BB409*$G$8</f>
        <v>0</v>
      </c>
      <c r="BD409" s="15"/>
      <c r="BE409" s="40">
        <f t="shared" ref="BE409:BG409" si="1282">J409+N409+R409+V409+Z409+AD409+AH409+AL409+AP409+AT409+AX409+BB409</f>
        <v>67</v>
      </c>
      <c r="BF409" s="41">
        <f t="shared" si="1282"/>
        <v>167.47</v>
      </c>
      <c r="BG409" s="34">
        <f t="shared" si="1282"/>
        <v>200</v>
      </c>
      <c r="BH409" s="35">
        <f t="shared" si="1276"/>
        <v>17.27</v>
      </c>
    </row>
    <row r="410" ht="14.25" customHeight="1" spans="1:60" x14ac:dyDescent="0.25">
      <c r="A410" s="29">
        <v>54</v>
      </c>
      <c r="B410" s="14"/>
      <c r="C410" s="2" t="s">
        <v>87</v>
      </c>
      <c r="D410" s="14" t="s">
        <v>47</v>
      </c>
      <c r="E410" s="2" t="s">
        <v>48</v>
      </c>
      <c r="F410" s="13">
        <v>17.98</v>
      </c>
      <c r="G410" s="28">
        <v>18.56</v>
      </c>
      <c r="H410" s="34">
        <f>'2018'!BH410</f>
        <v>-384.04</v>
      </c>
      <c r="I410" s="13">
        <v>89</v>
      </c>
      <c r="J410" s="15"/>
      <c r="K410" s="15"/>
      <c r="L410" s="28"/>
      <c r="Q410" s="13"/>
      <c r="R410" s="15"/>
      <c r="S410" s="15"/>
      <c r="T410" s="28"/>
      <c r="Y410" s="13">
        <v>96</v>
      </c>
      <c r="Z410" s="15">
        <f>Y410-'2018'!AO410</f>
        <v>7</v>
      </c>
      <c r="AA410" s="34">
        <f>Z410*$F$10</f>
        <v>125.86</v>
      </c>
      <c r="AB410" s="28"/>
      <c r="AC410" s="15">
        <v>100</v>
      </c>
      <c r="AD410" s="15">
        <f t="shared" si="1277"/>
        <v>4</v>
      </c>
      <c r="AE410" s="34">
        <f>AD410*$F$10</f>
        <v>71.92</v>
      </c>
      <c r="AG410" s="13">
        <v>111</v>
      </c>
      <c r="AH410" s="15">
        <f t="shared" si="1278"/>
        <v>11</v>
      </c>
      <c r="AI410" s="45">
        <f>AH410*$G$10</f>
        <v>204.16</v>
      </c>
      <c r="AJ410" s="28"/>
      <c r="AK410" s="13">
        <v>117</v>
      </c>
      <c r="AL410" s="15">
        <f t="shared" si="1279"/>
        <v>6</v>
      </c>
      <c r="AM410" s="45">
        <f>AL410*$G$10</f>
        <v>111.36</v>
      </c>
      <c r="AN410" s="139">
        <v>129.26</v>
      </c>
      <c r="AO410" s="75">
        <v>117</v>
      </c>
      <c r="AP410" s="15">
        <f t="shared" si="1280"/>
        <v>0</v>
      </c>
      <c r="AQ410" s="45">
        <f>AP410*$G$10</f>
        <v>0</v>
      </c>
      <c r="AR410" s="32">
        <v>122.74</v>
      </c>
      <c r="AS410" s="75">
        <v>117</v>
      </c>
      <c r="AT410" s="15">
        <f t="shared" si="1281"/>
        <v>0</v>
      </c>
      <c r="AU410" s="45">
        <f>AT410*$G$10</f>
        <v>0</v>
      </c>
      <c r="AV410" s="15"/>
      <c r="AW410" s="75">
        <v>117</v>
      </c>
      <c r="AX410" s="15"/>
      <c r="AY410" s="15"/>
      <c r="AZ410" s="28"/>
      <c r="BA410" s="75">
        <v>117</v>
      </c>
      <c r="BB410" s="15"/>
      <c r="BC410" s="15"/>
      <c r="BD410" s="15"/>
      <c r="BE410" s="40">
        <f t="shared" ref="BE410:BG410" si="1283">J410+N410+R410+V410+Z410+AD410+AH410+AL410+AP410+AT410+AX410+BB410</f>
        <v>28</v>
      </c>
      <c r="BF410" s="41">
        <f t="shared" si="1283"/>
        <v>513.3</v>
      </c>
      <c r="BG410" s="34">
        <f t="shared" si="1283"/>
        <v>252</v>
      </c>
      <c r="BH410" s="35">
        <f t="shared" si="1276"/>
        <v>-122.74</v>
      </c>
    </row>
    <row r="411" ht="14.25" customHeight="1" spans="1:60" x14ac:dyDescent="0.25">
      <c r="A411" s="29">
        <v>54</v>
      </c>
      <c r="B411" s="14"/>
      <c r="C411" s="15" t="s">
        <v>421</v>
      </c>
      <c r="D411" s="14" t="s">
        <v>47</v>
      </c>
      <c r="E411" s="2" t="s">
        <v>49</v>
      </c>
      <c r="F411" s="41">
        <v>500</v>
      </c>
      <c r="G411" s="28"/>
      <c r="H411" s="34">
        <f>'2018'!BH411</f>
        <v>0</v>
      </c>
      <c r="I411" s="13"/>
      <c r="J411" s="15"/>
      <c r="K411" s="15"/>
      <c r="L411" s="28"/>
      <c r="Q411" s="13"/>
      <c r="R411" s="15"/>
      <c r="S411" s="15"/>
      <c r="T411" s="28"/>
      <c r="Y411" s="13"/>
      <c r="Z411" s="15"/>
      <c r="AA411" s="15"/>
      <c r="AB411" s="28"/>
      <c r="AG411" s="13"/>
      <c r="AH411" s="15"/>
      <c r="AI411" s="15"/>
      <c r="AJ411" s="28"/>
      <c r="AK411" s="13"/>
      <c r="AL411" s="15"/>
      <c r="AM411" s="34"/>
      <c r="AN411" s="28"/>
      <c r="AO411" s="13"/>
      <c r="AP411" s="15"/>
      <c r="AQ411" s="34"/>
      <c r="AR411" s="28"/>
      <c r="AS411" s="15"/>
      <c r="AT411" s="15"/>
      <c r="AU411" s="15"/>
      <c r="AV411" s="15"/>
      <c r="AW411" s="13"/>
      <c r="AX411" s="15"/>
      <c r="AY411" s="15"/>
      <c r="AZ411" s="28"/>
      <c r="BA411" s="15"/>
      <c r="BB411" s="15"/>
      <c r="BC411" s="15"/>
      <c r="BD411" s="15"/>
      <c r="BE411" s="14"/>
      <c r="BF411" s="41">
        <f t="shared" ref="BF411:BG411" si="1284">K411+O411+S411+W411+AA411+AE411+AI411+AM411+AQ411+AU411+AY411+BC411</f>
        <v>0</v>
      </c>
      <c r="BG411" s="34">
        <f t="shared" si="1284"/>
        <v>0</v>
      </c>
      <c r="BH411" s="35">
        <f t="shared" si="1276"/>
        <v>0</v>
      </c>
    </row>
    <row r="412" ht="14.25" customHeight="1" spans="1:60" x14ac:dyDescent="0.25">
      <c r="A412" s="29">
        <v>54</v>
      </c>
      <c r="B412" s="14"/>
      <c r="C412" s="2" t="s">
        <v>137</v>
      </c>
      <c r="D412" s="14" t="s">
        <v>50</v>
      </c>
      <c r="E412" s="2" t="s">
        <v>49</v>
      </c>
      <c r="F412" s="41">
        <v>1200</v>
      </c>
      <c r="G412" s="28"/>
      <c r="H412" s="34">
        <f>'2018'!BH412</f>
        <v>-0.0048</v>
      </c>
      <c r="I412" s="13"/>
      <c r="J412" s="15"/>
      <c r="K412" s="15"/>
      <c r="L412" s="28"/>
      <c r="Q412" s="13"/>
      <c r="R412" s="15"/>
      <c r="S412" s="15"/>
      <c r="T412" s="28"/>
      <c r="Y412" s="13"/>
      <c r="Z412" s="15"/>
      <c r="AA412" s="15"/>
      <c r="AB412" s="28"/>
      <c r="AE412" s="34">
        <f>B409*$F$12</f>
        <v>6648</v>
      </c>
      <c r="AF412" s="34"/>
      <c r="AG412" s="13"/>
      <c r="AH412" s="15"/>
      <c r="AI412" s="15"/>
      <c r="AJ412" s="134">
        <v>2000</v>
      </c>
      <c r="AK412" s="13"/>
      <c r="AL412" s="15"/>
      <c r="AM412" s="15"/>
      <c r="AN412" s="134">
        <v>870.74</v>
      </c>
      <c r="AO412" s="13"/>
      <c r="AP412" s="15"/>
      <c r="AQ412" s="15"/>
      <c r="AR412" s="32">
        <v>3777.26</v>
      </c>
      <c r="AS412" s="15"/>
      <c r="AT412" s="15"/>
      <c r="AU412" s="15"/>
      <c r="AV412" s="15"/>
      <c r="AW412" s="13"/>
      <c r="AX412" s="15"/>
      <c r="AY412" s="15"/>
      <c r="AZ412" s="28"/>
      <c r="BA412" s="15"/>
      <c r="BB412" s="15"/>
      <c r="BC412" s="15"/>
      <c r="BD412" s="15"/>
      <c r="BE412" s="14"/>
      <c r="BF412" s="41">
        <f t="shared" ref="BF412:BG412" si="1285">K412+O412+S412+W412+AA412+AE412+AI412+AM412+AQ412+AU412+AY412+BC412</f>
        <v>6648</v>
      </c>
      <c r="BG412" s="34">
        <f t="shared" si="1285"/>
        <v>6648</v>
      </c>
      <c r="BH412" s="35">
        <f t="shared" si="1276"/>
        <v>-0.0048</v>
      </c>
    </row>
    <row r="413" ht="14.25" customHeight="1" spans="1:60" x14ac:dyDescent="0.25">
      <c r="A413" s="29">
        <v>54</v>
      </c>
      <c r="B413" s="14"/>
      <c r="C413" s="2" t="s">
        <v>422</v>
      </c>
      <c r="D413" s="14" t="s">
        <v>51</v>
      </c>
      <c r="E413" s="2" t="s">
        <v>49</v>
      </c>
      <c r="F413" s="41">
        <v>1000</v>
      </c>
      <c r="G413" s="28"/>
      <c r="H413" s="34">
        <f>'2018'!BH413</f>
        <v>0</v>
      </c>
      <c r="I413" s="13"/>
      <c r="J413" s="15"/>
      <c r="K413" s="15"/>
      <c r="L413" s="28"/>
      <c r="Q413" s="13"/>
      <c r="R413" s="15"/>
      <c r="S413" s="15"/>
      <c r="T413" s="28"/>
      <c r="Y413" s="13"/>
      <c r="Z413" s="15"/>
      <c r="AA413" s="15"/>
      <c r="AB413" s="28"/>
      <c r="AE413" s="34">
        <f>$F$21</f>
        <v>1000</v>
      </c>
      <c r="AF413" s="133">
        <v>1000</v>
      </c>
      <c r="AG413" s="13"/>
      <c r="AH413" s="15"/>
      <c r="AI413" s="15"/>
      <c r="AJ413" s="28"/>
      <c r="AK413" s="13"/>
      <c r="AL413" s="15"/>
      <c r="AM413" s="15"/>
      <c r="AN413" s="28"/>
      <c r="AO413" s="13"/>
      <c r="AP413" s="15"/>
      <c r="AQ413" s="15"/>
      <c r="AR413" s="28"/>
      <c r="AS413" s="15"/>
      <c r="AT413" s="15"/>
      <c r="AU413" s="15"/>
      <c r="AV413" s="15"/>
      <c r="AW413" s="13"/>
      <c r="AX413" s="15"/>
      <c r="AY413" s="15"/>
      <c r="AZ413" s="28"/>
      <c r="BA413" s="15"/>
      <c r="BB413" s="15"/>
      <c r="BC413" s="15"/>
      <c r="BD413" s="15"/>
      <c r="BE413" s="14"/>
      <c r="BF413" s="41">
        <f t="shared" ref="BF413:BG413" si="1286">K413+O413+S413+W413+AA413+AE413+AI413+AM413+AQ413+AU413+AY413+BC413</f>
        <v>1000</v>
      </c>
      <c r="BG413" s="34">
        <f t="shared" si="1286"/>
        <v>1000</v>
      </c>
      <c r="BH413" s="35">
        <f t="shared" si="1276"/>
        <v>0</v>
      </c>
    </row>
    <row r="414" ht="14.25" customHeight="1" spans="1:60" x14ac:dyDescent="0.25">
      <c r="A414" s="29">
        <v>54</v>
      </c>
      <c r="B414" s="14"/>
      <c r="D414" s="14" t="s">
        <v>52</v>
      </c>
      <c r="E414" s="2" t="s">
        <v>39</v>
      </c>
      <c r="F414" s="41">
        <v>500</v>
      </c>
      <c r="G414" s="28"/>
      <c r="H414" s="84">
        <f>'2018'!BH414-500</f>
        <v>-150</v>
      </c>
      <c r="I414" s="13"/>
      <c r="J414" s="15"/>
      <c r="K414" s="15"/>
      <c r="L414" s="28"/>
      <c r="Q414" s="13"/>
      <c r="R414" s="15"/>
      <c r="S414" s="15"/>
      <c r="T414" s="28"/>
      <c r="Y414" s="13"/>
      <c r="Z414" s="15"/>
      <c r="AA414" s="34">
        <f>$F$14</f>
        <v>500</v>
      </c>
      <c r="AB414" s="28"/>
      <c r="AF414" s="133">
        <v>350</v>
      </c>
      <c r="AG414" s="13"/>
      <c r="AH414" s="15"/>
      <c r="AI414" s="15"/>
      <c r="AJ414" s="28"/>
      <c r="AK414" s="13"/>
      <c r="AL414" s="15"/>
      <c r="AM414" s="15"/>
      <c r="AN414" s="28"/>
      <c r="AO414" s="13"/>
      <c r="AP414" s="15"/>
      <c r="AQ414" s="15"/>
      <c r="AR414" s="28"/>
      <c r="AS414" s="15"/>
      <c r="AT414" s="15"/>
      <c r="AU414" s="15"/>
      <c r="AV414" s="15"/>
      <c r="AW414" s="13"/>
      <c r="AX414" s="15"/>
      <c r="AY414" s="15"/>
      <c r="AZ414" s="28"/>
      <c r="BA414" s="15"/>
      <c r="BB414" s="15"/>
      <c r="BC414" s="15"/>
      <c r="BD414" s="15"/>
      <c r="BE414" s="14"/>
      <c r="BF414" s="41">
        <f t="shared" ref="BF414:BG414" si="1287">K414+O414+S414+W414+AA414+AE414+AI414+AM414+AQ414+AU414+AY414+BC414</f>
        <v>500</v>
      </c>
      <c r="BG414" s="34">
        <f t="shared" si="1287"/>
        <v>350</v>
      </c>
      <c r="BH414" s="35">
        <f t="shared" si="1276"/>
        <v>0</v>
      </c>
    </row>
    <row r="415" ht="14.25" customHeight="1" spans="1:62" x14ac:dyDescent="0.25">
      <c r="A415" s="50">
        <v>54</v>
      </c>
      <c r="B415" s="21"/>
      <c r="C415" s="22" t="s">
        <v>53</v>
      </c>
      <c r="D415" s="21"/>
      <c r="E415" s="22"/>
      <c r="F415" s="20"/>
      <c r="G415" s="23"/>
      <c r="H415" s="51">
        <f>SUM(H408:H414)</f>
        <v>-484.2448</v>
      </c>
      <c r="I415" s="52"/>
      <c r="J415" s="53"/>
      <c r="K415" s="51">
        <f t="shared" ref="K415:L415" si="1288">SUM(K408:K414)</f>
        <v>0</v>
      </c>
      <c r="L415" s="68">
        <f t="shared" si="1288"/>
        <v>0</v>
      </c>
      <c r="M415" s="53"/>
      <c r="N415" s="53"/>
      <c r="O415" s="51">
        <f t="shared" ref="O415:P415" si="1289">SUM(O409:O414)</f>
        <v>0</v>
      </c>
      <c r="P415" s="51">
        <f t="shared" si="1289"/>
        <v>0</v>
      </c>
      <c r="Q415" s="52"/>
      <c r="R415" s="53"/>
      <c r="S415" s="51">
        <f t="shared" ref="S415:T415" si="1290">SUM(S409:S414)</f>
        <v>0</v>
      </c>
      <c r="T415" s="68">
        <f t="shared" si="1290"/>
        <v>0</v>
      </c>
      <c r="U415" s="53"/>
      <c r="V415" s="53"/>
      <c r="W415" s="51">
        <f t="shared" ref="W415:X415" si="1291">SUM(W409:W414)</f>
        <v>0</v>
      </c>
      <c r="X415" s="51">
        <f t="shared" si="1291"/>
        <v>0</v>
      </c>
      <c r="Y415" s="52"/>
      <c r="Z415" s="53"/>
      <c r="AA415" s="51">
        <f t="shared" ref="AA415:AB415" si="1292">SUM(AA409:AA414)</f>
        <v>633.33</v>
      </c>
      <c r="AB415" s="68">
        <f t="shared" si="1292"/>
        <v>0</v>
      </c>
      <c r="AC415" s="53"/>
      <c r="AD415" s="53"/>
      <c r="AE415" s="51">
        <f t="shared" ref="AE415:AF415" si="1293">SUM(AE409:AE414)</f>
        <v>7764.92</v>
      </c>
      <c r="AF415" s="51">
        <f t="shared" si="1293"/>
        <v>1550</v>
      </c>
      <c r="AG415" s="52"/>
      <c r="AH415" s="53"/>
      <c r="AI415" s="51">
        <f t="shared" ref="AI415:AJ415" si="1294">SUM(AI409:AI414)</f>
        <v>231.66</v>
      </c>
      <c r="AJ415" s="68">
        <f t="shared" si="1294"/>
        <v>2000</v>
      </c>
      <c r="AK415" s="52"/>
      <c r="AL415" s="53"/>
      <c r="AM415" s="51">
        <f t="shared" ref="AM415:AN415" si="1295">SUM(AM409:AM414)</f>
        <v>153.86</v>
      </c>
      <c r="AN415" s="68">
        <f t="shared" si="1295"/>
        <v>1000</v>
      </c>
      <c r="AO415" s="52"/>
      <c r="AP415" s="53"/>
      <c r="AQ415" s="51">
        <f t="shared" ref="AQ415:AR415" si="1296">SUM(AQ408:AQ414)</f>
        <v>22.03</v>
      </c>
      <c r="AR415" s="68">
        <f t="shared" si="1296"/>
        <v>3900</v>
      </c>
      <c r="AS415" s="53"/>
      <c r="AT415" s="53"/>
      <c r="AU415" s="51">
        <f t="shared" ref="AU415:AV415" si="1297">SUM(AU408:AU414)</f>
        <v>27.5</v>
      </c>
      <c r="AV415" s="68">
        <f t="shared" si="1297"/>
        <v>0</v>
      </c>
      <c r="AW415" s="52"/>
      <c r="AX415" s="53"/>
      <c r="AY415" s="51">
        <f t="shared" ref="AY415:AZ415" si="1298">SUM(AY408:AY414)</f>
        <v>0</v>
      </c>
      <c r="AZ415" s="68">
        <f t="shared" si="1298"/>
        <v>0</v>
      </c>
      <c r="BA415" s="53"/>
      <c r="BB415" s="53"/>
      <c r="BC415" s="51">
        <f t="shared" ref="BC415:BD415" si="1299">SUM(BC408:BC414)</f>
        <v>0</v>
      </c>
      <c r="BD415" s="68">
        <f t="shared" si="1299"/>
        <v>0</v>
      </c>
      <c r="BE415" s="69"/>
      <c r="BF415" s="70">
        <f t="shared" ref="BF415:BH415" si="1300">SUM(BF408:BF414)</f>
        <v>8833.3</v>
      </c>
      <c r="BG415" s="71">
        <f t="shared" si="1300"/>
        <v>8450</v>
      </c>
      <c r="BH415" s="72">
        <f t="shared" si="1300"/>
        <v>-100.9448</v>
      </c>
      <c r="BI415" s="34">
        <f>H415+BF415-BG415</f>
        <v>-100.9448</v>
      </c>
      <c r="BJ415" s="34">
        <f>BH415-BI415</f>
        <v>0</v>
      </c>
    </row>
    <row r="416" ht="14.25" customHeight="1" spans="1:60" x14ac:dyDescent="0.25">
      <c r="A416" s="29">
        <v>55</v>
      </c>
      <c r="B416" s="14"/>
      <c r="D416" s="14" t="s">
        <v>379</v>
      </c>
      <c r="F416" s="13"/>
      <c r="G416" s="28"/>
      <c r="H416" s="34">
        <f>'2018'!BH416</f>
      </c>
      <c r="I416" s="13"/>
      <c r="J416" s="15"/>
      <c r="K416" s="15"/>
      <c r="L416" s="28"/>
      <c r="Q416" s="13"/>
      <c r="R416" s="15"/>
      <c r="S416" s="15"/>
      <c r="T416" s="28"/>
      <c r="Y416" s="13"/>
      <c r="Z416" s="15"/>
      <c r="AA416" s="15"/>
      <c r="AB416" s="28"/>
      <c r="AG416" s="13"/>
      <c r="AH416" s="15"/>
      <c r="AI416" s="15"/>
      <c r="AJ416" s="28"/>
      <c r="AK416" s="13"/>
      <c r="AL416" s="15"/>
      <c r="AM416" s="15"/>
      <c r="AN416" s="28"/>
      <c r="AO416" s="13"/>
      <c r="AP416" s="15"/>
      <c r="AQ416" s="15"/>
      <c r="AR416" s="28"/>
      <c r="AW416" s="13"/>
      <c r="AX416" s="15"/>
      <c r="AY416" s="15"/>
      <c r="AZ416" s="28"/>
      <c r="BE416" s="14"/>
      <c r="BF416" s="41">
        <f t="shared" ref="BF416:BG416" si="1301">K416+O416+S416+W416+AA416+AE416+AI416+AM416+AQ416+AU416+AY416+BC416</f>
        <v>0</v>
      </c>
      <c r="BG416" s="34">
        <f t="shared" si="1301"/>
        <v>0</v>
      </c>
      <c r="BH416" s="35">
        <f t="shared" ref="BH416:BH422" si="1302">H416+BF416-BG416</f>
        <v>0</v>
      </c>
    </row>
    <row r="417" ht="14.25" customHeight="1" spans="1:60" x14ac:dyDescent="0.25">
      <c r="A417" s="2">
        <v>55</v>
      </c>
      <c r="B417" s="42">
        <v>5.5</v>
      </c>
      <c r="C417" s="2" t="s">
        <v>214</v>
      </c>
      <c r="D417" s="14" t="s">
        <v>44</v>
      </c>
      <c r="E417" s="2" t="s">
        <v>45</v>
      </c>
      <c r="F417" s="13">
        <v>2.49</v>
      </c>
      <c r="G417" s="35">
        <v>2.5</v>
      </c>
      <c r="H417" s="34">
        <f>'2018'!BH417</f>
        <v>44.82</v>
      </c>
      <c r="I417" s="13">
        <v>267</v>
      </c>
      <c r="J417" s="15">
        <f>I417-'2018'!BA417</f>
        <v>0</v>
      </c>
      <c r="K417" s="34">
        <f>J417*$F$8</f>
        <v>0</v>
      </c>
      <c r="L417" s="28"/>
      <c r="M417" s="15">
        <v>267</v>
      </c>
      <c r="N417" s="15">
        <f>M417-I417</f>
        <v>0</v>
      </c>
      <c r="O417" s="34">
        <f>N417*$F$8</f>
        <v>0</v>
      </c>
      <c r="Q417" s="13">
        <v>267</v>
      </c>
      <c r="R417" s="15">
        <f>Q417-M417</f>
        <v>0</v>
      </c>
      <c r="S417" s="34">
        <f>R417*$F$8</f>
        <v>0</v>
      </c>
      <c r="T417" s="28"/>
      <c r="U417" s="15">
        <v>277</v>
      </c>
      <c r="V417" s="15">
        <f>U417-Q417</f>
        <v>10</v>
      </c>
      <c r="W417" s="34">
        <f>V417*$F$8</f>
        <v>24.9</v>
      </c>
      <c r="X417" s="15"/>
      <c r="Y417" s="13">
        <v>287</v>
      </c>
      <c r="Z417" s="15">
        <f>Y417-U417</f>
        <v>10</v>
      </c>
      <c r="AA417" s="34">
        <f>Z417*$F$8</f>
        <v>24.9</v>
      </c>
      <c r="AB417" s="28"/>
      <c r="AC417" s="15">
        <v>291</v>
      </c>
      <c r="AD417" s="15">
        <f t="shared" ref="AD417:AD418" si="1303">AC417-Y417</f>
        <v>4</v>
      </c>
      <c r="AE417" s="34">
        <f>AD417*$G$8</f>
        <v>10</v>
      </c>
      <c r="AF417" s="138">
        <v>104.62</v>
      </c>
      <c r="AG417" s="13">
        <v>296</v>
      </c>
      <c r="AH417" s="15">
        <f t="shared" ref="AH417:AH418" si="1304">AG417-AC417</f>
        <v>5</v>
      </c>
      <c r="AI417" s="34">
        <f>AH417*$G$8</f>
        <v>12.5</v>
      </c>
      <c r="AJ417" s="134">
        <v>12.88</v>
      </c>
      <c r="AK417" s="13">
        <v>308</v>
      </c>
      <c r="AL417" s="15">
        <f t="shared" ref="AL417:AL418" si="1305">AK417-AG417</f>
        <v>12</v>
      </c>
      <c r="AM417" s="34">
        <f>AL417*$G$8</f>
        <v>30</v>
      </c>
      <c r="AN417" s="139">
        <v>29.62</v>
      </c>
      <c r="AO417" s="95">
        <v>325</v>
      </c>
      <c r="AP417" s="15">
        <f t="shared" ref="AP417:AP418" si="1306">AO417-AK417</f>
        <v>17</v>
      </c>
      <c r="AQ417" s="34">
        <f>AP417*$G$8</f>
        <v>42.5</v>
      </c>
      <c r="AR417" s="28"/>
      <c r="AS417" s="15">
        <v>369</v>
      </c>
      <c r="AT417" s="15">
        <f t="shared" ref="AT417:AT418" si="1307">AS417-AO417</f>
        <v>44</v>
      </c>
      <c r="AU417" s="34">
        <f>AT417*$G$8</f>
        <v>110</v>
      </c>
      <c r="AV417" s="15"/>
      <c r="AW417" s="13">
        <v>369</v>
      </c>
      <c r="AX417" s="15">
        <f>AW417-AS417</f>
        <v>0</v>
      </c>
      <c r="AY417" s="34">
        <f>AX417*$G$8</f>
        <v>0</v>
      </c>
      <c r="AZ417" s="28"/>
      <c r="BA417" s="13">
        <v>369</v>
      </c>
      <c r="BB417" s="15">
        <f>BA417-AW417</f>
        <v>0</v>
      </c>
      <c r="BC417" s="34">
        <f>BB417*$G$8</f>
        <v>0</v>
      </c>
      <c r="BD417" s="15"/>
      <c r="BE417" s="40">
        <f t="shared" ref="BE417:BG417" si="1308">J417+N417+R417+V417+Z417+AD417+AH417+AL417+AP417+AT417+AX417+BB417</f>
        <v>102</v>
      </c>
      <c r="BF417" s="41">
        <f t="shared" si="1308"/>
        <v>254.8</v>
      </c>
      <c r="BG417" s="34">
        <f t="shared" si="1308"/>
        <v>147.12</v>
      </c>
      <c r="BH417" s="35">
        <f t="shared" si="1302"/>
        <v>152.5</v>
      </c>
    </row>
    <row r="418" ht="14.25" customHeight="1" spans="1:60" x14ac:dyDescent="0.25">
      <c r="A418" s="29">
        <v>55</v>
      </c>
      <c r="B418" s="14"/>
      <c r="C418" s="2" t="s">
        <v>101</v>
      </c>
      <c r="D418" s="14" t="s">
        <v>47</v>
      </c>
      <c r="E418" s="2" t="s">
        <v>48</v>
      </c>
      <c r="F418" s="13">
        <v>17.98</v>
      </c>
      <c r="G418" s="28">
        <v>18.56</v>
      </c>
      <c r="H418" s="34">
        <f>'2018'!BH418</f>
        <v>0</v>
      </c>
      <c r="I418" s="13">
        <v>4</v>
      </c>
      <c r="J418" s="15"/>
      <c r="K418" s="15"/>
      <c r="L418" s="28"/>
      <c r="Q418" s="13"/>
      <c r="R418" s="15"/>
      <c r="S418" s="15"/>
      <c r="T418" s="28"/>
      <c r="Y418" s="13">
        <v>5</v>
      </c>
      <c r="Z418" s="15">
        <f>Y418-'2018'!AO418</f>
        <v>1</v>
      </c>
      <c r="AA418" s="34">
        <f>Z418*$F$10</f>
        <v>17.98</v>
      </c>
      <c r="AB418" s="28"/>
      <c r="AC418" s="15">
        <v>8</v>
      </c>
      <c r="AD418" s="15">
        <f t="shared" si="1303"/>
        <v>3</v>
      </c>
      <c r="AE418" s="34">
        <f>AD418*$F$10</f>
        <v>53.94</v>
      </c>
      <c r="AF418" s="138">
        <v>71.92</v>
      </c>
      <c r="AG418" s="13">
        <v>10</v>
      </c>
      <c r="AH418" s="15">
        <f t="shared" si="1304"/>
        <v>2</v>
      </c>
      <c r="AI418" s="45">
        <f>AH418*$G$10</f>
        <v>37.12</v>
      </c>
      <c r="AJ418" s="139">
        <v>37.12</v>
      </c>
      <c r="AK418" s="13">
        <v>13</v>
      </c>
      <c r="AL418" s="15">
        <f t="shared" si="1305"/>
        <v>3</v>
      </c>
      <c r="AM418" s="45">
        <f>AL418*$G$10</f>
        <v>55.68</v>
      </c>
      <c r="AN418" s="139">
        <f>55.68+28.16</f>
        <v>83.84</v>
      </c>
      <c r="AO418" s="75">
        <v>13</v>
      </c>
      <c r="AP418" s="15">
        <f t="shared" si="1306"/>
        <v>0</v>
      </c>
      <c r="AQ418" s="45">
        <f>AP418*$G$10</f>
        <v>0</v>
      </c>
      <c r="AR418" s="28"/>
      <c r="AS418" s="75">
        <v>13</v>
      </c>
      <c r="AT418" s="15">
        <f t="shared" si="1307"/>
        <v>0</v>
      </c>
      <c r="AU418" s="45">
        <f>AT418*$G$10</f>
        <v>0</v>
      </c>
      <c r="AV418" s="15"/>
      <c r="AW418" s="75">
        <v>13</v>
      </c>
      <c r="AX418" s="15"/>
      <c r="AY418" s="15"/>
      <c r="AZ418" s="28"/>
      <c r="BA418" s="75">
        <v>13</v>
      </c>
      <c r="BB418" s="15"/>
      <c r="BC418" s="15"/>
      <c r="BD418" s="15"/>
      <c r="BE418" s="40">
        <f t="shared" ref="BE418:BG418" si="1309">J418+N418+R418+V418+Z418+AD418+AH418+AL418+AP418+AT418+AX418+BB418</f>
        <v>9</v>
      </c>
      <c r="BF418" s="41">
        <f t="shared" si="1309"/>
        <v>164.72</v>
      </c>
      <c r="BG418" s="34">
        <f t="shared" si="1309"/>
        <v>192.88</v>
      </c>
      <c r="BH418" s="35">
        <f t="shared" si="1302"/>
        <v>-28.16</v>
      </c>
    </row>
    <row r="419" ht="14.25" customHeight="1" spans="1:60" x14ac:dyDescent="0.25">
      <c r="A419" s="29">
        <v>55</v>
      </c>
      <c r="B419" s="14"/>
      <c r="C419" s="2" t="s">
        <v>178</v>
      </c>
      <c r="D419" s="14" t="s">
        <v>47</v>
      </c>
      <c r="E419" s="2" t="s">
        <v>49</v>
      </c>
      <c r="F419" s="41">
        <v>500</v>
      </c>
      <c r="G419" s="28"/>
      <c r="H419" s="34">
        <f>'2018'!BH419</f>
        <v>0</v>
      </c>
      <c r="I419" s="13"/>
      <c r="J419" s="15"/>
      <c r="K419" s="15"/>
      <c r="L419" s="28"/>
      <c r="Q419" s="13"/>
      <c r="R419" s="15"/>
      <c r="S419" s="15"/>
      <c r="T419" s="28"/>
      <c r="Y419" s="13"/>
      <c r="Z419" s="15"/>
      <c r="AA419" s="15"/>
      <c r="AB419" s="28"/>
      <c r="AG419" s="13"/>
      <c r="AH419" s="15"/>
      <c r="AI419" s="15"/>
      <c r="AJ419" s="28"/>
      <c r="AK419" s="13"/>
      <c r="AL419" s="15"/>
      <c r="AM419" s="34"/>
      <c r="AN419" s="28"/>
      <c r="AO419" s="13"/>
      <c r="AP419" s="15"/>
      <c r="AQ419" s="34"/>
      <c r="AR419" s="28"/>
      <c r="AS419" s="15"/>
      <c r="AT419" s="15"/>
      <c r="AU419" s="15"/>
      <c r="AV419" s="15"/>
      <c r="AW419" s="13"/>
      <c r="AX419" s="15"/>
      <c r="AY419" s="15"/>
      <c r="AZ419" s="28"/>
      <c r="BA419" s="15"/>
      <c r="BB419" s="15"/>
      <c r="BC419" s="15"/>
      <c r="BD419" s="15"/>
      <c r="BE419" s="14"/>
      <c r="BF419" s="41">
        <f t="shared" ref="BF419:BG419" si="1310">K419+O419+S419+W419+AA419+AE419+AI419+AM419+AQ419+AU419+AY419+BC419</f>
        <v>0</v>
      </c>
      <c r="BG419" s="34">
        <f t="shared" si="1310"/>
        <v>0</v>
      </c>
      <c r="BH419" s="35">
        <f t="shared" si="1302"/>
        <v>0</v>
      </c>
    </row>
    <row r="420" ht="14.25" customHeight="1" spans="1:60" x14ac:dyDescent="0.25">
      <c r="A420" s="29">
        <v>55</v>
      </c>
      <c r="B420" s="14"/>
      <c r="C420" s="2" t="s">
        <v>215</v>
      </c>
      <c r="D420" s="14" t="s">
        <v>50</v>
      </c>
      <c r="E420" s="2" t="s">
        <v>49</v>
      </c>
      <c r="F420" s="41">
        <v>1200</v>
      </c>
      <c r="G420" s="28"/>
      <c r="H420" s="34">
        <f>'2018'!BH420</f>
        <v>0</v>
      </c>
      <c r="I420" s="13"/>
      <c r="J420" s="15"/>
      <c r="K420" s="15"/>
      <c r="L420" s="28"/>
      <c r="Q420" s="13"/>
      <c r="R420" s="15"/>
      <c r="S420" s="15"/>
      <c r="T420" s="28"/>
      <c r="Y420" s="13"/>
      <c r="Z420" s="15"/>
      <c r="AA420" s="15"/>
      <c r="AB420" s="28"/>
      <c r="AE420" s="34">
        <f>B417*$F$12</f>
        <v>6600</v>
      </c>
      <c r="AF420" s="138">
        <v>1823.46</v>
      </c>
      <c r="AG420" s="13"/>
      <c r="AH420" s="15"/>
      <c r="AI420" s="15"/>
      <c r="AJ420" s="134">
        <v>3000</v>
      </c>
      <c r="AK420" s="13"/>
      <c r="AL420" s="15"/>
      <c r="AM420" s="15"/>
      <c r="AN420" s="139">
        <v>1776.54</v>
      </c>
      <c r="AO420" s="13"/>
      <c r="AP420" s="15"/>
      <c r="AQ420" s="15"/>
      <c r="AR420" s="28"/>
      <c r="AS420" s="15"/>
      <c r="AT420" s="15"/>
      <c r="AU420" s="15"/>
      <c r="AV420" s="15"/>
      <c r="AW420" s="13"/>
      <c r="AX420" s="15"/>
      <c r="AY420" s="15"/>
      <c r="AZ420" s="28"/>
      <c r="BA420" s="15"/>
      <c r="BB420" s="15"/>
      <c r="BC420" s="15"/>
      <c r="BD420" s="15"/>
      <c r="BE420" s="14"/>
      <c r="BF420" s="41">
        <f t="shared" ref="BF420:BG420" si="1311">K420+O420+S420+W420+AA420+AE420+AI420+AM420+AQ420+AU420+AY420+BC420</f>
        <v>6600</v>
      </c>
      <c r="BG420" s="34">
        <f t="shared" si="1311"/>
        <v>6600</v>
      </c>
      <c r="BH420" s="35">
        <f t="shared" si="1302"/>
        <v>0</v>
      </c>
    </row>
    <row r="421" ht="14.25" customHeight="1" spans="1:60" x14ac:dyDescent="0.25">
      <c r="A421" s="29">
        <v>55</v>
      </c>
      <c r="B421" s="14"/>
      <c r="C421" s="2" t="s">
        <v>216</v>
      </c>
      <c r="D421" s="14" t="s">
        <v>51</v>
      </c>
      <c r="E421" s="2" t="s">
        <v>49</v>
      </c>
      <c r="F421" s="41">
        <v>1000</v>
      </c>
      <c r="G421" s="28"/>
      <c r="H421" s="34">
        <f>'2018'!BH421</f>
        <v>0</v>
      </c>
      <c r="I421" s="13"/>
      <c r="J421" s="15"/>
      <c r="K421" s="15"/>
      <c r="L421" s="28"/>
      <c r="Q421" s="13"/>
      <c r="R421" s="15"/>
      <c r="S421" s="15"/>
      <c r="T421" s="28"/>
      <c r="Y421" s="13"/>
      <c r="Z421" s="15"/>
      <c r="AA421" s="15"/>
      <c r="AB421" s="28"/>
      <c r="AE421" s="34">
        <f>$F$21</f>
        <v>1000</v>
      </c>
      <c r="AF421" s="133">
        <v>1000</v>
      </c>
      <c r="AG421" s="13"/>
      <c r="AH421" s="15"/>
      <c r="AI421" s="15"/>
      <c r="AJ421" s="28"/>
      <c r="AK421" s="13"/>
      <c r="AL421" s="15"/>
      <c r="AM421" s="15"/>
      <c r="AN421" s="28"/>
      <c r="AO421" s="13"/>
      <c r="AP421" s="15"/>
      <c r="AQ421" s="15"/>
      <c r="AR421" s="28"/>
      <c r="AS421" s="15"/>
      <c r="AT421" s="15"/>
      <c r="AU421" s="15"/>
      <c r="AV421" s="15"/>
      <c r="AW421" s="13"/>
      <c r="AX421" s="15"/>
      <c r="AY421" s="15"/>
      <c r="AZ421" s="28"/>
      <c r="BA421" s="15"/>
      <c r="BB421" s="15"/>
      <c r="BC421" s="15"/>
      <c r="BD421" s="15"/>
      <c r="BE421" s="14"/>
      <c r="BF421" s="41">
        <f t="shared" ref="BF421:BG421" si="1312">K421+O421+S421+W421+AA421+AE421+AI421+AM421+AQ421+AU421+AY421+BC421</f>
        <v>1000</v>
      </c>
      <c r="BG421" s="34">
        <f t="shared" si="1312"/>
        <v>1000</v>
      </c>
      <c r="BH421" s="35">
        <f t="shared" si="1302"/>
        <v>0</v>
      </c>
    </row>
    <row r="422" ht="14.25" customHeight="1" spans="1:60" x14ac:dyDescent="0.25">
      <c r="A422" s="29">
        <v>55</v>
      </c>
      <c r="B422" s="14"/>
      <c r="D422" s="14" t="s">
        <v>52</v>
      </c>
      <c r="E422" s="2" t="s">
        <v>39</v>
      </c>
      <c r="F422" s="41">
        <v>500</v>
      </c>
      <c r="G422" s="28"/>
      <c r="H422" s="84">
        <f>'2018'!BH422-500</f>
        <v>-500</v>
      </c>
      <c r="I422" s="13"/>
      <c r="J422" s="15"/>
      <c r="K422" s="15"/>
      <c r="L422" s="28"/>
      <c r="Q422" s="13"/>
      <c r="R422" s="15"/>
      <c r="S422" s="15"/>
      <c r="T422" s="28"/>
      <c r="Y422" s="13"/>
      <c r="Z422" s="15"/>
      <c r="AA422" s="34">
        <f>$F$14</f>
        <v>500</v>
      </c>
      <c r="AB422" s="28"/>
      <c r="AG422" s="13"/>
      <c r="AH422" s="15"/>
      <c r="AI422" s="15"/>
      <c r="AJ422" s="28"/>
      <c r="AK422" s="13"/>
      <c r="AL422" s="15"/>
      <c r="AM422" s="15"/>
      <c r="AN422" s="28"/>
      <c r="AO422" s="13"/>
      <c r="AP422" s="15"/>
      <c r="AQ422" s="15"/>
      <c r="AR422" s="35"/>
      <c r="AS422" s="15"/>
      <c r="AT422" s="15"/>
      <c r="AU422" s="15"/>
      <c r="AV422" s="15"/>
      <c r="AW422" s="13"/>
      <c r="AX422" s="15"/>
      <c r="AY422" s="15"/>
      <c r="AZ422" s="28"/>
      <c r="BA422" s="15"/>
      <c r="BB422" s="15"/>
      <c r="BC422" s="15"/>
      <c r="BD422" s="15"/>
      <c r="BE422" s="14"/>
      <c r="BF422" s="41">
        <f t="shared" ref="BF422:BG422" si="1313">K422+O422+S422+W422+AA422+AE422+AI422+AM422+AQ422+AU422+AY422+BC422</f>
        <v>500</v>
      </c>
      <c r="BG422" s="34">
        <f t="shared" si="1313"/>
        <v>0</v>
      </c>
      <c r="BH422" s="35">
        <f t="shared" si="1302"/>
        <v>0</v>
      </c>
    </row>
    <row r="423" ht="14.25" customHeight="1" spans="1:62" x14ac:dyDescent="0.25">
      <c r="A423" s="97" t="s">
        <v>217</v>
      </c>
      <c r="B423" s="21"/>
      <c r="C423" s="22" t="s">
        <v>53</v>
      </c>
      <c r="D423" s="21"/>
      <c r="E423" s="22"/>
      <c r="F423" s="20"/>
      <c r="G423" s="23"/>
      <c r="H423" s="51">
        <f>SUM(H416:H422)</f>
        <v>-455.18</v>
      </c>
      <c r="I423" s="52"/>
      <c r="J423" s="53"/>
      <c r="K423" s="51">
        <f t="shared" ref="K423:L423" si="1314">SUM(K416:K422)</f>
        <v>0</v>
      </c>
      <c r="L423" s="68">
        <f t="shared" si="1314"/>
        <v>0</v>
      </c>
      <c r="M423" s="53"/>
      <c r="N423" s="53"/>
      <c r="O423" s="51">
        <f t="shared" ref="O423:P423" si="1315">SUM(O417:O422)</f>
        <v>0</v>
      </c>
      <c r="P423" s="51">
        <f t="shared" si="1315"/>
        <v>0</v>
      </c>
      <c r="Q423" s="52"/>
      <c r="R423" s="53"/>
      <c r="S423" s="51">
        <f t="shared" ref="S423:T423" si="1316">SUM(S417:S422)</f>
        <v>0</v>
      </c>
      <c r="T423" s="68">
        <f t="shared" si="1316"/>
        <v>0</v>
      </c>
      <c r="U423" s="53"/>
      <c r="V423" s="53"/>
      <c r="W423" s="51">
        <f t="shared" ref="W423:X423" si="1317">SUM(W417:W422)</f>
        <v>24.9</v>
      </c>
      <c r="X423" s="51">
        <f t="shared" si="1317"/>
        <v>0</v>
      </c>
      <c r="Y423" s="52"/>
      <c r="Z423" s="53"/>
      <c r="AA423" s="51">
        <f t="shared" ref="AA423:AB423" si="1318">SUM(AA417:AA422)</f>
        <v>542.88</v>
      </c>
      <c r="AB423" s="68">
        <f t="shared" si="1318"/>
        <v>0</v>
      </c>
      <c r="AC423" s="53"/>
      <c r="AD423" s="53"/>
      <c r="AE423" s="51">
        <f t="shared" ref="AE423:AF423" si="1319">SUM(AE417:AE422)</f>
        <v>7663.94</v>
      </c>
      <c r="AF423" s="51">
        <f t="shared" si="1319"/>
        <v>3000</v>
      </c>
      <c r="AG423" s="52"/>
      <c r="AH423" s="53"/>
      <c r="AI423" s="51">
        <f t="shared" ref="AI423:AJ423" si="1320">SUM(AI417:AI422)</f>
        <v>49.62</v>
      </c>
      <c r="AJ423" s="68">
        <f t="shared" si="1320"/>
        <v>3050</v>
      </c>
      <c r="AK423" s="52"/>
      <c r="AL423" s="53"/>
      <c r="AM423" s="51">
        <f t="shared" ref="AM423:AN423" si="1321">SUM(AM417:AM422)</f>
        <v>85.68</v>
      </c>
      <c r="AN423" s="68">
        <f t="shared" si="1321"/>
        <v>1890</v>
      </c>
      <c r="AO423" s="52"/>
      <c r="AP423" s="53"/>
      <c r="AQ423" s="51">
        <f t="shared" ref="AQ423:AR423" si="1322">SUM(AQ416:AQ422)</f>
        <v>42.5</v>
      </c>
      <c r="AR423" s="68">
        <f t="shared" si="1322"/>
        <v>0</v>
      </c>
      <c r="AS423" s="53"/>
      <c r="AT423" s="53"/>
      <c r="AU423" s="51">
        <f t="shared" ref="AU423:AV423" si="1323">SUM(AU416:AU422)</f>
        <v>110</v>
      </c>
      <c r="AV423" s="68">
        <f t="shared" si="1323"/>
        <v>0</v>
      </c>
      <c r="AW423" s="52"/>
      <c r="AX423" s="53"/>
      <c r="AY423" s="51">
        <f t="shared" ref="AY423:AZ423" si="1324">SUM(AY416:AY422)</f>
        <v>0</v>
      </c>
      <c r="AZ423" s="68">
        <f t="shared" si="1324"/>
        <v>0</v>
      </c>
      <c r="BA423" s="53"/>
      <c r="BB423" s="53"/>
      <c r="BC423" s="51">
        <f t="shared" ref="BC423:BD423" si="1325">SUM(BC416:BC422)</f>
        <v>0</v>
      </c>
      <c r="BD423" s="68">
        <f t="shared" si="1325"/>
        <v>0</v>
      </c>
      <c r="BE423" s="69"/>
      <c r="BF423" s="70">
        <f t="shared" ref="BF423:BH423" si="1326">SUM(BF416:BF422)</f>
        <v>8519.52</v>
      </c>
      <c r="BG423" s="71">
        <f t="shared" si="1326"/>
        <v>7940</v>
      </c>
      <c r="BH423" s="72">
        <f t="shared" si="1326"/>
        <v>124.34</v>
      </c>
      <c r="BI423" s="34">
        <f>H423+BF423-BG423</f>
        <v>124.34</v>
      </c>
      <c r="BJ423" s="34">
        <f>BH423-BI423</f>
        <v>0</v>
      </c>
    </row>
    <row r="424" ht="14.25" customHeight="1" spans="1:60" x14ac:dyDescent="0.25">
      <c r="A424" s="29">
        <v>56</v>
      </c>
      <c r="B424" s="14"/>
      <c r="D424" s="14" t="s">
        <v>379</v>
      </c>
      <c r="F424" s="13"/>
      <c r="G424" s="28"/>
      <c r="H424" s="34">
        <f>'2018'!BH424</f>
        <v>0</v>
      </c>
      <c r="I424" s="13"/>
      <c r="J424" s="15"/>
      <c r="K424" s="15"/>
      <c r="L424" s="28"/>
      <c r="Q424" s="13"/>
      <c r="R424" s="15"/>
      <c r="S424" s="15"/>
      <c r="T424" s="28"/>
      <c r="Y424" s="13"/>
      <c r="Z424" s="15"/>
      <c r="AA424" s="15"/>
      <c r="AB424" s="28"/>
      <c r="AG424" s="13"/>
      <c r="AH424" s="15"/>
      <c r="AI424" s="15"/>
      <c r="AJ424" s="28"/>
      <c r="AK424" s="13"/>
      <c r="AL424" s="15"/>
      <c r="AM424" s="15"/>
      <c r="AN424" s="28"/>
      <c r="AO424" s="13"/>
      <c r="AP424" s="15"/>
      <c r="AQ424" s="15"/>
      <c r="AR424" s="28"/>
      <c r="AW424" s="13"/>
      <c r="AX424" s="15"/>
      <c r="AY424" s="34"/>
      <c r="AZ424" s="35"/>
      <c r="BE424" s="14"/>
      <c r="BF424" s="41">
        <f t="shared" ref="BF424:BG424" si="1327">K424+O424+S424+W424+AA424+AE424+AI424+AM424+AQ424+AU424+AY424+BC424</f>
        <v>0</v>
      </c>
      <c r="BG424" s="34">
        <f t="shared" si="1327"/>
        <v>0</v>
      </c>
      <c r="BH424" s="35">
        <f t="shared" ref="BH424:BH430" si="1328">H424+BF424-BG424</f>
        <v>0</v>
      </c>
    </row>
    <row r="425" ht="14.25" customHeight="1" spans="1:60" x14ac:dyDescent="0.25">
      <c r="A425" s="2">
        <v>56</v>
      </c>
      <c r="B425" s="14">
        <v>6.23</v>
      </c>
      <c r="C425" s="15" t="s">
        <v>423</v>
      </c>
      <c r="D425" s="14" t="s">
        <v>44</v>
      </c>
      <c r="E425" s="2" t="s">
        <v>45</v>
      </c>
      <c r="F425" s="13">
        <v>2.49</v>
      </c>
      <c r="G425" s="35">
        <v>2.5</v>
      </c>
      <c r="H425" s="34">
        <f>'2018'!BH425</f>
        <v>-115.14</v>
      </c>
      <c r="I425" s="13">
        <v>38</v>
      </c>
      <c r="J425" s="15">
        <f>I425-'2018'!BA425</f>
        <v>24</v>
      </c>
      <c r="K425" s="34">
        <f>J425*$F$8</f>
        <v>59.76</v>
      </c>
      <c r="L425" s="28"/>
      <c r="M425" s="2">
        <v>195</v>
      </c>
      <c r="N425" s="15">
        <f>M425-I425</f>
        <v>157</v>
      </c>
      <c r="O425" s="34">
        <f>N425*$F$8</f>
        <v>390.93</v>
      </c>
      <c r="Q425" s="13">
        <v>443</v>
      </c>
      <c r="R425" s="15">
        <f>Q425-M425</f>
        <v>248</v>
      </c>
      <c r="S425" s="34">
        <f>R425*$F$8</f>
        <v>617.52</v>
      </c>
      <c r="T425" s="28"/>
      <c r="U425" s="2">
        <v>482</v>
      </c>
      <c r="V425" s="15">
        <f>U425-Q425</f>
        <v>39</v>
      </c>
      <c r="W425" s="34">
        <f>V425*$F$8</f>
        <v>97.11</v>
      </c>
      <c r="X425" s="39">
        <v>1500</v>
      </c>
      <c r="Y425" s="13">
        <v>1485</v>
      </c>
      <c r="Z425" s="15">
        <f>Y425-U425</f>
        <v>1003</v>
      </c>
      <c r="AA425" s="34">
        <f>Z425*$F$8</f>
        <v>2497.47</v>
      </c>
      <c r="AB425" s="28"/>
      <c r="AC425" s="15">
        <v>2506</v>
      </c>
      <c r="AD425" s="15">
        <f t="shared" ref="AD425:AD426" si="1329">AC425-Y425</f>
        <v>1021</v>
      </c>
      <c r="AE425" s="34">
        <f>AD425*$G$8</f>
        <v>2552.5</v>
      </c>
      <c r="AF425" s="39">
        <v>2500</v>
      </c>
      <c r="AG425" s="13">
        <v>3074</v>
      </c>
      <c r="AH425" s="15">
        <f t="shared" ref="AH425:AH426" si="1330">AG425-AC425</f>
        <v>568</v>
      </c>
      <c r="AI425" s="34">
        <f>AH425*$G$8</f>
        <v>1420</v>
      </c>
      <c r="AJ425" s="28"/>
      <c r="AK425" s="13">
        <v>3470</v>
      </c>
      <c r="AL425" s="15">
        <f t="shared" ref="AL425:AL426" si="1331">AK425-AG425</f>
        <v>396</v>
      </c>
      <c r="AM425" s="34">
        <f>AL425*$G$8</f>
        <v>990</v>
      </c>
      <c r="AN425" s="134">
        <v>3431.2</v>
      </c>
      <c r="AO425" s="95">
        <v>4072</v>
      </c>
      <c r="AP425" s="15">
        <f t="shared" ref="AP425:AP426" si="1332">AO425-AK425</f>
        <v>602</v>
      </c>
      <c r="AQ425" s="34">
        <f>AP425*$G$8</f>
        <v>1505</v>
      </c>
      <c r="AR425" s="38">
        <v>500</v>
      </c>
      <c r="AS425" s="15">
        <v>4494</v>
      </c>
      <c r="AT425" s="15">
        <f t="shared" ref="AT425:AT426" si="1333">AS425-AO425</f>
        <v>422</v>
      </c>
      <c r="AU425" s="34">
        <f>AT425*$G$8</f>
        <v>1055</v>
      </c>
      <c r="AV425" s="39">
        <v>3138.95</v>
      </c>
      <c r="AW425" s="13">
        <v>4968</v>
      </c>
      <c r="AX425" s="15">
        <f>AW425-AS425</f>
        <v>474</v>
      </c>
      <c r="AY425" s="34">
        <f>AX425*$G$8</f>
        <v>1185</v>
      </c>
      <c r="AZ425" s="28"/>
      <c r="BA425" s="15">
        <v>5434</v>
      </c>
      <c r="BB425" s="15">
        <f>BA425-AW425</f>
        <v>466</v>
      </c>
      <c r="BC425" s="34">
        <f>BB425*$G$8</f>
        <v>1165</v>
      </c>
      <c r="BD425" s="39">
        <v>1185</v>
      </c>
      <c r="BE425" s="40">
        <f t="shared" ref="BE425:BG425" si="1334">J425+N425+R425+V425+Z425+AD425+AH425+AL425+AP425+AT425+AX425+BB425</f>
        <v>5420</v>
      </c>
      <c r="BF425" s="41">
        <f t="shared" si="1334"/>
        <v>13535.29</v>
      </c>
      <c r="BG425" s="34">
        <f t="shared" si="1334"/>
        <v>12255.15</v>
      </c>
      <c r="BH425" s="35">
        <f t="shared" si="1328"/>
        <v>1165</v>
      </c>
    </row>
    <row r="426" ht="14.25" customHeight="1" spans="1:60" x14ac:dyDescent="0.25">
      <c r="A426" s="29">
        <v>56</v>
      </c>
      <c r="B426" s="14"/>
      <c r="C426" s="15" t="s">
        <v>121</v>
      </c>
      <c r="D426" s="14" t="s">
        <v>47</v>
      </c>
      <c r="E426" s="2" t="s">
        <v>48</v>
      </c>
      <c r="F426" s="13">
        <v>17.98</v>
      </c>
      <c r="G426" s="28">
        <v>18.56</v>
      </c>
      <c r="H426" s="34">
        <f>'2018'!BH426</f>
        <v>0</v>
      </c>
      <c r="I426" s="13"/>
      <c r="J426" s="15"/>
      <c r="K426" s="15"/>
      <c r="L426" s="28"/>
      <c r="Q426" s="13"/>
      <c r="R426" s="15"/>
      <c r="S426" s="15"/>
      <c r="T426" s="28"/>
      <c r="Y426" s="13">
        <v>0</v>
      </c>
      <c r="Z426" s="15">
        <v>0</v>
      </c>
      <c r="AA426" s="34">
        <f>Z426*$F$10</f>
        <v>0</v>
      </c>
      <c r="AB426" s="28"/>
      <c r="AC426" s="15">
        <v>0</v>
      </c>
      <c r="AD426" s="15">
        <f t="shared" si="1329"/>
        <v>0</v>
      </c>
      <c r="AE426" s="34">
        <f>AD426*$F$10</f>
        <v>0</v>
      </c>
      <c r="AG426" s="13">
        <v>0</v>
      </c>
      <c r="AH426" s="15">
        <f t="shared" si="1330"/>
        <v>0</v>
      </c>
      <c r="AI426" s="45">
        <f>AH426*$G$10</f>
        <v>0</v>
      </c>
      <c r="AJ426" s="28"/>
      <c r="AK426" s="15">
        <v>5</v>
      </c>
      <c r="AL426" s="15">
        <f t="shared" si="1331"/>
        <v>5</v>
      </c>
      <c r="AM426" s="45">
        <f>AL426*$G$10</f>
        <v>92.8</v>
      </c>
      <c r="AN426" s="134">
        <v>92.8</v>
      </c>
      <c r="AO426" s="13">
        <v>15</v>
      </c>
      <c r="AP426" s="15">
        <f t="shared" si="1332"/>
        <v>10</v>
      </c>
      <c r="AQ426" s="45">
        <f>AP426*$G$10</f>
        <v>185.6</v>
      </c>
      <c r="AR426" s="28"/>
      <c r="AS426" s="13">
        <v>15</v>
      </c>
      <c r="AT426" s="15">
        <f t="shared" si="1333"/>
        <v>0</v>
      </c>
      <c r="AU426" s="45">
        <f>AT426*$G$10</f>
        <v>0</v>
      </c>
      <c r="AV426" s="15"/>
      <c r="AW426" s="13">
        <v>15</v>
      </c>
      <c r="AX426" s="15"/>
      <c r="AY426" s="15"/>
      <c r="AZ426" s="28"/>
      <c r="BA426" s="15">
        <v>15</v>
      </c>
      <c r="BB426" s="15"/>
      <c r="BC426" s="15"/>
      <c r="BD426" s="39">
        <v>185.6</v>
      </c>
      <c r="BE426" s="40">
        <f t="shared" ref="BE426:BG426" si="1335">J426+N426+R426+V426+Z426+AD426+AH426+AL426+AP426+AT426+AX426+BB426</f>
        <v>15</v>
      </c>
      <c r="BF426" s="41">
        <f t="shared" si="1335"/>
        <v>278.4</v>
      </c>
      <c r="BG426" s="34">
        <f t="shared" si="1335"/>
        <v>278.4</v>
      </c>
      <c r="BH426" s="35">
        <f t="shared" si="1328"/>
        <v>0</v>
      </c>
    </row>
    <row r="427" ht="15.75" customHeight="1" spans="1:60" x14ac:dyDescent="0.25">
      <c r="A427" s="29">
        <v>56</v>
      </c>
      <c r="B427" s="14"/>
      <c r="C427" s="15" t="s">
        <v>115</v>
      </c>
      <c r="D427" s="14" t="s">
        <v>47</v>
      </c>
      <c r="E427" s="2" t="s">
        <v>49</v>
      </c>
      <c r="F427" s="41">
        <v>500</v>
      </c>
      <c r="G427" s="28"/>
      <c r="H427" s="34">
        <f>'2018'!BH427</f>
        <v>0</v>
      </c>
      <c r="I427" s="13"/>
      <c r="J427" s="15"/>
      <c r="K427" s="15"/>
      <c r="L427" s="28"/>
      <c r="Q427" s="13"/>
      <c r="R427" s="15"/>
      <c r="S427" s="15"/>
      <c r="T427" s="28"/>
      <c r="X427" s="34"/>
      <c r="Y427" s="13"/>
      <c r="Z427" s="15"/>
      <c r="AA427" s="34"/>
      <c r="AB427" s="28"/>
      <c r="AC427" s="15"/>
      <c r="AG427" s="13"/>
      <c r="AH427" s="15"/>
      <c r="AI427" s="15"/>
      <c r="AJ427" s="28"/>
      <c r="AK427" s="13"/>
      <c r="AL427" s="15"/>
      <c r="AM427" s="34"/>
      <c r="AN427" s="35"/>
      <c r="AO427" s="13"/>
      <c r="AP427" s="15"/>
      <c r="AQ427" s="34"/>
      <c r="AR427" s="28"/>
      <c r="AS427" s="15"/>
      <c r="AT427" s="15"/>
      <c r="AU427" s="15"/>
      <c r="AV427" s="15"/>
      <c r="AW427" s="13"/>
      <c r="AX427" s="15"/>
      <c r="AY427" s="15"/>
      <c r="AZ427" s="28"/>
      <c r="BA427" s="15"/>
      <c r="BB427" s="15"/>
      <c r="BC427" s="15"/>
      <c r="BD427" s="15"/>
      <c r="BE427" s="14"/>
      <c r="BF427" s="41">
        <f t="shared" ref="BF427:BG427" si="1336">K427+O427+S427+W427+AA427+AE427+AI427+AM427+AQ427+AU427+AY427+BC427</f>
        <v>0</v>
      </c>
      <c r="BG427" s="34">
        <f t="shared" si="1336"/>
        <v>0</v>
      </c>
      <c r="BH427" s="35">
        <f t="shared" si="1328"/>
        <v>0</v>
      </c>
    </row>
    <row r="428" ht="14.25" customHeight="1" spans="1:60" x14ac:dyDescent="0.25">
      <c r="A428" s="29">
        <v>56</v>
      </c>
      <c r="B428" s="14"/>
      <c r="C428" s="15" t="s">
        <v>424</v>
      </c>
      <c r="D428" s="14" t="s">
        <v>50</v>
      </c>
      <c r="E428" s="2" t="s">
        <v>49</v>
      </c>
      <c r="F428" s="41">
        <v>1200</v>
      </c>
      <c r="G428" s="28"/>
      <c r="H428" s="34">
        <f>'2018'!BH428</f>
        <v>0.002400000001</v>
      </c>
      <c r="I428" s="13"/>
      <c r="J428" s="15"/>
      <c r="K428" s="15"/>
      <c r="L428" s="28"/>
      <c r="Q428" s="13"/>
      <c r="R428" s="15"/>
      <c r="S428" s="15"/>
      <c r="T428" s="28"/>
      <c r="Y428" s="13"/>
      <c r="Z428" s="15"/>
      <c r="AA428" s="15"/>
      <c r="AB428" s="28"/>
      <c r="AE428" s="34">
        <f>B425*$F$12</f>
        <v>7476</v>
      </c>
      <c r="AG428" s="13"/>
      <c r="AH428" s="15"/>
      <c r="AI428" s="15"/>
      <c r="AJ428" s="28"/>
      <c r="AK428" s="13"/>
      <c r="AL428" s="15"/>
      <c r="AM428" s="15"/>
      <c r="AN428" s="134">
        <v>7476</v>
      </c>
      <c r="AO428" s="13"/>
      <c r="AP428" s="15"/>
      <c r="AQ428" s="15"/>
      <c r="AR428" s="28"/>
      <c r="AS428" s="15"/>
      <c r="AT428" s="15"/>
      <c r="AU428" s="15"/>
      <c r="AV428" s="15"/>
      <c r="AW428" s="13"/>
      <c r="AX428" s="15"/>
      <c r="AY428" s="15"/>
      <c r="AZ428" s="35"/>
      <c r="BA428" s="15"/>
      <c r="BB428" s="15"/>
      <c r="BC428" s="15"/>
      <c r="BD428" s="15"/>
      <c r="BE428" s="14"/>
      <c r="BF428" s="41">
        <f t="shared" ref="BF428:BG428" si="1337">K428+O428+S428+W428+AA428+AE428+AI428+AM428+AQ428+AU428+AY428+BC428</f>
        <v>7476</v>
      </c>
      <c r="BG428" s="34">
        <f t="shared" si="1337"/>
        <v>7476</v>
      </c>
      <c r="BH428" s="35">
        <f t="shared" si="1328"/>
        <v>0.002400000002</v>
      </c>
    </row>
    <row r="429" ht="14.25" customHeight="1" spans="1:60" x14ac:dyDescent="0.25">
      <c r="A429" s="29">
        <v>56</v>
      </c>
      <c r="B429" s="14"/>
      <c r="C429" s="15"/>
      <c r="D429" s="14" t="s">
        <v>51</v>
      </c>
      <c r="E429" s="2" t="s">
        <v>49</v>
      </c>
      <c r="F429" s="41">
        <v>1000</v>
      </c>
      <c r="G429" s="28"/>
      <c r="H429" s="34">
        <f>'2018'!BH429</f>
        <v>0</v>
      </c>
      <c r="I429" s="13"/>
      <c r="J429" s="15"/>
      <c r="K429" s="15"/>
      <c r="L429" s="28"/>
      <c r="Q429" s="13"/>
      <c r="R429" s="15"/>
      <c r="S429" s="15"/>
      <c r="T429" s="28"/>
      <c r="Y429" s="13"/>
      <c r="Z429" s="15"/>
      <c r="AA429" s="15"/>
      <c r="AB429" s="28"/>
      <c r="AE429" s="34">
        <f>$F$21</f>
        <v>1000</v>
      </c>
      <c r="AG429" s="13"/>
      <c r="AH429" s="15"/>
      <c r="AI429" s="15"/>
      <c r="AJ429" s="28"/>
      <c r="AK429" s="13"/>
      <c r="AL429" s="15"/>
      <c r="AM429" s="15"/>
      <c r="AN429" s="134">
        <v>1000</v>
      </c>
      <c r="AO429" s="13"/>
      <c r="AP429" s="15"/>
      <c r="AQ429" s="15"/>
      <c r="AR429" s="28"/>
      <c r="AS429" s="15"/>
      <c r="AT429" s="15"/>
      <c r="AU429" s="15"/>
      <c r="AV429" s="15"/>
      <c r="AW429" s="13"/>
      <c r="AX429" s="15"/>
      <c r="AY429" s="15"/>
      <c r="AZ429" s="28"/>
      <c r="BA429" s="15"/>
      <c r="BB429" s="15"/>
      <c r="BC429" s="15"/>
      <c r="BD429" s="15"/>
      <c r="BE429" s="14"/>
      <c r="BF429" s="41">
        <f t="shared" ref="BF429:BG429" si="1338">K429+O429+S429+W429+AA429+AE429+AI429+AM429+AQ429+AU429+AY429+BC429</f>
        <v>1000</v>
      </c>
      <c r="BG429" s="34">
        <f t="shared" si="1338"/>
        <v>1000</v>
      </c>
      <c r="BH429" s="35">
        <f t="shared" si="1328"/>
        <v>0</v>
      </c>
    </row>
    <row r="430" ht="14.25" customHeight="1" spans="1:60" x14ac:dyDescent="0.25">
      <c r="A430" s="29">
        <v>56</v>
      </c>
      <c r="B430" s="14"/>
      <c r="C430" s="15"/>
      <c r="D430" s="14" t="s">
        <v>52</v>
      </c>
      <c r="E430" s="2" t="s">
        <v>39</v>
      </c>
      <c r="F430" s="41">
        <v>500</v>
      </c>
      <c r="G430" s="28"/>
      <c r="H430" s="84">
        <f>'2018'!BH430-500</f>
        <v>-500</v>
      </c>
      <c r="I430" s="13"/>
      <c r="J430" s="15"/>
      <c r="K430" s="15"/>
      <c r="L430" s="28"/>
      <c r="Q430" s="13"/>
      <c r="R430" s="15"/>
      <c r="S430" s="15"/>
      <c r="T430" s="28"/>
      <c r="Y430" s="13"/>
      <c r="Z430" s="15"/>
      <c r="AA430" s="34">
        <f>$F$14</f>
        <v>500</v>
      </c>
      <c r="AB430" s="28"/>
      <c r="AG430" s="13"/>
      <c r="AH430" s="15"/>
      <c r="AI430" s="15"/>
      <c r="AJ430" s="28"/>
      <c r="AK430" s="13"/>
      <c r="AL430" s="15"/>
      <c r="AM430" s="15"/>
      <c r="AN430" s="28"/>
      <c r="AO430" s="13"/>
      <c r="AP430" s="15"/>
      <c r="AQ430" s="15"/>
      <c r="AR430" s="28"/>
      <c r="AS430" s="15"/>
      <c r="AT430" s="15"/>
      <c r="AU430" s="15"/>
      <c r="AV430" s="15"/>
      <c r="AW430" s="13"/>
      <c r="AX430" s="15"/>
      <c r="AY430" s="15"/>
      <c r="AZ430" s="35"/>
      <c r="BA430" s="15"/>
      <c r="BB430" s="15"/>
      <c r="BC430" s="15"/>
      <c r="BD430" s="15"/>
      <c r="BE430" s="14"/>
      <c r="BF430" s="41">
        <f t="shared" ref="BF430:BG430" si="1339">K430+O430+S430+W430+AA430+AE430+AI430+AM430+AQ430+AU430+AY430+BC430</f>
        <v>500</v>
      </c>
      <c r="BG430" s="34">
        <f t="shared" si="1339"/>
        <v>0</v>
      </c>
      <c r="BH430" s="35">
        <f t="shared" si="1328"/>
        <v>0</v>
      </c>
    </row>
    <row r="431" ht="15.75" customHeight="1" spans="1:62" x14ac:dyDescent="0.25">
      <c r="A431" s="50">
        <v>56</v>
      </c>
      <c r="B431" s="21"/>
      <c r="C431" s="22" t="s">
        <v>53</v>
      </c>
      <c r="D431" s="21"/>
      <c r="E431" s="22"/>
      <c r="F431" s="20"/>
      <c r="G431" s="23"/>
      <c r="H431" s="51">
        <f>SUM(H424:H430)</f>
        <v>-615.1376</v>
      </c>
      <c r="I431" s="52"/>
      <c r="J431" s="53"/>
      <c r="K431" s="51">
        <f t="shared" ref="K431:L431" si="1340">SUM(K424:K430)</f>
        <v>59.76</v>
      </c>
      <c r="L431" s="68">
        <f t="shared" si="1340"/>
        <v>0</v>
      </c>
      <c r="M431" s="53"/>
      <c r="N431" s="53"/>
      <c r="O431" s="51">
        <f>SUM(O425:O430)</f>
        <v>390.93</v>
      </c>
      <c r="P431" s="68">
        <f>SUM(P424:P430)</f>
        <v>0</v>
      </c>
      <c r="Q431" s="52"/>
      <c r="R431" s="53"/>
      <c r="S431" s="51">
        <f>SUM(S425:S430)</f>
        <v>617.52</v>
      </c>
      <c r="T431" s="68">
        <f>SUM(T424:T430)</f>
        <v>0</v>
      </c>
      <c r="U431" s="53"/>
      <c r="V431" s="53"/>
      <c r="W431" s="51">
        <f>SUM(W425:W430)</f>
        <v>97.11</v>
      </c>
      <c r="X431" s="68">
        <f>SUM(X424:X430)</f>
        <v>1500</v>
      </c>
      <c r="Y431" s="52"/>
      <c r="Z431" s="53"/>
      <c r="AA431" s="51">
        <f>SUM(AA425:AA430)</f>
        <v>2997.47</v>
      </c>
      <c r="AB431" s="68">
        <f>SUM(AB424:AB430)</f>
        <v>0</v>
      </c>
      <c r="AC431" s="53"/>
      <c r="AD431" s="53"/>
      <c r="AE431" s="51">
        <f>SUM(AE425:AE430)</f>
        <v>11028.5</v>
      </c>
      <c r="AF431" s="68">
        <f>SUM(AF424:AF430)</f>
        <v>2500</v>
      </c>
      <c r="AG431" s="52"/>
      <c r="AH431" s="53"/>
      <c r="AI431" s="51">
        <f>SUM(AI425:AI430)</f>
        <v>1420</v>
      </c>
      <c r="AJ431" s="68">
        <f>SUM(AJ424:AJ430)</f>
        <v>0</v>
      </c>
      <c r="AK431" s="52"/>
      <c r="AL431" s="53"/>
      <c r="AM431" s="51">
        <f>SUM(AM425:AM430)</f>
        <v>1082.8</v>
      </c>
      <c r="AN431" s="68">
        <f>SUM(AN424:AN430)</f>
        <v>12000</v>
      </c>
      <c r="AO431" s="52"/>
      <c r="AP431" s="53"/>
      <c r="AQ431" s="51">
        <f t="shared" ref="AQ431:AR431" si="1341">SUM(AQ424:AQ430)</f>
        <v>1690.6</v>
      </c>
      <c r="AR431" s="68">
        <f t="shared" si="1341"/>
        <v>500</v>
      </c>
      <c r="AS431" s="53"/>
      <c r="AT431" s="53"/>
      <c r="AU431" s="51">
        <f t="shared" ref="AU431:AV431" si="1342">SUM(AU424:AU430)</f>
        <v>1055</v>
      </c>
      <c r="AV431" s="68">
        <f t="shared" si="1342"/>
        <v>3138.95</v>
      </c>
      <c r="AW431" s="52"/>
      <c r="AX431" s="53"/>
      <c r="AY431" s="51">
        <f t="shared" ref="AY431:AZ431" si="1343">SUM(AY424:AY430)</f>
        <v>1185</v>
      </c>
      <c r="AZ431" s="68">
        <f t="shared" si="1343"/>
        <v>0</v>
      </c>
      <c r="BA431" s="53"/>
      <c r="BB431" s="53"/>
      <c r="BC431" s="51">
        <f t="shared" ref="BC431:BD431" si="1344">SUM(BC424:BC430)</f>
        <v>1165</v>
      </c>
      <c r="BD431" s="68">
        <f t="shared" si="1344"/>
        <v>1370.6</v>
      </c>
      <c r="BE431" s="69"/>
      <c r="BF431" s="70">
        <f t="shared" ref="BF431:BH431" si="1345">SUM(BF424:BF430)</f>
        <v>22789.69</v>
      </c>
      <c r="BG431" s="71">
        <f t="shared" si="1345"/>
        <v>21009.55</v>
      </c>
      <c r="BH431" s="72">
        <f t="shared" si="1345"/>
        <v>1165.0024</v>
      </c>
      <c r="BI431" s="34">
        <f>H431+BF431-BG431</f>
        <v>1165.0024</v>
      </c>
      <c r="BJ431" s="34">
        <f>BH431-BI431</f>
        <v>0</v>
      </c>
    </row>
    <row r="432" ht="14.25" customHeight="1" spans="1:60" x14ac:dyDescent="0.25">
      <c r="A432" s="29">
        <v>57</v>
      </c>
      <c r="B432" s="14"/>
      <c r="D432" s="14" t="s">
        <v>379</v>
      </c>
      <c r="F432" s="13"/>
      <c r="G432" s="28"/>
      <c r="H432" s="34">
        <f>'2018'!BH432</f>
      </c>
      <c r="I432" s="13"/>
      <c r="J432" s="15"/>
      <c r="K432" s="15"/>
      <c r="L432" s="28"/>
      <c r="Q432" s="13"/>
      <c r="R432" s="15"/>
      <c r="S432" s="15"/>
      <c r="T432" s="28"/>
      <c r="Y432" s="13"/>
      <c r="Z432" s="15"/>
      <c r="AA432" s="15"/>
      <c r="AB432" s="28"/>
      <c r="AG432" s="13"/>
      <c r="AH432" s="15"/>
      <c r="AI432" s="15"/>
      <c r="AJ432" s="28"/>
      <c r="AK432" s="13"/>
      <c r="AL432" s="15"/>
      <c r="AM432" s="15"/>
      <c r="AN432" s="28"/>
      <c r="AO432" s="13"/>
      <c r="AP432" s="15"/>
      <c r="AQ432" s="15">
        <v>26.37</v>
      </c>
      <c r="AR432" s="28"/>
      <c r="AU432" s="2">
        <v>27.25</v>
      </c>
      <c r="AW432" s="13"/>
      <c r="AX432" s="15"/>
      <c r="AY432" s="15">
        <v>26.37</v>
      </c>
      <c r="AZ432" s="28"/>
      <c r="BC432" s="2">
        <v>27.25</v>
      </c>
      <c r="BE432" s="14"/>
      <c r="BF432" s="41">
        <f t="shared" ref="BF432:BG432" si="1346">K432+O432+S432+W432+AA432+AE432+AI432+AM432+AQ432+AU432+AY432+BC432</f>
        <v>107.24</v>
      </c>
      <c r="BG432" s="34">
        <f t="shared" si="1346"/>
        <v>0</v>
      </c>
      <c r="BH432" s="35">
        <f t="shared" ref="BH432:BH438" si="1347">H432+BF432-BG432</f>
        <v>107.24</v>
      </c>
    </row>
    <row r="433" ht="14.25" customHeight="1" spans="1:60" x14ac:dyDescent="0.25">
      <c r="A433" s="2">
        <v>57</v>
      </c>
      <c r="B433" s="30">
        <v>4</v>
      </c>
      <c r="C433" s="2" t="s">
        <v>221</v>
      </c>
      <c r="D433" s="14" t="s">
        <v>44</v>
      </c>
      <c r="E433" s="2" t="s">
        <v>45</v>
      </c>
      <c r="F433" s="13">
        <v>2.49</v>
      </c>
      <c r="G433" s="35">
        <v>2.5</v>
      </c>
      <c r="H433" s="33">
        <f>'2018'!BH433</f>
        <v>4.98</v>
      </c>
      <c r="I433" s="13">
        <v>462</v>
      </c>
      <c r="J433" s="15">
        <f>I433-'2018'!BA433</f>
        <v>0</v>
      </c>
      <c r="K433" s="34">
        <f>J433*$F$8</f>
        <v>0</v>
      </c>
      <c r="L433" s="28"/>
      <c r="M433" s="2">
        <v>462</v>
      </c>
      <c r="N433" s="15">
        <f>M433-I433</f>
        <v>0</v>
      </c>
      <c r="O433" s="34">
        <f>N433*$F$8</f>
        <v>0</v>
      </c>
      <c r="Q433" s="13">
        <v>462</v>
      </c>
      <c r="R433" s="15">
        <f>Q433-M433</f>
        <v>0</v>
      </c>
      <c r="S433" s="34">
        <f>R433*$F$8</f>
        <v>0</v>
      </c>
      <c r="T433" s="28"/>
      <c r="U433" s="73">
        <v>462</v>
      </c>
      <c r="V433" s="15">
        <f>U433-Q433</f>
        <v>0</v>
      </c>
      <c r="W433" s="34">
        <f>V433*$F$8</f>
        <v>0</v>
      </c>
      <c r="Y433" s="75">
        <v>462</v>
      </c>
      <c r="Z433" s="15">
        <f>Y433-U433</f>
        <v>0</v>
      </c>
      <c r="AA433" s="34">
        <f>Z433*$F$8</f>
        <v>0</v>
      </c>
      <c r="AB433" s="28"/>
      <c r="AC433" s="75">
        <v>462</v>
      </c>
      <c r="AD433" s="15">
        <f t="shared" ref="AD433:AD434" si="1348">AC433-Y433</f>
        <v>0</v>
      </c>
      <c r="AE433" s="34">
        <f>AD433*$G$8</f>
        <v>0</v>
      </c>
      <c r="AG433" s="75">
        <v>462</v>
      </c>
      <c r="AH433" s="15">
        <f t="shared" ref="AH433:AH434" si="1349">AG433-AC433</f>
        <v>0</v>
      </c>
      <c r="AI433" s="34">
        <f>AH433*$G$8</f>
        <v>0</v>
      </c>
      <c r="AJ433" s="28"/>
      <c r="AK433" s="75">
        <v>462</v>
      </c>
      <c r="AL433" s="15">
        <f t="shared" ref="AL433:AL434" si="1350">AK433-AG433</f>
        <v>0</v>
      </c>
      <c r="AM433" s="34">
        <f>AL433*$G$8</f>
        <v>0</v>
      </c>
      <c r="AN433" s="35"/>
      <c r="AO433" s="75">
        <v>462</v>
      </c>
      <c r="AP433" s="15">
        <f t="shared" ref="AP433:AP434" si="1351">AO433-AK433</f>
        <v>0</v>
      </c>
      <c r="AQ433" s="34">
        <f>AP433*$G$8</f>
        <v>0</v>
      </c>
      <c r="AR433" s="28"/>
      <c r="AS433" s="75">
        <v>462</v>
      </c>
      <c r="AT433" s="15">
        <f t="shared" ref="AT433:AT434" si="1352">AS433-AO433</f>
        <v>0</v>
      </c>
      <c r="AU433" s="34">
        <f>AT433*$G$8</f>
        <v>0</v>
      </c>
      <c r="AV433" s="15"/>
      <c r="AW433" s="75">
        <v>462</v>
      </c>
      <c r="AX433" s="15">
        <f>AW433-AS433</f>
        <v>0</v>
      </c>
      <c r="AY433" s="34">
        <f>AX433*$G$8</f>
        <v>0</v>
      </c>
      <c r="AZ433" s="28"/>
      <c r="BA433" s="75">
        <v>462</v>
      </c>
      <c r="BB433" s="15">
        <f>BA433-AW433</f>
        <v>0</v>
      </c>
      <c r="BC433" s="34">
        <f>BB433*$G$8</f>
        <v>0</v>
      </c>
      <c r="BD433" s="15"/>
      <c r="BE433" s="40">
        <f t="shared" ref="BE433:BG433" si="1353">J433+N433+R433+V433+Z433+AD433+AH433+AL433+AP433+AT433+AX433+BB433</f>
        <v>0</v>
      </c>
      <c r="BF433" s="41">
        <f t="shared" si="1353"/>
        <v>0</v>
      </c>
      <c r="BG433" s="34">
        <f t="shared" si="1353"/>
        <v>0</v>
      </c>
      <c r="BH433" s="35">
        <f t="shared" si="1347"/>
        <v>4.98</v>
      </c>
    </row>
    <row r="434" ht="14.25" customHeight="1" spans="1:60" x14ac:dyDescent="0.25">
      <c r="A434" s="29">
        <v>57</v>
      </c>
      <c r="B434" s="14"/>
      <c r="C434" s="15" t="s">
        <v>425</v>
      </c>
      <c r="D434" s="14" t="s">
        <v>47</v>
      </c>
      <c r="E434" s="2" t="s">
        <v>48</v>
      </c>
      <c r="F434" s="13">
        <v>17.98</v>
      </c>
      <c r="G434" s="28">
        <v>18.56</v>
      </c>
      <c r="H434" s="144">
        <f>'2018'!BH434</f>
        <v>0</v>
      </c>
      <c r="I434" s="13">
        <v>21</v>
      </c>
      <c r="J434" s="15"/>
      <c r="K434" s="15"/>
      <c r="L434" s="28"/>
      <c r="Q434" s="13"/>
      <c r="R434" s="15"/>
      <c r="S434" s="15"/>
      <c r="T434" s="28"/>
      <c r="Y434" s="95">
        <v>21</v>
      </c>
      <c r="Z434" s="15">
        <f>Y434-'2018'!AO434</f>
        <v>0</v>
      </c>
      <c r="AA434" s="34">
        <f>Z434*$F$10</f>
        <v>0</v>
      </c>
      <c r="AB434" s="28"/>
      <c r="AC434" s="95">
        <v>21</v>
      </c>
      <c r="AD434" s="15">
        <f t="shared" si="1348"/>
        <v>0</v>
      </c>
      <c r="AE434" s="34">
        <f>AD434*$F$10</f>
        <v>0</v>
      </c>
      <c r="AG434" s="95">
        <v>21</v>
      </c>
      <c r="AH434" s="15">
        <f t="shared" si="1349"/>
        <v>0</v>
      </c>
      <c r="AI434" s="45">
        <f>AH434*$G$10</f>
        <v>0</v>
      </c>
      <c r="AJ434" s="28"/>
      <c r="AK434" s="95">
        <v>21</v>
      </c>
      <c r="AL434" s="15">
        <f t="shared" si="1350"/>
        <v>0</v>
      </c>
      <c r="AM434" s="45">
        <f>AL434*$G$10</f>
        <v>0</v>
      </c>
      <c r="AN434" s="35"/>
      <c r="AO434" s="95">
        <v>21</v>
      </c>
      <c r="AP434" s="15">
        <f t="shared" si="1351"/>
        <v>0</v>
      </c>
      <c r="AQ434" s="45">
        <f>AP434*$G$10</f>
        <v>0</v>
      </c>
      <c r="AR434" s="28"/>
      <c r="AS434" s="95">
        <v>21</v>
      </c>
      <c r="AT434" s="15">
        <f t="shared" si="1352"/>
        <v>0</v>
      </c>
      <c r="AU434" s="45">
        <f>AT434*$G$10</f>
        <v>0</v>
      </c>
      <c r="AV434" s="15"/>
      <c r="AW434" s="95">
        <v>21</v>
      </c>
      <c r="AX434" s="15"/>
      <c r="AY434" s="15"/>
      <c r="AZ434" s="28"/>
      <c r="BA434" s="95">
        <v>21</v>
      </c>
      <c r="BB434" s="15"/>
      <c r="BC434" s="15"/>
      <c r="BD434" s="15"/>
      <c r="BE434" s="40">
        <f t="shared" ref="BE434:BG434" si="1354">J434+N434+R434+V434+Z434+AD434+AH434+AL434+AP434+AT434+AX434+BB434</f>
        <v>0</v>
      </c>
      <c r="BF434" s="41">
        <f t="shared" si="1354"/>
        <v>0</v>
      </c>
      <c r="BG434" s="34">
        <f t="shared" si="1354"/>
        <v>0</v>
      </c>
      <c r="BH434" s="35">
        <f t="shared" si="1347"/>
        <v>0</v>
      </c>
    </row>
    <row r="435" ht="14.25" customHeight="1" spans="1:60" x14ac:dyDescent="0.25">
      <c r="A435" s="29">
        <v>57</v>
      </c>
      <c r="B435" s="14"/>
      <c r="C435" s="15" t="s">
        <v>68</v>
      </c>
      <c r="D435" s="14" t="s">
        <v>47</v>
      </c>
      <c r="E435" s="2" t="s">
        <v>49</v>
      </c>
      <c r="F435" s="41">
        <v>500</v>
      </c>
      <c r="G435" s="28"/>
      <c r="H435" s="34">
        <f>'2018'!BH435</f>
        <v>1200</v>
      </c>
      <c r="I435" s="13"/>
      <c r="J435" s="15"/>
      <c r="K435" s="15"/>
      <c r="L435" s="28"/>
      <c r="Q435" s="13"/>
      <c r="R435" s="15"/>
      <c r="S435" s="15"/>
      <c r="T435" s="28"/>
      <c r="Y435" s="13"/>
      <c r="Z435" s="15"/>
      <c r="AA435" s="34"/>
      <c r="AB435" s="28"/>
      <c r="AC435" s="15"/>
      <c r="AG435" s="13"/>
      <c r="AH435" s="15"/>
      <c r="AI435" s="15"/>
      <c r="AJ435" s="28"/>
      <c r="AK435" s="13"/>
      <c r="AL435" s="15"/>
      <c r="AM435" s="34"/>
      <c r="AN435" s="28"/>
      <c r="AO435" s="13"/>
      <c r="AP435" s="15"/>
      <c r="AQ435" s="34"/>
      <c r="AR435" s="28"/>
      <c r="AS435" s="15"/>
      <c r="AT435" s="15"/>
      <c r="AU435" s="15"/>
      <c r="AV435" s="15"/>
      <c r="AW435" s="13"/>
      <c r="AX435" s="15"/>
      <c r="AY435" s="15"/>
      <c r="AZ435" s="28"/>
      <c r="BA435" s="15"/>
      <c r="BB435" s="15"/>
      <c r="BC435" s="15"/>
      <c r="BD435" s="15"/>
      <c r="BE435" s="14"/>
      <c r="BF435" s="41">
        <f t="shared" ref="BF435:BG435" si="1355">K435+O435+S435+W435+AA435+AE435+AI435+AM435+AQ435+AU435+AY435+BC435</f>
        <v>0</v>
      </c>
      <c r="BG435" s="34">
        <f t="shared" si="1355"/>
        <v>0</v>
      </c>
      <c r="BH435" s="35">
        <f t="shared" si="1347"/>
        <v>1200</v>
      </c>
    </row>
    <row r="436" ht="14.25" customHeight="1" spans="1:60" x14ac:dyDescent="0.25">
      <c r="A436" s="29">
        <v>57</v>
      </c>
      <c r="B436" s="14"/>
      <c r="C436" s="15" t="s">
        <v>426</v>
      </c>
      <c r="D436" s="14" t="s">
        <v>50</v>
      </c>
      <c r="E436" s="2" t="s">
        <v>49</v>
      </c>
      <c r="F436" s="41">
        <v>1200</v>
      </c>
      <c r="G436" s="28"/>
      <c r="H436" s="34">
        <f>'2018'!BH436</f>
        <v>3990.02</v>
      </c>
      <c r="I436" s="13"/>
      <c r="J436" s="15"/>
      <c r="K436" s="15"/>
      <c r="L436" s="28"/>
      <c r="Q436" s="13"/>
      <c r="R436" s="15"/>
      <c r="S436" s="15"/>
      <c r="T436" s="28"/>
      <c r="Y436" s="13"/>
      <c r="Z436" s="15"/>
      <c r="AA436" s="15"/>
      <c r="AB436" s="28"/>
      <c r="AE436" s="34">
        <f>B433*$F$12</f>
        <v>4800</v>
      </c>
      <c r="AF436" s="133">
        <v>1000</v>
      </c>
      <c r="AG436" s="13"/>
      <c r="AH436" s="15"/>
      <c r="AI436" s="15"/>
      <c r="AJ436" s="28"/>
      <c r="AK436" s="13"/>
      <c r="AL436" s="15"/>
      <c r="AM436" s="15"/>
      <c r="AN436" s="35"/>
      <c r="AO436" s="13"/>
      <c r="AP436" s="15"/>
      <c r="AQ436" s="15"/>
      <c r="AR436" s="28"/>
      <c r="AS436" s="15"/>
      <c r="AT436" s="15"/>
      <c r="AU436" s="15"/>
      <c r="AV436" s="15"/>
      <c r="AW436" s="13"/>
      <c r="AX436" s="15"/>
      <c r="AY436" s="15"/>
      <c r="AZ436" s="28"/>
      <c r="BA436" s="15"/>
      <c r="BB436" s="15"/>
      <c r="BC436" s="15"/>
      <c r="BD436" s="15"/>
      <c r="BE436" s="14"/>
      <c r="BF436" s="41">
        <f t="shared" ref="BF436:BG436" si="1356">K436+O436+S436+W436+AA436+AE436+AI436+AM436+AQ436+AU436+AY436+BC436</f>
        <v>4800</v>
      </c>
      <c r="BG436" s="34">
        <f t="shared" si="1356"/>
        <v>1000</v>
      </c>
      <c r="BH436" s="35">
        <f t="shared" si="1347"/>
        <v>7790.02</v>
      </c>
    </row>
    <row r="437" ht="14.25" customHeight="1" spans="1:60" x14ac:dyDescent="0.25">
      <c r="A437" s="29">
        <v>57</v>
      </c>
      <c r="B437" s="14"/>
      <c r="C437" s="15" t="s">
        <v>222</v>
      </c>
      <c r="D437" s="14" t="s">
        <v>51</v>
      </c>
      <c r="E437" s="2" t="s">
        <v>49</v>
      </c>
      <c r="F437" s="41">
        <v>1000</v>
      </c>
      <c r="G437" s="28"/>
      <c r="H437" s="34">
        <f>'2018'!BH437</f>
        <v>0</v>
      </c>
      <c r="I437" s="13"/>
      <c r="J437" s="15"/>
      <c r="K437" s="15"/>
      <c r="L437" s="28"/>
      <c r="Q437" s="13"/>
      <c r="R437" s="15"/>
      <c r="S437" s="15"/>
      <c r="T437" s="28"/>
      <c r="Y437" s="13"/>
      <c r="Z437" s="15"/>
      <c r="AA437" s="15"/>
      <c r="AB437" s="28"/>
      <c r="AE437" s="34">
        <f>$F$21</f>
        <v>1000</v>
      </c>
      <c r="AG437" s="13"/>
      <c r="AH437" s="15"/>
      <c r="AI437" s="15"/>
      <c r="AJ437" s="28"/>
      <c r="AK437" s="13"/>
      <c r="AL437" s="15"/>
      <c r="AM437" s="15"/>
      <c r="AN437" s="35"/>
      <c r="AO437" s="13"/>
      <c r="AP437" s="15"/>
      <c r="AQ437" s="15"/>
      <c r="AR437" s="28"/>
      <c r="AS437" s="15"/>
      <c r="AT437" s="15"/>
      <c r="AU437" s="15"/>
      <c r="AV437" s="15"/>
      <c r="AW437" s="13"/>
      <c r="AX437" s="15"/>
      <c r="AY437" s="15"/>
      <c r="AZ437" s="28"/>
      <c r="BA437" s="15"/>
      <c r="BB437" s="15"/>
      <c r="BC437" s="15"/>
      <c r="BD437" s="15"/>
      <c r="BE437" s="14"/>
      <c r="BF437" s="41">
        <f t="shared" ref="BF437:BG437" si="1357">K437+O437+S437+W437+AA437+AE437+AI437+AM437+AQ437+AU437+AY437+BC437</f>
        <v>1000</v>
      </c>
      <c r="BG437" s="34">
        <f t="shared" si="1357"/>
        <v>0</v>
      </c>
      <c r="BH437" s="35">
        <f t="shared" si="1347"/>
        <v>1000</v>
      </c>
    </row>
    <row r="438" ht="14.25" customHeight="1" spans="1:60" x14ac:dyDescent="0.25">
      <c r="A438" s="29">
        <v>57</v>
      </c>
      <c r="B438" s="14"/>
      <c r="D438" s="14" t="s">
        <v>52</v>
      </c>
      <c r="E438" s="2" t="s">
        <v>39</v>
      </c>
      <c r="F438" s="41">
        <v>500</v>
      </c>
      <c r="G438" s="28"/>
      <c r="H438" s="34">
        <f>'2018'!BH438</f>
        <v>350</v>
      </c>
      <c r="I438" s="13"/>
      <c r="J438" s="15"/>
      <c r="K438" s="15"/>
      <c r="L438" s="28"/>
      <c r="Q438" s="13"/>
      <c r="R438" s="15"/>
      <c r="S438" s="15"/>
      <c r="T438" s="28"/>
      <c r="Y438" s="13"/>
      <c r="Z438" s="15"/>
      <c r="AA438" s="34">
        <f>$F$14</f>
        <v>500</v>
      </c>
      <c r="AB438" s="28"/>
      <c r="AG438" s="13"/>
      <c r="AH438" s="15"/>
      <c r="AI438" s="15"/>
      <c r="AJ438" s="28"/>
      <c r="AK438" s="13"/>
      <c r="AL438" s="15"/>
      <c r="AM438" s="15"/>
      <c r="AN438" s="28"/>
      <c r="AO438" s="13"/>
      <c r="AP438" s="15"/>
      <c r="AQ438" s="15"/>
      <c r="AR438" s="28"/>
      <c r="AS438" s="15"/>
      <c r="AT438" s="15"/>
      <c r="AU438" s="15"/>
      <c r="AV438" s="15"/>
      <c r="AW438" s="13"/>
      <c r="AX438" s="15"/>
      <c r="AY438" s="15"/>
      <c r="AZ438" s="28"/>
      <c r="BA438" s="15"/>
      <c r="BB438" s="15"/>
      <c r="BC438" s="15"/>
      <c r="BD438" s="15"/>
      <c r="BE438" s="14"/>
      <c r="BF438" s="41">
        <f t="shared" ref="BF438:BG438" si="1358">K438+O438+S438+W438+AA438+AE438+AI438+AM438+AQ438+AU438+AY438+BC438</f>
        <v>500</v>
      </c>
      <c r="BG438" s="34">
        <f t="shared" si="1358"/>
        <v>0</v>
      </c>
      <c r="BH438" s="35">
        <f t="shared" si="1347"/>
        <v>850</v>
      </c>
    </row>
    <row r="439" ht="14.25" customHeight="1" spans="1:62" x14ac:dyDescent="0.25">
      <c r="A439" s="50">
        <v>57</v>
      </c>
      <c r="B439" s="21"/>
      <c r="C439" s="22" t="s">
        <v>53</v>
      </c>
      <c r="D439" s="21"/>
      <c r="E439" s="22"/>
      <c r="F439" s="20"/>
      <c r="G439" s="23"/>
      <c r="H439" s="51">
        <f>SUM(H432:H438)</f>
        <v>5545</v>
      </c>
      <c r="I439" s="52"/>
      <c r="J439" s="53"/>
      <c r="K439" s="51">
        <f t="shared" ref="K439:L439" si="1359">SUM(K432:K438)</f>
        <v>0</v>
      </c>
      <c r="L439" s="68">
        <f t="shared" si="1359"/>
        <v>0</v>
      </c>
      <c r="M439" s="53"/>
      <c r="N439" s="53"/>
      <c r="O439" s="51">
        <f t="shared" ref="O439:P439" si="1360">SUM(O433:O438)</f>
        <v>0</v>
      </c>
      <c r="P439" s="51">
        <f t="shared" si="1360"/>
        <v>0</v>
      </c>
      <c r="Q439" s="52"/>
      <c r="R439" s="53"/>
      <c r="S439" s="51">
        <f t="shared" ref="S439:T439" si="1361">SUM(S433:S438)</f>
        <v>0</v>
      </c>
      <c r="T439" s="68">
        <f t="shared" si="1361"/>
        <v>0</v>
      </c>
      <c r="U439" s="53"/>
      <c r="V439" s="53"/>
      <c r="W439" s="51">
        <f t="shared" ref="W439:X439" si="1362">SUM(W433:W438)</f>
        <v>0</v>
      </c>
      <c r="X439" s="51">
        <f t="shared" si="1362"/>
        <v>0</v>
      </c>
      <c r="Y439" s="52"/>
      <c r="Z439" s="53"/>
      <c r="AA439" s="51">
        <f t="shared" ref="AA439:AB439" si="1363">SUM(AA433:AA438)</f>
        <v>500</v>
      </c>
      <c r="AB439" s="68">
        <f t="shared" si="1363"/>
        <v>0</v>
      </c>
      <c r="AC439" s="53"/>
      <c r="AD439" s="53"/>
      <c r="AE439" s="51">
        <f t="shared" ref="AE439:AF439" si="1364">SUM(AE433:AE438)</f>
        <v>5800</v>
      </c>
      <c r="AF439" s="51">
        <f t="shared" si="1364"/>
        <v>1000</v>
      </c>
      <c r="AG439" s="52"/>
      <c r="AH439" s="53"/>
      <c r="AI439" s="51">
        <f t="shared" ref="AI439:AJ439" si="1365">SUM(AI433:AI438)</f>
        <v>0</v>
      </c>
      <c r="AJ439" s="68">
        <f t="shared" si="1365"/>
        <v>0</v>
      </c>
      <c r="AK439" s="52"/>
      <c r="AL439" s="53"/>
      <c r="AM439" s="51">
        <f t="shared" ref="AM439:AN439" si="1366">SUM(AM433:AM438)</f>
        <v>0</v>
      </c>
      <c r="AN439" s="68">
        <f t="shared" si="1366"/>
        <v>0</v>
      </c>
      <c r="AO439" s="52"/>
      <c r="AP439" s="53"/>
      <c r="AQ439" s="51">
        <f t="shared" ref="AQ439:AR439" si="1367">SUM(AQ432:AQ438)</f>
        <v>26.37</v>
      </c>
      <c r="AR439" s="68">
        <f t="shared" si="1367"/>
        <v>0</v>
      </c>
      <c r="AS439" s="53"/>
      <c r="AT439" s="53"/>
      <c r="AU439" s="51">
        <f t="shared" ref="AU439:AV439" si="1368">SUM(AU432:AU438)</f>
        <v>27.25</v>
      </c>
      <c r="AV439" s="68">
        <f t="shared" si="1368"/>
        <v>0</v>
      </c>
      <c r="AW439" s="52"/>
      <c r="AX439" s="53"/>
      <c r="AY439" s="51">
        <f t="shared" ref="AY439:AZ439" si="1369">SUM(AY432:AY438)</f>
        <v>26.37</v>
      </c>
      <c r="AZ439" s="68">
        <f t="shared" si="1369"/>
        <v>0</v>
      </c>
      <c r="BA439" s="53"/>
      <c r="BB439" s="53"/>
      <c r="BC439" s="51">
        <f t="shared" ref="BC439:BD439" si="1370">SUM(BC432:BC438)</f>
        <v>27.25</v>
      </c>
      <c r="BD439" s="68">
        <f t="shared" si="1370"/>
        <v>0</v>
      </c>
      <c r="BE439" s="69"/>
      <c r="BF439" s="70">
        <f t="shared" ref="BF439:BH439" si="1371">SUM(BF432:BF438)</f>
        <v>6407.24</v>
      </c>
      <c r="BG439" s="71">
        <f t="shared" si="1371"/>
        <v>1000</v>
      </c>
      <c r="BH439" s="72">
        <f t="shared" si="1371"/>
        <v>10952.24</v>
      </c>
      <c r="BI439" s="34">
        <f>H439+BF439-BG439</f>
        <v>10952.24</v>
      </c>
      <c r="BJ439" s="34">
        <f>BH439-BI439</f>
        <v>0</v>
      </c>
    </row>
    <row r="440" ht="14.25" customHeight="1" spans="1:60" x14ac:dyDescent="0.25">
      <c r="A440" s="29">
        <v>59</v>
      </c>
      <c r="B440" s="14"/>
      <c r="D440" s="99" t="s">
        <v>132</v>
      </c>
      <c r="F440" s="13"/>
      <c r="G440" s="28"/>
      <c r="H440" s="34">
        <f>'2018'!BH440</f>
        <v>550</v>
      </c>
      <c r="I440" s="13"/>
      <c r="J440" s="15"/>
      <c r="K440" s="15"/>
      <c r="L440" s="28"/>
      <c r="Q440" s="13"/>
      <c r="R440" s="15"/>
      <c r="S440" s="15"/>
      <c r="T440" s="28"/>
      <c r="Y440" s="13"/>
      <c r="Z440" s="15"/>
      <c r="AA440" s="15"/>
      <c r="AB440" s="28"/>
      <c r="AG440" s="13"/>
      <c r="AH440" s="15"/>
      <c r="AI440" s="15"/>
      <c r="AJ440" s="28"/>
      <c r="AK440" s="13"/>
      <c r="AL440" s="15"/>
      <c r="AM440" s="15"/>
      <c r="AN440" s="28"/>
      <c r="AO440" s="13"/>
      <c r="AP440" s="15"/>
      <c r="AQ440" s="15">
        <v>101.55</v>
      </c>
      <c r="AR440" s="28"/>
      <c r="AU440" s="2">
        <v>104.94</v>
      </c>
      <c r="AW440" s="13"/>
      <c r="AX440" s="15"/>
      <c r="AY440" s="15">
        <v>101.55</v>
      </c>
      <c r="AZ440" s="28"/>
      <c r="BC440" s="2">
        <v>104.94</v>
      </c>
      <c r="BE440" s="14"/>
      <c r="BF440" s="41">
        <f t="shared" ref="BF440:BG440" si="1372">K440+O440+S440+W440+AA440+AE440+AI440+AM440+AQ440+AU440+AY440+BC440</f>
        <v>412.98</v>
      </c>
      <c r="BG440" s="34">
        <f t="shared" si="1372"/>
        <v>0</v>
      </c>
      <c r="BH440" s="35">
        <f t="shared" ref="BH440:BH446" si="1373">H440+BF440-BG440</f>
        <v>962.98</v>
      </c>
    </row>
    <row r="441" ht="14.25" customHeight="1" spans="1:60" x14ac:dyDescent="0.25">
      <c r="A441" s="2">
        <v>59</v>
      </c>
      <c r="B441" s="30">
        <v>4</v>
      </c>
      <c r="C441" s="2" t="s">
        <v>221</v>
      </c>
      <c r="D441" s="14" t="s">
        <v>44</v>
      </c>
      <c r="E441" s="2" t="s">
        <v>45</v>
      </c>
      <c r="F441" s="13">
        <v>2.49</v>
      </c>
      <c r="G441" s="35">
        <v>2.5</v>
      </c>
      <c r="H441" s="104">
        <f>'2018'!BH441</f>
        <v>0</v>
      </c>
      <c r="I441" s="13"/>
      <c r="J441" s="15"/>
      <c r="K441" s="34">
        <f>J441*$F$8</f>
        <v>0</v>
      </c>
      <c r="L441" s="28"/>
      <c r="N441" s="15">
        <f>M441-I441</f>
        <v>0</v>
      </c>
      <c r="O441" s="34">
        <f>N441*$F$8</f>
        <v>0</v>
      </c>
      <c r="Q441" s="13"/>
      <c r="R441" s="15">
        <f>Q441-M441</f>
        <v>0</v>
      </c>
      <c r="S441" s="34">
        <f>R441*$F$8</f>
        <v>0</v>
      </c>
      <c r="T441" s="28"/>
      <c r="V441" s="15">
        <f>U441-Q441</f>
        <v>0</v>
      </c>
      <c r="W441" s="34">
        <f>V441*$F$8</f>
        <v>0</v>
      </c>
      <c r="Y441" s="13"/>
      <c r="Z441" s="15">
        <f>Y441-U441</f>
        <v>0</v>
      </c>
      <c r="AA441" s="34">
        <f>Z441*$F$8</f>
        <v>0</v>
      </c>
      <c r="AB441" s="28"/>
      <c r="AC441" s="15"/>
      <c r="AD441" s="15">
        <f>AC441-Y441</f>
        <v>0</v>
      </c>
      <c r="AE441" s="34">
        <f>AD441*$G$8</f>
        <v>0</v>
      </c>
      <c r="AG441" s="13"/>
      <c r="AH441" s="15">
        <f>AG441-AC441</f>
        <v>0</v>
      </c>
      <c r="AI441" s="34">
        <f>AH441*$G$8</f>
        <v>0</v>
      </c>
      <c r="AJ441" s="28"/>
      <c r="AK441" s="13"/>
      <c r="AL441" s="15">
        <f>AK441-AG441</f>
        <v>0</v>
      </c>
      <c r="AM441" s="34">
        <f>AL441*$G$8</f>
        <v>0</v>
      </c>
      <c r="AN441" s="28"/>
      <c r="AO441" s="13"/>
      <c r="AP441" s="15">
        <f>AO441-AK441</f>
        <v>0</v>
      </c>
      <c r="AQ441" s="34">
        <f>AP441*$G$8</f>
        <v>0</v>
      </c>
      <c r="AR441" s="28"/>
      <c r="AS441" s="15"/>
      <c r="AT441" s="15">
        <f>AS441-AO441</f>
        <v>0</v>
      </c>
      <c r="AU441" s="34">
        <f>AT441*$G$8</f>
        <v>0</v>
      </c>
      <c r="AV441" s="15"/>
      <c r="AW441" s="13"/>
      <c r="AX441" s="15">
        <f>AW441-AS441</f>
        <v>0</v>
      </c>
      <c r="AY441" s="34">
        <f>AX441*$G$8</f>
        <v>0</v>
      </c>
      <c r="AZ441" s="28"/>
      <c r="BA441" s="15"/>
      <c r="BB441" s="15">
        <f>BA441-AW441</f>
        <v>0</v>
      </c>
      <c r="BC441" s="34">
        <f>BB441*$G$8</f>
        <v>0</v>
      </c>
      <c r="BD441" s="15"/>
      <c r="BE441" s="40">
        <f t="shared" ref="BE441:BG441" si="1374">J441+N441+R441+V441+Z441+AD441+AH441+AL441+AP441+AT441+AX441+BB441</f>
        <v>0</v>
      </c>
      <c r="BF441" s="41">
        <f t="shared" si="1374"/>
        <v>0</v>
      </c>
      <c r="BG441" s="34">
        <f t="shared" si="1374"/>
        <v>0</v>
      </c>
      <c r="BH441" s="35">
        <f t="shared" si="1373"/>
        <v>0</v>
      </c>
    </row>
    <row r="442" ht="14.25" customHeight="1" spans="1:60" x14ac:dyDescent="0.25">
      <c r="A442" s="29">
        <v>59</v>
      </c>
      <c r="B442" s="14"/>
      <c r="C442" s="73"/>
      <c r="D442" s="14" t="s">
        <v>47</v>
      </c>
      <c r="E442" s="2" t="s">
        <v>48</v>
      </c>
      <c r="F442" s="13">
        <v>17.98</v>
      </c>
      <c r="G442" s="28">
        <v>18.56</v>
      </c>
      <c r="H442" s="34">
        <f>'2018'!BH442</f>
        <v>0</v>
      </c>
      <c r="I442" s="13"/>
      <c r="J442" s="15"/>
      <c r="K442" s="15"/>
      <c r="L442" s="28"/>
      <c r="Q442" s="13"/>
      <c r="R442" s="15"/>
      <c r="S442" s="15"/>
      <c r="T442" s="28"/>
      <c r="Y442" s="13"/>
      <c r="Z442" s="15"/>
      <c r="AA442" s="15"/>
      <c r="AB442" s="28"/>
      <c r="AC442" s="15"/>
      <c r="AE442" s="34">
        <f>AD442*$F$10</f>
        <v>0</v>
      </c>
      <c r="AG442" s="13"/>
      <c r="AH442" s="15"/>
      <c r="AI442" s="45">
        <f>AH442*$G$10</f>
        <v>0</v>
      </c>
      <c r="AJ442" s="28"/>
      <c r="AK442" s="13"/>
      <c r="AL442" s="15"/>
      <c r="AM442" s="45">
        <f>AL442*$G$10</f>
        <v>0</v>
      </c>
      <c r="AN442" s="28"/>
      <c r="AO442" s="13"/>
      <c r="AP442" s="15"/>
      <c r="AQ442" s="45">
        <f>AP442*$G$10</f>
        <v>0</v>
      </c>
      <c r="AR442" s="28"/>
      <c r="AS442" s="15"/>
      <c r="AT442" s="15"/>
      <c r="AU442" s="45">
        <f>AT442*$G$10</f>
        <v>0</v>
      </c>
      <c r="AV442" s="15"/>
      <c r="AW442" s="13"/>
      <c r="AX442" s="15"/>
      <c r="AY442" s="15"/>
      <c r="AZ442" s="28"/>
      <c r="BA442" s="15"/>
      <c r="BB442" s="15"/>
      <c r="BC442" s="15"/>
      <c r="BD442" s="15"/>
      <c r="BE442" s="40">
        <f t="shared" ref="BE442:BG442" si="1375">J442+N442+R442+V442+Z442+AD442+AH442+AL442+AP442+AT442+AX442+BB442</f>
        <v>0</v>
      </c>
      <c r="BF442" s="41">
        <f t="shared" si="1375"/>
        <v>0</v>
      </c>
      <c r="BG442" s="34">
        <f t="shared" si="1375"/>
        <v>0</v>
      </c>
      <c r="BH442" s="35">
        <f t="shared" si="1373"/>
        <v>0</v>
      </c>
    </row>
    <row r="443" ht="14.25" customHeight="1" spans="1:60" x14ac:dyDescent="0.25">
      <c r="A443" s="29">
        <v>59</v>
      </c>
      <c r="B443" s="14"/>
      <c r="C443" s="73"/>
      <c r="D443" s="14" t="s">
        <v>47</v>
      </c>
      <c r="E443" s="2" t="s">
        <v>49</v>
      </c>
      <c r="F443" s="41">
        <v>500</v>
      </c>
      <c r="G443" s="28"/>
      <c r="H443" s="144">
        <f>'2018'!BH443</f>
        <v>0</v>
      </c>
      <c r="I443" s="13"/>
      <c r="J443" s="15"/>
      <c r="K443" s="15"/>
      <c r="L443" s="28"/>
      <c r="Q443" s="13"/>
      <c r="R443" s="15"/>
      <c r="S443" s="15"/>
      <c r="T443" s="28"/>
      <c r="Y443" s="13"/>
      <c r="Z443" s="15"/>
      <c r="AA443" s="34"/>
      <c r="AB443" s="28"/>
      <c r="AC443" s="15"/>
      <c r="AG443" s="13"/>
      <c r="AH443" s="15"/>
      <c r="AI443" s="15"/>
      <c r="AJ443" s="28"/>
      <c r="AK443" s="13"/>
      <c r="AL443" s="15"/>
      <c r="AM443" s="34"/>
      <c r="AN443" s="28"/>
      <c r="AO443" s="13"/>
      <c r="AP443" s="15"/>
      <c r="AQ443" s="34"/>
      <c r="AR443" s="28"/>
      <c r="AS443" s="15"/>
      <c r="AT443" s="15"/>
      <c r="AU443" s="15"/>
      <c r="AV443" s="15"/>
      <c r="AW443" s="13"/>
      <c r="AX443" s="15"/>
      <c r="AY443" s="15"/>
      <c r="AZ443" s="28"/>
      <c r="BA443" s="15"/>
      <c r="BB443" s="15"/>
      <c r="BC443" s="15"/>
      <c r="BD443" s="15"/>
      <c r="BE443" s="14"/>
      <c r="BF443" s="41">
        <f t="shared" ref="BF443:BG443" si="1376">K443+O443+S443+W443+AA443+AE443+AI443+AM443+AQ443+AU443+AY443+BC443</f>
        <v>0</v>
      </c>
      <c r="BG443" s="34">
        <f t="shared" si="1376"/>
        <v>0</v>
      </c>
      <c r="BH443" s="35">
        <f t="shared" si="1373"/>
        <v>0</v>
      </c>
    </row>
    <row r="444" ht="14.25" customHeight="1" spans="1:60" x14ac:dyDescent="0.25">
      <c r="A444" s="29">
        <v>59</v>
      </c>
      <c r="B444" s="14"/>
      <c r="C444" s="73" t="s">
        <v>222</v>
      </c>
      <c r="D444" s="14" t="s">
        <v>50</v>
      </c>
      <c r="E444" s="2" t="s">
        <v>49</v>
      </c>
      <c r="F444" s="41">
        <v>1200</v>
      </c>
      <c r="G444" s="28"/>
      <c r="H444" s="34">
        <f>'2018'!BH444</f>
        <v>13051.52</v>
      </c>
      <c r="I444" s="13"/>
      <c r="J444" s="15"/>
      <c r="K444" s="15"/>
      <c r="L444" s="28"/>
      <c r="Q444" s="13"/>
      <c r="R444" s="15"/>
      <c r="S444" s="15"/>
      <c r="T444" s="28"/>
      <c r="Y444" s="13"/>
      <c r="Z444" s="15"/>
      <c r="AA444" s="15"/>
      <c r="AB444" s="28"/>
      <c r="AE444" s="34">
        <f>B441*$F$12</f>
        <v>4800</v>
      </c>
      <c r="AG444" s="13"/>
      <c r="AH444" s="15"/>
      <c r="AI444" s="15"/>
      <c r="AJ444" s="28"/>
      <c r="AK444" s="13"/>
      <c r="AL444" s="15"/>
      <c r="AM444" s="15"/>
      <c r="AN444" s="28"/>
      <c r="AO444" s="13"/>
      <c r="AP444" s="15"/>
      <c r="AQ444" s="15"/>
      <c r="AR444" s="28"/>
      <c r="AS444" s="15"/>
      <c r="AT444" s="15"/>
      <c r="AU444" s="15"/>
      <c r="AV444" s="15"/>
      <c r="AW444" s="13"/>
      <c r="AX444" s="15"/>
      <c r="AY444" s="15"/>
      <c r="AZ444" s="28"/>
      <c r="BA444" s="15"/>
      <c r="BB444" s="15"/>
      <c r="BC444" s="15"/>
      <c r="BD444" s="15"/>
      <c r="BE444" s="14"/>
      <c r="BF444" s="41">
        <f t="shared" ref="BF444:BG444" si="1377">K444+O444+S444+W444+AA444+AE444+AI444+AM444+AQ444+AU444+AY444+BC444</f>
        <v>4800</v>
      </c>
      <c r="BG444" s="34">
        <f t="shared" si="1377"/>
        <v>0</v>
      </c>
      <c r="BH444" s="35">
        <f t="shared" si="1373"/>
        <v>17851.52</v>
      </c>
    </row>
    <row r="445" ht="14.25" customHeight="1" spans="1:60" x14ac:dyDescent="0.25">
      <c r="A445" s="29">
        <v>59</v>
      </c>
      <c r="B445" s="14"/>
      <c r="C445" s="73" t="s">
        <v>427</v>
      </c>
      <c r="D445" s="14" t="s">
        <v>51</v>
      </c>
      <c r="E445" s="2" t="s">
        <v>49</v>
      </c>
      <c r="F445" s="41">
        <v>1000</v>
      </c>
      <c r="G445" s="28"/>
      <c r="H445" s="34">
        <f>'2018'!BH445</f>
        <v>15000</v>
      </c>
      <c r="I445" s="13"/>
      <c r="J445" s="15"/>
      <c r="K445" s="15"/>
      <c r="L445" s="28"/>
      <c r="Q445" s="13"/>
      <c r="R445" s="15"/>
      <c r="S445" s="15"/>
      <c r="T445" s="28"/>
      <c r="Y445" s="13"/>
      <c r="Z445" s="15"/>
      <c r="AA445" s="15"/>
      <c r="AB445" s="28"/>
      <c r="AE445" s="34">
        <f>$F$21</f>
        <v>1000</v>
      </c>
      <c r="AG445" s="13"/>
      <c r="AH445" s="15"/>
      <c r="AI445" s="15"/>
      <c r="AJ445" s="28"/>
      <c r="AK445" s="13"/>
      <c r="AL445" s="15"/>
      <c r="AM445" s="15"/>
      <c r="AN445" s="28"/>
      <c r="AO445" s="13"/>
      <c r="AP445" s="15"/>
      <c r="AQ445" s="15"/>
      <c r="AR445" s="28"/>
      <c r="AS445" s="15"/>
      <c r="AT445" s="15"/>
      <c r="AU445" s="15"/>
      <c r="AV445" s="15"/>
      <c r="AW445" s="13"/>
      <c r="AX445" s="15"/>
      <c r="AY445" s="15"/>
      <c r="AZ445" s="28"/>
      <c r="BA445" s="15"/>
      <c r="BB445" s="15"/>
      <c r="BC445" s="15"/>
      <c r="BD445" s="15"/>
      <c r="BE445" s="14"/>
      <c r="BF445" s="41">
        <f t="shared" ref="BF445:BG445" si="1378">K445+O445+S445+W445+AA445+AE445+AI445+AM445+AQ445+AU445+AY445+BC445</f>
        <v>1000</v>
      </c>
      <c r="BG445" s="34">
        <f t="shared" si="1378"/>
        <v>0</v>
      </c>
      <c r="BH445" s="35">
        <f t="shared" si="1373"/>
        <v>16000</v>
      </c>
    </row>
    <row r="446" ht="14.25" customHeight="1" spans="1:60" x14ac:dyDescent="0.25">
      <c r="A446" s="29">
        <v>59</v>
      </c>
      <c r="B446" s="14"/>
      <c r="D446" s="14" t="s">
        <v>52</v>
      </c>
      <c r="E446" s="2" t="s">
        <v>39</v>
      </c>
      <c r="F446" s="41">
        <v>500</v>
      </c>
      <c r="G446" s="28"/>
      <c r="H446" s="34">
        <f>'2018'!BH446</f>
        <v>1200</v>
      </c>
      <c r="I446" s="13"/>
      <c r="J446" s="15"/>
      <c r="K446" s="15"/>
      <c r="L446" s="28"/>
      <c r="Q446" s="13"/>
      <c r="R446" s="15"/>
      <c r="S446" s="15"/>
      <c r="T446" s="28"/>
      <c r="Y446" s="13"/>
      <c r="Z446" s="15"/>
      <c r="AA446" s="34">
        <f>$F$14</f>
        <v>500</v>
      </c>
      <c r="AB446" s="28"/>
      <c r="AG446" s="13"/>
      <c r="AH446" s="15"/>
      <c r="AI446" s="15"/>
      <c r="AJ446" s="28"/>
      <c r="AK446" s="13"/>
      <c r="AL446" s="15"/>
      <c r="AM446" s="15"/>
      <c r="AN446" s="28"/>
      <c r="AO446" s="13"/>
      <c r="AP446" s="15"/>
      <c r="AQ446" s="15"/>
      <c r="AR446" s="28"/>
      <c r="AS446" s="15"/>
      <c r="AT446" s="15"/>
      <c r="AU446" s="15"/>
      <c r="AV446" s="15"/>
      <c r="AW446" s="13"/>
      <c r="AX446" s="15"/>
      <c r="AY446" s="15"/>
      <c r="AZ446" s="28"/>
      <c r="BA446" s="15"/>
      <c r="BB446" s="15"/>
      <c r="BC446" s="15"/>
      <c r="BD446" s="15"/>
      <c r="BE446" s="14"/>
      <c r="BF446" s="41">
        <f t="shared" ref="BF446:BG446" si="1379">K446+O446+S446+W446+AA446+AE446+AI446+AM446+AQ446+AU446+AY446+BC446</f>
        <v>500</v>
      </c>
      <c r="BG446" s="34">
        <f t="shared" si="1379"/>
        <v>0</v>
      </c>
      <c r="BH446" s="35">
        <f t="shared" si="1373"/>
        <v>1700</v>
      </c>
    </row>
    <row r="447" ht="14.25" customHeight="1" spans="1:62" x14ac:dyDescent="0.25">
      <c r="A447" s="50">
        <v>59</v>
      </c>
      <c r="B447" s="21"/>
      <c r="C447" s="22" t="s">
        <v>53</v>
      </c>
      <c r="D447" s="21"/>
      <c r="E447" s="22"/>
      <c r="F447" s="20"/>
      <c r="G447" s="23"/>
      <c r="H447" s="51">
        <f>SUM(H440:H446)</f>
        <v>29801.52</v>
      </c>
      <c r="I447" s="52"/>
      <c r="J447" s="53"/>
      <c r="K447" s="51">
        <f t="shared" ref="K447:L447" si="1380">SUM(K440:K446)</f>
        <v>0</v>
      </c>
      <c r="L447" s="68">
        <f t="shared" si="1380"/>
        <v>0</v>
      </c>
      <c r="M447" s="53"/>
      <c r="N447" s="53"/>
      <c r="O447" s="51">
        <f t="shared" ref="O447:P447" si="1381">SUM(O441:O446)</f>
        <v>0</v>
      </c>
      <c r="P447" s="51">
        <f t="shared" si="1381"/>
        <v>0</v>
      </c>
      <c r="Q447" s="52"/>
      <c r="R447" s="53"/>
      <c r="S447" s="51">
        <f t="shared" ref="S447:T447" si="1382">SUM(S441:S446)</f>
        <v>0</v>
      </c>
      <c r="T447" s="68">
        <f t="shared" si="1382"/>
        <v>0</v>
      </c>
      <c r="U447" s="53"/>
      <c r="V447" s="53"/>
      <c r="W447" s="51">
        <f t="shared" ref="W447:X447" si="1383">SUM(W441:W446)</f>
        <v>0</v>
      </c>
      <c r="X447" s="51">
        <f t="shared" si="1383"/>
        <v>0</v>
      </c>
      <c r="Y447" s="52"/>
      <c r="Z447" s="53"/>
      <c r="AA447" s="51">
        <f t="shared" ref="AA447:AB447" si="1384">SUM(AA441:AA446)</f>
        <v>500</v>
      </c>
      <c r="AB447" s="68">
        <f t="shared" si="1384"/>
        <v>0</v>
      </c>
      <c r="AC447" s="53"/>
      <c r="AD447" s="53"/>
      <c r="AE447" s="51">
        <f t="shared" ref="AE447:AF447" si="1385">SUM(AE441:AE446)</f>
        <v>5800</v>
      </c>
      <c r="AF447" s="51">
        <f t="shared" si="1385"/>
        <v>0</v>
      </c>
      <c r="AG447" s="52"/>
      <c r="AH447" s="53"/>
      <c r="AI447" s="51">
        <f t="shared" ref="AI447:AJ447" si="1386">SUM(AI441:AI446)</f>
        <v>0</v>
      </c>
      <c r="AJ447" s="68">
        <f t="shared" si="1386"/>
        <v>0</v>
      </c>
      <c r="AK447" s="52"/>
      <c r="AL447" s="53"/>
      <c r="AM447" s="51">
        <f t="shared" ref="AM447:AN447" si="1387">SUM(AM441:AM446)</f>
        <v>0</v>
      </c>
      <c r="AN447" s="68">
        <f t="shared" si="1387"/>
        <v>0</v>
      </c>
      <c r="AO447" s="52"/>
      <c r="AP447" s="53"/>
      <c r="AQ447" s="51">
        <f t="shared" ref="AQ447:AR447" si="1388">SUM(AQ440:AQ446)</f>
        <v>101.55</v>
      </c>
      <c r="AR447" s="68">
        <f t="shared" si="1388"/>
        <v>0</v>
      </c>
      <c r="AS447" s="53"/>
      <c r="AT447" s="53"/>
      <c r="AU447" s="51">
        <f t="shared" ref="AU447:AV447" si="1389">SUM(AU440:AU446)</f>
        <v>104.94</v>
      </c>
      <c r="AV447" s="68">
        <f t="shared" si="1389"/>
        <v>0</v>
      </c>
      <c r="AW447" s="52"/>
      <c r="AX447" s="53"/>
      <c r="AY447" s="51">
        <f t="shared" ref="AY447:AZ447" si="1390">SUM(AY440:AY446)</f>
        <v>101.55</v>
      </c>
      <c r="AZ447" s="68">
        <f t="shared" si="1390"/>
        <v>0</v>
      </c>
      <c r="BA447" s="53"/>
      <c r="BB447" s="53"/>
      <c r="BC447" s="51">
        <f t="shared" ref="BC447:BD447" si="1391">SUM(BC440:BC446)</f>
        <v>104.94</v>
      </c>
      <c r="BD447" s="68">
        <f t="shared" si="1391"/>
        <v>0</v>
      </c>
      <c r="BE447" s="69"/>
      <c r="BF447" s="70">
        <f t="shared" ref="BF447:BH447" si="1392">SUM(BF440:BF446)</f>
        <v>6712.98</v>
      </c>
      <c r="BG447" s="71">
        <f t="shared" si="1392"/>
        <v>0</v>
      </c>
      <c r="BH447" s="72">
        <f t="shared" si="1392"/>
        <v>36514.5</v>
      </c>
      <c r="BI447" s="34">
        <f>H447+BF447-BG447</f>
        <v>36514.5</v>
      </c>
      <c r="BJ447" s="34">
        <f>BH447-BI447</f>
        <v>0</v>
      </c>
    </row>
    <row r="448" ht="14.25" customHeight="1" spans="1:60" x14ac:dyDescent="0.25">
      <c r="A448" s="29">
        <v>58</v>
      </c>
      <c r="B448" s="14"/>
      <c r="D448" s="14" t="s">
        <v>379</v>
      </c>
      <c r="F448" s="13"/>
      <c r="G448" s="28"/>
      <c r="H448" s="34">
        <f>'2018'!BH448</f>
      </c>
      <c r="I448" s="13"/>
      <c r="J448" s="15"/>
      <c r="K448" s="15"/>
      <c r="L448" s="28"/>
      <c r="Q448" s="13"/>
      <c r="R448" s="15"/>
      <c r="S448" s="15"/>
      <c r="T448" s="28"/>
      <c r="Y448" s="13"/>
      <c r="Z448" s="15"/>
      <c r="AA448" s="15"/>
      <c r="AB448" s="28"/>
      <c r="AG448" s="13"/>
      <c r="AH448" s="15"/>
      <c r="AI448" s="15"/>
      <c r="AJ448" s="28"/>
      <c r="AK448" s="13"/>
      <c r="AL448" s="15"/>
      <c r="AM448" s="15"/>
      <c r="AN448" s="28"/>
      <c r="AO448" s="13"/>
      <c r="AP448" s="15"/>
      <c r="AQ448" s="15"/>
      <c r="AR448" s="28"/>
      <c r="AW448" s="13"/>
      <c r="AX448" s="15"/>
      <c r="AY448" s="15"/>
      <c r="AZ448" s="28"/>
      <c r="BE448" s="14"/>
      <c r="BF448" s="41">
        <f t="shared" ref="BF448:BG448" si="1393">K448+O448+S448+W448+AA448+AE448+AI448+AM448+AQ448+AU448+AY448+BC448</f>
        <v>0</v>
      </c>
      <c r="BG448" s="34">
        <f t="shared" si="1393"/>
        <v>0</v>
      </c>
      <c r="BH448" s="35">
        <f t="shared" ref="BH448:BH454" si="1394">H448+BF448-BG448</f>
        <v>0</v>
      </c>
    </row>
    <row r="449" ht="14.25" customHeight="1" spans="1:62" x14ac:dyDescent="0.25">
      <c r="A449" s="2">
        <v>58</v>
      </c>
      <c r="B449" s="14">
        <v>5.08</v>
      </c>
      <c r="C449" s="2" t="s">
        <v>223</v>
      </c>
      <c r="D449" s="14" t="s">
        <v>44</v>
      </c>
      <c r="E449" s="2" t="s">
        <v>45</v>
      </c>
      <c r="F449" s="13">
        <v>2.49</v>
      </c>
      <c r="G449" s="35">
        <v>2.5</v>
      </c>
      <c r="H449" s="136">
        <f>'2018'!BH449+385.95</f>
        <v>-94.98</v>
      </c>
      <c r="I449" s="13">
        <v>1910</v>
      </c>
      <c r="J449" s="15">
        <f>I449-'2018'!BA449</f>
        <v>0</v>
      </c>
      <c r="K449" s="34">
        <f>J449*$F$8</f>
        <v>0</v>
      </c>
      <c r="L449" s="28"/>
      <c r="M449" s="2">
        <v>1910</v>
      </c>
      <c r="N449" s="15">
        <f>M449-I449</f>
        <v>0</v>
      </c>
      <c r="O449" s="34">
        <f>N449*$F$8</f>
        <v>0</v>
      </c>
      <c r="Q449" s="13">
        <v>1934</v>
      </c>
      <c r="R449" s="15">
        <f>Q449-M449</f>
        <v>24</v>
      </c>
      <c r="S449" s="34">
        <f>R449*$F$8</f>
        <v>59.76</v>
      </c>
      <c r="T449" s="28"/>
      <c r="U449" s="15">
        <v>1950</v>
      </c>
      <c r="V449" s="15">
        <f>U449-Q449</f>
        <v>16</v>
      </c>
      <c r="W449" s="34">
        <f>V449*$F$8</f>
        <v>39.84</v>
      </c>
      <c r="Y449" s="13">
        <v>2189</v>
      </c>
      <c r="Z449" s="15">
        <f>Y449-U449</f>
        <v>239</v>
      </c>
      <c r="AA449" s="34">
        <f>Z449*$F$8</f>
        <v>595.11</v>
      </c>
      <c r="AB449" s="28"/>
      <c r="AC449" s="15">
        <v>2343</v>
      </c>
      <c r="AD449" s="15">
        <f t="shared" ref="AD449:AD450" si="1395">AC449-Y449</f>
        <v>154</v>
      </c>
      <c r="AE449" s="34">
        <f>AD449*$G$8</f>
        <v>385</v>
      </c>
      <c r="AF449" s="146">
        <f>184.74+800</f>
        <v>984.74</v>
      </c>
      <c r="AG449" s="13">
        <v>2435</v>
      </c>
      <c r="AH449" s="15">
        <f t="shared" ref="AH449:AH450" si="1396">AG449-AC449</f>
        <v>92</v>
      </c>
      <c r="AI449" s="34">
        <f>AH449*$G$8</f>
        <v>230</v>
      </c>
      <c r="AJ449" s="134">
        <v>229.99</v>
      </c>
      <c r="AK449" s="13">
        <v>2572</v>
      </c>
      <c r="AL449" s="15">
        <f t="shared" ref="AL449:AL450" si="1397">AK449-AG449</f>
        <v>137</v>
      </c>
      <c r="AM449" s="34">
        <f>AL449*$G$8</f>
        <v>342.5</v>
      </c>
      <c r="AN449" s="134">
        <f>342.5+11.83</f>
        <v>354.33</v>
      </c>
      <c r="AO449" s="13">
        <v>2964</v>
      </c>
      <c r="AP449" s="15">
        <f t="shared" ref="AP449:AP450" si="1398">AO449-AK449</f>
        <v>392</v>
      </c>
      <c r="AQ449" s="34">
        <f>AP449*$G$8</f>
        <v>980</v>
      </c>
      <c r="AR449" s="35"/>
      <c r="AS449" s="15">
        <v>3099</v>
      </c>
      <c r="AT449" s="15">
        <f t="shared" ref="AT449:AT450" si="1399">AS449-AO449</f>
        <v>135</v>
      </c>
      <c r="AU449" s="34">
        <f>AT449*$G$8</f>
        <v>337.5</v>
      </c>
      <c r="AV449" s="39">
        <f>980+390.08</f>
        <v>1370.08</v>
      </c>
      <c r="AW449" s="13">
        <v>3104</v>
      </c>
      <c r="AX449" s="15">
        <f>AW449-AS449</f>
        <v>5</v>
      </c>
      <c r="AY449" s="34">
        <f>AX449*$G$8</f>
        <v>12.5</v>
      </c>
      <c r="AZ449" s="35"/>
      <c r="BA449" s="15">
        <v>3105</v>
      </c>
      <c r="BB449" s="15">
        <f>BA449-AW449</f>
        <v>1</v>
      </c>
      <c r="BC449" s="34">
        <f>BB449*$G$8</f>
        <v>2.5</v>
      </c>
      <c r="BD449" s="15"/>
      <c r="BE449" s="40">
        <f t="shared" ref="BE449:BG449" si="1400">J449+N449+R449+V449+Z449+AD449+AH449+AL449+AP449+AT449+AX449+BB449</f>
        <v>1195</v>
      </c>
      <c r="BF449" s="41">
        <f t="shared" si="1400"/>
        <v>2984.71</v>
      </c>
      <c r="BG449" s="34">
        <f t="shared" si="1400"/>
        <v>2939.14</v>
      </c>
      <c r="BH449" s="35">
        <f t="shared" si="1394"/>
        <v>-49.41</v>
      </c>
      <c r="BJ449" s="34"/>
    </row>
    <row r="450" ht="14.25" customHeight="1" spans="1:60" x14ac:dyDescent="0.25">
      <c r="A450" s="29">
        <v>58</v>
      </c>
      <c r="B450" s="14"/>
      <c r="C450" s="2" t="s">
        <v>71</v>
      </c>
      <c r="D450" s="14" t="s">
        <v>47</v>
      </c>
      <c r="E450" s="2" t="s">
        <v>48</v>
      </c>
      <c r="F450" s="13">
        <v>17.98</v>
      </c>
      <c r="G450" s="28">
        <v>18.56</v>
      </c>
      <c r="H450" s="34">
        <f>'2018'!BH450</f>
        <v>0</v>
      </c>
      <c r="I450" s="13">
        <v>1438</v>
      </c>
      <c r="J450" s="15"/>
      <c r="K450" s="15"/>
      <c r="L450" s="28"/>
      <c r="Q450" s="13"/>
      <c r="R450" s="15"/>
      <c r="S450" s="15"/>
      <c r="T450" s="28"/>
      <c r="Y450" s="95">
        <v>1438</v>
      </c>
      <c r="Z450" s="15">
        <f>Y450-'2018'!AO450</f>
        <v>0</v>
      </c>
      <c r="AA450" s="34">
        <f>Z450*$F$10</f>
        <v>0</v>
      </c>
      <c r="AB450" s="28"/>
      <c r="AC450" s="15">
        <v>1470</v>
      </c>
      <c r="AD450" s="15">
        <f t="shared" si="1395"/>
        <v>32</v>
      </c>
      <c r="AE450" s="34">
        <f>AD450*$F$10</f>
        <v>575.36</v>
      </c>
      <c r="AF450" s="138">
        <v>575.36</v>
      </c>
      <c r="AG450" s="13">
        <v>1485</v>
      </c>
      <c r="AH450" s="15">
        <f t="shared" si="1396"/>
        <v>15</v>
      </c>
      <c r="AI450" s="45">
        <f>AH450*$G$10</f>
        <v>278.4</v>
      </c>
      <c r="AJ450" s="134">
        <f>278.4-4.39</f>
        <v>274.01</v>
      </c>
      <c r="AK450" s="13">
        <v>1498</v>
      </c>
      <c r="AL450" s="15">
        <f t="shared" si="1397"/>
        <v>13</v>
      </c>
      <c r="AM450" s="45">
        <f>AL450*$G$10</f>
        <v>241.28</v>
      </c>
      <c r="AN450" s="139">
        <v>245.67</v>
      </c>
      <c r="AO450" s="13">
        <v>1505</v>
      </c>
      <c r="AP450" s="15">
        <f t="shared" si="1398"/>
        <v>7</v>
      </c>
      <c r="AQ450" s="45">
        <f>AP450*$G$10</f>
        <v>129.92</v>
      </c>
      <c r="AR450" s="28"/>
      <c r="AS450" s="13">
        <v>1505</v>
      </c>
      <c r="AT450" s="15">
        <f t="shared" si="1399"/>
        <v>0</v>
      </c>
      <c r="AU450" s="45">
        <f>AT450*$G$10</f>
        <v>0</v>
      </c>
      <c r="AV450" s="1">
        <v>129.92</v>
      </c>
      <c r="AW450" s="13">
        <v>1505</v>
      </c>
      <c r="AX450" s="15"/>
      <c r="AY450" s="15"/>
      <c r="AZ450" s="28"/>
      <c r="BA450" s="15">
        <v>1505</v>
      </c>
      <c r="BB450" s="15"/>
      <c r="BC450" s="15"/>
      <c r="BD450" s="15"/>
      <c r="BE450" s="40">
        <f t="shared" ref="BE450:BG450" si="1401">J450+N450+R450+V450+Z450+AD450+AH450+AL450+AP450+AT450+AX450+BB450</f>
        <v>67</v>
      </c>
      <c r="BF450" s="41">
        <f t="shared" si="1401"/>
        <v>1224.96</v>
      </c>
      <c r="BG450" s="34">
        <f t="shared" si="1401"/>
        <v>1224.96</v>
      </c>
      <c r="BH450" s="35">
        <f t="shared" si="1394"/>
        <v>0</v>
      </c>
    </row>
    <row r="451" ht="14.25" customHeight="1" spans="1:60" x14ac:dyDescent="0.25">
      <c r="A451" s="29">
        <v>58</v>
      </c>
      <c r="B451" s="14"/>
      <c r="C451" s="15" t="s">
        <v>168</v>
      </c>
      <c r="D451" s="14" t="s">
        <v>47</v>
      </c>
      <c r="E451" s="2" t="s">
        <v>49</v>
      </c>
      <c r="F451" s="41">
        <v>500</v>
      </c>
      <c r="G451" s="28"/>
      <c r="H451" s="34">
        <f>'2018'!BH451</f>
        <v>0</v>
      </c>
      <c r="I451" s="13"/>
      <c r="J451" s="15"/>
      <c r="K451" s="15"/>
      <c r="L451" s="28"/>
      <c r="Q451" s="13"/>
      <c r="R451" s="15"/>
      <c r="S451" s="15"/>
      <c r="T451" s="28"/>
      <c r="Y451" s="13"/>
      <c r="Z451" s="15"/>
      <c r="AA451" s="15"/>
      <c r="AB451" s="28"/>
      <c r="AG451" s="13"/>
      <c r="AH451" s="15"/>
      <c r="AI451" s="15"/>
      <c r="AJ451" s="35"/>
      <c r="AK451" s="13"/>
      <c r="AL451" s="15"/>
      <c r="AM451" s="34"/>
      <c r="AN451" s="28"/>
      <c r="AO451" s="13"/>
      <c r="AP451" s="15"/>
      <c r="AQ451" s="34"/>
      <c r="AR451" s="28"/>
      <c r="AS451" s="15"/>
      <c r="AT451" s="15"/>
      <c r="AU451" s="15"/>
      <c r="AV451" s="15"/>
      <c r="AW451" s="13"/>
      <c r="AX451" s="15"/>
      <c r="AY451" s="15"/>
      <c r="AZ451" s="28"/>
      <c r="BA451" s="15"/>
      <c r="BB451" s="15"/>
      <c r="BC451" s="15"/>
      <c r="BD451" s="15"/>
      <c r="BE451" s="14"/>
      <c r="BF451" s="41">
        <f t="shared" ref="BF451:BG451" si="1402">K451+O451+S451+W451+AA451+AE451+AI451+AM451+AQ451+AU451+AY451+BC451</f>
        <v>0</v>
      </c>
      <c r="BG451" s="34">
        <f t="shared" si="1402"/>
        <v>0</v>
      </c>
      <c r="BH451" s="35">
        <f t="shared" si="1394"/>
        <v>0</v>
      </c>
    </row>
    <row r="452" ht="14.25" customHeight="1" spans="1:60" x14ac:dyDescent="0.25">
      <c r="A452" s="29">
        <v>58</v>
      </c>
      <c r="B452" s="14"/>
      <c r="C452" s="2" t="s">
        <v>224</v>
      </c>
      <c r="D452" s="14" t="s">
        <v>50</v>
      </c>
      <c r="E452" s="2" t="s">
        <v>49</v>
      </c>
      <c r="F452" s="41">
        <v>1200</v>
      </c>
      <c r="G452" s="28"/>
      <c r="H452" s="34">
        <f>'2018'!BH452</f>
        <v>0.0003999999999</v>
      </c>
      <c r="I452" s="13"/>
      <c r="J452" s="15"/>
      <c r="K452" s="15"/>
      <c r="L452" s="28"/>
      <c r="Q452" s="13"/>
      <c r="R452" s="15"/>
      <c r="S452" s="15"/>
      <c r="T452" s="28"/>
      <c r="Y452" s="13"/>
      <c r="Z452" s="15"/>
      <c r="AA452" s="15"/>
      <c r="AB452" s="28"/>
      <c r="AE452" s="34">
        <f>B449*$F$12</f>
        <v>6096</v>
      </c>
      <c r="AF452" s="133">
        <v>3000</v>
      </c>
      <c r="AG452" s="13"/>
      <c r="AH452" s="15"/>
      <c r="AI452" s="15"/>
      <c r="AJ452" s="134">
        <v>3096</v>
      </c>
      <c r="AK452" s="13"/>
      <c r="AL452" s="15"/>
      <c r="AM452" s="15"/>
      <c r="AN452" s="28"/>
      <c r="AO452" s="13"/>
      <c r="AP452" s="15"/>
      <c r="AQ452" s="15"/>
      <c r="AR452" s="28"/>
      <c r="AS452" s="15"/>
      <c r="AT452" s="15"/>
      <c r="AU452" s="15"/>
      <c r="AV452" s="15"/>
      <c r="AW452" s="13"/>
      <c r="AX452" s="15"/>
      <c r="AY452" s="15"/>
      <c r="AZ452" s="28"/>
      <c r="BA452" s="15"/>
      <c r="BB452" s="15"/>
      <c r="BC452" s="15"/>
      <c r="BD452" s="15"/>
      <c r="BE452" s="14"/>
      <c r="BF452" s="41">
        <f t="shared" ref="BF452:BG452" si="1403">K452+O452+S452+W452+AA452+AE452+AI452+AM452+AQ452+AU452+AY452+BC452</f>
        <v>6096</v>
      </c>
      <c r="BG452" s="34">
        <f t="shared" si="1403"/>
        <v>6096</v>
      </c>
      <c r="BH452" s="35">
        <f t="shared" si="1394"/>
        <v>0.0003999999999</v>
      </c>
    </row>
    <row r="453" ht="14.25" customHeight="1" spans="1:60" x14ac:dyDescent="0.25">
      <c r="A453" s="29">
        <v>58</v>
      </c>
      <c r="B453" s="14"/>
      <c r="C453" s="2" t="s">
        <v>225</v>
      </c>
      <c r="D453" s="14" t="s">
        <v>51</v>
      </c>
      <c r="E453" s="2" t="s">
        <v>49</v>
      </c>
      <c r="F453" s="41">
        <v>1000</v>
      </c>
      <c r="G453" s="28"/>
      <c r="H453" s="34">
        <f>'2018'!BH453</f>
        <v>0</v>
      </c>
      <c r="I453" s="13"/>
      <c r="J453" s="15"/>
      <c r="K453" s="15"/>
      <c r="L453" s="28"/>
      <c r="Q453" s="13"/>
      <c r="R453" s="15"/>
      <c r="S453" s="15"/>
      <c r="T453" s="28"/>
      <c r="Y453" s="13"/>
      <c r="Z453" s="15"/>
      <c r="AA453" s="15"/>
      <c r="AB453" s="28"/>
      <c r="AE453" s="34">
        <f>$F$21</f>
        <v>1000</v>
      </c>
      <c r="AF453" s="133">
        <v>1000</v>
      </c>
      <c r="AG453" s="13"/>
      <c r="AH453" s="15"/>
      <c r="AI453" s="15"/>
      <c r="AJ453" s="35"/>
      <c r="AK453" s="13"/>
      <c r="AL453" s="15"/>
      <c r="AM453" s="15"/>
      <c r="AN453" s="28"/>
      <c r="AO453" s="13"/>
      <c r="AP453" s="15"/>
      <c r="AQ453" s="15"/>
      <c r="AR453" s="28"/>
      <c r="AS453" s="15"/>
      <c r="AT453" s="15"/>
      <c r="AU453" s="15"/>
      <c r="AV453" s="15"/>
      <c r="AW453" s="13"/>
      <c r="AX453" s="15"/>
      <c r="AY453" s="15"/>
      <c r="AZ453" s="28"/>
      <c r="BA453" s="15"/>
      <c r="BB453" s="15"/>
      <c r="BC453" s="15"/>
      <c r="BD453" s="15"/>
      <c r="BE453" s="14"/>
      <c r="BF453" s="41">
        <f t="shared" ref="BF453:BG453" si="1404">K453+O453+S453+W453+AA453+AE453+AI453+AM453+AQ453+AU453+AY453+BC453</f>
        <v>1000</v>
      </c>
      <c r="BG453" s="34">
        <f t="shared" si="1404"/>
        <v>1000</v>
      </c>
      <c r="BH453" s="35">
        <f t="shared" si="1394"/>
        <v>0</v>
      </c>
    </row>
    <row r="454" ht="14.25" customHeight="1" spans="1:60" x14ac:dyDescent="0.25">
      <c r="A454" s="29">
        <v>58</v>
      </c>
      <c r="B454" s="14"/>
      <c r="C454" s="2" t="s">
        <v>226</v>
      </c>
      <c r="D454" s="14" t="s">
        <v>52</v>
      </c>
      <c r="E454" s="2" t="s">
        <v>39</v>
      </c>
      <c r="F454" s="41">
        <v>500</v>
      </c>
      <c r="G454" s="28"/>
      <c r="H454" s="34">
        <f>'2018'!BH454</f>
        <v>0</v>
      </c>
      <c r="I454" s="13"/>
      <c r="J454" s="15"/>
      <c r="K454" s="15"/>
      <c r="L454" s="28"/>
      <c r="Q454" s="13"/>
      <c r="R454" s="15"/>
      <c r="S454" s="15"/>
      <c r="T454" s="28"/>
      <c r="Y454" s="13"/>
      <c r="Z454" s="15"/>
      <c r="AA454" s="34">
        <f>$F$14</f>
        <v>500</v>
      </c>
      <c r="AB454" s="35"/>
      <c r="AF454" s="34"/>
      <c r="AG454" s="13"/>
      <c r="AH454" s="15"/>
      <c r="AI454" s="15"/>
      <c r="AJ454" s="134">
        <v>500</v>
      </c>
      <c r="AK454" s="13"/>
      <c r="AL454" s="15"/>
      <c r="AM454" s="15"/>
      <c r="AN454" s="28"/>
      <c r="AO454" s="13"/>
      <c r="AP454" s="15"/>
      <c r="AQ454" s="15"/>
      <c r="AR454" s="28"/>
      <c r="AS454" s="15"/>
      <c r="AT454" s="15"/>
      <c r="AU454" s="15"/>
      <c r="AV454" s="15"/>
      <c r="AW454" s="13"/>
      <c r="AX454" s="15"/>
      <c r="AY454" s="15"/>
      <c r="AZ454" s="28"/>
      <c r="BA454" s="15"/>
      <c r="BB454" s="15"/>
      <c r="BC454" s="15"/>
      <c r="BD454" s="15"/>
      <c r="BE454" s="14"/>
      <c r="BF454" s="41">
        <f t="shared" ref="BF454:BG454" si="1405">K454+O454+S454+W454+AA454+AE454+AI454+AM454+AQ454+AU454+AY454+BC454</f>
        <v>500</v>
      </c>
      <c r="BG454" s="34">
        <f t="shared" si="1405"/>
        <v>500</v>
      </c>
      <c r="BH454" s="35">
        <f t="shared" si="1394"/>
        <v>0</v>
      </c>
    </row>
    <row r="455" ht="14.25" customHeight="1" spans="1:62" x14ac:dyDescent="0.25">
      <c r="A455" s="50">
        <v>58</v>
      </c>
      <c r="B455" s="21"/>
      <c r="C455" s="22" t="s">
        <v>53</v>
      </c>
      <c r="D455" s="21"/>
      <c r="E455" s="22"/>
      <c r="F455" s="20"/>
      <c r="G455" s="23"/>
      <c r="H455" s="51">
        <f>SUM(H448:H454)</f>
        <v>-94.9796</v>
      </c>
      <c r="I455" s="52"/>
      <c r="J455" s="53"/>
      <c r="K455" s="51">
        <f t="shared" ref="K455:L455" si="1406">SUM(K448:K454)</f>
        <v>0</v>
      </c>
      <c r="L455" s="68">
        <f t="shared" si="1406"/>
        <v>0</v>
      </c>
      <c r="M455" s="53"/>
      <c r="N455" s="53"/>
      <c r="O455" s="51">
        <f t="shared" ref="O455:P455" si="1407">SUM(O449:O454)</f>
        <v>0</v>
      </c>
      <c r="P455" s="51">
        <f t="shared" si="1407"/>
        <v>0</v>
      </c>
      <c r="Q455" s="52"/>
      <c r="R455" s="53"/>
      <c r="S455" s="51">
        <f t="shared" ref="S455:T455" si="1408">SUM(S449:S454)</f>
        <v>59.76</v>
      </c>
      <c r="T455" s="68">
        <f t="shared" si="1408"/>
        <v>0</v>
      </c>
      <c r="U455" s="53"/>
      <c r="V455" s="53"/>
      <c r="W455" s="51">
        <f t="shared" ref="W455:X455" si="1409">SUM(W449:W454)</f>
        <v>39.84</v>
      </c>
      <c r="X455" s="51">
        <f t="shared" si="1409"/>
        <v>0</v>
      </c>
      <c r="Y455" s="52"/>
      <c r="Z455" s="53"/>
      <c r="AA455" s="51">
        <f t="shared" ref="AA455:AB455" si="1410">SUM(AA449:AA454)</f>
        <v>1095.11</v>
      </c>
      <c r="AB455" s="68">
        <f t="shared" si="1410"/>
        <v>0</v>
      </c>
      <c r="AC455" s="53"/>
      <c r="AD455" s="53"/>
      <c r="AE455" s="51">
        <f t="shared" ref="AE455:AF455" si="1411">SUM(AE449:AE454)</f>
        <v>8056.36</v>
      </c>
      <c r="AF455" s="51">
        <f t="shared" si="1411"/>
        <v>5560.1</v>
      </c>
      <c r="AG455" s="52"/>
      <c r="AH455" s="53"/>
      <c r="AI455" s="51">
        <f t="shared" ref="AI455:AJ455" si="1412">SUM(AI449:AI454)</f>
        <v>508.4</v>
      </c>
      <c r="AJ455" s="68">
        <f t="shared" si="1412"/>
        <v>4100</v>
      </c>
      <c r="AK455" s="52"/>
      <c r="AL455" s="53"/>
      <c r="AM455" s="51">
        <f t="shared" ref="AM455:AN455" si="1413">SUM(AM449:AM454)</f>
        <v>583.78</v>
      </c>
      <c r="AN455" s="68">
        <f t="shared" si="1413"/>
        <v>600</v>
      </c>
      <c r="AO455" s="52"/>
      <c r="AP455" s="53"/>
      <c r="AQ455" s="51">
        <f t="shared" ref="AQ455:AR455" si="1414">SUM(AQ448:AQ454)</f>
        <v>1109.92</v>
      </c>
      <c r="AR455" s="68">
        <f t="shared" si="1414"/>
        <v>0</v>
      </c>
      <c r="AS455" s="53"/>
      <c r="AT455" s="53"/>
      <c r="AU455" s="51">
        <f t="shared" ref="AU455:AV455" si="1415">SUM(AU448:AU454)</f>
        <v>337.5</v>
      </c>
      <c r="AV455" s="68">
        <f t="shared" si="1415"/>
        <v>1500</v>
      </c>
      <c r="AW455" s="52"/>
      <c r="AX455" s="53"/>
      <c r="AY455" s="51">
        <f t="shared" ref="AY455:AZ455" si="1416">SUM(AY448:AY454)</f>
        <v>12.5</v>
      </c>
      <c r="AZ455" s="68">
        <f t="shared" si="1416"/>
        <v>0</v>
      </c>
      <c r="BA455" s="53"/>
      <c r="BB455" s="53"/>
      <c r="BC455" s="51">
        <f t="shared" ref="BC455:BD455" si="1417">SUM(BC448:BC454)</f>
        <v>2.5</v>
      </c>
      <c r="BD455" s="68">
        <f t="shared" si="1417"/>
        <v>0</v>
      </c>
      <c r="BE455" s="69"/>
      <c r="BF455" s="70">
        <f t="shared" ref="BF455:BH455" si="1418">SUM(BF448:BF454)</f>
        <v>11805.67</v>
      </c>
      <c r="BG455" s="71">
        <f t="shared" si="1418"/>
        <v>11760.1</v>
      </c>
      <c r="BH455" s="72">
        <f t="shared" si="1418"/>
        <v>-49.4096</v>
      </c>
      <c r="BI455" s="34">
        <f>H455+BF455-BG455</f>
        <v>-49.4096</v>
      </c>
      <c r="BJ455" s="34">
        <f>BH455-BI455</f>
        <v>0</v>
      </c>
    </row>
    <row r="456" ht="14.25" customHeight="1" spans="1:60" x14ac:dyDescent="0.25">
      <c r="A456" s="29">
        <v>60</v>
      </c>
      <c r="B456" s="14"/>
      <c r="D456" s="14" t="s">
        <v>379</v>
      </c>
      <c r="F456" s="13"/>
      <c r="G456" s="28"/>
      <c r="H456" s="34">
        <f>'2018'!BH456</f>
      </c>
      <c r="I456" s="13"/>
      <c r="J456" s="15"/>
      <c r="K456" s="15"/>
      <c r="L456" s="28"/>
      <c r="Q456" s="13"/>
      <c r="R456" s="15"/>
      <c r="S456" s="15"/>
      <c r="T456" s="28"/>
      <c r="Y456" s="13"/>
      <c r="Z456" s="15"/>
      <c r="AA456" s="15"/>
      <c r="AB456" s="28"/>
      <c r="AG456" s="13"/>
      <c r="AH456" s="15"/>
      <c r="AI456" s="15"/>
      <c r="AJ456" s="28"/>
      <c r="AK456" s="13"/>
      <c r="AL456" s="15"/>
      <c r="AM456" s="15"/>
      <c r="AN456" s="28"/>
      <c r="AO456" s="13"/>
      <c r="AP456" s="15"/>
      <c r="AQ456" s="15"/>
      <c r="AR456" s="28"/>
      <c r="AW456" s="13"/>
      <c r="AX456" s="15"/>
      <c r="AY456" s="15"/>
      <c r="AZ456" s="28"/>
      <c r="BE456" s="14"/>
      <c r="BF456" s="41">
        <f t="shared" ref="BF456:BG456" si="1419">K456+O456+S456+W456+AA456+AE456+AI456+AM456+AQ456+AU456+AY456+BC456</f>
        <v>0</v>
      </c>
      <c r="BG456" s="34">
        <f t="shared" si="1419"/>
        <v>0</v>
      </c>
      <c r="BH456" s="35">
        <f t="shared" ref="BH456:BH462" si="1420">H456+BF456-BG456</f>
        <v>0</v>
      </c>
    </row>
    <row r="457" ht="14.25" customHeight="1" spans="1:62" x14ac:dyDescent="0.25">
      <c r="A457" s="2">
        <v>60</v>
      </c>
      <c r="B457" s="42">
        <v>4.4</v>
      </c>
      <c r="C457" s="2" t="s">
        <v>227</v>
      </c>
      <c r="D457" s="14" t="s">
        <v>44</v>
      </c>
      <c r="E457" s="2" t="s">
        <v>45</v>
      </c>
      <c r="F457" s="13">
        <v>2.49</v>
      </c>
      <c r="G457" s="35">
        <v>2.5</v>
      </c>
      <c r="H457" s="136">
        <f>'2018'!BH457+385.95</f>
        <v>207.65</v>
      </c>
      <c r="I457" s="13">
        <v>530</v>
      </c>
      <c r="J457" s="15">
        <f>I457-'2018'!BA457</f>
        <v>20</v>
      </c>
      <c r="K457" s="34">
        <f>J457*$F$8</f>
        <v>49.8</v>
      </c>
      <c r="L457" s="28"/>
      <c r="M457" s="15">
        <v>535</v>
      </c>
      <c r="N457" s="15">
        <f>M457-I457</f>
        <v>5</v>
      </c>
      <c r="O457" s="34">
        <f>N457*$F$8</f>
        <v>12.45</v>
      </c>
      <c r="Q457" s="13">
        <v>570</v>
      </c>
      <c r="R457" s="15">
        <f>Q457-M457</f>
        <v>35</v>
      </c>
      <c r="S457" s="34">
        <f>R457*$F$8</f>
        <v>87.15</v>
      </c>
      <c r="T457" s="28"/>
      <c r="U457" s="15">
        <v>574</v>
      </c>
      <c r="V457" s="15">
        <f>U457-Q457</f>
        <v>4</v>
      </c>
      <c r="W457" s="34">
        <f>V457*$F$8</f>
        <v>9.96</v>
      </c>
      <c r="Y457" s="13">
        <v>575</v>
      </c>
      <c r="Z457" s="15">
        <f>Y457-U457</f>
        <v>1</v>
      </c>
      <c r="AA457" s="34">
        <f>Z457*$F$8</f>
        <v>2.49</v>
      </c>
      <c r="AB457" s="28"/>
      <c r="AC457" s="15">
        <v>576</v>
      </c>
      <c r="AD457" s="15">
        <f t="shared" ref="AD457:AD458" si="1421">AC457-Y457</f>
        <v>1</v>
      </c>
      <c r="AE457" s="34">
        <f>AD457*$G$8</f>
        <v>2.5</v>
      </c>
      <c r="AF457" s="138">
        <f>372+76.08</f>
        <v>448.08</v>
      </c>
      <c r="AG457" s="13">
        <v>597</v>
      </c>
      <c r="AH457" s="15">
        <f t="shared" ref="AH457:AH458" si="1422">AG457-AC457</f>
        <v>21</v>
      </c>
      <c r="AI457" s="34">
        <f>AH457*$G$8</f>
        <v>52.5</v>
      </c>
      <c r="AJ457" s="28"/>
      <c r="AK457" s="13">
        <v>628</v>
      </c>
      <c r="AL457" s="15">
        <f t="shared" ref="AL457:AL458" si="1423">AK457-AG457</f>
        <v>31</v>
      </c>
      <c r="AM457" s="34">
        <f>AL457*$G$8</f>
        <v>77.5</v>
      </c>
      <c r="AN457" s="134">
        <f>53.92+10.48</f>
        <v>64.4</v>
      </c>
      <c r="AO457" s="13">
        <v>675</v>
      </c>
      <c r="AP457" s="15">
        <f t="shared" ref="AP457:AP458" si="1424">AO457-AK457</f>
        <v>47</v>
      </c>
      <c r="AQ457" s="34">
        <f>AP457*$G$8</f>
        <v>117.5</v>
      </c>
      <c r="AR457" s="28"/>
      <c r="AS457" s="15">
        <v>753</v>
      </c>
      <c r="AT457" s="15">
        <f t="shared" ref="AT457:AT458" si="1425">AS457-AO457</f>
        <v>78</v>
      </c>
      <c r="AU457" s="34">
        <f>AT457*$G$8</f>
        <v>195</v>
      </c>
      <c r="AV457" s="15"/>
      <c r="AW457" s="13">
        <v>762</v>
      </c>
      <c r="AX457" s="15">
        <f>AW457-AS457</f>
        <v>9</v>
      </c>
      <c r="AY457" s="34">
        <f>AX457*$G$8</f>
        <v>22.5</v>
      </c>
      <c r="AZ457" s="28"/>
      <c r="BA457" s="15">
        <v>763</v>
      </c>
      <c r="BB457" s="15">
        <f>BA457-AW457</f>
        <v>1</v>
      </c>
      <c r="BC457" s="34">
        <f>BB457*$G$8</f>
        <v>2.5</v>
      </c>
      <c r="BD457" s="15"/>
      <c r="BE457" s="40">
        <f t="shared" ref="BE457:BG457" si="1426">J457+N457+R457+V457+Z457+AD457+AH457+AL457+AP457+AT457+AX457+BB457</f>
        <v>253</v>
      </c>
      <c r="BF457" s="41">
        <f t="shared" si="1426"/>
        <v>631.85</v>
      </c>
      <c r="BG457" s="34">
        <f t="shared" si="1426"/>
        <v>512.48</v>
      </c>
      <c r="BH457" s="35">
        <f t="shared" si="1420"/>
        <v>327.02</v>
      </c>
      <c r="BI457" s="34"/>
      <c r="BJ457" s="34"/>
    </row>
    <row r="458" ht="14.25" customHeight="1" spans="1:60" x14ac:dyDescent="0.25">
      <c r="A458" s="29">
        <v>60</v>
      </c>
      <c r="B458" s="14"/>
      <c r="C458" s="2" t="s">
        <v>228</v>
      </c>
      <c r="D458" s="14" t="s">
        <v>47</v>
      </c>
      <c r="E458" s="2" t="s">
        <v>48</v>
      </c>
      <c r="F458" s="13">
        <v>17.98</v>
      </c>
      <c r="G458" s="28">
        <v>18.56</v>
      </c>
      <c r="H458" s="34">
        <f>'2018'!BH458</f>
        <v>0</v>
      </c>
      <c r="I458" s="13">
        <v>94</v>
      </c>
      <c r="J458" s="15"/>
      <c r="K458" s="15"/>
      <c r="L458" s="28"/>
      <c r="Q458" s="13"/>
      <c r="R458" s="15"/>
      <c r="S458" s="15"/>
      <c r="T458" s="28"/>
      <c r="Y458" s="13">
        <v>93</v>
      </c>
      <c r="Z458" s="15">
        <f>Y458-'2018'!AO458</f>
        <v>-1</v>
      </c>
      <c r="AA458" s="34">
        <f>Z458*$F$10</f>
        <v>-17.98</v>
      </c>
      <c r="AB458" s="28"/>
      <c r="AC458" s="15">
        <v>98</v>
      </c>
      <c r="AD458" s="15">
        <f t="shared" si="1421"/>
        <v>5</v>
      </c>
      <c r="AE458" s="34">
        <f>AD458*$F$10</f>
        <v>89.9</v>
      </c>
      <c r="AF458" s="133">
        <v>71.92</v>
      </c>
      <c r="AG458" s="13">
        <v>106</v>
      </c>
      <c r="AH458" s="15">
        <f t="shared" si="1422"/>
        <v>8</v>
      </c>
      <c r="AI458" s="45">
        <f>AH458*$G$10</f>
        <v>148.48</v>
      </c>
      <c r="AJ458" s="134">
        <v>150</v>
      </c>
      <c r="AK458" s="13">
        <v>108</v>
      </c>
      <c r="AL458" s="15">
        <f t="shared" si="1423"/>
        <v>2</v>
      </c>
      <c r="AM458" s="45">
        <f>AL458*$G$10</f>
        <v>37.12</v>
      </c>
      <c r="AN458" s="134">
        <v>35.6</v>
      </c>
      <c r="AO458" s="13">
        <v>108</v>
      </c>
      <c r="AP458" s="15">
        <f t="shared" si="1424"/>
        <v>0</v>
      </c>
      <c r="AQ458" s="45">
        <f>AP458*$G$10</f>
        <v>0</v>
      </c>
      <c r="AR458" s="28"/>
      <c r="AS458" s="13">
        <v>108</v>
      </c>
      <c r="AT458" s="15">
        <f t="shared" si="1425"/>
        <v>0</v>
      </c>
      <c r="AU458" s="45">
        <f>AT458*$G$10</f>
        <v>0</v>
      </c>
      <c r="AV458" s="15"/>
      <c r="AW458" s="13">
        <v>108</v>
      </c>
      <c r="AX458" s="15"/>
      <c r="AY458" s="15"/>
      <c r="AZ458" s="28"/>
      <c r="BA458" s="15">
        <v>108</v>
      </c>
      <c r="BB458" s="15"/>
      <c r="BC458" s="15"/>
      <c r="BD458" s="15"/>
      <c r="BE458" s="40">
        <f t="shared" ref="BE458:BG458" si="1427">J458+N458+R458+V458+Z458+AD458+AH458+AL458+AP458+AT458+AX458+BB458</f>
        <v>14</v>
      </c>
      <c r="BF458" s="41">
        <f t="shared" si="1427"/>
        <v>257.52</v>
      </c>
      <c r="BG458" s="34">
        <f t="shared" si="1427"/>
        <v>257.52</v>
      </c>
      <c r="BH458" s="35">
        <f t="shared" si="1420"/>
        <v>0</v>
      </c>
    </row>
    <row r="459" ht="14.25" customHeight="1" spans="1:60" x14ac:dyDescent="0.25">
      <c r="A459" s="29">
        <v>60</v>
      </c>
      <c r="B459" s="14"/>
      <c r="C459" s="15" t="s">
        <v>229</v>
      </c>
      <c r="D459" s="14" t="s">
        <v>47</v>
      </c>
      <c r="E459" s="2" t="s">
        <v>49</v>
      </c>
      <c r="F459" s="41">
        <v>500</v>
      </c>
      <c r="G459" s="28"/>
      <c r="H459" s="34">
        <f>'2018'!BH459</f>
        <v>0</v>
      </c>
      <c r="I459" s="13"/>
      <c r="J459" s="15"/>
      <c r="K459" s="15"/>
      <c r="L459" s="28"/>
      <c r="Q459" s="13"/>
      <c r="R459" s="15"/>
      <c r="S459" s="15"/>
      <c r="T459" s="28"/>
      <c r="Y459" s="13"/>
      <c r="Z459" s="15"/>
      <c r="AA459" s="34"/>
      <c r="AB459" s="28"/>
      <c r="AC459" s="15"/>
      <c r="AG459" s="13"/>
      <c r="AH459" s="15"/>
      <c r="AI459" s="15"/>
      <c r="AJ459" s="28"/>
      <c r="AK459" s="13"/>
      <c r="AL459" s="15"/>
      <c r="AM459" s="34"/>
      <c r="AN459" s="28"/>
      <c r="AO459" s="13"/>
      <c r="AP459" s="15"/>
      <c r="AQ459" s="34"/>
      <c r="AR459" s="28"/>
      <c r="AS459" s="15"/>
      <c r="AT459" s="15"/>
      <c r="AU459" s="15"/>
      <c r="AV459" s="15"/>
      <c r="AW459" s="13"/>
      <c r="AX459" s="15"/>
      <c r="AY459" s="15"/>
      <c r="AZ459" s="28"/>
      <c r="BA459" s="15"/>
      <c r="BB459" s="15"/>
      <c r="BC459" s="15"/>
      <c r="BD459" s="15"/>
      <c r="BE459" s="14"/>
      <c r="BF459" s="41">
        <f t="shared" ref="BF459:BG459" si="1428">K459+O459+S459+W459+AA459+AE459+AI459+AM459+AQ459+AU459+AY459+BC459</f>
        <v>0</v>
      </c>
      <c r="BG459" s="34">
        <f t="shared" si="1428"/>
        <v>0</v>
      </c>
      <c r="BH459" s="35">
        <f t="shared" si="1420"/>
        <v>0</v>
      </c>
    </row>
    <row r="460" ht="14.25" customHeight="1" spans="1:60" x14ac:dyDescent="0.25">
      <c r="A460" s="29">
        <v>60</v>
      </c>
      <c r="B460" s="14"/>
      <c r="C460" s="2" t="s">
        <v>230</v>
      </c>
      <c r="D460" s="14" t="s">
        <v>50</v>
      </c>
      <c r="E460" s="2" t="s">
        <v>49</v>
      </c>
      <c r="F460" s="41">
        <v>1200</v>
      </c>
      <c r="G460" s="28"/>
      <c r="H460" s="34">
        <f>'2018'!BH460</f>
        <v>0.002</v>
      </c>
      <c r="I460" s="13"/>
      <c r="J460" s="15"/>
      <c r="K460" s="15"/>
      <c r="L460" s="28"/>
      <c r="Q460" s="13"/>
      <c r="R460" s="15"/>
      <c r="S460" s="15"/>
      <c r="T460" s="28"/>
      <c r="Y460" s="13"/>
      <c r="Z460" s="15"/>
      <c r="AA460" s="15"/>
      <c r="AB460" s="28"/>
      <c r="AE460" s="34">
        <f>B457*$F$12</f>
        <v>5280</v>
      </c>
      <c r="AF460" s="133">
        <v>5280</v>
      </c>
      <c r="AG460" s="13"/>
      <c r="AH460" s="15"/>
      <c r="AI460" s="15"/>
      <c r="AJ460" s="28"/>
      <c r="AK460" s="13"/>
      <c r="AL460" s="15"/>
      <c r="AM460" s="15"/>
      <c r="AN460" s="28"/>
      <c r="AO460" s="13"/>
      <c r="AP460" s="15"/>
      <c r="AQ460" s="15"/>
      <c r="AR460" s="28"/>
      <c r="AS460" s="15"/>
      <c r="AT460" s="15"/>
      <c r="AU460" s="15"/>
      <c r="AV460" s="15"/>
      <c r="AW460" s="13"/>
      <c r="AX460" s="15"/>
      <c r="AY460" s="15"/>
      <c r="AZ460" s="28"/>
      <c r="BA460" s="15"/>
      <c r="BB460" s="15"/>
      <c r="BC460" s="15"/>
      <c r="BD460" s="15"/>
      <c r="BE460" s="14"/>
      <c r="BF460" s="41">
        <f t="shared" ref="BF460:BG460" si="1429">K460+O460+S460+W460+AA460+AE460+AI460+AM460+AQ460+AU460+AY460+BC460</f>
        <v>5280</v>
      </c>
      <c r="BG460" s="34">
        <f t="shared" si="1429"/>
        <v>5280</v>
      </c>
      <c r="BH460" s="35">
        <f t="shared" si="1420"/>
        <v>0.002</v>
      </c>
    </row>
    <row r="461" ht="14.25" customHeight="1" spans="1:60" x14ac:dyDescent="0.25">
      <c r="A461" s="29">
        <v>60</v>
      </c>
      <c r="B461" s="14"/>
      <c r="D461" s="14" t="s">
        <v>51</v>
      </c>
      <c r="E461" s="2" t="s">
        <v>49</v>
      </c>
      <c r="F461" s="41">
        <v>1000</v>
      </c>
      <c r="G461" s="28"/>
      <c r="H461" s="34">
        <f>'2018'!BH461</f>
        <v>0</v>
      </c>
      <c r="I461" s="13"/>
      <c r="J461" s="15"/>
      <c r="K461" s="15"/>
      <c r="L461" s="28"/>
      <c r="Q461" s="13"/>
      <c r="R461" s="15"/>
      <c r="S461" s="15"/>
      <c r="T461" s="28"/>
      <c r="Y461" s="13"/>
      <c r="Z461" s="15"/>
      <c r="AA461" s="15"/>
      <c r="AB461" s="28"/>
      <c r="AE461" s="34">
        <f>$F$21</f>
        <v>1000</v>
      </c>
      <c r="AF461" s="133">
        <v>1000</v>
      </c>
      <c r="AG461" s="13"/>
      <c r="AH461" s="15"/>
      <c r="AI461" s="15"/>
      <c r="AJ461" s="28"/>
      <c r="AK461" s="13"/>
      <c r="AL461" s="15"/>
      <c r="AM461" s="15"/>
      <c r="AN461" s="28"/>
      <c r="AO461" s="13"/>
      <c r="AP461" s="15"/>
      <c r="AQ461" s="15"/>
      <c r="AR461" s="28"/>
      <c r="AS461" s="15"/>
      <c r="AT461" s="15"/>
      <c r="AU461" s="15"/>
      <c r="AV461" s="15"/>
      <c r="AW461" s="13"/>
      <c r="AX461" s="15"/>
      <c r="AY461" s="15"/>
      <c r="AZ461" s="28"/>
      <c r="BA461" s="15"/>
      <c r="BB461" s="15"/>
      <c r="BC461" s="15"/>
      <c r="BD461" s="15"/>
      <c r="BE461" s="14"/>
      <c r="BF461" s="41">
        <f t="shared" ref="BF461:BG461" si="1430">K461+O461+S461+W461+AA461+AE461+AI461+AM461+AQ461+AU461+AY461+BC461</f>
        <v>1000</v>
      </c>
      <c r="BG461" s="34">
        <f t="shared" si="1430"/>
        <v>1000</v>
      </c>
      <c r="BH461" s="35">
        <f t="shared" si="1420"/>
        <v>0</v>
      </c>
    </row>
    <row r="462" ht="14.25" customHeight="1" spans="1:60" x14ac:dyDescent="0.25">
      <c r="A462" s="29">
        <v>60</v>
      </c>
      <c r="B462" s="14"/>
      <c r="D462" s="14" t="s">
        <v>52</v>
      </c>
      <c r="E462" s="2" t="s">
        <v>39</v>
      </c>
      <c r="F462" s="41">
        <v>500</v>
      </c>
      <c r="G462" s="28"/>
      <c r="H462" s="34">
        <f>'2018'!BH462</f>
        <v>0</v>
      </c>
      <c r="I462" s="13"/>
      <c r="J462" s="15"/>
      <c r="K462" s="15"/>
      <c r="L462" s="28"/>
      <c r="Q462" s="13"/>
      <c r="R462" s="15"/>
      <c r="S462" s="15"/>
      <c r="T462" s="28"/>
      <c r="Y462" s="13"/>
      <c r="Z462" s="15"/>
      <c r="AA462" s="34">
        <f>$F$14</f>
        <v>500</v>
      </c>
      <c r="AB462" s="35"/>
      <c r="AF462" s="133">
        <v>500</v>
      </c>
      <c r="AG462" s="13"/>
      <c r="AH462" s="15"/>
      <c r="AI462" s="15"/>
      <c r="AJ462" s="28"/>
      <c r="AK462" s="13"/>
      <c r="AL462" s="15"/>
      <c r="AM462" s="15"/>
      <c r="AN462" s="28"/>
      <c r="AO462" s="13"/>
      <c r="AP462" s="15"/>
      <c r="AQ462" s="15"/>
      <c r="AR462" s="28"/>
      <c r="AS462" s="15"/>
      <c r="AT462" s="15"/>
      <c r="AU462" s="15"/>
      <c r="AV462" s="15"/>
      <c r="AW462" s="13"/>
      <c r="AX462" s="15"/>
      <c r="AY462" s="15"/>
      <c r="AZ462" s="28"/>
      <c r="BA462" s="15"/>
      <c r="BB462" s="15"/>
      <c r="BC462" s="15"/>
      <c r="BD462" s="15"/>
      <c r="BE462" s="14"/>
      <c r="BF462" s="41">
        <f t="shared" ref="BF462:BG462" si="1431">K462+O462+S462+W462+AA462+AE462+AI462+AM462+AQ462+AU462+AY462+BC462</f>
        <v>500</v>
      </c>
      <c r="BG462" s="34">
        <f t="shared" si="1431"/>
        <v>500</v>
      </c>
      <c r="BH462" s="35">
        <f t="shared" si="1420"/>
        <v>0</v>
      </c>
    </row>
    <row r="463" ht="14.25" customHeight="1" spans="1:62" x14ac:dyDescent="0.25">
      <c r="A463" s="50">
        <v>60</v>
      </c>
      <c r="B463" s="21"/>
      <c r="C463" s="22" t="s">
        <v>53</v>
      </c>
      <c r="D463" s="21"/>
      <c r="E463" s="22"/>
      <c r="F463" s="20"/>
      <c r="G463" s="23"/>
      <c r="H463" s="51">
        <f>SUM(H456:H462)</f>
        <v>207.652</v>
      </c>
      <c r="I463" s="52"/>
      <c r="J463" s="53"/>
      <c r="K463" s="51">
        <f t="shared" ref="K463:L463" si="1432">SUM(K456:K462)</f>
        <v>49.8</v>
      </c>
      <c r="L463" s="68">
        <f t="shared" si="1432"/>
        <v>0</v>
      </c>
      <c r="M463" s="53"/>
      <c r="N463" s="53"/>
      <c r="O463" s="51">
        <f t="shared" ref="O463:P463" si="1433">SUM(O457:O462)</f>
        <v>12.45</v>
      </c>
      <c r="P463" s="51">
        <f t="shared" si="1433"/>
        <v>0</v>
      </c>
      <c r="Q463" s="52"/>
      <c r="R463" s="53"/>
      <c r="S463" s="51">
        <f t="shared" ref="S463:T463" si="1434">SUM(S457:S462)</f>
        <v>87.15</v>
      </c>
      <c r="T463" s="68">
        <f t="shared" si="1434"/>
        <v>0</v>
      </c>
      <c r="U463" s="53"/>
      <c r="V463" s="53"/>
      <c r="W463" s="51">
        <f t="shared" ref="W463:X463" si="1435">SUM(W457:W462)</f>
        <v>9.96</v>
      </c>
      <c r="X463" s="51">
        <f t="shared" si="1435"/>
        <v>0</v>
      </c>
      <c r="Y463" s="52"/>
      <c r="Z463" s="53"/>
      <c r="AA463" s="51">
        <f t="shared" ref="AA463:AB463" si="1436">SUM(AA457:AA462)</f>
        <v>484.51</v>
      </c>
      <c r="AB463" s="68">
        <f t="shared" si="1436"/>
        <v>0</v>
      </c>
      <c r="AC463" s="53"/>
      <c r="AD463" s="53"/>
      <c r="AE463" s="51">
        <f t="shared" ref="AE463:AF463" si="1437">SUM(AE457:AE462)</f>
        <v>6372.4</v>
      </c>
      <c r="AF463" s="51">
        <f t="shared" si="1437"/>
        <v>7300</v>
      </c>
      <c r="AG463" s="52"/>
      <c r="AH463" s="53"/>
      <c r="AI463" s="51">
        <f t="shared" ref="AI463:AJ463" si="1438">SUM(AI457:AI462)</f>
        <v>200.98</v>
      </c>
      <c r="AJ463" s="68">
        <f t="shared" si="1438"/>
        <v>150</v>
      </c>
      <c r="AK463" s="52"/>
      <c r="AL463" s="53"/>
      <c r="AM463" s="51">
        <f t="shared" ref="AM463:AN463" si="1439">SUM(AM457:AM462)</f>
        <v>114.62</v>
      </c>
      <c r="AN463" s="68">
        <f t="shared" si="1439"/>
        <v>100</v>
      </c>
      <c r="AO463" s="52"/>
      <c r="AP463" s="53"/>
      <c r="AQ463" s="51">
        <f t="shared" ref="AQ463:AR463" si="1440">SUM(AQ456:AQ462)</f>
        <v>117.5</v>
      </c>
      <c r="AR463" s="68">
        <f t="shared" si="1440"/>
        <v>0</v>
      </c>
      <c r="AS463" s="53"/>
      <c r="AT463" s="53"/>
      <c r="AU463" s="51">
        <f t="shared" ref="AU463:AV463" si="1441">SUM(AU456:AU462)</f>
        <v>195</v>
      </c>
      <c r="AV463" s="68">
        <f t="shared" si="1441"/>
        <v>0</v>
      </c>
      <c r="AW463" s="52"/>
      <c r="AX463" s="53"/>
      <c r="AY463" s="51">
        <f t="shared" ref="AY463:AZ463" si="1442">SUM(AY456:AY462)</f>
        <v>22.5</v>
      </c>
      <c r="AZ463" s="68">
        <f t="shared" si="1442"/>
        <v>0</v>
      </c>
      <c r="BA463" s="53"/>
      <c r="BB463" s="53"/>
      <c r="BC463" s="51">
        <f t="shared" ref="BC463:BD463" si="1443">SUM(BC456:BC462)</f>
        <v>2.5</v>
      </c>
      <c r="BD463" s="68">
        <f t="shared" si="1443"/>
        <v>0</v>
      </c>
      <c r="BE463" s="69"/>
      <c r="BF463" s="70">
        <f t="shared" ref="BF463:BH463" si="1444">SUM(BF456:BF462)</f>
        <v>7669.37</v>
      </c>
      <c r="BG463" s="71">
        <f t="shared" si="1444"/>
        <v>7550</v>
      </c>
      <c r="BH463" s="72">
        <f t="shared" si="1444"/>
        <v>327.022</v>
      </c>
      <c r="BI463" s="34">
        <f>H463+BF463-BG463</f>
        <v>327.022</v>
      </c>
      <c r="BJ463" s="34">
        <f>BH463-BI463</f>
        <v>0</v>
      </c>
    </row>
    <row r="464" ht="14.25" customHeight="1" spans="1:60" x14ac:dyDescent="0.25">
      <c r="A464" s="29">
        <v>61</v>
      </c>
      <c r="B464" s="14"/>
      <c r="D464" s="14" t="s">
        <v>379</v>
      </c>
      <c r="F464" s="13"/>
      <c r="G464" s="28"/>
      <c r="H464" s="34">
        <f>'2018'!BH464</f>
      </c>
      <c r="I464" s="13"/>
      <c r="J464" s="15"/>
      <c r="K464" s="15"/>
      <c r="L464" s="28"/>
      <c r="Q464" s="13"/>
      <c r="R464" s="15"/>
      <c r="S464" s="15"/>
      <c r="T464" s="28"/>
      <c r="Y464" s="13"/>
      <c r="Z464" s="15"/>
      <c r="AA464" s="15"/>
      <c r="AB464" s="28"/>
      <c r="AG464" s="13"/>
      <c r="AH464" s="15"/>
      <c r="AI464" s="15"/>
      <c r="AJ464" s="28"/>
      <c r="AK464" s="13"/>
      <c r="AL464" s="15"/>
      <c r="AM464" s="15"/>
      <c r="AN464" s="28"/>
      <c r="AO464" s="13"/>
      <c r="AP464" s="15"/>
      <c r="AQ464" s="15"/>
      <c r="AR464" s="28"/>
      <c r="AW464" s="13"/>
      <c r="AX464" s="15"/>
      <c r="AY464" s="15"/>
      <c r="AZ464" s="28"/>
      <c r="BE464" s="14"/>
      <c r="BF464" s="41">
        <f t="shared" ref="BF464:BG464" si="1445">K464+O464+S464+W464+AA464+AE464+AI464+AM464+AQ464+AU464+AY464+BC464</f>
        <v>0</v>
      </c>
      <c r="BG464" s="34">
        <f t="shared" si="1445"/>
        <v>0</v>
      </c>
      <c r="BH464" s="35">
        <f t="shared" ref="BH464:BH470" si="1446">H464+BF464-BG464</f>
        <v>0</v>
      </c>
    </row>
    <row r="465" ht="14.25" customHeight="1" spans="1:60" x14ac:dyDescent="0.25">
      <c r="A465" s="2">
        <v>61</v>
      </c>
      <c r="B465" s="14">
        <v>4.71</v>
      </c>
      <c r="C465" s="2" t="s">
        <v>231</v>
      </c>
      <c r="D465" s="14" t="s">
        <v>44</v>
      </c>
      <c r="E465" s="2" t="s">
        <v>45</v>
      </c>
      <c r="F465" s="13">
        <v>2.49</v>
      </c>
      <c r="G465" s="35">
        <v>2.5</v>
      </c>
      <c r="H465" s="34">
        <f>'2018'!BH465</f>
        <v>12.45</v>
      </c>
      <c r="I465" s="13">
        <v>222</v>
      </c>
      <c r="J465" s="15">
        <f>I465-'2018'!BA465</f>
        <v>0</v>
      </c>
      <c r="K465" s="34">
        <f>J465*$F$8</f>
        <v>0</v>
      </c>
      <c r="L465" s="28"/>
      <c r="M465" s="2">
        <v>222</v>
      </c>
      <c r="N465" s="15">
        <f>M465-I465</f>
        <v>0</v>
      </c>
      <c r="O465" s="34">
        <f>N465*$F$8</f>
        <v>0</v>
      </c>
      <c r="Q465" s="13">
        <v>222</v>
      </c>
      <c r="R465" s="15">
        <f>Q465-M465</f>
        <v>0</v>
      </c>
      <c r="S465" s="34">
        <f>R465*$F$8</f>
        <v>0</v>
      </c>
      <c r="T465" s="28"/>
      <c r="U465" s="15">
        <v>222</v>
      </c>
      <c r="V465" s="15">
        <f>U465-Q465</f>
        <v>0</v>
      </c>
      <c r="W465" s="34">
        <f>V465*$F$8</f>
        <v>0</v>
      </c>
      <c r="X465" s="15"/>
      <c r="Y465" s="13">
        <v>240</v>
      </c>
      <c r="Z465" s="15">
        <f>Y465-U465</f>
        <v>18</v>
      </c>
      <c r="AA465" s="34">
        <f>Z465*$F$8</f>
        <v>44.82</v>
      </c>
      <c r="AB465" s="28"/>
      <c r="AC465" s="15">
        <v>255</v>
      </c>
      <c r="AD465" s="15">
        <f t="shared" ref="AD465:AD466" si="1447">AC465-Y465</f>
        <v>15</v>
      </c>
      <c r="AE465" s="34">
        <f>AD465*$G$8</f>
        <v>37.5</v>
      </c>
      <c r="AG465" s="13">
        <v>277</v>
      </c>
      <c r="AH465" s="15">
        <f t="shared" ref="AH465:AH466" si="1448">AG465-AC465</f>
        <v>22</v>
      </c>
      <c r="AI465" s="34">
        <f>AH465*$G$8</f>
        <v>55</v>
      </c>
      <c r="AJ465" s="139">
        <v>149.77</v>
      </c>
      <c r="AK465" s="13">
        <v>286</v>
      </c>
      <c r="AL465" s="15">
        <f t="shared" ref="AL465:AL466" si="1449">AK465-AG465</f>
        <v>9</v>
      </c>
      <c r="AM465" s="34">
        <f>AL465*$G$8</f>
        <v>22.5</v>
      </c>
      <c r="AN465" s="139">
        <f>22.5+3.59</f>
        <v>26.09</v>
      </c>
      <c r="AO465" s="13">
        <v>295</v>
      </c>
      <c r="AP465" s="15">
        <f t="shared" ref="AP465:AP466" si="1450">AO465-AK465</f>
        <v>9</v>
      </c>
      <c r="AQ465" s="34">
        <f>AP465*$G$8</f>
        <v>22.5</v>
      </c>
      <c r="AR465" s="28"/>
      <c r="AS465" s="15">
        <v>301</v>
      </c>
      <c r="AT465" s="15">
        <f t="shared" ref="AT465:AT466" si="1451">AS465-AO465</f>
        <v>6</v>
      </c>
      <c r="AU465" s="34">
        <f>AT465*$G$8</f>
        <v>15</v>
      </c>
      <c r="AV465" s="15"/>
      <c r="AW465" s="13">
        <v>303</v>
      </c>
      <c r="AX465" s="15">
        <f>AW465-AS465</f>
        <v>2</v>
      </c>
      <c r="AY465" s="34">
        <f>AX465*$G$8</f>
        <v>5</v>
      </c>
      <c r="AZ465" s="28"/>
      <c r="BA465" s="13">
        <v>303</v>
      </c>
      <c r="BB465" s="15">
        <f>BA465-AW465</f>
        <v>0</v>
      </c>
      <c r="BC465" s="34">
        <f>BB465*$G$8</f>
        <v>0</v>
      </c>
      <c r="BD465" s="15"/>
      <c r="BE465" s="40">
        <f t="shared" ref="BE465:BG465" si="1452">J465+N465+R465+V465+Z465+AD465+AH465+AL465+AP465+AT465+AX465+BB465</f>
        <v>81</v>
      </c>
      <c r="BF465" s="41">
        <f t="shared" si="1452"/>
        <v>202.32</v>
      </c>
      <c r="BG465" s="34">
        <f t="shared" si="1452"/>
        <v>175.86</v>
      </c>
      <c r="BH465" s="35">
        <f t="shared" si="1446"/>
        <v>38.91</v>
      </c>
    </row>
    <row r="466" ht="14.25" customHeight="1" spans="1:60" x14ac:dyDescent="0.25">
      <c r="A466" s="29">
        <v>61</v>
      </c>
      <c r="B466" s="14"/>
      <c r="C466" s="2" t="s">
        <v>75</v>
      </c>
      <c r="D466" s="14" t="s">
        <v>47</v>
      </c>
      <c r="E466" s="2" t="s">
        <v>48</v>
      </c>
      <c r="F466" s="13">
        <v>17.98</v>
      </c>
      <c r="G466" s="28">
        <v>18.56</v>
      </c>
      <c r="H466" s="90">
        <f>'2018'!BH466</f>
        <v>0</v>
      </c>
      <c r="I466" s="75">
        <f>65+183</f>
        <v>248</v>
      </c>
      <c r="J466" s="15"/>
      <c r="K466" s="15"/>
      <c r="L466" s="28"/>
      <c r="Q466" s="13"/>
      <c r="R466" s="15"/>
      <c r="S466" s="15"/>
      <c r="T466" s="28"/>
      <c r="Y466" s="13">
        <f>65+184</f>
        <v>249</v>
      </c>
      <c r="Z466" s="15">
        <f>Y466-'2018'!AO466</f>
        <v>1</v>
      </c>
      <c r="AA466" s="34">
        <f>Z466*$F$10</f>
        <v>17.98</v>
      </c>
      <c r="AB466" s="28"/>
      <c r="AC466" s="13">
        <f>65+184</f>
        <v>249</v>
      </c>
      <c r="AD466" s="15">
        <f t="shared" si="1447"/>
        <v>0</v>
      </c>
      <c r="AE466" s="34">
        <f>AD466*$F$10</f>
        <v>0</v>
      </c>
      <c r="AG466" s="13">
        <f>(65+184)+10</f>
        <v>259</v>
      </c>
      <c r="AH466" s="15">
        <f t="shared" si="1448"/>
        <v>10</v>
      </c>
      <c r="AI466" s="45">
        <f>AH466*$G$10</f>
        <v>185.6</v>
      </c>
      <c r="AJ466" s="139">
        <v>203.58</v>
      </c>
      <c r="AK466" s="13">
        <f>71+189</f>
        <v>260</v>
      </c>
      <c r="AL466" s="15">
        <f t="shared" si="1449"/>
        <v>1</v>
      </c>
      <c r="AM466" s="45">
        <f>AL466*$G$10</f>
        <v>18.56</v>
      </c>
      <c r="AN466" s="139">
        <v>18.56</v>
      </c>
      <c r="AO466" s="13">
        <f>73+189</f>
        <v>262</v>
      </c>
      <c r="AP466" s="15">
        <f t="shared" si="1450"/>
        <v>2</v>
      </c>
      <c r="AQ466" s="45">
        <f>AP466*$G$10</f>
        <v>37.12</v>
      </c>
      <c r="AR466" s="28"/>
      <c r="AS466" s="13">
        <f>73+189</f>
        <v>262</v>
      </c>
      <c r="AT466" s="15">
        <f t="shared" si="1451"/>
        <v>0</v>
      </c>
      <c r="AU466" s="45">
        <f>AT466*$G$10</f>
        <v>0</v>
      </c>
      <c r="AV466" s="15"/>
      <c r="AW466" s="13">
        <f>73+189</f>
        <v>262</v>
      </c>
      <c r="AX466" s="15"/>
      <c r="AY466" s="15"/>
      <c r="AZ466" s="28"/>
      <c r="BA466" s="13">
        <f>73+189</f>
        <v>262</v>
      </c>
      <c r="BB466" s="15"/>
      <c r="BC466" s="15"/>
      <c r="BD466" s="15"/>
      <c r="BE466" s="40">
        <f t="shared" ref="BE466:BG466" si="1453">J466+N466+R466+V466+Z466+AD466+AH466+AL466+AP466+AT466+AX466+BB466</f>
        <v>14</v>
      </c>
      <c r="BF466" s="41">
        <f t="shared" si="1453"/>
        <v>259.26</v>
      </c>
      <c r="BG466" s="34">
        <f t="shared" si="1453"/>
        <v>222.14</v>
      </c>
      <c r="BH466" s="35">
        <f t="shared" si="1446"/>
        <v>37.12</v>
      </c>
    </row>
    <row r="467" ht="14.25" customHeight="1" spans="1:60" x14ac:dyDescent="0.25">
      <c r="A467" s="29">
        <v>61</v>
      </c>
      <c r="B467" s="14"/>
      <c r="C467" s="2" t="s">
        <v>232</v>
      </c>
      <c r="D467" s="14" t="s">
        <v>47</v>
      </c>
      <c r="E467" s="2" t="s">
        <v>49</v>
      </c>
      <c r="F467" s="41">
        <v>500</v>
      </c>
      <c r="G467" s="28"/>
      <c r="H467" s="34">
        <f>'2018'!BH467</f>
        <v>0</v>
      </c>
      <c r="I467" s="13"/>
      <c r="J467" s="15"/>
      <c r="K467" s="15"/>
      <c r="L467" s="28"/>
      <c r="Q467" s="13"/>
      <c r="R467" s="15"/>
      <c r="S467" s="15"/>
      <c r="T467" s="28"/>
      <c r="Y467" s="13"/>
      <c r="Z467" s="15"/>
      <c r="AA467" s="15"/>
      <c r="AB467" s="28"/>
      <c r="AG467" s="13"/>
      <c r="AH467" s="15"/>
      <c r="AI467" s="15"/>
      <c r="AJ467" s="28"/>
      <c r="AK467" s="13"/>
      <c r="AL467" s="15"/>
      <c r="AM467" s="34"/>
      <c r="AN467" s="28"/>
      <c r="AO467" s="13"/>
      <c r="AP467" s="15"/>
      <c r="AQ467" s="34"/>
      <c r="AR467" s="28"/>
      <c r="AS467" s="15"/>
      <c r="AT467" s="15"/>
      <c r="AU467" s="15"/>
      <c r="AV467" s="15"/>
      <c r="AW467" s="13"/>
      <c r="AX467" s="15"/>
      <c r="AY467" s="15"/>
      <c r="AZ467" s="28"/>
      <c r="BA467" s="15"/>
      <c r="BB467" s="15"/>
      <c r="BC467" s="15"/>
      <c r="BD467" s="15"/>
      <c r="BE467" s="14"/>
      <c r="BF467" s="41">
        <f t="shared" ref="BF467:BG467" si="1454">K467+O467+S467+W467+AA467+AE467+AI467+AM467+AQ467+AU467+AY467+BC467</f>
        <v>0</v>
      </c>
      <c r="BG467" s="34">
        <f t="shared" si="1454"/>
        <v>0</v>
      </c>
      <c r="BH467" s="35">
        <f t="shared" si="1446"/>
        <v>0</v>
      </c>
    </row>
    <row r="468" ht="14.25" customHeight="1" spans="1:60" x14ac:dyDescent="0.25">
      <c r="A468" s="29">
        <v>61</v>
      </c>
      <c r="B468" s="14"/>
      <c r="C468" s="2" t="s">
        <v>233</v>
      </c>
      <c r="D468" s="14" t="s">
        <v>50</v>
      </c>
      <c r="E468" s="2" t="s">
        <v>49</v>
      </c>
      <c r="F468" s="41">
        <v>1200</v>
      </c>
      <c r="G468" s="28"/>
      <c r="H468" s="34">
        <f>'2018'!BH468</f>
        <v>0.004800000001</v>
      </c>
      <c r="I468" s="13"/>
      <c r="J468" s="15"/>
      <c r="K468" s="15"/>
      <c r="L468" s="28"/>
      <c r="Q468" s="13"/>
      <c r="R468" s="15"/>
      <c r="S468" s="15"/>
      <c r="T468" s="28"/>
      <c r="Y468" s="13"/>
      <c r="Z468" s="15"/>
      <c r="AA468" s="15"/>
      <c r="AB468" s="28"/>
      <c r="AE468" s="34">
        <f>B465*$F$12</f>
        <v>5652</v>
      </c>
      <c r="AG468" s="13"/>
      <c r="AH468" s="15"/>
      <c r="AI468" s="15"/>
      <c r="AJ468" s="139">
        <v>2146.65</v>
      </c>
      <c r="AK468" s="13"/>
      <c r="AL468" s="15"/>
      <c r="AM468" s="15"/>
      <c r="AN468" s="139">
        <v>3505.35</v>
      </c>
      <c r="AO468" s="13"/>
      <c r="AP468" s="15"/>
      <c r="AQ468" s="15"/>
      <c r="AR468" s="28"/>
      <c r="AS468" s="15"/>
      <c r="AT468" s="15"/>
      <c r="AU468" s="15"/>
      <c r="AV468" s="15"/>
      <c r="AW468" s="13"/>
      <c r="AX468" s="15"/>
      <c r="AY468" s="15"/>
      <c r="AZ468" s="28"/>
      <c r="BA468" s="15"/>
      <c r="BB468" s="15"/>
      <c r="BC468" s="15"/>
      <c r="BD468" s="15"/>
      <c r="BE468" s="14"/>
      <c r="BF468" s="41">
        <f t="shared" ref="BF468:BG468" si="1455">K468+O468+S468+W468+AA468+AE468+AI468+AM468+AQ468+AU468+AY468+BC468</f>
        <v>5652</v>
      </c>
      <c r="BG468" s="34">
        <f t="shared" si="1455"/>
        <v>5652</v>
      </c>
      <c r="BH468" s="35">
        <f t="shared" si="1446"/>
        <v>0.004800000001</v>
      </c>
    </row>
    <row r="469" ht="14.25" customHeight="1" spans="1:60" x14ac:dyDescent="0.25">
      <c r="A469" s="29">
        <v>61</v>
      </c>
      <c r="B469" s="14"/>
      <c r="D469" s="14" t="s">
        <v>51</v>
      </c>
      <c r="E469" s="2" t="s">
        <v>49</v>
      </c>
      <c r="F469" s="41">
        <v>1000</v>
      </c>
      <c r="G469" s="28"/>
      <c r="H469" s="34">
        <f>'2018'!BH469</f>
        <v>0</v>
      </c>
      <c r="I469" s="13"/>
      <c r="J469" s="15"/>
      <c r="K469" s="15"/>
      <c r="L469" s="28"/>
      <c r="Q469" s="13"/>
      <c r="R469" s="15"/>
      <c r="S469" s="15"/>
      <c r="T469" s="28"/>
      <c r="Y469" s="13"/>
      <c r="Z469" s="15"/>
      <c r="AA469" s="15"/>
      <c r="AB469" s="28"/>
      <c r="AE469" s="34">
        <f>$F$21</f>
        <v>1000</v>
      </c>
      <c r="AG469" s="13"/>
      <c r="AH469" s="15"/>
      <c r="AI469" s="15"/>
      <c r="AJ469" s="134">
        <v>1000</v>
      </c>
      <c r="AK469" s="13"/>
      <c r="AL469" s="15"/>
      <c r="AM469" s="15"/>
      <c r="AN469" s="28"/>
      <c r="AO469" s="13"/>
      <c r="AP469" s="15"/>
      <c r="AQ469" s="15"/>
      <c r="AR469" s="28"/>
      <c r="AS469" s="15"/>
      <c r="AT469" s="15"/>
      <c r="AU469" s="15"/>
      <c r="AV469" s="15"/>
      <c r="AW469" s="13"/>
      <c r="AX469" s="15"/>
      <c r="AY469" s="15"/>
      <c r="AZ469" s="28"/>
      <c r="BA469" s="15"/>
      <c r="BB469" s="15"/>
      <c r="BC469" s="15"/>
      <c r="BD469" s="15"/>
      <c r="BE469" s="14"/>
      <c r="BF469" s="41">
        <f t="shared" ref="BF469:BG469" si="1456">K469+O469+S469+W469+AA469+AE469+AI469+AM469+AQ469+AU469+AY469+BC469</f>
        <v>1000</v>
      </c>
      <c r="BG469" s="34">
        <f t="shared" si="1456"/>
        <v>1000</v>
      </c>
      <c r="BH469" s="35">
        <f t="shared" si="1446"/>
        <v>0</v>
      </c>
    </row>
    <row r="470" ht="14.25" customHeight="1" spans="1:60" x14ac:dyDescent="0.25">
      <c r="A470" s="29">
        <v>61</v>
      </c>
      <c r="B470" s="14"/>
      <c r="D470" s="14" t="s">
        <v>52</v>
      </c>
      <c r="E470" s="2" t="s">
        <v>39</v>
      </c>
      <c r="F470" s="41">
        <v>500</v>
      </c>
      <c r="G470" s="28"/>
      <c r="H470" s="34">
        <f>'2018'!BH470</f>
        <v>0</v>
      </c>
      <c r="I470" s="13"/>
      <c r="J470" s="15"/>
      <c r="K470" s="15"/>
      <c r="L470" s="28"/>
      <c r="Q470" s="13"/>
      <c r="R470" s="15"/>
      <c r="S470" s="15"/>
      <c r="T470" s="28"/>
      <c r="Y470" s="13"/>
      <c r="Z470" s="15"/>
      <c r="AA470" s="34">
        <f>$F$14</f>
        <v>500</v>
      </c>
      <c r="AB470" s="28"/>
      <c r="AG470" s="13"/>
      <c r="AH470" s="15"/>
      <c r="AI470" s="15"/>
      <c r="AJ470" s="134">
        <v>500</v>
      </c>
      <c r="AK470" s="13"/>
      <c r="AL470" s="15"/>
      <c r="AM470" s="15"/>
      <c r="AN470" s="28"/>
      <c r="AO470" s="13"/>
      <c r="AP470" s="15"/>
      <c r="AQ470" s="15"/>
      <c r="AR470" s="35"/>
      <c r="AS470" s="15"/>
      <c r="AT470" s="15"/>
      <c r="AU470" s="15"/>
      <c r="AV470" s="15"/>
      <c r="AW470" s="13"/>
      <c r="AX470" s="15"/>
      <c r="AY470" s="15"/>
      <c r="AZ470" s="28"/>
      <c r="BA470" s="15"/>
      <c r="BB470" s="15"/>
      <c r="BC470" s="15"/>
      <c r="BD470" s="15"/>
      <c r="BE470" s="14"/>
      <c r="BF470" s="41">
        <f t="shared" ref="BF470:BG470" si="1457">K470+O470+S470+W470+AA470+AE470+AI470+AM470+AQ470+AU470+AY470+BC470</f>
        <v>500</v>
      </c>
      <c r="BG470" s="34">
        <f t="shared" si="1457"/>
        <v>500</v>
      </c>
      <c r="BH470" s="35">
        <f t="shared" si="1446"/>
        <v>0</v>
      </c>
    </row>
    <row r="471" ht="14.25" customHeight="1" spans="1:62" x14ac:dyDescent="0.25">
      <c r="A471" s="50">
        <v>61</v>
      </c>
      <c r="B471" s="21"/>
      <c r="C471" s="22" t="s">
        <v>53</v>
      </c>
      <c r="D471" s="21"/>
      <c r="E471" s="22"/>
      <c r="F471" s="20"/>
      <c r="G471" s="23"/>
      <c r="H471" s="51">
        <f>SUM(H464:H470)</f>
        <v>12.4548</v>
      </c>
      <c r="I471" s="52"/>
      <c r="J471" s="53"/>
      <c r="K471" s="51">
        <f t="shared" ref="K471:L471" si="1458">SUM(K464:K470)</f>
        <v>0</v>
      </c>
      <c r="L471" s="68">
        <f t="shared" si="1458"/>
        <v>0</v>
      </c>
      <c r="M471" s="53"/>
      <c r="N471" s="53"/>
      <c r="O471" s="51">
        <f t="shared" ref="O471:P471" si="1459">SUM(O465:O470)</f>
        <v>0</v>
      </c>
      <c r="P471" s="51">
        <f t="shared" si="1459"/>
        <v>0</v>
      </c>
      <c r="Q471" s="52"/>
      <c r="R471" s="53"/>
      <c r="S471" s="51">
        <f t="shared" ref="S471:T471" si="1460">SUM(S465:S470)</f>
        <v>0</v>
      </c>
      <c r="T471" s="68">
        <f t="shared" si="1460"/>
        <v>0</v>
      </c>
      <c r="U471" s="53"/>
      <c r="V471" s="53"/>
      <c r="W471" s="51">
        <f t="shared" ref="W471:X471" si="1461">SUM(W465:W470)</f>
        <v>0</v>
      </c>
      <c r="X471" s="51">
        <f t="shared" si="1461"/>
        <v>0</v>
      </c>
      <c r="Y471" s="52"/>
      <c r="Z471" s="53"/>
      <c r="AA471" s="51">
        <f t="shared" ref="AA471:AB471" si="1462">SUM(AA465:AA470)</f>
        <v>562.8</v>
      </c>
      <c r="AB471" s="68">
        <f t="shared" si="1462"/>
        <v>0</v>
      </c>
      <c r="AC471" s="53"/>
      <c r="AD471" s="53"/>
      <c r="AE471" s="51">
        <f t="shared" ref="AE471:AF471" si="1463">SUM(AE465:AE470)</f>
        <v>6689.5</v>
      </c>
      <c r="AF471" s="51">
        <f t="shared" si="1463"/>
        <v>0</v>
      </c>
      <c r="AG471" s="52"/>
      <c r="AH471" s="53"/>
      <c r="AI471" s="51">
        <f t="shared" ref="AI471:AJ471" si="1464">SUM(AI465:AI470)</f>
        <v>240.6</v>
      </c>
      <c r="AJ471" s="68">
        <f t="shared" si="1464"/>
        <v>4000</v>
      </c>
      <c r="AK471" s="52"/>
      <c r="AL471" s="53"/>
      <c r="AM471" s="51">
        <f t="shared" ref="AM471:AN471" si="1465">SUM(AM465:AM470)</f>
        <v>41.06</v>
      </c>
      <c r="AN471" s="68">
        <f t="shared" si="1465"/>
        <v>3550</v>
      </c>
      <c r="AO471" s="52"/>
      <c r="AP471" s="53"/>
      <c r="AQ471" s="51">
        <f t="shared" ref="AQ471:AR471" si="1466">SUM(AQ464:AQ470)</f>
        <v>59.62</v>
      </c>
      <c r="AR471" s="68">
        <f t="shared" si="1466"/>
        <v>0</v>
      </c>
      <c r="AS471" s="53"/>
      <c r="AT471" s="53"/>
      <c r="AU471" s="51">
        <f t="shared" ref="AU471:AV471" si="1467">SUM(AU464:AU470)</f>
        <v>15</v>
      </c>
      <c r="AV471" s="68">
        <f t="shared" si="1467"/>
        <v>0</v>
      </c>
      <c r="AW471" s="52"/>
      <c r="AX471" s="53"/>
      <c r="AY471" s="51">
        <f t="shared" ref="AY471:AZ471" si="1468">SUM(AY464:AY470)</f>
        <v>5</v>
      </c>
      <c r="AZ471" s="68">
        <f t="shared" si="1468"/>
        <v>0</v>
      </c>
      <c r="BA471" s="53"/>
      <c r="BB471" s="53"/>
      <c r="BC471" s="51">
        <f t="shared" ref="BC471:BD471" si="1469">SUM(BC464:BC470)</f>
        <v>0</v>
      </c>
      <c r="BD471" s="68">
        <f t="shared" si="1469"/>
        <v>0</v>
      </c>
      <c r="BE471" s="69"/>
      <c r="BF471" s="70">
        <f t="shared" ref="BF471:BH471" si="1470">SUM(BF464:BF470)</f>
        <v>7613.58</v>
      </c>
      <c r="BG471" s="71">
        <f t="shared" si="1470"/>
        <v>7550</v>
      </c>
      <c r="BH471" s="72">
        <f t="shared" si="1470"/>
        <v>76.0348</v>
      </c>
      <c r="BI471" s="34">
        <f>H471+BF471-BG471</f>
        <v>76.0348</v>
      </c>
      <c r="BJ471" s="34">
        <f>BH471-BI471</f>
        <v>0</v>
      </c>
    </row>
    <row r="472" ht="14.25" customHeight="1" spans="1:60" x14ac:dyDescent="0.25">
      <c r="A472" s="29">
        <v>62</v>
      </c>
      <c r="B472" s="14"/>
      <c r="D472" s="14" t="s">
        <v>379</v>
      </c>
      <c r="F472" s="13"/>
      <c r="G472" s="28"/>
      <c r="H472" s="34">
        <f>'2018'!BH472</f>
      </c>
      <c r="I472" s="13"/>
      <c r="J472" s="15"/>
      <c r="K472" s="15"/>
      <c r="L472" s="28"/>
      <c r="Q472" s="13"/>
      <c r="R472" s="15"/>
      <c r="S472" s="15"/>
      <c r="T472" s="28"/>
      <c r="Y472" s="13"/>
      <c r="Z472" s="15"/>
      <c r="AA472" s="15"/>
      <c r="AB472" s="28"/>
      <c r="AG472" s="13"/>
      <c r="AH472" s="15"/>
      <c r="AI472" s="15"/>
      <c r="AJ472" s="28"/>
      <c r="AK472" s="13"/>
      <c r="AL472" s="15"/>
      <c r="AM472" s="15"/>
      <c r="AN472" s="28"/>
      <c r="AO472" s="13"/>
      <c r="AP472" s="15"/>
      <c r="AQ472" s="15"/>
      <c r="AR472" s="28"/>
      <c r="AW472" s="13"/>
      <c r="AX472" s="15"/>
      <c r="AY472" s="15"/>
      <c r="AZ472" s="28"/>
      <c r="BE472" s="14"/>
      <c r="BF472" s="41">
        <f t="shared" ref="BF472:BG472" si="1471">K472+O472+S472+W472+AA472+AE472+AI472+AM472+AQ472+AU472+AY472+BC472</f>
        <v>0</v>
      </c>
      <c r="BG472" s="34">
        <f t="shared" si="1471"/>
        <v>0</v>
      </c>
      <c r="BH472" s="35">
        <f t="shared" ref="BH472:BH478" si="1472">H472+BF472-BG472</f>
        <v>0</v>
      </c>
    </row>
    <row r="473" ht="14.25" customHeight="1" spans="1:60" x14ac:dyDescent="0.25">
      <c r="A473" s="2">
        <v>62</v>
      </c>
      <c r="B473" s="42">
        <v>4.6</v>
      </c>
      <c r="C473" s="15" t="s">
        <v>236</v>
      </c>
      <c r="D473" s="14" t="s">
        <v>44</v>
      </c>
      <c r="E473" s="2" t="s">
        <v>45</v>
      </c>
      <c r="F473" s="13">
        <v>2.49</v>
      </c>
      <c r="G473" s="35">
        <v>2.5</v>
      </c>
      <c r="H473" s="34">
        <f>'2018'!BH473</f>
        <v>14.94</v>
      </c>
      <c r="I473" s="13">
        <v>307</v>
      </c>
      <c r="J473" s="15">
        <f>I473-'2018'!BA473</f>
        <v>0</v>
      </c>
      <c r="K473" s="34">
        <f>J473*$F$8</f>
        <v>0</v>
      </c>
      <c r="L473" s="28"/>
      <c r="M473" s="2">
        <v>307</v>
      </c>
      <c r="N473" s="15">
        <f>M473-I473</f>
        <v>0</v>
      </c>
      <c r="O473" s="34">
        <f>N473*$F$8</f>
        <v>0</v>
      </c>
      <c r="Q473" s="13">
        <v>307</v>
      </c>
      <c r="R473" s="15">
        <f>Q473-M473</f>
        <v>0</v>
      </c>
      <c r="S473" s="34">
        <f>R473*$F$8</f>
        <v>0</v>
      </c>
      <c r="T473" s="28"/>
      <c r="U473" s="15">
        <v>307</v>
      </c>
      <c r="V473" s="15">
        <f>U473-Q473</f>
        <v>0</v>
      </c>
      <c r="W473" s="34">
        <f>V473*$F$8</f>
        <v>0</v>
      </c>
      <c r="X473" s="15"/>
      <c r="Y473" s="13">
        <v>312</v>
      </c>
      <c r="Z473" s="15">
        <f>Y473-U473</f>
        <v>5</v>
      </c>
      <c r="AA473" s="34">
        <f>Z473*$F$8</f>
        <v>12.45</v>
      </c>
      <c r="AB473" s="28"/>
      <c r="AC473" s="15">
        <v>329</v>
      </c>
      <c r="AD473" s="15">
        <f t="shared" ref="AD473:AD474" si="1473">AC473-Y473</f>
        <v>17</v>
      </c>
      <c r="AE473" s="34">
        <f>AD473*$G$8</f>
        <v>42.5</v>
      </c>
      <c r="AF473" s="138">
        <f>69.89+10.1</f>
        <v>79.99</v>
      </c>
      <c r="AG473" s="13">
        <v>364</v>
      </c>
      <c r="AH473" s="15">
        <f t="shared" ref="AH473:AH474" si="1474">AG473-AC473</f>
        <v>35</v>
      </c>
      <c r="AI473" s="34">
        <f>AH473*$G$8</f>
        <v>87.5</v>
      </c>
      <c r="AJ473" s="32"/>
      <c r="AK473" s="13">
        <v>396</v>
      </c>
      <c r="AL473" s="15">
        <f t="shared" ref="AL473:AL474" si="1475">AK473-AG473</f>
        <v>32</v>
      </c>
      <c r="AM473" s="34">
        <f>AL473*$G$8</f>
        <v>80</v>
      </c>
      <c r="AN473" s="134">
        <v>157.4</v>
      </c>
      <c r="AO473" s="13">
        <v>417</v>
      </c>
      <c r="AP473" s="15">
        <f t="shared" ref="AP473:AP474" si="1476">AO473-AK473</f>
        <v>21</v>
      </c>
      <c r="AQ473" s="34">
        <f>AP473*$G$8</f>
        <v>52.5</v>
      </c>
      <c r="AR473" s="28"/>
      <c r="AS473" s="15">
        <v>418</v>
      </c>
      <c r="AT473" s="15">
        <f t="shared" ref="AT473:AT474" si="1477">AS473-AO473</f>
        <v>1</v>
      </c>
      <c r="AU473" s="34">
        <f>AT473*$G$8</f>
        <v>2.5</v>
      </c>
      <c r="AV473" s="15"/>
      <c r="AW473" s="13">
        <v>418</v>
      </c>
      <c r="AX473" s="15">
        <f>AW473-AS473</f>
        <v>0</v>
      </c>
      <c r="AY473" s="34">
        <f>AX473*$G$8</f>
        <v>0</v>
      </c>
      <c r="AZ473" s="28"/>
      <c r="BA473" s="13">
        <v>418</v>
      </c>
      <c r="BB473" s="15">
        <f>BA473-AW473</f>
        <v>0</v>
      </c>
      <c r="BC473" s="34">
        <f>BB473*$G$8</f>
        <v>0</v>
      </c>
      <c r="BD473" s="15"/>
      <c r="BE473" s="40">
        <f t="shared" ref="BE473:BG473" si="1478">J473+N473+R473+V473+Z473+AD473+AH473+AL473+AP473+AT473+AX473+BB473</f>
        <v>111</v>
      </c>
      <c r="BF473" s="41">
        <f t="shared" si="1478"/>
        <v>277.45</v>
      </c>
      <c r="BG473" s="34">
        <f t="shared" si="1478"/>
        <v>237.39</v>
      </c>
      <c r="BH473" s="35">
        <f t="shared" si="1472"/>
        <v>55</v>
      </c>
    </row>
    <row r="474" ht="14.25" customHeight="1" spans="1:60" x14ac:dyDescent="0.25">
      <c r="A474" s="29">
        <v>62</v>
      </c>
      <c r="B474" s="14"/>
      <c r="C474" s="15" t="s">
        <v>79</v>
      </c>
      <c r="D474" s="14" t="s">
        <v>47</v>
      </c>
      <c r="E474" s="2" t="s">
        <v>48</v>
      </c>
      <c r="F474" s="13">
        <v>17.98</v>
      </c>
      <c r="G474" s="28">
        <v>18.56</v>
      </c>
      <c r="H474" s="34">
        <f>'2018'!BH474</f>
        <v>17.16</v>
      </c>
      <c r="I474" s="13">
        <v>160</v>
      </c>
      <c r="J474" s="15"/>
      <c r="K474" s="15"/>
      <c r="L474" s="28"/>
      <c r="Q474" s="13"/>
      <c r="R474" s="15"/>
      <c r="S474" s="15"/>
      <c r="T474" s="28"/>
      <c r="Y474" s="13">
        <v>145</v>
      </c>
      <c r="Z474" s="15">
        <f>Y474-'2018'!AO474</f>
        <v>-15</v>
      </c>
      <c r="AA474" s="34">
        <f>Z474*$F$10</f>
        <v>-269.7</v>
      </c>
      <c r="AB474" s="28"/>
      <c r="AC474" s="15">
        <v>150</v>
      </c>
      <c r="AD474" s="15">
        <f t="shared" si="1473"/>
        <v>5</v>
      </c>
      <c r="AE474" s="34">
        <f>AD474*$F$10</f>
        <v>89.9</v>
      </c>
      <c r="AG474" s="13">
        <v>150</v>
      </c>
      <c r="AH474" s="15">
        <f t="shared" si="1474"/>
        <v>0</v>
      </c>
      <c r="AI474" s="45">
        <f>AH474*$G$10</f>
        <v>0</v>
      </c>
      <c r="AJ474" s="32"/>
      <c r="AK474" s="15">
        <v>170</v>
      </c>
      <c r="AL474" s="15">
        <f t="shared" si="1475"/>
        <v>20</v>
      </c>
      <c r="AM474" s="45">
        <f>AL474*$G$10</f>
        <v>371.2</v>
      </c>
      <c r="AN474" s="134">
        <f>208.56+4.04</f>
        <v>212.6</v>
      </c>
      <c r="AO474" s="15">
        <v>173</v>
      </c>
      <c r="AP474" s="15">
        <f t="shared" si="1476"/>
        <v>3</v>
      </c>
      <c r="AQ474" s="45">
        <f>AP474*$G$10</f>
        <v>55.68</v>
      </c>
      <c r="AR474" s="28"/>
      <c r="AS474" s="15">
        <v>173</v>
      </c>
      <c r="AT474" s="15">
        <f t="shared" si="1477"/>
        <v>0</v>
      </c>
      <c r="AU474" s="45">
        <f>AT474*$G$10</f>
        <v>0</v>
      </c>
      <c r="AV474" s="15"/>
      <c r="AW474" s="13">
        <v>173</v>
      </c>
      <c r="AX474" s="15"/>
      <c r="AY474" s="15"/>
      <c r="AZ474" s="28"/>
      <c r="BA474" s="15">
        <v>173</v>
      </c>
      <c r="BB474" s="15"/>
      <c r="BC474" s="15"/>
      <c r="BD474" s="15"/>
      <c r="BE474" s="40">
        <f t="shared" ref="BE474:BG474" si="1479">J474+N474+R474+V474+Z474+AD474+AH474+AL474+AP474+AT474+AX474+BB474</f>
        <v>13</v>
      </c>
      <c r="BF474" s="41">
        <f t="shared" si="1479"/>
        <v>247.08</v>
      </c>
      <c r="BG474" s="34">
        <f t="shared" si="1479"/>
        <v>212.6</v>
      </c>
      <c r="BH474" s="35">
        <f t="shared" si="1472"/>
        <v>51.64</v>
      </c>
    </row>
    <row r="475" ht="14.25" customHeight="1" spans="1:60" x14ac:dyDescent="0.25">
      <c r="A475" s="29">
        <v>62</v>
      </c>
      <c r="B475" s="14"/>
      <c r="C475" s="15" t="s">
        <v>84</v>
      </c>
      <c r="D475" s="14" t="s">
        <v>47</v>
      </c>
      <c r="E475" s="2" t="s">
        <v>49</v>
      </c>
      <c r="F475" s="41">
        <v>500</v>
      </c>
      <c r="G475" s="28"/>
      <c r="H475" s="34">
        <f>'2018'!BH475</f>
        <v>0</v>
      </c>
      <c r="I475" s="13"/>
      <c r="J475" s="15"/>
      <c r="K475" s="15"/>
      <c r="L475" s="28"/>
      <c r="Q475" s="13"/>
      <c r="R475" s="15"/>
      <c r="S475" s="15"/>
      <c r="T475" s="28"/>
      <c r="Y475" s="13"/>
      <c r="Z475" s="15"/>
      <c r="AA475" s="15"/>
      <c r="AB475" s="28"/>
      <c r="AG475" s="13"/>
      <c r="AH475" s="15"/>
      <c r="AI475" s="15"/>
      <c r="AJ475" s="28"/>
      <c r="AK475" s="13"/>
      <c r="AL475" s="15"/>
      <c r="AM475" s="34"/>
      <c r="AN475" s="28"/>
      <c r="AO475" s="13"/>
      <c r="AP475" s="15"/>
      <c r="AQ475" s="34"/>
      <c r="AR475" s="28"/>
      <c r="AS475" s="15"/>
      <c r="AT475" s="15"/>
      <c r="AU475" s="15"/>
      <c r="AV475" s="15"/>
      <c r="AW475" s="13"/>
      <c r="AX475" s="15"/>
      <c r="AY475" s="15"/>
      <c r="AZ475" s="28"/>
      <c r="BA475" s="15"/>
      <c r="BB475" s="15"/>
      <c r="BC475" s="15"/>
      <c r="BD475" s="15"/>
      <c r="BE475" s="14"/>
      <c r="BF475" s="41">
        <f t="shared" ref="BF475:BG475" si="1480">K475+O475+S475+W475+AA475+AE475+AI475+AM475+AQ475+AU475+AY475+BC475</f>
        <v>0</v>
      </c>
      <c r="BG475" s="34">
        <f t="shared" si="1480"/>
        <v>0</v>
      </c>
      <c r="BH475" s="35">
        <f t="shared" si="1472"/>
        <v>0</v>
      </c>
    </row>
    <row r="476" ht="14.25" customHeight="1" spans="1:60" x14ac:dyDescent="0.25">
      <c r="A476" s="29">
        <v>62</v>
      </c>
      <c r="B476" s="14"/>
      <c r="C476" s="15" t="s">
        <v>428</v>
      </c>
      <c r="D476" s="14" t="s">
        <v>50</v>
      </c>
      <c r="E476" s="2" t="s">
        <v>49</v>
      </c>
      <c r="F476" s="41">
        <v>1200</v>
      </c>
      <c r="G476" s="28"/>
      <c r="H476" s="34">
        <f>'2018'!BH476</f>
        <v>0.008000000001</v>
      </c>
      <c r="I476" s="13"/>
      <c r="J476" s="15"/>
      <c r="K476" s="15"/>
      <c r="L476" s="28"/>
      <c r="Q476" s="13"/>
      <c r="R476" s="15"/>
      <c r="S476" s="15"/>
      <c r="T476" s="28"/>
      <c r="Y476" s="13"/>
      <c r="Z476" s="15"/>
      <c r="AA476" s="15"/>
      <c r="AB476" s="28"/>
      <c r="AE476" s="34">
        <f>B473*$F$12</f>
        <v>5520</v>
      </c>
      <c r="AF476" s="133">
        <v>5520.01</v>
      </c>
      <c r="AG476" s="13"/>
      <c r="AH476" s="15"/>
      <c r="AI476" s="15"/>
      <c r="AJ476" s="38"/>
      <c r="AK476" s="13"/>
      <c r="AL476" s="15"/>
      <c r="AM476" s="15"/>
      <c r="AN476" s="28"/>
      <c r="AO476" s="13"/>
      <c r="AP476" s="15"/>
      <c r="AQ476" s="15"/>
      <c r="AR476" s="28"/>
      <c r="AS476" s="15"/>
      <c r="AT476" s="15"/>
      <c r="AU476" s="15"/>
      <c r="AV476" s="15"/>
      <c r="AW476" s="13"/>
      <c r="AX476" s="15"/>
      <c r="AY476" s="15"/>
      <c r="AZ476" s="28"/>
      <c r="BA476" s="15"/>
      <c r="BB476" s="15"/>
      <c r="BC476" s="15"/>
      <c r="BD476" s="15"/>
      <c r="BE476" s="14"/>
      <c r="BF476" s="41">
        <f t="shared" ref="BF476:BG476" si="1481">K476+O476+S476+W476+AA476+AE476+AI476+AM476+AQ476+AU476+AY476+BC476</f>
        <v>5520</v>
      </c>
      <c r="BG476" s="34">
        <f t="shared" si="1481"/>
        <v>5520.01</v>
      </c>
      <c r="BH476" s="35">
        <f t="shared" si="1472"/>
        <v>-0.001999999999</v>
      </c>
    </row>
    <row r="477" ht="14.25" customHeight="1" spans="1:60" x14ac:dyDescent="0.25">
      <c r="A477" s="29">
        <v>62</v>
      </c>
      <c r="B477" s="14"/>
      <c r="C477" s="15"/>
      <c r="D477" s="14" t="s">
        <v>51</v>
      </c>
      <c r="E477" s="2" t="s">
        <v>49</v>
      </c>
      <c r="F477" s="41">
        <v>1000</v>
      </c>
      <c r="G477" s="28"/>
      <c r="H477" s="34">
        <f>'2018'!BH477</f>
        <v>0</v>
      </c>
      <c r="I477" s="13"/>
      <c r="J477" s="15"/>
      <c r="K477" s="15"/>
      <c r="L477" s="28"/>
      <c r="Q477" s="13"/>
      <c r="R477" s="15"/>
      <c r="S477" s="15"/>
      <c r="T477" s="28"/>
      <c r="Y477" s="13"/>
      <c r="Z477" s="15"/>
      <c r="AA477" s="15"/>
      <c r="AB477" s="28"/>
      <c r="AE477" s="34">
        <f>$F$21</f>
        <v>1000</v>
      </c>
      <c r="AF477" s="133">
        <v>1000</v>
      </c>
      <c r="AG477" s="13"/>
      <c r="AH477" s="15"/>
      <c r="AI477" s="15"/>
      <c r="AJ477" s="28"/>
      <c r="AK477" s="13"/>
      <c r="AL477" s="15"/>
      <c r="AM477" s="15"/>
      <c r="AN477" s="28"/>
      <c r="AO477" s="13"/>
      <c r="AP477" s="15"/>
      <c r="AQ477" s="15"/>
      <c r="AR477" s="28"/>
      <c r="AS477" s="15"/>
      <c r="AT477" s="15"/>
      <c r="AU477" s="15"/>
      <c r="AV477" s="15"/>
      <c r="AW477" s="13"/>
      <c r="AX477" s="15"/>
      <c r="AY477" s="15"/>
      <c r="AZ477" s="28"/>
      <c r="BA477" s="15"/>
      <c r="BB477" s="15"/>
      <c r="BC477" s="15"/>
      <c r="BD477" s="15"/>
      <c r="BE477" s="14"/>
      <c r="BF477" s="41">
        <f t="shared" ref="BF477:BG477" si="1482">K477+O477+S477+W477+AA477+AE477+AI477+AM477+AQ477+AU477+AY477+BC477</f>
        <v>1000</v>
      </c>
      <c r="BG477" s="34">
        <f t="shared" si="1482"/>
        <v>1000</v>
      </c>
      <c r="BH477" s="35">
        <f t="shared" si="1472"/>
        <v>0</v>
      </c>
    </row>
    <row r="478" ht="14.25" customHeight="1" spans="1:60" x14ac:dyDescent="0.25">
      <c r="A478" s="29">
        <v>62</v>
      </c>
      <c r="B478" s="14"/>
      <c r="C478" s="15"/>
      <c r="D478" s="14" t="s">
        <v>52</v>
      </c>
      <c r="E478" s="2" t="s">
        <v>39</v>
      </c>
      <c r="F478" s="41">
        <v>500</v>
      </c>
      <c r="G478" s="28"/>
      <c r="H478" s="34">
        <f>'2018'!BH478</f>
        <v>0</v>
      </c>
      <c r="I478" s="13"/>
      <c r="J478" s="15"/>
      <c r="K478" s="15"/>
      <c r="L478" s="28"/>
      <c r="Q478" s="13"/>
      <c r="R478" s="15"/>
      <c r="S478" s="15"/>
      <c r="T478" s="28"/>
      <c r="Y478" s="13"/>
      <c r="Z478" s="15"/>
      <c r="AA478" s="34">
        <f>$F$14</f>
        <v>500</v>
      </c>
      <c r="AB478" s="35"/>
      <c r="AF478" s="133">
        <v>500</v>
      </c>
      <c r="AG478" s="13"/>
      <c r="AH478" s="15"/>
      <c r="AI478" s="15"/>
      <c r="AJ478" s="28"/>
      <c r="AK478" s="13"/>
      <c r="AL478" s="15"/>
      <c r="AM478" s="15"/>
      <c r="AN478" s="28"/>
      <c r="AO478" s="13"/>
      <c r="AP478" s="15"/>
      <c r="AQ478" s="15"/>
      <c r="AR478" s="28"/>
      <c r="AS478" s="15"/>
      <c r="AT478" s="15"/>
      <c r="AU478" s="15"/>
      <c r="AV478" s="15"/>
      <c r="AW478" s="13"/>
      <c r="AX478" s="15"/>
      <c r="AY478" s="15"/>
      <c r="AZ478" s="28"/>
      <c r="BA478" s="15"/>
      <c r="BB478" s="15"/>
      <c r="BC478" s="15"/>
      <c r="BD478" s="15"/>
      <c r="BE478" s="14"/>
      <c r="BF478" s="41">
        <f t="shared" ref="BF478:BG478" si="1483">K478+O478+S478+W478+AA478+AE478+AI478+AM478+AQ478+AU478+AY478+BC478</f>
        <v>500</v>
      </c>
      <c r="BG478" s="34">
        <f t="shared" si="1483"/>
        <v>500</v>
      </c>
      <c r="BH478" s="35">
        <f t="shared" si="1472"/>
        <v>0</v>
      </c>
    </row>
    <row r="479" ht="14.25" customHeight="1" spans="1:62" x14ac:dyDescent="0.25">
      <c r="A479" s="50">
        <v>62</v>
      </c>
      <c r="B479" s="21"/>
      <c r="C479" s="22" t="s">
        <v>53</v>
      </c>
      <c r="D479" s="21"/>
      <c r="E479" s="22"/>
      <c r="F479" s="20"/>
      <c r="G479" s="23"/>
      <c r="H479" s="51">
        <f>SUM(H472:H478)</f>
        <v>32.108</v>
      </c>
      <c r="I479" s="52"/>
      <c r="J479" s="53"/>
      <c r="K479" s="51">
        <f t="shared" ref="K479:L479" si="1484">SUM(K472:K478)</f>
        <v>0</v>
      </c>
      <c r="L479" s="68">
        <f t="shared" si="1484"/>
        <v>0</v>
      </c>
      <c r="M479" s="53"/>
      <c r="N479" s="53"/>
      <c r="O479" s="51">
        <f t="shared" ref="O479:P479" si="1485">SUM(O473:O478)</f>
        <v>0</v>
      </c>
      <c r="P479" s="51">
        <f t="shared" si="1485"/>
        <v>0</v>
      </c>
      <c r="Q479" s="52"/>
      <c r="R479" s="53"/>
      <c r="S479" s="51">
        <f t="shared" ref="S479:T479" si="1486">SUM(S473:S478)</f>
        <v>0</v>
      </c>
      <c r="T479" s="68">
        <f t="shared" si="1486"/>
        <v>0</v>
      </c>
      <c r="U479" s="53"/>
      <c r="V479" s="53"/>
      <c r="W479" s="51">
        <f t="shared" ref="W479:X479" si="1487">SUM(W473:W478)</f>
        <v>0</v>
      </c>
      <c r="X479" s="51">
        <f t="shared" si="1487"/>
        <v>0</v>
      </c>
      <c r="Y479" s="52"/>
      <c r="Z479" s="53"/>
      <c r="AA479" s="51">
        <f t="shared" ref="AA479:AB479" si="1488">SUM(AA473:AA478)</f>
        <v>242.75</v>
      </c>
      <c r="AB479" s="68">
        <f t="shared" si="1488"/>
        <v>0</v>
      </c>
      <c r="AC479" s="53"/>
      <c r="AD479" s="53"/>
      <c r="AE479" s="51">
        <f t="shared" ref="AE479:AF479" si="1489">SUM(AE473:AE478)</f>
        <v>6652.4</v>
      </c>
      <c r="AF479" s="51">
        <f t="shared" si="1489"/>
        <v>7100</v>
      </c>
      <c r="AG479" s="52"/>
      <c r="AH479" s="53"/>
      <c r="AI479" s="51">
        <f t="shared" ref="AI479:AJ479" si="1490">SUM(AI473:AI478)</f>
        <v>87.5</v>
      </c>
      <c r="AJ479" s="68">
        <f t="shared" si="1490"/>
        <v>0</v>
      </c>
      <c r="AK479" s="52"/>
      <c r="AL479" s="53"/>
      <c r="AM479" s="51">
        <f t="shared" ref="AM479:AN479" si="1491">SUM(AM473:AM478)</f>
        <v>451.2</v>
      </c>
      <c r="AN479" s="68">
        <f t="shared" si="1491"/>
        <v>370</v>
      </c>
      <c r="AO479" s="52"/>
      <c r="AP479" s="53"/>
      <c r="AQ479" s="51">
        <f t="shared" ref="AQ479:AR479" si="1492">SUM(AQ472:AQ478)</f>
        <v>108.18</v>
      </c>
      <c r="AR479" s="68">
        <f t="shared" si="1492"/>
        <v>0</v>
      </c>
      <c r="AS479" s="53"/>
      <c r="AT479" s="53"/>
      <c r="AU479" s="51">
        <f t="shared" ref="AU479:AV479" si="1493">SUM(AU472:AU478)</f>
        <v>2.5</v>
      </c>
      <c r="AV479" s="68">
        <f t="shared" si="1493"/>
        <v>0</v>
      </c>
      <c r="AW479" s="52"/>
      <c r="AX479" s="53"/>
      <c r="AY479" s="51">
        <f t="shared" ref="AY479:AZ479" si="1494">SUM(AY472:AY478)</f>
        <v>0</v>
      </c>
      <c r="AZ479" s="68">
        <f t="shared" si="1494"/>
        <v>0</v>
      </c>
      <c r="BA479" s="53"/>
      <c r="BB479" s="53"/>
      <c r="BC479" s="51">
        <f t="shared" ref="BC479:BD479" si="1495">SUM(BC472:BC478)</f>
        <v>0</v>
      </c>
      <c r="BD479" s="68">
        <f t="shared" si="1495"/>
        <v>0</v>
      </c>
      <c r="BE479" s="69"/>
      <c r="BF479" s="70">
        <f t="shared" ref="BF479:BH479" si="1496">SUM(BF472:BF478)</f>
        <v>7544.53</v>
      </c>
      <c r="BG479" s="71">
        <f t="shared" si="1496"/>
        <v>7470</v>
      </c>
      <c r="BH479" s="72">
        <f t="shared" si="1496"/>
        <v>106.638</v>
      </c>
      <c r="BI479" s="34">
        <f>H479+BF479-BG479</f>
        <v>106.638</v>
      </c>
      <c r="BJ479" s="34">
        <f>BH479-BI479</f>
        <v>0</v>
      </c>
    </row>
    <row r="480" ht="14.25" customHeight="1" spans="1:60" x14ac:dyDescent="0.25">
      <c r="A480" s="79" t="s">
        <v>237</v>
      </c>
      <c r="B480" s="14"/>
      <c r="D480" s="14" t="s">
        <v>379</v>
      </c>
      <c r="F480" s="13"/>
      <c r="G480" s="28"/>
      <c r="H480" s="34">
        <f>'2018'!BH480</f>
      </c>
      <c r="I480" s="13"/>
      <c r="J480" s="15"/>
      <c r="K480" s="15"/>
      <c r="L480" s="28"/>
      <c r="Q480" s="13"/>
      <c r="R480" s="15"/>
      <c r="S480" s="15"/>
      <c r="T480" s="28"/>
      <c r="Y480" s="13"/>
      <c r="Z480" s="15"/>
      <c r="AA480" s="15"/>
      <c r="AB480" s="28"/>
      <c r="AG480" s="13"/>
      <c r="AH480" s="15"/>
      <c r="AI480" s="15"/>
      <c r="AJ480" s="28"/>
      <c r="AK480" s="13"/>
      <c r="AL480" s="15"/>
      <c r="AM480" s="15"/>
      <c r="AN480" s="28"/>
      <c r="AO480" s="13"/>
      <c r="AP480" s="15"/>
      <c r="AQ480" s="15"/>
      <c r="AR480" s="28"/>
      <c r="AW480" s="13"/>
      <c r="AX480" s="15"/>
      <c r="AY480" s="15"/>
      <c r="AZ480" s="28"/>
      <c r="BE480" s="14"/>
      <c r="BF480" s="41">
        <f t="shared" ref="BF480:BG480" si="1497">K480+O480+S480+W480+AA480+AE480+AI480+AM480+AQ480+AU480+AY480+BC480</f>
        <v>0</v>
      </c>
      <c r="BG480" s="34">
        <f t="shared" si="1497"/>
        <v>0</v>
      </c>
      <c r="BH480" s="35">
        <f t="shared" ref="BH480:BH486" si="1498">H480+BF480-BG480</f>
        <v>0</v>
      </c>
    </row>
    <row r="481" ht="14.25" customHeight="1" spans="1:60" x14ac:dyDescent="0.25">
      <c r="A481" s="89" t="s">
        <v>237</v>
      </c>
      <c r="B481" s="14">
        <f>4.01+4.01</f>
        <v>8.02</v>
      </c>
      <c r="C481" s="15" t="s">
        <v>238</v>
      </c>
      <c r="D481" s="14" t="s">
        <v>44</v>
      </c>
      <c r="E481" s="2" t="s">
        <v>45</v>
      </c>
      <c r="F481" s="13">
        <v>2.49</v>
      </c>
      <c r="G481" s="35">
        <v>2.5</v>
      </c>
      <c r="H481" s="34">
        <f>'2018'!BH481</f>
        <v>2.49</v>
      </c>
      <c r="I481" s="13">
        <v>23</v>
      </c>
      <c r="J481" s="15">
        <f>I481-'2018'!BA481</f>
        <v>0</v>
      </c>
      <c r="K481" s="34">
        <f>J481*$F$8</f>
        <v>0</v>
      </c>
      <c r="L481" s="28"/>
      <c r="M481" s="2">
        <v>23</v>
      </c>
      <c r="N481" s="15">
        <f>M481-I481</f>
        <v>0</v>
      </c>
      <c r="O481" s="34">
        <f>N481*$F$8</f>
        <v>0</v>
      </c>
      <c r="Q481" s="13">
        <v>23</v>
      </c>
      <c r="R481" s="15">
        <f>Q481-M481</f>
        <v>0</v>
      </c>
      <c r="S481" s="34">
        <f>R481*$F$8</f>
        <v>0</v>
      </c>
      <c r="T481" s="28"/>
      <c r="U481" s="15">
        <v>23</v>
      </c>
      <c r="V481" s="15">
        <f>U481-Q481</f>
        <v>0</v>
      </c>
      <c r="W481" s="34">
        <f>V481*$F$8</f>
        <v>0</v>
      </c>
      <c r="Y481" s="13">
        <v>25</v>
      </c>
      <c r="Z481" s="15">
        <f>Y481-U481</f>
        <v>2</v>
      </c>
      <c r="AA481" s="34">
        <f>Z481*$F$8</f>
        <v>4.98</v>
      </c>
      <c r="AB481" s="28"/>
      <c r="AC481" s="15">
        <v>27</v>
      </c>
      <c r="AD481" s="15">
        <f t="shared" ref="AD481:AD482" si="1499">AC481-Y481</f>
        <v>2</v>
      </c>
      <c r="AE481" s="34">
        <f>AD481*$G$8</f>
        <v>5</v>
      </c>
      <c r="AG481" s="13">
        <v>29</v>
      </c>
      <c r="AH481" s="15">
        <f t="shared" ref="AH481:AH482" si="1500">AG481-AC481</f>
        <v>2</v>
      </c>
      <c r="AI481" s="34">
        <f>AH481*$G$8</f>
        <v>5</v>
      </c>
      <c r="AJ481" s="139">
        <f>17.47+0.47</f>
        <v>17.94</v>
      </c>
      <c r="AK481" s="13">
        <v>31</v>
      </c>
      <c r="AL481" s="15">
        <f t="shared" ref="AL481:AL482" si="1501">AK481-AG481</f>
        <v>2</v>
      </c>
      <c r="AM481" s="34">
        <f>AL481*$G$8</f>
        <v>5</v>
      </c>
      <c r="AN481" s="28"/>
      <c r="AO481" s="13">
        <v>33</v>
      </c>
      <c r="AP481" s="15">
        <f t="shared" ref="AP481:AP482" si="1502">AO481-AK481</f>
        <v>2</v>
      </c>
      <c r="AQ481" s="34">
        <f>AP481*$G$8</f>
        <v>5</v>
      </c>
      <c r="AR481" s="28"/>
      <c r="AS481" s="15">
        <v>34</v>
      </c>
      <c r="AT481" s="15">
        <f t="shared" ref="AT481:AT482" si="1503">AS481-AO481</f>
        <v>1</v>
      </c>
      <c r="AU481" s="34">
        <f>AT481*$G$8</f>
        <v>2.5</v>
      </c>
      <c r="AV481" s="15"/>
      <c r="AW481" s="13">
        <v>34</v>
      </c>
      <c r="AX481" s="15">
        <f>AW481-AS481</f>
        <v>0</v>
      </c>
      <c r="AY481" s="34">
        <f>AX481*$G$8</f>
        <v>0</v>
      </c>
      <c r="AZ481" s="28"/>
      <c r="BA481" s="13">
        <v>34</v>
      </c>
      <c r="BB481" s="15">
        <f>BA481-AW481</f>
        <v>0</v>
      </c>
      <c r="BC481" s="34">
        <f>BB481*$G$8</f>
        <v>0</v>
      </c>
      <c r="BD481" s="15"/>
      <c r="BE481" s="40">
        <f t="shared" ref="BE481:BG481" si="1504">J481+N481+R481+V481+Z481+AD481+AH481+AL481+AP481+AT481+AX481+BB481</f>
        <v>11</v>
      </c>
      <c r="BF481" s="41">
        <f t="shared" si="1504"/>
        <v>27.48</v>
      </c>
      <c r="BG481" s="34">
        <f t="shared" si="1504"/>
        <v>17.94</v>
      </c>
      <c r="BH481" s="35">
        <f t="shared" si="1498"/>
        <v>12.03</v>
      </c>
    </row>
    <row r="482" ht="14.25" customHeight="1" spans="1:60" x14ac:dyDescent="0.25">
      <c r="A482" s="79" t="s">
        <v>237</v>
      </c>
      <c r="B482" s="14"/>
      <c r="C482" s="15" t="s">
        <v>239</v>
      </c>
      <c r="D482" s="14" t="s">
        <v>47</v>
      </c>
      <c r="E482" s="2" t="s">
        <v>48</v>
      </c>
      <c r="F482" s="13">
        <v>17.98</v>
      </c>
      <c r="G482" s="28">
        <v>18.56</v>
      </c>
      <c r="H482" s="34">
        <f>'2018'!BH482</f>
        <v>0</v>
      </c>
      <c r="I482" s="13">
        <v>113</v>
      </c>
      <c r="J482" s="15"/>
      <c r="K482" s="15"/>
      <c r="L482" s="28"/>
      <c r="Q482" s="13"/>
      <c r="R482" s="15"/>
      <c r="S482" s="15"/>
      <c r="T482" s="28"/>
      <c r="Y482" s="13">
        <v>114</v>
      </c>
      <c r="Z482" s="15">
        <f>Y482-'2018'!AO482</f>
        <v>1</v>
      </c>
      <c r="AA482" s="34">
        <f>Z482*$F$10</f>
        <v>17.98</v>
      </c>
      <c r="AB482" s="28"/>
      <c r="AC482" s="15">
        <v>114</v>
      </c>
      <c r="AD482" s="15">
        <f t="shared" si="1499"/>
        <v>0</v>
      </c>
      <c r="AE482" s="34">
        <f>AD482*$F$10</f>
        <v>0</v>
      </c>
      <c r="AG482" s="13">
        <v>132</v>
      </c>
      <c r="AH482" s="15">
        <f t="shared" si="1500"/>
        <v>18</v>
      </c>
      <c r="AI482" s="45">
        <f>AH482*$G$10</f>
        <v>334.08</v>
      </c>
      <c r="AJ482" s="139">
        <v>352.06</v>
      </c>
      <c r="AK482" s="13">
        <v>132</v>
      </c>
      <c r="AL482" s="15">
        <f t="shared" si="1501"/>
        <v>0</v>
      </c>
      <c r="AM482" s="45">
        <f>AL482*$G$10</f>
        <v>0</v>
      </c>
      <c r="AN482" s="28"/>
      <c r="AO482" s="95">
        <v>132</v>
      </c>
      <c r="AP482" s="15">
        <f t="shared" si="1502"/>
        <v>0</v>
      </c>
      <c r="AQ482" s="45">
        <f>AP482*$G$10</f>
        <v>0</v>
      </c>
      <c r="AR482" s="35"/>
      <c r="AS482" s="95">
        <v>132</v>
      </c>
      <c r="AT482" s="15">
        <f t="shared" si="1503"/>
        <v>0</v>
      </c>
      <c r="AU482" s="45">
        <f>AT482*$G$10</f>
        <v>0</v>
      </c>
      <c r="AV482" s="15"/>
      <c r="AW482" s="95">
        <v>132</v>
      </c>
      <c r="AX482" s="15"/>
      <c r="AY482" s="15"/>
      <c r="AZ482" s="28"/>
      <c r="BA482" s="95">
        <v>132</v>
      </c>
      <c r="BB482" s="15"/>
      <c r="BC482" s="15"/>
      <c r="BD482" s="15"/>
      <c r="BE482" s="40">
        <f t="shared" ref="BE482:BG482" si="1505">J482+N482+R482+V482+Z482+AD482+AH482+AL482+AP482+AT482+AX482+BB482</f>
        <v>19</v>
      </c>
      <c r="BF482" s="41">
        <f t="shared" si="1505"/>
        <v>352.06</v>
      </c>
      <c r="BG482" s="34">
        <f t="shared" si="1505"/>
        <v>352.06</v>
      </c>
      <c r="BH482" s="35">
        <f t="shared" si="1498"/>
        <v>0</v>
      </c>
    </row>
    <row r="483" ht="14.25" customHeight="1" spans="1:60" x14ac:dyDescent="0.25">
      <c r="A483" s="79" t="s">
        <v>237</v>
      </c>
      <c r="B483" s="14"/>
      <c r="C483" s="15" t="s">
        <v>68</v>
      </c>
      <c r="D483" s="14" t="s">
        <v>47</v>
      </c>
      <c r="E483" s="2" t="s">
        <v>49</v>
      </c>
      <c r="F483" s="41">
        <v>500</v>
      </c>
      <c r="G483" s="28"/>
      <c r="H483" s="34">
        <f>'2018'!BH483</f>
        <v>0</v>
      </c>
      <c r="I483" s="13"/>
      <c r="J483" s="15"/>
      <c r="K483" s="15"/>
      <c r="L483" s="28"/>
      <c r="Q483" s="13"/>
      <c r="R483" s="15"/>
      <c r="S483" s="15"/>
      <c r="T483" s="28"/>
      <c r="Y483" s="13"/>
      <c r="Z483" s="15"/>
      <c r="AA483" s="15"/>
      <c r="AB483" s="28"/>
      <c r="AG483" s="13"/>
      <c r="AH483" s="15"/>
      <c r="AI483" s="15"/>
      <c r="AJ483" s="28"/>
      <c r="AK483" s="13"/>
      <c r="AL483" s="15"/>
      <c r="AM483" s="34"/>
      <c r="AN483" s="28"/>
      <c r="AO483" s="13"/>
      <c r="AP483" s="15"/>
      <c r="AQ483" s="34"/>
      <c r="AR483" s="28"/>
      <c r="AS483" s="15"/>
      <c r="AT483" s="15"/>
      <c r="AU483" s="15"/>
      <c r="AV483" s="15"/>
      <c r="AW483" s="13"/>
      <c r="AX483" s="15"/>
      <c r="AY483" s="15"/>
      <c r="AZ483" s="28"/>
      <c r="BA483" s="15"/>
      <c r="BB483" s="15"/>
      <c r="BC483" s="15"/>
      <c r="BD483" s="15"/>
      <c r="BE483" s="14"/>
      <c r="BF483" s="41">
        <f t="shared" ref="BF483:BG483" si="1506">K483+O483+S483+W483+AA483+AE483+AI483+AM483+AQ483+AU483+AY483+BC483</f>
        <v>0</v>
      </c>
      <c r="BG483" s="34">
        <f t="shared" si="1506"/>
        <v>0</v>
      </c>
      <c r="BH483" s="35">
        <f t="shared" si="1498"/>
        <v>0</v>
      </c>
    </row>
    <row r="484" ht="14.25" customHeight="1" spans="1:60" x14ac:dyDescent="0.25">
      <c r="A484" s="79" t="s">
        <v>237</v>
      </c>
      <c r="B484" s="14"/>
      <c r="C484" s="15" t="s">
        <v>240</v>
      </c>
      <c r="D484" s="14" t="s">
        <v>50</v>
      </c>
      <c r="E484" s="2" t="s">
        <v>49</v>
      </c>
      <c r="F484" s="41">
        <v>1200</v>
      </c>
      <c r="G484" s="28"/>
      <c r="H484" s="34">
        <f>'2018'!BH484</f>
        <v>-0.002399999999</v>
      </c>
      <c r="I484" s="13"/>
      <c r="J484" s="15"/>
      <c r="K484" s="15"/>
      <c r="L484" s="28"/>
      <c r="Q484" s="13"/>
      <c r="R484" s="15"/>
      <c r="S484" s="15"/>
      <c r="T484" s="28"/>
      <c r="Y484" s="13"/>
      <c r="Z484" s="15"/>
      <c r="AA484" s="15"/>
      <c r="AB484" s="28"/>
      <c r="AE484" s="34">
        <f>B481*$F$12</f>
        <v>9624</v>
      </c>
      <c r="AG484" s="13"/>
      <c r="AH484" s="15"/>
      <c r="AI484" s="15"/>
      <c r="AJ484" s="134">
        <v>9624</v>
      </c>
      <c r="AK484" s="13"/>
      <c r="AL484" s="15"/>
      <c r="AM484" s="15"/>
      <c r="AN484" s="28"/>
      <c r="AO484" s="13"/>
      <c r="AP484" s="15"/>
      <c r="AQ484" s="15"/>
      <c r="AR484" s="28"/>
      <c r="AS484" s="15"/>
      <c r="AT484" s="15"/>
      <c r="AU484" s="15"/>
      <c r="AV484" s="15"/>
      <c r="AW484" s="13"/>
      <c r="AX484" s="15"/>
      <c r="AY484" s="15"/>
      <c r="AZ484" s="28"/>
      <c r="BA484" s="15"/>
      <c r="BB484" s="15"/>
      <c r="BC484" s="15"/>
      <c r="BD484" s="15"/>
      <c r="BE484" s="14"/>
      <c r="BF484" s="41">
        <f t="shared" ref="BF484:BG484" si="1507">K484+O484+S484+W484+AA484+AE484+AI484+AM484+AQ484+AU484+AY484+BC484</f>
        <v>9624</v>
      </c>
      <c r="BG484" s="34">
        <f t="shared" si="1507"/>
        <v>9624</v>
      </c>
      <c r="BH484" s="35">
        <f t="shared" si="1498"/>
        <v>-0.002399999999</v>
      </c>
    </row>
    <row r="485" ht="14.25" customHeight="1" spans="1:60" x14ac:dyDescent="0.25">
      <c r="A485" s="79" t="s">
        <v>237</v>
      </c>
      <c r="B485" s="14"/>
      <c r="D485" s="14" t="s">
        <v>51</v>
      </c>
      <c r="E485" s="2" t="s">
        <v>49</v>
      </c>
      <c r="F485" s="41">
        <v>1000</v>
      </c>
      <c r="G485" s="28"/>
      <c r="H485" s="34">
        <f>'2018'!BH485</f>
        <v>0</v>
      </c>
      <c r="I485" s="13"/>
      <c r="J485" s="15"/>
      <c r="K485" s="15"/>
      <c r="L485" s="28"/>
      <c r="Q485" s="13"/>
      <c r="R485" s="15"/>
      <c r="S485" s="15"/>
      <c r="T485" s="28"/>
      <c r="Y485" s="13"/>
      <c r="Z485" s="15"/>
      <c r="AA485" s="15"/>
      <c r="AB485" s="28"/>
      <c r="AE485" s="34">
        <f>$F$21*2</f>
        <v>2000</v>
      </c>
      <c r="AG485" s="13"/>
      <c r="AH485" s="15"/>
      <c r="AI485" s="15"/>
      <c r="AJ485" s="134">
        <v>2000</v>
      </c>
      <c r="AK485" s="13"/>
      <c r="AL485" s="15"/>
      <c r="AM485" s="15"/>
      <c r="AN485" s="28"/>
      <c r="AO485" s="13"/>
      <c r="AP485" s="15"/>
      <c r="AQ485" s="15"/>
      <c r="AR485" s="28"/>
      <c r="AS485" s="15"/>
      <c r="AT485" s="15"/>
      <c r="AU485" s="15"/>
      <c r="AV485" s="15"/>
      <c r="AW485" s="13"/>
      <c r="AX485" s="15"/>
      <c r="AY485" s="15"/>
      <c r="AZ485" s="28"/>
      <c r="BA485" s="15"/>
      <c r="BB485" s="15"/>
      <c r="BC485" s="15"/>
      <c r="BD485" s="15"/>
      <c r="BE485" s="14"/>
      <c r="BF485" s="41">
        <f t="shared" ref="BF485:BG485" si="1508">K485+O485+S485+W485+AA485+AE485+AI485+AM485+AQ485+AU485+AY485+BC485</f>
        <v>2000</v>
      </c>
      <c r="BG485" s="34">
        <f t="shared" si="1508"/>
        <v>2000</v>
      </c>
      <c r="BH485" s="35">
        <f t="shared" si="1498"/>
        <v>0</v>
      </c>
    </row>
    <row r="486" ht="14.25" customHeight="1" spans="1:60" x14ac:dyDescent="0.25">
      <c r="A486" s="79" t="s">
        <v>237</v>
      </c>
      <c r="B486" s="14"/>
      <c r="D486" s="14" t="s">
        <v>52</v>
      </c>
      <c r="E486" s="2" t="s">
        <v>39</v>
      </c>
      <c r="F486" s="41">
        <v>500</v>
      </c>
      <c r="G486" s="28"/>
      <c r="H486" s="34">
        <f>'2018'!BH486</f>
        <v>0</v>
      </c>
      <c r="I486" s="13"/>
      <c r="J486" s="15"/>
      <c r="K486" s="15"/>
      <c r="L486" s="28"/>
      <c r="Q486" s="13"/>
      <c r="R486" s="15"/>
      <c r="S486" s="15"/>
      <c r="T486" s="28"/>
      <c r="Y486" s="13"/>
      <c r="Z486" s="15"/>
      <c r="AA486" s="34">
        <f>$F$14*2</f>
        <v>1000</v>
      </c>
      <c r="AB486" s="28"/>
      <c r="AG486" s="13"/>
      <c r="AH486" s="15"/>
      <c r="AI486" s="15"/>
      <c r="AJ486" s="134">
        <v>1000</v>
      </c>
      <c r="AK486" s="13"/>
      <c r="AL486" s="15"/>
      <c r="AM486" s="15"/>
      <c r="AN486" s="35"/>
      <c r="AO486" s="13"/>
      <c r="AP486" s="15"/>
      <c r="AQ486" s="15"/>
      <c r="AR486" s="28"/>
      <c r="AS486" s="15"/>
      <c r="AT486" s="15"/>
      <c r="AU486" s="15"/>
      <c r="AV486" s="15"/>
      <c r="AW486" s="13"/>
      <c r="AX486" s="15"/>
      <c r="AY486" s="15"/>
      <c r="AZ486" s="28"/>
      <c r="BA486" s="15"/>
      <c r="BB486" s="15"/>
      <c r="BC486" s="15"/>
      <c r="BD486" s="15"/>
      <c r="BE486" s="14"/>
      <c r="BF486" s="41">
        <f t="shared" ref="BF486:BG486" si="1509">K486+O486+S486+W486+AA486+AE486+AI486+AM486+AQ486+AU486+AY486+BC486</f>
        <v>1000</v>
      </c>
      <c r="BG486" s="34">
        <f t="shared" si="1509"/>
        <v>1000</v>
      </c>
      <c r="BH486" s="35">
        <f t="shared" si="1498"/>
        <v>0</v>
      </c>
    </row>
    <row r="487" ht="14.25" customHeight="1" spans="1:62" x14ac:dyDescent="0.25">
      <c r="A487" s="50" t="s">
        <v>237</v>
      </c>
      <c r="B487" s="21"/>
      <c r="C487" s="22" t="s">
        <v>53</v>
      </c>
      <c r="D487" s="21"/>
      <c r="E487" s="22"/>
      <c r="F487" s="20"/>
      <c r="G487" s="23"/>
      <c r="H487" s="51">
        <f>SUM(H480:H486)</f>
        <v>2.4876</v>
      </c>
      <c r="I487" s="52"/>
      <c r="J487" s="53"/>
      <c r="K487" s="51">
        <f t="shared" ref="K487:L487" si="1510">SUM(K480:K486)</f>
        <v>0</v>
      </c>
      <c r="L487" s="68">
        <f t="shared" si="1510"/>
        <v>0</v>
      </c>
      <c r="M487" s="53"/>
      <c r="N487" s="53"/>
      <c r="O487" s="51">
        <f t="shared" ref="O487:P487" si="1511">SUM(O481:O486)</f>
        <v>0</v>
      </c>
      <c r="P487" s="51">
        <f t="shared" si="1511"/>
        <v>0</v>
      </c>
      <c r="Q487" s="52"/>
      <c r="R487" s="53"/>
      <c r="S487" s="51">
        <f t="shared" ref="S487:T487" si="1512">SUM(S481:S486)</f>
        <v>0</v>
      </c>
      <c r="T487" s="68">
        <f t="shared" si="1512"/>
        <v>0</v>
      </c>
      <c r="U487" s="53"/>
      <c r="V487" s="53"/>
      <c r="W487" s="51">
        <f t="shared" ref="W487:X487" si="1513">SUM(W481:W486)</f>
        <v>0</v>
      </c>
      <c r="X487" s="51">
        <f t="shared" si="1513"/>
        <v>0</v>
      </c>
      <c r="Y487" s="52"/>
      <c r="Z487" s="53"/>
      <c r="AA487" s="51">
        <f t="shared" ref="AA487:AB487" si="1514">SUM(AA481:AA486)</f>
        <v>1022.96</v>
      </c>
      <c r="AB487" s="68">
        <f t="shared" si="1514"/>
        <v>0</v>
      </c>
      <c r="AC487" s="53"/>
      <c r="AD487" s="53"/>
      <c r="AE487" s="51">
        <f t="shared" ref="AE487:AF487" si="1515">SUM(AE481:AE486)</f>
        <v>11629</v>
      </c>
      <c r="AF487" s="51">
        <f t="shared" si="1515"/>
        <v>0</v>
      </c>
      <c r="AG487" s="52"/>
      <c r="AH487" s="53"/>
      <c r="AI487" s="51">
        <f t="shared" ref="AI487:AJ487" si="1516">SUM(AI481:AI486)</f>
        <v>339.08</v>
      </c>
      <c r="AJ487" s="68">
        <f t="shared" si="1516"/>
        <v>12994</v>
      </c>
      <c r="AK487" s="52"/>
      <c r="AL487" s="53"/>
      <c r="AM487" s="51">
        <f t="shared" ref="AM487:AN487" si="1517">SUM(AM481:AM486)</f>
        <v>5</v>
      </c>
      <c r="AN487" s="68">
        <f t="shared" si="1517"/>
        <v>0</v>
      </c>
      <c r="AO487" s="52"/>
      <c r="AP487" s="53"/>
      <c r="AQ487" s="51">
        <f t="shared" ref="AQ487:AR487" si="1518">SUM(AQ480:AQ486)</f>
        <v>5</v>
      </c>
      <c r="AR487" s="68">
        <f t="shared" si="1518"/>
        <v>0</v>
      </c>
      <c r="AS487" s="53"/>
      <c r="AT487" s="53"/>
      <c r="AU487" s="51">
        <f t="shared" ref="AU487:AV487" si="1519">SUM(AU480:AU486)</f>
        <v>2.5</v>
      </c>
      <c r="AV487" s="68">
        <f t="shared" si="1519"/>
        <v>0</v>
      </c>
      <c r="AW487" s="52"/>
      <c r="AX487" s="53"/>
      <c r="AY487" s="51">
        <f t="shared" ref="AY487:AZ487" si="1520">SUM(AY480:AY486)</f>
        <v>0</v>
      </c>
      <c r="AZ487" s="68">
        <f t="shared" si="1520"/>
        <v>0</v>
      </c>
      <c r="BA487" s="53"/>
      <c r="BB487" s="53"/>
      <c r="BC487" s="51">
        <f t="shared" ref="BC487:BD487" si="1521">SUM(BC480:BC486)</f>
        <v>0</v>
      </c>
      <c r="BD487" s="68">
        <f t="shared" si="1521"/>
        <v>0</v>
      </c>
      <c r="BE487" s="69"/>
      <c r="BF487" s="70">
        <f t="shared" ref="BF487:BH487" si="1522">SUM(BF480:BF486)</f>
        <v>13003.54</v>
      </c>
      <c r="BG487" s="71">
        <f t="shared" si="1522"/>
        <v>12994</v>
      </c>
      <c r="BH487" s="72">
        <f t="shared" si="1522"/>
        <v>12.0276</v>
      </c>
      <c r="BI487" s="34">
        <f>H487+BF487-BG487</f>
        <v>12.0276</v>
      </c>
      <c r="BJ487" s="34">
        <f>BH487-BI487</f>
        <v>0</v>
      </c>
    </row>
    <row r="488" ht="14.25" customHeight="1" spans="1:60" x14ac:dyDescent="0.25">
      <c r="A488" s="29">
        <v>64</v>
      </c>
      <c r="B488" s="14"/>
      <c r="D488" s="14" t="s">
        <v>379</v>
      </c>
      <c r="F488" s="13"/>
      <c r="G488" s="28"/>
      <c r="H488" s="34">
        <f>'2018'!BH488</f>
      </c>
      <c r="I488" s="13"/>
      <c r="J488" s="15"/>
      <c r="K488" s="15"/>
      <c r="L488" s="28"/>
      <c r="Q488" s="13"/>
      <c r="R488" s="15"/>
      <c r="S488" s="15"/>
      <c r="T488" s="28"/>
      <c r="Y488" s="13"/>
      <c r="Z488" s="15"/>
      <c r="AA488" s="15"/>
      <c r="AB488" s="28"/>
      <c r="AG488" s="13"/>
      <c r="AH488" s="15"/>
      <c r="AI488" s="15"/>
      <c r="AJ488" s="28"/>
      <c r="AK488" s="13"/>
      <c r="AL488" s="15"/>
      <c r="AM488" s="15"/>
      <c r="AN488" s="28"/>
      <c r="AO488" s="13"/>
      <c r="AP488" s="15"/>
      <c r="AQ488" s="15"/>
      <c r="AR488" s="28"/>
      <c r="AW488" s="13"/>
      <c r="AX488" s="15"/>
      <c r="AY488" s="15"/>
      <c r="AZ488" s="28"/>
      <c r="BE488" s="14"/>
      <c r="BF488" s="41">
        <f t="shared" ref="BF488:BG488" si="1523">K488+O488+S488+W488+AA488+AE488+AI488+AM488+AQ488+AU488+AY488+BC488</f>
        <v>0</v>
      </c>
      <c r="BG488" s="34">
        <f t="shared" si="1523"/>
        <v>0</v>
      </c>
      <c r="BH488" s="35">
        <f t="shared" ref="BH488:BH494" si="1524">H488+BF488-BG488</f>
        <v>0</v>
      </c>
    </row>
    <row r="489" ht="14.25" customHeight="1" spans="1:60" x14ac:dyDescent="0.25">
      <c r="A489" s="2">
        <v>64</v>
      </c>
      <c r="B489" s="14">
        <v>4.24</v>
      </c>
      <c r="C489" s="2" t="s">
        <v>241</v>
      </c>
      <c r="D489" s="14" t="s">
        <v>44</v>
      </c>
      <c r="E489" s="2" t="s">
        <v>45</v>
      </c>
      <c r="F489" s="13">
        <v>2.49</v>
      </c>
      <c r="G489" s="35">
        <v>2.5</v>
      </c>
      <c r="H489" s="34">
        <f>'2018'!BH489</f>
        <v>-149.09</v>
      </c>
      <c r="I489" s="13">
        <v>239</v>
      </c>
      <c r="J489" s="15">
        <f>I489-'2018'!BA489</f>
        <v>0</v>
      </c>
      <c r="K489" s="34">
        <f>J489*$F$8</f>
        <v>0</v>
      </c>
      <c r="L489" s="28"/>
      <c r="M489" s="2">
        <v>239</v>
      </c>
      <c r="N489" s="15">
        <f>M489-I489</f>
        <v>0</v>
      </c>
      <c r="O489" s="34">
        <f>N489*$F$8</f>
        <v>0</v>
      </c>
      <c r="Q489" s="13">
        <v>239</v>
      </c>
      <c r="R489" s="15">
        <f>Q489-M489</f>
        <v>0</v>
      </c>
      <c r="S489" s="34">
        <f>R489*$F$8</f>
        <v>0</v>
      </c>
      <c r="T489" s="28"/>
      <c r="U489" s="15">
        <v>239</v>
      </c>
      <c r="V489" s="15">
        <f>U489-Q489</f>
        <v>0</v>
      </c>
      <c r="W489" s="34">
        <f>V489*$F$8</f>
        <v>0</v>
      </c>
      <c r="Y489" s="13">
        <v>249</v>
      </c>
      <c r="Z489" s="15">
        <f>Y489-U489</f>
        <v>10</v>
      </c>
      <c r="AA489" s="34">
        <f>Z489*$F$8</f>
        <v>24.9</v>
      </c>
      <c r="AB489" s="28"/>
      <c r="AC489" s="15">
        <v>264</v>
      </c>
      <c r="AD489" s="15">
        <f t="shared" ref="AD489:AD490" si="1525">AC489-Y489</f>
        <v>15</v>
      </c>
      <c r="AE489" s="34">
        <f>AD489*$G$8</f>
        <v>37.5</v>
      </c>
      <c r="AF489" s="34"/>
      <c r="AG489" s="13">
        <v>291</v>
      </c>
      <c r="AH489" s="15">
        <f t="shared" ref="AH489:AH490" si="1526">AG489-AC489</f>
        <v>27</v>
      </c>
      <c r="AI489" s="34">
        <f>AH489*$G$8</f>
        <v>67.5</v>
      </c>
      <c r="AJ489" s="38">
        <v>300</v>
      </c>
      <c r="AK489" s="13">
        <v>317</v>
      </c>
      <c r="AL489" s="15">
        <f t="shared" ref="AL489:AL490" si="1527">AK489-AG489</f>
        <v>26</v>
      </c>
      <c r="AM489" s="34">
        <f>AL489*$G$8</f>
        <v>65</v>
      </c>
      <c r="AN489" s="28"/>
      <c r="AO489" s="13">
        <v>328</v>
      </c>
      <c r="AP489" s="15">
        <f t="shared" ref="AP489:AP490" si="1528">AO489-AK489</f>
        <v>11</v>
      </c>
      <c r="AQ489" s="34">
        <f>AP489*$G$8</f>
        <v>27.5</v>
      </c>
      <c r="AR489" s="28"/>
      <c r="AS489" s="75">
        <v>328</v>
      </c>
      <c r="AT489" s="15">
        <f t="shared" ref="AT489:AT490" si="1529">AS489-AO489</f>
        <v>0</v>
      </c>
      <c r="AU489" s="34">
        <f>AT489*$G$8</f>
        <v>0</v>
      </c>
      <c r="AV489" s="15"/>
      <c r="AW489" s="13">
        <v>328</v>
      </c>
      <c r="AX489" s="15">
        <f>AW489-AS489</f>
        <v>0</v>
      </c>
      <c r="AY489" s="34">
        <f>AX489*$G$8</f>
        <v>0</v>
      </c>
      <c r="AZ489" s="28"/>
      <c r="BA489" s="13">
        <v>328</v>
      </c>
      <c r="BB489" s="15">
        <f>BA489-AW489</f>
        <v>0</v>
      </c>
      <c r="BC489" s="34">
        <f>BB489*$G$8</f>
        <v>0</v>
      </c>
      <c r="BD489" s="15"/>
      <c r="BE489" s="40">
        <f t="shared" ref="BE489:BG489" si="1530">J489+N489+R489+V489+Z489+AD489+AH489+AL489+AP489+AT489+AX489+BB489</f>
        <v>89</v>
      </c>
      <c r="BF489" s="41">
        <f t="shared" si="1530"/>
        <v>222.4</v>
      </c>
      <c r="BG489" s="34">
        <f t="shared" si="1530"/>
        <v>300</v>
      </c>
      <c r="BH489" s="35">
        <f t="shared" si="1524"/>
        <v>-226.69</v>
      </c>
    </row>
    <row r="490" ht="14.25" customHeight="1" spans="1:60" x14ac:dyDescent="0.25">
      <c r="A490" s="29">
        <v>64</v>
      </c>
      <c r="B490" s="14"/>
      <c r="C490" s="2" t="s">
        <v>153</v>
      </c>
      <c r="D490" s="14" t="s">
        <v>47</v>
      </c>
      <c r="E490" s="2" t="s">
        <v>48</v>
      </c>
      <c r="F490" s="13">
        <v>17.98</v>
      </c>
      <c r="G490" s="28">
        <v>18.56</v>
      </c>
      <c r="H490" s="34">
        <f>'2018'!BH490</f>
        <v>-51.96</v>
      </c>
      <c r="I490" s="13">
        <v>44</v>
      </c>
      <c r="J490" s="15"/>
      <c r="K490" s="15"/>
      <c r="L490" s="28"/>
      <c r="Q490" s="13"/>
      <c r="R490" s="15"/>
      <c r="S490" s="15"/>
      <c r="T490" s="28"/>
      <c r="Y490" s="13">
        <v>48</v>
      </c>
      <c r="Z490" s="15">
        <f>Y490-'2018'!AO490</f>
        <v>4</v>
      </c>
      <c r="AA490" s="34">
        <f>Z490*$F$10</f>
        <v>71.92</v>
      </c>
      <c r="AB490" s="35"/>
      <c r="AC490" s="15">
        <v>48</v>
      </c>
      <c r="AD490" s="15">
        <f t="shared" si="1525"/>
        <v>0</v>
      </c>
      <c r="AE490" s="34">
        <f>AD490*$F$10</f>
        <v>0</v>
      </c>
      <c r="AF490" s="34"/>
      <c r="AG490" s="13">
        <v>67</v>
      </c>
      <c r="AH490" s="15">
        <f t="shared" si="1526"/>
        <v>19</v>
      </c>
      <c r="AI490" s="45">
        <f>AH490*$G$10</f>
        <v>352.64</v>
      </c>
      <c r="AJ490" s="38">
        <v>1000</v>
      </c>
      <c r="AK490" s="13">
        <v>67</v>
      </c>
      <c r="AL490" s="15">
        <f t="shared" si="1527"/>
        <v>0</v>
      </c>
      <c r="AM490" s="45">
        <f>AL490*$G$10</f>
        <v>0</v>
      </c>
      <c r="AN490" s="28"/>
      <c r="AO490" s="75">
        <v>67</v>
      </c>
      <c r="AP490" s="15">
        <f t="shared" si="1528"/>
        <v>0</v>
      </c>
      <c r="AQ490" s="45">
        <f>AP490*$G$10</f>
        <v>0</v>
      </c>
      <c r="AR490" s="28"/>
      <c r="AS490" s="75">
        <v>67</v>
      </c>
      <c r="AT490" s="15">
        <f t="shared" si="1529"/>
        <v>0</v>
      </c>
      <c r="AU490" s="45">
        <f>AT490*$G$10</f>
        <v>0</v>
      </c>
      <c r="AV490" s="15"/>
      <c r="AW490" s="75">
        <v>67</v>
      </c>
      <c r="AX490" s="15"/>
      <c r="AY490" s="15"/>
      <c r="AZ490" s="28"/>
      <c r="BA490" s="75">
        <v>67</v>
      </c>
      <c r="BB490" s="15"/>
      <c r="BC490" s="15"/>
      <c r="BD490" s="15"/>
      <c r="BE490" s="40">
        <f t="shared" ref="BE490:BG490" si="1531">J490+N490+R490+V490+Z490+AD490+AH490+AL490+AP490+AT490+AX490+BB490</f>
        <v>23</v>
      </c>
      <c r="BF490" s="41">
        <f t="shared" si="1531"/>
        <v>424.56</v>
      </c>
      <c r="BG490" s="34">
        <f t="shared" si="1531"/>
        <v>1000</v>
      </c>
      <c r="BH490" s="35">
        <f t="shared" si="1524"/>
        <v>-627.4</v>
      </c>
    </row>
    <row r="491" ht="14.25" customHeight="1" spans="1:60" x14ac:dyDescent="0.25">
      <c r="A491" s="29">
        <v>64</v>
      </c>
      <c r="B491" s="14"/>
      <c r="C491" s="2" t="s">
        <v>242</v>
      </c>
      <c r="D491" s="14" t="s">
        <v>47</v>
      </c>
      <c r="E491" s="2" t="s">
        <v>49</v>
      </c>
      <c r="F491" s="41">
        <v>500</v>
      </c>
      <c r="G491" s="28"/>
      <c r="H491" s="34">
        <f>'2018'!BH491</f>
        <v>0</v>
      </c>
      <c r="I491" s="13"/>
      <c r="J491" s="15"/>
      <c r="K491" s="15"/>
      <c r="L491" s="28"/>
      <c r="Q491" s="13"/>
      <c r="R491" s="15"/>
      <c r="S491" s="15"/>
      <c r="T491" s="28"/>
      <c r="Y491" s="13"/>
      <c r="Z491" s="15"/>
      <c r="AA491" s="15"/>
      <c r="AB491" s="28"/>
      <c r="AG491" s="13"/>
      <c r="AH491" s="15"/>
      <c r="AI491" s="15"/>
      <c r="AJ491" s="28"/>
      <c r="AK491" s="13"/>
      <c r="AL491" s="15"/>
      <c r="AM491" s="34"/>
      <c r="AN491" s="28"/>
      <c r="AO491" s="13"/>
      <c r="AP491" s="15"/>
      <c r="AQ491" s="34"/>
      <c r="AR491" s="28"/>
      <c r="AS491" s="15"/>
      <c r="AT491" s="15"/>
      <c r="AU491" s="15"/>
      <c r="AV491" s="15"/>
      <c r="AW491" s="13"/>
      <c r="AX491" s="15"/>
      <c r="AY491" s="15"/>
      <c r="AZ491" s="28"/>
      <c r="BA491" s="15"/>
      <c r="BB491" s="15"/>
      <c r="BC491" s="15"/>
      <c r="BD491" s="15"/>
      <c r="BE491" s="14"/>
      <c r="BF491" s="41">
        <f t="shared" ref="BF491:BG491" si="1532">K491+O491+S491+W491+AA491+AE491+AI491+AM491+AQ491+AU491+AY491+BC491</f>
        <v>0</v>
      </c>
      <c r="BG491" s="34">
        <f t="shared" si="1532"/>
        <v>0</v>
      </c>
      <c r="BH491" s="35">
        <f t="shared" si="1524"/>
        <v>0</v>
      </c>
    </row>
    <row r="492" ht="14.25" customHeight="1" spans="1:60" x14ac:dyDescent="0.25">
      <c r="A492" s="29">
        <v>64</v>
      </c>
      <c r="B492" s="14"/>
      <c r="C492" s="2" t="s">
        <v>243</v>
      </c>
      <c r="D492" s="14" t="s">
        <v>50</v>
      </c>
      <c r="E492" s="2" t="s">
        <v>49</v>
      </c>
      <c r="F492" s="41">
        <v>1200</v>
      </c>
      <c r="G492" s="28"/>
      <c r="H492" s="34">
        <f>'2018'!BH492</f>
        <v>0.1012</v>
      </c>
      <c r="I492" s="13"/>
      <c r="J492" s="15"/>
      <c r="K492" s="15"/>
      <c r="L492" s="28"/>
      <c r="Q492" s="13"/>
      <c r="R492" s="15"/>
      <c r="S492" s="15"/>
      <c r="T492" s="28"/>
      <c r="Y492" s="13"/>
      <c r="Z492" s="15"/>
      <c r="AA492" s="15"/>
      <c r="AB492" s="28"/>
      <c r="AE492" s="34">
        <f>B489*$F$12</f>
        <v>5088</v>
      </c>
      <c r="AF492" s="34"/>
      <c r="AG492" s="13"/>
      <c r="AH492" s="15"/>
      <c r="AI492" s="15"/>
      <c r="AJ492" s="38">
        <v>5088</v>
      </c>
      <c r="AK492" s="13"/>
      <c r="AL492" s="15"/>
      <c r="AM492" s="15"/>
      <c r="AN492" s="28"/>
      <c r="AO492" s="13"/>
      <c r="AP492" s="15"/>
      <c r="AQ492" s="15"/>
      <c r="AR492" s="28"/>
      <c r="AS492" s="15"/>
      <c r="AT492" s="15"/>
      <c r="AU492" s="15"/>
      <c r="AV492" s="15"/>
      <c r="AW492" s="13"/>
      <c r="AX492" s="15"/>
      <c r="AY492" s="15"/>
      <c r="AZ492" s="28"/>
      <c r="BA492" s="15"/>
      <c r="BB492" s="15"/>
      <c r="BC492" s="15"/>
      <c r="BD492" s="15"/>
      <c r="BE492" s="14"/>
      <c r="BF492" s="41">
        <f t="shared" ref="BF492:BG492" si="1533">K492+O492+S492+W492+AA492+AE492+AI492+AM492+AQ492+AU492+AY492+BC492</f>
        <v>5088</v>
      </c>
      <c r="BG492" s="34">
        <f t="shared" si="1533"/>
        <v>5088</v>
      </c>
      <c r="BH492" s="35">
        <f t="shared" si="1524"/>
        <v>0.1012</v>
      </c>
    </row>
    <row r="493" ht="14.25" customHeight="1" spans="1:60" x14ac:dyDescent="0.25">
      <c r="A493" s="29">
        <v>64</v>
      </c>
      <c r="B493" s="14"/>
      <c r="D493" s="14" t="s">
        <v>51</v>
      </c>
      <c r="E493" s="2" t="s">
        <v>49</v>
      </c>
      <c r="F493" s="41">
        <v>1000</v>
      </c>
      <c r="G493" s="28"/>
      <c r="H493" s="34">
        <f>'2018'!BH493</f>
        <v>0</v>
      </c>
      <c r="I493" s="13"/>
      <c r="J493" s="15"/>
      <c r="K493" s="15"/>
      <c r="L493" s="28"/>
      <c r="Q493" s="13"/>
      <c r="R493" s="15"/>
      <c r="S493" s="15"/>
      <c r="T493" s="28"/>
      <c r="Y493" s="13"/>
      <c r="Z493" s="15"/>
      <c r="AA493" s="15"/>
      <c r="AB493" s="28"/>
      <c r="AE493" s="34">
        <f>$F$21</f>
        <v>1000</v>
      </c>
      <c r="AG493" s="13"/>
      <c r="AH493" s="15"/>
      <c r="AI493" s="15"/>
      <c r="AJ493" s="38">
        <v>1000</v>
      </c>
      <c r="AK493" s="13"/>
      <c r="AL493" s="15"/>
      <c r="AM493" s="15"/>
      <c r="AN493" s="28"/>
      <c r="AO493" s="13"/>
      <c r="AP493" s="15"/>
      <c r="AQ493" s="15"/>
      <c r="AR493" s="28"/>
      <c r="AS493" s="15"/>
      <c r="AT493" s="15"/>
      <c r="AU493" s="15"/>
      <c r="AV493" s="15"/>
      <c r="AW493" s="13"/>
      <c r="AX493" s="15"/>
      <c r="AY493" s="15"/>
      <c r="AZ493" s="28"/>
      <c r="BA493" s="15"/>
      <c r="BB493" s="15"/>
      <c r="BC493" s="15"/>
      <c r="BD493" s="15"/>
      <c r="BE493" s="14"/>
      <c r="BF493" s="41">
        <f t="shared" ref="BF493:BG493" si="1534">K493+O493+S493+W493+AA493+AE493+AI493+AM493+AQ493+AU493+AY493+BC493</f>
        <v>1000</v>
      </c>
      <c r="BG493" s="34">
        <f t="shared" si="1534"/>
        <v>1000</v>
      </c>
      <c r="BH493" s="35">
        <f t="shared" si="1524"/>
        <v>0</v>
      </c>
    </row>
    <row r="494" ht="14.25" customHeight="1" spans="1:60" x14ac:dyDescent="0.25">
      <c r="A494" s="29">
        <v>64</v>
      </c>
      <c r="B494" s="14"/>
      <c r="D494" s="14" t="s">
        <v>52</v>
      </c>
      <c r="E494" s="2" t="s">
        <v>39</v>
      </c>
      <c r="F494" s="41">
        <v>500</v>
      </c>
      <c r="G494" s="28"/>
      <c r="H494" s="34">
        <f>'2018'!BH494</f>
        <v>0</v>
      </c>
      <c r="I494" s="13"/>
      <c r="J494" s="15"/>
      <c r="K494" s="15"/>
      <c r="L494" s="28"/>
      <c r="Q494" s="13"/>
      <c r="R494" s="15"/>
      <c r="S494" s="15"/>
      <c r="T494" s="28"/>
      <c r="Y494" s="13"/>
      <c r="Z494" s="15"/>
      <c r="AA494" s="34">
        <f>$F$14</f>
        <v>500</v>
      </c>
      <c r="AB494" s="28"/>
      <c r="AG494" s="13"/>
      <c r="AH494" s="15"/>
      <c r="AI494" s="15"/>
      <c r="AJ494" s="28"/>
      <c r="AK494" s="13"/>
      <c r="AL494" s="15"/>
      <c r="AM494" s="15"/>
      <c r="AN494" s="35"/>
      <c r="AO494" s="13"/>
      <c r="AP494" s="15"/>
      <c r="AQ494" s="15"/>
      <c r="AR494" s="28"/>
      <c r="AS494" s="15"/>
      <c r="AT494" s="15"/>
      <c r="AU494" s="15"/>
      <c r="AV494" s="15"/>
      <c r="AW494" s="13"/>
      <c r="AX494" s="15"/>
      <c r="AY494" s="15"/>
      <c r="AZ494" s="28"/>
      <c r="BA494" s="15"/>
      <c r="BB494" s="15"/>
      <c r="BC494" s="15"/>
      <c r="BD494" s="15"/>
      <c r="BE494" s="14"/>
      <c r="BF494" s="41">
        <f t="shared" ref="BF494:BG494" si="1535">K494+O494+S494+W494+AA494+AE494+AI494+AM494+AQ494+AU494+AY494+BC494</f>
        <v>500</v>
      </c>
      <c r="BG494" s="34">
        <f t="shared" si="1535"/>
        <v>0</v>
      </c>
      <c r="BH494" s="35">
        <f t="shared" si="1524"/>
        <v>500</v>
      </c>
    </row>
    <row r="495" ht="14.25" customHeight="1" spans="1:62" x14ac:dyDescent="0.25">
      <c r="A495" s="50">
        <v>64</v>
      </c>
      <c r="B495" s="21"/>
      <c r="C495" s="22" t="s">
        <v>53</v>
      </c>
      <c r="D495" s="21"/>
      <c r="E495" s="22"/>
      <c r="F495" s="20"/>
      <c r="G495" s="23"/>
      <c r="H495" s="51">
        <f>SUM(H488:H494)</f>
        <v>-200.9488</v>
      </c>
      <c r="I495" s="52"/>
      <c r="J495" s="53"/>
      <c r="K495" s="51">
        <f t="shared" ref="K495:L495" si="1536">SUM(K488:K494)</f>
        <v>0</v>
      </c>
      <c r="L495" s="68">
        <f t="shared" si="1536"/>
        <v>0</v>
      </c>
      <c r="M495" s="53"/>
      <c r="N495" s="53"/>
      <c r="O495" s="51">
        <f t="shared" ref="O495:P495" si="1537">SUM(O489:O494)</f>
        <v>0</v>
      </c>
      <c r="P495" s="51">
        <f t="shared" si="1537"/>
        <v>0</v>
      </c>
      <c r="Q495" s="52"/>
      <c r="R495" s="53"/>
      <c r="S495" s="51">
        <f t="shared" ref="S495:T495" si="1538">SUM(S489:S494)</f>
        <v>0</v>
      </c>
      <c r="T495" s="68">
        <f t="shared" si="1538"/>
        <v>0</v>
      </c>
      <c r="U495" s="53"/>
      <c r="V495" s="53"/>
      <c r="W495" s="51">
        <f t="shared" ref="W495:X495" si="1539">SUM(W489:W494)</f>
        <v>0</v>
      </c>
      <c r="X495" s="51">
        <f t="shared" si="1539"/>
        <v>0</v>
      </c>
      <c r="Y495" s="52"/>
      <c r="Z495" s="53"/>
      <c r="AA495" s="51">
        <f t="shared" ref="AA495:AB495" si="1540">SUM(AA489:AA494)</f>
        <v>596.82</v>
      </c>
      <c r="AB495" s="68">
        <f t="shared" si="1540"/>
        <v>0</v>
      </c>
      <c r="AC495" s="53"/>
      <c r="AD495" s="53"/>
      <c r="AE495" s="51">
        <f t="shared" ref="AE495:AF495" si="1541">SUM(AE489:AE494)</f>
        <v>6125.5</v>
      </c>
      <c r="AF495" s="51">
        <f t="shared" si="1541"/>
        <v>0</v>
      </c>
      <c r="AG495" s="52"/>
      <c r="AH495" s="53"/>
      <c r="AI495" s="51">
        <f t="shared" ref="AI495:AJ495" si="1542">SUM(AI489:AI494)</f>
        <v>420.14</v>
      </c>
      <c r="AJ495" s="68">
        <f t="shared" si="1542"/>
        <v>7388</v>
      </c>
      <c r="AK495" s="52"/>
      <c r="AL495" s="53"/>
      <c r="AM495" s="51">
        <f t="shared" ref="AM495:AN495" si="1543">SUM(AM489:AM494)</f>
        <v>65</v>
      </c>
      <c r="AN495" s="68">
        <f t="shared" si="1543"/>
        <v>0</v>
      </c>
      <c r="AO495" s="52"/>
      <c r="AP495" s="53"/>
      <c r="AQ495" s="51">
        <f t="shared" ref="AQ495:AR495" si="1544">SUM(AQ488:AQ494)</f>
        <v>27.5</v>
      </c>
      <c r="AR495" s="68">
        <f t="shared" si="1544"/>
        <v>0</v>
      </c>
      <c r="AS495" s="53"/>
      <c r="AT495" s="53"/>
      <c r="AU495" s="51">
        <f t="shared" ref="AU495:AV495" si="1545">SUM(AU488:AU494)</f>
        <v>0</v>
      </c>
      <c r="AV495" s="68">
        <f t="shared" si="1545"/>
        <v>0</v>
      </c>
      <c r="AW495" s="52"/>
      <c r="AX495" s="53"/>
      <c r="AY495" s="51">
        <f t="shared" ref="AY495:AZ495" si="1546">SUM(AY488:AY494)</f>
        <v>0</v>
      </c>
      <c r="AZ495" s="68">
        <f t="shared" si="1546"/>
        <v>0</v>
      </c>
      <c r="BA495" s="53"/>
      <c r="BB495" s="53"/>
      <c r="BC495" s="51">
        <f t="shared" ref="BC495:BD495" si="1547">SUM(BC488:BC494)</f>
        <v>0</v>
      </c>
      <c r="BD495" s="68">
        <f t="shared" si="1547"/>
        <v>0</v>
      </c>
      <c r="BE495" s="69"/>
      <c r="BF495" s="70">
        <f t="shared" ref="BF495:BH495" si="1548">SUM(BF488:BF494)</f>
        <v>7234.96</v>
      </c>
      <c r="BG495" s="71">
        <f t="shared" si="1548"/>
        <v>7388</v>
      </c>
      <c r="BH495" s="72">
        <f t="shared" si="1548"/>
        <v>-353.9888</v>
      </c>
      <c r="BI495" s="34">
        <f>H495+BF495-BG495</f>
        <v>-353.9888</v>
      </c>
      <c r="BJ495" s="34">
        <f>BH495-BI495</f>
        <v>0</v>
      </c>
    </row>
    <row r="496" ht="14.25" customHeight="1" spans="1:60" x14ac:dyDescent="0.25">
      <c r="A496" s="29">
        <v>66</v>
      </c>
      <c r="B496" s="14"/>
      <c r="D496" s="14" t="s">
        <v>379</v>
      </c>
      <c r="F496" s="13"/>
      <c r="G496" s="28"/>
      <c r="H496" s="34">
        <f>'2018'!BH496</f>
      </c>
      <c r="I496" s="13"/>
      <c r="J496" s="15"/>
      <c r="K496" s="15"/>
      <c r="L496" s="28"/>
      <c r="Q496" s="13"/>
      <c r="R496" s="15"/>
      <c r="S496" s="15"/>
      <c r="T496" s="28"/>
      <c r="Y496" s="13"/>
      <c r="Z496" s="15"/>
      <c r="AA496" s="15"/>
      <c r="AB496" s="28"/>
      <c r="AG496" s="13"/>
      <c r="AH496" s="15"/>
      <c r="AI496" s="15"/>
      <c r="AJ496" s="28"/>
      <c r="AK496" s="13"/>
      <c r="AL496" s="15"/>
      <c r="AM496" s="15"/>
      <c r="AN496" s="28"/>
      <c r="AO496" s="13"/>
      <c r="AP496" s="15"/>
      <c r="AQ496" s="15">
        <v>19.78</v>
      </c>
      <c r="AR496" s="28"/>
      <c r="AU496" s="2">
        <v>20.44</v>
      </c>
      <c r="AW496" s="13"/>
      <c r="AX496" s="15"/>
      <c r="AY496" s="15">
        <v>19.78</v>
      </c>
      <c r="AZ496" s="28"/>
      <c r="BC496" s="2">
        <v>20.44</v>
      </c>
      <c r="BE496" s="14"/>
      <c r="BF496" s="41">
        <f t="shared" ref="BF496:BG496" si="1549">K496+O496+S496+W496+AA496+AE496+AI496+AM496+AQ496+AU496+AY496+BC496</f>
        <v>80.44</v>
      </c>
      <c r="BG496" s="34">
        <f t="shared" si="1549"/>
        <v>0</v>
      </c>
      <c r="BH496" s="35">
        <f t="shared" ref="BH496:BH502" si="1550">H496+BF496-BG496</f>
        <v>80.44</v>
      </c>
    </row>
    <row r="497" ht="14.25" customHeight="1" spans="1:60" x14ac:dyDescent="0.25">
      <c r="A497" s="2">
        <v>66</v>
      </c>
      <c r="B497" s="14">
        <v>4.66</v>
      </c>
      <c r="C497" s="2" t="s">
        <v>244</v>
      </c>
      <c r="D497" s="14" t="s">
        <v>44</v>
      </c>
      <c r="E497" s="2" t="s">
        <v>45</v>
      </c>
      <c r="F497" s="13">
        <v>2.49</v>
      </c>
      <c r="G497" s="35">
        <v>2.5</v>
      </c>
      <c r="H497" s="34">
        <f>'2018'!BH497</f>
        <v>0</v>
      </c>
      <c r="I497" s="13">
        <v>1</v>
      </c>
      <c r="J497" s="15">
        <f>I497-'2018'!BA497</f>
        <v>0</v>
      </c>
      <c r="K497" s="34">
        <f>J497*$F$8</f>
        <v>0</v>
      </c>
      <c r="L497" s="28"/>
      <c r="M497" s="2">
        <v>1</v>
      </c>
      <c r="N497" s="15">
        <f>M497-I497</f>
        <v>0</v>
      </c>
      <c r="O497" s="34">
        <f>N497*$F$8</f>
        <v>0</v>
      </c>
      <c r="Q497" s="13">
        <v>1</v>
      </c>
      <c r="R497" s="15">
        <f>Q497-M497</f>
        <v>0</v>
      </c>
      <c r="S497" s="34">
        <f>R497*$F$8</f>
        <v>0</v>
      </c>
      <c r="T497" s="28"/>
      <c r="U497" s="15">
        <v>1</v>
      </c>
      <c r="V497" s="15">
        <f>U497-Q497</f>
        <v>0</v>
      </c>
      <c r="W497" s="34">
        <f>V497*$F$8</f>
        <v>0</v>
      </c>
      <c r="Y497" s="13">
        <v>1</v>
      </c>
      <c r="Z497" s="15">
        <f>Y497-U497</f>
        <v>0</v>
      </c>
      <c r="AA497" s="34">
        <f>Z497*$F$8</f>
        <v>0</v>
      </c>
      <c r="AB497" s="28"/>
      <c r="AC497" s="15">
        <v>1</v>
      </c>
      <c r="AD497" s="15">
        <f t="shared" ref="AD497:AD498" si="1551">AC497-Y497</f>
        <v>0</v>
      </c>
      <c r="AE497" s="34">
        <f>AD497*$G$8</f>
        <v>0</v>
      </c>
      <c r="AG497" s="13">
        <v>1</v>
      </c>
      <c r="AH497" s="15">
        <f t="shared" ref="AH497:AH498" si="1552">AG497-AC497</f>
        <v>0</v>
      </c>
      <c r="AI497" s="34">
        <f>AH497*$G$8</f>
        <v>0</v>
      </c>
      <c r="AJ497" s="28"/>
      <c r="AK497" s="75">
        <v>1</v>
      </c>
      <c r="AL497" s="15">
        <f t="shared" ref="AL497:AL498" si="1553">AK497-AG497</f>
        <v>0</v>
      </c>
      <c r="AM497" s="34">
        <f>AL497*$G$8</f>
        <v>0</v>
      </c>
      <c r="AN497" s="28"/>
      <c r="AO497" s="75">
        <v>1</v>
      </c>
      <c r="AP497" s="15">
        <f t="shared" ref="AP497:AP498" si="1554">AO497-AK497</f>
        <v>0</v>
      </c>
      <c r="AQ497" s="34">
        <f>AP497*$G$8</f>
        <v>0</v>
      </c>
      <c r="AR497" s="28"/>
      <c r="AS497" s="75">
        <v>1</v>
      </c>
      <c r="AT497" s="15">
        <f t="shared" ref="AT497:AT498" si="1555">AS497-AO497</f>
        <v>0</v>
      </c>
      <c r="AU497" s="34">
        <f>AT497*$G$8</f>
        <v>0</v>
      </c>
      <c r="AV497" s="15"/>
      <c r="AW497" s="13">
        <v>1</v>
      </c>
      <c r="AX497" s="15">
        <f>AW497-AS497</f>
        <v>0</v>
      </c>
      <c r="AY497" s="34">
        <f>AX497*$G$8</f>
        <v>0</v>
      </c>
      <c r="AZ497" s="28"/>
      <c r="BA497" s="13">
        <v>1</v>
      </c>
      <c r="BB497" s="15">
        <f>BA497-AW497</f>
        <v>0</v>
      </c>
      <c r="BC497" s="34">
        <f>BB497*$G$8</f>
        <v>0</v>
      </c>
      <c r="BD497" s="15"/>
      <c r="BE497" s="40">
        <f t="shared" ref="BE497:BG497" si="1556">J497+N497+R497+V497+Z497+AD497+AH497+AL497+AP497+AT497+AX497+BB497</f>
        <v>0</v>
      </c>
      <c r="BF497" s="41">
        <f t="shared" si="1556"/>
        <v>0</v>
      </c>
      <c r="BG497" s="34">
        <f t="shared" si="1556"/>
        <v>0</v>
      </c>
      <c r="BH497" s="35">
        <f t="shared" si="1550"/>
        <v>0</v>
      </c>
    </row>
    <row r="498" ht="14.25" customHeight="1" spans="1:60" x14ac:dyDescent="0.25">
      <c r="A498" s="29">
        <v>66</v>
      </c>
      <c r="B498" s="14"/>
      <c r="C498" s="2" t="s">
        <v>87</v>
      </c>
      <c r="D498" s="14" t="s">
        <v>47</v>
      </c>
      <c r="E498" s="2" t="s">
        <v>48</v>
      </c>
      <c r="F498" s="13">
        <v>17.98</v>
      </c>
      <c r="G498" s="28">
        <v>18.56</v>
      </c>
      <c r="H498" s="34">
        <f>'2018'!BH498</f>
        <v>-17.16</v>
      </c>
      <c r="I498" s="13">
        <v>37</v>
      </c>
      <c r="J498" s="15"/>
      <c r="K498" s="15"/>
      <c r="L498" s="28"/>
      <c r="Q498" s="13"/>
      <c r="R498" s="15"/>
      <c r="S498" s="15"/>
      <c r="T498" s="28"/>
      <c r="Y498" s="95">
        <v>37</v>
      </c>
      <c r="Z498" s="15">
        <f>Y498-'2018'!AO498</f>
        <v>0</v>
      </c>
      <c r="AA498" s="34">
        <f>Z498*$F$10</f>
        <v>0</v>
      </c>
      <c r="AB498" s="28"/>
      <c r="AC498" s="15">
        <v>37</v>
      </c>
      <c r="AD498" s="15">
        <f t="shared" si="1551"/>
        <v>0</v>
      </c>
      <c r="AE498" s="34">
        <f>AD498*$F$10</f>
        <v>0</v>
      </c>
      <c r="AG498" s="13">
        <v>37</v>
      </c>
      <c r="AH498" s="15">
        <f t="shared" si="1552"/>
        <v>0</v>
      </c>
      <c r="AI498" s="45">
        <f>AH498*$G$10</f>
        <v>0</v>
      </c>
      <c r="AJ498" s="28"/>
      <c r="AK498" s="15">
        <v>37</v>
      </c>
      <c r="AL498" s="15">
        <f t="shared" si="1553"/>
        <v>0</v>
      </c>
      <c r="AM498" s="45">
        <f>AL498*$G$10</f>
        <v>0</v>
      </c>
      <c r="AN498" s="35"/>
      <c r="AO498" s="73">
        <v>37</v>
      </c>
      <c r="AP498" s="15">
        <f t="shared" si="1554"/>
        <v>0</v>
      </c>
      <c r="AQ498" s="45">
        <f>AP498*$G$10</f>
        <v>0</v>
      </c>
      <c r="AR498" s="28"/>
      <c r="AS498" s="73">
        <v>37</v>
      </c>
      <c r="AT498" s="15">
        <f t="shared" si="1555"/>
        <v>0</v>
      </c>
      <c r="AU498" s="45">
        <f>AT498*$G$10</f>
        <v>0</v>
      </c>
      <c r="AV498" s="15"/>
      <c r="AW498" s="75">
        <v>37</v>
      </c>
      <c r="AX498" s="15"/>
      <c r="AY498" s="15"/>
      <c r="AZ498" s="28"/>
      <c r="BA498" s="75">
        <v>37</v>
      </c>
      <c r="BB498" s="15"/>
      <c r="BC498" s="15"/>
      <c r="BD498" s="15"/>
      <c r="BE498" s="40">
        <f t="shared" ref="BE498:BG498" si="1557">J498+N498+R498+V498+Z498+AD498+AH498+AL498+AP498+AT498+AX498+BB498</f>
        <v>0</v>
      </c>
      <c r="BF498" s="41">
        <f t="shared" si="1557"/>
        <v>0</v>
      </c>
      <c r="BG498" s="34">
        <f t="shared" si="1557"/>
        <v>0</v>
      </c>
      <c r="BH498" s="35">
        <f t="shared" si="1550"/>
        <v>-17.16</v>
      </c>
    </row>
    <row r="499" ht="14.25" customHeight="1" spans="1:60" x14ac:dyDescent="0.25">
      <c r="A499" s="29">
        <v>66</v>
      </c>
      <c r="B499" s="14"/>
      <c r="C499" s="2" t="s">
        <v>158</v>
      </c>
      <c r="D499" s="14" t="s">
        <v>47</v>
      </c>
      <c r="E499" s="2" t="s">
        <v>49</v>
      </c>
      <c r="F499" s="41">
        <v>500</v>
      </c>
      <c r="G499" s="28"/>
      <c r="H499" s="34">
        <f>'2018'!BH499</f>
        <v>0</v>
      </c>
      <c r="I499" s="13"/>
      <c r="J499" s="15"/>
      <c r="K499" s="15"/>
      <c r="L499" s="28"/>
      <c r="Q499" s="13"/>
      <c r="R499" s="15"/>
      <c r="S499" s="15"/>
      <c r="T499" s="28"/>
      <c r="Y499" s="13"/>
      <c r="Z499" s="15"/>
      <c r="AA499" s="15"/>
      <c r="AB499" s="28"/>
      <c r="AG499" s="13"/>
      <c r="AH499" s="15"/>
      <c r="AI499" s="15"/>
      <c r="AJ499" s="28"/>
      <c r="AK499" s="13"/>
      <c r="AL499" s="15"/>
      <c r="AM499" s="34"/>
      <c r="AN499" s="28"/>
      <c r="AO499" s="13"/>
      <c r="AP499" s="15"/>
      <c r="AQ499" s="34"/>
      <c r="AR499" s="28"/>
      <c r="AS499" s="15"/>
      <c r="AT499" s="15"/>
      <c r="AU499" s="15"/>
      <c r="AV499" s="15"/>
      <c r="AW499" s="13"/>
      <c r="AX499" s="15"/>
      <c r="AY499" s="15"/>
      <c r="AZ499" s="28"/>
      <c r="BA499" s="15"/>
      <c r="BB499" s="15"/>
      <c r="BC499" s="15"/>
      <c r="BD499" s="15"/>
      <c r="BE499" s="14"/>
      <c r="BF499" s="41">
        <f t="shared" ref="BF499:BG499" si="1558">K499+O499+S499+W499+AA499+AE499+AI499+AM499+AQ499+AU499+AY499+BC499</f>
        <v>0</v>
      </c>
      <c r="BG499" s="34">
        <f t="shared" si="1558"/>
        <v>0</v>
      </c>
      <c r="BH499" s="35">
        <f t="shared" si="1550"/>
        <v>0</v>
      </c>
    </row>
    <row r="500" ht="14.25" customHeight="1" spans="1:60" x14ac:dyDescent="0.25">
      <c r="A500" s="29">
        <v>66</v>
      </c>
      <c r="B500" s="14"/>
      <c r="D500" s="14" t="s">
        <v>50</v>
      </c>
      <c r="E500" s="2" t="s">
        <v>49</v>
      </c>
      <c r="F500" s="41">
        <v>1200</v>
      </c>
      <c r="G500" s="28"/>
      <c r="H500" s="34">
        <f>'2018'!BH500</f>
        <v>0.0007999999998</v>
      </c>
      <c r="I500" s="13"/>
      <c r="J500" s="15"/>
      <c r="K500" s="15"/>
      <c r="L500" s="28"/>
      <c r="Q500" s="13"/>
      <c r="R500" s="15"/>
      <c r="S500" s="15"/>
      <c r="T500" s="28"/>
      <c r="Y500" s="13"/>
      <c r="Z500" s="15"/>
      <c r="AA500" s="15"/>
      <c r="AB500" s="28"/>
      <c r="AE500" s="34">
        <f>B497*$F$12</f>
        <v>5592</v>
      </c>
      <c r="AG500" s="13"/>
      <c r="AH500" s="15"/>
      <c r="AI500" s="15"/>
      <c r="AJ500" s="35"/>
      <c r="AK500" s="13"/>
      <c r="AL500" s="15"/>
      <c r="AM500" s="15"/>
      <c r="AN500" s="28"/>
      <c r="AO500" s="13"/>
      <c r="AP500" s="15"/>
      <c r="AQ500" s="15"/>
      <c r="AR500" s="28"/>
      <c r="AS500" s="15"/>
      <c r="AT500" s="15"/>
      <c r="AU500" s="15"/>
      <c r="AV500" s="15"/>
      <c r="AW500" s="13"/>
      <c r="AX500" s="15"/>
      <c r="AY500" s="15"/>
      <c r="AZ500" s="28"/>
      <c r="BA500" s="15"/>
      <c r="BB500" s="15"/>
      <c r="BC500" s="15"/>
      <c r="BD500" s="15"/>
      <c r="BE500" s="14"/>
      <c r="BF500" s="41">
        <f t="shared" ref="BF500:BG500" si="1559">K500+O500+S500+W500+AA500+AE500+AI500+AM500+AQ500+AU500+AY500+BC500</f>
        <v>5592</v>
      </c>
      <c r="BG500" s="34">
        <f t="shared" si="1559"/>
        <v>0</v>
      </c>
      <c r="BH500" s="35">
        <f t="shared" si="1550"/>
        <v>5592.0008</v>
      </c>
    </row>
    <row r="501" ht="14.25" customHeight="1" spans="1:60" x14ac:dyDescent="0.25">
      <c r="A501" s="29">
        <v>66</v>
      </c>
      <c r="B501" s="14"/>
      <c r="D501" s="14" t="s">
        <v>51</v>
      </c>
      <c r="E501" s="2" t="s">
        <v>49</v>
      </c>
      <c r="F501" s="41">
        <v>1000</v>
      </c>
      <c r="G501" s="28"/>
      <c r="H501" s="34">
        <f>'2018'!BH501</f>
        <v>0</v>
      </c>
      <c r="I501" s="13"/>
      <c r="J501" s="15"/>
      <c r="K501" s="15"/>
      <c r="L501" s="28"/>
      <c r="Q501" s="13"/>
      <c r="R501" s="15"/>
      <c r="S501" s="15"/>
      <c r="T501" s="28"/>
      <c r="Y501" s="13"/>
      <c r="Z501" s="15"/>
      <c r="AA501" s="15"/>
      <c r="AB501" s="28"/>
      <c r="AE501" s="34">
        <f>$F$21</f>
        <v>1000</v>
      </c>
      <c r="AG501" s="13"/>
      <c r="AH501" s="15"/>
      <c r="AI501" s="15"/>
      <c r="AJ501" s="28"/>
      <c r="AK501" s="13"/>
      <c r="AL501" s="15"/>
      <c r="AM501" s="15"/>
      <c r="AN501" s="28"/>
      <c r="AO501" s="13"/>
      <c r="AP501" s="15"/>
      <c r="AQ501" s="15"/>
      <c r="AR501" s="28"/>
      <c r="AS501" s="15"/>
      <c r="AT501" s="15"/>
      <c r="AU501" s="15"/>
      <c r="AV501" s="15"/>
      <c r="AW501" s="13"/>
      <c r="AX501" s="15"/>
      <c r="AY501" s="15"/>
      <c r="AZ501" s="28"/>
      <c r="BA501" s="15"/>
      <c r="BB501" s="15"/>
      <c r="BC501" s="15"/>
      <c r="BD501" s="15"/>
      <c r="BE501" s="14"/>
      <c r="BF501" s="41">
        <f t="shared" ref="BF501:BG501" si="1560">K501+O501+S501+W501+AA501+AE501+AI501+AM501+AQ501+AU501+AY501+BC501</f>
        <v>1000</v>
      </c>
      <c r="BG501" s="34">
        <f t="shared" si="1560"/>
        <v>0</v>
      </c>
      <c r="BH501" s="35">
        <f t="shared" si="1550"/>
        <v>1000</v>
      </c>
    </row>
    <row r="502" ht="14.25" customHeight="1" spans="1:60" x14ac:dyDescent="0.25">
      <c r="A502" s="29">
        <v>66</v>
      </c>
      <c r="B502" s="14"/>
      <c r="D502" s="14" t="s">
        <v>52</v>
      </c>
      <c r="E502" s="2" t="s">
        <v>39</v>
      </c>
      <c r="F502" s="41">
        <v>500</v>
      </c>
      <c r="G502" s="28"/>
      <c r="H502" s="34">
        <f>'2018'!BH502</f>
        <v>0</v>
      </c>
      <c r="I502" s="13"/>
      <c r="J502" s="15"/>
      <c r="K502" s="15"/>
      <c r="L502" s="28"/>
      <c r="Q502" s="13"/>
      <c r="R502" s="15"/>
      <c r="S502" s="15"/>
      <c r="T502" s="28"/>
      <c r="Y502" s="13"/>
      <c r="Z502" s="15"/>
      <c r="AA502" s="34">
        <f>$F$14</f>
        <v>500</v>
      </c>
      <c r="AB502" s="28"/>
      <c r="AG502" s="13"/>
      <c r="AH502" s="15"/>
      <c r="AI502" s="15"/>
      <c r="AJ502" s="28"/>
      <c r="AK502" s="13"/>
      <c r="AL502" s="15"/>
      <c r="AM502" s="15"/>
      <c r="AN502" s="35"/>
      <c r="AO502" s="13"/>
      <c r="AP502" s="15"/>
      <c r="AQ502" s="15"/>
      <c r="AR502" s="28"/>
      <c r="AS502" s="15"/>
      <c r="AT502" s="15"/>
      <c r="AU502" s="15"/>
      <c r="AV502" s="15"/>
      <c r="AW502" s="13"/>
      <c r="AX502" s="15"/>
      <c r="AY502" s="15"/>
      <c r="AZ502" s="28"/>
      <c r="BA502" s="15"/>
      <c r="BB502" s="15"/>
      <c r="BC502" s="15"/>
      <c r="BD502" s="15"/>
      <c r="BE502" s="14"/>
      <c r="BF502" s="41">
        <f t="shared" ref="BF502:BG502" si="1561">K502+O502+S502+W502+AA502+AE502+AI502+AM502+AQ502+AU502+AY502+BC502</f>
        <v>500</v>
      </c>
      <c r="BG502" s="34">
        <f t="shared" si="1561"/>
        <v>0</v>
      </c>
      <c r="BH502" s="35">
        <f t="shared" si="1550"/>
        <v>500</v>
      </c>
    </row>
    <row r="503" ht="14.25" customHeight="1" spans="1:62" x14ac:dyDescent="0.25">
      <c r="A503" s="50">
        <v>66</v>
      </c>
      <c r="B503" s="21"/>
      <c r="C503" s="22" t="s">
        <v>53</v>
      </c>
      <c r="D503" s="21"/>
      <c r="E503" s="22"/>
      <c r="F503" s="20"/>
      <c r="G503" s="23"/>
      <c r="H503" s="51">
        <f>SUM(H496:H502)</f>
        <v>-17.1592</v>
      </c>
      <c r="I503" s="52"/>
      <c r="J503" s="53"/>
      <c r="K503" s="51">
        <f t="shared" ref="K503:L503" si="1562">SUM(K496:K502)</f>
        <v>0</v>
      </c>
      <c r="L503" s="68">
        <f t="shared" si="1562"/>
        <v>0</v>
      </c>
      <c r="M503" s="53"/>
      <c r="N503" s="53"/>
      <c r="O503" s="51">
        <f t="shared" ref="O503:P503" si="1563">SUM(O497:O502)</f>
        <v>0</v>
      </c>
      <c r="P503" s="51">
        <f t="shared" si="1563"/>
        <v>0</v>
      </c>
      <c r="Q503" s="52"/>
      <c r="R503" s="53"/>
      <c r="S503" s="51">
        <f t="shared" ref="S503:T503" si="1564">SUM(S497:S502)</f>
        <v>0</v>
      </c>
      <c r="T503" s="68">
        <f t="shared" si="1564"/>
        <v>0</v>
      </c>
      <c r="U503" s="53"/>
      <c r="V503" s="53"/>
      <c r="W503" s="51">
        <f t="shared" ref="W503:X503" si="1565">SUM(W497:W502)</f>
        <v>0</v>
      </c>
      <c r="X503" s="51">
        <f t="shared" si="1565"/>
        <v>0</v>
      </c>
      <c r="Y503" s="52"/>
      <c r="Z503" s="53"/>
      <c r="AA503" s="51">
        <f t="shared" ref="AA503:AB503" si="1566">SUM(AA497:AA502)</f>
        <v>500</v>
      </c>
      <c r="AB503" s="68">
        <f t="shared" si="1566"/>
        <v>0</v>
      </c>
      <c r="AC503" s="53"/>
      <c r="AD503" s="53"/>
      <c r="AE503" s="51">
        <f t="shared" ref="AE503:AF503" si="1567">SUM(AE497:AE502)</f>
        <v>6592</v>
      </c>
      <c r="AF503" s="51">
        <f t="shared" si="1567"/>
        <v>0</v>
      </c>
      <c r="AG503" s="52"/>
      <c r="AH503" s="53"/>
      <c r="AI503" s="51">
        <f t="shared" ref="AI503:AJ503" si="1568">SUM(AI497:AI502)</f>
        <v>0</v>
      </c>
      <c r="AJ503" s="68">
        <f t="shared" si="1568"/>
        <v>0</v>
      </c>
      <c r="AK503" s="52"/>
      <c r="AL503" s="53"/>
      <c r="AM503" s="51">
        <f t="shared" ref="AM503:AN503" si="1569">SUM(AM497:AM502)</f>
        <v>0</v>
      </c>
      <c r="AN503" s="68">
        <f t="shared" si="1569"/>
        <v>0</v>
      </c>
      <c r="AO503" s="52"/>
      <c r="AP503" s="53"/>
      <c r="AQ503" s="51">
        <f t="shared" ref="AQ503:AR503" si="1570">SUM(AQ496:AQ502)</f>
        <v>19.78</v>
      </c>
      <c r="AR503" s="68">
        <f t="shared" si="1570"/>
        <v>0</v>
      </c>
      <c r="AS503" s="53"/>
      <c r="AT503" s="53"/>
      <c r="AU503" s="51">
        <f t="shared" ref="AU503:AV503" si="1571">SUM(AU496:AU502)</f>
        <v>20.44</v>
      </c>
      <c r="AV503" s="68">
        <f t="shared" si="1571"/>
        <v>0</v>
      </c>
      <c r="AW503" s="52"/>
      <c r="AX503" s="53"/>
      <c r="AY503" s="51">
        <f t="shared" ref="AY503:AZ503" si="1572">SUM(AY496:AY502)</f>
        <v>19.78</v>
      </c>
      <c r="AZ503" s="68">
        <f t="shared" si="1572"/>
        <v>0</v>
      </c>
      <c r="BA503" s="53"/>
      <c r="BB503" s="53"/>
      <c r="BC503" s="51">
        <f t="shared" ref="BC503:BD503" si="1573">SUM(BC496:BC502)</f>
        <v>20.44</v>
      </c>
      <c r="BD503" s="68">
        <f t="shared" si="1573"/>
        <v>0</v>
      </c>
      <c r="BE503" s="69"/>
      <c r="BF503" s="70">
        <f t="shared" ref="BF503:BH503" si="1574">SUM(BF496:BF502)</f>
        <v>7172.44</v>
      </c>
      <c r="BG503" s="71">
        <f t="shared" si="1574"/>
        <v>0</v>
      </c>
      <c r="BH503" s="72">
        <f t="shared" si="1574"/>
        <v>7155.2808</v>
      </c>
      <c r="BI503" s="34">
        <f>H503+BF503-BG503</f>
        <v>7155.2808</v>
      </c>
      <c r="BJ503" s="34">
        <f>BH503-BI503</f>
        <v>0</v>
      </c>
    </row>
    <row r="504" ht="14.25" customHeight="1" spans="1:60" x14ac:dyDescent="0.25">
      <c r="A504" s="29">
        <v>67</v>
      </c>
      <c r="B504" s="14"/>
      <c r="D504" s="14" t="s">
        <v>379</v>
      </c>
      <c r="F504" s="13"/>
      <c r="G504" s="28"/>
      <c r="H504" s="34">
        <f>'2018'!BH504</f>
      </c>
      <c r="I504" s="13"/>
      <c r="J504" s="15"/>
      <c r="K504" s="15"/>
      <c r="L504" s="28"/>
      <c r="Q504" s="13"/>
      <c r="R504" s="15"/>
      <c r="S504" s="15"/>
      <c r="T504" s="28"/>
      <c r="Y504" s="13"/>
      <c r="Z504" s="15"/>
      <c r="AA504" s="15"/>
      <c r="AB504" s="28"/>
      <c r="AG504" s="13"/>
      <c r="AH504" s="15"/>
      <c r="AI504" s="15"/>
      <c r="AJ504" s="28"/>
      <c r="AK504" s="13"/>
      <c r="AL504" s="15"/>
      <c r="AM504" s="15"/>
      <c r="AN504" s="28"/>
      <c r="AO504" s="13"/>
      <c r="AP504" s="15"/>
      <c r="AQ504" s="15"/>
      <c r="AR504" s="28"/>
      <c r="AW504" s="13"/>
      <c r="AX504" s="15"/>
      <c r="AY504" s="15"/>
      <c r="AZ504" s="28"/>
      <c r="BE504" s="14"/>
      <c r="BF504" s="41">
        <f t="shared" ref="BF504:BG504" si="1575">K504+O504+S504+W504+AA504+AE504+AI504+AM504+AQ504+AU504+AY504+BC504</f>
        <v>0</v>
      </c>
      <c r="BG504" s="34">
        <f t="shared" si="1575"/>
        <v>0</v>
      </c>
      <c r="BH504" s="35">
        <f t="shared" ref="BH504:BH510" si="1576">H504+BF504-BG504</f>
        <v>0</v>
      </c>
    </row>
    <row r="505" ht="14.25" customHeight="1" spans="1:60" x14ac:dyDescent="0.25">
      <c r="A505" s="147">
        <v>67</v>
      </c>
      <c r="B505" s="14">
        <v>6.08</v>
      </c>
      <c r="C505" s="2" t="s">
        <v>245</v>
      </c>
      <c r="D505" s="14" t="s">
        <v>44</v>
      </c>
      <c r="E505" s="2" t="s">
        <v>45</v>
      </c>
      <c r="F505" s="13">
        <v>2.49</v>
      </c>
      <c r="G505" s="35">
        <v>2.5</v>
      </c>
      <c r="H505" s="34">
        <f>'2018'!BH505</f>
        <v>-200</v>
      </c>
      <c r="I505" s="13">
        <v>1425</v>
      </c>
      <c r="J505" s="15">
        <f>I505-'2018'!BA505</f>
        <v>0</v>
      </c>
      <c r="K505" s="34">
        <f>J505*$F$8</f>
        <v>0</v>
      </c>
      <c r="L505" s="28"/>
      <c r="M505" s="15">
        <v>1425</v>
      </c>
      <c r="N505" s="15">
        <f>M505-I505</f>
        <v>0</v>
      </c>
      <c r="O505" s="34">
        <f>N505*$F$8</f>
        <v>0</v>
      </c>
      <c r="Q505" s="13">
        <v>1425</v>
      </c>
      <c r="R505" s="15">
        <f>Q505-M505</f>
        <v>0</v>
      </c>
      <c r="S505" s="34">
        <f>R505*$F$8</f>
        <v>0</v>
      </c>
      <c r="T505" s="28"/>
      <c r="U505" s="15">
        <v>1455</v>
      </c>
      <c r="V505" s="15">
        <f>U505-Q505</f>
        <v>30</v>
      </c>
      <c r="W505" s="34">
        <f>V505*$F$8</f>
        <v>74.7</v>
      </c>
      <c r="X505" s="15"/>
      <c r="Y505" s="13">
        <v>1476</v>
      </c>
      <c r="Z505" s="15">
        <f>Y505-U505</f>
        <v>21</v>
      </c>
      <c r="AA505" s="34">
        <f>Z505*$F$8</f>
        <v>52.29</v>
      </c>
      <c r="AB505" s="28"/>
      <c r="AC505" s="15">
        <v>1564</v>
      </c>
      <c r="AD505" s="15">
        <f t="shared" ref="AD505:AD506" si="1577">AC505-Y505</f>
        <v>88</v>
      </c>
      <c r="AE505" s="34">
        <f>AD505*$G$8</f>
        <v>220</v>
      </c>
      <c r="AF505" s="138">
        <f>196.99+31.09</f>
        <v>228.08</v>
      </c>
      <c r="AG505" s="13">
        <v>1696</v>
      </c>
      <c r="AH505" s="15">
        <f>AG505-AC505</f>
        <v>132</v>
      </c>
      <c r="AI505" s="34">
        <f>AH505*$G$8</f>
        <v>330</v>
      </c>
      <c r="AJ505" s="134">
        <f>248.91+26.69</f>
        <v>275.6</v>
      </c>
      <c r="AK505" s="13">
        <v>1774</v>
      </c>
      <c r="AL505" s="15">
        <f>AK505-AG505</f>
        <v>78</v>
      </c>
      <c r="AM505" s="34">
        <f>AL505*$G$8</f>
        <v>195</v>
      </c>
      <c r="AN505" s="134">
        <f>168.31+53.29</f>
        <v>221.6</v>
      </c>
      <c r="AO505" s="13">
        <v>1851</v>
      </c>
      <c r="AP505" s="15">
        <f t="shared" ref="AP505:AP506" si="1578">AO505-AK505</f>
        <v>77</v>
      </c>
      <c r="AQ505" s="34">
        <f>AP505*$G$8</f>
        <v>192.5</v>
      </c>
      <c r="AR505" s="28"/>
      <c r="AS505" s="15">
        <v>1884</v>
      </c>
      <c r="AT505" s="15">
        <f t="shared" ref="AT505:AT506" si="1579">AS505-AO505</f>
        <v>33</v>
      </c>
      <c r="AU505" s="34">
        <f t="shared" ref="AU505:AU506" si="1580">AT505*$G$8</f>
        <v>82.5</v>
      </c>
      <c r="AV505" s="15"/>
      <c r="AW505" s="13">
        <v>1887</v>
      </c>
      <c r="AX505" s="15">
        <f>AW505-AS505</f>
        <v>3</v>
      </c>
      <c r="AY505" s="34">
        <f>AX505*$G$8</f>
        <v>7.5</v>
      </c>
      <c r="AZ505" s="38">
        <v>350</v>
      </c>
      <c r="BA505" s="13">
        <v>1887</v>
      </c>
      <c r="BB505" s="15">
        <f>BA505-AW505</f>
        <v>0</v>
      </c>
      <c r="BC505" s="34">
        <f>BB505*$G$8</f>
        <v>0</v>
      </c>
      <c r="BD505" s="34"/>
      <c r="BE505" s="40">
        <f t="shared" ref="BE505:BG505" si="1581">J505+N505+R505+V505+Z505+AD505+AH505+AL505+AP505+AT505+AX505+BB505</f>
        <v>462</v>
      </c>
      <c r="BF505" s="41">
        <f t="shared" si="1581"/>
        <v>1154.49</v>
      </c>
      <c r="BG505" s="34">
        <f t="shared" si="1581"/>
        <v>1075.28</v>
      </c>
      <c r="BH505" s="35">
        <f t="shared" si="1576"/>
        <v>-120.79</v>
      </c>
    </row>
    <row r="506" ht="14.25" customHeight="1" spans="1:60" x14ac:dyDescent="0.25">
      <c r="A506" s="29">
        <v>67</v>
      </c>
      <c r="B506" s="14"/>
      <c r="C506" s="2" t="s">
        <v>98</v>
      </c>
      <c r="D506" s="14" t="s">
        <v>47</v>
      </c>
      <c r="E506" s="2" t="s">
        <v>48</v>
      </c>
      <c r="F506" s="13">
        <v>17.98</v>
      </c>
      <c r="G506" s="28">
        <v>18.56</v>
      </c>
      <c r="H506" s="90">
        <f>'2018'!BH506</f>
        <v>0</v>
      </c>
      <c r="I506" s="13">
        <f>88+104</f>
        <v>192</v>
      </c>
      <c r="J506" s="15"/>
      <c r="K506" s="15"/>
      <c r="L506" s="28"/>
      <c r="Q506" s="13"/>
      <c r="R506" s="15"/>
      <c r="S506" s="15"/>
      <c r="T506" s="28"/>
      <c r="Y506" s="13">
        <f>92+102</f>
        <v>194</v>
      </c>
      <c r="Z506" s="15">
        <f>Y506-'2018'!AO506</f>
        <v>2</v>
      </c>
      <c r="AA506" s="34">
        <f>Z506*$F$10</f>
        <v>35.96</v>
      </c>
      <c r="AB506" s="28"/>
      <c r="AC506" s="13">
        <f>94+102</f>
        <v>196</v>
      </c>
      <c r="AD506" s="15">
        <f t="shared" si="1577"/>
        <v>2</v>
      </c>
      <c r="AE506" s="34">
        <f>AD506*$F$10</f>
        <v>35.96</v>
      </c>
      <c r="AF506" s="138">
        <v>71.92</v>
      </c>
      <c r="AG506" s="95">
        <f>103+6</f>
        <v>109</v>
      </c>
      <c r="AH506" s="15">
        <f>9+6</f>
        <v>15</v>
      </c>
      <c r="AI506" s="45">
        <f>AH506*$G$10</f>
        <v>278.4</v>
      </c>
      <c r="AJ506" s="134">
        <v>278.4</v>
      </c>
      <c r="AK506" s="13">
        <f>109+12</f>
        <v>121</v>
      </c>
      <c r="AL506" s="15">
        <f>9+6</f>
        <v>15</v>
      </c>
      <c r="AM506" s="45">
        <f>AL506*$G$10</f>
        <v>278.4</v>
      </c>
      <c r="AN506" s="134">
        <v>278.4</v>
      </c>
      <c r="AO506" s="75">
        <f>109+12</f>
        <v>121</v>
      </c>
      <c r="AP506" s="15">
        <f t="shared" si="1578"/>
        <v>0</v>
      </c>
      <c r="AQ506" s="45">
        <f>AP506*$G$10</f>
        <v>0</v>
      </c>
      <c r="AR506" s="28"/>
      <c r="AS506" s="75">
        <f>108+13</f>
        <v>121</v>
      </c>
      <c r="AT506" s="15">
        <f t="shared" si="1579"/>
        <v>0</v>
      </c>
      <c r="AU506" s="34">
        <f t="shared" si="1580"/>
        <v>0</v>
      </c>
      <c r="AV506" s="15"/>
      <c r="AW506" s="75">
        <f>108+13</f>
        <v>121</v>
      </c>
      <c r="AX506" s="15"/>
      <c r="AY506" s="15"/>
      <c r="AZ506" s="148">
        <v>300</v>
      </c>
      <c r="BA506" s="75">
        <f>108+13</f>
        <v>121</v>
      </c>
      <c r="BB506" s="15"/>
      <c r="BC506" s="15"/>
      <c r="BD506" s="15"/>
      <c r="BE506" s="40">
        <f t="shared" ref="BE506:BG506" si="1582">J506+N506+R506+V506+Z506+AD506+AH506+AL506+AP506+AT506+AX506+BB506</f>
        <v>34</v>
      </c>
      <c r="BF506" s="41">
        <f t="shared" si="1582"/>
        <v>628.72</v>
      </c>
      <c r="BG506" s="34">
        <f t="shared" si="1582"/>
        <v>928.72</v>
      </c>
      <c r="BH506" s="35">
        <f t="shared" si="1576"/>
        <v>-300</v>
      </c>
    </row>
    <row r="507" ht="14.25" customHeight="1" spans="1:60" x14ac:dyDescent="0.25">
      <c r="A507" s="29">
        <v>67</v>
      </c>
      <c r="B507" s="14"/>
      <c r="C507" s="2" t="s">
        <v>246</v>
      </c>
      <c r="D507" s="14" t="s">
        <v>47</v>
      </c>
      <c r="E507" s="2" t="s">
        <v>49</v>
      </c>
      <c r="F507" s="41">
        <v>500</v>
      </c>
      <c r="G507" s="28"/>
      <c r="H507" s="34">
        <f>'2018'!BH507</f>
        <v>0</v>
      </c>
      <c r="I507" s="13"/>
      <c r="J507" s="15"/>
      <c r="K507" s="15"/>
      <c r="L507" s="28"/>
      <c r="Q507" s="13"/>
      <c r="R507" s="15"/>
      <c r="S507" s="15"/>
      <c r="T507" s="28"/>
      <c r="Y507" s="13"/>
      <c r="Z507" s="15"/>
      <c r="AA507" s="15"/>
      <c r="AB507" s="28"/>
      <c r="AG507" s="13"/>
      <c r="AH507" s="15"/>
      <c r="AI507" s="15"/>
      <c r="AJ507" s="28"/>
      <c r="AK507" s="13"/>
      <c r="AL507" s="15"/>
      <c r="AM507" s="34"/>
      <c r="AN507" s="28"/>
      <c r="AO507" s="13"/>
      <c r="AP507" s="15"/>
      <c r="AQ507" s="34"/>
      <c r="AR507" s="28"/>
      <c r="AS507" s="15"/>
      <c r="AT507" s="15"/>
      <c r="AU507" s="15"/>
      <c r="AV507" s="15"/>
      <c r="AW507" s="13"/>
      <c r="AX507" s="15"/>
      <c r="AY507" s="15"/>
      <c r="AZ507" s="28"/>
      <c r="BA507" s="15"/>
      <c r="BB507" s="15"/>
      <c r="BC507" s="15"/>
      <c r="BD507" s="15"/>
      <c r="BE507" s="14"/>
      <c r="BF507" s="41">
        <f t="shared" ref="BF507:BG507" si="1583">K507+O507+S507+W507+AA507+AE507+AI507+AM507+AQ507+AU507+AY507+BC507</f>
        <v>0</v>
      </c>
      <c r="BG507" s="34">
        <f t="shared" si="1583"/>
        <v>0</v>
      </c>
      <c r="BH507" s="35">
        <f t="shared" si="1576"/>
        <v>0</v>
      </c>
    </row>
    <row r="508" ht="14.25" customHeight="1" spans="1:60" x14ac:dyDescent="0.25">
      <c r="A508" s="29">
        <v>67</v>
      </c>
      <c r="B508" s="14"/>
      <c r="C508" s="2" t="s">
        <v>247</v>
      </c>
      <c r="D508" s="14" t="s">
        <v>50</v>
      </c>
      <c r="E508" s="2" t="s">
        <v>49</v>
      </c>
      <c r="F508" s="41">
        <v>1200</v>
      </c>
      <c r="G508" s="28"/>
      <c r="H508" s="34">
        <f>'2018'!BH508</f>
        <v>0.0003999999999</v>
      </c>
      <c r="I508" s="13"/>
      <c r="J508" s="15"/>
      <c r="K508" s="15"/>
      <c r="L508" s="28"/>
      <c r="Q508" s="13"/>
      <c r="R508" s="15"/>
      <c r="S508" s="15"/>
      <c r="T508" s="28"/>
      <c r="Y508" s="13"/>
      <c r="Z508" s="15"/>
      <c r="AA508" s="15"/>
      <c r="AB508" s="28"/>
      <c r="AE508" s="34">
        <f>B505*$F$12</f>
        <v>7296</v>
      </c>
      <c r="AF508" s="34"/>
      <c r="AG508" s="13"/>
      <c r="AH508" s="15"/>
      <c r="AI508" s="15"/>
      <c r="AJ508" s="134">
        <v>7296</v>
      </c>
      <c r="AK508" s="13"/>
      <c r="AL508" s="15"/>
      <c r="AM508" s="15"/>
      <c r="AN508" s="28"/>
      <c r="AO508" s="13"/>
      <c r="AP508" s="15"/>
      <c r="AQ508" s="15"/>
      <c r="AR508" s="28"/>
      <c r="AS508" s="15"/>
      <c r="AT508" s="15"/>
      <c r="AU508" s="15"/>
      <c r="AV508" s="15"/>
      <c r="AW508" s="13"/>
      <c r="AX508" s="15"/>
      <c r="AY508" s="15"/>
      <c r="AZ508" s="28"/>
      <c r="BA508" s="15"/>
      <c r="BB508" s="15"/>
      <c r="BC508" s="15"/>
      <c r="BD508" s="15"/>
      <c r="BE508" s="14"/>
      <c r="BF508" s="41">
        <f t="shared" ref="BF508:BG508" si="1584">K508+O508+S508+W508+AA508+AE508+AI508+AM508+AQ508+AU508+AY508+BC508</f>
        <v>7296</v>
      </c>
      <c r="BG508" s="34">
        <f t="shared" si="1584"/>
        <v>7296</v>
      </c>
      <c r="BH508" s="35">
        <f t="shared" si="1576"/>
        <v>0.0003999999999</v>
      </c>
    </row>
    <row r="509" ht="14.25" customHeight="1" spans="1:60" x14ac:dyDescent="0.25">
      <c r="A509" s="29">
        <v>67</v>
      </c>
      <c r="B509" s="14"/>
      <c r="C509" s="2" t="s">
        <v>429</v>
      </c>
      <c r="D509" s="14" t="s">
        <v>51</v>
      </c>
      <c r="E509" s="2" t="s">
        <v>49</v>
      </c>
      <c r="F509" s="41">
        <v>1000</v>
      </c>
      <c r="G509" s="28"/>
      <c r="H509" s="34">
        <f>'2018'!BH509</f>
        <v>0</v>
      </c>
      <c r="I509" s="13"/>
      <c r="J509" s="15"/>
      <c r="K509" s="15"/>
      <c r="L509" s="28"/>
      <c r="Q509" s="13"/>
      <c r="R509" s="15"/>
      <c r="S509" s="15"/>
      <c r="T509" s="28"/>
      <c r="Y509" s="13"/>
      <c r="Z509" s="15"/>
      <c r="AA509" s="15"/>
      <c r="AB509" s="28"/>
      <c r="AE509" s="34">
        <f>$F$21</f>
        <v>1000</v>
      </c>
      <c r="AG509" s="13"/>
      <c r="AH509" s="15"/>
      <c r="AI509" s="15"/>
      <c r="AJ509" s="134">
        <v>1000</v>
      </c>
      <c r="AK509" s="13"/>
      <c r="AL509" s="15"/>
      <c r="AM509" s="15"/>
      <c r="AN509" s="28"/>
      <c r="AO509" s="13"/>
      <c r="AP509" s="15"/>
      <c r="AQ509" s="15"/>
      <c r="AR509" s="28"/>
      <c r="AS509" s="15"/>
      <c r="AT509" s="15"/>
      <c r="AU509" s="15"/>
      <c r="AV509" s="15"/>
      <c r="AW509" s="13"/>
      <c r="AX509" s="15"/>
      <c r="AY509" s="15"/>
      <c r="AZ509" s="28"/>
      <c r="BA509" s="15"/>
      <c r="BB509" s="15"/>
      <c r="BC509" s="15"/>
      <c r="BD509" s="15"/>
      <c r="BE509" s="14"/>
      <c r="BF509" s="41">
        <f t="shared" ref="BF509:BG509" si="1585">K509+O509+S509+W509+AA509+AE509+AI509+AM509+AQ509+AU509+AY509+BC509</f>
        <v>1000</v>
      </c>
      <c r="BG509" s="34">
        <f t="shared" si="1585"/>
        <v>1000</v>
      </c>
      <c r="BH509" s="35">
        <f t="shared" si="1576"/>
        <v>0</v>
      </c>
    </row>
    <row r="510" ht="14.25" customHeight="1" spans="1:60" x14ac:dyDescent="0.25">
      <c r="A510" s="29">
        <v>67</v>
      </c>
      <c r="B510" s="14"/>
      <c r="C510" s="15" t="s">
        <v>430</v>
      </c>
      <c r="D510" s="14" t="s">
        <v>52</v>
      </c>
      <c r="E510" s="2" t="s">
        <v>39</v>
      </c>
      <c r="F510" s="41">
        <v>500</v>
      </c>
      <c r="G510" s="28"/>
      <c r="H510" s="34">
        <f>'2018'!BH510</f>
        <v>0</v>
      </c>
      <c r="I510" s="13"/>
      <c r="J510" s="15"/>
      <c r="K510" s="15"/>
      <c r="L510" s="28"/>
      <c r="Q510" s="13"/>
      <c r="R510" s="15"/>
      <c r="S510" s="15"/>
      <c r="T510" s="28"/>
      <c r="Y510" s="13"/>
      <c r="Z510" s="15"/>
      <c r="AA510" s="34">
        <f>$F$14</f>
        <v>500</v>
      </c>
      <c r="AB510" s="28"/>
      <c r="AF510" s="133">
        <v>500</v>
      </c>
      <c r="AG510" s="13"/>
      <c r="AH510" s="15"/>
      <c r="AI510" s="15"/>
      <c r="AJ510" s="38"/>
      <c r="AK510" s="13"/>
      <c r="AL510" s="15"/>
      <c r="AM510" s="15"/>
      <c r="AN510" s="28"/>
      <c r="AO510" s="13"/>
      <c r="AP510" s="15"/>
      <c r="AQ510" s="15"/>
      <c r="AR510" s="28"/>
      <c r="AS510" s="15"/>
      <c r="AT510" s="15"/>
      <c r="AU510" s="15"/>
      <c r="AV510" s="15"/>
      <c r="AW510" s="13"/>
      <c r="AX510" s="15"/>
      <c r="AY510" s="15"/>
      <c r="AZ510" s="28"/>
      <c r="BA510" s="15"/>
      <c r="BB510" s="15"/>
      <c r="BC510" s="15"/>
      <c r="BD510" s="15"/>
      <c r="BE510" s="14"/>
      <c r="BF510" s="41">
        <f t="shared" ref="BF510:BG510" si="1586">K510+O510+S510+W510+AA510+AE510+AI510+AM510+AQ510+AU510+AY510+BC510</f>
        <v>500</v>
      </c>
      <c r="BG510" s="34">
        <f t="shared" si="1586"/>
        <v>500</v>
      </c>
      <c r="BH510" s="35">
        <f t="shared" si="1576"/>
        <v>0</v>
      </c>
    </row>
    <row r="511" ht="14.25" customHeight="1" spans="1:62" x14ac:dyDescent="0.25">
      <c r="A511" s="50">
        <v>67</v>
      </c>
      <c r="B511" s="21"/>
      <c r="C511" s="22" t="s">
        <v>53</v>
      </c>
      <c r="D511" s="21"/>
      <c r="E511" s="22"/>
      <c r="F511" s="20"/>
      <c r="G511" s="23"/>
      <c r="H511" s="51">
        <f>SUM(H504:H510)</f>
        <v>-199.9996</v>
      </c>
      <c r="I511" s="52"/>
      <c r="J511" s="53"/>
      <c r="K511" s="51">
        <f t="shared" ref="K511:L511" si="1587">SUM(K504:K510)</f>
        <v>0</v>
      </c>
      <c r="L511" s="68">
        <f t="shared" si="1587"/>
        <v>0</v>
      </c>
      <c r="M511" s="53"/>
      <c r="N511" s="53"/>
      <c r="O511" s="51">
        <f t="shared" ref="O511:P511" si="1588">SUM(O505:O510)</f>
        <v>0</v>
      </c>
      <c r="P511" s="51">
        <f t="shared" si="1588"/>
        <v>0</v>
      </c>
      <c r="Q511" s="52"/>
      <c r="R511" s="53"/>
      <c r="S511" s="51">
        <f t="shared" ref="S511:T511" si="1589">SUM(S505:S510)</f>
        <v>0</v>
      </c>
      <c r="T511" s="68">
        <f t="shared" si="1589"/>
        <v>0</v>
      </c>
      <c r="U511" s="53"/>
      <c r="V511" s="53"/>
      <c r="W511" s="51">
        <f t="shared" ref="W511:X511" si="1590">SUM(W505:W510)</f>
        <v>74.7</v>
      </c>
      <c r="X511" s="51">
        <f t="shared" si="1590"/>
        <v>0</v>
      </c>
      <c r="Y511" s="52"/>
      <c r="Z511" s="53"/>
      <c r="AA511" s="51">
        <f t="shared" ref="AA511:AB511" si="1591">SUM(AA505:AA510)</f>
        <v>588.25</v>
      </c>
      <c r="AB511" s="68">
        <f t="shared" si="1591"/>
        <v>0</v>
      </c>
      <c r="AC511" s="53"/>
      <c r="AD511" s="53"/>
      <c r="AE511" s="51">
        <f t="shared" ref="AE511:AF511" si="1592">SUM(AE505:AE510)</f>
        <v>8551.96</v>
      </c>
      <c r="AF511" s="51">
        <f t="shared" si="1592"/>
        <v>800</v>
      </c>
      <c r="AG511" s="52"/>
      <c r="AH511" s="53"/>
      <c r="AI511" s="51">
        <f t="shared" ref="AI511:AJ511" si="1593">SUM(AI505:AI510)</f>
        <v>608.4</v>
      </c>
      <c r="AJ511" s="68">
        <f t="shared" si="1593"/>
        <v>8850</v>
      </c>
      <c r="AK511" s="52"/>
      <c r="AL511" s="53"/>
      <c r="AM511" s="51">
        <f t="shared" ref="AM511:AN511" si="1594">SUM(AM505:AM510)</f>
        <v>473.4</v>
      </c>
      <c r="AN511" s="68">
        <f t="shared" si="1594"/>
        <v>500</v>
      </c>
      <c r="AO511" s="52"/>
      <c r="AP511" s="53"/>
      <c r="AQ511" s="51">
        <f t="shared" ref="AQ511:AR511" si="1595">SUM(AQ504:AQ510)</f>
        <v>192.5</v>
      </c>
      <c r="AR511" s="68">
        <f t="shared" si="1595"/>
        <v>0</v>
      </c>
      <c r="AS511" s="53"/>
      <c r="AT511" s="53"/>
      <c r="AU511" s="51">
        <f t="shared" ref="AU511:AV511" si="1596">SUM(AU504:AU510)</f>
        <v>82.5</v>
      </c>
      <c r="AV511" s="68">
        <f t="shared" si="1596"/>
        <v>0</v>
      </c>
      <c r="AW511" s="52"/>
      <c r="AX511" s="53"/>
      <c r="AY511" s="51">
        <f t="shared" ref="AY511:AZ511" si="1597">SUM(AY504:AY510)</f>
        <v>7.5</v>
      </c>
      <c r="AZ511" s="68">
        <f t="shared" si="1597"/>
        <v>650</v>
      </c>
      <c r="BA511" s="53"/>
      <c r="BB511" s="53"/>
      <c r="BC511" s="51">
        <f t="shared" ref="BC511:BD511" si="1598">SUM(BC504:BC510)</f>
        <v>0</v>
      </c>
      <c r="BD511" s="68">
        <f t="shared" si="1598"/>
        <v>0</v>
      </c>
      <c r="BE511" s="69"/>
      <c r="BF511" s="70">
        <f t="shared" ref="BF511:BH511" si="1599">SUM(BF504:BF510)</f>
        <v>10579.21</v>
      </c>
      <c r="BG511" s="71">
        <f t="shared" si="1599"/>
        <v>10800</v>
      </c>
      <c r="BH511" s="72">
        <f t="shared" si="1599"/>
        <v>-420.7896</v>
      </c>
      <c r="BI511" s="34">
        <f>H511+BF511-BG511</f>
        <v>-420.7896</v>
      </c>
      <c r="BJ511" s="34">
        <f>BH511-BI511</f>
        <v>0</v>
      </c>
    </row>
    <row r="512" ht="14.25" customHeight="1" spans="1:60" x14ac:dyDescent="0.25">
      <c r="A512" s="79" t="s">
        <v>248</v>
      </c>
      <c r="B512" s="14"/>
      <c r="D512" s="14" t="s">
        <v>379</v>
      </c>
      <c r="F512" s="13"/>
      <c r="G512" s="28"/>
      <c r="H512" s="34">
        <f>'2018'!BH512</f>
      </c>
      <c r="I512" s="13"/>
      <c r="J512" s="15"/>
      <c r="K512" s="15"/>
      <c r="L512" s="28"/>
      <c r="Q512" s="13"/>
      <c r="R512" s="15"/>
      <c r="S512" s="15"/>
      <c r="T512" s="28"/>
      <c r="Y512" s="13"/>
      <c r="Z512" s="15"/>
      <c r="AA512" s="15"/>
      <c r="AB512" s="28"/>
      <c r="AG512" s="13"/>
      <c r="AH512" s="15"/>
      <c r="AI512" s="15"/>
      <c r="AJ512" s="28"/>
      <c r="AK512" s="13"/>
      <c r="AL512" s="15"/>
      <c r="AM512" s="15"/>
      <c r="AN512" s="28"/>
      <c r="AO512" s="13"/>
      <c r="AP512" s="15"/>
      <c r="AQ512" s="15"/>
      <c r="AR512" s="28"/>
      <c r="AW512" s="13"/>
      <c r="AX512" s="15"/>
      <c r="AY512" s="15"/>
      <c r="AZ512" s="28"/>
      <c r="BE512" s="14"/>
      <c r="BF512" s="41">
        <f t="shared" ref="BF512:BG512" si="1600">K512+O512+S512+W512+AA512+AE512+AI512+AM512+AQ512+AU512+AY512+BC512</f>
        <v>0</v>
      </c>
      <c r="BG512" s="34">
        <f t="shared" si="1600"/>
        <v>0</v>
      </c>
      <c r="BH512" s="35">
        <f t="shared" ref="BH512:BH518" si="1601">H512+BF512-BG512</f>
        <v>0</v>
      </c>
    </row>
    <row r="513" ht="14.25" customHeight="1" spans="1:60" x14ac:dyDescent="0.25">
      <c r="A513" s="80" t="s">
        <v>248</v>
      </c>
      <c r="B513" s="14">
        <f>4.01+4.02</f>
        <v>8.03</v>
      </c>
      <c r="C513" s="2" t="s">
        <v>249</v>
      </c>
      <c r="D513" s="14" t="s">
        <v>44</v>
      </c>
      <c r="E513" s="2" t="s">
        <v>45</v>
      </c>
      <c r="F513" s="13">
        <v>2.49</v>
      </c>
      <c r="G513" s="35">
        <v>2.5</v>
      </c>
      <c r="H513" s="34">
        <f>'2018'!BH513</f>
        <v>14.94</v>
      </c>
      <c r="I513" s="13">
        <v>1247</v>
      </c>
      <c r="J513" s="15">
        <f>I513-'2018'!BA513</f>
        <v>0</v>
      </c>
      <c r="K513" s="34">
        <f>J513*$F$8</f>
        <v>0</v>
      </c>
      <c r="L513" s="28"/>
      <c r="M513" s="2">
        <v>1247</v>
      </c>
      <c r="N513" s="15">
        <f>M513-I513</f>
        <v>0</v>
      </c>
      <c r="O513" s="34">
        <f>N513*$F$8</f>
        <v>0</v>
      </c>
      <c r="Q513" s="13">
        <v>1247</v>
      </c>
      <c r="R513" s="15">
        <f>Q513-M513</f>
        <v>0</v>
      </c>
      <c r="S513" s="34">
        <f>R513*$F$8</f>
        <v>0</v>
      </c>
      <c r="T513" s="28"/>
      <c r="U513" s="15">
        <v>1247</v>
      </c>
      <c r="V513" s="15">
        <f>U513-Q513</f>
        <v>0</v>
      </c>
      <c r="W513" s="34">
        <f>V513*$F$8</f>
        <v>0</v>
      </c>
      <c r="Y513" s="13">
        <v>1264</v>
      </c>
      <c r="Z513" s="15">
        <f>Y513-U513</f>
        <v>17</v>
      </c>
      <c r="AA513" s="34">
        <f>Z513*$F$8</f>
        <v>42.33</v>
      </c>
      <c r="AB513" s="28"/>
      <c r="AC513" s="15">
        <v>1281</v>
      </c>
      <c r="AD513" s="15">
        <f t="shared" ref="AD513:AD514" si="1602">AC513-Y513</f>
        <v>17</v>
      </c>
      <c r="AE513" s="34">
        <f>AD513*$G$8</f>
        <v>42.5</v>
      </c>
      <c r="AF513" s="133">
        <v>100</v>
      </c>
      <c r="AG513" s="13">
        <v>1308</v>
      </c>
      <c r="AH513" s="15">
        <f t="shared" ref="AH513:AH514" si="1603">AG513-AC513</f>
        <v>27</v>
      </c>
      <c r="AI513" s="34">
        <f>AH513*$G$8</f>
        <v>67.5</v>
      </c>
      <c r="AJ513" s="139">
        <v>67.27</v>
      </c>
      <c r="AK513" s="13">
        <v>1358</v>
      </c>
      <c r="AL513" s="15">
        <f t="shared" ref="AL513:AL514" si="1604">AK513-AG513</f>
        <v>50</v>
      </c>
      <c r="AM513" s="34">
        <f>AL513*$G$8</f>
        <v>125</v>
      </c>
      <c r="AN513" s="139">
        <f>125.24+53.13</f>
        <v>178.37</v>
      </c>
      <c r="AO513" s="13">
        <v>1695</v>
      </c>
      <c r="AP513" s="15">
        <f t="shared" ref="AP513:AP514" si="1605">AO513-AK513</f>
        <v>337</v>
      </c>
      <c r="AQ513" s="34">
        <f>AP513*$G$8</f>
        <v>842.5</v>
      </c>
      <c r="AR513" s="28"/>
      <c r="AS513" s="15">
        <v>1702</v>
      </c>
      <c r="AT513" s="15">
        <f t="shared" ref="AT513:AT514" si="1606">AS513-AO513</f>
        <v>7</v>
      </c>
      <c r="AU513" s="34">
        <f>AT513*$G$8</f>
        <v>17.5</v>
      </c>
      <c r="AV513" s="15"/>
      <c r="AW513" s="13">
        <v>1702</v>
      </c>
      <c r="AX513" s="15">
        <f>AW513-AS513</f>
        <v>0</v>
      </c>
      <c r="AY513" s="34">
        <f>AX513*$G$8</f>
        <v>0</v>
      </c>
      <c r="AZ513" s="28"/>
      <c r="BA513" s="13">
        <v>1702</v>
      </c>
      <c r="BB513" s="15">
        <f>BA513-AW513</f>
        <v>0</v>
      </c>
      <c r="BC513" s="34">
        <f>BB513*$G$8</f>
        <v>0</v>
      </c>
      <c r="BD513" s="1">
        <v>806.63</v>
      </c>
      <c r="BE513" s="40">
        <f t="shared" ref="BE513:BG513" si="1607">J513+N513+R513+V513+Z513+AD513+AH513+AL513+AP513+AT513+AX513+BB513</f>
        <v>455</v>
      </c>
      <c r="BF513" s="41">
        <f t="shared" si="1607"/>
        <v>1137.33</v>
      </c>
      <c r="BG513" s="34">
        <f t="shared" si="1607"/>
        <v>1152.27</v>
      </c>
      <c r="BH513" s="35">
        <f t="shared" si="1601"/>
        <v>0</v>
      </c>
    </row>
    <row r="514" ht="14.25" customHeight="1" spans="1:60" x14ac:dyDescent="0.25">
      <c r="A514" s="79" t="s">
        <v>248</v>
      </c>
      <c r="B514" s="14"/>
      <c r="C514" s="2" t="s">
        <v>250</v>
      </c>
      <c r="D514" s="14" t="s">
        <v>47</v>
      </c>
      <c r="E514" s="2" t="s">
        <v>48</v>
      </c>
      <c r="F514" s="13">
        <v>17.98</v>
      </c>
      <c r="G514" s="28">
        <v>18.56</v>
      </c>
      <c r="H514" s="90">
        <f>'2018'!BH514</f>
        <v>1326</v>
      </c>
      <c r="I514" s="75">
        <f>215+74</f>
        <v>289</v>
      </c>
      <c r="J514" s="15"/>
      <c r="K514" s="15"/>
      <c r="L514" s="28"/>
      <c r="Q514" s="13"/>
      <c r="R514" s="15"/>
      <c r="S514" s="15"/>
      <c r="T514" s="28"/>
      <c r="Y514" s="95">
        <f>5+4</f>
        <v>9</v>
      </c>
      <c r="Z514" s="81">
        <v>9</v>
      </c>
      <c r="AA514" s="34">
        <f>Z514*$F$10</f>
        <v>161.82</v>
      </c>
      <c r="AB514" s="28"/>
      <c r="AC514" s="13">
        <f>9+7</f>
        <v>16</v>
      </c>
      <c r="AD514" s="15">
        <f t="shared" si="1602"/>
        <v>7</v>
      </c>
      <c r="AE514" s="34">
        <f>AD514*$F$10</f>
        <v>125.86</v>
      </c>
      <c r="AF514" s="133">
        <v>1326</v>
      </c>
      <c r="AG514" s="13">
        <f>13+10</f>
        <v>23</v>
      </c>
      <c r="AH514" s="15">
        <f t="shared" si="1603"/>
        <v>7</v>
      </c>
      <c r="AI514" s="45">
        <f>AH514*$G$10</f>
        <v>129.92</v>
      </c>
      <c r="AJ514" s="134">
        <v>417.6</v>
      </c>
      <c r="AK514" s="13">
        <f>22+22</f>
        <v>44</v>
      </c>
      <c r="AL514" s="15">
        <f t="shared" si="1604"/>
        <v>21</v>
      </c>
      <c r="AM514" s="45">
        <f>AL514*$G$10</f>
        <v>389.76</v>
      </c>
      <c r="AN514" s="134">
        <v>389.76</v>
      </c>
      <c r="AO514" s="13">
        <f>24+25</f>
        <v>49</v>
      </c>
      <c r="AP514" s="15">
        <f t="shared" si="1605"/>
        <v>5</v>
      </c>
      <c r="AQ514" s="45">
        <f>AP514*$G$10</f>
        <v>92.8</v>
      </c>
      <c r="AR514" s="93"/>
      <c r="AS514" s="13">
        <f>24+25</f>
        <v>49</v>
      </c>
      <c r="AT514" s="15">
        <f t="shared" si="1606"/>
        <v>0</v>
      </c>
      <c r="AU514" s="45">
        <f>AT514*$G$10</f>
        <v>0</v>
      </c>
      <c r="AV514" s="15"/>
      <c r="AW514" s="13">
        <f>24+25</f>
        <v>49</v>
      </c>
      <c r="AX514" s="15"/>
      <c r="AY514" s="15"/>
      <c r="AZ514" s="28"/>
      <c r="BA514" s="13">
        <f>24+25</f>
        <v>49</v>
      </c>
      <c r="BB514" s="15"/>
      <c r="BC514" s="15"/>
      <c r="BD514" s="39">
        <v>92.8</v>
      </c>
      <c r="BE514" s="40">
        <f t="shared" ref="BE514:BG514" si="1608">J514+N514+R514+V514+Z514+AD514+AH514+AL514+AP514+AT514+AX514+BB514</f>
        <v>49</v>
      </c>
      <c r="BF514" s="41">
        <f t="shared" si="1608"/>
        <v>900.16</v>
      </c>
      <c r="BG514" s="34">
        <f t="shared" si="1608"/>
        <v>2226.16</v>
      </c>
      <c r="BH514" s="35">
        <f t="shared" si="1601"/>
        <v>0</v>
      </c>
    </row>
    <row r="515" ht="14.25" customHeight="1" spans="1:60" x14ac:dyDescent="0.25">
      <c r="A515" s="79" t="s">
        <v>248</v>
      </c>
      <c r="B515" s="14"/>
      <c r="C515" s="2" t="s">
        <v>251</v>
      </c>
      <c r="D515" s="14" t="s">
        <v>47</v>
      </c>
      <c r="E515" s="2" t="s">
        <v>49</v>
      </c>
      <c r="F515" s="41">
        <v>500</v>
      </c>
      <c r="G515" s="28"/>
      <c r="H515" s="34">
        <f>'2018'!BH515</f>
        <v>0</v>
      </c>
      <c r="I515" s="13"/>
      <c r="J515" s="15"/>
      <c r="K515" s="15"/>
      <c r="L515" s="28"/>
      <c r="Q515" s="13"/>
      <c r="R515" s="15"/>
      <c r="S515" s="15"/>
      <c r="T515" s="28"/>
      <c r="Y515" s="13"/>
      <c r="Z515" s="15"/>
      <c r="AA515" s="15"/>
      <c r="AB515" s="28"/>
      <c r="AG515" s="13"/>
      <c r="AH515" s="15"/>
      <c r="AI515" s="15"/>
      <c r="AJ515" s="28"/>
      <c r="AK515" s="13"/>
      <c r="AL515" s="15"/>
      <c r="AM515" s="34"/>
      <c r="AN515" s="28"/>
      <c r="AO515" s="13"/>
      <c r="AP515" s="15"/>
      <c r="AQ515" s="34"/>
      <c r="AR515" s="28"/>
      <c r="AS515" s="15"/>
      <c r="AT515" s="15"/>
      <c r="AU515" s="15"/>
      <c r="AV515" s="15"/>
      <c r="AW515" s="13"/>
      <c r="AX515" s="15"/>
      <c r="AY515" s="15"/>
      <c r="AZ515" s="28"/>
      <c r="BA515" s="15"/>
      <c r="BB515" s="15"/>
      <c r="BC515" s="15"/>
      <c r="BD515" s="15"/>
      <c r="BE515" s="14"/>
      <c r="BF515" s="41">
        <f t="shared" ref="BF515:BG515" si="1609">K515+O515+S515+W515+AA515+AE515+AI515+AM515+AQ515+AU515+AY515+BC515</f>
        <v>0</v>
      </c>
      <c r="BG515" s="34">
        <f t="shared" si="1609"/>
        <v>0</v>
      </c>
      <c r="BH515" s="35">
        <f t="shared" si="1601"/>
        <v>0</v>
      </c>
    </row>
    <row r="516" ht="14.25" customHeight="1" spans="1:60" x14ac:dyDescent="0.25">
      <c r="A516" s="79" t="s">
        <v>248</v>
      </c>
      <c r="B516" s="14"/>
      <c r="C516" s="2" t="s">
        <v>431</v>
      </c>
      <c r="D516" s="14" t="s">
        <v>50</v>
      </c>
      <c r="E516" s="2" t="s">
        <v>49</v>
      </c>
      <c r="F516" s="41">
        <v>1200</v>
      </c>
      <c r="G516" s="28"/>
      <c r="H516" s="34">
        <f>'2018'!BH516</f>
        <v>-0.0036</v>
      </c>
      <c r="I516" s="13"/>
      <c r="J516" s="15"/>
      <c r="K516" s="15"/>
      <c r="L516" s="28"/>
      <c r="Q516" s="13"/>
      <c r="R516" s="15"/>
      <c r="S516" s="15"/>
      <c r="T516" s="28"/>
      <c r="Y516" s="13"/>
      <c r="Z516" s="15"/>
      <c r="AA516" s="15"/>
      <c r="AB516" s="28"/>
      <c r="AE516" s="34">
        <f>B513*$F$12</f>
        <v>9636</v>
      </c>
      <c r="AF516" s="133">
        <v>1574</v>
      </c>
      <c r="AG516" s="13"/>
      <c r="AH516" s="15"/>
      <c r="AI516" s="15"/>
      <c r="AJ516" s="134">
        <v>3515.13</v>
      </c>
      <c r="AK516" s="13"/>
      <c r="AL516" s="15"/>
      <c r="AM516" s="15"/>
      <c r="AN516" s="139">
        <v>4546.87</v>
      </c>
      <c r="AO516" s="13"/>
      <c r="AP516" s="15"/>
      <c r="AQ516" s="15"/>
      <c r="AR516" s="28"/>
      <c r="AS516" s="15"/>
      <c r="AT516" s="15"/>
      <c r="AU516" s="15"/>
      <c r="AV516" s="15"/>
      <c r="AW516" s="13"/>
      <c r="AX516" s="15"/>
      <c r="AY516" s="15"/>
      <c r="AZ516" s="28"/>
      <c r="BA516" s="15"/>
      <c r="BB516" s="15"/>
      <c r="BC516" s="15"/>
      <c r="BD516" s="15"/>
      <c r="BE516" s="14"/>
      <c r="BF516" s="41">
        <f t="shared" ref="BF516:BG516" si="1610">K516+O516+S516+W516+AA516+AE516+AI516+AM516+AQ516+AU516+AY516+BC516</f>
        <v>9636</v>
      </c>
      <c r="BG516" s="34">
        <f t="shared" si="1610"/>
        <v>9636</v>
      </c>
      <c r="BH516" s="35">
        <f t="shared" si="1601"/>
        <v>-0.0036</v>
      </c>
    </row>
    <row r="517" ht="14.25" customHeight="1" spans="1:60" x14ac:dyDescent="0.25">
      <c r="A517" s="79" t="s">
        <v>248</v>
      </c>
      <c r="B517" s="14"/>
      <c r="C517" s="2" t="s">
        <v>252</v>
      </c>
      <c r="D517" s="14" t="s">
        <v>51</v>
      </c>
      <c r="E517" s="2" t="s">
        <v>49</v>
      </c>
      <c r="F517" s="41">
        <v>1000</v>
      </c>
      <c r="G517" s="28"/>
      <c r="H517" s="34">
        <f>'2018'!BH517</f>
        <v>0</v>
      </c>
      <c r="I517" s="13"/>
      <c r="J517" s="15"/>
      <c r="K517" s="15"/>
      <c r="L517" s="28"/>
      <c r="Q517" s="13"/>
      <c r="R517" s="15"/>
      <c r="S517" s="15"/>
      <c r="T517" s="28"/>
      <c r="Y517" s="13"/>
      <c r="Z517" s="15"/>
      <c r="AA517" s="15"/>
      <c r="AB517" s="28"/>
      <c r="AE517" s="34">
        <f>$F$21*2</f>
        <v>2000</v>
      </c>
      <c r="AF517" s="133">
        <v>2000</v>
      </c>
      <c r="AG517" s="13"/>
      <c r="AH517" s="15"/>
      <c r="AI517" s="15"/>
      <c r="AJ517" s="28"/>
      <c r="AK517" s="13"/>
      <c r="AL517" s="15"/>
      <c r="AM517" s="15"/>
      <c r="AN517" s="28"/>
      <c r="AO517" s="13"/>
      <c r="AP517" s="15"/>
      <c r="AQ517" s="15"/>
      <c r="AR517" s="28"/>
      <c r="AS517" s="15"/>
      <c r="AT517" s="15"/>
      <c r="AU517" s="15"/>
      <c r="AV517" s="15"/>
      <c r="AW517" s="13"/>
      <c r="AX517" s="15"/>
      <c r="AY517" s="15"/>
      <c r="AZ517" s="28"/>
      <c r="BA517" s="15"/>
      <c r="BB517" s="15"/>
      <c r="BC517" s="15"/>
      <c r="BD517" s="15"/>
      <c r="BE517" s="14"/>
      <c r="BF517" s="41">
        <f t="shared" ref="BF517:BG517" si="1611">K517+O517+S517+W517+AA517+AE517+AI517+AM517+AQ517+AU517+AY517+BC517</f>
        <v>2000</v>
      </c>
      <c r="BG517" s="34">
        <f t="shared" si="1611"/>
        <v>2000</v>
      </c>
      <c r="BH517" s="35">
        <f t="shared" si="1601"/>
        <v>0</v>
      </c>
    </row>
    <row r="518" ht="14.25" customHeight="1" spans="1:60" x14ac:dyDescent="0.25">
      <c r="A518" s="79" t="s">
        <v>248</v>
      </c>
      <c r="B518" s="14"/>
      <c r="D518" s="14" t="s">
        <v>52</v>
      </c>
      <c r="E518" s="2" t="s">
        <v>39</v>
      </c>
      <c r="F518" s="41">
        <v>500</v>
      </c>
      <c r="G518" s="28"/>
      <c r="H518" s="84">
        <f>'2018'!BH518-1000</f>
        <v>-1000</v>
      </c>
      <c r="I518" s="13"/>
      <c r="J518" s="15"/>
      <c r="K518" s="15"/>
      <c r="L518" s="28"/>
      <c r="Q518" s="13"/>
      <c r="R518" s="15"/>
      <c r="S518" s="15"/>
      <c r="T518" s="28"/>
      <c r="Y518" s="13"/>
      <c r="Z518" s="15"/>
      <c r="AA518" s="34">
        <f>$F$14*2</f>
        <v>1000</v>
      </c>
      <c r="AB518" s="28"/>
      <c r="AG518" s="13"/>
      <c r="AH518" s="15"/>
      <c r="AI518" s="15"/>
      <c r="AJ518" s="28"/>
      <c r="AK518" s="13"/>
      <c r="AL518" s="15"/>
      <c r="AM518" s="15"/>
      <c r="AN518" s="28"/>
      <c r="AO518" s="13"/>
      <c r="AP518" s="15"/>
      <c r="AQ518" s="15"/>
      <c r="AR518" s="35"/>
      <c r="AS518" s="15"/>
      <c r="AT518" s="15"/>
      <c r="AU518" s="15"/>
      <c r="AV518" s="15"/>
      <c r="AW518" s="13"/>
      <c r="AX518" s="15"/>
      <c r="AY518" s="15"/>
      <c r="AZ518" s="28"/>
      <c r="BA518" s="15"/>
      <c r="BB518" s="15"/>
      <c r="BC518" s="15"/>
      <c r="BD518" s="15"/>
      <c r="BE518" s="14"/>
      <c r="BF518" s="41">
        <f t="shared" ref="BF518:BG518" si="1612">K518+O518+S518+W518+AA518+AE518+AI518+AM518+AQ518+AU518+AY518+BC518</f>
        <v>1000</v>
      </c>
      <c r="BG518" s="34">
        <f t="shared" si="1612"/>
        <v>0</v>
      </c>
      <c r="BH518" s="35">
        <f t="shared" si="1601"/>
        <v>0</v>
      </c>
    </row>
    <row r="519" ht="14.25" customHeight="1" spans="1:62" x14ac:dyDescent="0.25">
      <c r="A519" s="50" t="s">
        <v>248</v>
      </c>
      <c r="B519" s="21"/>
      <c r="C519" s="22" t="s">
        <v>53</v>
      </c>
      <c r="D519" s="21"/>
      <c r="E519" s="22"/>
      <c r="F519" s="20"/>
      <c r="G519" s="23"/>
      <c r="H519" s="51">
        <f>SUM(H512:H518)</f>
        <v>340.9364</v>
      </c>
      <c r="I519" s="52"/>
      <c r="J519" s="53"/>
      <c r="K519" s="51">
        <f t="shared" ref="K519:L519" si="1613">SUM(K512:K518)</f>
        <v>0</v>
      </c>
      <c r="L519" s="68">
        <f t="shared" si="1613"/>
        <v>0</v>
      </c>
      <c r="M519" s="53"/>
      <c r="N519" s="53"/>
      <c r="O519" s="51">
        <f t="shared" ref="O519:P519" si="1614">SUM(O513:O518)</f>
        <v>0</v>
      </c>
      <c r="P519" s="51">
        <f t="shared" si="1614"/>
        <v>0</v>
      </c>
      <c r="Q519" s="52"/>
      <c r="R519" s="53"/>
      <c r="S519" s="51">
        <f t="shared" ref="S519:T519" si="1615">SUM(S513:S518)</f>
        <v>0</v>
      </c>
      <c r="T519" s="68">
        <f t="shared" si="1615"/>
        <v>0</v>
      </c>
      <c r="U519" s="53"/>
      <c r="V519" s="53"/>
      <c r="W519" s="51">
        <f t="shared" ref="W519:X519" si="1616">SUM(W513:W518)</f>
        <v>0</v>
      </c>
      <c r="X519" s="51">
        <f t="shared" si="1616"/>
        <v>0</v>
      </c>
      <c r="Y519" s="52"/>
      <c r="Z519" s="53"/>
      <c r="AA519" s="51">
        <f t="shared" ref="AA519:AB519" si="1617">SUM(AA513:AA518)</f>
        <v>1204.15</v>
      </c>
      <c r="AB519" s="68">
        <f t="shared" si="1617"/>
        <v>0</v>
      </c>
      <c r="AC519" s="53"/>
      <c r="AD519" s="53"/>
      <c r="AE519" s="51">
        <f t="shared" ref="AE519:AF519" si="1618">SUM(AE513:AE518)</f>
        <v>11804.36</v>
      </c>
      <c r="AF519" s="51">
        <f t="shared" si="1618"/>
        <v>5000</v>
      </c>
      <c r="AG519" s="52"/>
      <c r="AH519" s="53"/>
      <c r="AI519" s="51">
        <f t="shared" ref="AI519:AJ519" si="1619">SUM(AI513:AI518)</f>
        <v>197.42</v>
      </c>
      <c r="AJ519" s="68">
        <f t="shared" si="1619"/>
        <v>4000</v>
      </c>
      <c r="AK519" s="52"/>
      <c r="AL519" s="53"/>
      <c r="AM519" s="51">
        <f t="shared" ref="AM519:AN519" si="1620">SUM(AM513:AM518)</f>
        <v>514.76</v>
      </c>
      <c r="AN519" s="68">
        <f t="shared" si="1620"/>
        <v>5115</v>
      </c>
      <c r="AO519" s="52"/>
      <c r="AP519" s="53"/>
      <c r="AQ519" s="51">
        <f t="shared" ref="AQ519:AR519" si="1621">SUM(AQ512:AQ518)</f>
        <v>935.3</v>
      </c>
      <c r="AR519" s="68">
        <f t="shared" si="1621"/>
        <v>0</v>
      </c>
      <c r="AS519" s="53"/>
      <c r="AT519" s="53"/>
      <c r="AU519" s="51">
        <f t="shared" ref="AU519:AV519" si="1622">SUM(AU512:AU518)</f>
        <v>17.5</v>
      </c>
      <c r="AV519" s="68">
        <f t="shared" si="1622"/>
        <v>0</v>
      </c>
      <c r="AW519" s="52"/>
      <c r="AX519" s="53"/>
      <c r="AY519" s="51">
        <f t="shared" ref="AY519:AZ519" si="1623">SUM(AY512:AY518)</f>
        <v>0</v>
      </c>
      <c r="AZ519" s="68">
        <f t="shared" si="1623"/>
        <v>0</v>
      </c>
      <c r="BA519" s="53"/>
      <c r="BB519" s="53"/>
      <c r="BC519" s="51">
        <f t="shared" ref="BC519:BD519" si="1624">SUM(BC512:BC518)</f>
        <v>0</v>
      </c>
      <c r="BD519" s="68">
        <f t="shared" si="1624"/>
        <v>899.43</v>
      </c>
      <c r="BE519" s="69"/>
      <c r="BF519" s="70">
        <f t="shared" ref="BF519:BH519" si="1625">SUM(BF512:BF518)</f>
        <v>14673.49</v>
      </c>
      <c r="BG519" s="71">
        <f t="shared" si="1625"/>
        <v>15014.43</v>
      </c>
      <c r="BH519" s="72">
        <f t="shared" si="1625"/>
        <v>-0.0036</v>
      </c>
      <c r="BI519" s="34">
        <f>H519+BF519-BG519</f>
        <v>-0.0036</v>
      </c>
      <c r="BJ519" s="34">
        <f>BH519-BI519</f>
        <v>0</v>
      </c>
    </row>
    <row r="520" ht="14.25" customHeight="1" spans="1:60" x14ac:dyDescent="0.25">
      <c r="A520" s="29">
        <v>69</v>
      </c>
      <c r="B520" s="14"/>
      <c r="D520" s="14" t="s">
        <v>379</v>
      </c>
      <c r="F520" s="13"/>
      <c r="G520" s="28"/>
      <c r="H520" s="34">
        <f>'2018'!BH520</f>
      </c>
      <c r="I520" s="13"/>
      <c r="J520" s="15"/>
      <c r="K520" s="15"/>
      <c r="L520" s="28"/>
      <c r="Q520" s="13"/>
      <c r="R520" s="15"/>
      <c r="S520" s="15"/>
      <c r="T520" s="28"/>
      <c r="Y520" s="13"/>
      <c r="Z520" s="15"/>
      <c r="AA520" s="15"/>
      <c r="AB520" s="28"/>
      <c r="AG520" s="13"/>
      <c r="AH520" s="15"/>
      <c r="AI520" s="15"/>
      <c r="AJ520" s="28"/>
      <c r="AK520" s="13"/>
      <c r="AL520" s="15"/>
      <c r="AM520" s="15"/>
      <c r="AN520" s="28"/>
      <c r="AO520" s="13"/>
      <c r="AP520" s="15"/>
      <c r="AQ520" s="15">
        <v>0.11</v>
      </c>
      <c r="AR520" s="28"/>
      <c r="AU520" s="2">
        <v>0.11</v>
      </c>
      <c r="AW520" s="13"/>
      <c r="AX520" s="15"/>
      <c r="AY520" s="15">
        <v>0.11</v>
      </c>
      <c r="AZ520" s="28"/>
      <c r="BC520" s="2">
        <v>0.04</v>
      </c>
      <c r="BD520" s="91">
        <v>0.37</v>
      </c>
      <c r="BE520" s="14"/>
      <c r="BF520" s="41">
        <f t="shared" ref="BF520:BG520" si="1626">K520+O520+S520+W520+AA520+AE520+AI520+AM520+AQ520+AU520+AY520+BC520</f>
        <v>0.37</v>
      </c>
      <c r="BG520" s="34">
        <f t="shared" si="1626"/>
        <v>0.37</v>
      </c>
      <c r="BH520" s="35">
        <f t="shared" ref="BH520:BH526" si="1627">H520+BF520-BG520</f>
        <v>0</v>
      </c>
    </row>
    <row r="521" ht="15.75" customHeight="1" spans="1:62" x14ac:dyDescent="0.25">
      <c r="A521" s="2">
        <v>69</v>
      </c>
      <c r="B521" s="14">
        <v>4.03</v>
      </c>
      <c r="C521" s="2" t="s">
        <v>253</v>
      </c>
      <c r="D521" s="14" t="s">
        <v>44</v>
      </c>
      <c r="E521" s="2" t="s">
        <v>45</v>
      </c>
      <c r="F521" s="13">
        <v>2.49</v>
      </c>
      <c r="G521" s="35">
        <v>2.5</v>
      </c>
      <c r="H521" s="136">
        <f>'2018'!BH521+385.95</f>
        <v>-67.78</v>
      </c>
      <c r="I521" s="13">
        <v>16373</v>
      </c>
      <c r="J521" s="15">
        <f>I521-'2018'!BA521</f>
        <v>583</v>
      </c>
      <c r="K521" s="34">
        <f>J521*$F$8</f>
        <v>1451.67</v>
      </c>
      <c r="L521" s="38">
        <v>1500</v>
      </c>
      <c r="M521" s="2">
        <v>17053</v>
      </c>
      <c r="N521" s="15">
        <f>M521-I521</f>
        <v>680</v>
      </c>
      <c r="O521" s="34">
        <f>N521*$F$8</f>
        <v>1693.2</v>
      </c>
      <c r="P521" s="39">
        <v>1690</v>
      </c>
      <c r="Q521" s="13">
        <v>17463</v>
      </c>
      <c r="R521" s="15">
        <f>Q521-M521</f>
        <v>410</v>
      </c>
      <c r="S521" s="34">
        <f>R521*$F$8</f>
        <v>1020.9</v>
      </c>
      <c r="T521" s="38">
        <v>1300</v>
      </c>
      <c r="U521" s="15">
        <v>18362</v>
      </c>
      <c r="V521" s="15">
        <f>U521-Q521</f>
        <v>899</v>
      </c>
      <c r="W521" s="34">
        <f>V521*$F$8</f>
        <v>2238.51</v>
      </c>
      <c r="X521" s="39">
        <v>2080</v>
      </c>
      <c r="Y521" s="13">
        <v>18969</v>
      </c>
      <c r="Z521" s="15">
        <f>Y521-U521</f>
        <v>607</v>
      </c>
      <c r="AA521" s="34">
        <f>Z521*$F$8</f>
        <v>1511.43</v>
      </c>
      <c r="AB521" s="38">
        <v>1250</v>
      </c>
      <c r="AC521" s="15">
        <v>19275</v>
      </c>
      <c r="AD521" s="15">
        <f t="shared" ref="AD521:AD522" si="1628">AC521-Y521</f>
        <v>306</v>
      </c>
      <c r="AE521" s="34">
        <f>AD521*$G$8</f>
        <v>765</v>
      </c>
      <c r="AF521" s="39">
        <v>860</v>
      </c>
      <c r="AG521" s="13">
        <v>19564</v>
      </c>
      <c r="AH521" s="15">
        <f t="shared" ref="AH521:AH522" si="1629">AG521-AC521</f>
        <v>289</v>
      </c>
      <c r="AI521" s="34">
        <f>AH521*$G$8</f>
        <v>722.5</v>
      </c>
      <c r="AJ521" s="32"/>
      <c r="AK521" s="13">
        <v>19811</v>
      </c>
      <c r="AL521" s="15">
        <f t="shared" ref="AL521:AL522" si="1630">AK521-AG521</f>
        <v>247</v>
      </c>
      <c r="AM521" s="34">
        <f>AL521*$G$8</f>
        <v>617.5</v>
      </c>
      <c r="AN521" s="28"/>
      <c r="AO521" s="13">
        <v>20141</v>
      </c>
      <c r="AP521" s="15">
        <f t="shared" ref="AP521:AP522" si="1631">AO521-AK521</f>
        <v>330</v>
      </c>
      <c r="AQ521" s="34">
        <f>AP521*$G$8</f>
        <v>825</v>
      </c>
      <c r="AR521" s="38">
        <f>1425+750</f>
        <v>2175</v>
      </c>
      <c r="AS521" s="15">
        <v>20532</v>
      </c>
      <c r="AT521" s="15">
        <f t="shared" ref="AT521:AT522" si="1632">AS521-AO521</f>
        <v>391</v>
      </c>
      <c r="AU521" s="34">
        <f>AT521*$G$8</f>
        <v>977.5</v>
      </c>
      <c r="AV521" s="34"/>
      <c r="AW521" s="13">
        <v>20942</v>
      </c>
      <c r="AX521" s="15">
        <f>AW521-AS521</f>
        <v>410</v>
      </c>
      <c r="AY521" s="34">
        <f>AX521*$G$8</f>
        <v>1025</v>
      </c>
      <c r="AZ521" s="38">
        <v>1250</v>
      </c>
      <c r="BA521" s="15">
        <v>21465</v>
      </c>
      <c r="BB521" s="15">
        <f>BA521-AW521</f>
        <v>523</v>
      </c>
      <c r="BC521" s="34">
        <f>BB521*$G$8</f>
        <v>1307.5</v>
      </c>
      <c r="BD521" s="140">
        <f>(1300+780)-36-0.37-23.8</f>
        <v>2019.83</v>
      </c>
      <c r="BE521" s="40">
        <f t="shared" ref="BE521:BG521" si="1633">J521+N521+R521+V521+Z521+AD521+AH521+AL521+AP521+AT521+AX521+BB521</f>
        <v>5675</v>
      </c>
      <c r="BF521" s="41">
        <f t="shared" si="1633"/>
        <v>14155.71</v>
      </c>
      <c r="BG521" s="34">
        <f t="shared" si="1633"/>
        <v>14124.83</v>
      </c>
      <c r="BH521" s="35">
        <f t="shared" si="1627"/>
        <v>-36.9</v>
      </c>
      <c r="BI521" s="34"/>
      <c r="BJ521" s="34"/>
    </row>
    <row r="522" ht="14.25" customHeight="1" spans="1:60" x14ac:dyDescent="0.25">
      <c r="A522" s="29">
        <v>69</v>
      </c>
      <c r="B522" s="14"/>
      <c r="C522" s="2" t="s">
        <v>87</v>
      </c>
      <c r="D522" s="14" t="s">
        <v>47</v>
      </c>
      <c r="E522" s="2" t="s">
        <v>48</v>
      </c>
      <c r="F522" s="13">
        <v>17.98</v>
      </c>
      <c r="G522" s="28">
        <v>18.56</v>
      </c>
      <c r="H522" s="34">
        <f>'2018'!BH522</f>
        <v>-16.64</v>
      </c>
      <c r="I522" s="13">
        <v>5</v>
      </c>
      <c r="J522" s="15"/>
      <c r="K522" s="15"/>
      <c r="L522" s="28"/>
      <c r="Q522" s="13"/>
      <c r="R522" s="15"/>
      <c r="S522" s="15"/>
      <c r="T522" s="28"/>
      <c r="Y522" s="13">
        <v>7</v>
      </c>
      <c r="Z522" s="15">
        <f>Y522-'2018'!AO522</f>
        <v>2</v>
      </c>
      <c r="AA522" s="34">
        <f>Z522*$F$10</f>
        <v>35.96</v>
      </c>
      <c r="AB522" s="28"/>
      <c r="AC522" s="15">
        <v>7</v>
      </c>
      <c r="AD522" s="15">
        <f t="shared" si="1628"/>
        <v>0</v>
      </c>
      <c r="AE522" s="34">
        <f>AD522*$F$10</f>
        <v>0</v>
      </c>
      <c r="AF522" s="39">
        <v>36</v>
      </c>
      <c r="AG522" s="13">
        <v>11</v>
      </c>
      <c r="AH522" s="15">
        <f t="shared" si="1629"/>
        <v>4</v>
      </c>
      <c r="AI522" s="45">
        <f>AH522*$G$10</f>
        <v>74.24</v>
      </c>
      <c r="AJ522" s="32"/>
      <c r="AK522" s="13">
        <v>13</v>
      </c>
      <c r="AL522" s="15">
        <f t="shared" si="1630"/>
        <v>2</v>
      </c>
      <c r="AM522" s="45">
        <f>AL522*$G$10</f>
        <v>37.12</v>
      </c>
      <c r="AN522" s="28"/>
      <c r="AO522" s="13">
        <v>15</v>
      </c>
      <c r="AP522" s="15">
        <f t="shared" si="1631"/>
        <v>2</v>
      </c>
      <c r="AQ522" s="45">
        <f>AP522*$G$10</f>
        <v>37.12</v>
      </c>
      <c r="AR522" s="38">
        <f>72+36</f>
        <v>108</v>
      </c>
      <c r="AS522" s="13">
        <v>15</v>
      </c>
      <c r="AT522" s="15">
        <f t="shared" si="1632"/>
        <v>0</v>
      </c>
      <c r="AU522" s="45">
        <f>AT522*$G$10</f>
        <v>0</v>
      </c>
      <c r="AV522" s="15"/>
      <c r="AW522" s="13">
        <v>15</v>
      </c>
      <c r="AX522" s="15"/>
      <c r="AY522" s="15"/>
      <c r="AZ522" s="28"/>
      <c r="BA522" s="15">
        <v>15</v>
      </c>
      <c r="BB522" s="15"/>
      <c r="BC522" s="15"/>
      <c r="BD522" s="140">
        <v>23.8</v>
      </c>
      <c r="BE522" s="40">
        <f t="shared" ref="BE522:BG522" si="1634">J522+N522+R522+V522+Z522+AD522+AH522+AL522+AP522+AT522+AX522+BB522</f>
        <v>10</v>
      </c>
      <c r="BF522" s="41">
        <f t="shared" si="1634"/>
        <v>184.44</v>
      </c>
      <c r="BG522" s="34">
        <f t="shared" si="1634"/>
        <v>167.8</v>
      </c>
      <c r="BH522" s="35">
        <f t="shared" si="1627"/>
        <v>0</v>
      </c>
    </row>
    <row r="523" ht="14.25" customHeight="1" spans="1:60" x14ac:dyDescent="0.25">
      <c r="A523" s="29">
        <v>69</v>
      </c>
      <c r="B523" s="14"/>
      <c r="C523" s="2" t="s">
        <v>119</v>
      </c>
      <c r="D523" s="14" t="s">
        <v>47</v>
      </c>
      <c r="E523" s="2" t="s">
        <v>49</v>
      </c>
      <c r="F523" s="41">
        <v>500</v>
      </c>
      <c r="G523" s="28"/>
      <c r="H523" s="34">
        <f>'2018'!BH523</f>
        <v>0</v>
      </c>
      <c r="I523" s="13"/>
      <c r="J523" s="15"/>
      <c r="K523" s="15"/>
      <c r="L523" s="28"/>
      <c r="Q523" s="13"/>
      <c r="R523" s="15"/>
      <c r="S523" s="15"/>
      <c r="T523" s="28"/>
      <c r="Y523" s="13"/>
      <c r="Z523" s="15"/>
      <c r="AA523" s="15"/>
      <c r="AB523" s="28"/>
      <c r="AG523" s="13"/>
      <c r="AH523" s="15"/>
      <c r="AI523" s="15"/>
      <c r="AJ523" s="28"/>
      <c r="AK523" s="13"/>
      <c r="AL523" s="15"/>
      <c r="AM523" s="34"/>
      <c r="AN523" s="28"/>
      <c r="AO523" s="13"/>
      <c r="AP523" s="15"/>
      <c r="AQ523" s="34"/>
      <c r="AR523" s="28"/>
      <c r="AS523" s="15"/>
      <c r="AT523" s="15"/>
      <c r="AU523" s="15"/>
      <c r="AV523" s="15"/>
      <c r="AW523" s="13"/>
      <c r="AX523" s="15"/>
      <c r="AY523" s="15"/>
      <c r="AZ523" s="28"/>
      <c r="BA523" s="15"/>
      <c r="BB523" s="15"/>
      <c r="BC523" s="15"/>
      <c r="BD523" s="15"/>
      <c r="BE523" s="14"/>
      <c r="BF523" s="41">
        <f t="shared" ref="BF523:BG523" si="1635">K523+O523+S523+W523+AA523+AE523+AI523+AM523+AQ523+AU523+AY523+BC523</f>
        <v>0</v>
      </c>
      <c r="BG523" s="34">
        <f t="shared" si="1635"/>
        <v>0</v>
      </c>
      <c r="BH523" s="35">
        <f t="shared" si="1627"/>
        <v>0</v>
      </c>
    </row>
    <row r="524" ht="14.25" customHeight="1" spans="1:60" x14ac:dyDescent="0.25">
      <c r="A524" s="29">
        <v>69</v>
      </c>
      <c r="B524" s="14"/>
      <c r="C524" s="2" t="s">
        <v>432</v>
      </c>
      <c r="D524" s="14" t="s">
        <v>50</v>
      </c>
      <c r="E524" s="2" t="s">
        <v>49</v>
      </c>
      <c r="F524" s="41">
        <v>1200</v>
      </c>
      <c r="G524" s="28"/>
      <c r="H524" s="34">
        <f>'2018'!BH524</f>
        <v>-0.003599999999</v>
      </c>
      <c r="I524" s="13"/>
      <c r="J524" s="15"/>
      <c r="K524" s="15"/>
      <c r="L524" s="28"/>
      <c r="Q524" s="13"/>
      <c r="R524" s="15"/>
      <c r="S524" s="15"/>
      <c r="T524" s="28"/>
      <c r="Y524" s="13"/>
      <c r="Z524" s="15"/>
      <c r="AA524" s="15"/>
      <c r="AB524" s="28"/>
      <c r="AE524" s="34">
        <f>B521*$F$12</f>
        <v>4836</v>
      </c>
      <c r="AF524" s="39">
        <v>2400</v>
      </c>
      <c r="AG524" s="13"/>
      <c r="AH524" s="15"/>
      <c r="AI524" s="15"/>
      <c r="AJ524" s="38">
        <v>2400</v>
      </c>
      <c r="AK524" s="13"/>
      <c r="AL524" s="15"/>
      <c r="AM524" s="15"/>
      <c r="AN524" s="28"/>
      <c r="AO524" s="13"/>
      <c r="AP524" s="15"/>
      <c r="AQ524" s="15"/>
      <c r="AR524" s="28"/>
      <c r="AS524" s="15"/>
      <c r="AT524" s="15"/>
      <c r="AU524" s="15"/>
      <c r="AV524" s="15"/>
      <c r="AW524" s="13"/>
      <c r="AX524" s="15"/>
      <c r="AY524" s="15"/>
      <c r="AZ524" s="28"/>
      <c r="BA524" s="15"/>
      <c r="BB524" s="15"/>
      <c r="BC524" s="15"/>
      <c r="BD524" s="140">
        <v>36</v>
      </c>
      <c r="BE524" s="14"/>
      <c r="BF524" s="41">
        <f t="shared" ref="BF524:BG524" si="1636">K524+O524+S524+W524+AA524+AE524+AI524+AM524+AQ524+AU524+AY524+BC524</f>
        <v>4836</v>
      </c>
      <c r="BG524" s="34">
        <f t="shared" si="1636"/>
        <v>4836</v>
      </c>
      <c r="BH524" s="35">
        <f t="shared" si="1627"/>
        <v>-0.003599999999</v>
      </c>
    </row>
    <row r="525" ht="14.25" customHeight="1" spans="1:60" x14ac:dyDescent="0.25">
      <c r="A525" s="29">
        <v>69</v>
      </c>
      <c r="B525" s="14"/>
      <c r="D525" s="14" t="s">
        <v>51</v>
      </c>
      <c r="E525" s="2" t="s">
        <v>49</v>
      </c>
      <c r="F525" s="41">
        <v>1000</v>
      </c>
      <c r="G525" s="28"/>
      <c r="H525" s="34">
        <f>'2018'!BH525</f>
        <v>0</v>
      </c>
      <c r="I525" s="13"/>
      <c r="J525" s="15"/>
      <c r="K525" s="15"/>
      <c r="L525" s="28"/>
      <c r="Q525" s="13"/>
      <c r="R525" s="15"/>
      <c r="S525" s="15"/>
      <c r="T525" s="28"/>
      <c r="Y525" s="13"/>
      <c r="Z525" s="15"/>
      <c r="AA525" s="15"/>
      <c r="AB525" s="28"/>
      <c r="AE525" s="34">
        <f>$F$21</f>
        <v>1000</v>
      </c>
      <c r="AG525" s="13"/>
      <c r="AH525" s="15"/>
      <c r="AI525" s="15"/>
      <c r="AJ525" s="38">
        <v>1000</v>
      </c>
      <c r="AK525" s="13"/>
      <c r="AL525" s="15"/>
      <c r="AM525" s="15"/>
      <c r="AN525" s="28"/>
      <c r="AO525" s="13"/>
      <c r="AP525" s="15"/>
      <c r="AQ525" s="15"/>
      <c r="AR525" s="28"/>
      <c r="AS525" s="15"/>
      <c r="AT525" s="15"/>
      <c r="AU525" s="15"/>
      <c r="AV525" s="15"/>
      <c r="AW525" s="13"/>
      <c r="AX525" s="15"/>
      <c r="AY525" s="15"/>
      <c r="AZ525" s="28"/>
      <c r="BA525" s="15"/>
      <c r="BB525" s="15"/>
      <c r="BC525" s="15"/>
      <c r="BD525" s="15"/>
      <c r="BE525" s="14"/>
      <c r="BF525" s="41">
        <f t="shared" ref="BF525:BG525" si="1637">K525+O525+S525+W525+AA525+AE525+AI525+AM525+AQ525+AU525+AY525+BC525</f>
        <v>1000</v>
      </c>
      <c r="BG525" s="34">
        <f t="shared" si="1637"/>
        <v>1000</v>
      </c>
      <c r="BH525" s="35">
        <f t="shared" si="1627"/>
        <v>0</v>
      </c>
    </row>
    <row r="526" ht="14.25" customHeight="1" spans="1:60" x14ac:dyDescent="0.25">
      <c r="A526" s="29">
        <v>69</v>
      </c>
      <c r="B526" s="14"/>
      <c r="D526" s="14" t="s">
        <v>52</v>
      </c>
      <c r="E526" s="2" t="s">
        <v>39</v>
      </c>
      <c r="F526" s="41">
        <v>500</v>
      </c>
      <c r="G526" s="28"/>
      <c r="H526" s="34">
        <f>'2018'!BH526</f>
        <v>0</v>
      </c>
      <c r="I526" s="13"/>
      <c r="J526" s="15"/>
      <c r="K526" s="15"/>
      <c r="L526" s="28"/>
      <c r="Q526" s="13"/>
      <c r="R526" s="15"/>
      <c r="S526" s="15"/>
      <c r="T526" s="28"/>
      <c r="Y526" s="13"/>
      <c r="Z526" s="15"/>
      <c r="AA526" s="34">
        <f>$F$14</f>
        <v>500</v>
      </c>
      <c r="AB526" s="28"/>
      <c r="AF526" s="39">
        <v>500</v>
      </c>
      <c r="AG526" s="13"/>
      <c r="AH526" s="15"/>
      <c r="AI526" s="15"/>
      <c r="AJ526" s="28"/>
      <c r="AK526" s="13"/>
      <c r="AL526" s="15"/>
      <c r="AM526" s="15"/>
      <c r="AN526" s="28"/>
      <c r="AO526" s="13"/>
      <c r="AP526" s="15"/>
      <c r="AQ526" s="15"/>
      <c r="AR526" s="28"/>
      <c r="AS526" s="15"/>
      <c r="AT526" s="15"/>
      <c r="AU526" s="15"/>
      <c r="AV526" s="15"/>
      <c r="AW526" s="13"/>
      <c r="AX526" s="15"/>
      <c r="AY526" s="15"/>
      <c r="AZ526" s="28"/>
      <c r="BA526" s="15"/>
      <c r="BB526" s="15"/>
      <c r="BC526" s="15"/>
      <c r="BD526" s="15"/>
      <c r="BE526" s="14"/>
      <c r="BF526" s="41">
        <f t="shared" ref="BF526:BG526" si="1638">K526+O526+S526+W526+AA526+AE526+AI526+AM526+AQ526+AU526+AY526+BC526</f>
        <v>500</v>
      </c>
      <c r="BG526" s="34">
        <f t="shared" si="1638"/>
        <v>500</v>
      </c>
      <c r="BH526" s="35">
        <f t="shared" si="1627"/>
        <v>0</v>
      </c>
    </row>
    <row r="527" ht="15.75" customHeight="1" spans="1:62" x14ac:dyDescent="0.25">
      <c r="A527" s="50">
        <v>69</v>
      </c>
      <c r="B527" s="21"/>
      <c r="C527" s="22" t="s">
        <v>53</v>
      </c>
      <c r="D527" s="21"/>
      <c r="E527" s="22"/>
      <c r="F527" s="20"/>
      <c r="G527" s="23"/>
      <c r="H527" s="51">
        <f>SUM(H520:H526)</f>
        <v>-84.4236</v>
      </c>
      <c r="I527" s="52"/>
      <c r="J527" s="53"/>
      <c r="K527" s="51">
        <f t="shared" ref="K527:L527" si="1639">SUM(K520:K526)</f>
        <v>1451.67</v>
      </c>
      <c r="L527" s="68">
        <f t="shared" si="1639"/>
        <v>1500</v>
      </c>
      <c r="M527" s="53"/>
      <c r="N527" s="53"/>
      <c r="O527" s="51">
        <f t="shared" ref="O527:P527" si="1640">SUM(O521:O526)</f>
        <v>1693.2</v>
      </c>
      <c r="P527" s="51">
        <f t="shared" si="1640"/>
        <v>1690</v>
      </c>
      <c r="Q527" s="52"/>
      <c r="R527" s="53"/>
      <c r="S527" s="51">
        <f t="shared" ref="S527:T527" si="1641">SUM(S521:S526)</f>
        <v>1020.9</v>
      </c>
      <c r="T527" s="68">
        <f t="shared" si="1641"/>
        <v>1300</v>
      </c>
      <c r="U527" s="53"/>
      <c r="V527" s="53"/>
      <c r="W527" s="51">
        <f t="shared" ref="W527:X527" si="1642">SUM(W521:W526)</f>
        <v>2238.51</v>
      </c>
      <c r="X527" s="51">
        <f t="shared" si="1642"/>
        <v>2080</v>
      </c>
      <c r="Y527" s="52"/>
      <c r="Z527" s="53"/>
      <c r="AA527" s="51">
        <f t="shared" ref="AA527:AB527" si="1643">SUM(AA521:AA526)</f>
        <v>2047.39</v>
      </c>
      <c r="AB527" s="68">
        <f t="shared" si="1643"/>
        <v>1250</v>
      </c>
      <c r="AC527" s="53"/>
      <c r="AD527" s="53"/>
      <c r="AE527" s="51">
        <f t="shared" ref="AE527:AF527" si="1644">SUM(AE521:AE526)</f>
        <v>6601</v>
      </c>
      <c r="AF527" s="51">
        <f t="shared" si="1644"/>
        <v>3796</v>
      </c>
      <c r="AG527" s="52"/>
      <c r="AH527" s="53"/>
      <c r="AI527" s="51">
        <f t="shared" ref="AI527:AJ527" si="1645">SUM(AI521:AI526)</f>
        <v>796.74</v>
      </c>
      <c r="AJ527" s="68">
        <f t="shared" si="1645"/>
        <v>3400</v>
      </c>
      <c r="AK527" s="52"/>
      <c r="AL527" s="53"/>
      <c r="AM527" s="51">
        <f t="shared" ref="AM527:AN527" si="1646">SUM(AM521:AM526)</f>
        <v>654.62</v>
      </c>
      <c r="AN527" s="68">
        <f t="shared" si="1646"/>
        <v>0</v>
      </c>
      <c r="AO527" s="52"/>
      <c r="AP527" s="53"/>
      <c r="AQ527" s="51">
        <f t="shared" ref="AQ527:AR527" si="1647">SUM(AQ520:AQ526)</f>
        <v>862.23</v>
      </c>
      <c r="AR527" s="68">
        <f t="shared" si="1647"/>
        <v>2283</v>
      </c>
      <c r="AS527" s="53"/>
      <c r="AT527" s="53"/>
      <c r="AU527" s="51">
        <f t="shared" ref="AU527:AV527" si="1648">SUM(AU520:AU526)</f>
        <v>977.61</v>
      </c>
      <c r="AV527" s="68">
        <f t="shared" si="1648"/>
        <v>0</v>
      </c>
      <c r="AW527" s="52"/>
      <c r="AX527" s="53"/>
      <c r="AY527" s="51">
        <f t="shared" ref="AY527:AZ527" si="1649">SUM(AY520:AY526)</f>
        <v>1025.11</v>
      </c>
      <c r="AZ527" s="68">
        <f t="shared" si="1649"/>
        <v>1250</v>
      </c>
      <c r="BA527" s="53"/>
      <c r="BB527" s="53"/>
      <c r="BC527" s="51">
        <f t="shared" ref="BC527:BD527" si="1650">SUM(BC520:BC526)</f>
        <v>1307.54</v>
      </c>
      <c r="BD527" s="68">
        <f t="shared" si="1650"/>
        <v>2080</v>
      </c>
      <c r="BE527" s="69"/>
      <c r="BF527" s="70">
        <f t="shared" ref="BF527:BH527" si="1651">SUM(BF520:BF526)</f>
        <v>20676.52</v>
      </c>
      <c r="BG527" s="71">
        <f t="shared" si="1651"/>
        <v>20629</v>
      </c>
      <c r="BH527" s="72">
        <f t="shared" si="1651"/>
        <v>-36.9036</v>
      </c>
      <c r="BI527" s="34">
        <f>H527+BF527-BG527</f>
        <v>-36.9036</v>
      </c>
      <c r="BJ527" s="34">
        <f>BH527-BI527</f>
        <v>0</v>
      </c>
    </row>
    <row r="528" ht="14.25" customHeight="1" spans="1:60" x14ac:dyDescent="0.25">
      <c r="A528" s="29">
        <v>71</v>
      </c>
      <c r="B528" s="14"/>
      <c r="D528" s="14" t="s">
        <v>379</v>
      </c>
      <c r="F528" s="13"/>
      <c r="G528" s="28"/>
      <c r="H528" s="34">
        <f>'2018'!BH528</f>
      </c>
      <c r="I528" s="13"/>
      <c r="J528" s="15"/>
      <c r="K528" s="15"/>
      <c r="L528" s="28"/>
      <c r="Q528" s="13"/>
      <c r="R528" s="15"/>
      <c r="S528" s="15"/>
      <c r="T528" s="28"/>
      <c r="Y528" s="13"/>
      <c r="Z528" s="15"/>
      <c r="AA528" s="15"/>
      <c r="AB528" s="28"/>
      <c r="AG528" s="13"/>
      <c r="AH528" s="15"/>
      <c r="AI528" s="15"/>
      <c r="AJ528" s="28"/>
      <c r="AK528" s="13"/>
      <c r="AL528" s="15"/>
      <c r="AM528" s="15"/>
      <c r="AN528" s="28"/>
      <c r="AO528" s="13"/>
      <c r="AP528" s="15"/>
      <c r="AQ528" s="15"/>
      <c r="AR528" s="28"/>
      <c r="AW528" s="13"/>
      <c r="AX528" s="15"/>
      <c r="AY528" s="15"/>
      <c r="AZ528" s="28"/>
      <c r="BE528" s="14"/>
      <c r="BF528" s="41">
        <f t="shared" ref="BF528:BG528" si="1652">K528+O528+S528+W528+AA528+AE528+AI528+AM528+AQ528+AU528+AY528+BC528</f>
        <v>0</v>
      </c>
      <c r="BG528" s="34">
        <f t="shared" si="1652"/>
        <v>0</v>
      </c>
      <c r="BH528" s="35">
        <f t="shared" ref="BH528:BH534" si="1653">H528+BF528-BG528</f>
        <v>0</v>
      </c>
    </row>
    <row r="529" ht="14.25" customHeight="1" spans="1:60" x14ac:dyDescent="0.25">
      <c r="A529" s="2">
        <v>71</v>
      </c>
      <c r="B529" s="14">
        <v>5.98</v>
      </c>
      <c r="C529" s="2" t="s">
        <v>255</v>
      </c>
      <c r="D529" s="14" t="s">
        <v>44</v>
      </c>
      <c r="E529" s="2" t="s">
        <v>45</v>
      </c>
      <c r="F529" s="13">
        <v>2.49</v>
      </c>
      <c r="G529" s="35">
        <v>2.5</v>
      </c>
      <c r="H529" s="34">
        <f>'2018'!BH529</f>
        <v>14.94</v>
      </c>
      <c r="I529" s="13">
        <v>85</v>
      </c>
      <c r="J529" s="15">
        <f>I529-'2018'!BA529</f>
        <v>0</v>
      </c>
      <c r="K529" s="34">
        <f>J529*$F$8</f>
        <v>0</v>
      </c>
      <c r="L529" s="28"/>
      <c r="M529" s="2">
        <v>85</v>
      </c>
      <c r="N529" s="15">
        <f>M529-I529</f>
        <v>0</v>
      </c>
      <c r="O529" s="34">
        <f>N529*$F$8</f>
        <v>0</v>
      </c>
      <c r="Q529" s="13">
        <v>85</v>
      </c>
      <c r="R529" s="15">
        <f>Q529-M529</f>
        <v>0</v>
      </c>
      <c r="S529" s="34">
        <f>R529*$F$8</f>
        <v>0</v>
      </c>
      <c r="T529" s="28"/>
      <c r="U529" s="15">
        <v>86</v>
      </c>
      <c r="V529" s="15">
        <f>U529-Q529</f>
        <v>1</v>
      </c>
      <c r="W529" s="34">
        <f>V529*$F$8</f>
        <v>2.49</v>
      </c>
      <c r="X529" s="15"/>
      <c r="Y529" s="13">
        <v>94</v>
      </c>
      <c r="Z529" s="15">
        <f>Y529-U529</f>
        <v>8</v>
      </c>
      <c r="AA529" s="34">
        <f>Z529*$F$8</f>
        <v>19.92</v>
      </c>
      <c r="AB529" s="28"/>
      <c r="AC529" s="15">
        <v>98</v>
      </c>
      <c r="AD529" s="15">
        <f t="shared" ref="AD529:AD530" si="1654">AC529-Y529</f>
        <v>4</v>
      </c>
      <c r="AE529" s="34">
        <f>AD529*$G$8</f>
        <v>10</v>
      </c>
      <c r="AF529" s="149">
        <f>47.35+38</f>
        <v>85.35</v>
      </c>
      <c r="AG529" s="13">
        <v>102</v>
      </c>
      <c r="AH529" s="15">
        <f t="shared" ref="AH529:AH530" si="1655">AG529-AC529</f>
        <v>4</v>
      </c>
      <c r="AI529" s="34">
        <f>AH529*$G$8</f>
        <v>10</v>
      </c>
      <c r="AJ529" s="32"/>
      <c r="AK529" s="13">
        <v>105</v>
      </c>
      <c r="AL529" s="15">
        <f t="shared" ref="AL529:AL530" si="1656">AK529-AG529</f>
        <v>3</v>
      </c>
      <c r="AM529" s="34">
        <f>AL529*$G$8</f>
        <v>7.5</v>
      </c>
      <c r="AN529" s="28"/>
      <c r="AO529" s="13">
        <v>109</v>
      </c>
      <c r="AP529" s="15">
        <f t="shared" ref="AP529:AP530" si="1657">AO529-AK529</f>
        <v>4</v>
      </c>
      <c r="AQ529" s="34">
        <f>AP529*$G$8</f>
        <v>10</v>
      </c>
      <c r="AR529" s="28"/>
      <c r="AS529" s="15">
        <v>115</v>
      </c>
      <c r="AT529" s="15">
        <f t="shared" ref="AT529:AT530" si="1658">AS529-AO529</f>
        <v>6</v>
      </c>
      <c r="AU529" s="34">
        <f>AT529*$G$8</f>
        <v>15</v>
      </c>
      <c r="AV529" s="15"/>
      <c r="AW529" s="13">
        <v>115</v>
      </c>
      <c r="AX529" s="15">
        <f>AW529-AS529</f>
        <v>0</v>
      </c>
      <c r="AY529" s="34">
        <f>AX529*$G$8</f>
        <v>0</v>
      </c>
      <c r="AZ529" s="28"/>
      <c r="BA529" s="13">
        <v>115</v>
      </c>
      <c r="BB529" s="15">
        <f>BA529-AW529</f>
        <v>0</v>
      </c>
      <c r="BC529" s="34">
        <f>BB529*$G$8</f>
        <v>0</v>
      </c>
      <c r="BD529" s="15"/>
      <c r="BE529" s="40">
        <f t="shared" ref="BE529:BG529" si="1659">J529+N529+R529+V529+Z529+AD529+AH529+AL529+AP529+AT529+AX529+BB529</f>
        <v>30</v>
      </c>
      <c r="BF529" s="41">
        <f t="shared" si="1659"/>
        <v>74.91</v>
      </c>
      <c r="BG529" s="34">
        <f t="shared" si="1659"/>
        <v>85.35</v>
      </c>
      <c r="BH529" s="35">
        <f t="shared" si="1653"/>
        <v>4.5</v>
      </c>
    </row>
    <row r="530" ht="14.25" customHeight="1" spans="1:60" x14ac:dyDescent="0.25">
      <c r="A530" s="29">
        <v>71</v>
      </c>
      <c r="B530" s="14"/>
      <c r="C530" s="2" t="s">
        <v>75</v>
      </c>
      <c r="D530" s="14" t="s">
        <v>47</v>
      </c>
      <c r="E530" s="2" t="s">
        <v>48</v>
      </c>
      <c r="F530" s="13">
        <v>17.98</v>
      </c>
      <c r="G530" s="28">
        <v>18.56</v>
      </c>
      <c r="H530" s="34">
        <f>'2018'!BH530</f>
        <v>0</v>
      </c>
      <c r="I530" s="13">
        <v>176</v>
      </c>
      <c r="J530" s="15"/>
      <c r="K530" s="15"/>
      <c r="L530" s="28"/>
      <c r="Q530" s="13"/>
      <c r="R530" s="15"/>
      <c r="S530" s="15"/>
      <c r="T530" s="28"/>
      <c r="Y530" s="13">
        <v>177</v>
      </c>
      <c r="Z530" s="15">
        <f>Y530-'2018'!AO530</f>
        <v>1</v>
      </c>
      <c r="AA530" s="34">
        <f>Z530*$F$10</f>
        <v>17.98</v>
      </c>
      <c r="AB530" s="28"/>
      <c r="AC530" s="15">
        <v>190</v>
      </c>
      <c r="AD530" s="15">
        <f t="shared" si="1654"/>
        <v>13</v>
      </c>
      <c r="AE530" s="34">
        <f>AD530*$F$10</f>
        <v>233.74</v>
      </c>
      <c r="AF530" s="138">
        <v>251.72</v>
      </c>
      <c r="AG530" s="13">
        <v>205</v>
      </c>
      <c r="AH530" s="15">
        <f t="shared" si="1655"/>
        <v>15</v>
      </c>
      <c r="AI530" s="45">
        <f>AH530*$G$10</f>
        <v>278.4</v>
      </c>
      <c r="AJ530" s="134">
        <v>279</v>
      </c>
      <c r="AK530" s="13">
        <v>217</v>
      </c>
      <c r="AL530" s="15">
        <f t="shared" si="1656"/>
        <v>12</v>
      </c>
      <c r="AM530" s="45">
        <f>AL530*$G$10</f>
        <v>222.72</v>
      </c>
      <c r="AN530" s="134">
        <v>220</v>
      </c>
      <c r="AO530" s="13">
        <v>219</v>
      </c>
      <c r="AP530" s="15">
        <f t="shared" si="1657"/>
        <v>2</v>
      </c>
      <c r="AQ530" s="45">
        <f>AP530*$G$10</f>
        <v>37.12</v>
      </c>
      <c r="AR530" s="28"/>
      <c r="AS530" s="13">
        <v>219</v>
      </c>
      <c r="AT530" s="15">
        <f t="shared" si="1658"/>
        <v>0</v>
      </c>
      <c r="AU530" s="45">
        <f>AT530*$G$10</f>
        <v>0</v>
      </c>
      <c r="AV530" s="15"/>
      <c r="AW530" s="13">
        <v>219</v>
      </c>
      <c r="AX530" s="15"/>
      <c r="AY530" s="15"/>
      <c r="AZ530" s="28"/>
      <c r="BA530" s="15">
        <v>219</v>
      </c>
      <c r="BB530" s="15"/>
      <c r="BC530" s="15"/>
      <c r="BD530" s="15"/>
      <c r="BE530" s="40">
        <f t="shared" ref="BE530:BG530" si="1660">J530+N530+R530+V530+Z530+AD530+AH530+AL530+AP530+AT530+AX530+BB530</f>
        <v>43</v>
      </c>
      <c r="BF530" s="41">
        <f t="shared" si="1660"/>
        <v>789.96</v>
      </c>
      <c r="BG530" s="34">
        <f t="shared" si="1660"/>
        <v>750.72</v>
      </c>
      <c r="BH530" s="35">
        <f t="shared" si="1653"/>
        <v>39.24</v>
      </c>
    </row>
    <row r="531" ht="14.25" customHeight="1" spans="1:60" x14ac:dyDescent="0.25">
      <c r="A531" s="29">
        <v>71</v>
      </c>
      <c r="B531" s="14"/>
      <c r="C531" s="15" t="s">
        <v>151</v>
      </c>
      <c r="D531" s="14" t="s">
        <v>47</v>
      </c>
      <c r="E531" s="2" t="s">
        <v>49</v>
      </c>
      <c r="F531" s="41">
        <v>500</v>
      </c>
      <c r="G531" s="28"/>
      <c r="H531" s="34">
        <f>'2018'!BH531</f>
        <v>0</v>
      </c>
      <c r="I531" s="13"/>
      <c r="J531" s="15"/>
      <c r="K531" s="15"/>
      <c r="L531" s="28"/>
      <c r="Q531" s="13"/>
      <c r="R531" s="15"/>
      <c r="S531" s="15"/>
      <c r="T531" s="28"/>
      <c r="Y531" s="13"/>
      <c r="Z531" s="15"/>
      <c r="AA531" s="15"/>
      <c r="AB531" s="28"/>
      <c r="AG531" s="13"/>
      <c r="AH531" s="15"/>
      <c r="AI531" s="15"/>
      <c r="AJ531" s="28"/>
      <c r="AK531" s="13"/>
      <c r="AL531" s="15"/>
      <c r="AM531" s="34"/>
      <c r="AN531" s="28"/>
      <c r="AO531" s="13"/>
      <c r="AP531" s="15"/>
      <c r="AQ531" s="34"/>
      <c r="AR531" s="28"/>
      <c r="AS531" s="15"/>
      <c r="AT531" s="15"/>
      <c r="AU531" s="15"/>
      <c r="AV531" s="15"/>
      <c r="AW531" s="13"/>
      <c r="AX531" s="15"/>
      <c r="AY531" s="15"/>
      <c r="AZ531" s="28"/>
      <c r="BA531" s="15"/>
      <c r="BB531" s="15"/>
      <c r="BC531" s="15"/>
      <c r="BD531" s="15"/>
      <c r="BE531" s="14"/>
      <c r="BF531" s="41">
        <f t="shared" ref="BF531:BG531" si="1661">K531+O531+S531+W531+AA531+AE531+AI531+AM531+AQ531+AU531+AY531+BC531</f>
        <v>0</v>
      </c>
      <c r="BG531" s="34">
        <f t="shared" si="1661"/>
        <v>0</v>
      </c>
      <c r="BH531" s="35">
        <f t="shared" si="1653"/>
        <v>0</v>
      </c>
    </row>
    <row r="532" ht="14.25" customHeight="1" spans="1:60" x14ac:dyDescent="0.25">
      <c r="A532" s="29">
        <v>71</v>
      </c>
      <c r="B532" s="14"/>
      <c r="C532" s="15" t="s">
        <v>256</v>
      </c>
      <c r="D532" s="14" t="s">
        <v>50</v>
      </c>
      <c r="E532" s="2" t="s">
        <v>49</v>
      </c>
      <c r="F532" s="41">
        <v>1200</v>
      </c>
      <c r="G532" s="28"/>
      <c r="H532" s="34">
        <f>'2018'!BH532</f>
        <v>0.0024</v>
      </c>
      <c r="I532" s="13"/>
      <c r="J532" s="15"/>
      <c r="K532" s="15"/>
      <c r="L532" s="28"/>
      <c r="Q532" s="13"/>
      <c r="R532" s="15"/>
      <c r="S532" s="15"/>
      <c r="T532" s="28"/>
      <c r="Y532" s="13"/>
      <c r="Z532" s="15"/>
      <c r="AA532" s="15"/>
      <c r="AB532" s="28"/>
      <c r="AE532" s="34">
        <f>B529*$F$12</f>
        <v>7176</v>
      </c>
      <c r="AF532" s="133">
        <v>7176</v>
      </c>
      <c r="AG532" s="13"/>
      <c r="AH532" s="15"/>
      <c r="AI532" s="15"/>
      <c r="AJ532" s="35"/>
      <c r="AK532" s="13"/>
      <c r="AL532" s="15"/>
      <c r="AM532" s="15"/>
      <c r="AN532" s="28"/>
      <c r="AO532" s="13"/>
      <c r="AP532" s="15"/>
      <c r="AQ532" s="15"/>
      <c r="AR532" s="28"/>
      <c r="AS532" s="15"/>
      <c r="AT532" s="15"/>
      <c r="AU532" s="15"/>
      <c r="AV532" s="15"/>
      <c r="AW532" s="13"/>
      <c r="AX532" s="15"/>
      <c r="AY532" s="15"/>
      <c r="AZ532" s="28"/>
      <c r="BA532" s="15"/>
      <c r="BB532" s="15"/>
      <c r="BC532" s="15"/>
      <c r="BD532" s="15"/>
      <c r="BE532" s="14"/>
      <c r="BF532" s="41">
        <f t="shared" ref="BF532:BG532" si="1662">K532+O532+S532+W532+AA532+AE532+AI532+AM532+AQ532+AU532+AY532+BC532</f>
        <v>7176</v>
      </c>
      <c r="BG532" s="34">
        <f t="shared" si="1662"/>
        <v>7176</v>
      </c>
      <c r="BH532" s="35">
        <f t="shared" si="1653"/>
        <v>0.002400000001</v>
      </c>
    </row>
    <row r="533" ht="14.25" customHeight="1" spans="1:60" x14ac:dyDescent="0.25">
      <c r="A533" s="29">
        <v>71</v>
      </c>
      <c r="B533" s="14"/>
      <c r="D533" s="14" t="s">
        <v>51</v>
      </c>
      <c r="E533" s="2" t="s">
        <v>49</v>
      </c>
      <c r="F533" s="41">
        <v>1000</v>
      </c>
      <c r="G533" s="28"/>
      <c r="H533" s="34">
        <f>'2018'!BH533</f>
        <v>0</v>
      </c>
      <c r="I533" s="13"/>
      <c r="J533" s="15"/>
      <c r="K533" s="15"/>
      <c r="L533" s="28"/>
      <c r="Q533" s="13"/>
      <c r="R533" s="15"/>
      <c r="S533" s="15"/>
      <c r="T533" s="28"/>
      <c r="Y533" s="13"/>
      <c r="Z533" s="15"/>
      <c r="AA533" s="15"/>
      <c r="AB533" s="28"/>
      <c r="AE533" s="34">
        <f>$F$21</f>
        <v>1000</v>
      </c>
      <c r="AF533" s="133">
        <v>1000</v>
      </c>
      <c r="AG533" s="13"/>
      <c r="AH533" s="15"/>
      <c r="AI533" s="15"/>
      <c r="AJ533" s="28"/>
      <c r="AK533" s="13"/>
      <c r="AL533" s="15"/>
      <c r="AM533" s="15"/>
      <c r="AN533" s="28"/>
      <c r="AO533" s="13"/>
      <c r="AP533" s="15"/>
      <c r="AQ533" s="15"/>
      <c r="AR533" s="28"/>
      <c r="AS533" s="15"/>
      <c r="AT533" s="15"/>
      <c r="AU533" s="15"/>
      <c r="AV533" s="15"/>
      <c r="AW533" s="13"/>
      <c r="AX533" s="15"/>
      <c r="AY533" s="15"/>
      <c r="AZ533" s="28"/>
      <c r="BA533" s="15"/>
      <c r="BB533" s="15"/>
      <c r="BC533" s="15"/>
      <c r="BD533" s="15"/>
      <c r="BE533" s="14"/>
      <c r="BF533" s="41">
        <f t="shared" ref="BF533:BG533" si="1663">K533+O533+S533+W533+AA533+AE533+AI533+AM533+AQ533+AU533+AY533+BC533</f>
        <v>1000</v>
      </c>
      <c r="BG533" s="34">
        <f t="shared" si="1663"/>
        <v>1000</v>
      </c>
      <c r="BH533" s="35">
        <f t="shared" si="1653"/>
        <v>0</v>
      </c>
    </row>
    <row r="534" ht="14.25" customHeight="1" spans="1:60" x14ac:dyDescent="0.25">
      <c r="A534" s="29">
        <v>71</v>
      </c>
      <c r="B534" s="14"/>
      <c r="D534" s="14" t="s">
        <v>52</v>
      </c>
      <c r="E534" s="2" t="s">
        <v>39</v>
      </c>
      <c r="F534" s="41">
        <v>500</v>
      </c>
      <c r="G534" s="28"/>
      <c r="H534" s="34">
        <f>'2018'!BH534</f>
        <v>0</v>
      </c>
      <c r="I534" s="13"/>
      <c r="J534" s="15"/>
      <c r="K534" s="15"/>
      <c r="L534" s="28"/>
      <c r="Q534" s="13"/>
      <c r="R534" s="15"/>
      <c r="S534" s="15"/>
      <c r="T534" s="28"/>
      <c r="Y534" s="13"/>
      <c r="Z534" s="15"/>
      <c r="AA534" s="34">
        <f>$F$14</f>
        <v>500</v>
      </c>
      <c r="AB534" s="35"/>
      <c r="AF534" s="133">
        <v>500</v>
      </c>
      <c r="AG534" s="13"/>
      <c r="AH534" s="15"/>
      <c r="AI534" s="15"/>
      <c r="AJ534" s="28"/>
      <c r="AK534" s="13"/>
      <c r="AL534" s="15"/>
      <c r="AM534" s="15"/>
      <c r="AN534" s="28"/>
      <c r="AO534" s="13"/>
      <c r="AP534" s="15"/>
      <c r="AQ534" s="15"/>
      <c r="AR534" s="28"/>
      <c r="AS534" s="15"/>
      <c r="AT534" s="15"/>
      <c r="AU534" s="15"/>
      <c r="AV534" s="15"/>
      <c r="AW534" s="13"/>
      <c r="AX534" s="15"/>
      <c r="AY534" s="15"/>
      <c r="AZ534" s="28"/>
      <c r="BA534" s="15"/>
      <c r="BB534" s="15"/>
      <c r="BC534" s="15"/>
      <c r="BD534" s="15"/>
      <c r="BE534" s="14"/>
      <c r="BF534" s="41">
        <f t="shared" ref="BF534:BG534" si="1664">K534+O534+S534+W534+AA534+AE534+AI534+AM534+AQ534+AU534+AY534+BC534</f>
        <v>500</v>
      </c>
      <c r="BG534" s="34">
        <f t="shared" si="1664"/>
        <v>500</v>
      </c>
      <c r="BH534" s="35">
        <f t="shared" si="1653"/>
        <v>0</v>
      </c>
    </row>
    <row r="535" ht="14.25" customHeight="1" spans="1:62" x14ac:dyDescent="0.25">
      <c r="A535" s="50">
        <v>71</v>
      </c>
      <c r="B535" s="21"/>
      <c r="C535" s="22" t="s">
        <v>53</v>
      </c>
      <c r="D535" s="21"/>
      <c r="E535" s="22"/>
      <c r="F535" s="20"/>
      <c r="G535" s="23"/>
      <c r="H535" s="51">
        <f>SUM(H528:H534)</f>
        <v>14.9424</v>
      </c>
      <c r="I535" s="52"/>
      <c r="J535" s="53"/>
      <c r="K535" s="51">
        <f t="shared" ref="K535:L535" si="1665">SUM(K528:K534)</f>
        <v>0</v>
      </c>
      <c r="L535" s="68">
        <f t="shared" si="1665"/>
        <v>0</v>
      </c>
      <c r="M535" s="53"/>
      <c r="N535" s="53"/>
      <c r="O535" s="51">
        <f t="shared" ref="O535:P535" si="1666">SUM(O529:O534)</f>
        <v>0</v>
      </c>
      <c r="P535" s="51">
        <f t="shared" si="1666"/>
        <v>0</v>
      </c>
      <c r="Q535" s="52"/>
      <c r="R535" s="53"/>
      <c r="S535" s="51">
        <f t="shared" ref="S535:T535" si="1667">SUM(S529:S534)</f>
        <v>0</v>
      </c>
      <c r="T535" s="68">
        <f t="shared" si="1667"/>
        <v>0</v>
      </c>
      <c r="U535" s="53"/>
      <c r="V535" s="53"/>
      <c r="W535" s="51">
        <f t="shared" ref="W535:X535" si="1668">SUM(W529:W534)</f>
        <v>2.49</v>
      </c>
      <c r="X535" s="51">
        <f t="shared" si="1668"/>
        <v>0</v>
      </c>
      <c r="Y535" s="52"/>
      <c r="Z535" s="53"/>
      <c r="AA535" s="51">
        <f t="shared" ref="AA535:AB535" si="1669">SUM(AA529:AA534)</f>
        <v>537.9</v>
      </c>
      <c r="AB535" s="68">
        <f t="shared" si="1669"/>
        <v>0</v>
      </c>
      <c r="AC535" s="53"/>
      <c r="AD535" s="53"/>
      <c r="AE535" s="51">
        <f t="shared" ref="AE535:AF535" si="1670">SUM(AE529:AE534)</f>
        <v>8419.74</v>
      </c>
      <c r="AF535" s="51">
        <f t="shared" si="1670"/>
        <v>9013.07</v>
      </c>
      <c r="AG535" s="52"/>
      <c r="AH535" s="53"/>
      <c r="AI535" s="51">
        <f t="shared" ref="AI535:AJ535" si="1671">SUM(AI529:AI534)</f>
        <v>288.4</v>
      </c>
      <c r="AJ535" s="68">
        <f t="shared" si="1671"/>
        <v>279</v>
      </c>
      <c r="AK535" s="52"/>
      <c r="AL535" s="53"/>
      <c r="AM535" s="51">
        <f t="shared" ref="AM535:AN535" si="1672">SUM(AM529:AM534)</f>
        <v>230.22</v>
      </c>
      <c r="AN535" s="68">
        <f t="shared" si="1672"/>
        <v>220</v>
      </c>
      <c r="AO535" s="52"/>
      <c r="AP535" s="53"/>
      <c r="AQ535" s="51">
        <f t="shared" ref="AQ535:AR535" si="1673">SUM(AQ528:AQ534)</f>
        <v>47.12</v>
      </c>
      <c r="AR535" s="68">
        <f t="shared" si="1673"/>
        <v>0</v>
      </c>
      <c r="AS535" s="53"/>
      <c r="AT535" s="53"/>
      <c r="AU535" s="51">
        <f t="shared" ref="AU535:AV535" si="1674">SUM(AU528:AU534)</f>
        <v>15</v>
      </c>
      <c r="AV535" s="68">
        <f t="shared" si="1674"/>
        <v>0</v>
      </c>
      <c r="AW535" s="52"/>
      <c r="AX535" s="53"/>
      <c r="AY535" s="51">
        <f t="shared" ref="AY535:AZ535" si="1675">SUM(AY528:AY534)</f>
        <v>0</v>
      </c>
      <c r="AZ535" s="68">
        <f t="shared" si="1675"/>
        <v>0</v>
      </c>
      <c r="BA535" s="53"/>
      <c r="BB535" s="53"/>
      <c r="BC535" s="51">
        <f t="shared" ref="BC535:BD535" si="1676">SUM(BC528:BC534)</f>
        <v>0</v>
      </c>
      <c r="BD535" s="68">
        <f t="shared" si="1676"/>
        <v>0</v>
      </c>
      <c r="BE535" s="69"/>
      <c r="BF535" s="70">
        <f t="shared" ref="BF535:BH535" si="1677">SUM(BF528:BF534)</f>
        <v>9540.87</v>
      </c>
      <c r="BG535" s="71">
        <f t="shared" si="1677"/>
        <v>9512.07</v>
      </c>
      <c r="BH535" s="72">
        <f t="shared" si="1677"/>
        <v>43.7424</v>
      </c>
      <c r="BI535" s="34">
        <f>H535+BF535-BG535</f>
        <v>43.7424</v>
      </c>
      <c r="BJ535" s="34">
        <f>BH535-BI535</f>
        <v>0</v>
      </c>
    </row>
    <row r="536" ht="14.25" customHeight="1" spans="1:60" x14ac:dyDescent="0.25">
      <c r="A536" s="29">
        <v>72</v>
      </c>
      <c r="B536" s="14"/>
      <c r="D536" s="14" t="s">
        <v>379</v>
      </c>
      <c r="F536" s="13"/>
      <c r="G536" s="28"/>
      <c r="H536" s="34">
        <f>'2018'!BH536</f>
      </c>
      <c r="I536" s="13"/>
      <c r="J536" s="15"/>
      <c r="K536" s="15"/>
      <c r="L536" s="28"/>
      <c r="Q536" s="13"/>
      <c r="R536" s="15"/>
      <c r="S536" s="15"/>
      <c r="T536" s="28"/>
      <c r="Y536" s="13"/>
      <c r="Z536" s="15"/>
      <c r="AA536" s="15"/>
      <c r="AB536" s="28"/>
      <c r="AG536" s="13"/>
      <c r="AH536" s="15"/>
      <c r="AI536" s="15"/>
      <c r="AJ536" s="28"/>
      <c r="AK536" s="13"/>
      <c r="AL536" s="15"/>
      <c r="AM536" s="15"/>
      <c r="AN536" s="28"/>
      <c r="AO536" s="13"/>
      <c r="AP536" s="15"/>
      <c r="AQ536" s="15"/>
      <c r="AR536" s="28"/>
      <c r="AW536" s="13"/>
      <c r="AX536" s="15"/>
      <c r="AY536" s="15"/>
      <c r="AZ536" s="28"/>
      <c r="BE536" s="14"/>
      <c r="BF536" s="41">
        <f t="shared" ref="BF536:BG536" si="1678">K536+O536+S536+W536+AA536+AE536+AI536+AM536+AQ536+AU536+AY536+BC536</f>
        <v>0</v>
      </c>
      <c r="BG536" s="34">
        <f t="shared" si="1678"/>
        <v>0</v>
      </c>
      <c r="BH536" s="35">
        <f t="shared" ref="BH536:BH542" si="1679">H536+BF536-BG536</f>
        <v>0</v>
      </c>
    </row>
    <row r="537" ht="15.75" customHeight="1" spans="1:60" x14ac:dyDescent="0.25">
      <c r="A537" s="2">
        <v>72</v>
      </c>
      <c r="B537" s="14">
        <v>4.03</v>
      </c>
      <c r="C537" s="15" t="s">
        <v>257</v>
      </c>
      <c r="D537" s="14" t="s">
        <v>44</v>
      </c>
      <c r="E537" s="2" t="s">
        <v>45</v>
      </c>
      <c r="F537" s="13">
        <v>2.49</v>
      </c>
      <c r="G537" s="35">
        <v>2.5</v>
      </c>
      <c r="H537" s="34">
        <f>'2018'!BH537</f>
        <v>2.49</v>
      </c>
      <c r="I537" s="95">
        <v>2</v>
      </c>
      <c r="J537" s="15">
        <f>I537-'2018'!BA537</f>
        <v>0</v>
      </c>
      <c r="K537" s="34">
        <f>J537*$F$8</f>
        <v>0</v>
      </c>
      <c r="L537" s="28"/>
      <c r="M537" s="2">
        <v>2</v>
      </c>
      <c r="N537" s="15">
        <f>M537-I537</f>
        <v>0</v>
      </c>
      <c r="O537" s="34">
        <f>N537*$F$8</f>
        <v>0</v>
      </c>
      <c r="Q537" s="13">
        <v>2</v>
      </c>
      <c r="R537" s="15">
        <f>Q537-M537</f>
        <v>0</v>
      </c>
      <c r="S537" s="34">
        <f>R537*$F$8</f>
        <v>0</v>
      </c>
      <c r="T537" s="28"/>
      <c r="U537" s="15">
        <v>2</v>
      </c>
      <c r="V537" s="15">
        <f>U537-Q537</f>
        <v>0</v>
      </c>
      <c r="W537" s="34">
        <f>V537*$F$8</f>
        <v>0</v>
      </c>
      <c r="X537" s="1">
        <v>41.59</v>
      </c>
      <c r="Y537" s="13">
        <v>5</v>
      </c>
      <c r="Z537" s="15">
        <f>Y537-U537</f>
        <v>3</v>
      </c>
      <c r="AA537" s="34">
        <f>Z537*$F$8</f>
        <v>7.47</v>
      </c>
      <c r="AB537" s="28"/>
      <c r="AC537" s="15">
        <v>38</v>
      </c>
      <c r="AD537" s="15">
        <f t="shared" ref="AD537:AD538" si="1680">AC537-Y537</f>
        <v>33</v>
      </c>
      <c r="AE537" s="34">
        <f>AD537*$G$8</f>
        <v>82.5</v>
      </c>
      <c r="AG537" s="13">
        <v>74</v>
      </c>
      <c r="AH537" s="15">
        <f t="shared" ref="AH537:AH538" si="1681">AG537-AC537</f>
        <v>36</v>
      </c>
      <c r="AI537" s="34">
        <f>AH537*$G$8</f>
        <v>90</v>
      </c>
      <c r="AJ537" s="28"/>
      <c r="AK537" s="13">
        <v>110</v>
      </c>
      <c r="AL537" s="15">
        <f t="shared" ref="AL537:AL538" si="1682">AK537-AG537</f>
        <v>36</v>
      </c>
      <c r="AM537" s="34">
        <f>AL537*$G$8</f>
        <v>90</v>
      </c>
      <c r="AN537" s="134">
        <f>230.87+83.13</f>
        <v>314</v>
      </c>
      <c r="AO537" s="13">
        <v>131</v>
      </c>
      <c r="AP537" s="15">
        <f t="shared" ref="AP537:AP538" si="1683">AO537-AK537</f>
        <v>21</v>
      </c>
      <c r="AQ537" s="34">
        <f>AP537*$G$8</f>
        <v>52.5</v>
      </c>
      <c r="AR537" s="28"/>
      <c r="AS537" s="75">
        <v>131</v>
      </c>
      <c r="AT537" s="15">
        <f t="shared" ref="AT537:AT538" si="1684">AS537-AO537</f>
        <v>0</v>
      </c>
      <c r="AU537" s="34">
        <f>AT537*$G$8</f>
        <v>0</v>
      </c>
      <c r="AV537" s="15"/>
      <c r="AW537" s="13">
        <v>131</v>
      </c>
      <c r="AX537" s="15">
        <f>AW537-AS537</f>
        <v>0</v>
      </c>
      <c r="AY537" s="34">
        <f>AX537*$G$8</f>
        <v>0</v>
      </c>
      <c r="AZ537" s="28"/>
      <c r="BA537" s="13">
        <v>131</v>
      </c>
      <c r="BB537" s="15">
        <f>BA537-AW537</f>
        <v>0</v>
      </c>
      <c r="BC537" s="34">
        <f>BB537*$G$8</f>
        <v>0</v>
      </c>
      <c r="BD537" s="15"/>
      <c r="BE537" s="40">
        <f t="shared" ref="BE537:BG537" si="1685">J537+N537+R537+V537+Z537+AD537+AH537+AL537+AP537+AT537+AX537+BB537</f>
        <v>129</v>
      </c>
      <c r="BF537" s="41">
        <f t="shared" si="1685"/>
        <v>322.47</v>
      </c>
      <c r="BG537" s="34">
        <f t="shared" si="1685"/>
        <v>355.59</v>
      </c>
      <c r="BH537" s="35">
        <f t="shared" si="1679"/>
        <v>-30.63</v>
      </c>
    </row>
    <row r="538" ht="14.25" customHeight="1" spans="1:60" x14ac:dyDescent="0.25">
      <c r="A538" s="29">
        <v>72</v>
      </c>
      <c r="B538" s="14"/>
      <c r="C538" s="15" t="s">
        <v>258</v>
      </c>
      <c r="D538" s="14" t="s">
        <v>47</v>
      </c>
      <c r="E538" s="2" t="s">
        <v>48</v>
      </c>
      <c r="F538" s="13">
        <v>17.98</v>
      </c>
      <c r="G538" s="28">
        <v>18.56</v>
      </c>
      <c r="H538" s="34">
        <f>'2018'!BH538</f>
        <v>-313.4</v>
      </c>
      <c r="I538" s="13">
        <v>35</v>
      </c>
      <c r="J538" s="15"/>
      <c r="K538" s="15"/>
      <c r="L538" s="28"/>
      <c r="Q538" s="13"/>
      <c r="R538" s="15"/>
      <c r="S538" s="15"/>
      <c r="T538" s="28"/>
      <c r="Y538" s="13">
        <v>38</v>
      </c>
      <c r="Z538" s="15">
        <f>Y538-'2018'!AO538</f>
        <v>3</v>
      </c>
      <c r="AA538" s="34">
        <f>Z538*$F$10</f>
        <v>53.94</v>
      </c>
      <c r="AB538" s="28"/>
      <c r="AC538" s="15">
        <v>38</v>
      </c>
      <c r="AD538" s="15">
        <f t="shared" si="1680"/>
        <v>0</v>
      </c>
      <c r="AE538" s="34">
        <f>AD538*$F$10</f>
        <v>0</v>
      </c>
      <c r="AG538" s="13">
        <v>38</v>
      </c>
      <c r="AH538" s="15">
        <f t="shared" si="1681"/>
        <v>0</v>
      </c>
      <c r="AI538" s="45">
        <f>AH538*$G$10</f>
        <v>0</v>
      </c>
      <c r="AJ538" s="28"/>
      <c r="AK538" s="15">
        <v>38</v>
      </c>
      <c r="AL538" s="15">
        <f t="shared" si="1682"/>
        <v>0</v>
      </c>
      <c r="AM538" s="45">
        <f>AL538*$G$10</f>
        <v>0</v>
      </c>
      <c r="AN538" s="28"/>
      <c r="AO538" s="73">
        <v>38</v>
      </c>
      <c r="AP538" s="15">
        <f t="shared" si="1683"/>
        <v>0</v>
      </c>
      <c r="AQ538" s="45">
        <f>AP538*$G$10</f>
        <v>0</v>
      </c>
      <c r="AR538" s="28"/>
      <c r="AS538" s="73">
        <v>38</v>
      </c>
      <c r="AT538" s="15">
        <f t="shared" si="1684"/>
        <v>0</v>
      </c>
      <c r="AU538" s="45">
        <f>AT538*$G$10</f>
        <v>0</v>
      </c>
      <c r="AV538" s="15"/>
      <c r="AW538" s="75">
        <v>38</v>
      </c>
      <c r="AX538" s="15"/>
      <c r="AY538" s="15"/>
      <c r="AZ538" s="28"/>
      <c r="BA538" s="75">
        <v>38</v>
      </c>
      <c r="BB538" s="15"/>
      <c r="BC538" s="15"/>
      <c r="BD538" s="15"/>
      <c r="BE538" s="40">
        <f t="shared" ref="BE538:BG538" si="1686">J538+N538+R538+V538+Z538+AD538+AH538+AL538+AP538+AT538+AX538+BB538</f>
        <v>3</v>
      </c>
      <c r="BF538" s="41">
        <f t="shared" si="1686"/>
        <v>53.94</v>
      </c>
      <c r="BG538" s="34">
        <f t="shared" si="1686"/>
        <v>0</v>
      </c>
      <c r="BH538" s="35">
        <f t="shared" si="1679"/>
        <v>-259.46</v>
      </c>
    </row>
    <row r="539" ht="14.25" customHeight="1" spans="1:60" x14ac:dyDescent="0.25">
      <c r="A539" s="29">
        <v>72</v>
      </c>
      <c r="B539" s="14"/>
      <c r="C539" s="15" t="s">
        <v>111</v>
      </c>
      <c r="D539" s="14" t="s">
        <v>47</v>
      </c>
      <c r="E539" s="2" t="s">
        <v>49</v>
      </c>
      <c r="F539" s="41">
        <v>500</v>
      </c>
      <c r="G539" s="28"/>
      <c r="H539" s="34">
        <f>'2018'!BH539</f>
        <v>0</v>
      </c>
      <c r="I539" s="13"/>
      <c r="J539" s="15"/>
      <c r="K539" s="15"/>
      <c r="L539" s="28"/>
      <c r="Q539" s="13"/>
      <c r="R539" s="15"/>
      <c r="S539" s="15"/>
      <c r="T539" s="28"/>
      <c r="Y539" s="13"/>
      <c r="Z539" s="15"/>
      <c r="AA539" s="15"/>
      <c r="AB539" s="28"/>
      <c r="AG539" s="13"/>
      <c r="AH539" s="15"/>
      <c r="AI539" s="15"/>
      <c r="AJ539" s="28"/>
      <c r="AK539" s="13"/>
      <c r="AL539" s="15"/>
      <c r="AM539" s="34"/>
      <c r="AN539" s="28"/>
      <c r="AO539" s="13"/>
      <c r="AP539" s="15"/>
      <c r="AQ539" s="34"/>
      <c r="AR539" s="28"/>
      <c r="AS539" s="15"/>
      <c r="AT539" s="15"/>
      <c r="AU539" s="15"/>
      <c r="AV539" s="15"/>
      <c r="AW539" s="13"/>
      <c r="AX539" s="15"/>
      <c r="AY539" s="15"/>
      <c r="AZ539" s="28"/>
      <c r="BA539" s="15"/>
      <c r="BB539" s="15"/>
      <c r="BC539" s="15"/>
      <c r="BD539" s="15"/>
      <c r="BE539" s="14"/>
      <c r="BF539" s="41">
        <f t="shared" ref="BF539:BG539" si="1687">K539+O539+S539+W539+AA539+AE539+AI539+AM539+AQ539+AU539+AY539+BC539</f>
        <v>0</v>
      </c>
      <c r="BG539" s="34">
        <f t="shared" si="1687"/>
        <v>0</v>
      </c>
      <c r="BH539" s="35">
        <f t="shared" si="1679"/>
        <v>0</v>
      </c>
    </row>
    <row r="540" ht="15.75" customHeight="1" spans="1:60" x14ac:dyDescent="0.25">
      <c r="A540" s="29">
        <v>72</v>
      </c>
      <c r="B540" s="14"/>
      <c r="C540" s="2" t="s">
        <v>433</v>
      </c>
      <c r="D540" s="14" t="s">
        <v>50</v>
      </c>
      <c r="E540" s="2" t="s">
        <v>49</v>
      </c>
      <c r="F540" s="41">
        <v>1200</v>
      </c>
      <c r="G540" s="28"/>
      <c r="H540" s="34">
        <f>'2018'!BH540</f>
        <v>1283.4064</v>
      </c>
      <c r="I540" s="13"/>
      <c r="J540" s="15"/>
      <c r="K540" s="15"/>
      <c r="L540" s="28"/>
      <c r="Q540" s="13"/>
      <c r="R540" s="15"/>
      <c r="S540" s="15"/>
      <c r="T540" s="28"/>
      <c r="X540" s="1">
        <v>1283.41</v>
      </c>
      <c r="Y540" s="13"/>
      <c r="Z540" s="15"/>
      <c r="AA540" s="15"/>
      <c r="AB540" s="28"/>
      <c r="AE540" s="34">
        <f>B537*$F$12</f>
        <v>4836</v>
      </c>
      <c r="AF540" s="34"/>
      <c r="AG540" s="13"/>
      <c r="AH540" s="15"/>
      <c r="AI540" s="15"/>
      <c r="AJ540" s="35"/>
      <c r="AK540" s="13"/>
      <c r="AL540" s="15"/>
      <c r="AM540" s="15"/>
      <c r="AN540" s="134">
        <v>4836</v>
      </c>
      <c r="AO540" s="13"/>
      <c r="AP540" s="15"/>
      <c r="AQ540" s="15"/>
      <c r="AR540" s="28"/>
      <c r="AS540" s="15"/>
      <c r="AT540" s="15"/>
      <c r="AU540" s="15"/>
      <c r="AV540" s="15"/>
      <c r="AW540" s="13"/>
      <c r="AX540" s="15"/>
      <c r="AY540" s="15"/>
      <c r="AZ540" s="28"/>
      <c r="BA540" s="15"/>
      <c r="BB540" s="15"/>
      <c r="BC540" s="15"/>
      <c r="BD540" s="15"/>
      <c r="BE540" s="14"/>
      <c r="BF540" s="41">
        <f t="shared" ref="BF540:BG540" si="1688">K540+O540+S540+W540+AA540+AE540+AI540+AM540+AQ540+AU540+AY540+BC540</f>
        <v>4836</v>
      </c>
      <c r="BG540" s="34">
        <f t="shared" si="1688"/>
        <v>6119.41</v>
      </c>
      <c r="BH540" s="35">
        <f t="shared" si="1679"/>
        <v>-0.003599999999</v>
      </c>
    </row>
    <row r="541" ht="14.25" customHeight="1" spans="1:60" x14ac:dyDescent="0.25">
      <c r="A541" s="29">
        <v>72</v>
      </c>
      <c r="B541" s="14"/>
      <c r="D541" s="14" t="s">
        <v>51</v>
      </c>
      <c r="E541" s="2" t="s">
        <v>49</v>
      </c>
      <c r="F541" s="41">
        <v>1000</v>
      </c>
      <c r="G541" s="28"/>
      <c r="H541" s="34">
        <f>'2018'!BH541</f>
        <v>0</v>
      </c>
      <c r="I541" s="13"/>
      <c r="J541" s="15"/>
      <c r="K541" s="15"/>
      <c r="L541" s="28"/>
      <c r="Q541" s="13"/>
      <c r="R541" s="15"/>
      <c r="S541" s="15"/>
      <c r="T541" s="28"/>
      <c r="Y541" s="13"/>
      <c r="Z541" s="15"/>
      <c r="AA541" s="15"/>
      <c r="AB541" s="28"/>
      <c r="AE541" s="34">
        <f>$F$21</f>
        <v>1000</v>
      </c>
      <c r="AG541" s="13"/>
      <c r="AH541" s="15"/>
      <c r="AI541" s="15"/>
      <c r="AJ541" s="28"/>
      <c r="AK541" s="13"/>
      <c r="AL541" s="15"/>
      <c r="AM541" s="15"/>
      <c r="AN541" s="134">
        <v>1000</v>
      </c>
      <c r="AO541" s="13"/>
      <c r="AP541" s="15"/>
      <c r="AQ541" s="15"/>
      <c r="AR541" s="28"/>
      <c r="AS541" s="15"/>
      <c r="AT541" s="15"/>
      <c r="AU541" s="15"/>
      <c r="AV541" s="15"/>
      <c r="AW541" s="13"/>
      <c r="AX541" s="15"/>
      <c r="AY541" s="15"/>
      <c r="AZ541" s="28"/>
      <c r="BA541" s="15"/>
      <c r="BB541" s="15"/>
      <c r="BC541" s="15"/>
      <c r="BD541" s="15"/>
      <c r="BE541" s="14"/>
      <c r="BF541" s="41">
        <f t="shared" ref="BF541:BG541" si="1689">K541+O541+S541+W541+AA541+AE541+AI541+AM541+AQ541+AU541+AY541+BC541</f>
        <v>1000</v>
      </c>
      <c r="BG541" s="34">
        <f t="shared" si="1689"/>
        <v>1000</v>
      </c>
      <c r="BH541" s="35">
        <f t="shared" si="1679"/>
        <v>0</v>
      </c>
    </row>
    <row r="542" ht="14.25" customHeight="1" spans="1:60" x14ac:dyDescent="0.25">
      <c r="A542" s="29">
        <v>72</v>
      </c>
      <c r="B542" s="14"/>
      <c r="D542" s="14" t="s">
        <v>52</v>
      </c>
      <c r="E542" s="2" t="s">
        <v>39</v>
      </c>
      <c r="F542" s="41">
        <v>500</v>
      </c>
      <c r="G542" s="28"/>
      <c r="H542" s="34">
        <f>'2018'!BH542</f>
        <v>350</v>
      </c>
      <c r="I542" s="13"/>
      <c r="J542" s="15"/>
      <c r="K542" s="15"/>
      <c r="L542" s="28"/>
      <c r="Q542" s="13"/>
      <c r="R542" s="15"/>
      <c r="S542" s="15"/>
      <c r="T542" s="28"/>
      <c r="Y542" s="13"/>
      <c r="Z542" s="15"/>
      <c r="AA542" s="34">
        <f>$F$14</f>
        <v>500</v>
      </c>
      <c r="AB542" s="28"/>
      <c r="AG542" s="13"/>
      <c r="AH542" s="15"/>
      <c r="AI542" s="15"/>
      <c r="AJ542" s="28"/>
      <c r="AK542" s="13"/>
      <c r="AL542" s="15"/>
      <c r="AM542" s="15"/>
      <c r="AN542" s="134">
        <v>850</v>
      </c>
      <c r="AO542" s="13"/>
      <c r="AP542" s="15"/>
      <c r="AQ542" s="15"/>
      <c r="AR542" s="28"/>
      <c r="AS542" s="15"/>
      <c r="AT542" s="15"/>
      <c r="AU542" s="15"/>
      <c r="AV542" s="15"/>
      <c r="AW542" s="13"/>
      <c r="AX542" s="15"/>
      <c r="AY542" s="15"/>
      <c r="AZ542" s="28"/>
      <c r="BA542" s="15"/>
      <c r="BB542" s="15"/>
      <c r="BC542" s="15"/>
      <c r="BD542" s="15"/>
      <c r="BE542" s="14"/>
      <c r="BF542" s="41">
        <f t="shared" ref="BF542:BG542" si="1690">K542+O542+S542+W542+AA542+AE542+AI542+AM542+AQ542+AU542+AY542+BC542</f>
        <v>500</v>
      </c>
      <c r="BG542" s="34">
        <f t="shared" si="1690"/>
        <v>850</v>
      </c>
      <c r="BH542" s="35">
        <f t="shared" si="1679"/>
        <v>0</v>
      </c>
    </row>
    <row r="543" ht="15.75" customHeight="1" spans="1:62" x14ac:dyDescent="0.25">
      <c r="A543" s="50">
        <v>72</v>
      </c>
      <c r="B543" s="21"/>
      <c r="C543" s="22" t="s">
        <v>53</v>
      </c>
      <c r="D543" s="21"/>
      <c r="E543" s="22"/>
      <c r="F543" s="20"/>
      <c r="G543" s="23"/>
      <c r="H543" s="51">
        <f>SUM(H536:H542)</f>
        <v>1322.4964</v>
      </c>
      <c r="I543" s="52"/>
      <c r="J543" s="53"/>
      <c r="K543" s="51">
        <f t="shared" ref="K543:L543" si="1691">SUM(K536:K542)</f>
        <v>0</v>
      </c>
      <c r="L543" s="68">
        <f t="shared" si="1691"/>
        <v>0</v>
      </c>
      <c r="M543" s="53"/>
      <c r="N543" s="53"/>
      <c r="O543" s="51">
        <f t="shared" ref="O543:P543" si="1692">SUM(O537:O542)</f>
        <v>0</v>
      </c>
      <c r="P543" s="51">
        <f t="shared" si="1692"/>
        <v>0</v>
      </c>
      <c r="Q543" s="52"/>
      <c r="R543" s="53"/>
      <c r="S543" s="51">
        <f t="shared" ref="S543:T543" si="1693">SUM(S537:S542)</f>
        <v>0</v>
      </c>
      <c r="T543" s="68">
        <f t="shared" si="1693"/>
        <v>0</v>
      </c>
      <c r="U543" s="53"/>
      <c r="V543" s="53"/>
      <c r="W543" s="51">
        <f t="shared" ref="W543:X543" si="1694">SUM(W537:W542)</f>
        <v>0</v>
      </c>
      <c r="X543" s="51">
        <f t="shared" si="1694"/>
        <v>1325</v>
      </c>
      <c r="Y543" s="52"/>
      <c r="Z543" s="53"/>
      <c r="AA543" s="51">
        <f t="shared" ref="AA543:AB543" si="1695">SUM(AA537:AA542)</f>
        <v>561.41</v>
      </c>
      <c r="AB543" s="68">
        <f t="shared" si="1695"/>
        <v>0</v>
      </c>
      <c r="AC543" s="53"/>
      <c r="AD543" s="53"/>
      <c r="AE543" s="51">
        <f t="shared" ref="AE543:AF543" si="1696">SUM(AE537:AE542)</f>
        <v>5918.5</v>
      </c>
      <c r="AF543" s="51">
        <f t="shared" si="1696"/>
        <v>0</v>
      </c>
      <c r="AG543" s="52"/>
      <c r="AH543" s="53"/>
      <c r="AI543" s="51">
        <f t="shared" ref="AI543:AJ543" si="1697">SUM(AI537:AI542)</f>
        <v>90</v>
      </c>
      <c r="AJ543" s="68">
        <f t="shared" si="1697"/>
        <v>0</v>
      </c>
      <c r="AK543" s="52"/>
      <c r="AL543" s="53"/>
      <c r="AM543" s="51">
        <f t="shared" ref="AM543:AN543" si="1698">SUM(AM537:AM542)</f>
        <v>90</v>
      </c>
      <c r="AN543" s="68">
        <f t="shared" si="1698"/>
        <v>7000</v>
      </c>
      <c r="AO543" s="52"/>
      <c r="AP543" s="53"/>
      <c r="AQ543" s="51">
        <f t="shared" ref="AQ543:AR543" si="1699">SUM(AQ536:AQ542)</f>
        <v>52.5</v>
      </c>
      <c r="AR543" s="68">
        <f t="shared" si="1699"/>
        <v>0</v>
      </c>
      <c r="AS543" s="53"/>
      <c r="AT543" s="53"/>
      <c r="AU543" s="51">
        <f t="shared" ref="AU543:AV543" si="1700">SUM(AU536:AU542)</f>
        <v>0</v>
      </c>
      <c r="AV543" s="68">
        <f t="shared" si="1700"/>
        <v>0</v>
      </c>
      <c r="AW543" s="52"/>
      <c r="AX543" s="53"/>
      <c r="AY543" s="51">
        <f t="shared" ref="AY543:AZ543" si="1701">SUM(AY536:AY542)</f>
        <v>0</v>
      </c>
      <c r="AZ543" s="68">
        <f t="shared" si="1701"/>
        <v>0</v>
      </c>
      <c r="BA543" s="53"/>
      <c r="BB543" s="53"/>
      <c r="BC543" s="51">
        <f t="shared" ref="BC543:BD543" si="1702">SUM(BC536:BC542)</f>
        <v>0</v>
      </c>
      <c r="BD543" s="68">
        <f t="shared" si="1702"/>
        <v>0</v>
      </c>
      <c r="BE543" s="69"/>
      <c r="BF543" s="70">
        <f t="shared" ref="BF543:BH543" si="1703">SUM(BF536:BF542)</f>
        <v>6712.41</v>
      </c>
      <c r="BG543" s="71">
        <f t="shared" si="1703"/>
        <v>8325</v>
      </c>
      <c r="BH543" s="72">
        <f t="shared" si="1703"/>
        <v>-290.0936</v>
      </c>
      <c r="BI543" s="34">
        <f>H543+BF543-BG543</f>
        <v>-290.0936</v>
      </c>
      <c r="BJ543" s="34">
        <f>BH543-BI543</f>
        <v>0</v>
      </c>
    </row>
    <row r="544" ht="14.25" customHeight="1" spans="1:60" x14ac:dyDescent="0.25">
      <c r="A544" s="29">
        <v>73</v>
      </c>
      <c r="B544" s="14"/>
      <c r="D544" s="14" t="s">
        <v>379</v>
      </c>
      <c r="F544" s="13"/>
      <c r="G544" s="28"/>
      <c r="H544" s="34">
        <f>'2018'!BH544</f>
      </c>
      <c r="I544" s="13"/>
      <c r="J544" s="15"/>
      <c r="K544" s="15"/>
      <c r="L544" s="28"/>
      <c r="Q544" s="13"/>
      <c r="R544" s="15"/>
      <c r="S544" s="15"/>
      <c r="T544" s="28"/>
      <c r="Y544" s="13"/>
      <c r="Z544" s="15"/>
      <c r="AA544" s="15"/>
      <c r="AB544" s="28"/>
      <c r="AG544" s="13"/>
      <c r="AH544" s="15"/>
      <c r="AI544" s="15"/>
      <c r="AJ544" s="28"/>
      <c r="AK544" s="13"/>
      <c r="AL544" s="15"/>
      <c r="AM544" s="15"/>
      <c r="AN544" s="28"/>
      <c r="AO544" s="13"/>
      <c r="AP544" s="15"/>
      <c r="AQ544" s="15">
        <v>6.99</v>
      </c>
      <c r="AR544" s="28"/>
      <c r="AW544" s="13"/>
      <c r="AX544" s="15"/>
      <c r="AY544" s="15"/>
      <c r="AZ544" s="28"/>
      <c r="BE544" s="14"/>
      <c r="BF544" s="41">
        <f t="shared" ref="BF544:BG544" si="1704">K544+O544+S544+W544+AA544+AE544+AI544+AM544+AQ544+AU544+AY544+BC544</f>
        <v>6.99</v>
      </c>
      <c r="BG544" s="34">
        <f t="shared" si="1704"/>
        <v>0</v>
      </c>
      <c r="BH544" s="35">
        <f t="shared" ref="BH544:BH550" si="1705">H544+BF544-BG544</f>
        <v>6.99</v>
      </c>
    </row>
    <row r="545" ht="14.25" customHeight="1" spans="1:60" x14ac:dyDescent="0.25">
      <c r="A545" s="2">
        <v>73</v>
      </c>
      <c r="B545" s="14">
        <v>4.02</v>
      </c>
      <c r="C545" s="2" t="s">
        <v>259</v>
      </c>
      <c r="D545" s="14" t="s">
        <v>44</v>
      </c>
      <c r="E545" s="2" t="s">
        <v>45</v>
      </c>
      <c r="F545" s="13">
        <v>2.49</v>
      </c>
      <c r="G545" s="35">
        <v>2.5</v>
      </c>
      <c r="H545" s="104">
        <f>'2018'!BH545</f>
        <v>0</v>
      </c>
      <c r="I545" s="13"/>
      <c r="J545" s="15"/>
      <c r="K545" s="34">
        <f>J545*$F$8</f>
        <v>0</v>
      </c>
      <c r="L545" s="28"/>
      <c r="N545" s="15">
        <f>M545-I545</f>
        <v>0</v>
      </c>
      <c r="O545" s="34">
        <f>N545*$F$8</f>
        <v>0</v>
      </c>
      <c r="Q545" s="13"/>
      <c r="R545" s="15">
        <f>Q545-M545</f>
        <v>0</v>
      </c>
      <c r="S545" s="34">
        <f>R545*$F$8</f>
        <v>0</v>
      </c>
      <c r="T545" s="28"/>
      <c r="V545" s="15">
        <f>U545-Q545</f>
        <v>0</v>
      </c>
      <c r="Y545" s="13"/>
      <c r="Z545" s="15">
        <f>Y545-U545</f>
        <v>0</v>
      </c>
      <c r="AA545" s="34">
        <f>Z545*$F$8</f>
        <v>0</v>
      </c>
      <c r="AB545" s="28"/>
      <c r="AC545" s="15"/>
      <c r="AD545" s="15">
        <f t="shared" ref="AD545:AD546" si="1706">AC545-Y545</f>
        <v>0</v>
      </c>
      <c r="AE545" s="34">
        <f>AD545*$G$8</f>
        <v>0</v>
      </c>
      <c r="AG545" s="13"/>
      <c r="AH545" s="15">
        <f t="shared" ref="AH545:AH546" si="1707">AG545-AC545</f>
        <v>0</v>
      </c>
      <c r="AI545" s="34">
        <f>AH545*$G$8</f>
        <v>0</v>
      </c>
      <c r="AJ545" s="28"/>
      <c r="AK545" s="13"/>
      <c r="AL545" s="15">
        <f t="shared" ref="AL545:AL546" si="1708">AK545-AG545</f>
        <v>0</v>
      </c>
      <c r="AM545" s="34">
        <f>AL545*$G$8</f>
        <v>0</v>
      </c>
      <c r="AN545" s="28"/>
      <c r="AO545" s="13"/>
      <c r="AP545" s="15">
        <f t="shared" ref="AP545:AP546" si="1709">AO545-AK545</f>
        <v>0</v>
      </c>
      <c r="AQ545" s="34">
        <f>AP545*$G$8</f>
        <v>0</v>
      </c>
      <c r="AR545" s="28"/>
      <c r="AS545" s="15"/>
      <c r="AT545" s="15">
        <f t="shared" ref="AT545:AT546" si="1710">AS545-AO545</f>
        <v>0</v>
      </c>
      <c r="AU545" s="34">
        <f>AT545*$G$8</f>
        <v>0</v>
      </c>
      <c r="AV545" s="15"/>
      <c r="AW545" s="13"/>
      <c r="AX545" s="15">
        <f>AW545-AS545</f>
        <v>0</v>
      </c>
      <c r="AY545" s="34">
        <f>AX545*$G$8</f>
        <v>0</v>
      </c>
      <c r="AZ545" s="28"/>
      <c r="BA545" s="15"/>
      <c r="BB545" s="15">
        <f>BA545-AW545</f>
        <v>0</v>
      </c>
      <c r="BC545" s="34">
        <f>BB545*$G$8</f>
        <v>0</v>
      </c>
      <c r="BD545" s="15"/>
      <c r="BE545" s="40">
        <f t="shared" ref="BE545:BG545" si="1711">J545+N545+R545+V545+Z545+AD545+AH545+AL545+AP545+AT545+AX545+BB545</f>
        <v>0</v>
      </c>
      <c r="BF545" s="41">
        <f t="shared" si="1711"/>
        <v>0</v>
      </c>
      <c r="BG545" s="34">
        <f t="shared" si="1711"/>
        <v>0</v>
      </c>
      <c r="BH545" s="35">
        <f t="shared" si="1705"/>
        <v>0</v>
      </c>
    </row>
    <row r="546" ht="14.25" customHeight="1" spans="1:60" x14ac:dyDescent="0.25">
      <c r="A546" s="29">
        <v>73</v>
      </c>
      <c r="B546" s="14"/>
      <c r="C546" s="2" t="s">
        <v>260</v>
      </c>
      <c r="D546" s="14" t="s">
        <v>47</v>
      </c>
      <c r="E546" s="2" t="s">
        <v>48</v>
      </c>
      <c r="F546" s="13">
        <v>17.98</v>
      </c>
      <c r="G546" s="28">
        <v>18.56</v>
      </c>
      <c r="H546" s="34">
        <f>'2018'!BH546</f>
        <v>0</v>
      </c>
      <c r="I546" s="13">
        <v>61</v>
      </c>
      <c r="J546" s="15"/>
      <c r="K546" s="15"/>
      <c r="L546" s="28"/>
      <c r="Q546" s="13"/>
      <c r="R546" s="15"/>
      <c r="S546" s="15"/>
      <c r="T546" s="28"/>
      <c r="Y546" s="13">
        <v>61</v>
      </c>
      <c r="Z546" s="15">
        <f>Y546-'2018'!AO546</f>
        <v>0</v>
      </c>
      <c r="AA546" s="34">
        <f>Z546*$F$10</f>
        <v>0</v>
      </c>
      <c r="AB546" s="28"/>
      <c r="AC546" s="15">
        <v>66</v>
      </c>
      <c r="AD546" s="15">
        <f t="shared" si="1706"/>
        <v>5</v>
      </c>
      <c r="AE546" s="34">
        <f>AD546*$F$10</f>
        <v>89.9</v>
      </c>
      <c r="AF546" s="133">
        <v>100</v>
      </c>
      <c r="AG546" s="13">
        <v>66</v>
      </c>
      <c r="AH546" s="15">
        <f t="shared" si="1707"/>
        <v>0</v>
      </c>
      <c r="AI546" s="45">
        <f>AH546*$G$10</f>
        <v>0</v>
      </c>
      <c r="AJ546" s="38">
        <v>100</v>
      </c>
      <c r="AK546" s="15">
        <v>66</v>
      </c>
      <c r="AL546" s="15">
        <f t="shared" si="1708"/>
        <v>0</v>
      </c>
      <c r="AM546" s="45">
        <f>AL546*$G$10</f>
        <v>0</v>
      </c>
      <c r="AN546" s="28"/>
      <c r="AO546" s="15">
        <v>77</v>
      </c>
      <c r="AP546" s="15">
        <f t="shared" si="1709"/>
        <v>11</v>
      </c>
      <c r="AQ546" s="45">
        <f>AP546*$G$10</f>
        <v>204.16</v>
      </c>
      <c r="AR546" s="38">
        <f>176+140</f>
        <v>316</v>
      </c>
      <c r="AS546" s="15">
        <v>77</v>
      </c>
      <c r="AT546" s="15">
        <f t="shared" si="1710"/>
        <v>0</v>
      </c>
      <c r="AU546" s="45">
        <f>AT546*$G$10</f>
        <v>0</v>
      </c>
      <c r="AV546" s="15"/>
      <c r="AW546" s="13">
        <v>77</v>
      </c>
      <c r="AX546" s="15"/>
      <c r="AY546" s="15"/>
      <c r="AZ546" s="28"/>
      <c r="BA546" s="15">
        <v>77</v>
      </c>
      <c r="BB546" s="15"/>
      <c r="BC546" s="15"/>
      <c r="BD546" s="15"/>
      <c r="BE546" s="40">
        <f t="shared" ref="BE546:BG546" si="1712">J546+N546+R546+V546+Z546+AD546+AH546+AL546+AP546+AT546+AX546+BB546</f>
        <v>16</v>
      </c>
      <c r="BF546" s="41">
        <f t="shared" si="1712"/>
        <v>294.06</v>
      </c>
      <c r="BG546" s="34">
        <f t="shared" si="1712"/>
        <v>516</v>
      </c>
      <c r="BH546" s="35">
        <f t="shared" si="1705"/>
        <v>-221.94</v>
      </c>
    </row>
    <row r="547" ht="14.25" customHeight="1" spans="1:60" x14ac:dyDescent="0.25">
      <c r="A547" s="29">
        <v>73</v>
      </c>
      <c r="B547" s="14"/>
      <c r="C547" s="15" t="s">
        <v>84</v>
      </c>
      <c r="D547" s="14" t="s">
        <v>47</v>
      </c>
      <c r="E547" s="2" t="s">
        <v>49</v>
      </c>
      <c r="F547" s="41">
        <v>500</v>
      </c>
      <c r="G547" s="28"/>
      <c r="H547" s="34">
        <f>'2018'!BH547</f>
        <v>0</v>
      </c>
      <c r="I547" s="13"/>
      <c r="J547" s="15"/>
      <c r="K547" s="15"/>
      <c r="L547" s="28"/>
      <c r="Q547" s="13"/>
      <c r="R547" s="15"/>
      <c r="S547" s="15"/>
      <c r="T547" s="28"/>
      <c r="Y547" s="13"/>
      <c r="Z547" s="15"/>
      <c r="AA547" s="15"/>
      <c r="AB547" s="28"/>
      <c r="AG547" s="13"/>
      <c r="AH547" s="15"/>
      <c r="AI547" s="15"/>
      <c r="AJ547" s="28"/>
      <c r="AK547" s="13"/>
      <c r="AL547" s="15"/>
      <c r="AM547" s="34"/>
      <c r="AN547" s="28"/>
      <c r="AO547" s="13"/>
      <c r="AP547" s="15"/>
      <c r="AQ547" s="34"/>
      <c r="AR547" s="28"/>
      <c r="AS547" s="15"/>
      <c r="AT547" s="15"/>
      <c r="AU547" s="15"/>
      <c r="AV547" s="15"/>
      <c r="AW547" s="13"/>
      <c r="AX547" s="15"/>
      <c r="AY547" s="15"/>
      <c r="AZ547" s="28"/>
      <c r="BA547" s="15"/>
      <c r="BB547" s="15"/>
      <c r="BC547" s="15"/>
      <c r="BD547" s="15"/>
      <c r="BE547" s="14"/>
      <c r="BF547" s="41">
        <f t="shared" ref="BF547:BG547" si="1713">K547+O547+S547+W547+AA547+AE547+AI547+AM547+AQ547+AU547+AY547+BC547</f>
        <v>0</v>
      </c>
      <c r="BG547" s="34">
        <f t="shared" si="1713"/>
        <v>0</v>
      </c>
      <c r="BH547" s="35">
        <f t="shared" si="1705"/>
        <v>0</v>
      </c>
    </row>
    <row r="548" ht="14.25" customHeight="1" spans="1:60" x14ac:dyDescent="0.25">
      <c r="A548" s="29">
        <v>73</v>
      </c>
      <c r="B548" s="14"/>
      <c r="C548" s="73" t="s">
        <v>261</v>
      </c>
      <c r="D548" s="14" t="s">
        <v>50</v>
      </c>
      <c r="E548" s="2" t="s">
        <v>49</v>
      </c>
      <c r="F548" s="41">
        <v>1200</v>
      </c>
      <c r="G548" s="28"/>
      <c r="H548" s="34">
        <f>'2018'!BH548</f>
        <v>-0.002399999999</v>
      </c>
      <c r="I548" s="13"/>
      <c r="J548" s="15"/>
      <c r="K548" s="15"/>
      <c r="L548" s="28"/>
      <c r="Q548" s="13"/>
      <c r="R548" s="15"/>
      <c r="S548" s="15"/>
      <c r="T548" s="28"/>
      <c r="Y548" s="13"/>
      <c r="Z548" s="15"/>
      <c r="AA548" s="15"/>
      <c r="AB548" s="28"/>
      <c r="AE548" s="34">
        <f>B545*$F$12</f>
        <v>4824</v>
      </c>
      <c r="AG548" s="13"/>
      <c r="AH548" s="15"/>
      <c r="AI548" s="15"/>
      <c r="AJ548" s="35"/>
      <c r="AK548" s="13"/>
      <c r="AL548" s="15"/>
      <c r="AM548" s="15"/>
      <c r="AN548" s="28"/>
      <c r="AO548" s="13"/>
      <c r="AP548" s="15"/>
      <c r="AQ548" s="15"/>
      <c r="AR548" s="38">
        <v>4824</v>
      </c>
      <c r="AS548" s="15"/>
      <c r="AT548" s="15"/>
      <c r="AU548" s="15"/>
      <c r="AV548" s="15"/>
      <c r="AW548" s="13"/>
      <c r="AX548" s="15"/>
      <c r="AY548" s="15"/>
      <c r="AZ548" s="28"/>
      <c r="BA548" s="15"/>
      <c r="BB548" s="15"/>
      <c r="BC548" s="15"/>
      <c r="BD548" s="15"/>
      <c r="BE548" s="14"/>
      <c r="BF548" s="41">
        <f t="shared" ref="BF548:BG548" si="1714">K548+O548+S548+W548+AA548+AE548+AI548+AM548+AQ548+AU548+AY548+BC548</f>
        <v>4824</v>
      </c>
      <c r="BG548" s="34">
        <f t="shared" si="1714"/>
        <v>4824</v>
      </c>
      <c r="BH548" s="35">
        <f t="shared" si="1705"/>
        <v>-0.0024</v>
      </c>
    </row>
    <row r="549" ht="14.25" customHeight="1" spans="1:60" x14ac:dyDescent="0.25">
      <c r="A549" s="29">
        <v>73</v>
      </c>
      <c r="B549" s="14"/>
      <c r="D549" s="14" t="s">
        <v>51</v>
      </c>
      <c r="E549" s="2" t="s">
        <v>49</v>
      </c>
      <c r="F549" s="41">
        <v>1000</v>
      </c>
      <c r="G549" s="28"/>
      <c r="H549" s="34">
        <f>'2018'!BH549</f>
        <v>0</v>
      </c>
      <c r="I549" s="13"/>
      <c r="J549" s="15"/>
      <c r="K549" s="15"/>
      <c r="L549" s="28"/>
      <c r="Q549" s="13"/>
      <c r="R549" s="15"/>
      <c r="S549" s="15"/>
      <c r="T549" s="28"/>
      <c r="Y549" s="13"/>
      <c r="Z549" s="15"/>
      <c r="AA549" s="15"/>
      <c r="AB549" s="28"/>
      <c r="AE549" s="34">
        <f>$F$21</f>
        <v>1000</v>
      </c>
      <c r="AG549" s="13"/>
      <c r="AH549" s="15"/>
      <c r="AI549" s="15"/>
      <c r="AJ549" s="28"/>
      <c r="AK549" s="13"/>
      <c r="AL549" s="15"/>
      <c r="AM549" s="15"/>
      <c r="AN549" s="28"/>
      <c r="AO549" s="13"/>
      <c r="AP549" s="15"/>
      <c r="AQ549" s="15"/>
      <c r="AR549" s="38">
        <v>1000</v>
      </c>
      <c r="AS549" s="15"/>
      <c r="AT549" s="15"/>
      <c r="AU549" s="15"/>
      <c r="AV549" s="15"/>
      <c r="AW549" s="13"/>
      <c r="AX549" s="15"/>
      <c r="AY549" s="15"/>
      <c r="AZ549" s="28"/>
      <c r="BA549" s="15"/>
      <c r="BB549" s="15"/>
      <c r="BC549" s="15"/>
      <c r="BD549" s="15"/>
      <c r="BE549" s="14"/>
      <c r="BF549" s="41">
        <f t="shared" ref="BF549:BG549" si="1715">K549+O549+S549+W549+AA549+AE549+AI549+AM549+AQ549+AU549+AY549+BC549</f>
        <v>1000</v>
      </c>
      <c r="BG549" s="34">
        <f t="shared" si="1715"/>
        <v>1000</v>
      </c>
      <c r="BH549" s="35">
        <f t="shared" si="1705"/>
        <v>0</v>
      </c>
    </row>
    <row r="550" ht="14.25" customHeight="1" spans="1:60" x14ac:dyDescent="0.25">
      <c r="A550" s="29">
        <v>73</v>
      </c>
      <c r="B550" s="14"/>
      <c r="D550" s="14" t="s">
        <v>52</v>
      </c>
      <c r="E550" s="2" t="s">
        <v>39</v>
      </c>
      <c r="F550" s="41">
        <v>500</v>
      </c>
      <c r="G550" s="28"/>
      <c r="H550" s="34">
        <f>'2018'!BH550</f>
        <v>0</v>
      </c>
      <c r="I550" s="13"/>
      <c r="J550" s="15"/>
      <c r="K550" s="15"/>
      <c r="L550" s="28"/>
      <c r="Q550" s="13"/>
      <c r="R550" s="15"/>
      <c r="S550" s="15"/>
      <c r="T550" s="28"/>
      <c r="Y550" s="13"/>
      <c r="Z550" s="15"/>
      <c r="AA550" s="34">
        <f>$F$14</f>
        <v>500</v>
      </c>
      <c r="AB550" s="28"/>
      <c r="AF550" s="133">
        <v>500</v>
      </c>
      <c r="AG550" s="13"/>
      <c r="AH550" s="15"/>
      <c r="AI550" s="15"/>
      <c r="AJ550" s="28"/>
      <c r="AK550" s="13"/>
      <c r="AL550" s="15"/>
      <c r="AM550" s="15"/>
      <c r="AN550" s="35"/>
      <c r="AO550" s="13"/>
      <c r="AP550" s="15"/>
      <c r="AQ550" s="15"/>
      <c r="AR550" s="28"/>
      <c r="AS550" s="15"/>
      <c r="AT550" s="15"/>
      <c r="AU550" s="15"/>
      <c r="AV550" s="15"/>
      <c r="AW550" s="13"/>
      <c r="AX550" s="15"/>
      <c r="AY550" s="15"/>
      <c r="AZ550" s="28"/>
      <c r="BA550" s="15"/>
      <c r="BB550" s="15"/>
      <c r="BC550" s="15"/>
      <c r="BD550" s="15"/>
      <c r="BE550" s="14"/>
      <c r="BF550" s="41">
        <f t="shared" ref="BF550:BG550" si="1716">K550+O550+S550+W550+AA550+AE550+AI550+AM550+AQ550+AU550+AY550+BC550</f>
        <v>500</v>
      </c>
      <c r="BG550" s="34">
        <f t="shared" si="1716"/>
        <v>500</v>
      </c>
      <c r="BH550" s="35">
        <f t="shared" si="1705"/>
        <v>0</v>
      </c>
    </row>
    <row r="551" ht="14.25" customHeight="1" spans="1:62" x14ac:dyDescent="0.25">
      <c r="A551" s="50">
        <v>73</v>
      </c>
      <c r="B551" s="21"/>
      <c r="C551" s="22" t="s">
        <v>53</v>
      </c>
      <c r="D551" s="21"/>
      <c r="E551" s="22"/>
      <c r="F551" s="20"/>
      <c r="G551" s="23"/>
      <c r="H551" s="51">
        <f>SUM(H544:H550)</f>
        <v>-0.002399999999</v>
      </c>
      <c r="I551" s="52"/>
      <c r="J551" s="53"/>
      <c r="K551" s="51">
        <f t="shared" ref="K551:L551" si="1717">SUM(K544:K550)</f>
        <v>0</v>
      </c>
      <c r="L551" s="68">
        <f t="shared" si="1717"/>
        <v>0</v>
      </c>
      <c r="M551" s="53"/>
      <c r="N551" s="53"/>
      <c r="O551" s="51">
        <f t="shared" ref="O551:P551" si="1718">SUM(O545:O550)</f>
        <v>0</v>
      </c>
      <c r="P551" s="51">
        <f t="shared" si="1718"/>
        <v>0</v>
      </c>
      <c r="Q551" s="52"/>
      <c r="R551" s="53"/>
      <c r="S551" s="51">
        <f t="shared" ref="S551:T551" si="1719">SUM(S545:S550)</f>
        <v>0</v>
      </c>
      <c r="T551" s="68">
        <f t="shared" si="1719"/>
        <v>0</v>
      </c>
      <c r="U551" s="53"/>
      <c r="V551" s="53"/>
      <c r="W551" s="51">
        <f t="shared" ref="W551:X551" si="1720">SUM(W545:W550)</f>
        <v>0</v>
      </c>
      <c r="X551" s="51">
        <f t="shared" si="1720"/>
        <v>0</v>
      </c>
      <c r="Y551" s="52"/>
      <c r="Z551" s="53"/>
      <c r="AA551" s="51">
        <f t="shared" ref="AA551:AB551" si="1721">SUM(AA545:AA550)</f>
        <v>500</v>
      </c>
      <c r="AB551" s="68">
        <f t="shared" si="1721"/>
        <v>0</v>
      </c>
      <c r="AC551" s="53"/>
      <c r="AD551" s="53"/>
      <c r="AE551" s="51">
        <f t="shared" ref="AE551:AF551" si="1722">SUM(AE545:AE550)</f>
        <v>5913.9</v>
      </c>
      <c r="AF551" s="51">
        <f t="shared" si="1722"/>
        <v>600</v>
      </c>
      <c r="AG551" s="52"/>
      <c r="AH551" s="53"/>
      <c r="AI551" s="51">
        <f t="shared" ref="AI551:AJ551" si="1723">SUM(AI545:AI550)</f>
        <v>0</v>
      </c>
      <c r="AJ551" s="68">
        <f t="shared" si="1723"/>
        <v>100</v>
      </c>
      <c r="AK551" s="52"/>
      <c r="AL551" s="53"/>
      <c r="AM551" s="51">
        <f t="shared" ref="AM551:AN551" si="1724">SUM(AM545:AM550)</f>
        <v>0</v>
      </c>
      <c r="AN551" s="68">
        <f t="shared" si="1724"/>
        <v>0</v>
      </c>
      <c r="AO551" s="52"/>
      <c r="AP551" s="53"/>
      <c r="AQ551" s="51">
        <f t="shared" ref="AQ551:AR551" si="1725">SUM(AQ544:AQ550)</f>
        <v>211.15</v>
      </c>
      <c r="AR551" s="68">
        <f t="shared" si="1725"/>
        <v>6140</v>
      </c>
      <c r="AS551" s="53"/>
      <c r="AT551" s="53"/>
      <c r="AU551" s="51">
        <f t="shared" ref="AU551:AV551" si="1726">SUM(AU544:AU550)</f>
        <v>0</v>
      </c>
      <c r="AV551" s="68">
        <f t="shared" si="1726"/>
        <v>0</v>
      </c>
      <c r="AW551" s="52"/>
      <c r="AX551" s="53"/>
      <c r="AY551" s="51">
        <f t="shared" ref="AY551:AZ551" si="1727">SUM(AY544:AY550)</f>
        <v>0</v>
      </c>
      <c r="AZ551" s="68">
        <f t="shared" si="1727"/>
        <v>0</v>
      </c>
      <c r="BA551" s="53"/>
      <c r="BB551" s="53"/>
      <c r="BC551" s="51">
        <f t="shared" ref="BC551:BD551" si="1728">SUM(BC544:BC550)</f>
        <v>0</v>
      </c>
      <c r="BD551" s="68">
        <f t="shared" si="1728"/>
        <v>0</v>
      </c>
      <c r="BE551" s="69"/>
      <c r="BF551" s="70">
        <f t="shared" ref="BF551:BH551" si="1729">SUM(BF544:BF550)</f>
        <v>6625.05</v>
      </c>
      <c r="BG551" s="71">
        <f t="shared" si="1729"/>
        <v>6840</v>
      </c>
      <c r="BH551" s="72">
        <f t="shared" si="1729"/>
        <v>-214.9524</v>
      </c>
      <c r="BI551" s="34">
        <f>H551+BF551-BG551</f>
        <v>-214.9524</v>
      </c>
      <c r="BJ551" s="34">
        <f>BH551-BI551</f>
        <v>0</v>
      </c>
    </row>
    <row r="552" ht="14.25" customHeight="1" spans="1:60" x14ac:dyDescent="0.25">
      <c r="A552" s="29">
        <v>74</v>
      </c>
      <c r="B552" s="14"/>
      <c r="D552" s="14" t="s">
        <v>379</v>
      </c>
      <c r="F552" s="13"/>
      <c r="G552" s="28"/>
      <c r="H552" s="34">
        <f>'2018'!BH552</f>
      </c>
      <c r="I552" s="13"/>
      <c r="J552" s="15"/>
      <c r="K552" s="15"/>
      <c r="L552" s="28"/>
      <c r="Q552" s="13"/>
      <c r="R552" s="15"/>
      <c r="S552" s="15"/>
      <c r="T552" s="28"/>
      <c r="Y552" s="13"/>
      <c r="Z552" s="15"/>
      <c r="AA552" s="15"/>
      <c r="AB552" s="28"/>
      <c r="AG552" s="13"/>
      <c r="AH552" s="15"/>
      <c r="AI552" s="15"/>
      <c r="AJ552" s="28"/>
      <c r="AK552" s="13"/>
      <c r="AL552" s="15"/>
      <c r="AM552" s="15"/>
      <c r="AN552" s="28"/>
      <c r="AO552" s="13"/>
      <c r="AP552" s="15"/>
      <c r="AQ552" s="15"/>
      <c r="AR552" s="28"/>
      <c r="AW552" s="13"/>
      <c r="AX552" s="15"/>
      <c r="AY552" s="15"/>
      <c r="AZ552" s="28"/>
      <c r="BE552" s="14"/>
      <c r="BF552" s="41">
        <f t="shared" ref="BF552:BG552" si="1730">K552+O552+S552+W552+AA552+AE552+AI552+AM552+AQ552+AU552+AY552+BC552</f>
        <v>0</v>
      </c>
      <c r="BG552" s="34">
        <f t="shared" si="1730"/>
        <v>0</v>
      </c>
      <c r="BH552" s="35">
        <f t="shared" ref="BH552:BH558" si="1731">H552+BF552-BG552</f>
        <v>0</v>
      </c>
    </row>
    <row r="553" ht="14.25" customHeight="1" spans="1:60" x14ac:dyDescent="0.25">
      <c r="A553" s="2">
        <v>74</v>
      </c>
      <c r="B553" s="14">
        <v>4.97</v>
      </c>
      <c r="C553" s="2" t="s">
        <v>262</v>
      </c>
      <c r="D553" s="14" t="s">
        <v>44</v>
      </c>
      <c r="E553" s="2" t="s">
        <v>45</v>
      </c>
      <c r="F553" s="13">
        <v>2.49</v>
      </c>
      <c r="G553" s="35">
        <v>2.5</v>
      </c>
      <c r="H553" s="104">
        <f>'2018'!BH553</f>
        <v>0</v>
      </c>
      <c r="I553" s="13"/>
      <c r="J553" s="15"/>
      <c r="K553" s="34">
        <f>J553*$F$8</f>
        <v>0</v>
      </c>
      <c r="L553" s="28"/>
      <c r="N553" s="15">
        <f>M553-I553</f>
        <v>0</v>
      </c>
      <c r="O553" s="34">
        <f>N553*$F$8</f>
        <v>0</v>
      </c>
      <c r="Q553" s="13"/>
      <c r="R553" s="15">
        <f>Q553-M553</f>
        <v>0</v>
      </c>
      <c r="S553" s="34">
        <f>R553*$F$8</f>
        <v>0</v>
      </c>
      <c r="T553" s="28"/>
      <c r="V553" s="15">
        <f>U553-Q553</f>
        <v>0</v>
      </c>
      <c r="Y553" s="13"/>
      <c r="Z553" s="15">
        <f>Y553-U553</f>
        <v>0</v>
      </c>
      <c r="AA553" s="34">
        <f>Z553*$F$8</f>
        <v>0</v>
      </c>
      <c r="AB553" s="28"/>
      <c r="AC553" s="15"/>
      <c r="AD553" s="15">
        <f t="shared" ref="AD553:AD554" si="1732">AC553-Y553</f>
        <v>0</v>
      </c>
      <c r="AE553" s="34">
        <f>AD553*$G$8</f>
        <v>0</v>
      </c>
      <c r="AG553" s="13"/>
      <c r="AH553" s="15">
        <f t="shared" ref="AH553:AH554" si="1733">AG553-AC553</f>
        <v>0</v>
      </c>
      <c r="AI553" s="34">
        <f>AH553*$G$8</f>
        <v>0</v>
      </c>
      <c r="AJ553" s="28"/>
      <c r="AK553" s="13"/>
      <c r="AL553" s="15">
        <f t="shared" ref="AL553:AL554" si="1734">AK553-AG553</f>
        <v>0</v>
      </c>
      <c r="AM553" s="34">
        <f>AL553*$G$8</f>
        <v>0</v>
      </c>
      <c r="AN553" s="28"/>
      <c r="AO553" s="13"/>
      <c r="AP553" s="15">
        <f t="shared" ref="AP553:AP554" si="1735">AO553-AK553</f>
        <v>0</v>
      </c>
      <c r="AQ553" s="34">
        <f>AP553*$G$8</f>
        <v>0</v>
      </c>
      <c r="AR553" s="28"/>
      <c r="AS553" s="15"/>
      <c r="AT553" s="15">
        <f t="shared" ref="AT553:AT554" si="1736">AS553-AO553</f>
        <v>0</v>
      </c>
      <c r="AU553" s="34">
        <f>AT553*$G$8</f>
        <v>0</v>
      </c>
      <c r="AV553" s="15"/>
      <c r="AW553" s="13"/>
      <c r="AX553" s="15">
        <f>AW553-AS553</f>
        <v>0</v>
      </c>
      <c r="AY553" s="34">
        <f>AX553*$G$8</f>
        <v>0</v>
      </c>
      <c r="AZ553" s="28"/>
      <c r="BA553" s="15"/>
      <c r="BB553" s="15">
        <f>BA553-AW553</f>
        <v>0</v>
      </c>
      <c r="BC553" s="34">
        <f>BB553*$G$8</f>
        <v>0</v>
      </c>
      <c r="BD553" s="15"/>
      <c r="BE553" s="40">
        <f t="shared" ref="BE553:BG553" si="1737">J553+N553+R553+V553+Z553+AD553+AH553+AL553+AP553+AT553+AX553+BB553</f>
        <v>0</v>
      </c>
      <c r="BF553" s="41">
        <f t="shared" si="1737"/>
        <v>0</v>
      </c>
      <c r="BG553" s="34">
        <f t="shared" si="1737"/>
        <v>0</v>
      </c>
      <c r="BH553" s="35">
        <f t="shared" si="1731"/>
        <v>0</v>
      </c>
    </row>
    <row r="554" ht="14.25" customHeight="1" spans="1:60" x14ac:dyDescent="0.25">
      <c r="A554" s="29">
        <v>74</v>
      </c>
      <c r="B554" s="14"/>
      <c r="C554" s="2" t="s">
        <v>161</v>
      </c>
      <c r="D554" s="14" t="s">
        <v>47</v>
      </c>
      <c r="E554" s="2" t="s">
        <v>48</v>
      </c>
      <c r="F554" s="13">
        <v>17.98</v>
      </c>
      <c r="G554" s="28">
        <v>18.56</v>
      </c>
      <c r="H554" s="34">
        <f>'2018'!BH554</f>
        <v>0</v>
      </c>
      <c r="I554" s="13">
        <v>110</v>
      </c>
      <c r="J554" s="15"/>
      <c r="K554" s="15"/>
      <c r="L554" s="28"/>
      <c r="Q554" s="13"/>
      <c r="R554" s="15"/>
      <c r="S554" s="15"/>
      <c r="T554" s="28"/>
      <c r="Y554" s="13">
        <v>110</v>
      </c>
      <c r="Z554" s="15">
        <f>Y554-'2018'!AO554</f>
        <v>0</v>
      </c>
      <c r="AA554" s="34">
        <f>Z554*$F$10</f>
        <v>0</v>
      </c>
      <c r="AB554" s="28"/>
      <c r="AC554" s="15">
        <v>116</v>
      </c>
      <c r="AD554" s="15">
        <f t="shared" si="1732"/>
        <v>6</v>
      </c>
      <c r="AE554" s="34">
        <f>AD554*$F$10</f>
        <v>107.88</v>
      </c>
      <c r="AF554" s="133">
        <f>107.88+28.12</f>
        <v>136</v>
      </c>
      <c r="AG554" s="13">
        <v>124</v>
      </c>
      <c r="AH554" s="15">
        <f t="shared" si="1733"/>
        <v>8</v>
      </c>
      <c r="AI554" s="45">
        <f>AH554*$G$10</f>
        <v>148.48</v>
      </c>
      <c r="AJ554" s="134">
        <v>200</v>
      </c>
      <c r="AK554" s="13">
        <v>132</v>
      </c>
      <c r="AL554" s="15">
        <f t="shared" si="1734"/>
        <v>8</v>
      </c>
      <c r="AM554" s="45">
        <f>AL554*$G$10</f>
        <v>148.48</v>
      </c>
      <c r="AN554" s="134">
        <f>68.84+31.16</f>
        <v>100</v>
      </c>
      <c r="AO554" s="13">
        <v>137</v>
      </c>
      <c r="AP554" s="15">
        <f t="shared" si="1735"/>
        <v>5</v>
      </c>
      <c r="AQ554" s="45">
        <f>AP554*$G$10</f>
        <v>92.8</v>
      </c>
      <c r="AR554" s="28"/>
      <c r="AS554" s="13">
        <v>137</v>
      </c>
      <c r="AT554" s="15">
        <f t="shared" si="1736"/>
        <v>0</v>
      </c>
      <c r="AU554" s="45">
        <f>AT554*$G$10</f>
        <v>0</v>
      </c>
      <c r="AV554" s="15"/>
      <c r="AW554" s="13">
        <v>137</v>
      </c>
      <c r="AX554" s="15"/>
      <c r="AY554" s="15"/>
      <c r="AZ554" s="28"/>
      <c r="BA554" s="15">
        <v>137</v>
      </c>
      <c r="BB554" s="15"/>
      <c r="BC554" s="15"/>
      <c r="BD554" s="15"/>
      <c r="BE554" s="40">
        <f t="shared" ref="BE554:BG554" si="1738">J554+N554+R554+V554+Z554+AD554+AH554+AL554+AP554+AT554+AX554+BB554</f>
        <v>27</v>
      </c>
      <c r="BF554" s="41">
        <f t="shared" si="1738"/>
        <v>497.64</v>
      </c>
      <c r="BG554" s="34">
        <f t="shared" si="1738"/>
        <v>436</v>
      </c>
      <c r="BH554" s="35">
        <f t="shared" si="1731"/>
        <v>61.64</v>
      </c>
    </row>
    <row r="555" ht="14.25" customHeight="1" spans="1:60" x14ac:dyDescent="0.25">
      <c r="A555" s="29">
        <v>74</v>
      </c>
      <c r="B555" s="14"/>
      <c r="C555" s="2" t="s">
        <v>107</v>
      </c>
      <c r="D555" s="14" t="s">
        <v>47</v>
      </c>
      <c r="E555" s="2" t="s">
        <v>49</v>
      </c>
      <c r="F555" s="41">
        <v>500</v>
      </c>
      <c r="G555" s="28"/>
      <c r="H555" s="34">
        <f>'2018'!BH555</f>
        <v>0</v>
      </c>
      <c r="I555" s="13"/>
      <c r="J555" s="15"/>
      <c r="K555" s="15"/>
      <c r="L555" s="28"/>
      <c r="Q555" s="13"/>
      <c r="R555" s="15"/>
      <c r="S555" s="15"/>
      <c r="T555" s="28"/>
      <c r="Y555" s="13"/>
      <c r="Z555" s="15"/>
      <c r="AA555" s="15"/>
      <c r="AB555" s="28"/>
      <c r="AG555" s="13"/>
      <c r="AH555" s="15"/>
      <c r="AI555" s="15"/>
      <c r="AJ555" s="28"/>
      <c r="AK555" s="13"/>
      <c r="AL555" s="15"/>
      <c r="AM555" s="34"/>
      <c r="AN555" s="28"/>
      <c r="AO555" s="13"/>
      <c r="AP555" s="15"/>
      <c r="AQ555" s="34"/>
      <c r="AR555" s="28"/>
      <c r="AS555" s="15"/>
      <c r="AT555" s="15"/>
      <c r="AU555" s="15"/>
      <c r="AV555" s="15"/>
      <c r="AW555" s="13"/>
      <c r="AX555" s="15"/>
      <c r="AY555" s="15"/>
      <c r="AZ555" s="28"/>
      <c r="BA555" s="15"/>
      <c r="BB555" s="15"/>
      <c r="BC555" s="15"/>
      <c r="BD555" s="15"/>
      <c r="BE555" s="14"/>
      <c r="BF555" s="41">
        <f t="shared" ref="BF555:BG555" si="1739">K555+O555+S555+W555+AA555+AE555+AI555+AM555+AQ555+AU555+AY555+BC555</f>
        <v>0</v>
      </c>
      <c r="BG555" s="34">
        <f t="shared" si="1739"/>
        <v>0</v>
      </c>
      <c r="BH555" s="35">
        <f t="shared" si="1731"/>
        <v>0</v>
      </c>
    </row>
    <row r="556" ht="14.25" customHeight="1" spans="1:60" x14ac:dyDescent="0.25">
      <c r="A556" s="29">
        <v>74</v>
      </c>
      <c r="B556" s="14"/>
      <c r="C556" s="2" t="s">
        <v>263</v>
      </c>
      <c r="D556" s="14" t="s">
        <v>50</v>
      </c>
      <c r="E556" s="2" t="s">
        <v>49</v>
      </c>
      <c r="F556" s="41">
        <v>1200</v>
      </c>
      <c r="G556" s="28"/>
      <c r="H556" s="34">
        <f>'2018'!BH556</f>
        <v>0.0036</v>
      </c>
      <c r="I556" s="13"/>
      <c r="J556" s="15"/>
      <c r="K556" s="15"/>
      <c r="L556" s="28"/>
      <c r="Q556" s="13"/>
      <c r="R556" s="15"/>
      <c r="S556" s="15"/>
      <c r="T556" s="28"/>
      <c r="Y556" s="13"/>
      <c r="Z556" s="15"/>
      <c r="AA556" s="15"/>
      <c r="AB556" s="28"/>
      <c r="AE556" s="34">
        <f>B553*$F$12</f>
        <v>5964</v>
      </c>
      <c r="AF556" s="133">
        <v>5964</v>
      </c>
      <c r="AG556" s="13"/>
      <c r="AH556" s="15"/>
      <c r="AI556" s="15"/>
      <c r="AJ556" s="38"/>
      <c r="AK556" s="13"/>
      <c r="AL556" s="15"/>
      <c r="AM556" s="15"/>
      <c r="AN556" s="28"/>
      <c r="AO556" s="13"/>
      <c r="AP556" s="15"/>
      <c r="AQ556" s="15"/>
      <c r="AR556" s="28"/>
      <c r="AS556" s="15"/>
      <c r="AT556" s="15"/>
      <c r="AU556" s="15"/>
      <c r="AV556" s="15"/>
      <c r="AW556" s="13"/>
      <c r="AX556" s="15"/>
      <c r="AY556" s="15"/>
      <c r="AZ556" s="28"/>
      <c r="BA556" s="15"/>
      <c r="BB556" s="15"/>
      <c r="BC556" s="15"/>
      <c r="BD556" s="15"/>
      <c r="BE556" s="14"/>
      <c r="BF556" s="41">
        <f t="shared" ref="BF556:BG556" si="1740">K556+O556+S556+W556+AA556+AE556+AI556+AM556+AQ556+AU556+AY556+BC556</f>
        <v>5964</v>
      </c>
      <c r="BG556" s="34">
        <f t="shared" si="1740"/>
        <v>5964</v>
      </c>
      <c r="BH556" s="35">
        <f t="shared" si="1731"/>
        <v>0.0036</v>
      </c>
    </row>
    <row r="557" ht="14.25" customHeight="1" spans="1:60" x14ac:dyDescent="0.25">
      <c r="A557" s="29">
        <v>74</v>
      </c>
      <c r="B557" s="14"/>
      <c r="D557" s="14" t="s">
        <v>51</v>
      </c>
      <c r="E557" s="2" t="s">
        <v>49</v>
      </c>
      <c r="F557" s="41">
        <v>1000</v>
      </c>
      <c r="G557" s="28"/>
      <c r="H557" s="34">
        <f>'2018'!BH557</f>
        <v>0</v>
      </c>
      <c r="I557" s="13"/>
      <c r="J557" s="15"/>
      <c r="K557" s="15"/>
      <c r="L557" s="28"/>
      <c r="Q557" s="13"/>
      <c r="R557" s="15"/>
      <c r="S557" s="15"/>
      <c r="T557" s="28"/>
      <c r="Y557" s="13"/>
      <c r="Z557" s="15"/>
      <c r="AA557" s="15"/>
      <c r="AB557" s="28"/>
      <c r="AE557" s="34">
        <f>$F$21</f>
        <v>1000</v>
      </c>
      <c r="AF557" s="133">
        <v>1000</v>
      </c>
      <c r="AG557" s="13"/>
      <c r="AH557" s="15"/>
      <c r="AI557" s="15"/>
      <c r="AJ557" s="28"/>
      <c r="AK557" s="13"/>
      <c r="AL557" s="15"/>
      <c r="AM557" s="15"/>
      <c r="AN557" s="28"/>
      <c r="AO557" s="13"/>
      <c r="AP557" s="15"/>
      <c r="AQ557" s="15"/>
      <c r="AR557" s="28"/>
      <c r="AS557" s="15"/>
      <c r="AT557" s="15"/>
      <c r="AU557" s="15"/>
      <c r="AV557" s="15"/>
      <c r="AW557" s="13"/>
      <c r="AX557" s="15"/>
      <c r="AY557" s="15"/>
      <c r="AZ557" s="28"/>
      <c r="BA557" s="15"/>
      <c r="BB557" s="15"/>
      <c r="BC557" s="15"/>
      <c r="BD557" s="15"/>
      <c r="BE557" s="14"/>
      <c r="BF557" s="41">
        <f t="shared" ref="BF557:BG557" si="1741">K557+O557+S557+W557+AA557+AE557+AI557+AM557+AQ557+AU557+AY557+BC557</f>
        <v>1000</v>
      </c>
      <c r="BG557" s="34">
        <f t="shared" si="1741"/>
        <v>1000</v>
      </c>
      <c r="BH557" s="35">
        <f t="shared" si="1731"/>
        <v>0</v>
      </c>
    </row>
    <row r="558" ht="14.25" customHeight="1" spans="1:60" x14ac:dyDescent="0.25">
      <c r="A558" s="29">
        <v>74</v>
      </c>
      <c r="B558" s="14"/>
      <c r="D558" s="14" t="s">
        <v>52</v>
      </c>
      <c r="E558" s="2" t="s">
        <v>39</v>
      </c>
      <c r="F558" s="41">
        <v>500</v>
      </c>
      <c r="G558" s="28"/>
      <c r="H558" s="34">
        <f>'2018'!BH558</f>
        <v>0</v>
      </c>
      <c r="I558" s="13"/>
      <c r="J558" s="15"/>
      <c r="K558" s="15"/>
      <c r="L558" s="28"/>
      <c r="Q558" s="13"/>
      <c r="R558" s="15"/>
      <c r="S558" s="15"/>
      <c r="T558" s="28"/>
      <c r="Y558" s="13"/>
      <c r="Z558" s="15"/>
      <c r="AA558" s="34">
        <f>$F$14</f>
        <v>500</v>
      </c>
      <c r="AB558" s="28"/>
      <c r="AF558" s="133">
        <v>500</v>
      </c>
      <c r="AG558" s="13"/>
      <c r="AH558" s="15"/>
      <c r="AI558" s="15"/>
      <c r="AJ558" s="38"/>
      <c r="AK558" s="13"/>
      <c r="AL558" s="15"/>
      <c r="AM558" s="15"/>
      <c r="AN558" s="28"/>
      <c r="AO558" s="13"/>
      <c r="AP558" s="15"/>
      <c r="AQ558" s="15"/>
      <c r="AR558" s="28"/>
      <c r="AS558" s="15"/>
      <c r="AT558" s="15"/>
      <c r="AU558" s="15"/>
      <c r="AV558" s="15"/>
      <c r="AW558" s="13"/>
      <c r="AX558" s="15"/>
      <c r="AY558" s="15"/>
      <c r="AZ558" s="28"/>
      <c r="BA558" s="15"/>
      <c r="BB558" s="15"/>
      <c r="BC558" s="15"/>
      <c r="BD558" s="15"/>
      <c r="BE558" s="14"/>
      <c r="BF558" s="41">
        <f t="shared" ref="BF558:BG558" si="1742">K558+O558+S558+W558+AA558+AE558+AI558+AM558+AQ558+AU558+AY558+BC558</f>
        <v>500</v>
      </c>
      <c r="BG558" s="34">
        <f t="shared" si="1742"/>
        <v>500</v>
      </c>
      <c r="BH558" s="35">
        <f t="shared" si="1731"/>
        <v>0</v>
      </c>
    </row>
    <row r="559" ht="14.25" customHeight="1" spans="1:62" x14ac:dyDescent="0.25">
      <c r="A559" s="88" t="s">
        <v>264</v>
      </c>
      <c r="B559" s="21"/>
      <c r="C559" s="22" t="s">
        <v>53</v>
      </c>
      <c r="D559" s="21"/>
      <c r="E559" s="22"/>
      <c r="F559" s="20"/>
      <c r="G559" s="23"/>
      <c r="H559" s="51">
        <f>SUM(H552:H558)</f>
        <v>0.0036</v>
      </c>
      <c r="I559" s="52"/>
      <c r="J559" s="53"/>
      <c r="K559" s="51">
        <f t="shared" ref="K559:L559" si="1743">SUM(K552:K558)</f>
        <v>0</v>
      </c>
      <c r="L559" s="68">
        <f t="shared" si="1743"/>
        <v>0</v>
      </c>
      <c r="M559" s="53"/>
      <c r="N559" s="53"/>
      <c r="O559" s="51">
        <f t="shared" ref="O559:P559" si="1744">SUM(O553:O558)</f>
        <v>0</v>
      </c>
      <c r="P559" s="51">
        <f t="shared" si="1744"/>
        <v>0</v>
      </c>
      <c r="Q559" s="52"/>
      <c r="R559" s="53"/>
      <c r="S559" s="51">
        <f t="shared" ref="S559:T559" si="1745">SUM(S553:S558)</f>
        <v>0</v>
      </c>
      <c r="T559" s="68">
        <f t="shared" si="1745"/>
        <v>0</v>
      </c>
      <c r="U559" s="53"/>
      <c r="V559" s="53"/>
      <c r="W559" s="51">
        <f t="shared" ref="W559:X559" si="1746">SUM(W553:W558)</f>
        <v>0</v>
      </c>
      <c r="X559" s="51">
        <f t="shared" si="1746"/>
        <v>0</v>
      </c>
      <c r="Y559" s="52"/>
      <c r="Z559" s="53"/>
      <c r="AA559" s="51">
        <f t="shared" ref="AA559:AB559" si="1747">SUM(AA553:AA558)</f>
        <v>500</v>
      </c>
      <c r="AB559" s="68">
        <f t="shared" si="1747"/>
        <v>0</v>
      </c>
      <c r="AC559" s="53"/>
      <c r="AD559" s="53"/>
      <c r="AE559" s="51">
        <f t="shared" ref="AE559:AF559" si="1748">SUM(AE553:AE558)</f>
        <v>7071.88</v>
      </c>
      <c r="AF559" s="51">
        <f t="shared" si="1748"/>
        <v>7600</v>
      </c>
      <c r="AG559" s="52"/>
      <c r="AH559" s="53"/>
      <c r="AI559" s="51">
        <f t="shared" ref="AI559:AJ559" si="1749">SUM(AI553:AI558)</f>
        <v>148.48</v>
      </c>
      <c r="AJ559" s="68">
        <f t="shared" si="1749"/>
        <v>200</v>
      </c>
      <c r="AK559" s="52"/>
      <c r="AL559" s="53"/>
      <c r="AM559" s="51">
        <f t="shared" ref="AM559:AN559" si="1750">SUM(AM553:AM558)</f>
        <v>148.48</v>
      </c>
      <c r="AN559" s="68">
        <f t="shared" si="1750"/>
        <v>100</v>
      </c>
      <c r="AO559" s="52"/>
      <c r="AP559" s="53"/>
      <c r="AQ559" s="51">
        <f t="shared" ref="AQ559:AR559" si="1751">SUM(AQ552:AQ558)</f>
        <v>92.8</v>
      </c>
      <c r="AR559" s="68">
        <f t="shared" si="1751"/>
        <v>0</v>
      </c>
      <c r="AS559" s="53"/>
      <c r="AT559" s="53"/>
      <c r="AU559" s="51">
        <f t="shared" ref="AU559:AV559" si="1752">SUM(AU552:AU558)</f>
        <v>0</v>
      </c>
      <c r="AV559" s="68">
        <f t="shared" si="1752"/>
        <v>0</v>
      </c>
      <c r="AW559" s="52"/>
      <c r="AX559" s="53"/>
      <c r="AY559" s="51">
        <f t="shared" ref="AY559:AZ559" si="1753">SUM(AY552:AY558)</f>
        <v>0</v>
      </c>
      <c r="AZ559" s="68">
        <f t="shared" si="1753"/>
        <v>0</v>
      </c>
      <c r="BA559" s="53"/>
      <c r="BB559" s="53"/>
      <c r="BC559" s="51">
        <f t="shared" ref="BC559:BD559" si="1754">SUM(BC552:BC558)</f>
        <v>0</v>
      </c>
      <c r="BD559" s="68">
        <f t="shared" si="1754"/>
        <v>0</v>
      </c>
      <c r="BE559" s="69"/>
      <c r="BF559" s="70">
        <f t="shared" ref="BF559:BH559" si="1755">SUM(BF552:BF558)</f>
        <v>7961.64</v>
      </c>
      <c r="BG559" s="71">
        <f t="shared" si="1755"/>
        <v>7900</v>
      </c>
      <c r="BH559" s="72">
        <f t="shared" si="1755"/>
        <v>61.6436</v>
      </c>
      <c r="BI559" s="34">
        <f>H559+BF559-BG559</f>
        <v>61.6436</v>
      </c>
      <c r="BJ559" s="34">
        <f>BH559-BI559</f>
        <v>0</v>
      </c>
    </row>
    <row r="560" ht="14.25" customHeight="1" spans="1:60" x14ac:dyDescent="0.25">
      <c r="A560" s="29">
        <v>75</v>
      </c>
      <c r="B560" s="14"/>
      <c r="D560" s="14" t="s">
        <v>379</v>
      </c>
      <c r="F560" s="13"/>
      <c r="G560" s="28"/>
      <c r="H560" s="34">
        <f>'2018'!BH560</f>
      </c>
      <c r="I560" s="13"/>
      <c r="J560" s="15"/>
      <c r="K560" s="15"/>
      <c r="L560" s="28"/>
      <c r="Q560" s="13"/>
      <c r="R560" s="15"/>
      <c r="S560" s="15"/>
      <c r="T560" s="28"/>
      <c r="Y560" s="13"/>
      <c r="Z560" s="15"/>
      <c r="AA560" s="15"/>
      <c r="AB560" s="28"/>
      <c r="AG560" s="13"/>
      <c r="AH560" s="15"/>
      <c r="AI560" s="15"/>
      <c r="AJ560" s="28"/>
      <c r="AK560" s="13"/>
      <c r="AL560" s="15"/>
      <c r="AM560" s="15"/>
      <c r="AN560" s="28"/>
      <c r="AO560" s="13"/>
      <c r="AP560" s="15"/>
      <c r="AQ560" s="15"/>
      <c r="AR560" s="28"/>
      <c r="AW560" s="13"/>
      <c r="AX560" s="15"/>
      <c r="AY560" s="15"/>
      <c r="AZ560" s="28"/>
      <c r="BE560" s="14"/>
      <c r="BF560" s="41">
        <f t="shared" ref="BF560:BG560" si="1756">K560+O560+S560+W560+AA560+AE560+AI560+AM560+AQ560+AU560+AY560+BC560</f>
        <v>0</v>
      </c>
      <c r="BG560" s="34">
        <f t="shared" si="1756"/>
        <v>0</v>
      </c>
      <c r="BH560" s="35">
        <f t="shared" ref="BH560:BH566" si="1757">H560+BF560-BG560</f>
        <v>0</v>
      </c>
    </row>
    <row r="561" ht="14.25" customHeight="1" spans="1:60" x14ac:dyDescent="0.25">
      <c r="A561" s="2">
        <v>75</v>
      </c>
      <c r="B561" s="14">
        <v>4.15</v>
      </c>
      <c r="C561" s="2" t="s">
        <v>265</v>
      </c>
      <c r="D561" s="14" t="s">
        <v>44</v>
      </c>
      <c r="E561" s="2" t="s">
        <v>45</v>
      </c>
      <c r="F561" s="13">
        <v>2.49</v>
      </c>
      <c r="G561" s="35">
        <v>2.5</v>
      </c>
      <c r="H561" s="104">
        <f>'2018'!BH561</f>
        <v>0</v>
      </c>
      <c r="I561" s="13"/>
      <c r="J561" s="15"/>
      <c r="K561" s="34">
        <f>J561*$F$8</f>
        <v>0</v>
      </c>
      <c r="L561" s="28"/>
      <c r="N561" s="15">
        <f>M561-I561</f>
        <v>0</v>
      </c>
      <c r="O561" s="34">
        <f>N561*$F$8</f>
        <v>0</v>
      </c>
      <c r="Q561" s="13"/>
      <c r="R561" s="15">
        <f>Q561-M561</f>
        <v>0</v>
      </c>
      <c r="S561" s="34">
        <f>R561*$F$8</f>
        <v>0</v>
      </c>
      <c r="T561" s="28"/>
      <c r="V561" s="15">
        <f>U561-Q561</f>
        <v>0</v>
      </c>
      <c r="Y561" s="13"/>
      <c r="Z561" s="15">
        <f>Y561-U561</f>
        <v>0</v>
      </c>
      <c r="AA561" s="34">
        <f>Z561*$F$8</f>
        <v>0</v>
      </c>
      <c r="AB561" s="28"/>
      <c r="AC561" s="15"/>
      <c r="AD561" s="15">
        <f t="shared" ref="AD561:AD562" si="1758">AC561-Y561</f>
        <v>0</v>
      </c>
      <c r="AE561" s="34">
        <f>AD561*$G$8</f>
        <v>0</v>
      </c>
      <c r="AG561" s="13"/>
      <c r="AH561" s="15">
        <f t="shared" ref="AH561:AH562" si="1759">AG561-AC561</f>
        <v>0</v>
      </c>
      <c r="AI561" s="34">
        <f>AH561*$G$8</f>
        <v>0</v>
      </c>
      <c r="AJ561" s="28"/>
      <c r="AK561" s="13"/>
      <c r="AL561" s="15">
        <f t="shared" ref="AL561:AL562" si="1760">AK561-AG561</f>
        <v>0</v>
      </c>
      <c r="AM561" s="34">
        <f>AL561*$G$8</f>
        <v>0</v>
      </c>
      <c r="AN561" s="28"/>
      <c r="AO561" s="13"/>
      <c r="AP561" s="15">
        <f t="shared" ref="AP561:AP562" si="1761">AO561-AK561</f>
        <v>0</v>
      </c>
      <c r="AQ561" s="34">
        <f>AP561*$G$8</f>
        <v>0</v>
      </c>
      <c r="AR561" s="28"/>
      <c r="AS561" s="15"/>
      <c r="AT561" s="15">
        <f t="shared" ref="AT561:AT562" si="1762">AS561-AO561</f>
        <v>0</v>
      </c>
      <c r="AU561" s="34">
        <f>AT561*$G$8</f>
        <v>0</v>
      </c>
      <c r="AV561" s="15"/>
      <c r="AW561" s="13"/>
      <c r="AX561" s="15">
        <f>AW561-AS561</f>
        <v>0</v>
      </c>
      <c r="AY561" s="34">
        <f>AX561*$G$8</f>
        <v>0</v>
      </c>
      <c r="AZ561" s="28"/>
      <c r="BA561" s="15"/>
      <c r="BB561" s="15">
        <f>BA561-AW561</f>
        <v>0</v>
      </c>
      <c r="BC561" s="34">
        <f>BB561*$G$8</f>
        <v>0</v>
      </c>
      <c r="BD561" s="15"/>
      <c r="BE561" s="40">
        <f t="shared" ref="BE561:BG561" si="1763">J561+N561+R561+V561+Z561+AD561+AH561+AL561+AP561+AT561+AX561+BB561</f>
        <v>0</v>
      </c>
      <c r="BF561" s="41">
        <f t="shared" si="1763"/>
        <v>0</v>
      </c>
      <c r="BG561" s="34">
        <f t="shared" si="1763"/>
        <v>0</v>
      </c>
      <c r="BH561" s="35">
        <f t="shared" si="1757"/>
        <v>0</v>
      </c>
    </row>
    <row r="562" ht="14.25" customHeight="1" spans="1:60" x14ac:dyDescent="0.25">
      <c r="A562" s="29">
        <v>75</v>
      </c>
      <c r="B562" s="14"/>
      <c r="C562" s="2" t="s">
        <v>61</v>
      </c>
      <c r="D562" s="14" t="s">
        <v>47</v>
      </c>
      <c r="E562" s="2" t="s">
        <v>48</v>
      </c>
      <c r="F562" s="13">
        <v>17.98</v>
      </c>
      <c r="G562" s="28">
        <v>18.56</v>
      </c>
      <c r="H562" s="34">
        <f>'2018'!BH562</f>
        <v>0</v>
      </c>
      <c r="I562" s="13">
        <v>61</v>
      </c>
      <c r="J562" s="15"/>
      <c r="K562" s="15"/>
      <c r="L562" s="28"/>
      <c r="Q562" s="13"/>
      <c r="R562" s="15"/>
      <c r="S562" s="15"/>
      <c r="T562" s="28"/>
      <c r="Y562" s="13">
        <v>62</v>
      </c>
      <c r="Z562" s="15">
        <f>Y562-'2018'!AO562</f>
        <v>1</v>
      </c>
      <c r="AA562" s="34">
        <f>Z562*$F$10</f>
        <v>17.98</v>
      </c>
      <c r="AB562" s="28"/>
      <c r="AC562" s="15">
        <v>65</v>
      </c>
      <c r="AD562" s="15">
        <f t="shared" si="1758"/>
        <v>3</v>
      </c>
      <c r="AE562" s="34">
        <f>AD562*$F$10</f>
        <v>53.94</v>
      </c>
      <c r="AF562" s="138">
        <v>71.92</v>
      </c>
      <c r="AG562" s="13">
        <v>69</v>
      </c>
      <c r="AH562" s="15">
        <f t="shared" si="1759"/>
        <v>4</v>
      </c>
      <c r="AI562" s="45">
        <f>AH562*$G$10</f>
        <v>74.24</v>
      </c>
      <c r="AJ562" s="134">
        <v>100</v>
      </c>
      <c r="AK562" s="13">
        <v>71</v>
      </c>
      <c r="AL562" s="15">
        <f t="shared" si="1760"/>
        <v>2</v>
      </c>
      <c r="AM562" s="45">
        <f>AL562*$G$10</f>
        <v>37.12</v>
      </c>
      <c r="AN562" s="139">
        <f>11.36+1.72</f>
        <v>13.08</v>
      </c>
      <c r="AO562" s="13">
        <v>71</v>
      </c>
      <c r="AP562" s="15">
        <f t="shared" si="1761"/>
        <v>0</v>
      </c>
      <c r="AQ562" s="45">
        <f>AP562*$G$10</f>
        <v>0</v>
      </c>
      <c r="AR562" s="28"/>
      <c r="AS562" s="13">
        <v>71</v>
      </c>
      <c r="AT562" s="15">
        <f t="shared" si="1762"/>
        <v>0</v>
      </c>
      <c r="AU562" s="45">
        <f>AT562*$G$10</f>
        <v>0</v>
      </c>
      <c r="AV562" s="15"/>
      <c r="AW562" s="13">
        <v>71</v>
      </c>
      <c r="AX562" s="15"/>
      <c r="AY562" s="15"/>
      <c r="AZ562" s="28"/>
      <c r="BA562" s="15">
        <v>71</v>
      </c>
      <c r="BB562" s="15"/>
      <c r="BC562" s="15"/>
      <c r="BD562" s="15"/>
      <c r="BE562" s="40">
        <f t="shared" ref="BE562:BG562" si="1764">J562+N562+R562+V562+Z562+AD562+AH562+AL562+AP562+AT562+AX562+BB562</f>
        <v>10</v>
      </c>
      <c r="BF562" s="41">
        <f t="shared" si="1764"/>
        <v>183.28</v>
      </c>
      <c r="BG562" s="34">
        <f t="shared" si="1764"/>
        <v>185</v>
      </c>
      <c r="BH562" s="35">
        <f t="shared" si="1757"/>
        <v>-1.72</v>
      </c>
    </row>
    <row r="563" ht="14.25" customHeight="1" spans="1:60" x14ac:dyDescent="0.25">
      <c r="A563" s="29">
        <v>75</v>
      </c>
      <c r="B563" s="14"/>
      <c r="C563" s="2" t="s">
        <v>68</v>
      </c>
      <c r="D563" s="14" t="s">
        <v>47</v>
      </c>
      <c r="E563" s="2" t="s">
        <v>49</v>
      </c>
      <c r="F563" s="41">
        <v>500</v>
      </c>
      <c r="G563" s="28"/>
      <c r="H563" s="34">
        <f>'2018'!BH563</f>
        <v>0</v>
      </c>
      <c r="I563" s="13"/>
      <c r="J563" s="15"/>
      <c r="K563" s="15"/>
      <c r="L563" s="28"/>
      <c r="Q563" s="13"/>
      <c r="R563" s="15"/>
      <c r="S563" s="15"/>
      <c r="T563" s="28"/>
      <c r="Y563" s="13"/>
      <c r="Z563" s="15"/>
      <c r="AA563" s="15"/>
      <c r="AB563" s="28"/>
      <c r="AG563" s="13"/>
      <c r="AH563" s="15"/>
      <c r="AI563" s="15"/>
      <c r="AJ563" s="28"/>
      <c r="AK563" s="13"/>
      <c r="AL563" s="15"/>
      <c r="AM563" s="34"/>
      <c r="AN563" s="28"/>
      <c r="AO563" s="13"/>
      <c r="AP563" s="15"/>
      <c r="AQ563" s="34"/>
      <c r="AR563" s="28"/>
      <c r="AS563" s="15"/>
      <c r="AT563" s="15"/>
      <c r="AU563" s="15"/>
      <c r="AV563" s="15"/>
      <c r="AW563" s="13"/>
      <c r="AX563" s="15"/>
      <c r="AY563" s="15"/>
      <c r="AZ563" s="28"/>
      <c r="BA563" s="15"/>
      <c r="BB563" s="15"/>
      <c r="BC563" s="15"/>
      <c r="BD563" s="15"/>
      <c r="BE563" s="14"/>
      <c r="BF563" s="41">
        <f t="shared" ref="BF563:BG563" si="1765">K563+O563+S563+W563+AA563+AE563+AI563+AM563+AQ563+AU563+AY563+BC563</f>
        <v>0</v>
      </c>
      <c r="BG563" s="34">
        <f t="shared" si="1765"/>
        <v>0</v>
      </c>
      <c r="BH563" s="35">
        <f t="shared" si="1757"/>
        <v>0</v>
      </c>
    </row>
    <row r="564" ht="14.25" customHeight="1" spans="1:60" x14ac:dyDescent="0.25">
      <c r="A564" s="29">
        <v>75</v>
      </c>
      <c r="B564" s="14"/>
      <c r="C564" s="2" t="s">
        <v>266</v>
      </c>
      <c r="D564" s="14" t="s">
        <v>50</v>
      </c>
      <c r="E564" s="2" t="s">
        <v>49</v>
      </c>
      <c r="F564" s="41">
        <v>1200</v>
      </c>
      <c r="G564" s="28"/>
      <c r="H564" s="34">
        <f>'2018'!BH564</f>
        <v>0.002000000001</v>
      </c>
      <c r="I564" s="13"/>
      <c r="J564" s="15"/>
      <c r="K564" s="15"/>
      <c r="L564" s="28"/>
      <c r="Q564" s="13"/>
      <c r="R564" s="15"/>
      <c r="S564" s="15"/>
      <c r="T564" s="28"/>
      <c r="Y564" s="13"/>
      <c r="Z564" s="15"/>
      <c r="AA564" s="15"/>
      <c r="AB564" s="28"/>
      <c r="AE564" s="34">
        <f>B561*$F$12</f>
        <v>4980</v>
      </c>
      <c r="AF564" s="133">
        <v>1078.08</v>
      </c>
      <c r="AG564" s="13"/>
      <c r="AH564" s="15"/>
      <c r="AI564" s="15"/>
      <c r="AJ564" s="134">
        <v>2500</v>
      </c>
      <c r="AK564" s="13"/>
      <c r="AL564" s="15"/>
      <c r="AM564" s="15"/>
      <c r="AN564" s="139">
        <v>1401.92</v>
      </c>
      <c r="AO564" s="13"/>
      <c r="AP564" s="15"/>
      <c r="AQ564" s="15"/>
      <c r="AR564" s="28"/>
      <c r="AS564" s="15"/>
      <c r="AT564" s="15"/>
      <c r="AU564" s="15"/>
      <c r="AV564" s="15"/>
      <c r="AW564" s="13"/>
      <c r="AX564" s="15"/>
      <c r="AY564" s="15"/>
      <c r="AZ564" s="28"/>
      <c r="BA564" s="15"/>
      <c r="BB564" s="15"/>
      <c r="BC564" s="15"/>
      <c r="BD564" s="15"/>
      <c r="BE564" s="14"/>
      <c r="BF564" s="41">
        <f t="shared" ref="BF564:BG564" si="1766">K564+O564+S564+W564+AA564+AE564+AI564+AM564+AQ564+AU564+AY564+BC564</f>
        <v>4980</v>
      </c>
      <c r="BG564" s="34">
        <f t="shared" si="1766"/>
        <v>4980</v>
      </c>
      <c r="BH564" s="35">
        <f t="shared" si="1757"/>
        <v>0.002000000001</v>
      </c>
    </row>
    <row r="565" ht="14.25" customHeight="1" spans="1:60" x14ac:dyDescent="0.25">
      <c r="A565" s="29">
        <v>75</v>
      </c>
      <c r="B565" s="14"/>
      <c r="D565" s="14" t="s">
        <v>51</v>
      </c>
      <c r="E565" s="2" t="s">
        <v>49</v>
      </c>
      <c r="F565" s="41">
        <v>1000</v>
      </c>
      <c r="G565" s="28"/>
      <c r="H565" s="34">
        <f>'2018'!BH565</f>
        <v>0</v>
      </c>
      <c r="I565" s="13"/>
      <c r="J565" s="15"/>
      <c r="K565" s="15"/>
      <c r="L565" s="28"/>
      <c r="Q565" s="13"/>
      <c r="R565" s="15"/>
      <c r="S565" s="15"/>
      <c r="T565" s="28"/>
      <c r="Y565" s="13"/>
      <c r="Z565" s="15"/>
      <c r="AA565" s="15"/>
      <c r="AB565" s="28"/>
      <c r="AE565" s="34">
        <f>$F$21</f>
        <v>1000</v>
      </c>
      <c r="AF565" s="133">
        <v>1000</v>
      </c>
      <c r="AG565" s="13"/>
      <c r="AH565" s="15"/>
      <c r="AI565" s="15"/>
      <c r="AJ565" s="28"/>
      <c r="AK565" s="13"/>
      <c r="AL565" s="15"/>
      <c r="AM565" s="15"/>
      <c r="AN565" s="28"/>
      <c r="AO565" s="13"/>
      <c r="AP565" s="15"/>
      <c r="AQ565" s="15"/>
      <c r="AR565" s="28"/>
      <c r="AS565" s="15"/>
      <c r="AT565" s="15"/>
      <c r="AU565" s="15"/>
      <c r="AV565" s="15"/>
      <c r="AW565" s="13"/>
      <c r="AX565" s="15"/>
      <c r="AY565" s="15"/>
      <c r="AZ565" s="28"/>
      <c r="BA565" s="15"/>
      <c r="BB565" s="15"/>
      <c r="BC565" s="15"/>
      <c r="BD565" s="15"/>
      <c r="BE565" s="14"/>
      <c r="BF565" s="41">
        <f t="shared" ref="BF565:BG565" si="1767">K565+O565+S565+W565+AA565+AE565+AI565+AM565+AQ565+AU565+AY565+BC565</f>
        <v>1000</v>
      </c>
      <c r="BG565" s="34">
        <f t="shared" si="1767"/>
        <v>1000</v>
      </c>
      <c r="BH565" s="35">
        <f t="shared" si="1757"/>
        <v>0</v>
      </c>
    </row>
    <row r="566" ht="14.25" customHeight="1" spans="1:60" x14ac:dyDescent="0.25">
      <c r="A566" s="29">
        <v>75</v>
      </c>
      <c r="B566" s="14"/>
      <c r="D566" s="14" t="s">
        <v>52</v>
      </c>
      <c r="E566" s="2" t="s">
        <v>39</v>
      </c>
      <c r="F566" s="41">
        <v>500</v>
      </c>
      <c r="G566" s="28"/>
      <c r="H566" s="34">
        <f>'2018'!BH566</f>
        <v>0</v>
      </c>
      <c r="I566" s="13"/>
      <c r="J566" s="15"/>
      <c r="K566" s="15"/>
      <c r="L566" s="28"/>
      <c r="Q566" s="13"/>
      <c r="R566" s="15"/>
      <c r="S566" s="15"/>
      <c r="T566" s="28"/>
      <c r="Y566" s="13"/>
      <c r="Z566" s="15"/>
      <c r="AA566" s="34">
        <f>$F$14</f>
        <v>500</v>
      </c>
      <c r="AB566" s="35"/>
      <c r="AG566" s="13"/>
      <c r="AH566" s="15"/>
      <c r="AI566" s="15"/>
      <c r="AJ566" s="134">
        <v>500</v>
      </c>
      <c r="AK566" s="13"/>
      <c r="AL566" s="15"/>
      <c r="AM566" s="15"/>
      <c r="AN566" s="28"/>
      <c r="AO566" s="13"/>
      <c r="AP566" s="15"/>
      <c r="AQ566" s="15"/>
      <c r="AR566" s="28"/>
      <c r="AS566" s="15"/>
      <c r="AT566" s="15"/>
      <c r="AU566" s="15"/>
      <c r="AV566" s="15"/>
      <c r="AW566" s="13"/>
      <c r="AX566" s="15"/>
      <c r="AY566" s="15"/>
      <c r="AZ566" s="28"/>
      <c r="BA566" s="15"/>
      <c r="BB566" s="15"/>
      <c r="BC566" s="15"/>
      <c r="BD566" s="15"/>
      <c r="BE566" s="14"/>
      <c r="BF566" s="41">
        <f t="shared" ref="BF566:BG566" si="1768">K566+O566+S566+W566+AA566+AE566+AI566+AM566+AQ566+AU566+AY566+BC566</f>
        <v>500</v>
      </c>
      <c r="BG566" s="34">
        <f t="shared" si="1768"/>
        <v>500</v>
      </c>
      <c r="BH566" s="35">
        <f t="shared" si="1757"/>
        <v>0</v>
      </c>
    </row>
    <row r="567" ht="14.25" customHeight="1" spans="1:62" x14ac:dyDescent="0.25">
      <c r="A567" s="50">
        <v>75</v>
      </c>
      <c r="B567" s="21"/>
      <c r="C567" s="22" t="s">
        <v>53</v>
      </c>
      <c r="D567" s="21"/>
      <c r="E567" s="22"/>
      <c r="F567" s="20"/>
      <c r="G567" s="23"/>
      <c r="H567" s="51">
        <f>SUM(H560:H566)</f>
        <v>0.002000000001</v>
      </c>
      <c r="I567" s="52"/>
      <c r="J567" s="53"/>
      <c r="K567" s="51">
        <f t="shared" ref="K567:L567" si="1769">SUM(K560:K566)</f>
        <v>0</v>
      </c>
      <c r="L567" s="68">
        <f t="shared" si="1769"/>
        <v>0</v>
      </c>
      <c r="M567" s="53"/>
      <c r="N567" s="53"/>
      <c r="O567" s="51">
        <f t="shared" ref="O567:P567" si="1770">SUM(O561:O566)</f>
        <v>0</v>
      </c>
      <c r="P567" s="51">
        <f t="shared" si="1770"/>
        <v>0</v>
      </c>
      <c r="Q567" s="52"/>
      <c r="R567" s="53"/>
      <c r="S567" s="51">
        <f t="shared" ref="S567:T567" si="1771">SUM(S561:S566)</f>
        <v>0</v>
      </c>
      <c r="T567" s="68">
        <f t="shared" si="1771"/>
        <v>0</v>
      </c>
      <c r="U567" s="53"/>
      <c r="V567" s="53"/>
      <c r="W567" s="51">
        <f t="shared" ref="W567:X567" si="1772">SUM(W561:W566)</f>
        <v>0</v>
      </c>
      <c r="X567" s="51">
        <f t="shared" si="1772"/>
        <v>0</v>
      </c>
      <c r="Y567" s="52"/>
      <c r="Z567" s="53"/>
      <c r="AA567" s="51">
        <f t="shared" ref="AA567:AB567" si="1773">SUM(AA561:AA566)</f>
        <v>517.98</v>
      </c>
      <c r="AB567" s="68">
        <f t="shared" si="1773"/>
        <v>0</v>
      </c>
      <c r="AC567" s="53"/>
      <c r="AD567" s="53"/>
      <c r="AE567" s="51">
        <f t="shared" ref="AE567:AF567" si="1774">SUM(AE561:AE566)</f>
        <v>6033.94</v>
      </c>
      <c r="AF567" s="51">
        <f t="shared" si="1774"/>
        <v>2150</v>
      </c>
      <c r="AG567" s="52"/>
      <c r="AH567" s="53"/>
      <c r="AI567" s="51">
        <f t="shared" ref="AI567:AJ567" si="1775">SUM(AI561:AI566)</f>
        <v>74.24</v>
      </c>
      <c r="AJ567" s="68">
        <f t="shared" si="1775"/>
        <v>3100</v>
      </c>
      <c r="AK567" s="52"/>
      <c r="AL567" s="53"/>
      <c r="AM567" s="51">
        <f t="shared" ref="AM567:AN567" si="1776">SUM(AM561:AM566)</f>
        <v>37.12</v>
      </c>
      <c r="AN567" s="68">
        <f t="shared" si="1776"/>
        <v>1415</v>
      </c>
      <c r="AO567" s="52"/>
      <c r="AP567" s="53"/>
      <c r="AQ567" s="51">
        <f t="shared" ref="AQ567:AR567" si="1777">SUM(AQ560:AQ566)</f>
        <v>0</v>
      </c>
      <c r="AR567" s="68">
        <f t="shared" si="1777"/>
        <v>0</v>
      </c>
      <c r="AS567" s="53"/>
      <c r="AT567" s="53"/>
      <c r="AU567" s="51">
        <f t="shared" ref="AU567:AV567" si="1778">SUM(AU560:AU566)</f>
        <v>0</v>
      </c>
      <c r="AV567" s="68">
        <f t="shared" si="1778"/>
        <v>0</v>
      </c>
      <c r="AW567" s="52"/>
      <c r="AX567" s="53"/>
      <c r="AY567" s="51">
        <f t="shared" ref="AY567:AZ567" si="1779">SUM(AY560:AY566)</f>
        <v>0</v>
      </c>
      <c r="AZ567" s="68">
        <f t="shared" si="1779"/>
        <v>0</v>
      </c>
      <c r="BA567" s="53"/>
      <c r="BB567" s="53"/>
      <c r="BC567" s="51">
        <f t="shared" ref="BC567:BD567" si="1780">SUM(BC560:BC566)</f>
        <v>0</v>
      </c>
      <c r="BD567" s="68">
        <f t="shared" si="1780"/>
        <v>0</v>
      </c>
      <c r="BE567" s="69"/>
      <c r="BF567" s="70">
        <f t="shared" ref="BF567:BH567" si="1781">SUM(BF560:BF566)</f>
        <v>6663.28</v>
      </c>
      <c r="BG567" s="71">
        <f t="shared" si="1781"/>
        <v>6665</v>
      </c>
      <c r="BH567" s="72">
        <f t="shared" si="1781"/>
        <v>-1.718</v>
      </c>
      <c r="BI567" s="34">
        <f>H567+BF567-BG567</f>
        <v>-1.718</v>
      </c>
      <c r="BJ567" s="34">
        <f>BH567-BI567</f>
        <v>0</v>
      </c>
    </row>
    <row r="568" ht="14.25" customHeight="1" spans="1:60" x14ac:dyDescent="0.25">
      <c r="A568" s="29">
        <v>76</v>
      </c>
      <c r="B568" s="14"/>
      <c r="D568" s="14" t="s">
        <v>379</v>
      </c>
      <c r="F568" s="13"/>
      <c r="G568" s="28"/>
      <c r="H568" s="34">
        <f>'2018'!BH568</f>
      </c>
      <c r="I568" s="13"/>
      <c r="J568" s="15"/>
      <c r="K568" s="15"/>
      <c r="L568" s="28"/>
      <c r="Q568" s="13"/>
      <c r="R568" s="15"/>
      <c r="S568" s="15"/>
      <c r="T568" s="28"/>
      <c r="Y568" s="13"/>
      <c r="Z568" s="15"/>
      <c r="AA568" s="15"/>
      <c r="AB568" s="28"/>
      <c r="AG568" s="13"/>
      <c r="AH568" s="15"/>
      <c r="AI568" s="15"/>
      <c r="AJ568" s="28"/>
      <c r="AK568" s="13"/>
      <c r="AL568" s="15"/>
      <c r="AM568" s="15"/>
      <c r="AN568" s="28"/>
      <c r="AO568" s="13"/>
      <c r="AP568" s="15"/>
      <c r="AQ568" s="15"/>
      <c r="AR568" s="28"/>
      <c r="AW568" s="13"/>
      <c r="AX568" s="15"/>
      <c r="AY568" s="15"/>
      <c r="AZ568" s="28"/>
      <c r="BE568" s="14"/>
      <c r="BF568" s="41">
        <f t="shared" ref="BF568:BG568" si="1782">K568+O568+S568+W568+AA568+AE568+AI568+AM568+AQ568+AU568+AY568+BC568</f>
        <v>0</v>
      </c>
      <c r="BG568" s="34">
        <f t="shared" si="1782"/>
        <v>0</v>
      </c>
      <c r="BH568" s="35">
        <f t="shared" ref="BH568:BH574" si="1783">H568+BF568-BG568</f>
        <v>0</v>
      </c>
    </row>
    <row r="569" ht="14.25" customHeight="1" spans="1:60" x14ac:dyDescent="0.25">
      <c r="A569" s="2">
        <v>76</v>
      </c>
      <c r="B569" s="14">
        <v>4.15</v>
      </c>
      <c r="C569" s="2" t="s">
        <v>267</v>
      </c>
      <c r="D569" s="14" t="s">
        <v>44</v>
      </c>
      <c r="E569" s="2" t="s">
        <v>45</v>
      </c>
      <c r="F569" s="13">
        <v>2.49</v>
      </c>
      <c r="G569" s="35">
        <v>2.5</v>
      </c>
      <c r="H569" s="104">
        <f>'2018'!BH569</f>
        <v>0</v>
      </c>
      <c r="I569" s="13"/>
      <c r="J569" s="15"/>
      <c r="K569" s="34">
        <f>J569*$F$8</f>
        <v>0</v>
      </c>
      <c r="L569" s="28"/>
      <c r="N569" s="15">
        <f>M569-I569</f>
        <v>0</v>
      </c>
      <c r="O569" s="34">
        <f>N569*$F$8</f>
        <v>0</v>
      </c>
      <c r="Q569" s="13"/>
      <c r="R569" s="15">
        <f>Q569-M569</f>
        <v>0</v>
      </c>
      <c r="S569" s="34">
        <f>R569*$F$8</f>
        <v>0</v>
      </c>
      <c r="T569" s="28"/>
      <c r="V569" s="15">
        <f>U569-Q569</f>
        <v>0</v>
      </c>
      <c r="Y569" s="13"/>
      <c r="Z569" s="15">
        <f>Y569-U569</f>
        <v>0</v>
      </c>
      <c r="AA569" s="34">
        <f>Z569*$F$8</f>
        <v>0</v>
      </c>
      <c r="AB569" s="28"/>
      <c r="AC569" s="15"/>
      <c r="AD569" s="15">
        <f t="shared" ref="AD569:AD570" si="1784">AC569-Y569</f>
        <v>0</v>
      </c>
      <c r="AE569" s="34">
        <f>AD569*$G$8</f>
        <v>0</v>
      </c>
      <c r="AG569" s="13"/>
      <c r="AH569" s="15">
        <f t="shared" ref="AH569:AH570" si="1785">AG569-AC569</f>
        <v>0</v>
      </c>
      <c r="AI569" s="34">
        <f>AH569*$G$8</f>
        <v>0</v>
      </c>
      <c r="AJ569" s="28"/>
      <c r="AK569" s="13"/>
      <c r="AL569" s="15">
        <f t="shared" ref="AL569:AL570" si="1786">AK569-AG569</f>
        <v>0</v>
      </c>
      <c r="AM569" s="34">
        <f>AL569*$G$8</f>
        <v>0</v>
      </c>
      <c r="AN569" s="28"/>
      <c r="AO569" s="13"/>
      <c r="AP569" s="15">
        <f t="shared" ref="AP569:AP570" si="1787">AO569-AK569</f>
        <v>0</v>
      </c>
      <c r="AQ569" s="34">
        <f>AP569*$G$8</f>
        <v>0</v>
      </c>
      <c r="AR569" s="28"/>
      <c r="AS569" s="15"/>
      <c r="AT569" s="15">
        <f t="shared" ref="AT569:AT570" si="1788">AS569-AO569</f>
        <v>0</v>
      </c>
      <c r="AU569" s="34">
        <f>AT569*$G$8</f>
        <v>0</v>
      </c>
      <c r="AV569" s="15"/>
      <c r="AW569" s="13"/>
      <c r="AX569" s="15">
        <f>AW569-AS569</f>
        <v>0</v>
      </c>
      <c r="AY569" s="34">
        <f>AX569*$G$8</f>
        <v>0</v>
      </c>
      <c r="AZ569" s="28"/>
      <c r="BA569" s="15"/>
      <c r="BB569" s="15">
        <f>BA569-AW569</f>
        <v>0</v>
      </c>
      <c r="BC569" s="34">
        <f>BB569*$G$8</f>
        <v>0</v>
      </c>
      <c r="BD569" s="15"/>
      <c r="BE569" s="40">
        <f t="shared" ref="BE569:BG569" si="1789">J569+N569+R569+V569+Z569+AD569+AH569+AL569+AP569+AT569+AX569+BB569</f>
        <v>0</v>
      </c>
      <c r="BF569" s="41">
        <f t="shared" si="1789"/>
        <v>0</v>
      </c>
      <c r="BG569" s="34">
        <f t="shared" si="1789"/>
        <v>0</v>
      </c>
      <c r="BH569" s="35">
        <f t="shared" si="1783"/>
        <v>0</v>
      </c>
    </row>
    <row r="570" ht="14.25" customHeight="1" spans="1:60" x14ac:dyDescent="0.25">
      <c r="A570" s="29">
        <v>76</v>
      </c>
      <c r="B570" s="14"/>
      <c r="C570" s="2" t="s">
        <v>198</v>
      </c>
      <c r="D570" s="14" t="s">
        <v>47</v>
      </c>
      <c r="E570" s="2" t="s">
        <v>48</v>
      </c>
      <c r="F570" s="13">
        <v>17.98</v>
      </c>
      <c r="G570" s="28">
        <v>18.56</v>
      </c>
      <c r="H570" s="34">
        <f>'2018'!BH570</f>
        <v>17.68</v>
      </c>
      <c r="I570" s="13">
        <v>51</v>
      </c>
      <c r="J570" s="15"/>
      <c r="K570" s="15"/>
      <c r="L570" s="28"/>
      <c r="Q570" s="13"/>
      <c r="R570" s="15"/>
      <c r="S570" s="15"/>
      <c r="T570" s="28"/>
      <c r="Y570" s="13">
        <v>51</v>
      </c>
      <c r="Z570" s="15">
        <f>Y570-'2018'!AO570</f>
        <v>0</v>
      </c>
      <c r="AA570" s="34">
        <f>Z570*$F$10</f>
        <v>0</v>
      </c>
      <c r="AB570" s="28"/>
      <c r="AC570" s="15">
        <v>58</v>
      </c>
      <c r="AD570" s="15">
        <f t="shared" si="1784"/>
        <v>7</v>
      </c>
      <c r="AE570" s="34">
        <f>AD570*$F$10</f>
        <v>125.86</v>
      </c>
      <c r="AF570" s="133">
        <v>150</v>
      </c>
      <c r="AG570" s="13">
        <v>58</v>
      </c>
      <c r="AH570" s="15">
        <f t="shared" si="1785"/>
        <v>0</v>
      </c>
      <c r="AI570" s="45">
        <f>AH570*$G$10</f>
        <v>0</v>
      </c>
      <c r="AJ570" s="28"/>
      <c r="AK570" s="13">
        <v>62</v>
      </c>
      <c r="AL570" s="15">
        <f t="shared" si="1786"/>
        <v>4</v>
      </c>
      <c r="AM570" s="45">
        <f>AL570*$G$10</f>
        <v>74.24</v>
      </c>
      <c r="AN570" s="134">
        <v>70</v>
      </c>
      <c r="AO570" s="75">
        <v>62</v>
      </c>
      <c r="AP570" s="15">
        <f t="shared" si="1787"/>
        <v>0</v>
      </c>
      <c r="AQ570" s="45">
        <f>AP570*$G$10</f>
        <v>0</v>
      </c>
      <c r="AR570" s="28"/>
      <c r="AS570" s="75">
        <v>62</v>
      </c>
      <c r="AT570" s="15">
        <f t="shared" si="1788"/>
        <v>0</v>
      </c>
      <c r="AU570" s="45">
        <f>AT570*$G$10</f>
        <v>0</v>
      </c>
      <c r="AV570" s="15"/>
      <c r="AW570" s="75">
        <v>62</v>
      </c>
      <c r="AX570" s="15"/>
      <c r="AY570" s="15"/>
      <c r="AZ570" s="28"/>
      <c r="BA570" s="75">
        <v>62</v>
      </c>
      <c r="BB570" s="15"/>
      <c r="BC570" s="15"/>
      <c r="BD570" s="15"/>
      <c r="BE570" s="40">
        <f t="shared" ref="BE570:BG570" si="1790">J570+N570+R570+V570+Z570+AD570+AH570+AL570+AP570+AT570+AX570+BB570</f>
        <v>11</v>
      </c>
      <c r="BF570" s="41">
        <f t="shared" si="1790"/>
        <v>200.1</v>
      </c>
      <c r="BG570" s="34">
        <f t="shared" si="1790"/>
        <v>220</v>
      </c>
      <c r="BH570" s="35">
        <f t="shared" si="1783"/>
        <v>-2.22</v>
      </c>
    </row>
    <row r="571" ht="14.25" customHeight="1" spans="1:60" x14ac:dyDescent="0.25">
      <c r="A571" s="29">
        <v>76</v>
      </c>
      <c r="B571" s="14"/>
      <c r="C571" s="2" t="s">
        <v>178</v>
      </c>
      <c r="D571" s="14" t="s">
        <v>47</v>
      </c>
      <c r="E571" s="2" t="s">
        <v>49</v>
      </c>
      <c r="F571" s="41">
        <v>500</v>
      </c>
      <c r="G571" s="28"/>
      <c r="H571" s="34">
        <f>'2018'!BH571</f>
        <v>0</v>
      </c>
      <c r="I571" s="13"/>
      <c r="J571" s="15"/>
      <c r="K571" s="15"/>
      <c r="L571" s="28"/>
      <c r="Q571" s="13"/>
      <c r="R571" s="15"/>
      <c r="S571" s="15"/>
      <c r="T571" s="28"/>
      <c r="Y571" s="13"/>
      <c r="Z571" s="15"/>
      <c r="AA571" s="15"/>
      <c r="AB571" s="28"/>
      <c r="AG571" s="13"/>
      <c r="AH571" s="15"/>
      <c r="AI571" s="15"/>
      <c r="AJ571" s="28"/>
      <c r="AK571" s="13"/>
      <c r="AL571" s="15"/>
      <c r="AM571" s="34"/>
      <c r="AN571" s="28"/>
      <c r="AO571" s="13"/>
      <c r="AP571" s="15"/>
      <c r="AQ571" s="34"/>
      <c r="AR571" s="28"/>
      <c r="AS571" s="15"/>
      <c r="AT571" s="15"/>
      <c r="AU571" s="15"/>
      <c r="AV571" s="15"/>
      <c r="AW571" s="13"/>
      <c r="AX571" s="15"/>
      <c r="AY571" s="15"/>
      <c r="AZ571" s="28"/>
      <c r="BA571" s="15"/>
      <c r="BB571" s="15"/>
      <c r="BC571" s="15"/>
      <c r="BD571" s="15"/>
      <c r="BE571" s="14"/>
      <c r="BF571" s="41">
        <f t="shared" ref="BF571:BG571" si="1791">K571+O571+S571+W571+AA571+AE571+AI571+AM571+AQ571+AU571+AY571+BC571</f>
        <v>0</v>
      </c>
      <c r="BG571" s="34">
        <f t="shared" si="1791"/>
        <v>0</v>
      </c>
      <c r="BH571" s="35">
        <f t="shared" si="1783"/>
        <v>0</v>
      </c>
    </row>
    <row r="572" ht="14.25" customHeight="1" spans="1:60" x14ac:dyDescent="0.25">
      <c r="A572" s="29">
        <v>76</v>
      </c>
      <c r="B572" s="14"/>
      <c r="C572" s="2" t="s">
        <v>434</v>
      </c>
      <c r="D572" s="14" t="s">
        <v>50</v>
      </c>
      <c r="E572" s="2" t="s">
        <v>49</v>
      </c>
      <c r="F572" s="41">
        <v>1200</v>
      </c>
      <c r="G572" s="28"/>
      <c r="H572" s="34">
        <f>'2018'!BH572</f>
        <v>0.002000000001</v>
      </c>
      <c r="I572" s="13"/>
      <c r="J572" s="15"/>
      <c r="K572" s="15"/>
      <c r="L572" s="28"/>
      <c r="Q572" s="13"/>
      <c r="R572" s="15"/>
      <c r="S572" s="15"/>
      <c r="T572" s="28"/>
      <c r="Y572" s="13"/>
      <c r="Z572" s="15"/>
      <c r="AA572" s="15"/>
      <c r="AB572" s="28"/>
      <c r="AE572" s="34">
        <f>B569*$F$12</f>
        <v>4980</v>
      </c>
      <c r="AF572" s="133">
        <v>500</v>
      </c>
      <c r="AG572" s="13"/>
      <c r="AH572" s="15"/>
      <c r="AI572" s="15"/>
      <c r="AJ572" s="134">
        <v>2300</v>
      </c>
      <c r="AK572" s="13"/>
      <c r="AL572" s="15"/>
      <c r="AM572" s="15"/>
      <c r="AN572" s="134">
        <v>2180</v>
      </c>
      <c r="AO572" s="13"/>
      <c r="AP572" s="15"/>
      <c r="AQ572" s="15"/>
      <c r="AR572" s="28"/>
      <c r="AS572" s="15"/>
      <c r="AT572" s="15"/>
      <c r="AU572" s="15"/>
      <c r="AV572" s="15"/>
      <c r="AW572" s="13"/>
      <c r="AX572" s="15"/>
      <c r="AY572" s="15"/>
      <c r="AZ572" s="28"/>
      <c r="BA572" s="15"/>
      <c r="BB572" s="15"/>
      <c r="BC572" s="15"/>
      <c r="BD572" s="15"/>
      <c r="BE572" s="14"/>
      <c r="BF572" s="41">
        <f t="shared" ref="BF572:BG572" si="1792">K572+O572+S572+W572+AA572+AE572+AI572+AM572+AQ572+AU572+AY572+BC572</f>
        <v>4980</v>
      </c>
      <c r="BG572" s="34">
        <f t="shared" si="1792"/>
        <v>4980</v>
      </c>
      <c r="BH572" s="35">
        <f t="shared" si="1783"/>
        <v>0.002000000001</v>
      </c>
    </row>
    <row r="573" ht="14.25" customHeight="1" spans="1:60" x14ac:dyDescent="0.25">
      <c r="A573" s="29">
        <v>76</v>
      </c>
      <c r="B573" s="14"/>
      <c r="D573" s="14" t="s">
        <v>51</v>
      </c>
      <c r="E573" s="2" t="s">
        <v>49</v>
      </c>
      <c r="F573" s="41">
        <v>1000</v>
      </c>
      <c r="G573" s="28"/>
      <c r="H573" s="34">
        <f>'2018'!BH573</f>
        <v>0</v>
      </c>
      <c r="I573" s="13"/>
      <c r="J573" s="15"/>
      <c r="K573" s="15"/>
      <c r="L573" s="28"/>
      <c r="Q573" s="13"/>
      <c r="R573" s="15"/>
      <c r="S573" s="15"/>
      <c r="T573" s="28"/>
      <c r="Y573" s="13"/>
      <c r="Z573" s="15"/>
      <c r="AA573" s="15"/>
      <c r="AB573" s="28"/>
      <c r="AE573" s="34">
        <f>$F$21</f>
        <v>1000</v>
      </c>
      <c r="AF573" s="133">
        <v>1000</v>
      </c>
      <c r="AG573" s="13"/>
      <c r="AH573" s="15"/>
      <c r="AI573" s="15"/>
      <c r="AJ573" s="28"/>
      <c r="AK573" s="13"/>
      <c r="AL573" s="15"/>
      <c r="AM573" s="15"/>
      <c r="AN573" s="28"/>
      <c r="AO573" s="13"/>
      <c r="AP573" s="15"/>
      <c r="AQ573" s="15"/>
      <c r="AR573" s="28"/>
      <c r="AS573" s="15"/>
      <c r="AT573" s="15"/>
      <c r="AU573" s="15"/>
      <c r="AV573" s="15"/>
      <c r="AW573" s="13"/>
      <c r="AX573" s="15"/>
      <c r="AY573" s="15"/>
      <c r="AZ573" s="28"/>
      <c r="BA573" s="15"/>
      <c r="BB573" s="15"/>
      <c r="BC573" s="15"/>
      <c r="BD573" s="15"/>
      <c r="BE573" s="14"/>
      <c r="BF573" s="41">
        <f t="shared" ref="BF573:BG573" si="1793">K573+O573+S573+W573+AA573+AE573+AI573+AM573+AQ573+AU573+AY573+BC573</f>
        <v>1000</v>
      </c>
      <c r="BG573" s="34">
        <f t="shared" si="1793"/>
        <v>1000</v>
      </c>
      <c r="BH573" s="35">
        <f t="shared" si="1783"/>
        <v>0</v>
      </c>
    </row>
    <row r="574" ht="14.25" customHeight="1" spans="1:60" x14ac:dyDescent="0.25">
      <c r="A574" s="29">
        <v>76</v>
      </c>
      <c r="B574" s="14"/>
      <c r="D574" s="14" t="s">
        <v>52</v>
      </c>
      <c r="E574" s="2" t="s">
        <v>39</v>
      </c>
      <c r="F574" s="41">
        <v>500</v>
      </c>
      <c r="G574" s="28"/>
      <c r="H574" s="34">
        <f>'2018'!BH574</f>
        <v>0</v>
      </c>
      <c r="I574" s="13"/>
      <c r="J574" s="15"/>
      <c r="K574" s="15"/>
      <c r="L574" s="28"/>
      <c r="Q574" s="13"/>
      <c r="R574" s="15"/>
      <c r="S574" s="15"/>
      <c r="T574" s="28"/>
      <c r="Y574" s="13"/>
      <c r="Z574" s="15"/>
      <c r="AA574" s="34">
        <f>$F$14</f>
        <v>500</v>
      </c>
      <c r="AB574" s="28"/>
      <c r="AF574" s="133">
        <v>500</v>
      </c>
      <c r="AG574" s="13"/>
      <c r="AH574" s="15"/>
      <c r="AI574" s="15"/>
      <c r="AJ574" s="28"/>
      <c r="AK574" s="13"/>
      <c r="AL574" s="15"/>
      <c r="AM574" s="15"/>
      <c r="AN574" s="35"/>
      <c r="AO574" s="13"/>
      <c r="AP574" s="15"/>
      <c r="AQ574" s="15"/>
      <c r="AR574" s="28"/>
      <c r="AS574" s="15"/>
      <c r="AT574" s="15"/>
      <c r="AU574" s="15"/>
      <c r="AV574" s="15"/>
      <c r="AW574" s="13"/>
      <c r="AX574" s="15"/>
      <c r="AY574" s="15"/>
      <c r="AZ574" s="28"/>
      <c r="BA574" s="15"/>
      <c r="BB574" s="15"/>
      <c r="BC574" s="15"/>
      <c r="BD574" s="15"/>
      <c r="BE574" s="14"/>
      <c r="BF574" s="41">
        <f t="shared" ref="BF574:BG574" si="1794">K574+O574+S574+W574+AA574+AE574+AI574+AM574+AQ574+AU574+AY574+BC574</f>
        <v>500</v>
      </c>
      <c r="BG574" s="34">
        <f t="shared" si="1794"/>
        <v>500</v>
      </c>
      <c r="BH574" s="35">
        <f t="shared" si="1783"/>
        <v>0</v>
      </c>
    </row>
    <row r="575" ht="14.25" customHeight="1" spans="1:62" x14ac:dyDescent="0.25">
      <c r="A575" s="50">
        <v>76</v>
      </c>
      <c r="B575" s="21"/>
      <c r="C575" s="22" t="s">
        <v>53</v>
      </c>
      <c r="D575" s="21"/>
      <c r="E575" s="22"/>
      <c r="F575" s="20"/>
      <c r="G575" s="23"/>
      <c r="H575" s="51">
        <f>SUM(H568:H574)</f>
        <v>17.682</v>
      </c>
      <c r="I575" s="52"/>
      <c r="J575" s="53"/>
      <c r="K575" s="51">
        <f t="shared" ref="K575:L575" si="1795">SUM(K568:K574)</f>
        <v>0</v>
      </c>
      <c r="L575" s="68">
        <f t="shared" si="1795"/>
        <v>0</v>
      </c>
      <c r="M575" s="53"/>
      <c r="N575" s="53"/>
      <c r="O575" s="51">
        <f t="shared" ref="O575:P575" si="1796">SUM(O569:O574)</f>
        <v>0</v>
      </c>
      <c r="P575" s="51">
        <f t="shared" si="1796"/>
        <v>0</v>
      </c>
      <c r="Q575" s="52"/>
      <c r="R575" s="53"/>
      <c r="S575" s="51">
        <f t="shared" ref="S575:T575" si="1797">SUM(S569:S574)</f>
        <v>0</v>
      </c>
      <c r="T575" s="68">
        <f t="shared" si="1797"/>
        <v>0</v>
      </c>
      <c r="U575" s="53"/>
      <c r="V575" s="53"/>
      <c r="W575" s="51">
        <f t="shared" ref="W575:X575" si="1798">SUM(W569:W574)</f>
        <v>0</v>
      </c>
      <c r="X575" s="51">
        <f t="shared" si="1798"/>
        <v>0</v>
      </c>
      <c r="Y575" s="52"/>
      <c r="Z575" s="53"/>
      <c r="AA575" s="51">
        <f t="shared" ref="AA575:AB575" si="1799">SUM(AA569:AA574)</f>
        <v>500</v>
      </c>
      <c r="AB575" s="68">
        <f t="shared" si="1799"/>
        <v>0</v>
      </c>
      <c r="AC575" s="53"/>
      <c r="AD575" s="53"/>
      <c r="AE575" s="51">
        <f t="shared" ref="AE575:AF575" si="1800">SUM(AE569:AE574)</f>
        <v>6105.86</v>
      </c>
      <c r="AF575" s="51">
        <f t="shared" si="1800"/>
        <v>2150</v>
      </c>
      <c r="AG575" s="52"/>
      <c r="AH575" s="53"/>
      <c r="AI575" s="51">
        <f t="shared" ref="AI575:AJ575" si="1801">SUM(AI569:AI574)</f>
        <v>0</v>
      </c>
      <c r="AJ575" s="68">
        <f t="shared" si="1801"/>
        <v>2300</v>
      </c>
      <c r="AK575" s="52"/>
      <c r="AL575" s="53"/>
      <c r="AM575" s="51">
        <f t="shared" ref="AM575:AN575" si="1802">SUM(AM569:AM574)</f>
        <v>74.24</v>
      </c>
      <c r="AN575" s="68">
        <f t="shared" si="1802"/>
        <v>2250</v>
      </c>
      <c r="AO575" s="52"/>
      <c r="AP575" s="53"/>
      <c r="AQ575" s="51">
        <f t="shared" ref="AQ575:AR575" si="1803">SUM(AQ568:AQ574)</f>
        <v>0</v>
      </c>
      <c r="AR575" s="68">
        <f t="shared" si="1803"/>
        <v>0</v>
      </c>
      <c r="AS575" s="53"/>
      <c r="AT575" s="53"/>
      <c r="AU575" s="51">
        <f t="shared" ref="AU575:AV575" si="1804">SUM(AU568:AU574)</f>
        <v>0</v>
      </c>
      <c r="AV575" s="68">
        <f t="shared" si="1804"/>
        <v>0</v>
      </c>
      <c r="AW575" s="52"/>
      <c r="AX575" s="53"/>
      <c r="AY575" s="51">
        <f t="shared" ref="AY575:AZ575" si="1805">SUM(AY568:AY574)</f>
        <v>0</v>
      </c>
      <c r="AZ575" s="68">
        <f t="shared" si="1805"/>
        <v>0</v>
      </c>
      <c r="BA575" s="53"/>
      <c r="BB575" s="53"/>
      <c r="BC575" s="51">
        <f t="shared" ref="BC575:BD575" si="1806">SUM(BC568:BC574)</f>
        <v>0</v>
      </c>
      <c r="BD575" s="68">
        <f t="shared" si="1806"/>
        <v>0</v>
      </c>
      <c r="BE575" s="69"/>
      <c r="BF575" s="70">
        <f t="shared" ref="BF575:BH575" si="1807">SUM(BF568:BF574)</f>
        <v>6680.1</v>
      </c>
      <c r="BG575" s="71">
        <f t="shared" si="1807"/>
        <v>6700</v>
      </c>
      <c r="BH575" s="72">
        <f t="shared" si="1807"/>
        <v>-2.218</v>
      </c>
      <c r="BI575" s="34">
        <f>H575+BF575-BG575</f>
        <v>-2.218</v>
      </c>
      <c r="BJ575" s="34">
        <f>BH575-BI575</f>
        <v>0</v>
      </c>
    </row>
    <row r="576" ht="14.25" customHeight="1" spans="1:60" x14ac:dyDescent="0.25">
      <c r="A576" s="29">
        <v>77</v>
      </c>
      <c r="B576" s="14"/>
      <c r="D576" s="14" t="s">
        <v>379</v>
      </c>
      <c r="F576" s="13"/>
      <c r="G576" s="28"/>
      <c r="H576" s="34">
        <f>'2018'!BH576</f>
      </c>
      <c r="I576" s="13"/>
      <c r="J576" s="15"/>
      <c r="K576" s="15"/>
      <c r="L576" s="28"/>
      <c r="Q576" s="13"/>
      <c r="R576" s="15"/>
      <c r="S576" s="15"/>
      <c r="T576" s="28"/>
      <c r="Y576" s="13"/>
      <c r="Z576" s="15"/>
      <c r="AA576" s="15"/>
      <c r="AB576" s="28"/>
      <c r="AG576" s="13"/>
      <c r="AH576" s="15"/>
      <c r="AI576" s="15"/>
      <c r="AJ576" s="28"/>
      <c r="AK576" s="13"/>
      <c r="AL576" s="15"/>
      <c r="AM576" s="15"/>
      <c r="AN576" s="28"/>
      <c r="AO576" s="13"/>
      <c r="AP576" s="15"/>
      <c r="AQ576" s="15"/>
      <c r="AR576" s="28"/>
      <c r="AW576" s="13"/>
      <c r="AX576" s="15"/>
      <c r="AY576" s="15"/>
      <c r="AZ576" s="28"/>
      <c r="BE576" s="14"/>
      <c r="BF576" s="41">
        <f t="shared" ref="BF576:BG576" si="1808">K576+O576+S576+W576+AA576+AE576+AI576+AM576+AQ576+AU576+AY576+BC576</f>
        <v>0</v>
      </c>
      <c r="BG576" s="34">
        <f t="shared" si="1808"/>
        <v>0</v>
      </c>
      <c r="BH576" s="35">
        <f t="shared" ref="BH576:BH582" si="1809">H576+BF576-BG576</f>
        <v>0</v>
      </c>
    </row>
    <row r="577" ht="14.25" customHeight="1" spans="1:60" x14ac:dyDescent="0.25">
      <c r="A577" s="2">
        <v>77</v>
      </c>
      <c r="B577" s="14">
        <v>4.12</v>
      </c>
      <c r="C577" s="2" t="s">
        <v>268</v>
      </c>
      <c r="D577" s="14" t="s">
        <v>44</v>
      </c>
      <c r="E577" s="2" t="s">
        <v>45</v>
      </c>
      <c r="F577" s="13">
        <v>2.49</v>
      </c>
      <c r="G577" s="35">
        <v>2.5</v>
      </c>
      <c r="H577" s="34">
        <f>'2018'!BH577</f>
        <v>9.96</v>
      </c>
      <c r="I577" s="13">
        <v>922</v>
      </c>
      <c r="J577" s="15">
        <f>I577-'2018'!BA577</f>
        <v>0</v>
      </c>
      <c r="K577" s="34">
        <f>J577*$F$8</f>
        <v>0</v>
      </c>
      <c r="L577" s="28"/>
      <c r="M577" s="2">
        <v>922</v>
      </c>
      <c r="N577" s="15">
        <f>M577-I577</f>
        <v>0</v>
      </c>
      <c r="O577" s="34">
        <f>N577*$F$8</f>
        <v>0</v>
      </c>
      <c r="Q577" s="13">
        <v>922</v>
      </c>
      <c r="R577" s="15">
        <f>Q577-M577</f>
        <v>0</v>
      </c>
      <c r="S577" s="34">
        <f>R577*$F$8</f>
        <v>0</v>
      </c>
      <c r="T577" s="28"/>
      <c r="U577" s="15">
        <v>925</v>
      </c>
      <c r="V577" s="15">
        <f>U577-Q577</f>
        <v>3</v>
      </c>
      <c r="W577" s="34">
        <f>V577*$F$8</f>
        <v>7.47</v>
      </c>
      <c r="X577" s="34"/>
      <c r="Y577" s="13">
        <v>1026</v>
      </c>
      <c r="Z577" s="15">
        <f>Y577-U577</f>
        <v>101</v>
      </c>
      <c r="AA577" s="34">
        <f>Z577*$F$8</f>
        <v>251.49</v>
      </c>
      <c r="AB577" s="28"/>
      <c r="AC577" s="15">
        <v>1162</v>
      </c>
      <c r="AD577" s="15">
        <f t="shared" ref="AD577:AD578" si="1810">AC577-Y577</f>
        <v>136</v>
      </c>
      <c r="AE577" s="34">
        <f>AD577*$G$8</f>
        <v>340</v>
      </c>
      <c r="AF577" s="133">
        <f>608.92+25.15</f>
        <v>634.07</v>
      </c>
      <c r="AG577" s="13">
        <v>1286</v>
      </c>
      <c r="AH577" s="15">
        <f t="shared" ref="AH577:AH578" si="1811">AG577-AC577</f>
        <v>124</v>
      </c>
      <c r="AI577" s="34">
        <f>AH577*$G$8</f>
        <v>310</v>
      </c>
      <c r="AJ577" s="134">
        <f>284.85+0.23</f>
        <v>285.08</v>
      </c>
      <c r="AK577" s="13">
        <v>1403</v>
      </c>
      <c r="AL577" s="15">
        <f t="shared" ref="AL577:AL578" si="1812">AK577-AG577</f>
        <v>117</v>
      </c>
      <c r="AM577" s="34">
        <f>AL577*$G$8</f>
        <v>292.5</v>
      </c>
      <c r="AN577" s="139">
        <f>292.27+33.49</f>
        <v>325.76</v>
      </c>
      <c r="AO577" s="13">
        <v>1477</v>
      </c>
      <c r="AP577" s="15">
        <f t="shared" ref="AP577:AP578" si="1813">AO577-AK577</f>
        <v>74</v>
      </c>
      <c r="AQ577" s="34">
        <f>AP577*$G$8</f>
        <v>185</v>
      </c>
      <c r="AR577" s="28"/>
      <c r="AS577" s="75">
        <v>1477</v>
      </c>
      <c r="AT577" s="15">
        <f t="shared" ref="AT577:AT578" si="1814">AS577-AO577</f>
        <v>0</v>
      </c>
      <c r="AU577" s="34">
        <f t="shared" ref="AU577:AU578" si="1815">AT577*$G$8</f>
        <v>0</v>
      </c>
      <c r="AV577" s="1">
        <v>151.51</v>
      </c>
      <c r="AW577" s="13">
        <v>1477</v>
      </c>
      <c r="AX577" s="15">
        <f>AW577-AS577</f>
        <v>0</v>
      </c>
      <c r="AY577" s="34">
        <f>AX577*$G$8</f>
        <v>0</v>
      </c>
      <c r="AZ577" s="28"/>
      <c r="BA577" s="13">
        <v>1477</v>
      </c>
      <c r="BB577" s="15">
        <f>BA577-AW577</f>
        <v>0</v>
      </c>
      <c r="BC577" s="34">
        <f>BB577*$G$8</f>
        <v>0</v>
      </c>
      <c r="BD577" s="15"/>
      <c r="BE577" s="40">
        <f t="shared" ref="BE577:BG577" si="1816">J577+N577+R577+V577+Z577+AD577+AH577+AL577+AP577+AT577+AX577+BB577</f>
        <v>555</v>
      </c>
      <c r="BF577" s="41">
        <f t="shared" si="1816"/>
        <v>1386.46</v>
      </c>
      <c r="BG577" s="34">
        <f t="shared" si="1816"/>
        <v>1396.42</v>
      </c>
      <c r="BH577" s="35">
        <f t="shared" si="1809"/>
        <v>0</v>
      </c>
    </row>
    <row r="578" ht="14.25" customHeight="1" spans="1:60" x14ac:dyDescent="0.25">
      <c r="A578" s="29">
        <v>77</v>
      </c>
      <c r="B578" s="14"/>
      <c r="C578" s="2" t="s">
        <v>269</v>
      </c>
      <c r="D578" s="14" t="s">
        <v>47</v>
      </c>
      <c r="E578" s="2" t="s">
        <v>48</v>
      </c>
      <c r="F578" s="13">
        <v>17.98</v>
      </c>
      <c r="G578" s="28">
        <v>18.56</v>
      </c>
      <c r="H578" s="34">
        <f>'2018'!BH578</f>
        <v>0</v>
      </c>
      <c r="I578" s="94">
        <v>366</v>
      </c>
      <c r="J578" s="15"/>
      <c r="K578" s="15"/>
      <c r="L578" s="28"/>
      <c r="Q578" s="13"/>
      <c r="R578" s="15"/>
      <c r="S578" s="15"/>
      <c r="T578" s="28"/>
      <c r="Y578" s="13">
        <v>367</v>
      </c>
      <c r="Z578" s="15">
        <f>Y578-'2018'!AO578</f>
        <v>1</v>
      </c>
      <c r="AA578" s="34">
        <f>Z578*$F$10</f>
        <v>17.98</v>
      </c>
      <c r="AB578" s="28"/>
      <c r="AC578" s="15">
        <v>370</v>
      </c>
      <c r="AD578" s="15">
        <f t="shared" si="1810"/>
        <v>3</v>
      </c>
      <c r="AE578" s="34">
        <f>AD578*$F$10</f>
        <v>53.94</v>
      </c>
      <c r="AF578" s="133">
        <v>71.92</v>
      </c>
      <c r="AG578" s="13">
        <v>377</v>
      </c>
      <c r="AH578" s="15">
        <f t="shared" si="1811"/>
        <v>7</v>
      </c>
      <c r="AI578" s="45">
        <f>AH578*$G$10</f>
        <v>129.92</v>
      </c>
      <c r="AJ578" s="134">
        <v>129.92</v>
      </c>
      <c r="AK578" s="13">
        <v>381</v>
      </c>
      <c r="AL578" s="15">
        <f t="shared" si="1812"/>
        <v>4</v>
      </c>
      <c r="AM578" s="45">
        <f>AL578*$G$10</f>
        <v>74.24</v>
      </c>
      <c r="AN578" s="139">
        <v>74.24</v>
      </c>
      <c r="AO578" s="75">
        <v>381</v>
      </c>
      <c r="AP578" s="15">
        <f t="shared" si="1813"/>
        <v>0</v>
      </c>
      <c r="AQ578" s="45">
        <f>AP578*$G$10</f>
        <v>0</v>
      </c>
      <c r="AR578" s="28"/>
      <c r="AS578" s="15">
        <v>382</v>
      </c>
      <c r="AT578" s="15">
        <f t="shared" si="1814"/>
        <v>1</v>
      </c>
      <c r="AU578" s="34">
        <f t="shared" si="1815"/>
        <v>2.5</v>
      </c>
      <c r="AV578" s="1">
        <v>18.56</v>
      </c>
      <c r="AW578" s="13">
        <v>382</v>
      </c>
      <c r="AX578" s="15"/>
      <c r="AY578" s="15"/>
      <c r="AZ578" s="28"/>
      <c r="BA578" s="15">
        <v>382</v>
      </c>
      <c r="BB578" s="15"/>
      <c r="BC578" s="15"/>
      <c r="BD578" s="15"/>
      <c r="BE578" s="40">
        <f t="shared" ref="BE578:BG578" si="1817">J578+N578+R578+V578+Z578+AD578+AH578+AL578+AP578+AT578+AX578+BB578</f>
        <v>16</v>
      </c>
      <c r="BF578" s="41">
        <f t="shared" si="1817"/>
        <v>278.58</v>
      </c>
      <c r="BG578" s="34">
        <f t="shared" si="1817"/>
        <v>294.64</v>
      </c>
      <c r="BH578" s="35">
        <f t="shared" si="1809"/>
        <v>-16.06</v>
      </c>
    </row>
    <row r="579" ht="14.25" customHeight="1" spans="1:60" x14ac:dyDescent="0.25">
      <c r="A579" s="29">
        <v>77</v>
      </c>
      <c r="B579" s="14"/>
      <c r="C579" s="15" t="s">
        <v>158</v>
      </c>
      <c r="D579" s="14" t="s">
        <v>47</v>
      </c>
      <c r="E579" s="2" t="s">
        <v>49</v>
      </c>
      <c r="F579" s="41">
        <v>500</v>
      </c>
      <c r="G579" s="28"/>
      <c r="H579" s="34">
        <f>'2018'!BH579</f>
        <v>0</v>
      </c>
      <c r="I579" s="13"/>
      <c r="J579" s="15"/>
      <c r="K579" s="15"/>
      <c r="L579" s="28"/>
      <c r="Q579" s="13"/>
      <c r="R579" s="15"/>
      <c r="S579" s="15"/>
      <c r="T579" s="28"/>
      <c r="Y579" s="13"/>
      <c r="Z579" s="15"/>
      <c r="AA579" s="15"/>
      <c r="AB579" s="28"/>
      <c r="AG579" s="13"/>
      <c r="AH579" s="15"/>
      <c r="AI579" s="15"/>
      <c r="AJ579" s="28"/>
      <c r="AK579" s="13"/>
      <c r="AL579" s="15"/>
      <c r="AM579" s="34"/>
      <c r="AN579" s="28"/>
      <c r="AO579" s="13"/>
      <c r="AP579" s="15"/>
      <c r="AQ579" s="34"/>
      <c r="AR579" s="28"/>
      <c r="AS579" s="15"/>
      <c r="AT579" s="15"/>
      <c r="AU579" s="15"/>
      <c r="AV579" s="15"/>
      <c r="AW579" s="13"/>
      <c r="AX579" s="15"/>
      <c r="AY579" s="15"/>
      <c r="AZ579" s="28"/>
      <c r="BA579" s="15"/>
      <c r="BB579" s="15"/>
      <c r="BC579" s="15"/>
      <c r="BD579" s="15"/>
      <c r="BE579" s="14"/>
      <c r="BF579" s="41">
        <f t="shared" ref="BF579:BG579" si="1818">K579+O579+S579+W579+AA579+AE579+AI579+AM579+AQ579+AU579+AY579+BC579</f>
        <v>0</v>
      </c>
      <c r="BG579" s="34">
        <f t="shared" si="1818"/>
        <v>0</v>
      </c>
      <c r="BH579" s="35">
        <f t="shared" si="1809"/>
        <v>0</v>
      </c>
    </row>
    <row r="580" ht="14.25" customHeight="1" spans="1:60" x14ac:dyDescent="0.25">
      <c r="A580" s="29">
        <v>77</v>
      </c>
      <c r="B580" s="14"/>
      <c r="C580" s="2" t="s">
        <v>270</v>
      </c>
      <c r="D580" s="14" t="s">
        <v>50</v>
      </c>
      <c r="E580" s="2" t="s">
        <v>49</v>
      </c>
      <c r="F580" s="41">
        <v>1200</v>
      </c>
      <c r="G580" s="28"/>
      <c r="H580" s="34">
        <f>'2018'!BH580</f>
        <v>0.0056</v>
      </c>
      <c r="I580" s="13"/>
      <c r="J580" s="15"/>
      <c r="K580" s="15"/>
      <c r="L580" s="28"/>
      <c r="Q580" s="13"/>
      <c r="R580" s="15"/>
      <c r="S580" s="15"/>
      <c r="T580" s="28"/>
      <c r="Y580" s="13"/>
      <c r="Z580" s="15"/>
      <c r="AA580" s="15"/>
      <c r="AB580" s="28"/>
      <c r="AE580" s="34">
        <f>B577*$F$12</f>
        <v>4944</v>
      </c>
      <c r="AF580" s="138">
        <v>4944.01</v>
      </c>
      <c r="AG580" s="13"/>
      <c r="AH580" s="15"/>
      <c r="AI580" s="15"/>
      <c r="AJ580" s="35"/>
      <c r="AK580" s="13"/>
      <c r="AL580" s="15"/>
      <c r="AM580" s="15"/>
      <c r="AN580" s="28"/>
      <c r="AO580" s="13"/>
      <c r="AP580" s="15"/>
      <c r="AQ580" s="15"/>
      <c r="AR580" s="28"/>
      <c r="AS580" s="15"/>
      <c r="AT580" s="15"/>
      <c r="AU580" s="15"/>
      <c r="AV580" s="15"/>
      <c r="AW580" s="13"/>
      <c r="AX580" s="15"/>
      <c r="AY580" s="15"/>
      <c r="AZ580" s="28"/>
      <c r="BA580" s="15"/>
      <c r="BB580" s="15"/>
      <c r="BC580" s="15"/>
      <c r="BD580" s="15"/>
      <c r="BE580" s="14"/>
      <c r="BF580" s="41">
        <f t="shared" ref="BF580:BG580" si="1819">K580+O580+S580+W580+AA580+AE580+AI580+AM580+AQ580+AU580+AY580+BC580</f>
        <v>4944</v>
      </c>
      <c r="BG580" s="34">
        <f t="shared" si="1819"/>
        <v>4944.01</v>
      </c>
      <c r="BH580" s="35">
        <f t="shared" si="1809"/>
        <v>-0.0044</v>
      </c>
    </row>
    <row r="581" ht="14.25" customHeight="1" spans="1:60" x14ac:dyDescent="0.25">
      <c r="A581" s="29">
        <v>77</v>
      </c>
      <c r="B581" s="14"/>
      <c r="D581" s="14" t="s">
        <v>51</v>
      </c>
      <c r="E581" s="2" t="s">
        <v>49</v>
      </c>
      <c r="F581" s="41">
        <v>1000</v>
      </c>
      <c r="G581" s="28"/>
      <c r="H581" s="34">
        <f>'2018'!BH581</f>
        <v>0</v>
      </c>
      <c r="I581" s="13"/>
      <c r="J581" s="15"/>
      <c r="K581" s="15"/>
      <c r="L581" s="28"/>
      <c r="Q581" s="13"/>
      <c r="R581" s="15"/>
      <c r="S581" s="15"/>
      <c r="T581" s="28"/>
      <c r="Y581" s="13"/>
      <c r="Z581" s="15"/>
      <c r="AA581" s="15"/>
      <c r="AB581" s="28"/>
      <c r="AE581" s="34">
        <f>$F$21</f>
        <v>1000</v>
      </c>
      <c r="AF581" s="133">
        <v>1000</v>
      </c>
      <c r="AG581" s="13"/>
      <c r="AH581" s="15"/>
      <c r="AI581" s="15"/>
      <c r="AJ581" s="28"/>
      <c r="AK581" s="13"/>
      <c r="AL581" s="15"/>
      <c r="AM581" s="15"/>
      <c r="AN581" s="28"/>
      <c r="AO581" s="13"/>
      <c r="AP581" s="15"/>
      <c r="AQ581" s="15"/>
      <c r="AR581" s="28"/>
      <c r="AS581" s="15"/>
      <c r="AT581" s="15"/>
      <c r="AU581" s="15"/>
      <c r="AV581" s="15"/>
      <c r="AW581" s="13"/>
      <c r="AX581" s="15"/>
      <c r="AY581" s="15"/>
      <c r="AZ581" s="28"/>
      <c r="BA581" s="15"/>
      <c r="BB581" s="15"/>
      <c r="BC581" s="15"/>
      <c r="BD581" s="15"/>
      <c r="BE581" s="14"/>
      <c r="BF581" s="41">
        <f t="shared" ref="BF581:BG581" si="1820">K581+O581+S581+W581+AA581+AE581+AI581+AM581+AQ581+AU581+AY581+BC581</f>
        <v>1000</v>
      </c>
      <c r="BG581" s="34">
        <f t="shared" si="1820"/>
        <v>1000</v>
      </c>
      <c r="BH581" s="35">
        <f t="shared" si="1809"/>
        <v>0</v>
      </c>
    </row>
    <row r="582" ht="14.25" customHeight="1" spans="1:60" x14ac:dyDescent="0.25">
      <c r="A582" s="29">
        <v>77</v>
      </c>
      <c r="B582" s="14"/>
      <c r="D582" s="14" t="s">
        <v>52</v>
      </c>
      <c r="E582" s="2" t="s">
        <v>39</v>
      </c>
      <c r="F582" s="41">
        <v>500</v>
      </c>
      <c r="G582" s="28"/>
      <c r="H582" s="34">
        <f>'2018'!BH582</f>
        <v>0</v>
      </c>
      <c r="I582" s="13"/>
      <c r="J582" s="15"/>
      <c r="K582" s="15"/>
      <c r="L582" s="28"/>
      <c r="Q582" s="13"/>
      <c r="R582" s="15"/>
      <c r="S582" s="15"/>
      <c r="T582" s="28"/>
      <c r="Y582" s="13"/>
      <c r="Z582" s="15"/>
      <c r="AA582" s="34">
        <f>$F$14</f>
        <v>500</v>
      </c>
      <c r="AB582" s="35"/>
      <c r="AF582" s="133">
        <v>500</v>
      </c>
      <c r="AG582" s="13"/>
      <c r="AH582" s="15"/>
      <c r="AI582" s="15"/>
      <c r="AJ582" s="28"/>
      <c r="AK582" s="13"/>
      <c r="AL582" s="15"/>
      <c r="AM582" s="15"/>
      <c r="AN582" s="28"/>
      <c r="AO582" s="13"/>
      <c r="AP582" s="15"/>
      <c r="AQ582" s="15"/>
      <c r="AR582" s="28"/>
      <c r="AS582" s="15"/>
      <c r="AT582" s="15"/>
      <c r="AU582" s="15"/>
      <c r="AV582" s="15"/>
      <c r="AW582" s="13"/>
      <c r="AX582" s="15"/>
      <c r="AY582" s="15"/>
      <c r="AZ582" s="28"/>
      <c r="BA582" s="15"/>
      <c r="BB582" s="15"/>
      <c r="BC582" s="15"/>
      <c r="BD582" s="15"/>
      <c r="BE582" s="14"/>
      <c r="BF582" s="41">
        <f t="shared" ref="BF582:BG582" si="1821">K582+O582+S582+W582+AA582+AE582+AI582+AM582+AQ582+AU582+AY582+BC582</f>
        <v>500</v>
      </c>
      <c r="BG582" s="34">
        <f t="shared" si="1821"/>
        <v>500</v>
      </c>
      <c r="BH582" s="35">
        <f t="shared" si="1809"/>
        <v>0</v>
      </c>
    </row>
    <row r="583" ht="14.25" customHeight="1" spans="1:62" x14ac:dyDescent="0.25">
      <c r="A583" s="50">
        <v>77</v>
      </c>
      <c r="B583" s="21"/>
      <c r="C583" s="22" t="s">
        <v>53</v>
      </c>
      <c r="D583" s="21"/>
      <c r="E583" s="22"/>
      <c r="F583" s="20"/>
      <c r="G583" s="23"/>
      <c r="H583" s="51">
        <f>SUM(H576:H582)</f>
        <v>9.9656</v>
      </c>
      <c r="I583" s="52"/>
      <c r="J583" s="53"/>
      <c r="K583" s="51">
        <f t="shared" ref="K583:L583" si="1822">SUM(K576:K582)</f>
        <v>0</v>
      </c>
      <c r="L583" s="68">
        <f t="shared" si="1822"/>
        <v>0</v>
      </c>
      <c r="M583" s="53"/>
      <c r="N583" s="53"/>
      <c r="O583" s="51">
        <f t="shared" ref="O583:P583" si="1823">SUM(O577:O582)</f>
        <v>0</v>
      </c>
      <c r="P583" s="51">
        <f t="shared" si="1823"/>
        <v>0</v>
      </c>
      <c r="Q583" s="52"/>
      <c r="R583" s="53"/>
      <c r="S583" s="51">
        <f t="shared" ref="S583:T583" si="1824">SUM(S577:S582)</f>
        <v>0</v>
      </c>
      <c r="T583" s="68">
        <f t="shared" si="1824"/>
        <v>0</v>
      </c>
      <c r="U583" s="53"/>
      <c r="V583" s="53"/>
      <c r="W583" s="51">
        <f t="shared" ref="W583:X583" si="1825">SUM(W577:W582)</f>
        <v>7.47</v>
      </c>
      <c r="X583" s="51">
        <f t="shared" si="1825"/>
        <v>0</v>
      </c>
      <c r="Y583" s="52"/>
      <c r="Z583" s="53"/>
      <c r="AA583" s="51">
        <f t="shared" ref="AA583:AB583" si="1826">SUM(AA577:AA582)</f>
        <v>769.47</v>
      </c>
      <c r="AB583" s="68">
        <f t="shared" si="1826"/>
        <v>0</v>
      </c>
      <c r="AC583" s="53"/>
      <c r="AD583" s="53"/>
      <c r="AE583" s="51">
        <f t="shared" ref="AE583:AF583" si="1827">SUM(AE577:AE582)</f>
        <v>6337.94</v>
      </c>
      <c r="AF583" s="51">
        <f t="shared" si="1827"/>
        <v>7150</v>
      </c>
      <c r="AG583" s="52"/>
      <c r="AH583" s="53"/>
      <c r="AI583" s="51">
        <f t="shared" ref="AI583:AJ583" si="1828">SUM(AI577:AI582)</f>
        <v>439.92</v>
      </c>
      <c r="AJ583" s="68">
        <f t="shared" si="1828"/>
        <v>415</v>
      </c>
      <c r="AK583" s="52"/>
      <c r="AL583" s="53"/>
      <c r="AM583" s="51">
        <f t="shared" ref="AM583:AN583" si="1829">SUM(AM577:AM582)</f>
        <v>366.74</v>
      </c>
      <c r="AN583" s="68">
        <f t="shared" si="1829"/>
        <v>400</v>
      </c>
      <c r="AO583" s="52"/>
      <c r="AP583" s="53"/>
      <c r="AQ583" s="51">
        <f t="shared" ref="AQ583:AR583" si="1830">SUM(AQ576:AQ582)</f>
        <v>185</v>
      </c>
      <c r="AR583" s="68">
        <f t="shared" si="1830"/>
        <v>0</v>
      </c>
      <c r="AS583" s="53"/>
      <c r="AT583" s="53"/>
      <c r="AU583" s="51">
        <f t="shared" ref="AU583:AV583" si="1831">SUM(AU576:AU582)</f>
        <v>2.5</v>
      </c>
      <c r="AV583" s="68">
        <f t="shared" si="1831"/>
        <v>170.07</v>
      </c>
      <c r="AW583" s="52"/>
      <c r="AX583" s="53"/>
      <c r="AY583" s="51">
        <f t="shared" ref="AY583:AZ583" si="1832">SUM(AY576:AY582)</f>
        <v>0</v>
      </c>
      <c r="AZ583" s="68">
        <f t="shared" si="1832"/>
        <v>0</v>
      </c>
      <c r="BA583" s="53"/>
      <c r="BB583" s="53"/>
      <c r="BC583" s="51">
        <f t="shared" ref="BC583:BD583" si="1833">SUM(BC576:BC582)</f>
        <v>0</v>
      </c>
      <c r="BD583" s="68">
        <f t="shared" si="1833"/>
        <v>0</v>
      </c>
      <c r="BE583" s="69"/>
      <c r="BF583" s="70">
        <f t="shared" ref="BF583:BH583" si="1834">SUM(BF576:BF582)</f>
        <v>8109.04</v>
      </c>
      <c r="BG583" s="71">
        <f t="shared" si="1834"/>
        <v>8135.07</v>
      </c>
      <c r="BH583" s="72">
        <f t="shared" si="1834"/>
        <v>-16.0644</v>
      </c>
      <c r="BI583" s="34">
        <f>H583+BF583-BG583</f>
        <v>-16.0644</v>
      </c>
      <c r="BJ583" s="34">
        <f>BH583-BI583</f>
        <v>0</v>
      </c>
    </row>
    <row r="584" ht="14.25" customHeight="1" spans="1:60" x14ac:dyDescent="0.25">
      <c r="A584" s="29">
        <v>78</v>
      </c>
      <c r="B584" s="14"/>
      <c r="D584" s="14" t="s">
        <v>379</v>
      </c>
      <c r="F584" s="13"/>
      <c r="G584" s="28"/>
      <c r="H584" s="34">
        <f>'2018'!BH584</f>
      </c>
      <c r="I584" s="13"/>
      <c r="J584" s="15"/>
      <c r="K584" s="15"/>
      <c r="L584" s="28"/>
      <c r="Q584" s="13"/>
      <c r="R584" s="15"/>
      <c r="S584" s="15"/>
      <c r="T584" s="28"/>
      <c r="Y584" s="13"/>
      <c r="Z584" s="15"/>
      <c r="AA584" s="15"/>
      <c r="AB584" s="28"/>
      <c r="AG584" s="13"/>
      <c r="AH584" s="15"/>
      <c r="AI584" s="15"/>
      <c r="AJ584" s="28"/>
      <c r="AK584" s="13"/>
      <c r="AL584" s="15"/>
      <c r="AM584" s="15"/>
      <c r="AN584" s="28"/>
      <c r="AO584" s="13"/>
      <c r="AP584" s="15"/>
      <c r="AQ584" s="15"/>
      <c r="AR584" s="28"/>
      <c r="AW584" s="13"/>
      <c r="AX584" s="15"/>
      <c r="AY584" s="15"/>
      <c r="AZ584" s="28"/>
      <c r="BE584" s="14"/>
      <c r="BF584" s="41">
        <f t="shared" ref="BF584:BG584" si="1835">K584+O584+S584+W584+AA584+AE584+AI584+AM584+AQ584+AU584+AY584+BC584</f>
        <v>0</v>
      </c>
      <c r="BG584" s="34">
        <f t="shared" si="1835"/>
        <v>0</v>
      </c>
      <c r="BH584" s="35">
        <f t="shared" ref="BH584:BH590" si="1836">H584+BF584-BG584</f>
        <v>0</v>
      </c>
    </row>
    <row r="585" ht="14.25" customHeight="1" spans="1:60" x14ac:dyDescent="0.25">
      <c r="A585" s="2">
        <v>78</v>
      </c>
      <c r="B585" s="14">
        <v>4.03</v>
      </c>
      <c r="C585" s="2" t="s">
        <v>271</v>
      </c>
      <c r="D585" s="14" t="s">
        <v>44</v>
      </c>
      <c r="E585" s="2" t="s">
        <v>45</v>
      </c>
      <c r="F585" s="13">
        <v>2.49</v>
      </c>
      <c r="G585" s="35">
        <v>2.5</v>
      </c>
      <c r="H585" s="34">
        <f>'2018'!BH585</f>
        <v>12.45</v>
      </c>
      <c r="I585" s="13">
        <v>44</v>
      </c>
      <c r="J585" s="15">
        <f>I585-'2018'!BA585</f>
        <v>0</v>
      </c>
      <c r="K585" s="34">
        <f>J585*$F$8</f>
        <v>0</v>
      </c>
      <c r="L585" s="28"/>
      <c r="M585" s="2">
        <v>44</v>
      </c>
      <c r="N585" s="15">
        <f>M585-I585</f>
        <v>0</v>
      </c>
      <c r="O585" s="34">
        <f>N585*$F$8</f>
        <v>0</v>
      </c>
      <c r="Q585" s="13">
        <v>44</v>
      </c>
      <c r="R585" s="15">
        <f>Q585-M585</f>
        <v>0</v>
      </c>
      <c r="S585" s="34">
        <f>R585*$F$8</f>
        <v>0</v>
      </c>
      <c r="T585" s="28"/>
      <c r="U585" s="15">
        <v>44</v>
      </c>
      <c r="V585" s="15">
        <f>U585-Q585</f>
        <v>0</v>
      </c>
      <c r="W585" s="34">
        <f>V585*$F$8</f>
        <v>0</v>
      </c>
      <c r="X585" s="15"/>
      <c r="Y585" s="13">
        <v>46</v>
      </c>
      <c r="Z585" s="15">
        <f>Y585-U585</f>
        <v>2</v>
      </c>
      <c r="AA585" s="34">
        <f>Z585*$F$8</f>
        <v>4.98</v>
      </c>
      <c r="AB585" s="28"/>
      <c r="AC585" s="15">
        <v>47</v>
      </c>
      <c r="AD585" s="15">
        <f t="shared" ref="AD585:AD586" si="1837">AC585-Y585</f>
        <v>1</v>
      </c>
      <c r="AE585" s="34">
        <f>AD585*$G$8</f>
        <v>2.5</v>
      </c>
      <c r="AF585" s="138">
        <v>19.93</v>
      </c>
      <c r="AG585" s="13">
        <v>48</v>
      </c>
      <c r="AH585" s="15">
        <f t="shared" ref="AH585:AH586" si="1838">AG585-AC585</f>
        <v>1</v>
      </c>
      <c r="AI585" s="34">
        <f>AH585*$G$8</f>
        <v>2.5</v>
      </c>
      <c r="AJ585" s="134">
        <v>2.5</v>
      </c>
      <c r="AK585" s="13">
        <v>50</v>
      </c>
      <c r="AL585" s="15">
        <f t="shared" ref="AL585:AL586" si="1839">AK585-AG585</f>
        <v>2</v>
      </c>
      <c r="AM585" s="34">
        <f>AL585*$G$8</f>
        <v>5</v>
      </c>
      <c r="AN585" s="134">
        <v>5</v>
      </c>
      <c r="AO585" s="13">
        <v>54</v>
      </c>
      <c r="AP585" s="15">
        <f t="shared" ref="AP585:AP586" si="1840">AO585-AK585</f>
        <v>4</v>
      </c>
      <c r="AQ585" s="34">
        <f>AP585*$G$8</f>
        <v>10</v>
      </c>
      <c r="AR585" s="28"/>
      <c r="AS585" s="15">
        <v>55</v>
      </c>
      <c r="AT585" s="15">
        <f t="shared" ref="AT585:AT586" si="1841">AS585-AO585</f>
        <v>1</v>
      </c>
      <c r="AU585" s="34">
        <f>AT585*$G$8</f>
        <v>2.5</v>
      </c>
      <c r="AV585" s="15"/>
      <c r="AW585" s="13">
        <v>55</v>
      </c>
      <c r="AX585" s="15">
        <f>AW585-AS585</f>
        <v>0</v>
      </c>
      <c r="AY585" s="34">
        <f>AX585*$G$8</f>
        <v>0</v>
      </c>
      <c r="AZ585" s="28"/>
      <c r="BA585" s="13">
        <v>55</v>
      </c>
      <c r="BB585" s="15">
        <f>BA585-AW585</f>
        <v>0</v>
      </c>
      <c r="BC585" s="34">
        <f>BB585*$G$8</f>
        <v>0</v>
      </c>
      <c r="BD585" s="15"/>
      <c r="BE585" s="40">
        <f t="shared" ref="BE585:BG585" si="1842">J585+N585+R585+V585+Z585+AD585+AH585+AL585+AP585+AT585+AX585+BB585</f>
        <v>11</v>
      </c>
      <c r="BF585" s="41">
        <f t="shared" si="1842"/>
        <v>27.48</v>
      </c>
      <c r="BG585" s="34">
        <f t="shared" si="1842"/>
        <v>27.43</v>
      </c>
      <c r="BH585" s="35">
        <f t="shared" si="1836"/>
        <v>12.5</v>
      </c>
    </row>
    <row r="586" ht="14.25" customHeight="1" spans="1:60" x14ac:dyDescent="0.25">
      <c r="A586" s="29">
        <v>78</v>
      </c>
      <c r="B586" s="14"/>
      <c r="C586" s="2" t="s">
        <v>61</v>
      </c>
      <c r="D586" s="14" t="s">
        <v>47</v>
      </c>
      <c r="E586" s="2" t="s">
        <v>48</v>
      </c>
      <c r="F586" s="13">
        <v>17.98</v>
      </c>
      <c r="G586" s="28">
        <v>18.56</v>
      </c>
      <c r="H586" s="34">
        <f>'2018'!BH586</f>
        <v>0</v>
      </c>
      <c r="I586" s="13">
        <v>108</v>
      </c>
      <c r="J586" s="15"/>
      <c r="K586" s="15"/>
      <c r="L586" s="28"/>
      <c r="Q586" s="13"/>
      <c r="R586" s="15"/>
      <c r="S586" s="15"/>
      <c r="T586" s="28"/>
      <c r="Y586" s="13">
        <v>108</v>
      </c>
      <c r="Z586" s="15">
        <f>Y586-'2018'!AO586</f>
        <v>0</v>
      </c>
      <c r="AA586" s="34">
        <f>Z586*$F$10</f>
        <v>0</v>
      </c>
      <c r="AB586" s="28"/>
      <c r="AC586" s="15">
        <v>112</v>
      </c>
      <c r="AD586" s="15">
        <f t="shared" si="1837"/>
        <v>4</v>
      </c>
      <c r="AE586" s="34">
        <f>AD586*$F$10</f>
        <v>71.92</v>
      </c>
      <c r="AF586" s="138">
        <f>71.92+22.15</f>
        <v>94.07</v>
      </c>
      <c r="AG586" s="13">
        <v>122</v>
      </c>
      <c r="AH586" s="15">
        <f t="shared" si="1838"/>
        <v>10</v>
      </c>
      <c r="AI586" s="45">
        <f>AH586*$G$10</f>
        <v>185.6</v>
      </c>
      <c r="AJ586" s="134">
        <v>163.5</v>
      </c>
      <c r="AK586" s="13">
        <v>129</v>
      </c>
      <c r="AL586" s="15">
        <f t="shared" si="1839"/>
        <v>7</v>
      </c>
      <c r="AM586" s="45">
        <f>AL586*$G$10</f>
        <v>129.92</v>
      </c>
      <c r="AN586" s="134">
        <f>129.87+0.13</f>
        <v>130</v>
      </c>
      <c r="AO586" s="13">
        <v>132</v>
      </c>
      <c r="AP586" s="15">
        <f t="shared" si="1840"/>
        <v>3</v>
      </c>
      <c r="AQ586" s="45">
        <f>AP586*$G$10</f>
        <v>55.68</v>
      </c>
      <c r="AR586" s="28"/>
      <c r="AS586" s="13">
        <v>132</v>
      </c>
      <c r="AT586" s="15">
        <f t="shared" si="1841"/>
        <v>0</v>
      </c>
      <c r="AU586" s="45">
        <f>AT586*$G$10</f>
        <v>0</v>
      </c>
      <c r="AV586" s="15"/>
      <c r="AW586" s="13">
        <v>132</v>
      </c>
      <c r="AX586" s="15"/>
      <c r="AY586" s="15"/>
      <c r="AZ586" s="28"/>
      <c r="BA586" s="15">
        <v>132</v>
      </c>
      <c r="BB586" s="15"/>
      <c r="BC586" s="15"/>
      <c r="BD586" s="15"/>
      <c r="BE586" s="40">
        <f t="shared" ref="BE586:BG586" si="1843">J586+N586+R586+V586+Z586+AD586+AH586+AL586+AP586+AT586+AX586+BB586</f>
        <v>24</v>
      </c>
      <c r="BF586" s="41">
        <f t="shared" si="1843"/>
        <v>443.12</v>
      </c>
      <c r="BG586" s="34">
        <f t="shared" si="1843"/>
        <v>387.57</v>
      </c>
      <c r="BH586" s="35">
        <f t="shared" si="1836"/>
        <v>55.55</v>
      </c>
    </row>
    <row r="587" ht="14.25" customHeight="1" spans="1:60" x14ac:dyDescent="0.25">
      <c r="A587" s="29">
        <v>78</v>
      </c>
      <c r="B587" s="14"/>
      <c r="C587" s="15" t="s">
        <v>272</v>
      </c>
      <c r="D587" s="14" t="s">
        <v>47</v>
      </c>
      <c r="E587" s="2" t="s">
        <v>49</v>
      </c>
      <c r="F587" s="41">
        <v>500</v>
      </c>
      <c r="G587" s="28"/>
      <c r="H587" s="34">
        <f>'2018'!BH587</f>
        <v>0</v>
      </c>
      <c r="I587" s="13"/>
      <c r="J587" s="15"/>
      <c r="K587" s="15"/>
      <c r="L587" s="28"/>
      <c r="Q587" s="13"/>
      <c r="R587" s="15"/>
      <c r="S587" s="15"/>
      <c r="T587" s="28"/>
      <c r="Y587" s="13"/>
      <c r="Z587" s="15"/>
      <c r="AA587" s="15"/>
      <c r="AB587" s="28"/>
      <c r="AG587" s="13"/>
      <c r="AH587" s="15"/>
      <c r="AI587" s="15"/>
      <c r="AJ587" s="28"/>
      <c r="AK587" s="13"/>
      <c r="AL587" s="15"/>
      <c r="AM587" s="34"/>
      <c r="AN587" s="28"/>
      <c r="AO587" s="13"/>
      <c r="AP587" s="15"/>
      <c r="AQ587" s="34"/>
      <c r="AR587" s="28"/>
      <c r="AS587" s="15"/>
      <c r="AT587" s="15"/>
      <c r="AU587" s="15"/>
      <c r="AV587" s="15"/>
      <c r="AW587" s="13"/>
      <c r="AX587" s="15"/>
      <c r="AY587" s="15"/>
      <c r="AZ587" s="28"/>
      <c r="BA587" s="15"/>
      <c r="BB587" s="15"/>
      <c r="BC587" s="15"/>
      <c r="BD587" s="15"/>
      <c r="BE587" s="14"/>
      <c r="BF587" s="41">
        <f t="shared" ref="BF587:BG587" si="1844">K587+O587+S587+W587+AA587+AE587+AI587+AM587+AQ587+AU587+AY587+BC587</f>
        <v>0</v>
      </c>
      <c r="BG587" s="34">
        <f t="shared" si="1844"/>
        <v>0</v>
      </c>
      <c r="BH587" s="35">
        <f t="shared" si="1836"/>
        <v>0</v>
      </c>
    </row>
    <row r="588" ht="14.25" customHeight="1" spans="1:60" x14ac:dyDescent="0.25">
      <c r="A588" s="29">
        <v>78</v>
      </c>
      <c r="B588" s="14"/>
      <c r="C588" s="2" t="s">
        <v>273</v>
      </c>
      <c r="D588" s="14" t="s">
        <v>50</v>
      </c>
      <c r="E588" s="2" t="s">
        <v>49</v>
      </c>
      <c r="F588" s="41">
        <v>1200</v>
      </c>
      <c r="G588" s="28"/>
      <c r="H588" s="34">
        <f>'2018'!BH588</f>
        <v>-0.003599999999</v>
      </c>
      <c r="I588" s="13"/>
      <c r="J588" s="15"/>
      <c r="K588" s="15"/>
      <c r="L588" s="28"/>
      <c r="Q588" s="13"/>
      <c r="R588" s="15"/>
      <c r="S588" s="15"/>
      <c r="T588" s="28"/>
      <c r="Y588" s="13"/>
      <c r="Z588" s="15"/>
      <c r="AA588" s="15"/>
      <c r="AB588" s="28"/>
      <c r="AE588" s="34">
        <f>B585*$F$12</f>
        <v>4836</v>
      </c>
      <c r="AF588" s="133">
        <v>4836</v>
      </c>
      <c r="AG588" s="13"/>
      <c r="AH588" s="15"/>
      <c r="AI588" s="15"/>
      <c r="AJ588" s="38"/>
      <c r="AK588" s="13"/>
      <c r="AL588" s="15"/>
      <c r="AM588" s="15"/>
      <c r="AN588" s="28"/>
      <c r="AO588" s="13"/>
      <c r="AP588" s="15"/>
      <c r="AQ588" s="15"/>
      <c r="AR588" s="28"/>
      <c r="AS588" s="15"/>
      <c r="AT588" s="15"/>
      <c r="AU588" s="15"/>
      <c r="AV588" s="15"/>
      <c r="AW588" s="13"/>
      <c r="AX588" s="15"/>
      <c r="AY588" s="15"/>
      <c r="AZ588" s="28"/>
      <c r="BA588" s="15"/>
      <c r="BB588" s="15"/>
      <c r="BC588" s="15"/>
      <c r="BD588" s="15"/>
      <c r="BE588" s="14"/>
      <c r="BF588" s="41">
        <f t="shared" ref="BF588:BG588" si="1845">K588+O588+S588+W588+AA588+AE588+AI588+AM588+AQ588+AU588+AY588+BC588</f>
        <v>4836</v>
      </c>
      <c r="BG588" s="34">
        <f t="shared" si="1845"/>
        <v>4836</v>
      </c>
      <c r="BH588" s="35">
        <f t="shared" si="1836"/>
        <v>-0.003599999999</v>
      </c>
    </row>
    <row r="589" ht="14.25" customHeight="1" spans="1:60" x14ac:dyDescent="0.25">
      <c r="A589" s="29">
        <v>78</v>
      </c>
      <c r="B589" s="14"/>
      <c r="C589" s="2" t="s">
        <v>274</v>
      </c>
      <c r="D589" s="14" t="s">
        <v>51</v>
      </c>
      <c r="E589" s="2" t="s">
        <v>49</v>
      </c>
      <c r="F589" s="41">
        <v>1000</v>
      </c>
      <c r="G589" s="28"/>
      <c r="H589" s="34">
        <f>'2018'!BH589</f>
        <v>0</v>
      </c>
      <c r="I589" s="13"/>
      <c r="J589" s="15"/>
      <c r="K589" s="15"/>
      <c r="L589" s="28"/>
      <c r="Q589" s="13"/>
      <c r="R589" s="15"/>
      <c r="S589" s="15"/>
      <c r="T589" s="28"/>
      <c r="Y589" s="13"/>
      <c r="Z589" s="15"/>
      <c r="AA589" s="15"/>
      <c r="AB589" s="28"/>
      <c r="AE589" s="34">
        <f>$F$21</f>
        <v>1000</v>
      </c>
      <c r="AF589" s="133">
        <v>1000</v>
      </c>
      <c r="AG589" s="13"/>
      <c r="AH589" s="15"/>
      <c r="AI589" s="15"/>
      <c r="AJ589" s="28"/>
      <c r="AK589" s="13"/>
      <c r="AL589" s="15"/>
      <c r="AM589" s="15"/>
      <c r="AN589" s="28"/>
      <c r="AO589" s="13"/>
      <c r="AP589" s="15"/>
      <c r="AQ589" s="15"/>
      <c r="AR589" s="28"/>
      <c r="AS589" s="15"/>
      <c r="AT589" s="15"/>
      <c r="AU589" s="15"/>
      <c r="AV589" s="15"/>
      <c r="AW589" s="13"/>
      <c r="AX589" s="15"/>
      <c r="AY589" s="15"/>
      <c r="AZ589" s="28"/>
      <c r="BA589" s="15"/>
      <c r="BB589" s="15"/>
      <c r="BC589" s="15"/>
      <c r="BD589" s="15"/>
      <c r="BE589" s="14"/>
      <c r="BF589" s="41">
        <f t="shared" ref="BF589:BG589" si="1846">K589+O589+S589+W589+AA589+AE589+AI589+AM589+AQ589+AU589+AY589+BC589</f>
        <v>1000</v>
      </c>
      <c r="BG589" s="34">
        <f t="shared" si="1846"/>
        <v>1000</v>
      </c>
      <c r="BH589" s="35">
        <f t="shared" si="1836"/>
        <v>0</v>
      </c>
    </row>
    <row r="590" ht="14.25" customHeight="1" spans="1:60" x14ac:dyDescent="0.25">
      <c r="A590" s="29">
        <v>78</v>
      </c>
      <c r="B590" s="14"/>
      <c r="D590" s="14" t="s">
        <v>52</v>
      </c>
      <c r="E590" s="2" t="s">
        <v>39</v>
      </c>
      <c r="F590" s="41">
        <v>500</v>
      </c>
      <c r="G590" s="28"/>
      <c r="H590" s="34">
        <f>'2018'!BH590</f>
        <v>0</v>
      </c>
      <c r="I590" s="13"/>
      <c r="J590" s="15"/>
      <c r="K590" s="15"/>
      <c r="L590" s="28"/>
      <c r="Q590" s="13"/>
      <c r="R590" s="15"/>
      <c r="S590" s="15"/>
      <c r="T590" s="28"/>
      <c r="Y590" s="13"/>
      <c r="Z590" s="15"/>
      <c r="AA590" s="34">
        <f>$F$14</f>
        <v>500</v>
      </c>
      <c r="AB590" s="35"/>
      <c r="AF590" s="133">
        <v>500</v>
      </c>
      <c r="AG590" s="13"/>
      <c r="AH590" s="15"/>
      <c r="AI590" s="15"/>
      <c r="AJ590" s="28"/>
      <c r="AK590" s="13"/>
      <c r="AL590" s="15"/>
      <c r="AM590" s="15"/>
      <c r="AN590" s="28"/>
      <c r="AO590" s="13"/>
      <c r="AP590" s="15"/>
      <c r="AQ590" s="15"/>
      <c r="AR590" s="28"/>
      <c r="AS590" s="15"/>
      <c r="AT590" s="15"/>
      <c r="AU590" s="15"/>
      <c r="AV590" s="15"/>
      <c r="AW590" s="13"/>
      <c r="AX590" s="15"/>
      <c r="AY590" s="15"/>
      <c r="AZ590" s="28"/>
      <c r="BA590" s="15"/>
      <c r="BB590" s="15"/>
      <c r="BC590" s="15"/>
      <c r="BD590" s="15"/>
      <c r="BE590" s="14"/>
      <c r="BF590" s="41">
        <f t="shared" ref="BF590:BG590" si="1847">K590+O590+S590+W590+AA590+AE590+AI590+AM590+AQ590+AU590+AY590+BC590</f>
        <v>500</v>
      </c>
      <c r="BG590" s="34">
        <f t="shared" si="1847"/>
        <v>500</v>
      </c>
      <c r="BH590" s="35">
        <f t="shared" si="1836"/>
        <v>0</v>
      </c>
    </row>
    <row r="591" ht="14.25" customHeight="1" spans="1:62" x14ac:dyDescent="0.25">
      <c r="A591" s="50">
        <v>78</v>
      </c>
      <c r="B591" s="21"/>
      <c r="C591" s="22" t="s">
        <v>53</v>
      </c>
      <c r="D591" s="21"/>
      <c r="E591" s="22"/>
      <c r="F591" s="20"/>
      <c r="G591" s="23"/>
      <c r="H591" s="51">
        <f>SUM(H584:H590)</f>
        <v>12.4464</v>
      </c>
      <c r="I591" s="52"/>
      <c r="J591" s="53"/>
      <c r="K591" s="51">
        <f t="shared" ref="K591:L591" si="1848">SUM(K584:K590)</f>
        <v>0</v>
      </c>
      <c r="L591" s="68">
        <f t="shared" si="1848"/>
        <v>0</v>
      </c>
      <c r="M591" s="53"/>
      <c r="N591" s="53"/>
      <c r="O591" s="51">
        <f t="shared" ref="O591:P591" si="1849">SUM(O585:O590)</f>
        <v>0</v>
      </c>
      <c r="P591" s="51">
        <f t="shared" si="1849"/>
        <v>0</v>
      </c>
      <c r="Q591" s="52"/>
      <c r="R591" s="53"/>
      <c r="S591" s="51">
        <f t="shared" ref="S591:T591" si="1850">SUM(S585:S590)</f>
        <v>0</v>
      </c>
      <c r="T591" s="68">
        <f t="shared" si="1850"/>
        <v>0</v>
      </c>
      <c r="U591" s="53"/>
      <c r="V591" s="53"/>
      <c r="W591" s="51">
        <f t="shared" ref="W591:X591" si="1851">SUM(W585:W590)</f>
        <v>0</v>
      </c>
      <c r="X591" s="51">
        <f t="shared" si="1851"/>
        <v>0</v>
      </c>
      <c r="Y591" s="52"/>
      <c r="Z591" s="53"/>
      <c r="AA591" s="51">
        <f t="shared" ref="AA591:AB591" si="1852">SUM(AA585:AA590)</f>
        <v>504.98</v>
      </c>
      <c r="AB591" s="68">
        <f t="shared" si="1852"/>
        <v>0</v>
      </c>
      <c r="AC591" s="53"/>
      <c r="AD591" s="53"/>
      <c r="AE591" s="51">
        <f t="shared" ref="AE591:AF591" si="1853">SUM(AE585:AE590)</f>
        <v>5910.42</v>
      </c>
      <c r="AF591" s="51">
        <f t="shared" si="1853"/>
        <v>6450</v>
      </c>
      <c r="AG591" s="52"/>
      <c r="AH591" s="53"/>
      <c r="AI591" s="51">
        <f t="shared" ref="AI591:AJ591" si="1854">SUM(AI585:AI590)</f>
        <v>188.1</v>
      </c>
      <c r="AJ591" s="68">
        <f t="shared" si="1854"/>
        <v>166</v>
      </c>
      <c r="AK591" s="52"/>
      <c r="AL591" s="53"/>
      <c r="AM591" s="51">
        <f t="shared" ref="AM591:AN591" si="1855">SUM(AM585:AM590)</f>
        <v>134.92</v>
      </c>
      <c r="AN591" s="68">
        <f t="shared" si="1855"/>
        <v>135</v>
      </c>
      <c r="AO591" s="52"/>
      <c r="AP591" s="53"/>
      <c r="AQ591" s="51">
        <f t="shared" ref="AQ591:AR591" si="1856">SUM(AQ584:AQ590)</f>
        <v>65.68</v>
      </c>
      <c r="AR591" s="68">
        <f t="shared" si="1856"/>
        <v>0</v>
      </c>
      <c r="AS591" s="53"/>
      <c r="AT591" s="53"/>
      <c r="AU591" s="51">
        <f t="shared" ref="AU591:AV591" si="1857">SUM(AU584:AU590)</f>
        <v>2.5</v>
      </c>
      <c r="AV591" s="68">
        <f t="shared" si="1857"/>
        <v>0</v>
      </c>
      <c r="AW591" s="52"/>
      <c r="AX591" s="53"/>
      <c r="AY591" s="51">
        <f t="shared" ref="AY591:AZ591" si="1858">SUM(AY584:AY590)</f>
        <v>0</v>
      </c>
      <c r="AZ591" s="68">
        <f t="shared" si="1858"/>
        <v>0</v>
      </c>
      <c r="BA591" s="53"/>
      <c r="BB591" s="53"/>
      <c r="BC591" s="51">
        <f t="shared" ref="BC591:BD591" si="1859">SUM(BC584:BC590)</f>
        <v>0</v>
      </c>
      <c r="BD591" s="68">
        <f t="shared" si="1859"/>
        <v>0</v>
      </c>
      <c r="BE591" s="69"/>
      <c r="BF591" s="70">
        <f t="shared" ref="BF591:BH591" si="1860">SUM(BF584:BF590)</f>
        <v>6806.6</v>
      </c>
      <c r="BG591" s="71">
        <f t="shared" si="1860"/>
        <v>6751</v>
      </c>
      <c r="BH591" s="72">
        <f t="shared" si="1860"/>
        <v>68.0464</v>
      </c>
      <c r="BI591" s="34">
        <f>H591+BF591-BG591</f>
        <v>68.0464</v>
      </c>
      <c r="BJ591" s="34">
        <f>BH591-BI591</f>
        <v>0</v>
      </c>
    </row>
    <row r="592" ht="14.25" customHeight="1" spans="1:60" x14ac:dyDescent="0.25">
      <c r="A592" s="29">
        <v>79</v>
      </c>
      <c r="B592" s="14"/>
      <c r="D592" s="14" t="s">
        <v>411</v>
      </c>
      <c r="E592" s="2" t="s">
        <v>39</v>
      </c>
      <c r="F592" s="41"/>
      <c r="G592" s="28"/>
      <c r="H592" s="34">
        <f>'2018'!BH592</f>
        <v>5000</v>
      </c>
      <c r="I592" s="13"/>
      <c r="J592" s="15"/>
      <c r="K592" s="34"/>
      <c r="L592" s="28"/>
      <c r="Q592" s="13"/>
      <c r="R592" s="15"/>
      <c r="S592" s="15"/>
      <c r="T592" s="28"/>
      <c r="Y592" s="13"/>
      <c r="Z592" s="15"/>
      <c r="AA592" s="15"/>
      <c r="AB592" s="28"/>
      <c r="AG592" s="13"/>
      <c r="AH592" s="15"/>
      <c r="AI592" s="15"/>
      <c r="AJ592" s="28"/>
      <c r="AK592" s="13"/>
      <c r="AL592" s="15"/>
      <c r="AM592" s="15"/>
      <c r="AN592" s="28"/>
      <c r="AO592" s="13"/>
      <c r="AP592" s="15"/>
      <c r="AQ592" s="15">
        <v>7.33</v>
      </c>
      <c r="AR592" s="28"/>
      <c r="AU592" s="2">
        <v>1.38</v>
      </c>
      <c r="AV592" s="140">
        <v>3000</v>
      </c>
      <c r="AW592" s="13"/>
      <c r="AX592" s="15"/>
      <c r="AY592" s="15">
        <v>1.33</v>
      </c>
      <c r="AZ592" s="28"/>
      <c r="BC592" s="2">
        <v>1.38</v>
      </c>
      <c r="BE592" s="14"/>
      <c r="BF592" s="41">
        <f t="shared" ref="BF592:BG592" si="1861">K592+O592+S592+W592+AA592+AE592+AI592+AM592+AQ592+AU592+AY592+BC592</f>
        <v>11.42</v>
      </c>
      <c r="BG592" s="34">
        <f t="shared" si="1861"/>
        <v>3000</v>
      </c>
      <c r="BH592" s="35">
        <f t="shared" ref="BH592:BH598" si="1862">H592+BF592-BG592</f>
        <v>2011.42</v>
      </c>
    </row>
    <row r="593" ht="14.25" customHeight="1" spans="1:60" x14ac:dyDescent="0.25">
      <c r="A593" s="147">
        <v>79</v>
      </c>
      <c r="B593" s="14">
        <v>4.24</v>
      </c>
      <c r="C593" s="2" t="s">
        <v>275</v>
      </c>
      <c r="D593" s="14" t="s">
        <v>44</v>
      </c>
      <c r="E593" s="2" t="s">
        <v>45</v>
      </c>
      <c r="F593" s="13">
        <v>2.49</v>
      </c>
      <c r="G593" s="35">
        <v>2.5</v>
      </c>
      <c r="H593" s="33">
        <f>'2018'!BH593</f>
        <v>12.45</v>
      </c>
      <c r="I593" s="94">
        <v>5</v>
      </c>
      <c r="J593" s="15">
        <f>I593-'2018'!BA593</f>
        <v>0</v>
      </c>
      <c r="K593" s="34">
        <f>J593*$F$8</f>
        <v>0</v>
      </c>
      <c r="L593" s="28"/>
      <c r="M593" s="2">
        <v>5</v>
      </c>
      <c r="N593" s="15">
        <f>M593-I593</f>
        <v>0</v>
      </c>
      <c r="O593" s="34">
        <f>N593*$F$8</f>
        <v>0</v>
      </c>
      <c r="Q593" s="13">
        <v>5</v>
      </c>
      <c r="R593" s="15">
        <f>Q593-M593</f>
        <v>0</v>
      </c>
      <c r="S593" s="34">
        <f>R593*$F$8</f>
        <v>0</v>
      </c>
      <c r="T593" s="28"/>
      <c r="U593" s="2">
        <v>5</v>
      </c>
      <c r="V593" s="15">
        <f>U593-Q593</f>
        <v>0</v>
      </c>
      <c r="W593" s="34">
        <f>V593*$F$8</f>
        <v>0</v>
      </c>
      <c r="Y593" s="75">
        <v>5</v>
      </c>
      <c r="Z593" s="15">
        <f>Y593-U593</f>
        <v>0</v>
      </c>
      <c r="AA593" s="34">
        <f>Z593*$F$8</f>
        <v>0</v>
      </c>
      <c r="AB593" s="28"/>
      <c r="AC593" s="75">
        <v>5</v>
      </c>
      <c r="AD593" s="15">
        <f t="shared" ref="AD593:AD594" si="1863">AC593-Y593</f>
        <v>0</v>
      </c>
      <c r="AE593" s="34">
        <f>AD593*$G$8</f>
        <v>0</v>
      </c>
      <c r="AG593" s="75">
        <v>5</v>
      </c>
      <c r="AH593" s="15">
        <f t="shared" ref="AH593:AH594" si="1864">AG593-AC593</f>
        <v>0</v>
      </c>
      <c r="AI593" s="34">
        <f>AH593*$G$8</f>
        <v>0</v>
      </c>
      <c r="AJ593" s="28"/>
      <c r="AK593" s="75">
        <v>5</v>
      </c>
      <c r="AL593" s="15">
        <f t="shared" ref="AL593:AL594" si="1865">AK593-AG593</f>
        <v>0</v>
      </c>
      <c r="AM593" s="34">
        <f>AL593*$G$8</f>
        <v>0</v>
      </c>
      <c r="AN593" s="28"/>
      <c r="AO593" s="13">
        <v>28</v>
      </c>
      <c r="AP593" s="15">
        <f t="shared" ref="AP593:AP594" si="1866">AO593-AK593</f>
        <v>23</v>
      </c>
      <c r="AQ593" s="34">
        <f>AP593*$G$8</f>
        <v>57.5</v>
      </c>
      <c r="AR593" s="28"/>
      <c r="AS593" s="75">
        <v>28</v>
      </c>
      <c r="AT593" s="15">
        <f t="shared" ref="AT593:AT594" si="1867">AS593-AO593</f>
        <v>0</v>
      </c>
      <c r="AU593" s="34">
        <f>AT593*$G$8</f>
        <v>0</v>
      </c>
      <c r="AV593" s="15"/>
      <c r="AW593" s="75">
        <v>28</v>
      </c>
      <c r="AX593" s="15">
        <f>AW593-AS593</f>
        <v>0</v>
      </c>
      <c r="AY593" s="34">
        <f>AX593*$G$8</f>
        <v>0</v>
      </c>
      <c r="AZ593" s="28"/>
      <c r="BA593" s="75">
        <v>28</v>
      </c>
      <c r="BB593" s="15">
        <f>BA593-AW593</f>
        <v>0</v>
      </c>
      <c r="BC593" s="34">
        <f>BB593*$G$8</f>
        <v>0</v>
      </c>
      <c r="BD593" s="15"/>
      <c r="BE593" s="40">
        <f t="shared" ref="BE593:BG593" si="1868">J593+N593+R593+V593+Z593+AD593+AH593+AL593+AP593+AT593+AX593+BB593</f>
        <v>23</v>
      </c>
      <c r="BF593" s="41">
        <f t="shared" si="1868"/>
        <v>57.5</v>
      </c>
      <c r="BG593" s="34">
        <f t="shared" si="1868"/>
        <v>0</v>
      </c>
      <c r="BH593" s="35">
        <f t="shared" si="1862"/>
        <v>69.95</v>
      </c>
    </row>
    <row r="594" ht="14.25" customHeight="1" spans="1:60" x14ac:dyDescent="0.25">
      <c r="A594" s="2"/>
      <c r="B594" s="14"/>
      <c r="C594" s="2" t="s">
        <v>193</v>
      </c>
      <c r="D594" s="14" t="s">
        <v>47</v>
      </c>
      <c r="E594" s="2" t="s">
        <v>48</v>
      </c>
      <c r="F594" s="13">
        <v>17.98</v>
      </c>
      <c r="G594" s="28">
        <v>18.56</v>
      </c>
      <c r="H594" s="34">
        <f>'2018'!BH594</f>
        <v>0</v>
      </c>
      <c r="I594" s="13"/>
      <c r="J594" s="15"/>
      <c r="K594" s="15"/>
      <c r="L594" s="28"/>
      <c r="Q594" s="13"/>
      <c r="R594" s="15"/>
      <c r="S594" s="15"/>
      <c r="T594" s="28"/>
      <c r="Y594" s="13">
        <v>0</v>
      </c>
      <c r="Z594" s="15">
        <f>Y594-'2018'!AO594</f>
        <v>0</v>
      </c>
      <c r="AA594" s="34">
        <f>Z594*$F$10</f>
        <v>0</v>
      </c>
      <c r="AB594" s="28"/>
      <c r="AC594" s="15">
        <v>0</v>
      </c>
      <c r="AD594" s="15">
        <f t="shared" si="1863"/>
        <v>0</v>
      </c>
      <c r="AE594" s="34">
        <f>AD594*$F$10</f>
        <v>0</v>
      </c>
      <c r="AG594" s="13">
        <v>0</v>
      </c>
      <c r="AH594" s="15">
        <f t="shared" si="1864"/>
        <v>0</v>
      </c>
      <c r="AI594" s="45">
        <f>AH594*$G$10</f>
        <v>0</v>
      </c>
      <c r="AJ594" s="28"/>
      <c r="AK594" s="13">
        <v>0</v>
      </c>
      <c r="AL594" s="15">
        <f t="shared" si="1865"/>
        <v>0</v>
      </c>
      <c r="AM594" s="45">
        <f>AL594*$G$10</f>
        <v>0</v>
      </c>
      <c r="AN594" s="28"/>
      <c r="AO594" s="13">
        <v>2</v>
      </c>
      <c r="AP594" s="15">
        <f t="shared" si="1866"/>
        <v>2</v>
      </c>
      <c r="AQ594" s="45">
        <f>AP594*$G$10</f>
        <v>37.12</v>
      </c>
      <c r="AR594" s="28"/>
      <c r="AS594" s="13">
        <v>2</v>
      </c>
      <c r="AT594" s="15">
        <f t="shared" si="1867"/>
        <v>0</v>
      </c>
      <c r="AU594" s="45">
        <f>AT594*$G$10</f>
        <v>0</v>
      </c>
      <c r="AV594" s="15"/>
      <c r="AW594" s="13">
        <v>2</v>
      </c>
      <c r="AX594" s="15"/>
      <c r="AY594" s="15"/>
      <c r="AZ594" s="28"/>
      <c r="BA594" s="15">
        <v>2</v>
      </c>
      <c r="BB594" s="15"/>
      <c r="BC594" s="15"/>
      <c r="BD594" s="15"/>
      <c r="BE594" s="40">
        <f t="shared" ref="BE594:BG594" si="1869">J594+N594+R594+V594+Z594+AD594+AH594+AL594+AP594+AT594+AX594+BB594</f>
        <v>2</v>
      </c>
      <c r="BF594" s="41">
        <f t="shared" si="1869"/>
        <v>37.12</v>
      </c>
      <c r="BG594" s="34">
        <f t="shared" si="1869"/>
        <v>0</v>
      </c>
      <c r="BH594" s="35">
        <f t="shared" si="1862"/>
        <v>37.12</v>
      </c>
    </row>
    <row r="595" ht="14.25" customHeight="1" spans="1:60" x14ac:dyDescent="0.25">
      <c r="A595" s="29">
        <v>79</v>
      </c>
      <c r="B595" s="14"/>
      <c r="C595" s="73" t="s">
        <v>276</v>
      </c>
      <c r="D595" s="14" t="s">
        <v>47</v>
      </c>
      <c r="E595" s="2" t="s">
        <v>49</v>
      </c>
      <c r="F595" s="41">
        <v>500</v>
      </c>
      <c r="G595" s="28"/>
      <c r="H595" s="34">
        <f>'2018'!BH595</f>
        <v>0</v>
      </c>
      <c r="I595" s="13"/>
      <c r="J595" s="15"/>
      <c r="K595" s="15"/>
      <c r="L595" s="28"/>
      <c r="Q595" s="13"/>
      <c r="R595" s="15"/>
      <c r="S595" s="15"/>
      <c r="T595" s="28"/>
      <c r="Y595" s="13"/>
      <c r="Z595" s="15"/>
      <c r="AA595" s="34"/>
      <c r="AB595" s="28"/>
      <c r="AC595" s="15"/>
      <c r="AG595" s="13"/>
      <c r="AH595" s="15"/>
      <c r="AI595" s="15"/>
      <c r="AJ595" s="28"/>
      <c r="AK595" s="13"/>
      <c r="AL595" s="15"/>
      <c r="AM595" s="34"/>
      <c r="AN595" s="28"/>
      <c r="AO595" s="13"/>
      <c r="AP595" s="15"/>
      <c r="AQ595" s="34"/>
      <c r="AR595" s="28"/>
      <c r="AS595" s="15"/>
      <c r="AT595" s="15"/>
      <c r="AU595" s="15"/>
      <c r="AV595" s="15"/>
      <c r="AW595" s="13"/>
      <c r="AX595" s="15"/>
      <c r="AY595" s="15"/>
      <c r="AZ595" s="28"/>
      <c r="BA595" s="15"/>
      <c r="BB595" s="15"/>
      <c r="BC595" s="15"/>
      <c r="BD595" s="15"/>
      <c r="BE595" s="14"/>
      <c r="BF595" s="41">
        <f t="shared" ref="BF595:BG595" si="1870">K595+O595+S595+W595+AA595+AE595+AI595+AM595+AQ595+AU595+AY595+BC595</f>
        <v>0</v>
      </c>
      <c r="BG595" s="34">
        <f t="shared" si="1870"/>
        <v>0</v>
      </c>
      <c r="BH595" s="35">
        <f t="shared" si="1862"/>
        <v>0</v>
      </c>
    </row>
    <row r="596" ht="14.25" customHeight="1" spans="1:60" x14ac:dyDescent="0.25">
      <c r="A596" s="29">
        <v>79</v>
      </c>
      <c r="B596" s="14"/>
      <c r="C596" s="73" t="s">
        <v>277</v>
      </c>
      <c r="D596" s="14" t="s">
        <v>50</v>
      </c>
      <c r="E596" s="2" t="s">
        <v>49</v>
      </c>
      <c r="F596" s="41">
        <v>1200</v>
      </c>
      <c r="G596" s="28"/>
      <c r="H596" s="34">
        <f>'2018'!BH596</f>
        <v>2356.6112</v>
      </c>
      <c r="I596" s="13"/>
      <c r="J596" s="15"/>
      <c r="K596" s="15"/>
      <c r="L596" s="28"/>
      <c r="Q596" s="13"/>
      <c r="R596" s="15"/>
      <c r="S596" s="15"/>
      <c r="T596" s="28"/>
      <c r="Y596" s="13"/>
      <c r="Z596" s="15"/>
      <c r="AA596" s="15"/>
      <c r="AB596" s="28"/>
      <c r="AE596" s="34">
        <f>B593*$F$12</f>
        <v>5088</v>
      </c>
      <c r="AF596" s="34"/>
      <c r="AG596" s="13"/>
      <c r="AH596" s="15"/>
      <c r="AI596" s="15"/>
      <c r="AJ596" s="38">
        <v>3000</v>
      </c>
      <c r="AK596" s="13"/>
      <c r="AL596" s="15"/>
      <c r="AM596" s="15"/>
      <c r="AN596" s="28"/>
      <c r="AO596" s="13"/>
      <c r="AP596" s="15"/>
      <c r="AQ596" s="15"/>
      <c r="AR596" s="38">
        <v>4000</v>
      </c>
      <c r="AS596" s="15"/>
      <c r="AT596" s="15"/>
      <c r="AU596" s="15"/>
      <c r="AV596" s="15"/>
      <c r="AW596" s="13"/>
      <c r="AX596" s="15"/>
      <c r="AY596" s="15"/>
      <c r="AZ596" s="28"/>
      <c r="BA596" s="15"/>
      <c r="BB596" s="15"/>
      <c r="BC596" s="15"/>
      <c r="BD596" s="15"/>
      <c r="BE596" s="14"/>
      <c r="BF596" s="41">
        <f t="shared" ref="BF596:BG596" si="1871">K596+O596+S596+W596+AA596+AE596+AI596+AM596+AQ596+AU596+AY596+BC596</f>
        <v>5088</v>
      </c>
      <c r="BG596" s="34">
        <f t="shared" si="1871"/>
        <v>7000</v>
      </c>
      <c r="BH596" s="35">
        <f t="shared" si="1862"/>
        <v>444.6112</v>
      </c>
    </row>
    <row r="597" ht="14.25" customHeight="1" spans="1:60" x14ac:dyDescent="0.25">
      <c r="A597" s="29">
        <v>79</v>
      </c>
      <c r="B597" s="14"/>
      <c r="C597" s="73" t="s">
        <v>435</v>
      </c>
      <c r="D597" s="14" t="s">
        <v>51</v>
      </c>
      <c r="E597" s="2" t="s">
        <v>49</v>
      </c>
      <c r="F597" s="41">
        <v>1000</v>
      </c>
      <c r="G597" s="28"/>
      <c r="H597" s="34">
        <f>'2018'!BH597</f>
        <v>0</v>
      </c>
      <c r="I597" s="13"/>
      <c r="J597" s="15"/>
      <c r="K597" s="15"/>
      <c r="L597" s="28"/>
      <c r="Q597" s="13"/>
      <c r="R597" s="15"/>
      <c r="S597" s="15"/>
      <c r="T597" s="28"/>
      <c r="Y597" s="13"/>
      <c r="Z597" s="15"/>
      <c r="AA597" s="15"/>
      <c r="AB597" s="28"/>
      <c r="AE597" s="34">
        <f>$F$21</f>
        <v>1000</v>
      </c>
      <c r="AG597" s="13"/>
      <c r="AH597" s="15"/>
      <c r="AI597" s="15"/>
      <c r="AJ597" s="28"/>
      <c r="AK597" s="13"/>
      <c r="AL597" s="15"/>
      <c r="AM597" s="15"/>
      <c r="AN597" s="28"/>
      <c r="AO597" s="13"/>
      <c r="AP597" s="15"/>
      <c r="AQ597" s="15"/>
      <c r="AR597" s="38">
        <v>1000</v>
      </c>
      <c r="AS597" s="15"/>
      <c r="AT597" s="15"/>
      <c r="AU597" s="15"/>
      <c r="AV597" s="15"/>
      <c r="AW597" s="13"/>
      <c r="AX597" s="15"/>
      <c r="AY597" s="15"/>
      <c r="AZ597" s="28"/>
      <c r="BA597" s="15"/>
      <c r="BB597" s="15"/>
      <c r="BC597" s="15"/>
      <c r="BD597" s="15"/>
      <c r="BE597" s="14"/>
      <c r="BF597" s="41">
        <f t="shared" ref="BF597:BG597" si="1872">K597+O597+S597+W597+AA597+AE597+AI597+AM597+AQ597+AU597+AY597+BC597</f>
        <v>1000</v>
      </c>
      <c r="BG597" s="34">
        <f t="shared" si="1872"/>
        <v>1000</v>
      </c>
      <c r="BH597" s="35">
        <f t="shared" si="1862"/>
        <v>0</v>
      </c>
    </row>
    <row r="598" ht="14.25" customHeight="1" spans="1:60" x14ac:dyDescent="0.25">
      <c r="A598" s="29">
        <v>79</v>
      </c>
      <c r="B598" s="14"/>
      <c r="C598" s="73" t="s">
        <v>332</v>
      </c>
      <c r="D598" s="14" t="s">
        <v>52</v>
      </c>
      <c r="E598" s="2" t="s">
        <v>39</v>
      </c>
      <c r="F598" s="41">
        <v>500</v>
      </c>
      <c r="G598" s="28"/>
      <c r="H598" s="84">
        <f>'2018'!BH598-500</f>
        <v>-500</v>
      </c>
      <c r="I598" s="13"/>
      <c r="J598" s="15"/>
      <c r="K598" s="15"/>
      <c r="L598" s="28"/>
      <c r="Q598" s="13"/>
      <c r="R598" s="15"/>
      <c r="S598" s="15"/>
      <c r="T598" s="28"/>
      <c r="Y598" s="13"/>
      <c r="Z598" s="15"/>
      <c r="AA598" s="34">
        <f>$F$14</f>
        <v>500</v>
      </c>
      <c r="AB598" s="35"/>
      <c r="AG598" s="13"/>
      <c r="AH598" s="15"/>
      <c r="AI598" s="15"/>
      <c r="AJ598" s="28"/>
      <c r="AK598" s="13"/>
      <c r="AL598" s="15"/>
      <c r="AM598" s="15"/>
      <c r="AN598" s="28"/>
      <c r="AO598" s="13"/>
      <c r="AP598" s="15"/>
      <c r="AQ598" s="15"/>
      <c r="AR598" s="28"/>
      <c r="AS598" s="15"/>
      <c r="AT598" s="15"/>
      <c r="AU598" s="15"/>
      <c r="AV598" s="15"/>
      <c r="AW598" s="13"/>
      <c r="AX598" s="15"/>
      <c r="AY598" s="15"/>
      <c r="AZ598" s="28"/>
      <c r="BA598" s="15"/>
      <c r="BB598" s="15"/>
      <c r="BC598" s="15"/>
      <c r="BD598" s="15"/>
      <c r="BE598" s="14"/>
      <c r="BF598" s="41">
        <f t="shared" ref="BF598:BG598" si="1873">K598+O598+S598+W598+AA598+AE598+AI598+AM598+AQ598+AU598+AY598+BC598</f>
        <v>500</v>
      </c>
      <c r="BG598" s="34">
        <f t="shared" si="1873"/>
        <v>0</v>
      </c>
      <c r="BH598" s="35">
        <f t="shared" si="1862"/>
        <v>0</v>
      </c>
    </row>
    <row r="599" ht="14.25" customHeight="1" spans="1:62" x14ac:dyDescent="0.25">
      <c r="A599" s="50">
        <v>79</v>
      </c>
      <c r="B599" s="21"/>
      <c r="C599" s="22" t="s">
        <v>53</v>
      </c>
      <c r="D599" s="21"/>
      <c r="E599" s="22"/>
      <c r="F599" s="20"/>
      <c r="G599" s="23"/>
      <c r="H599" s="51">
        <f>SUM(H592:H598)</f>
        <v>6869.0612</v>
      </c>
      <c r="I599" s="52"/>
      <c r="J599" s="53"/>
      <c r="K599" s="51">
        <f t="shared" ref="K599:L599" si="1874">SUM(K592:K598)</f>
        <v>0</v>
      </c>
      <c r="L599" s="68">
        <f t="shared" si="1874"/>
        <v>0</v>
      </c>
      <c r="M599" s="53"/>
      <c r="N599" s="53"/>
      <c r="O599" s="51">
        <f t="shared" ref="O599:P599" si="1875">SUM(O593:O598)</f>
        <v>0</v>
      </c>
      <c r="P599" s="51">
        <f t="shared" si="1875"/>
        <v>0</v>
      </c>
      <c r="Q599" s="52"/>
      <c r="R599" s="53"/>
      <c r="S599" s="51">
        <f t="shared" ref="S599:T599" si="1876">SUM(S593:S598)</f>
        <v>0</v>
      </c>
      <c r="T599" s="68">
        <f t="shared" si="1876"/>
        <v>0</v>
      </c>
      <c r="U599" s="53"/>
      <c r="V599" s="53"/>
      <c r="W599" s="51">
        <f t="shared" ref="W599:X599" si="1877">SUM(W593:W598)</f>
        <v>0</v>
      </c>
      <c r="X599" s="51">
        <f t="shared" si="1877"/>
        <v>0</v>
      </c>
      <c r="Y599" s="52"/>
      <c r="Z599" s="53"/>
      <c r="AA599" s="51">
        <f t="shared" ref="AA599:AB599" si="1878">SUM(AA593:AA598)</f>
        <v>500</v>
      </c>
      <c r="AB599" s="68">
        <f t="shared" si="1878"/>
        <v>0</v>
      </c>
      <c r="AC599" s="53"/>
      <c r="AD599" s="53"/>
      <c r="AE599" s="51">
        <f t="shared" ref="AE599:AF599" si="1879">SUM(AE593:AE598)</f>
        <v>6088</v>
      </c>
      <c r="AF599" s="51">
        <f t="shared" si="1879"/>
        <v>0</v>
      </c>
      <c r="AG599" s="52"/>
      <c r="AH599" s="53"/>
      <c r="AI599" s="51">
        <f t="shared" ref="AI599:AJ599" si="1880">SUM(AI593:AI598)</f>
        <v>0</v>
      </c>
      <c r="AJ599" s="68">
        <f t="shared" si="1880"/>
        <v>3000</v>
      </c>
      <c r="AK599" s="52"/>
      <c r="AL599" s="53"/>
      <c r="AM599" s="51">
        <f t="shared" ref="AM599:AN599" si="1881">SUM(AM593:AM598)</f>
        <v>0</v>
      </c>
      <c r="AN599" s="68">
        <f t="shared" si="1881"/>
        <v>0</v>
      </c>
      <c r="AO599" s="52"/>
      <c r="AP599" s="53"/>
      <c r="AQ599" s="51">
        <f t="shared" ref="AQ599:AR599" si="1882">SUM(AQ592:AQ598)</f>
        <v>101.95</v>
      </c>
      <c r="AR599" s="68">
        <f t="shared" si="1882"/>
        <v>5000</v>
      </c>
      <c r="AS599" s="53"/>
      <c r="AT599" s="53"/>
      <c r="AU599" s="51">
        <f t="shared" ref="AU599:AV599" si="1883">SUM(AU592:AU598)</f>
        <v>1.38</v>
      </c>
      <c r="AV599" s="68">
        <f t="shared" si="1883"/>
        <v>3000</v>
      </c>
      <c r="AW599" s="52"/>
      <c r="AX599" s="53"/>
      <c r="AY599" s="51">
        <f t="shared" ref="AY599:AZ599" si="1884">SUM(AY592:AY598)</f>
        <v>1.33</v>
      </c>
      <c r="AZ599" s="68">
        <f t="shared" si="1884"/>
        <v>0</v>
      </c>
      <c r="BA599" s="53"/>
      <c r="BB599" s="53"/>
      <c r="BC599" s="51">
        <f t="shared" ref="BC599:BD599" si="1885">SUM(BC592:BC598)</f>
        <v>1.38</v>
      </c>
      <c r="BD599" s="68">
        <f t="shared" si="1885"/>
        <v>0</v>
      </c>
      <c r="BE599" s="69"/>
      <c r="BF599" s="70">
        <f t="shared" ref="BF599:BH599" si="1886">SUM(BF592:BF598)</f>
        <v>6694.04</v>
      </c>
      <c r="BG599" s="71">
        <f t="shared" si="1886"/>
        <v>11000</v>
      </c>
      <c r="BH599" s="72">
        <f t="shared" si="1886"/>
        <v>2563.1012</v>
      </c>
      <c r="BI599" s="34">
        <f>H599+BF599-BG599</f>
        <v>2563.1012</v>
      </c>
      <c r="BJ599" s="34">
        <f>BH599-BI599</f>
        <v>0</v>
      </c>
    </row>
    <row r="600" ht="14.25" customHeight="1" spans="1:65" x14ac:dyDescent="0.25">
      <c r="A600" s="29">
        <v>81</v>
      </c>
      <c r="B600" s="14"/>
      <c r="C600" s="15"/>
      <c r="D600" s="14" t="s">
        <v>379</v>
      </c>
      <c r="E600" s="15"/>
      <c r="F600" s="13"/>
      <c r="G600" s="28"/>
      <c r="H600" s="34">
        <f>'2018'!BH600</f>
      </c>
      <c r="I600" s="13"/>
      <c r="J600" s="15"/>
      <c r="K600" s="34"/>
      <c r="L600" s="35"/>
      <c r="M600" s="15"/>
      <c r="N600" s="15"/>
      <c r="O600" s="34"/>
      <c r="P600" s="34"/>
      <c r="Q600" s="13"/>
      <c r="R600" s="15"/>
      <c r="S600" s="34"/>
      <c r="T600" s="35"/>
      <c r="U600" s="15"/>
      <c r="V600" s="15"/>
      <c r="W600" s="34"/>
      <c r="X600" s="34"/>
      <c r="Y600" s="13"/>
      <c r="Z600" s="15"/>
      <c r="AA600" s="34"/>
      <c r="AB600" s="35"/>
      <c r="AC600" s="15"/>
      <c r="AD600" s="15"/>
      <c r="AE600" s="34"/>
      <c r="AF600" s="34"/>
      <c r="AG600" s="13"/>
      <c r="AH600" s="15"/>
      <c r="AI600" s="34"/>
      <c r="AJ600" s="35"/>
      <c r="AK600" s="13"/>
      <c r="AL600" s="15"/>
      <c r="AM600" s="34"/>
      <c r="AN600" s="35"/>
      <c r="AO600" s="13"/>
      <c r="AP600" s="15"/>
      <c r="AQ600" s="34"/>
      <c r="AR600" s="35"/>
      <c r="AS600" s="15"/>
      <c r="AT600" s="15"/>
      <c r="AU600" s="34"/>
      <c r="AV600" s="34"/>
      <c r="AW600" s="13"/>
      <c r="AX600" s="15"/>
      <c r="AY600" s="34"/>
      <c r="AZ600" s="35"/>
      <c r="BA600" s="15"/>
      <c r="BB600" s="15"/>
      <c r="BC600" s="34"/>
      <c r="BD600" s="34"/>
      <c r="BE600" s="42"/>
      <c r="BF600" s="41">
        <f t="shared" ref="BF600:BG600" si="1887">K600+O600+S600+W600+AA600+AE600+AI600+AM600+AQ600+AU600+AY600+BC600</f>
        <v>0</v>
      </c>
      <c r="BG600" s="34">
        <f t="shared" si="1887"/>
        <v>0</v>
      </c>
      <c r="BH600" s="35">
        <f t="shared" ref="BH600:BH606" si="1888">H600+BF600-BG600</f>
        <v>0</v>
      </c>
      <c r="BI600" s="15"/>
      <c r="BJ600" s="15"/>
      <c r="BK600" s="15"/>
      <c r="BL600" s="15"/>
      <c r="BM600" s="15"/>
    </row>
    <row r="601" ht="14.25" customHeight="1" spans="1:65" x14ac:dyDescent="0.25">
      <c r="A601" s="2">
        <v>81</v>
      </c>
      <c r="B601" s="42">
        <v>4.3</v>
      </c>
      <c r="C601" s="15" t="s">
        <v>278</v>
      </c>
      <c r="D601" s="14" t="s">
        <v>44</v>
      </c>
      <c r="E601" s="15" t="s">
        <v>45</v>
      </c>
      <c r="F601" s="13">
        <v>2.49</v>
      </c>
      <c r="G601" s="35">
        <v>2.5</v>
      </c>
      <c r="H601" s="104">
        <f>'2018'!BH601</f>
        <v>0</v>
      </c>
      <c r="I601" s="13"/>
      <c r="J601" s="15"/>
      <c r="K601" s="34">
        <f>J601*$F$8</f>
        <v>0</v>
      </c>
      <c r="L601" s="35"/>
      <c r="M601" s="15"/>
      <c r="N601" s="15">
        <f>M601-I601</f>
        <v>0</v>
      </c>
      <c r="O601" s="34">
        <f>N601*$F$8</f>
        <v>0</v>
      </c>
      <c r="P601" s="34"/>
      <c r="Q601" s="13"/>
      <c r="R601" s="15">
        <f>Q601-M601</f>
        <v>0</v>
      </c>
      <c r="S601" s="34">
        <f>R601*$F$8</f>
        <v>0</v>
      </c>
      <c r="T601" s="35"/>
      <c r="U601" s="15"/>
      <c r="V601" s="15">
        <f>U601-Q601</f>
        <v>0</v>
      </c>
      <c r="W601" s="34"/>
      <c r="X601" s="34"/>
      <c r="Y601" s="13"/>
      <c r="Z601" s="15">
        <f>Y601-U601</f>
        <v>0</v>
      </c>
      <c r="AA601" s="34">
        <f>Z601*$F$8</f>
        <v>0</v>
      </c>
      <c r="AB601" s="35"/>
      <c r="AC601" s="15"/>
      <c r="AD601" s="15">
        <f t="shared" ref="AD601:AD602" si="1889">AC601-Y601</f>
        <v>0</v>
      </c>
      <c r="AE601" s="34">
        <f>AD601*$G$8</f>
        <v>0</v>
      </c>
      <c r="AF601" s="34"/>
      <c r="AG601" s="13"/>
      <c r="AH601" s="15">
        <f t="shared" ref="AH601:AH602" si="1890">AG601-AC601</f>
        <v>0</v>
      </c>
      <c r="AI601" s="34">
        <f>AH601*$G$8</f>
        <v>0</v>
      </c>
      <c r="AJ601" s="28"/>
      <c r="AK601" s="13"/>
      <c r="AL601" s="15">
        <f t="shared" ref="AL601:AL602" si="1891">AK601-AG601</f>
        <v>0</v>
      </c>
      <c r="AM601" s="34">
        <f>AL601*$G$8</f>
        <v>0</v>
      </c>
      <c r="AN601" s="28"/>
      <c r="AO601" s="13"/>
      <c r="AP601" s="15">
        <f t="shared" ref="AP601:AP602" si="1892">AO601-AK601</f>
        <v>0</v>
      </c>
      <c r="AQ601" s="34">
        <f>AP601*$G$8</f>
        <v>0</v>
      </c>
      <c r="AR601" s="28"/>
      <c r="AS601" s="15"/>
      <c r="AT601" s="15">
        <f t="shared" ref="AT601:AT602" si="1893">AS601-AO601</f>
        <v>0</v>
      </c>
      <c r="AU601" s="34">
        <f>AT601*$G$8</f>
        <v>0</v>
      </c>
      <c r="AV601" s="15"/>
      <c r="AW601" s="13"/>
      <c r="AX601" s="15">
        <f>AW601-AS601</f>
        <v>0</v>
      </c>
      <c r="AY601" s="34">
        <f>AX601*$G$8</f>
        <v>0</v>
      </c>
      <c r="AZ601" s="28"/>
      <c r="BA601" s="15"/>
      <c r="BB601" s="15">
        <f>BA601-AW601</f>
        <v>0</v>
      </c>
      <c r="BC601" s="34">
        <f>BB601*$G$8</f>
        <v>0</v>
      </c>
      <c r="BD601" s="15"/>
      <c r="BE601" s="40">
        <f t="shared" ref="BE601:BG601" si="1894">J601+N601+R601+V601+Z601+AD601+AH601+AL601+AP601+AT601+AX601+BB601</f>
        <v>0</v>
      </c>
      <c r="BF601" s="41">
        <f t="shared" si="1894"/>
        <v>0</v>
      </c>
      <c r="BG601" s="34">
        <f t="shared" si="1894"/>
        <v>0</v>
      </c>
      <c r="BH601" s="35">
        <f t="shared" si="1888"/>
        <v>0</v>
      </c>
      <c r="BI601" s="15"/>
      <c r="BJ601" s="15"/>
      <c r="BK601" s="15"/>
      <c r="BL601" s="15"/>
      <c r="BM601" s="15"/>
    </row>
    <row r="602" ht="14.25" customHeight="1" spans="1:65" x14ac:dyDescent="0.25">
      <c r="A602" s="29">
        <v>81</v>
      </c>
      <c r="B602" s="14"/>
      <c r="C602" s="15" t="s">
        <v>67</v>
      </c>
      <c r="D602" s="14" t="s">
        <v>47</v>
      </c>
      <c r="E602" s="15" t="s">
        <v>48</v>
      </c>
      <c r="F602" s="13">
        <v>17.98</v>
      </c>
      <c r="G602" s="28">
        <v>18.56</v>
      </c>
      <c r="H602" s="34">
        <f>'2018'!BH602</f>
        <v>0</v>
      </c>
      <c r="I602" s="13">
        <v>22</v>
      </c>
      <c r="J602" s="15"/>
      <c r="K602" s="34"/>
      <c r="L602" s="35"/>
      <c r="M602" s="15"/>
      <c r="N602" s="15"/>
      <c r="O602" s="34"/>
      <c r="P602" s="34"/>
      <c r="Q602" s="13"/>
      <c r="R602" s="15"/>
      <c r="S602" s="34"/>
      <c r="T602" s="35"/>
      <c r="U602" s="15"/>
      <c r="V602" s="15"/>
      <c r="W602" s="34"/>
      <c r="X602" s="34"/>
      <c r="Y602" s="95">
        <v>23</v>
      </c>
      <c r="Z602" s="81">
        <f>Y602-'2018'!AO602</f>
        <v>1</v>
      </c>
      <c r="AA602" s="34">
        <f>Z602*$F$10</f>
        <v>17.98</v>
      </c>
      <c r="AB602" s="35"/>
      <c r="AC602" s="15">
        <v>25</v>
      </c>
      <c r="AD602" s="15">
        <f t="shared" si="1889"/>
        <v>2</v>
      </c>
      <c r="AE602" s="34">
        <f>AD602*$F$10</f>
        <v>35.96</v>
      </c>
      <c r="AF602" s="133">
        <f>53.94+36.06</f>
        <v>90</v>
      </c>
      <c r="AG602" s="13">
        <v>29</v>
      </c>
      <c r="AH602" s="15">
        <f t="shared" si="1890"/>
        <v>4</v>
      </c>
      <c r="AI602" s="45">
        <f>AH602*$G$10</f>
        <v>74.24</v>
      </c>
      <c r="AJ602" s="134">
        <v>40</v>
      </c>
      <c r="AK602" s="13">
        <v>40</v>
      </c>
      <c r="AL602" s="15">
        <f t="shared" si="1891"/>
        <v>11</v>
      </c>
      <c r="AM602" s="45">
        <f>AL602*$G$10</f>
        <v>204.16</v>
      </c>
      <c r="AN602" s="134">
        <v>203</v>
      </c>
      <c r="AO602" s="75">
        <v>40</v>
      </c>
      <c r="AP602" s="15">
        <f t="shared" si="1892"/>
        <v>0</v>
      </c>
      <c r="AQ602" s="45">
        <f>AP602*$G$10</f>
        <v>0</v>
      </c>
      <c r="AR602" s="35"/>
      <c r="AS602" s="75">
        <v>40</v>
      </c>
      <c r="AT602" s="15">
        <f t="shared" si="1893"/>
        <v>0</v>
      </c>
      <c r="AU602" s="45">
        <f>AT602*$G$10</f>
        <v>0</v>
      </c>
      <c r="AV602" s="15"/>
      <c r="AW602" s="75">
        <v>40</v>
      </c>
      <c r="AX602" s="15"/>
      <c r="AY602" s="15"/>
      <c r="AZ602" s="28"/>
      <c r="BA602" s="75">
        <v>40</v>
      </c>
      <c r="BB602" s="15"/>
      <c r="BC602" s="15"/>
      <c r="BD602" s="15"/>
      <c r="BE602" s="40">
        <f t="shared" ref="BE602:BG602" si="1895">J602+N602+R602+V602+Z602+AD602+AH602+AL602+AP602+AT602+AX602+BB602</f>
        <v>18</v>
      </c>
      <c r="BF602" s="41">
        <f t="shared" si="1895"/>
        <v>332.34</v>
      </c>
      <c r="BG602" s="34">
        <f t="shared" si="1895"/>
        <v>333</v>
      </c>
      <c r="BH602" s="35">
        <f t="shared" si="1888"/>
        <v>-0.66</v>
      </c>
      <c r="BI602" s="15"/>
      <c r="BJ602" s="15"/>
      <c r="BK602" s="15"/>
      <c r="BL602" s="15"/>
      <c r="BM602" s="15"/>
    </row>
    <row r="603" ht="14.25" customHeight="1" spans="1:65" x14ac:dyDescent="0.25">
      <c r="A603" s="29">
        <v>81</v>
      </c>
      <c r="B603" s="14"/>
      <c r="C603" s="15" t="s">
        <v>279</v>
      </c>
      <c r="D603" s="14" t="s">
        <v>47</v>
      </c>
      <c r="E603" s="15" t="s">
        <v>49</v>
      </c>
      <c r="F603" s="41">
        <v>500</v>
      </c>
      <c r="G603" s="28"/>
      <c r="H603" s="34">
        <f>'2018'!BH603</f>
        <v>0</v>
      </c>
      <c r="I603" s="13"/>
      <c r="J603" s="15"/>
      <c r="K603" s="34"/>
      <c r="L603" s="35"/>
      <c r="M603" s="15"/>
      <c r="N603" s="15"/>
      <c r="O603" s="34"/>
      <c r="P603" s="34"/>
      <c r="Q603" s="13"/>
      <c r="R603" s="15"/>
      <c r="S603" s="34"/>
      <c r="T603" s="35"/>
      <c r="U603" s="15"/>
      <c r="V603" s="15"/>
      <c r="W603" s="34"/>
      <c r="X603" s="34"/>
      <c r="Y603" s="13"/>
      <c r="Z603" s="15"/>
      <c r="AA603" s="34"/>
      <c r="AB603" s="35"/>
      <c r="AC603" s="15"/>
      <c r="AD603" s="15"/>
      <c r="AE603" s="34"/>
      <c r="AF603" s="34"/>
      <c r="AG603" s="13"/>
      <c r="AH603" s="15"/>
      <c r="AI603" s="15"/>
      <c r="AJ603" s="28"/>
      <c r="AK603" s="13"/>
      <c r="AL603" s="15"/>
      <c r="AM603" s="34"/>
      <c r="AN603" s="28"/>
      <c r="AO603" s="13"/>
      <c r="AP603" s="15"/>
      <c r="AQ603" s="34"/>
      <c r="AR603" s="28"/>
      <c r="AS603" s="15"/>
      <c r="AT603" s="15"/>
      <c r="AU603" s="15"/>
      <c r="AV603" s="15"/>
      <c r="AW603" s="13"/>
      <c r="AX603" s="15"/>
      <c r="AY603" s="15"/>
      <c r="AZ603" s="28"/>
      <c r="BA603" s="15"/>
      <c r="BB603" s="15"/>
      <c r="BC603" s="15"/>
      <c r="BD603" s="15"/>
      <c r="BE603" s="14"/>
      <c r="BF603" s="41">
        <f t="shared" ref="BF603:BG603" si="1896">K603+O603+S603+W603+AA603+AE603+AI603+AM603+AQ603+AU603+AY603+BC603</f>
        <v>0</v>
      </c>
      <c r="BG603" s="34">
        <f t="shared" si="1896"/>
        <v>0</v>
      </c>
      <c r="BH603" s="35">
        <f t="shared" si="1888"/>
        <v>0</v>
      </c>
      <c r="BI603" s="15"/>
      <c r="BJ603" s="15"/>
      <c r="BK603" s="15"/>
      <c r="BL603" s="15"/>
      <c r="BM603" s="15"/>
    </row>
    <row r="604" ht="14.25" customHeight="1" spans="1:65" x14ac:dyDescent="0.25">
      <c r="A604" s="29">
        <v>81</v>
      </c>
      <c r="B604" s="14"/>
      <c r="C604" s="15"/>
      <c r="D604" s="14" t="s">
        <v>50</v>
      </c>
      <c r="E604" s="15" t="s">
        <v>49</v>
      </c>
      <c r="F604" s="41">
        <v>1200</v>
      </c>
      <c r="G604" s="28"/>
      <c r="H604" s="34">
        <f>'2018'!BH604</f>
        <v>0.004</v>
      </c>
      <c r="I604" s="13"/>
      <c r="J604" s="15"/>
      <c r="K604" s="34"/>
      <c r="L604" s="35"/>
      <c r="M604" s="15"/>
      <c r="N604" s="15"/>
      <c r="O604" s="34"/>
      <c r="P604" s="34"/>
      <c r="Q604" s="13"/>
      <c r="R604" s="15"/>
      <c r="S604" s="34"/>
      <c r="T604" s="35"/>
      <c r="U604" s="15"/>
      <c r="V604" s="15"/>
      <c r="W604" s="34"/>
      <c r="X604" s="34"/>
      <c r="Y604" s="13"/>
      <c r="Z604" s="15"/>
      <c r="AA604" s="34"/>
      <c r="AB604" s="35"/>
      <c r="AC604" s="15"/>
      <c r="AD604" s="15"/>
      <c r="AE604" s="34">
        <f>B601*$F$12</f>
        <v>5160</v>
      </c>
      <c r="AF604" s="133">
        <v>5160</v>
      </c>
      <c r="AG604" s="13"/>
      <c r="AH604" s="15"/>
      <c r="AI604" s="15"/>
      <c r="AJ604" s="38"/>
      <c r="AK604" s="13"/>
      <c r="AL604" s="15"/>
      <c r="AM604" s="15"/>
      <c r="AN604" s="28"/>
      <c r="AO604" s="13"/>
      <c r="AP604" s="15"/>
      <c r="AQ604" s="15"/>
      <c r="AR604" s="28"/>
      <c r="AS604" s="15"/>
      <c r="AT604" s="15"/>
      <c r="AU604" s="15"/>
      <c r="AV604" s="15"/>
      <c r="AW604" s="13"/>
      <c r="AX604" s="15"/>
      <c r="AY604" s="15"/>
      <c r="AZ604" s="28"/>
      <c r="BA604" s="15"/>
      <c r="BB604" s="15"/>
      <c r="BC604" s="15"/>
      <c r="BD604" s="15"/>
      <c r="BE604" s="14"/>
      <c r="BF604" s="41">
        <f t="shared" ref="BF604:BG604" si="1897">K604+O604+S604+W604+AA604+AE604+AI604+AM604+AQ604+AU604+AY604+BC604</f>
        <v>5160</v>
      </c>
      <c r="BG604" s="34">
        <f t="shared" si="1897"/>
        <v>5160</v>
      </c>
      <c r="BH604" s="35">
        <f t="shared" si="1888"/>
        <v>0.004</v>
      </c>
      <c r="BI604" s="15"/>
      <c r="BJ604" s="15"/>
      <c r="BK604" s="15"/>
      <c r="BL604" s="15"/>
      <c r="BM604" s="15"/>
    </row>
    <row r="605" ht="14.25" customHeight="1" spans="1:65" x14ac:dyDescent="0.25">
      <c r="A605" s="29">
        <v>81</v>
      </c>
      <c r="B605" s="14"/>
      <c r="C605" s="15"/>
      <c r="D605" s="14" t="s">
        <v>51</v>
      </c>
      <c r="E605" s="15" t="s">
        <v>49</v>
      </c>
      <c r="F605" s="41">
        <v>1000</v>
      </c>
      <c r="G605" s="28"/>
      <c r="H605" s="34">
        <f>'2018'!BH605</f>
        <v>0</v>
      </c>
      <c r="I605" s="13"/>
      <c r="J605" s="15"/>
      <c r="K605" s="34"/>
      <c r="L605" s="35"/>
      <c r="M605" s="15"/>
      <c r="N605" s="15"/>
      <c r="O605" s="34"/>
      <c r="P605" s="34"/>
      <c r="Q605" s="13"/>
      <c r="R605" s="15"/>
      <c r="S605" s="34"/>
      <c r="T605" s="35"/>
      <c r="U605" s="15"/>
      <c r="V605" s="15"/>
      <c r="W605" s="34"/>
      <c r="X605" s="34"/>
      <c r="Y605" s="13"/>
      <c r="Z605" s="15"/>
      <c r="AA605" s="34"/>
      <c r="AB605" s="35"/>
      <c r="AC605" s="15"/>
      <c r="AD605" s="15"/>
      <c r="AE605" s="34">
        <f>$F$21</f>
        <v>1000</v>
      </c>
      <c r="AF605" s="133">
        <v>1000</v>
      </c>
      <c r="AG605" s="13"/>
      <c r="AH605" s="15"/>
      <c r="AI605" s="15"/>
      <c r="AJ605" s="28"/>
      <c r="AK605" s="13"/>
      <c r="AL605" s="15"/>
      <c r="AM605" s="15"/>
      <c r="AN605" s="28"/>
      <c r="AO605" s="13"/>
      <c r="AP605" s="15"/>
      <c r="AQ605" s="15"/>
      <c r="AR605" s="28"/>
      <c r="AS605" s="15"/>
      <c r="AT605" s="15"/>
      <c r="AU605" s="15"/>
      <c r="AV605" s="15"/>
      <c r="AW605" s="13"/>
      <c r="AX605" s="15"/>
      <c r="AY605" s="15"/>
      <c r="AZ605" s="28"/>
      <c r="BA605" s="15"/>
      <c r="BB605" s="15"/>
      <c r="BC605" s="15"/>
      <c r="BD605" s="15"/>
      <c r="BE605" s="14"/>
      <c r="BF605" s="41">
        <f t="shared" ref="BF605:BG605" si="1898">K605+O605+S605+W605+AA605+AE605+AI605+AM605+AQ605+AU605+AY605+BC605</f>
        <v>1000</v>
      </c>
      <c r="BG605" s="34">
        <f t="shared" si="1898"/>
        <v>1000</v>
      </c>
      <c r="BH605" s="35">
        <f t="shared" si="1888"/>
        <v>0</v>
      </c>
      <c r="BI605" s="15"/>
      <c r="BJ605" s="15"/>
      <c r="BK605" s="15"/>
      <c r="BL605" s="15"/>
      <c r="BM605" s="15"/>
    </row>
    <row r="606" ht="14.25" customHeight="1" spans="1:65" x14ac:dyDescent="0.25">
      <c r="A606" s="29">
        <v>81</v>
      </c>
      <c r="B606" s="14"/>
      <c r="C606" s="15"/>
      <c r="D606" s="14" t="s">
        <v>52</v>
      </c>
      <c r="E606" s="15" t="s">
        <v>39</v>
      </c>
      <c r="F606" s="41">
        <v>500</v>
      </c>
      <c r="G606" s="28"/>
      <c r="H606" s="34">
        <f>'2018'!BH606</f>
        <v>0</v>
      </c>
      <c r="I606" s="13"/>
      <c r="J606" s="15"/>
      <c r="K606" s="34"/>
      <c r="L606" s="35"/>
      <c r="M606" s="15"/>
      <c r="N606" s="15"/>
      <c r="O606" s="34"/>
      <c r="P606" s="34"/>
      <c r="Q606" s="13"/>
      <c r="R606" s="15"/>
      <c r="S606" s="34"/>
      <c r="T606" s="35"/>
      <c r="U606" s="15"/>
      <c r="V606" s="15"/>
      <c r="W606" s="34"/>
      <c r="X606" s="34"/>
      <c r="Y606" s="13"/>
      <c r="Z606" s="15"/>
      <c r="AA606" s="34">
        <f>$F$14</f>
        <v>500</v>
      </c>
      <c r="AB606" s="35"/>
      <c r="AC606" s="15"/>
      <c r="AD606" s="15"/>
      <c r="AE606" s="34"/>
      <c r="AF606" s="133">
        <v>500</v>
      </c>
      <c r="AG606" s="13"/>
      <c r="AH606" s="15"/>
      <c r="AI606" s="15"/>
      <c r="AJ606" s="28"/>
      <c r="AK606" s="13"/>
      <c r="AL606" s="15"/>
      <c r="AM606" s="15"/>
      <c r="AN606" s="28"/>
      <c r="AO606" s="13"/>
      <c r="AP606" s="15"/>
      <c r="AQ606" s="15"/>
      <c r="AR606" s="28"/>
      <c r="AS606" s="15"/>
      <c r="AT606" s="15"/>
      <c r="AU606" s="15"/>
      <c r="AV606" s="15"/>
      <c r="AW606" s="13"/>
      <c r="AX606" s="15"/>
      <c r="AY606" s="15"/>
      <c r="AZ606" s="28"/>
      <c r="BA606" s="15"/>
      <c r="BB606" s="15"/>
      <c r="BC606" s="15"/>
      <c r="BD606" s="15"/>
      <c r="BE606" s="14"/>
      <c r="BF606" s="41">
        <f t="shared" ref="BF606:BG606" si="1899">K606+O606+S606+W606+AA606+AE606+AI606+AM606+AQ606+AU606+AY606+BC606</f>
        <v>500</v>
      </c>
      <c r="BG606" s="34">
        <f t="shared" si="1899"/>
        <v>500</v>
      </c>
      <c r="BH606" s="35">
        <f t="shared" si="1888"/>
        <v>0</v>
      </c>
      <c r="BI606" s="15"/>
      <c r="BJ606" s="15"/>
      <c r="BK606" s="15"/>
      <c r="BL606" s="15"/>
      <c r="BM606" s="15"/>
    </row>
    <row r="607" ht="14.25" customHeight="1" spans="1:62" x14ac:dyDescent="0.25">
      <c r="A607" s="50">
        <v>81</v>
      </c>
      <c r="B607" s="21"/>
      <c r="C607" s="22" t="s">
        <v>53</v>
      </c>
      <c r="D607" s="21"/>
      <c r="E607" s="22"/>
      <c r="F607" s="20"/>
      <c r="G607" s="23"/>
      <c r="H607" s="51">
        <f>SUM(H600:H606)</f>
        <v>0.004</v>
      </c>
      <c r="I607" s="52"/>
      <c r="J607" s="53"/>
      <c r="K607" s="51">
        <f t="shared" ref="K607:L607" si="1900">SUM(K600:K606)</f>
        <v>0</v>
      </c>
      <c r="L607" s="68">
        <f t="shared" si="1900"/>
        <v>0</v>
      </c>
      <c r="M607" s="53"/>
      <c r="N607" s="53"/>
      <c r="O607" s="51">
        <f t="shared" ref="O607:P607" si="1901">SUM(O601:O606)</f>
        <v>0</v>
      </c>
      <c r="P607" s="51">
        <f t="shared" si="1901"/>
        <v>0</v>
      </c>
      <c r="Q607" s="52"/>
      <c r="R607" s="53"/>
      <c r="S607" s="51">
        <f t="shared" ref="S607:T607" si="1902">SUM(S601:S606)</f>
        <v>0</v>
      </c>
      <c r="T607" s="68">
        <f t="shared" si="1902"/>
        <v>0</v>
      </c>
      <c r="U607" s="53"/>
      <c r="V607" s="53"/>
      <c r="W607" s="51">
        <f t="shared" ref="W607:X607" si="1903">SUM(W601:W606)</f>
        <v>0</v>
      </c>
      <c r="X607" s="51">
        <f t="shared" si="1903"/>
        <v>0</v>
      </c>
      <c r="Y607" s="52"/>
      <c r="Z607" s="53"/>
      <c r="AA607" s="51">
        <f t="shared" ref="AA607:AB607" si="1904">SUM(AA601:AA606)</f>
        <v>517.98</v>
      </c>
      <c r="AB607" s="68">
        <f t="shared" si="1904"/>
        <v>0</v>
      </c>
      <c r="AC607" s="53"/>
      <c r="AD607" s="53"/>
      <c r="AE607" s="51">
        <f t="shared" ref="AE607:AF607" si="1905">SUM(AE601:AE606)</f>
        <v>6195.96</v>
      </c>
      <c r="AF607" s="51">
        <f t="shared" si="1905"/>
        <v>6750</v>
      </c>
      <c r="AG607" s="52"/>
      <c r="AH607" s="53"/>
      <c r="AI607" s="51">
        <f t="shared" ref="AI607:AJ607" si="1906">SUM(AI601:AI606)</f>
        <v>74.24</v>
      </c>
      <c r="AJ607" s="68">
        <f t="shared" si="1906"/>
        <v>40</v>
      </c>
      <c r="AK607" s="52"/>
      <c r="AL607" s="53"/>
      <c r="AM607" s="51">
        <f t="shared" ref="AM607:AN607" si="1907">SUM(AM601:AM606)</f>
        <v>204.16</v>
      </c>
      <c r="AN607" s="68">
        <f t="shared" si="1907"/>
        <v>203</v>
      </c>
      <c r="AO607" s="52"/>
      <c r="AP607" s="53"/>
      <c r="AQ607" s="51">
        <f t="shared" ref="AQ607:AR607" si="1908">SUM(AQ600:AQ606)</f>
        <v>0</v>
      </c>
      <c r="AR607" s="68">
        <f t="shared" si="1908"/>
        <v>0</v>
      </c>
      <c r="AS607" s="53"/>
      <c r="AT607" s="53"/>
      <c r="AU607" s="51">
        <f t="shared" ref="AU607:AV607" si="1909">SUM(AU600:AU606)</f>
        <v>0</v>
      </c>
      <c r="AV607" s="68">
        <f t="shared" si="1909"/>
        <v>0</v>
      </c>
      <c r="AW607" s="52"/>
      <c r="AX607" s="53"/>
      <c r="AY607" s="51">
        <f t="shared" ref="AY607:AZ607" si="1910">SUM(AY600:AY606)</f>
        <v>0</v>
      </c>
      <c r="AZ607" s="68">
        <f t="shared" si="1910"/>
        <v>0</v>
      </c>
      <c r="BA607" s="53"/>
      <c r="BB607" s="53"/>
      <c r="BC607" s="51">
        <f t="shared" ref="BC607:BD607" si="1911">SUM(BC600:BC606)</f>
        <v>0</v>
      </c>
      <c r="BD607" s="68">
        <f t="shared" si="1911"/>
        <v>0</v>
      </c>
      <c r="BE607" s="69"/>
      <c r="BF607" s="70">
        <f t="shared" ref="BF607:BH607" si="1912">SUM(BF600:BF606)</f>
        <v>6992.34</v>
      </c>
      <c r="BG607" s="71">
        <f t="shared" si="1912"/>
        <v>6993</v>
      </c>
      <c r="BH607" s="72">
        <f t="shared" si="1912"/>
        <v>-0.656</v>
      </c>
      <c r="BI607" s="34">
        <f>H607+BF607-BG607</f>
        <v>-0.656</v>
      </c>
      <c r="BJ607" s="34">
        <f>BH607-BI607</f>
        <v>0</v>
      </c>
    </row>
    <row r="608" ht="14.25" customHeight="1" spans="1:65" x14ac:dyDescent="0.25">
      <c r="A608" s="29">
        <v>83</v>
      </c>
      <c r="B608" s="14"/>
      <c r="C608" s="15"/>
      <c r="D608" s="14" t="s">
        <v>379</v>
      </c>
      <c r="E608" s="15"/>
      <c r="F608" s="13"/>
      <c r="G608" s="28"/>
      <c r="H608" s="34">
        <f>'2018'!BH608</f>
      </c>
      <c r="I608" s="13"/>
      <c r="J608" s="15"/>
      <c r="K608" s="34"/>
      <c r="L608" s="35"/>
      <c r="M608" s="15"/>
      <c r="N608" s="15"/>
      <c r="O608" s="34"/>
      <c r="P608" s="34"/>
      <c r="Q608" s="13"/>
      <c r="R608" s="15"/>
      <c r="S608" s="34"/>
      <c r="T608" s="35"/>
      <c r="U608" s="15"/>
      <c r="V608" s="15"/>
      <c r="W608" s="34"/>
      <c r="X608" s="34"/>
      <c r="Y608" s="13"/>
      <c r="Z608" s="15"/>
      <c r="AA608" s="34"/>
      <c r="AB608" s="35"/>
      <c r="AC608" s="15"/>
      <c r="AD608" s="15"/>
      <c r="AE608" s="34"/>
      <c r="AF608" s="34"/>
      <c r="AG608" s="13"/>
      <c r="AH608" s="15"/>
      <c r="AI608" s="34"/>
      <c r="AJ608" s="35"/>
      <c r="AK608" s="13"/>
      <c r="AL608" s="15"/>
      <c r="AM608" s="34"/>
      <c r="AN608" s="35"/>
      <c r="AO608" s="13"/>
      <c r="AP608" s="15"/>
      <c r="AQ608" s="34"/>
      <c r="AR608" s="35"/>
      <c r="AS608" s="15"/>
      <c r="AT608" s="15"/>
      <c r="AU608" s="34"/>
      <c r="AV608" s="34"/>
      <c r="AW608" s="13"/>
      <c r="AX608" s="15"/>
      <c r="AY608" s="34"/>
      <c r="AZ608" s="35"/>
      <c r="BA608" s="15"/>
      <c r="BB608" s="15"/>
      <c r="BC608" s="34"/>
      <c r="BD608" s="34"/>
      <c r="BE608" s="42"/>
      <c r="BF608" s="41">
        <f t="shared" ref="BF608:BG608" si="1913">K608+O608+S608+W608+AA608+AE608+AI608+AM608+AQ608+AU608+AY608+BC608</f>
        <v>0</v>
      </c>
      <c r="BG608" s="34">
        <f t="shared" si="1913"/>
        <v>0</v>
      </c>
      <c r="BH608" s="35">
        <f t="shared" ref="BH608:BH614" si="1914">H608+BF608-BG608</f>
        <v>0</v>
      </c>
      <c r="BI608" s="15"/>
      <c r="BJ608" s="15"/>
      <c r="BK608" s="15"/>
      <c r="BL608" s="15"/>
      <c r="BM608" s="15"/>
    </row>
    <row r="609" ht="14.25" customHeight="1" spans="1:65" x14ac:dyDescent="0.25">
      <c r="A609" s="2">
        <v>83</v>
      </c>
      <c r="B609" s="14">
        <v>4.29</v>
      </c>
      <c r="C609" s="15" t="s">
        <v>280</v>
      </c>
      <c r="D609" s="14" t="s">
        <v>44</v>
      </c>
      <c r="E609" s="15" t="s">
        <v>45</v>
      </c>
      <c r="F609" s="13">
        <v>2.49</v>
      </c>
      <c r="G609" s="35">
        <v>2.5</v>
      </c>
      <c r="H609" s="34">
        <f>'2018'!BH609</f>
        <v>14.94</v>
      </c>
      <c r="I609" s="13">
        <v>61</v>
      </c>
      <c r="J609" s="15">
        <f>I609-'2018'!BA609</f>
        <v>0</v>
      </c>
      <c r="K609" s="34">
        <f>J609*$F$8</f>
        <v>0</v>
      </c>
      <c r="L609" s="35"/>
      <c r="M609" s="15">
        <v>61</v>
      </c>
      <c r="N609" s="15">
        <f>M609-I609</f>
        <v>0</v>
      </c>
      <c r="O609" s="34">
        <f>N609*$F$8</f>
        <v>0</v>
      </c>
      <c r="P609" s="34"/>
      <c r="Q609" s="13">
        <v>61</v>
      </c>
      <c r="R609" s="15">
        <f>Q609-M609</f>
        <v>0</v>
      </c>
      <c r="S609" s="34">
        <f>R609*$F$8</f>
        <v>0</v>
      </c>
      <c r="T609" s="35"/>
      <c r="U609" s="15">
        <v>61</v>
      </c>
      <c r="V609" s="15">
        <f>U609-Q609</f>
        <v>0</v>
      </c>
      <c r="W609" s="34">
        <f>V609*$F$8</f>
        <v>0</v>
      </c>
      <c r="X609" s="34"/>
      <c r="Y609" s="13">
        <v>64</v>
      </c>
      <c r="Z609" s="15">
        <f>Y609-U609</f>
        <v>3</v>
      </c>
      <c r="AA609" s="34">
        <f>Z609*$F$8</f>
        <v>7.47</v>
      </c>
      <c r="AB609" s="35"/>
      <c r="AC609" s="15">
        <v>71</v>
      </c>
      <c r="AD609" s="15">
        <f t="shared" ref="AD609:AD610" si="1915">AC609-Y609</f>
        <v>7</v>
      </c>
      <c r="AE609" s="34">
        <f>AD609*$G$8</f>
        <v>17.5</v>
      </c>
      <c r="AF609" s="133">
        <f>39.91+222.19</f>
        <v>262.1</v>
      </c>
      <c r="AG609" s="13">
        <v>81</v>
      </c>
      <c r="AH609" s="15">
        <f t="shared" ref="AH609:AH610" si="1916">AG609-AC609</f>
        <v>10</v>
      </c>
      <c r="AI609" s="34">
        <f>AH609*$G$8</f>
        <v>25</v>
      </c>
      <c r="AJ609" s="28"/>
      <c r="AK609" s="13">
        <v>92</v>
      </c>
      <c r="AL609" s="15">
        <f t="shared" ref="AL609:AL610" si="1917">AK609-AG609</f>
        <v>11</v>
      </c>
      <c r="AM609" s="34">
        <f>AL609*$G$8</f>
        <v>27.5</v>
      </c>
      <c r="AN609" s="28"/>
      <c r="AO609" s="13">
        <v>110</v>
      </c>
      <c r="AP609" s="15">
        <f t="shared" ref="AP609:AP610" si="1918">AO609-AK609</f>
        <v>18</v>
      </c>
      <c r="AQ609" s="34">
        <f>AP609*$G$8</f>
        <v>45</v>
      </c>
      <c r="AR609" s="28"/>
      <c r="AS609" s="15">
        <v>111</v>
      </c>
      <c r="AT609" s="15">
        <f t="shared" ref="AT609:AT610" si="1919">AS609-AO609</f>
        <v>1</v>
      </c>
      <c r="AU609" s="34">
        <f>AT609*$G$8</f>
        <v>2.5</v>
      </c>
      <c r="AV609" s="15"/>
      <c r="AW609" s="13">
        <v>111</v>
      </c>
      <c r="AX609" s="15">
        <f>AW609-AS609</f>
        <v>0</v>
      </c>
      <c r="AY609" s="34">
        <f>AX609*$G$8</f>
        <v>0</v>
      </c>
      <c r="AZ609" s="28"/>
      <c r="BA609" s="13">
        <v>111</v>
      </c>
      <c r="BB609" s="15">
        <f>BA609-AW609</f>
        <v>0</v>
      </c>
      <c r="BC609" s="34">
        <f>BB609*$G$8</f>
        <v>0</v>
      </c>
      <c r="BD609" s="15"/>
      <c r="BE609" s="40">
        <f t="shared" ref="BE609:BG609" si="1920">J609+N609+R609+V609+Z609+AD609+AH609+AL609+AP609+AT609+AX609+BB609</f>
        <v>50</v>
      </c>
      <c r="BF609" s="41">
        <f t="shared" si="1920"/>
        <v>124.97</v>
      </c>
      <c r="BG609" s="34">
        <f t="shared" si="1920"/>
        <v>262.1</v>
      </c>
      <c r="BH609" s="35">
        <f t="shared" si="1914"/>
        <v>-122.19</v>
      </c>
      <c r="BI609" s="15"/>
      <c r="BJ609" s="15"/>
      <c r="BK609" s="15"/>
      <c r="BL609" s="15"/>
      <c r="BM609" s="15"/>
    </row>
    <row r="610" ht="14.25" customHeight="1" spans="1:65" x14ac:dyDescent="0.25">
      <c r="A610" s="29">
        <v>83</v>
      </c>
      <c r="B610" s="14"/>
      <c r="C610" s="15" t="s">
        <v>61</v>
      </c>
      <c r="D610" s="14" t="s">
        <v>47</v>
      </c>
      <c r="E610" s="15" t="s">
        <v>48</v>
      </c>
      <c r="F610" s="13">
        <v>17.98</v>
      </c>
      <c r="G610" s="28">
        <v>18.56</v>
      </c>
      <c r="H610" s="34">
        <f>'2018'!BH610</f>
        <v>0</v>
      </c>
      <c r="I610" s="13">
        <v>37</v>
      </c>
      <c r="J610" s="15"/>
      <c r="K610" s="34"/>
      <c r="L610" s="35"/>
      <c r="M610" s="15"/>
      <c r="N610" s="15"/>
      <c r="O610" s="34"/>
      <c r="P610" s="34"/>
      <c r="Q610" s="13"/>
      <c r="R610" s="15"/>
      <c r="S610" s="34"/>
      <c r="T610" s="35"/>
      <c r="U610" s="15"/>
      <c r="V610" s="15"/>
      <c r="W610" s="34"/>
      <c r="X610" s="34"/>
      <c r="Y610" s="95">
        <v>37</v>
      </c>
      <c r="Z610" s="15">
        <f>Y610-'2018'!AO610</f>
        <v>0</v>
      </c>
      <c r="AA610" s="34">
        <f>Z610*$F$10</f>
        <v>0</v>
      </c>
      <c r="AB610" s="35"/>
      <c r="AC610" s="15">
        <v>42</v>
      </c>
      <c r="AD610" s="15">
        <f t="shared" si="1915"/>
        <v>5</v>
      </c>
      <c r="AE610" s="34">
        <f>AD610*$F$10</f>
        <v>89.9</v>
      </c>
      <c r="AF610" s="133">
        <v>89.9</v>
      </c>
      <c r="AG610" s="13">
        <v>42</v>
      </c>
      <c r="AH610" s="15">
        <f t="shared" si="1916"/>
        <v>0</v>
      </c>
      <c r="AI610" s="45">
        <f>AH610*$G$10</f>
        <v>0</v>
      </c>
      <c r="AJ610" s="28"/>
      <c r="AK610" s="15">
        <v>46</v>
      </c>
      <c r="AL610" s="15">
        <f t="shared" si="1917"/>
        <v>4</v>
      </c>
      <c r="AM610" s="45">
        <f>AL610*$G$10</f>
        <v>74.24</v>
      </c>
      <c r="AN610" s="28"/>
      <c r="AO610" s="73">
        <v>46</v>
      </c>
      <c r="AP610" s="15">
        <f t="shared" si="1918"/>
        <v>0</v>
      </c>
      <c r="AQ610" s="45">
        <f>AP610*$G$10</f>
        <v>0</v>
      </c>
      <c r="AR610" s="28"/>
      <c r="AS610" s="73">
        <v>46</v>
      </c>
      <c r="AT610" s="15">
        <f t="shared" si="1919"/>
        <v>0</v>
      </c>
      <c r="AU610" s="45">
        <f>AT610*$G$10</f>
        <v>0</v>
      </c>
      <c r="AV610" s="15"/>
      <c r="AW610" s="75">
        <v>46</v>
      </c>
      <c r="AX610" s="15"/>
      <c r="AY610" s="15"/>
      <c r="AZ610" s="28"/>
      <c r="BA610" s="75">
        <v>46</v>
      </c>
      <c r="BB610" s="15"/>
      <c r="BC610" s="15"/>
      <c r="BD610" s="15"/>
      <c r="BE610" s="40">
        <f t="shared" ref="BE610:BG610" si="1921">J610+N610+R610+V610+Z610+AD610+AH610+AL610+AP610+AT610+AX610+BB610</f>
        <v>9</v>
      </c>
      <c r="BF610" s="41">
        <f t="shared" si="1921"/>
        <v>164.14</v>
      </c>
      <c r="BG610" s="34">
        <f t="shared" si="1921"/>
        <v>89.9</v>
      </c>
      <c r="BH610" s="35">
        <f t="shared" si="1914"/>
        <v>74.24</v>
      </c>
      <c r="BI610" s="15"/>
      <c r="BJ610" s="15"/>
      <c r="BK610" s="15"/>
      <c r="BL610" s="15"/>
      <c r="BM610" s="15"/>
    </row>
    <row r="611" ht="14.25" customHeight="1" spans="1:65" x14ac:dyDescent="0.25">
      <c r="A611" s="29">
        <v>83</v>
      </c>
      <c r="B611" s="14"/>
      <c r="C611" s="15" t="s">
        <v>102</v>
      </c>
      <c r="D611" s="14" t="s">
        <v>47</v>
      </c>
      <c r="E611" s="15" t="s">
        <v>49</v>
      </c>
      <c r="F611" s="41">
        <v>500</v>
      </c>
      <c r="G611" s="28"/>
      <c r="H611" s="34">
        <f>'2018'!BH611</f>
        <v>0</v>
      </c>
      <c r="I611" s="13"/>
      <c r="J611" s="15"/>
      <c r="K611" s="34"/>
      <c r="L611" s="35"/>
      <c r="M611" s="15"/>
      <c r="N611" s="15"/>
      <c r="O611" s="34"/>
      <c r="P611" s="34"/>
      <c r="Q611" s="13"/>
      <c r="R611" s="15"/>
      <c r="S611" s="34"/>
      <c r="T611" s="35"/>
      <c r="U611" s="15"/>
      <c r="V611" s="15"/>
      <c r="W611" s="34"/>
      <c r="X611" s="34"/>
      <c r="Y611" s="13"/>
      <c r="Z611" s="15"/>
      <c r="AA611" s="34"/>
      <c r="AB611" s="35"/>
      <c r="AC611" s="15"/>
      <c r="AD611" s="15"/>
      <c r="AE611" s="34"/>
      <c r="AF611" s="34"/>
      <c r="AG611" s="13"/>
      <c r="AH611" s="15"/>
      <c r="AI611" s="15"/>
      <c r="AJ611" s="28"/>
      <c r="AK611" s="13"/>
      <c r="AL611" s="15"/>
      <c r="AM611" s="34"/>
      <c r="AN611" s="28"/>
      <c r="AO611" s="13"/>
      <c r="AP611" s="15"/>
      <c r="AQ611" s="34"/>
      <c r="AR611" s="28"/>
      <c r="AS611" s="15"/>
      <c r="AT611" s="15"/>
      <c r="AU611" s="15"/>
      <c r="AV611" s="15"/>
      <c r="AW611" s="13"/>
      <c r="AX611" s="15"/>
      <c r="AY611" s="15"/>
      <c r="AZ611" s="28"/>
      <c r="BA611" s="15"/>
      <c r="BB611" s="15"/>
      <c r="BC611" s="15"/>
      <c r="BD611" s="15"/>
      <c r="BE611" s="14"/>
      <c r="BF611" s="41">
        <f t="shared" ref="BF611:BG611" si="1922">K611+O611+S611+W611+AA611+AE611+AI611+AM611+AQ611+AU611+AY611+BC611</f>
        <v>0</v>
      </c>
      <c r="BG611" s="34">
        <f t="shared" si="1922"/>
        <v>0</v>
      </c>
      <c r="BH611" s="35">
        <f t="shared" si="1914"/>
        <v>0</v>
      </c>
      <c r="BI611" s="15"/>
      <c r="BJ611" s="15"/>
      <c r="BK611" s="15"/>
      <c r="BL611" s="15"/>
      <c r="BM611" s="15"/>
    </row>
    <row r="612" ht="14.25" customHeight="1" spans="1:65" x14ac:dyDescent="0.25">
      <c r="A612" s="29">
        <v>83</v>
      </c>
      <c r="B612" s="14"/>
      <c r="C612" s="73"/>
      <c r="D612" s="14" t="s">
        <v>50</v>
      </c>
      <c r="E612" s="15" t="s">
        <v>49</v>
      </c>
      <c r="F612" s="41">
        <v>1200</v>
      </c>
      <c r="G612" s="28"/>
      <c r="H612" s="34">
        <f>'2018'!BH612</f>
        <v>-0.0048</v>
      </c>
      <c r="I612" s="13"/>
      <c r="J612" s="15"/>
      <c r="K612" s="34"/>
      <c r="L612" s="35"/>
      <c r="M612" s="15"/>
      <c r="N612" s="15"/>
      <c r="O612" s="34"/>
      <c r="P612" s="34"/>
      <c r="Q612" s="13"/>
      <c r="R612" s="15"/>
      <c r="S612" s="34"/>
      <c r="T612" s="35"/>
      <c r="U612" s="15"/>
      <c r="V612" s="15"/>
      <c r="W612" s="34"/>
      <c r="X612" s="34"/>
      <c r="Y612" s="13"/>
      <c r="Z612" s="15"/>
      <c r="AA612" s="34"/>
      <c r="AB612" s="35"/>
      <c r="AC612" s="15"/>
      <c r="AD612" s="15"/>
      <c r="AE612" s="34">
        <f>B609*$F$12</f>
        <v>5148</v>
      </c>
      <c r="AF612" s="133">
        <v>5148</v>
      </c>
      <c r="AG612" s="13"/>
      <c r="AH612" s="15"/>
      <c r="AI612" s="15"/>
      <c r="AJ612" s="35"/>
      <c r="AK612" s="13"/>
      <c r="AL612" s="15"/>
      <c r="AM612" s="15"/>
      <c r="AN612" s="28"/>
      <c r="AO612" s="13"/>
      <c r="AP612" s="15"/>
      <c r="AQ612" s="15"/>
      <c r="AR612" s="28"/>
      <c r="AS612" s="15"/>
      <c r="AT612" s="15"/>
      <c r="AU612" s="15"/>
      <c r="AV612" s="15"/>
      <c r="AW612" s="13"/>
      <c r="AX612" s="15"/>
      <c r="AY612" s="15"/>
      <c r="AZ612" s="28"/>
      <c r="BA612" s="15"/>
      <c r="BB612" s="15"/>
      <c r="BC612" s="15"/>
      <c r="BD612" s="15"/>
      <c r="BE612" s="14"/>
      <c r="BF612" s="41">
        <f t="shared" ref="BF612:BG612" si="1923">K612+O612+S612+W612+AA612+AE612+AI612+AM612+AQ612+AU612+AY612+BC612</f>
        <v>5148</v>
      </c>
      <c r="BG612" s="34">
        <f t="shared" si="1923"/>
        <v>5148</v>
      </c>
      <c r="BH612" s="35">
        <f t="shared" si="1914"/>
        <v>-0.0048</v>
      </c>
      <c r="BI612" s="15"/>
      <c r="BJ612" s="15"/>
      <c r="BK612" s="15"/>
      <c r="BL612" s="15"/>
      <c r="BM612" s="15"/>
    </row>
    <row r="613" ht="14.25" customHeight="1" spans="1:65" x14ac:dyDescent="0.25">
      <c r="A613" s="29">
        <v>83</v>
      </c>
      <c r="B613" s="14"/>
      <c r="C613" s="15" t="s">
        <v>153</v>
      </c>
      <c r="D613" s="14" t="s">
        <v>51</v>
      </c>
      <c r="E613" s="15" t="s">
        <v>49</v>
      </c>
      <c r="F613" s="41">
        <v>1000</v>
      </c>
      <c r="G613" s="28"/>
      <c r="H613" s="34">
        <f>'2018'!BH613</f>
        <v>0</v>
      </c>
      <c r="I613" s="13"/>
      <c r="J613" s="15"/>
      <c r="K613" s="34"/>
      <c r="L613" s="35"/>
      <c r="M613" s="15"/>
      <c r="N613" s="15"/>
      <c r="O613" s="34"/>
      <c r="P613" s="34"/>
      <c r="Q613" s="13"/>
      <c r="R613" s="15"/>
      <c r="S613" s="34"/>
      <c r="T613" s="35"/>
      <c r="U613" s="15"/>
      <c r="V613" s="15"/>
      <c r="W613" s="34"/>
      <c r="X613" s="34"/>
      <c r="Y613" s="13"/>
      <c r="Z613" s="15"/>
      <c r="AA613" s="34"/>
      <c r="AB613" s="35"/>
      <c r="AC613" s="15"/>
      <c r="AD613" s="15"/>
      <c r="AE613" s="34">
        <f>$F$21</f>
        <v>1000</v>
      </c>
      <c r="AF613" s="133">
        <v>1000</v>
      </c>
      <c r="AG613" s="13"/>
      <c r="AH613" s="15"/>
      <c r="AI613" s="15"/>
      <c r="AJ613" s="28"/>
      <c r="AK613" s="13"/>
      <c r="AL613" s="15"/>
      <c r="AM613" s="15"/>
      <c r="AN613" s="28"/>
      <c r="AO613" s="13"/>
      <c r="AP613" s="15"/>
      <c r="AQ613" s="15"/>
      <c r="AR613" s="28"/>
      <c r="AS613" s="15"/>
      <c r="AT613" s="15"/>
      <c r="AU613" s="15"/>
      <c r="AV613" s="15"/>
      <c r="AW613" s="13"/>
      <c r="AX613" s="15"/>
      <c r="AY613" s="15"/>
      <c r="AZ613" s="28"/>
      <c r="BA613" s="15"/>
      <c r="BB613" s="15"/>
      <c r="BC613" s="15"/>
      <c r="BD613" s="15"/>
      <c r="BE613" s="14"/>
      <c r="BF613" s="41">
        <f t="shared" ref="BF613:BG613" si="1924">K613+O613+S613+W613+AA613+AE613+AI613+AM613+AQ613+AU613+AY613+BC613</f>
        <v>1000</v>
      </c>
      <c r="BG613" s="34">
        <f t="shared" si="1924"/>
        <v>1000</v>
      </c>
      <c r="BH613" s="35">
        <f t="shared" si="1914"/>
        <v>0</v>
      </c>
      <c r="BI613" s="15"/>
      <c r="BJ613" s="15"/>
      <c r="BK613" s="15"/>
      <c r="BL613" s="15"/>
      <c r="BM613" s="15"/>
    </row>
    <row r="614" ht="14.25" customHeight="1" spans="1:65" x14ac:dyDescent="0.25">
      <c r="A614" s="29">
        <v>83</v>
      </c>
      <c r="B614" s="14"/>
      <c r="C614" s="15" t="s">
        <v>281</v>
      </c>
      <c r="D614" s="14" t="s">
        <v>52</v>
      </c>
      <c r="E614" s="15" t="s">
        <v>39</v>
      </c>
      <c r="F614" s="41">
        <v>500</v>
      </c>
      <c r="G614" s="28"/>
      <c r="H614" s="34">
        <f>'2018'!BH614</f>
        <v>0</v>
      </c>
      <c r="I614" s="13"/>
      <c r="J614" s="15"/>
      <c r="K614" s="34"/>
      <c r="L614" s="35"/>
      <c r="M614" s="15"/>
      <c r="N614" s="15"/>
      <c r="O614" s="34"/>
      <c r="P614" s="34"/>
      <c r="Q614" s="13"/>
      <c r="R614" s="15"/>
      <c r="S614" s="34"/>
      <c r="T614" s="35"/>
      <c r="U614" s="15"/>
      <c r="V614" s="15"/>
      <c r="W614" s="34"/>
      <c r="X614" s="34"/>
      <c r="Y614" s="13"/>
      <c r="Z614" s="15"/>
      <c r="AA614" s="34">
        <f>$F$14</f>
        <v>500</v>
      </c>
      <c r="AB614" s="35"/>
      <c r="AC614" s="15"/>
      <c r="AD614" s="15"/>
      <c r="AE614" s="34"/>
      <c r="AF614" s="133">
        <v>500</v>
      </c>
      <c r="AG614" s="13"/>
      <c r="AH614" s="15"/>
      <c r="AI614" s="15"/>
      <c r="AJ614" s="28"/>
      <c r="AK614" s="13"/>
      <c r="AL614" s="15"/>
      <c r="AM614" s="15"/>
      <c r="AN614" s="28"/>
      <c r="AO614" s="13"/>
      <c r="AP614" s="15"/>
      <c r="AQ614" s="15"/>
      <c r="AR614" s="35"/>
      <c r="AS614" s="15"/>
      <c r="AT614" s="15"/>
      <c r="AU614" s="15"/>
      <c r="AV614" s="15"/>
      <c r="AW614" s="13"/>
      <c r="AX614" s="15"/>
      <c r="AY614" s="15"/>
      <c r="AZ614" s="28"/>
      <c r="BA614" s="15"/>
      <c r="BB614" s="15"/>
      <c r="BC614" s="15"/>
      <c r="BD614" s="15"/>
      <c r="BE614" s="14"/>
      <c r="BF614" s="41">
        <f t="shared" ref="BF614:BG614" si="1925">K614+O614+S614+W614+AA614+AE614+AI614+AM614+AQ614+AU614+AY614+BC614</f>
        <v>500</v>
      </c>
      <c r="BG614" s="34">
        <f t="shared" si="1925"/>
        <v>500</v>
      </c>
      <c r="BH614" s="35">
        <f t="shared" si="1914"/>
        <v>0</v>
      </c>
      <c r="BI614" s="15"/>
      <c r="BJ614" s="15"/>
      <c r="BK614" s="15"/>
      <c r="BL614" s="15"/>
      <c r="BM614" s="15"/>
    </row>
    <row r="615" ht="14.25" customHeight="1" spans="1:62" x14ac:dyDescent="0.25">
      <c r="A615" s="50">
        <v>83</v>
      </c>
      <c r="B615" s="21"/>
      <c r="C615" s="22" t="s">
        <v>53</v>
      </c>
      <c r="D615" s="21"/>
      <c r="E615" s="22"/>
      <c r="F615" s="20"/>
      <c r="G615" s="23"/>
      <c r="H615" s="51">
        <f>SUM(H608:H614)</f>
        <v>14.9352</v>
      </c>
      <c r="I615" s="52"/>
      <c r="J615" s="53"/>
      <c r="K615" s="51">
        <f t="shared" ref="K615:L615" si="1926">SUM(K608:K614)</f>
        <v>0</v>
      </c>
      <c r="L615" s="68">
        <f t="shared" si="1926"/>
        <v>0</v>
      </c>
      <c r="M615" s="53"/>
      <c r="N615" s="53"/>
      <c r="O615" s="51">
        <f t="shared" ref="O615:P615" si="1927">SUM(O609:O614)</f>
        <v>0</v>
      </c>
      <c r="P615" s="51">
        <f t="shared" si="1927"/>
        <v>0</v>
      </c>
      <c r="Q615" s="52"/>
      <c r="R615" s="53"/>
      <c r="S615" s="51">
        <f t="shared" ref="S615:T615" si="1928">SUM(S609:S614)</f>
        <v>0</v>
      </c>
      <c r="T615" s="68">
        <f t="shared" si="1928"/>
        <v>0</v>
      </c>
      <c r="U615" s="53"/>
      <c r="V615" s="53"/>
      <c r="W615" s="51">
        <f t="shared" ref="W615:X615" si="1929">SUM(W609:W614)</f>
        <v>0</v>
      </c>
      <c r="X615" s="51">
        <f t="shared" si="1929"/>
        <v>0</v>
      </c>
      <c r="Y615" s="52"/>
      <c r="Z615" s="53"/>
      <c r="AA615" s="51">
        <f t="shared" ref="AA615:AB615" si="1930">SUM(AA609:AA614)</f>
        <v>507.47</v>
      </c>
      <c r="AB615" s="68">
        <f t="shared" si="1930"/>
        <v>0</v>
      </c>
      <c r="AC615" s="53"/>
      <c r="AD615" s="53"/>
      <c r="AE615" s="51">
        <f t="shared" ref="AE615:AF615" si="1931">SUM(AE609:AE614)</f>
        <v>6255.4</v>
      </c>
      <c r="AF615" s="51">
        <f t="shared" si="1931"/>
        <v>7000</v>
      </c>
      <c r="AG615" s="52"/>
      <c r="AH615" s="53"/>
      <c r="AI615" s="51">
        <f t="shared" ref="AI615:AJ615" si="1932">SUM(AI609:AI614)</f>
        <v>25</v>
      </c>
      <c r="AJ615" s="68">
        <f t="shared" si="1932"/>
        <v>0</v>
      </c>
      <c r="AK615" s="52"/>
      <c r="AL615" s="53"/>
      <c r="AM615" s="51">
        <f t="shared" ref="AM615:AN615" si="1933">SUM(AM609:AM614)</f>
        <v>101.74</v>
      </c>
      <c r="AN615" s="68">
        <f t="shared" si="1933"/>
        <v>0</v>
      </c>
      <c r="AO615" s="52"/>
      <c r="AP615" s="53"/>
      <c r="AQ615" s="51">
        <f t="shared" ref="AQ615:AR615" si="1934">SUM(AQ608:AQ614)</f>
        <v>45</v>
      </c>
      <c r="AR615" s="68">
        <f t="shared" si="1934"/>
        <v>0</v>
      </c>
      <c r="AS615" s="53"/>
      <c r="AT615" s="53"/>
      <c r="AU615" s="51">
        <f t="shared" ref="AU615:AV615" si="1935">SUM(AU608:AU614)</f>
        <v>2.5</v>
      </c>
      <c r="AV615" s="68">
        <f t="shared" si="1935"/>
        <v>0</v>
      </c>
      <c r="AW615" s="52"/>
      <c r="AX615" s="53"/>
      <c r="AY615" s="51">
        <f t="shared" ref="AY615:AZ615" si="1936">SUM(AY608:AY614)</f>
        <v>0</v>
      </c>
      <c r="AZ615" s="68">
        <f t="shared" si="1936"/>
        <v>0</v>
      </c>
      <c r="BA615" s="53"/>
      <c r="BB615" s="53"/>
      <c r="BC615" s="51">
        <f t="shared" ref="BC615:BD615" si="1937">SUM(BC608:BC614)</f>
        <v>0</v>
      </c>
      <c r="BD615" s="68">
        <f t="shared" si="1937"/>
        <v>0</v>
      </c>
      <c r="BE615" s="69"/>
      <c r="BF615" s="70">
        <f t="shared" ref="BF615:BH615" si="1938">SUM(BF608:BF614)</f>
        <v>6937.11</v>
      </c>
      <c r="BG615" s="71">
        <f t="shared" si="1938"/>
        <v>7000</v>
      </c>
      <c r="BH615" s="72">
        <f t="shared" si="1938"/>
        <v>-47.9548</v>
      </c>
      <c r="BI615" s="34">
        <f>H615+BF615-BG615</f>
        <v>-47.9548</v>
      </c>
      <c r="BJ615" s="34">
        <f>BH615-BI615</f>
        <v>0</v>
      </c>
    </row>
    <row r="616" ht="14.25" customHeight="1" spans="1:65" x14ac:dyDescent="0.25">
      <c r="A616" s="29">
        <v>85</v>
      </c>
      <c r="B616" s="14"/>
      <c r="C616" s="15"/>
      <c r="D616" s="14" t="s">
        <v>379</v>
      </c>
      <c r="E616" s="15"/>
      <c r="F616" s="13"/>
      <c r="G616" s="28"/>
      <c r="H616" s="34">
        <f>'2018'!BH616</f>
      </c>
      <c r="I616" s="13"/>
      <c r="J616" s="15"/>
      <c r="K616" s="34"/>
      <c r="L616" s="35"/>
      <c r="M616" s="15"/>
      <c r="N616" s="15"/>
      <c r="O616" s="34"/>
      <c r="P616" s="34"/>
      <c r="Q616" s="13"/>
      <c r="R616" s="15"/>
      <c r="S616" s="34"/>
      <c r="T616" s="35"/>
      <c r="U616" s="15"/>
      <c r="V616" s="15"/>
      <c r="W616" s="34"/>
      <c r="X616" s="34"/>
      <c r="Y616" s="13"/>
      <c r="Z616" s="15"/>
      <c r="AA616" s="34"/>
      <c r="AB616" s="35"/>
      <c r="AC616" s="15"/>
      <c r="AD616" s="15"/>
      <c r="AE616" s="34"/>
      <c r="AF616" s="34"/>
      <c r="AG616" s="13"/>
      <c r="AH616" s="15"/>
      <c r="AI616" s="34"/>
      <c r="AJ616" s="35"/>
      <c r="AK616" s="13"/>
      <c r="AL616" s="15"/>
      <c r="AM616" s="34"/>
      <c r="AN616" s="35"/>
      <c r="AO616" s="13"/>
      <c r="AP616" s="15"/>
      <c r="AQ616" s="34"/>
      <c r="AR616" s="35"/>
      <c r="AS616" s="15"/>
      <c r="AT616" s="15"/>
      <c r="AU616" s="34"/>
      <c r="AV616" s="34"/>
      <c r="AW616" s="13"/>
      <c r="AX616" s="15"/>
      <c r="AY616" s="34"/>
      <c r="AZ616" s="35"/>
      <c r="BA616" s="15"/>
      <c r="BB616" s="15"/>
      <c r="BC616" s="34"/>
      <c r="BD616" s="34"/>
      <c r="BE616" s="42"/>
      <c r="BF616" s="41">
        <f t="shared" ref="BF616:BG616" si="1939">K616+O616+S616+W616+AA616+AE616+AI616+AM616+AQ616+AU616+AY616+BC616</f>
        <v>0</v>
      </c>
      <c r="BG616" s="34">
        <f t="shared" si="1939"/>
        <v>0</v>
      </c>
      <c r="BH616" s="35">
        <f t="shared" ref="BH616:BH622" si="1940">H616+BF616-BG616</f>
        <v>0</v>
      </c>
      <c r="BI616" s="15"/>
      <c r="BJ616" s="15"/>
      <c r="BK616" s="15"/>
      <c r="BL616" s="15"/>
      <c r="BM616" s="15"/>
    </row>
    <row r="617" ht="14.25" customHeight="1" spans="1:65" x14ac:dyDescent="0.25">
      <c r="A617" s="2">
        <v>85</v>
      </c>
      <c r="B617" s="14">
        <v>4.27</v>
      </c>
      <c r="C617" s="15" t="s">
        <v>282</v>
      </c>
      <c r="D617" s="14" t="s">
        <v>44</v>
      </c>
      <c r="E617" s="15" t="s">
        <v>45</v>
      </c>
      <c r="F617" s="13">
        <v>2.49</v>
      </c>
      <c r="G617" s="35">
        <v>2.5</v>
      </c>
      <c r="H617" s="34">
        <f>'2018'!BH617</f>
        <v>2.49</v>
      </c>
      <c r="I617" s="13">
        <v>1032</v>
      </c>
      <c r="J617" s="15">
        <f>I617-'2018'!BA617</f>
        <v>0</v>
      </c>
      <c r="K617" s="34">
        <f>J617*$F$8</f>
        <v>0</v>
      </c>
      <c r="L617" s="35"/>
      <c r="M617" s="15">
        <v>1032</v>
      </c>
      <c r="N617" s="15">
        <f>M617-I617</f>
        <v>0</v>
      </c>
      <c r="O617" s="34">
        <f>N617*$F$8</f>
        <v>0</v>
      </c>
      <c r="P617" s="34"/>
      <c r="Q617" s="13">
        <v>1032</v>
      </c>
      <c r="R617" s="15">
        <f>Q617-M617</f>
        <v>0</v>
      </c>
      <c r="S617" s="34">
        <f>R617*$F$8</f>
        <v>0</v>
      </c>
      <c r="T617" s="35"/>
      <c r="U617" s="15">
        <v>1051</v>
      </c>
      <c r="V617" s="15">
        <f>U617-Q617</f>
        <v>19</v>
      </c>
      <c r="W617" s="34">
        <f>V617*$F$8</f>
        <v>47.31</v>
      </c>
      <c r="X617" s="34"/>
      <c r="Y617" s="13">
        <v>1210</v>
      </c>
      <c r="Z617" s="15">
        <f>Y617-U617</f>
        <v>159</v>
      </c>
      <c r="AA617" s="34">
        <f>Z617*$F$8</f>
        <v>395.91</v>
      </c>
      <c r="AB617" s="35"/>
      <c r="AC617" s="15">
        <v>1550</v>
      </c>
      <c r="AD617" s="15">
        <f t="shared" ref="AD617:AD618" si="1941">AC617-Y617</f>
        <v>340</v>
      </c>
      <c r="AE617" s="34">
        <f>AD617*$G$8</f>
        <v>850</v>
      </c>
      <c r="AF617" s="39">
        <v>550</v>
      </c>
      <c r="AG617" s="13">
        <v>1963</v>
      </c>
      <c r="AH617" s="15">
        <f t="shared" ref="AH617:AH618" si="1942">AG617-AC617</f>
        <v>413</v>
      </c>
      <c r="AI617" s="34">
        <f>AH617*$G$8</f>
        <v>1032.5</v>
      </c>
      <c r="AJ617" s="32">
        <f>(778.21+38.33)+1000</f>
        <v>1816.54</v>
      </c>
      <c r="AK617" s="13">
        <v>2311</v>
      </c>
      <c r="AL617" s="15">
        <f t="shared" ref="AL617:AL618" si="1943">AK617-AG617</f>
        <v>348</v>
      </c>
      <c r="AM617" s="34">
        <f>AL617*$G$8</f>
        <v>870</v>
      </c>
      <c r="AN617" s="134">
        <v>831.6</v>
      </c>
      <c r="AO617" s="13">
        <v>2904</v>
      </c>
      <c r="AP617" s="15">
        <f t="shared" ref="AP617:AP618" si="1944">AO617-AK617</f>
        <v>593</v>
      </c>
      <c r="AQ617" s="34">
        <f>AP617*$G$8</f>
        <v>1482.5</v>
      </c>
      <c r="AR617" s="28"/>
      <c r="AS617" s="15">
        <v>2907</v>
      </c>
      <c r="AT617" s="15">
        <f t="shared" ref="AT617:AT618" si="1945">AS617-AO617</f>
        <v>3</v>
      </c>
      <c r="AU617" s="34">
        <f>AT617*$G$8</f>
        <v>7.5</v>
      </c>
      <c r="AV617" s="15"/>
      <c r="AW617" s="13">
        <v>2907</v>
      </c>
      <c r="AX617" s="15">
        <f>AW617-AS617</f>
        <v>0</v>
      </c>
      <c r="AY617" s="34">
        <f>AX617*$G$8</f>
        <v>0</v>
      </c>
      <c r="AZ617" s="28"/>
      <c r="BA617" s="13">
        <v>2907</v>
      </c>
      <c r="BB617" s="15">
        <f>BA617-AW617</f>
        <v>0</v>
      </c>
      <c r="BC617" s="34">
        <f>BB617*$G$8</f>
        <v>0</v>
      </c>
      <c r="BD617" s="1">
        <v>1531.44</v>
      </c>
      <c r="BE617" s="40">
        <f t="shared" ref="BE617:BG617" si="1946">J617+N617+R617+V617+Z617+AD617+AH617+AL617+AP617+AT617+AX617+BB617</f>
        <v>1875</v>
      </c>
      <c r="BF617" s="41">
        <f t="shared" si="1946"/>
        <v>4685.72</v>
      </c>
      <c r="BG617" s="34">
        <f t="shared" si="1946"/>
        <v>4729.58</v>
      </c>
      <c r="BH617" s="35">
        <f t="shared" si="1940"/>
        <v>-41.37</v>
      </c>
      <c r="BI617" s="15"/>
      <c r="BJ617" s="15"/>
      <c r="BK617" s="15"/>
      <c r="BL617" s="15"/>
      <c r="BM617" s="15"/>
    </row>
    <row r="618" ht="14.25" customHeight="1" spans="1:65" x14ac:dyDescent="0.25">
      <c r="A618" s="29">
        <v>85</v>
      </c>
      <c r="B618" s="14"/>
      <c r="C618" s="15" t="s">
        <v>114</v>
      </c>
      <c r="D618" s="14" t="s">
        <v>47</v>
      </c>
      <c r="E618" s="15" t="s">
        <v>48</v>
      </c>
      <c r="F618" s="13">
        <v>17.98</v>
      </c>
      <c r="G618" s="28">
        <v>18.56</v>
      </c>
      <c r="H618" s="34">
        <f>'2018'!BH618</f>
        <v>-9.88</v>
      </c>
      <c r="I618" s="13">
        <v>91</v>
      </c>
      <c r="J618" s="15"/>
      <c r="K618" s="34"/>
      <c r="L618" s="35"/>
      <c r="M618" s="15"/>
      <c r="N618" s="15"/>
      <c r="O618" s="34"/>
      <c r="P618" s="34"/>
      <c r="Q618" s="13"/>
      <c r="R618" s="15"/>
      <c r="S618" s="34"/>
      <c r="T618" s="35"/>
      <c r="U618" s="15"/>
      <c r="V618" s="15"/>
      <c r="W618" s="34"/>
      <c r="X618" s="34"/>
      <c r="Y618" s="95">
        <v>91</v>
      </c>
      <c r="Z618" s="15">
        <f>Y618-'2018'!AO618</f>
        <v>0</v>
      </c>
      <c r="AA618" s="34">
        <f>Z618*$F$10</f>
        <v>0</v>
      </c>
      <c r="AB618" s="35"/>
      <c r="AC618" s="13">
        <v>104</v>
      </c>
      <c r="AD618" s="15">
        <f t="shared" si="1941"/>
        <v>13</v>
      </c>
      <c r="AE618" s="34">
        <f>AD618*$F$10</f>
        <v>233.74</v>
      </c>
      <c r="AF618" s="34"/>
      <c r="AG618" s="13">
        <v>114</v>
      </c>
      <c r="AH618" s="15">
        <f t="shared" si="1942"/>
        <v>10</v>
      </c>
      <c r="AI618" s="45">
        <f>AH618*$G$10</f>
        <v>185.6</v>
      </c>
      <c r="AJ618" s="139">
        <v>409.46</v>
      </c>
      <c r="AK618" s="13">
        <v>129</v>
      </c>
      <c r="AL618" s="15">
        <f t="shared" si="1943"/>
        <v>15</v>
      </c>
      <c r="AM618" s="45">
        <f>AL618*$G$10</f>
        <v>278.4</v>
      </c>
      <c r="AN618" s="134">
        <v>178.4</v>
      </c>
      <c r="AO618" s="13">
        <v>130</v>
      </c>
      <c r="AP618" s="15">
        <f t="shared" si="1944"/>
        <v>1</v>
      </c>
      <c r="AQ618" s="45">
        <f>AP618*$G$10</f>
        <v>18.56</v>
      </c>
      <c r="AR618" s="28"/>
      <c r="AS618" s="13">
        <v>130</v>
      </c>
      <c r="AT618" s="15">
        <f t="shared" si="1945"/>
        <v>0</v>
      </c>
      <c r="AU618" s="45">
        <f>AT618*$G$10</f>
        <v>0</v>
      </c>
      <c r="AV618" s="15"/>
      <c r="AW618" s="13">
        <v>130</v>
      </c>
      <c r="AX618" s="15"/>
      <c r="AY618" s="15"/>
      <c r="AZ618" s="28"/>
      <c r="BA618" s="15">
        <v>130</v>
      </c>
      <c r="BB618" s="15"/>
      <c r="BC618" s="15"/>
      <c r="BD618" s="1">
        <v>118.56</v>
      </c>
      <c r="BE618" s="40">
        <f t="shared" ref="BE618:BG618" si="1947">J618+N618+R618+V618+Z618+AD618+AH618+AL618+AP618+AT618+AX618+BB618</f>
        <v>39</v>
      </c>
      <c r="BF618" s="41">
        <f t="shared" si="1947"/>
        <v>716.3</v>
      </c>
      <c r="BG618" s="34">
        <f t="shared" si="1947"/>
        <v>706.42</v>
      </c>
      <c r="BH618" s="35">
        <f t="shared" si="1940"/>
        <v>0</v>
      </c>
      <c r="BI618" s="15"/>
      <c r="BJ618" s="15"/>
      <c r="BK618" s="15"/>
      <c r="BL618" s="15"/>
      <c r="BM618" s="15"/>
    </row>
    <row r="619" ht="14.25" customHeight="1" spans="1:65" x14ac:dyDescent="0.25">
      <c r="A619" s="29">
        <v>85</v>
      </c>
      <c r="B619" s="14"/>
      <c r="C619" s="15" t="s">
        <v>102</v>
      </c>
      <c r="D619" s="14" t="s">
        <v>47</v>
      </c>
      <c r="E619" s="15" t="s">
        <v>49</v>
      </c>
      <c r="F619" s="41">
        <v>500</v>
      </c>
      <c r="G619" s="28"/>
      <c r="H619" s="34">
        <f>'2018'!BH619</f>
        <v>0</v>
      </c>
      <c r="I619" s="13"/>
      <c r="J619" s="15"/>
      <c r="K619" s="34"/>
      <c r="L619" s="35"/>
      <c r="M619" s="15"/>
      <c r="N619" s="15"/>
      <c r="O619" s="34"/>
      <c r="P619" s="34"/>
      <c r="Q619" s="13"/>
      <c r="R619" s="15"/>
      <c r="S619" s="34"/>
      <c r="T619" s="35"/>
      <c r="U619" s="15"/>
      <c r="V619" s="15"/>
      <c r="W619" s="34"/>
      <c r="X619" s="34"/>
      <c r="Y619" s="13"/>
      <c r="Z619" s="15"/>
      <c r="AA619" s="34"/>
      <c r="AB619" s="35"/>
      <c r="AC619" s="15"/>
      <c r="AD619" s="15"/>
      <c r="AE619" s="34"/>
      <c r="AF619" s="34"/>
      <c r="AG619" s="13"/>
      <c r="AH619" s="15"/>
      <c r="AI619" s="15"/>
      <c r="AJ619" s="28"/>
      <c r="AK619" s="13"/>
      <c r="AL619" s="15"/>
      <c r="AM619" s="34"/>
      <c r="AN619" s="28"/>
      <c r="AO619" s="13"/>
      <c r="AP619" s="15"/>
      <c r="AQ619" s="34"/>
      <c r="AR619" s="28"/>
      <c r="AS619" s="15"/>
      <c r="AT619" s="15"/>
      <c r="AU619" s="15"/>
      <c r="AV619" s="15"/>
      <c r="AW619" s="13"/>
      <c r="AX619" s="15"/>
      <c r="AY619" s="15"/>
      <c r="AZ619" s="28"/>
      <c r="BA619" s="15"/>
      <c r="BB619" s="15"/>
      <c r="BC619" s="15"/>
      <c r="BD619" s="15"/>
      <c r="BE619" s="14"/>
      <c r="BF619" s="41">
        <f t="shared" ref="BF619:BG619" si="1948">K619+O619+S619+W619+AA619+AE619+AI619+AM619+AQ619+AU619+AY619+BC619</f>
        <v>0</v>
      </c>
      <c r="BG619" s="34">
        <f t="shared" si="1948"/>
        <v>0</v>
      </c>
      <c r="BH619" s="35">
        <f t="shared" si="1940"/>
        <v>0</v>
      </c>
      <c r="BI619" s="15"/>
      <c r="BJ619" s="15"/>
      <c r="BK619" s="15"/>
      <c r="BL619" s="15"/>
      <c r="BM619" s="15"/>
    </row>
    <row r="620" ht="14.25" customHeight="1" spans="1:65" x14ac:dyDescent="0.25">
      <c r="A620" s="29">
        <v>85</v>
      </c>
      <c r="B620" s="14"/>
      <c r="C620" s="15" t="s">
        <v>283</v>
      </c>
      <c r="D620" s="14" t="s">
        <v>50</v>
      </c>
      <c r="E620" s="15" t="s">
        <v>49</v>
      </c>
      <c r="F620" s="41">
        <v>1200</v>
      </c>
      <c r="G620" s="28"/>
      <c r="H620" s="34">
        <f>'2018'!BH620</f>
        <v>-0.0024</v>
      </c>
      <c r="I620" s="13"/>
      <c r="J620" s="15"/>
      <c r="K620" s="34"/>
      <c r="L620" s="35"/>
      <c r="M620" s="15"/>
      <c r="N620" s="15"/>
      <c r="O620" s="34"/>
      <c r="P620" s="34"/>
      <c r="Q620" s="13"/>
      <c r="R620" s="15"/>
      <c r="S620" s="34"/>
      <c r="T620" s="35"/>
      <c r="U620" s="15"/>
      <c r="V620" s="15"/>
      <c r="W620" s="34"/>
      <c r="X620" s="34"/>
      <c r="Y620" s="13"/>
      <c r="Z620" s="15"/>
      <c r="AA620" s="34"/>
      <c r="AB620" s="35"/>
      <c r="AC620" s="15"/>
      <c r="AD620" s="15"/>
      <c r="AE620" s="34">
        <f>B617*$F$12</f>
        <v>5124</v>
      </c>
      <c r="AF620" s="34"/>
      <c r="AG620" s="13"/>
      <c r="AH620" s="15"/>
      <c r="AI620" s="15"/>
      <c r="AJ620" s="134">
        <v>5124</v>
      </c>
      <c r="AK620" s="13"/>
      <c r="AL620" s="15"/>
      <c r="AM620" s="15"/>
      <c r="AN620" s="35"/>
      <c r="AO620" s="13"/>
      <c r="AP620" s="15"/>
      <c r="AQ620" s="15"/>
      <c r="AR620" s="28"/>
      <c r="AS620" s="15"/>
      <c r="AT620" s="15"/>
      <c r="AU620" s="15"/>
      <c r="AV620" s="15"/>
      <c r="AW620" s="13"/>
      <c r="AX620" s="15"/>
      <c r="AY620" s="15"/>
      <c r="AZ620" s="28"/>
      <c r="BA620" s="15"/>
      <c r="BB620" s="15"/>
      <c r="BC620" s="15"/>
      <c r="BD620" s="15"/>
      <c r="BE620" s="14"/>
      <c r="BF620" s="41">
        <f t="shared" ref="BF620:BG620" si="1949">K620+O620+S620+W620+AA620+AE620+AI620+AM620+AQ620+AU620+AY620+BC620</f>
        <v>5124</v>
      </c>
      <c r="BG620" s="34">
        <f t="shared" si="1949"/>
        <v>5124</v>
      </c>
      <c r="BH620" s="35">
        <f t="shared" si="1940"/>
        <v>-0.002400000001</v>
      </c>
      <c r="BI620" s="15"/>
      <c r="BJ620" s="15"/>
      <c r="BK620" s="15"/>
      <c r="BL620" s="15"/>
      <c r="BM620" s="15"/>
    </row>
    <row r="621" ht="14.25" customHeight="1" spans="1:65" x14ac:dyDescent="0.25">
      <c r="A621" s="29">
        <v>85</v>
      </c>
      <c r="B621" s="14"/>
      <c r="C621" s="15"/>
      <c r="D621" s="14" t="s">
        <v>51</v>
      </c>
      <c r="E621" s="15" t="s">
        <v>49</v>
      </c>
      <c r="F621" s="41">
        <v>1000</v>
      </c>
      <c r="G621" s="28"/>
      <c r="H621" s="34">
        <f>'2018'!BH621</f>
        <v>0</v>
      </c>
      <c r="I621" s="13"/>
      <c r="J621" s="15"/>
      <c r="K621" s="34"/>
      <c r="L621" s="35"/>
      <c r="M621" s="15"/>
      <c r="N621" s="15"/>
      <c r="O621" s="34"/>
      <c r="P621" s="34"/>
      <c r="Q621" s="13"/>
      <c r="R621" s="15"/>
      <c r="S621" s="34"/>
      <c r="T621" s="35"/>
      <c r="U621" s="15"/>
      <c r="V621" s="15"/>
      <c r="W621" s="34"/>
      <c r="X621" s="34"/>
      <c r="Y621" s="13"/>
      <c r="Z621" s="15"/>
      <c r="AA621" s="34"/>
      <c r="AB621" s="35"/>
      <c r="AC621" s="15"/>
      <c r="AD621" s="15"/>
      <c r="AE621" s="34">
        <f>$F$21</f>
        <v>1000</v>
      </c>
      <c r="AF621" s="34"/>
      <c r="AG621" s="13"/>
      <c r="AH621" s="15"/>
      <c r="AI621" s="15"/>
      <c r="AJ621" s="134">
        <v>1000</v>
      </c>
      <c r="AK621" s="13"/>
      <c r="AL621" s="15"/>
      <c r="AM621" s="15"/>
      <c r="AN621" s="28"/>
      <c r="AO621" s="13"/>
      <c r="AP621" s="15"/>
      <c r="AQ621" s="15"/>
      <c r="AR621" s="28"/>
      <c r="AS621" s="15"/>
      <c r="AT621" s="15"/>
      <c r="AU621" s="15"/>
      <c r="AV621" s="15"/>
      <c r="AW621" s="13"/>
      <c r="AX621" s="15"/>
      <c r="AY621" s="15"/>
      <c r="AZ621" s="28"/>
      <c r="BA621" s="15"/>
      <c r="BB621" s="15"/>
      <c r="BC621" s="15"/>
      <c r="BD621" s="15"/>
      <c r="BE621" s="14"/>
      <c r="BF621" s="41">
        <f t="shared" ref="BF621:BG621" si="1950">K621+O621+S621+W621+AA621+AE621+AI621+AM621+AQ621+AU621+AY621+BC621</f>
        <v>1000</v>
      </c>
      <c r="BG621" s="34">
        <f t="shared" si="1950"/>
        <v>1000</v>
      </c>
      <c r="BH621" s="35">
        <f t="shared" si="1940"/>
        <v>0</v>
      </c>
      <c r="BI621" s="15"/>
      <c r="BJ621" s="15"/>
      <c r="BK621" s="15"/>
      <c r="BL621" s="15"/>
      <c r="BM621" s="15"/>
    </row>
    <row r="622" ht="14.25" customHeight="1" spans="1:65" x14ac:dyDescent="0.25">
      <c r="A622" s="29">
        <v>85</v>
      </c>
      <c r="B622" s="14"/>
      <c r="C622" s="15"/>
      <c r="D622" s="14" t="s">
        <v>52</v>
      </c>
      <c r="E622" s="15" t="s">
        <v>39</v>
      </c>
      <c r="F622" s="41">
        <v>500</v>
      </c>
      <c r="G622" s="28"/>
      <c r="H622" s="84">
        <f>'2018'!BH622-500</f>
        <v>-500</v>
      </c>
      <c r="I622" s="13"/>
      <c r="J622" s="15"/>
      <c r="K622" s="34"/>
      <c r="L622" s="35"/>
      <c r="M622" s="15"/>
      <c r="N622" s="15"/>
      <c r="O622" s="34"/>
      <c r="P622" s="34"/>
      <c r="Q622" s="13"/>
      <c r="R622" s="15"/>
      <c r="S622" s="34"/>
      <c r="T622" s="35"/>
      <c r="U622" s="15"/>
      <c r="V622" s="15"/>
      <c r="W622" s="34"/>
      <c r="X622" s="34"/>
      <c r="Y622" s="13"/>
      <c r="Z622" s="15"/>
      <c r="AA622" s="34">
        <f>$F$14</f>
        <v>500</v>
      </c>
      <c r="AB622" s="35"/>
      <c r="AC622" s="15"/>
      <c r="AD622" s="15"/>
      <c r="AE622" s="34"/>
      <c r="AF622" s="34"/>
      <c r="AG622" s="13"/>
      <c r="AH622" s="15"/>
      <c r="AI622" s="15"/>
      <c r="AJ622" s="28"/>
      <c r="AK622" s="13"/>
      <c r="AL622" s="15"/>
      <c r="AM622" s="15"/>
      <c r="AN622" s="28"/>
      <c r="AO622" s="13"/>
      <c r="AP622" s="15"/>
      <c r="AQ622" s="15"/>
      <c r="AR622" s="28"/>
      <c r="AS622" s="15"/>
      <c r="AT622" s="15"/>
      <c r="AU622" s="15"/>
      <c r="AV622" s="15"/>
      <c r="AW622" s="13"/>
      <c r="AX622" s="15"/>
      <c r="AY622" s="15"/>
      <c r="AZ622" s="28"/>
      <c r="BA622" s="15"/>
      <c r="BB622" s="15"/>
      <c r="BC622" s="15"/>
      <c r="BD622" s="15"/>
      <c r="BE622" s="14"/>
      <c r="BF622" s="41">
        <f t="shared" ref="BF622:BG622" si="1951">K622+O622+S622+W622+AA622+AE622+AI622+AM622+AQ622+AU622+AY622+BC622</f>
        <v>500</v>
      </c>
      <c r="BG622" s="34">
        <f t="shared" si="1951"/>
        <v>0</v>
      </c>
      <c r="BH622" s="35">
        <f t="shared" si="1940"/>
        <v>0</v>
      </c>
      <c r="BI622" s="15"/>
      <c r="BJ622" s="15"/>
      <c r="BK622" s="15"/>
      <c r="BL622" s="15"/>
      <c r="BM622" s="15"/>
    </row>
    <row r="623" ht="14.25" customHeight="1" spans="1:62" x14ac:dyDescent="0.25">
      <c r="A623" s="50">
        <v>85</v>
      </c>
      <c r="B623" s="21"/>
      <c r="C623" s="22" t="s">
        <v>53</v>
      </c>
      <c r="D623" s="21"/>
      <c r="E623" s="22"/>
      <c r="F623" s="20"/>
      <c r="G623" s="23"/>
      <c r="H623" s="51">
        <f>SUM(H616:H622)</f>
        <v>-507.3924</v>
      </c>
      <c r="I623" s="52"/>
      <c r="J623" s="53"/>
      <c r="K623" s="51">
        <f t="shared" ref="K623:L623" si="1952">SUM(K616:K622)</f>
        <v>0</v>
      </c>
      <c r="L623" s="68">
        <f t="shared" si="1952"/>
        <v>0</v>
      </c>
      <c r="M623" s="53"/>
      <c r="N623" s="53"/>
      <c r="O623" s="51">
        <f t="shared" ref="O623:P623" si="1953">SUM(O617:O622)</f>
        <v>0</v>
      </c>
      <c r="P623" s="51">
        <f t="shared" si="1953"/>
        <v>0</v>
      </c>
      <c r="Q623" s="52"/>
      <c r="R623" s="53"/>
      <c r="S623" s="51">
        <f t="shared" ref="S623:T623" si="1954">SUM(S617:S622)</f>
        <v>0</v>
      </c>
      <c r="T623" s="68">
        <f t="shared" si="1954"/>
        <v>0</v>
      </c>
      <c r="U623" s="53"/>
      <c r="V623" s="53"/>
      <c r="W623" s="51">
        <f t="shared" ref="W623:X623" si="1955">SUM(W617:W622)</f>
        <v>47.31</v>
      </c>
      <c r="X623" s="51">
        <f t="shared" si="1955"/>
        <v>0</v>
      </c>
      <c r="Y623" s="52"/>
      <c r="Z623" s="53"/>
      <c r="AA623" s="51">
        <f t="shared" ref="AA623:AB623" si="1956">SUM(AA617:AA622)</f>
        <v>895.91</v>
      </c>
      <c r="AB623" s="68">
        <f t="shared" si="1956"/>
        <v>0</v>
      </c>
      <c r="AC623" s="53"/>
      <c r="AD623" s="53"/>
      <c r="AE623" s="51">
        <f t="shared" ref="AE623:AF623" si="1957">SUM(AE617:AE622)</f>
        <v>7207.74</v>
      </c>
      <c r="AF623" s="51">
        <f t="shared" si="1957"/>
        <v>550</v>
      </c>
      <c r="AG623" s="52"/>
      <c r="AH623" s="53"/>
      <c r="AI623" s="51">
        <f t="shared" ref="AI623:AJ623" si="1958">SUM(AI617:AI622)</f>
        <v>1218.1</v>
      </c>
      <c r="AJ623" s="68">
        <f t="shared" si="1958"/>
        <v>8350</v>
      </c>
      <c r="AK623" s="52"/>
      <c r="AL623" s="53"/>
      <c r="AM623" s="51">
        <f t="shared" ref="AM623:AN623" si="1959">SUM(AM617:AM622)</f>
        <v>1148.4</v>
      </c>
      <c r="AN623" s="68">
        <f t="shared" si="1959"/>
        <v>1010</v>
      </c>
      <c r="AO623" s="52"/>
      <c r="AP623" s="53"/>
      <c r="AQ623" s="51">
        <f t="shared" ref="AQ623:AR623" si="1960">SUM(AQ616:AQ622)</f>
        <v>1501.06</v>
      </c>
      <c r="AR623" s="68">
        <f t="shared" si="1960"/>
        <v>0</v>
      </c>
      <c r="AS623" s="53"/>
      <c r="AT623" s="53"/>
      <c r="AU623" s="51">
        <f t="shared" ref="AU623:AV623" si="1961">SUM(AU616:AU622)</f>
        <v>7.5</v>
      </c>
      <c r="AV623" s="68">
        <f t="shared" si="1961"/>
        <v>0</v>
      </c>
      <c r="AW623" s="52"/>
      <c r="AX623" s="53"/>
      <c r="AY623" s="51">
        <f t="shared" ref="AY623:AZ623" si="1962">SUM(AY616:AY622)</f>
        <v>0</v>
      </c>
      <c r="AZ623" s="68">
        <f t="shared" si="1962"/>
        <v>0</v>
      </c>
      <c r="BA623" s="53"/>
      <c r="BB623" s="53"/>
      <c r="BC623" s="51">
        <f t="shared" ref="BC623:BD623" si="1963">SUM(BC616:BC622)</f>
        <v>0</v>
      </c>
      <c r="BD623" s="68">
        <f t="shared" si="1963"/>
        <v>1650</v>
      </c>
      <c r="BE623" s="69"/>
      <c r="BF623" s="70">
        <f t="shared" ref="BF623:BH623" si="1964">SUM(BF616:BF622)</f>
        <v>12026.02</v>
      </c>
      <c r="BG623" s="71">
        <f t="shared" si="1964"/>
        <v>11560</v>
      </c>
      <c r="BH623" s="72">
        <f t="shared" si="1964"/>
        <v>-41.3724</v>
      </c>
      <c r="BI623" s="34">
        <f>H623+BF623-BG623</f>
        <v>-41.3724</v>
      </c>
      <c r="BJ623" s="34">
        <f>BH623-BI623</f>
        <v>0</v>
      </c>
    </row>
    <row r="624" ht="14.25" customHeight="1" spans="1:65" x14ac:dyDescent="0.25">
      <c r="A624" s="29">
        <v>87</v>
      </c>
      <c r="B624" s="14"/>
      <c r="C624" s="15"/>
      <c r="D624" s="14" t="s">
        <v>379</v>
      </c>
      <c r="E624" s="15"/>
      <c r="F624" s="13"/>
      <c r="G624" s="28"/>
      <c r="H624" s="34">
        <f>'2018'!BH624</f>
      </c>
      <c r="I624" s="13"/>
      <c r="J624" s="15"/>
      <c r="K624" s="34"/>
      <c r="L624" s="35"/>
      <c r="M624" s="15"/>
      <c r="N624" s="15"/>
      <c r="O624" s="34"/>
      <c r="P624" s="34"/>
      <c r="Q624" s="13"/>
      <c r="R624" s="15"/>
      <c r="S624" s="34"/>
      <c r="T624" s="35"/>
      <c r="U624" s="15"/>
      <c r="V624" s="15"/>
      <c r="W624" s="34"/>
      <c r="X624" s="34"/>
      <c r="Y624" s="13"/>
      <c r="Z624" s="15"/>
      <c r="AA624" s="34"/>
      <c r="AB624" s="35"/>
      <c r="AC624" s="15"/>
      <c r="AD624" s="15"/>
      <c r="AE624" s="34"/>
      <c r="AF624" s="34"/>
      <c r="AG624" s="13"/>
      <c r="AH624" s="15"/>
      <c r="AI624" s="34"/>
      <c r="AJ624" s="35"/>
      <c r="AK624" s="13"/>
      <c r="AL624" s="15"/>
      <c r="AM624" s="34"/>
      <c r="AN624" s="35"/>
      <c r="AO624" s="13"/>
      <c r="AP624" s="15"/>
      <c r="AQ624" s="34"/>
      <c r="AR624" s="35"/>
      <c r="AS624" s="15"/>
      <c r="AT624" s="15"/>
      <c r="AU624" s="34"/>
      <c r="AV624" s="34"/>
      <c r="AW624" s="13"/>
      <c r="AX624" s="15"/>
      <c r="AY624" s="34"/>
      <c r="AZ624" s="35"/>
      <c r="BA624" s="15"/>
      <c r="BB624" s="15"/>
      <c r="BC624" s="34"/>
      <c r="BD624" s="34"/>
      <c r="BE624" s="42"/>
      <c r="BF624" s="41">
        <f t="shared" ref="BF624:BG624" si="1965">K624+O624+S624+W624+AA624+AE624+AI624+AM624+AQ624+AU624+AY624+BC624</f>
        <v>0</v>
      </c>
      <c r="BG624" s="34">
        <f t="shared" si="1965"/>
        <v>0</v>
      </c>
      <c r="BH624" s="35">
        <f t="shared" ref="BH624:BH630" si="1966">H624+BF624-BG624</f>
        <v>0</v>
      </c>
      <c r="BI624" s="15"/>
      <c r="BJ624" s="15"/>
      <c r="BK624" s="15"/>
      <c r="BL624" s="15"/>
      <c r="BM624" s="15"/>
    </row>
    <row r="625" ht="14.25" customHeight="1" spans="1:65" x14ac:dyDescent="0.25">
      <c r="A625" s="2">
        <v>87</v>
      </c>
      <c r="B625" s="14">
        <v>4.23</v>
      </c>
      <c r="C625" s="15" t="s">
        <v>284</v>
      </c>
      <c r="D625" s="14" t="s">
        <v>44</v>
      </c>
      <c r="E625" s="15" t="s">
        <v>45</v>
      </c>
      <c r="F625" s="13">
        <v>2.49</v>
      </c>
      <c r="G625" s="35">
        <v>2.5</v>
      </c>
      <c r="H625" s="34">
        <f>'2018'!BH625</f>
        <v>99.6</v>
      </c>
      <c r="I625" s="13">
        <v>241</v>
      </c>
      <c r="J625" s="15">
        <f>I625-'2018'!BA625</f>
        <v>0</v>
      </c>
      <c r="K625" s="34">
        <f>J625*$F$8</f>
        <v>0</v>
      </c>
      <c r="L625" s="35"/>
      <c r="M625" s="15">
        <v>241</v>
      </c>
      <c r="N625" s="15">
        <f>M625-I625</f>
        <v>0</v>
      </c>
      <c r="O625" s="34">
        <f>N625*$F$8</f>
        <v>0</v>
      </c>
      <c r="P625" s="34"/>
      <c r="Q625" s="13">
        <v>241</v>
      </c>
      <c r="R625" s="15">
        <f>Q625-M625</f>
        <v>0</v>
      </c>
      <c r="S625" s="34">
        <f>R625*$F$8</f>
        <v>0</v>
      </c>
      <c r="T625" s="35"/>
      <c r="U625" s="15">
        <v>241</v>
      </c>
      <c r="V625" s="15">
        <f>U625-Q625</f>
        <v>0</v>
      </c>
      <c r="W625" s="34">
        <f>V625*$F$8</f>
        <v>0</v>
      </c>
      <c r="X625" s="34"/>
      <c r="Y625" s="13">
        <v>254</v>
      </c>
      <c r="Z625" s="15">
        <f>Y625-U625</f>
        <v>13</v>
      </c>
      <c r="AA625" s="34">
        <f>Z625*$F$8</f>
        <v>32.37</v>
      </c>
      <c r="AB625" s="35"/>
      <c r="AC625" s="15">
        <v>279</v>
      </c>
      <c r="AD625" s="15">
        <f t="shared" ref="AD625:AD626" si="1967">AC625-Y625</f>
        <v>25</v>
      </c>
      <c r="AE625" s="34">
        <f>AD625*$G$8</f>
        <v>62.5</v>
      </c>
      <c r="AF625" s="133">
        <f>194.47+23.65</f>
        <v>218.12</v>
      </c>
      <c r="AG625" s="13">
        <v>318</v>
      </c>
      <c r="AH625" s="15">
        <f t="shared" ref="AH625:AH626" si="1968">AG625-AC625</f>
        <v>39</v>
      </c>
      <c r="AI625" s="34">
        <f>AH625*$G$8</f>
        <v>97.5</v>
      </c>
      <c r="AJ625" s="28"/>
      <c r="AK625" s="13">
        <v>346</v>
      </c>
      <c r="AL625" s="15">
        <f t="shared" ref="AL625:AL626" si="1969">AK625-AG625</f>
        <v>28</v>
      </c>
      <c r="AM625" s="34">
        <f>AL625*$G$8</f>
        <v>70</v>
      </c>
      <c r="AN625" s="139">
        <f>143.85+29.27</f>
        <v>173.12</v>
      </c>
      <c r="AO625" s="13">
        <v>367</v>
      </c>
      <c r="AP625" s="15">
        <f t="shared" ref="AP625:AP626" si="1970">AO625-AK625</f>
        <v>21</v>
      </c>
      <c r="AQ625" s="34">
        <f>AP625*$G$8</f>
        <v>52.5</v>
      </c>
      <c r="AR625" s="28"/>
      <c r="AS625" s="15">
        <v>368</v>
      </c>
      <c r="AT625" s="15">
        <f t="shared" ref="AT625:AT626" si="1971">AS625-AO625</f>
        <v>1</v>
      </c>
      <c r="AU625" s="34">
        <f>AT625*$G$8</f>
        <v>2.5</v>
      </c>
      <c r="AV625" s="15"/>
      <c r="AW625" s="13">
        <v>368</v>
      </c>
      <c r="AX625" s="15">
        <f>AW625-AS625</f>
        <v>0</v>
      </c>
      <c r="AY625" s="34">
        <f>AX625*$G$8</f>
        <v>0</v>
      </c>
      <c r="AZ625" s="28"/>
      <c r="BA625" s="13">
        <v>368</v>
      </c>
      <c r="BB625" s="15">
        <f>BA625-AW625</f>
        <v>0</v>
      </c>
      <c r="BC625" s="34">
        <f>BB625*$G$8</f>
        <v>0</v>
      </c>
      <c r="BD625" s="15"/>
      <c r="BE625" s="40">
        <f t="shared" ref="BE625:BG625" si="1972">J625+N625+R625+V625+Z625+AD625+AH625+AL625+AP625+AT625+AX625+BB625</f>
        <v>127</v>
      </c>
      <c r="BF625" s="41">
        <f t="shared" si="1972"/>
        <v>317.37</v>
      </c>
      <c r="BG625" s="34">
        <f t="shared" si="1972"/>
        <v>391.24</v>
      </c>
      <c r="BH625" s="35">
        <f t="shared" si="1966"/>
        <v>25.73</v>
      </c>
      <c r="BI625" s="15"/>
      <c r="BJ625" s="15"/>
      <c r="BK625" s="15"/>
      <c r="BL625" s="15"/>
      <c r="BM625" s="15"/>
    </row>
    <row r="626" ht="14.25" customHeight="1" spans="1:65" x14ac:dyDescent="0.25">
      <c r="A626" s="29">
        <v>87</v>
      </c>
      <c r="B626" s="14"/>
      <c r="C626" s="15" t="s">
        <v>153</v>
      </c>
      <c r="D626" s="14" t="s">
        <v>47</v>
      </c>
      <c r="E626" s="15" t="s">
        <v>48</v>
      </c>
      <c r="F626" s="13">
        <v>17.98</v>
      </c>
      <c r="G626" s="28">
        <v>18.56</v>
      </c>
      <c r="H626" s="34">
        <f>'2018'!BH626</f>
        <v>0</v>
      </c>
      <c r="I626" s="13">
        <v>145</v>
      </c>
      <c r="J626" s="15"/>
      <c r="K626" s="34"/>
      <c r="L626" s="35"/>
      <c r="M626" s="15"/>
      <c r="N626" s="15"/>
      <c r="O626" s="34"/>
      <c r="P626" s="34"/>
      <c r="Q626" s="13"/>
      <c r="R626" s="15"/>
      <c r="S626" s="34"/>
      <c r="T626" s="35"/>
      <c r="U626" s="15"/>
      <c r="V626" s="15"/>
      <c r="W626" s="34"/>
      <c r="X626" s="34"/>
      <c r="Y626" s="95">
        <v>145</v>
      </c>
      <c r="Z626" s="15">
        <f>Y626-'2018'!AO626</f>
        <v>0</v>
      </c>
      <c r="AA626" s="34">
        <f>Z626*$F$10</f>
        <v>0</v>
      </c>
      <c r="AB626" s="35"/>
      <c r="AC626" s="15">
        <v>162</v>
      </c>
      <c r="AD626" s="15">
        <f t="shared" si="1967"/>
        <v>17</v>
      </c>
      <c r="AE626" s="34">
        <f>AD626*$F$10</f>
        <v>305.66</v>
      </c>
      <c r="AF626" s="133">
        <v>305.66</v>
      </c>
      <c r="AG626" s="13">
        <v>162</v>
      </c>
      <c r="AH626" s="15">
        <f t="shared" si="1968"/>
        <v>0</v>
      </c>
      <c r="AI626" s="45">
        <f>AH626*$G$10</f>
        <v>0</v>
      </c>
      <c r="AJ626" s="28"/>
      <c r="AK626" s="15">
        <v>185</v>
      </c>
      <c r="AL626" s="15">
        <f t="shared" si="1969"/>
        <v>23</v>
      </c>
      <c r="AM626" s="45">
        <f>AL626*$G$10</f>
        <v>426.88</v>
      </c>
      <c r="AN626" s="139">
        <v>426.88</v>
      </c>
      <c r="AO626" s="15">
        <v>185</v>
      </c>
      <c r="AP626" s="15">
        <f t="shared" si="1970"/>
        <v>0</v>
      </c>
      <c r="AQ626" s="45">
        <f>AP626*$G$10</f>
        <v>0</v>
      </c>
      <c r="AR626" s="28"/>
      <c r="AS626" s="15">
        <v>185</v>
      </c>
      <c r="AT626" s="15">
        <f t="shared" si="1971"/>
        <v>0</v>
      </c>
      <c r="AU626" s="45">
        <f>AT626*$G$10</f>
        <v>0</v>
      </c>
      <c r="AV626" s="15"/>
      <c r="AW626" s="13">
        <v>185</v>
      </c>
      <c r="AX626" s="15"/>
      <c r="AY626" s="15"/>
      <c r="AZ626" s="28"/>
      <c r="BA626" s="15">
        <v>185</v>
      </c>
      <c r="BB626" s="15"/>
      <c r="BC626" s="15"/>
      <c r="BD626" s="15"/>
      <c r="BE626" s="40">
        <f t="shared" ref="BE626:BG626" si="1973">J626+N626+R626+V626+Z626+AD626+AH626+AL626+AP626+AT626+AX626+BB626</f>
        <v>40</v>
      </c>
      <c r="BF626" s="41">
        <f t="shared" si="1973"/>
        <v>732.54</v>
      </c>
      <c r="BG626" s="34">
        <f t="shared" si="1973"/>
        <v>732.54</v>
      </c>
      <c r="BH626" s="35">
        <f t="shared" si="1966"/>
        <v>0</v>
      </c>
      <c r="BI626" s="15"/>
      <c r="BJ626" s="15"/>
      <c r="BK626" s="15"/>
      <c r="BL626" s="15"/>
      <c r="BM626" s="15"/>
    </row>
    <row r="627" ht="14.25" customHeight="1" spans="1:65" x14ac:dyDescent="0.25">
      <c r="A627" s="29">
        <v>87</v>
      </c>
      <c r="B627" s="14"/>
      <c r="C627" s="15" t="s">
        <v>102</v>
      </c>
      <c r="D627" s="14" t="s">
        <v>47</v>
      </c>
      <c r="E627" s="15" t="s">
        <v>49</v>
      </c>
      <c r="F627" s="41">
        <v>500</v>
      </c>
      <c r="G627" s="28"/>
      <c r="H627" s="34">
        <f>'2018'!BH627</f>
        <v>0</v>
      </c>
      <c r="I627" s="13"/>
      <c r="J627" s="15"/>
      <c r="K627" s="34"/>
      <c r="L627" s="35"/>
      <c r="M627" s="15"/>
      <c r="N627" s="15"/>
      <c r="O627" s="34"/>
      <c r="P627" s="34"/>
      <c r="Q627" s="13"/>
      <c r="R627" s="15"/>
      <c r="S627" s="34"/>
      <c r="T627" s="35"/>
      <c r="U627" s="15"/>
      <c r="V627" s="15"/>
      <c r="W627" s="34"/>
      <c r="X627" s="34"/>
      <c r="Y627" s="13"/>
      <c r="Z627" s="15"/>
      <c r="AA627" s="34"/>
      <c r="AB627" s="35"/>
      <c r="AC627" s="15"/>
      <c r="AD627" s="15"/>
      <c r="AE627" s="34"/>
      <c r="AF627" s="34"/>
      <c r="AG627" s="13"/>
      <c r="AH627" s="15"/>
      <c r="AI627" s="15"/>
      <c r="AJ627" s="28"/>
      <c r="AK627" s="13"/>
      <c r="AL627" s="15"/>
      <c r="AM627" s="34"/>
      <c r="AN627" s="28"/>
      <c r="AO627" s="13"/>
      <c r="AP627" s="15"/>
      <c r="AQ627" s="34"/>
      <c r="AR627" s="28"/>
      <c r="AS627" s="15"/>
      <c r="AT627" s="15"/>
      <c r="AU627" s="15"/>
      <c r="AV627" s="15"/>
      <c r="AW627" s="13"/>
      <c r="AX627" s="15"/>
      <c r="AY627" s="15"/>
      <c r="AZ627" s="28"/>
      <c r="BA627" s="15"/>
      <c r="BB627" s="15"/>
      <c r="BC627" s="15"/>
      <c r="BD627" s="15"/>
      <c r="BE627" s="14"/>
      <c r="BF627" s="41">
        <f t="shared" ref="BF627:BG627" si="1974">K627+O627+S627+W627+AA627+AE627+AI627+AM627+AQ627+AU627+AY627+BC627</f>
        <v>0</v>
      </c>
      <c r="BG627" s="34">
        <f t="shared" si="1974"/>
        <v>0</v>
      </c>
      <c r="BH627" s="35">
        <f t="shared" si="1966"/>
        <v>0</v>
      </c>
      <c r="BI627" s="15"/>
      <c r="BJ627" s="15"/>
      <c r="BK627" s="15"/>
      <c r="BL627" s="15"/>
      <c r="BM627" s="15"/>
    </row>
    <row r="628" ht="14.25" customHeight="1" spans="1:65" x14ac:dyDescent="0.25">
      <c r="A628" s="29">
        <v>87</v>
      </c>
      <c r="B628" s="14"/>
      <c r="C628" s="15" t="s">
        <v>285</v>
      </c>
      <c r="D628" s="14" t="s">
        <v>50</v>
      </c>
      <c r="E628" s="15" t="s">
        <v>49</v>
      </c>
      <c r="F628" s="41">
        <v>1200</v>
      </c>
      <c r="G628" s="28"/>
      <c r="H628" s="34">
        <f>'2018'!BH628</f>
        <v>0.2224</v>
      </c>
      <c r="I628" s="13"/>
      <c r="J628" s="15"/>
      <c r="K628" s="34"/>
      <c r="L628" s="35"/>
      <c r="M628" s="15"/>
      <c r="N628" s="15"/>
      <c r="O628" s="34"/>
      <c r="P628" s="34"/>
      <c r="Q628" s="13"/>
      <c r="R628" s="15"/>
      <c r="S628" s="34"/>
      <c r="T628" s="35"/>
      <c r="U628" s="15"/>
      <c r="V628" s="15"/>
      <c r="W628" s="34"/>
      <c r="X628" s="34"/>
      <c r="Y628" s="13"/>
      <c r="Z628" s="15"/>
      <c r="AA628" s="34"/>
      <c r="AB628" s="35"/>
      <c r="AC628" s="15"/>
      <c r="AD628" s="15"/>
      <c r="AE628" s="34">
        <f>B625*$F$12</f>
        <v>5076</v>
      </c>
      <c r="AF628" s="133">
        <v>5076.22</v>
      </c>
      <c r="AG628" s="13"/>
      <c r="AH628" s="15"/>
      <c r="AI628" s="15"/>
      <c r="AJ628" s="35"/>
      <c r="AK628" s="13"/>
      <c r="AL628" s="15"/>
      <c r="AM628" s="15"/>
      <c r="AN628" s="28"/>
      <c r="AO628" s="13"/>
      <c r="AP628" s="15"/>
      <c r="AQ628" s="15"/>
      <c r="AR628" s="28"/>
      <c r="AS628" s="15"/>
      <c r="AT628" s="15"/>
      <c r="AU628" s="15"/>
      <c r="AV628" s="15"/>
      <c r="AW628" s="13"/>
      <c r="AX628" s="15"/>
      <c r="AY628" s="15"/>
      <c r="AZ628" s="28"/>
      <c r="BA628" s="15"/>
      <c r="BB628" s="15"/>
      <c r="BC628" s="15"/>
      <c r="BD628" s="15"/>
      <c r="BE628" s="14"/>
      <c r="BF628" s="41">
        <f t="shared" ref="BF628:BG628" si="1975">K628+O628+S628+W628+AA628+AE628+AI628+AM628+AQ628+AU628+AY628+BC628</f>
        <v>5076</v>
      </c>
      <c r="BG628" s="34">
        <f t="shared" si="1975"/>
        <v>5076.22</v>
      </c>
      <c r="BH628" s="35">
        <f t="shared" si="1966"/>
        <v>0.002400000001</v>
      </c>
      <c r="BI628" s="15"/>
      <c r="BJ628" s="15"/>
      <c r="BK628" s="15"/>
      <c r="BL628" s="15"/>
      <c r="BM628" s="15"/>
    </row>
    <row r="629" ht="14.25" customHeight="1" spans="1:65" x14ac:dyDescent="0.25">
      <c r="A629" s="29">
        <v>87</v>
      </c>
      <c r="B629" s="14"/>
      <c r="C629" s="15"/>
      <c r="D629" s="14" t="s">
        <v>51</v>
      </c>
      <c r="E629" s="15" t="s">
        <v>49</v>
      </c>
      <c r="F629" s="41">
        <v>1000</v>
      </c>
      <c r="G629" s="28"/>
      <c r="H629" s="34">
        <f>'2018'!BH629</f>
        <v>0</v>
      </c>
      <c r="I629" s="13"/>
      <c r="J629" s="15"/>
      <c r="K629" s="34"/>
      <c r="L629" s="35"/>
      <c r="M629" s="15"/>
      <c r="N629" s="15"/>
      <c r="O629" s="34"/>
      <c r="P629" s="34"/>
      <c r="Q629" s="13"/>
      <c r="R629" s="15"/>
      <c r="S629" s="34"/>
      <c r="T629" s="35"/>
      <c r="U629" s="15"/>
      <c r="V629" s="15"/>
      <c r="W629" s="34"/>
      <c r="X629" s="34"/>
      <c r="Y629" s="13"/>
      <c r="Z629" s="15"/>
      <c r="AA629" s="34"/>
      <c r="AB629" s="35"/>
      <c r="AC629" s="15"/>
      <c r="AD629" s="15"/>
      <c r="AE629" s="34">
        <f>$F$21</f>
        <v>1000</v>
      </c>
      <c r="AF629" s="133">
        <v>1000</v>
      </c>
      <c r="AG629" s="13"/>
      <c r="AH629" s="15"/>
      <c r="AI629" s="15"/>
      <c r="AJ629" s="28"/>
      <c r="AK629" s="13"/>
      <c r="AL629" s="15"/>
      <c r="AM629" s="15"/>
      <c r="AN629" s="28"/>
      <c r="AO629" s="13"/>
      <c r="AP629" s="15"/>
      <c r="AQ629" s="15"/>
      <c r="AR629" s="28"/>
      <c r="AS629" s="15"/>
      <c r="AT629" s="15"/>
      <c r="AU629" s="15"/>
      <c r="AV629" s="15"/>
      <c r="AW629" s="13"/>
      <c r="AX629" s="15"/>
      <c r="AY629" s="15"/>
      <c r="AZ629" s="28"/>
      <c r="BA629" s="15"/>
      <c r="BB629" s="15"/>
      <c r="BC629" s="15"/>
      <c r="BD629" s="15"/>
      <c r="BE629" s="14"/>
      <c r="BF629" s="41">
        <f t="shared" ref="BF629:BG629" si="1976">K629+O629+S629+W629+AA629+AE629+AI629+AM629+AQ629+AU629+AY629+BC629</f>
        <v>1000</v>
      </c>
      <c r="BG629" s="34">
        <f t="shared" si="1976"/>
        <v>1000</v>
      </c>
      <c r="BH629" s="35">
        <f t="shared" si="1966"/>
        <v>0</v>
      </c>
      <c r="BI629" s="15"/>
      <c r="BJ629" s="15"/>
      <c r="BK629" s="15"/>
      <c r="BL629" s="15"/>
      <c r="BM629" s="15"/>
    </row>
    <row r="630" ht="14.25" customHeight="1" spans="1:65" x14ac:dyDescent="0.25">
      <c r="A630" s="29">
        <v>87</v>
      </c>
      <c r="B630" s="14"/>
      <c r="C630" s="15"/>
      <c r="D630" s="14" t="s">
        <v>52</v>
      </c>
      <c r="E630" s="15" t="s">
        <v>39</v>
      </c>
      <c r="F630" s="41">
        <v>500</v>
      </c>
      <c r="G630" s="28"/>
      <c r="H630" s="34">
        <f>'2018'!BH630</f>
        <v>0</v>
      </c>
      <c r="I630" s="13"/>
      <c r="J630" s="15"/>
      <c r="K630" s="34"/>
      <c r="L630" s="35"/>
      <c r="M630" s="15"/>
      <c r="N630" s="15"/>
      <c r="O630" s="34"/>
      <c r="P630" s="34"/>
      <c r="Q630" s="13"/>
      <c r="R630" s="15"/>
      <c r="S630" s="34"/>
      <c r="T630" s="35"/>
      <c r="U630" s="15"/>
      <c r="V630" s="15"/>
      <c r="W630" s="34"/>
      <c r="X630" s="34"/>
      <c r="Y630" s="13"/>
      <c r="Z630" s="15"/>
      <c r="AA630" s="34">
        <f>$F$14</f>
        <v>500</v>
      </c>
      <c r="AB630" s="35"/>
      <c r="AC630" s="15"/>
      <c r="AD630" s="15"/>
      <c r="AE630" s="34"/>
      <c r="AF630" s="133">
        <v>500</v>
      </c>
      <c r="AG630" s="13"/>
      <c r="AH630" s="15"/>
      <c r="AI630" s="15"/>
      <c r="AJ630" s="28"/>
      <c r="AK630" s="13"/>
      <c r="AL630" s="15"/>
      <c r="AM630" s="15"/>
      <c r="AN630" s="35"/>
      <c r="AO630" s="13"/>
      <c r="AP630" s="15"/>
      <c r="AQ630" s="15"/>
      <c r="AR630" s="28"/>
      <c r="AS630" s="15"/>
      <c r="AT630" s="15"/>
      <c r="AU630" s="15"/>
      <c r="AV630" s="15"/>
      <c r="AW630" s="13"/>
      <c r="AX630" s="15"/>
      <c r="AY630" s="15"/>
      <c r="AZ630" s="28"/>
      <c r="BA630" s="15"/>
      <c r="BB630" s="15"/>
      <c r="BC630" s="15"/>
      <c r="BD630" s="15"/>
      <c r="BE630" s="14"/>
      <c r="BF630" s="41">
        <f t="shared" ref="BF630:BG630" si="1977">K630+O630+S630+W630+AA630+AE630+AI630+AM630+AQ630+AU630+AY630+BC630</f>
        <v>500</v>
      </c>
      <c r="BG630" s="34">
        <f t="shared" si="1977"/>
        <v>500</v>
      </c>
      <c r="BH630" s="35">
        <f t="shared" si="1966"/>
        <v>0</v>
      </c>
      <c r="BI630" s="15"/>
      <c r="BJ630" s="15"/>
      <c r="BK630" s="15"/>
      <c r="BL630" s="15"/>
      <c r="BM630" s="15"/>
    </row>
    <row r="631" ht="14.25" customHeight="1" spans="1:62" x14ac:dyDescent="0.25">
      <c r="A631" s="50">
        <v>87</v>
      </c>
      <c r="B631" s="21"/>
      <c r="C631" s="22" t="s">
        <v>53</v>
      </c>
      <c r="D631" s="21"/>
      <c r="E631" s="22"/>
      <c r="F631" s="20"/>
      <c r="G631" s="23"/>
      <c r="H631" s="51">
        <f>SUM(H624:H630)</f>
        <v>99.8224</v>
      </c>
      <c r="I631" s="52"/>
      <c r="J631" s="53"/>
      <c r="K631" s="51">
        <f t="shared" ref="K631:L631" si="1978">SUM(K624:K630)</f>
        <v>0</v>
      </c>
      <c r="L631" s="68">
        <f t="shared" si="1978"/>
        <v>0</v>
      </c>
      <c r="M631" s="53"/>
      <c r="N631" s="53"/>
      <c r="O631" s="51">
        <f t="shared" ref="O631:P631" si="1979">SUM(O625:O630)</f>
        <v>0</v>
      </c>
      <c r="P631" s="51">
        <f t="shared" si="1979"/>
        <v>0</v>
      </c>
      <c r="Q631" s="52"/>
      <c r="R631" s="53"/>
      <c r="S631" s="51">
        <f t="shared" ref="S631:T631" si="1980">SUM(S625:S630)</f>
        <v>0</v>
      </c>
      <c r="T631" s="68">
        <f t="shared" si="1980"/>
        <v>0</v>
      </c>
      <c r="U631" s="53"/>
      <c r="V631" s="53"/>
      <c r="W631" s="51">
        <f t="shared" ref="W631:X631" si="1981">SUM(W625:W630)</f>
        <v>0</v>
      </c>
      <c r="X631" s="51">
        <f t="shared" si="1981"/>
        <v>0</v>
      </c>
      <c r="Y631" s="52"/>
      <c r="Z631" s="53"/>
      <c r="AA631" s="51">
        <f t="shared" ref="AA631:AB631" si="1982">SUM(AA625:AA630)</f>
        <v>532.37</v>
      </c>
      <c r="AB631" s="68">
        <f t="shared" si="1982"/>
        <v>0</v>
      </c>
      <c r="AC631" s="53"/>
      <c r="AD631" s="53"/>
      <c r="AE631" s="51">
        <f t="shared" ref="AE631:AF631" si="1983">SUM(AE625:AE630)</f>
        <v>6444.16</v>
      </c>
      <c r="AF631" s="51">
        <f t="shared" si="1983"/>
        <v>7100</v>
      </c>
      <c r="AG631" s="52"/>
      <c r="AH631" s="53"/>
      <c r="AI631" s="51">
        <f t="shared" ref="AI631:AJ631" si="1984">SUM(AI625:AI630)</f>
        <v>97.5</v>
      </c>
      <c r="AJ631" s="68">
        <f t="shared" si="1984"/>
        <v>0</v>
      </c>
      <c r="AK631" s="52"/>
      <c r="AL631" s="53"/>
      <c r="AM631" s="51">
        <f t="shared" ref="AM631:AN631" si="1985">SUM(AM625:AM630)</f>
        <v>496.88</v>
      </c>
      <c r="AN631" s="68">
        <f t="shared" si="1985"/>
        <v>600</v>
      </c>
      <c r="AO631" s="52"/>
      <c r="AP631" s="53"/>
      <c r="AQ631" s="51">
        <f t="shared" ref="AQ631:AR631" si="1986">SUM(AQ624:AQ630)</f>
        <v>52.5</v>
      </c>
      <c r="AR631" s="68">
        <f t="shared" si="1986"/>
        <v>0</v>
      </c>
      <c r="AS631" s="53"/>
      <c r="AT631" s="53"/>
      <c r="AU631" s="51">
        <f t="shared" ref="AU631:AV631" si="1987">SUM(AU624:AU630)</f>
        <v>2.5</v>
      </c>
      <c r="AV631" s="68">
        <f t="shared" si="1987"/>
        <v>0</v>
      </c>
      <c r="AW631" s="52"/>
      <c r="AX631" s="53"/>
      <c r="AY631" s="51">
        <f t="shared" ref="AY631:AZ631" si="1988">SUM(AY624:AY630)</f>
        <v>0</v>
      </c>
      <c r="AZ631" s="68">
        <f t="shared" si="1988"/>
        <v>0</v>
      </c>
      <c r="BA631" s="53"/>
      <c r="BB631" s="53"/>
      <c r="BC631" s="51">
        <f t="shared" ref="BC631:BD631" si="1989">SUM(BC624:BC630)</f>
        <v>0</v>
      </c>
      <c r="BD631" s="68">
        <f t="shared" si="1989"/>
        <v>0</v>
      </c>
      <c r="BE631" s="69"/>
      <c r="BF631" s="70">
        <f t="shared" ref="BF631:BH631" si="1990">SUM(BF624:BF630)</f>
        <v>7625.91</v>
      </c>
      <c r="BG631" s="71">
        <f t="shared" si="1990"/>
        <v>7700</v>
      </c>
      <c r="BH631" s="72">
        <f t="shared" si="1990"/>
        <v>25.7324</v>
      </c>
      <c r="BI631" s="34">
        <f>H631+BF631-BG631</f>
        <v>25.7324</v>
      </c>
      <c r="BJ631" s="34">
        <f>BH631-BI631</f>
        <v>0</v>
      </c>
    </row>
    <row r="632" ht="14.25" customHeight="1" spans="1:65" x14ac:dyDescent="0.25">
      <c r="A632" s="29">
        <v>89</v>
      </c>
      <c r="B632" s="14"/>
      <c r="C632" s="15"/>
      <c r="D632" s="14" t="s">
        <v>379</v>
      </c>
      <c r="E632" s="15"/>
      <c r="F632" s="13"/>
      <c r="G632" s="28"/>
      <c r="H632" s="34">
        <f>'2018'!BH632</f>
      </c>
      <c r="I632" s="13"/>
      <c r="J632" s="15"/>
      <c r="K632" s="34"/>
      <c r="L632" s="35"/>
      <c r="M632" s="15"/>
      <c r="N632" s="15"/>
      <c r="O632" s="34"/>
      <c r="P632" s="34"/>
      <c r="Q632" s="13"/>
      <c r="R632" s="15"/>
      <c r="S632" s="34"/>
      <c r="T632" s="35"/>
      <c r="U632" s="15"/>
      <c r="V632" s="15"/>
      <c r="W632" s="34"/>
      <c r="X632" s="34"/>
      <c r="Y632" s="13"/>
      <c r="Z632" s="15"/>
      <c r="AA632" s="34"/>
      <c r="AB632" s="35"/>
      <c r="AC632" s="15"/>
      <c r="AD632" s="15"/>
      <c r="AE632" s="34"/>
      <c r="AF632" s="34"/>
      <c r="AG632" s="13"/>
      <c r="AH632" s="15"/>
      <c r="AI632" s="34"/>
      <c r="AJ632" s="35"/>
      <c r="AK632" s="13"/>
      <c r="AL632" s="15"/>
      <c r="AM632" s="34"/>
      <c r="AN632" s="35"/>
      <c r="AO632" s="13"/>
      <c r="AP632" s="15"/>
      <c r="AQ632" s="34"/>
      <c r="AR632" s="35"/>
      <c r="AS632" s="15"/>
      <c r="AT632" s="15"/>
      <c r="AU632" s="34"/>
      <c r="AV632" s="34"/>
      <c r="AW632" s="13"/>
      <c r="AX632" s="15"/>
      <c r="AY632" s="34"/>
      <c r="AZ632" s="35"/>
      <c r="BA632" s="15"/>
      <c r="BB632" s="15"/>
      <c r="BC632" s="34"/>
      <c r="BD632" s="34"/>
      <c r="BE632" s="42"/>
      <c r="BF632" s="41">
        <f t="shared" ref="BF632:BG632" si="1991">K632+O632+S632+W632+AA632+AE632+AI632+AM632+AQ632+AU632+AY632+BC632</f>
        <v>0</v>
      </c>
      <c r="BG632" s="34">
        <f t="shared" si="1991"/>
        <v>0</v>
      </c>
      <c r="BH632" s="35">
        <f t="shared" ref="BH632:BH638" si="1992">H632+BF632-BG632</f>
        <v>0</v>
      </c>
      <c r="BI632" s="15"/>
      <c r="BJ632" s="15"/>
      <c r="BK632" s="15"/>
      <c r="BL632" s="15"/>
      <c r="BM632" s="15"/>
    </row>
    <row r="633" ht="14.25" customHeight="1" spans="1:65" x14ac:dyDescent="0.25">
      <c r="A633" s="2">
        <v>89</v>
      </c>
      <c r="B633" s="14">
        <v>4.25</v>
      </c>
      <c r="C633" s="15" t="s">
        <v>286</v>
      </c>
      <c r="D633" s="14" t="s">
        <v>44</v>
      </c>
      <c r="E633" s="15" t="s">
        <v>45</v>
      </c>
      <c r="F633" s="13">
        <v>2.49</v>
      </c>
      <c r="G633" s="35">
        <v>2.5</v>
      </c>
      <c r="H633" s="104">
        <f>'2018'!BH633</f>
        <v>0</v>
      </c>
      <c r="I633" s="13"/>
      <c r="J633" s="15"/>
      <c r="K633" s="34">
        <f>J633*$F$8</f>
        <v>0</v>
      </c>
      <c r="L633" s="35"/>
      <c r="M633" s="15"/>
      <c r="N633" s="15">
        <f>M633-I633</f>
        <v>0</v>
      </c>
      <c r="O633" s="34">
        <f>N633*$F$8</f>
        <v>0</v>
      </c>
      <c r="P633" s="34"/>
      <c r="Q633" s="13"/>
      <c r="R633" s="15">
        <f>Q633-M633</f>
        <v>0</v>
      </c>
      <c r="S633" s="34">
        <f>R633*$F$8</f>
        <v>0</v>
      </c>
      <c r="T633" s="35"/>
      <c r="U633" s="15"/>
      <c r="V633" s="15">
        <f>U633-Q633</f>
        <v>0</v>
      </c>
      <c r="W633" s="34"/>
      <c r="X633" s="34"/>
      <c r="Y633" s="13"/>
      <c r="Z633" s="15">
        <f>Y633-U633</f>
        <v>0</v>
      </c>
      <c r="AA633" s="34">
        <f>Z633*$F$8</f>
        <v>0</v>
      </c>
      <c r="AB633" s="35"/>
      <c r="AC633" s="15"/>
      <c r="AD633" s="15">
        <f t="shared" ref="AD633:AD634" si="1993">AC633-Y633</f>
        <v>0</v>
      </c>
      <c r="AE633" s="34">
        <f>AD633*$G$8</f>
        <v>0</v>
      </c>
      <c r="AF633" s="34"/>
      <c r="AG633" s="13"/>
      <c r="AH633" s="15">
        <f t="shared" ref="AH633:AH634" si="1994">AG633-AC633</f>
        <v>0</v>
      </c>
      <c r="AI633" s="34">
        <f>AH633*$G$8</f>
        <v>0</v>
      </c>
      <c r="AJ633" s="28"/>
      <c r="AK633" s="13"/>
      <c r="AL633" s="15">
        <f t="shared" ref="AL633:AL634" si="1995">AK633-AG633</f>
        <v>0</v>
      </c>
      <c r="AM633" s="34">
        <f>AL633*$G$8</f>
        <v>0</v>
      </c>
      <c r="AN633" s="28"/>
      <c r="AO633" s="13"/>
      <c r="AP633" s="15">
        <f t="shared" ref="AP633:AP634" si="1996">AO633-AK633</f>
        <v>0</v>
      </c>
      <c r="AQ633" s="34">
        <f>AP633*$G$8</f>
        <v>0</v>
      </c>
      <c r="AR633" s="28"/>
      <c r="AS633" s="15"/>
      <c r="AT633" s="15">
        <f t="shared" ref="AT633:AT634" si="1997">AS633-AO633</f>
        <v>0</v>
      </c>
      <c r="AU633" s="34">
        <f>AT633*$G$8</f>
        <v>0</v>
      </c>
      <c r="AV633" s="15"/>
      <c r="AW633" s="13"/>
      <c r="AX633" s="15">
        <f>AW633-AS633</f>
        <v>0</v>
      </c>
      <c r="AY633" s="34">
        <f>AX633*$G$8</f>
        <v>0</v>
      </c>
      <c r="AZ633" s="28"/>
      <c r="BA633" s="15"/>
      <c r="BB633" s="15">
        <f>BA633-AW633</f>
        <v>0</v>
      </c>
      <c r="BC633" s="34">
        <f>BB633*$G$8</f>
        <v>0</v>
      </c>
      <c r="BD633" s="15"/>
      <c r="BE633" s="40">
        <f t="shared" ref="BE633:BG633" si="1998">J633+N633+R633+V633+Z633+AD633+AH633+AL633+AP633+AT633+AX633+BB633</f>
        <v>0</v>
      </c>
      <c r="BF633" s="41">
        <f t="shared" si="1998"/>
        <v>0</v>
      </c>
      <c r="BG633" s="34">
        <f t="shared" si="1998"/>
        <v>0</v>
      </c>
      <c r="BH633" s="35">
        <f t="shared" si="1992"/>
        <v>0</v>
      </c>
      <c r="BI633" s="15"/>
      <c r="BJ633" s="15"/>
      <c r="BK633" s="15"/>
      <c r="BL633" s="15"/>
      <c r="BM633" s="15"/>
    </row>
    <row r="634" ht="14.25" customHeight="1" spans="1:65" x14ac:dyDescent="0.25">
      <c r="A634" s="29">
        <v>89</v>
      </c>
      <c r="B634" s="14"/>
      <c r="C634" s="15" t="s">
        <v>163</v>
      </c>
      <c r="D634" s="14" t="s">
        <v>47</v>
      </c>
      <c r="E634" s="15" t="s">
        <v>48</v>
      </c>
      <c r="F634" s="13">
        <v>17.98</v>
      </c>
      <c r="G634" s="28">
        <v>18.56</v>
      </c>
      <c r="H634" s="34">
        <f>'2018'!BH634</f>
        <v>0</v>
      </c>
      <c r="I634" s="13">
        <v>96</v>
      </c>
      <c r="J634" s="15"/>
      <c r="K634" s="34"/>
      <c r="L634" s="35"/>
      <c r="M634" s="15"/>
      <c r="N634" s="15"/>
      <c r="O634" s="34"/>
      <c r="P634" s="34"/>
      <c r="Q634" s="13"/>
      <c r="R634" s="15"/>
      <c r="S634" s="34"/>
      <c r="T634" s="35"/>
      <c r="U634" s="15"/>
      <c r="V634" s="15"/>
      <c r="W634" s="34"/>
      <c r="X634" s="34"/>
      <c r="Y634" s="95">
        <v>96</v>
      </c>
      <c r="Z634" s="15">
        <f>Y634-'2018'!AO634</f>
        <v>0</v>
      </c>
      <c r="AA634" s="34">
        <f>Z634*$F$10</f>
        <v>0</v>
      </c>
      <c r="AB634" s="35"/>
      <c r="AC634" s="15">
        <v>103</v>
      </c>
      <c r="AD634" s="15">
        <f t="shared" si="1993"/>
        <v>7</v>
      </c>
      <c r="AE634" s="34">
        <f>AD634*$F$10</f>
        <v>125.86</v>
      </c>
      <c r="AF634" s="133">
        <f>125.86+74.14</f>
        <v>200</v>
      </c>
      <c r="AG634" s="13">
        <v>103</v>
      </c>
      <c r="AH634" s="15">
        <f t="shared" si="1994"/>
        <v>0</v>
      </c>
      <c r="AI634" s="45">
        <f>AH634*$G$10</f>
        <v>0</v>
      </c>
      <c r="AJ634" s="28"/>
      <c r="AK634" s="15">
        <v>103</v>
      </c>
      <c r="AL634" s="15">
        <f t="shared" si="1995"/>
        <v>0</v>
      </c>
      <c r="AM634" s="45">
        <f>AL634*$G$10</f>
        <v>0</v>
      </c>
      <c r="AN634" s="28"/>
      <c r="AO634" s="15">
        <v>118</v>
      </c>
      <c r="AP634" s="15">
        <f t="shared" si="1996"/>
        <v>15</v>
      </c>
      <c r="AQ634" s="45">
        <f>AP634*$G$10</f>
        <v>278.4</v>
      </c>
      <c r="AR634" s="28"/>
      <c r="AS634" s="15">
        <v>118</v>
      </c>
      <c r="AT634" s="15">
        <f t="shared" si="1997"/>
        <v>0</v>
      </c>
      <c r="AU634" s="45">
        <f>AT634*$G$10</f>
        <v>0</v>
      </c>
      <c r="AV634" s="39">
        <v>270</v>
      </c>
      <c r="AW634" s="13">
        <v>118</v>
      </c>
      <c r="AX634" s="15"/>
      <c r="AY634" s="15"/>
      <c r="AZ634" s="28"/>
      <c r="BA634" s="15">
        <v>118</v>
      </c>
      <c r="BB634" s="15"/>
      <c r="BC634" s="15"/>
      <c r="BD634" s="15"/>
      <c r="BE634" s="40">
        <f t="shared" ref="BE634:BG634" si="1999">J634+N634+R634+V634+Z634+AD634+AH634+AL634+AP634+AT634+AX634+BB634</f>
        <v>22</v>
      </c>
      <c r="BF634" s="41">
        <f t="shared" si="1999"/>
        <v>404.26</v>
      </c>
      <c r="BG634" s="34">
        <f t="shared" si="1999"/>
        <v>470</v>
      </c>
      <c r="BH634" s="35">
        <f t="shared" si="1992"/>
        <v>-65.74</v>
      </c>
      <c r="BI634" s="15"/>
      <c r="BJ634" s="15"/>
      <c r="BK634" s="15"/>
      <c r="BL634" s="15"/>
      <c r="BM634" s="15"/>
    </row>
    <row r="635" ht="14.25" customHeight="1" spans="1:65" x14ac:dyDescent="0.25">
      <c r="A635" s="29">
        <v>89</v>
      </c>
      <c r="B635" s="14"/>
      <c r="C635" s="15" t="s">
        <v>107</v>
      </c>
      <c r="D635" s="14" t="s">
        <v>47</v>
      </c>
      <c r="E635" s="15" t="s">
        <v>49</v>
      </c>
      <c r="F635" s="41">
        <v>500</v>
      </c>
      <c r="G635" s="28"/>
      <c r="H635" s="34">
        <f>'2018'!BH635</f>
        <v>0</v>
      </c>
      <c r="I635" s="13"/>
      <c r="J635" s="15"/>
      <c r="K635" s="34"/>
      <c r="L635" s="35"/>
      <c r="M635" s="15"/>
      <c r="N635" s="15"/>
      <c r="O635" s="34"/>
      <c r="P635" s="34"/>
      <c r="Q635" s="13"/>
      <c r="R635" s="15"/>
      <c r="S635" s="34"/>
      <c r="T635" s="35"/>
      <c r="U635" s="15"/>
      <c r="V635" s="15"/>
      <c r="W635" s="34"/>
      <c r="X635" s="34"/>
      <c r="Y635" s="13"/>
      <c r="Z635" s="15"/>
      <c r="AA635" s="34"/>
      <c r="AB635" s="35"/>
      <c r="AC635" s="15"/>
      <c r="AD635" s="15"/>
      <c r="AE635" s="34"/>
      <c r="AF635" s="34"/>
      <c r="AG635" s="13"/>
      <c r="AH635" s="15"/>
      <c r="AI635" s="15"/>
      <c r="AJ635" s="28"/>
      <c r="AK635" s="13"/>
      <c r="AL635" s="15"/>
      <c r="AM635" s="34"/>
      <c r="AN635" s="28"/>
      <c r="AO635" s="13"/>
      <c r="AP635" s="15"/>
      <c r="AQ635" s="34"/>
      <c r="AR635" s="28"/>
      <c r="AS635" s="15"/>
      <c r="AT635" s="15"/>
      <c r="AU635" s="15"/>
      <c r="AV635" s="15"/>
      <c r="AW635" s="13"/>
      <c r="AX635" s="15"/>
      <c r="AY635" s="15"/>
      <c r="AZ635" s="28"/>
      <c r="BA635" s="15"/>
      <c r="BB635" s="15"/>
      <c r="BC635" s="15"/>
      <c r="BD635" s="15"/>
      <c r="BE635" s="14"/>
      <c r="BF635" s="41">
        <f t="shared" ref="BF635:BG635" si="2000">K635+O635+S635+W635+AA635+AE635+AI635+AM635+AQ635+AU635+AY635+BC635</f>
        <v>0</v>
      </c>
      <c r="BG635" s="34">
        <f t="shared" si="2000"/>
        <v>0</v>
      </c>
      <c r="BH635" s="35">
        <f t="shared" si="1992"/>
        <v>0</v>
      </c>
      <c r="BI635" s="15"/>
      <c r="BJ635" s="15"/>
      <c r="BK635" s="15"/>
      <c r="BL635" s="15"/>
      <c r="BM635" s="15"/>
    </row>
    <row r="636" ht="14.25" customHeight="1" spans="1:65" x14ac:dyDescent="0.25">
      <c r="A636" s="29">
        <v>89</v>
      </c>
      <c r="B636" s="14"/>
      <c r="C636" s="15" t="s">
        <v>287</v>
      </c>
      <c r="D636" s="14" t="s">
        <v>50</v>
      </c>
      <c r="E636" s="15" t="s">
        <v>49</v>
      </c>
      <c r="F636" s="41">
        <v>1200</v>
      </c>
      <c r="G636" s="28"/>
      <c r="H636" s="34">
        <f>'2018'!BH636</f>
        <v>0</v>
      </c>
      <c r="I636" s="13"/>
      <c r="J636" s="15"/>
      <c r="K636" s="34"/>
      <c r="L636" s="35"/>
      <c r="M636" s="15"/>
      <c r="N636" s="15"/>
      <c r="O636" s="34"/>
      <c r="P636" s="34"/>
      <c r="Q636" s="13"/>
      <c r="R636" s="15"/>
      <c r="S636" s="34"/>
      <c r="T636" s="35"/>
      <c r="U636" s="15"/>
      <c r="V636" s="15"/>
      <c r="W636" s="34"/>
      <c r="X636" s="34"/>
      <c r="Y636" s="13"/>
      <c r="Z636" s="15"/>
      <c r="AA636" s="34"/>
      <c r="AB636" s="35"/>
      <c r="AC636" s="15"/>
      <c r="AD636" s="15"/>
      <c r="AE636" s="34">
        <f>B633*$F$12</f>
        <v>5100</v>
      </c>
      <c r="AF636" s="133">
        <v>5100</v>
      </c>
      <c r="AG636" s="13"/>
      <c r="AH636" s="15"/>
      <c r="AI636" s="15"/>
      <c r="AJ636" s="35"/>
      <c r="AK636" s="13"/>
      <c r="AL636" s="15"/>
      <c r="AM636" s="15"/>
      <c r="AN636" s="28"/>
      <c r="AO636" s="13"/>
      <c r="AP636" s="15"/>
      <c r="AQ636" s="15"/>
      <c r="AR636" s="28"/>
      <c r="AS636" s="15"/>
      <c r="AT636" s="15"/>
      <c r="AU636" s="15"/>
      <c r="AV636" s="15"/>
      <c r="AW636" s="13"/>
      <c r="AX636" s="15"/>
      <c r="AY636" s="15"/>
      <c r="AZ636" s="28"/>
      <c r="BA636" s="15"/>
      <c r="BB636" s="15"/>
      <c r="BC636" s="15"/>
      <c r="BD636" s="15"/>
      <c r="BE636" s="14"/>
      <c r="BF636" s="41">
        <f t="shared" ref="BF636:BG636" si="2001">K636+O636+S636+W636+AA636+AE636+AI636+AM636+AQ636+AU636+AY636+BC636</f>
        <v>5100</v>
      </c>
      <c r="BG636" s="34">
        <f t="shared" si="2001"/>
        <v>5100</v>
      </c>
      <c r="BH636" s="35">
        <f t="shared" si="1992"/>
        <v>0</v>
      </c>
      <c r="BI636" s="15"/>
      <c r="BJ636" s="15"/>
      <c r="BK636" s="15"/>
      <c r="BL636" s="15"/>
      <c r="BM636" s="15"/>
    </row>
    <row r="637" ht="14.25" customHeight="1" spans="1:65" x14ac:dyDescent="0.25">
      <c r="A637" s="29">
        <v>89</v>
      </c>
      <c r="B637" s="14"/>
      <c r="C637" s="15"/>
      <c r="D637" s="14" t="s">
        <v>51</v>
      </c>
      <c r="E637" s="15" t="s">
        <v>49</v>
      </c>
      <c r="F637" s="41">
        <v>1000</v>
      </c>
      <c r="G637" s="28"/>
      <c r="H637" s="34">
        <f>'2018'!BH637</f>
        <v>0</v>
      </c>
      <c r="I637" s="13"/>
      <c r="J637" s="15"/>
      <c r="K637" s="34"/>
      <c r="L637" s="35"/>
      <c r="M637" s="15"/>
      <c r="N637" s="15"/>
      <c r="O637" s="34"/>
      <c r="P637" s="34"/>
      <c r="Q637" s="13"/>
      <c r="R637" s="15"/>
      <c r="S637" s="34"/>
      <c r="T637" s="35"/>
      <c r="U637" s="15"/>
      <c r="V637" s="15"/>
      <c r="W637" s="34"/>
      <c r="X637" s="34"/>
      <c r="Y637" s="13"/>
      <c r="Z637" s="15"/>
      <c r="AA637" s="34"/>
      <c r="AB637" s="35"/>
      <c r="AC637" s="15"/>
      <c r="AD637" s="15"/>
      <c r="AE637" s="34">
        <f>$F$21</f>
        <v>1000</v>
      </c>
      <c r="AF637" s="133">
        <v>1000</v>
      </c>
      <c r="AG637" s="13"/>
      <c r="AH637" s="15"/>
      <c r="AI637" s="15"/>
      <c r="AJ637" s="28"/>
      <c r="AK637" s="13"/>
      <c r="AL637" s="15"/>
      <c r="AM637" s="15"/>
      <c r="AN637" s="28"/>
      <c r="AO637" s="13"/>
      <c r="AP637" s="15"/>
      <c r="AQ637" s="15"/>
      <c r="AR637" s="28"/>
      <c r="AS637" s="15"/>
      <c r="AT637" s="15"/>
      <c r="AU637" s="15"/>
      <c r="AV637" s="15"/>
      <c r="AW637" s="13"/>
      <c r="AX637" s="15"/>
      <c r="AY637" s="15"/>
      <c r="AZ637" s="28"/>
      <c r="BA637" s="15"/>
      <c r="BB637" s="15"/>
      <c r="BC637" s="15"/>
      <c r="BD637" s="15"/>
      <c r="BE637" s="14"/>
      <c r="BF637" s="41">
        <f t="shared" ref="BF637:BG637" si="2002">K637+O637+S637+W637+AA637+AE637+AI637+AM637+AQ637+AU637+AY637+BC637</f>
        <v>1000</v>
      </c>
      <c r="BG637" s="34">
        <f t="shared" si="2002"/>
        <v>1000</v>
      </c>
      <c r="BH637" s="35">
        <f t="shared" si="1992"/>
        <v>0</v>
      </c>
      <c r="BI637" s="15"/>
      <c r="BJ637" s="15"/>
      <c r="BK637" s="15"/>
      <c r="BL637" s="15"/>
      <c r="BM637" s="15"/>
    </row>
    <row r="638" ht="14.25" customHeight="1" spans="1:65" x14ac:dyDescent="0.25">
      <c r="A638" s="29">
        <v>89</v>
      </c>
      <c r="B638" s="14"/>
      <c r="C638" s="15"/>
      <c r="D638" s="14" t="s">
        <v>52</v>
      </c>
      <c r="E638" s="15" t="s">
        <v>39</v>
      </c>
      <c r="F638" s="41">
        <v>500</v>
      </c>
      <c r="G638" s="28"/>
      <c r="H638" s="34">
        <f>'2018'!BH638</f>
        <v>0</v>
      </c>
      <c r="I638" s="13"/>
      <c r="J638" s="15"/>
      <c r="K638" s="34"/>
      <c r="L638" s="35"/>
      <c r="M638" s="15"/>
      <c r="N638" s="15"/>
      <c r="O638" s="34"/>
      <c r="P638" s="34"/>
      <c r="Q638" s="13"/>
      <c r="R638" s="15"/>
      <c r="S638" s="34"/>
      <c r="T638" s="35"/>
      <c r="U638" s="15"/>
      <c r="V638" s="15"/>
      <c r="W638" s="34"/>
      <c r="X638" s="34"/>
      <c r="Y638" s="13"/>
      <c r="Z638" s="15"/>
      <c r="AA638" s="34">
        <f>$F$14</f>
        <v>500</v>
      </c>
      <c r="AB638" s="35"/>
      <c r="AC638" s="15"/>
      <c r="AD638" s="15"/>
      <c r="AE638" s="34"/>
      <c r="AF638" s="133">
        <v>500</v>
      </c>
      <c r="AG638" s="13"/>
      <c r="AH638" s="15"/>
      <c r="AI638" s="15"/>
      <c r="AJ638" s="28"/>
      <c r="AK638" s="13"/>
      <c r="AL638" s="15"/>
      <c r="AM638" s="15"/>
      <c r="AN638" s="28"/>
      <c r="AO638" s="13"/>
      <c r="AP638" s="15"/>
      <c r="AQ638" s="15"/>
      <c r="AR638" s="28"/>
      <c r="AS638" s="15"/>
      <c r="AT638" s="15"/>
      <c r="AU638" s="15"/>
      <c r="AV638" s="15"/>
      <c r="AW638" s="13"/>
      <c r="AX638" s="15"/>
      <c r="AY638" s="15"/>
      <c r="AZ638" s="28"/>
      <c r="BA638" s="15"/>
      <c r="BB638" s="15"/>
      <c r="BC638" s="15"/>
      <c r="BD638" s="15"/>
      <c r="BE638" s="14"/>
      <c r="BF638" s="41">
        <f t="shared" ref="BF638:BG638" si="2003">K638+O638+S638+W638+AA638+AE638+AI638+AM638+AQ638+AU638+AY638+BC638</f>
        <v>500</v>
      </c>
      <c r="BG638" s="34">
        <f t="shared" si="2003"/>
        <v>500</v>
      </c>
      <c r="BH638" s="35">
        <f t="shared" si="1992"/>
        <v>0</v>
      </c>
      <c r="BI638" s="15"/>
      <c r="BJ638" s="15"/>
      <c r="BK638" s="15"/>
      <c r="BL638" s="15"/>
      <c r="BM638" s="15"/>
    </row>
    <row r="639" ht="14.25" customHeight="1" spans="1:62" x14ac:dyDescent="0.25">
      <c r="A639" s="50">
        <v>89</v>
      </c>
      <c r="B639" s="21"/>
      <c r="C639" s="22" t="s">
        <v>53</v>
      </c>
      <c r="D639" s="21"/>
      <c r="E639" s="22"/>
      <c r="F639" s="20"/>
      <c r="G639" s="23"/>
      <c r="H639" s="51">
        <f>SUM(H632:H638)</f>
        <v>0</v>
      </c>
      <c r="I639" s="52"/>
      <c r="J639" s="53"/>
      <c r="K639" s="51">
        <f t="shared" ref="K639:L639" si="2004">SUM(K632:K638)</f>
        <v>0</v>
      </c>
      <c r="L639" s="68">
        <f t="shared" si="2004"/>
        <v>0</v>
      </c>
      <c r="M639" s="53"/>
      <c r="N639" s="53"/>
      <c r="O639" s="51">
        <f t="shared" ref="O639:P639" si="2005">SUM(O633:O638)</f>
        <v>0</v>
      </c>
      <c r="P639" s="51">
        <f t="shared" si="2005"/>
        <v>0</v>
      </c>
      <c r="Q639" s="52"/>
      <c r="R639" s="53"/>
      <c r="S639" s="51">
        <f t="shared" ref="S639:T639" si="2006">SUM(S633:S638)</f>
        <v>0</v>
      </c>
      <c r="T639" s="68">
        <f t="shared" si="2006"/>
        <v>0</v>
      </c>
      <c r="U639" s="53"/>
      <c r="V639" s="53"/>
      <c r="W639" s="51">
        <f t="shared" ref="W639:X639" si="2007">SUM(W633:W638)</f>
        <v>0</v>
      </c>
      <c r="X639" s="51">
        <f t="shared" si="2007"/>
        <v>0</v>
      </c>
      <c r="Y639" s="52"/>
      <c r="Z639" s="53"/>
      <c r="AA639" s="51">
        <f t="shared" ref="AA639:AB639" si="2008">SUM(AA633:AA638)</f>
        <v>500</v>
      </c>
      <c r="AB639" s="68">
        <f t="shared" si="2008"/>
        <v>0</v>
      </c>
      <c r="AC639" s="53"/>
      <c r="AD639" s="53"/>
      <c r="AE639" s="51">
        <f t="shared" ref="AE639:AF639" si="2009">SUM(AE633:AE638)</f>
        <v>6225.86</v>
      </c>
      <c r="AF639" s="51">
        <f t="shared" si="2009"/>
        <v>6800</v>
      </c>
      <c r="AG639" s="52"/>
      <c r="AH639" s="53"/>
      <c r="AI639" s="51">
        <f t="shared" ref="AI639:AJ639" si="2010">SUM(AI633:AI638)</f>
        <v>0</v>
      </c>
      <c r="AJ639" s="68">
        <f t="shared" si="2010"/>
        <v>0</v>
      </c>
      <c r="AK639" s="52"/>
      <c r="AL639" s="53"/>
      <c r="AM639" s="51">
        <f t="shared" ref="AM639:AN639" si="2011">SUM(AM633:AM638)</f>
        <v>0</v>
      </c>
      <c r="AN639" s="68">
        <f t="shared" si="2011"/>
        <v>0</v>
      </c>
      <c r="AO639" s="52"/>
      <c r="AP639" s="53"/>
      <c r="AQ639" s="51">
        <f t="shared" ref="AQ639:AR639" si="2012">SUM(AQ632:AQ638)</f>
        <v>278.4</v>
      </c>
      <c r="AR639" s="68">
        <f t="shared" si="2012"/>
        <v>0</v>
      </c>
      <c r="AS639" s="53"/>
      <c r="AT639" s="53"/>
      <c r="AU639" s="51">
        <f t="shared" ref="AU639:AV639" si="2013">SUM(AU632:AU638)</f>
        <v>0</v>
      </c>
      <c r="AV639" s="68">
        <f t="shared" si="2013"/>
        <v>270</v>
      </c>
      <c r="AW639" s="52"/>
      <c r="AX639" s="53"/>
      <c r="AY639" s="51">
        <f t="shared" ref="AY639:AZ639" si="2014">SUM(AY632:AY638)</f>
        <v>0</v>
      </c>
      <c r="AZ639" s="68">
        <f t="shared" si="2014"/>
        <v>0</v>
      </c>
      <c r="BA639" s="53"/>
      <c r="BB639" s="53"/>
      <c r="BC639" s="51">
        <f t="shared" ref="BC639:BD639" si="2015">SUM(BC632:BC638)</f>
        <v>0</v>
      </c>
      <c r="BD639" s="68">
        <f t="shared" si="2015"/>
        <v>0</v>
      </c>
      <c r="BE639" s="69"/>
      <c r="BF639" s="70">
        <f t="shared" ref="BF639:BH639" si="2016">SUM(BF632:BF638)</f>
        <v>7004.26</v>
      </c>
      <c r="BG639" s="71">
        <f t="shared" si="2016"/>
        <v>7070</v>
      </c>
      <c r="BH639" s="72">
        <f t="shared" si="2016"/>
        <v>-65.74</v>
      </c>
      <c r="BI639" s="34">
        <f>H639+BF639-BG639</f>
        <v>-65.74</v>
      </c>
      <c r="BJ639" s="34">
        <f>BH639-BI639</f>
        <v>0</v>
      </c>
    </row>
    <row r="640" ht="14.25" customHeight="1" spans="1:65" x14ac:dyDescent="0.25">
      <c r="A640" s="29">
        <v>91</v>
      </c>
      <c r="B640" s="14"/>
      <c r="C640" s="15"/>
      <c r="D640" s="14" t="s">
        <v>379</v>
      </c>
      <c r="E640" s="15"/>
      <c r="F640" s="13"/>
      <c r="G640" s="28"/>
      <c r="H640" s="34">
        <f>'2018'!BH640</f>
      </c>
      <c r="I640" s="13"/>
      <c r="J640" s="15"/>
      <c r="K640" s="34"/>
      <c r="L640" s="35"/>
      <c r="M640" s="15"/>
      <c r="N640" s="15"/>
      <c r="O640" s="34"/>
      <c r="P640" s="34"/>
      <c r="Q640" s="13"/>
      <c r="R640" s="15"/>
      <c r="S640" s="34"/>
      <c r="T640" s="35"/>
      <c r="U640" s="15"/>
      <c r="V640" s="15"/>
      <c r="W640" s="34"/>
      <c r="X640" s="34"/>
      <c r="Y640" s="13"/>
      <c r="Z640" s="15"/>
      <c r="AA640" s="34"/>
      <c r="AB640" s="35"/>
      <c r="AC640" s="15"/>
      <c r="AD640" s="15"/>
      <c r="AE640" s="34"/>
      <c r="AF640" s="34"/>
      <c r="AG640" s="13"/>
      <c r="AH640" s="15"/>
      <c r="AI640" s="34"/>
      <c r="AJ640" s="35"/>
      <c r="AK640" s="13"/>
      <c r="AL640" s="15"/>
      <c r="AM640" s="34"/>
      <c r="AN640" s="35"/>
      <c r="AO640" s="13"/>
      <c r="AP640" s="15"/>
      <c r="AQ640" s="34"/>
      <c r="AR640" s="35"/>
      <c r="AS640" s="15"/>
      <c r="AT640" s="15"/>
      <c r="AU640" s="34"/>
      <c r="AV640" s="34"/>
      <c r="AW640" s="13"/>
      <c r="AX640" s="15"/>
      <c r="AY640" s="34"/>
      <c r="AZ640" s="35"/>
      <c r="BA640" s="15"/>
      <c r="BB640" s="15"/>
      <c r="BC640" s="34"/>
      <c r="BD640" s="34"/>
      <c r="BE640" s="42"/>
      <c r="BF640" s="41">
        <f t="shared" ref="BF640:BG640" si="2017">K640+O640+S640+W640+AA640+AE640+AI640+AM640+AQ640+AU640+AY640+BC640</f>
        <v>0</v>
      </c>
      <c r="BG640" s="34">
        <f t="shared" si="2017"/>
        <v>0</v>
      </c>
      <c r="BH640" s="35">
        <f t="shared" ref="BH640:BH646" si="2018">H640+BF640-BG640</f>
        <v>0</v>
      </c>
      <c r="BI640" s="15"/>
      <c r="BJ640" s="15"/>
      <c r="BK640" s="15"/>
      <c r="BL640" s="15"/>
      <c r="BM640" s="15"/>
    </row>
    <row r="641" ht="14.25" customHeight="1" spans="1:65" x14ac:dyDescent="0.25">
      <c r="A641" s="2">
        <v>91</v>
      </c>
      <c r="B641" s="14">
        <v>4.23</v>
      </c>
      <c r="C641" s="15" t="s">
        <v>288</v>
      </c>
      <c r="D641" s="14" t="s">
        <v>44</v>
      </c>
      <c r="E641" s="15" t="s">
        <v>45</v>
      </c>
      <c r="F641" s="13">
        <v>2.49</v>
      </c>
      <c r="G641" s="35">
        <v>2.5</v>
      </c>
      <c r="H641" s="34">
        <f>'2018'!BH641</f>
        <v>4.98</v>
      </c>
      <c r="I641" s="13">
        <v>143</v>
      </c>
      <c r="J641" s="15">
        <f>I641-'2018'!BA641</f>
        <v>0</v>
      </c>
      <c r="K641" s="34">
        <f>J641*$F$8</f>
        <v>0</v>
      </c>
      <c r="L641" s="35"/>
      <c r="M641" s="15">
        <v>143</v>
      </c>
      <c r="N641" s="15">
        <f>M641-I641</f>
        <v>0</v>
      </c>
      <c r="O641" s="34">
        <f>N641*$F$8</f>
        <v>0</v>
      </c>
      <c r="P641" s="34"/>
      <c r="Q641" s="13">
        <v>143</v>
      </c>
      <c r="R641" s="15">
        <f>Q641-M641</f>
        <v>0</v>
      </c>
      <c r="S641" s="34">
        <f>R641*$F$8</f>
        <v>0</v>
      </c>
      <c r="T641" s="35"/>
      <c r="U641" s="15">
        <v>143</v>
      </c>
      <c r="V641" s="15">
        <f>U641-Q641</f>
        <v>0</v>
      </c>
      <c r="W641" s="34">
        <f>V641*$F$8</f>
        <v>0</v>
      </c>
      <c r="X641" s="34"/>
      <c r="Y641" s="13">
        <v>145</v>
      </c>
      <c r="Z641" s="15">
        <f>Y641-U641</f>
        <v>2</v>
      </c>
      <c r="AA641" s="34">
        <f>Z641*$F$8</f>
        <v>4.98</v>
      </c>
      <c r="AB641" s="35"/>
      <c r="AC641" s="15">
        <v>151</v>
      </c>
      <c r="AD641" s="15">
        <f t="shared" ref="AD641:AD642" si="2019">AC641-Y641</f>
        <v>6</v>
      </c>
      <c r="AE641" s="34">
        <f>AD641*$G$8</f>
        <v>15</v>
      </c>
      <c r="AF641" s="133">
        <f>24.96+57.42</f>
        <v>82.38</v>
      </c>
      <c r="AG641" s="13">
        <v>162</v>
      </c>
      <c r="AH641" s="15">
        <f t="shared" ref="AH641:AH642" si="2020">AG641-AC641</f>
        <v>11</v>
      </c>
      <c r="AI641" s="34">
        <f>AH641*$G$8</f>
        <v>27.5</v>
      </c>
      <c r="AJ641" s="32"/>
      <c r="AK641" s="13">
        <v>169</v>
      </c>
      <c r="AL641" s="15">
        <f t="shared" ref="AL641:AL642" si="2021">AK641-AG641</f>
        <v>7</v>
      </c>
      <c r="AM641" s="34">
        <f>AL641*$G$8</f>
        <v>17.5</v>
      </c>
      <c r="AN641" s="28"/>
      <c r="AO641" s="13">
        <v>171</v>
      </c>
      <c r="AP641" s="15">
        <f t="shared" ref="AP641:AP642" si="2022">AO641-AK641</f>
        <v>2</v>
      </c>
      <c r="AQ641" s="34">
        <f>AP641*$G$8</f>
        <v>5</v>
      </c>
      <c r="AR641" s="28"/>
      <c r="AS641" s="75">
        <v>171</v>
      </c>
      <c r="AT641" s="15">
        <f t="shared" ref="AT641:AT642" si="2023">AS641-AO641</f>
        <v>0</v>
      </c>
      <c r="AU641" s="34">
        <f>AT641*$G$8</f>
        <v>0</v>
      </c>
      <c r="AV641" s="15"/>
      <c r="AW641" s="13">
        <v>171</v>
      </c>
      <c r="AX641" s="15">
        <f>AW641-AS641</f>
        <v>0</v>
      </c>
      <c r="AY641" s="34">
        <f>AX641*$G$8</f>
        <v>0</v>
      </c>
      <c r="AZ641" s="28"/>
      <c r="BA641" s="13">
        <v>171</v>
      </c>
      <c r="BB641" s="15">
        <f>BA641-AW641</f>
        <v>0</v>
      </c>
      <c r="BC641" s="34">
        <f>BB641*$G$8</f>
        <v>0</v>
      </c>
      <c r="BD641" s="15"/>
      <c r="BE641" s="40">
        <f t="shared" ref="BE641:BG641" si="2024">J641+N641+R641+V641+Z641+AD641+AH641+AL641+AP641+AT641+AX641+BB641</f>
        <v>28</v>
      </c>
      <c r="BF641" s="41">
        <f t="shared" si="2024"/>
        <v>69.98</v>
      </c>
      <c r="BG641" s="34">
        <f t="shared" si="2024"/>
        <v>82.38</v>
      </c>
      <c r="BH641" s="35">
        <f t="shared" si="2018"/>
        <v>-7.42</v>
      </c>
      <c r="BI641" s="15"/>
      <c r="BJ641" s="15"/>
      <c r="BK641" s="15"/>
      <c r="BL641" s="15"/>
      <c r="BM641" s="15"/>
    </row>
    <row r="642" ht="14.25" customHeight="1" spans="1:65" x14ac:dyDescent="0.25">
      <c r="A642" s="29">
        <v>91</v>
      </c>
      <c r="B642" s="14"/>
      <c r="C642" s="15" t="s">
        <v>170</v>
      </c>
      <c r="D642" s="14" t="s">
        <v>47</v>
      </c>
      <c r="E642" s="15" t="s">
        <v>48</v>
      </c>
      <c r="F642" s="13">
        <v>17.98</v>
      </c>
      <c r="G642" s="28">
        <v>18.56</v>
      </c>
      <c r="H642" s="34">
        <f>'2018'!BH642</f>
        <v>0</v>
      </c>
      <c r="I642" s="13">
        <v>70</v>
      </c>
      <c r="J642" s="15"/>
      <c r="K642" s="34"/>
      <c r="L642" s="35"/>
      <c r="M642" s="15"/>
      <c r="N642" s="15"/>
      <c r="O642" s="34"/>
      <c r="P642" s="34"/>
      <c r="Q642" s="13"/>
      <c r="R642" s="15"/>
      <c r="S642" s="34"/>
      <c r="T642" s="35"/>
      <c r="U642" s="15"/>
      <c r="V642" s="15"/>
      <c r="W642" s="34"/>
      <c r="X642" s="34"/>
      <c r="Y642" s="13">
        <v>86</v>
      </c>
      <c r="Z642" s="15">
        <f>Y642-'2018'!AO642</f>
        <v>16</v>
      </c>
      <c r="AA642" s="34">
        <f>Z642*$F$10</f>
        <v>287.68</v>
      </c>
      <c r="AB642" s="35"/>
      <c r="AC642" s="15">
        <v>89</v>
      </c>
      <c r="AD642" s="15">
        <f t="shared" si="2019"/>
        <v>3</v>
      </c>
      <c r="AE642" s="34">
        <f>AD642*$F$10</f>
        <v>53.94</v>
      </c>
      <c r="AF642" s="133">
        <v>341.62</v>
      </c>
      <c r="AG642" s="13">
        <v>92</v>
      </c>
      <c r="AH642" s="15">
        <f t="shared" si="2020"/>
        <v>3</v>
      </c>
      <c r="AI642" s="45">
        <f>AH642*$G$10</f>
        <v>55.68</v>
      </c>
      <c r="AJ642" s="134">
        <v>56</v>
      </c>
      <c r="AK642" s="13">
        <v>92</v>
      </c>
      <c r="AL642" s="15">
        <f t="shared" si="2021"/>
        <v>0</v>
      </c>
      <c r="AM642" s="45">
        <f>AL642*$G$10</f>
        <v>0</v>
      </c>
      <c r="AN642" s="28"/>
      <c r="AO642" s="75">
        <v>92</v>
      </c>
      <c r="AP642" s="15">
        <f t="shared" si="2022"/>
        <v>0</v>
      </c>
      <c r="AQ642" s="45">
        <f>AP642*$G$10</f>
        <v>0</v>
      </c>
      <c r="AR642" s="28"/>
      <c r="AS642" s="75">
        <v>92</v>
      </c>
      <c r="AT642" s="15">
        <f t="shared" si="2023"/>
        <v>0</v>
      </c>
      <c r="AU642" s="45">
        <f>AT642*$G$10</f>
        <v>0</v>
      </c>
      <c r="AV642" s="15"/>
      <c r="AW642" s="75">
        <v>92</v>
      </c>
      <c r="AX642" s="15"/>
      <c r="AY642" s="15"/>
      <c r="AZ642" s="28"/>
      <c r="BA642" s="75">
        <v>92</v>
      </c>
      <c r="BB642" s="15"/>
      <c r="BC642" s="15"/>
      <c r="BD642" s="15"/>
      <c r="BE642" s="40">
        <f t="shared" ref="BE642:BG642" si="2025">J642+N642+R642+V642+Z642+AD642+AH642+AL642+AP642+AT642+AX642+BB642</f>
        <v>22</v>
      </c>
      <c r="BF642" s="41">
        <f t="shared" si="2025"/>
        <v>397.3</v>
      </c>
      <c r="BG642" s="34">
        <f t="shared" si="2025"/>
        <v>397.62</v>
      </c>
      <c r="BH642" s="35">
        <f t="shared" si="2018"/>
        <v>-0.32</v>
      </c>
      <c r="BI642" s="15"/>
      <c r="BJ642" s="15"/>
      <c r="BK642" s="15"/>
      <c r="BL642" s="15"/>
      <c r="BM642" s="15"/>
    </row>
    <row r="643" ht="14.25" customHeight="1" spans="1:65" x14ac:dyDescent="0.25">
      <c r="A643" s="29">
        <v>91</v>
      </c>
      <c r="B643" s="14"/>
      <c r="C643" s="15" t="s">
        <v>289</v>
      </c>
      <c r="D643" s="14" t="s">
        <v>47</v>
      </c>
      <c r="E643" s="15" t="s">
        <v>49</v>
      </c>
      <c r="F643" s="41">
        <v>500</v>
      </c>
      <c r="G643" s="28"/>
      <c r="H643" s="34">
        <f>'2018'!BH643</f>
        <v>0</v>
      </c>
      <c r="I643" s="13"/>
      <c r="J643" s="15"/>
      <c r="K643" s="34"/>
      <c r="L643" s="35"/>
      <c r="M643" s="15"/>
      <c r="N643" s="15"/>
      <c r="O643" s="34"/>
      <c r="P643" s="34"/>
      <c r="Q643" s="13"/>
      <c r="R643" s="15"/>
      <c r="S643" s="34"/>
      <c r="T643" s="35"/>
      <c r="U643" s="15"/>
      <c r="V643" s="15"/>
      <c r="W643" s="34"/>
      <c r="X643" s="34"/>
      <c r="Y643" s="13"/>
      <c r="Z643" s="15"/>
      <c r="AA643" s="34"/>
      <c r="AB643" s="35"/>
      <c r="AC643" s="15"/>
      <c r="AD643" s="15"/>
      <c r="AE643" s="34"/>
      <c r="AF643" s="34"/>
      <c r="AG643" s="13"/>
      <c r="AH643" s="15"/>
      <c r="AI643" s="15"/>
      <c r="AJ643" s="28"/>
      <c r="AK643" s="13"/>
      <c r="AL643" s="15"/>
      <c r="AM643" s="34"/>
      <c r="AN643" s="28"/>
      <c r="AO643" s="13"/>
      <c r="AP643" s="15"/>
      <c r="AQ643" s="34"/>
      <c r="AR643" s="28"/>
      <c r="AS643" s="15"/>
      <c r="AT643" s="15"/>
      <c r="AU643" s="15"/>
      <c r="AV643" s="15"/>
      <c r="AW643" s="13"/>
      <c r="AX643" s="15"/>
      <c r="AY643" s="15"/>
      <c r="AZ643" s="28"/>
      <c r="BA643" s="15"/>
      <c r="BB643" s="15"/>
      <c r="BC643" s="15"/>
      <c r="BD643" s="15"/>
      <c r="BE643" s="14"/>
      <c r="BF643" s="41">
        <f t="shared" ref="BF643:BG643" si="2026">K643+O643+S643+W643+AA643+AE643+AI643+AM643+AQ643+AU643+AY643+BC643</f>
        <v>0</v>
      </c>
      <c r="BG643" s="34">
        <f t="shared" si="2026"/>
        <v>0</v>
      </c>
      <c r="BH643" s="35">
        <f t="shared" si="2018"/>
        <v>0</v>
      </c>
      <c r="BI643" s="15"/>
      <c r="BJ643" s="15"/>
      <c r="BK643" s="15"/>
      <c r="BL643" s="15"/>
      <c r="BM643" s="15"/>
    </row>
    <row r="644" ht="14.25" customHeight="1" spans="1:65" x14ac:dyDescent="0.25">
      <c r="A644" s="29">
        <v>91</v>
      </c>
      <c r="B644" s="14"/>
      <c r="C644" s="15" t="s">
        <v>290</v>
      </c>
      <c r="D644" s="14" t="s">
        <v>50</v>
      </c>
      <c r="E644" s="15" t="s">
        <v>49</v>
      </c>
      <c r="F644" s="41">
        <v>1200</v>
      </c>
      <c r="G644" s="28"/>
      <c r="H644" s="34">
        <f>'2018'!BH644</f>
        <v>0.002400000001</v>
      </c>
      <c r="I644" s="13"/>
      <c r="J644" s="15"/>
      <c r="K644" s="34"/>
      <c r="L644" s="35"/>
      <c r="M644" s="15"/>
      <c r="N644" s="15"/>
      <c r="O644" s="34"/>
      <c r="P644" s="34"/>
      <c r="Q644" s="13"/>
      <c r="R644" s="15"/>
      <c r="S644" s="34"/>
      <c r="T644" s="35"/>
      <c r="U644" s="15"/>
      <c r="V644" s="15"/>
      <c r="W644" s="34"/>
      <c r="X644" s="34"/>
      <c r="Y644" s="13"/>
      <c r="Z644" s="15"/>
      <c r="AA644" s="34"/>
      <c r="AB644" s="35"/>
      <c r="AC644" s="15"/>
      <c r="AD644" s="15"/>
      <c r="AE644" s="34">
        <f>B641*$F$12</f>
        <v>5076</v>
      </c>
      <c r="AF644" s="133">
        <v>5076</v>
      </c>
      <c r="AG644" s="13"/>
      <c r="AH644" s="15"/>
      <c r="AI644" s="15"/>
      <c r="AJ644" s="35"/>
      <c r="AK644" s="13"/>
      <c r="AL644" s="15"/>
      <c r="AM644" s="15"/>
      <c r="AN644" s="28"/>
      <c r="AO644" s="13"/>
      <c r="AP644" s="15"/>
      <c r="AQ644" s="15"/>
      <c r="AR644" s="28"/>
      <c r="AS644" s="15"/>
      <c r="AT644" s="15"/>
      <c r="AU644" s="15"/>
      <c r="AV644" s="15"/>
      <c r="AW644" s="13"/>
      <c r="AX644" s="15"/>
      <c r="AY644" s="15"/>
      <c r="AZ644" s="28"/>
      <c r="BA644" s="15"/>
      <c r="BB644" s="15"/>
      <c r="BC644" s="15"/>
      <c r="BD644" s="15"/>
      <c r="BE644" s="14"/>
      <c r="BF644" s="41">
        <f t="shared" ref="BF644:BG644" si="2027">K644+O644+S644+W644+AA644+AE644+AI644+AM644+AQ644+AU644+AY644+BC644</f>
        <v>5076</v>
      </c>
      <c r="BG644" s="34">
        <f t="shared" si="2027"/>
        <v>5076</v>
      </c>
      <c r="BH644" s="35">
        <f t="shared" si="2018"/>
        <v>0.002400000002</v>
      </c>
      <c r="BI644" s="15"/>
      <c r="BJ644" s="15"/>
      <c r="BK644" s="15"/>
      <c r="BL644" s="15"/>
      <c r="BM644" s="15"/>
    </row>
    <row r="645" ht="14.25" customHeight="1" spans="1:65" x14ac:dyDescent="0.25">
      <c r="A645" s="29">
        <v>91</v>
      </c>
      <c r="B645" s="14"/>
      <c r="C645" s="15" t="s">
        <v>291</v>
      </c>
      <c r="D645" s="14" t="s">
        <v>51</v>
      </c>
      <c r="E645" s="15" t="s">
        <v>49</v>
      </c>
      <c r="F645" s="41">
        <v>1000</v>
      </c>
      <c r="G645" s="28"/>
      <c r="H645" s="34">
        <f>'2018'!BH645</f>
        <v>0</v>
      </c>
      <c r="I645" s="13"/>
      <c r="J645" s="15"/>
      <c r="K645" s="34"/>
      <c r="L645" s="35"/>
      <c r="M645" s="15"/>
      <c r="N645" s="15"/>
      <c r="O645" s="34"/>
      <c r="P645" s="34"/>
      <c r="Q645" s="13"/>
      <c r="R645" s="15"/>
      <c r="S645" s="34"/>
      <c r="T645" s="35"/>
      <c r="U645" s="15"/>
      <c r="V645" s="15"/>
      <c r="W645" s="34"/>
      <c r="X645" s="34"/>
      <c r="Y645" s="13"/>
      <c r="Z645" s="15"/>
      <c r="AA645" s="34"/>
      <c r="AB645" s="35"/>
      <c r="AC645" s="15"/>
      <c r="AD645" s="15"/>
      <c r="AE645" s="34">
        <f>$F$21</f>
        <v>1000</v>
      </c>
      <c r="AF645" s="133">
        <v>1000</v>
      </c>
      <c r="AG645" s="13"/>
      <c r="AH645" s="15"/>
      <c r="AI645" s="15"/>
      <c r="AJ645" s="28"/>
      <c r="AK645" s="13"/>
      <c r="AL645" s="15"/>
      <c r="AM645" s="15"/>
      <c r="AN645" s="28"/>
      <c r="AO645" s="13"/>
      <c r="AP645" s="15"/>
      <c r="AQ645" s="15"/>
      <c r="AR645" s="28"/>
      <c r="AS645" s="15"/>
      <c r="AT645" s="15"/>
      <c r="AU645" s="15"/>
      <c r="AV645" s="15"/>
      <c r="AW645" s="13"/>
      <c r="AX645" s="15"/>
      <c r="AY645" s="15"/>
      <c r="AZ645" s="28"/>
      <c r="BA645" s="15"/>
      <c r="BB645" s="15"/>
      <c r="BC645" s="15"/>
      <c r="BD645" s="15"/>
      <c r="BE645" s="14"/>
      <c r="BF645" s="41">
        <f t="shared" ref="BF645:BG645" si="2028">K645+O645+S645+W645+AA645+AE645+AI645+AM645+AQ645+AU645+AY645+BC645</f>
        <v>1000</v>
      </c>
      <c r="BG645" s="34">
        <f t="shared" si="2028"/>
        <v>1000</v>
      </c>
      <c r="BH645" s="35">
        <f t="shared" si="2018"/>
        <v>0</v>
      </c>
      <c r="BI645" s="15"/>
      <c r="BJ645" s="15"/>
      <c r="BK645" s="15"/>
      <c r="BL645" s="15"/>
      <c r="BM645" s="15"/>
    </row>
    <row r="646" ht="14.25" customHeight="1" spans="1:65" x14ac:dyDescent="0.25">
      <c r="A646" s="29">
        <v>91</v>
      </c>
      <c r="B646" s="14"/>
      <c r="C646" s="15"/>
      <c r="D646" s="14" t="s">
        <v>52</v>
      </c>
      <c r="E646" s="15" t="s">
        <v>39</v>
      </c>
      <c r="F646" s="41">
        <v>500</v>
      </c>
      <c r="G646" s="28"/>
      <c r="H646" s="34">
        <f>'2018'!BH646</f>
        <v>0</v>
      </c>
      <c r="I646" s="13"/>
      <c r="J646" s="15"/>
      <c r="K646" s="34"/>
      <c r="L646" s="35"/>
      <c r="M646" s="15"/>
      <c r="N646" s="15"/>
      <c r="O646" s="34"/>
      <c r="P646" s="34"/>
      <c r="Q646" s="13"/>
      <c r="R646" s="15"/>
      <c r="S646" s="34"/>
      <c r="T646" s="35"/>
      <c r="U646" s="15"/>
      <c r="V646" s="15"/>
      <c r="W646" s="34"/>
      <c r="X646" s="34"/>
      <c r="Y646" s="13"/>
      <c r="Z646" s="15"/>
      <c r="AA646" s="34">
        <f>$F$14</f>
        <v>500</v>
      </c>
      <c r="AB646" s="35"/>
      <c r="AC646" s="15"/>
      <c r="AD646" s="15"/>
      <c r="AE646" s="34"/>
      <c r="AF646" s="34"/>
      <c r="AG646" s="13"/>
      <c r="AH646" s="15"/>
      <c r="AI646" s="15"/>
      <c r="AJ646" s="134">
        <v>500</v>
      </c>
      <c r="AK646" s="13"/>
      <c r="AL646" s="15"/>
      <c r="AM646" s="15"/>
      <c r="AN646" s="28"/>
      <c r="AO646" s="13"/>
      <c r="AP646" s="15"/>
      <c r="AQ646" s="15"/>
      <c r="AR646" s="28"/>
      <c r="AS646" s="15"/>
      <c r="AT646" s="15"/>
      <c r="AU646" s="15"/>
      <c r="AV646" s="15"/>
      <c r="AW646" s="13"/>
      <c r="AX646" s="15"/>
      <c r="AY646" s="15"/>
      <c r="AZ646" s="28"/>
      <c r="BA646" s="15"/>
      <c r="BB646" s="15"/>
      <c r="BC646" s="15"/>
      <c r="BD646" s="15"/>
      <c r="BE646" s="14"/>
      <c r="BF646" s="41">
        <f t="shared" ref="BF646:BG646" si="2029">K646+O646+S646+W646+AA646+AE646+AI646+AM646+AQ646+AU646+AY646+BC646</f>
        <v>500</v>
      </c>
      <c r="BG646" s="34">
        <f t="shared" si="2029"/>
        <v>500</v>
      </c>
      <c r="BH646" s="35">
        <f t="shared" si="2018"/>
        <v>0</v>
      </c>
      <c r="BI646" s="15"/>
      <c r="BJ646" s="15"/>
      <c r="BK646" s="15"/>
      <c r="BL646" s="15"/>
      <c r="BM646" s="15"/>
    </row>
    <row r="647" ht="14.25" customHeight="1" spans="1:62" x14ac:dyDescent="0.25">
      <c r="A647" s="50">
        <v>91</v>
      </c>
      <c r="B647" s="21"/>
      <c r="C647" s="22" t="s">
        <v>53</v>
      </c>
      <c r="D647" s="21"/>
      <c r="E647" s="22"/>
      <c r="F647" s="20"/>
      <c r="G647" s="23"/>
      <c r="H647" s="51">
        <f>SUM(H640:H646)</f>
        <v>4.9824</v>
      </c>
      <c r="I647" s="52"/>
      <c r="J647" s="53"/>
      <c r="K647" s="51">
        <f t="shared" ref="K647:L647" si="2030">SUM(K640:K646)</f>
        <v>0</v>
      </c>
      <c r="L647" s="68">
        <f t="shared" si="2030"/>
        <v>0</v>
      </c>
      <c r="M647" s="53"/>
      <c r="N647" s="53"/>
      <c r="O647" s="51">
        <f t="shared" ref="O647:P647" si="2031">SUM(O641:O646)</f>
        <v>0</v>
      </c>
      <c r="P647" s="51">
        <f t="shared" si="2031"/>
        <v>0</v>
      </c>
      <c r="Q647" s="52"/>
      <c r="R647" s="53"/>
      <c r="S647" s="51">
        <f t="shared" ref="S647:T647" si="2032">SUM(S641:S646)</f>
        <v>0</v>
      </c>
      <c r="T647" s="68">
        <f t="shared" si="2032"/>
        <v>0</v>
      </c>
      <c r="U647" s="53"/>
      <c r="V647" s="53"/>
      <c r="W647" s="51">
        <f t="shared" ref="W647:X647" si="2033">SUM(W641:W646)</f>
        <v>0</v>
      </c>
      <c r="X647" s="51">
        <f t="shared" si="2033"/>
        <v>0</v>
      </c>
      <c r="Y647" s="52"/>
      <c r="Z647" s="53"/>
      <c r="AA647" s="51">
        <f t="shared" ref="AA647:AB647" si="2034">SUM(AA641:AA646)</f>
        <v>792.66</v>
      </c>
      <c r="AB647" s="68">
        <f t="shared" si="2034"/>
        <v>0</v>
      </c>
      <c r="AC647" s="53"/>
      <c r="AD647" s="53"/>
      <c r="AE647" s="51">
        <f t="shared" ref="AE647:AF647" si="2035">SUM(AE641:AE646)</f>
        <v>6144.94</v>
      </c>
      <c r="AF647" s="51">
        <f t="shared" si="2035"/>
        <v>6500</v>
      </c>
      <c r="AG647" s="52"/>
      <c r="AH647" s="53"/>
      <c r="AI647" s="51">
        <f t="shared" ref="AI647:AJ647" si="2036">SUM(AI641:AI646)</f>
        <v>83.18</v>
      </c>
      <c r="AJ647" s="68">
        <f t="shared" si="2036"/>
        <v>556</v>
      </c>
      <c r="AK647" s="52"/>
      <c r="AL647" s="53"/>
      <c r="AM647" s="51">
        <f t="shared" ref="AM647:AN647" si="2037">SUM(AM641:AM646)</f>
        <v>17.5</v>
      </c>
      <c r="AN647" s="68">
        <f t="shared" si="2037"/>
        <v>0</v>
      </c>
      <c r="AO647" s="52"/>
      <c r="AP647" s="53"/>
      <c r="AQ647" s="51">
        <f t="shared" ref="AQ647:AR647" si="2038">SUM(AQ640:AQ646)</f>
        <v>5</v>
      </c>
      <c r="AR647" s="68">
        <f t="shared" si="2038"/>
        <v>0</v>
      </c>
      <c r="AS647" s="53"/>
      <c r="AT647" s="53"/>
      <c r="AU647" s="51">
        <f t="shared" ref="AU647:AV647" si="2039">SUM(AU640:AU646)</f>
        <v>0</v>
      </c>
      <c r="AV647" s="68">
        <f t="shared" si="2039"/>
        <v>0</v>
      </c>
      <c r="AW647" s="52"/>
      <c r="AX647" s="53"/>
      <c r="AY647" s="51">
        <f t="shared" ref="AY647:AZ647" si="2040">SUM(AY640:AY646)</f>
        <v>0</v>
      </c>
      <c r="AZ647" s="68">
        <f t="shared" si="2040"/>
        <v>0</v>
      </c>
      <c r="BA647" s="53"/>
      <c r="BB647" s="53"/>
      <c r="BC647" s="51">
        <f t="shared" ref="BC647:BD647" si="2041">SUM(BC640:BC646)</f>
        <v>0</v>
      </c>
      <c r="BD647" s="68">
        <f t="shared" si="2041"/>
        <v>0</v>
      </c>
      <c r="BE647" s="69"/>
      <c r="BF647" s="70">
        <f t="shared" ref="BF647:BH647" si="2042">SUM(BF640:BF646)</f>
        <v>7043.28</v>
      </c>
      <c r="BG647" s="71">
        <f t="shared" si="2042"/>
        <v>7056</v>
      </c>
      <c r="BH647" s="72">
        <f t="shared" si="2042"/>
        <v>-7.7376</v>
      </c>
      <c r="BI647" s="34">
        <f>H647+BF647-BG647</f>
        <v>-7.7376</v>
      </c>
      <c r="BJ647" s="34">
        <f>BH647-BI647</f>
        <v>0</v>
      </c>
    </row>
    <row r="648" ht="14.25" customHeight="1" spans="1:65" x14ac:dyDescent="0.25">
      <c r="A648" s="79" t="s">
        <v>292</v>
      </c>
      <c r="B648" s="14"/>
      <c r="C648" s="15"/>
      <c r="D648" s="14" t="s">
        <v>379</v>
      </c>
      <c r="E648" s="15"/>
      <c r="F648" s="13"/>
      <c r="G648" s="28"/>
      <c r="H648" s="34">
        <f>'2018'!BH648</f>
      </c>
      <c r="I648" s="13"/>
      <c r="J648" s="15"/>
      <c r="K648" s="34"/>
      <c r="L648" s="35"/>
      <c r="M648" s="15"/>
      <c r="N648" s="15"/>
      <c r="O648" s="34"/>
      <c r="P648" s="34"/>
      <c r="Q648" s="13"/>
      <c r="R648" s="15"/>
      <c r="S648" s="34"/>
      <c r="T648" s="35"/>
      <c r="U648" s="15"/>
      <c r="V648" s="15"/>
      <c r="W648" s="34"/>
      <c r="X648" s="34"/>
      <c r="Y648" s="13"/>
      <c r="Z648" s="15"/>
      <c r="AA648" s="34"/>
      <c r="AB648" s="35"/>
      <c r="AC648" s="15"/>
      <c r="AD648" s="15"/>
      <c r="AE648" s="34"/>
      <c r="AF648" s="34"/>
      <c r="AG648" s="13"/>
      <c r="AH648" s="15"/>
      <c r="AI648" s="34"/>
      <c r="AJ648" s="35"/>
      <c r="AK648" s="13"/>
      <c r="AL648" s="15"/>
      <c r="AM648" s="34"/>
      <c r="AN648" s="35"/>
      <c r="AO648" s="13"/>
      <c r="AP648" s="15"/>
      <c r="AQ648" s="34">
        <v>25.69</v>
      </c>
      <c r="AR648" s="35"/>
      <c r="AS648" s="15"/>
      <c r="AT648" s="15"/>
      <c r="AU648" s="34"/>
      <c r="AV648" s="34"/>
      <c r="AW648" s="13"/>
      <c r="AX648" s="15"/>
      <c r="AY648" s="34"/>
      <c r="AZ648" s="35"/>
      <c r="BA648" s="15"/>
      <c r="BB648" s="15"/>
      <c r="BC648" s="34"/>
      <c r="BD648" s="34"/>
      <c r="BE648" s="42"/>
      <c r="BF648" s="41">
        <f t="shared" ref="BF648:BG648" si="2043">K648+O648+S648+W648+AA648+AE648+AI648+AM648+AQ648+AU648+AY648+BC648</f>
        <v>25.69</v>
      </c>
      <c r="BG648" s="34">
        <f t="shared" si="2043"/>
        <v>0</v>
      </c>
      <c r="BH648" s="35">
        <f t="shared" ref="BH648:BH654" si="2044">H648+BF648-BG648</f>
        <v>25.69</v>
      </c>
      <c r="BI648" s="15"/>
      <c r="BJ648" s="15"/>
      <c r="BK648" s="15"/>
      <c r="BL648" s="15"/>
      <c r="BM648" s="15"/>
    </row>
    <row r="649" ht="15.75" customHeight="1" spans="1:65" x14ac:dyDescent="0.25">
      <c r="A649" s="89" t="s">
        <v>292</v>
      </c>
      <c r="B649" s="14">
        <f>4.31+4.25</f>
        <v>8.56</v>
      </c>
      <c r="C649" s="15" t="s">
        <v>436</v>
      </c>
      <c r="D649" s="14" t="s">
        <v>44</v>
      </c>
      <c r="E649" s="15" t="s">
        <v>45</v>
      </c>
      <c r="F649" s="13">
        <v>2.49</v>
      </c>
      <c r="G649" s="35">
        <v>2.5</v>
      </c>
      <c r="H649" s="34">
        <f>'2018'!BH649</f>
        <v>522.9</v>
      </c>
      <c r="I649" s="13">
        <v>871</v>
      </c>
      <c r="J649" s="15">
        <f>I649-'2018'!BA649</f>
        <v>0</v>
      </c>
      <c r="K649" s="34">
        <f>J649*$F$8</f>
        <v>0</v>
      </c>
      <c r="L649" s="35"/>
      <c r="M649" s="15">
        <v>871</v>
      </c>
      <c r="N649" s="15">
        <f>M649-I649</f>
        <v>0</v>
      </c>
      <c r="O649" s="34">
        <f>N649*$F$8</f>
        <v>0</v>
      </c>
      <c r="P649" s="34"/>
      <c r="Q649" s="13">
        <v>871</v>
      </c>
      <c r="R649" s="15">
        <f>Q649-M649</f>
        <v>0</v>
      </c>
      <c r="S649" s="34">
        <f>R649*$F$8</f>
        <v>0</v>
      </c>
      <c r="T649" s="35"/>
      <c r="U649" s="15">
        <v>1043</v>
      </c>
      <c r="V649" s="15">
        <f>U649-Q649</f>
        <v>172</v>
      </c>
      <c r="W649" s="34">
        <f>V649*$F$8</f>
        <v>428.28</v>
      </c>
      <c r="X649" s="39">
        <v>500</v>
      </c>
      <c r="Y649" s="13">
        <v>1231</v>
      </c>
      <c r="Z649" s="15">
        <f>Y649-U649</f>
        <v>188</v>
      </c>
      <c r="AA649" s="34">
        <f>Z649*$F$8</f>
        <v>468.12</v>
      </c>
      <c r="AB649" s="38">
        <f>1000+100</f>
        <v>1100</v>
      </c>
      <c r="AC649" s="15">
        <v>1319</v>
      </c>
      <c r="AD649" s="15">
        <f t="shared" ref="AD649:AD650" si="2045">AC649-Y649</f>
        <v>88</v>
      </c>
      <c r="AE649" s="34">
        <f>AD649*$G$8</f>
        <v>220</v>
      </c>
      <c r="AF649" s="34"/>
      <c r="AG649" s="13">
        <v>1457</v>
      </c>
      <c r="AH649" s="15">
        <f t="shared" ref="AH649:AH650" si="2046">AG649-AC649</f>
        <v>138</v>
      </c>
      <c r="AI649" s="34">
        <f>AH649*$G$8</f>
        <v>345</v>
      </c>
      <c r="AJ649" s="28"/>
      <c r="AK649" s="13">
        <v>1546</v>
      </c>
      <c r="AL649" s="15">
        <f t="shared" ref="AL649:AL650" si="2047">AK649-AG649</f>
        <v>89</v>
      </c>
      <c r="AM649" s="34">
        <f>AL649*$G$8</f>
        <v>222.5</v>
      </c>
      <c r="AN649" s="38">
        <v>400</v>
      </c>
      <c r="AO649" s="13">
        <v>1665</v>
      </c>
      <c r="AP649" s="15">
        <f t="shared" ref="AP649:AP650" si="2048">AO649-AK649</f>
        <v>119</v>
      </c>
      <c r="AQ649" s="34">
        <f>AP649*$G$8</f>
        <v>297.5</v>
      </c>
      <c r="AR649" s="38">
        <v>250</v>
      </c>
      <c r="AS649" s="13">
        <v>1732</v>
      </c>
      <c r="AT649" s="15">
        <f t="shared" ref="AT649:AT650" si="2049">AS649-AO649</f>
        <v>67</v>
      </c>
      <c r="AU649" s="34">
        <f>AT649*$G$8</f>
        <v>167.5</v>
      </c>
      <c r="AV649" s="140">
        <v>466.72</v>
      </c>
      <c r="AW649" s="13">
        <v>1732</v>
      </c>
      <c r="AX649" s="15">
        <f>AW649-AS649</f>
        <v>0</v>
      </c>
      <c r="AY649" s="34">
        <f>AX649*$G$8</f>
        <v>0</v>
      </c>
      <c r="AZ649" s="28"/>
      <c r="BA649" s="13">
        <v>1732</v>
      </c>
      <c r="BB649" s="15">
        <f>BA649-AW649</f>
        <v>0</v>
      </c>
      <c r="BC649" s="34">
        <f>BB649*$G$8</f>
        <v>0</v>
      </c>
      <c r="BD649" s="15"/>
      <c r="BE649" s="40">
        <f t="shared" ref="BE649:BG649" si="2050">J649+N649+R649+V649+Z649+AD649+AH649+AL649+AP649+AT649+AX649+BB649</f>
        <v>861</v>
      </c>
      <c r="BF649" s="41">
        <f t="shared" si="2050"/>
        <v>2148.9</v>
      </c>
      <c r="BG649" s="34">
        <f t="shared" si="2050"/>
        <v>2716.72</v>
      </c>
      <c r="BH649" s="35">
        <f t="shared" si="2044"/>
        <v>-44.92</v>
      </c>
      <c r="BI649" s="15"/>
      <c r="BJ649" s="15"/>
      <c r="BK649" s="15"/>
      <c r="BL649" s="15"/>
      <c r="BM649" s="15"/>
    </row>
    <row r="650" ht="14.25" customHeight="1" spans="1:65" x14ac:dyDescent="0.25">
      <c r="A650" s="79" t="s">
        <v>292</v>
      </c>
      <c r="B650" s="14"/>
      <c r="C650" s="15" t="s">
        <v>437</v>
      </c>
      <c r="D650" s="14" t="s">
        <v>47</v>
      </c>
      <c r="E650" s="15" t="s">
        <v>48</v>
      </c>
      <c r="F650" s="13">
        <v>17.98</v>
      </c>
      <c r="G650" s="28">
        <v>18.56</v>
      </c>
      <c r="H650" s="90">
        <f>'2018'!BH650</f>
        <v>0</v>
      </c>
      <c r="I650" s="75">
        <f>24+86</f>
        <v>110</v>
      </c>
      <c r="J650" s="15"/>
      <c r="K650" s="34"/>
      <c r="L650" s="35"/>
      <c r="M650" s="15"/>
      <c r="N650" s="15"/>
      <c r="O650" s="34"/>
      <c r="P650" s="34"/>
      <c r="Q650" s="13"/>
      <c r="R650" s="15"/>
      <c r="S650" s="34"/>
      <c r="T650" s="35"/>
      <c r="U650" s="15"/>
      <c r="V650" s="15"/>
      <c r="W650" s="34"/>
      <c r="X650" s="34"/>
      <c r="Y650" s="13">
        <f>0+0</f>
        <v>0</v>
      </c>
      <c r="Z650" s="15">
        <v>0</v>
      </c>
      <c r="AA650" s="34">
        <f>Z650*$F$10</f>
        <v>0</v>
      </c>
      <c r="AB650" s="35"/>
      <c r="AC650" s="15">
        <f>3+1</f>
        <v>4</v>
      </c>
      <c r="AD650" s="15">
        <f t="shared" si="2045"/>
        <v>4</v>
      </c>
      <c r="AE650" s="34">
        <f>AD650*$F$10</f>
        <v>71.92</v>
      </c>
      <c r="AF650" s="34"/>
      <c r="AG650" s="13">
        <f>4+2</f>
        <v>6</v>
      </c>
      <c r="AH650" s="15">
        <f t="shared" si="2046"/>
        <v>2</v>
      </c>
      <c r="AI650" s="45">
        <f>AH650*$G$10</f>
        <v>37.12</v>
      </c>
      <c r="AJ650" s="38">
        <f>72+100</f>
        <v>172</v>
      </c>
      <c r="AK650" s="13">
        <f>6+3</f>
        <v>9</v>
      </c>
      <c r="AL650" s="15">
        <f t="shared" si="2047"/>
        <v>3</v>
      </c>
      <c r="AM650" s="45">
        <f>AL650*$G$10</f>
        <v>55.68</v>
      </c>
      <c r="AN650" s="28"/>
      <c r="AO650" s="13">
        <f>6+4</f>
        <v>10</v>
      </c>
      <c r="AP650" s="15">
        <f t="shared" si="2048"/>
        <v>1</v>
      </c>
      <c r="AQ650" s="45">
        <f>AP650*$G$10</f>
        <v>18.56</v>
      </c>
      <c r="AR650" s="28"/>
      <c r="AS650" s="13">
        <f>6+4</f>
        <v>10</v>
      </c>
      <c r="AT650" s="15">
        <f t="shared" si="2049"/>
        <v>0</v>
      </c>
      <c r="AU650" s="45">
        <f>AT650*$G$10</f>
        <v>0</v>
      </c>
      <c r="AV650" s="91">
        <v>11.28</v>
      </c>
      <c r="AW650" s="13">
        <f>6+4</f>
        <v>10</v>
      </c>
      <c r="AX650" s="15"/>
      <c r="AY650" s="15"/>
      <c r="AZ650" s="28"/>
      <c r="BA650" s="13">
        <f>6+4</f>
        <v>10</v>
      </c>
      <c r="BB650" s="15"/>
      <c r="BC650" s="15"/>
      <c r="BD650" s="15"/>
      <c r="BE650" s="40">
        <f t="shared" ref="BE650:BG650" si="2051">J650+N650+R650+V650+Z650+AD650+AH650+AL650+AP650+AT650+AX650+BB650</f>
        <v>10</v>
      </c>
      <c r="BF650" s="41">
        <f t="shared" si="2051"/>
        <v>183.28</v>
      </c>
      <c r="BG650" s="34">
        <f t="shared" si="2051"/>
        <v>183.28</v>
      </c>
      <c r="BH650" s="35">
        <f t="shared" si="2044"/>
        <v>0</v>
      </c>
      <c r="BI650" s="15"/>
      <c r="BJ650" s="15"/>
      <c r="BK650" s="15"/>
      <c r="BL650" s="15"/>
      <c r="BM650" s="15"/>
    </row>
    <row r="651" ht="14.25" customHeight="1" spans="1:65" x14ac:dyDescent="0.25">
      <c r="A651" s="79" t="s">
        <v>292</v>
      </c>
      <c r="B651" s="14"/>
      <c r="C651" s="15" t="s">
        <v>68</v>
      </c>
      <c r="D651" s="14" t="s">
        <v>47</v>
      </c>
      <c r="E651" s="15" t="s">
        <v>49</v>
      </c>
      <c r="F651" s="41">
        <v>500</v>
      </c>
      <c r="G651" s="28"/>
      <c r="H651" s="34">
        <f>'2018'!BH651</f>
        <v>0</v>
      </c>
      <c r="I651" s="13"/>
      <c r="J651" s="15"/>
      <c r="K651" s="34"/>
      <c r="L651" s="35"/>
      <c r="M651" s="15"/>
      <c r="N651" s="15"/>
      <c r="O651" s="34"/>
      <c r="P651" s="34"/>
      <c r="Q651" s="13"/>
      <c r="R651" s="15"/>
      <c r="S651" s="34"/>
      <c r="T651" s="35"/>
      <c r="U651" s="15"/>
      <c r="V651" s="15"/>
      <c r="W651" s="34"/>
      <c r="X651" s="34"/>
      <c r="Y651" s="13"/>
      <c r="Z651" s="15"/>
      <c r="AA651" s="34"/>
      <c r="AB651" s="35"/>
      <c r="AC651" s="15"/>
      <c r="AD651" s="15"/>
      <c r="AE651" s="34"/>
      <c r="AF651" s="34"/>
      <c r="AG651" s="13"/>
      <c r="AH651" s="15"/>
      <c r="AI651" s="15"/>
      <c r="AJ651" s="28"/>
      <c r="AK651" s="13"/>
      <c r="AL651" s="15"/>
      <c r="AM651" s="34"/>
      <c r="AN651" s="28"/>
      <c r="AO651" s="13"/>
      <c r="AP651" s="15"/>
      <c r="AQ651" s="34"/>
      <c r="AR651" s="28"/>
      <c r="AS651" s="15"/>
      <c r="AT651" s="15"/>
      <c r="AU651" s="15"/>
      <c r="AV651" s="15"/>
      <c r="AW651" s="13"/>
      <c r="AX651" s="15"/>
      <c r="AY651" s="15"/>
      <c r="AZ651" s="28"/>
      <c r="BA651" s="15"/>
      <c r="BB651" s="15"/>
      <c r="BC651" s="15"/>
      <c r="BD651" s="15"/>
      <c r="BE651" s="14"/>
      <c r="BF651" s="41">
        <f t="shared" ref="BF651:BG651" si="2052">K651+O651+S651+W651+AA651+AE651+AI651+AM651+AQ651+AU651+AY651+BC651</f>
        <v>0</v>
      </c>
      <c r="BG651" s="34">
        <f t="shared" si="2052"/>
        <v>0</v>
      </c>
      <c r="BH651" s="35">
        <f t="shared" si="2044"/>
        <v>0</v>
      </c>
      <c r="BI651" s="15"/>
      <c r="BJ651" s="15"/>
      <c r="BK651" s="15"/>
      <c r="BL651" s="15"/>
      <c r="BM651" s="15"/>
    </row>
    <row r="652" ht="14.25" customHeight="1" spans="1:65" x14ac:dyDescent="0.25">
      <c r="A652" s="79" t="s">
        <v>292</v>
      </c>
      <c r="B652" s="14"/>
      <c r="C652" s="15" t="s">
        <v>438</v>
      </c>
      <c r="D652" s="14" t="s">
        <v>50</v>
      </c>
      <c r="E652" s="15" t="s">
        <v>49</v>
      </c>
      <c r="F652" s="41">
        <v>1200</v>
      </c>
      <c r="G652" s="28"/>
      <c r="H652" s="34">
        <f>'2018'!BH652</f>
        <v>0.0028</v>
      </c>
      <c r="I652" s="13"/>
      <c r="J652" s="15"/>
      <c r="K652" s="34"/>
      <c r="L652" s="35"/>
      <c r="M652" s="15"/>
      <c r="N652" s="15"/>
      <c r="O652" s="34"/>
      <c r="P652" s="34"/>
      <c r="Q652" s="13"/>
      <c r="R652" s="15"/>
      <c r="S652" s="34"/>
      <c r="T652" s="35"/>
      <c r="U652" s="15"/>
      <c r="V652" s="15"/>
      <c r="W652" s="34"/>
      <c r="X652" s="34"/>
      <c r="Y652" s="13"/>
      <c r="Z652" s="15"/>
      <c r="AA652" s="34"/>
      <c r="AB652" s="35"/>
      <c r="AC652" s="15"/>
      <c r="AD652" s="15"/>
      <c r="AE652" s="34">
        <f>B649*$F$12</f>
        <v>10272</v>
      </c>
      <c r="AF652" s="34"/>
      <c r="AG652" s="13"/>
      <c r="AH652" s="15"/>
      <c r="AI652" s="15"/>
      <c r="AJ652" s="35"/>
      <c r="AK652" s="13"/>
      <c r="AL652" s="15"/>
      <c r="AM652" s="15"/>
      <c r="AN652" s="28"/>
      <c r="AO652" s="13"/>
      <c r="AP652" s="15"/>
      <c r="AQ652" s="15"/>
      <c r="AR652" s="38">
        <v>10245</v>
      </c>
      <c r="AS652" s="15"/>
      <c r="AT652" s="15"/>
      <c r="AU652" s="15"/>
      <c r="AV652" s="140">
        <v>27</v>
      </c>
      <c r="AW652" s="13"/>
      <c r="AX652" s="15"/>
      <c r="AY652" s="15"/>
      <c r="AZ652" s="28"/>
      <c r="BA652" s="15"/>
      <c r="BB652" s="15"/>
      <c r="BC652" s="15"/>
      <c r="BD652" s="15"/>
      <c r="BE652" s="14"/>
      <c r="BF652" s="41">
        <f t="shared" ref="BF652:BG652" si="2053">K652+O652+S652+W652+AA652+AE652+AI652+AM652+AQ652+AU652+AY652+BC652</f>
        <v>10272</v>
      </c>
      <c r="BG652" s="34">
        <f t="shared" si="2053"/>
        <v>10272</v>
      </c>
      <c r="BH652" s="35">
        <f t="shared" si="2044"/>
        <v>0.002799999998</v>
      </c>
      <c r="BI652" s="15"/>
      <c r="BJ652" s="15"/>
      <c r="BK652" s="15"/>
      <c r="BL652" s="15"/>
      <c r="BM652" s="15"/>
    </row>
    <row r="653" ht="14.25" customHeight="1" spans="1:65" x14ac:dyDescent="0.25">
      <c r="A653" s="79" t="s">
        <v>292</v>
      </c>
      <c r="B653" s="14"/>
      <c r="C653" s="15" t="s">
        <v>439</v>
      </c>
      <c r="D653" s="14" t="s">
        <v>51</v>
      </c>
      <c r="E653" s="15" t="s">
        <v>49</v>
      </c>
      <c r="F653" s="41">
        <v>1000</v>
      </c>
      <c r="G653" s="28"/>
      <c r="H653" s="34">
        <f>'2018'!BH653</f>
        <v>0</v>
      </c>
      <c r="I653" s="13"/>
      <c r="J653" s="15"/>
      <c r="K653" s="34"/>
      <c r="L653" s="35"/>
      <c r="M653" s="15"/>
      <c r="N653" s="15"/>
      <c r="O653" s="34"/>
      <c r="P653" s="34"/>
      <c r="Q653" s="13"/>
      <c r="R653" s="15"/>
      <c r="S653" s="34"/>
      <c r="T653" s="35"/>
      <c r="U653" s="15"/>
      <c r="V653" s="15"/>
      <c r="W653" s="34"/>
      <c r="X653" s="34"/>
      <c r="Y653" s="13"/>
      <c r="Z653" s="15"/>
      <c r="AA653" s="34"/>
      <c r="AB653" s="35"/>
      <c r="AC653" s="15"/>
      <c r="AD653" s="15"/>
      <c r="AE653" s="34">
        <f>$F$21*2</f>
        <v>2000</v>
      </c>
      <c r="AF653" s="34"/>
      <c r="AG653" s="13"/>
      <c r="AH653" s="15"/>
      <c r="AI653" s="15"/>
      <c r="AJ653" s="38">
        <v>2000</v>
      </c>
      <c r="AK653" s="13"/>
      <c r="AL653" s="15"/>
      <c r="AM653" s="15"/>
      <c r="AN653" s="28"/>
      <c r="AO653" s="13"/>
      <c r="AP653" s="15"/>
      <c r="AQ653" s="15"/>
      <c r="AR653" s="28"/>
      <c r="AS653" s="15"/>
      <c r="AT653" s="15"/>
      <c r="AU653" s="15"/>
      <c r="AV653" s="15"/>
      <c r="AW653" s="13"/>
      <c r="AX653" s="15"/>
      <c r="AY653" s="15"/>
      <c r="AZ653" s="28"/>
      <c r="BA653" s="15"/>
      <c r="BB653" s="15"/>
      <c r="BC653" s="15"/>
      <c r="BD653" s="15"/>
      <c r="BE653" s="14"/>
      <c r="BF653" s="41">
        <f t="shared" ref="BF653:BG653" si="2054">K653+O653+S653+W653+AA653+AE653+AI653+AM653+AQ653+AU653+AY653+BC653</f>
        <v>2000</v>
      </c>
      <c r="BG653" s="34">
        <f t="shared" si="2054"/>
        <v>2000</v>
      </c>
      <c r="BH653" s="35">
        <f t="shared" si="2044"/>
        <v>0</v>
      </c>
      <c r="BI653" s="15"/>
      <c r="BJ653" s="15"/>
      <c r="BK653" s="15"/>
      <c r="BL653" s="15"/>
      <c r="BM653" s="15"/>
    </row>
    <row r="654" ht="14.25" customHeight="1" spans="1:65" x14ac:dyDescent="0.25">
      <c r="A654" s="79" t="s">
        <v>292</v>
      </c>
      <c r="B654" s="14"/>
      <c r="C654" s="15"/>
      <c r="D654" s="14" t="s">
        <v>52</v>
      </c>
      <c r="E654" s="15" t="s">
        <v>39</v>
      </c>
      <c r="F654" s="41">
        <v>500</v>
      </c>
      <c r="G654" s="28"/>
      <c r="H654" s="84">
        <f>'2018'!BH654-1000</f>
        <v>-1000</v>
      </c>
      <c r="I654" s="13"/>
      <c r="J654" s="15"/>
      <c r="K654" s="34"/>
      <c r="L654" s="35"/>
      <c r="M654" s="15"/>
      <c r="N654" s="15"/>
      <c r="O654" s="34"/>
      <c r="P654" s="34"/>
      <c r="Q654" s="13"/>
      <c r="R654" s="15"/>
      <c r="S654" s="34"/>
      <c r="T654" s="35"/>
      <c r="U654" s="15"/>
      <c r="V654" s="15"/>
      <c r="W654" s="34"/>
      <c r="X654" s="34"/>
      <c r="Y654" s="13"/>
      <c r="Z654" s="15"/>
      <c r="AA654" s="34">
        <f>$F$14*2</f>
        <v>1000</v>
      </c>
      <c r="AB654" s="35"/>
      <c r="AC654" s="15"/>
      <c r="AD654" s="15"/>
      <c r="AE654" s="34"/>
      <c r="AF654" s="34"/>
      <c r="AG654" s="13"/>
      <c r="AH654" s="15"/>
      <c r="AI654" s="15"/>
      <c r="AJ654" s="28"/>
      <c r="AK654" s="13"/>
      <c r="AL654" s="15"/>
      <c r="AM654" s="15"/>
      <c r="AN654" s="28"/>
      <c r="AO654" s="13"/>
      <c r="AP654" s="15"/>
      <c r="AQ654" s="15"/>
      <c r="AR654" s="28"/>
      <c r="AS654" s="15"/>
      <c r="AT654" s="15"/>
      <c r="AU654" s="15"/>
      <c r="AV654" s="15"/>
      <c r="AW654" s="13"/>
      <c r="AX654" s="15"/>
      <c r="AY654" s="15"/>
      <c r="AZ654" s="28"/>
      <c r="BA654" s="15"/>
      <c r="BB654" s="15"/>
      <c r="BC654" s="15"/>
      <c r="BD654" s="15"/>
      <c r="BE654" s="14"/>
      <c r="BF654" s="41">
        <f t="shared" ref="BF654:BG654" si="2055">K654+O654+S654+W654+AA654+AE654+AI654+AM654+AQ654+AU654+AY654+BC654</f>
        <v>1000</v>
      </c>
      <c r="BG654" s="34">
        <f t="shared" si="2055"/>
        <v>0</v>
      </c>
      <c r="BH654" s="35">
        <f t="shared" si="2044"/>
        <v>0</v>
      </c>
      <c r="BI654" s="15"/>
      <c r="BJ654" s="15"/>
      <c r="BK654" s="15"/>
      <c r="BL654" s="15"/>
      <c r="BM654" s="15"/>
    </row>
    <row r="655" ht="15.75" customHeight="1" spans="1:62" x14ac:dyDescent="0.25">
      <c r="A655" s="88" t="s">
        <v>297</v>
      </c>
      <c r="B655" s="21"/>
      <c r="C655" s="22" t="s">
        <v>53</v>
      </c>
      <c r="D655" s="21"/>
      <c r="E655" s="22"/>
      <c r="F655" s="20"/>
      <c r="G655" s="23"/>
      <c r="H655" s="51">
        <f>SUM(H648:H654)</f>
        <v>-477.0972</v>
      </c>
      <c r="I655" s="52"/>
      <c r="J655" s="53"/>
      <c r="K655" s="51">
        <f t="shared" ref="K655:L655" si="2056">SUM(K648:K654)</f>
        <v>0</v>
      </c>
      <c r="L655" s="68">
        <f t="shared" si="2056"/>
        <v>0</v>
      </c>
      <c r="M655" s="53"/>
      <c r="N655" s="53"/>
      <c r="O655" s="51">
        <f t="shared" ref="O655:P655" si="2057">SUM(O649:O654)</f>
        <v>0</v>
      </c>
      <c r="P655" s="51">
        <f t="shared" si="2057"/>
        <v>0</v>
      </c>
      <c r="Q655" s="52"/>
      <c r="R655" s="53"/>
      <c r="S655" s="51">
        <f t="shared" ref="S655:T655" si="2058">SUM(S649:S654)</f>
        <v>0</v>
      </c>
      <c r="T655" s="68">
        <f t="shared" si="2058"/>
        <v>0</v>
      </c>
      <c r="U655" s="53"/>
      <c r="V655" s="53"/>
      <c r="W655" s="51">
        <f t="shared" ref="W655:X655" si="2059">SUM(W649:W654)</f>
        <v>428.28</v>
      </c>
      <c r="X655" s="51">
        <f t="shared" si="2059"/>
        <v>500</v>
      </c>
      <c r="Y655" s="52"/>
      <c r="Z655" s="53"/>
      <c r="AA655" s="51">
        <f t="shared" ref="AA655:AB655" si="2060">SUM(AA649:AA654)</f>
        <v>1468.12</v>
      </c>
      <c r="AB655" s="68">
        <f t="shared" si="2060"/>
        <v>1100</v>
      </c>
      <c r="AC655" s="53"/>
      <c r="AD655" s="53"/>
      <c r="AE655" s="51">
        <f t="shared" ref="AE655:AF655" si="2061">SUM(AE649:AE654)</f>
        <v>12563.92</v>
      </c>
      <c r="AF655" s="51">
        <f t="shared" si="2061"/>
        <v>0</v>
      </c>
      <c r="AG655" s="52"/>
      <c r="AH655" s="53"/>
      <c r="AI655" s="51">
        <f t="shared" ref="AI655:AJ655" si="2062">SUM(AI649:AI654)</f>
        <v>382.12</v>
      </c>
      <c r="AJ655" s="68">
        <f t="shared" si="2062"/>
        <v>2172</v>
      </c>
      <c r="AK655" s="52"/>
      <c r="AL655" s="53"/>
      <c r="AM655" s="51">
        <f t="shared" ref="AM655:AN655" si="2063">SUM(AM649:AM654)</f>
        <v>278.18</v>
      </c>
      <c r="AN655" s="68">
        <f t="shared" si="2063"/>
        <v>400</v>
      </c>
      <c r="AO655" s="52"/>
      <c r="AP655" s="53"/>
      <c r="AQ655" s="51">
        <f t="shared" ref="AQ655:AR655" si="2064">SUM(AQ648:AQ654)</f>
        <v>341.75</v>
      </c>
      <c r="AR655" s="68">
        <f t="shared" si="2064"/>
        <v>10495</v>
      </c>
      <c r="AS655" s="53"/>
      <c r="AT655" s="53"/>
      <c r="AU655" s="51">
        <f t="shared" ref="AU655:AV655" si="2065">SUM(AU648:AU654)</f>
        <v>167.5</v>
      </c>
      <c r="AV655" s="68">
        <f t="shared" si="2065"/>
        <v>505</v>
      </c>
      <c r="AW655" s="52"/>
      <c r="AX655" s="53"/>
      <c r="AY655" s="51">
        <f t="shared" ref="AY655:AZ655" si="2066">SUM(AY648:AY654)</f>
        <v>0</v>
      </c>
      <c r="AZ655" s="68">
        <f t="shared" si="2066"/>
        <v>0</v>
      </c>
      <c r="BA655" s="53"/>
      <c r="BB655" s="53"/>
      <c r="BC655" s="51">
        <f t="shared" ref="BC655:BD655" si="2067">SUM(BC648:BC654)</f>
        <v>0</v>
      </c>
      <c r="BD655" s="68">
        <f t="shared" si="2067"/>
        <v>0</v>
      </c>
      <c r="BE655" s="69"/>
      <c r="BF655" s="70">
        <f t="shared" ref="BF655:BH655" si="2068">SUM(BF648:BF654)</f>
        <v>15629.87</v>
      </c>
      <c r="BG655" s="71">
        <f t="shared" si="2068"/>
        <v>15172</v>
      </c>
      <c r="BH655" s="72">
        <f t="shared" si="2068"/>
        <v>-19.2272</v>
      </c>
      <c r="BI655" s="34">
        <f>H655+BF655-BG655</f>
        <v>-19.2272</v>
      </c>
      <c r="BJ655" s="34">
        <f>BH655-BI655</f>
        <v>0</v>
      </c>
    </row>
    <row r="656" ht="14.25" customHeight="1" spans="1:60" x14ac:dyDescent="0.25">
      <c r="A656" s="29">
        <v>80</v>
      </c>
      <c r="B656" s="14"/>
      <c r="D656" s="14" t="s">
        <v>379</v>
      </c>
      <c r="F656" s="13"/>
      <c r="G656" s="28"/>
      <c r="H656" s="34">
        <f>'2018'!BH656</f>
      </c>
      <c r="I656" s="13"/>
      <c r="J656" s="15"/>
      <c r="K656" s="15"/>
      <c r="L656" s="28"/>
      <c r="Q656" s="13"/>
      <c r="R656" s="15"/>
      <c r="S656" s="15"/>
      <c r="T656" s="28"/>
      <c r="Y656" s="13"/>
      <c r="Z656" s="15"/>
      <c r="AA656" s="15"/>
      <c r="AB656" s="28"/>
      <c r="AG656" s="13"/>
      <c r="AH656" s="15"/>
      <c r="AI656" s="15"/>
      <c r="AJ656" s="28"/>
      <c r="AK656" s="13"/>
      <c r="AL656" s="15"/>
      <c r="AM656" s="15"/>
      <c r="AN656" s="28"/>
      <c r="AO656" s="13"/>
      <c r="AP656" s="15"/>
      <c r="AQ656" s="15"/>
      <c r="AR656" s="28"/>
      <c r="AW656" s="13"/>
      <c r="AX656" s="15"/>
      <c r="AY656" s="15"/>
      <c r="AZ656" s="28"/>
      <c r="BE656" s="14"/>
      <c r="BF656" s="41">
        <f t="shared" ref="BF656:BG656" si="2069">K656+O656+S656+W656+AA656+AE656+AI656+AM656+AQ656+AU656+AY656+BC656</f>
        <v>0</v>
      </c>
      <c r="BG656" s="34">
        <f t="shared" si="2069"/>
        <v>0</v>
      </c>
      <c r="BH656" s="35">
        <f t="shared" ref="BH656:BH662" si="2070">H656+BF656-BG656</f>
        <v>0</v>
      </c>
    </row>
    <row r="657" ht="14.25" customHeight="1" spans="1:62" x14ac:dyDescent="0.25">
      <c r="A657" s="2">
        <v>80</v>
      </c>
      <c r="B657" s="14">
        <v>4.28</v>
      </c>
      <c r="C657" s="2" t="s">
        <v>298</v>
      </c>
      <c r="D657" s="14" t="s">
        <v>44</v>
      </c>
      <c r="E657" s="2" t="s">
        <v>45</v>
      </c>
      <c r="F657" s="13">
        <v>2.49</v>
      </c>
      <c r="G657" s="35">
        <v>2.5</v>
      </c>
      <c r="H657" s="34">
        <f>'2018'!BH657</f>
        <v>-100.4</v>
      </c>
      <c r="I657" s="13">
        <v>743</v>
      </c>
      <c r="J657" s="15">
        <f>I657-'2018'!BA657</f>
        <v>0</v>
      </c>
      <c r="K657" s="34">
        <f>J657*$F$8</f>
        <v>0</v>
      </c>
      <c r="L657" s="28"/>
      <c r="M657" s="2">
        <v>743</v>
      </c>
      <c r="N657" s="15">
        <f>M657-I657</f>
        <v>0</v>
      </c>
      <c r="O657" s="34">
        <f>N657*$F$8</f>
        <v>0</v>
      </c>
      <c r="Q657" s="13">
        <v>743</v>
      </c>
      <c r="R657" s="15">
        <f>Q657-M657</f>
        <v>0</v>
      </c>
      <c r="S657" s="34">
        <f>R657*$F$8</f>
        <v>0</v>
      </c>
      <c r="T657" s="28"/>
      <c r="U657" s="15">
        <v>746</v>
      </c>
      <c r="V657" s="15">
        <f>U657-Q657</f>
        <v>3</v>
      </c>
      <c r="W657" s="34">
        <f>V657*$F$8</f>
        <v>7.47</v>
      </c>
      <c r="X657" s="34"/>
      <c r="Y657" s="13">
        <v>785</v>
      </c>
      <c r="Z657" s="15">
        <f>Y657-U657</f>
        <v>39</v>
      </c>
      <c r="AA657" s="34">
        <f>Z657*$F$8</f>
        <v>97.11</v>
      </c>
      <c r="AB657" s="35"/>
      <c r="AC657" s="15">
        <v>829</v>
      </c>
      <c r="AD657" s="15">
        <f t="shared" ref="AD657:AD658" si="2071">AC657-Y657</f>
        <v>44</v>
      </c>
      <c r="AE657" s="34">
        <f>AD657*$G$8</f>
        <v>110</v>
      </c>
      <c r="AF657" s="34"/>
      <c r="AG657" s="13">
        <v>902</v>
      </c>
      <c r="AH657" s="15">
        <f t="shared" ref="AH657:AH658" si="2072">AG657-AC657</f>
        <v>73</v>
      </c>
      <c r="AI657" s="34">
        <f>AH657*$G$8</f>
        <v>182.5</v>
      </c>
      <c r="AJ657" s="38">
        <v>115</v>
      </c>
      <c r="AK657" s="13">
        <v>952</v>
      </c>
      <c r="AL657" s="15">
        <f t="shared" ref="AL657:AL658" si="2073">AK657-AG657</f>
        <v>50</v>
      </c>
      <c r="AM657" s="34">
        <f>AL657*$G$8</f>
        <v>125</v>
      </c>
      <c r="AN657" s="139">
        <f>306.68+14.73</f>
        <v>321.41</v>
      </c>
      <c r="AO657" s="13">
        <v>984</v>
      </c>
      <c r="AP657" s="15">
        <f t="shared" ref="AP657:AP658" si="2074">AO657-AK657</f>
        <v>32</v>
      </c>
      <c r="AQ657" s="34">
        <f>AP657*$G$8</f>
        <v>80</v>
      </c>
      <c r="AR657" s="28"/>
      <c r="AS657" s="15">
        <v>988</v>
      </c>
      <c r="AT657" s="15">
        <f t="shared" ref="AT657:AT658" si="2075">AS657-AO657</f>
        <v>4</v>
      </c>
      <c r="AU657" s="34">
        <f t="shared" ref="AU657:AU658" si="2076">AT657*$G$8</f>
        <v>10</v>
      </c>
      <c r="AV657" s="15"/>
      <c r="AW657" s="13">
        <v>988</v>
      </c>
      <c r="AX657" s="15">
        <f>AW657-AS657</f>
        <v>0</v>
      </c>
      <c r="AY657" s="34">
        <f>AX657*$G$8</f>
        <v>0</v>
      </c>
      <c r="AZ657" s="28"/>
      <c r="BA657" s="13">
        <v>988</v>
      </c>
      <c r="BB657" s="15">
        <f>BA657-AW657</f>
        <v>0</v>
      </c>
      <c r="BC657" s="34">
        <f>BB657*$G$8</f>
        <v>0</v>
      </c>
      <c r="BD657" s="15"/>
      <c r="BE657" s="40">
        <f t="shared" ref="BE657:BG657" si="2077">J657+N657+R657+V657+Z657+AD657+AH657+AL657+AP657+AT657+AX657+BB657</f>
        <v>245</v>
      </c>
      <c r="BF657" s="41">
        <f t="shared" si="2077"/>
        <v>612.08</v>
      </c>
      <c r="BG657" s="34">
        <f t="shared" si="2077"/>
        <v>436.41</v>
      </c>
      <c r="BH657" s="35">
        <f t="shared" si="2070"/>
        <v>75.27</v>
      </c>
      <c r="BI657" s="34"/>
      <c r="BJ657" s="34"/>
    </row>
    <row r="658" ht="14.25" customHeight="1" spans="1:60" x14ac:dyDescent="0.25">
      <c r="A658" s="29">
        <v>80</v>
      </c>
      <c r="B658" s="14"/>
      <c r="C658" s="2" t="s">
        <v>215</v>
      </c>
      <c r="D658" s="14" t="s">
        <v>47</v>
      </c>
      <c r="E658" s="2" t="s">
        <v>48</v>
      </c>
      <c r="F658" s="13">
        <v>17.98</v>
      </c>
      <c r="G658" s="28">
        <v>18.56</v>
      </c>
      <c r="H658" s="34">
        <f>'2018'!BH658</f>
        <v>-17.16</v>
      </c>
      <c r="I658" s="13">
        <v>12</v>
      </c>
      <c r="J658" s="15"/>
      <c r="K658" s="15"/>
      <c r="L658" s="28"/>
      <c r="Q658" s="13"/>
      <c r="R658" s="15"/>
      <c r="S658" s="15"/>
      <c r="T658" s="28"/>
      <c r="Y658" s="95">
        <v>12</v>
      </c>
      <c r="Z658" s="15">
        <f>Y658-'2018'!AO658</f>
        <v>0</v>
      </c>
      <c r="AA658" s="34">
        <f>Z658*$F$10</f>
        <v>0</v>
      </c>
      <c r="AB658" s="28"/>
      <c r="AC658" s="15">
        <v>15</v>
      </c>
      <c r="AD658" s="15">
        <f t="shared" si="2071"/>
        <v>3</v>
      </c>
      <c r="AE658" s="34">
        <f>AD658*$F$10</f>
        <v>53.94</v>
      </c>
      <c r="AG658" s="13">
        <v>18</v>
      </c>
      <c r="AH658" s="15">
        <f t="shared" si="2072"/>
        <v>3</v>
      </c>
      <c r="AI658" s="45">
        <f>AH658*$G$10</f>
        <v>55.68</v>
      </c>
      <c r="AJ658" s="38">
        <v>37</v>
      </c>
      <c r="AK658" s="13">
        <v>20</v>
      </c>
      <c r="AL658" s="15">
        <f t="shared" si="2073"/>
        <v>2</v>
      </c>
      <c r="AM658" s="45">
        <f>AL658*$G$10</f>
        <v>37.12</v>
      </c>
      <c r="AN658" s="139">
        <f>92.58</f>
        <v>92.58</v>
      </c>
      <c r="AO658" s="13">
        <v>21</v>
      </c>
      <c r="AP658" s="15">
        <f t="shared" si="2074"/>
        <v>1</v>
      </c>
      <c r="AQ658" s="45">
        <f>AP658*$G$10</f>
        <v>18.56</v>
      </c>
      <c r="AR658" s="28"/>
      <c r="AS658" s="13">
        <v>21</v>
      </c>
      <c r="AT658" s="15">
        <f t="shared" si="2075"/>
        <v>0</v>
      </c>
      <c r="AU658" s="34">
        <f t="shared" si="2076"/>
        <v>0</v>
      </c>
      <c r="AV658" s="15"/>
      <c r="AW658" s="13">
        <v>21</v>
      </c>
      <c r="AX658" s="15"/>
      <c r="AY658" s="15"/>
      <c r="AZ658" s="28"/>
      <c r="BA658" s="15">
        <v>21</v>
      </c>
      <c r="BB658" s="15"/>
      <c r="BC658" s="15"/>
      <c r="BD658" s="15"/>
      <c r="BE658" s="40">
        <f t="shared" ref="BE658:BG658" si="2078">J658+N658+R658+V658+Z658+AD658+AH658+AL658+AP658+AT658+AX658+BB658</f>
        <v>9</v>
      </c>
      <c r="BF658" s="41">
        <f t="shared" si="2078"/>
        <v>165.3</v>
      </c>
      <c r="BG658" s="34">
        <f t="shared" si="2078"/>
        <v>129.58</v>
      </c>
      <c r="BH658" s="35">
        <f t="shared" si="2070"/>
        <v>18.56</v>
      </c>
    </row>
    <row r="659" ht="14.25" customHeight="1" spans="1:60" x14ac:dyDescent="0.25">
      <c r="A659" s="29">
        <v>80</v>
      </c>
      <c r="B659" s="14"/>
      <c r="C659" s="2" t="s">
        <v>299</v>
      </c>
      <c r="D659" s="14" t="s">
        <v>47</v>
      </c>
      <c r="E659" s="2" t="s">
        <v>49</v>
      </c>
      <c r="F659" s="41">
        <v>500</v>
      </c>
      <c r="G659" s="28"/>
      <c r="H659" s="34">
        <f>'2018'!BH659</f>
        <v>0</v>
      </c>
      <c r="I659" s="13"/>
      <c r="J659" s="15"/>
      <c r="K659" s="15"/>
      <c r="L659" s="28"/>
      <c r="Q659" s="13"/>
      <c r="R659" s="15"/>
      <c r="S659" s="15"/>
      <c r="T659" s="28"/>
      <c r="Y659" s="13"/>
      <c r="Z659" s="15"/>
      <c r="AA659" s="15"/>
      <c r="AB659" s="28"/>
      <c r="AG659" s="13"/>
      <c r="AH659" s="15"/>
      <c r="AI659" s="15"/>
      <c r="AJ659" s="28"/>
      <c r="AK659" s="13"/>
      <c r="AL659" s="15"/>
      <c r="AM659" s="34"/>
      <c r="AN659" s="28"/>
      <c r="AO659" s="13"/>
      <c r="AP659" s="15"/>
      <c r="AQ659" s="34"/>
      <c r="AR659" s="28"/>
      <c r="AS659" s="15"/>
      <c r="AT659" s="15"/>
      <c r="AU659" s="15"/>
      <c r="AV659" s="15"/>
      <c r="AW659" s="13"/>
      <c r="AX659" s="15"/>
      <c r="AY659" s="15"/>
      <c r="AZ659" s="28"/>
      <c r="BA659" s="15"/>
      <c r="BB659" s="15"/>
      <c r="BC659" s="15"/>
      <c r="BD659" s="15"/>
      <c r="BE659" s="14"/>
      <c r="BF659" s="41">
        <f t="shared" ref="BF659:BG659" si="2079">K659+O659+S659+W659+AA659+AE659+AI659+AM659+AQ659+AU659+AY659+BC659</f>
        <v>0</v>
      </c>
      <c r="BG659" s="34">
        <f t="shared" si="2079"/>
        <v>0</v>
      </c>
      <c r="BH659" s="35">
        <f t="shared" si="2070"/>
        <v>0</v>
      </c>
    </row>
    <row r="660" ht="14.25" customHeight="1" spans="1:60" x14ac:dyDescent="0.25">
      <c r="A660" s="29">
        <v>80</v>
      </c>
      <c r="B660" s="14"/>
      <c r="C660" s="15" t="s">
        <v>440</v>
      </c>
      <c r="D660" s="14" t="s">
        <v>50</v>
      </c>
      <c r="E660" s="2" t="s">
        <v>49</v>
      </c>
      <c r="F660" s="41">
        <v>1200</v>
      </c>
      <c r="G660" s="28"/>
      <c r="H660" s="34">
        <f>'2018'!BH660</f>
        <v>0.006400000001</v>
      </c>
      <c r="I660" s="13"/>
      <c r="J660" s="15"/>
      <c r="K660" s="15"/>
      <c r="L660" s="28"/>
      <c r="Q660" s="13"/>
      <c r="R660" s="15"/>
      <c r="S660" s="15"/>
      <c r="T660" s="28"/>
      <c r="Y660" s="13"/>
      <c r="Z660" s="15"/>
      <c r="AA660" s="15"/>
      <c r="AB660" s="28"/>
      <c r="AE660" s="34">
        <f>B657*$F$12</f>
        <v>5136</v>
      </c>
      <c r="AF660" s="15"/>
      <c r="AG660" s="13"/>
      <c r="AH660" s="15"/>
      <c r="AI660" s="15"/>
      <c r="AJ660" s="38">
        <v>1700</v>
      </c>
      <c r="AK660" s="13"/>
      <c r="AL660" s="15"/>
      <c r="AM660" s="15"/>
      <c r="AN660" s="139">
        <v>3436.01</v>
      </c>
      <c r="AO660" s="13"/>
      <c r="AP660" s="15"/>
      <c r="AQ660" s="15"/>
      <c r="AR660" s="28"/>
      <c r="AS660" s="15"/>
      <c r="AT660" s="15"/>
      <c r="AU660" s="15"/>
      <c r="AV660" s="15"/>
      <c r="AW660" s="13"/>
      <c r="AX660" s="15"/>
      <c r="AY660" s="15"/>
      <c r="AZ660" s="28"/>
      <c r="BA660" s="15"/>
      <c r="BB660" s="15"/>
      <c r="BC660" s="15"/>
      <c r="BD660" s="15"/>
      <c r="BE660" s="14"/>
      <c r="BF660" s="41">
        <f t="shared" ref="BF660:BG660" si="2080">K660+O660+S660+W660+AA660+AE660+AI660+AM660+AQ660+AU660+AY660+BC660</f>
        <v>5136</v>
      </c>
      <c r="BG660" s="34">
        <f t="shared" si="2080"/>
        <v>5136.01</v>
      </c>
      <c r="BH660" s="35">
        <f t="shared" si="2070"/>
        <v>-0.003599999999</v>
      </c>
    </row>
    <row r="661" ht="14.25" customHeight="1" spans="1:60" x14ac:dyDescent="0.25">
      <c r="A661" s="29">
        <v>80</v>
      </c>
      <c r="B661" s="14"/>
      <c r="D661" s="14" t="s">
        <v>51</v>
      </c>
      <c r="E661" s="2" t="s">
        <v>49</v>
      </c>
      <c r="F661" s="41">
        <v>1000</v>
      </c>
      <c r="G661" s="28"/>
      <c r="H661" s="34">
        <f>'2018'!BH661</f>
        <v>0</v>
      </c>
      <c r="I661" s="13"/>
      <c r="J661" s="15"/>
      <c r="K661" s="15"/>
      <c r="L661" s="28"/>
      <c r="Q661" s="13"/>
      <c r="R661" s="15"/>
      <c r="S661" s="15"/>
      <c r="T661" s="28"/>
      <c r="Y661" s="13"/>
      <c r="Z661" s="15"/>
      <c r="AA661" s="15"/>
      <c r="AB661" s="28"/>
      <c r="AE661" s="34">
        <f>$F$21</f>
        <v>1000</v>
      </c>
      <c r="AG661" s="13"/>
      <c r="AH661" s="15"/>
      <c r="AI661" s="15"/>
      <c r="AJ661" s="38">
        <v>1000</v>
      </c>
      <c r="AK661" s="13"/>
      <c r="AL661" s="15"/>
      <c r="AM661" s="15"/>
      <c r="AN661" s="28"/>
      <c r="AO661" s="13"/>
      <c r="AP661" s="15"/>
      <c r="AQ661" s="15"/>
      <c r="AR661" s="28"/>
      <c r="AS661" s="15"/>
      <c r="AT661" s="15"/>
      <c r="AU661" s="15"/>
      <c r="AV661" s="15"/>
      <c r="AW661" s="13"/>
      <c r="AX661" s="15"/>
      <c r="AY661" s="15"/>
      <c r="AZ661" s="28"/>
      <c r="BA661" s="15"/>
      <c r="BB661" s="15"/>
      <c r="BC661" s="15"/>
      <c r="BD661" s="15"/>
      <c r="BE661" s="14"/>
      <c r="BF661" s="41">
        <f t="shared" ref="BF661:BG661" si="2081">K661+O661+S661+W661+AA661+AE661+AI661+AM661+AQ661+AU661+AY661+BC661</f>
        <v>1000</v>
      </c>
      <c r="BG661" s="34">
        <f t="shared" si="2081"/>
        <v>1000</v>
      </c>
      <c r="BH661" s="35">
        <f t="shared" si="2070"/>
        <v>0</v>
      </c>
    </row>
    <row r="662" ht="14.25" customHeight="1" spans="1:60" x14ac:dyDescent="0.25">
      <c r="A662" s="29">
        <v>80</v>
      </c>
      <c r="B662" s="14"/>
      <c r="D662" s="14" t="s">
        <v>52</v>
      </c>
      <c r="E662" s="2" t="s">
        <v>39</v>
      </c>
      <c r="F662" s="41">
        <v>500</v>
      </c>
      <c r="G662" s="28"/>
      <c r="H662" s="84">
        <f>'2018'!BH662-500</f>
        <v>-500</v>
      </c>
      <c r="I662" s="13"/>
      <c r="J662" s="15"/>
      <c r="K662" s="15"/>
      <c r="L662" s="28"/>
      <c r="Q662" s="13"/>
      <c r="R662" s="15"/>
      <c r="S662" s="15"/>
      <c r="T662" s="28"/>
      <c r="Y662" s="13"/>
      <c r="Z662" s="15"/>
      <c r="AA662" s="34">
        <f>$F$14</f>
        <v>500</v>
      </c>
      <c r="AB662" s="28"/>
      <c r="AG662" s="13"/>
      <c r="AH662" s="15"/>
      <c r="AI662" s="15"/>
      <c r="AJ662" s="28"/>
      <c r="AK662" s="13"/>
      <c r="AL662" s="15"/>
      <c r="AM662" s="15"/>
      <c r="AN662" s="28"/>
      <c r="AO662" s="13"/>
      <c r="AP662" s="15"/>
      <c r="AQ662" s="15"/>
      <c r="AR662" s="28"/>
      <c r="AS662" s="15"/>
      <c r="AT662" s="15"/>
      <c r="AU662" s="15"/>
      <c r="AV662" s="15"/>
      <c r="AW662" s="13"/>
      <c r="AX662" s="15"/>
      <c r="AY662" s="15"/>
      <c r="AZ662" s="28"/>
      <c r="BA662" s="15"/>
      <c r="BB662" s="15"/>
      <c r="BC662" s="15"/>
      <c r="BD662" s="15"/>
      <c r="BE662" s="14"/>
      <c r="BF662" s="41">
        <f t="shared" ref="BF662:BG662" si="2082">K662+O662+S662+W662+AA662+AE662+AI662+AM662+AQ662+AU662+AY662+BC662</f>
        <v>500</v>
      </c>
      <c r="BG662" s="34">
        <f t="shared" si="2082"/>
        <v>0</v>
      </c>
      <c r="BH662" s="35">
        <f t="shared" si="2070"/>
        <v>0</v>
      </c>
    </row>
    <row r="663" ht="14.25" customHeight="1" spans="1:62" x14ac:dyDescent="0.25">
      <c r="A663" s="50">
        <v>80</v>
      </c>
      <c r="B663" s="21"/>
      <c r="C663" s="22" t="s">
        <v>53</v>
      </c>
      <c r="D663" s="21"/>
      <c r="E663" s="22"/>
      <c r="F663" s="20"/>
      <c r="G663" s="23"/>
      <c r="H663" s="51">
        <f>SUM(H656:H662)</f>
        <v>-617.5536</v>
      </c>
      <c r="I663" s="52"/>
      <c r="J663" s="53"/>
      <c r="K663" s="51">
        <f t="shared" ref="K663:L663" si="2083">SUM(K656:K662)</f>
        <v>0</v>
      </c>
      <c r="L663" s="68">
        <f t="shared" si="2083"/>
        <v>0</v>
      </c>
      <c r="M663" s="53"/>
      <c r="N663" s="53"/>
      <c r="O663" s="51">
        <f t="shared" ref="O663:P663" si="2084">SUM(O657:O662)</f>
        <v>0</v>
      </c>
      <c r="P663" s="51">
        <f t="shared" si="2084"/>
        <v>0</v>
      </c>
      <c r="Q663" s="52"/>
      <c r="R663" s="53"/>
      <c r="S663" s="51">
        <f t="shared" ref="S663:T663" si="2085">SUM(S657:S662)</f>
        <v>0</v>
      </c>
      <c r="T663" s="68">
        <f t="shared" si="2085"/>
        <v>0</v>
      </c>
      <c r="U663" s="53"/>
      <c r="V663" s="53"/>
      <c r="W663" s="51">
        <f t="shared" ref="W663:X663" si="2086">SUM(W657:W662)</f>
        <v>7.47</v>
      </c>
      <c r="X663" s="51">
        <f t="shared" si="2086"/>
        <v>0</v>
      </c>
      <c r="Y663" s="52"/>
      <c r="Z663" s="53"/>
      <c r="AA663" s="51">
        <f t="shared" ref="AA663:AB663" si="2087">SUM(AA657:AA662)</f>
        <v>597.11</v>
      </c>
      <c r="AB663" s="68">
        <f t="shared" si="2087"/>
        <v>0</v>
      </c>
      <c r="AC663" s="53"/>
      <c r="AD663" s="53"/>
      <c r="AE663" s="51">
        <f t="shared" ref="AE663:AF663" si="2088">SUM(AE657:AE662)</f>
        <v>6299.94</v>
      </c>
      <c r="AF663" s="51">
        <f t="shared" si="2088"/>
        <v>0</v>
      </c>
      <c r="AG663" s="52"/>
      <c r="AH663" s="53"/>
      <c r="AI663" s="51">
        <f t="shared" ref="AI663:AJ663" si="2089">SUM(AI657:AI662)</f>
        <v>238.18</v>
      </c>
      <c r="AJ663" s="68">
        <f t="shared" si="2089"/>
        <v>2852</v>
      </c>
      <c r="AK663" s="52"/>
      <c r="AL663" s="53"/>
      <c r="AM663" s="51">
        <f t="shared" ref="AM663:AN663" si="2090">SUM(AM657:AM662)</f>
        <v>162.12</v>
      </c>
      <c r="AN663" s="68">
        <f t="shared" si="2090"/>
        <v>3850</v>
      </c>
      <c r="AO663" s="52"/>
      <c r="AP663" s="53"/>
      <c r="AQ663" s="51">
        <f t="shared" ref="AQ663:AR663" si="2091">SUM(AQ656:AQ662)</f>
        <v>98.56</v>
      </c>
      <c r="AR663" s="68">
        <f t="shared" si="2091"/>
        <v>0</v>
      </c>
      <c r="AS663" s="53"/>
      <c r="AT663" s="53"/>
      <c r="AU663" s="51">
        <f t="shared" ref="AU663:AV663" si="2092">SUM(AU656:AU662)</f>
        <v>10</v>
      </c>
      <c r="AV663" s="68">
        <f t="shared" si="2092"/>
        <v>0</v>
      </c>
      <c r="AW663" s="52"/>
      <c r="AX663" s="53"/>
      <c r="AY663" s="51">
        <f t="shared" ref="AY663:AZ663" si="2093">SUM(AY656:AY662)</f>
        <v>0</v>
      </c>
      <c r="AZ663" s="68">
        <f t="shared" si="2093"/>
        <v>0</v>
      </c>
      <c r="BA663" s="53"/>
      <c r="BB663" s="53"/>
      <c r="BC663" s="51">
        <f t="shared" ref="BC663:BD663" si="2094">SUM(BC656:BC662)</f>
        <v>0</v>
      </c>
      <c r="BD663" s="68">
        <f t="shared" si="2094"/>
        <v>0</v>
      </c>
      <c r="BE663" s="69"/>
      <c r="BF663" s="70">
        <f t="shared" ref="BF663:BH663" si="2095">SUM(BF656:BF662)</f>
        <v>7413.38</v>
      </c>
      <c r="BG663" s="71">
        <f t="shared" si="2095"/>
        <v>6702</v>
      </c>
      <c r="BH663" s="72">
        <f t="shared" si="2095"/>
        <v>93.8264</v>
      </c>
      <c r="BI663" s="34">
        <f>H663+BF663-BG663</f>
        <v>93.8264</v>
      </c>
      <c r="BJ663" s="34">
        <f>BH663-BI663</f>
        <v>0</v>
      </c>
    </row>
    <row r="664" ht="14.25" customHeight="1" spans="1:60" x14ac:dyDescent="0.25">
      <c r="A664" s="29">
        <v>82</v>
      </c>
      <c r="B664" s="14"/>
      <c r="D664" s="14" t="s">
        <v>379</v>
      </c>
      <c r="F664" s="13"/>
      <c r="G664" s="28"/>
      <c r="H664" s="34">
        <f>'2018'!BH664</f>
      </c>
      <c r="I664" s="13"/>
      <c r="J664" s="15"/>
      <c r="K664" s="15"/>
      <c r="L664" s="28"/>
      <c r="Q664" s="13"/>
      <c r="R664" s="15"/>
      <c r="S664" s="15"/>
      <c r="T664" s="28"/>
      <c r="Y664" s="13"/>
      <c r="Z664" s="15"/>
      <c r="AA664" s="15"/>
      <c r="AB664" s="28"/>
      <c r="AG664" s="13"/>
      <c r="AH664" s="15"/>
      <c r="AI664" s="15"/>
      <c r="AJ664" s="28"/>
      <c r="AK664" s="13"/>
      <c r="AL664" s="15"/>
      <c r="AM664" s="15"/>
      <c r="AN664" s="28"/>
      <c r="AO664" s="13"/>
      <c r="AP664" s="15"/>
      <c r="AQ664" s="15"/>
      <c r="AR664" s="28"/>
      <c r="AW664" s="13"/>
      <c r="AX664" s="15"/>
      <c r="AY664" s="15"/>
      <c r="AZ664" s="28"/>
      <c r="BE664" s="14"/>
      <c r="BF664" s="41">
        <f t="shared" ref="BF664:BG664" si="2096">K664+O664+S664+W664+AA664+AE664+AI664+AM664+AQ664+AU664+AY664+BC664</f>
        <v>0</v>
      </c>
      <c r="BG664" s="34">
        <f t="shared" si="2096"/>
        <v>0</v>
      </c>
      <c r="BH664" s="35">
        <f t="shared" ref="BH664:BH670" si="2097">H664+BF664-BG664</f>
        <v>0</v>
      </c>
    </row>
    <row r="665" ht="14.25" customHeight="1" spans="1:60" x14ac:dyDescent="0.25">
      <c r="A665" s="80">
        <v>82</v>
      </c>
      <c r="B665" s="14">
        <v>4.28</v>
      </c>
      <c r="C665" s="2" t="s">
        <v>300</v>
      </c>
      <c r="D665" s="14" t="s">
        <v>44</v>
      </c>
      <c r="E665" s="2" t="s">
        <v>45</v>
      </c>
      <c r="F665" s="13">
        <v>2.49</v>
      </c>
      <c r="G665" s="35">
        <v>2.5</v>
      </c>
      <c r="H665" s="104">
        <f>'2018'!BH665</f>
        <v>0</v>
      </c>
      <c r="I665" s="13"/>
      <c r="J665" s="15"/>
      <c r="K665" s="34">
        <f>J665*$F$8</f>
        <v>0</v>
      </c>
      <c r="L665" s="28"/>
      <c r="N665" s="15">
        <f>M665-I665</f>
        <v>0</v>
      </c>
      <c r="O665" s="34">
        <f>N665*$F$8</f>
        <v>0</v>
      </c>
      <c r="Q665" s="13"/>
      <c r="R665" s="15">
        <f>Q665-M665</f>
        <v>0</v>
      </c>
      <c r="S665" s="34">
        <f>R665*$F$8</f>
        <v>0</v>
      </c>
      <c r="T665" s="28"/>
      <c r="V665" s="15">
        <f>U665-Q665</f>
        <v>0</v>
      </c>
      <c r="Y665" s="13"/>
      <c r="Z665" s="15">
        <f>Y665-U665</f>
        <v>0</v>
      </c>
      <c r="AA665" s="34">
        <f>Z665*$F$8</f>
        <v>0</v>
      </c>
      <c r="AB665" s="28"/>
      <c r="AC665" s="15"/>
      <c r="AD665" s="15">
        <f t="shared" ref="AD665:AD666" si="2098">AC665-Y665</f>
        <v>0</v>
      </c>
      <c r="AE665" s="34">
        <f>AD665*$G$8</f>
        <v>0</v>
      </c>
      <c r="AG665" s="13"/>
      <c r="AH665" s="15">
        <f t="shared" ref="AH665:AH666" si="2099">AG665-AC665</f>
        <v>0</v>
      </c>
      <c r="AI665" s="34">
        <f>AH665*$G$8</f>
        <v>0</v>
      </c>
      <c r="AJ665" s="28"/>
      <c r="AK665" s="13"/>
      <c r="AL665" s="15">
        <f t="shared" ref="AL665:AL666" si="2100">AK665-AG665</f>
        <v>0</v>
      </c>
      <c r="AM665" s="34">
        <f>AL665*$G$8</f>
        <v>0</v>
      </c>
      <c r="AN665" s="28"/>
      <c r="AO665" s="13"/>
      <c r="AP665" s="15">
        <f t="shared" ref="AP665:AP666" si="2101">AO665-AK665</f>
        <v>0</v>
      </c>
      <c r="AQ665" s="34">
        <f>AP665*$G$8</f>
        <v>0</v>
      </c>
      <c r="AR665" s="28"/>
      <c r="AS665" s="15"/>
      <c r="AT665" s="15">
        <f t="shared" ref="AT665:AT666" si="2102">AS665-AO665</f>
        <v>0</v>
      </c>
      <c r="AU665" s="34">
        <f t="shared" ref="AU665:AU666" si="2103">AT665*$G$8</f>
        <v>0</v>
      </c>
      <c r="AV665" s="15"/>
      <c r="AW665" s="13"/>
      <c r="AX665" s="15">
        <f>AW665-AS665</f>
        <v>0</v>
      </c>
      <c r="AY665" s="34">
        <f>AX665*$G$8</f>
        <v>0</v>
      </c>
      <c r="AZ665" s="28"/>
      <c r="BA665" s="15"/>
      <c r="BB665" s="15">
        <f>BA665-AW665</f>
        <v>0</v>
      </c>
      <c r="BC665" s="34">
        <f>BB665*$G$8</f>
        <v>0</v>
      </c>
      <c r="BD665" s="15"/>
      <c r="BE665" s="40">
        <f t="shared" ref="BE665:BG665" si="2104">J665+N665+R665+V665+Z665+AD665+AH665+AL665+AP665+AT665+AX665+BB665</f>
        <v>0</v>
      </c>
      <c r="BF665" s="41">
        <f t="shared" si="2104"/>
        <v>0</v>
      </c>
      <c r="BG665" s="34">
        <f t="shared" si="2104"/>
        <v>0</v>
      </c>
      <c r="BH665" s="35">
        <f t="shared" si="2097"/>
        <v>0</v>
      </c>
    </row>
    <row r="666" ht="14.25" customHeight="1" spans="1:60" x14ac:dyDescent="0.25">
      <c r="A666" s="79">
        <v>82</v>
      </c>
      <c r="B666" s="14"/>
      <c r="C666" s="2" t="s">
        <v>87</v>
      </c>
      <c r="D666" s="14" t="s">
        <v>47</v>
      </c>
      <c r="E666" s="2" t="s">
        <v>48</v>
      </c>
      <c r="F666" s="13">
        <v>17.98</v>
      </c>
      <c r="G666" s="28">
        <v>18.56</v>
      </c>
      <c r="H666" s="34">
        <f>'2018'!BH666</f>
        <v>0</v>
      </c>
      <c r="I666" s="13">
        <v>44</v>
      </c>
      <c r="J666" s="15"/>
      <c r="K666" s="15"/>
      <c r="L666" s="28"/>
      <c r="Q666" s="13"/>
      <c r="R666" s="15"/>
      <c r="S666" s="15"/>
      <c r="T666" s="28"/>
      <c r="Y666" s="95">
        <v>44</v>
      </c>
      <c r="Z666" s="15">
        <f>Y666-'2018'!AO666</f>
        <v>0</v>
      </c>
      <c r="AA666" s="34">
        <f>Z666*$F$10</f>
        <v>0</v>
      </c>
      <c r="AB666" s="28"/>
      <c r="AC666" s="15">
        <v>48</v>
      </c>
      <c r="AD666" s="15">
        <f t="shared" si="2098"/>
        <v>4</v>
      </c>
      <c r="AE666" s="34">
        <f>AD666*$F$10</f>
        <v>71.92</v>
      </c>
      <c r="AG666" s="13">
        <v>50</v>
      </c>
      <c r="AH666" s="15">
        <f t="shared" si="2099"/>
        <v>2</v>
      </c>
      <c r="AI666" s="45">
        <f>AH666*$G$10</f>
        <v>37.12</v>
      </c>
      <c r="AJ666" s="38">
        <v>72</v>
      </c>
      <c r="AK666" s="13">
        <v>52</v>
      </c>
      <c r="AL666" s="15">
        <f t="shared" si="2100"/>
        <v>2</v>
      </c>
      <c r="AM666" s="45">
        <f>AL666*$G$10</f>
        <v>37.12</v>
      </c>
      <c r="AN666" s="139">
        <f>74.16+0.83</f>
        <v>74.99</v>
      </c>
      <c r="AO666" s="13">
        <v>52</v>
      </c>
      <c r="AP666" s="15">
        <f t="shared" si="2101"/>
        <v>0</v>
      </c>
      <c r="AQ666" s="45">
        <f>AP666*$G$10</f>
        <v>0</v>
      </c>
      <c r="AR666" s="28"/>
      <c r="AS666" s="13">
        <v>52</v>
      </c>
      <c r="AT666" s="15">
        <f t="shared" si="2102"/>
        <v>0</v>
      </c>
      <c r="AU666" s="34">
        <f t="shared" si="2103"/>
        <v>0</v>
      </c>
      <c r="AV666" s="15"/>
      <c r="AW666" s="13">
        <v>52</v>
      </c>
      <c r="AX666" s="15"/>
      <c r="AY666" s="15"/>
      <c r="AZ666" s="28"/>
      <c r="BA666" s="15">
        <v>52</v>
      </c>
      <c r="BB666" s="15"/>
      <c r="BC666" s="15"/>
      <c r="BD666" s="15"/>
      <c r="BE666" s="40">
        <f t="shared" ref="BE666:BG666" si="2105">J666+N666+R666+V666+Z666+AD666+AH666+AL666+AP666+AT666+AX666+BB666</f>
        <v>8</v>
      </c>
      <c r="BF666" s="41">
        <f t="shared" si="2105"/>
        <v>146.16</v>
      </c>
      <c r="BG666" s="34">
        <f t="shared" si="2105"/>
        <v>146.99</v>
      </c>
      <c r="BH666" s="35">
        <f t="shared" si="2097"/>
        <v>-0.83</v>
      </c>
    </row>
    <row r="667" ht="14.25" customHeight="1" spans="1:60" x14ac:dyDescent="0.25">
      <c r="A667" s="79">
        <v>82</v>
      </c>
      <c r="B667" s="14"/>
      <c r="C667" s="15" t="s">
        <v>68</v>
      </c>
      <c r="D667" s="14" t="s">
        <v>47</v>
      </c>
      <c r="E667" s="2" t="s">
        <v>49</v>
      </c>
      <c r="F667" s="41">
        <v>500</v>
      </c>
      <c r="G667" s="28"/>
      <c r="H667" s="34">
        <f>'2018'!BH667</f>
        <v>0</v>
      </c>
      <c r="I667" s="13"/>
      <c r="J667" s="15"/>
      <c r="K667" s="15"/>
      <c r="L667" s="28"/>
      <c r="Q667" s="13"/>
      <c r="R667" s="15"/>
      <c r="S667" s="15"/>
      <c r="T667" s="28"/>
      <c r="Y667" s="13"/>
      <c r="Z667" s="15"/>
      <c r="AA667" s="15"/>
      <c r="AB667" s="28"/>
      <c r="AG667" s="13"/>
      <c r="AH667" s="15"/>
      <c r="AI667" s="15"/>
      <c r="AJ667" s="28"/>
      <c r="AK667" s="13"/>
      <c r="AL667" s="15"/>
      <c r="AM667" s="34"/>
      <c r="AN667" s="28"/>
      <c r="AO667" s="13"/>
      <c r="AP667" s="15"/>
      <c r="AQ667" s="34"/>
      <c r="AR667" s="28"/>
      <c r="AS667" s="15"/>
      <c r="AT667" s="15"/>
      <c r="AU667" s="15"/>
      <c r="AV667" s="15"/>
      <c r="AW667" s="13"/>
      <c r="AX667" s="15"/>
      <c r="AY667" s="15"/>
      <c r="AZ667" s="28"/>
      <c r="BA667" s="15"/>
      <c r="BB667" s="15"/>
      <c r="BC667" s="15"/>
      <c r="BD667" s="15"/>
      <c r="BE667" s="14"/>
      <c r="BF667" s="41">
        <f t="shared" ref="BF667:BG667" si="2106">K667+O667+S667+W667+AA667+AE667+AI667+AM667+AQ667+AU667+AY667+BC667</f>
        <v>0</v>
      </c>
      <c r="BG667" s="34">
        <f t="shared" si="2106"/>
        <v>0</v>
      </c>
      <c r="BH667" s="35">
        <f t="shared" si="2097"/>
        <v>0</v>
      </c>
    </row>
    <row r="668" ht="14.25" customHeight="1" spans="1:60" x14ac:dyDescent="0.25">
      <c r="A668" s="79">
        <v>82</v>
      </c>
      <c r="B668" s="14"/>
      <c r="C668" s="2" t="s">
        <v>441</v>
      </c>
      <c r="D668" s="14" t="s">
        <v>50</v>
      </c>
      <c r="E668" s="2" t="s">
        <v>49</v>
      </c>
      <c r="F668" s="41">
        <v>1200</v>
      </c>
      <c r="G668" s="28"/>
      <c r="H668" s="34">
        <f>'2018'!BH668</f>
        <v>0.006400000001</v>
      </c>
      <c r="I668" s="13"/>
      <c r="J668" s="15"/>
      <c r="K668" s="15"/>
      <c r="L668" s="28"/>
      <c r="Q668" s="13"/>
      <c r="R668" s="15"/>
      <c r="S668" s="15"/>
      <c r="T668" s="28"/>
      <c r="Y668" s="13"/>
      <c r="Z668" s="15"/>
      <c r="AA668" s="15"/>
      <c r="AB668" s="28"/>
      <c r="AE668" s="34">
        <f>B665*$F$12</f>
        <v>5136</v>
      </c>
      <c r="AF668" s="15"/>
      <c r="AG668" s="13"/>
      <c r="AH668" s="15"/>
      <c r="AI668" s="15"/>
      <c r="AJ668" s="38">
        <v>1700</v>
      </c>
      <c r="AK668" s="13"/>
      <c r="AL668" s="15"/>
      <c r="AM668" s="15"/>
      <c r="AN668" s="134">
        <v>3436.01</v>
      </c>
      <c r="AO668" s="13"/>
      <c r="AP668" s="15"/>
      <c r="AQ668" s="15"/>
      <c r="AR668" s="28"/>
      <c r="AS668" s="15"/>
      <c r="AT668" s="15"/>
      <c r="AU668" s="15"/>
      <c r="AV668" s="15"/>
      <c r="AW668" s="13"/>
      <c r="AX668" s="15"/>
      <c r="AY668" s="15"/>
      <c r="AZ668" s="28"/>
      <c r="BA668" s="15"/>
      <c r="BB668" s="15"/>
      <c r="BC668" s="15"/>
      <c r="BD668" s="15"/>
      <c r="BE668" s="14"/>
      <c r="BF668" s="41">
        <f t="shared" ref="BF668:BG668" si="2107">K668+O668+S668+W668+AA668+AE668+AI668+AM668+AQ668+AU668+AY668+BC668</f>
        <v>5136</v>
      </c>
      <c r="BG668" s="34">
        <f t="shared" si="2107"/>
        <v>5136.01</v>
      </c>
      <c r="BH668" s="35">
        <f t="shared" si="2097"/>
        <v>-0.003599999999</v>
      </c>
    </row>
    <row r="669" ht="14.25" customHeight="1" spans="1:60" x14ac:dyDescent="0.25">
      <c r="A669" s="79">
        <v>82</v>
      </c>
      <c r="B669" s="14"/>
      <c r="D669" s="14" t="s">
        <v>51</v>
      </c>
      <c r="E669" s="2" t="s">
        <v>49</v>
      </c>
      <c r="F669" s="41">
        <v>1000</v>
      </c>
      <c r="G669" s="28"/>
      <c r="H669" s="34">
        <f>'2018'!BH669</f>
        <v>0</v>
      </c>
      <c r="I669" s="13"/>
      <c r="J669" s="15"/>
      <c r="K669" s="15"/>
      <c r="L669" s="28"/>
      <c r="Q669" s="13"/>
      <c r="R669" s="15"/>
      <c r="S669" s="15"/>
      <c r="T669" s="28"/>
      <c r="Y669" s="13"/>
      <c r="Z669" s="15"/>
      <c r="AA669" s="15"/>
      <c r="AB669" s="28"/>
      <c r="AE669" s="34">
        <f>$F$21</f>
        <v>1000</v>
      </c>
      <c r="AG669" s="13"/>
      <c r="AH669" s="15"/>
      <c r="AI669" s="15"/>
      <c r="AJ669" s="38">
        <v>1000</v>
      </c>
      <c r="AK669" s="13"/>
      <c r="AL669" s="15"/>
      <c r="AM669" s="15"/>
      <c r="AN669" s="28"/>
      <c r="AO669" s="13"/>
      <c r="AP669" s="15"/>
      <c r="AQ669" s="15"/>
      <c r="AR669" s="28"/>
      <c r="AS669" s="15"/>
      <c r="AT669" s="15"/>
      <c r="AU669" s="15"/>
      <c r="AV669" s="15"/>
      <c r="AW669" s="13"/>
      <c r="AX669" s="15"/>
      <c r="AY669" s="15"/>
      <c r="AZ669" s="28"/>
      <c r="BA669" s="15"/>
      <c r="BB669" s="15"/>
      <c r="BC669" s="15"/>
      <c r="BD669" s="15"/>
      <c r="BE669" s="14"/>
      <c r="BF669" s="41">
        <f t="shared" ref="BF669:BG669" si="2108">K669+O669+S669+W669+AA669+AE669+AI669+AM669+AQ669+AU669+AY669+BC669</f>
        <v>1000</v>
      </c>
      <c r="BG669" s="34">
        <f t="shared" si="2108"/>
        <v>1000</v>
      </c>
      <c r="BH669" s="35">
        <f t="shared" si="2097"/>
        <v>0</v>
      </c>
    </row>
    <row r="670" ht="14.25" customHeight="1" spans="1:60" x14ac:dyDescent="0.25">
      <c r="A670" s="79">
        <v>82</v>
      </c>
      <c r="B670" s="14"/>
      <c r="D670" s="14" t="s">
        <v>52</v>
      </c>
      <c r="E670" s="2" t="s">
        <v>39</v>
      </c>
      <c r="F670" s="41">
        <v>500</v>
      </c>
      <c r="G670" s="28"/>
      <c r="H670" s="34">
        <f>'2018'!BH670</f>
        <v>50</v>
      </c>
      <c r="I670" s="13"/>
      <c r="J670" s="15"/>
      <c r="K670" s="15"/>
      <c r="L670" s="28"/>
      <c r="Q670" s="13"/>
      <c r="R670" s="15"/>
      <c r="S670" s="15"/>
      <c r="T670" s="28"/>
      <c r="Y670" s="13"/>
      <c r="Z670" s="15"/>
      <c r="AA670" s="34">
        <f>$F$14</f>
        <v>500</v>
      </c>
      <c r="AB670" s="35"/>
      <c r="AG670" s="13"/>
      <c r="AH670" s="15"/>
      <c r="AI670" s="15"/>
      <c r="AJ670" s="28"/>
      <c r="AK670" s="13"/>
      <c r="AL670" s="15"/>
      <c r="AM670" s="15"/>
      <c r="AN670" s="134">
        <v>550</v>
      </c>
      <c r="AO670" s="13"/>
      <c r="AP670" s="15"/>
      <c r="AQ670" s="15"/>
      <c r="AR670" s="28"/>
      <c r="AS670" s="15"/>
      <c r="AT670" s="15"/>
      <c r="AU670" s="15"/>
      <c r="AV670" s="15"/>
      <c r="AW670" s="13"/>
      <c r="AX670" s="15"/>
      <c r="AY670" s="15"/>
      <c r="AZ670" s="28"/>
      <c r="BA670" s="15"/>
      <c r="BB670" s="15"/>
      <c r="BC670" s="15"/>
      <c r="BD670" s="15"/>
      <c r="BE670" s="14"/>
      <c r="BF670" s="41">
        <f t="shared" ref="BF670:BG670" si="2109">K670+O670+S670+W670+AA670+AE670+AI670+AM670+AQ670+AU670+AY670+BC670</f>
        <v>500</v>
      </c>
      <c r="BG670" s="34">
        <f t="shared" si="2109"/>
        <v>550</v>
      </c>
      <c r="BH670" s="35">
        <f t="shared" si="2097"/>
        <v>0</v>
      </c>
    </row>
    <row r="671" ht="14.25" customHeight="1" spans="1:62" x14ac:dyDescent="0.25">
      <c r="A671" s="50">
        <v>82</v>
      </c>
      <c r="B671" s="21"/>
      <c r="C671" s="22" t="s">
        <v>53</v>
      </c>
      <c r="D671" s="21"/>
      <c r="E671" s="22"/>
      <c r="F671" s="20"/>
      <c r="G671" s="23"/>
      <c r="H671" s="51">
        <f>SUM(H664:H670)</f>
        <v>50.0064</v>
      </c>
      <c r="I671" s="52"/>
      <c r="J671" s="53"/>
      <c r="K671" s="51">
        <f t="shared" ref="K671:L671" si="2110">SUM(K664:K670)</f>
        <v>0</v>
      </c>
      <c r="L671" s="68">
        <f t="shared" si="2110"/>
        <v>0</v>
      </c>
      <c r="M671" s="53"/>
      <c r="N671" s="53"/>
      <c r="O671" s="51">
        <f t="shared" ref="O671:P671" si="2111">SUM(O665:O670)</f>
        <v>0</v>
      </c>
      <c r="P671" s="51">
        <f t="shared" si="2111"/>
        <v>0</v>
      </c>
      <c r="Q671" s="52"/>
      <c r="R671" s="53"/>
      <c r="S671" s="51">
        <f t="shared" ref="S671:T671" si="2112">SUM(S665:S670)</f>
        <v>0</v>
      </c>
      <c r="T671" s="68">
        <f t="shared" si="2112"/>
        <v>0</v>
      </c>
      <c r="U671" s="53"/>
      <c r="V671" s="53"/>
      <c r="W671" s="51">
        <f t="shared" ref="W671:X671" si="2113">SUM(W665:W670)</f>
        <v>0</v>
      </c>
      <c r="X671" s="51">
        <f t="shared" si="2113"/>
        <v>0</v>
      </c>
      <c r="Y671" s="52"/>
      <c r="Z671" s="53"/>
      <c r="AA671" s="51">
        <f t="shared" ref="AA671:AB671" si="2114">SUM(AA665:AA670)</f>
        <v>500</v>
      </c>
      <c r="AB671" s="68">
        <f t="shared" si="2114"/>
        <v>0</v>
      </c>
      <c r="AC671" s="53"/>
      <c r="AD671" s="53"/>
      <c r="AE671" s="51">
        <f t="shared" ref="AE671:AF671" si="2115">SUM(AE665:AE670)</f>
        <v>6207.92</v>
      </c>
      <c r="AF671" s="51">
        <f t="shared" si="2115"/>
        <v>0</v>
      </c>
      <c r="AG671" s="52"/>
      <c r="AH671" s="53"/>
      <c r="AI671" s="51">
        <f t="shared" ref="AI671:AJ671" si="2116">SUM(AI665:AI670)</f>
        <v>37.12</v>
      </c>
      <c r="AJ671" s="68">
        <f t="shared" si="2116"/>
        <v>2772</v>
      </c>
      <c r="AK671" s="52"/>
      <c r="AL671" s="53"/>
      <c r="AM671" s="51">
        <f t="shared" ref="AM671:AN671" si="2117">SUM(AM665:AM670)</f>
        <v>37.12</v>
      </c>
      <c r="AN671" s="68">
        <f t="shared" si="2117"/>
        <v>4061</v>
      </c>
      <c r="AO671" s="52"/>
      <c r="AP671" s="53"/>
      <c r="AQ671" s="51">
        <f t="shared" ref="AQ671:AR671" si="2118">SUM(AQ664:AQ670)</f>
        <v>0</v>
      </c>
      <c r="AR671" s="68">
        <f t="shared" si="2118"/>
        <v>0</v>
      </c>
      <c r="AS671" s="53"/>
      <c r="AT671" s="53"/>
      <c r="AU671" s="51">
        <f t="shared" ref="AU671:AV671" si="2119">SUM(AU664:AU670)</f>
        <v>0</v>
      </c>
      <c r="AV671" s="68">
        <f t="shared" si="2119"/>
        <v>0</v>
      </c>
      <c r="AW671" s="52"/>
      <c r="AX671" s="53"/>
      <c r="AY671" s="51">
        <f t="shared" ref="AY671:AZ671" si="2120">SUM(AY664:AY670)</f>
        <v>0</v>
      </c>
      <c r="AZ671" s="68">
        <f t="shared" si="2120"/>
        <v>0</v>
      </c>
      <c r="BA671" s="53"/>
      <c r="BB671" s="53"/>
      <c r="BC671" s="51">
        <f t="shared" ref="BC671:BD671" si="2121">SUM(BC664:BC670)</f>
        <v>0</v>
      </c>
      <c r="BD671" s="68">
        <f t="shared" si="2121"/>
        <v>0</v>
      </c>
      <c r="BE671" s="69"/>
      <c r="BF671" s="70">
        <f t="shared" ref="BF671:BH671" si="2122">SUM(BF664:BF670)</f>
        <v>6782.16</v>
      </c>
      <c r="BG671" s="71">
        <f t="shared" si="2122"/>
        <v>6833</v>
      </c>
      <c r="BH671" s="72">
        <f t="shared" si="2122"/>
        <v>-0.8336</v>
      </c>
      <c r="BI671" s="34">
        <f>H671+BF671-BG671</f>
        <v>-0.8336</v>
      </c>
      <c r="BJ671" s="34">
        <f>BH671-BI671</f>
        <v>0</v>
      </c>
    </row>
    <row r="672" ht="14.25" customHeight="1" spans="1:60" x14ac:dyDescent="0.25">
      <c r="A672" s="29">
        <v>84</v>
      </c>
      <c r="B672" s="14"/>
      <c r="D672" s="14" t="s">
        <v>411</v>
      </c>
      <c r="E672" s="2" t="s">
        <v>39</v>
      </c>
      <c r="F672" s="41"/>
      <c r="G672" s="28"/>
      <c r="H672" s="34">
        <f>'2018'!BH672</f>
        <v>1500</v>
      </c>
      <c r="I672" s="13"/>
      <c r="J672" s="15"/>
      <c r="K672" s="34"/>
      <c r="L672" s="28"/>
      <c r="Q672" s="13"/>
      <c r="R672" s="15"/>
      <c r="S672" s="15"/>
      <c r="T672" s="28"/>
      <c r="Y672" s="13"/>
      <c r="Z672" s="15"/>
      <c r="AA672" s="15"/>
      <c r="AB672" s="28"/>
      <c r="AF672" s="39">
        <v>1500</v>
      </c>
      <c r="AG672" s="13"/>
      <c r="AH672" s="15"/>
      <c r="AI672" s="15"/>
      <c r="AJ672" s="38"/>
      <c r="AK672" s="13"/>
      <c r="AL672" s="15"/>
      <c r="AM672" s="15"/>
      <c r="AN672" s="28"/>
      <c r="AO672" s="13"/>
      <c r="AP672" s="15"/>
      <c r="AQ672" s="15">
        <v>9.11</v>
      </c>
      <c r="AR672" s="28"/>
      <c r="AU672" s="34">
        <v>7</v>
      </c>
      <c r="AW672" s="13"/>
      <c r="AX672" s="15"/>
      <c r="AY672" s="15">
        <v>6.78</v>
      </c>
      <c r="AZ672" s="28"/>
      <c r="BC672" s="34">
        <v>7</v>
      </c>
      <c r="BE672" s="14"/>
      <c r="BF672" s="41">
        <f t="shared" ref="BF672:BG672" si="2123">K672+O672+S672+W672+AA672+AE672+AI672+AM672+AQ672+AU672+AY672+BC672</f>
        <v>29.89</v>
      </c>
      <c r="BG672" s="34">
        <f t="shared" si="2123"/>
        <v>1500</v>
      </c>
      <c r="BH672" s="35">
        <f t="shared" ref="BH672:BH678" si="2124">H672+BF672-BG672</f>
        <v>29.89</v>
      </c>
    </row>
    <row r="673" ht="14.25" customHeight="1" spans="1:60" x14ac:dyDescent="0.25">
      <c r="A673" s="89">
        <v>84</v>
      </c>
      <c r="B673" s="14">
        <v>4.18</v>
      </c>
      <c r="C673" s="2" t="s">
        <v>301</v>
      </c>
      <c r="D673" s="14" t="s">
        <v>44</v>
      </c>
      <c r="E673" s="2" t="s">
        <v>45</v>
      </c>
      <c r="F673" s="13">
        <v>2.49</v>
      </c>
      <c r="G673" s="35">
        <v>2.5</v>
      </c>
      <c r="H673" s="104">
        <f>'2018'!BH673</f>
        <v>0</v>
      </c>
      <c r="I673" s="13"/>
      <c r="J673" s="15"/>
      <c r="K673" s="34">
        <f>J673*$F$8</f>
        <v>0</v>
      </c>
      <c r="L673" s="28"/>
      <c r="N673" s="15">
        <f>M673-I673</f>
        <v>0</v>
      </c>
      <c r="O673" s="34">
        <f>N673*$F$8</f>
        <v>0</v>
      </c>
      <c r="Q673" s="13"/>
      <c r="R673" s="15">
        <f>Q673-M673</f>
        <v>0</v>
      </c>
      <c r="S673" s="34">
        <f>R673*$F$8</f>
        <v>0</v>
      </c>
      <c r="T673" s="28"/>
      <c r="V673" s="15">
        <f>U673-Q673</f>
        <v>0</v>
      </c>
      <c r="Y673" s="13"/>
      <c r="Z673" s="15">
        <f>Y673-U673</f>
        <v>0</v>
      </c>
      <c r="AA673" s="34">
        <f>Z673*$F$8</f>
        <v>0</v>
      </c>
      <c r="AB673" s="28"/>
      <c r="AC673" s="15"/>
      <c r="AD673" s="15">
        <f t="shared" ref="AD673:AD674" si="2125">AC673-Y673</f>
        <v>0</v>
      </c>
      <c r="AE673" s="34">
        <f>AD673*$G$8</f>
        <v>0</v>
      </c>
      <c r="AG673" s="13"/>
      <c r="AH673" s="15">
        <f t="shared" ref="AH673:AH674" si="2126">AG673-AC673</f>
        <v>0</v>
      </c>
      <c r="AI673" s="34">
        <f>AH673*$G$8</f>
        <v>0</v>
      </c>
      <c r="AJ673" s="28"/>
      <c r="AK673" s="13"/>
      <c r="AL673" s="15">
        <f t="shared" ref="AL673:AL674" si="2127">AK673-AG673</f>
        <v>0</v>
      </c>
      <c r="AM673" s="34">
        <f>AL673*$G$8</f>
        <v>0</v>
      </c>
      <c r="AN673" s="28"/>
      <c r="AO673" s="13"/>
      <c r="AP673" s="15">
        <f t="shared" ref="AP673:AP674" si="2128">AO673-AK673</f>
        <v>0</v>
      </c>
      <c r="AQ673" s="34">
        <f>AP673*$G$8</f>
        <v>0</v>
      </c>
      <c r="AR673" s="28"/>
      <c r="AS673" s="15"/>
      <c r="AT673" s="15">
        <f t="shared" ref="AT673:AT674" si="2129">AS673-AO673</f>
        <v>0</v>
      </c>
      <c r="AU673" s="34">
        <f>AT673*$G$8</f>
        <v>0</v>
      </c>
      <c r="AV673" s="15"/>
      <c r="AW673" s="13"/>
      <c r="AX673" s="15">
        <f>AW673-AS673</f>
        <v>0</v>
      </c>
      <c r="AY673" s="34">
        <f>AX673*$G$8</f>
        <v>0</v>
      </c>
      <c r="AZ673" s="28"/>
      <c r="BA673" s="15"/>
      <c r="BB673" s="15">
        <f>BA673-AW673</f>
        <v>0</v>
      </c>
      <c r="BC673" s="34">
        <f>BB673*$G$8</f>
        <v>0</v>
      </c>
      <c r="BD673" s="15"/>
      <c r="BE673" s="40">
        <f t="shared" ref="BE673:BG673" si="2130">J673+N673+R673+V673+Z673+AD673+AH673+AL673+AP673+AT673+AX673+BB673</f>
        <v>0</v>
      </c>
      <c r="BF673" s="41">
        <f t="shared" si="2130"/>
        <v>0</v>
      </c>
      <c r="BG673" s="34">
        <f t="shared" si="2130"/>
        <v>0</v>
      </c>
      <c r="BH673" s="35">
        <f t="shared" si="2124"/>
        <v>0</v>
      </c>
    </row>
    <row r="674" ht="14.25" customHeight="1" spans="1:60" x14ac:dyDescent="0.25">
      <c r="A674" s="79">
        <v>84</v>
      </c>
      <c r="B674" s="14"/>
      <c r="C674" s="15" t="s">
        <v>87</v>
      </c>
      <c r="D674" s="14" t="s">
        <v>47</v>
      </c>
      <c r="E674" s="2" t="s">
        <v>48</v>
      </c>
      <c r="F674" s="13">
        <v>17.98</v>
      </c>
      <c r="G674" s="28">
        <v>18.56</v>
      </c>
      <c r="H674" s="34">
        <f>'2018'!BH674</f>
        <v>-14.64</v>
      </c>
      <c r="I674" s="13">
        <v>2</v>
      </c>
      <c r="J674" s="15"/>
      <c r="K674" s="15"/>
      <c r="L674" s="28"/>
      <c r="Q674" s="13"/>
      <c r="R674" s="15"/>
      <c r="S674" s="15"/>
      <c r="T674" s="28"/>
      <c r="Y674" s="95">
        <v>2</v>
      </c>
      <c r="Z674" s="15">
        <f>Y674-'2018'!AO674</f>
        <v>0</v>
      </c>
      <c r="AA674" s="34">
        <f>Z674*$F$10</f>
        <v>0</v>
      </c>
      <c r="AB674" s="28"/>
      <c r="AC674" s="15">
        <v>2</v>
      </c>
      <c r="AD674" s="15">
        <f t="shared" si="2125"/>
        <v>0</v>
      </c>
      <c r="AE674" s="34">
        <f>AD674*$F$10</f>
        <v>0</v>
      </c>
      <c r="AG674" s="13">
        <v>2</v>
      </c>
      <c r="AH674" s="15">
        <f t="shared" si="2126"/>
        <v>0</v>
      </c>
      <c r="AI674" s="45">
        <f>AH674*$G$10</f>
        <v>0</v>
      </c>
      <c r="AJ674" s="38"/>
      <c r="AK674" s="15">
        <v>2</v>
      </c>
      <c r="AL674" s="15">
        <f t="shared" si="2127"/>
        <v>0</v>
      </c>
      <c r="AM674" s="45">
        <f>AL674*$G$10</f>
        <v>0</v>
      </c>
      <c r="AN674" s="28"/>
      <c r="AO674" s="13">
        <v>23</v>
      </c>
      <c r="AP674" s="15">
        <f t="shared" si="2128"/>
        <v>21</v>
      </c>
      <c r="AQ674" s="45">
        <f>AP674*$G$10</f>
        <v>389.76</v>
      </c>
      <c r="AR674" s="28"/>
      <c r="AS674" s="13">
        <v>23</v>
      </c>
      <c r="AT674" s="15">
        <f t="shared" si="2129"/>
        <v>0</v>
      </c>
      <c r="AU674" s="45">
        <f>AT674*$G$10</f>
        <v>0</v>
      </c>
      <c r="AV674" s="15"/>
      <c r="AW674" s="13">
        <v>23</v>
      </c>
      <c r="AX674" s="15"/>
      <c r="AY674" s="15"/>
      <c r="AZ674" s="28"/>
      <c r="BA674" s="15">
        <v>23</v>
      </c>
      <c r="BB674" s="15"/>
      <c r="BC674" s="15"/>
      <c r="BD674" s="15"/>
      <c r="BE674" s="40">
        <f t="shared" ref="BE674:BG674" si="2131">J674+N674+R674+V674+Z674+AD674+AH674+AL674+AP674+AT674+AX674+BB674</f>
        <v>21</v>
      </c>
      <c r="BF674" s="41">
        <f t="shared" si="2131"/>
        <v>389.76</v>
      </c>
      <c r="BG674" s="34">
        <f t="shared" si="2131"/>
        <v>0</v>
      </c>
      <c r="BH674" s="35">
        <f t="shared" si="2124"/>
        <v>375.12</v>
      </c>
    </row>
    <row r="675" ht="14.25" customHeight="1" spans="1:60" x14ac:dyDescent="0.25">
      <c r="A675" s="79">
        <v>84</v>
      </c>
      <c r="B675" s="14"/>
      <c r="C675" s="15" t="s">
        <v>302</v>
      </c>
      <c r="D675" s="14" t="s">
        <v>47</v>
      </c>
      <c r="E675" s="2" t="s">
        <v>49</v>
      </c>
      <c r="F675" s="41">
        <v>500</v>
      </c>
      <c r="G675" s="28"/>
      <c r="H675" s="34">
        <f>'2018'!BH675</f>
        <v>0</v>
      </c>
      <c r="I675" s="13"/>
      <c r="J675" s="15"/>
      <c r="K675" s="15"/>
      <c r="L675" s="28"/>
      <c r="Q675" s="13"/>
      <c r="R675" s="15"/>
      <c r="S675" s="15"/>
      <c r="T675" s="28"/>
      <c r="Y675" s="13"/>
      <c r="Z675" s="15"/>
      <c r="AA675" s="15"/>
      <c r="AB675" s="28"/>
      <c r="AG675" s="13"/>
      <c r="AH675" s="15"/>
      <c r="AI675" s="15"/>
      <c r="AJ675" s="28"/>
      <c r="AK675" s="13"/>
      <c r="AL675" s="15"/>
      <c r="AM675" s="34"/>
      <c r="AN675" s="28"/>
      <c r="AO675" s="13"/>
      <c r="AP675" s="15"/>
      <c r="AQ675" s="34"/>
      <c r="AR675" s="28"/>
      <c r="AS675" s="15"/>
      <c r="AT675" s="15"/>
      <c r="AU675" s="15"/>
      <c r="AV675" s="15"/>
      <c r="AW675" s="13"/>
      <c r="AX675" s="15"/>
      <c r="AY675" s="15"/>
      <c r="AZ675" s="28"/>
      <c r="BA675" s="15"/>
      <c r="BB675" s="15"/>
      <c r="BC675" s="15"/>
      <c r="BD675" s="15"/>
      <c r="BE675" s="14"/>
      <c r="BF675" s="41">
        <f t="shared" ref="BF675:BG675" si="2132">K675+O675+S675+W675+AA675+AE675+AI675+AM675+AQ675+AU675+AY675+BC675</f>
        <v>0</v>
      </c>
      <c r="BG675" s="34">
        <f t="shared" si="2132"/>
        <v>0</v>
      </c>
      <c r="BH675" s="35">
        <f t="shared" si="2124"/>
        <v>0</v>
      </c>
    </row>
    <row r="676" ht="14.25" customHeight="1" spans="1:60" x14ac:dyDescent="0.25">
      <c r="A676" s="79">
        <v>84</v>
      </c>
      <c r="B676" s="14"/>
      <c r="C676" s="2" t="s">
        <v>303</v>
      </c>
      <c r="D676" s="14" t="s">
        <v>50</v>
      </c>
      <c r="E676" s="2" t="s">
        <v>49</v>
      </c>
      <c r="F676" s="41">
        <v>1200</v>
      </c>
      <c r="G676" s="28"/>
      <c r="H676" s="34">
        <f>'2018'!BH676</f>
        <v>442.8384</v>
      </c>
      <c r="I676" s="13"/>
      <c r="J676" s="15"/>
      <c r="K676" s="15"/>
      <c r="L676" s="28"/>
      <c r="Q676" s="13"/>
      <c r="R676" s="15"/>
      <c r="S676" s="15"/>
      <c r="T676" s="28"/>
      <c r="Y676" s="13"/>
      <c r="Z676" s="15"/>
      <c r="AA676" s="15"/>
      <c r="AB676" s="28"/>
      <c r="AE676" s="34">
        <f>B673*$F$12</f>
        <v>5016</v>
      </c>
      <c r="AF676" s="39">
        <v>1500</v>
      </c>
      <c r="AG676" s="13"/>
      <c r="AH676" s="15"/>
      <c r="AI676" s="15"/>
      <c r="AJ676" s="38"/>
      <c r="AK676" s="13"/>
      <c r="AL676" s="15"/>
      <c r="AM676" s="15"/>
      <c r="AN676" s="35"/>
      <c r="AO676" s="13"/>
      <c r="AP676" s="15"/>
      <c r="AQ676" s="15"/>
      <c r="AR676" s="38">
        <f>2000+700</f>
        <v>2700</v>
      </c>
      <c r="AS676" s="15"/>
      <c r="AT676" s="15"/>
      <c r="AU676" s="15"/>
      <c r="AV676" s="15"/>
      <c r="AW676" s="13"/>
      <c r="AX676" s="15"/>
      <c r="AY676" s="15"/>
      <c r="AZ676" s="28"/>
      <c r="BA676" s="15"/>
      <c r="BB676" s="15"/>
      <c r="BC676" s="15"/>
      <c r="BD676" s="15"/>
      <c r="BE676" s="14"/>
      <c r="BF676" s="41">
        <f t="shared" ref="BF676:BG676" si="2133">K676+O676+S676+W676+AA676+AE676+AI676+AM676+AQ676+AU676+AY676+BC676</f>
        <v>5016</v>
      </c>
      <c r="BG676" s="34">
        <f t="shared" si="2133"/>
        <v>4200</v>
      </c>
      <c r="BH676" s="35">
        <f t="shared" si="2124"/>
        <v>1258.8384</v>
      </c>
    </row>
    <row r="677" ht="14.25" customHeight="1" spans="1:60" x14ac:dyDescent="0.25">
      <c r="A677" s="79">
        <v>84</v>
      </c>
      <c r="B677" s="14"/>
      <c r="D677" s="14" t="s">
        <v>51</v>
      </c>
      <c r="E677" s="2" t="s">
        <v>49</v>
      </c>
      <c r="F677" s="41">
        <v>1000</v>
      </c>
      <c r="G677" s="28"/>
      <c r="H677" s="34">
        <f>'2018'!BH677</f>
        <v>0</v>
      </c>
      <c r="I677" s="13"/>
      <c r="J677" s="15"/>
      <c r="K677" s="15"/>
      <c r="L677" s="28"/>
      <c r="Q677" s="13"/>
      <c r="R677" s="15"/>
      <c r="S677" s="15"/>
      <c r="T677" s="28"/>
      <c r="Y677" s="13"/>
      <c r="Z677" s="15"/>
      <c r="AA677" s="15"/>
      <c r="AB677" s="28"/>
      <c r="AE677" s="34">
        <f>$F$21</f>
        <v>1000</v>
      </c>
      <c r="AG677" s="13"/>
      <c r="AH677" s="15"/>
      <c r="AI677" s="15"/>
      <c r="AJ677" s="28"/>
      <c r="AK677" s="13"/>
      <c r="AL677" s="15"/>
      <c r="AM677" s="15"/>
      <c r="AN677" s="28"/>
      <c r="AO677" s="13"/>
      <c r="AP677" s="15"/>
      <c r="AQ677" s="15"/>
      <c r="AR677" s="28"/>
      <c r="AS677" s="15"/>
      <c r="AT677" s="15"/>
      <c r="AU677" s="15"/>
      <c r="AV677" s="15"/>
      <c r="AW677" s="13"/>
      <c r="AX677" s="15"/>
      <c r="AY677" s="15"/>
      <c r="AZ677" s="28"/>
      <c r="BA677" s="15"/>
      <c r="BB677" s="15"/>
      <c r="BC677" s="15"/>
      <c r="BD677" s="15"/>
      <c r="BE677" s="14"/>
      <c r="BF677" s="41">
        <f t="shared" ref="BF677:BG677" si="2134">K677+O677+S677+W677+AA677+AE677+AI677+AM677+AQ677+AU677+AY677+BC677</f>
        <v>1000</v>
      </c>
      <c r="BG677" s="34">
        <f t="shared" si="2134"/>
        <v>0</v>
      </c>
      <c r="BH677" s="35">
        <f t="shared" si="2124"/>
        <v>1000</v>
      </c>
    </row>
    <row r="678" ht="14.25" customHeight="1" spans="1:60" x14ac:dyDescent="0.25">
      <c r="A678" s="79">
        <v>84</v>
      </c>
      <c r="B678" s="14"/>
      <c r="D678" s="14" t="s">
        <v>52</v>
      </c>
      <c r="E678" s="2" t="s">
        <v>39</v>
      </c>
      <c r="F678" s="41">
        <v>500</v>
      </c>
      <c r="G678" s="28"/>
      <c r="H678" s="84">
        <f>'2018'!BH678-500</f>
        <v>-150</v>
      </c>
      <c r="I678" s="13"/>
      <c r="J678" s="15"/>
      <c r="K678" s="15"/>
      <c r="L678" s="28"/>
      <c r="Q678" s="13"/>
      <c r="R678" s="15"/>
      <c r="S678" s="15"/>
      <c r="T678" s="28"/>
      <c r="Y678" s="13"/>
      <c r="Z678" s="15"/>
      <c r="AA678" s="34">
        <f>$F$14</f>
        <v>500</v>
      </c>
      <c r="AB678" s="28"/>
      <c r="AG678" s="13"/>
      <c r="AH678" s="15"/>
      <c r="AI678" s="15"/>
      <c r="AJ678" s="28"/>
      <c r="AK678" s="13"/>
      <c r="AL678" s="15"/>
      <c r="AM678" s="15"/>
      <c r="AN678" s="28"/>
      <c r="AO678" s="13"/>
      <c r="AP678" s="15"/>
      <c r="AQ678" s="15"/>
      <c r="AR678" s="28"/>
      <c r="AS678" s="15"/>
      <c r="AT678" s="15"/>
      <c r="AU678" s="15"/>
      <c r="AV678" s="15"/>
      <c r="AW678" s="13"/>
      <c r="AX678" s="15"/>
      <c r="AY678" s="15"/>
      <c r="AZ678" s="28"/>
      <c r="BA678" s="15"/>
      <c r="BB678" s="15"/>
      <c r="BC678" s="15"/>
      <c r="BD678" s="15"/>
      <c r="BE678" s="14"/>
      <c r="BF678" s="41">
        <f t="shared" ref="BF678:BG678" si="2135">K678+O678+S678+W678+AA678+AE678+AI678+AM678+AQ678+AU678+AY678+BC678</f>
        <v>500</v>
      </c>
      <c r="BG678" s="34">
        <f t="shared" si="2135"/>
        <v>0</v>
      </c>
      <c r="BH678" s="35">
        <f t="shared" si="2124"/>
        <v>350</v>
      </c>
    </row>
    <row r="679" ht="14.25" customHeight="1" spans="1:62" x14ac:dyDescent="0.25">
      <c r="A679" s="50">
        <v>84</v>
      </c>
      <c r="B679" s="21"/>
      <c r="C679" s="22" t="s">
        <v>53</v>
      </c>
      <c r="D679" s="21"/>
      <c r="E679" s="22"/>
      <c r="F679" s="20"/>
      <c r="G679" s="23"/>
      <c r="H679" s="51">
        <f>SUM(H672:H678)</f>
        <v>1778.1984</v>
      </c>
      <c r="I679" s="52"/>
      <c r="J679" s="53"/>
      <c r="K679" s="51">
        <f t="shared" ref="K679:L679" si="2136">SUM(K672:K678)</f>
        <v>0</v>
      </c>
      <c r="L679" s="68">
        <f t="shared" si="2136"/>
        <v>0</v>
      </c>
      <c r="M679" s="53"/>
      <c r="N679" s="53"/>
      <c r="O679" s="51">
        <f t="shared" ref="O679:P679" si="2137">SUM(O673:O678)</f>
        <v>0</v>
      </c>
      <c r="P679" s="51">
        <f t="shared" si="2137"/>
        <v>0</v>
      </c>
      <c r="Q679" s="52"/>
      <c r="R679" s="53"/>
      <c r="S679" s="51">
        <f t="shared" ref="S679:T679" si="2138">SUM(S673:S678)</f>
        <v>0</v>
      </c>
      <c r="T679" s="68">
        <f t="shared" si="2138"/>
        <v>0</v>
      </c>
      <c r="U679" s="53"/>
      <c r="V679" s="53"/>
      <c r="W679" s="51">
        <f t="shared" ref="W679:X679" si="2139">SUM(W673:W678)</f>
        <v>0</v>
      </c>
      <c r="X679" s="51">
        <f t="shared" si="2139"/>
        <v>0</v>
      </c>
      <c r="Y679" s="52"/>
      <c r="Z679" s="53"/>
      <c r="AA679" s="51">
        <f t="shared" ref="AA679:AB679" si="2140">SUM(AA673:AA678)</f>
        <v>500</v>
      </c>
      <c r="AB679" s="68">
        <f t="shared" si="2140"/>
        <v>0</v>
      </c>
      <c r="AC679" s="53"/>
      <c r="AD679" s="53"/>
      <c r="AE679" s="51">
        <f>SUM(AE673:AE678)</f>
        <v>6016</v>
      </c>
      <c r="AF679" s="51">
        <f>SUM(AF672:AF678)</f>
        <v>3000</v>
      </c>
      <c r="AG679" s="52"/>
      <c r="AH679" s="53"/>
      <c r="AI679" s="51">
        <f>SUM(AI673:AI678)</f>
        <v>0</v>
      </c>
      <c r="AJ679" s="68">
        <f>SUM(AJ672:AJ678)</f>
        <v>0</v>
      </c>
      <c r="AK679" s="52"/>
      <c r="AL679" s="53"/>
      <c r="AM679" s="51">
        <f t="shared" ref="AM679:AN679" si="2141">SUM(AM673:AM678)</f>
        <v>0</v>
      </c>
      <c r="AN679" s="68">
        <f t="shared" si="2141"/>
        <v>0</v>
      </c>
      <c r="AO679" s="52"/>
      <c r="AP679" s="53"/>
      <c r="AQ679" s="51">
        <f t="shared" ref="AQ679:AR679" si="2142">SUM(AQ672:AQ678)</f>
        <v>398.87</v>
      </c>
      <c r="AR679" s="68">
        <f t="shared" si="2142"/>
        <v>2700</v>
      </c>
      <c r="AS679" s="53"/>
      <c r="AT679" s="53"/>
      <c r="AU679" s="51">
        <f t="shared" ref="AU679:AV679" si="2143">SUM(AU672:AU678)</f>
        <v>7</v>
      </c>
      <c r="AV679" s="68">
        <f t="shared" si="2143"/>
        <v>0</v>
      </c>
      <c r="AW679" s="52"/>
      <c r="AX679" s="53"/>
      <c r="AY679" s="51">
        <f t="shared" ref="AY679:AZ679" si="2144">SUM(AY672:AY678)</f>
        <v>6.78</v>
      </c>
      <c r="AZ679" s="68">
        <f t="shared" si="2144"/>
        <v>0</v>
      </c>
      <c r="BA679" s="53"/>
      <c r="BB679" s="53"/>
      <c r="BC679" s="51">
        <f t="shared" ref="BC679:BD679" si="2145">SUM(BC672:BC678)</f>
        <v>7</v>
      </c>
      <c r="BD679" s="68">
        <f t="shared" si="2145"/>
        <v>0</v>
      </c>
      <c r="BE679" s="69"/>
      <c r="BF679" s="70">
        <f t="shared" ref="BF679:BH679" si="2146">SUM(BF672:BF678)</f>
        <v>6935.65</v>
      </c>
      <c r="BG679" s="71">
        <f t="shared" si="2146"/>
        <v>5700</v>
      </c>
      <c r="BH679" s="72">
        <f t="shared" si="2146"/>
        <v>3013.8484</v>
      </c>
      <c r="BI679" s="34">
        <f>H679+BF679-BG679</f>
        <v>3013.8484</v>
      </c>
      <c r="BJ679" s="34">
        <f>BH679-BI679</f>
        <v>0</v>
      </c>
    </row>
    <row r="680" ht="14.25" customHeight="1" spans="1:60" x14ac:dyDescent="0.25">
      <c r="A680" s="79">
        <v>86</v>
      </c>
      <c r="B680" s="14"/>
      <c r="D680" s="14" t="s">
        <v>379</v>
      </c>
      <c r="F680" s="13"/>
      <c r="G680" s="28"/>
      <c r="H680" s="34">
        <f>'2018'!BH680</f>
      </c>
      <c r="I680" s="13"/>
      <c r="J680" s="15"/>
      <c r="K680" s="15"/>
      <c r="L680" s="28"/>
      <c r="Q680" s="13"/>
      <c r="R680" s="15"/>
      <c r="S680" s="15"/>
      <c r="T680" s="28"/>
      <c r="Y680" s="13"/>
      <c r="Z680" s="15"/>
      <c r="AA680" s="15"/>
      <c r="AB680" s="28"/>
      <c r="AG680" s="13"/>
      <c r="AH680" s="15"/>
      <c r="AI680" s="15"/>
      <c r="AJ680" s="28"/>
      <c r="AK680" s="13"/>
      <c r="AL680" s="15"/>
      <c r="AM680" s="15"/>
      <c r="AN680" s="28"/>
      <c r="AO680" s="13"/>
      <c r="AP680" s="15"/>
      <c r="AQ680" s="15">
        <v>18.23</v>
      </c>
      <c r="AR680" s="28"/>
      <c r="AU680" s="2">
        <v>18.84</v>
      </c>
      <c r="AW680" s="13"/>
      <c r="AX680" s="15"/>
      <c r="AY680" s="15">
        <v>18.23</v>
      </c>
      <c r="AZ680" s="28"/>
      <c r="BC680" s="2">
        <v>18.84</v>
      </c>
      <c r="BE680" s="14"/>
      <c r="BF680" s="41">
        <f t="shared" ref="BF680:BG680" si="2147">K680+O680+S680+W680+AA680+AE680+AI680+AM680+AQ680+AU680+AY680+BC680</f>
        <v>74.14</v>
      </c>
      <c r="BG680" s="34">
        <f t="shared" si="2147"/>
        <v>0</v>
      </c>
      <c r="BH680" s="35">
        <f t="shared" ref="BH680:BH686" si="2148">H680+BF680-BG680</f>
        <v>74.14</v>
      </c>
    </row>
    <row r="681" ht="14.25" customHeight="1" spans="1:60" x14ac:dyDescent="0.25">
      <c r="A681" s="89">
        <v>86</v>
      </c>
      <c r="B681" s="14">
        <v>4.23</v>
      </c>
      <c r="C681" s="2" t="s">
        <v>304</v>
      </c>
      <c r="D681" s="14" t="s">
        <v>44</v>
      </c>
      <c r="E681" s="2" t="s">
        <v>45</v>
      </c>
      <c r="F681" s="13">
        <v>2.49</v>
      </c>
      <c r="G681" s="35">
        <v>2.5</v>
      </c>
      <c r="H681" s="104">
        <f>'2018'!BH681</f>
        <v>0</v>
      </c>
      <c r="I681" s="13"/>
      <c r="J681" s="15"/>
      <c r="K681" s="34">
        <f>J681*$F$8</f>
        <v>0</v>
      </c>
      <c r="L681" s="28"/>
      <c r="N681" s="15">
        <f>M681-I681</f>
        <v>0</v>
      </c>
      <c r="O681" s="34">
        <f>N681*$F$8</f>
        <v>0</v>
      </c>
      <c r="Q681" s="13"/>
      <c r="R681" s="15">
        <f>Q681-M681</f>
        <v>0</v>
      </c>
      <c r="S681" s="34">
        <f>R681*$F$8</f>
        <v>0</v>
      </c>
      <c r="T681" s="28"/>
      <c r="V681" s="15">
        <f>U681-Q681</f>
        <v>0</v>
      </c>
      <c r="Y681" s="13"/>
      <c r="Z681" s="15">
        <f>Y681-U681</f>
        <v>0</v>
      </c>
      <c r="AA681" s="34">
        <f>Z681*$F$8</f>
        <v>0</v>
      </c>
      <c r="AB681" s="28"/>
      <c r="AC681" s="15"/>
      <c r="AD681" s="15">
        <f>AC681-Y681</f>
        <v>0</v>
      </c>
      <c r="AE681" s="34">
        <f>AD681*$G$8</f>
        <v>0</v>
      </c>
      <c r="AG681" s="13"/>
      <c r="AH681" s="15">
        <f t="shared" ref="AH681:AH682" si="2149">AG681-AC681</f>
        <v>0</v>
      </c>
      <c r="AI681" s="34">
        <f>AH681*$G$8</f>
        <v>0</v>
      </c>
      <c r="AJ681" s="28"/>
      <c r="AK681" s="13"/>
      <c r="AL681" s="15">
        <f t="shared" ref="AL681:AL682" si="2150">AK681-AG681</f>
        <v>0</v>
      </c>
      <c r="AM681" s="34">
        <f>AL681*$G$8</f>
        <v>0</v>
      </c>
      <c r="AN681" s="28"/>
      <c r="AO681" s="13"/>
      <c r="AP681" s="15">
        <f t="shared" ref="AP681:AP682" si="2151">AO681-AK681</f>
        <v>0</v>
      </c>
      <c r="AQ681" s="34">
        <f>AP681*$G$8</f>
        <v>0</v>
      </c>
      <c r="AR681" s="28"/>
      <c r="AS681" s="15"/>
      <c r="AT681" s="15">
        <f t="shared" ref="AT681:AT682" si="2152">AS681-AO681</f>
        <v>0</v>
      </c>
      <c r="AU681" s="34">
        <f>AT681*$G$8</f>
        <v>0</v>
      </c>
      <c r="AV681" s="15"/>
      <c r="AW681" s="13"/>
      <c r="AX681" s="15">
        <f>AW681-AS681</f>
        <v>0</v>
      </c>
      <c r="AY681" s="34">
        <f>AX681*$G$8</f>
        <v>0</v>
      </c>
      <c r="AZ681" s="28"/>
      <c r="BA681" s="15"/>
      <c r="BB681" s="15">
        <f>BA681-AW681</f>
        <v>0</v>
      </c>
      <c r="BC681" s="34">
        <f>BB681*$G$8</f>
        <v>0</v>
      </c>
      <c r="BD681" s="15"/>
      <c r="BE681" s="40">
        <f t="shared" ref="BE681:BG681" si="2153">J681+N681+R681+V681+Z681+AD681+AH681+AL681+AP681+AT681+AX681+BB681</f>
        <v>0</v>
      </c>
      <c r="BF681" s="41">
        <f t="shared" si="2153"/>
        <v>0</v>
      </c>
      <c r="BG681" s="34">
        <f t="shared" si="2153"/>
        <v>0</v>
      </c>
      <c r="BH681" s="35">
        <f t="shared" si="2148"/>
        <v>0</v>
      </c>
    </row>
    <row r="682" ht="14.25" customHeight="1" spans="1:60" x14ac:dyDescent="0.25">
      <c r="A682" s="79">
        <v>86</v>
      </c>
      <c r="B682" s="14"/>
      <c r="C682" s="15" t="s">
        <v>305</v>
      </c>
      <c r="D682" s="14" t="s">
        <v>47</v>
      </c>
      <c r="E682" s="2" t="s">
        <v>48</v>
      </c>
      <c r="F682" s="13">
        <v>17.98</v>
      </c>
      <c r="G682" s="28">
        <v>18.56</v>
      </c>
      <c r="H682" s="34">
        <f>'2018'!BH682</f>
        <v>0</v>
      </c>
      <c r="I682" s="13"/>
      <c r="J682" s="15"/>
      <c r="K682" s="15"/>
      <c r="L682" s="28"/>
      <c r="Q682" s="13"/>
      <c r="R682" s="15"/>
      <c r="S682" s="15"/>
      <c r="T682" s="28"/>
      <c r="Y682" s="13"/>
      <c r="Z682" s="15"/>
      <c r="AA682" s="15"/>
      <c r="AB682" s="28"/>
      <c r="AC682" s="15"/>
      <c r="AD682" s="15"/>
      <c r="AE682" s="34">
        <f>AD682*$F$10</f>
        <v>0</v>
      </c>
      <c r="AG682" s="13"/>
      <c r="AH682" s="15">
        <f t="shared" si="2149"/>
        <v>0</v>
      </c>
      <c r="AI682" s="45">
        <f>AH682*$G$10</f>
        <v>0</v>
      </c>
      <c r="AJ682" s="28"/>
      <c r="AK682" s="13"/>
      <c r="AL682" s="15">
        <f t="shared" si="2150"/>
        <v>0</v>
      </c>
      <c r="AM682" s="45">
        <f>AL682*$G$10</f>
        <v>0</v>
      </c>
      <c r="AN682" s="28"/>
      <c r="AO682" s="13"/>
      <c r="AP682" s="15">
        <f t="shared" si="2151"/>
        <v>0</v>
      </c>
      <c r="AQ682" s="45">
        <f>AP682*$G$10</f>
        <v>0</v>
      </c>
      <c r="AR682" s="28"/>
      <c r="AS682" s="13"/>
      <c r="AT682" s="15">
        <f t="shared" si="2152"/>
        <v>0</v>
      </c>
      <c r="AU682" s="45">
        <f>AT682*$G$10</f>
        <v>0</v>
      </c>
      <c r="AV682" s="15"/>
      <c r="AW682" s="13"/>
      <c r="AX682" s="15"/>
      <c r="AY682" s="15"/>
      <c r="AZ682" s="28"/>
      <c r="BA682" s="15"/>
      <c r="BB682" s="15"/>
      <c r="BC682" s="15"/>
      <c r="BD682" s="15"/>
      <c r="BE682" s="40">
        <f t="shared" ref="BE682:BG682" si="2154">J682+N682+R682+V682+Z682+AD682+AH682+AL682+AP682+AT682+AX682+BB682</f>
        <v>0</v>
      </c>
      <c r="BF682" s="41">
        <f t="shared" si="2154"/>
        <v>0</v>
      </c>
      <c r="BG682" s="34">
        <f t="shared" si="2154"/>
        <v>0</v>
      </c>
      <c r="BH682" s="35">
        <f t="shared" si="2148"/>
        <v>0</v>
      </c>
    </row>
    <row r="683" ht="14.25" customHeight="1" spans="1:60" x14ac:dyDescent="0.25">
      <c r="A683" s="79">
        <v>86</v>
      </c>
      <c r="B683" s="14"/>
      <c r="C683" s="15" t="s">
        <v>306</v>
      </c>
      <c r="D683" s="14" t="s">
        <v>47</v>
      </c>
      <c r="E683" s="2" t="s">
        <v>49</v>
      </c>
      <c r="F683" s="41">
        <v>500</v>
      </c>
      <c r="G683" s="28"/>
      <c r="H683" s="144">
        <f>'2018'!BH683</f>
        <v>0</v>
      </c>
      <c r="I683" s="13"/>
      <c r="J683" s="15"/>
      <c r="K683" s="15"/>
      <c r="L683" s="28"/>
      <c r="Q683" s="13"/>
      <c r="R683" s="15"/>
      <c r="S683" s="15"/>
      <c r="T683" s="28"/>
      <c r="Y683" s="13"/>
      <c r="Z683" s="15"/>
      <c r="AA683" s="34"/>
      <c r="AB683" s="28"/>
      <c r="AC683" s="15"/>
      <c r="AG683" s="13"/>
      <c r="AH683" s="15"/>
      <c r="AI683" s="15"/>
      <c r="AJ683" s="28"/>
      <c r="AK683" s="13"/>
      <c r="AL683" s="15"/>
      <c r="AM683" s="34"/>
      <c r="AN683" s="28"/>
      <c r="AO683" s="13"/>
      <c r="AP683" s="15"/>
      <c r="AQ683" s="34"/>
      <c r="AR683" s="28"/>
      <c r="AS683" s="15"/>
      <c r="AT683" s="15"/>
      <c r="AU683" s="15"/>
      <c r="AV683" s="15"/>
      <c r="AW683" s="13"/>
      <c r="AX683" s="15"/>
      <c r="AY683" s="15"/>
      <c r="AZ683" s="28"/>
      <c r="BA683" s="15"/>
      <c r="BB683" s="15"/>
      <c r="BC683" s="15"/>
      <c r="BD683" s="15"/>
      <c r="BE683" s="14"/>
      <c r="BF683" s="41">
        <f t="shared" ref="BF683:BG683" si="2155">K683+O683+S683+W683+AA683+AE683+AI683+AM683+AQ683+AU683+AY683+BC683</f>
        <v>0</v>
      </c>
      <c r="BG683" s="34">
        <f t="shared" si="2155"/>
        <v>0</v>
      </c>
      <c r="BH683" s="35">
        <f t="shared" si="2148"/>
        <v>0</v>
      </c>
    </row>
    <row r="684" ht="14.25" customHeight="1" spans="1:60" x14ac:dyDescent="0.25">
      <c r="A684" s="79">
        <v>86</v>
      </c>
      <c r="B684" s="14"/>
      <c r="C684" s="2" t="s">
        <v>307</v>
      </c>
      <c r="D684" s="14" t="s">
        <v>50</v>
      </c>
      <c r="E684" s="2" t="s">
        <v>49</v>
      </c>
      <c r="F684" s="41">
        <v>1200</v>
      </c>
      <c r="G684" s="28"/>
      <c r="H684" s="34">
        <f>'2018'!BH684</f>
        <v>0.002400000001</v>
      </c>
      <c r="I684" s="13"/>
      <c r="J684" s="15"/>
      <c r="K684" s="15"/>
      <c r="L684" s="28"/>
      <c r="Q684" s="13"/>
      <c r="R684" s="15"/>
      <c r="S684" s="15"/>
      <c r="T684" s="28"/>
      <c r="Y684" s="13"/>
      <c r="Z684" s="15"/>
      <c r="AA684" s="15"/>
      <c r="AB684" s="28"/>
      <c r="AE684" s="34">
        <f>B681*$F$12</f>
        <v>5076</v>
      </c>
      <c r="AG684" s="13"/>
      <c r="AH684" s="15"/>
      <c r="AI684" s="15"/>
      <c r="AJ684" s="38"/>
      <c r="AK684" s="13"/>
      <c r="AL684" s="15"/>
      <c r="AM684" s="15"/>
      <c r="AN684" s="28"/>
      <c r="AO684" s="13"/>
      <c r="AP684" s="15"/>
      <c r="AQ684" s="15"/>
      <c r="AR684" s="28"/>
      <c r="AS684" s="15"/>
      <c r="AT684" s="15"/>
      <c r="AU684" s="15"/>
      <c r="AV684" s="15"/>
      <c r="AW684" s="13"/>
      <c r="AX684" s="15"/>
      <c r="AY684" s="15"/>
      <c r="AZ684" s="28"/>
      <c r="BA684" s="15"/>
      <c r="BB684" s="15"/>
      <c r="BC684" s="15"/>
      <c r="BD684" s="15"/>
      <c r="BE684" s="14"/>
      <c r="BF684" s="41">
        <f t="shared" ref="BF684:BG684" si="2156">K684+O684+S684+W684+AA684+AE684+AI684+AM684+AQ684+AU684+AY684+BC684</f>
        <v>5076</v>
      </c>
      <c r="BG684" s="34">
        <f t="shared" si="2156"/>
        <v>0</v>
      </c>
      <c r="BH684" s="35">
        <f t="shared" si="2148"/>
        <v>5076.0024</v>
      </c>
    </row>
    <row r="685" ht="14.25" customHeight="1" spans="1:60" x14ac:dyDescent="0.25">
      <c r="A685" s="79">
        <v>86</v>
      </c>
      <c r="B685" s="14"/>
      <c r="D685" s="14" t="s">
        <v>51</v>
      </c>
      <c r="E685" s="2" t="s">
        <v>49</v>
      </c>
      <c r="F685" s="41">
        <v>1000</v>
      </c>
      <c r="G685" s="28"/>
      <c r="H685" s="34">
        <f>'2018'!BH685</f>
        <v>0</v>
      </c>
      <c r="I685" s="13"/>
      <c r="J685" s="15"/>
      <c r="K685" s="15"/>
      <c r="L685" s="28"/>
      <c r="Q685" s="13"/>
      <c r="R685" s="15"/>
      <c r="S685" s="15"/>
      <c r="T685" s="28"/>
      <c r="Y685" s="13"/>
      <c r="Z685" s="15"/>
      <c r="AA685" s="15"/>
      <c r="AB685" s="28"/>
      <c r="AE685" s="34">
        <f>$F$21</f>
        <v>1000</v>
      </c>
      <c r="AG685" s="13"/>
      <c r="AH685" s="15"/>
      <c r="AI685" s="15"/>
      <c r="AJ685" s="38"/>
      <c r="AK685" s="13"/>
      <c r="AL685" s="15"/>
      <c r="AM685" s="15"/>
      <c r="AN685" s="28"/>
      <c r="AO685" s="13"/>
      <c r="AP685" s="15"/>
      <c r="AQ685" s="15"/>
      <c r="AR685" s="28"/>
      <c r="AS685" s="15"/>
      <c r="AT685" s="15"/>
      <c r="AU685" s="15"/>
      <c r="AV685" s="15"/>
      <c r="AW685" s="13"/>
      <c r="AX685" s="15"/>
      <c r="AY685" s="15"/>
      <c r="AZ685" s="28"/>
      <c r="BA685" s="15"/>
      <c r="BB685" s="15"/>
      <c r="BC685" s="15"/>
      <c r="BD685" s="15"/>
      <c r="BE685" s="14"/>
      <c r="BF685" s="41">
        <f t="shared" ref="BF685:BG685" si="2157">K685+O685+S685+W685+AA685+AE685+AI685+AM685+AQ685+AU685+AY685+BC685</f>
        <v>1000</v>
      </c>
      <c r="BG685" s="34">
        <f t="shared" si="2157"/>
        <v>0</v>
      </c>
      <c r="BH685" s="35">
        <f t="shared" si="2148"/>
        <v>1000</v>
      </c>
    </row>
    <row r="686" ht="14.25" customHeight="1" spans="1:60" x14ac:dyDescent="0.25">
      <c r="A686" s="79">
        <v>86</v>
      </c>
      <c r="B686" s="14"/>
      <c r="D686" s="14" t="s">
        <v>52</v>
      </c>
      <c r="E686" s="2" t="s">
        <v>39</v>
      </c>
      <c r="F686" s="41">
        <v>500</v>
      </c>
      <c r="G686" s="28"/>
      <c r="H686" s="34">
        <f>'2018'!BH686</f>
        <v>0</v>
      </c>
      <c r="I686" s="13"/>
      <c r="J686" s="15"/>
      <c r="K686" s="15"/>
      <c r="L686" s="28"/>
      <c r="Q686" s="13"/>
      <c r="R686" s="15"/>
      <c r="S686" s="15"/>
      <c r="T686" s="28"/>
      <c r="Y686" s="13"/>
      <c r="Z686" s="15"/>
      <c r="AA686" s="34">
        <f>$F$14</f>
        <v>500</v>
      </c>
      <c r="AB686" s="28"/>
      <c r="AG686" s="13"/>
      <c r="AH686" s="15"/>
      <c r="AI686" s="15"/>
      <c r="AJ686" s="38"/>
      <c r="AK686" s="13"/>
      <c r="AL686" s="15"/>
      <c r="AM686" s="15"/>
      <c r="AN686" s="28"/>
      <c r="AO686" s="13"/>
      <c r="AP686" s="15"/>
      <c r="AQ686" s="15"/>
      <c r="AR686" s="28"/>
      <c r="AS686" s="15"/>
      <c r="AT686" s="15"/>
      <c r="AU686" s="15"/>
      <c r="AV686" s="15"/>
      <c r="AW686" s="13"/>
      <c r="AX686" s="15"/>
      <c r="AY686" s="15"/>
      <c r="AZ686" s="28"/>
      <c r="BA686" s="15"/>
      <c r="BB686" s="15"/>
      <c r="BC686" s="15"/>
      <c r="BD686" s="15"/>
      <c r="BE686" s="14"/>
      <c r="BF686" s="41">
        <f t="shared" ref="BF686:BG686" si="2158">K686+O686+S686+W686+AA686+AE686+AI686+AM686+AQ686+AU686+AY686+BC686</f>
        <v>500</v>
      </c>
      <c r="BG686" s="34">
        <f t="shared" si="2158"/>
        <v>0</v>
      </c>
      <c r="BH686" s="35">
        <f t="shared" si="2148"/>
        <v>500</v>
      </c>
    </row>
    <row r="687" ht="14.25" customHeight="1" spans="1:62" x14ac:dyDescent="0.25">
      <c r="A687" s="50">
        <v>86</v>
      </c>
      <c r="B687" s="21"/>
      <c r="C687" s="22" t="s">
        <v>53</v>
      </c>
      <c r="D687" s="21"/>
      <c r="E687" s="22"/>
      <c r="F687" s="20"/>
      <c r="G687" s="23"/>
      <c r="H687" s="51">
        <f>SUM(H680:H686)</f>
        <v>0.002400000001</v>
      </c>
      <c r="I687" s="52"/>
      <c r="J687" s="53"/>
      <c r="K687" s="51">
        <f t="shared" ref="K687:L687" si="2159">SUM(K680:K686)</f>
        <v>0</v>
      </c>
      <c r="L687" s="68">
        <f t="shared" si="2159"/>
        <v>0</v>
      </c>
      <c r="M687" s="53"/>
      <c r="N687" s="53"/>
      <c r="O687" s="51">
        <f t="shared" ref="O687:P687" si="2160">SUM(O681:O686)</f>
        <v>0</v>
      </c>
      <c r="P687" s="51">
        <f t="shared" si="2160"/>
        <v>0</v>
      </c>
      <c r="Q687" s="52"/>
      <c r="R687" s="53"/>
      <c r="S687" s="51">
        <f t="shared" ref="S687:T687" si="2161">SUM(S681:S686)</f>
        <v>0</v>
      </c>
      <c r="T687" s="68">
        <f t="shared" si="2161"/>
        <v>0</v>
      </c>
      <c r="U687" s="53"/>
      <c r="V687" s="53"/>
      <c r="W687" s="51">
        <f t="shared" ref="W687:X687" si="2162">SUM(W681:W686)</f>
        <v>0</v>
      </c>
      <c r="X687" s="51">
        <f t="shared" si="2162"/>
        <v>0</v>
      </c>
      <c r="Y687" s="52"/>
      <c r="Z687" s="53"/>
      <c r="AA687" s="51">
        <f t="shared" ref="AA687:AB687" si="2163">SUM(AA681:AA686)</f>
        <v>500</v>
      </c>
      <c r="AB687" s="68">
        <f t="shared" si="2163"/>
        <v>0</v>
      </c>
      <c r="AC687" s="53"/>
      <c r="AD687" s="53"/>
      <c r="AE687" s="51">
        <f t="shared" ref="AE687:AF687" si="2164">SUM(AE681:AE686)</f>
        <v>6076</v>
      </c>
      <c r="AF687" s="51">
        <f t="shared" si="2164"/>
        <v>0</v>
      </c>
      <c r="AG687" s="52"/>
      <c r="AH687" s="53"/>
      <c r="AI687" s="51">
        <f t="shared" ref="AI687:AJ687" si="2165">SUM(AI681:AI686)</f>
        <v>0</v>
      </c>
      <c r="AJ687" s="68">
        <f t="shared" si="2165"/>
        <v>0</v>
      </c>
      <c r="AK687" s="52"/>
      <c r="AL687" s="53"/>
      <c r="AM687" s="51">
        <f t="shared" ref="AM687:AN687" si="2166">SUM(AM681:AM686)</f>
        <v>0</v>
      </c>
      <c r="AN687" s="68">
        <f t="shared" si="2166"/>
        <v>0</v>
      </c>
      <c r="AO687" s="52"/>
      <c r="AP687" s="53"/>
      <c r="AQ687" s="51">
        <f t="shared" ref="AQ687:AR687" si="2167">SUM(AQ680:AQ686)</f>
        <v>18.23</v>
      </c>
      <c r="AR687" s="68">
        <f t="shared" si="2167"/>
        <v>0</v>
      </c>
      <c r="AS687" s="53"/>
      <c r="AT687" s="53"/>
      <c r="AU687" s="51">
        <f t="shared" ref="AU687:AV687" si="2168">SUM(AU680:AU686)</f>
        <v>18.84</v>
      </c>
      <c r="AV687" s="68">
        <f t="shared" si="2168"/>
        <v>0</v>
      </c>
      <c r="AW687" s="52"/>
      <c r="AX687" s="53"/>
      <c r="AY687" s="51">
        <f t="shared" ref="AY687:AZ687" si="2169">SUM(AY680:AY686)</f>
        <v>18.23</v>
      </c>
      <c r="AZ687" s="68">
        <f t="shared" si="2169"/>
        <v>0</v>
      </c>
      <c r="BA687" s="53"/>
      <c r="BB687" s="53"/>
      <c r="BC687" s="51">
        <f t="shared" ref="BC687:BD687" si="2170">SUM(BC680:BC686)</f>
        <v>18.84</v>
      </c>
      <c r="BD687" s="68">
        <f t="shared" si="2170"/>
        <v>0</v>
      </c>
      <c r="BE687" s="69"/>
      <c r="BF687" s="70">
        <f t="shared" ref="BF687:BH687" si="2171">SUM(BF680:BF686)</f>
        <v>6650.14</v>
      </c>
      <c r="BG687" s="71">
        <f t="shared" si="2171"/>
        <v>0</v>
      </c>
      <c r="BH687" s="72">
        <f t="shared" si="2171"/>
        <v>6650.1424</v>
      </c>
      <c r="BI687" s="34">
        <f>H687+BF687-BG687</f>
        <v>6650.1424</v>
      </c>
      <c r="BJ687" s="34">
        <f>BH687-BI687</f>
        <v>0</v>
      </c>
    </row>
    <row r="688" ht="14.25" customHeight="1" spans="1:60" x14ac:dyDescent="0.25">
      <c r="A688" s="79">
        <v>88</v>
      </c>
      <c r="B688" s="14"/>
      <c r="D688" s="14" t="s">
        <v>379</v>
      </c>
      <c r="F688" s="13"/>
      <c r="G688" s="28"/>
      <c r="H688" s="34">
        <f>'2018'!BH688</f>
      </c>
      <c r="I688" s="13"/>
      <c r="J688" s="15"/>
      <c r="K688" s="15"/>
      <c r="L688" s="28"/>
      <c r="Q688" s="13"/>
      <c r="R688" s="15"/>
      <c r="S688" s="15"/>
      <c r="T688" s="28"/>
      <c r="Y688" s="13"/>
      <c r="Z688" s="15"/>
      <c r="AA688" s="15"/>
      <c r="AB688" s="28"/>
      <c r="AG688" s="13"/>
      <c r="AH688" s="15"/>
      <c r="AI688" s="15"/>
      <c r="AJ688" s="28"/>
      <c r="AK688" s="13"/>
      <c r="AL688" s="15"/>
      <c r="AM688" s="15"/>
      <c r="AN688" s="28"/>
      <c r="AO688" s="13"/>
      <c r="AP688" s="15"/>
      <c r="AQ688" s="15">
        <v>1.22</v>
      </c>
      <c r="AR688" s="28"/>
      <c r="AW688" s="13"/>
      <c r="AX688" s="15"/>
      <c r="AY688" s="15"/>
      <c r="AZ688" s="28"/>
      <c r="BE688" s="14"/>
      <c r="BF688" s="41">
        <f t="shared" ref="BF688:BG688" si="2172">K688+O688+S688+W688+AA688+AE688+AI688+AM688+AQ688+AU688+AY688+BC688</f>
        <v>1.22</v>
      </c>
      <c r="BG688" s="34">
        <f t="shared" si="2172"/>
        <v>0</v>
      </c>
      <c r="BH688" s="35">
        <f t="shared" ref="BH688:BH694" si="2173">H688+BF688-BG688</f>
        <v>1.22</v>
      </c>
    </row>
    <row r="689" ht="14.25" customHeight="1" spans="1:60" x14ac:dyDescent="0.25">
      <c r="A689" s="89">
        <v>88</v>
      </c>
      <c r="B689" s="14">
        <v>4.23</v>
      </c>
      <c r="C689" s="2" t="s">
        <v>308</v>
      </c>
      <c r="D689" s="14" t="s">
        <v>44</v>
      </c>
      <c r="E689" s="2" t="s">
        <v>45</v>
      </c>
      <c r="F689" s="13">
        <v>2.49</v>
      </c>
      <c r="G689" s="35">
        <v>2.5</v>
      </c>
      <c r="H689" s="104">
        <f>'2018'!BH689</f>
        <v>0</v>
      </c>
      <c r="I689" s="13"/>
      <c r="J689" s="15"/>
      <c r="K689" s="34">
        <f>J689*$F$8</f>
        <v>0</v>
      </c>
      <c r="L689" s="28"/>
      <c r="N689" s="15">
        <f>M689-I689</f>
        <v>0</v>
      </c>
      <c r="O689" s="34">
        <f>N689*$F$8</f>
        <v>0</v>
      </c>
      <c r="Q689" s="13"/>
      <c r="R689" s="15">
        <f>Q689-M689</f>
        <v>0</v>
      </c>
      <c r="S689" s="34">
        <f>R689*$F$8</f>
        <v>0</v>
      </c>
      <c r="T689" s="28"/>
      <c r="V689" s="15">
        <f>U689-Q689</f>
        <v>0</v>
      </c>
      <c r="Y689" s="13"/>
      <c r="Z689" s="15">
        <f>Y689-U689</f>
        <v>0</v>
      </c>
      <c r="AA689" s="34">
        <f>Z689*$F$8</f>
        <v>0</v>
      </c>
      <c r="AB689" s="28"/>
      <c r="AC689" s="15"/>
      <c r="AD689" s="15">
        <f>AC689-Y689</f>
        <v>0</v>
      </c>
      <c r="AE689" s="34">
        <f>AD689*$G$8</f>
        <v>0</v>
      </c>
      <c r="AG689" s="13"/>
      <c r="AH689" s="15">
        <f t="shared" ref="AH689:AH690" si="2174">AG689-AC689</f>
        <v>0</v>
      </c>
      <c r="AI689" s="34">
        <f>AH689*$G$8</f>
        <v>0</v>
      </c>
      <c r="AJ689" s="28"/>
      <c r="AK689" s="13"/>
      <c r="AL689" s="15">
        <f t="shared" ref="AL689:AL690" si="2175">AK689-AG689</f>
        <v>0</v>
      </c>
      <c r="AM689" s="34">
        <f>AL689*$G$8</f>
        <v>0</v>
      </c>
      <c r="AN689" s="28"/>
      <c r="AO689" s="13"/>
      <c r="AP689" s="15">
        <f t="shared" ref="AP689:AP690" si="2176">AO689-AK689</f>
        <v>0</v>
      </c>
      <c r="AQ689" s="34">
        <f>AP689*$G$8</f>
        <v>0</v>
      </c>
      <c r="AR689" s="28"/>
      <c r="AS689" s="15"/>
      <c r="AT689" s="15">
        <f t="shared" ref="AT689:AT690" si="2177">AS689-AO689</f>
        <v>0</v>
      </c>
      <c r="AU689" s="34">
        <f>AT689*$G$8</f>
        <v>0</v>
      </c>
      <c r="AV689" s="15"/>
      <c r="AW689" s="13"/>
      <c r="AX689" s="15">
        <f>AW689-AS689</f>
        <v>0</v>
      </c>
      <c r="AY689" s="34">
        <f>AX689*$G$8</f>
        <v>0</v>
      </c>
      <c r="AZ689" s="28"/>
      <c r="BA689" s="15"/>
      <c r="BB689" s="15">
        <f>BA689-AW689</f>
        <v>0</v>
      </c>
      <c r="BC689" s="34">
        <f>BB689*$G$8</f>
        <v>0</v>
      </c>
      <c r="BD689" s="15"/>
      <c r="BE689" s="40">
        <f t="shared" ref="BE689:BG689" si="2178">J689+N689+R689+V689+Z689+AD689+AH689+AL689+AP689+AT689+AX689+BB689</f>
        <v>0</v>
      </c>
      <c r="BF689" s="41">
        <f t="shared" si="2178"/>
        <v>0</v>
      </c>
      <c r="BG689" s="34">
        <f t="shared" si="2178"/>
        <v>0</v>
      </c>
      <c r="BH689" s="35">
        <f t="shared" si="2173"/>
        <v>0</v>
      </c>
    </row>
    <row r="690" ht="14.25" customHeight="1" spans="1:60" x14ac:dyDescent="0.25">
      <c r="A690" s="79">
        <v>88</v>
      </c>
      <c r="B690" s="14"/>
      <c r="C690" s="2" t="s">
        <v>309</v>
      </c>
      <c r="D690" s="14" t="s">
        <v>47</v>
      </c>
      <c r="E690" s="2" t="s">
        <v>48</v>
      </c>
      <c r="F690" s="13">
        <v>17.98</v>
      </c>
      <c r="G690" s="28">
        <v>18.56</v>
      </c>
      <c r="H690" s="34">
        <f>'2018'!BH690</f>
        <v>0</v>
      </c>
      <c r="I690" s="13"/>
      <c r="J690" s="15"/>
      <c r="K690" s="15"/>
      <c r="L690" s="28"/>
      <c r="Q690" s="13"/>
      <c r="R690" s="15"/>
      <c r="S690" s="15"/>
      <c r="T690" s="28"/>
      <c r="Y690" s="13"/>
      <c r="Z690" s="15"/>
      <c r="AA690" s="15"/>
      <c r="AB690" s="28"/>
      <c r="AC690" s="15"/>
      <c r="AD690" s="15"/>
      <c r="AE690" s="34">
        <f>AD690*$F$10</f>
        <v>0</v>
      </c>
      <c r="AG690" s="13"/>
      <c r="AH690" s="15">
        <f t="shared" si="2174"/>
        <v>0</v>
      </c>
      <c r="AI690" s="45">
        <f>AH690*$G$10</f>
        <v>0</v>
      </c>
      <c r="AJ690" s="28"/>
      <c r="AK690" s="13"/>
      <c r="AL690" s="15">
        <f t="shared" si="2175"/>
        <v>0</v>
      </c>
      <c r="AM690" s="45">
        <f>AL690*$G$10</f>
        <v>0</v>
      </c>
      <c r="AN690" s="28"/>
      <c r="AO690" s="13"/>
      <c r="AP690" s="15">
        <f t="shared" si="2176"/>
        <v>0</v>
      </c>
      <c r="AQ690" s="45">
        <f>AP690*$G$10</f>
        <v>0</v>
      </c>
      <c r="AR690" s="28"/>
      <c r="AS690" s="13"/>
      <c r="AT690" s="15">
        <f t="shared" si="2177"/>
        <v>0</v>
      </c>
      <c r="AU690" s="45">
        <f>AT690*$G$10</f>
        <v>0</v>
      </c>
      <c r="AV690" s="15"/>
      <c r="AW690" s="13"/>
      <c r="AX690" s="15"/>
      <c r="AY690" s="15"/>
      <c r="AZ690" s="28"/>
      <c r="BA690" s="15"/>
      <c r="BB690" s="15"/>
      <c r="BC690" s="15"/>
      <c r="BD690" s="15"/>
      <c r="BE690" s="40">
        <f t="shared" ref="BE690:BG690" si="2179">J690+N690+R690+V690+Z690+AD690+AH690+AL690+AP690+AT690+AX690+BB690</f>
        <v>0</v>
      </c>
      <c r="BF690" s="41">
        <f t="shared" si="2179"/>
        <v>0</v>
      </c>
      <c r="BG690" s="34">
        <f t="shared" si="2179"/>
        <v>0</v>
      </c>
      <c r="BH690" s="35">
        <f t="shared" si="2173"/>
        <v>0</v>
      </c>
    </row>
    <row r="691" ht="14.25" customHeight="1" spans="1:60" x14ac:dyDescent="0.25">
      <c r="A691" s="79">
        <v>88</v>
      </c>
      <c r="B691" s="14"/>
      <c r="C691" s="15" t="s">
        <v>72</v>
      </c>
      <c r="D691" s="14" t="s">
        <v>47</v>
      </c>
      <c r="E691" s="2" t="s">
        <v>49</v>
      </c>
      <c r="F691" s="41">
        <v>500</v>
      </c>
      <c r="G691" s="28"/>
      <c r="H691" s="144">
        <f>'2018'!BH691</f>
        <v>0</v>
      </c>
      <c r="I691" s="13"/>
      <c r="J691" s="15"/>
      <c r="K691" s="15"/>
      <c r="L691" s="28"/>
      <c r="Q691" s="13"/>
      <c r="R691" s="15"/>
      <c r="S691" s="15"/>
      <c r="T691" s="28"/>
      <c r="Y691" s="13"/>
      <c r="Z691" s="15"/>
      <c r="AA691" s="34"/>
      <c r="AB691" s="28"/>
      <c r="AC691" s="15"/>
      <c r="AG691" s="13"/>
      <c r="AH691" s="15"/>
      <c r="AI691" s="15"/>
      <c r="AJ691" s="28"/>
      <c r="AK691" s="13"/>
      <c r="AL691" s="15"/>
      <c r="AM691" s="34"/>
      <c r="AN691" s="28"/>
      <c r="AO691" s="13"/>
      <c r="AP691" s="15"/>
      <c r="AQ691" s="34"/>
      <c r="AR691" s="28"/>
      <c r="AS691" s="15"/>
      <c r="AT691" s="15"/>
      <c r="AU691" s="15"/>
      <c r="AV691" s="15"/>
      <c r="AW691" s="13"/>
      <c r="AX691" s="15"/>
      <c r="AY691" s="15"/>
      <c r="AZ691" s="28"/>
      <c r="BA691" s="15"/>
      <c r="BB691" s="15"/>
      <c r="BC691" s="15"/>
      <c r="BD691" s="15"/>
      <c r="BE691" s="14"/>
      <c r="BF691" s="41">
        <f t="shared" ref="BF691:BG691" si="2180">K691+O691+S691+W691+AA691+AE691+AI691+AM691+AQ691+AU691+AY691+BC691</f>
        <v>0</v>
      </c>
      <c r="BG691" s="34">
        <f t="shared" si="2180"/>
        <v>0</v>
      </c>
      <c r="BH691" s="35">
        <f t="shared" si="2173"/>
        <v>0</v>
      </c>
    </row>
    <row r="692" ht="14.25" customHeight="1" spans="1:60" x14ac:dyDescent="0.25">
      <c r="A692" s="79">
        <v>88</v>
      </c>
      <c r="B692" s="14"/>
      <c r="C692" s="2" t="s">
        <v>310</v>
      </c>
      <c r="D692" s="14" t="s">
        <v>50</v>
      </c>
      <c r="E692" s="2" t="s">
        <v>49</v>
      </c>
      <c r="F692" s="41">
        <v>1200</v>
      </c>
      <c r="G692" s="28"/>
      <c r="H692" s="34">
        <f>'2018'!BH692</f>
        <v>0.002400000001</v>
      </c>
      <c r="I692" s="13"/>
      <c r="J692" s="15"/>
      <c r="K692" s="15"/>
      <c r="L692" s="28"/>
      <c r="Q692" s="13"/>
      <c r="R692" s="15"/>
      <c r="S692" s="15"/>
      <c r="T692" s="28"/>
      <c r="Y692" s="13"/>
      <c r="Z692" s="15"/>
      <c r="AA692" s="15"/>
      <c r="AB692" s="28"/>
      <c r="AE692" s="34">
        <f>B689*$F$12</f>
        <v>5076</v>
      </c>
      <c r="AG692" s="13"/>
      <c r="AH692" s="15"/>
      <c r="AI692" s="15"/>
      <c r="AJ692" s="35"/>
      <c r="AK692" s="13"/>
      <c r="AL692" s="15"/>
      <c r="AM692" s="15"/>
      <c r="AN692" s="28"/>
      <c r="AO692" s="13"/>
      <c r="AP692" s="15"/>
      <c r="AQ692" s="15"/>
      <c r="AR692" s="38">
        <v>5076</v>
      </c>
      <c r="AS692" s="15"/>
      <c r="AT692" s="15"/>
      <c r="AU692" s="15"/>
      <c r="AV692" s="15"/>
      <c r="AW692" s="13"/>
      <c r="AX692" s="15"/>
      <c r="AY692" s="15"/>
      <c r="AZ692" s="28"/>
      <c r="BA692" s="15"/>
      <c r="BB692" s="15"/>
      <c r="BC692" s="15"/>
      <c r="BD692" s="15"/>
      <c r="BE692" s="14"/>
      <c r="BF692" s="41">
        <f t="shared" ref="BF692:BG692" si="2181">K692+O692+S692+W692+AA692+AE692+AI692+AM692+AQ692+AU692+AY692+BC692</f>
        <v>5076</v>
      </c>
      <c r="BG692" s="34">
        <f t="shared" si="2181"/>
        <v>5076</v>
      </c>
      <c r="BH692" s="35">
        <f t="shared" si="2173"/>
        <v>0.002400000002</v>
      </c>
    </row>
    <row r="693" ht="14.25" customHeight="1" spans="1:60" x14ac:dyDescent="0.25">
      <c r="A693" s="79">
        <v>88</v>
      </c>
      <c r="B693" s="14"/>
      <c r="D693" s="14" t="s">
        <v>51</v>
      </c>
      <c r="E693" s="2" t="s">
        <v>49</v>
      </c>
      <c r="F693" s="41">
        <v>1000</v>
      </c>
      <c r="G693" s="28"/>
      <c r="H693" s="34">
        <f>'2018'!BH693</f>
        <v>0</v>
      </c>
      <c r="I693" s="13"/>
      <c r="J693" s="15"/>
      <c r="K693" s="15"/>
      <c r="L693" s="28"/>
      <c r="Q693" s="13"/>
      <c r="R693" s="15"/>
      <c r="S693" s="15"/>
      <c r="T693" s="28"/>
      <c r="Y693" s="13"/>
      <c r="Z693" s="15"/>
      <c r="AA693" s="15"/>
      <c r="AB693" s="28"/>
      <c r="AE693" s="34">
        <f>$F$21</f>
        <v>1000</v>
      </c>
      <c r="AG693" s="13"/>
      <c r="AH693" s="15"/>
      <c r="AI693" s="15"/>
      <c r="AJ693" s="28"/>
      <c r="AK693" s="13"/>
      <c r="AL693" s="15"/>
      <c r="AM693" s="15"/>
      <c r="AN693" s="28"/>
      <c r="AO693" s="13"/>
      <c r="AP693" s="15"/>
      <c r="AQ693" s="15"/>
      <c r="AR693" s="38">
        <v>1000</v>
      </c>
      <c r="AS693" s="15"/>
      <c r="AT693" s="15"/>
      <c r="AU693" s="15"/>
      <c r="AV693" s="15"/>
      <c r="AW693" s="13"/>
      <c r="AX693" s="15"/>
      <c r="AY693" s="15"/>
      <c r="AZ693" s="28"/>
      <c r="BA693" s="15"/>
      <c r="BB693" s="15"/>
      <c r="BC693" s="15"/>
      <c r="BD693" s="15"/>
      <c r="BE693" s="14"/>
      <c r="BF693" s="41">
        <f t="shared" ref="BF693:BG693" si="2182">K693+O693+S693+W693+AA693+AE693+AI693+AM693+AQ693+AU693+AY693+BC693</f>
        <v>1000</v>
      </c>
      <c r="BG693" s="34">
        <f t="shared" si="2182"/>
        <v>1000</v>
      </c>
      <c r="BH693" s="35">
        <f t="shared" si="2173"/>
        <v>0</v>
      </c>
    </row>
    <row r="694" ht="14.25" customHeight="1" spans="1:60" x14ac:dyDescent="0.25">
      <c r="A694" s="79">
        <v>88</v>
      </c>
      <c r="B694" s="14"/>
      <c r="D694" s="14" t="s">
        <v>52</v>
      </c>
      <c r="E694" s="2" t="s">
        <v>39</v>
      </c>
      <c r="F694" s="41">
        <v>500</v>
      </c>
      <c r="G694" s="28"/>
      <c r="H694" s="34">
        <f>'2018'!BH694</f>
        <v>0</v>
      </c>
      <c r="I694" s="13"/>
      <c r="J694" s="15"/>
      <c r="K694" s="15"/>
      <c r="L694" s="28"/>
      <c r="Q694" s="13"/>
      <c r="R694" s="15"/>
      <c r="S694" s="15"/>
      <c r="T694" s="28"/>
      <c r="Y694" s="13"/>
      <c r="Z694" s="15"/>
      <c r="AA694" s="34">
        <f>$F$14</f>
        <v>500</v>
      </c>
      <c r="AB694" s="28"/>
      <c r="AG694" s="13"/>
      <c r="AH694" s="15"/>
      <c r="AI694" s="15"/>
      <c r="AJ694" s="28"/>
      <c r="AK694" s="13"/>
      <c r="AL694" s="15"/>
      <c r="AM694" s="15"/>
      <c r="AN694" s="28"/>
      <c r="AO694" s="13"/>
      <c r="AP694" s="15"/>
      <c r="AQ694" s="15"/>
      <c r="AR694" s="38">
        <v>500</v>
      </c>
      <c r="AS694" s="15"/>
      <c r="AT694" s="15"/>
      <c r="AU694" s="15"/>
      <c r="AV694" s="15"/>
      <c r="AW694" s="13"/>
      <c r="AX694" s="15"/>
      <c r="AY694" s="15"/>
      <c r="AZ694" s="28"/>
      <c r="BA694" s="15"/>
      <c r="BB694" s="15"/>
      <c r="BC694" s="15"/>
      <c r="BD694" s="15"/>
      <c r="BE694" s="14"/>
      <c r="BF694" s="41">
        <f t="shared" ref="BF694:BG694" si="2183">K694+O694+S694+W694+AA694+AE694+AI694+AM694+AQ694+AU694+AY694+BC694</f>
        <v>500</v>
      </c>
      <c r="BG694" s="34">
        <f t="shared" si="2183"/>
        <v>500</v>
      </c>
      <c r="BH694" s="35">
        <f t="shared" si="2173"/>
        <v>0</v>
      </c>
    </row>
    <row r="695" ht="14.25" customHeight="1" spans="1:62" x14ac:dyDescent="0.25">
      <c r="A695" s="50">
        <v>88</v>
      </c>
      <c r="B695" s="21"/>
      <c r="C695" s="22" t="s">
        <v>53</v>
      </c>
      <c r="D695" s="21"/>
      <c r="E695" s="22"/>
      <c r="F695" s="20"/>
      <c r="G695" s="23"/>
      <c r="H695" s="51">
        <f>SUM(H688:H694)</f>
        <v>0.002400000001</v>
      </c>
      <c r="I695" s="52"/>
      <c r="J695" s="53"/>
      <c r="K695" s="51">
        <f t="shared" ref="K695:L695" si="2184">SUM(K688:K694)</f>
        <v>0</v>
      </c>
      <c r="L695" s="68">
        <f t="shared" si="2184"/>
        <v>0</v>
      </c>
      <c r="M695" s="53"/>
      <c r="N695" s="53"/>
      <c r="O695" s="51">
        <f t="shared" ref="O695:P695" si="2185">SUM(O689:O694)</f>
        <v>0</v>
      </c>
      <c r="P695" s="51">
        <f t="shared" si="2185"/>
        <v>0</v>
      </c>
      <c r="Q695" s="52"/>
      <c r="R695" s="53"/>
      <c r="S695" s="51">
        <f t="shared" ref="S695:T695" si="2186">SUM(S689:S694)</f>
        <v>0</v>
      </c>
      <c r="T695" s="68">
        <f t="shared" si="2186"/>
        <v>0</v>
      </c>
      <c r="U695" s="53"/>
      <c r="V695" s="53"/>
      <c r="W695" s="51">
        <f t="shared" ref="W695:X695" si="2187">SUM(W689:W694)</f>
        <v>0</v>
      </c>
      <c r="X695" s="51">
        <f t="shared" si="2187"/>
        <v>0</v>
      </c>
      <c r="Y695" s="52"/>
      <c r="Z695" s="53"/>
      <c r="AA695" s="51">
        <f t="shared" ref="AA695:AB695" si="2188">SUM(AA689:AA694)</f>
        <v>500</v>
      </c>
      <c r="AB695" s="68">
        <f t="shared" si="2188"/>
        <v>0</v>
      </c>
      <c r="AC695" s="53"/>
      <c r="AD695" s="53"/>
      <c r="AE695" s="51">
        <f t="shared" ref="AE695:AF695" si="2189">SUM(AE689:AE694)</f>
        <v>6076</v>
      </c>
      <c r="AF695" s="51">
        <f t="shared" si="2189"/>
        <v>0</v>
      </c>
      <c r="AG695" s="52"/>
      <c r="AH695" s="53"/>
      <c r="AI695" s="51">
        <f t="shared" ref="AI695:AJ695" si="2190">SUM(AI689:AI694)</f>
        <v>0</v>
      </c>
      <c r="AJ695" s="68">
        <f t="shared" si="2190"/>
        <v>0</v>
      </c>
      <c r="AK695" s="52"/>
      <c r="AL695" s="53"/>
      <c r="AM695" s="51">
        <f t="shared" ref="AM695:AN695" si="2191">SUM(AM689:AM694)</f>
        <v>0</v>
      </c>
      <c r="AN695" s="68">
        <f t="shared" si="2191"/>
        <v>0</v>
      </c>
      <c r="AO695" s="52"/>
      <c r="AP695" s="53"/>
      <c r="AQ695" s="51">
        <f t="shared" ref="AQ695:AR695" si="2192">SUM(AQ688:AQ694)</f>
        <v>1.22</v>
      </c>
      <c r="AR695" s="68">
        <f t="shared" si="2192"/>
        <v>6576</v>
      </c>
      <c r="AS695" s="53"/>
      <c r="AT695" s="53"/>
      <c r="AU695" s="51">
        <f t="shared" ref="AU695:AV695" si="2193">SUM(AU688:AU694)</f>
        <v>0</v>
      </c>
      <c r="AV695" s="68">
        <f t="shared" si="2193"/>
        <v>0</v>
      </c>
      <c r="AW695" s="52"/>
      <c r="AX695" s="53"/>
      <c r="AY695" s="51">
        <f t="shared" ref="AY695:AZ695" si="2194">SUM(AY688:AY694)</f>
        <v>0</v>
      </c>
      <c r="AZ695" s="68">
        <f t="shared" si="2194"/>
        <v>0</v>
      </c>
      <c r="BA695" s="53"/>
      <c r="BB695" s="53"/>
      <c r="BC695" s="51">
        <f t="shared" ref="BC695:BD695" si="2195">SUM(BC688:BC694)</f>
        <v>0</v>
      </c>
      <c r="BD695" s="68">
        <f t="shared" si="2195"/>
        <v>0</v>
      </c>
      <c r="BE695" s="69"/>
      <c r="BF695" s="70">
        <f t="shared" ref="BF695:BH695" si="2196">SUM(BF688:BF694)</f>
        <v>6577.22</v>
      </c>
      <c r="BG695" s="71">
        <f t="shared" si="2196"/>
        <v>6576</v>
      </c>
      <c r="BH695" s="72">
        <f t="shared" si="2196"/>
        <v>1.2224</v>
      </c>
      <c r="BI695" s="34">
        <f>H695+BF695-BG695</f>
        <v>1.2224</v>
      </c>
      <c r="BJ695" s="34">
        <f>BH695-BI695</f>
        <v>0</v>
      </c>
    </row>
    <row r="696" ht="14.25" customHeight="1" spans="1:60" x14ac:dyDescent="0.25">
      <c r="A696" s="79">
        <v>90</v>
      </c>
      <c r="B696" s="14"/>
      <c r="D696" s="14" t="s">
        <v>379</v>
      </c>
      <c r="F696" s="13"/>
      <c r="G696" s="28"/>
      <c r="H696" s="34">
        <f>'2018'!BH696</f>
      </c>
      <c r="I696" s="13"/>
      <c r="J696" s="15"/>
      <c r="K696" s="15"/>
      <c r="L696" s="28"/>
      <c r="Q696" s="13"/>
      <c r="R696" s="15"/>
      <c r="S696" s="15"/>
      <c r="T696" s="28"/>
      <c r="Y696" s="13"/>
      <c r="Z696" s="15"/>
      <c r="AA696" s="15"/>
      <c r="AB696" s="28"/>
      <c r="AG696" s="13"/>
      <c r="AH696" s="15"/>
      <c r="AI696" s="15"/>
      <c r="AJ696" s="28"/>
      <c r="AK696" s="13"/>
      <c r="AL696" s="15"/>
      <c r="AM696" s="15"/>
      <c r="AN696" s="28"/>
      <c r="AO696" s="13"/>
      <c r="AP696" s="15"/>
      <c r="AQ696" s="15">
        <v>1.22</v>
      </c>
      <c r="AR696" s="28"/>
      <c r="AW696" s="13"/>
      <c r="AX696" s="15"/>
      <c r="AY696" s="15"/>
      <c r="AZ696" s="28"/>
      <c r="BE696" s="14"/>
      <c r="BF696" s="41">
        <f t="shared" ref="BF696:BG696" si="2197">K696+O696+S696+W696+AA696+AE696+AI696+AM696+AQ696+AU696+AY696+BC696</f>
        <v>1.22</v>
      </c>
      <c r="BG696" s="34">
        <f t="shared" si="2197"/>
        <v>0</v>
      </c>
      <c r="BH696" s="35">
        <f t="shared" ref="BH696:BH702" si="2198">H696+BF696-BG696</f>
        <v>1.22</v>
      </c>
    </row>
    <row r="697" ht="14.25" customHeight="1" spans="1:60" x14ac:dyDescent="0.25">
      <c r="A697" s="89">
        <v>90</v>
      </c>
      <c r="B697" s="14">
        <v>4.23</v>
      </c>
      <c r="C697" s="2" t="s">
        <v>311</v>
      </c>
      <c r="D697" s="14" t="s">
        <v>44</v>
      </c>
      <c r="E697" s="2" t="s">
        <v>45</v>
      </c>
      <c r="F697" s="13">
        <v>2.49</v>
      </c>
      <c r="G697" s="35">
        <v>2.5</v>
      </c>
      <c r="H697" s="104">
        <f>'2018'!BH697</f>
        <v>0</v>
      </c>
      <c r="I697" s="13"/>
      <c r="J697" s="15"/>
      <c r="K697" s="34">
        <f>J697*$F$8</f>
        <v>0</v>
      </c>
      <c r="L697" s="28"/>
      <c r="N697" s="15">
        <f>M697-I697</f>
        <v>0</v>
      </c>
      <c r="O697" s="34">
        <f>N697*$F$8</f>
        <v>0</v>
      </c>
      <c r="Q697" s="13"/>
      <c r="R697" s="15">
        <f>Q697-M697</f>
        <v>0</v>
      </c>
      <c r="S697" s="34">
        <f>R697*$F$8</f>
        <v>0</v>
      </c>
      <c r="T697" s="28"/>
      <c r="V697" s="15">
        <f>U697-Q697</f>
        <v>0</v>
      </c>
      <c r="Y697" s="13"/>
      <c r="Z697" s="15">
        <f>Y697-U697</f>
        <v>0</v>
      </c>
      <c r="AA697" s="34">
        <f>Z697*$F$8</f>
        <v>0</v>
      </c>
      <c r="AB697" s="28"/>
      <c r="AC697" s="15"/>
      <c r="AD697" s="15">
        <f>AC697-Y697</f>
        <v>0</v>
      </c>
      <c r="AE697" s="34">
        <f>AD697*$G$8</f>
        <v>0</v>
      </c>
      <c r="AG697" s="13"/>
      <c r="AH697" s="15">
        <f t="shared" ref="AH697:AH698" si="2199">AG697-AC697</f>
        <v>0</v>
      </c>
      <c r="AI697" s="34">
        <f>AH697*$G$8</f>
        <v>0</v>
      </c>
      <c r="AJ697" s="28"/>
      <c r="AK697" s="13"/>
      <c r="AL697" s="15">
        <f t="shared" ref="AL697:AL698" si="2200">AK697-AG697</f>
        <v>0</v>
      </c>
      <c r="AM697" s="34">
        <f>AL697*$G$8</f>
        <v>0</v>
      </c>
      <c r="AN697" s="28"/>
      <c r="AO697" s="13"/>
      <c r="AP697" s="15">
        <f t="shared" ref="AP697:AP698" si="2201">AO697-AK697</f>
        <v>0</v>
      </c>
      <c r="AQ697" s="34">
        <f>AP697*$G$8</f>
        <v>0</v>
      </c>
      <c r="AR697" s="28"/>
      <c r="AS697" s="15"/>
      <c r="AT697" s="15">
        <f t="shared" ref="AT697:AT698" si="2202">AS697-AO697</f>
        <v>0</v>
      </c>
      <c r="AU697" s="34">
        <f>AT697*$G$8</f>
        <v>0</v>
      </c>
      <c r="AV697" s="15"/>
      <c r="AW697" s="13"/>
      <c r="AX697" s="15">
        <f>AW697-AS697</f>
        <v>0</v>
      </c>
      <c r="AY697" s="34">
        <f>AX697*$G$8</f>
        <v>0</v>
      </c>
      <c r="AZ697" s="28"/>
      <c r="BA697" s="15"/>
      <c r="BB697" s="15">
        <f>BA697-AW697</f>
        <v>0</v>
      </c>
      <c r="BC697" s="34">
        <f>BB697*$G$8</f>
        <v>0</v>
      </c>
      <c r="BD697" s="15"/>
      <c r="BE697" s="40">
        <f t="shared" ref="BE697:BG697" si="2203">J697+N697+R697+V697+Z697+AD697+AH697+AL697+AP697+AT697+AX697+BB697</f>
        <v>0</v>
      </c>
      <c r="BF697" s="41">
        <f t="shared" si="2203"/>
        <v>0</v>
      </c>
      <c r="BG697" s="34">
        <f t="shared" si="2203"/>
        <v>0</v>
      </c>
      <c r="BH697" s="35">
        <f t="shared" si="2198"/>
        <v>0</v>
      </c>
    </row>
    <row r="698" ht="14.25" customHeight="1" spans="1:60" x14ac:dyDescent="0.25">
      <c r="A698" s="79">
        <v>90</v>
      </c>
      <c r="B698" s="14"/>
      <c r="C698" s="2" t="s">
        <v>83</v>
      </c>
      <c r="D698" s="14" t="s">
        <v>47</v>
      </c>
      <c r="E698" s="2" t="s">
        <v>48</v>
      </c>
      <c r="F698" s="13">
        <v>17.98</v>
      </c>
      <c r="G698" s="28">
        <v>18.56</v>
      </c>
      <c r="H698" s="34">
        <f>'2018'!BH698</f>
        <v>0</v>
      </c>
      <c r="I698" s="13"/>
      <c r="J698" s="15"/>
      <c r="K698" s="15"/>
      <c r="L698" s="28"/>
      <c r="Q698" s="13"/>
      <c r="R698" s="15"/>
      <c r="S698" s="15"/>
      <c r="T698" s="28"/>
      <c r="Y698" s="13"/>
      <c r="Z698" s="15"/>
      <c r="AA698" s="15"/>
      <c r="AB698" s="28"/>
      <c r="AC698" s="15"/>
      <c r="AD698" s="15"/>
      <c r="AE698" s="34">
        <f>AD698*$F$10</f>
        <v>0</v>
      </c>
      <c r="AG698" s="13"/>
      <c r="AH698" s="15">
        <f t="shared" si="2199"/>
        <v>0</v>
      </c>
      <c r="AI698" s="45">
        <f>AH698*$G$10</f>
        <v>0</v>
      </c>
      <c r="AJ698" s="28"/>
      <c r="AK698" s="13"/>
      <c r="AL698" s="15">
        <f t="shared" si="2200"/>
        <v>0</v>
      </c>
      <c r="AM698" s="45">
        <f>AL698*$G$10</f>
        <v>0</v>
      </c>
      <c r="AN698" s="28"/>
      <c r="AO698" s="13"/>
      <c r="AP698" s="15">
        <f t="shared" si="2201"/>
        <v>0</v>
      </c>
      <c r="AQ698" s="45">
        <f>AP698*$G$10</f>
        <v>0</v>
      </c>
      <c r="AR698" s="28"/>
      <c r="AS698" s="13"/>
      <c r="AT698" s="15">
        <f t="shared" si="2202"/>
        <v>0</v>
      </c>
      <c r="AU698" s="45">
        <f>AT698*$G$10</f>
        <v>0</v>
      </c>
      <c r="AV698" s="15"/>
      <c r="AW698" s="13"/>
      <c r="AX698" s="15"/>
      <c r="AY698" s="15"/>
      <c r="AZ698" s="28"/>
      <c r="BA698" s="15"/>
      <c r="BB698" s="15"/>
      <c r="BC698" s="15"/>
      <c r="BD698" s="15"/>
      <c r="BE698" s="40">
        <f t="shared" ref="BE698:BG698" si="2204">J698+N698+R698+V698+Z698+AD698+AH698+AL698+AP698+AT698+AX698+BB698</f>
        <v>0</v>
      </c>
      <c r="BF698" s="41">
        <f t="shared" si="2204"/>
        <v>0</v>
      </c>
      <c r="BG698" s="34">
        <f t="shared" si="2204"/>
        <v>0</v>
      </c>
      <c r="BH698" s="35">
        <f t="shared" si="2198"/>
        <v>0</v>
      </c>
    </row>
    <row r="699" ht="14.25" customHeight="1" spans="1:60" x14ac:dyDescent="0.25">
      <c r="A699" s="79">
        <v>90</v>
      </c>
      <c r="B699" s="14"/>
      <c r="C699" s="15" t="s">
        <v>107</v>
      </c>
      <c r="D699" s="14" t="s">
        <v>47</v>
      </c>
      <c r="E699" s="2" t="s">
        <v>49</v>
      </c>
      <c r="F699" s="41">
        <v>500</v>
      </c>
      <c r="G699" s="28"/>
      <c r="H699" s="144">
        <f>'2018'!BH699</f>
        <v>0</v>
      </c>
      <c r="I699" s="13"/>
      <c r="J699" s="15"/>
      <c r="K699" s="15"/>
      <c r="L699" s="28"/>
      <c r="Q699" s="13"/>
      <c r="R699" s="15"/>
      <c r="S699" s="15"/>
      <c r="T699" s="28"/>
      <c r="Y699" s="13"/>
      <c r="Z699" s="15"/>
      <c r="AA699" s="34"/>
      <c r="AB699" s="28"/>
      <c r="AC699" s="15"/>
      <c r="AG699" s="13"/>
      <c r="AH699" s="15"/>
      <c r="AI699" s="15"/>
      <c r="AJ699" s="28"/>
      <c r="AK699" s="13"/>
      <c r="AL699" s="15"/>
      <c r="AM699" s="34"/>
      <c r="AN699" s="28"/>
      <c r="AO699" s="13"/>
      <c r="AP699" s="15"/>
      <c r="AQ699" s="34"/>
      <c r="AR699" s="28"/>
      <c r="AS699" s="15"/>
      <c r="AT699" s="15"/>
      <c r="AU699" s="15"/>
      <c r="AV699" s="15"/>
      <c r="AW699" s="13"/>
      <c r="AX699" s="15"/>
      <c r="AY699" s="15"/>
      <c r="AZ699" s="28"/>
      <c r="BA699" s="15"/>
      <c r="BB699" s="15"/>
      <c r="BC699" s="15"/>
      <c r="BD699" s="15"/>
      <c r="BE699" s="14"/>
      <c r="BF699" s="41">
        <f t="shared" ref="BF699:BG699" si="2205">K699+O699+S699+W699+AA699+AE699+AI699+AM699+AQ699+AU699+AY699+BC699</f>
        <v>0</v>
      </c>
      <c r="BG699" s="34">
        <f t="shared" si="2205"/>
        <v>0</v>
      </c>
      <c r="BH699" s="35">
        <f t="shared" si="2198"/>
        <v>0</v>
      </c>
    </row>
    <row r="700" ht="14.25" customHeight="1" spans="1:60" x14ac:dyDescent="0.25">
      <c r="A700" s="79">
        <v>90</v>
      </c>
      <c r="B700" s="14"/>
      <c r="D700" s="14" t="s">
        <v>50</v>
      </c>
      <c r="E700" s="2" t="s">
        <v>49</v>
      </c>
      <c r="F700" s="41">
        <v>1200</v>
      </c>
      <c r="G700" s="28"/>
      <c r="H700" s="34">
        <f>'2018'!BH700</f>
        <v>0.002400000001</v>
      </c>
      <c r="I700" s="13"/>
      <c r="J700" s="15"/>
      <c r="K700" s="15"/>
      <c r="L700" s="28"/>
      <c r="Q700" s="13"/>
      <c r="R700" s="15"/>
      <c r="S700" s="15"/>
      <c r="T700" s="28"/>
      <c r="Y700" s="13"/>
      <c r="Z700" s="15"/>
      <c r="AA700" s="15"/>
      <c r="AB700" s="28"/>
      <c r="AE700" s="34">
        <f>B697*$F$12</f>
        <v>5076</v>
      </c>
      <c r="AG700" s="13"/>
      <c r="AH700" s="15"/>
      <c r="AI700" s="15"/>
      <c r="AJ700" s="35"/>
      <c r="AK700" s="13"/>
      <c r="AL700" s="15"/>
      <c r="AM700" s="15"/>
      <c r="AN700" s="28"/>
      <c r="AO700" s="13"/>
      <c r="AP700" s="15"/>
      <c r="AQ700" s="15"/>
      <c r="AR700" s="38">
        <v>5076</v>
      </c>
      <c r="AS700" s="15"/>
      <c r="AT700" s="15"/>
      <c r="AU700" s="15"/>
      <c r="AV700" s="15"/>
      <c r="AW700" s="13"/>
      <c r="AX700" s="15"/>
      <c r="AY700" s="15"/>
      <c r="AZ700" s="28"/>
      <c r="BA700" s="15"/>
      <c r="BB700" s="15"/>
      <c r="BC700" s="15"/>
      <c r="BD700" s="15"/>
      <c r="BE700" s="14"/>
      <c r="BF700" s="41">
        <f t="shared" ref="BF700:BG700" si="2206">K700+O700+S700+W700+AA700+AE700+AI700+AM700+AQ700+AU700+AY700+BC700</f>
        <v>5076</v>
      </c>
      <c r="BG700" s="34">
        <f t="shared" si="2206"/>
        <v>5076</v>
      </c>
      <c r="BH700" s="35">
        <f t="shared" si="2198"/>
        <v>0.002400000002</v>
      </c>
    </row>
    <row r="701" ht="14.25" customHeight="1" spans="1:60" x14ac:dyDescent="0.25">
      <c r="A701" s="79">
        <v>90</v>
      </c>
      <c r="B701" s="14"/>
      <c r="D701" s="14" t="s">
        <v>51</v>
      </c>
      <c r="E701" s="2" t="s">
        <v>49</v>
      </c>
      <c r="F701" s="41">
        <v>1000</v>
      </c>
      <c r="G701" s="28"/>
      <c r="H701" s="34">
        <f>'2018'!BH701</f>
        <v>0</v>
      </c>
      <c r="I701" s="13"/>
      <c r="J701" s="15"/>
      <c r="K701" s="15"/>
      <c r="L701" s="28"/>
      <c r="Q701" s="13"/>
      <c r="R701" s="15"/>
      <c r="S701" s="15"/>
      <c r="T701" s="28"/>
      <c r="Y701" s="13"/>
      <c r="Z701" s="15"/>
      <c r="AA701" s="15"/>
      <c r="AB701" s="28"/>
      <c r="AE701" s="34">
        <f>$F$21</f>
        <v>1000</v>
      </c>
      <c r="AG701" s="13"/>
      <c r="AH701" s="15"/>
      <c r="AI701" s="15"/>
      <c r="AJ701" s="28"/>
      <c r="AK701" s="13"/>
      <c r="AL701" s="15"/>
      <c r="AM701" s="15"/>
      <c r="AN701" s="28"/>
      <c r="AO701" s="13"/>
      <c r="AP701" s="15"/>
      <c r="AQ701" s="15"/>
      <c r="AR701" s="38">
        <v>1000</v>
      </c>
      <c r="AS701" s="15"/>
      <c r="AT701" s="15"/>
      <c r="AU701" s="15"/>
      <c r="AV701" s="15"/>
      <c r="AW701" s="13"/>
      <c r="AX701" s="15"/>
      <c r="AY701" s="15"/>
      <c r="AZ701" s="28"/>
      <c r="BA701" s="15"/>
      <c r="BB701" s="15"/>
      <c r="BC701" s="15"/>
      <c r="BD701" s="15"/>
      <c r="BE701" s="14"/>
      <c r="BF701" s="41">
        <f t="shared" ref="BF701:BG701" si="2207">K701+O701+S701+W701+AA701+AE701+AI701+AM701+AQ701+AU701+AY701+BC701</f>
        <v>1000</v>
      </c>
      <c r="BG701" s="34">
        <f t="shared" si="2207"/>
        <v>1000</v>
      </c>
      <c r="BH701" s="35">
        <f t="shared" si="2198"/>
        <v>0</v>
      </c>
    </row>
    <row r="702" ht="14.25" customHeight="1" spans="1:60" x14ac:dyDescent="0.25">
      <c r="A702" s="79">
        <v>90</v>
      </c>
      <c r="B702" s="14"/>
      <c r="D702" s="14" t="s">
        <v>52</v>
      </c>
      <c r="E702" s="2" t="s">
        <v>39</v>
      </c>
      <c r="F702" s="41">
        <v>500</v>
      </c>
      <c r="G702" s="28"/>
      <c r="H702" s="34">
        <f>'2018'!BH702</f>
        <v>0</v>
      </c>
      <c r="I702" s="13"/>
      <c r="J702" s="15"/>
      <c r="K702" s="15"/>
      <c r="L702" s="28"/>
      <c r="Q702" s="13"/>
      <c r="R702" s="15"/>
      <c r="S702" s="15"/>
      <c r="T702" s="28"/>
      <c r="Y702" s="13"/>
      <c r="Z702" s="15"/>
      <c r="AA702" s="34">
        <f>$F$14</f>
        <v>500</v>
      </c>
      <c r="AB702" s="28"/>
      <c r="AG702" s="13"/>
      <c r="AH702" s="15"/>
      <c r="AI702" s="15"/>
      <c r="AJ702" s="28"/>
      <c r="AK702" s="13"/>
      <c r="AL702" s="15"/>
      <c r="AM702" s="15"/>
      <c r="AN702" s="28"/>
      <c r="AO702" s="13"/>
      <c r="AP702" s="15"/>
      <c r="AQ702" s="15"/>
      <c r="AR702" s="38">
        <v>500</v>
      </c>
      <c r="AS702" s="15"/>
      <c r="AT702" s="15"/>
      <c r="AU702" s="15"/>
      <c r="AV702" s="15"/>
      <c r="AW702" s="13"/>
      <c r="AX702" s="15"/>
      <c r="AY702" s="15"/>
      <c r="AZ702" s="28"/>
      <c r="BA702" s="15"/>
      <c r="BB702" s="15"/>
      <c r="BC702" s="15"/>
      <c r="BD702" s="15"/>
      <c r="BE702" s="14"/>
      <c r="BF702" s="41">
        <f t="shared" ref="BF702:BG702" si="2208">K702+O702+S702+W702+AA702+AE702+AI702+AM702+AQ702+AU702+AY702+BC702</f>
        <v>500</v>
      </c>
      <c r="BG702" s="34">
        <f t="shared" si="2208"/>
        <v>500</v>
      </c>
      <c r="BH702" s="35">
        <f t="shared" si="2198"/>
        <v>0</v>
      </c>
    </row>
    <row r="703" ht="14.25" customHeight="1" spans="1:62" x14ac:dyDescent="0.25">
      <c r="A703" s="50">
        <v>90</v>
      </c>
      <c r="B703" s="21"/>
      <c r="C703" s="22" t="s">
        <v>53</v>
      </c>
      <c r="D703" s="21"/>
      <c r="E703" s="22"/>
      <c r="F703" s="20"/>
      <c r="G703" s="23"/>
      <c r="H703" s="51">
        <f>SUM(H696:H702)</f>
        <v>0.002400000001</v>
      </c>
      <c r="I703" s="52"/>
      <c r="J703" s="53"/>
      <c r="K703" s="51">
        <f t="shared" ref="K703:L703" si="2209">SUM(K696:K702)</f>
        <v>0</v>
      </c>
      <c r="L703" s="68">
        <f t="shared" si="2209"/>
        <v>0</v>
      </c>
      <c r="M703" s="53"/>
      <c r="N703" s="53"/>
      <c r="O703" s="51">
        <f t="shared" ref="O703:P703" si="2210">SUM(O697:O702)</f>
        <v>0</v>
      </c>
      <c r="P703" s="51">
        <f t="shared" si="2210"/>
        <v>0</v>
      </c>
      <c r="Q703" s="52"/>
      <c r="R703" s="53"/>
      <c r="S703" s="51">
        <f t="shared" ref="S703:T703" si="2211">SUM(S697:S702)</f>
        <v>0</v>
      </c>
      <c r="T703" s="68">
        <f t="shared" si="2211"/>
        <v>0</v>
      </c>
      <c r="U703" s="53"/>
      <c r="V703" s="53"/>
      <c r="W703" s="51">
        <f t="shared" ref="W703:X703" si="2212">SUM(W697:W702)</f>
        <v>0</v>
      </c>
      <c r="X703" s="51">
        <f t="shared" si="2212"/>
        <v>0</v>
      </c>
      <c r="Y703" s="52"/>
      <c r="Z703" s="53"/>
      <c r="AA703" s="51">
        <f t="shared" ref="AA703:AB703" si="2213">SUM(AA697:AA702)</f>
        <v>500</v>
      </c>
      <c r="AB703" s="68">
        <f t="shared" si="2213"/>
        <v>0</v>
      </c>
      <c r="AC703" s="53"/>
      <c r="AD703" s="53"/>
      <c r="AE703" s="51">
        <f t="shared" ref="AE703:AF703" si="2214">SUM(AE697:AE702)</f>
        <v>6076</v>
      </c>
      <c r="AF703" s="51">
        <f t="shared" si="2214"/>
        <v>0</v>
      </c>
      <c r="AG703" s="52"/>
      <c r="AH703" s="53"/>
      <c r="AI703" s="51">
        <f t="shared" ref="AI703:AJ703" si="2215">SUM(AI697:AI702)</f>
        <v>0</v>
      </c>
      <c r="AJ703" s="68">
        <f t="shared" si="2215"/>
        <v>0</v>
      </c>
      <c r="AK703" s="52"/>
      <c r="AL703" s="53"/>
      <c r="AM703" s="51">
        <f t="shared" ref="AM703:AN703" si="2216">SUM(AM697:AM702)</f>
        <v>0</v>
      </c>
      <c r="AN703" s="68">
        <f t="shared" si="2216"/>
        <v>0</v>
      </c>
      <c r="AO703" s="52"/>
      <c r="AP703" s="53"/>
      <c r="AQ703" s="51">
        <f t="shared" ref="AQ703:AR703" si="2217">SUM(AQ696:AQ702)</f>
        <v>1.22</v>
      </c>
      <c r="AR703" s="68">
        <f t="shared" si="2217"/>
        <v>6576</v>
      </c>
      <c r="AS703" s="53"/>
      <c r="AT703" s="53"/>
      <c r="AU703" s="51">
        <f t="shared" ref="AU703:AV703" si="2218">SUM(AU696:AU702)</f>
        <v>0</v>
      </c>
      <c r="AV703" s="68">
        <f t="shared" si="2218"/>
        <v>0</v>
      </c>
      <c r="AW703" s="52"/>
      <c r="AX703" s="53"/>
      <c r="AY703" s="51">
        <f t="shared" ref="AY703:AZ703" si="2219">SUM(AY696:AY702)</f>
        <v>0</v>
      </c>
      <c r="AZ703" s="68">
        <f t="shared" si="2219"/>
        <v>0</v>
      </c>
      <c r="BA703" s="53"/>
      <c r="BB703" s="53"/>
      <c r="BC703" s="51">
        <f t="shared" ref="BC703:BD703" si="2220">SUM(BC696:BC702)</f>
        <v>0</v>
      </c>
      <c r="BD703" s="68">
        <f t="shared" si="2220"/>
        <v>0</v>
      </c>
      <c r="BE703" s="69"/>
      <c r="BF703" s="70">
        <f t="shared" ref="BF703:BH703" si="2221">SUM(BF696:BF702)</f>
        <v>6577.22</v>
      </c>
      <c r="BG703" s="71">
        <f t="shared" si="2221"/>
        <v>6576</v>
      </c>
      <c r="BH703" s="72">
        <f t="shared" si="2221"/>
        <v>1.2224</v>
      </c>
      <c r="BI703" s="34">
        <f>H703+BF703-BG703</f>
        <v>1.2224</v>
      </c>
      <c r="BJ703" s="34">
        <f>BH703-BI703</f>
        <v>0</v>
      </c>
    </row>
    <row r="704" ht="14.25" customHeight="1" spans="1:60" x14ac:dyDescent="0.25">
      <c r="A704" s="79">
        <v>92</v>
      </c>
      <c r="B704" s="14"/>
      <c r="D704" s="14" t="s">
        <v>379</v>
      </c>
      <c r="F704" s="13"/>
      <c r="G704" s="28"/>
      <c r="H704" s="34">
        <f>'2018'!BH704</f>
      </c>
      <c r="I704" s="13"/>
      <c r="J704" s="15"/>
      <c r="K704" s="15"/>
      <c r="L704" s="28"/>
      <c r="Q704" s="13"/>
      <c r="R704" s="15"/>
      <c r="S704" s="15"/>
      <c r="T704" s="28"/>
      <c r="Y704" s="13"/>
      <c r="Z704" s="15"/>
      <c r="AA704" s="15"/>
      <c r="AB704" s="28"/>
      <c r="AG704" s="13"/>
      <c r="AH704" s="15"/>
      <c r="AI704" s="15"/>
      <c r="AJ704" s="28"/>
      <c r="AK704" s="13"/>
      <c r="AL704" s="15"/>
      <c r="AM704" s="15"/>
      <c r="AN704" s="28"/>
      <c r="AO704" s="13"/>
      <c r="AP704" s="15"/>
      <c r="AQ704" s="34">
        <v>13.5</v>
      </c>
      <c r="AR704" s="28"/>
      <c r="AW704" s="13"/>
      <c r="AX704" s="15"/>
      <c r="AY704" s="15"/>
      <c r="AZ704" s="28"/>
      <c r="BE704" s="14"/>
      <c r="BF704" s="41">
        <f t="shared" ref="BF704:BG704" si="2222">K704+O704+S704+W704+AA704+AE704+AI704+AM704+AQ704+AU704+AY704+BC704</f>
        <v>13.5</v>
      </c>
      <c r="BG704" s="34">
        <f t="shared" si="2222"/>
        <v>0</v>
      </c>
      <c r="BH704" s="35">
        <f t="shared" ref="BH704:BH710" si="2223">H704+BF704-BG704</f>
        <v>13.5</v>
      </c>
    </row>
    <row r="705" ht="14.25" customHeight="1" spans="1:60" x14ac:dyDescent="0.25">
      <c r="A705" s="2">
        <v>92</v>
      </c>
      <c r="B705" s="14">
        <v>4.28</v>
      </c>
      <c r="C705" s="2" t="s">
        <v>312</v>
      </c>
      <c r="D705" s="14" t="s">
        <v>44</v>
      </c>
      <c r="E705" s="2" t="s">
        <v>45</v>
      </c>
      <c r="F705" s="13">
        <v>2.49</v>
      </c>
      <c r="G705" s="35">
        <v>2.5</v>
      </c>
      <c r="H705" s="136">
        <f>'2018'!BH705+385.95</f>
        <v>1518.95</v>
      </c>
      <c r="I705" s="13">
        <v>4900</v>
      </c>
      <c r="J705" s="15">
        <f>I705-'2018'!BA705</f>
        <v>404</v>
      </c>
      <c r="K705" s="34">
        <f>J705*$F$8</f>
        <v>1005.96</v>
      </c>
      <c r="L705" s="28"/>
      <c r="M705" s="2">
        <v>5493</v>
      </c>
      <c r="N705" s="15">
        <f>M705-I705</f>
        <v>593</v>
      </c>
      <c r="O705" s="34">
        <f>N705*$F$8</f>
        <v>1476.57</v>
      </c>
      <c r="P705" s="39">
        <v>1600</v>
      </c>
      <c r="Q705" s="13">
        <v>5706</v>
      </c>
      <c r="R705" s="15">
        <f>Q705-M705</f>
        <v>213</v>
      </c>
      <c r="S705" s="34">
        <f>R705*$F$8</f>
        <v>530.37</v>
      </c>
      <c r="T705" s="38">
        <f>1500+1000</f>
        <v>2500</v>
      </c>
      <c r="U705" s="15">
        <v>5868</v>
      </c>
      <c r="V705" s="15">
        <f>U705-Q705</f>
        <v>162</v>
      </c>
      <c r="W705" s="34">
        <f>V705*$F$8</f>
        <v>403.38</v>
      </c>
      <c r="Y705" s="13">
        <v>6096</v>
      </c>
      <c r="Z705" s="15">
        <f>Y705-U705</f>
        <v>228</v>
      </c>
      <c r="AA705" s="34">
        <f>Z705*$F$8</f>
        <v>567.72</v>
      </c>
      <c r="AB705" s="38">
        <v>1500</v>
      </c>
      <c r="AC705" s="15">
        <v>6212</v>
      </c>
      <c r="AD705" s="15">
        <f t="shared" ref="AD705:AD706" si="2224">AC705-Y705</f>
        <v>116</v>
      </c>
      <c r="AE705" s="34">
        <f>AD705*$G$8</f>
        <v>290</v>
      </c>
      <c r="AG705" s="13">
        <v>6405</v>
      </c>
      <c r="AH705" s="15">
        <f t="shared" ref="AH705:AH706" si="2225">AG705-AC705</f>
        <v>193</v>
      </c>
      <c r="AI705" s="34">
        <f>AH705*$G$8</f>
        <v>482.5</v>
      </c>
      <c r="AJ705" s="32"/>
      <c r="AK705" s="13">
        <v>6593</v>
      </c>
      <c r="AL705" s="15">
        <f t="shared" ref="AL705:AL706" si="2226">AK705-AG705</f>
        <v>188</v>
      </c>
      <c r="AM705" s="34">
        <f>AL705*$G$8</f>
        <v>470</v>
      </c>
      <c r="AN705" s="28"/>
      <c r="AO705" s="13">
        <v>6776</v>
      </c>
      <c r="AP705" s="15">
        <f t="shared" ref="AP705:AP706" si="2227">AO705-AK705</f>
        <v>183</v>
      </c>
      <c r="AQ705" s="34">
        <f>AP705*$G$8</f>
        <v>457.5</v>
      </c>
      <c r="AR705" s="38">
        <v>1150</v>
      </c>
      <c r="AS705" s="15">
        <v>6945</v>
      </c>
      <c r="AT705" s="15">
        <f t="shared" ref="AT705:AT706" si="2228">AS705-AO705</f>
        <v>169</v>
      </c>
      <c r="AU705" s="34">
        <f>AT705*$G$8</f>
        <v>422.5</v>
      </c>
      <c r="AV705" s="39">
        <v>453</v>
      </c>
      <c r="AW705" s="13">
        <v>7406</v>
      </c>
      <c r="AX705" s="15">
        <f>AW705-AS705</f>
        <v>461</v>
      </c>
      <c r="AY705" s="34">
        <f>AX705*$G$8</f>
        <v>1152.5</v>
      </c>
      <c r="AZ705" s="28"/>
      <c r="BA705" s="13">
        <v>7869</v>
      </c>
      <c r="BB705" s="15">
        <f>BA705-AW705</f>
        <v>463</v>
      </c>
      <c r="BC705" s="34">
        <f>BB705*$G$8</f>
        <v>1157.5</v>
      </c>
      <c r="BD705" s="39">
        <f>800+1000</f>
        <v>1800</v>
      </c>
      <c r="BE705" s="40">
        <f t="shared" ref="BE705:BG705" si="2229">J705+N705+R705+V705+Z705+AD705+AH705+AL705+AP705+AT705+AX705+BB705</f>
        <v>3373</v>
      </c>
      <c r="BF705" s="41">
        <f t="shared" si="2229"/>
        <v>8416.5</v>
      </c>
      <c r="BG705" s="34">
        <f t="shared" si="2229"/>
        <v>9003</v>
      </c>
      <c r="BH705" s="35">
        <f t="shared" si="2223"/>
        <v>932.45</v>
      </c>
    </row>
    <row r="706" ht="14.25" customHeight="1" spans="1:60" x14ac:dyDescent="0.25">
      <c r="A706" s="29">
        <v>92</v>
      </c>
      <c r="B706" s="14"/>
      <c r="C706" s="2" t="s">
        <v>114</v>
      </c>
      <c r="D706" s="14" t="s">
        <v>47</v>
      </c>
      <c r="E706" s="2" t="s">
        <v>48</v>
      </c>
      <c r="F706" s="13">
        <v>17.98</v>
      </c>
      <c r="G706" s="28">
        <v>18.56</v>
      </c>
      <c r="H706" s="34">
        <f>'2018'!BH706</f>
        <v>-379.88</v>
      </c>
      <c r="I706" s="94">
        <v>134</v>
      </c>
      <c r="J706" s="15"/>
      <c r="K706" s="15"/>
      <c r="L706" s="28"/>
      <c r="Q706" s="13"/>
      <c r="R706" s="15"/>
      <c r="S706" s="15"/>
      <c r="T706" s="28"/>
      <c r="Y706" s="95">
        <v>134</v>
      </c>
      <c r="Z706" s="15">
        <f>Y706-'2018'!AO706</f>
        <v>0</v>
      </c>
      <c r="AA706" s="34">
        <f>Z706*$F$10</f>
        <v>0</v>
      </c>
      <c r="AB706" s="28"/>
      <c r="AC706" s="15">
        <v>182</v>
      </c>
      <c r="AD706" s="15">
        <f t="shared" si="2224"/>
        <v>48</v>
      </c>
      <c r="AE706" s="34">
        <f>AD706*$F$10</f>
        <v>863.04</v>
      </c>
      <c r="AG706" s="13">
        <v>195</v>
      </c>
      <c r="AH706" s="15">
        <f t="shared" si="2225"/>
        <v>13</v>
      </c>
      <c r="AI706" s="45">
        <f>AH706*$G$10</f>
        <v>241.28</v>
      </c>
      <c r="AJ706" s="38"/>
      <c r="AK706" s="13">
        <v>195</v>
      </c>
      <c r="AL706" s="15">
        <f t="shared" si="2226"/>
        <v>0</v>
      </c>
      <c r="AM706" s="45">
        <f>AL706*$G$10</f>
        <v>0</v>
      </c>
      <c r="AN706" s="28"/>
      <c r="AO706" s="13">
        <v>211</v>
      </c>
      <c r="AP706" s="15">
        <f t="shared" si="2227"/>
        <v>16</v>
      </c>
      <c r="AQ706" s="45">
        <f>AP706*$G$10</f>
        <v>296.96</v>
      </c>
      <c r="AR706" s="38">
        <v>725</v>
      </c>
      <c r="AS706" s="13">
        <v>211</v>
      </c>
      <c r="AT706" s="15">
        <f t="shared" si="2228"/>
        <v>0</v>
      </c>
      <c r="AU706" s="45">
        <f>AT706*$G$10</f>
        <v>0</v>
      </c>
      <c r="AV706" s="15"/>
      <c r="AW706" s="13">
        <v>211</v>
      </c>
      <c r="AX706" s="15"/>
      <c r="AY706" s="15"/>
      <c r="AZ706" s="28"/>
      <c r="BA706" s="15">
        <v>211</v>
      </c>
      <c r="BB706" s="15"/>
      <c r="BC706" s="15"/>
      <c r="BD706" s="15"/>
      <c r="BE706" s="40">
        <f t="shared" ref="BE706:BG706" si="2230">J706+N706+R706+V706+Z706+AD706+AH706+AL706+AP706+AT706+AX706+BB706</f>
        <v>77</v>
      </c>
      <c r="BF706" s="41">
        <f t="shared" si="2230"/>
        <v>1401.28</v>
      </c>
      <c r="BG706" s="34">
        <f t="shared" si="2230"/>
        <v>725</v>
      </c>
      <c r="BH706" s="35">
        <f t="shared" si="2223"/>
        <v>296.4</v>
      </c>
    </row>
    <row r="707" ht="14.25" customHeight="1" spans="1:60" x14ac:dyDescent="0.25">
      <c r="A707" s="29">
        <v>92</v>
      </c>
      <c r="B707" s="14"/>
      <c r="C707" s="2" t="s">
        <v>164</v>
      </c>
      <c r="D707" s="14" t="s">
        <v>47</v>
      </c>
      <c r="E707" s="2" t="s">
        <v>49</v>
      </c>
      <c r="F707" s="41">
        <v>500</v>
      </c>
      <c r="G707" s="28"/>
      <c r="H707" s="34">
        <f>'2018'!BH707</f>
        <v>0</v>
      </c>
      <c r="I707" s="13"/>
      <c r="J707" s="15"/>
      <c r="K707" s="15"/>
      <c r="L707" s="28"/>
      <c r="Q707" s="13"/>
      <c r="R707" s="15"/>
      <c r="S707" s="15"/>
      <c r="T707" s="28"/>
      <c r="Y707" s="13"/>
      <c r="Z707" s="15"/>
      <c r="AA707" s="15"/>
      <c r="AB707" s="28"/>
      <c r="AG707" s="13"/>
      <c r="AH707" s="15"/>
      <c r="AI707" s="15"/>
      <c r="AJ707" s="28"/>
      <c r="AK707" s="13"/>
      <c r="AL707" s="15"/>
      <c r="AM707" s="34"/>
      <c r="AN707" s="28"/>
      <c r="AO707" s="13"/>
      <c r="AP707" s="15"/>
      <c r="AQ707" s="34"/>
      <c r="AR707" s="28"/>
      <c r="AS707" s="15"/>
      <c r="AT707" s="15"/>
      <c r="AU707" s="15"/>
      <c r="AV707" s="15"/>
      <c r="AW707" s="13"/>
      <c r="AX707" s="15"/>
      <c r="AY707" s="15"/>
      <c r="AZ707" s="28"/>
      <c r="BA707" s="15"/>
      <c r="BB707" s="15"/>
      <c r="BC707" s="15"/>
      <c r="BD707" s="15"/>
      <c r="BE707" s="14"/>
      <c r="BF707" s="41">
        <f t="shared" ref="BF707:BG707" si="2231">K707+O707+S707+W707+AA707+AE707+AI707+AM707+AQ707+AU707+AY707+BC707</f>
        <v>0</v>
      </c>
      <c r="BG707" s="34">
        <f t="shared" si="2231"/>
        <v>0</v>
      </c>
      <c r="BH707" s="35">
        <f t="shared" si="2223"/>
        <v>0</v>
      </c>
    </row>
    <row r="708" ht="14.25" customHeight="1" spans="1:60" x14ac:dyDescent="0.25">
      <c r="A708" s="29">
        <v>92</v>
      </c>
      <c r="B708" s="14"/>
      <c r="C708" s="73" t="s">
        <v>442</v>
      </c>
      <c r="D708" s="14" t="s">
        <v>50</v>
      </c>
      <c r="E708" s="2" t="s">
        <v>49</v>
      </c>
      <c r="F708" s="41">
        <v>1200</v>
      </c>
      <c r="G708" s="28"/>
      <c r="H708" s="34">
        <f>'2018'!BH708</f>
        <v>-0.003599999999</v>
      </c>
      <c r="I708" s="13"/>
      <c r="J708" s="15"/>
      <c r="K708" s="15"/>
      <c r="L708" s="28"/>
      <c r="Q708" s="13"/>
      <c r="R708" s="15"/>
      <c r="S708" s="15"/>
      <c r="T708" s="28"/>
      <c r="Y708" s="13"/>
      <c r="Z708" s="15"/>
      <c r="AA708" s="15"/>
      <c r="AB708" s="28"/>
      <c r="AE708" s="34">
        <f>B705*$F$12</f>
        <v>5136</v>
      </c>
      <c r="AF708" s="15"/>
      <c r="AG708" s="13"/>
      <c r="AH708" s="15"/>
      <c r="AI708" s="15"/>
      <c r="AJ708" s="35"/>
      <c r="AK708" s="13"/>
      <c r="AL708" s="15"/>
      <c r="AM708" s="15"/>
      <c r="AN708" s="28"/>
      <c r="AO708" s="13"/>
      <c r="AP708" s="15"/>
      <c r="AQ708" s="15"/>
      <c r="AR708" s="38">
        <v>5136</v>
      </c>
      <c r="AS708" s="15"/>
      <c r="AT708" s="15"/>
      <c r="AU708" s="15"/>
      <c r="AV708" s="15"/>
      <c r="AW708" s="13"/>
      <c r="AX708" s="15"/>
      <c r="AY708" s="15"/>
      <c r="AZ708" s="28"/>
      <c r="BA708" s="15"/>
      <c r="BB708" s="15"/>
      <c r="BC708" s="15"/>
      <c r="BD708" s="15"/>
      <c r="BE708" s="14"/>
      <c r="BF708" s="41">
        <f t="shared" ref="BF708:BG708" si="2232">K708+O708+S708+W708+AA708+AE708+AI708+AM708+AQ708+AU708+AY708+BC708</f>
        <v>5136</v>
      </c>
      <c r="BG708" s="34">
        <f t="shared" si="2232"/>
        <v>5136</v>
      </c>
      <c r="BH708" s="35">
        <f t="shared" si="2223"/>
        <v>-0.003599999999</v>
      </c>
    </row>
    <row r="709" ht="14.25" customHeight="1" spans="1:60" x14ac:dyDescent="0.25">
      <c r="A709" s="29">
        <v>92</v>
      </c>
      <c r="B709" s="14"/>
      <c r="C709" s="2" t="s">
        <v>314</v>
      </c>
      <c r="D709" s="14" t="s">
        <v>51</v>
      </c>
      <c r="E709" s="2" t="s">
        <v>49</v>
      </c>
      <c r="F709" s="41">
        <v>1000</v>
      </c>
      <c r="G709" s="28"/>
      <c r="H709" s="34">
        <f>'2018'!BH709</f>
        <v>0</v>
      </c>
      <c r="I709" s="13"/>
      <c r="J709" s="15"/>
      <c r="K709" s="15"/>
      <c r="L709" s="28"/>
      <c r="Q709" s="13"/>
      <c r="R709" s="15"/>
      <c r="S709" s="15"/>
      <c r="T709" s="28"/>
      <c r="Y709" s="13"/>
      <c r="Z709" s="15"/>
      <c r="AA709" s="15"/>
      <c r="AB709" s="28"/>
      <c r="AE709" s="34">
        <f>$F$21</f>
        <v>1000</v>
      </c>
      <c r="AG709" s="13"/>
      <c r="AH709" s="15"/>
      <c r="AI709" s="15"/>
      <c r="AJ709" s="28"/>
      <c r="AK709" s="13"/>
      <c r="AL709" s="15"/>
      <c r="AM709" s="15"/>
      <c r="AN709" s="28"/>
      <c r="AO709" s="13"/>
      <c r="AP709" s="15"/>
      <c r="AQ709" s="15"/>
      <c r="AR709" s="38">
        <v>1000</v>
      </c>
      <c r="AS709" s="15"/>
      <c r="AT709" s="15"/>
      <c r="AU709" s="15"/>
      <c r="AV709" s="15"/>
      <c r="AW709" s="13"/>
      <c r="AX709" s="15"/>
      <c r="AY709" s="15"/>
      <c r="AZ709" s="28"/>
      <c r="BA709" s="15"/>
      <c r="BB709" s="15"/>
      <c r="BC709" s="15"/>
      <c r="BD709" s="15"/>
      <c r="BE709" s="14"/>
      <c r="BF709" s="41">
        <f t="shared" ref="BF709:BG709" si="2233">K709+O709+S709+W709+AA709+AE709+AI709+AM709+AQ709+AU709+AY709+BC709</f>
        <v>1000</v>
      </c>
      <c r="BG709" s="34">
        <f t="shared" si="2233"/>
        <v>1000</v>
      </c>
      <c r="BH709" s="35">
        <f t="shared" si="2223"/>
        <v>0</v>
      </c>
    </row>
    <row r="710" ht="14.25" customHeight="1" spans="1:60" x14ac:dyDescent="0.25">
      <c r="A710" s="29">
        <v>92</v>
      </c>
      <c r="B710" s="14"/>
      <c r="D710" s="14" t="s">
        <v>52</v>
      </c>
      <c r="E710" s="2" t="s">
        <v>39</v>
      </c>
      <c r="F710" s="41">
        <v>500</v>
      </c>
      <c r="G710" s="28"/>
      <c r="H710" s="84">
        <f>'2018'!BH710-500</f>
        <v>-500</v>
      </c>
      <c r="I710" s="13"/>
      <c r="J710" s="15"/>
      <c r="K710" s="15"/>
      <c r="L710" s="28"/>
      <c r="Q710" s="13"/>
      <c r="R710" s="15"/>
      <c r="S710" s="15"/>
      <c r="T710" s="28"/>
      <c r="Y710" s="13"/>
      <c r="Z710" s="15"/>
      <c r="AA710" s="34">
        <f>$F$14</f>
        <v>500</v>
      </c>
      <c r="AB710" s="28"/>
      <c r="AG710" s="13"/>
      <c r="AH710" s="15"/>
      <c r="AI710" s="15"/>
      <c r="AJ710" s="28"/>
      <c r="AK710" s="13"/>
      <c r="AL710" s="15"/>
      <c r="AM710" s="15"/>
      <c r="AN710" s="28"/>
      <c r="AO710" s="13"/>
      <c r="AP710" s="15"/>
      <c r="AQ710" s="15"/>
      <c r="AR710" s="28"/>
      <c r="AS710" s="15"/>
      <c r="AT710" s="15"/>
      <c r="AU710" s="15"/>
      <c r="AV710" s="15"/>
      <c r="AW710" s="13"/>
      <c r="AX710" s="15"/>
      <c r="AY710" s="15"/>
      <c r="AZ710" s="28"/>
      <c r="BA710" s="15"/>
      <c r="BB710" s="15"/>
      <c r="BC710" s="15"/>
      <c r="BD710" s="15"/>
      <c r="BE710" s="14"/>
      <c r="BF710" s="41">
        <f t="shared" ref="BF710:BG710" si="2234">K710+O710+S710+W710+AA710+AE710+AI710+AM710+AQ710+AU710+AY710+BC710</f>
        <v>500</v>
      </c>
      <c r="BG710" s="34">
        <f t="shared" si="2234"/>
        <v>0</v>
      </c>
      <c r="BH710" s="35">
        <f t="shared" si="2223"/>
        <v>0</v>
      </c>
    </row>
    <row r="711" ht="14.25" customHeight="1" spans="1:62" x14ac:dyDescent="0.25">
      <c r="A711" s="50">
        <v>92</v>
      </c>
      <c r="B711" s="21"/>
      <c r="C711" s="22" t="s">
        <v>53</v>
      </c>
      <c r="D711" s="21"/>
      <c r="E711" s="22"/>
      <c r="F711" s="20"/>
      <c r="G711" s="23"/>
      <c r="H711" s="51">
        <f>SUM(H704:H710)</f>
        <v>639.0664</v>
      </c>
      <c r="I711" s="52"/>
      <c r="J711" s="53"/>
      <c r="K711" s="51">
        <f t="shared" ref="K711:L711" si="2235">SUM(K704:K710)</f>
        <v>1005.96</v>
      </c>
      <c r="L711" s="68">
        <f t="shared" si="2235"/>
        <v>0</v>
      </c>
      <c r="M711" s="53"/>
      <c r="N711" s="53"/>
      <c r="O711" s="51">
        <f t="shared" ref="O711:P711" si="2236">SUM(O705:O710)</f>
        <v>1476.57</v>
      </c>
      <c r="P711" s="51">
        <f t="shared" si="2236"/>
        <v>1600</v>
      </c>
      <c r="Q711" s="52"/>
      <c r="R711" s="53"/>
      <c r="S711" s="51">
        <f t="shared" ref="S711:T711" si="2237">SUM(S705:S710)</f>
        <v>530.37</v>
      </c>
      <c r="T711" s="68">
        <f t="shared" si="2237"/>
        <v>2500</v>
      </c>
      <c r="U711" s="53"/>
      <c r="V711" s="53"/>
      <c r="W711" s="51">
        <f t="shared" ref="W711:X711" si="2238">SUM(W705:W710)</f>
        <v>403.38</v>
      </c>
      <c r="X711" s="51">
        <f t="shared" si="2238"/>
        <v>0</v>
      </c>
      <c r="Y711" s="52"/>
      <c r="Z711" s="53"/>
      <c r="AA711" s="51">
        <f t="shared" ref="AA711:AB711" si="2239">SUM(AA705:AA710)</f>
        <v>1067.72</v>
      </c>
      <c r="AB711" s="68">
        <f t="shared" si="2239"/>
        <v>1500</v>
      </c>
      <c r="AC711" s="53"/>
      <c r="AD711" s="53"/>
      <c r="AE711" s="51">
        <f t="shared" ref="AE711:AF711" si="2240">SUM(AE705:AE710)</f>
        <v>7289.04</v>
      </c>
      <c r="AF711" s="51">
        <f t="shared" si="2240"/>
        <v>0</v>
      </c>
      <c r="AG711" s="52"/>
      <c r="AH711" s="53"/>
      <c r="AI711" s="51">
        <f t="shared" ref="AI711:AJ711" si="2241">SUM(AI705:AI710)</f>
        <v>723.78</v>
      </c>
      <c r="AJ711" s="68">
        <f t="shared" si="2241"/>
        <v>0</v>
      </c>
      <c r="AK711" s="52"/>
      <c r="AL711" s="53"/>
      <c r="AM711" s="51">
        <f t="shared" ref="AM711:AN711" si="2242">SUM(AM705:AM710)</f>
        <v>470</v>
      </c>
      <c r="AN711" s="68">
        <f t="shared" si="2242"/>
        <v>0</v>
      </c>
      <c r="AO711" s="52"/>
      <c r="AP711" s="53"/>
      <c r="AQ711" s="51">
        <f t="shared" ref="AQ711:AR711" si="2243">SUM(AQ704:AQ710)</f>
        <v>767.96</v>
      </c>
      <c r="AR711" s="68">
        <f t="shared" si="2243"/>
        <v>8011</v>
      </c>
      <c r="AS711" s="53"/>
      <c r="AT711" s="53"/>
      <c r="AU711" s="51">
        <f t="shared" ref="AU711:AV711" si="2244">SUM(AU704:AU710)</f>
        <v>422.5</v>
      </c>
      <c r="AV711" s="68">
        <f t="shared" si="2244"/>
        <v>453</v>
      </c>
      <c r="AW711" s="52"/>
      <c r="AX711" s="53"/>
      <c r="AY711" s="51">
        <f t="shared" ref="AY711:AZ711" si="2245">SUM(AY704:AY710)</f>
        <v>1152.5</v>
      </c>
      <c r="AZ711" s="68">
        <f t="shared" si="2245"/>
        <v>0</v>
      </c>
      <c r="BA711" s="53"/>
      <c r="BB711" s="53"/>
      <c r="BC711" s="51">
        <f t="shared" ref="BC711:BD711" si="2246">SUM(BC704:BC710)</f>
        <v>1157.5</v>
      </c>
      <c r="BD711" s="68">
        <f t="shared" si="2246"/>
        <v>1800</v>
      </c>
      <c r="BE711" s="69"/>
      <c r="BF711" s="70">
        <f t="shared" ref="BF711:BH711" si="2247">SUM(BF704:BF710)</f>
        <v>16467.28</v>
      </c>
      <c r="BG711" s="71">
        <f t="shared" si="2247"/>
        <v>15864</v>
      </c>
      <c r="BH711" s="72">
        <f t="shared" si="2247"/>
        <v>1242.3464</v>
      </c>
      <c r="BI711" s="34">
        <f>H711+BF711-BG711</f>
        <v>1242.3464</v>
      </c>
      <c r="BJ711" s="34">
        <f>BH711-BI711</f>
        <v>0</v>
      </c>
    </row>
    <row r="712" ht="14.25" customHeight="1" spans="1:60" x14ac:dyDescent="0.25">
      <c r="A712" s="79" t="s">
        <v>315</v>
      </c>
      <c r="B712" s="14"/>
      <c r="D712" s="14" t="s">
        <v>379</v>
      </c>
      <c r="F712" s="13"/>
      <c r="G712" s="28"/>
      <c r="H712" s="34">
        <f>'2018'!BH712</f>
      </c>
      <c r="I712" s="13"/>
      <c r="J712" s="15"/>
      <c r="K712" s="15"/>
      <c r="L712" s="28"/>
      <c r="Q712" s="13"/>
      <c r="R712" s="15"/>
      <c r="S712" s="15"/>
      <c r="T712" s="28"/>
      <c r="Y712" s="13"/>
      <c r="Z712" s="15"/>
      <c r="AA712" s="15"/>
      <c r="AB712" s="28"/>
      <c r="AG712" s="13"/>
      <c r="AH712" s="15"/>
      <c r="AI712" s="15"/>
      <c r="AJ712" s="28"/>
      <c r="AK712" s="13"/>
      <c r="AL712" s="15"/>
      <c r="AM712" s="15"/>
      <c r="AN712" s="28"/>
      <c r="AO712" s="13"/>
      <c r="AP712" s="15"/>
      <c r="AQ712" s="15"/>
      <c r="AR712" s="28"/>
      <c r="AW712" s="13"/>
      <c r="AX712" s="15"/>
      <c r="AY712" s="15"/>
      <c r="AZ712" s="28"/>
      <c r="BE712" s="14"/>
      <c r="BF712" s="41">
        <f t="shared" ref="BF712:BG712" si="2248">K712+O712+S712+W712+AA712+AE712+AI712+AM712+AQ712+AU712+AY712+BC712</f>
        <v>0</v>
      </c>
      <c r="BG712" s="34">
        <f t="shared" si="2248"/>
        <v>0</v>
      </c>
      <c r="BH712" s="35">
        <f t="shared" ref="BH712:BH718" si="2249">H712+BF712-BG712</f>
        <v>0</v>
      </c>
    </row>
    <row r="713" ht="14.25" customHeight="1" spans="1:60" x14ac:dyDescent="0.25">
      <c r="A713" s="89" t="s">
        <v>315</v>
      </c>
      <c r="B713" s="14">
        <f>4.36+4.4</f>
        <v>8.76</v>
      </c>
      <c r="C713" s="2" t="s">
        <v>316</v>
      </c>
      <c r="D713" s="14" t="s">
        <v>44</v>
      </c>
      <c r="E713" s="2" t="s">
        <v>45</v>
      </c>
      <c r="F713" s="13">
        <v>2.49</v>
      </c>
      <c r="G713" s="35">
        <v>2.5</v>
      </c>
      <c r="H713" s="136">
        <f>'2018'!BH713+385.95</f>
        <v>-0.43</v>
      </c>
      <c r="I713" s="13">
        <v>14204</v>
      </c>
      <c r="J713" s="15">
        <f>I713-'2018'!BA713</f>
        <v>1526</v>
      </c>
      <c r="K713" s="34">
        <f>J713*$F$8</f>
        <v>3799.74</v>
      </c>
      <c r="L713" s="32">
        <v>3799.74</v>
      </c>
      <c r="M713" s="2">
        <v>15686</v>
      </c>
      <c r="N713" s="15">
        <f>M713-I713</f>
        <v>1482</v>
      </c>
      <c r="O713" s="34">
        <f>N713*$F$8</f>
        <v>3690.18</v>
      </c>
      <c r="P713" s="39">
        <v>3691</v>
      </c>
      <c r="Q713" s="13">
        <v>16424</v>
      </c>
      <c r="R713" s="15">
        <f>Q713-M713</f>
        <v>738</v>
      </c>
      <c r="S713" s="34">
        <f>R713*$F$8</f>
        <v>1837.62</v>
      </c>
      <c r="T713" s="38">
        <v>1836</v>
      </c>
      <c r="U713" s="37">
        <v>17247</v>
      </c>
      <c r="V713" s="37">
        <f>U713-Q713</f>
        <v>823</v>
      </c>
      <c r="W713" s="34">
        <f>V713*$F$8</f>
        <v>2049.27</v>
      </c>
      <c r="X713" s="15"/>
      <c r="Y713" s="13">
        <v>17974</v>
      </c>
      <c r="Z713" s="37">
        <f>Y713-U713</f>
        <v>727</v>
      </c>
      <c r="AA713" s="34">
        <f>Z713*$F$8</f>
        <v>1810.23</v>
      </c>
      <c r="AB713" s="38">
        <f>1895+2050</f>
        <v>3945</v>
      </c>
      <c r="AC713" s="15">
        <v>18377</v>
      </c>
      <c r="AD713" s="15">
        <f t="shared" ref="AD713:AD714" si="2250">AC713-Y713</f>
        <v>403</v>
      </c>
      <c r="AE713" s="34">
        <f>AD713*$G$8</f>
        <v>1007.5</v>
      </c>
      <c r="AF713" s="39">
        <v>1007.5</v>
      </c>
      <c r="AG713" s="13">
        <v>18806</v>
      </c>
      <c r="AH713" s="15">
        <f t="shared" ref="AH713:AH714" si="2251">AG713-AC713</f>
        <v>429</v>
      </c>
      <c r="AI713" s="34">
        <f>AH713*$G$8</f>
        <v>1072.5</v>
      </c>
      <c r="AJ713" s="38">
        <v>1053</v>
      </c>
      <c r="AK713" s="13">
        <v>19139</v>
      </c>
      <c r="AL713" s="15">
        <f t="shared" ref="AL713:AL714" si="2252">AK713-AG713</f>
        <v>333</v>
      </c>
      <c r="AM713" s="34">
        <f>AL713*$G$8</f>
        <v>832.5</v>
      </c>
      <c r="AN713" s="28"/>
      <c r="AO713" s="13">
        <v>19606</v>
      </c>
      <c r="AP713" s="15">
        <f t="shared" ref="AP713:AP714" si="2253">AO713-AK713</f>
        <v>467</v>
      </c>
      <c r="AQ713" s="34">
        <f>AP713*$G$8</f>
        <v>1167.5</v>
      </c>
      <c r="AR713" s="38">
        <v>766.87</v>
      </c>
      <c r="AS713" s="15">
        <v>20252</v>
      </c>
      <c r="AT713" s="15">
        <f t="shared" ref="AT713:AT714" si="2254">AS713-AO713</f>
        <v>646</v>
      </c>
      <c r="AU713" s="34">
        <f t="shared" ref="AU713:AU714" si="2255">AT713*$G$8</f>
        <v>1615</v>
      </c>
      <c r="AV713" s="39">
        <v>1200</v>
      </c>
      <c r="AW713" s="13">
        <v>21774</v>
      </c>
      <c r="AX713" s="15">
        <f>AW713-AS713</f>
        <v>1522</v>
      </c>
      <c r="AY713" s="34">
        <f>AX713*$G$8</f>
        <v>3805</v>
      </c>
      <c r="AZ713" s="35"/>
      <c r="BA713" s="15">
        <v>23503</v>
      </c>
      <c r="BB713" s="15">
        <f>BA713-AW713</f>
        <v>1729</v>
      </c>
      <c r="BC713" s="34">
        <f>BB713*$G$8</f>
        <v>4322.5</v>
      </c>
      <c r="BD713" s="39">
        <v>1350</v>
      </c>
      <c r="BE713" s="40">
        <f t="shared" ref="BE713:BG713" si="2256">J713+N713+R713+V713+Z713+AD713+AH713+AL713+AP713+AT713+AX713+BB713</f>
        <v>10825</v>
      </c>
      <c r="BF713" s="41">
        <f t="shared" si="2256"/>
        <v>27009.54</v>
      </c>
      <c r="BG713" s="34">
        <f t="shared" si="2256"/>
        <v>18649.11</v>
      </c>
      <c r="BH713" s="35">
        <f t="shared" si="2249"/>
        <v>8360</v>
      </c>
    </row>
    <row r="714" ht="14.25" customHeight="1" spans="1:60" x14ac:dyDescent="0.25">
      <c r="A714" s="29" t="s">
        <v>315</v>
      </c>
      <c r="B714" s="14"/>
      <c r="C714" s="2" t="s">
        <v>317</v>
      </c>
      <c r="D714" s="14" t="s">
        <v>47</v>
      </c>
      <c r="E714" s="2" t="s">
        <v>48</v>
      </c>
      <c r="F714" s="13">
        <v>17.98</v>
      </c>
      <c r="G714" s="28">
        <v>18.56</v>
      </c>
      <c r="H714" s="90">
        <f>'2018'!BH714</f>
        <v>0</v>
      </c>
      <c r="I714" s="75">
        <f>11+15</f>
        <v>26</v>
      </c>
      <c r="J714" s="15"/>
      <c r="K714" s="15"/>
      <c r="L714" s="28"/>
      <c r="Q714" s="13"/>
      <c r="R714" s="15"/>
      <c r="S714" s="15"/>
      <c r="T714" s="28"/>
      <c r="Y714" s="95">
        <f>165+11</f>
        <v>176</v>
      </c>
      <c r="Z714" s="15"/>
      <c r="AA714" s="34">
        <f>Z714*$F$10</f>
        <v>0</v>
      </c>
      <c r="AB714" s="28"/>
      <c r="AC714" s="15">
        <f>165+17</f>
        <v>182</v>
      </c>
      <c r="AD714" s="15">
        <f t="shared" si="2250"/>
        <v>6</v>
      </c>
      <c r="AE714" s="34">
        <f>AD714*$F$10</f>
        <v>107.88</v>
      </c>
      <c r="AF714" s="39">
        <v>126</v>
      </c>
      <c r="AG714" s="13">
        <f>167+24</f>
        <v>191</v>
      </c>
      <c r="AH714" s="15">
        <f t="shared" si="2251"/>
        <v>9</v>
      </c>
      <c r="AI714" s="45">
        <f>AH714*$G$10</f>
        <v>167.04</v>
      </c>
      <c r="AJ714" s="38">
        <v>166.5</v>
      </c>
      <c r="AK714" s="13">
        <f>168+27</f>
        <v>195</v>
      </c>
      <c r="AL714" s="15">
        <f t="shared" si="2252"/>
        <v>4</v>
      </c>
      <c r="AM714" s="45">
        <f>AL714*$G$10</f>
        <v>74.24</v>
      </c>
      <c r="AN714" s="28"/>
      <c r="AO714" s="13">
        <f>168+28</f>
        <v>196</v>
      </c>
      <c r="AP714" s="15">
        <f t="shared" si="2253"/>
        <v>1</v>
      </c>
      <c r="AQ714" s="45">
        <f>AP714*$G$10</f>
        <v>18.56</v>
      </c>
      <c r="AR714" s="32">
        <v>56.66</v>
      </c>
      <c r="AS714" s="15">
        <f>169+28</f>
        <v>197</v>
      </c>
      <c r="AT714" s="15">
        <f t="shared" si="2254"/>
        <v>1</v>
      </c>
      <c r="AU714" s="34">
        <f t="shared" si="2255"/>
        <v>2.5</v>
      </c>
      <c r="AV714" s="15"/>
      <c r="AW714" s="15">
        <f>169+28</f>
        <v>197</v>
      </c>
      <c r="AX714" s="15"/>
      <c r="AY714" s="15"/>
      <c r="AZ714" s="28"/>
      <c r="BA714" s="15">
        <f>169+28</f>
        <v>197</v>
      </c>
      <c r="BB714" s="15"/>
      <c r="BC714" s="15"/>
      <c r="BD714" s="15"/>
      <c r="BE714" s="40">
        <f t="shared" ref="BE714:BG714" si="2257">J714+N714+R714+V714+Z714+AD714+AH714+AL714+AP714+AT714+AX714+BB714</f>
        <v>21</v>
      </c>
      <c r="BF714" s="41">
        <f t="shared" si="2257"/>
        <v>370.22</v>
      </c>
      <c r="BG714" s="34">
        <f t="shared" si="2257"/>
        <v>349.16</v>
      </c>
      <c r="BH714" s="35">
        <f t="shared" si="2249"/>
        <v>21.06</v>
      </c>
    </row>
    <row r="715" ht="14.25" customHeight="1" spans="1:60" x14ac:dyDescent="0.25">
      <c r="A715" s="29" t="s">
        <v>315</v>
      </c>
      <c r="B715" s="14"/>
      <c r="C715" s="2" t="s">
        <v>246</v>
      </c>
      <c r="D715" s="14" t="s">
        <v>47</v>
      </c>
      <c r="E715" s="2" t="s">
        <v>49</v>
      </c>
      <c r="F715" s="41">
        <v>500</v>
      </c>
      <c r="G715" s="28"/>
      <c r="H715" s="34">
        <f>'2018'!BH715</f>
        <v>0</v>
      </c>
      <c r="I715" s="13"/>
      <c r="J715" s="15"/>
      <c r="K715" s="15"/>
      <c r="L715" s="28"/>
      <c r="Q715" s="13"/>
      <c r="R715" s="15"/>
      <c r="S715" s="15"/>
      <c r="T715" s="28"/>
      <c r="Y715" s="13"/>
      <c r="Z715" s="15"/>
      <c r="AA715" s="15"/>
      <c r="AB715" s="28"/>
      <c r="AG715" s="13"/>
      <c r="AH715" s="15"/>
      <c r="AI715" s="15"/>
      <c r="AJ715" s="28"/>
      <c r="AK715" s="13"/>
      <c r="AL715" s="15"/>
      <c r="AM715" s="34"/>
      <c r="AN715" s="28"/>
      <c r="AO715" s="13"/>
      <c r="AP715" s="15"/>
      <c r="AQ715" s="34"/>
      <c r="AR715" s="28"/>
      <c r="AS715" s="15"/>
      <c r="AT715" s="15"/>
      <c r="AU715" s="15"/>
      <c r="AV715" s="15"/>
      <c r="AW715" s="13"/>
      <c r="AX715" s="15"/>
      <c r="AY715" s="15"/>
      <c r="AZ715" s="28"/>
      <c r="BA715" s="15"/>
      <c r="BB715" s="15"/>
      <c r="BC715" s="15"/>
      <c r="BD715" s="15"/>
      <c r="BE715" s="14"/>
      <c r="BF715" s="41">
        <f t="shared" ref="BF715:BG715" si="2258">K715+O715+S715+W715+AA715+AE715+AI715+AM715+AQ715+AU715+AY715+BC715</f>
        <v>0</v>
      </c>
      <c r="BG715" s="34">
        <f t="shared" si="2258"/>
        <v>0</v>
      </c>
      <c r="BH715" s="35">
        <f t="shared" si="2249"/>
        <v>0</v>
      </c>
    </row>
    <row r="716" ht="14.25" customHeight="1" spans="1:60" x14ac:dyDescent="0.25">
      <c r="A716" s="29" t="s">
        <v>315</v>
      </c>
      <c r="B716" s="14"/>
      <c r="C716" s="2" t="s">
        <v>318</v>
      </c>
      <c r="D716" s="14" t="s">
        <v>50</v>
      </c>
      <c r="E716" s="2" t="s">
        <v>49</v>
      </c>
      <c r="F716" s="41">
        <v>1200</v>
      </c>
      <c r="G716" s="28"/>
      <c r="H716" s="34">
        <f>'2018'!BH716</f>
        <v>-0.001199999997</v>
      </c>
      <c r="I716" s="13"/>
      <c r="J716" s="15"/>
      <c r="K716" s="15"/>
      <c r="L716" s="28"/>
      <c r="Q716" s="13"/>
      <c r="R716" s="15"/>
      <c r="S716" s="15"/>
      <c r="T716" s="28"/>
      <c r="Y716" s="13"/>
      <c r="Z716" s="15"/>
      <c r="AA716" s="15"/>
      <c r="AB716" s="38">
        <v>10512</v>
      </c>
      <c r="AE716" s="34">
        <f>B713*$F$12</f>
        <v>10512</v>
      </c>
      <c r="AG716" s="13"/>
      <c r="AH716" s="15"/>
      <c r="AI716" s="15"/>
      <c r="AJ716" s="38"/>
      <c r="AK716" s="13"/>
      <c r="AL716" s="15"/>
      <c r="AM716" s="15"/>
      <c r="AN716" s="28"/>
      <c r="AO716" s="13"/>
      <c r="AP716" s="15"/>
      <c r="AQ716" s="15"/>
      <c r="AR716" s="28"/>
      <c r="AS716" s="15"/>
      <c r="AT716" s="15"/>
      <c r="AU716" s="15"/>
      <c r="AV716" s="15"/>
      <c r="AW716" s="13"/>
      <c r="AX716" s="15"/>
      <c r="AY716" s="15"/>
      <c r="AZ716" s="28"/>
      <c r="BA716" s="15"/>
      <c r="BB716" s="15"/>
      <c r="BC716" s="15"/>
      <c r="BD716" s="15"/>
      <c r="BE716" s="14"/>
      <c r="BF716" s="41">
        <f t="shared" ref="BF716:BG716" si="2259">K716+O716+S716+W716+AA716+AE716+AI716+AM716+AQ716+AU716+AY716+BC716</f>
        <v>10512</v>
      </c>
      <c r="BG716" s="34">
        <f t="shared" si="2259"/>
        <v>10512</v>
      </c>
      <c r="BH716" s="35">
        <f t="shared" si="2249"/>
        <v>-0.001199999995</v>
      </c>
    </row>
    <row r="717" ht="14.25" customHeight="1" spans="1:60" x14ac:dyDescent="0.25">
      <c r="A717" s="29" t="s">
        <v>315</v>
      </c>
      <c r="B717" s="14"/>
      <c r="C717" s="2" t="s">
        <v>417</v>
      </c>
      <c r="D717" s="14" t="s">
        <v>51</v>
      </c>
      <c r="E717" s="2" t="s">
        <v>49</v>
      </c>
      <c r="F717" s="41">
        <v>1000</v>
      </c>
      <c r="G717" s="28"/>
      <c r="H717" s="34">
        <f>'2018'!BH717</f>
        <v>0</v>
      </c>
      <c r="I717" s="13"/>
      <c r="J717" s="15"/>
      <c r="K717" s="15"/>
      <c r="L717" s="28"/>
      <c r="Q717" s="13"/>
      <c r="R717" s="15"/>
      <c r="S717" s="15"/>
      <c r="T717" s="28"/>
      <c r="Y717" s="13"/>
      <c r="Z717" s="15"/>
      <c r="AA717" s="15"/>
      <c r="AB717" s="38">
        <v>2000</v>
      </c>
      <c r="AE717" s="34">
        <f>$F$21*2</f>
        <v>2000</v>
      </c>
      <c r="AG717" s="13"/>
      <c r="AH717" s="15"/>
      <c r="AI717" s="15"/>
      <c r="AJ717" s="28"/>
      <c r="AK717" s="13"/>
      <c r="AL717" s="15"/>
      <c r="AM717" s="15"/>
      <c r="AN717" s="28"/>
      <c r="AO717" s="13"/>
      <c r="AP717" s="15"/>
      <c r="AQ717" s="15"/>
      <c r="AR717" s="28"/>
      <c r="AS717" s="15"/>
      <c r="AT717" s="15"/>
      <c r="AU717" s="15"/>
      <c r="AV717" s="15"/>
      <c r="AW717" s="13"/>
      <c r="AX717" s="15"/>
      <c r="AY717" s="15"/>
      <c r="AZ717" s="28"/>
      <c r="BA717" s="15"/>
      <c r="BB717" s="15"/>
      <c r="BC717" s="15"/>
      <c r="BD717" s="15"/>
      <c r="BE717" s="14"/>
      <c r="BF717" s="41">
        <f t="shared" ref="BF717:BG717" si="2260">K717+O717+S717+W717+AA717+AE717+AI717+AM717+AQ717+AU717+AY717+BC717</f>
        <v>2000</v>
      </c>
      <c r="BG717" s="34">
        <f t="shared" si="2260"/>
        <v>2000</v>
      </c>
      <c r="BH717" s="35">
        <f t="shared" si="2249"/>
        <v>0</v>
      </c>
    </row>
    <row r="718" ht="14.25" customHeight="1" spans="1:60" x14ac:dyDescent="0.25">
      <c r="A718" s="29" t="s">
        <v>315</v>
      </c>
      <c r="B718" s="14"/>
      <c r="C718" s="2" t="s">
        <v>443</v>
      </c>
      <c r="D718" s="14" t="s">
        <v>52</v>
      </c>
      <c r="E718" s="2" t="s">
        <v>39</v>
      </c>
      <c r="F718" s="41">
        <v>500</v>
      </c>
      <c r="G718" s="28"/>
      <c r="H718" s="84">
        <f>'2018'!BH718-500</f>
        <v>-500</v>
      </c>
      <c r="I718" s="13"/>
      <c r="J718" s="15"/>
      <c r="K718" s="15"/>
      <c r="L718" s="28"/>
      <c r="Q718" s="13"/>
      <c r="R718" s="15"/>
      <c r="S718" s="15"/>
      <c r="T718" s="28"/>
      <c r="Y718" s="13"/>
      <c r="Z718" s="15"/>
      <c r="AA718" s="34">
        <f>$F$14*2</f>
        <v>1000</v>
      </c>
      <c r="AB718" s="28"/>
      <c r="AG718" s="13"/>
      <c r="AH718" s="15"/>
      <c r="AI718" s="15"/>
      <c r="AJ718" s="28"/>
      <c r="AK718" s="13"/>
      <c r="AL718" s="15"/>
      <c r="AM718" s="15"/>
      <c r="AN718" s="28"/>
      <c r="AO718" s="13"/>
      <c r="AP718" s="15"/>
      <c r="AQ718" s="15"/>
      <c r="AR718" s="38">
        <v>500</v>
      </c>
      <c r="AS718" s="15"/>
      <c r="AT718" s="15"/>
      <c r="AU718" s="15"/>
      <c r="AV718" s="15"/>
      <c r="AW718" s="13"/>
      <c r="AX718" s="15"/>
      <c r="AY718" s="15"/>
      <c r="AZ718" s="28"/>
      <c r="BA718" s="15"/>
      <c r="BB718" s="15"/>
      <c r="BC718" s="15"/>
      <c r="BD718" s="15"/>
      <c r="BE718" s="14"/>
      <c r="BF718" s="41">
        <f t="shared" ref="BF718:BG718" si="2261">K718+O718+S718+W718+AA718+AE718+AI718+AM718+AQ718+AU718+AY718+BC718</f>
        <v>1000</v>
      </c>
      <c r="BG718" s="34">
        <f t="shared" si="2261"/>
        <v>500</v>
      </c>
      <c r="BH718" s="35">
        <f t="shared" si="2249"/>
        <v>0</v>
      </c>
    </row>
    <row r="719" ht="14.25" customHeight="1" spans="1:62" x14ac:dyDescent="0.25">
      <c r="A719" s="50" t="s">
        <v>315</v>
      </c>
      <c r="B719" s="21"/>
      <c r="C719" s="22" t="s">
        <v>53</v>
      </c>
      <c r="D719" s="21"/>
      <c r="E719" s="22"/>
      <c r="F719" s="20"/>
      <c r="G719" s="23"/>
      <c r="H719" s="51">
        <f>SUM(H712:H718)</f>
        <v>-500.4312</v>
      </c>
      <c r="I719" s="52"/>
      <c r="J719" s="53"/>
      <c r="K719" s="51">
        <f t="shared" ref="K719:L719" si="2262">SUM(K712:K718)</f>
        <v>3799.74</v>
      </c>
      <c r="L719" s="68">
        <f t="shared" si="2262"/>
        <v>3799.74</v>
      </c>
      <c r="M719" s="53"/>
      <c r="N719" s="53"/>
      <c r="O719" s="51">
        <f t="shared" ref="O719:P719" si="2263">SUM(O713:O718)</f>
        <v>3690.18</v>
      </c>
      <c r="P719" s="51">
        <f t="shared" si="2263"/>
        <v>3691</v>
      </c>
      <c r="Q719" s="52"/>
      <c r="R719" s="53"/>
      <c r="S719" s="51">
        <f t="shared" ref="S719:T719" si="2264">SUM(S713:S718)</f>
        <v>1837.62</v>
      </c>
      <c r="T719" s="68">
        <f t="shared" si="2264"/>
        <v>1836</v>
      </c>
      <c r="U719" s="53"/>
      <c r="V719" s="53"/>
      <c r="W719" s="51">
        <f t="shared" ref="W719:X719" si="2265">SUM(W713:W718)</f>
        <v>2049.27</v>
      </c>
      <c r="X719" s="51">
        <f t="shared" si="2265"/>
        <v>0</v>
      </c>
      <c r="Y719" s="52"/>
      <c r="Z719" s="53"/>
      <c r="AA719" s="51">
        <f t="shared" ref="AA719:AB719" si="2266">SUM(AA713:AA718)</f>
        <v>2810.23</v>
      </c>
      <c r="AB719" s="68">
        <f t="shared" si="2266"/>
        <v>16457</v>
      </c>
      <c r="AC719" s="53"/>
      <c r="AD719" s="53"/>
      <c r="AE719" s="51">
        <f t="shared" ref="AE719:AF719" si="2267">SUM(AE713:AE718)</f>
        <v>13627.38</v>
      </c>
      <c r="AF719" s="51">
        <f t="shared" si="2267"/>
        <v>1133.5</v>
      </c>
      <c r="AG719" s="52"/>
      <c r="AH719" s="53"/>
      <c r="AI719" s="51">
        <f t="shared" ref="AI719:AJ719" si="2268">SUM(AI713:AI718)</f>
        <v>1239.54</v>
      </c>
      <c r="AJ719" s="68">
        <f t="shared" si="2268"/>
        <v>1219.5</v>
      </c>
      <c r="AK719" s="52"/>
      <c r="AL719" s="53"/>
      <c r="AM719" s="51">
        <f t="shared" ref="AM719:AN719" si="2269">SUM(AM713:AM718)</f>
        <v>906.74</v>
      </c>
      <c r="AN719" s="68">
        <f t="shared" si="2269"/>
        <v>0</v>
      </c>
      <c r="AO719" s="52"/>
      <c r="AP719" s="53"/>
      <c r="AQ719" s="51">
        <f t="shared" ref="AQ719:AR719" si="2270">SUM(AQ712:AQ718)</f>
        <v>1186.06</v>
      </c>
      <c r="AR719" s="68">
        <f t="shared" si="2270"/>
        <v>1323.53</v>
      </c>
      <c r="AS719" s="53"/>
      <c r="AT719" s="53"/>
      <c r="AU719" s="51">
        <f t="shared" ref="AU719:AV719" si="2271">SUM(AU712:AU718)</f>
        <v>1617.5</v>
      </c>
      <c r="AV719" s="68">
        <f t="shared" si="2271"/>
        <v>1200</v>
      </c>
      <c r="AW719" s="52"/>
      <c r="AX719" s="53"/>
      <c r="AY719" s="51">
        <f t="shared" ref="AY719:AZ719" si="2272">SUM(AY712:AY718)</f>
        <v>3805</v>
      </c>
      <c r="AZ719" s="68">
        <f t="shared" si="2272"/>
        <v>0</v>
      </c>
      <c r="BA719" s="53"/>
      <c r="BB719" s="53"/>
      <c r="BC719" s="51">
        <f t="shared" ref="BC719:BD719" si="2273">SUM(BC712:BC718)</f>
        <v>4322.5</v>
      </c>
      <c r="BD719" s="68">
        <f t="shared" si="2273"/>
        <v>1350</v>
      </c>
      <c r="BE719" s="69"/>
      <c r="BF719" s="70">
        <f t="shared" ref="BF719:BH719" si="2274">SUM(BF712:BF718)</f>
        <v>40891.76</v>
      </c>
      <c r="BG719" s="71">
        <f t="shared" si="2274"/>
        <v>32010.27</v>
      </c>
      <c r="BH719" s="72">
        <f t="shared" si="2274"/>
        <v>8381.0588</v>
      </c>
      <c r="BI719" s="34">
        <f>H719+BF719-BG719</f>
        <v>8381.0588</v>
      </c>
      <c r="BJ719" s="34">
        <f>BH719-BI719</f>
        <v>0</v>
      </c>
    </row>
    <row r="720" ht="14.25" customHeight="1" spans="1:60" x14ac:dyDescent="0.25">
      <c r="A720" s="29">
        <v>99</v>
      </c>
      <c r="B720" s="14"/>
      <c r="D720" s="14" t="s">
        <v>379</v>
      </c>
      <c r="F720" s="13"/>
      <c r="G720" s="28"/>
      <c r="H720" s="34">
        <f>'2018'!BH720</f>
      </c>
      <c r="I720" s="13"/>
      <c r="J720" s="15"/>
      <c r="K720" s="15"/>
      <c r="L720" s="28"/>
      <c r="Q720" s="13"/>
      <c r="R720" s="15"/>
      <c r="S720" s="15"/>
      <c r="T720" s="28"/>
      <c r="Y720" s="13"/>
      <c r="Z720" s="15"/>
      <c r="AA720" s="15"/>
      <c r="AB720" s="28"/>
      <c r="AG720" s="13"/>
      <c r="AH720" s="15"/>
      <c r="AI720" s="15"/>
      <c r="AJ720" s="28"/>
      <c r="AK720" s="13"/>
      <c r="AL720" s="15"/>
      <c r="AM720" s="15"/>
      <c r="AN720" s="28"/>
      <c r="AO720" s="13"/>
      <c r="AP720" s="15"/>
      <c r="AQ720" s="34">
        <v>3</v>
      </c>
      <c r="AR720" s="28"/>
      <c r="AU720" s="2">
        <v>3.05</v>
      </c>
      <c r="AW720" s="13"/>
      <c r="AX720" s="15"/>
      <c r="AY720" s="15">
        <v>2.95</v>
      </c>
      <c r="AZ720" s="28"/>
      <c r="BC720" s="2">
        <v>3.04</v>
      </c>
      <c r="BE720" s="14"/>
      <c r="BF720" s="41">
        <f t="shared" ref="BF720:BG720" si="2275">K720+O720+S720+W720+AA720+AE720+AI720+AM720+AQ720+AU720+AY720+BC720</f>
        <v>12.04</v>
      </c>
      <c r="BG720" s="34">
        <f t="shared" si="2275"/>
        <v>0</v>
      </c>
      <c r="BH720" s="35">
        <f t="shared" ref="BH720:BH726" si="2276">H720+BF720-BG720</f>
        <v>12.04</v>
      </c>
    </row>
    <row r="721" ht="14.25" customHeight="1" spans="1:60" x14ac:dyDescent="0.25">
      <c r="A721" s="2">
        <v>99</v>
      </c>
      <c r="B721" s="14">
        <v>4.53</v>
      </c>
      <c r="C721" s="2" t="s">
        <v>319</v>
      </c>
      <c r="D721" s="14" t="s">
        <v>44</v>
      </c>
      <c r="E721" s="2" t="s">
        <v>45</v>
      </c>
      <c r="F721" s="13">
        <v>2.49</v>
      </c>
      <c r="G721" s="35">
        <v>2.5</v>
      </c>
      <c r="H721" s="34">
        <f>'2018'!BH721</f>
        <v>14.94</v>
      </c>
      <c r="I721" s="13">
        <v>112</v>
      </c>
      <c r="J721" s="15">
        <f>I721-'2018'!BA721</f>
        <v>0</v>
      </c>
      <c r="K721" s="34">
        <f>J721*$F$8</f>
        <v>0</v>
      </c>
      <c r="L721" s="28"/>
      <c r="M721" s="2">
        <v>112</v>
      </c>
      <c r="N721" s="15">
        <f>M721-I721</f>
        <v>0</v>
      </c>
      <c r="O721" s="34">
        <f>N721*$F$8</f>
        <v>0</v>
      </c>
      <c r="Q721" s="13">
        <v>112</v>
      </c>
      <c r="R721" s="15">
        <f>Q721-M721</f>
        <v>0</v>
      </c>
      <c r="S721" s="34">
        <f>R721*$F$8</f>
        <v>0</v>
      </c>
      <c r="T721" s="28"/>
      <c r="U721" s="15">
        <v>112</v>
      </c>
      <c r="V721" s="15">
        <f>U721-Q721</f>
        <v>0</v>
      </c>
      <c r="W721" s="34">
        <f>V721*$F$8</f>
        <v>0</v>
      </c>
      <c r="Y721" s="13">
        <v>112</v>
      </c>
      <c r="Z721" s="15">
        <f>Y721-U721</f>
        <v>0</v>
      </c>
      <c r="AA721" s="34">
        <f>Z721*$F$8</f>
        <v>0</v>
      </c>
      <c r="AB721" s="28"/>
      <c r="AC721" s="15">
        <v>114</v>
      </c>
      <c r="AD721" s="15">
        <f t="shared" ref="AD721:AD722" si="2277">AC721-Y721</f>
        <v>2</v>
      </c>
      <c r="AE721" s="34">
        <f>AD721*$G$8</f>
        <v>5</v>
      </c>
      <c r="AF721" s="133">
        <f>19.94+171.26</f>
        <v>191.2</v>
      </c>
      <c r="AG721" s="13">
        <v>116</v>
      </c>
      <c r="AH721" s="15">
        <f t="shared" ref="AH721:AH722" si="2278">AG721-AC721</f>
        <v>2</v>
      </c>
      <c r="AI721" s="34">
        <f>AH721*$G$8</f>
        <v>5</v>
      </c>
      <c r="AJ721" s="38"/>
      <c r="AK721" s="13">
        <v>122</v>
      </c>
      <c r="AL721" s="15">
        <f t="shared" ref="AL721:AL722" si="2279">AK721-AG721</f>
        <v>6</v>
      </c>
      <c r="AM721" s="34">
        <f>AL721*$G$8</f>
        <v>15</v>
      </c>
      <c r="AN721" s="28"/>
      <c r="AO721" s="13">
        <v>123</v>
      </c>
      <c r="AP721" s="15">
        <f t="shared" ref="AP721:AP722" si="2280">AO721-AK721</f>
        <v>1</v>
      </c>
      <c r="AQ721" s="34">
        <f>AP721*$G$8</f>
        <v>2.5</v>
      </c>
      <c r="AR721" s="28"/>
      <c r="AS721" s="15">
        <v>128</v>
      </c>
      <c r="AT721" s="15">
        <f t="shared" ref="AT721:AT722" si="2281">AS721-AO721</f>
        <v>5</v>
      </c>
      <c r="AU721" s="34">
        <f t="shared" ref="AU721:AU722" si="2282">AT721*$G$8</f>
        <v>12.5</v>
      </c>
      <c r="AV721" s="39">
        <v>250</v>
      </c>
      <c r="AW721" s="13">
        <v>128</v>
      </c>
      <c r="AX721" s="15">
        <f>AW721-AS721</f>
        <v>0</v>
      </c>
      <c r="AY721" s="34">
        <f>AX721*$G$8</f>
        <v>0</v>
      </c>
      <c r="AZ721" s="28"/>
      <c r="BA721" s="13">
        <v>128</v>
      </c>
      <c r="BB721" s="15">
        <f>BA721-AW721</f>
        <v>0</v>
      </c>
      <c r="BC721" s="34">
        <f>BB721*$G$8</f>
        <v>0</v>
      </c>
      <c r="BD721" s="15"/>
      <c r="BE721" s="40">
        <f t="shared" ref="BE721:BG721" si="2283">J721+N721+R721+V721+Z721+AD721+AH721+AL721+AP721+AT721+AX721+BB721</f>
        <v>16</v>
      </c>
      <c r="BF721" s="41">
        <f t="shared" si="2283"/>
        <v>40</v>
      </c>
      <c r="BG721" s="34">
        <f t="shared" si="2283"/>
        <v>441.2</v>
      </c>
      <c r="BH721" s="35">
        <f t="shared" si="2276"/>
        <v>-386.26</v>
      </c>
    </row>
    <row r="722" ht="14.25" customHeight="1" spans="1:60" x14ac:dyDescent="0.25">
      <c r="A722" s="2"/>
      <c r="B722" s="14"/>
      <c r="C722" s="2" t="s">
        <v>61</v>
      </c>
      <c r="D722" s="14" t="s">
        <v>47</v>
      </c>
      <c r="E722" s="2" t="s">
        <v>48</v>
      </c>
      <c r="F722" s="13">
        <v>17.98</v>
      </c>
      <c r="G722" s="28">
        <v>18.56</v>
      </c>
      <c r="H722" s="90">
        <f>'2018'!BH722</f>
        <v>1372.8</v>
      </c>
      <c r="I722" s="75">
        <f>(33+80)+20</f>
        <v>133</v>
      </c>
      <c r="J722" s="15"/>
      <c r="K722" s="15"/>
      <c r="L722" s="28"/>
      <c r="Q722" s="13"/>
      <c r="R722" s="15"/>
      <c r="S722" s="15"/>
      <c r="T722" s="28"/>
      <c r="Y722" s="95">
        <f>68+111</f>
        <v>179</v>
      </c>
      <c r="Z722" s="15">
        <f>Y722-'2018'!AO722</f>
        <v>46</v>
      </c>
      <c r="AA722" s="34">
        <f>Z722*$F$10</f>
        <v>827.08</v>
      </c>
      <c r="AB722" s="28"/>
      <c r="AC722" s="95">
        <f>68+111</f>
        <v>179</v>
      </c>
      <c r="AD722" s="15">
        <f t="shared" si="2277"/>
        <v>0</v>
      </c>
      <c r="AE722" s="34">
        <f>AD722*$F$10</f>
        <v>0</v>
      </c>
      <c r="AF722" s="133">
        <v>1372.8</v>
      </c>
      <c r="AG722" s="95">
        <f>68+111</f>
        <v>179</v>
      </c>
      <c r="AH722" s="15">
        <f t="shared" si="2278"/>
        <v>0</v>
      </c>
      <c r="AI722" s="45">
        <f>AH722*$G$10</f>
        <v>0</v>
      </c>
      <c r="AJ722" s="38"/>
      <c r="AK722" s="95">
        <f>68+111</f>
        <v>179</v>
      </c>
      <c r="AL722" s="15">
        <f t="shared" si="2279"/>
        <v>0</v>
      </c>
      <c r="AM722" s="45">
        <f>AL722*$G$10</f>
        <v>0</v>
      </c>
      <c r="AN722" s="28"/>
      <c r="AO722" s="95">
        <f>68+111</f>
        <v>179</v>
      </c>
      <c r="AP722" s="15">
        <f t="shared" si="2280"/>
        <v>0</v>
      </c>
      <c r="AQ722" s="45">
        <f>AP722*$G$10</f>
        <v>0</v>
      </c>
      <c r="AR722" s="28"/>
      <c r="AS722" s="15">
        <f>120+142</f>
        <v>262</v>
      </c>
      <c r="AT722" s="15">
        <f t="shared" si="2281"/>
        <v>83</v>
      </c>
      <c r="AU722" s="34">
        <f t="shared" si="2282"/>
        <v>207.5</v>
      </c>
      <c r="AV722" s="34">
        <v>1408</v>
      </c>
      <c r="AW722" s="15">
        <f>120+142</f>
        <v>262</v>
      </c>
      <c r="AX722" s="15"/>
      <c r="AY722" s="15"/>
      <c r="AZ722" s="28"/>
      <c r="BA722" s="15">
        <f>120+142</f>
        <v>262</v>
      </c>
      <c r="BB722" s="15"/>
      <c r="BC722" s="15"/>
      <c r="BD722" s="15"/>
      <c r="BE722" s="40">
        <f t="shared" ref="BE722:BG722" si="2284">J722+N722+R722+V722+Z722+AD722+AH722+AL722+AP722+AT722+AX722+BB722</f>
        <v>129</v>
      </c>
      <c r="BF722" s="41">
        <f t="shared" si="2284"/>
        <v>1034.58</v>
      </c>
      <c r="BG722" s="34">
        <f t="shared" si="2284"/>
        <v>2780.8</v>
      </c>
      <c r="BH722" s="35">
        <f t="shared" si="2276"/>
        <v>-373.42</v>
      </c>
    </row>
    <row r="723" ht="14.25" customHeight="1" spans="1:60" x14ac:dyDescent="0.25">
      <c r="A723" s="29">
        <v>99</v>
      </c>
      <c r="B723" s="14"/>
      <c r="C723" s="15" t="s">
        <v>444</v>
      </c>
      <c r="D723" s="14" t="s">
        <v>47</v>
      </c>
      <c r="E723" s="2" t="s">
        <v>49</v>
      </c>
      <c r="F723" s="41">
        <v>500</v>
      </c>
      <c r="G723" s="28"/>
      <c r="H723" s="34">
        <f>'2018'!BH723</f>
        <v>0</v>
      </c>
      <c r="I723" s="13"/>
      <c r="J723" s="15"/>
      <c r="K723" s="15"/>
      <c r="L723" s="28"/>
      <c r="Q723" s="13"/>
      <c r="R723" s="15"/>
      <c r="S723" s="15"/>
      <c r="T723" s="28"/>
      <c r="Y723" s="13"/>
      <c r="Z723" s="15"/>
      <c r="AA723" s="15"/>
      <c r="AB723" s="28"/>
      <c r="AG723" s="13"/>
      <c r="AH723" s="15"/>
      <c r="AI723" s="15"/>
      <c r="AJ723" s="28"/>
      <c r="AK723" s="13"/>
      <c r="AL723" s="15"/>
      <c r="AM723" s="34"/>
      <c r="AN723" s="28"/>
      <c r="AO723" s="13"/>
      <c r="AP723" s="15"/>
      <c r="AQ723" s="34"/>
      <c r="AR723" s="28"/>
      <c r="AS723" s="15"/>
      <c r="AT723" s="15"/>
      <c r="AU723" s="15"/>
      <c r="AV723" s="15"/>
      <c r="AW723" s="13"/>
      <c r="AX723" s="15"/>
      <c r="AY723" s="15"/>
      <c r="AZ723" s="28"/>
      <c r="BA723" s="15"/>
      <c r="BB723" s="15"/>
      <c r="BC723" s="15"/>
      <c r="BD723" s="15"/>
      <c r="BE723" s="14"/>
      <c r="BF723" s="41">
        <f t="shared" ref="BF723:BG723" si="2285">K723+O723+S723+W723+AA723+AE723+AI723+AM723+AQ723+AU723+AY723+BC723</f>
        <v>0</v>
      </c>
      <c r="BG723" s="34">
        <f t="shared" si="2285"/>
        <v>0</v>
      </c>
      <c r="BH723" s="35">
        <f t="shared" si="2276"/>
        <v>0</v>
      </c>
    </row>
    <row r="724" ht="14.25" customHeight="1" spans="1:60" x14ac:dyDescent="0.25">
      <c r="A724" s="29">
        <v>99</v>
      </c>
      <c r="B724" s="14"/>
      <c r="C724" s="15" t="s">
        <v>445</v>
      </c>
      <c r="D724" s="14" t="s">
        <v>50</v>
      </c>
      <c r="E724" s="2" t="s">
        <v>49</v>
      </c>
      <c r="F724" s="41">
        <v>1200</v>
      </c>
      <c r="G724" s="28"/>
      <c r="H724" s="34">
        <f>'2018'!BH724</f>
        <v>0.0064</v>
      </c>
      <c r="I724" s="13"/>
      <c r="J724" s="15"/>
      <c r="K724" s="15"/>
      <c r="L724" s="28"/>
      <c r="Q724" s="13"/>
      <c r="R724" s="15"/>
      <c r="S724" s="15"/>
      <c r="T724" s="28"/>
      <c r="Y724" s="13"/>
      <c r="Z724" s="15"/>
      <c r="AA724" s="15"/>
      <c r="AB724" s="28"/>
      <c r="AE724" s="34">
        <f>B721*$F$12</f>
        <v>5436</v>
      </c>
      <c r="AF724" s="133">
        <v>5436</v>
      </c>
      <c r="AG724" s="13"/>
      <c r="AH724" s="15"/>
      <c r="AI724" s="15"/>
      <c r="AJ724" s="35"/>
      <c r="AK724" s="13"/>
      <c r="AL724" s="15"/>
      <c r="AM724" s="15"/>
      <c r="AN724" s="28"/>
      <c r="AO724" s="13"/>
      <c r="AP724" s="15"/>
      <c r="AQ724" s="15"/>
      <c r="AR724" s="28"/>
      <c r="AS724" s="15"/>
      <c r="AT724" s="15"/>
      <c r="AU724" s="15"/>
      <c r="AV724" s="1">
        <v>0.01</v>
      </c>
      <c r="AW724" s="13"/>
      <c r="AX724" s="15"/>
      <c r="AY724" s="15"/>
      <c r="AZ724" s="28"/>
      <c r="BA724" s="15"/>
      <c r="BB724" s="15"/>
      <c r="BC724" s="15"/>
      <c r="BD724" s="15"/>
      <c r="BE724" s="14"/>
      <c r="BF724" s="41">
        <f t="shared" ref="BF724:BG724" si="2286">K724+O724+S724+W724+AA724+AE724+AI724+AM724+AQ724+AU724+AY724+BC724</f>
        <v>5436</v>
      </c>
      <c r="BG724" s="34">
        <f t="shared" si="2286"/>
        <v>5436.01</v>
      </c>
      <c r="BH724" s="35">
        <f t="shared" si="2276"/>
        <v>-0.0036</v>
      </c>
    </row>
    <row r="725" ht="14.25" customHeight="1" spans="1:60" x14ac:dyDescent="0.25">
      <c r="A725" s="29">
        <v>99</v>
      </c>
      <c r="B725" s="14"/>
      <c r="D725" s="14" t="s">
        <v>51</v>
      </c>
      <c r="E725" s="2" t="s">
        <v>49</v>
      </c>
      <c r="F725" s="41">
        <v>1000</v>
      </c>
      <c r="G725" s="28"/>
      <c r="H725" s="34">
        <f>'2018'!BH725</f>
        <v>0</v>
      </c>
      <c r="I725" s="13"/>
      <c r="J725" s="15"/>
      <c r="K725" s="15"/>
      <c r="L725" s="28"/>
      <c r="Q725" s="13"/>
      <c r="R725" s="15"/>
      <c r="S725" s="15"/>
      <c r="T725" s="28"/>
      <c r="Y725" s="13"/>
      <c r="Z725" s="15"/>
      <c r="AA725" s="15"/>
      <c r="AB725" s="28"/>
      <c r="AE725" s="34">
        <f>$F$21</f>
        <v>1000</v>
      </c>
      <c r="AG725" s="13"/>
      <c r="AH725" s="15"/>
      <c r="AI725" s="15"/>
      <c r="AJ725" s="28"/>
      <c r="AK725" s="13"/>
      <c r="AL725" s="15"/>
      <c r="AM725" s="15"/>
      <c r="AN725" s="28"/>
      <c r="AO725" s="13"/>
      <c r="AP725" s="15"/>
      <c r="AQ725" s="15"/>
      <c r="AR725" s="28"/>
      <c r="AS725" s="15"/>
      <c r="AT725" s="15"/>
      <c r="AU725" s="15"/>
      <c r="AV725" s="91">
        <v>17.99</v>
      </c>
      <c r="AW725" s="13"/>
      <c r="AX725" s="15"/>
      <c r="AY725" s="15"/>
      <c r="AZ725" s="28"/>
      <c r="BA725" s="15"/>
      <c r="BB725" s="15"/>
      <c r="BC725" s="15"/>
      <c r="BD725" s="15"/>
      <c r="BE725" s="14"/>
      <c r="BF725" s="41">
        <f t="shared" ref="BF725:BG725" si="2287">K725+O725+S725+W725+AA725+AE725+AI725+AM725+AQ725+AU725+AY725+BC725</f>
        <v>1000</v>
      </c>
      <c r="BG725" s="34">
        <f t="shared" si="2287"/>
        <v>17.99</v>
      </c>
      <c r="BH725" s="35">
        <f t="shared" si="2276"/>
        <v>982.01</v>
      </c>
    </row>
    <row r="726" ht="14.25" customHeight="1" spans="1:60" x14ac:dyDescent="0.25">
      <c r="A726" s="29">
        <v>99</v>
      </c>
      <c r="B726" s="14"/>
      <c r="D726" s="14" t="s">
        <v>52</v>
      </c>
      <c r="E726" s="2" t="s">
        <v>39</v>
      </c>
      <c r="F726" s="41">
        <v>500</v>
      </c>
      <c r="G726" s="28"/>
      <c r="H726" s="34">
        <f>'2018'!BH726</f>
        <v>0</v>
      </c>
      <c r="I726" s="13"/>
      <c r="J726" s="15"/>
      <c r="K726" s="15"/>
      <c r="L726" s="28"/>
      <c r="Q726" s="13"/>
      <c r="R726" s="15"/>
      <c r="S726" s="15"/>
      <c r="T726" s="28"/>
      <c r="Y726" s="13"/>
      <c r="Z726" s="15"/>
      <c r="AA726" s="34">
        <f>$F$14</f>
        <v>500</v>
      </c>
      <c r="AB726" s="35"/>
      <c r="AG726" s="13"/>
      <c r="AH726" s="15"/>
      <c r="AI726" s="15"/>
      <c r="AJ726" s="28"/>
      <c r="AK726" s="13"/>
      <c r="AL726" s="15"/>
      <c r="AM726" s="15"/>
      <c r="AN726" s="28"/>
      <c r="AO726" s="13"/>
      <c r="AP726" s="15"/>
      <c r="AQ726" s="15"/>
      <c r="AR726" s="28"/>
      <c r="AS726" s="15"/>
      <c r="AT726" s="15"/>
      <c r="AU726" s="15"/>
      <c r="AV726" s="39">
        <v>500</v>
      </c>
      <c r="AW726" s="13"/>
      <c r="AX726" s="15"/>
      <c r="AY726" s="15"/>
      <c r="AZ726" s="28"/>
      <c r="BA726" s="15"/>
      <c r="BB726" s="15"/>
      <c r="BC726" s="15"/>
      <c r="BD726" s="15"/>
      <c r="BE726" s="14"/>
      <c r="BF726" s="41">
        <f t="shared" ref="BF726:BG726" si="2288">K726+O726+S726+W726+AA726+AE726+AI726+AM726+AQ726+AU726+AY726+BC726</f>
        <v>500</v>
      </c>
      <c r="BG726" s="34">
        <f t="shared" si="2288"/>
        <v>500</v>
      </c>
      <c r="BH726" s="35">
        <f t="shared" si="2276"/>
        <v>0</v>
      </c>
    </row>
    <row r="727" ht="14.25" customHeight="1" spans="1:62" x14ac:dyDescent="0.25">
      <c r="A727" s="50">
        <v>99</v>
      </c>
      <c r="B727" s="21"/>
      <c r="C727" s="22" t="s">
        <v>53</v>
      </c>
      <c r="D727" s="21"/>
      <c r="E727" s="22"/>
      <c r="F727" s="20"/>
      <c r="G727" s="23"/>
      <c r="H727" s="51">
        <f>SUM(H720:H726)</f>
        <v>1387.7464</v>
      </c>
      <c r="I727" s="52"/>
      <c r="J727" s="53"/>
      <c r="K727" s="51">
        <f t="shared" ref="K727:L727" si="2289">SUM(K720:K726)</f>
        <v>0</v>
      </c>
      <c r="L727" s="68">
        <f t="shared" si="2289"/>
        <v>0</v>
      </c>
      <c r="M727" s="53"/>
      <c r="N727" s="53"/>
      <c r="O727" s="51">
        <f t="shared" ref="O727:P727" si="2290">SUM(O721:O726)</f>
        <v>0</v>
      </c>
      <c r="P727" s="51">
        <f t="shared" si="2290"/>
        <v>0</v>
      </c>
      <c r="Q727" s="52"/>
      <c r="R727" s="53"/>
      <c r="S727" s="51">
        <f t="shared" ref="S727:T727" si="2291">SUM(S721:S726)</f>
        <v>0</v>
      </c>
      <c r="T727" s="68">
        <f t="shared" si="2291"/>
        <v>0</v>
      </c>
      <c r="U727" s="53"/>
      <c r="V727" s="53"/>
      <c r="W727" s="51">
        <f t="shared" ref="W727:X727" si="2292">SUM(W721:W726)</f>
        <v>0</v>
      </c>
      <c r="X727" s="51">
        <f t="shared" si="2292"/>
        <v>0</v>
      </c>
      <c r="Y727" s="52"/>
      <c r="Z727" s="53"/>
      <c r="AA727" s="51">
        <f t="shared" ref="AA727:AB727" si="2293">SUM(AA721:AA726)</f>
        <v>1327.08</v>
      </c>
      <c r="AB727" s="68">
        <f t="shared" si="2293"/>
        <v>0</v>
      </c>
      <c r="AC727" s="53"/>
      <c r="AD727" s="53"/>
      <c r="AE727" s="51">
        <f t="shared" ref="AE727:AF727" si="2294">SUM(AE721:AE726)</f>
        <v>6441</v>
      </c>
      <c r="AF727" s="51">
        <f t="shared" si="2294"/>
        <v>7000</v>
      </c>
      <c r="AG727" s="52"/>
      <c r="AH727" s="53"/>
      <c r="AI727" s="51">
        <f t="shared" ref="AI727:AJ727" si="2295">SUM(AI721:AI726)</f>
        <v>5</v>
      </c>
      <c r="AJ727" s="68">
        <f t="shared" si="2295"/>
        <v>0</v>
      </c>
      <c r="AK727" s="52"/>
      <c r="AL727" s="53"/>
      <c r="AM727" s="51">
        <f t="shared" ref="AM727:AN727" si="2296">SUM(AM721:AM726)</f>
        <v>15</v>
      </c>
      <c r="AN727" s="68">
        <f t="shared" si="2296"/>
        <v>0</v>
      </c>
      <c r="AO727" s="52"/>
      <c r="AP727" s="53"/>
      <c r="AQ727" s="51">
        <f t="shared" ref="AQ727:AR727" si="2297">SUM(AQ720:AQ726)</f>
        <v>5.5</v>
      </c>
      <c r="AR727" s="68">
        <f t="shared" si="2297"/>
        <v>0</v>
      </c>
      <c r="AS727" s="53"/>
      <c r="AT727" s="53"/>
      <c r="AU727" s="51">
        <f t="shared" ref="AU727:AV727" si="2298">SUM(AU720:AU726)</f>
        <v>223.05</v>
      </c>
      <c r="AV727" s="68">
        <f t="shared" si="2298"/>
        <v>2176</v>
      </c>
      <c r="AW727" s="52"/>
      <c r="AX727" s="53"/>
      <c r="AY727" s="51">
        <f t="shared" ref="AY727:AZ727" si="2299">SUM(AY720:AY726)</f>
        <v>2.95</v>
      </c>
      <c r="AZ727" s="68">
        <f t="shared" si="2299"/>
        <v>0</v>
      </c>
      <c r="BA727" s="53"/>
      <c r="BB727" s="53"/>
      <c r="BC727" s="51">
        <f t="shared" ref="BC727:BD727" si="2300">SUM(BC720:BC726)</f>
        <v>3.04</v>
      </c>
      <c r="BD727" s="68">
        <f t="shared" si="2300"/>
        <v>0</v>
      </c>
      <c r="BE727" s="69"/>
      <c r="BF727" s="70">
        <f t="shared" ref="BF727:BH727" si="2301">SUM(BF720:BF726)</f>
        <v>8022.62</v>
      </c>
      <c r="BG727" s="71">
        <f t="shared" si="2301"/>
        <v>9176</v>
      </c>
      <c r="BH727" s="72">
        <f t="shared" si="2301"/>
        <v>234.3664</v>
      </c>
      <c r="BI727" s="34">
        <f>H727+BF727-BG727</f>
        <v>234.3664</v>
      </c>
      <c r="BJ727" s="34">
        <f>BH727-BI727</f>
        <v>0</v>
      </c>
    </row>
    <row r="728" ht="14.25" customHeight="1" spans="1:60" x14ac:dyDescent="0.25">
      <c r="A728" s="29">
        <v>101</v>
      </c>
      <c r="B728" s="14"/>
      <c r="D728" s="14" t="s">
        <v>379</v>
      </c>
      <c r="F728" s="13"/>
      <c r="G728" s="28"/>
      <c r="H728" s="34">
        <f>'2018'!BH728</f>
      </c>
      <c r="I728" s="13"/>
      <c r="J728" s="15"/>
      <c r="K728" s="15"/>
      <c r="L728" s="28"/>
      <c r="Q728" s="13"/>
      <c r="R728" s="15"/>
      <c r="S728" s="15"/>
      <c r="T728" s="28"/>
      <c r="Y728" s="13"/>
      <c r="Z728" s="15"/>
      <c r="AA728" s="15"/>
      <c r="AB728" s="28"/>
      <c r="AG728" s="13"/>
      <c r="AH728" s="15"/>
      <c r="AI728" s="15"/>
      <c r="AJ728" s="28"/>
      <c r="AK728" s="13"/>
      <c r="AL728" s="15"/>
      <c r="AM728" s="15"/>
      <c r="AN728" s="28"/>
      <c r="AO728" s="13"/>
      <c r="AP728" s="15"/>
      <c r="AQ728" s="15"/>
      <c r="AR728" s="28"/>
      <c r="AW728" s="13"/>
      <c r="AX728" s="15"/>
      <c r="AY728" s="15"/>
      <c r="AZ728" s="28"/>
      <c r="BE728" s="14"/>
      <c r="BF728" s="41">
        <f t="shared" ref="BF728:BG728" si="2302">K728+O728+S728+W728+AA728+AE728+AI728+AM728+AQ728+AU728+AY728+BC728</f>
        <v>0</v>
      </c>
      <c r="BG728" s="34">
        <f t="shared" si="2302"/>
        <v>0</v>
      </c>
      <c r="BH728" s="35">
        <f t="shared" ref="BH728:BH734" si="2303">H728+BF728-BG728</f>
        <v>0</v>
      </c>
    </row>
    <row r="729" ht="14.25" customHeight="1" spans="1:60" x14ac:dyDescent="0.25">
      <c r="A729" s="2">
        <v>101</v>
      </c>
      <c r="B729" s="14">
        <v>4.46</v>
      </c>
      <c r="C729" s="2" t="s">
        <v>321</v>
      </c>
      <c r="D729" s="14" t="s">
        <v>44</v>
      </c>
      <c r="E729" s="2" t="s">
        <v>45</v>
      </c>
      <c r="F729" s="13">
        <v>2.49</v>
      </c>
      <c r="G729" s="35">
        <v>2.5</v>
      </c>
      <c r="H729" s="34">
        <f>'2018'!BH729</f>
        <v>4.98</v>
      </c>
      <c r="I729" s="13">
        <v>117</v>
      </c>
      <c r="J729" s="15">
        <f>I729-'2018'!BA729</f>
        <v>0</v>
      </c>
      <c r="K729" s="34">
        <f>J729*$F$8</f>
        <v>0</v>
      </c>
      <c r="L729" s="28"/>
      <c r="M729" s="2">
        <v>117</v>
      </c>
      <c r="N729" s="15">
        <f>M729-I729</f>
        <v>0</v>
      </c>
      <c r="O729" s="34">
        <f>N729*$F$8</f>
        <v>0</v>
      </c>
      <c r="Q729" s="13">
        <v>117</v>
      </c>
      <c r="R729" s="15">
        <f>Q729-M729</f>
        <v>0</v>
      </c>
      <c r="S729" s="34">
        <f>R729*$F$8</f>
        <v>0</v>
      </c>
      <c r="T729" s="28"/>
      <c r="U729" s="15">
        <v>117</v>
      </c>
      <c r="V729" s="15">
        <f>U729-Q729</f>
        <v>0</v>
      </c>
      <c r="W729" s="34">
        <f>V729*$F$8</f>
        <v>0</v>
      </c>
      <c r="X729" s="15"/>
      <c r="Y729" s="13">
        <v>120</v>
      </c>
      <c r="Z729" s="15">
        <f>Y729-U729</f>
        <v>3</v>
      </c>
      <c r="AA729" s="34">
        <f>Z729*$F$8</f>
        <v>7.47</v>
      </c>
      <c r="AB729" s="28"/>
      <c r="AC729" s="15">
        <v>127</v>
      </c>
      <c r="AD729" s="15">
        <f t="shared" ref="AD729:AD730" si="2304">AC729-Y729</f>
        <v>7</v>
      </c>
      <c r="AE729" s="34">
        <f>AD729*$G$8</f>
        <v>17.5</v>
      </c>
      <c r="AF729" s="138">
        <v>29.95</v>
      </c>
      <c r="AG729" s="13">
        <v>129</v>
      </c>
      <c r="AH729" s="15">
        <f t="shared" ref="AH729:AH730" si="2305">AG729-AC729</f>
        <v>2</v>
      </c>
      <c r="AI729" s="34">
        <f>AH729*$G$8</f>
        <v>5</v>
      </c>
      <c r="AJ729" s="139">
        <v>11.51</v>
      </c>
      <c r="AK729" s="13">
        <v>130</v>
      </c>
      <c r="AL729" s="15">
        <f t="shared" ref="AL729:AL730" si="2306">AK729-AG729</f>
        <v>1</v>
      </c>
      <c r="AM729" s="34">
        <f>AL729*$G$8</f>
        <v>2.5</v>
      </c>
      <c r="AN729" s="28"/>
      <c r="AO729" s="13">
        <v>133</v>
      </c>
      <c r="AP729" s="15">
        <f t="shared" ref="AP729:AP730" si="2307">AO729-AK729</f>
        <v>3</v>
      </c>
      <c r="AQ729" s="34">
        <f>AP729*$G$8</f>
        <v>7.5</v>
      </c>
      <c r="AR729" s="28"/>
      <c r="AS729" s="15">
        <v>135</v>
      </c>
      <c r="AT729" s="15">
        <f t="shared" ref="AT729:AT730" si="2308">AS729-AO729</f>
        <v>2</v>
      </c>
      <c r="AU729" s="34">
        <f t="shared" ref="AU729:AU730" si="2309">AT729*$G$8</f>
        <v>5</v>
      </c>
      <c r="AV729" s="15"/>
      <c r="AW729" s="13">
        <v>135</v>
      </c>
      <c r="AX729" s="15">
        <f>AW729-AS729</f>
        <v>0</v>
      </c>
      <c r="AY729" s="34">
        <f>AX729*$G$8</f>
        <v>0</v>
      </c>
      <c r="AZ729" s="28"/>
      <c r="BA729" s="13">
        <v>135</v>
      </c>
      <c r="BB729" s="15">
        <f>BA729-AW729</f>
        <v>0</v>
      </c>
      <c r="BC729" s="34">
        <f>BB729*$G$8</f>
        <v>0</v>
      </c>
      <c r="BD729" s="15"/>
      <c r="BE729" s="40">
        <f t="shared" ref="BE729:BG729" si="2310">J729+N729+R729+V729+Z729+AD729+AH729+AL729+AP729+AT729+AX729+BB729</f>
        <v>18</v>
      </c>
      <c r="BF729" s="41">
        <f t="shared" si="2310"/>
        <v>44.97</v>
      </c>
      <c r="BG729" s="34">
        <f t="shared" si="2310"/>
        <v>41.46</v>
      </c>
      <c r="BH729" s="35">
        <f t="shared" si="2303"/>
        <v>8.49</v>
      </c>
    </row>
    <row r="730" ht="14.25" customHeight="1" spans="1:60" x14ac:dyDescent="0.25">
      <c r="A730" s="29">
        <v>101</v>
      </c>
      <c r="B730" s="14"/>
      <c r="C730" s="2" t="s">
        <v>71</v>
      </c>
      <c r="D730" s="14" t="s">
        <v>47</v>
      </c>
      <c r="E730" s="2" t="s">
        <v>48</v>
      </c>
      <c r="F730" s="13">
        <v>17.98</v>
      </c>
      <c r="G730" s="28">
        <v>18.56</v>
      </c>
      <c r="H730" s="90">
        <f>'2018'!BH730</f>
        <v>0</v>
      </c>
      <c r="I730" s="75">
        <f>111+535</f>
        <v>646</v>
      </c>
      <c r="J730" s="15"/>
      <c r="K730" s="15"/>
      <c r="L730" s="28"/>
      <c r="Q730" s="13"/>
      <c r="R730" s="15"/>
      <c r="S730" s="15"/>
      <c r="T730" s="28"/>
      <c r="Y730" s="13">
        <f>127+537</f>
        <v>664</v>
      </c>
      <c r="Z730" s="15">
        <f>Y730-'2018'!AO730</f>
        <v>18</v>
      </c>
      <c r="AA730" s="34">
        <f>Z730*$F$10</f>
        <v>323.64</v>
      </c>
      <c r="AB730" s="28"/>
      <c r="AC730" s="13">
        <f>132+539</f>
        <v>671</v>
      </c>
      <c r="AD730" s="15">
        <f t="shared" si="2304"/>
        <v>7</v>
      </c>
      <c r="AE730" s="34">
        <f>AD730*$F$10</f>
        <v>125.86</v>
      </c>
      <c r="AF730" s="133">
        <v>449.5</v>
      </c>
      <c r="AG730" s="13">
        <f>140+540</f>
        <v>680</v>
      </c>
      <c r="AH730" s="15">
        <f t="shared" si="2305"/>
        <v>9</v>
      </c>
      <c r="AI730" s="45">
        <f>AH730*$G$10</f>
        <v>167.04</v>
      </c>
      <c r="AJ730" s="134">
        <v>167.04</v>
      </c>
      <c r="AK730" s="13">
        <f>149+549</f>
        <v>698</v>
      </c>
      <c r="AL730" s="15">
        <f t="shared" si="2306"/>
        <v>18</v>
      </c>
      <c r="AM730" s="45">
        <f>AL730*$G$10</f>
        <v>334.08</v>
      </c>
      <c r="AN730" s="134">
        <v>330</v>
      </c>
      <c r="AO730" s="75">
        <f>149+549</f>
        <v>698</v>
      </c>
      <c r="AP730" s="15">
        <f t="shared" si="2307"/>
        <v>0</v>
      </c>
      <c r="AQ730" s="45">
        <f>AP730*$G$10</f>
        <v>0</v>
      </c>
      <c r="AR730" s="28"/>
      <c r="AS730" s="15">
        <f>154+546</f>
        <v>700</v>
      </c>
      <c r="AT730" s="15">
        <f t="shared" si="2308"/>
        <v>2</v>
      </c>
      <c r="AU730" s="34">
        <f t="shared" si="2309"/>
        <v>5</v>
      </c>
      <c r="AV730" s="15"/>
      <c r="AW730" s="15">
        <f>154+546</f>
        <v>700</v>
      </c>
      <c r="AX730" s="15"/>
      <c r="AY730" s="15"/>
      <c r="AZ730" s="28"/>
      <c r="BA730" s="15">
        <f>154+546</f>
        <v>700</v>
      </c>
      <c r="BB730" s="15"/>
      <c r="BC730" s="15"/>
      <c r="BD730" s="15"/>
      <c r="BE730" s="40">
        <f t="shared" ref="BE730:BG730" si="2311">J730+N730+R730+V730+Z730+AD730+AH730+AL730+AP730+AT730+AX730+BB730</f>
        <v>54</v>
      </c>
      <c r="BF730" s="41">
        <f t="shared" si="2311"/>
        <v>955.62</v>
      </c>
      <c r="BG730" s="34">
        <f t="shared" si="2311"/>
        <v>946.54</v>
      </c>
      <c r="BH730" s="35">
        <f t="shared" si="2303"/>
        <v>9.08</v>
      </c>
    </row>
    <row r="731" ht="14.25" customHeight="1" spans="1:60" x14ac:dyDescent="0.25">
      <c r="A731" s="29">
        <v>101</v>
      </c>
      <c r="B731" s="14"/>
      <c r="C731" s="2" t="s">
        <v>102</v>
      </c>
      <c r="D731" s="14" t="s">
        <v>47</v>
      </c>
      <c r="E731" s="2" t="s">
        <v>49</v>
      </c>
      <c r="F731" s="41">
        <v>500</v>
      </c>
      <c r="G731" s="28"/>
      <c r="H731" s="34">
        <f>'2018'!BH731</f>
        <v>0</v>
      </c>
      <c r="I731" s="13"/>
      <c r="J731" s="15"/>
      <c r="K731" s="15"/>
      <c r="L731" s="28"/>
      <c r="Q731" s="13"/>
      <c r="R731" s="15"/>
      <c r="S731" s="15"/>
      <c r="T731" s="28"/>
      <c r="Y731" s="13"/>
      <c r="Z731" s="15"/>
      <c r="AA731" s="15"/>
      <c r="AB731" s="28"/>
      <c r="AG731" s="13"/>
      <c r="AH731" s="15"/>
      <c r="AI731" s="15"/>
      <c r="AJ731" s="35"/>
      <c r="AK731" s="13"/>
      <c r="AL731" s="15"/>
      <c r="AM731" s="34"/>
      <c r="AN731" s="28"/>
      <c r="AO731" s="13"/>
      <c r="AP731" s="15"/>
      <c r="AQ731" s="34"/>
      <c r="AR731" s="28"/>
      <c r="AS731" s="15"/>
      <c r="AT731" s="15"/>
      <c r="AU731" s="15"/>
      <c r="AV731" s="15"/>
      <c r="AW731" s="13"/>
      <c r="AX731" s="15"/>
      <c r="AY731" s="15"/>
      <c r="AZ731" s="28"/>
      <c r="BA731" s="15"/>
      <c r="BB731" s="15"/>
      <c r="BC731" s="15"/>
      <c r="BD731" s="15"/>
      <c r="BE731" s="14"/>
      <c r="BF731" s="41">
        <f t="shared" ref="BF731:BG731" si="2312">K731+O731+S731+W731+AA731+AE731+AI731+AM731+AQ731+AU731+AY731+BC731</f>
        <v>0</v>
      </c>
      <c r="BG731" s="34">
        <f t="shared" si="2312"/>
        <v>0</v>
      </c>
      <c r="BH731" s="35">
        <f t="shared" si="2303"/>
        <v>0</v>
      </c>
    </row>
    <row r="732" ht="14.25" customHeight="1" spans="1:60" x14ac:dyDescent="0.25">
      <c r="A732" s="29">
        <v>101</v>
      </c>
      <c r="B732" s="14"/>
      <c r="C732" s="15" t="s">
        <v>446</v>
      </c>
      <c r="D732" s="14" t="s">
        <v>50</v>
      </c>
      <c r="E732" s="2" t="s">
        <v>49</v>
      </c>
      <c r="F732" s="41">
        <v>1200</v>
      </c>
      <c r="G732" s="28"/>
      <c r="H732" s="34">
        <f>'2018'!BH732</f>
        <v>0.0048</v>
      </c>
      <c r="I732" s="13"/>
      <c r="J732" s="15"/>
      <c r="K732" s="15"/>
      <c r="L732" s="28"/>
      <c r="Q732" s="13"/>
      <c r="R732" s="15"/>
      <c r="S732" s="15"/>
      <c r="T732" s="28"/>
      <c r="Y732" s="13"/>
      <c r="Z732" s="15"/>
      <c r="AA732" s="15"/>
      <c r="AB732" s="28"/>
      <c r="AE732" s="34">
        <f>B729*$F$12</f>
        <v>5352</v>
      </c>
      <c r="AF732" s="133">
        <v>4520.55</v>
      </c>
      <c r="AG732" s="13"/>
      <c r="AH732" s="15"/>
      <c r="AI732" s="15"/>
      <c r="AJ732" s="134">
        <v>831.45</v>
      </c>
      <c r="AK732" s="13"/>
      <c r="AL732" s="15"/>
      <c r="AM732" s="15"/>
      <c r="AN732" s="28"/>
      <c r="AO732" s="13"/>
      <c r="AP732" s="15"/>
      <c r="AQ732" s="15"/>
      <c r="AR732" s="28"/>
      <c r="AS732" s="15"/>
      <c r="AT732" s="15"/>
      <c r="AU732" s="15"/>
      <c r="AV732" s="15"/>
      <c r="AW732" s="13"/>
      <c r="AX732" s="15"/>
      <c r="AY732" s="15"/>
      <c r="AZ732" s="28"/>
      <c r="BA732" s="15"/>
      <c r="BB732" s="15"/>
      <c r="BC732" s="15"/>
      <c r="BD732" s="15"/>
      <c r="BE732" s="14"/>
      <c r="BF732" s="41">
        <f t="shared" ref="BF732:BG732" si="2313">K732+O732+S732+W732+AA732+AE732+AI732+AM732+AQ732+AU732+AY732+BC732</f>
        <v>5352</v>
      </c>
      <c r="BG732" s="34">
        <f t="shared" si="2313"/>
        <v>5352</v>
      </c>
      <c r="BH732" s="35">
        <f t="shared" si="2303"/>
        <v>0.0048</v>
      </c>
    </row>
    <row r="733" ht="14.25" customHeight="1" spans="1:60" x14ac:dyDescent="0.25">
      <c r="A733" s="29">
        <v>101</v>
      </c>
      <c r="B733" s="14"/>
      <c r="D733" s="14" t="s">
        <v>51</v>
      </c>
      <c r="E733" s="2" t="s">
        <v>49</v>
      </c>
      <c r="F733" s="41">
        <v>1000</v>
      </c>
      <c r="G733" s="28"/>
      <c r="H733" s="34">
        <f>'2018'!BH733</f>
        <v>0</v>
      </c>
      <c r="I733" s="13"/>
      <c r="J733" s="15"/>
      <c r="K733" s="15"/>
      <c r="L733" s="28"/>
      <c r="Q733" s="13"/>
      <c r="R733" s="15"/>
      <c r="S733" s="15"/>
      <c r="T733" s="28"/>
      <c r="Y733" s="13"/>
      <c r="Z733" s="15"/>
      <c r="AA733" s="15"/>
      <c r="AB733" s="28"/>
      <c r="AE733" s="34">
        <f>$F$21</f>
        <v>1000</v>
      </c>
      <c r="AG733" s="13"/>
      <c r="AH733" s="15"/>
      <c r="AI733" s="15"/>
      <c r="AJ733" s="134">
        <v>1000</v>
      </c>
      <c r="AK733" s="13"/>
      <c r="AL733" s="15"/>
      <c r="AM733" s="15"/>
      <c r="AN733" s="28"/>
      <c r="AO733" s="13"/>
      <c r="AP733" s="15"/>
      <c r="AQ733" s="15"/>
      <c r="AR733" s="28"/>
      <c r="AS733" s="15"/>
      <c r="AT733" s="15"/>
      <c r="AU733" s="15"/>
      <c r="AV733" s="15"/>
      <c r="AW733" s="13"/>
      <c r="AX733" s="15"/>
      <c r="AY733" s="15"/>
      <c r="AZ733" s="28"/>
      <c r="BA733" s="15"/>
      <c r="BB733" s="15"/>
      <c r="BC733" s="15"/>
      <c r="BD733" s="15"/>
      <c r="BE733" s="14"/>
      <c r="BF733" s="41">
        <f t="shared" ref="BF733:BG733" si="2314">K733+O733+S733+W733+AA733+AE733+AI733+AM733+AQ733+AU733+AY733+BC733</f>
        <v>1000</v>
      </c>
      <c r="BG733" s="34">
        <f t="shared" si="2314"/>
        <v>1000</v>
      </c>
      <c r="BH733" s="35">
        <f t="shared" si="2303"/>
        <v>0</v>
      </c>
    </row>
    <row r="734" ht="14.25" customHeight="1" spans="1:60" x14ac:dyDescent="0.25">
      <c r="A734" s="29">
        <v>101</v>
      </c>
      <c r="B734" s="14"/>
      <c r="D734" s="14" t="s">
        <v>52</v>
      </c>
      <c r="E734" s="2" t="s">
        <v>39</v>
      </c>
      <c r="F734" s="41">
        <v>500</v>
      </c>
      <c r="G734" s="28"/>
      <c r="H734" s="34">
        <f>'2018'!BH734</f>
        <v>0</v>
      </c>
      <c r="I734" s="13"/>
      <c r="J734" s="15"/>
      <c r="K734" s="15"/>
      <c r="L734" s="28"/>
      <c r="Q734" s="13"/>
      <c r="R734" s="15"/>
      <c r="S734" s="15"/>
      <c r="T734" s="28"/>
      <c r="Y734" s="13"/>
      <c r="Z734" s="15"/>
      <c r="AA734" s="34">
        <f>$F$14</f>
        <v>500</v>
      </c>
      <c r="AB734" s="35"/>
      <c r="AG734" s="13"/>
      <c r="AH734" s="15"/>
      <c r="AI734" s="15"/>
      <c r="AJ734" s="134">
        <v>500</v>
      </c>
      <c r="AK734" s="13"/>
      <c r="AL734" s="15"/>
      <c r="AM734" s="15"/>
      <c r="AN734" s="28"/>
      <c r="AO734" s="13"/>
      <c r="AP734" s="15"/>
      <c r="AQ734" s="15"/>
      <c r="AR734" s="28"/>
      <c r="AS734" s="15"/>
      <c r="AT734" s="15"/>
      <c r="AU734" s="15"/>
      <c r="AV734" s="15"/>
      <c r="AW734" s="13"/>
      <c r="AX734" s="15"/>
      <c r="AY734" s="15"/>
      <c r="AZ734" s="28"/>
      <c r="BA734" s="15"/>
      <c r="BB734" s="15"/>
      <c r="BC734" s="15"/>
      <c r="BD734" s="15"/>
      <c r="BE734" s="14"/>
      <c r="BF734" s="41">
        <f t="shared" ref="BF734:BG734" si="2315">K734+O734+S734+W734+AA734+AE734+AI734+AM734+AQ734+AU734+AY734+BC734</f>
        <v>500</v>
      </c>
      <c r="BG734" s="34">
        <f t="shared" si="2315"/>
        <v>500</v>
      </c>
      <c r="BH734" s="35">
        <f t="shared" si="2303"/>
        <v>0</v>
      </c>
    </row>
    <row r="735" ht="14.25" customHeight="1" spans="1:62" x14ac:dyDescent="0.25">
      <c r="A735" s="50">
        <v>101</v>
      </c>
      <c r="B735" s="21"/>
      <c r="C735" s="22" t="s">
        <v>53</v>
      </c>
      <c r="D735" s="21"/>
      <c r="E735" s="22"/>
      <c r="F735" s="20"/>
      <c r="G735" s="23"/>
      <c r="H735" s="51">
        <f>SUM(H728:H734)</f>
        <v>4.9848</v>
      </c>
      <c r="I735" s="52"/>
      <c r="J735" s="53"/>
      <c r="K735" s="51">
        <f t="shared" ref="K735:L735" si="2316">SUM(K728:K734)</f>
        <v>0</v>
      </c>
      <c r="L735" s="68">
        <f t="shared" si="2316"/>
        <v>0</v>
      </c>
      <c r="M735" s="53"/>
      <c r="N735" s="53"/>
      <c r="O735" s="51">
        <f t="shared" ref="O735:P735" si="2317">SUM(O729:O734)</f>
        <v>0</v>
      </c>
      <c r="P735" s="51">
        <f t="shared" si="2317"/>
        <v>0</v>
      </c>
      <c r="Q735" s="52"/>
      <c r="R735" s="53"/>
      <c r="S735" s="51">
        <f t="shared" ref="S735:T735" si="2318">SUM(S729:S734)</f>
        <v>0</v>
      </c>
      <c r="T735" s="68">
        <f t="shared" si="2318"/>
        <v>0</v>
      </c>
      <c r="U735" s="53"/>
      <c r="V735" s="53"/>
      <c r="W735" s="51">
        <f t="shared" ref="W735:X735" si="2319">SUM(W729:W734)</f>
        <v>0</v>
      </c>
      <c r="X735" s="51">
        <f t="shared" si="2319"/>
        <v>0</v>
      </c>
      <c r="Y735" s="52"/>
      <c r="Z735" s="53"/>
      <c r="AA735" s="51">
        <f t="shared" ref="AA735:AB735" si="2320">SUM(AA729:AA734)</f>
        <v>831.11</v>
      </c>
      <c r="AB735" s="68">
        <f t="shared" si="2320"/>
        <v>0</v>
      </c>
      <c r="AC735" s="53"/>
      <c r="AD735" s="53"/>
      <c r="AE735" s="51">
        <f t="shared" ref="AE735:AF735" si="2321">SUM(AE729:AE734)</f>
        <v>6495.36</v>
      </c>
      <c r="AF735" s="51">
        <f t="shared" si="2321"/>
        <v>5000</v>
      </c>
      <c r="AG735" s="52"/>
      <c r="AH735" s="53"/>
      <c r="AI735" s="51">
        <f t="shared" ref="AI735:AJ735" si="2322">SUM(AI729:AI734)</f>
        <v>172.04</v>
      </c>
      <c r="AJ735" s="68">
        <f t="shared" si="2322"/>
        <v>2510</v>
      </c>
      <c r="AK735" s="52"/>
      <c r="AL735" s="53"/>
      <c r="AM735" s="51">
        <f t="shared" ref="AM735:AN735" si="2323">SUM(AM729:AM734)</f>
        <v>336.58</v>
      </c>
      <c r="AN735" s="68">
        <f t="shared" si="2323"/>
        <v>330</v>
      </c>
      <c r="AO735" s="52"/>
      <c r="AP735" s="53"/>
      <c r="AQ735" s="51">
        <f t="shared" ref="AQ735:AR735" si="2324">SUM(AQ728:AQ734)</f>
        <v>7.5</v>
      </c>
      <c r="AR735" s="68">
        <f t="shared" si="2324"/>
        <v>0</v>
      </c>
      <c r="AS735" s="53"/>
      <c r="AT735" s="53"/>
      <c r="AU735" s="51">
        <f t="shared" ref="AU735:AV735" si="2325">SUM(AU728:AU734)</f>
        <v>10</v>
      </c>
      <c r="AV735" s="68">
        <f t="shared" si="2325"/>
        <v>0</v>
      </c>
      <c r="AW735" s="52"/>
      <c r="AX735" s="53"/>
      <c r="AY735" s="51">
        <f t="shared" ref="AY735:AZ735" si="2326">SUM(AY728:AY734)</f>
        <v>0</v>
      </c>
      <c r="AZ735" s="68">
        <f t="shared" si="2326"/>
        <v>0</v>
      </c>
      <c r="BA735" s="53"/>
      <c r="BB735" s="53"/>
      <c r="BC735" s="51">
        <f t="shared" ref="BC735:BD735" si="2327">SUM(BC728:BC734)</f>
        <v>0</v>
      </c>
      <c r="BD735" s="68">
        <f t="shared" si="2327"/>
        <v>0</v>
      </c>
      <c r="BE735" s="69"/>
      <c r="BF735" s="70">
        <f t="shared" ref="BF735:BH735" si="2328">SUM(BF728:BF734)</f>
        <v>7852.59</v>
      </c>
      <c r="BG735" s="71">
        <f t="shared" si="2328"/>
        <v>7840</v>
      </c>
      <c r="BH735" s="72">
        <f t="shared" si="2328"/>
        <v>17.5748</v>
      </c>
      <c r="BI735" s="34">
        <f>H735+BF735-BG735</f>
        <v>17.5748</v>
      </c>
      <c r="BJ735" s="34">
        <f>BH735-BI735</f>
        <v>0</v>
      </c>
    </row>
    <row r="736" ht="14.25" customHeight="1" spans="1:60" x14ac:dyDescent="0.25">
      <c r="A736" s="29">
        <v>103</v>
      </c>
      <c r="B736" s="14"/>
      <c r="D736" s="14" t="s">
        <v>379</v>
      </c>
      <c r="F736" s="13"/>
      <c r="G736" s="28"/>
      <c r="H736" s="34">
        <f>'2018'!BH736</f>
      </c>
      <c r="I736" s="13"/>
      <c r="J736" s="15"/>
      <c r="K736" s="15"/>
      <c r="L736" s="28"/>
      <c r="Q736" s="13"/>
      <c r="R736" s="15"/>
      <c r="S736" s="15"/>
      <c r="T736" s="28"/>
      <c r="Y736" s="13"/>
      <c r="Z736" s="15"/>
      <c r="AA736" s="15"/>
      <c r="AB736" s="28"/>
      <c r="AG736" s="13"/>
      <c r="AH736" s="15"/>
      <c r="AI736" s="15"/>
      <c r="AJ736" s="28"/>
      <c r="AK736" s="13"/>
      <c r="AL736" s="15"/>
      <c r="AM736" s="15"/>
      <c r="AN736" s="28"/>
      <c r="AO736" s="13"/>
      <c r="AP736" s="15"/>
      <c r="AQ736" s="15">
        <v>33.01</v>
      </c>
      <c r="AR736" s="28"/>
      <c r="AU736" s="2">
        <v>34.11</v>
      </c>
      <c r="AW736" s="13"/>
      <c r="AX736" s="15"/>
      <c r="AY736" s="15">
        <v>33.01</v>
      </c>
      <c r="AZ736" s="28"/>
      <c r="BC736" s="34">
        <v>18.7</v>
      </c>
      <c r="BD736" s="91">
        <f>100.13+18.7</f>
        <v>118.83</v>
      </c>
      <c r="BE736" s="14"/>
      <c r="BF736" s="41">
        <f t="shared" ref="BF736:BG736" si="2329">K736+O736+S736+W736+AA736+AE736+AI736+AM736+AQ736+AU736+AY736+BC736</f>
        <v>118.83</v>
      </c>
      <c r="BG736" s="34">
        <f t="shared" si="2329"/>
        <v>118.83</v>
      </c>
      <c r="BH736" s="35">
        <f t="shared" ref="BH736:BH742" si="2330">H736+BF736-BG736</f>
        <v>0</v>
      </c>
    </row>
    <row r="737" ht="14.25" customHeight="1" spans="1:60" x14ac:dyDescent="0.25">
      <c r="A737" s="2">
        <v>103</v>
      </c>
      <c r="B737" s="14">
        <v>4.42</v>
      </c>
      <c r="C737" s="15" t="s">
        <v>322</v>
      </c>
      <c r="D737" s="14" t="s">
        <v>44</v>
      </c>
      <c r="E737" s="2" t="s">
        <v>45</v>
      </c>
      <c r="F737" s="13">
        <v>2.49</v>
      </c>
      <c r="G737" s="35">
        <v>2.5</v>
      </c>
      <c r="H737" s="104">
        <f>'2018'!BH737</f>
        <v>0</v>
      </c>
      <c r="I737" s="13"/>
      <c r="J737" s="15"/>
      <c r="K737" s="34">
        <f>J737*$F$8</f>
        <v>0</v>
      </c>
      <c r="L737" s="28"/>
      <c r="N737" s="15">
        <f>M737-I737</f>
        <v>0</v>
      </c>
      <c r="O737" s="34">
        <f>N737*$F$8</f>
        <v>0</v>
      </c>
      <c r="Q737" s="13"/>
      <c r="R737" s="15">
        <f>Q737-M737</f>
        <v>0</v>
      </c>
      <c r="S737" s="34">
        <f>R737*$F$8</f>
        <v>0</v>
      </c>
      <c r="T737" s="28"/>
      <c r="V737" s="15">
        <f>U737-Q737</f>
        <v>0</v>
      </c>
      <c r="Y737" s="13"/>
      <c r="Z737" s="15">
        <f>Y737-U737</f>
        <v>0</v>
      </c>
      <c r="AA737" s="34">
        <f>Z737*$F$8</f>
        <v>0</v>
      </c>
      <c r="AB737" s="28"/>
      <c r="AC737" s="15"/>
      <c r="AD737" s="15">
        <f t="shared" ref="AD737:AD738" si="2331">AC737-Y737</f>
        <v>0</v>
      </c>
      <c r="AE737" s="34">
        <f>AD737*$G$8</f>
        <v>0</v>
      </c>
      <c r="AG737" s="13"/>
      <c r="AH737" s="15">
        <f t="shared" ref="AH737:AH738" si="2332">AG737-AC737</f>
        <v>0</v>
      </c>
      <c r="AI737" s="34">
        <f>AH737*$G$8</f>
        <v>0</v>
      </c>
      <c r="AJ737" s="28"/>
      <c r="AK737" s="13"/>
      <c r="AL737" s="15">
        <f t="shared" ref="AL737:AL738" si="2333">AK737-AG737</f>
        <v>0</v>
      </c>
      <c r="AM737" s="34">
        <f>AL737*$G$8</f>
        <v>0</v>
      </c>
      <c r="AN737" s="28"/>
      <c r="AO737" s="13"/>
      <c r="AP737" s="15">
        <f t="shared" ref="AP737:AP738" si="2334">AO737-AK737</f>
        <v>0</v>
      </c>
      <c r="AQ737" s="34">
        <f>AP737*$G$8</f>
        <v>0</v>
      </c>
      <c r="AR737" s="28"/>
      <c r="AS737" s="15"/>
      <c r="AT737" s="15">
        <f t="shared" ref="AT737:AT738" si="2335">AS737-AO737</f>
        <v>0</v>
      </c>
      <c r="AU737" s="34">
        <f>AT737*$G$8</f>
        <v>0</v>
      </c>
      <c r="AV737" s="15"/>
      <c r="AW737" s="13"/>
      <c r="AX737" s="15">
        <f>AW737-AS737</f>
        <v>0</v>
      </c>
      <c r="AY737" s="34">
        <f>AX737*$G$8</f>
        <v>0</v>
      </c>
      <c r="AZ737" s="28"/>
      <c r="BA737" s="15"/>
      <c r="BB737" s="15">
        <f>BA737-AW737</f>
        <v>0</v>
      </c>
      <c r="BC737" s="34">
        <f>BB737*$G$8</f>
        <v>0</v>
      </c>
      <c r="BD737" s="15"/>
      <c r="BE737" s="40">
        <f t="shared" ref="BE737:BG737" si="2336">J737+N737+R737+V737+Z737+AD737+AH737+AL737+AP737+AT737+AX737+BB737</f>
        <v>0</v>
      </c>
      <c r="BF737" s="41">
        <f t="shared" si="2336"/>
        <v>0</v>
      </c>
      <c r="BG737" s="34">
        <f t="shared" si="2336"/>
        <v>0</v>
      </c>
      <c r="BH737" s="35">
        <f t="shared" si="2330"/>
        <v>0</v>
      </c>
    </row>
    <row r="738" ht="14.25" customHeight="1" spans="1:60" x14ac:dyDescent="0.25">
      <c r="A738" s="29">
        <v>103</v>
      </c>
      <c r="B738" s="14"/>
      <c r="C738" s="15" t="s">
        <v>93</v>
      </c>
      <c r="D738" s="14" t="s">
        <v>47</v>
      </c>
      <c r="E738" s="2" t="s">
        <v>48</v>
      </c>
      <c r="F738" s="13">
        <v>17.98</v>
      </c>
      <c r="G738" s="28">
        <v>18.56</v>
      </c>
      <c r="H738" s="34">
        <f>'2018'!BH738</f>
        <v>51.48</v>
      </c>
      <c r="I738" s="94">
        <v>15</v>
      </c>
      <c r="J738" s="15"/>
      <c r="K738" s="15"/>
      <c r="L738" s="28"/>
      <c r="Q738" s="13"/>
      <c r="R738" s="15"/>
      <c r="S738" s="15"/>
      <c r="T738" s="28"/>
      <c r="Y738" s="13">
        <v>16</v>
      </c>
      <c r="Z738" s="15">
        <f>Y738-'2018'!AO738</f>
        <v>1</v>
      </c>
      <c r="AA738" s="34">
        <f>Z738*$F$10</f>
        <v>17.98</v>
      </c>
      <c r="AB738" s="28"/>
      <c r="AC738" s="15">
        <v>16</v>
      </c>
      <c r="AD738" s="15">
        <f t="shared" si="2331"/>
        <v>0</v>
      </c>
      <c r="AE738" s="34">
        <f>AD738*$F$10</f>
        <v>0</v>
      </c>
      <c r="AG738" s="13">
        <v>16</v>
      </c>
      <c r="AH738" s="15">
        <f t="shared" si="2332"/>
        <v>0</v>
      </c>
      <c r="AI738" s="45">
        <f>AH738*$G$10</f>
        <v>0</v>
      </c>
      <c r="AJ738" s="28"/>
      <c r="AK738" s="15">
        <v>16</v>
      </c>
      <c r="AL738" s="15">
        <f t="shared" si="2333"/>
        <v>0</v>
      </c>
      <c r="AM738" s="45">
        <f>AL738*$G$10</f>
        <v>0</v>
      </c>
      <c r="AN738" s="28"/>
      <c r="AO738" s="13">
        <v>19</v>
      </c>
      <c r="AP738" s="15">
        <f t="shared" si="2334"/>
        <v>3</v>
      </c>
      <c r="AQ738" s="45">
        <f>AP738*$G$10</f>
        <v>55.68</v>
      </c>
      <c r="AR738" s="28"/>
      <c r="AS738" s="13">
        <v>19</v>
      </c>
      <c r="AT738" s="15">
        <f t="shared" si="2335"/>
        <v>0</v>
      </c>
      <c r="AU738" s="45">
        <f>AT738*$G$10</f>
        <v>0</v>
      </c>
      <c r="AV738" s="15"/>
      <c r="AW738" s="13">
        <v>19</v>
      </c>
      <c r="AX738" s="15"/>
      <c r="AY738" s="15"/>
      <c r="AZ738" s="28"/>
      <c r="BA738" s="15">
        <v>19</v>
      </c>
      <c r="BB738" s="15"/>
      <c r="BC738" s="15"/>
      <c r="BD738" s="140">
        <f>158.15-18.7</f>
        <v>139.45</v>
      </c>
      <c r="BE738" s="40">
        <f t="shared" ref="BE738:BG738" si="2337">J738+N738+R738+V738+Z738+AD738+AH738+AL738+AP738+AT738+AX738+BB738</f>
        <v>4</v>
      </c>
      <c r="BF738" s="41">
        <f t="shared" si="2337"/>
        <v>73.66</v>
      </c>
      <c r="BG738" s="34">
        <f t="shared" si="2337"/>
        <v>139.45</v>
      </c>
      <c r="BH738" s="35">
        <f t="shared" si="2330"/>
        <v>-14.31</v>
      </c>
    </row>
    <row r="739" ht="14.25" customHeight="1" spans="1:60" x14ac:dyDescent="0.25">
      <c r="A739" s="29">
        <v>103</v>
      </c>
      <c r="B739" s="14"/>
      <c r="C739" s="15" t="s">
        <v>84</v>
      </c>
      <c r="D739" s="14" t="s">
        <v>47</v>
      </c>
      <c r="E739" s="2" t="s">
        <v>49</v>
      </c>
      <c r="F739" s="41">
        <v>500</v>
      </c>
      <c r="G739" s="28"/>
      <c r="H739" s="34">
        <f>'2018'!BH739</f>
        <v>0</v>
      </c>
      <c r="I739" s="13"/>
      <c r="J739" s="15"/>
      <c r="K739" s="15"/>
      <c r="L739" s="28"/>
      <c r="Q739" s="13"/>
      <c r="R739" s="15"/>
      <c r="S739" s="15"/>
      <c r="T739" s="28"/>
      <c r="Y739" s="13"/>
      <c r="Z739" s="15"/>
      <c r="AA739" s="15"/>
      <c r="AB739" s="28"/>
      <c r="AG739" s="13"/>
      <c r="AH739" s="15"/>
      <c r="AI739" s="15"/>
      <c r="AJ739" s="28"/>
      <c r="AK739" s="13"/>
      <c r="AL739" s="15"/>
      <c r="AM739" s="34"/>
      <c r="AN739" s="28"/>
      <c r="AO739" s="13"/>
      <c r="AP739" s="15"/>
      <c r="AQ739" s="34"/>
      <c r="AR739" s="28"/>
      <c r="AS739" s="15"/>
      <c r="AT739" s="15"/>
      <c r="AU739" s="15"/>
      <c r="AV739" s="15"/>
      <c r="AW739" s="13"/>
      <c r="AX739" s="15"/>
      <c r="AY739" s="15"/>
      <c r="AZ739" s="28"/>
      <c r="BA739" s="15"/>
      <c r="BB739" s="15"/>
      <c r="BC739" s="15"/>
      <c r="BD739" s="15"/>
      <c r="BE739" s="14"/>
      <c r="BF739" s="41">
        <f t="shared" ref="BF739:BG739" si="2338">K739+O739+S739+W739+AA739+AE739+AI739+AM739+AQ739+AU739+AY739+BC739</f>
        <v>0</v>
      </c>
      <c r="BG739" s="34">
        <f t="shared" si="2338"/>
        <v>0</v>
      </c>
      <c r="BH739" s="35">
        <f t="shared" si="2330"/>
        <v>0</v>
      </c>
    </row>
    <row r="740" ht="14.25" customHeight="1" spans="1:60" x14ac:dyDescent="0.25">
      <c r="A740" s="29">
        <v>103</v>
      </c>
      <c r="B740" s="14"/>
      <c r="C740" s="15" t="s">
        <v>398</v>
      </c>
      <c r="D740" s="14" t="s">
        <v>50</v>
      </c>
      <c r="E740" s="2" t="s">
        <v>49</v>
      </c>
      <c r="F740" s="41">
        <v>1200</v>
      </c>
      <c r="G740" s="28"/>
      <c r="H740" s="34">
        <f>'2018'!BH740</f>
        <v>4697.9296</v>
      </c>
      <c r="I740" s="13"/>
      <c r="J740" s="15"/>
      <c r="K740" s="15"/>
      <c r="L740" s="28"/>
      <c r="Q740" s="13"/>
      <c r="R740" s="15"/>
      <c r="S740" s="15"/>
      <c r="T740" s="28"/>
      <c r="Y740" s="13"/>
      <c r="Z740" s="15"/>
      <c r="AA740" s="15"/>
      <c r="AB740" s="28"/>
      <c r="AE740" s="34">
        <f>B737*$F$12</f>
        <v>5304</v>
      </c>
      <c r="AG740" s="13"/>
      <c r="AH740" s="15"/>
      <c r="AI740" s="15"/>
      <c r="AJ740" s="35"/>
      <c r="AK740" s="13"/>
      <c r="AL740" s="15"/>
      <c r="AM740" s="15"/>
      <c r="AN740" s="28"/>
      <c r="AO740" s="13"/>
      <c r="AP740" s="15"/>
      <c r="AQ740" s="15"/>
      <c r="AR740" s="28"/>
      <c r="AS740" s="15"/>
      <c r="AT740" s="15"/>
      <c r="AU740" s="15"/>
      <c r="AV740" s="15"/>
      <c r="AW740" s="13"/>
      <c r="AX740" s="15"/>
      <c r="AY740" s="15"/>
      <c r="AZ740" s="28"/>
      <c r="BA740" s="15"/>
      <c r="BB740" s="15"/>
      <c r="BC740" s="15"/>
      <c r="BD740" s="39">
        <v>10001.93</v>
      </c>
      <c r="BE740" s="14"/>
      <c r="BF740" s="41">
        <f t="shared" ref="BF740:BG740" si="2339">K740+O740+S740+W740+AA740+AE740+AI740+AM740+AQ740+AU740+AY740+BC740</f>
        <v>5304</v>
      </c>
      <c r="BG740" s="34">
        <f t="shared" si="2339"/>
        <v>10001.93</v>
      </c>
      <c r="BH740" s="35">
        <f t="shared" si="2330"/>
        <v>-0.0004000000008</v>
      </c>
    </row>
    <row r="741" ht="14.25" customHeight="1" spans="1:60" x14ac:dyDescent="0.25">
      <c r="A741" s="29">
        <v>103</v>
      </c>
      <c r="B741" s="14"/>
      <c r="D741" s="14" t="s">
        <v>51</v>
      </c>
      <c r="E741" s="2" t="s">
        <v>49</v>
      </c>
      <c r="F741" s="41">
        <v>1000</v>
      </c>
      <c r="G741" s="28"/>
      <c r="H741" s="34">
        <f>'2018'!BH741</f>
        <v>0</v>
      </c>
      <c r="I741" s="13"/>
      <c r="J741" s="15"/>
      <c r="K741" s="15"/>
      <c r="L741" s="28"/>
      <c r="Q741" s="13"/>
      <c r="R741" s="15"/>
      <c r="S741" s="15"/>
      <c r="T741" s="28"/>
      <c r="Y741" s="13"/>
      <c r="Z741" s="15"/>
      <c r="AA741" s="15"/>
      <c r="AB741" s="28"/>
      <c r="AE741" s="34">
        <f>$F$21</f>
        <v>1000</v>
      </c>
      <c r="AG741" s="13"/>
      <c r="AH741" s="15"/>
      <c r="AI741" s="15"/>
      <c r="AJ741" s="28"/>
      <c r="AK741" s="13"/>
      <c r="AL741" s="15"/>
      <c r="AM741" s="15"/>
      <c r="AN741" s="28"/>
      <c r="AO741" s="13"/>
      <c r="AP741" s="15"/>
      <c r="AQ741" s="15"/>
      <c r="AR741" s="28"/>
      <c r="AS741" s="15"/>
      <c r="AT741" s="15"/>
      <c r="AU741" s="15"/>
      <c r="AV741" s="15"/>
      <c r="AW741" s="13"/>
      <c r="AX741" s="15"/>
      <c r="AY741" s="15"/>
      <c r="AZ741" s="28"/>
      <c r="BA741" s="15"/>
      <c r="BB741" s="15"/>
      <c r="BC741" s="15"/>
      <c r="BD741" s="39">
        <v>1000</v>
      </c>
      <c r="BE741" s="14"/>
      <c r="BF741" s="41">
        <f t="shared" ref="BF741:BG741" si="2340">K741+O741+S741+W741+AA741+AE741+AI741+AM741+AQ741+AU741+AY741+BC741</f>
        <v>1000</v>
      </c>
      <c r="BG741" s="34">
        <f t="shared" si="2340"/>
        <v>1000</v>
      </c>
      <c r="BH741" s="35">
        <f t="shared" si="2330"/>
        <v>0</v>
      </c>
    </row>
    <row r="742" ht="14.25" customHeight="1" spans="1:60" x14ac:dyDescent="0.25">
      <c r="A742" s="29">
        <v>103</v>
      </c>
      <c r="B742" s="14"/>
      <c r="D742" s="14" t="s">
        <v>52</v>
      </c>
      <c r="E742" s="2" t="s">
        <v>39</v>
      </c>
      <c r="F742" s="41">
        <v>500</v>
      </c>
      <c r="G742" s="28"/>
      <c r="H742" s="34">
        <f>'2018'!BH742</f>
        <v>350</v>
      </c>
      <c r="I742" s="13"/>
      <c r="J742" s="15"/>
      <c r="K742" s="15"/>
      <c r="L742" s="28"/>
      <c r="Q742" s="13"/>
      <c r="R742" s="15"/>
      <c r="S742" s="15"/>
      <c r="T742" s="28"/>
      <c r="Y742" s="13"/>
      <c r="Z742" s="15"/>
      <c r="AA742" s="34">
        <f>$F$14</f>
        <v>500</v>
      </c>
      <c r="AB742" s="28"/>
      <c r="AG742" s="13"/>
      <c r="AH742" s="15"/>
      <c r="AI742" s="15"/>
      <c r="AJ742" s="28"/>
      <c r="AK742" s="13"/>
      <c r="AL742" s="15"/>
      <c r="AM742" s="15"/>
      <c r="AN742" s="28"/>
      <c r="AO742" s="13"/>
      <c r="AP742" s="15"/>
      <c r="AQ742" s="15"/>
      <c r="AR742" s="28"/>
      <c r="AS742" s="15"/>
      <c r="AT742" s="15"/>
      <c r="AU742" s="15"/>
      <c r="AV742" s="15"/>
      <c r="AW742" s="13"/>
      <c r="AX742" s="15"/>
      <c r="AY742" s="15"/>
      <c r="AZ742" s="28"/>
      <c r="BA742" s="15"/>
      <c r="BB742" s="15"/>
      <c r="BC742" s="15"/>
      <c r="BD742" s="39">
        <v>850</v>
      </c>
      <c r="BE742" s="14"/>
      <c r="BF742" s="41">
        <f t="shared" ref="BF742:BG742" si="2341">K742+O742+S742+W742+AA742+AE742+AI742+AM742+AQ742+AU742+AY742+BC742</f>
        <v>500</v>
      </c>
      <c r="BG742" s="34">
        <f t="shared" si="2341"/>
        <v>850</v>
      </c>
      <c r="BH742" s="35">
        <f t="shared" si="2330"/>
        <v>0</v>
      </c>
    </row>
    <row r="743" ht="14.25" customHeight="1" spans="1:62" x14ac:dyDescent="0.25">
      <c r="A743" s="50">
        <v>103</v>
      </c>
      <c r="B743" s="21"/>
      <c r="C743" s="22" t="s">
        <v>53</v>
      </c>
      <c r="D743" s="21"/>
      <c r="E743" s="22"/>
      <c r="F743" s="20"/>
      <c r="G743" s="23"/>
      <c r="H743" s="51">
        <f>SUM(H736:H742)</f>
        <v>5099.4096</v>
      </c>
      <c r="I743" s="52"/>
      <c r="J743" s="53"/>
      <c r="K743" s="51">
        <f t="shared" ref="K743:L743" si="2342">SUM(K736:K742)</f>
        <v>0</v>
      </c>
      <c r="L743" s="68">
        <f t="shared" si="2342"/>
        <v>0</v>
      </c>
      <c r="M743" s="53"/>
      <c r="N743" s="53"/>
      <c r="O743" s="51">
        <f t="shared" ref="O743:P743" si="2343">SUM(O737:O742)</f>
        <v>0</v>
      </c>
      <c r="P743" s="51">
        <f t="shared" si="2343"/>
        <v>0</v>
      </c>
      <c r="Q743" s="52"/>
      <c r="R743" s="53"/>
      <c r="S743" s="51">
        <f t="shared" ref="S743:T743" si="2344">SUM(S737:S742)</f>
        <v>0</v>
      </c>
      <c r="T743" s="68">
        <f t="shared" si="2344"/>
        <v>0</v>
      </c>
      <c r="U743" s="53"/>
      <c r="V743" s="53"/>
      <c r="W743" s="51">
        <f t="shared" ref="W743:X743" si="2345">SUM(W737:W742)</f>
        <v>0</v>
      </c>
      <c r="X743" s="51">
        <f t="shared" si="2345"/>
        <v>0</v>
      </c>
      <c r="Y743" s="52"/>
      <c r="Z743" s="53"/>
      <c r="AA743" s="51">
        <f t="shared" ref="AA743:AB743" si="2346">SUM(AA737:AA742)</f>
        <v>517.98</v>
      </c>
      <c r="AB743" s="68">
        <f t="shared" si="2346"/>
        <v>0</v>
      </c>
      <c r="AC743" s="53"/>
      <c r="AD743" s="53"/>
      <c r="AE743" s="51">
        <f t="shared" ref="AE743:AF743" si="2347">SUM(AE737:AE742)</f>
        <v>6304</v>
      </c>
      <c r="AF743" s="51">
        <f t="shared" si="2347"/>
        <v>0</v>
      </c>
      <c r="AG743" s="52"/>
      <c r="AH743" s="53"/>
      <c r="AI743" s="51">
        <f t="shared" ref="AI743:AJ743" si="2348">SUM(AI737:AI742)</f>
        <v>0</v>
      </c>
      <c r="AJ743" s="68">
        <f t="shared" si="2348"/>
        <v>0</v>
      </c>
      <c r="AK743" s="52"/>
      <c r="AL743" s="53"/>
      <c r="AM743" s="51">
        <f t="shared" ref="AM743:AN743" si="2349">SUM(AM737:AM742)</f>
        <v>0</v>
      </c>
      <c r="AN743" s="68">
        <f t="shared" si="2349"/>
        <v>0</v>
      </c>
      <c r="AO743" s="52"/>
      <c r="AP743" s="53"/>
      <c r="AQ743" s="51">
        <f t="shared" ref="AQ743:AR743" si="2350">SUM(AQ736:AQ742)</f>
        <v>88.69</v>
      </c>
      <c r="AR743" s="68">
        <f t="shared" si="2350"/>
        <v>0</v>
      </c>
      <c r="AS743" s="53"/>
      <c r="AT743" s="53"/>
      <c r="AU743" s="51">
        <f t="shared" ref="AU743:AV743" si="2351">SUM(AU736:AU742)</f>
        <v>34.11</v>
      </c>
      <c r="AV743" s="68">
        <f t="shared" si="2351"/>
        <v>0</v>
      </c>
      <c r="AW743" s="52"/>
      <c r="AX743" s="53"/>
      <c r="AY743" s="51">
        <f t="shared" ref="AY743:AZ743" si="2352">SUM(AY736:AY742)</f>
        <v>33.01</v>
      </c>
      <c r="AZ743" s="68">
        <f t="shared" si="2352"/>
        <v>0</v>
      </c>
      <c r="BA743" s="53"/>
      <c r="BB743" s="53"/>
      <c r="BC743" s="51">
        <f t="shared" ref="BC743:BD743" si="2353">SUM(BC736:BC742)</f>
        <v>18.7</v>
      </c>
      <c r="BD743" s="68">
        <f t="shared" si="2353"/>
        <v>12110.21</v>
      </c>
      <c r="BE743" s="69"/>
      <c r="BF743" s="70">
        <f t="shared" ref="BF743:BH743" si="2354">SUM(BF736:BF742)</f>
        <v>6996.49</v>
      </c>
      <c r="BG743" s="71">
        <f t="shared" si="2354"/>
        <v>12110.21</v>
      </c>
      <c r="BH743" s="72">
        <f t="shared" si="2354"/>
        <v>-14.3104</v>
      </c>
      <c r="BI743" s="34">
        <f>H743+BF743-BG743</f>
        <v>-14.3104</v>
      </c>
      <c r="BJ743" s="34">
        <f>BH743-BI743</f>
        <v>0</v>
      </c>
    </row>
    <row r="744" ht="14.25" customHeight="1" spans="1:60" x14ac:dyDescent="0.25">
      <c r="A744" s="29">
        <v>105</v>
      </c>
      <c r="B744" s="14"/>
      <c r="D744" s="14" t="s">
        <v>379</v>
      </c>
      <c r="F744" s="13"/>
      <c r="G744" s="28"/>
      <c r="H744" s="34">
        <f>'2018'!BH744</f>
      </c>
      <c r="I744" s="13"/>
      <c r="J744" s="15"/>
      <c r="K744" s="15"/>
      <c r="L744" s="28"/>
      <c r="Q744" s="13"/>
      <c r="R744" s="15"/>
      <c r="S744" s="15"/>
      <c r="T744" s="28"/>
      <c r="Y744" s="13"/>
      <c r="Z744" s="15"/>
      <c r="AA744" s="15"/>
      <c r="AB744" s="28"/>
      <c r="AG744" s="13"/>
      <c r="AH744" s="15"/>
      <c r="AI744" s="15"/>
      <c r="AJ744" s="28"/>
      <c r="AK744" s="13"/>
      <c r="AL744" s="15"/>
      <c r="AM744" s="15"/>
      <c r="AN744" s="28"/>
      <c r="AO744" s="13"/>
      <c r="AP744" s="15"/>
      <c r="AQ744" s="15">
        <v>2.55</v>
      </c>
      <c r="AR744" s="28"/>
      <c r="AU744" s="2">
        <v>0.02</v>
      </c>
      <c r="AW744" s="13"/>
      <c r="AX744" s="15"/>
      <c r="AY744" s="15"/>
      <c r="AZ744" s="28"/>
      <c r="BE744" s="14"/>
      <c r="BF744" s="41">
        <f t="shared" ref="BF744:BG744" si="2355">K744+O744+S744+W744+AA744+AE744+AI744+AM744+AQ744+AU744+AY744+BC744</f>
        <v>2.57</v>
      </c>
      <c r="BG744" s="34">
        <f t="shared" si="2355"/>
        <v>0</v>
      </c>
      <c r="BH744" s="35">
        <f t="shared" ref="BH744:BH750" si="2356">H744+BF744-BG744</f>
        <v>2.57</v>
      </c>
    </row>
    <row r="745" ht="14.25" customHeight="1" spans="1:60" x14ac:dyDescent="0.25">
      <c r="A745" s="2">
        <v>105</v>
      </c>
      <c r="B745" s="14">
        <v>4.41</v>
      </c>
      <c r="C745" s="2" t="s">
        <v>323</v>
      </c>
      <c r="D745" s="14" t="s">
        <v>44</v>
      </c>
      <c r="E745" s="2" t="s">
        <v>45</v>
      </c>
      <c r="F745" s="13">
        <v>2.49</v>
      </c>
      <c r="G745" s="35">
        <v>2.5</v>
      </c>
      <c r="H745" s="34">
        <f>'2018'!BH745</f>
        <v>4.98</v>
      </c>
      <c r="I745" s="13">
        <v>738</v>
      </c>
      <c r="J745" s="15">
        <f>I745-'2018'!BA745</f>
        <v>0</v>
      </c>
      <c r="K745" s="34">
        <f>J745*$F$8</f>
        <v>0</v>
      </c>
      <c r="L745" s="28"/>
      <c r="M745" s="2">
        <v>738</v>
      </c>
      <c r="N745" s="15">
        <f>M745-I745</f>
        <v>0</v>
      </c>
      <c r="O745" s="34">
        <f>N745*$F$8</f>
        <v>0</v>
      </c>
      <c r="Q745" s="13">
        <v>738</v>
      </c>
      <c r="R745" s="15">
        <f>Q745-M745</f>
        <v>0</v>
      </c>
      <c r="S745" s="34">
        <f>R745*$F$8</f>
        <v>0</v>
      </c>
      <c r="T745" s="28"/>
      <c r="U745" s="15">
        <v>738</v>
      </c>
      <c r="V745" s="15">
        <f>U745-Q745</f>
        <v>0</v>
      </c>
      <c r="W745" s="34">
        <f>V745*$F$8</f>
        <v>0</v>
      </c>
      <c r="Y745" s="13">
        <v>738</v>
      </c>
      <c r="Z745" s="15">
        <f>Y745-U745</f>
        <v>0</v>
      </c>
      <c r="AA745" s="34">
        <f>Z745*$F$8</f>
        <v>0</v>
      </c>
      <c r="AB745" s="28"/>
      <c r="AC745" s="15">
        <v>739</v>
      </c>
      <c r="AD745" s="15">
        <f t="shared" ref="AD745:AD746" si="2357">AC745-Y745</f>
        <v>1</v>
      </c>
      <c r="AE745" s="34">
        <f>AD745*$G$8</f>
        <v>2.5</v>
      </c>
      <c r="AF745" s="133">
        <f>7.48+2.62</f>
        <v>10.1</v>
      </c>
      <c r="AG745" s="13">
        <v>744</v>
      </c>
      <c r="AH745" s="15">
        <f t="shared" ref="AH745:AH746" si="2358">AG745-AC745</f>
        <v>5</v>
      </c>
      <c r="AI745" s="34">
        <f>AH745*$G$8</f>
        <v>12.5</v>
      </c>
      <c r="AJ745" s="32"/>
      <c r="AK745" s="13">
        <v>798</v>
      </c>
      <c r="AL745" s="15">
        <f t="shared" ref="AL745:AL746" si="2359">AK745-AG745</f>
        <v>54</v>
      </c>
      <c r="AM745" s="34">
        <f>AL745*$G$8</f>
        <v>135</v>
      </c>
      <c r="AN745" s="28"/>
      <c r="AO745" s="13">
        <v>892</v>
      </c>
      <c r="AP745" s="15">
        <f t="shared" ref="AP745:AP746" si="2360">AO745-AK745</f>
        <v>94</v>
      </c>
      <c r="AQ745" s="34">
        <f>AP745*$G$8</f>
        <v>235</v>
      </c>
      <c r="AR745" s="38">
        <v>150</v>
      </c>
      <c r="AS745" s="15">
        <v>946</v>
      </c>
      <c r="AT745" s="15">
        <f t="shared" ref="AT745:AT746" si="2361">AS745-AO745</f>
        <v>54</v>
      </c>
      <c r="AU745" s="34">
        <f>AT745*$G$8</f>
        <v>135</v>
      </c>
      <c r="AV745" s="39">
        <v>230</v>
      </c>
      <c r="AW745" s="13">
        <v>946</v>
      </c>
      <c r="AX745" s="15">
        <f>AW745-AS745</f>
        <v>0</v>
      </c>
      <c r="AY745" s="34">
        <f>AX745*$G$8</f>
        <v>0</v>
      </c>
      <c r="AZ745" s="38">
        <v>150</v>
      </c>
      <c r="BA745" s="13">
        <v>946</v>
      </c>
      <c r="BB745" s="15">
        <f>BA745-AW745</f>
        <v>0</v>
      </c>
      <c r="BC745" s="34">
        <f>BB745*$G$8</f>
        <v>0</v>
      </c>
      <c r="BD745" s="15"/>
      <c r="BE745" s="40">
        <f t="shared" ref="BE745:BG745" si="2362">J745+N745+R745+V745+Z745+AD745+AH745+AL745+AP745+AT745+AX745+BB745</f>
        <v>208</v>
      </c>
      <c r="BF745" s="41">
        <f t="shared" si="2362"/>
        <v>520</v>
      </c>
      <c r="BG745" s="34">
        <f t="shared" si="2362"/>
        <v>540.1</v>
      </c>
      <c r="BH745" s="35">
        <f t="shared" si="2356"/>
        <v>-15.12</v>
      </c>
    </row>
    <row r="746" ht="14.25" customHeight="1" spans="1:60" x14ac:dyDescent="0.25">
      <c r="A746" s="29">
        <v>105</v>
      </c>
      <c r="B746" s="14"/>
      <c r="C746" s="2" t="s">
        <v>79</v>
      </c>
      <c r="D746" s="14" t="s">
        <v>47</v>
      </c>
      <c r="E746" s="2" t="s">
        <v>48</v>
      </c>
      <c r="F746" s="13">
        <v>17.98</v>
      </c>
      <c r="G746" s="28">
        <v>18.56</v>
      </c>
      <c r="H746" s="34">
        <f>'2018'!BH746</f>
        <v>0</v>
      </c>
      <c r="I746" s="13">
        <v>150</v>
      </c>
      <c r="J746" s="15"/>
      <c r="K746" s="15"/>
      <c r="L746" s="28"/>
      <c r="Q746" s="13"/>
      <c r="R746" s="15"/>
      <c r="S746" s="15"/>
      <c r="T746" s="28"/>
      <c r="Y746" s="13">
        <v>151</v>
      </c>
      <c r="Z746" s="15">
        <f>Y746-'2018'!AO746</f>
        <v>1</v>
      </c>
      <c r="AA746" s="34">
        <f>Z746*$F$10</f>
        <v>17.98</v>
      </c>
      <c r="AB746" s="28"/>
      <c r="AC746" s="15">
        <v>155</v>
      </c>
      <c r="AD746" s="15">
        <f t="shared" si="2357"/>
        <v>4</v>
      </c>
      <c r="AE746" s="34">
        <f>AD746*$F$10</f>
        <v>71.92</v>
      </c>
      <c r="AF746" s="133">
        <v>89.9</v>
      </c>
      <c r="AG746" s="13">
        <v>155</v>
      </c>
      <c r="AH746" s="15">
        <f t="shared" si="2358"/>
        <v>0</v>
      </c>
      <c r="AI746" s="45">
        <f>AH746*$G$10</f>
        <v>0</v>
      </c>
      <c r="AJ746" s="28"/>
      <c r="AK746" s="13">
        <v>174</v>
      </c>
      <c r="AL746" s="15">
        <f t="shared" si="2359"/>
        <v>19</v>
      </c>
      <c r="AM746" s="45">
        <f>AL746*$G$10</f>
        <v>352.64</v>
      </c>
      <c r="AN746" s="35"/>
      <c r="AO746" s="13">
        <v>177</v>
      </c>
      <c r="AP746" s="15">
        <f t="shared" si="2360"/>
        <v>3</v>
      </c>
      <c r="AQ746" s="45">
        <f>AP746*$G$10</f>
        <v>55.68</v>
      </c>
      <c r="AR746" s="38">
        <v>190</v>
      </c>
      <c r="AS746" s="13">
        <v>177</v>
      </c>
      <c r="AT746" s="15">
        <f t="shared" si="2361"/>
        <v>0</v>
      </c>
      <c r="AU746" s="45">
        <f>AT746*$G$10</f>
        <v>0</v>
      </c>
      <c r="AV746" s="39">
        <v>220</v>
      </c>
      <c r="AW746" s="13">
        <v>177</v>
      </c>
      <c r="AX746" s="15"/>
      <c r="AY746" s="15"/>
      <c r="AZ746" s="28"/>
      <c r="BA746" s="15">
        <v>177</v>
      </c>
      <c r="BB746" s="15"/>
      <c r="BC746" s="15"/>
      <c r="BD746" s="15"/>
      <c r="BE746" s="40">
        <f t="shared" ref="BE746:BG746" si="2363">J746+N746+R746+V746+Z746+AD746+AH746+AL746+AP746+AT746+AX746+BB746</f>
        <v>27</v>
      </c>
      <c r="BF746" s="41">
        <f t="shared" si="2363"/>
        <v>498.22</v>
      </c>
      <c r="BG746" s="34">
        <f t="shared" si="2363"/>
        <v>499.9</v>
      </c>
      <c r="BH746" s="35">
        <f t="shared" si="2356"/>
        <v>-1.68</v>
      </c>
    </row>
    <row r="747" ht="14.25" customHeight="1" spans="1:60" x14ac:dyDescent="0.25">
      <c r="A747" s="29">
        <v>105</v>
      </c>
      <c r="B747" s="14"/>
      <c r="C747" s="15" t="s">
        <v>107</v>
      </c>
      <c r="D747" s="14" t="s">
        <v>47</v>
      </c>
      <c r="E747" s="2" t="s">
        <v>49</v>
      </c>
      <c r="F747" s="41">
        <v>500</v>
      </c>
      <c r="G747" s="28"/>
      <c r="H747" s="34">
        <f>'2018'!BH747</f>
        <v>0</v>
      </c>
      <c r="I747" s="13"/>
      <c r="J747" s="15"/>
      <c r="K747" s="15"/>
      <c r="L747" s="28"/>
      <c r="Q747" s="13"/>
      <c r="R747" s="15"/>
      <c r="S747" s="15"/>
      <c r="T747" s="28"/>
      <c r="Y747" s="13"/>
      <c r="Z747" s="15"/>
      <c r="AA747" s="15"/>
      <c r="AB747" s="28"/>
      <c r="AG747" s="13"/>
      <c r="AH747" s="15"/>
      <c r="AI747" s="15"/>
      <c r="AJ747" s="28"/>
      <c r="AK747" s="13"/>
      <c r="AL747" s="15"/>
      <c r="AM747" s="34"/>
      <c r="AN747" s="28"/>
      <c r="AO747" s="13"/>
      <c r="AP747" s="15"/>
      <c r="AQ747" s="34"/>
      <c r="AR747" s="28"/>
      <c r="AS747" s="15"/>
      <c r="AT747" s="15"/>
      <c r="AU747" s="15"/>
      <c r="AV747" s="15"/>
      <c r="AW747" s="13"/>
      <c r="AX747" s="15"/>
      <c r="AY747" s="15"/>
      <c r="AZ747" s="28"/>
      <c r="BA747" s="15"/>
      <c r="BB747" s="15"/>
      <c r="BC747" s="15"/>
      <c r="BD747" s="15"/>
      <c r="BE747" s="14"/>
      <c r="BF747" s="41">
        <f t="shared" ref="BF747:BG747" si="2364">K747+O747+S747+W747+AA747+AE747+AI747+AM747+AQ747+AU747+AY747+BC747</f>
        <v>0</v>
      </c>
      <c r="BG747" s="34">
        <f t="shared" si="2364"/>
        <v>0</v>
      </c>
      <c r="BH747" s="35">
        <f t="shared" si="2356"/>
        <v>0</v>
      </c>
    </row>
    <row r="748" ht="14.25" customHeight="1" spans="1:60" x14ac:dyDescent="0.25">
      <c r="A748" s="29">
        <v>105</v>
      </c>
      <c r="B748" s="14"/>
      <c r="C748" s="15" t="s">
        <v>324</v>
      </c>
      <c r="D748" s="14" t="s">
        <v>50</v>
      </c>
      <c r="E748" s="2" t="s">
        <v>49</v>
      </c>
      <c r="F748" s="41">
        <v>1200</v>
      </c>
      <c r="G748" s="28"/>
      <c r="H748" s="34">
        <f>'2018'!BH748</f>
        <v>0.0008000000007</v>
      </c>
      <c r="I748" s="13"/>
      <c r="J748" s="15"/>
      <c r="K748" s="15"/>
      <c r="L748" s="28"/>
      <c r="Q748" s="13"/>
      <c r="R748" s="15"/>
      <c r="S748" s="15"/>
      <c r="T748" s="28"/>
      <c r="Y748" s="13"/>
      <c r="Z748" s="15"/>
      <c r="AA748" s="15"/>
      <c r="AB748" s="28"/>
      <c r="AE748" s="34">
        <f>B745*$F$12</f>
        <v>5292</v>
      </c>
      <c r="AF748" s="34"/>
      <c r="AG748" s="13"/>
      <c r="AH748" s="15"/>
      <c r="AI748" s="15"/>
      <c r="AJ748" s="35"/>
      <c r="AK748" s="13"/>
      <c r="AL748" s="15"/>
      <c r="AM748" s="15"/>
      <c r="AN748" s="35"/>
      <c r="AO748" s="13"/>
      <c r="AP748" s="15"/>
      <c r="AQ748" s="15"/>
      <c r="AR748" s="38">
        <v>5280</v>
      </c>
      <c r="AS748" s="15"/>
      <c r="AT748" s="15"/>
      <c r="AU748" s="15"/>
      <c r="AV748" s="39">
        <v>12</v>
      </c>
      <c r="AW748" s="13"/>
      <c r="AX748" s="15"/>
      <c r="AY748" s="15"/>
      <c r="AZ748" s="28"/>
      <c r="BA748" s="15"/>
      <c r="BB748" s="15"/>
      <c r="BC748" s="15"/>
      <c r="BD748" s="15"/>
      <c r="BE748" s="14"/>
      <c r="BF748" s="41">
        <f t="shared" ref="BF748:BG748" si="2365">K748+O748+S748+W748+AA748+AE748+AI748+AM748+AQ748+AU748+AY748+BC748</f>
        <v>5292</v>
      </c>
      <c r="BG748" s="34">
        <f t="shared" si="2365"/>
        <v>5292</v>
      </c>
      <c r="BH748" s="35">
        <f t="shared" si="2356"/>
        <v>0.0008000000007</v>
      </c>
    </row>
    <row r="749" ht="14.25" customHeight="1" spans="1:60" x14ac:dyDescent="0.25">
      <c r="A749" s="29">
        <v>105</v>
      </c>
      <c r="B749" s="14"/>
      <c r="C749" s="15" t="s">
        <v>447</v>
      </c>
      <c r="D749" s="14" t="s">
        <v>51</v>
      </c>
      <c r="E749" s="2" t="s">
        <v>49</v>
      </c>
      <c r="F749" s="41">
        <v>1000</v>
      </c>
      <c r="G749" s="28"/>
      <c r="H749" s="34">
        <f>'2018'!BH749</f>
        <v>0</v>
      </c>
      <c r="I749" s="13"/>
      <c r="J749" s="15"/>
      <c r="K749" s="15"/>
      <c r="L749" s="28"/>
      <c r="Q749" s="13"/>
      <c r="R749" s="15"/>
      <c r="S749" s="15"/>
      <c r="T749" s="28"/>
      <c r="Y749" s="13"/>
      <c r="Z749" s="15"/>
      <c r="AA749" s="15"/>
      <c r="AB749" s="28"/>
      <c r="AE749" s="34">
        <f>$F$21</f>
        <v>1000</v>
      </c>
      <c r="AG749" s="13"/>
      <c r="AH749" s="15"/>
      <c r="AI749" s="15"/>
      <c r="AJ749" s="28"/>
      <c r="AK749" s="13"/>
      <c r="AL749" s="15"/>
      <c r="AM749" s="15"/>
      <c r="AN749" s="28"/>
      <c r="AO749" s="13"/>
      <c r="AP749" s="15"/>
      <c r="AQ749" s="15"/>
      <c r="AR749" s="38">
        <v>1000</v>
      </c>
      <c r="AS749" s="15"/>
      <c r="AT749" s="15"/>
      <c r="AU749" s="15"/>
      <c r="AV749" s="15"/>
      <c r="AW749" s="13"/>
      <c r="AX749" s="15"/>
      <c r="AY749" s="15"/>
      <c r="AZ749" s="28"/>
      <c r="BA749" s="15"/>
      <c r="BB749" s="15"/>
      <c r="BC749" s="15"/>
      <c r="BD749" s="15"/>
      <c r="BE749" s="14"/>
      <c r="BF749" s="41">
        <f t="shared" ref="BF749:BG749" si="2366">K749+O749+S749+W749+AA749+AE749+AI749+AM749+AQ749+AU749+AY749+BC749</f>
        <v>1000</v>
      </c>
      <c r="BG749" s="34">
        <f t="shared" si="2366"/>
        <v>1000</v>
      </c>
      <c r="BH749" s="35">
        <f t="shared" si="2356"/>
        <v>0</v>
      </c>
    </row>
    <row r="750" ht="14.25" customHeight="1" spans="1:60" x14ac:dyDescent="0.25">
      <c r="A750" s="29">
        <v>105</v>
      </c>
      <c r="B750" s="14"/>
      <c r="C750" s="15" t="s">
        <v>448</v>
      </c>
      <c r="D750" s="14" t="s">
        <v>52</v>
      </c>
      <c r="E750" s="2" t="s">
        <v>39</v>
      </c>
      <c r="F750" s="41">
        <v>500</v>
      </c>
      <c r="G750" s="28"/>
      <c r="H750" s="34">
        <f>'2018'!BH750</f>
        <v>0</v>
      </c>
      <c r="I750" s="13"/>
      <c r="J750" s="15"/>
      <c r="K750" s="15"/>
      <c r="L750" s="28"/>
      <c r="Q750" s="13"/>
      <c r="R750" s="15"/>
      <c r="S750" s="15"/>
      <c r="T750" s="28"/>
      <c r="Y750" s="13"/>
      <c r="Z750" s="15"/>
      <c r="AA750" s="34">
        <f>$F$14</f>
        <v>500</v>
      </c>
      <c r="AB750" s="28"/>
      <c r="AG750" s="13"/>
      <c r="AH750" s="15"/>
      <c r="AI750" s="15"/>
      <c r="AJ750" s="35"/>
      <c r="AK750" s="13"/>
      <c r="AL750" s="15"/>
      <c r="AM750" s="15"/>
      <c r="AN750" s="35"/>
      <c r="AO750" s="13"/>
      <c r="AP750" s="15"/>
      <c r="AQ750" s="15"/>
      <c r="AR750" s="38">
        <v>500</v>
      </c>
      <c r="AS750" s="15"/>
      <c r="AT750" s="15"/>
      <c r="AU750" s="15"/>
      <c r="AV750" s="15"/>
      <c r="AW750" s="13"/>
      <c r="AX750" s="15"/>
      <c r="AY750" s="15"/>
      <c r="AZ750" s="28"/>
      <c r="BA750" s="15"/>
      <c r="BB750" s="15"/>
      <c r="BC750" s="15"/>
      <c r="BD750" s="15"/>
      <c r="BE750" s="14"/>
      <c r="BF750" s="41">
        <f t="shared" ref="BF750:BG750" si="2367">K750+O750+S750+W750+AA750+AE750+AI750+AM750+AQ750+AU750+AY750+BC750</f>
        <v>500</v>
      </c>
      <c r="BG750" s="34">
        <f t="shared" si="2367"/>
        <v>500</v>
      </c>
      <c r="BH750" s="35">
        <f t="shared" si="2356"/>
        <v>0</v>
      </c>
    </row>
    <row r="751" ht="14.25" customHeight="1" spans="1:62" x14ac:dyDescent="0.25">
      <c r="A751" s="50">
        <v>105</v>
      </c>
      <c r="B751" s="21"/>
      <c r="C751" s="22" t="s">
        <v>53</v>
      </c>
      <c r="D751" s="21"/>
      <c r="E751" s="22"/>
      <c r="F751" s="20"/>
      <c r="G751" s="23"/>
      <c r="H751" s="51">
        <f>SUM(H744:H750)</f>
        <v>4.9808</v>
      </c>
      <c r="I751" s="52"/>
      <c r="J751" s="53"/>
      <c r="K751" s="51">
        <f t="shared" ref="K751:L751" si="2368">SUM(K744:K750)</f>
        <v>0</v>
      </c>
      <c r="L751" s="68">
        <f t="shared" si="2368"/>
        <v>0</v>
      </c>
      <c r="M751" s="53"/>
      <c r="N751" s="53"/>
      <c r="O751" s="51">
        <f t="shared" ref="O751:P751" si="2369">SUM(O745:O750)</f>
        <v>0</v>
      </c>
      <c r="P751" s="51">
        <f t="shared" si="2369"/>
        <v>0</v>
      </c>
      <c r="Q751" s="52"/>
      <c r="R751" s="53"/>
      <c r="S751" s="51">
        <f t="shared" ref="S751:T751" si="2370">SUM(S745:S750)</f>
        <v>0</v>
      </c>
      <c r="T751" s="68">
        <f t="shared" si="2370"/>
        <v>0</v>
      </c>
      <c r="U751" s="53"/>
      <c r="V751" s="53"/>
      <c r="W751" s="51">
        <f t="shared" ref="W751:X751" si="2371">SUM(W745:W750)</f>
        <v>0</v>
      </c>
      <c r="X751" s="51">
        <f t="shared" si="2371"/>
        <v>0</v>
      </c>
      <c r="Y751" s="52"/>
      <c r="Z751" s="53"/>
      <c r="AA751" s="51">
        <f t="shared" ref="AA751:AB751" si="2372">SUM(AA745:AA750)</f>
        <v>517.98</v>
      </c>
      <c r="AB751" s="68">
        <f t="shared" si="2372"/>
        <v>0</v>
      </c>
      <c r="AC751" s="53"/>
      <c r="AD751" s="53"/>
      <c r="AE751" s="51">
        <f t="shared" ref="AE751:AF751" si="2373">SUM(AE745:AE750)</f>
        <v>6366.42</v>
      </c>
      <c r="AF751" s="51">
        <f t="shared" si="2373"/>
        <v>100</v>
      </c>
      <c r="AG751" s="52"/>
      <c r="AH751" s="53"/>
      <c r="AI751" s="51">
        <f t="shared" ref="AI751:AJ751" si="2374">SUM(AI745:AI750)</f>
        <v>12.5</v>
      </c>
      <c r="AJ751" s="68">
        <f t="shared" si="2374"/>
        <v>0</v>
      </c>
      <c r="AK751" s="52"/>
      <c r="AL751" s="53"/>
      <c r="AM751" s="51">
        <f t="shared" ref="AM751:AN751" si="2375">SUM(AM745:AM750)</f>
        <v>487.64</v>
      </c>
      <c r="AN751" s="68">
        <f t="shared" si="2375"/>
        <v>0</v>
      </c>
      <c r="AO751" s="52"/>
      <c r="AP751" s="53"/>
      <c r="AQ751" s="51">
        <f t="shared" ref="AQ751:AR751" si="2376">SUM(AQ744:AQ750)</f>
        <v>293.23</v>
      </c>
      <c r="AR751" s="68">
        <f t="shared" si="2376"/>
        <v>7120</v>
      </c>
      <c r="AS751" s="53"/>
      <c r="AT751" s="53"/>
      <c r="AU751" s="51">
        <f t="shared" ref="AU751:AV751" si="2377">SUM(AU744:AU750)</f>
        <v>135.02</v>
      </c>
      <c r="AV751" s="68">
        <f t="shared" si="2377"/>
        <v>462</v>
      </c>
      <c r="AW751" s="52"/>
      <c r="AX751" s="53"/>
      <c r="AY751" s="51">
        <f t="shared" ref="AY751:AZ751" si="2378">SUM(AY744:AY750)</f>
        <v>0</v>
      </c>
      <c r="AZ751" s="68">
        <f t="shared" si="2378"/>
        <v>150</v>
      </c>
      <c r="BA751" s="53"/>
      <c r="BB751" s="53"/>
      <c r="BC751" s="51">
        <f t="shared" ref="BC751:BD751" si="2379">SUM(BC744:BC750)</f>
        <v>0</v>
      </c>
      <c r="BD751" s="68">
        <f t="shared" si="2379"/>
        <v>0</v>
      </c>
      <c r="BE751" s="69"/>
      <c r="BF751" s="70">
        <f t="shared" ref="BF751:BH751" si="2380">SUM(BF744:BF750)</f>
        <v>7812.79</v>
      </c>
      <c r="BG751" s="71">
        <f t="shared" si="2380"/>
        <v>7832</v>
      </c>
      <c r="BH751" s="72">
        <f t="shared" si="2380"/>
        <v>-14.2292</v>
      </c>
      <c r="BI751" s="34">
        <f>H751+BF751-BG751</f>
        <v>-14.2292</v>
      </c>
      <c r="BJ751" s="34">
        <f>BH751-BI751</f>
        <v>0</v>
      </c>
    </row>
    <row r="752" ht="14.25" customHeight="1" spans="1:60" x14ac:dyDescent="0.25">
      <c r="A752" s="29">
        <v>107</v>
      </c>
      <c r="B752" s="14"/>
      <c r="D752" s="14" t="s">
        <v>379</v>
      </c>
      <c r="F752" s="13"/>
      <c r="G752" s="28"/>
      <c r="H752" s="34">
        <f>'2018'!BH752</f>
      </c>
      <c r="I752" s="13"/>
      <c r="J752" s="15"/>
      <c r="K752" s="15"/>
      <c r="L752" s="28"/>
      <c r="Q752" s="13"/>
      <c r="R752" s="15"/>
      <c r="S752" s="15"/>
      <c r="T752" s="28"/>
      <c r="Y752" s="13"/>
      <c r="Z752" s="15"/>
      <c r="AA752" s="15"/>
      <c r="AB752" s="28"/>
      <c r="AG752" s="13"/>
      <c r="AH752" s="15"/>
      <c r="AI752" s="15"/>
      <c r="AJ752" s="28"/>
      <c r="AK752" s="13"/>
      <c r="AL752" s="15"/>
      <c r="AM752" s="15"/>
      <c r="AN752" s="28"/>
      <c r="AO752" s="13"/>
      <c r="AP752" s="15"/>
      <c r="AQ752" s="15"/>
      <c r="AR752" s="28"/>
      <c r="AW752" s="13"/>
      <c r="AX752" s="15"/>
      <c r="AY752" s="15"/>
      <c r="AZ752" s="28"/>
      <c r="BE752" s="14"/>
      <c r="BF752" s="41">
        <f t="shared" ref="BF752:BG752" si="2381">K752+O752+S752+W752+AA752+AE752+AI752+AM752+AQ752+AU752+AY752+BC752</f>
        <v>0</v>
      </c>
      <c r="BG752" s="34">
        <f t="shared" si="2381"/>
        <v>0</v>
      </c>
      <c r="BH752" s="35">
        <f t="shared" ref="BH752:BH758" si="2382">H752+BF752-BG752</f>
        <v>0</v>
      </c>
    </row>
    <row r="753" ht="14.25" customHeight="1" spans="1:60" x14ac:dyDescent="0.25">
      <c r="A753" s="2">
        <v>107</v>
      </c>
      <c r="B753" s="14">
        <v>4.37</v>
      </c>
      <c r="C753" s="2" t="s">
        <v>325</v>
      </c>
      <c r="D753" s="14" t="s">
        <v>44</v>
      </c>
      <c r="E753" s="2" t="s">
        <v>45</v>
      </c>
      <c r="F753" s="13">
        <v>2.49</v>
      </c>
      <c r="G753" s="35">
        <v>2.5</v>
      </c>
      <c r="H753" s="104">
        <f>'2018'!BH753</f>
        <v>0</v>
      </c>
      <c r="I753" s="13"/>
      <c r="J753" s="15"/>
      <c r="K753" s="34">
        <f>J753*$F$8</f>
        <v>0</v>
      </c>
      <c r="L753" s="28"/>
      <c r="N753" s="15">
        <f>M753-I753</f>
        <v>0</v>
      </c>
      <c r="O753" s="34">
        <f>N753*$F$8</f>
        <v>0</v>
      </c>
      <c r="Q753" s="13"/>
      <c r="R753" s="15">
        <f>Q753-M753</f>
        <v>0</v>
      </c>
      <c r="S753" s="34">
        <f>R753*$F$8</f>
        <v>0</v>
      </c>
      <c r="T753" s="28"/>
      <c r="V753" s="15">
        <f>U753-Q753</f>
        <v>0</v>
      </c>
      <c r="Y753" s="13"/>
      <c r="Z753" s="15">
        <f>Y753-U753</f>
        <v>0</v>
      </c>
      <c r="AA753" s="34">
        <f>Z753*$F$8</f>
        <v>0</v>
      </c>
      <c r="AB753" s="28"/>
      <c r="AC753" s="15"/>
      <c r="AD753" s="15">
        <f t="shared" ref="AD753:AD754" si="2383">AC753-Y753</f>
        <v>0</v>
      </c>
      <c r="AE753" s="34">
        <f>AD753*$G$8</f>
        <v>0</v>
      </c>
      <c r="AG753" s="13">
        <v>65</v>
      </c>
      <c r="AH753" s="15">
        <f t="shared" ref="AH753:AH754" si="2384">AG753-AC753</f>
        <v>65</v>
      </c>
      <c r="AI753" s="34">
        <f>AH753*$G$8</f>
        <v>162.5</v>
      </c>
      <c r="AJ753" s="134">
        <v>160</v>
      </c>
      <c r="AK753" s="13">
        <v>111</v>
      </c>
      <c r="AL753" s="15">
        <f t="shared" ref="AL753:AL754" si="2385">AK753-AG753</f>
        <v>46</v>
      </c>
      <c r="AM753" s="34">
        <f>AL753*$G$8</f>
        <v>115</v>
      </c>
      <c r="AN753" s="139">
        <f>117.5+39.99</f>
        <v>157.49</v>
      </c>
      <c r="AO753" s="13">
        <v>118</v>
      </c>
      <c r="AP753" s="15">
        <f t="shared" ref="AP753:AP754" si="2386">AO753-AK753</f>
        <v>7</v>
      </c>
      <c r="AQ753" s="34">
        <f>AP753*$G$8</f>
        <v>17.5</v>
      </c>
      <c r="AR753" s="28"/>
      <c r="AS753" s="75">
        <v>118</v>
      </c>
      <c r="AT753" s="15">
        <f t="shared" ref="AT753:AT754" si="2387">AS753-AO753</f>
        <v>0</v>
      </c>
      <c r="AU753" s="34">
        <f t="shared" ref="AU753:AU754" si="2388">AT753*$G$8</f>
        <v>0</v>
      </c>
      <c r="AV753" s="15"/>
      <c r="AW753" s="13">
        <v>118</v>
      </c>
      <c r="AX753" s="15">
        <f>AW753-AS753</f>
        <v>0</v>
      </c>
      <c r="AY753" s="34">
        <f>AX753*$G$8</f>
        <v>0</v>
      </c>
      <c r="AZ753" s="28"/>
      <c r="BA753" s="13">
        <v>118</v>
      </c>
      <c r="BB753" s="15">
        <f>BA753-AW753</f>
        <v>0</v>
      </c>
      <c r="BC753" s="34">
        <f>BB753*$G$8</f>
        <v>0</v>
      </c>
      <c r="BD753" s="15"/>
      <c r="BE753" s="40">
        <f t="shared" ref="BE753:BG753" si="2389">J753+N753+R753+V753+Z753+AD753+AH753+AL753+AP753+AT753+AX753+BB753</f>
        <v>118</v>
      </c>
      <c r="BF753" s="41">
        <f t="shared" si="2389"/>
        <v>295</v>
      </c>
      <c r="BG753" s="34">
        <f t="shared" si="2389"/>
        <v>317.49</v>
      </c>
      <c r="BH753" s="35">
        <f t="shared" si="2382"/>
        <v>-22.49</v>
      </c>
    </row>
    <row r="754" ht="14.25" customHeight="1" spans="1:60" x14ac:dyDescent="0.25">
      <c r="A754" s="29">
        <v>107</v>
      </c>
      <c r="B754" s="14"/>
      <c r="C754" s="2" t="s">
        <v>71</v>
      </c>
      <c r="D754" s="14" t="s">
        <v>47</v>
      </c>
      <c r="E754" s="2" t="s">
        <v>48</v>
      </c>
      <c r="F754" s="13">
        <v>17.98</v>
      </c>
      <c r="G754" s="28">
        <v>18.56</v>
      </c>
      <c r="H754" s="34">
        <f>'2018'!BH754</f>
        <v>-83.72</v>
      </c>
      <c r="I754" s="13">
        <v>60</v>
      </c>
      <c r="J754" s="15"/>
      <c r="K754" s="15"/>
      <c r="L754" s="28"/>
      <c r="Q754" s="13"/>
      <c r="R754" s="15"/>
      <c r="S754" s="15"/>
      <c r="T754" s="28"/>
      <c r="Y754" s="13">
        <v>75</v>
      </c>
      <c r="Z754" s="15">
        <f>Y754-'2018'!AO754</f>
        <v>15</v>
      </c>
      <c r="AA754" s="34">
        <f>Z754*$F$10</f>
        <v>269.7</v>
      </c>
      <c r="AB754" s="28"/>
      <c r="AC754" s="15">
        <v>85</v>
      </c>
      <c r="AD754" s="15">
        <f t="shared" si="2383"/>
        <v>10</v>
      </c>
      <c r="AE754" s="34">
        <f>AD754*$F$10</f>
        <v>179.8</v>
      </c>
      <c r="AG754" s="13">
        <v>92</v>
      </c>
      <c r="AH754" s="15">
        <f t="shared" si="2384"/>
        <v>7</v>
      </c>
      <c r="AI754" s="45">
        <f>AH754*$G$10</f>
        <v>129.92</v>
      </c>
      <c r="AJ754" s="134">
        <f>495.7+0.29</f>
        <v>495.99</v>
      </c>
      <c r="AK754" s="13">
        <v>97</v>
      </c>
      <c r="AL754" s="15">
        <f t="shared" si="2385"/>
        <v>5</v>
      </c>
      <c r="AM754" s="45">
        <f>AL754*$G$10</f>
        <v>92.8</v>
      </c>
      <c r="AN754" s="139">
        <v>92.51</v>
      </c>
      <c r="AO754" s="13">
        <v>99</v>
      </c>
      <c r="AP754" s="15">
        <f t="shared" si="2386"/>
        <v>2</v>
      </c>
      <c r="AQ754" s="45">
        <f>AP754*$G$10</f>
        <v>37.12</v>
      </c>
      <c r="AR754" s="28"/>
      <c r="AS754" s="13">
        <v>99</v>
      </c>
      <c r="AT754" s="15">
        <f t="shared" si="2387"/>
        <v>0</v>
      </c>
      <c r="AU754" s="34">
        <f t="shared" si="2388"/>
        <v>0</v>
      </c>
      <c r="AV754" s="15"/>
      <c r="AW754" s="13">
        <v>99</v>
      </c>
      <c r="AX754" s="15"/>
      <c r="AY754" s="15"/>
      <c r="AZ754" s="28"/>
      <c r="BA754" s="15">
        <v>99</v>
      </c>
      <c r="BB754" s="15"/>
      <c r="BC754" s="15"/>
      <c r="BD754" s="15"/>
      <c r="BE754" s="40">
        <f t="shared" ref="BE754:BG754" si="2390">J754+N754+R754+V754+Z754+AD754+AH754+AL754+AP754+AT754+AX754+BB754</f>
        <v>39</v>
      </c>
      <c r="BF754" s="41">
        <f t="shared" si="2390"/>
        <v>709.34</v>
      </c>
      <c r="BG754" s="34">
        <f t="shared" si="2390"/>
        <v>588.5</v>
      </c>
      <c r="BH754" s="35">
        <f t="shared" si="2382"/>
        <v>37.12</v>
      </c>
    </row>
    <row r="755" ht="14.25" customHeight="1" spans="1:60" x14ac:dyDescent="0.25">
      <c r="A755" s="29">
        <v>107</v>
      </c>
      <c r="B755" s="14"/>
      <c r="C755" s="2" t="s">
        <v>107</v>
      </c>
      <c r="D755" s="14" t="s">
        <v>47</v>
      </c>
      <c r="E755" s="2" t="s">
        <v>49</v>
      </c>
      <c r="F755" s="41">
        <v>500</v>
      </c>
      <c r="G755" s="28"/>
      <c r="H755" s="34">
        <f>'2018'!BH755</f>
        <v>0</v>
      </c>
      <c r="I755" s="13"/>
      <c r="J755" s="15"/>
      <c r="K755" s="15"/>
      <c r="L755" s="28"/>
      <c r="Q755" s="13"/>
      <c r="R755" s="15"/>
      <c r="S755" s="15"/>
      <c r="T755" s="28"/>
      <c r="Y755" s="13"/>
      <c r="Z755" s="15"/>
      <c r="AA755" s="15"/>
      <c r="AB755" s="28"/>
      <c r="AG755" s="13"/>
      <c r="AH755" s="15"/>
      <c r="AI755" s="15"/>
      <c r="AJ755" s="35"/>
      <c r="AK755" s="13"/>
      <c r="AL755" s="15"/>
      <c r="AM755" s="34"/>
      <c r="AN755" s="28"/>
      <c r="AO755" s="13"/>
      <c r="AP755" s="15"/>
      <c r="AQ755" s="34"/>
      <c r="AR755" s="28"/>
      <c r="AS755" s="15"/>
      <c r="AT755" s="15"/>
      <c r="AU755" s="15"/>
      <c r="AV755" s="15"/>
      <c r="AW755" s="13"/>
      <c r="AX755" s="15"/>
      <c r="AY755" s="15"/>
      <c r="AZ755" s="28"/>
      <c r="BA755" s="15"/>
      <c r="BB755" s="15"/>
      <c r="BC755" s="15"/>
      <c r="BD755" s="15"/>
      <c r="BE755" s="14"/>
      <c r="BF755" s="41">
        <f t="shared" ref="BF755:BG755" si="2391">K755+O755+S755+W755+AA755+AE755+AI755+AM755+AQ755+AU755+AY755+BC755</f>
        <v>0</v>
      </c>
      <c r="BG755" s="34">
        <f t="shared" si="2391"/>
        <v>0</v>
      </c>
      <c r="BH755" s="35">
        <f t="shared" si="2382"/>
        <v>0</v>
      </c>
    </row>
    <row r="756" ht="14.25" customHeight="1" spans="1:60" x14ac:dyDescent="0.25">
      <c r="A756" s="29">
        <v>107</v>
      </c>
      <c r="B756" s="14"/>
      <c r="C756" s="2" t="s">
        <v>449</v>
      </c>
      <c r="D756" s="14" t="s">
        <v>50</v>
      </c>
      <c r="E756" s="2" t="s">
        <v>49</v>
      </c>
      <c r="F756" s="41">
        <v>1200</v>
      </c>
      <c r="G756" s="28"/>
      <c r="H756" s="34">
        <f>'2018'!BH756</f>
        <v>0.0056</v>
      </c>
      <c r="I756" s="13"/>
      <c r="J756" s="15"/>
      <c r="K756" s="15"/>
      <c r="L756" s="28"/>
      <c r="Q756" s="13"/>
      <c r="R756" s="15"/>
      <c r="S756" s="15"/>
      <c r="T756" s="28"/>
      <c r="Y756" s="13"/>
      <c r="Z756" s="15"/>
      <c r="AA756" s="15"/>
      <c r="AB756" s="28"/>
      <c r="AE756" s="34">
        <f>B753*$F$12</f>
        <v>5244</v>
      </c>
      <c r="AF756" s="15"/>
      <c r="AG756" s="13"/>
      <c r="AH756" s="15"/>
      <c r="AI756" s="15"/>
      <c r="AJ756" s="134">
        <v>5244.01</v>
      </c>
      <c r="AK756" s="13"/>
      <c r="AL756" s="15"/>
      <c r="AM756" s="15"/>
      <c r="AN756" s="28"/>
      <c r="AO756" s="13"/>
      <c r="AP756" s="15"/>
      <c r="AQ756" s="15"/>
      <c r="AR756" s="28"/>
      <c r="AS756" s="15"/>
      <c r="AT756" s="15"/>
      <c r="AU756" s="15"/>
      <c r="AV756" s="15"/>
      <c r="AW756" s="13"/>
      <c r="AX756" s="15"/>
      <c r="AY756" s="15"/>
      <c r="AZ756" s="28"/>
      <c r="BA756" s="15"/>
      <c r="BB756" s="15"/>
      <c r="BC756" s="15"/>
      <c r="BD756" s="15"/>
      <c r="BE756" s="14"/>
      <c r="BF756" s="41">
        <f t="shared" ref="BF756:BG756" si="2392">K756+O756+S756+W756+AA756+AE756+AI756+AM756+AQ756+AU756+AY756+BC756</f>
        <v>5244</v>
      </c>
      <c r="BG756" s="34">
        <f t="shared" si="2392"/>
        <v>5244.01</v>
      </c>
      <c r="BH756" s="35">
        <f t="shared" si="2382"/>
        <v>-0.0044</v>
      </c>
    </row>
    <row r="757" ht="14.25" customHeight="1" spans="1:60" x14ac:dyDescent="0.25">
      <c r="A757" s="29">
        <v>107</v>
      </c>
      <c r="B757" s="14"/>
      <c r="D757" s="14" t="s">
        <v>51</v>
      </c>
      <c r="E757" s="2" t="s">
        <v>49</v>
      </c>
      <c r="F757" s="41">
        <v>1000</v>
      </c>
      <c r="G757" s="28"/>
      <c r="H757" s="34">
        <f>'2018'!BH757</f>
        <v>0</v>
      </c>
      <c r="I757" s="13"/>
      <c r="J757" s="15"/>
      <c r="K757" s="15"/>
      <c r="L757" s="28"/>
      <c r="Q757" s="13"/>
      <c r="R757" s="15"/>
      <c r="S757" s="15"/>
      <c r="T757" s="28"/>
      <c r="Y757" s="13"/>
      <c r="Z757" s="15"/>
      <c r="AA757" s="15"/>
      <c r="AB757" s="28"/>
      <c r="AE757" s="34">
        <f>$F$21</f>
        <v>1000</v>
      </c>
      <c r="AG757" s="13"/>
      <c r="AH757" s="15"/>
      <c r="AI757" s="15"/>
      <c r="AJ757" s="134">
        <v>1000</v>
      </c>
      <c r="AK757" s="13"/>
      <c r="AL757" s="15"/>
      <c r="AM757" s="15"/>
      <c r="AN757" s="28"/>
      <c r="AO757" s="13"/>
      <c r="AP757" s="15"/>
      <c r="AQ757" s="15"/>
      <c r="AR757" s="28"/>
      <c r="AS757" s="15"/>
      <c r="AT757" s="15"/>
      <c r="AU757" s="15"/>
      <c r="AV757" s="15"/>
      <c r="AW757" s="13"/>
      <c r="AX757" s="15"/>
      <c r="AY757" s="15"/>
      <c r="AZ757" s="28"/>
      <c r="BA757" s="15"/>
      <c r="BB757" s="15"/>
      <c r="BC757" s="15"/>
      <c r="BD757" s="15"/>
      <c r="BE757" s="14"/>
      <c r="BF757" s="41">
        <f t="shared" ref="BF757:BG757" si="2393">K757+O757+S757+W757+AA757+AE757+AI757+AM757+AQ757+AU757+AY757+BC757</f>
        <v>1000</v>
      </c>
      <c r="BG757" s="34">
        <f t="shared" si="2393"/>
        <v>1000</v>
      </c>
      <c r="BH757" s="35">
        <f t="shared" si="2382"/>
        <v>0</v>
      </c>
    </row>
    <row r="758" ht="14.25" customHeight="1" spans="1:60" x14ac:dyDescent="0.25">
      <c r="A758" s="29">
        <v>107</v>
      </c>
      <c r="B758" s="14"/>
      <c r="D758" s="14" t="s">
        <v>52</v>
      </c>
      <c r="E758" s="2" t="s">
        <v>39</v>
      </c>
      <c r="F758" s="41">
        <v>500</v>
      </c>
      <c r="G758" s="28"/>
      <c r="H758" s="34">
        <f>'2018'!BH758</f>
        <v>0</v>
      </c>
      <c r="I758" s="13"/>
      <c r="J758" s="15"/>
      <c r="K758" s="15"/>
      <c r="L758" s="28"/>
      <c r="Q758" s="13"/>
      <c r="R758" s="15"/>
      <c r="S758" s="15"/>
      <c r="T758" s="28"/>
      <c r="Y758" s="13"/>
      <c r="Z758" s="15"/>
      <c r="AA758" s="34">
        <f>$F$14</f>
        <v>500</v>
      </c>
      <c r="AB758" s="28"/>
      <c r="AG758" s="13"/>
      <c r="AH758" s="15"/>
      <c r="AI758" s="15"/>
      <c r="AJ758" s="134">
        <v>500</v>
      </c>
      <c r="AK758" s="13"/>
      <c r="AL758" s="15"/>
      <c r="AM758" s="15"/>
      <c r="AN758" s="28"/>
      <c r="AO758" s="13"/>
      <c r="AP758" s="15"/>
      <c r="AQ758" s="15"/>
      <c r="AR758" s="28"/>
      <c r="AS758" s="15"/>
      <c r="AT758" s="15"/>
      <c r="AU758" s="15"/>
      <c r="AV758" s="15"/>
      <c r="AW758" s="13"/>
      <c r="AX758" s="15"/>
      <c r="AY758" s="15"/>
      <c r="AZ758" s="28"/>
      <c r="BA758" s="15"/>
      <c r="BB758" s="15"/>
      <c r="BC758" s="15"/>
      <c r="BD758" s="15"/>
      <c r="BE758" s="14"/>
      <c r="BF758" s="41">
        <f t="shared" ref="BF758:BG758" si="2394">K758+O758+S758+W758+AA758+AE758+AI758+AM758+AQ758+AU758+AY758+BC758</f>
        <v>500</v>
      </c>
      <c r="BG758" s="34">
        <f t="shared" si="2394"/>
        <v>500</v>
      </c>
      <c r="BH758" s="35">
        <f t="shared" si="2382"/>
        <v>0</v>
      </c>
    </row>
    <row r="759" ht="14.25" customHeight="1" spans="1:62" x14ac:dyDescent="0.25">
      <c r="A759" s="88" t="s">
        <v>327</v>
      </c>
      <c r="B759" s="21"/>
      <c r="C759" s="22" t="s">
        <v>53</v>
      </c>
      <c r="D759" s="21"/>
      <c r="E759" s="22"/>
      <c r="F759" s="20"/>
      <c r="G759" s="23"/>
      <c r="H759" s="51">
        <f>SUM(H752:H758)</f>
        <v>-83.7144</v>
      </c>
      <c r="I759" s="52"/>
      <c r="J759" s="53"/>
      <c r="K759" s="51">
        <f t="shared" ref="K759:L759" si="2395">SUM(K752:K758)</f>
        <v>0</v>
      </c>
      <c r="L759" s="68">
        <f t="shared" si="2395"/>
        <v>0</v>
      </c>
      <c r="M759" s="53"/>
      <c r="N759" s="53"/>
      <c r="O759" s="51">
        <f t="shared" ref="O759:P759" si="2396">SUM(O753:O758)</f>
        <v>0</v>
      </c>
      <c r="P759" s="51">
        <f t="shared" si="2396"/>
        <v>0</v>
      </c>
      <c r="Q759" s="52"/>
      <c r="R759" s="53"/>
      <c r="S759" s="51">
        <f t="shared" ref="S759:T759" si="2397">SUM(S753:S758)</f>
        <v>0</v>
      </c>
      <c r="T759" s="68">
        <f t="shared" si="2397"/>
        <v>0</v>
      </c>
      <c r="U759" s="53"/>
      <c r="V759" s="53"/>
      <c r="W759" s="51">
        <f t="shared" ref="W759:X759" si="2398">SUM(W753:W758)</f>
        <v>0</v>
      </c>
      <c r="X759" s="51">
        <f t="shared" si="2398"/>
        <v>0</v>
      </c>
      <c r="Y759" s="52"/>
      <c r="Z759" s="53"/>
      <c r="AA759" s="51">
        <f t="shared" ref="AA759:AB759" si="2399">SUM(AA753:AA758)</f>
        <v>769.7</v>
      </c>
      <c r="AB759" s="68">
        <f t="shared" si="2399"/>
        <v>0</v>
      </c>
      <c r="AC759" s="53"/>
      <c r="AD759" s="53"/>
      <c r="AE759" s="51">
        <f t="shared" ref="AE759:AF759" si="2400">SUM(AE753:AE758)</f>
        <v>6423.8</v>
      </c>
      <c r="AF759" s="51">
        <f t="shared" si="2400"/>
        <v>0</v>
      </c>
      <c r="AG759" s="52"/>
      <c r="AH759" s="53"/>
      <c r="AI759" s="51">
        <f t="shared" ref="AI759:AJ759" si="2401">SUM(AI753:AI758)</f>
        <v>292.42</v>
      </c>
      <c r="AJ759" s="68">
        <f t="shared" si="2401"/>
        <v>7400</v>
      </c>
      <c r="AK759" s="52"/>
      <c r="AL759" s="53"/>
      <c r="AM759" s="51">
        <f t="shared" ref="AM759:AN759" si="2402">SUM(AM753:AM758)</f>
        <v>207.8</v>
      </c>
      <c r="AN759" s="68">
        <f t="shared" si="2402"/>
        <v>250</v>
      </c>
      <c r="AO759" s="52"/>
      <c r="AP759" s="53"/>
      <c r="AQ759" s="51">
        <f t="shared" ref="AQ759:AR759" si="2403">SUM(AQ752:AQ758)</f>
        <v>54.62</v>
      </c>
      <c r="AR759" s="68">
        <f t="shared" si="2403"/>
        <v>0</v>
      </c>
      <c r="AS759" s="53"/>
      <c r="AT759" s="53"/>
      <c r="AU759" s="51">
        <f t="shared" ref="AU759:AV759" si="2404">SUM(AU752:AU758)</f>
        <v>0</v>
      </c>
      <c r="AV759" s="68">
        <f t="shared" si="2404"/>
        <v>0</v>
      </c>
      <c r="AW759" s="52"/>
      <c r="AX759" s="53"/>
      <c r="AY759" s="51">
        <f t="shared" ref="AY759:AZ759" si="2405">SUM(AY752:AY758)</f>
        <v>0</v>
      </c>
      <c r="AZ759" s="68">
        <f t="shared" si="2405"/>
        <v>0</v>
      </c>
      <c r="BA759" s="53"/>
      <c r="BB759" s="53"/>
      <c r="BC759" s="51">
        <f t="shared" ref="BC759:BD759" si="2406">SUM(BC752:BC758)</f>
        <v>0</v>
      </c>
      <c r="BD759" s="68">
        <f t="shared" si="2406"/>
        <v>0</v>
      </c>
      <c r="BE759" s="69"/>
      <c r="BF759" s="70">
        <f t="shared" ref="BF759:BH759" si="2407">SUM(BF752:BF758)</f>
        <v>7748.34</v>
      </c>
      <c r="BG759" s="71">
        <f t="shared" si="2407"/>
        <v>7650</v>
      </c>
      <c r="BH759" s="72">
        <f t="shared" si="2407"/>
        <v>14.6256</v>
      </c>
      <c r="BI759" s="34">
        <f>H759+BF759-BG759</f>
        <v>14.6256</v>
      </c>
      <c r="BJ759" s="34">
        <f>BH759-BI759</f>
        <v>0</v>
      </c>
    </row>
    <row r="760" ht="14.25" customHeight="1" spans="1:60" x14ac:dyDescent="0.25">
      <c r="A760" s="29">
        <v>96</v>
      </c>
      <c r="B760" s="14"/>
      <c r="D760" s="14" t="s">
        <v>379</v>
      </c>
      <c r="F760" s="13"/>
      <c r="G760" s="28"/>
      <c r="H760" s="34">
        <f>'2018'!BH760</f>
      </c>
      <c r="I760" s="13"/>
      <c r="J760" s="15"/>
      <c r="K760" s="15"/>
      <c r="L760" s="28"/>
      <c r="Q760" s="13"/>
      <c r="R760" s="15"/>
      <c r="S760" s="15"/>
      <c r="T760" s="28"/>
      <c r="Y760" s="13"/>
      <c r="Z760" s="15"/>
      <c r="AA760" s="15"/>
      <c r="AB760" s="28"/>
      <c r="AG760" s="13"/>
      <c r="AH760" s="15"/>
      <c r="AI760" s="15"/>
      <c r="AJ760" s="28"/>
      <c r="AK760" s="13"/>
      <c r="AL760" s="15"/>
      <c r="AM760" s="15"/>
      <c r="AN760" s="28"/>
      <c r="AO760" s="13"/>
      <c r="AP760" s="15"/>
      <c r="AQ760" s="15"/>
      <c r="AR760" s="28"/>
      <c r="AW760" s="13"/>
      <c r="AX760" s="15"/>
      <c r="AY760" s="15"/>
      <c r="AZ760" s="28"/>
      <c r="BE760" s="14"/>
      <c r="BF760" s="41">
        <f t="shared" ref="BF760:BG760" si="2408">K760+O760+S760+W760+AA760+AE760+AI760+AM760+AQ760+AU760+AY760+BC760</f>
        <v>0</v>
      </c>
      <c r="BG760" s="34">
        <f t="shared" si="2408"/>
        <v>0</v>
      </c>
      <c r="BH760" s="35">
        <f t="shared" ref="BH760:BH766" si="2409">H760+BF760-BG760</f>
        <v>0</v>
      </c>
    </row>
    <row r="761" ht="14.25" customHeight="1" spans="1:60" x14ac:dyDescent="0.25">
      <c r="A761" s="2">
        <v>96</v>
      </c>
      <c r="B761" s="14">
        <v>4.46</v>
      </c>
      <c r="C761" s="2" t="s">
        <v>450</v>
      </c>
      <c r="D761" s="14" t="s">
        <v>44</v>
      </c>
      <c r="E761" s="2" t="s">
        <v>45</v>
      </c>
      <c r="F761" s="13">
        <v>2.49</v>
      </c>
      <c r="G761" s="35">
        <v>2.5</v>
      </c>
      <c r="H761" s="104">
        <f>'2018'!BH761</f>
        <v>0</v>
      </c>
      <c r="I761" s="13"/>
      <c r="J761" s="15"/>
      <c r="K761" s="34">
        <f>J761*$F$8</f>
        <v>0</v>
      </c>
      <c r="L761" s="28"/>
      <c r="N761" s="15">
        <f>M761-I761</f>
        <v>0</v>
      </c>
      <c r="O761" s="34">
        <f>N761*$F$8</f>
        <v>0</v>
      </c>
      <c r="Q761" s="13"/>
      <c r="R761" s="15">
        <f>Q761-M761</f>
        <v>0</v>
      </c>
      <c r="S761" s="34">
        <f>R761*$F$8</f>
        <v>0</v>
      </c>
      <c r="T761" s="28"/>
      <c r="V761" s="15">
        <f>U761-Q761</f>
        <v>0</v>
      </c>
      <c r="Y761" s="13"/>
      <c r="Z761" s="15">
        <f>Y761-U761</f>
        <v>0</v>
      </c>
      <c r="AA761" s="34">
        <f>Z761*$F$8</f>
        <v>0</v>
      </c>
      <c r="AB761" s="28"/>
      <c r="AC761" s="15"/>
      <c r="AD761" s="15">
        <f>AC761-Y761</f>
        <v>0</v>
      </c>
      <c r="AE761" s="34">
        <f>AD761*$G$8</f>
        <v>0</v>
      </c>
      <c r="AG761" s="13"/>
      <c r="AH761" s="15">
        <f t="shared" ref="AH761:AH762" si="2410">AG761-AC761</f>
        <v>0</v>
      </c>
      <c r="AI761" s="34">
        <f>AH761*$G$8</f>
        <v>0</v>
      </c>
      <c r="AJ761" s="28"/>
      <c r="AK761" s="13"/>
      <c r="AL761" s="15">
        <f t="shared" ref="AL761:AL762" si="2411">AK761-AG761</f>
        <v>0</v>
      </c>
      <c r="AM761" s="34">
        <f>AL761*$G$8</f>
        <v>0</v>
      </c>
      <c r="AN761" s="28"/>
      <c r="AO761" s="13"/>
      <c r="AP761" s="15">
        <f t="shared" ref="AP761:AP762" si="2412">AO761-AK761</f>
        <v>0</v>
      </c>
      <c r="AQ761" s="34">
        <f>AP761*$G$8</f>
        <v>0</v>
      </c>
      <c r="AR761" s="28"/>
      <c r="AS761" s="15"/>
      <c r="AT761" s="15">
        <f t="shared" ref="AT761:AT762" si="2413">AS761-AO761</f>
        <v>0</v>
      </c>
      <c r="AU761" s="34">
        <f>AT761*$G$8</f>
        <v>0</v>
      </c>
      <c r="AV761" s="15"/>
      <c r="AW761" s="13"/>
      <c r="AX761" s="15">
        <f>AW761-AS761</f>
        <v>0</v>
      </c>
      <c r="AY761" s="34">
        <f>AX761*$G$8</f>
        <v>0</v>
      </c>
      <c r="AZ761" s="28"/>
      <c r="BA761" s="15"/>
      <c r="BB761" s="15">
        <f>BA761-AW761</f>
        <v>0</v>
      </c>
      <c r="BC761" s="34">
        <f>BB761*$G$8</f>
        <v>0</v>
      </c>
      <c r="BD761" s="15"/>
      <c r="BE761" s="40">
        <f t="shared" ref="BE761:BG761" si="2414">J761+N761+R761+V761+Z761+AD761+AH761+AL761+AP761+AT761+AX761+BB761</f>
        <v>0</v>
      </c>
      <c r="BF761" s="41">
        <f t="shared" si="2414"/>
        <v>0</v>
      </c>
      <c r="BG761" s="34">
        <f t="shared" si="2414"/>
        <v>0</v>
      </c>
      <c r="BH761" s="35">
        <f t="shared" si="2409"/>
        <v>0</v>
      </c>
    </row>
    <row r="762" ht="14.25" customHeight="1" spans="1:60" x14ac:dyDescent="0.25">
      <c r="A762" s="29">
        <v>96</v>
      </c>
      <c r="B762" s="14"/>
      <c r="C762" s="2" t="s">
        <v>65</v>
      </c>
      <c r="D762" s="14" t="s">
        <v>47</v>
      </c>
      <c r="E762" s="2" t="s">
        <v>48</v>
      </c>
      <c r="F762" s="13">
        <v>17.98</v>
      </c>
      <c r="G762" s="28">
        <v>18.56</v>
      </c>
      <c r="H762" s="34">
        <f>'2018'!BH762</f>
        <v>0</v>
      </c>
      <c r="I762" s="13"/>
      <c r="J762" s="15"/>
      <c r="K762" s="15"/>
      <c r="L762" s="28"/>
      <c r="Q762" s="13"/>
      <c r="R762" s="15"/>
      <c r="S762" s="15"/>
      <c r="T762" s="28"/>
      <c r="Y762" s="13"/>
      <c r="Z762" s="15"/>
      <c r="AA762" s="15"/>
      <c r="AB762" s="28"/>
      <c r="AC762" s="15"/>
      <c r="AD762" s="15"/>
      <c r="AE762" s="34">
        <f>AD762*$F$10</f>
        <v>0</v>
      </c>
      <c r="AG762" s="13"/>
      <c r="AH762" s="15">
        <f t="shared" si="2410"/>
        <v>0</v>
      </c>
      <c r="AI762" s="45">
        <f>AH762*$G$10</f>
        <v>0</v>
      </c>
      <c r="AJ762" s="28"/>
      <c r="AK762" s="13"/>
      <c r="AL762" s="15">
        <f t="shared" si="2411"/>
        <v>0</v>
      </c>
      <c r="AM762" s="45">
        <f>AL762*$G$10</f>
        <v>0</v>
      </c>
      <c r="AN762" s="28"/>
      <c r="AO762" s="13"/>
      <c r="AP762" s="15">
        <f t="shared" si="2412"/>
        <v>0</v>
      </c>
      <c r="AQ762" s="45">
        <f>AP762*$G$10</f>
        <v>0</v>
      </c>
      <c r="AR762" s="28"/>
      <c r="AS762" s="15"/>
      <c r="AT762" s="15">
        <f t="shared" si="2413"/>
        <v>0</v>
      </c>
      <c r="AU762" s="45">
        <f>AT762*$G$10</f>
        <v>0</v>
      </c>
      <c r="AV762" s="15"/>
      <c r="AW762" s="13"/>
      <c r="AX762" s="15"/>
      <c r="AY762" s="15"/>
      <c r="AZ762" s="28"/>
      <c r="BA762" s="15"/>
      <c r="BB762" s="15"/>
      <c r="BC762" s="15"/>
      <c r="BD762" s="15"/>
      <c r="BE762" s="40">
        <f t="shared" ref="BE762:BG762" si="2415">J762+N762+R762+V762+Z762+AD762+AH762+AL762+AP762+AT762+AX762+BB762</f>
        <v>0</v>
      </c>
      <c r="BF762" s="41">
        <f t="shared" si="2415"/>
        <v>0</v>
      </c>
      <c r="BG762" s="34">
        <f t="shared" si="2415"/>
        <v>0</v>
      </c>
      <c r="BH762" s="35">
        <f t="shared" si="2409"/>
        <v>0</v>
      </c>
    </row>
    <row r="763" ht="14.25" customHeight="1" spans="1:60" x14ac:dyDescent="0.25">
      <c r="A763" s="29">
        <v>96</v>
      </c>
      <c r="B763" s="14"/>
      <c r="C763" s="15" t="s">
        <v>115</v>
      </c>
      <c r="D763" s="14" t="s">
        <v>47</v>
      </c>
      <c r="E763" s="2" t="s">
        <v>49</v>
      </c>
      <c r="F763" s="41">
        <v>500</v>
      </c>
      <c r="G763" s="28"/>
      <c r="H763" s="144">
        <f>'2018'!BH763</f>
        <v>0</v>
      </c>
      <c r="I763" s="13"/>
      <c r="J763" s="15"/>
      <c r="K763" s="15"/>
      <c r="L763" s="28"/>
      <c r="Q763" s="13"/>
      <c r="R763" s="15"/>
      <c r="S763" s="15"/>
      <c r="T763" s="28"/>
      <c r="Y763" s="13"/>
      <c r="Z763" s="15"/>
      <c r="AA763" s="34"/>
      <c r="AB763" s="28"/>
      <c r="AC763" s="15"/>
      <c r="AG763" s="13"/>
      <c r="AH763" s="15"/>
      <c r="AI763" s="15"/>
      <c r="AJ763" s="28"/>
      <c r="AK763" s="13"/>
      <c r="AL763" s="15"/>
      <c r="AM763" s="34"/>
      <c r="AN763" s="28"/>
      <c r="AO763" s="13"/>
      <c r="AP763" s="15"/>
      <c r="AQ763" s="34"/>
      <c r="AR763" s="28"/>
      <c r="AS763" s="15"/>
      <c r="AT763" s="15"/>
      <c r="AU763" s="15"/>
      <c r="AV763" s="15"/>
      <c r="AW763" s="13"/>
      <c r="AX763" s="15"/>
      <c r="AY763" s="15"/>
      <c r="AZ763" s="28"/>
      <c r="BA763" s="15"/>
      <c r="BB763" s="15"/>
      <c r="BC763" s="15"/>
      <c r="BD763" s="15"/>
      <c r="BE763" s="14"/>
      <c r="BF763" s="41">
        <f t="shared" ref="BF763:BG763" si="2416">K763+O763+S763+W763+AA763+AE763+AI763+AM763+AQ763+AU763+AY763+BC763</f>
        <v>0</v>
      </c>
      <c r="BG763" s="34">
        <f t="shared" si="2416"/>
        <v>0</v>
      </c>
      <c r="BH763" s="35">
        <f t="shared" si="2409"/>
        <v>0</v>
      </c>
    </row>
    <row r="764" ht="14.25" customHeight="1" spans="1:60" x14ac:dyDescent="0.25">
      <c r="A764" s="29">
        <v>96</v>
      </c>
      <c r="B764" s="14"/>
      <c r="C764" s="2" t="s">
        <v>443</v>
      </c>
      <c r="D764" s="14" t="s">
        <v>50</v>
      </c>
      <c r="E764" s="2" t="s">
        <v>49</v>
      </c>
      <c r="F764" s="41">
        <v>1200</v>
      </c>
      <c r="G764" s="28"/>
      <c r="H764" s="34">
        <f>'2018'!BH764</f>
        <v>4740.4448</v>
      </c>
      <c r="I764" s="13"/>
      <c r="J764" s="15"/>
      <c r="K764" s="15"/>
      <c r="L764" s="28"/>
      <c r="Q764" s="13"/>
      <c r="R764" s="15"/>
      <c r="S764" s="15"/>
      <c r="T764" s="28"/>
      <c r="X764" s="133">
        <v>4840</v>
      </c>
      <c r="Y764" s="13"/>
      <c r="Z764" s="15"/>
      <c r="AA764" s="15"/>
      <c r="AB764" s="38">
        <v>5388</v>
      </c>
      <c r="AE764" s="34">
        <f>B761*$F$12</f>
        <v>5352</v>
      </c>
      <c r="AG764" s="13"/>
      <c r="AH764" s="15"/>
      <c r="AI764" s="15"/>
      <c r="AJ764" s="35"/>
      <c r="AK764" s="13"/>
      <c r="AL764" s="15"/>
      <c r="AM764" s="15"/>
      <c r="AN764" s="28"/>
      <c r="AO764" s="13"/>
      <c r="AP764" s="15"/>
      <c r="AQ764" s="15"/>
      <c r="AR764" s="28"/>
      <c r="AS764" s="15"/>
      <c r="AT764" s="15"/>
      <c r="AU764" s="15"/>
      <c r="AV764" s="15"/>
      <c r="AW764" s="13"/>
      <c r="AX764" s="15"/>
      <c r="AY764" s="15"/>
      <c r="AZ764" s="28"/>
      <c r="BA764" s="15"/>
      <c r="BB764" s="15"/>
      <c r="BC764" s="15"/>
      <c r="BD764" s="15"/>
      <c r="BE764" s="14"/>
      <c r="BF764" s="41">
        <f t="shared" ref="BF764:BG764" si="2417">K764+O764+S764+W764+AA764+AE764+AI764+AM764+AQ764+AU764+AY764+BC764</f>
        <v>5352</v>
      </c>
      <c r="BG764" s="34">
        <f t="shared" si="2417"/>
        <v>10228</v>
      </c>
      <c r="BH764" s="35">
        <f t="shared" si="2409"/>
        <v>-135.5552</v>
      </c>
    </row>
    <row r="765" ht="14.25" customHeight="1" spans="1:60" x14ac:dyDescent="0.25">
      <c r="A765" s="29">
        <v>96</v>
      </c>
      <c r="B765" s="14"/>
      <c r="D765" s="14" t="s">
        <v>51</v>
      </c>
      <c r="E765" s="2" t="s">
        <v>49</v>
      </c>
      <c r="F765" s="41">
        <v>1000</v>
      </c>
      <c r="G765" s="28"/>
      <c r="H765" s="34">
        <f>'2018'!BH765</f>
        <v>0</v>
      </c>
      <c r="I765" s="13"/>
      <c r="J765" s="15"/>
      <c r="K765" s="15"/>
      <c r="L765" s="28"/>
      <c r="Q765" s="13"/>
      <c r="R765" s="15"/>
      <c r="S765" s="15"/>
      <c r="T765" s="28"/>
      <c r="Y765" s="13"/>
      <c r="Z765" s="15"/>
      <c r="AA765" s="15"/>
      <c r="AB765" s="38">
        <v>1000</v>
      </c>
      <c r="AE765" s="34">
        <f>$F$21</f>
        <v>1000</v>
      </c>
      <c r="AG765" s="13"/>
      <c r="AH765" s="15"/>
      <c r="AI765" s="15"/>
      <c r="AJ765" s="28"/>
      <c r="AK765" s="13"/>
      <c r="AL765" s="15"/>
      <c r="AM765" s="15"/>
      <c r="AN765" s="28"/>
      <c r="AO765" s="13"/>
      <c r="AP765" s="15"/>
      <c r="AQ765" s="15"/>
      <c r="AR765" s="28"/>
      <c r="AS765" s="15"/>
      <c r="AT765" s="15"/>
      <c r="AU765" s="15"/>
      <c r="AV765" s="15"/>
      <c r="AW765" s="13"/>
      <c r="AX765" s="15"/>
      <c r="AY765" s="15"/>
      <c r="AZ765" s="28"/>
      <c r="BA765" s="15"/>
      <c r="BB765" s="15"/>
      <c r="BC765" s="15"/>
      <c r="BD765" s="15"/>
      <c r="BE765" s="14"/>
      <c r="BF765" s="41">
        <f t="shared" ref="BF765:BG765" si="2418">K765+O765+S765+W765+AA765+AE765+AI765+AM765+AQ765+AU765+AY765+BC765</f>
        <v>1000</v>
      </c>
      <c r="BG765" s="34">
        <f t="shared" si="2418"/>
        <v>1000</v>
      </c>
      <c r="BH765" s="35">
        <f t="shared" si="2409"/>
        <v>0</v>
      </c>
    </row>
    <row r="766" ht="14.25" customHeight="1" spans="1:60" x14ac:dyDescent="0.25">
      <c r="A766" s="29">
        <v>96</v>
      </c>
      <c r="B766" s="14"/>
      <c r="D766" s="14" t="s">
        <v>52</v>
      </c>
      <c r="E766" s="2" t="s">
        <v>39</v>
      </c>
      <c r="F766" s="41">
        <v>500</v>
      </c>
      <c r="G766" s="28"/>
      <c r="H766" s="84">
        <f>'2018'!BH766-500</f>
        <v>-150</v>
      </c>
      <c r="I766" s="13"/>
      <c r="J766" s="15"/>
      <c r="K766" s="15"/>
      <c r="L766" s="28"/>
      <c r="Q766" s="13"/>
      <c r="R766" s="15"/>
      <c r="S766" s="15"/>
      <c r="T766" s="28"/>
      <c r="X766" s="133">
        <v>350</v>
      </c>
      <c r="Y766" s="13"/>
      <c r="Z766" s="15"/>
      <c r="AA766" s="34">
        <f>$F$14</f>
        <v>500</v>
      </c>
      <c r="AB766" s="28"/>
      <c r="AG766" s="13"/>
      <c r="AH766" s="15"/>
      <c r="AI766" s="15"/>
      <c r="AJ766" s="28"/>
      <c r="AK766" s="13"/>
      <c r="AL766" s="15"/>
      <c r="AM766" s="15"/>
      <c r="AN766" s="28"/>
      <c r="AO766" s="13"/>
      <c r="AP766" s="15"/>
      <c r="AQ766" s="15"/>
      <c r="AR766" s="28"/>
      <c r="AS766" s="15"/>
      <c r="AT766" s="15"/>
      <c r="AU766" s="15"/>
      <c r="AV766" s="15"/>
      <c r="AW766" s="13"/>
      <c r="AX766" s="15"/>
      <c r="AY766" s="15"/>
      <c r="AZ766" s="28"/>
      <c r="BA766" s="15"/>
      <c r="BB766" s="15"/>
      <c r="BC766" s="15"/>
      <c r="BD766" s="15"/>
      <c r="BE766" s="14"/>
      <c r="BF766" s="41">
        <f t="shared" ref="BF766:BG766" si="2419">K766+O766+S766+W766+AA766+AE766+AI766+AM766+AQ766+AU766+AY766+BC766</f>
        <v>500</v>
      </c>
      <c r="BG766" s="34">
        <f t="shared" si="2419"/>
        <v>350</v>
      </c>
      <c r="BH766" s="35">
        <f t="shared" si="2409"/>
        <v>0</v>
      </c>
    </row>
    <row r="767" ht="14.25" customHeight="1" spans="1:62" x14ac:dyDescent="0.25">
      <c r="A767" s="50">
        <v>96</v>
      </c>
      <c r="B767" s="21"/>
      <c r="C767" s="22" t="s">
        <v>53</v>
      </c>
      <c r="D767" s="21"/>
      <c r="E767" s="22"/>
      <c r="F767" s="20"/>
      <c r="G767" s="23"/>
      <c r="H767" s="51">
        <f>SUM(H760:H766)</f>
        <v>4590.4448</v>
      </c>
      <c r="I767" s="52"/>
      <c r="J767" s="53"/>
      <c r="K767" s="51">
        <f t="shared" ref="K767:L767" si="2420">SUM(K760:K766)</f>
        <v>0</v>
      </c>
      <c r="L767" s="68">
        <f t="shared" si="2420"/>
        <v>0</v>
      </c>
      <c r="M767" s="53"/>
      <c r="N767" s="53"/>
      <c r="O767" s="51">
        <f t="shared" ref="O767:P767" si="2421">SUM(O761:O766)</f>
        <v>0</v>
      </c>
      <c r="P767" s="51">
        <f t="shared" si="2421"/>
        <v>0</v>
      </c>
      <c r="Q767" s="52"/>
      <c r="R767" s="53"/>
      <c r="S767" s="51">
        <f t="shared" ref="S767:T767" si="2422">SUM(S761:S766)</f>
        <v>0</v>
      </c>
      <c r="T767" s="68">
        <f t="shared" si="2422"/>
        <v>0</v>
      </c>
      <c r="U767" s="53"/>
      <c r="V767" s="53"/>
      <c r="W767" s="51">
        <f t="shared" ref="W767:X767" si="2423">SUM(W761:W766)</f>
        <v>0</v>
      </c>
      <c r="X767" s="51">
        <f t="shared" si="2423"/>
        <v>5190</v>
      </c>
      <c r="Y767" s="52"/>
      <c r="Z767" s="53"/>
      <c r="AA767" s="51">
        <f t="shared" ref="AA767:AB767" si="2424">SUM(AA761:AA766)</f>
        <v>500</v>
      </c>
      <c r="AB767" s="68">
        <f t="shared" si="2424"/>
        <v>6388</v>
      </c>
      <c r="AC767" s="53"/>
      <c r="AD767" s="53"/>
      <c r="AE767" s="51">
        <f t="shared" ref="AE767:AF767" si="2425">SUM(AE761:AE766)</f>
        <v>6352</v>
      </c>
      <c r="AF767" s="51">
        <f t="shared" si="2425"/>
        <v>0</v>
      </c>
      <c r="AG767" s="52"/>
      <c r="AH767" s="53"/>
      <c r="AI767" s="51">
        <f t="shared" ref="AI767:AJ767" si="2426">SUM(AI761:AI766)</f>
        <v>0</v>
      </c>
      <c r="AJ767" s="68">
        <f t="shared" si="2426"/>
        <v>0</v>
      </c>
      <c r="AK767" s="52"/>
      <c r="AL767" s="53"/>
      <c r="AM767" s="51">
        <f t="shared" ref="AM767:AN767" si="2427">SUM(AM761:AM766)</f>
        <v>0</v>
      </c>
      <c r="AN767" s="68">
        <f t="shared" si="2427"/>
        <v>0</v>
      </c>
      <c r="AO767" s="52"/>
      <c r="AP767" s="53"/>
      <c r="AQ767" s="51">
        <f t="shared" ref="AQ767:AR767" si="2428">SUM(AQ760:AQ766)</f>
        <v>0</v>
      </c>
      <c r="AR767" s="68">
        <f t="shared" si="2428"/>
        <v>0</v>
      </c>
      <c r="AS767" s="53"/>
      <c r="AT767" s="53"/>
      <c r="AU767" s="51">
        <f t="shared" ref="AU767:AV767" si="2429">SUM(AU760:AU766)</f>
        <v>0</v>
      </c>
      <c r="AV767" s="68">
        <f t="shared" si="2429"/>
        <v>0</v>
      </c>
      <c r="AW767" s="52"/>
      <c r="AX767" s="53"/>
      <c r="AY767" s="51">
        <f t="shared" ref="AY767:AZ767" si="2430">SUM(AY760:AY766)</f>
        <v>0</v>
      </c>
      <c r="AZ767" s="68">
        <f t="shared" si="2430"/>
        <v>0</v>
      </c>
      <c r="BA767" s="53"/>
      <c r="BB767" s="53"/>
      <c r="BC767" s="51">
        <f t="shared" ref="BC767:BD767" si="2431">SUM(BC760:BC766)</f>
        <v>0</v>
      </c>
      <c r="BD767" s="68">
        <f t="shared" si="2431"/>
        <v>0</v>
      </c>
      <c r="BE767" s="69"/>
      <c r="BF767" s="70">
        <f t="shared" ref="BF767:BH767" si="2432">SUM(BF760:BF766)</f>
        <v>6852</v>
      </c>
      <c r="BG767" s="71">
        <f t="shared" si="2432"/>
        <v>11578</v>
      </c>
      <c r="BH767" s="72">
        <f t="shared" si="2432"/>
        <v>-135.5552</v>
      </c>
      <c r="BI767" s="34">
        <f>H767+BF767-BG767</f>
        <v>-135.5552</v>
      </c>
      <c r="BJ767" s="34">
        <f>BH767-BI767</f>
        <v>0</v>
      </c>
    </row>
    <row r="768" ht="14.25" customHeight="1" spans="1:60" x14ac:dyDescent="0.25">
      <c r="A768" s="29">
        <v>98</v>
      </c>
      <c r="B768" s="14"/>
      <c r="D768" s="14" t="s">
        <v>379</v>
      </c>
      <c r="F768" s="13"/>
      <c r="G768" s="28"/>
      <c r="H768" s="34">
        <f>'2018'!BH768</f>
      </c>
      <c r="I768" s="13"/>
      <c r="J768" s="15"/>
      <c r="K768" s="15"/>
      <c r="L768" s="28"/>
      <c r="Q768" s="13"/>
      <c r="R768" s="15"/>
      <c r="S768" s="15"/>
      <c r="T768" s="28"/>
      <c r="Y768" s="13"/>
      <c r="Z768" s="15"/>
      <c r="AA768" s="15"/>
      <c r="AB768" s="28"/>
      <c r="AG768" s="13"/>
      <c r="AH768" s="15"/>
      <c r="AI768" s="15"/>
      <c r="AJ768" s="28"/>
      <c r="AK768" s="13"/>
      <c r="AL768" s="15"/>
      <c r="AM768" s="15"/>
      <c r="AN768" s="28"/>
      <c r="AO768" s="13"/>
      <c r="AP768" s="15"/>
      <c r="AQ768" s="15">
        <v>47.76</v>
      </c>
      <c r="AR768" s="28"/>
      <c r="AU768" s="2">
        <v>49.35</v>
      </c>
      <c r="AW768" s="13"/>
      <c r="AX768" s="15"/>
      <c r="AY768" s="15">
        <v>47.76</v>
      </c>
      <c r="AZ768" s="28"/>
      <c r="BC768" s="2">
        <v>45.15</v>
      </c>
      <c r="BE768" s="14"/>
      <c r="BF768" s="41">
        <f t="shared" ref="BF768:BG768" si="2433">K768+O768+S768+W768+AA768+AE768+AI768+AM768+AQ768+AU768+AY768+BC768</f>
        <v>190.02</v>
      </c>
      <c r="BG768" s="34">
        <f t="shared" si="2433"/>
        <v>0</v>
      </c>
      <c r="BH768" s="35">
        <f t="shared" ref="BH768:BH774" si="2434">H768+BF768-BG768</f>
        <v>190.02</v>
      </c>
    </row>
    <row r="769" ht="14.25" customHeight="1" spans="1:60" x14ac:dyDescent="0.25">
      <c r="A769" s="2">
        <v>98</v>
      </c>
      <c r="B769" s="14">
        <v>4.45</v>
      </c>
      <c r="C769" s="2" t="s">
        <v>328</v>
      </c>
      <c r="D769" s="14" t="s">
        <v>44</v>
      </c>
      <c r="E769" s="2" t="s">
        <v>45</v>
      </c>
      <c r="F769" s="13">
        <v>2.49</v>
      </c>
      <c r="G769" s="35">
        <v>2.5</v>
      </c>
      <c r="H769" s="104">
        <f>'2018'!BH769</f>
        <v>0</v>
      </c>
      <c r="I769" s="13"/>
      <c r="J769" s="15"/>
      <c r="K769" s="34">
        <f>J769*$F$8</f>
        <v>0</v>
      </c>
      <c r="L769" s="28"/>
      <c r="N769" s="15">
        <f>M769-I769</f>
        <v>0</v>
      </c>
      <c r="O769" s="34">
        <f>N769*$F$8</f>
        <v>0</v>
      </c>
      <c r="Q769" s="13"/>
      <c r="R769" s="15">
        <f>Q769-M769</f>
        <v>0</v>
      </c>
      <c r="S769" s="34">
        <f>R769*$F$8</f>
        <v>0</v>
      </c>
      <c r="T769" s="28"/>
      <c r="V769" s="15">
        <f>U769-Q769</f>
        <v>0</v>
      </c>
      <c r="Y769" s="13"/>
      <c r="Z769" s="15">
        <f>Y769-U769</f>
        <v>0</v>
      </c>
      <c r="AA769" s="34">
        <f>Z769*$F$8</f>
        <v>0</v>
      </c>
      <c r="AB769" s="28"/>
      <c r="AC769" s="15"/>
      <c r="AD769" s="15">
        <f t="shared" ref="AD769:AD770" si="2435">AC769-Y769</f>
        <v>0</v>
      </c>
      <c r="AE769" s="34">
        <f>AD769*$G$8</f>
        <v>0</v>
      </c>
      <c r="AG769" s="13"/>
      <c r="AH769" s="15">
        <f t="shared" ref="AH769:AH770" si="2436">AG769-AC769</f>
        <v>0</v>
      </c>
      <c r="AI769" s="34">
        <f>AH769*$G$8</f>
        <v>0</v>
      </c>
      <c r="AJ769" s="28"/>
      <c r="AK769" s="13"/>
      <c r="AL769" s="15">
        <f t="shared" ref="AL769:AL770" si="2437">AK769-AG769</f>
        <v>0</v>
      </c>
      <c r="AM769" s="34">
        <f>AL769*$G$8</f>
        <v>0</v>
      </c>
      <c r="AN769" s="28"/>
      <c r="AO769" s="13"/>
      <c r="AP769" s="15">
        <f t="shared" ref="AP769:AP770" si="2438">AO769-AK769</f>
        <v>0</v>
      </c>
      <c r="AQ769" s="34">
        <f>AP769*$G$8</f>
        <v>0</v>
      </c>
      <c r="AR769" s="28"/>
      <c r="AS769" s="15"/>
      <c r="AT769" s="15">
        <f t="shared" ref="AT769:AT770" si="2439">AS769-AO769</f>
        <v>0</v>
      </c>
      <c r="AU769" s="34">
        <f>AT769*$G$8</f>
        <v>0</v>
      </c>
      <c r="AV769" s="15"/>
      <c r="AW769" s="13"/>
      <c r="AX769" s="15">
        <f>AW769-AS769</f>
        <v>0</v>
      </c>
      <c r="AY769" s="34">
        <f>AX769*$G$8</f>
        <v>0</v>
      </c>
      <c r="AZ769" s="28"/>
      <c r="BA769" s="15"/>
      <c r="BB769" s="15">
        <f>BA769-AW769</f>
        <v>0</v>
      </c>
      <c r="BC769" s="34">
        <f>BB769*$G$8</f>
        <v>0</v>
      </c>
      <c r="BD769" s="15"/>
      <c r="BE769" s="40">
        <f t="shared" ref="BE769:BG769" si="2440">J769+N769+R769+V769+Z769+AD769+AH769+AL769+AP769+AT769+AX769+BB769</f>
        <v>0</v>
      </c>
      <c r="BF769" s="41">
        <f t="shared" si="2440"/>
        <v>0</v>
      </c>
      <c r="BG769" s="34">
        <f t="shared" si="2440"/>
        <v>0</v>
      </c>
      <c r="BH769" s="35">
        <f t="shared" si="2434"/>
        <v>0</v>
      </c>
    </row>
    <row r="770" ht="14.25" customHeight="1" spans="1:60" x14ac:dyDescent="0.25">
      <c r="A770" s="29">
        <v>98</v>
      </c>
      <c r="B770" s="14"/>
      <c r="C770" s="2" t="s">
        <v>83</v>
      </c>
      <c r="D770" s="14" t="s">
        <v>47</v>
      </c>
      <c r="E770" s="2" t="s">
        <v>48</v>
      </c>
      <c r="F770" s="13">
        <v>17.98</v>
      </c>
      <c r="G770" s="28">
        <v>18.56</v>
      </c>
      <c r="H770" s="144">
        <f>'2018'!BH770</f>
        <v>-49.5</v>
      </c>
      <c r="I770" s="13">
        <v>166</v>
      </c>
      <c r="J770" s="15"/>
      <c r="K770" s="15"/>
      <c r="L770" s="28"/>
      <c r="Q770" s="13"/>
      <c r="R770" s="15"/>
      <c r="S770" s="15"/>
      <c r="T770" s="28"/>
      <c r="Y770" s="95">
        <v>166</v>
      </c>
      <c r="Z770" s="15">
        <f>Y770-'2018'!AO770</f>
        <v>0</v>
      </c>
      <c r="AA770" s="34">
        <f>Z770*$F$10</f>
        <v>0</v>
      </c>
      <c r="AB770" s="28"/>
      <c r="AC770" s="15">
        <v>166</v>
      </c>
      <c r="AD770" s="15">
        <f t="shared" si="2435"/>
        <v>0</v>
      </c>
      <c r="AE770" s="34">
        <f>AD770*$F$10</f>
        <v>0</v>
      </c>
      <c r="AG770" s="13">
        <v>166</v>
      </c>
      <c r="AH770" s="15">
        <f t="shared" si="2436"/>
        <v>0</v>
      </c>
      <c r="AI770" s="45">
        <f>AH770*$G$10</f>
        <v>0</v>
      </c>
      <c r="AJ770" s="28"/>
      <c r="AK770" s="15">
        <v>166</v>
      </c>
      <c r="AL770" s="15">
        <f t="shared" si="2437"/>
        <v>0</v>
      </c>
      <c r="AM770" s="45">
        <f>AL770*$G$10</f>
        <v>0</v>
      </c>
      <c r="AN770" s="28"/>
      <c r="AO770" s="73">
        <v>166</v>
      </c>
      <c r="AP770" s="15">
        <f t="shared" si="2438"/>
        <v>0</v>
      </c>
      <c r="AQ770" s="45">
        <f>AP770*$G$10</f>
        <v>0</v>
      </c>
      <c r="AR770" s="28"/>
      <c r="AS770" s="73">
        <v>166</v>
      </c>
      <c r="AT770" s="15">
        <f t="shared" si="2439"/>
        <v>0</v>
      </c>
      <c r="AU770" s="45">
        <f>AT770*$G$10</f>
        <v>0</v>
      </c>
      <c r="AV770" s="15"/>
      <c r="AW770" s="75">
        <v>166</v>
      </c>
      <c r="AX770" s="15"/>
      <c r="AY770" s="15"/>
      <c r="AZ770" s="28"/>
      <c r="BA770" s="75">
        <v>166</v>
      </c>
      <c r="BB770" s="15"/>
      <c r="BC770" s="15"/>
      <c r="BD770" s="15"/>
      <c r="BE770" s="40">
        <f t="shared" ref="BE770:BG770" si="2441">J770+N770+R770+V770+Z770+AD770+AH770+AL770+AP770+AT770+AX770+BB770</f>
        <v>0</v>
      </c>
      <c r="BF770" s="41">
        <f t="shared" si="2441"/>
        <v>0</v>
      </c>
      <c r="BG770" s="34">
        <f t="shared" si="2441"/>
        <v>0</v>
      </c>
      <c r="BH770" s="35">
        <f t="shared" si="2434"/>
        <v>-49.5</v>
      </c>
    </row>
    <row r="771" ht="14.25" customHeight="1" spans="1:60" x14ac:dyDescent="0.25">
      <c r="A771" s="29">
        <v>98</v>
      </c>
      <c r="B771" s="14"/>
      <c r="C771" s="2" t="s">
        <v>129</v>
      </c>
      <c r="D771" s="14" t="s">
        <v>47</v>
      </c>
      <c r="E771" s="2" t="s">
        <v>49</v>
      </c>
      <c r="F771" s="41">
        <v>500</v>
      </c>
      <c r="G771" s="28"/>
      <c r="H771" s="34">
        <f>'2018'!BH771</f>
        <v>0</v>
      </c>
      <c r="I771" s="13"/>
      <c r="J771" s="15"/>
      <c r="K771" s="15"/>
      <c r="L771" s="28"/>
      <c r="Q771" s="13"/>
      <c r="R771" s="15"/>
      <c r="S771" s="15"/>
      <c r="T771" s="28"/>
      <c r="Y771" s="13"/>
      <c r="Z771" s="15"/>
      <c r="AA771" s="15"/>
      <c r="AB771" s="28"/>
      <c r="AG771" s="13"/>
      <c r="AH771" s="15"/>
      <c r="AI771" s="15"/>
      <c r="AJ771" s="28"/>
      <c r="AK771" s="13"/>
      <c r="AL771" s="15"/>
      <c r="AM771" s="34"/>
      <c r="AN771" s="28"/>
      <c r="AO771" s="13"/>
      <c r="AP771" s="15"/>
      <c r="AQ771" s="34"/>
      <c r="AR771" s="28"/>
      <c r="AS771" s="15"/>
      <c r="AT771" s="15"/>
      <c r="AU771" s="15"/>
      <c r="AV771" s="15"/>
      <c r="AW771" s="13"/>
      <c r="AX771" s="15"/>
      <c r="AY771" s="15"/>
      <c r="AZ771" s="28"/>
      <c r="BA771" s="15"/>
      <c r="BB771" s="15"/>
      <c r="BC771" s="15"/>
      <c r="BD771" s="15"/>
      <c r="BE771" s="14"/>
      <c r="BF771" s="41">
        <f t="shared" ref="BF771:BG771" si="2442">K771+O771+S771+W771+AA771+AE771+AI771+AM771+AQ771+AU771+AY771+BC771</f>
        <v>0</v>
      </c>
      <c r="BG771" s="34">
        <f t="shared" si="2442"/>
        <v>0</v>
      </c>
      <c r="BH771" s="35">
        <f t="shared" si="2434"/>
        <v>0</v>
      </c>
    </row>
    <row r="772" ht="14.25" customHeight="1" spans="1:60" x14ac:dyDescent="0.25">
      <c r="A772" s="29">
        <v>98</v>
      </c>
      <c r="B772" s="14"/>
      <c r="C772" s="2" t="s">
        <v>329</v>
      </c>
      <c r="D772" s="14" t="s">
        <v>50</v>
      </c>
      <c r="E772" s="2" t="s">
        <v>49</v>
      </c>
      <c r="F772" s="41">
        <v>1200</v>
      </c>
      <c r="G772" s="28"/>
      <c r="H772" s="34">
        <f>'2018'!BH772</f>
        <v>7689.816</v>
      </c>
      <c r="I772" s="13"/>
      <c r="J772" s="15"/>
      <c r="K772" s="15"/>
      <c r="L772" s="28"/>
      <c r="Q772" s="13"/>
      <c r="R772" s="15"/>
      <c r="S772" s="15"/>
      <c r="T772" s="28"/>
      <c r="Y772" s="13"/>
      <c r="Z772" s="15"/>
      <c r="AA772" s="15"/>
      <c r="AB772" s="28"/>
      <c r="AE772" s="34">
        <f>B769*$F$12</f>
        <v>5340</v>
      </c>
      <c r="AG772" s="13"/>
      <c r="AH772" s="15"/>
      <c r="AI772" s="15"/>
      <c r="AJ772" s="38"/>
      <c r="AK772" s="13"/>
      <c r="AL772" s="15"/>
      <c r="AM772" s="15"/>
      <c r="AN772" s="28"/>
      <c r="AO772" s="13"/>
      <c r="AP772" s="15"/>
      <c r="AQ772" s="15"/>
      <c r="AR772" s="28"/>
      <c r="AS772" s="15"/>
      <c r="AT772" s="15"/>
      <c r="AU772" s="15"/>
      <c r="AV772" s="15"/>
      <c r="AW772" s="13"/>
      <c r="AX772" s="15"/>
      <c r="AY772" s="15"/>
      <c r="AZ772" s="28"/>
      <c r="BA772" s="15"/>
      <c r="BB772" s="15"/>
      <c r="BC772" s="15"/>
      <c r="BD772" s="39">
        <v>3000</v>
      </c>
      <c r="BE772" s="14"/>
      <c r="BF772" s="41">
        <f t="shared" ref="BF772:BG772" si="2443">K772+O772+S772+W772+AA772+AE772+AI772+AM772+AQ772+AU772+AY772+BC772</f>
        <v>5340</v>
      </c>
      <c r="BG772" s="34">
        <f t="shared" si="2443"/>
        <v>3000</v>
      </c>
      <c r="BH772" s="35">
        <f t="shared" si="2434"/>
        <v>10029.816</v>
      </c>
    </row>
    <row r="773" ht="14.25" customHeight="1" spans="1:60" x14ac:dyDescent="0.25">
      <c r="A773" s="29">
        <v>98</v>
      </c>
      <c r="B773" s="14"/>
      <c r="D773" s="14" t="s">
        <v>51</v>
      </c>
      <c r="E773" s="2" t="s">
        <v>49</v>
      </c>
      <c r="F773" s="41">
        <v>1000</v>
      </c>
      <c r="G773" s="28"/>
      <c r="H773" s="34">
        <f>'2018'!BH773</f>
        <v>1890</v>
      </c>
      <c r="I773" s="13"/>
      <c r="J773" s="15"/>
      <c r="K773" s="15"/>
      <c r="L773" s="28"/>
      <c r="Q773" s="13"/>
      <c r="R773" s="15"/>
      <c r="S773" s="15"/>
      <c r="T773" s="28"/>
      <c r="Y773" s="13"/>
      <c r="Z773" s="15"/>
      <c r="AA773" s="15"/>
      <c r="AB773" s="28"/>
      <c r="AE773" s="34">
        <f>$F$21</f>
        <v>1000</v>
      </c>
      <c r="AG773" s="13"/>
      <c r="AH773" s="15"/>
      <c r="AI773" s="15"/>
      <c r="AJ773" s="28"/>
      <c r="AK773" s="13"/>
      <c r="AL773" s="15"/>
      <c r="AM773" s="15"/>
      <c r="AN773" s="28"/>
      <c r="AO773" s="13"/>
      <c r="AP773" s="15"/>
      <c r="AQ773" s="15"/>
      <c r="AR773" s="28"/>
      <c r="AS773" s="15"/>
      <c r="AT773" s="15"/>
      <c r="AU773" s="15"/>
      <c r="AV773" s="15"/>
      <c r="AW773" s="13"/>
      <c r="AX773" s="15"/>
      <c r="AY773" s="15"/>
      <c r="AZ773" s="28"/>
      <c r="BA773" s="15"/>
      <c r="BB773" s="15"/>
      <c r="BC773" s="15"/>
      <c r="BD773" s="15"/>
      <c r="BE773" s="14"/>
      <c r="BF773" s="41">
        <f t="shared" ref="BF773:BG773" si="2444">K773+O773+S773+W773+AA773+AE773+AI773+AM773+AQ773+AU773+AY773+BC773</f>
        <v>1000</v>
      </c>
      <c r="BG773" s="34">
        <f t="shared" si="2444"/>
        <v>0</v>
      </c>
      <c r="BH773" s="35">
        <f t="shared" si="2434"/>
        <v>2890</v>
      </c>
    </row>
    <row r="774" ht="14.25" customHeight="1" spans="1:60" x14ac:dyDescent="0.25">
      <c r="A774" s="29">
        <v>98</v>
      </c>
      <c r="B774" s="14"/>
      <c r="D774" s="14" t="s">
        <v>52</v>
      </c>
      <c r="E774" s="2" t="s">
        <v>39</v>
      </c>
      <c r="F774" s="41">
        <v>500</v>
      </c>
      <c r="G774" s="28"/>
      <c r="H774" s="34">
        <f>'2018'!BH774</f>
        <v>1200</v>
      </c>
      <c r="I774" s="13"/>
      <c r="J774" s="15"/>
      <c r="K774" s="15"/>
      <c r="L774" s="28"/>
      <c r="Q774" s="13"/>
      <c r="R774" s="15"/>
      <c r="S774" s="15"/>
      <c r="T774" s="28"/>
      <c r="Y774" s="13"/>
      <c r="Z774" s="15"/>
      <c r="AA774" s="34">
        <f>$F$14</f>
        <v>500</v>
      </c>
      <c r="AB774" s="28"/>
      <c r="AG774" s="13"/>
      <c r="AH774" s="15"/>
      <c r="AI774" s="15"/>
      <c r="AJ774" s="28"/>
      <c r="AK774" s="13"/>
      <c r="AL774" s="15"/>
      <c r="AM774" s="15"/>
      <c r="AN774" s="28"/>
      <c r="AO774" s="13"/>
      <c r="AP774" s="15"/>
      <c r="AQ774" s="15"/>
      <c r="AR774" s="28"/>
      <c r="AS774" s="15"/>
      <c r="AT774" s="15"/>
      <c r="AU774" s="15"/>
      <c r="AV774" s="15"/>
      <c r="AW774" s="13"/>
      <c r="AX774" s="15"/>
      <c r="AY774" s="15"/>
      <c r="AZ774" s="28"/>
      <c r="BA774" s="15"/>
      <c r="BB774" s="15"/>
      <c r="BC774" s="15"/>
      <c r="BD774" s="15"/>
      <c r="BE774" s="14"/>
      <c r="BF774" s="41">
        <f t="shared" ref="BF774:BG774" si="2445">K774+O774+S774+W774+AA774+AE774+AI774+AM774+AQ774+AU774+AY774+BC774</f>
        <v>500</v>
      </c>
      <c r="BG774" s="34">
        <f t="shared" si="2445"/>
        <v>0</v>
      </c>
      <c r="BH774" s="35">
        <f t="shared" si="2434"/>
        <v>1700</v>
      </c>
    </row>
    <row r="775" ht="14.25" customHeight="1" spans="1:62" x14ac:dyDescent="0.25">
      <c r="A775" s="50">
        <v>98</v>
      </c>
      <c r="B775" s="21"/>
      <c r="C775" s="22" t="s">
        <v>53</v>
      </c>
      <c r="D775" s="21"/>
      <c r="E775" s="22"/>
      <c r="F775" s="20"/>
      <c r="G775" s="23"/>
      <c r="H775" s="51">
        <f>SUM(H768:H774)</f>
        <v>10730.316</v>
      </c>
      <c r="I775" s="52"/>
      <c r="J775" s="53"/>
      <c r="K775" s="51">
        <f t="shared" ref="K775:L775" si="2446">SUM(K768:K774)</f>
        <v>0</v>
      </c>
      <c r="L775" s="68">
        <f t="shared" si="2446"/>
        <v>0</v>
      </c>
      <c r="M775" s="53"/>
      <c r="N775" s="53"/>
      <c r="O775" s="51">
        <f t="shared" ref="O775:P775" si="2447">SUM(O769:O774)</f>
        <v>0</v>
      </c>
      <c r="P775" s="51">
        <f t="shared" si="2447"/>
        <v>0</v>
      </c>
      <c r="Q775" s="52"/>
      <c r="R775" s="53"/>
      <c r="S775" s="51">
        <f t="shared" ref="S775:T775" si="2448">SUM(S769:S774)</f>
        <v>0</v>
      </c>
      <c r="T775" s="68">
        <f t="shared" si="2448"/>
        <v>0</v>
      </c>
      <c r="U775" s="53"/>
      <c r="V775" s="53"/>
      <c r="W775" s="51">
        <f t="shared" ref="W775:X775" si="2449">SUM(W769:W774)</f>
        <v>0</v>
      </c>
      <c r="X775" s="51">
        <f t="shared" si="2449"/>
        <v>0</v>
      </c>
      <c r="Y775" s="52"/>
      <c r="Z775" s="53"/>
      <c r="AA775" s="51">
        <f t="shared" ref="AA775:AB775" si="2450">SUM(AA769:AA774)</f>
        <v>500</v>
      </c>
      <c r="AB775" s="68">
        <f t="shared" si="2450"/>
        <v>0</v>
      </c>
      <c r="AC775" s="53"/>
      <c r="AD775" s="53"/>
      <c r="AE775" s="51">
        <f t="shared" ref="AE775:AF775" si="2451">SUM(AE769:AE774)</f>
        <v>6340</v>
      </c>
      <c r="AF775" s="51">
        <f t="shared" si="2451"/>
        <v>0</v>
      </c>
      <c r="AG775" s="52"/>
      <c r="AH775" s="53"/>
      <c r="AI775" s="51">
        <f t="shared" ref="AI775:AJ775" si="2452">SUM(AI769:AI774)</f>
        <v>0</v>
      </c>
      <c r="AJ775" s="68">
        <f t="shared" si="2452"/>
        <v>0</v>
      </c>
      <c r="AK775" s="52"/>
      <c r="AL775" s="53"/>
      <c r="AM775" s="51">
        <f t="shared" ref="AM775:AN775" si="2453">SUM(AM769:AM774)</f>
        <v>0</v>
      </c>
      <c r="AN775" s="68">
        <f t="shared" si="2453"/>
        <v>0</v>
      </c>
      <c r="AO775" s="52"/>
      <c r="AP775" s="53"/>
      <c r="AQ775" s="51">
        <f t="shared" ref="AQ775:AR775" si="2454">SUM(AQ768:AQ774)</f>
        <v>47.76</v>
      </c>
      <c r="AR775" s="68">
        <f t="shared" si="2454"/>
        <v>0</v>
      </c>
      <c r="AS775" s="53"/>
      <c r="AT775" s="53"/>
      <c r="AU775" s="51">
        <f t="shared" ref="AU775:AV775" si="2455">SUM(AU768:AU774)</f>
        <v>49.35</v>
      </c>
      <c r="AV775" s="68">
        <f t="shared" si="2455"/>
        <v>0</v>
      </c>
      <c r="AW775" s="52"/>
      <c r="AX775" s="53"/>
      <c r="AY775" s="51">
        <f t="shared" ref="AY775:AZ775" si="2456">SUM(AY768:AY774)</f>
        <v>47.76</v>
      </c>
      <c r="AZ775" s="68">
        <f t="shared" si="2456"/>
        <v>0</v>
      </c>
      <c r="BA775" s="53"/>
      <c r="BB775" s="53"/>
      <c r="BC775" s="51">
        <f t="shared" ref="BC775:BD775" si="2457">SUM(BC768:BC774)</f>
        <v>45.15</v>
      </c>
      <c r="BD775" s="68">
        <f t="shared" si="2457"/>
        <v>3000</v>
      </c>
      <c r="BE775" s="69"/>
      <c r="BF775" s="70">
        <f t="shared" ref="BF775:BH775" si="2458">SUM(BF768:BF774)</f>
        <v>7030.02</v>
      </c>
      <c r="BG775" s="71">
        <f t="shared" si="2458"/>
        <v>3000</v>
      </c>
      <c r="BH775" s="72">
        <f t="shared" si="2458"/>
        <v>14760.336</v>
      </c>
      <c r="BI775" s="34">
        <f>H775+BF775-BG775</f>
        <v>14760.336</v>
      </c>
      <c r="BJ775" s="34">
        <f>BH775-BI775</f>
        <v>0</v>
      </c>
    </row>
    <row r="776" ht="14.25" customHeight="1" spans="1:60" x14ac:dyDescent="0.25">
      <c r="A776" s="29">
        <v>100</v>
      </c>
      <c r="B776" s="14"/>
      <c r="D776" s="14" t="s">
        <v>379</v>
      </c>
      <c r="F776" s="13"/>
      <c r="G776" s="28"/>
      <c r="H776" s="34">
        <f>'2018'!BH776</f>
      </c>
      <c r="I776" s="13"/>
      <c r="J776" s="15"/>
      <c r="K776" s="15"/>
      <c r="L776" s="28"/>
      <c r="Q776" s="13"/>
      <c r="R776" s="15"/>
      <c r="S776" s="15"/>
      <c r="T776" s="28"/>
      <c r="Y776" s="13"/>
      <c r="Z776" s="15"/>
      <c r="AA776" s="15"/>
      <c r="AB776" s="28"/>
      <c r="AG776" s="13"/>
      <c r="AH776" s="15"/>
      <c r="AI776" s="15"/>
      <c r="AJ776" s="28"/>
      <c r="AK776" s="13"/>
      <c r="AL776" s="15"/>
      <c r="AM776" s="15"/>
      <c r="AN776" s="28"/>
      <c r="AO776" s="13"/>
      <c r="AP776" s="15"/>
      <c r="AQ776" s="15">
        <v>20.01</v>
      </c>
      <c r="AR776" s="28"/>
      <c r="AU776" s="34">
        <v>13.9</v>
      </c>
      <c r="AW776" s="13"/>
      <c r="AX776" s="15"/>
      <c r="AY776" s="15">
        <v>11.51</v>
      </c>
      <c r="AZ776" s="28"/>
      <c r="BC776" s="34">
        <v>11.9</v>
      </c>
      <c r="BE776" s="14"/>
      <c r="BF776" s="41">
        <f t="shared" ref="BF776:BG776" si="2459">K776+O776+S776+W776+AA776+AE776+AI776+AM776+AQ776+AU776+AY776+BC776</f>
        <v>57.32</v>
      </c>
      <c r="BG776" s="34">
        <f t="shared" si="2459"/>
        <v>0</v>
      </c>
      <c r="BH776" s="35">
        <f t="shared" ref="BH776:BH782" si="2460">H776+BF776-BG776</f>
        <v>57.32</v>
      </c>
    </row>
    <row r="777" ht="15.75" customHeight="1" spans="1:60" x14ac:dyDescent="0.25">
      <c r="A777" s="2">
        <v>100</v>
      </c>
      <c r="B777" s="14">
        <v>4.47</v>
      </c>
      <c r="C777" s="2" t="s">
        <v>330</v>
      </c>
      <c r="D777" s="14" t="s">
        <v>44</v>
      </c>
      <c r="E777" s="2" t="s">
        <v>45</v>
      </c>
      <c r="F777" s="13">
        <v>2.49</v>
      </c>
      <c r="G777" s="35">
        <v>2.5</v>
      </c>
      <c r="H777" s="34">
        <f>'2018'!BH777</f>
        <v>124.5</v>
      </c>
      <c r="I777" s="13">
        <v>313</v>
      </c>
      <c r="J777" s="15">
        <f>I777-'2018'!BA777</f>
        <v>0</v>
      </c>
      <c r="K777" s="34">
        <f>J777*$F$8</f>
        <v>0</v>
      </c>
      <c r="L777" s="28"/>
      <c r="M777" s="2">
        <v>313</v>
      </c>
      <c r="N777" s="15">
        <f>M777-I777</f>
        <v>0</v>
      </c>
      <c r="O777" s="34">
        <f>N777*$F$8</f>
        <v>0</v>
      </c>
      <c r="Q777" s="13">
        <v>313</v>
      </c>
      <c r="R777" s="15">
        <f>Q777-M777</f>
        <v>0</v>
      </c>
      <c r="S777" s="34">
        <f>R777*$F$8</f>
        <v>0</v>
      </c>
      <c r="T777" s="28"/>
      <c r="U777" s="73">
        <v>313</v>
      </c>
      <c r="V777" s="15">
        <f>U777-Q777</f>
        <v>0</v>
      </c>
      <c r="W777" s="34">
        <f>V777*$F$8</f>
        <v>0</v>
      </c>
      <c r="X777" s="39">
        <v>124.5</v>
      </c>
      <c r="Y777" s="13">
        <v>366</v>
      </c>
      <c r="Z777" s="15">
        <f>Y777-U777</f>
        <v>53</v>
      </c>
      <c r="AA777" s="34">
        <f>Z777*$F$8</f>
        <v>131.97</v>
      </c>
      <c r="AB777" s="28"/>
      <c r="AC777" s="15">
        <v>392</v>
      </c>
      <c r="AD777" s="15">
        <f t="shared" ref="AD777:AD778" si="2461">AC777-Y777</f>
        <v>26</v>
      </c>
      <c r="AE777" s="34">
        <f>AD777*$G$8</f>
        <v>65</v>
      </c>
      <c r="AF777" s="1">
        <v>196.97</v>
      </c>
      <c r="AG777" s="13">
        <v>409</v>
      </c>
      <c r="AH777" s="15">
        <f t="shared" ref="AH777:AH778" si="2462">AG777-AC777</f>
        <v>17</v>
      </c>
      <c r="AI777" s="34">
        <f>AH777*$G$8</f>
        <v>42.5</v>
      </c>
      <c r="AJ777" s="32"/>
      <c r="AK777" s="13">
        <v>419</v>
      </c>
      <c r="AL777" s="15">
        <f t="shared" ref="AL777:AL778" si="2463">AK777-AG777</f>
        <v>10</v>
      </c>
      <c r="AM777" s="34">
        <f>AL777*$G$8</f>
        <v>25</v>
      </c>
      <c r="AN777" s="28"/>
      <c r="AO777" s="13">
        <v>424</v>
      </c>
      <c r="AP777" s="15">
        <f t="shared" ref="AP777:AP778" si="2464">AO777-AK777</f>
        <v>5</v>
      </c>
      <c r="AQ777" s="34">
        <f>AP777*$G$8</f>
        <v>12.5</v>
      </c>
      <c r="AR777" s="28"/>
      <c r="AS777" s="15">
        <v>425</v>
      </c>
      <c r="AT777" s="15">
        <f t="shared" ref="AT777:AT778" si="2465">AS777-AO777</f>
        <v>1</v>
      </c>
      <c r="AU777" s="34">
        <f>AT777*$G$8</f>
        <v>2.5</v>
      </c>
      <c r="AV777" s="15"/>
      <c r="AW777" s="13">
        <v>425</v>
      </c>
      <c r="AX777" s="15">
        <f>AW777-AS777</f>
        <v>0</v>
      </c>
      <c r="AY777" s="34">
        <f>AX777*$G$8</f>
        <v>0</v>
      </c>
      <c r="AZ777" s="28"/>
      <c r="BA777" s="13">
        <v>425</v>
      </c>
      <c r="BB777" s="15">
        <f>BA777-AW777</f>
        <v>0</v>
      </c>
      <c r="BC777" s="34">
        <f>BB777*$G$8</f>
        <v>0</v>
      </c>
      <c r="BD777" s="15"/>
      <c r="BE777" s="40">
        <f t="shared" ref="BE777:BG777" si="2466">J777+N777+R777+V777+Z777+AD777+AH777+AL777+AP777+AT777+AX777+BB777</f>
        <v>112</v>
      </c>
      <c r="BF777" s="41">
        <f t="shared" si="2466"/>
        <v>279.47</v>
      </c>
      <c r="BG777" s="34">
        <f t="shared" si="2466"/>
        <v>321.47</v>
      </c>
      <c r="BH777" s="35">
        <f t="shared" si="2460"/>
        <v>82.5</v>
      </c>
    </row>
    <row r="778" ht="15.75" customHeight="1" spans="1:60" x14ac:dyDescent="0.25">
      <c r="A778" s="29">
        <v>100</v>
      </c>
      <c r="B778" s="14"/>
      <c r="C778" s="2" t="s">
        <v>153</v>
      </c>
      <c r="D778" s="14" t="s">
        <v>47</v>
      </c>
      <c r="E778" s="2" t="s">
        <v>48</v>
      </c>
      <c r="F778" s="13">
        <v>17.98</v>
      </c>
      <c r="G778" s="28">
        <v>18.56</v>
      </c>
      <c r="H778" s="34">
        <f>'2018'!BH778</f>
        <v>51.48</v>
      </c>
      <c r="I778" s="13">
        <v>70</v>
      </c>
      <c r="J778" s="15"/>
      <c r="K778" s="15"/>
      <c r="L778" s="28"/>
      <c r="Q778" s="13"/>
      <c r="R778" s="15"/>
      <c r="S778" s="15"/>
      <c r="T778" s="28"/>
      <c r="X778" s="1">
        <v>51.48</v>
      </c>
      <c r="Y778" s="95">
        <v>70</v>
      </c>
      <c r="Z778" s="15">
        <f>Y778-'2018'!AO778</f>
        <v>0</v>
      </c>
      <c r="AA778" s="34">
        <f>Z778*$F$10</f>
        <v>0</v>
      </c>
      <c r="AB778" s="28"/>
      <c r="AC778" s="15">
        <v>70</v>
      </c>
      <c r="AD778" s="15">
        <f t="shared" si="2461"/>
        <v>0</v>
      </c>
      <c r="AE778" s="34">
        <f>AD778*$F$10</f>
        <v>0</v>
      </c>
      <c r="AG778" s="13">
        <v>70</v>
      </c>
      <c r="AH778" s="15">
        <f t="shared" si="2462"/>
        <v>0</v>
      </c>
      <c r="AI778" s="45">
        <f>AH778*$G$10</f>
        <v>0</v>
      </c>
      <c r="AJ778" s="32"/>
      <c r="AK778" s="15">
        <v>70</v>
      </c>
      <c r="AL778" s="15">
        <f t="shared" si="2463"/>
        <v>0</v>
      </c>
      <c r="AM778" s="45">
        <f>AL778*$G$10</f>
        <v>0</v>
      </c>
      <c r="AN778" s="28"/>
      <c r="AO778" s="81">
        <v>118</v>
      </c>
      <c r="AP778" s="15">
        <f t="shared" si="2464"/>
        <v>48</v>
      </c>
      <c r="AQ778" s="45">
        <f>AP778*$G$10</f>
        <v>890.88</v>
      </c>
      <c r="AR778" s="28"/>
      <c r="AS778" s="81">
        <v>118</v>
      </c>
      <c r="AT778" s="15">
        <f t="shared" si="2465"/>
        <v>0</v>
      </c>
      <c r="AU778" s="45">
        <f>AT778*$G$10</f>
        <v>0</v>
      </c>
      <c r="AV778" s="15"/>
      <c r="AW778" s="95">
        <v>118</v>
      </c>
      <c r="AX778" s="15"/>
      <c r="AY778" s="15"/>
      <c r="AZ778" s="28"/>
      <c r="BA778" s="95">
        <v>118</v>
      </c>
      <c r="BB778" s="15"/>
      <c r="BC778" s="15"/>
      <c r="BD778" s="15"/>
      <c r="BE778" s="40">
        <f t="shared" ref="BE778:BG778" si="2467">J778+N778+R778+V778+Z778+AD778+AH778+AL778+AP778+AT778+AX778+BB778</f>
        <v>48</v>
      </c>
      <c r="BF778" s="41">
        <f t="shared" si="2467"/>
        <v>890.88</v>
      </c>
      <c r="BG778" s="34">
        <f t="shared" si="2467"/>
        <v>51.48</v>
      </c>
      <c r="BH778" s="35">
        <f t="shared" si="2460"/>
        <v>890.88</v>
      </c>
    </row>
    <row r="779" ht="14.25" customHeight="1" spans="1:60" x14ac:dyDescent="0.25">
      <c r="A779" s="29">
        <v>100</v>
      </c>
      <c r="B779" s="14"/>
      <c r="C779" s="2" t="s">
        <v>80</v>
      </c>
      <c r="D779" s="14" t="s">
        <v>47</v>
      </c>
      <c r="E779" s="2" t="s">
        <v>49</v>
      </c>
      <c r="F779" s="41">
        <v>500</v>
      </c>
      <c r="G779" s="28"/>
      <c r="H779" s="34">
        <f>'2018'!BH779</f>
        <v>0</v>
      </c>
      <c r="I779" s="13"/>
      <c r="J779" s="15"/>
      <c r="K779" s="15"/>
      <c r="L779" s="28"/>
      <c r="Q779" s="13"/>
      <c r="R779" s="15"/>
      <c r="S779" s="15"/>
      <c r="T779" s="28"/>
      <c r="Y779" s="13"/>
      <c r="Z779" s="15"/>
      <c r="AA779" s="15"/>
      <c r="AB779" s="28"/>
      <c r="AG779" s="13"/>
      <c r="AH779" s="15"/>
      <c r="AI779" s="15"/>
      <c r="AJ779" s="28"/>
      <c r="AK779" s="13"/>
      <c r="AL779" s="15"/>
      <c r="AM779" s="34"/>
      <c r="AN779" s="28"/>
      <c r="AO779" s="13"/>
      <c r="AP779" s="15"/>
      <c r="AQ779" s="34"/>
      <c r="AR779" s="28"/>
      <c r="AS779" s="15"/>
      <c r="AT779" s="15"/>
      <c r="AU779" s="15"/>
      <c r="AV779" s="15"/>
      <c r="AW779" s="13"/>
      <c r="AX779" s="15"/>
      <c r="AY779" s="15"/>
      <c r="AZ779" s="28"/>
      <c r="BA779" s="15"/>
      <c r="BB779" s="15"/>
      <c r="BC779" s="15"/>
      <c r="BD779" s="15"/>
      <c r="BE779" s="14"/>
      <c r="BF779" s="41">
        <f t="shared" ref="BF779:BG779" si="2468">K779+O779+S779+W779+AA779+AE779+AI779+AM779+AQ779+AU779+AY779+BC779</f>
        <v>0</v>
      </c>
      <c r="BG779" s="34">
        <f t="shared" si="2468"/>
        <v>0</v>
      </c>
      <c r="BH779" s="35">
        <f t="shared" si="2460"/>
        <v>0</v>
      </c>
    </row>
    <row r="780" ht="15.75" customHeight="1" spans="1:60" x14ac:dyDescent="0.25">
      <c r="A780" s="29">
        <v>100</v>
      </c>
      <c r="B780" s="14"/>
      <c r="C780" s="2" t="s">
        <v>451</v>
      </c>
      <c r="D780" s="14" t="s">
        <v>50</v>
      </c>
      <c r="E780" s="2" t="s">
        <v>49</v>
      </c>
      <c r="F780" s="41">
        <v>1200</v>
      </c>
      <c r="G780" s="28"/>
      <c r="H780" s="34">
        <f>'2018'!BH780</f>
        <v>3751.0736</v>
      </c>
      <c r="I780" s="13"/>
      <c r="J780" s="15"/>
      <c r="K780" s="15"/>
      <c r="L780" s="28"/>
      <c r="Q780" s="13"/>
      <c r="R780" s="15"/>
      <c r="S780" s="15"/>
      <c r="T780" s="28"/>
      <c r="X780" s="39">
        <f>(2300+400)+274.02</f>
        <v>2974.02</v>
      </c>
      <c r="Y780" s="13"/>
      <c r="Z780" s="15"/>
      <c r="AA780" s="15"/>
      <c r="AB780" s="28"/>
      <c r="AE780" s="34">
        <f>B777*$F$12</f>
        <v>5364</v>
      </c>
      <c r="AF780" s="91">
        <v>303.03</v>
      </c>
      <c r="AG780" s="13"/>
      <c r="AH780" s="15"/>
      <c r="AI780" s="15"/>
      <c r="AJ780" s="38"/>
      <c r="AK780" s="13"/>
      <c r="AL780" s="15"/>
      <c r="AM780" s="15"/>
      <c r="AN780" s="28"/>
      <c r="AO780" s="13"/>
      <c r="AP780" s="15"/>
      <c r="AQ780" s="15"/>
      <c r="AR780" s="38">
        <v>1000</v>
      </c>
      <c r="AS780" s="15"/>
      <c r="AT780" s="15"/>
      <c r="AU780" s="15"/>
      <c r="AV780" s="39">
        <v>2000</v>
      </c>
      <c r="AW780" s="13"/>
      <c r="AX780" s="15"/>
      <c r="AY780" s="15"/>
      <c r="AZ780" s="28"/>
      <c r="BA780" s="15"/>
      <c r="BB780" s="15"/>
      <c r="BC780" s="15"/>
      <c r="BD780" s="15"/>
      <c r="BE780" s="14"/>
      <c r="BF780" s="41">
        <f t="shared" ref="BF780:BG780" si="2469">K780+O780+S780+W780+AA780+AE780+AI780+AM780+AQ780+AU780+AY780+BC780</f>
        <v>5364</v>
      </c>
      <c r="BG780" s="34">
        <f t="shared" si="2469"/>
        <v>6277.05</v>
      </c>
      <c r="BH780" s="35">
        <f t="shared" si="2460"/>
        <v>2838.0236</v>
      </c>
    </row>
    <row r="781" ht="14.25" customHeight="1" spans="1:60" x14ac:dyDescent="0.25">
      <c r="A781" s="29">
        <v>100</v>
      </c>
      <c r="B781" s="14"/>
      <c r="D781" s="14" t="s">
        <v>51</v>
      </c>
      <c r="E781" s="2" t="s">
        <v>49</v>
      </c>
      <c r="F781" s="41">
        <v>1000</v>
      </c>
      <c r="G781" s="28"/>
      <c r="H781" s="34">
        <f>'2018'!BH781</f>
        <v>0</v>
      </c>
      <c r="I781" s="13"/>
      <c r="J781" s="15"/>
      <c r="K781" s="15"/>
      <c r="L781" s="28"/>
      <c r="Q781" s="13"/>
      <c r="R781" s="15"/>
      <c r="S781" s="15"/>
      <c r="T781" s="28"/>
      <c r="Y781" s="13"/>
      <c r="Z781" s="15"/>
      <c r="AA781" s="15"/>
      <c r="AB781" s="28"/>
      <c r="AE781" s="34">
        <f>$F$21</f>
        <v>1000</v>
      </c>
      <c r="AG781" s="13"/>
      <c r="AH781" s="15"/>
      <c r="AI781" s="15"/>
      <c r="AJ781" s="38"/>
      <c r="AK781" s="13"/>
      <c r="AL781" s="15"/>
      <c r="AM781" s="15"/>
      <c r="AN781" s="28"/>
      <c r="AO781" s="13"/>
      <c r="AP781" s="15"/>
      <c r="AQ781" s="15"/>
      <c r="AR781" s="28"/>
      <c r="AS781" s="15"/>
      <c r="AT781" s="15"/>
      <c r="AU781" s="15"/>
      <c r="AV781" s="15"/>
      <c r="AW781" s="13"/>
      <c r="AX781" s="15"/>
      <c r="AY781" s="15"/>
      <c r="AZ781" s="28"/>
      <c r="BA781" s="15"/>
      <c r="BB781" s="15"/>
      <c r="BC781" s="15"/>
      <c r="BD781" s="15"/>
      <c r="BE781" s="14"/>
      <c r="BF781" s="41">
        <f t="shared" ref="BF781:BG781" si="2470">K781+O781+S781+W781+AA781+AE781+AI781+AM781+AQ781+AU781+AY781+BC781</f>
        <v>1000</v>
      </c>
      <c r="BG781" s="34">
        <f t="shared" si="2470"/>
        <v>0</v>
      </c>
      <c r="BH781" s="35">
        <f t="shared" si="2460"/>
        <v>1000</v>
      </c>
    </row>
    <row r="782" ht="15.75" customHeight="1" spans="1:60" x14ac:dyDescent="0.25">
      <c r="A782" s="29">
        <v>100</v>
      </c>
      <c r="B782" s="14"/>
      <c r="D782" s="14" t="s">
        <v>52</v>
      </c>
      <c r="E782" s="2" t="s">
        <v>39</v>
      </c>
      <c r="F782" s="41">
        <v>500</v>
      </c>
      <c r="G782" s="28"/>
      <c r="H782" s="34">
        <f>'2018'!BH782</f>
        <v>350</v>
      </c>
      <c r="I782" s="13"/>
      <c r="J782" s="15"/>
      <c r="K782" s="15"/>
      <c r="L782" s="28"/>
      <c r="Q782" s="13"/>
      <c r="R782" s="15"/>
      <c r="S782" s="15"/>
      <c r="T782" s="28"/>
      <c r="X782" s="39">
        <v>350</v>
      </c>
      <c r="Y782" s="13"/>
      <c r="Z782" s="15"/>
      <c r="AA782" s="34">
        <f>$F$14</f>
        <v>500</v>
      </c>
      <c r="AB782" s="28"/>
      <c r="AG782" s="13"/>
      <c r="AH782" s="15"/>
      <c r="AI782" s="15"/>
      <c r="AJ782" s="28"/>
      <c r="AK782" s="13"/>
      <c r="AL782" s="15"/>
      <c r="AM782" s="15"/>
      <c r="AN782" s="28"/>
      <c r="AO782" s="13"/>
      <c r="AP782" s="15"/>
      <c r="AQ782" s="15"/>
      <c r="AR782" s="28"/>
      <c r="AS782" s="15"/>
      <c r="AT782" s="15"/>
      <c r="AU782" s="15"/>
      <c r="AV782" s="15"/>
      <c r="AW782" s="13"/>
      <c r="AX782" s="15"/>
      <c r="AY782" s="15"/>
      <c r="AZ782" s="28"/>
      <c r="BA782" s="15"/>
      <c r="BB782" s="15"/>
      <c r="BC782" s="15"/>
      <c r="BD782" s="15"/>
      <c r="BE782" s="14"/>
      <c r="BF782" s="41">
        <f t="shared" ref="BF782:BG782" si="2471">K782+O782+S782+W782+AA782+AE782+AI782+AM782+AQ782+AU782+AY782+BC782</f>
        <v>500</v>
      </c>
      <c r="BG782" s="34">
        <f t="shared" si="2471"/>
        <v>350</v>
      </c>
      <c r="BH782" s="35">
        <f t="shared" si="2460"/>
        <v>500</v>
      </c>
    </row>
    <row r="783" ht="15.75" customHeight="1" spans="1:62" x14ac:dyDescent="0.25">
      <c r="A783" s="50">
        <v>100</v>
      </c>
      <c r="B783" s="21"/>
      <c r="C783" s="22" t="s">
        <v>53</v>
      </c>
      <c r="D783" s="21"/>
      <c r="E783" s="22"/>
      <c r="F783" s="20"/>
      <c r="G783" s="23"/>
      <c r="H783" s="51">
        <f>SUM(H776:H782)</f>
        <v>4277.0536</v>
      </c>
      <c r="I783" s="52"/>
      <c r="J783" s="53"/>
      <c r="K783" s="51">
        <f t="shared" ref="K783:L783" si="2472">SUM(K776:K782)</f>
        <v>0</v>
      </c>
      <c r="L783" s="68">
        <f t="shared" si="2472"/>
        <v>0</v>
      </c>
      <c r="M783" s="53"/>
      <c r="N783" s="53"/>
      <c r="O783" s="51">
        <f t="shared" ref="O783:P783" si="2473">SUM(O777:O782)</f>
        <v>0</v>
      </c>
      <c r="P783" s="51">
        <f t="shared" si="2473"/>
        <v>0</v>
      </c>
      <c r="Q783" s="52"/>
      <c r="R783" s="53"/>
      <c r="S783" s="51">
        <f t="shared" ref="S783:T783" si="2474">SUM(S777:S782)</f>
        <v>0</v>
      </c>
      <c r="T783" s="68">
        <f t="shared" si="2474"/>
        <v>0</v>
      </c>
      <c r="U783" s="53"/>
      <c r="V783" s="53"/>
      <c r="W783" s="51">
        <f t="shared" ref="W783:X783" si="2475">SUM(W777:W782)</f>
        <v>0</v>
      </c>
      <c r="X783" s="51">
        <f t="shared" si="2475"/>
        <v>3500</v>
      </c>
      <c r="Y783" s="52"/>
      <c r="Z783" s="53"/>
      <c r="AA783" s="51">
        <f t="shared" ref="AA783:AB783" si="2476">SUM(AA777:AA782)</f>
        <v>631.97</v>
      </c>
      <c r="AB783" s="68">
        <f t="shared" si="2476"/>
        <v>0</v>
      </c>
      <c r="AC783" s="53"/>
      <c r="AD783" s="53"/>
      <c r="AE783" s="51">
        <f t="shared" ref="AE783:AF783" si="2477">SUM(AE777:AE782)</f>
        <v>6429</v>
      </c>
      <c r="AF783" s="51">
        <f t="shared" si="2477"/>
        <v>500</v>
      </c>
      <c r="AG783" s="52"/>
      <c r="AH783" s="53"/>
      <c r="AI783" s="51">
        <f t="shared" ref="AI783:AJ783" si="2478">SUM(AI777:AI782)</f>
        <v>42.5</v>
      </c>
      <c r="AJ783" s="68">
        <f t="shared" si="2478"/>
        <v>0</v>
      </c>
      <c r="AK783" s="52"/>
      <c r="AL783" s="53"/>
      <c r="AM783" s="51">
        <f t="shared" ref="AM783:AN783" si="2479">SUM(AM777:AM782)</f>
        <v>25</v>
      </c>
      <c r="AN783" s="68">
        <f t="shared" si="2479"/>
        <v>0</v>
      </c>
      <c r="AO783" s="52"/>
      <c r="AP783" s="53"/>
      <c r="AQ783" s="51">
        <f t="shared" ref="AQ783:AR783" si="2480">SUM(AQ776:AQ782)</f>
        <v>923.39</v>
      </c>
      <c r="AR783" s="68">
        <f t="shared" si="2480"/>
        <v>1000</v>
      </c>
      <c r="AS783" s="53"/>
      <c r="AT783" s="53"/>
      <c r="AU783" s="51">
        <f t="shared" ref="AU783:AV783" si="2481">SUM(AU776:AU782)</f>
        <v>16.4</v>
      </c>
      <c r="AV783" s="68">
        <f t="shared" si="2481"/>
        <v>2000</v>
      </c>
      <c r="AW783" s="52"/>
      <c r="AX783" s="53"/>
      <c r="AY783" s="51">
        <f t="shared" ref="AY783:AZ783" si="2482">SUM(AY776:AY782)</f>
        <v>11.51</v>
      </c>
      <c r="AZ783" s="68">
        <f t="shared" si="2482"/>
        <v>0</v>
      </c>
      <c r="BA783" s="53"/>
      <c r="BB783" s="53"/>
      <c r="BC783" s="51">
        <f t="shared" ref="BC783:BD783" si="2483">SUM(BC776:BC782)</f>
        <v>11.9</v>
      </c>
      <c r="BD783" s="68">
        <f t="shared" si="2483"/>
        <v>0</v>
      </c>
      <c r="BE783" s="69"/>
      <c r="BF783" s="70">
        <f t="shared" ref="BF783:BH783" si="2484">SUM(BF776:BF782)</f>
        <v>8091.67</v>
      </c>
      <c r="BG783" s="71">
        <f t="shared" si="2484"/>
        <v>7000</v>
      </c>
      <c r="BH783" s="72">
        <f t="shared" si="2484"/>
        <v>5368.7236</v>
      </c>
      <c r="BI783" s="34">
        <f>H783+BF783-BG783</f>
        <v>5368.7236</v>
      </c>
      <c r="BJ783" s="34">
        <f>BH783-BI783</f>
        <v>0</v>
      </c>
    </row>
    <row r="784" ht="14.25" customHeight="1" spans="1:60" x14ac:dyDescent="0.25">
      <c r="A784" s="29">
        <v>102</v>
      </c>
      <c r="B784" s="14"/>
      <c r="D784" s="14" t="s">
        <v>379</v>
      </c>
      <c r="F784" s="13"/>
      <c r="G784" s="28"/>
      <c r="H784" s="34">
        <f>'2018'!BH784</f>
      </c>
      <c r="I784" s="13"/>
      <c r="J784" s="15"/>
      <c r="K784" s="15"/>
      <c r="L784" s="28"/>
      <c r="Q784" s="13"/>
      <c r="R784" s="15"/>
      <c r="S784" s="15"/>
      <c r="T784" s="28"/>
      <c r="Y784" s="13"/>
      <c r="Z784" s="15"/>
      <c r="AA784" s="15"/>
      <c r="AB784" s="28"/>
      <c r="AG784" s="13"/>
      <c r="AH784" s="15"/>
      <c r="AI784" s="15"/>
      <c r="AJ784" s="28"/>
      <c r="AK784" s="13"/>
      <c r="AL784" s="15"/>
      <c r="AM784" s="15"/>
      <c r="AN784" s="28"/>
      <c r="AO784" s="13"/>
      <c r="AP784" s="15"/>
      <c r="AQ784" s="15">
        <v>6.34</v>
      </c>
      <c r="AR784" s="28"/>
      <c r="AW784" s="13"/>
      <c r="AX784" s="15"/>
      <c r="AY784" s="15"/>
      <c r="AZ784" s="28"/>
      <c r="BE784" s="14"/>
      <c r="BF784" s="41">
        <f t="shared" ref="BF784:BG784" si="2485">K784+O784+S784+W784+AA784+AE784+AI784+AM784+AQ784+AU784+AY784+BC784</f>
        <v>6.34</v>
      </c>
      <c r="BG784" s="34">
        <f t="shared" si="2485"/>
        <v>0</v>
      </c>
      <c r="BH784" s="35">
        <f t="shared" ref="BH784:BH790" si="2486">H784+BF784-BG784</f>
        <v>6.34</v>
      </c>
    </row>
    <row r="785" ht="14.25" customHeight="1" spans="1:60" x14ac:dyDescent="0.25">
      <c r="A785" s="147">
        <v>102</v>
      </c>
      <c r="B785" s="14">
        <v>4.45</v>
      </c>
      <c r="C785" s="2" t="s">
        <v>331</v>
      </c>
      <c r="D785" s="14" t="s">
        <v>44</v>
      </c>
      <c r="E785" s="2" t="s">
        <v>45</v>
      </c>
      <c r="F785" s="13">
        <v>2.49</v>
      </c>
      <c r="G785" s="35">
        <v>2.5</v>
      </c>
      <c r="H785" s="136">
        <f>'2018'!BH785+385.95</f>
        <v>-61.76</v>
      </c>
      <c r="I785" s="13">
        <v>1187</v>
      </c>
      <c r="J785" s="15">
        <f>I785-'2018'!BA785</f>
        <v>30</v>
      </c>
      <c r="K785" s="34">
        <f>J785*$F$8</f>
        <v>74.7</v>
      </c>
      <c r="L785" s="28"/>
      <c r="M785" s="2">
        <v>1193</v>
      </c>
      <c r="N785" s="15">
        <f>M785-I785</f>
        <v>6</v>
      </c>
      <c r="O785" s="34">
        <f>N785*$F$8</f>
        <v>14.94</v>
      </c>
      <c r="Q785" s="13">
        <v>1193</v>
      </c>
      <c r="R785" s="15">
        <f>Q785-M785</f>
        <v>0</v>
      </c>
      <c r="S785" s="34">
        <f>R785*$F$8</f>
        <v>0</v>
      </c>
      <c r="T785" s="28"/>
      <c r="U785" s="15">
        <v>1203</v>
      </c>
      <c r="V785" s="15">
        <f>U785-Q785</f>
        <v>10</v>
      </c>
      <c r="W785" s="34">
        <f>V785*$F$8</f>
        <v>24.9</v>
      </c>
      <c r="X785" s="15"/>
      <c r="Y785" s="13">
        <v>1244</v>
      </c>
      <c r="Z785" s="15">
        <f>Y785-U785</f>
        <v>41</v>
      </c>
      <c r="AA785" s="34">
        <f>Z785*$F$8</f>
        <v>102.09</v>
      </c>
      <c r="AB785" s="28"/>
      <c r="AC785" s="15">
        <v>1306</v>
      </c>
      <c r="AD785" s="15">
        <f t="shared" ref="AD785:AD786" si="2487">AC785-Y785</f>
        <v>62</v>
      </c>
      <c r="AE785" s="34">
        <f>AD785*$G$8</f>
        <v>155</v>
      </c>
      <c r="AG785" s="13">
        <v>1382</v>
      </c>
      <c r="AH785" s="15">
        <f t="shared" ref="AH785:AH786" si="2488">AG785-AC785</f>
        <v>76</v>
      </c>
      <c r="AI785" s="34">
        <f>AH785*$G$8</f>
        <v>190</v>
      </c>
      <c r="AJ785" s="28"/>
      <c r="AK785" s="13">
        <v>1445</v>
      </c>
      <c r="AL785" s="15">
        <f t="shared" ref="AL785:AL786" si="2489">AK785-AG785</f>
        <v>63</v>
      </c>
      <c r="AM785" s="34">
        <f>AL785*$G$8</f>
        <v>157.5</v>
      </c>
      <c r="AN785" s="28"/>
      <c r="AO785" s="13">
        <v>1532</v>
      </c>
      <c r="AP785" s="15">
        <f t="shared" ref="AP785:AP786" si="2490">AO785-AK785</f>
        <v>87</v>
      </c>
      <c r="AQ785" s="34">
        <f>AP785*$G$8</f>
        <v>217.5</v>
      </c>
      <c r="AR785" s="32">
        <v>874.87</v>
      </c>
      <c r="AS785" s="15">
        <v>1591</v>
      </c>
      <c r="AT785" s="15">
        <f t="shared" ref="AT785:AT786" si="2491">AS785-AO785</f>
        <v>59</v>
      </c>
      <c r="AU785" s="34">
        <f>AT785*$G$8</f>
        <v>147.5</v>
      </c>
      <c r="AV785" s="15"/>
      <c r="AW785" s="13">
        <v>1643</v>
      </c>
      <c r="AX785" s="15">
        <f>AW785-AS785</f>
        <v>52</v>
      </c>
      <c r="AY785" s="34">
        <f>AX785*$G$8</f>
        <v>130</v>
      </c>
      <c r="AZ785" s="28"/>
      <c r="BA785" s="15">
        <v>1650</v>
      </c>
      <c r="BB785" s="15">
        <f>BA785-AW785</f>
        <v>7</v>
      </c>
      <c r="BC785" s="34">
        <f>BB785*$G$8</f>
        <v>17.5</v>
      </c>
      <c r="BD785" s="39">
        <v>300</v>
      </c>
      <c r="BE785" s="40">
        <f t="shared" ref="BE785:BG785" si="2492">J785+N785+R785+V785+Z785+AD785+AH785+AL785+AP785+AT785+AX785+BB785</f>
        <v>493</v>
      </c>
      <c r="BF785" s="41">
        <f t="shared" si="2492"/>
        <v>1231.63</v>
      </c>
      <c r="BG785" s="34">
        <f t="shared" si="2492"/>
        <v>1174.87</v>
      </c>
      <c r="BH785" s="35">
        <f t="shared" si="2486"/>
        <v>-5</v>
      </c>
    </row>
    <row r="786" ht="14.25" customHeight="1" spans="1:60" x14ac:dyDescent="0.25">
      <c r="A786" s="29">
        <v>102</v>
      </c>
      <c r="B786" s="14"/>
      <c r="C786" s="2" t="s">
        <v>313</v>
      </c>
      <c r="D786" s="14" t="s">
        <v>47</v>
      </c>
      <c r="E786" s="2" t="s">
        <v>48</v>
      </c>
      <c r="F786" s="13">
        <v>17.98</v>
      </c>
      <c r="G786" s="28">
        <v>18.56</v>
      </c>
      <c r="H786" s="34">
        <f>'2018'!BH786</f>
        <v>34.32</v>
      </c>
      <c r="I786" s="13">
        <v>41</v>
      </c>
      <c r="J786" s="15"/>
      <c r="K786" s="15"/>
      <c r="L786" s="28"/>
      <c r="Q786" s="13"/>
      <c r="R786" s="15"/>
      <c r="S786" s="15"/>
      <c r="T786" s="28"/>
      <c r="Y786" s="95">
        <v>41</v>
      </c>
      <c r="Z786" s="15">
        <f>Y786-'2018'!AO786</f>
        <v>0</v>
      </c>
      <c r="AA786" s="34">
        <f>Z786*$F$10</f>
        <v>0</v>
      </c>
      <c r="AB786" s="28"/>
      <c r="AC786" s="15">
        <v>41</v>
      </c>
      <c r="AD786" s="15">
        <f t="shared" si="2487"/>
        <v>0</v>
      </c>
      <c r="AE786" s="34">
        <f>AD786*$F$10</f>
        <v>0</v>
      </c>
      <c r="AG786" s="13">
        <v>41</v>
      </c>
      <c r="AH786" s="15">
        <f t="shared" si="2488"/>
        <v>0</v>
      </c>
      <c r="AI786" s="45">
        <f>AH786*$G$10</f>
        <v>0</v>
      </c>
      <c r="AJ786" s="28"/>
      <c r="AK786" s="15">
        <v>41</v>
      </c>
      <c r="AL786" s="15">
        <f t="shared" si="2489"/>
        <v>0</v>
      </c>
      <c r="AM786" s="45">
        <f>AL786*$G$10</f>
        <v>0</v>
      </c>
      <c r="AN786" s="28"/>
      <c r="AO786" s="73">
        <v>41</v>
      </c>
      <c r="AP786" s="15">
        <f t="shared" si="2490"/>
        <v>0</v>
      </c>
      <c r="AQ786" s="45">
        <f>AP786*$G$10</f>
        <v>0</v>
      </c>
      <c r="AR786" s="32">
        <f>34.32+250.81</f>
        <v>285.13</v>
      </c>
      <c r="AS786" s="73">
        <v>41</v>
      </c>
      <c r="AT786" s="15">
        <f t="shared" si="2491"/>
        <v>0</v>
      </c>
      <c r="AU786" s="45">
        <f>AT786*$G$10</f>
        <v>0</v>
      </c>
      <c r="AV786" s="15"/>
      <c r="AW786" s="75">
        <v>41</v>
      </c>
      <c r="AX786" s="15"/>
      <c r="AY786" s="15"/>
      <c r="AZ786" s="28"/>
      <c r="BA786" s="75">
        <v>41</v>
      </c>
      <c r="BB786" s="15"/>
      <c r="BC786" s="15"/>
      <c r="BD786" s="15"/>
      <c r="BE786" s="40">
        <f t="shared" ref="BE786:BG786" si="2493">J786+N786+R786+V786+Z786+AD786+AH786+AL786+AP786+AT786+AX786+BB786</f>
        <v>0</v>
      </c>
      <c r="BF786" s="41">
        <f t="shared" si="2493"/>
        <v>0</v>
      </c>
      <c r="BG786" s="34">
        <f t="shared" si="2493"/>
        <v>285.13</v>
      </c>
      <c r="BH786" s="35">
        <f t="shared" si="2486"/>
        <v>-250.81</v>
      </c>
    </row>
    <row r="787" ht="14.25" customHeight="1" spans="1:60" x14ac:dyDescent="0.25">
      <c r="A787" s="29">
        <v>102</v>
      </c>
      <c r="B787" s="14"/>
      <c r="C787" s="2" t="s">
        <v>332</v>
      </c>
      <c r="D787" s="14" t="s">
        <v>47</v>
      </c>
      <c r="E787" s="2" t="s">
        <v>49</v>
      </c>
      <c r="F787" s="41">
        <v>500</v>
      </c>
      <c r="G787" s="28"/>
      <c r="H787" s="34">
        <f>'2018'!BH787</f>
        <v>0</v>
      </c>
      <c r="I787" s="13"/>
      <c r="J787" s="15"/>
      <c r="K787" s="15"/>
      <c r="L787" s="28"/>
      <c r="Q787" s="13"/>
      <c r="R787" s="15"/>
      <c r="S787" s="15"/>
      <c r="T787" s="28"/>
      <c r="Y787" s="13"/>
      <c r="Z787" s="15"/>
      <c r="AA787" s="15"/>
      <c r="AB787" s="28"/>
      <c r="AG787" s="13"/>
      <c r="AH787" s="15"/>
      <c r="AI787" s="15"/>
      <c r="AJ787" s="28"/>
      <c r="AK787" s="13"/>
      <c r="AL787" s="15"/>
      <c r="AM787" s="34"/>
      <c r="AN787" s="28"/>
      <c r="AO787" s="13"/>
      <c r="AP787" s="15"/>
      <c r="AQ787" s="34"/>
      <c r="AR787" s="28"/>
      <c r="AS787" s="15"/>
      <c r="AT787" s="15"/>
      <c r="AU787" s="15"/>
      <c r="AV787" s="15"/>
      <c r="AW787" s="13"/>
      <c r="AX787" s="15"/>
      <c r="AY787" s="15"/>
      <c r="AZ787" s="28"/>
      <c r="BA787" s="15"/>
      <c r="BB787" s="15"/>
      <c r="BC787" s="15"/>
      <c r="BD787" s="15"/>
      <c r="BE787" s="14"/>
      <c r="BF787" s="41">
        <f t="shared" ref="BF787:BG787" si="2494">K787+O787+S787+W787+AA787+AE787+AI787+AM787+AQ787+AU787+AY787+BC787</f>
        <v>0</v>
      </c>
      <c r="BG787" s="34">
        <f t="shared" si="2494"/>
        <v>0</v>
      </c>
      <c r="BH787" s="35">
        <f t="shared" si="2486"/>
        <v>0</v>
      </c>
    </row>
    <row r="788" ht="14.25" customHeight="1" spans="1:60" x14ac:dyDescent="0.25">
      <c r="A788" s="29">
        <v>102</v>
      </c>
      <c r="B788" s="14"/>
      <c r="C788" s="15" t="s">
        <v>452</v>
      </c>
      <c r="D788" s="14" t="s">
        <v>50</v>
      </c>
      <c r="E788" s="2" t="s">
        <v>49</v>
      </c>
      <c r="F788" s="41">
        <v>1200</v>
      </c>
      <c r="G788" s="28"/>
      <c r="H788" s="34">
        <f>'2018'!BH788</f>
        <v>-0.003999999999</v>
      </c>
      <c r="I788" s="13"/>
      <c r="J788" s="15"/>
      <c r="K788" s="15"/>
      <c r="L788" s="28"/>
      <c r="Q788" s="13"/>
      <c r="R788" s="15"/>
      <c r="S788" s="15"/>
      <c r="T788" s="28"/>
      <c r="Y788" s="13"/>
      <c r="Z788" s="15"/>
      <c r="AA788" s="15"/>
      <c r="AB788" s="28"/>
      <c r="AE788" s="34">
        <f>B785*$F$12</f>
        <v>5340</v>
      </c>
      <c r="AG788" s="13"/>
      <c r="AH788" s="15"/>
      <c r="AI788" s="15"/>
      <c r="AJ788" s="35"/>
      <c r="AK788" s="13"/>
      <c r="AL788" s="15"/>
      <c r="AM788" s="15"/>
      <c r="AN788" s="28"/>
      <c r="AO788" s="13"/>
      <c r="AP788" s="15"/>
      <c r="AQ788" s="15"/>
      <c r="AR788" s="38">
        <v>5340</v>
      </c>
      <c r="AS788" s="15"/>
      <c r="AT788" s="15"/>
      <c r="AU788" s="15"/>
      <c r="AV788" s="15"/>
      <c r="AW788" s="13"/>
      <c r="AX788" s="15"/>
      <c r="AY788" s="15"/>
      <c r="AZ788" s="28"/>
      <c r="BA788" s="15"/>
      <c r="BB788" s="15"/>
      <c r="BC788" s="15"/>
      <c r="BD788" s="15"/>
      <c r="BE788" s="14"/>
      <c r="BF788" s="41">
        <f t="shared" ref="BF788:BG788" si="2495">K788+O788+S788+W788+AA788+AE788+AI788+AM788+AQ788+AU788+AY788+BC788</f>
        <v>5340</v>
      </c>
      <c r="BG788" s="34">
        <f t="shared" si="2495"/>
        <v>5340</v>
      </c>
      <c r="BH788" s="35">
        <f t="shared" si="2486"/>
        <v>-0.003999999999</v>
      </c>
    </row>
    <row r="789" ht="14.25" customHeight="1" spans="1:60" x14ac:dyDescent="0.25">
      <c r="A789" s="29">
        <v>102</v>
      </c>
      <c r="B789" s="14"/>
      <c r="D789" s="14" t="s">
        <v>51</v>
      </c>
      <c r="E789" s="2" t="s">
        <v>49</v>
      </c>
      <c r="F789" s="41">
        <v>1000</v>
      </c>
      <c r="G789" s="28"/>
      <c r="H789" s="34">
        <f>'2018'!BH789</f>
        <v>0</v>
      </c>
      <c r="I789" s="13"/>
      <c r="J789" s="15"/>
      <c r="K789" s="15"/>
      <c r="L789" s="28"/>
      <c r="Q789" s="13"/>
      <c r="R789" s="15"/>
      <c r="S789" s="15"/>
      <c r="T789" s="28"/>
      <c r="Y789" s="13"/>
      <c r="Z789" s="15"/>
      <c r="AA789" s="15"/>
      <c r="AB789" s="28"/>
      <c r="AE789" s="34">
        <f>$F$21</f>
        <v>1000</v>
      </c>
      <c r="AG789" s="13"/>
      <c r="AH789" s="15"/>
      <c r="AI789" s="15"/>
      <c r="AJ789" s="28"/>
      <c r="AK789" s="13"/>
      <c r="AL789" s="15"/>
      <c r="AM789" s="15"/>
      <c r="AN789" s="28"/>
      <c r="AO789" s="13"/>
      <c r="AP789" s="15"/>
      <c r="AQ789" s="15"/>
      <c r="AR789" s="38">
        <v>1000</v>
      </c>
      <c r="AS789" s="15"/>
      <c r="AT789" s="15"/>
      <c r="AU789" s="15"/>
      <c r="AV789" s="15"/>
      <c r="AW789" s="13"/>
      <c r="AX789" s="15"/>
      <c r="AY789" s="15"/>
      <c r="AZ789" s="28"/>
      <c r="BA789" s="15"/>
      <c r="BB789" s="15"/>
      <c r="BC789" s="15"/>
      <c r="BD789" s="15"/>
      <c r="BE789" s="14"/>
      <c r="BF789" s="41">
        <f t="shared" ref="BF789:BG789" si="2496">K789+O789+S789+W789+AA789+AE789+AI789+AM789+AQ789+AU789+AY789+BC789</f>
        <v>1000</v>
      </c>
      <c r="BG789" s="34">
        <f t="shared" si="2496"/>
        <v>1000</v>
      </c>
      <c r="BH789" s="35">
        <f t="shared" si="2486"/>
        <v>0</v>
      </c>
    </row>
    <row r="790" ht="14.25" customHeight="1" spans="1:60" x14ac:dyDescent="0.25">
      <c r="A790" s="29">
        <v>102</v>
      </c>
      <c r="B790" s="14"/>
      <c r="D790" s="14" t="s">
        <v>52</v>
      </c>
      <c r="E790" s="2" t="s">
        <v>39</v>
      </c>
      <c r="F790" s="41">
        <v>500</v>
      </c>
      <c r="G790" s="28"/>
      <c r="H790" s="84">
        <f>'2018'!BH790-500</f>
        <v>-500</v>
      </c>
      <c r="I790" s="13"/>
      <c r="J790" s="15"/>
      <c r="K790" s="15"/>
      <c r="L790" s="28"/>
      <c r="Q790" s="13"/>
      <c r="R790" s="15"/>
      <c r="S790" s="15"/>
      <c r="T790" s="28"/>
      <c r="Y790" s="13"/>
      <c r="Z790" s="15"/>
      <c r="AA790" s="34">
        <f>$F$14</f>
        <v>500</v>
      </c>
      <c r="AB790" s="28"/>
      <c r="AG790" s="13"/>
      <c r="AH790" s="15"/>
      <c r="AI790" s="15"/>
      <c r="AJ790" s="28"/>
      <c r="AK790" s="13"/>
      <c r="AL790" s="15"/>
      <c r="AM790" s="15"/>
      <c r="AN790" s="35"/>
      <c r="AO790" s="13"/>
      <c r="AP790" s="15"/>
      <c r="AQ790" s="15"/>
      <c r="AR790" s="28"/>
      <c r="AS790" s="15"/>
      <c r="AT790" s="15"/>
      <c r="AU790" s="15"/>
      <c r="AV790" s="15"/>
      <c r="AW790" s="13"/>
      <c r="AX790" s="15"/>
      <c r="AY790" s="15"/>
      <c r="AZ790" s="28"/>
      <c r="BA790" s="15"/>
      <c r="BB790" s="15"/>
      <c r="BC790" s="15"/>
      <c r="BD790" s="15"/>
      <c r="BE790" s="14"/>
      <c r="BF790" s="41">
        <f t="shared" ref="BF790:BG790" si="2497">K790+O790+S790+W790+AA790+AE790+AI790+AM790+AQ790+AU790+AY790+BC790</f>
        <v>500</v>
      </c>
      <c r="BG790" s="34">
        <f t="shared" si="2497"/>
        <v>0</v>
      </c>
      <c r="BH790" s="35">
        <f t="shared" si="2486"/>
        <v>0</v>
      </c>
    </row>
    <row r="791" ht="14.25" customHeight="1" spans="1:62" x14ac:dyDescent="0.25">
      <c r="A791" s="50">
        <v>102</v>
      </c>
      <c r="B791" s="21"/>
      <c r="C791" s="22" t="s">
        <v>53</v>
      </c>
      <c r="D791" s="21"/>
      <c r="E791" s="22"/>
      <c r="F791" s="20"/>
      <c r="G791" s="23"/>
      <c r="H791" s="51">
        <f>SUM(H784:H790)</f>
        <v>-527.444</v>
      </c>
      <c r="I791" s="52"/>
      <c r="J791" s="53"/>
      <c r="K791" s="51">
        <f t="shared" ref="K791:L791" si="2498">SUM(K784:K790)</f>
        <v>74.7</v>
      </c>
      <c r="L791" s="68">
        <f t="shared" si="2498"/>
        <v>0</v>
      </c>
      <c r="M791" s="53"/>
      <c r="N791" s="53"/>
      <c r="O791" s="51">
        <f t="shared" ref="O791:P791" si="2499">SUM(O785:O790)</f>
        <v>14.94</v>
      </c>
      <c r="P791" s="51">
        <f t="shared" si="2499"/>
        <v>0</v>
      </c>
      <c r="Q791" s="52"/>
      <c r="R791" s="53"/>
      <c r="S791" s="51">
        <f t="shared" ref="S791:T791" si="2500">SUM(S785:S790)</f>
        <v>0</v>
      </c>
      <c r="T791" s="68">
        <f t="shared" si="2500"/>
        <v>0</v>
      </c>
      <c r="U791" s="53"/>
      <c r="V791" s="53"/>
      <c r="W791" s="51">
        <f t="shared" ref="W791:X791" si="2501">SUM(W785:W790)</f>
        <v>24.9</v>
      </c>
      <c r="X791" s="51">
        <f t="shared" si="2501"/>
        <v>0</v>
      </c>
      <c r="Y791" s="52"/>
      <c r="Z791" s="53"/>
      <c r="AA791" s="51">
        <f t="shared" ref="AA791:AB791" si="2502">SUM(AA785:AA790)</f>
        <v>602.09</v>
      </c>
      <c r="AB791" s="68">
        <f t="shared" si="2502"/>
        <v>0</v>
      </c>
      <c r="AC791" s="53"/>
      <c r="AD791" s="53"/>
      <c r="AE791" s="51">
        <f t="shared" ref="AE791:AF791" si="2503">SUM(AE785:AE790)</f>
        <v>6495</v>
      </c>
      <c r="AF791" s="51">
        <f t="shared" si="2503"/>
        <v>0</v>
      </c>
      <c r="AG791" s="52"/>
      <c r="AH791" s="53"/>
      <c r="AI791" s="51">
        <f t="shared" ref="AI791:AJ791" si="2504">SUM(AI785:AI790)</f>
        <v>190</v>
      </c>
      <c r="AJ791" s="68">
        <f t="shared" si="2504"/>
        <v>0</v>
      </c>
      <c r="AK791" s="52"/>
      <c r="AL791" s="53"/>
      <c r="AM791" s="51">
        <f t="shared" ref="AM791:AN791" si="2505">SUM(AM785:AM790)</f>
        <v>157.5</v>
      </c>
      <c r="AN791" s="68">
        <f t="shared" si="2505"/>
        <v>0</v>
      </c>
      <c r="AO791" s="52"/>
      <c r="AP791" s="53"/>
      <c r="AQ791" s="51">
        <f t="shared" ref="AQ791:AR791" si="2506">SUM(AQ784:AQ790)</f>
        <v>223.84</v>
      </c>
      <c r="AR791" s="68">
        <f t="shared" si="2506"/>
        <v>7500</v>
      </c>
      <c r="AS791" s="53"/>
      <c r="AT791" s="53"/>
      <c r="AU791" s="51">
        <f t="shared" ref="AU791:AV791" si="2507">SUM(AU784:AU790)</f>
        <v>147.5</v>
      </c>
      <c r="AV791" s="68">
        <f t="shared" si="2507"/>
        <v>0</v>
      </c>
      <c r="AW791" s="52"/>
      <c r="AX791" s="53"/>
      <c r="AY791" s="51">
        <f t="shared" ref="AY791:AZ791" si="2508">SUM(AY784:AY790)</f>
        <v>130</v>
      </c>
      <c r="AZ791" s="68">
        <f t="shared" si="2508"/>
        <v>0</v>
      </c>
      <c r="BA791" s="53"/>
      <c r="BB791" s="53"/>
      <c r="BC791" s="51">
        <f t="shared" ref="BC791:BD791" si="2509">SUM(BC784:BC790)</f>
        <v>17.5</v>
      </c>
      <c r="BD791" s="68">
        <f t="shared" si="2509"/>
        <v>300</v>
      </c>
      <c r="BE791" s="69"/>
      <c r="BF791" s="70">
        <f t="shared" ref="BF791:BH791" si="2510">SUM(BF784:BF790)</f>
        <v>8077.97</v>
      </c>
      <c r="BG791" s="71">
        <f t="shared" si="2510"/>
        <v>7800</v>
      </c>
      <c r="BH791" s="72">
        <f t="shared" si="2510"/>
        <v>-249.474</v>
      </c>
      <c r="BI791" s="34">
        <f>H791+BF791-BG791</f>
        <v>-249.474</v>
      </c>
      <c r="BJ791" s="34">
        <f>BH791-BI791</f>
        <v>0</v>
      </c>
    </row>
    <row r="792" ht="14.25" customHeight="1" spans="1:60" x14ac:dyDescent="0.25">
      <c r="A792" s="29">
        <v>104</v>
      </c>
      <c r="B792" s="14"/>
      <c r="D792" s="14" t="s">
        <v>379</v>
      </c>
      <c r="F792" s="13"/>
      <c r="G792" s="28"/>
      <c r="H792" s="34">
        <f>'2018'!BH792</f>
      </c>
      <c r="I792" s="13"/>
      <c r="J792" s="15"/>
      <c r="K792" s="15"/>
      <c r="L792" s="28"/>
      <c r="Q792" s="13"/>
      <c r="R792" s="15"/>
      <c r="S792" s="15"/>
      <c r="T792" s="28"/>
      <c r="Y792" s="13"/>
      <c r="Z792" s="15"/>
      <c r="AA792" s="15"/>
      <c r="AB792" s="28"/>
      <c r="AG792" s="13"/>
      <c r="AH792" s="15"/>
      <c r="AI792" s="15"/>
      <c r="AJ792" s="28"/>
      <c r="AK792" s="13"/>
      <c r="AL792" s="15"/>
      <c r="AM792" s="15"/>
      <c r="AN792" s="28"/>
      <c r="AO792" s="13"/>
      <c r="AP792" s="15"/>
      <c r="AQ792" s="15"/>
      <c r="AR792" s="28"/>
      <c r="AW792" s="13"/>
      <c r="AX792" s="15"/>
      <c r="AY792" s="15"/>
      <c r="AZ792" s="28"/>
      <c r="BE792" s="14"/>
      <c r="BF792" s="41">
        <f t="shared" ref="BF792:BG792" si="2511">K792+O792+S792+W792+AA792+AE792+AI792+AM792+AQ792+AU792+AY792+BC792</f>
        <v>0</v>
      </c>
      <c r="BG792" s="34">
        <f t="shared" si="2511"/>
        <v>0</v>
      </c>
      <c r="BH792" s="35">
        <f t="shared" ref="BH792:BH798" si="2512">H792+BF792-BG792</f>
        <v>0</v>
      </c>
    </row>
    <row r="793" ht="14.25" customHeight="1" spans="1:60" x14ac:dyDescent="0.25">
      <c r="A793" s="2">
        <v>104</v>
      </c>
      <c r="B793" s="14">
        <v>4.42</v>
      </c>
      <c r="C793" s="2" t="s">
        <v>333</v>
      </c>
      <c r="D793" s="14" t="s">
        <v>44</v>
      </c>
      <c r="E793" s="2" t="s">
        <v>45</v>
      </c>
      <c r="F793" s="13">
        <v>2.49</v>
      </c>
      <c r="G793" s="35">
        <v>2.5</v>
      </c>
      <c r="H793" s="34">
        <f>'2018'!BH793</f>
        <v>-32.37</v>
      </c>
      <c r="I793" s="13">
        <v>620</v>
      </c>
      <c r="J793" s="15">
        <f>I793-'2018'!BA793</f>
        <v>0</v>
      </c>
      <c r="K793" s="34">
        <f>J793*$F$8</f>
        <v>0</v>
      </c>
      <c r="L793" s="28"/>
      <c r="M793" s="15">
        <v>620</v>
      </c>
      <c r="N793" s="15">
        <f>M793-I793</f>
        <v>0</v>
      </c>
      <c r="O793" s="34">
        <f>N793*$F$8</f>
        <v>0</v>
      </c>
      <c r="Q793" s="13">
        <v>620</v>
      </c>
      <c r="R793" s="15">
        <f>Q793-M793</f>
        <v>0</v>
      </c>
      <c r="S793" s="34">
        <f>R793*$F$8</f>
        <v>0</v>
      </c>
      <c r="T793" s="28"/>
      <c r="U793" s="15">
        <v>625</v>
      </c>
      <c r="V793" s="15">
        <f>U793-Q793</f>
        <v>5</v>
      </c>
      <c r="W793" s="34">
        <f>V793*$F$8</f>
        <v>12.45</v>
      </c>
      <c r="X793" s="15"/>
      <c r="Y793" s="13">
        <v>639</v>
      </c>
      <c r="Z793" s="15">
        <f>Y793-U793</f>
        <v>14</v>
      </c>
      <c r="AA793" s="34">
        <f>Z793*$F$8</f>
        <v>34.86</v>
      </c>
      <c r="AB793" s="28"/>
      <c r="AC793" s="73">
        <v>682</v>
      </c>
      <c r="AD793" s="15">
        <f t="shared" ref="AD793:AD794" si="2513">AC793-Y793</f>
        <v>43</v>
      </c>
      <c r="AE793" s="34">
        <f>AD793*$G$8</f>
        <v>107.5</v>
      </c>
      <c r="AF793" s="15"/>
      <c r="AG793" s="13">
        <v>745</v>
      </c>
      <c r="AH793" s="15">
        <f t="shared" ref="AH793:AH794" si="2514">AG793-AC793</f>
        <v>63</v>
      </c>
      <c r="AI793" s="34">
        <f>AH793*$G$8</f>
        <v>157.5</v>
      </c>
      <c r="AJ793" s="150">
        <f>104.94+175</f>
        <v>279.94</v>
      </c>
      <c r="AK793" s="13">
        <v>810</v>
      </c>
      <c r="AL793" s="15">
        <f t="shared" ref="AL793:AL794" si="2515">AK793-AG793</f>
        <v>65</v>
      </c>
      <c r="AM793" s="34">
        <f>AL793*$G$8</f>
        <v>162.5</v>
      </c>
      <c r="AN793" s="139">
        <f>162.5+46.22</f>
        <v>208.72</v>
      </c>
      <c r="AO793" s="13">
        <v>868</v>
      </c>
      <c r="AP793" s="15">
        <f t="shared" ref="AP793:AP794" si="2516">AO793-AK793</f>
        <v>58</v>
      </c>
      <c r="AQ793" s="34">
        <f>AP793*$G$8</f>
        <v>145</v>
      </c>
      <c r="AR793" s="28"/>
      <c r="AS793" s="15">
        <v>875</v>
      </c>
      <c r="AT793" s="15">
        <f t="shared" ref="AT793:AT794" si="2517">AS793-AO793</f>
        <v>7</v>
      </c>
      <c r="AU793" s="34">
        <f>AT793*$G$8</f>
        <v>17.5</v>
      </c>
      <c r="AV793" s="39">
        <v>100</v>
      </c>
      <c r="AW793" s="13">
        <v>877</v>
      </c>
      <c r="AX793" s="15">
        <f>AW793-AS793</f>
        <v>2</v>
      </c>
      <c r="AY793" s="34">
        <f>AX793*$G$8</f>
        <v>5</v>
      </c>
      <c r="AZ793" s="35"/>
      <c r="BA793" s="13">
        <v>877</v>
      </c>
      <c r="BB793" s="15">
        <f>BA793-AW793</f>
        <v>0</v>
      </c>
      <c r="BC793" s="34">
        <f>BB793*$G$8</f>
        <v>0</v>
      </c>
      <c r="BD793" s="15"/>
      <c r="BE793" s="40">
        <f t="shared" ref="BE793:BG793" si="2518">J793+N793+R793+V793+Z793+AD793+AH793+AL793+AP793+AT793+AX793+BB793</f>
        <v>257</v>
      </c>
      <c r="BF793" s="41">
        <f t="shared" si="2518"/>
        <v>642.31</v>
      </c>
      <c r="BG793" s="34">
        <f t="shared" si="2518"/>
        <v>588.66</v>
      </c>
      <c r="BH793" s="35">
        <f t="shared" si="2512"/>
        <v>21.28</v>
      </c>
    </row>
    <row r="794" ht="14.25" customHeight="1" spans="1:60" x14ac:dyDescent="0.25">
      <c r="A794" s="29">
        <v>104</v>
      </c>
      <c r="B794" s="14"/>
      <c r="C794" s="2" t="s">
        <v>163</v>
      </c>
      <c r="D794" s="14" t="s">
        <v>47</v>
      </c>
      <c r="E794" s="2" t="s">
        <v>48</v>
      </c>
      <c r="F794" s="13">
        <v>17.98</v>
      </c>
      <c r="G794" s="28">
        <v>18.56</v>
      </c>
      <c r="H794" s="34">
        <f>'2018'!BH794</f>
        <v>0</v>
      </c>
      <c r="I794" s="13">
        <v>170</v>
      </c>
      <c r="J794" s="15"/>
      <c r="K794" s="15"/>
      <c r="L794" s="28"/>
      <c r="Q794" s="13"/>
      <c r="R794" s="15"/>
      <c r="S794" s="15"/>
      <c r="T794" s="28"/>
      <c r="Y794" s="95">
        <v>170</v>
      </c>
      <c r="Z794" s="15">
        <f>Y794-'2018'!AO794</f>
        <v>0</v>
      </c>
      <c r="AA794" s="34">
        <f>Z794*$F$10</f>
        <v>0</v>
      </c>
      <c r="AB794" s="28"/>
      <c r="AC794" s="15">
        <v>177</v>
      </c>
      <c r="AD794" s="15">
        <f t="shared" si="2513"/>
        <v>7</v>
      </c>
      <c r="AE794" s="34">
        <f>AD794*$F$10</f>
        <v>125.86</v>
      </c>
      <c r="AF794" s="15"/>
      <c r="AG794" s="13">
        <v>187</v>
      </c>
      <c r="AH794" s="15">
        <f t="shared" si="2514"/>
        <v>10</v>
      </c>
      <c r="AI794" s="45">
        <f>AH794*$G$10</f>
        <v>185.6</v>
      </c>
      <c r="AJ794" s="150">
        <f>181.54+129.92</f>
        <v>311.46</v>
      </c>
      <c r="AK794" s="13">
        <v>200</v>
      </c>
      <c r="AL794" s="15">
        <f t="shared" si="2515"/>
        <v>13</v>
      </c>
      <c r="AM794" s="45">
        <f>AL794*$G$10</f>
        <v>241.28</v>
      </c>
      <c r="AN794" s="134">
        <f>241.28</f>
        <v>241.28</v>
      </c>
      <c r="AO794" s="13">
        <v>202</v>
      </c>
      <c r="AP794" s="15">
        <f t="shared" si="2516"/>
        <v>2</v>
      </c>
      <c r="AQ794" s="45">
        <f>AP794*$G$10</f>
        <v>37.12</v>
      </c>
      <c r="AR794" s="28"/>
      <c r="AS794" s="13">
        <v>202</v>
      </c>
      <c r="AT794" s="15">
        <f t="shared" si="2517"/>
        <v>0</v>
      </c>
      <c r="AU794" s="45">
        <f>AT794*$G$10</f>
        <v>0</v>
      </c>
      <c r="AV794" s="39">
        <v>38</v>
      </c>
      <c r="AW794" s="13">
        <v>202</v>
      </c>
      <c r="AX794" s="15"/>
      <c r="AY794" s="15"/>
      <c r="AZ794" s="28"/>
      <c r="BA794" s="15">
        <v>202</v>
      </c>
      <c r="BB794" s="15"/>
      <c r="BC794" s="15"/>
      <c r="BD794" s="15"/>
      <c r="BE794" s="40">
        <f t="shared" ref="BE794:BG794" si="2519">J794+N794+R794+V794+Z794+AD794+AH794+AL794+AP794+AT794+AX794+BB794</f>
        <v>32</v>
      </c>
      <c r="BF794" s="41">
        <f t="shared" si="2519"/>
        <v>589.86</v>
      </c>
      <c r="BG794" s="34">
        <f t="shared" si="2519"/>
        <v>590.74</v>
      </c>
      <c r="BH794" s="35">
        <f t="shared" si="2512"/>
        <v>-0.88</v>
      </c>
    </row>
    <row r="795" ht="14.25" customHeight="1" spans="1:60" x14ac:dyDescent="0.25">
      <c r="A795" s="29">
        <v>104</v>
      </c>
      <c r="B795" s="14"/>
      <c r="C795" s="15" t="s">
        <v>334</v>
      </c>
      <c r="D795" s="14" t="s">
        <v>47</v>
      </c>
      <c r="E795" s="2" t="s">
        <v>49</v>
      </c>
      <c r="F795" s="41">
        <v>500</v>
      </c>
      <c r="G795" s="28"/>
      <c r="H795" s="34">
        <f>'2018'!BH795</f>
        <v>0</v>
      </c>
      <c r="I795" s="13"/>
      <c r="J795" s="15"/>
      <c r="K795" s="15"/>
      <c r="L795" s="28"/>
      <c r="Q795" s="13"/>
      <c r="R795" s="15"/>
      <c r="S795" s="15"/>
      <c r="T795" s="28"/>
      <c r="Y795" s="13"/>
      <c r="Z795" s="15"/>
      <c r="AA795" s="15"/>
      <c r="AB795" s="28"/>
      <c r="AG795" s="13"/>
      <c r="AH795" s="15"/>
      <c r="AI795" s="15"/>
      <c r="AJ795" s="28"/>
      <c r="AK795" s="13"/>
      <c r="AL795" s="15"/>
      <c r="AM795" s="34"/>
      <c r="AN795" s="28"/>
      <c r="AO795" s="13"/>
      <c r="AP795" s="15"/>
      <c r="AQ795" s="34"/>
      <c r="AR795" s="28"/>
      <c r="AS795" s="15"/>
      <c r="AT795" s="15"/>
      <c r="AU795" s="15"/>
      <c r="AV795" s="15"/>
      <c r="AW795" s="13"/>
      <c r="AX795" s="15"/>
      <c r="AY795" s="15"/>
      <c r="AZ795" s="28"/>
      <c r="BA795" s="15"/>
      <c r="BB795" s="15"/>
      <c r="BC795" s="15"/>
      <c r="BD795" s="15"/>
      <c r="BE795" s="14"/>
      <c r="BF795" s="41">
        <f t="shared" ref="BF795:BG795" si="2520">K795+O795+S795+W795+AA795+AE795+AI795+AM795+AQ795+AU795+AY795+BC795</f>
        <v>0</v>
      </c>
      <c r="BG795" s="34">
        <f t="shared" si="2520"/>
        <v>0</v>
      </c>
      <c r="BH795" s="35">
        <f t="shared" si="2512"/>
        <v>0</v>
      </c>
    </row>
    <row r="796" ht="14.25" customHeight="1" spans="1:60" x14ac:dyDescent="0.25">
      <c r="A796" s="29">
        <v>104</v>
      </c>
      <c r="B796" s="14"/>
      <c r="C796" s="2" t="s">
        <v>90</v>
      </c>
      <c r="D796" s="14" t="s">
        <v>50</v>
      </c>
      <c r="E796" s="2" t="s">
        <v>49</v>
      </c>
      <c r="F796" s="41">
        <v>1200</v>
      </c>
      <c r="G796" s="28"/>
      <c r="H796" s="34">
        <f>'2018'!BH796</f>
        <v>0.0096</v>
      </c>
      <c r="I796" s="13"/>
      <c r="J796" s="15"/>
      <c r="K796" s="15"/>
      <c r="L796" s="28"/>
      <c r="Q796" s="13"/>
      <c r="R796" s="15"/>
      <c r="S796" s="15"/>
      <c r="T796" s="28"/>
      <c r="Y796" s="13"/>
      <c r="Z796" s="15"/>
      <c r="AA796" s="15"/>
      <c r="AB796" s="28"/>
      <c r="AE796" s="34">
        <f>B793*$F$12</f>
        <v>5304</v>
      </c>
      <c r="AF796" s="34"/>
      <c r="AG796" s="13"/>
      <c r="AH796" s="15"/>
      <c r="AI796" s="15"/>
      <c r="AJ796" s="139">
        <v>5304.01</v>
      </c>
      <c r="AK796" s="13"/>
      <c r="AL796" s="15"/>
      <c r="AM796" s="15"/>
      <c r="AN796" s="28"/>
      <c r="AO796" s="13"/>
      <c r="AP796" s="15"/>
      <c r="AQ796" s="15"/>
      <c r="AR796" s="28"/>
      <c r="AS796" s="15"/>
      <c r="AT796" s="15"/>
      <c r="AU796" s="15"/>
      <c r="AV796" s="15"/>
      <c r="AW796" s="13"/>
      <c r="AX796" s="15"/>
      <c r="AY796" s="15"/>
      <c r="AZ796" s="28"/>
      <c r="BA796" s="15"/>
      <c r="BB796" s="15"/>
      <c r="BC796" s="15"/>
      <c r="BD796" s="15"/>
      <c r="BE796" s="14"/>
      <c r="BF796" s="41">
        <f t="shared" ref="BF796:BG796" si="2521">K796+O796+S796+W796+AA796+AE796+AI796+AM796+AQ796+AU796+AY796+BC796</f>
        <v>5304</v>
      </c>
      <c r="BG796" s="34">
        <f t="shared" si="2521"/>
        <v>5304.01</v>
      </c>
      <c r="BH796" s="35">
        <f t="shared" si="2512"/>
        <v>-0.0003999999999</v>
      </c>
    </row>
    <row r="797" ht="14.25" customHeight="1" spans="1:60" x14ac:dyDescent="0.25">
      <c r="A797" s="29">
        <v>104</v>
      </c>
      <c r="B797" s="14"/>
      <c r="C797" s="2" t="s">
        <v>335</v>
      </c>
      <c r="D797" s="14" t="s">
        <v>51</v>
      </c>
      <c r="E797" s="2" t="s">
        <v>49</v>
      </c>
      <c r="F797" s="41">
        <v>1000</v>
      </c>
      <c r="G797" s="28"/>
      <c r="H797" s="34">
        <f>'2018'!BH797</f>
        <v>0</v>
      </c>
      <c r="I797" s="13"/>
      <c r="J797" s="15"/>
      <c r="K797" s="15"/>
      <c r="L797" s="28"/>
      <c r="Q797" s="13"/>
      <c r="R797" s="15"/>
      <c r="S797" s="15"/>
      <c r="T797" s="28"/>
      <c r="Y797" s="13"/>
      <c r="Z797" s="15"/>
      <c r="AA797" s="15"/>
      <c r="AB797" s="28"/>
      <c r="AE797" s="34">
        <f>$F$21</f>
        <v>1000</v>
      </c>
      <c r="AG797" s="13"/>
      <c r="AH797" s="15"/>
      <c r="AI797" s="15"/>
      <c r="AJ797" s="134">
        <v>1000</v>
      </c>
      <c r="AK797" s="13"/>
      <c r="AL797" s="15"/>
      <c r="AM797" s="15"/>
      <c r="AN797" s="28"/>
      <c r="AO797" s="13"/>
      <c r="AP797" s="15"/>
      <c r="AQ797" s="15"/>
      <c r="AR797" s="28"/>
      <c r="AS797" s="15"/>
      <c r="AT797" s="15"/>
      <c r="AU797" s="15"/>
      <c r="AV797" s="15"/>
      <c r="AW797" s="13"/>
      <c r="AX797" s="15"/>
      <c r="AY797" s="15"/>
      <c r="AZ797" s="28"/>
      <c r="BA797" s="15"/>
      <c r="BB797" s="15"/>
      <c r="BC797" s="15"/>
      <c r="BD797" s="15"/>
      <c r="BE797" s="14"/>
      <c r="BF797" s="41">
        <f t="shared" ref="BF797:BG797" si="2522">K797+O797+S797+W797+AA797+AE797+AI797+AM797+AQ797+AU797+AY797+BC797</f>
        <v>1000</v>
      </c>
      <c r="BG797" s="34">
        <f t="shared" si="2522"/>
        <v>1000</v>
      </c>
      <c r="BH797" s="35">
        <f t="shared" si="2512"/>
        <v>0</v>
      </c>
    </row>
    <row r="798" ht="14.25" customHeight="1" spans="1:60" x14ac:dyDescent="0.25">
      <c r="A798" s="29">
        <v>104</v>
      </c>
      <c r="B798" s="14"/>
      <c r="D798" s="14" t="s">
        <v>52</v>
      </c>
      <c r="E798" s="2" t="s">
        <v>39</v>
      </c>
      <c r="F798" s="41">
        <v>500</v>
      </c>
      <c r="G798" s="28"/>
      <c r="H798" s="34">
        <f>'2018'!BH798</f>
        <v>0</v>
      </c>
      <c r="I798" s="13"/>
      <c r="J798" s="15"/>
      <c r="K798" s="15"/>
      <c r="L798" s="28"/>
      <c r="Q798" s="13"/>
      <c r="R798" s="15"/>
      <c r="S798" s="15"/>
      <c r="T798" s="28"/>
      <c r="Y798" s="13"/>
      <c r="Z798" s="15"/>
      <c r="AA798" s="34">
        <f>$F$14</f>
        <v>500</v>
      </c>
      <c r="AB798" s="28"/>
      <c r="AG798" s="13"/>
      <c r="AH798" s="15"/>
      <c r="AI798" s="15"/>
      <c r="AJ798" s="134">
        <v>500</v>
      </c>
      <c r="AK798" s="13"/>
      <c r="AL798" s="15"/>
      <c r="AM798" s="15"/>
      <c r="AN798" s="28"/>
      <c r="AO798" s="13"/>
      <c r="AP798" s="15"/>
      <c r="AQ798" s="15"/>
      <c r="AR798" s="28"/>
      <c r="AS798" s="15"/>
      <c r="AT798" s="15"/>
      <c r="AU798" s="15"/>
      <c r="AV798" s="15"/>
      <c r="AW798" s="13"/>
      <c r="AX798" s="15"/>
      <c r="AY798" s="15"/>
      <c r="AZ798" s="28"/>
      <c r="BA798" s="15"/>
      <c r="BB798" s="15"/>
      <c r="BC798" s="15"/>
      <c r="BD798" s="15"/>
      <c r="BE798" s="14"/>
      <c r="BF798" s="41">
        <f t="shared" ref="BF798:BG798" si="2523">K798+O798+S798+W798+AA798+AE798+AI798+AM798+AQ798+AU798+AY798+BC798</f>
        <v>500</v>
      </c>
      <c r="BG798" s="34">
        <f t="shared" si="2523"/>
        <v>500</v>
      </c>
      <c r="BH798" s="35">
        <f t="shared" si="2512"/>
        <v>0</v>
      </c>
    </row>
    <row r="799" ht="14.25" customHeight="1" spans="1:62" x14ac:dyDescent="0.25">
      <c r="A799" s="50">
        <v>104</v>
      </c>
      <c r="B799" s="21"/>
      <c r="C799" s="22" t="s">
        <v>53</v>
      </c>
      <c r="D799" s="21"/>
      <c r="E799" s="22"/>
      <c r="F799" s="20"/>
      <c r="G799" s="23"/>
      <c r="H799" s="51">
        <f>SUM(H792:H798)</f>
        <v>-32.3604</v>
      </c>
      <c r="I799" s="52"/>
      <c r="J799" s="53"/>
      <c r="K799" s="51">
        <f t="shared" ref="K799:L799" si="2524">SUM(K792:K798)</f>
        <v>0</v>
      </c>
      <c r="L799" s="68">
        <f t="shared" si="2524"/>
        <v>0</v>
      </c>
      <c r="M799" s="53"/>
      <c r="N799" s="53"/>
      <c r="O799" s="51">
        <f t="shared" ref="O799:P799" si="2525">SUM(O793:O798)</f>
        <v>0</v>
      </c>
      <c r="P799" s="51">
        <f t="shared" si="2525"/>
        <v>0</v>
      </c>
      <c r="Q799" s="52"/>
      <c r="R799" s="53"/>
      <c r="S799" s="51">
        <f t="shared" ref="S799:T799" si="2526">SUM(S793:S798)</f>
        <v>0</v>
      </c>
      <c r="T799" s="68">
        <f t="shared" si="2526"/>
        <v>0</v>
      </c>
      <c r="U799" s="53"/>
      <c r="V799" s="53"/>
      <c r="W799" s="51">
        <f t="shared" ref="W799:X799" si="2527">SUM(W793:W798)</f>
        <v>12.45</v>
      </c>
      <c r="X799" s="51">
        <f t="shared" si="2527"/>
        <v>0</v>
      </c>
      <c r="Y799" s="52"/>
      <c r="Z799" s="53"/>
      <c r="AA799" s="51">
        <f t="shared" ref="AA799:AB799" si="2528">SUM(AA793:AA798)</f>
        <v>534.86</v>
      </c>
      <c r="AB799" s="68">
        <f t="shared" si="2528"/>
        <v>0</v>
      </c>
      <c r="AC799" s="53"/>
      <c r="AD799" s="53"/>
      <c r="AE799" s="51">
        <f t="shared" ref="AE799:AF799" si="2529">SUM(AE793:AE798)</f>
        <v>6537.36</v>
      </c>
      <c r="AF799" s="51">
        <f t="shared" si="2529"/>
        <v>0</v>
      </c>
      <c r="AG799" s="52"/>
      <c r="AH799" s="53"/>
      <c r="AI799" s="51">
        <f t="shared" ref="AI799:AJ799" si="2530">SUM(AI793:AI798)</f>
        <v>343.1</v>
      </c>
      <c r="AJ799" s="68">
        <f t="shared" si="2530"/>
        <v>7395.41</v>
      </c>
      <c r="AK799" s="52"/>
      <c r="AL799" s="53"/>
      <c r="AM799" s="51">
        <f t="shared" ref="AM799:AN799" si="2531">SUM(AM793:AM798)</f>
        <v>403.78</v>
      </c>
      <c r="AN799" s="68">
        <f t="shared" si="2531"/>
        <v>450</v>
      </c>
      <c r="AO799" s="52"/>
      <c r="AP799" s="53"/>
      <c r="AQ799" s="51">
        <f t="shared" ref="AQ799:AR799" si="2532">SUM(AQ792:AQ798)</f>
        <v>182.12</v>
      </c>
      <c r="AR799" s="68">
        <f t="shared" si="2532"/>
        <v>0</v>
      </c>
      <c r="AS799" s="53"/>
      <c r="AT799" s="53"/>
      <c r="AU799" s="51">
        <f t="shared" ref="AU799:AV799" si="2533">SUM(AU792:AU798)</f>
        <v>17.5</v>
      </c>
      <c r="AV799" s="68">
        <f t="shared" si="2533"/>
        <v>138</v>
      </c>
      <c r="AW799" s="52"/>
      <c r="AX799" s="53"/>
      <c r="AY799" s="51">
        <f t="shared" ref="AY799:AZ799" si="2534">SUM(AY792:AY798)</f>
        <v>5</v>
      </c>
      <c r="AZ799" s="68">
        <f t="shared" si="2534"/>
        <v>0</v>
      </c>
      <c r="BA799" s="53"/>
      <c r="BB799" s="53"/>
      <c r="BC799" s="51">
        <f t="shared" ref="BC799:BD799" si="2535">SUM(BC792:BC798)</f>
        <v>0</v>
      </c>
      <c r="BD799" s="68">
        <f t="shared" si="2535"/>
        <v>0</v>
      </c>
      <c r="BE799" s="69"/>
      <c r="BF799" s="70">
        <f t="shared" ref="BF799:BH799" si="2536">SUM(BF792:BF798)</f>
        <v>8036.17</v>
      </c>
      <c r="BG799" s="71">
        <f t="shared" si="2536"/>
        <v>7983.41</v>
      </c>
      <c r="BH799" s="72">
        <f t="shared" si="2536"/>
        <v>20.3996</v>
      </c>
      <c r="BI799" s="34">
        <f>H799+BF799-BG799</f>
        <v>20.3996</v>
      </c>
      <c r="BJ799" s="34">
        <f>BH799-BI799</f>
        <v>0</v>
      </c>
    </row>
    <row r="800" ht="14.25" customHeight="1" spans="1:60" x14ac:dyDescent="0.25">
      <c r="A800" s="29">
        <v>106</v>
      </c>
      <c r="B800" s="14"/>
      <c r="D800" s="14" t="s">
        <v>379</v>
      </c>
      <c r="F800" s="13"/>
      <c r="G800" s="28"/>
      <c r="H800" s="34">
        <f>'2018'!BH800</f>
      </c>
      <c r="I800" s="13"/>
      <c r="J800" s="15"/>
      <c r="K800" s="15"/>
      <c r="L800" s="28"/>
      <c r="Q800" s="13"/>
      <c r="R800" s="15"/>
      <c r="S800" s="15"/>
      <c r="T800" s="28"/>
      <c r="Y800" s="13"/>
      <c r="Z800" s="15"/>
      <c r="AA800" s="15"/>
      <c r="AB800" s="28"/>
      <c r="AG800" s="13"/>
      <c r="AH800" s="15"/>
      <c r="AI800" s="15"/>
      <c r="AJ800" s="28"/>
      <c r="AK800" s="13"/>
      <c r="AL800" s="15"/>
      <c r="AM800" s="15"/>
      <c r="AN800" s="28"/>
      <c r="AO800" s="13"/>
      <c r="AP800" s="15"/>
      <c r="AQ800" s="15"/>
      <c r="AR800" s="28"/>
      <c r="AW800" s="13"/>
      <c r="AX800" s="15"/>
      <c r="AY800" s="15"/>
      <c r="AZ800" s="28"/>
      <c r="BE800" s="14"/>
      <c r="BF800" s="41">
        <f t="shared" ref="BF800:BG800" si="2537">K800+O800+S800+W800+AA800+AE800+AI800+AM800+AQ800+AU800+AY800+BC800</f>
        <v>0</v>
      </c>
      <c r="BG800" s="34">
        <f t="shared" si="2537"/>
        <v>0</v>
      </c>
      <c r="BH800" s="35">
        <f t="shared" ref="BH800:BH806" si="2538">H800+BF800-BG800</f>
        <v>0</v>
      </c>
    </row>
    <row r="801" ht="14.25" customHeight="1" spans="1:60" x14ac:dyDescent="0.25">
      <c r="A801" s="2">
        <v>106</v>
      </c>
      <c r="B801" s="14">
        <v>4.57</v>
      </c>
      <c r="C801" s="2" t="s">
        <v>336</v>
      </c>
      <c r="D801" s="14" t="s">
        <v>44</v>
      </c>
      <c r="E801" s="2" t="s">
        <v>45</v>
      </c>
      <c r="F801" s="13">
        <v>2.49</v>
      </c>
      <c r="G801" s="35">
        <v>2.5</v>
      </c>
      <c r="H801" s="104">
        <f>'2018'!BH801</f>
        <v>0</v>
      </c>
      <c r="I801" s="13"/>
      <c r="J801" s="15"/>
      <c r="K801" s="34">
        <f>J801*$F$8</f>
        <v>0</v>
      </c>
      <c r="L801" s="28"/>
      <c r="N801" s="15">
        <f>M801-I801</f>
        <v>0</v>
      </c>
      <c r="O801" s="34">
        <f>N801*$F$8</f>
        <v>0</v>
      </c>
      <c r="Q801" s="13"/>
      <c r="R801" s="15">
        <f>Q801-M801</f>
        <v>0</v>
      </c>
      <c r="S801" s="34">
        <f>R801*$F$8</f>
        <v>0</v>
      </c>
      <c r="T801" s="28"/>
      <c r="V801" s="15">
        <f>U801-Q801</f>
        <v>0</v>
      </c>
      <c r="Y801" s="13"/>
      <c r="Z801" s="15">
        <f>Y801-U801</f>
        <v>0</v>
      </c>
      <c r="AA801" s="34">
        <f>Z801*$F$8</f>
        <v>0</v>
      </c>
      <c r="AB801" s="28"/>
      <c r="AC801" s="15"/>
      <c r="AD801" s="15">
        <f>AC801-Y801</f>
        <v>0</v>
      </c>
      <c r="AE801" s="34">
        <f>AD801*$G$8</f>
        <v>0</v>
      </c>
      <c r="AG801" s="13"/>
      <c r="AH801" s="15">
        <f t="shared" ref="AH801:AH802" si="2539">AG801-AC801</f>
        <v>0</v>
      </c>
      <c r="AI801" s="34">
        <f>AH801*$G$8</f>
        <v>0</v>
      </c>
      <c r="AJ801" s="28"/>
      <c r="AK801" s="13"/>
      <c r="AL801" s="15">
        <f t="shared" ref="AL801:AL802" si="2540">AK801-AG801</f>
        <v>0</v>
      </c>
      <c r="AM801" s="34">
        <f>AL801*$G$8</f>
        <v>0</v>
      </c>
      <c r="AN801" s="28"/>
      <c r="AO801" s="13"/>
      <c r="AP801" s="15">
        <f t="shared" ref="AP801:AP802" si="2541">AO801-AK801</f>
        <v>0</v>
      </c>
      <c r="AQ801" s="34">
        <f>AP801*$G$8</f>
        <v>0</v>
      </c>
      <c r="AR801" s="28"/>
      <c r="AS801" s="15"/>
      <c r="AT801" s="15">
        <f t="shared" ref="AT801:AT802" si="2542">AS801-AO801</f>
        <v>0</v>
      </c>
      <c r="AU801" s="34">
        <f>AT801*$G$8</f>
        <v>0</v>
      </c>
      <c r="AV801" s="15"/>
      <c r="AW801" s="13"/>
      <c r="AX801" s="15">
        <f>AW801-AS801</f>
        <v>0</v>
      </c>
      <c r="AY801" s="34">
        <f>AX801*$G$8</f>
        <v>0</v>
      </c>
      <c r="AZ801" s="28"/>
      <c r="BA801" s="15"/>
      <c r="BB801" s="15">
        <f>BA801-AW801</f>
        <v>0</v>
      </c>
      <c r="BC801" s="34">
        <f>BB801*$G$8</f>
        <v>0</v>
      </c>
      <c r="BD801" s="15"/>
      <c r="BE801" s="40">
        <f t="shared" ref="BE801:BG801" si="2543">J801+N801+R801+V801+Z801+AD801+AH801+AL801+AP801+AT801+AX801+BB801</f>
        <v>0</v>
      </c>
      <c r="BF801" s="41">
        <f t="shared" si="2543"/>
        <v>0</v>
      </c>
      <c r="BG801" s="34">
        <f t="shared" si="2543"/>
        <v>0</v>
      </c>
      <c r="BH801" s="35">
        <f t="shared" si="2538"/>
        <v>0</v>
      </c>
    </row>
    <row r="802" ht="14.25" customHeight="1" spans="1:60" x14ac:dyDescent="0.25">
      <c r="A802" s="29">
        <v>106</v>
      </c>
      <c r="B802" s="14"/>
      <c r="C802" s="2" t="s">
        <v>114</v>
      </c>
      <c r="D802" s="14" t="s">
        <v>47</v>
      </c>
      <c r="E802" s="2" t="s">
        <v>48</v>
      </c>
      <c r="F802" s="13">
        <v>17.98</v>
      </c>
      <c r="G802" s="28">
        <v>18.56</v>
      </c>
      <c r="H802" s="34">
        <f>'2018'!BH802</f>
        <v>0</v>
      </c>
      <c r="I802" s="13"/>
      <c r="J802" s="15"/>
      <c r="K802" s="15"/>
      <c r="L802" s="28"/>
      <c r="Q802" s="13"/>
      <c r="R802" s="15"/>
      <c r="S802" s="15"/>
      <c r="T802" s="28"/>
      <c r="Y802" s="13"/>
      <c r="Z802" s="15"/>
      <c r="AA802" s="15"/>
      <c r="AB802" s="28"/>
      <c r="AC802" s="15"/>
      <c r="AD802" s="15"/>
      <c r="AE802" s="34">
        <f>AD802*$F$10</f>
        <v>0</v>
      </c>
      <c r="AG802" s="13"/>
      <c r="AH802" s="15">
        <f t="shared" si="2539"/>
        <v>0</v>
      </c>
      <c r="AI802" s="45">
        <f>AH802*$G$10</f>
        <v>0</v>
      </c>
      <c r="AJ802" s="28"/>
      <c r="AK802" s="13"/>
      <c r="AL802" s="15">
        <f t="shared" si="2540"/>
        <v>0</v>
      </c>
      <c r="AM802" s="45">
        <f>AL802*$G$10</f>
        <v>0</v>
      </c>
      <c r="AN802" s="28"/>
      <c r="AO802" s="13"/>
      <c r="AP802" s="15">
        <f t="shared" si="2541"/>
        <v>0</v>
      </c>
      <c r="AQ802" s="45">
        <f>AP802*$G$10</f>
        <v>0</v>
      </c>
      <c r="AR802" s="28"/>
      <c r="AS802" s="13"/>
      <c r="AT802" s="15">
        <f t="shared" si="2542"/>
        <v>0</v>
      </c>
      <c r="AU802" s="45">
        <f>AT802*$G$10</f>
        <v>0</v>
      </c>
      <c r="AV802" s="15"/>
      <c r="AW802" s="13"/>
      <c r="AX802" s="15"/>
      <c r="AY802" s="15"/>
      <c r="AZ802" s="28"/>
      <c r="BA802" s="15"/>
      <c r="BB802" s="15"/>
      <c r="BC802" s="15"/>
      <c r="BD802" s="15"/>
      <c r="BE802" s="40">
        <f t="shared" ref="BE802:BG802" si="2544">J802+N802+R802+V802+Z802+AD802+AH802+AL802+AP802+AT802+AX802+BB802</f>
        <v>0</v>
      </c>
      <c r="BF802" s="41">
        <f t="shared" si="2544"/>
        <v>0</v>
      </c>
      <c r="BG802" s="34">
        <f t="shared" si="2544"/>
        <v>0</v>
      </c>
      <c r="BH802" s="35">
        <f t="shared" si="2538"/>
        <v>0</v>
      </c>
    </row>
    <row r="803" ht="14.25" customHeight="1" spans="1:60" x14ac:dyDescent="0.25">
      <c r="A803" s="29">
        <v>106</v>
      </c>
      <c r="B803" s="14"/>
      <c r="C803" s="2" t="s">
        <v>337</v>
      </c>
      <c r="D803" s="14" t="s">
        <v>47</v>
      </c>
      <c r="E803" s="2" t="s">
        <v>49</v>
      </c>
      <c r="F803" s="41">
        <v>500</v>
      </c>
      <c r="G803" s="28"/>
      <c r="H803" s="77">
        <f>'2018'!BH803</f>
        <v>650.36</v>
      </c>
      <c r="I803" s="13"/>
      <c r="J803" s="15"/>
      <c r="K803" s="15"/>
      <c r="L803" s="28"/>
      <c r="Q803" s="13"/>
      <c r="R803" s="15"/>
      <c r="S803" s="15"/>
      <c r="T803" s="28"/>
      <c r="Y803" s="13"/>
      <c r="Z803" s="15"/>
      <c r="AA803" s="34">
        <f>B801*$F$11</f>
        <v>2285</v>
      </c>
      <c r="AB803" s="32">
        <v>650.36</v>
      </c>
      <c r="AC803" s="15"/>
      <c r="AG803" s="13"/>
      <c r="AH803" s="15"/>
      <c r="AI803" s="15"/>
      <c r="AJ803" s="32"/>
      <c r="AK803" s="13"/>
      <c r="AL803" s="15"/>
      <c r="AM803" s="34"/>
      <c r="AN803" s="28"/>
      <c r="AO803" s="13"/>
      <c r="AP803" s="15"/>
      <c r="AQ803" s="34"/>
      <c r="AR803" s="28"/>
      <c r="AS803" s="15"/>
      <c r="AT803" s="15"/>
      <c r="AU803" s="15"/>
      <c r="AV803" s="15"/>
      <c r="AW803" s="13"/>
      <c r="AX803" s="15"/>
      <c r="AY803" s="15"/>
      <c r="AZ803" s="28"/>
      <c r="BA803" s="15"/>
      <c r="BB803" s="15"/>
      <c r="BC803" s="15"/>
      <c r="BD803" s="39">
        <v>2269</v>
      </c>
      <c r="BE803" s="14"/>
      <c r="BF803" s="41">
        <f t="shared" ref="BF803:BG803" si="2545">K803+O803+S803+W803+AA803+AE803+AI803+AM803+AQ803+AU803+AY803+BC803</f>
        <v>2285</v>
      </c>
      <c r="BG803" s="34">
        <f t="shared" si="2545"/>
        <v>2919.36</v>
      </c>
      <c r="BH803" s="35">
        <f t="shared" si="2538"/>
        <v>16</v>
      </c>
    </row>
    <row r="804" ht="14.25" customHeight="1" spans="1:60" x14ac:dyDescent="0.25">
      <c r="A804" s="29">
        <v>106</v>
      </c>
      <c r="B804" s="14"/>
      <c r="C804" s="2" t="s">
        <v>453</v>
      </c>
      <c r="D804" s="14" t="s">
        <v>50</v>
      </c>
      <c r="E804" s="2" t="s">
        <v>49</v>
      </c>
      <c r="F804" s="41">
        <v>1200</v>
      </c>
      <c r="G804" s="28"/>
      <c r="H804" s="34">
        <f>'2018'!BH804</f>
        <v>0.001600000001</v>
      </c>
      <c r="I804" s="13"/>
      <c r="J804" s="15"/>
      <c r="K804" s="15"/>
      <c r="L804" s="28"/>
      <c r="Q804" s="13"/>
      <c r="R804" s="15"/>
      <c r="S804" s="15"/>
      <c r="T804" s="28"/>
      <c r="Y804" s="13"/>
      <c r="Z804" s="15"/>
      <c r="AA804" s="15"/>
      <c r="AB804" s="28"/>
      <c r="AE804" s="34">
        <f>B801*$F$12</f>
        <v>5484</v>
      </c>
      <c r="AG804" s="13"/>
      <c r="AH804" s="15"/>
      <c r="AI804" s="15"/>
      <c r="AJ804" s="38">
        <v>5500</v>
      </c>
      <c r="AK804" s="13"/>
      <c r="AL804" s="15"/>
      <c r="AM804" s="15"/>
      <c r="AN804" s="28"/>
      <c r="AO804" s="13"/>
      <c r="AP804" s="15"/>
      <c r="AQ804" s="15"/>
      <c r="AR804" s="28"/>
      <c r="AS804" s="15"/>
      <c r="AT804" s="15"/>
      <c r="AU804" s="15"/>
      <c r="AV804" s="15"/>
      <c r="AW804" s="13"/>
      <c r="AX804" s="15"/>
      <c r="AY804" s="15"/>
      <c r="AZ804" s="28"/>
      <c r="BA804" s="15"/>
      <c r="BB804" s="15"/>
      <c r="BC804" s="15"/>
      <c r="BD804" s="15"/>
      <c r="BE804" s="14"/>
      <c r="BF804" s="41">
        <f t="shared" ref="BF804:BG804" si="2546">K804+O804+S804+W804+AA804+AE804+AI804+AM804+AQ804+AU804+AY804+BC804</f>
        <v>5484</v>
      </c>
      <c r="BG804" s="34">
        <f t="shared" si="2546"/>
        <v>5500</v>
      </c>
      <c r="BH804" s="35">
        <f t="shared" si="2538"/>
        <v>-15.9984</v>
      </c>
    </row>
    <row r="805" ht="14.25" customHeight="1" spans="1:60" x14ac:dyDescent="0.25">
      <c r="A805" s="29">
        <v>106</v>
      </c>
      <c r="B805" s="14"/>
      <c r="C805" s="2" t="s">
        <v>454</v>
      </c>
      <c r="D805" s="14" t="s">
        <v>51</v>
      </c>
      <c r="E805" s="2" t="s">
        <v>49</v>
      </c>
      <c r="F805" s="41">
        <v>1000</v>
      </c>
      <c r="G805" s="28"/>
      <c r="H805" s="34">
        <f>'2018'!BH805</f>
        <v>0</v>
      </c>
      <c r="I805" s="13"/>
      <c r="J805" s="15"/>
      <c r="K805" s="15"/>
      <c r="L805" s="28"/>
      <c r="Q805" s="13"/>
      <c r="R805" s="15"/>
      <c r="S805" s="15"/>
      <c r="T805" s="28"/>
      <c r="Y805" s="13"/>
      <c r="Z805" s="15"/>
      <c r="AA805" s="15"/>
      <c r="AB805" s="28"/>
      <c r="AE805" s="34">
        <f>$F$21</f>
        <v>1000</v>
      </c>
      <c r="AG805" s="13"/>
      <c r="AH805" s="15"/>
      <c r="AI805" s="15"/>
      <c r="AJ805" s="38">
        <v>1000</v>
      </c>
      <c r="AK805" s="13"/>
      <c r="AL805" s="15"/>
      <c r="AM805" s="15"/>
      <c r="AN805" s="28"/>
      <c r="AO805" s="13"/>
      <c r="AP805" s="15"/>
      <c r="AQ805" s="15"/>
      <c r="AR805" s="28"/>
      <c r="AS805" s="15"/>
      <c r="AT805" s="15"/>
      <c r="AU805" s="15"/>
      <c r="AV805" s="15"/>
      <c r="AW805" s="13"/>
      <c r="AX805" s="15"/>
      <c r="AY805" s="15"/>
      <c r="AZ805" s="28"/>
      <c r="BA805" s="15"/>
      <c r="BB805" s="15"/>
      <c r="BC805" s="15"/>
      <c r="BD805" s="15"/>
      <c r="BE805" s="14"/>
      <c r="BF805" s="41">
        <f t="shared" ref="BF805:BG805" si="2547">K805+O805+S805+W805+AA805+AE805+AI805+AM805+AQ805+AU805+AY805+BC805</f>
        <v>1000</v>
      </c>
      <c r="BG805" s="34">
        <f t="shared" si="2547"/>
        <v>1000</v>
      </c>
      <c r="BH805" s="35">
        <f t="shared" si="2538"/>
        <v>0</v>
      </c>
    </row>
    <row r="806" ht="14.25" customHeight="1" spans="1:60" x14ac:dyDescent="0.25">
      <c r="A806" s="29">
        <v>106</v>
      </c>
      <c r="B806" s="14"/>
      <c r="C806" s="2" t="s">
        <v>338</v>
      </c>
      <c r="D806" s="14" t="s">
        <v>52</v>
      </c>
      <c r="E806" s="2" t="s">
        <v>39</v>
      </c>
      <c r="F806" s="41">
        <v>500</v>
      </c>
      <c r="G806" s="28"/>
      <c r="H806" s="34">
        <f>'2018'!BH806</f>
        <v>350</v>
      </c>
      <c r="I806" s="13"/>
      <c r="J806" s="15"/>
      <c r="K806" s="15"/>
      <c r="L806" s="28"/>
      <c r="Q806" s="13"/>
      <c r="R806" s="15"/>
      <c r="S806" s="15"/>
      <c r="T806" s="28"/>
      <c r="Y806" s="13"/>
      <c r="Z806" s="15"/>
      <c r="AA806" s="34">
        <f>$F$14</f>
        <v>500</v>
      </c>
      <c r="AB806" s="38">
        <v>350</v>
      </c>
      <c r="AG806" s="13"/>
      <c r="AH806" s="15"/>
      <c r="AI806" s="15"/>
      <c r="AJ806" s="38">
        <v>500</v>
      </c>
      <c r="AK806" s="13"/>
      <c r="AL806" s="15"/>
      <c r="AM806" s="15"/>
      <c r="AN806" s="28"/>
      <c r="AO806" s="13"/>
      <c r="AP806" s="15"/>
      <c r="AQ806" s="15"/>
      <c r="AR806" s="28"/>
      <c r="AS806" s="15"/>
      <c r="AT806" s="15"/>
      <c r="AU806" s="15"/>
      <c r="AV806" s="15"/>
      <c r="AW806" s="13"/>
      <c r="AX806" s="15"/>
      <c r="AY806" s="15"/>
      <c r="AZ806" s="28"/>
      <c r="BA806" s="15"/>
      <c r="BB806" s="15"/>
      <c r="BC806" s="15"/>
      <c r="BD806" s="15"/>
      <c r="BE806" s="14"/>
      <c r="BF806" s="41">
        <f t="shared" ref="BF806:BG806" si="2548">K806+O806+S806+W806+AA806+AE806+AI806+AM806+AQ806+AU806+AY806+BC806</f>
        <v>500</v>
      </c>
      <c r="BG806" s="34">
        <f t="shared" si="2548"/>
        <v>850</v>
      </c>
      <c r="BH806" s="35">
        <f t="shared" si="2538"/>
        <v>0</v>
      </c>
    </row>
    <row r="807" ht="14.25" customHeight="1" spans="1:62" x14ac:dyDescent="0.25">
      <c r="A807" s="50">
        <v>106</v>
      </c>
      <c r="B807" s="21"/>
      <c r="C807" s="22" t="s">
        <v>53</v>
      </c>
      <c r="D807" s="21"/>
      <c r="E807" s="22"/>
      <c r="F807" s="20"/>
      <c r="G807" s="23"/>
      <c r="H807" s="51">
        <f>SUM(H800:H806)</f>
        <v>1000.3616</v>
      </c>
      <c r="I807" s="52"/>
      <c r="J807" s="53"/>
      <c r="K807" s="51">
        <f t="shared" ref="K807:L807" si="2549">SUM(K800:K806)</f>
        <v>0</v>
      </c>
      <c r="L807" s="68">
        <f t="shared" si="2549"/>
        <v>0</v>
      </c>
      <c r="M807" s="53"/>
      <c r="N807" s="53"/>
      <c r="O807" s="51">
        <f t="shared" ref="O807:P807" si="2550">SUM(O801:O806)</f>
        <v>0</v>
      </c>
      <c r="P807" s="51">
        <f t="shared" si="2550"/>
        <v>0</v>
      </c>
      <c r="Q807" s="52"/>
      <c r="R807" s="53"/>
      <c r="S807" s="51">
        <f t="shared" ref="S807:T807" si="2551">SUM(S801:S806)</f>
        <v>0</v>
      </c>
      <c r="T807" s="68">
        <f t="shared" si="2551"/>
        <v>0</v>
      </c>
      <c r="U807" s="53"/>
      <c r="V807" s="53"/>
      <c r="W807" s="51">
        <f t="shared" ref="W807:X807" si="2552">SUM(W801:W806)</f>
        <v>0</v>
      </c>
      <c r="X807" s="51">
        <f t="shared" si="2552"/>
        <v>0</v>
      </c>
      <c r="Y807" s="52"/>
      <c r="Z807" s="53"/>
      <c r="AA807" s="51">
        <f t="shared" ref="AA807:AB807" si="2553">SUM(AA801:AA806)</f>
        <v>2785</v>
      </c>
      <c r="AB807" s="68">
        <f t="shared" si="2553"/>
        <v>1000.36</v>
      </c>
      <c r="AC807" s="53"/>
      <c r="AD807" s="53"/>
      <c r="AE807" s="51">
        <f t="shared" ref="AE807:AF807" si="2554">SUM(AE801:AE806)</f>
        <v>6484</v>
      </c>
      <c r="AF807" s="51">
        <f t="shared" si="2554"/>
        <v>0</v>
      </c>
      <c r="AG807" s="52"/>
      <c r="AH807" s="53"/>
      <c r="AI807" s="51">
        <f t="shared" ref="AI807:AJ807" si="2555">SUM(AI801:AI806)</f>
        <v>0</v>
      </c>
      <c r="AJ807" s="68">
        <f t="shared" si="2555"/>
        <v>7000</v>
      </c>
      <c r="AK807" s="52"/>
      <c r="AL807" s="53"/>
      <c r="AM807" s="51">
        <f t="shared" ref="AM807:AN807" si="2556">SUM(AM801:AM806)</f>
        <v>0</v>
      </c>
      <c r="AN807" s="68">
        <f t="shared" si="2556"/>
        <v>0</v>
      </c>
      <c r="AO807" s="52"/>
      <c r="AP807" s="53"/>
      <c r="AQ807" s="51">
        <f t="shared" ref="AQ807:AR807" si="2557">SUM(AQ800:AQ806)</f>
        <v>0</v>
      </c>
      <c r="AR807" s="68">
        <f t="shared" si="2557"/>
        <v>0</v>
      </c>
      <c r="AS807" s="53"/>
      <c r="AT807" s="53"/>
      <c r="AU807" s="51">
        <f t="shared" ref="AU807:AV807" si="2558">SUM(AU800:AU806)</f>
        <v>0</v>
      </c>
      <c r="AV807" s="68">
        <f t="shared" si="2558"/>
        <v>0</v>
      </c>
      <c r="AW807" s="52"/>
      <c r="AX807" s="53"/>
      <c r="AY807" s="51">
        <f t="shared" ref="AY807:AZ807" si="2559">SUM(AY800:AY806)</f>
        <v>0</v>
      </c>
      <c r="AZ807" s="68">
        <f t="shared" si="2559"/>
        <v>0</v>
      </c>
      <c r="BA807" s="53"/>
      <c r="BB807" s="53"/>
      <c r="BC807" s="51">
        <f t="shared" ref="BC807:BD807" si="2560">SUM(BC800:BC806)</f>
        <v>0</v>
      </c>
      <c r="BD807" s="68">
        <f t="shared" si="2560"/>
        <v>2269</v>
      </c>
      <c r="BE807" s="69"/>
      <c r="BF807" s="70">
        <f t="shared" ref="BF807:BH807" si="2561">SUM(BF800:BF806)</f>
        <v>9269</v>
      </c>
      <c r="BG807" s="71">
        <f t="shared" si="2561"/>
        <v>10269.36</v>
      </c>
      <c r="BH807" s="72">
        <f t="shared" si="2561"/>
        <v>0.001600000001</v>
      </c>
      <c r="BI807" s="34">
        <f>H807+BF807-BG807</f>
        <v>0.001600000001</v>
      </c>
      <c r="BJ807" s="34">
        <f>BH807-BI807</f>
        <v>0</v>
      </c>
    </row>
    <row r="808" ht="14.25" customHeight="1" spans="1:60" x14ac:dyDescent="0.25">
      <c r="A808" s="29">
        <v>108</v>
      </c>
      <c r="B808" s="14"/>
      <c r="D808" s="99" t="s">
        <v>132</v>
      </c>
      <c r="F808" s="13"/>
      <c r="G808" s="28"/>
      <c r="H808" s="34">
        <f>'2018'!BH808</f>
        <v>550</v>
      </c>
      <c r="I808" s="13"/>
      <c r="J808" s="15"/>
      <c r="K808" s="15"/>
      <c r="L808" s="28"/>
      <c r="Q808" s="13"/>
      <c r="R808" s="15"/>
      <c r="S808" s="15"/>
      <c r="T808" s="28"/>
      <c r="Y808" s="13"/>
      <c r="Z808" s="15"/>
      <c r="AA808" s="15"/>
      <c r="AB808" s="28"/>
      <c r="AG808" s="13"/>
      <c r="AH808" s="15"/>
      <c r="AI808" s="15"/>
      <c r="AJ808" s="28"/>
      <c r="AK808" s="13"/>
      <c r="AL808" s="15"/>
      <c r="AM808" s="15"/>
      <c r="AN808" s="28"/>
      <c r="AO808" s="13"/>
      <c r="AP808" s="15"/>
      <c r="AQ808" s="15">
        <v>87.14</v>
      </c>
      <c r="AR808" s="28"/>
      <c r="AU808" s="2">
        <v>90.05</v>
      </c>
      <c r="AW808" s="13"/>
      <c r="AX808" s="15"/>
      <c r="AY808" s="15">
        <v>87.14</v>
      </c>
      <c r="AZ808" s="28"/>
      <c r="BC808" s="2">
        <v>90.05</v>
      </c>
      <c r="BE808" s="14"/>
      <c r="BF808" s="41">
        <f t="shared" ref="BF808:BG808" si="2562">K808+O808+S808+W808+AA808+AE808+AI808+AM808+AQ808+AU808+AY808+BC808</f>
        <v>354.38</v>
      </c>
      <c r="BG808" s="34">
        <f t="shared" si="2562"/>
        <v>0</v>
      </c>
      <c r="BH808" s="35">
        <f t="shared" ref="BH808:BH814" si="2563">H808+BF808-BG808</f>
        <v>904.38</v>
      </c>
    </row>
    <row r="809" ht="14.25" customHeight="1" spans="1:60" x14ac:dyDescent="0.25">
      <c r="A809" s="2">
        <v>108</v>
      </c>
      <c r="B809" s="14">
        <v>4.32</v>
      </c>
      <c r="C809" s="2" t="s">
        <v>339</v>
      </c>
      <c r="D809" s="14" t="s">
        <v>44</v>
      </c>
      <c r="E809" s="2" t="s">
        <v>45</v>
      </c>
      <c r="F809" s="13">
        <v>2.49</v>
      </c>
      <c r="G809" s="35">
        <v>2.5</v>
      </c>
      <c r="H809" s="104">
        <f>'2018'!BH809</f>
        <v>0</v>
      </c>
      <c r="I809" s="13"/>
      <c r="J809" s="15"/>
      <c r="K809" s="34">
        <f>J809*$F$8</f>
        <v>0</v>
      </c>
      <c r="L809" s="28"/>
      <c r="N809" s="15">
        <f>M809-I809</f>
        <v>0</v>
      </c>
      <c r="O809" s="34">
        <f>N809*$F$8</f>
        <v>0</v>
      </c>
      <c r="Q809" s="13"/>
      <c r="R809" s="15">
        <f>Q809-M809</f>
        <v>0</v>
      </c>
      <c r="S809" s="34">
        <f>R809*$F$8</f>
        <v>0</v>
      </c>
      <c r="T809" s="28"/>
      <c r="V809" s="15">
        <f>U809-Q809</f>
        <v>0</v>
      </c>
      <c r="Y809" s="13"/>
      <c r="Z809" s="15">
        <f>Y809-U809</f>
        <v>0</v>
      </c>
      <c r="AA809" s="34">
        <f>Z809*$F$8</f>
        <v>0</v>
      </c>
      <c r="AB809" s="28"/>
      <c r="AC809" s="15"/>
      <c r="AD809" s="15">
        <f>AC809-Y809</f>
        <v>0</v>
      </c>
      <c r="AE809" s="34">
        <f>AD809*$G$8</f>
        <v>0</v>
      </c>
      <c r="AG809" s="13"/>
      <c r="AH809" s="15">
        <f t="shared" ref="AH809:AH810" si="2564">AG809-AC809</f>
        <v>0</v>
      </c>
      <c r="AI809" s="34">
        <f>AH809*$G$8</f>
        <v>0</v>
      </c>
      <c r="AJ809" s="28"/>
      <c r="AK809" s="13"/>
      <c r="AL809" s="15">
        <f t="shared" ref="AL809:AL810" si="2565">AK809-AG809</f>
        <v>0</v>
      </c>
      <c r="AM809" s="34">
        <f>AL809*$G$8</f>
        <v>0</v>
      </c>
      <c r="AN809" s="28"/>
      <c r="AO809" s="13"/>
      <c r="AP809" s="15">
        <f t="shared" ref="AP809:AP810" si="2566">AO809-AK809</f>
        <v>0</v>
      </c>
      <c r="AQ809" s="34">
        <f>AP809*$G$8</f>
        <v>0</v>
      </c>
      <c r="AR809" s="28"/>
      <c r="AS809" s="15"/>
      <c r="AT809" s="15">
        <f t="shared" ref="AT809:AT810" si="2567">AS809-AO809</f>
        <v>0</v>
      </c>
      <c r="AU809" s="34">
        <f>AT809*$G$8</f>
        <v>0</v>
      </c>
      <c r="AV809" s="15"/>
      <c r="AW809" s="13"/>
      <c r="AX809" s="15">
        <f>AW809-AS809</f>
        <v>0</v>
      </c>
      <c r="AY809" s="34">
        <f>AX809*$G$8</f>
        <v>0</v>
      </c>
      <c r="AZ809" s="28"/>
      <c r="BA809" s="15"/>
      <c r="BB809" s="15">
        <f>BA809-AW809</f>
        <v>0</v>
      </c>
      <c r="BC809" s="34">
        <f>BB809*$G$8</f>
        <v>0</v>
      </c>
      <c r="BD809" s="15"/>
      <c r="BE809" s="40">
        <f t="shared" ref="BE809:BG809" si="2568">J809+N809+R809+V809+Z809+AD809+AH809+AL809+AP809+AT809+AX809+BB809</f>
        <v>0</v>
      </c>
      <c r="BF809" s="41">
        <f t="shared" si="2568"/>
        <v>0</v>
      </c>
      <c r="BG809" s="34">
        <f t="shared" si="2568"/>
        <v>0</v>
      </c>
      <c r="BH809" s="35">
        <f t="shared" si="2563"/>
        <v>0</v>
      </c>
    </row>
    <row r="810" ht="14.25" customHeight="1" spans="1:60" x14ac:dyDescent="0.25">
      <c r="A810" s="29">
        <v>108</v>
      </c>
      <c r="B810" s="14"/>
      <c r="C810" s="73"/>
      <c r="D810" s="14" t="s">
        <v>47</v>
      </c>
      <c r="E810" s="2" t="s">
        <v>48</v>
      </c>
      <c r="F810" s="13">
        <v>17.98</v>
      </c>
      <c r="G810" s="28">
        <v>18.56</v>
      </c>
      <c r="H810" s="34">
        <f>'2018'!BH810</f>
        <v>0</v>
      </c>
      <c r="I810" s="13"/>
      <c r="J810" s="15"/>
      <c r="K810" s="15"/>
      <c r="L810" s="28"/>
      <c r="Q810" s="13"/>
      <c r="R810" s="15"/>
      <c r="S810" s="15"/>
      <c r="T810" s="28"/>
      <c r="Y810" s="13"/>
      <c r="Z810" s="15"/>
      <c r="AA810" s="15"/>
      <c r="AB810" s="28"/>
      <c r="AC810" s="15"/>
      <c r="AD810" s="15"/>
      <c r="AE810" s="34">
        <f>AD810*$F$10</f>
        <v>0</v>
      </c>
      <c r="AG810" s="13"/>
      <c r="AH810" s="15">
        <f t="shared" si="2564"/>
        <v>0</v>
      </c>
      <c r="AI810" s="45">
        <f>AH810*$G$10</f>
        <v>0</v>
      </c>
      <c r="AJ810" s="28"/>
      <c r="AK810" s="13"/>
      <c r="AL810" s="15">
        <f t="shared" si="2565"/>
        <v>0</v>
      </c>
      <c r="AM810" s="45">
        <f>AL810*$G$10</f>
        <v>0</v>
      </c>
      <c r="AN810" s="28"/>
      <c r="AO810" s="13"/>
      <c r="AP810" s="15">
        <f t="shared" si="2566"/>
        <v>0</v>
      </c>
      <c r="AQ810" s="45">
        <f>AP810*$G$10</f>
        <v>0</v>
      </c>
      <c r="AR810" s="28"/>
      <c r="AS810" s="13"/>
      <c r="AT810" s="15">
        <f t="shared" si="2567"/>
        <v>0</v>
      </c>
      <c r="AU810" s="45">
        <f>AT810*$G$10</f>
        <v>0</v>
      </c>
      <c r="AV810" s="15"/>
      <c r="AW810" s="13"/>
      <c r="AX810" s="15"/>
      <c r="AY810" s="15"/>
      <c r="AZ810" s="28"/>
      <c r="BA810" s="15"/>
      <c r="BB810" s="15"/>
      <c r="BC810" s="15"/>
      <c r="BD810" s="15"/>
      <c r="BE810" s="40">
        <f t="shared" ref="BE810:BG810" si="2569">J810+N810+R810+V810+Z810+AD810+AH810+AL810+AP810+AT810+AX810+BB810</f>
        <v>0</v>
      </c>
      <c r="BF810" s="41">
        <f t="shared" si="2569"/>
        <v>0</v>
      </c>
      <c r="BG810" s="34">
        <f t="shared" si="2569"/>
        <v>0</v>
      </c>
      <c r="BH810" s="35">
        <f t="shared" si="2563"/>
        <v>0</v>
      </c>
    </row>
    <row r="811" ht="14.25" customHeight="1" spans="1:60" x14ac:dyDescent="0.25">
      <c r="A811" s="29">
        <v>108</v>
      </c>
      <c r="B811" s="14"/>
      <c r="C811" s="73"/>
      <c r="D811" s="14" t="s">
        <v>47</v>
      </c>
      <c r="E811" s="2" t="s">
        <v>49</v>
      </c>
      <c r="F811" s="41">
        <v>500</v>
      </c>
      <c r="G811" s="28"/>
      <c r="H811" s="144">
        <f>'2018'!BH811</f>
        <v>0</v>
      </c>
      <c r="I811" s="13"/>
      <c r="J811" s="15"/>
      <c r="K811" s="15"/>
      <c r="L811" s="28"/>
      <c r="Q811" s="13"/>
      <c r="R811" s="15"/>
      <c r="S811" s="15"/>
      <c r="T811" s="28"/>
      <c r="Y811" s="13"/>
      <c r="Z811" s="15"/>
      <c r="AA811" s="34"/>
      <c r="AB811" s="28"/>
      <c r="AC811" s="15"/>
      <c r="AG811" s="13"/>
      <c r="AH811" s="15"/>
      <c r="AI811" s="15"/>
      <c r="AJ811" s="28"/>
      <c r="AK811" s="13"/>
      <c r="AL811" s="15"/>
      <c r="AM811" s="34"/>
      <c r="AN811" s="28"/>
      <c r="AO811" s="13"/>
      <c r="AP811" s="15"/>
      <c r="AQ811" s="34"/>
      <c r="AR811" s="28"/>
      <c r="AS811" s="15"/>
      <c r="AT811" s="15"/>
      <c r="AU811" s="15"/>
      <c r="AV811" s="15"/>
      <c r="AW811" s="13"/>
      <c r="AX811" s="15"/>
      <c r="AY811" s="15"/>
      <c r="AZ811" s="28"/>
      <c r="BA811" s="15"/>
      <c r="BB811" s="15"/>
      <c r="BC811" s="15"/>
      <c r="BD811" s="15"/>
      <c r="BE811" s="14"/>
      <c r="BF811" s="41">
        <f t="shared" ref="BF811:BG811" si="2570">K811+O811+S811+W811+AA811+AE811+AI811+AM811+AQ811+AU811+AY811+BC811</f>
        <v>0</v>
      </c>
      <c r="BG811" s="34">
        <f t="shared" si="2570"/>
        <v>0</v>
      </c>
      <c r="BH811" s="35">
        <f t="shared" si="2563"/>
        <v>0</v>
      </c>
    </row>
    <row r="812" ht="14.25" customHeight="1" spans="1:60" x14ac:dyDescent="0.25">
      <c r="A812" s="29">
        <v>108</v>
      </c>
      <c r="B812" s="14"/>
      <c r="D812" s="14" t="s">
        <v>50</v>
      </c>
      <c r="E812" s="2" t="s">
        <v>49</v>
      </c>
      <c r="F812" s="41">
        <v>1200</v>
      </c>
      <c r="G812" s="28"/>
      <c r="H812" s="34">
        <f>'2018'!BH812</f>
        <v>14095.6416</v>
      </c>
      <c r="I812" s="13"/>
      <c r="J812" s="15"/>
      <c r="K812" s="15"/>
      <c r="L812" s="28"/>
      <c r="Q812" s="13"/>
      <c r="R812" s="15"/>
      <c r="S812" s="15"/>
      <c r="T812" s="28"/>
      <c r="Y812" s="13"/>
      <c r="Z812" s="15"/>
      <c r="AA812" s="15"/>
      <c r="AB812" s="28"/>
      <c r="AE812" s="34">
        <f>B809*$F$12</f>
        <v>5184</v>
      </c>
      <c r="AG812" s="13"/>
      <c r="AH812" s="15"/>
      <c r="AI812" s="15"/>
      <c r="AJ812" s="28"/>
      <c r="AK812" s="13"/>
      <c r="AL812" s="15"/>
      <c r="AM812" s="15"/>
      <c r="AN812" s="28"/>
      <c r="AO812" s="13"/>
      <c r="AP812" s="15"/>
      <c r="AQ812" s="15"/>
      <c r="AR812" s="28"/>
      <c r="AS812" s="15"/>
      <c r="AT812" s="15"/>
      <c r="AU812" s="15"/>
      <c r="AV812" s="15"/>
      <c r="AW812" s="13"/>
      <c r="AX812" s="15"/>
      <c r="AY812" s="15"/>
      <c r="AZ812" s="28"/>
      <c r="BA812" s="15"/>
      <c r="BB812" s="15"/>
      <c r="BC812" s="15"/>
      <c r="BD812" s="15"/>
      <c r="BE812" s="14"/>
      <c r="BF812" s="41">
        <f t="shared" ref="BF812:BG812" si="2571">K812+O812+S812+W812+AA812+AE812+AI812+AM812+AQ812+AU812+AY812+BC812</f>
        <v>5184</v>
      </c>
      <c r="BG812" s="34">
        <f t="shared" si="2571"/>
        <v>0</v>
      </c>
      <c r="BH812" s="35">
        <f t="shared" si="2563"/>
        <v>19279.6416</v>
      </c>
    </row>
    <row r="813" ht="14.25" customHeight="1" spans="1:60" x14ac:dyDescent="0.25">
      <c r="A813" s="29">
        <v>108</v>
      </c>
      <c r="B813" s="14"/>
      <c r="D813" s="14" t="s">
        <v>51</v>
      </c>
      <c r="E813" s="2" t="s">
        <v>49</v>
      </c>
      <c r="F813" s="41">
        <v>1000</v>
      </c>
      <c r="G813" s="28"/>
      <c r="H813" s="34">
        <f>'2018'!BH813</f>
        <v>8768</v>
      </c>
      <c r="I813" s="13"/>
      <c r="J813" s="15"/>
      <c r="K813" s="15"/>
      <c r="L813" s="28"/>
      <c r="Q813" s="13"/>
      <c r="R813" s="15"/>
      <c r="S813" s="15"/>
      <c r="T813" s="28"/>
      <c r="Y813" s="13"/>
      <c r="Z813" s="15"/>
      <c r="AA813" s="15"/>
      <c r="AB813" s="28"/>
      <c r="AE813" s="34">
        <f>$F$21</f>
        <v>1000</v>
      </c>
      <c r="AG813" s="13"/>
      <c r="AH813" s="15"/>
      <c r="AI813" s="15"/>
      <c r="AJ813" s="28"/>
      <c r="AK813" s="13"/>
      <c r="AL813" s="15"/>
      <c r="AM813" s="15"/>
      <c r="AN813" s="28"/>
      <c r="AO813" s="13"/>
      <c r="AP813" s="15"/>
      <c r="AQ813" s="15"/>
      <c r="AR813" s="28"/>
      <c r="AS813" s="15"/>
      <c r="AT813" s="15"/>
      <c r="AU813" s="15"/>
      <c r="AV813" s="15"/>
      <c r="AW813" s="13"/>
      <c r="AX813" s="15"/>
      <c r="AY813" s="15"/>
      <c r="AZ813" s="28"/>
      <c r="BA813" s="15"/>
      <c r="BB813" s="15"/>
      <c r="BC813" s="15"/>
      <c r="BD813" s="15"/>
      <c r="BE813" s="14"/>
      <c r="BF813" s="41">
        <f t="shared" ref="BF813:BG813" si="2572">K813+O813+S813+W813+AA813+AE813+AI813+AM813+AQ813+AU813+AY813+BC813</f>
        <v>1000</v>
      </c>
      <c r="BG813" s="34">
        <f t="shared" si="2572"/>
        <v>0</v>
      </c>
      <c r="BH813" s="35">
        <f t="shared" si="2563"/>
        <v>9768</v>
      </c>
    </row>
    <row r="814" ht="14.25" customHeight="1" spans="1:60" x14ac:dyDescent="0.25">
      <c r="A814" s="29">
        <v>108</v>
      </c>
      <c r="B814" s="14"/>
      <c r="D814" s="14" t="s">
        <v>52</v>
      </c>
      <c r="E814" s="2" t="s">
        <v>39</v>
      </c>
      <c r="F814" s="41">
        <v>500</v>
      </c>
      <c r="G814" s="28"/>
      <c r="H814" s="34">
        <f>'2018'!BH814</f>
        <v>650</v>
      </c>
      <c r="I814" s="13"/>
      <c r="J814" s="15"/>
      <c r="K814" s="15"/>
      <c r="L814" s="28"/>
      <c r="Q814" s="13"/>
      <c r="R814" s="15"/>
      <c r="S814" s="15"/>
      <c r="T814" s="28"/>
      <c r="Y814" s="13"/>
      <c r="Z814" s="15"/>
      <c r="AA814" s="34">
        <f>$F$14</f>
        <v>500</v>
      </c>
      <c r="AB814" s="28"/>
      <c r="AG814" s="13"/>
      <c r="AH814" s="15"/>
      <c r="AI814" s="15"/>
      <c r="AJ814" s="28"/>
      <c r="AK814" s="13"/>
      <c r="AL814" s="15"/>
      <c r="AM814" s="15"/>
      <c r="AN814" s="28"/>
      <c r="AO814" s="13"/>
      <c r="AP814" s="15"/>
      <c r="AQ814" s="15"/>
      <c r="AR814" s="28"/>
      <c r="AS814" s="15"/>
      <c r="AT814" s="15"/>
      <c r="AU814" s="15"/>
      <c r="AV814" s="15"/>
      <c r="AW814" s="13"/>
      <c r="AX814" s="15"/>
      <c r="AY814" s="15"/>
      <c r="AZ814" s="28"/>
      <c r="BA814" s="15"/>
      <c r="BB814" s="15"/>
      <c r="BC814" s="15"/>
      <c r="BD814" s="15"/>
      <c r="BE814" s="14"/>
      <c r="BF814" s="41">
        <f t="shared" ref="BF814:BG814" si="2573">K814+O814+S814+W814+AA814+AE814+AI814+AM814+AQ814+AU814+AY814+BC814</f>
        <v>500</v>
      </c>
      <c r="BG814" s="34">
        <f t="shared" si="2573"/>
        <v>0</v>
      </c>
      <c r="BH814" s="35">
        <f t="shared" si="2563"/>
        <v>1150</v>
      </c>
    </row>
    <row r="815" ht="14.25" customHeight="1" spans="1:62" x14ac:dyDescent="0.25">
      <c r="A815" s="50">
        <v>108</v>
      </c>
      <c r="B815" s="21"/>
      <c r="C815" s="22" t="s">
        <v>53</v>
      </c>
      <c r="D815" s="21"/>
      <c r="E815" s="22"/>
      <c r="F815" s="20"/>
      <c r="G815" s="23"/>
      <c r="H815" s="51">
        <f>SUM(H808:H814)</f>
        <v>24063.6416</v>
      </c>
      <c r="I815" s="52"/>
      <c r="J815" s="53"/>
      <c r="K815" s="51">
        <f t="shared" ref="K815:L815" si="2574">SUM(K808:K814)</f>
        <v>0</v>
      </c>
      <c r="L815" s="68">
        <f t="shared" si="2574"/>
        <v>0</v>
      </c>
      <c r="M815" s="53"/>
      <c r="N815" s="53"/>
      <c r="O815" s="51">
        <f t="shared" ref="O815:P815" si="2575">SUM(O809:O814)</f>
        <v>0</v>
      </c>
      <c r="P815" s="51">
        <f t="shared" si="2575"/>
        <v>0</v>
      </c>
      <c r="Q815" s="52"/>
      <c r="R815" s="53"/>
      <c r="S815" s="51">
        <f t="shared" ref="S815:T815" si="2576">SUM(S809:S814)</f>
        <v>0</v>
      </c>
      <c r="T815" s="68">
        <f t="shared" si="2576"/>
        <v>0</v>
      </c>
      <c r="U815" s="53"/>
      <c r="V815" s="53"/>
      <c r="W815" s="51">
        <f t="shared" ref="W815:X815" si="2577">SUM(W809:W814)</f>
        <v>0</v>
      </c>
      <c r="X815" s="51">
        <f t="shared" si="2577"/>
        <v>0</v>
      </c>
      <c r="Y815" s="52"/>
      <c r="Z815" s="53"/>
      <c r="AA815" s="51">
        <f t="shared" ref="AA815:AB815" si="2578">SUM(AA809:AA814)</f>
        <v>500</v>
      </c>
      <c r="AB815" s="68">
        <f t="shared" si="2578"/>
        <v>0</v>
      </c>
      <c r="AC815" s="53"/>
      <c r="AD815" s="53"/>
      <c r="AE815" s="51">
        <f t="shared" ref="AE815:AF815" si="2579">SUM(AE809:AE814)</f>
        <v>6184</v>
      </c>
      <c r="AF815" s="51">
        <f t="shared" si="2579"/>
        <v>0</v>
      </c>
      <c r="AG815" s="52"/>
      <c r="AH815" s="53"/>
      <c r="AI815" s="51">
        <f t="shared" ref="AI815:AJ815" si="2580">SUM(AI809:AI814)</f>
        <v>0</v>
      </c>
      <c r="AJ815" s="68">
        <f t="shared" si="2580"/>
        <v>0</v>
      </c>
      <c r="AK815" s="52"/>
      <c r="AL815" s="53"/>
      <c r="AM815" s="51">
        <f t="shared" ref="AM815:AN815" si="2581">SUM(AM809:AM814)</f>
        <v>0</v>
      </c>
      <c r="AN815" s="68">
        <f t="shared" si="2581"/>
        <v>0</v>
      </c>
      <c r="AO815" s="52"/>
      <c r="AP815" s="53"/>
      <c r="AQ815" s="51">
        <f t="shared" ref="AQ815:AR815" si="2582">SUM(AQ808:AQ814)</f>
        <v>87.14</v>
      </c>
      <c r="AR815" s="68">
        <f t="shared" si="2582"/>
        <v>0</v>
      </c>
      <c r="AS815" s="53"/>
      <c r="AT815" s="53"/>
      <c r="AU815" s="51">
        <f t="shared" ref="AU815:AV815" si="2583">SUM(AU808:AU814)</f>
        <v>90.05</v>
      </c>
      <c r="AV815" s="51">
        <f t="shared" si="2583"/>
        <v>0</v>
      </c>
      <c r="AW815" s="52"/>
      <c r="AX815" s="53"/>
      <c r="AY815" s="51">
        <f t="shared" ref="AY815:AZ815" si="2584">SUM(AY808:AY814)</f>
        <v>87.14</v>
      </c>
      <c r="AZ815" s="51">
        <f t="shared" si="2584"/>
        <v>0</v>
      </c>
      <c r="BA815" s="52"/>
      <c r="BB815" s="53"/>
      <c r="BC815" s="51">
        <f t="shared" ref="BC815:BD815" si="2585">SUM(BC808:BC814)</f>
        <v>90.05</v>
      </c>
      <c r="BD815" s="51">
        <f t="shared" si="2585"/>
        <v>0</v>
      </c>
      <c r="BE815" s="69"/>
      <c r="BF815" s="70">
        <f t="shared" ref="BF815:BH815" si="2586">SUM(BF808:BF814)</f>
        <v>7038.38</v>
      </c>
      <c r="BG815" s="71">
        <f t="shared" si="2586"/>
        <v>0</v>
      </c>
      <c r="BH815" s="72">
        <f t="shared" si="2586"/>
        <v>31102.0216</v>
      </c>
      <c r="BI815" s="34">
        <f>H815+BF815-BG815</f>
        <v>31102.0216</v>
      </c>
      <c r="BJ815" s="34">
        <f>BH815-BI815</f>
        <v>0</v>
      </c>
    </row>
    <row r="816" ht="14.25" customHeight="1" spans="1:60" x14ac:dyDescent="0.25">
      <c r="A816" s="29">
        <v>109</v>
      </c>
      <c r="B816" s="14"/>
      <c r="D816" s="14" t="s">
        <v>379</v>
      </c>
      <c r="F816" s="13"/>
      <c r="G816" s="28"/>
      <c r="H816" s="34">
        <f>'2018'!BH816</f>
      </c>
      <c r="I816" s="13"/>
      <c r="J816" s="15"/>
      <c r="K816" s="15"/>
      <c r="L816" s="28"/>
      <c r="Q816" s="13"/>
      <c r="R816" s="15"/>
      <c r="S816" s="15"/>
      <c r="T816" s="28"/>
      <c r="Y816" s="13"/>
      <c r="Z816" s="15"/>
      <c r="AA816" s="15"/>
      <c r="AB816" s="28"/>
      <c r="AG816" s="13"/>
      <c r="AH816" s="15"/>
      <c r="AI816" s="15"/>
      <c r="AJ816" s="28"/>
      <c r="AK816" s="13"/>
      <c r="AL816" s="15"/>
      <c r="AM816" s="15"/>
      <c r="AN816" s="28"/>
      <c r="AO816" s="13"/>
      <c r="AP816" s="15"/>
      <c r="AQ816" s="15">
        <v>25.39</v>
      </c>
      <c r="AR816" s="28"/>
      <c r="AU816" s="2">
        <v>26.24</v>
      </c>
      <c r="AW816" s="13"/>
      <c r="AX816" s="15"/>
      <c r="AY816" s="15">
        <v>22.01</v>
      </c>
      <c r="AZ816" s="38">
        <f>25.39+0.51</f>
        <v>25.9</v>
      </c>
      <c r="BE816" s="14"/>
      <c r="BF816" s="41">
        <f t="shared" ref="BF816:BG816" si="2587">K816+O816+S816+W816+AA816+AE816+AI816+AM816+AQ816+AU816+AY816+BC816</f>
        <v>73.64</v>
      </c>
      <c r="BG816" s="34">
        <f t="shared" si="2587"/>
        <v>25.9</v>
      </c>
      <c r="BH816" s="35">
        <f t="shared" ref="BH816:BH822" si="2588">H816+BF816-BG816</f>
        <v>47.74</v>
      </c>
    </row>
    <row r="817" ht="14.25" customHeight="1" spans="1:60" x14ac:dyDescent="0.25">
      <c r="A817" s="2">
        <v>109</v>
      </c>
      <c r="B817" s="14">
        <v>6.22</v>
      </c>
      <c r="C817" s="2" t="s">
        <v>455</v>
      </c>
      <c r="D817" s="14" t="s">
        <v>44</v>
      </c>
      <c r="E817" s="2" t="s">
        <v>45</v>
      </c>
      <c r="F817" s="13">
        <v>2.49</v>
      </c>
      <c r="G817" s="35">
        <v>2.5</v>
      </c>
      <c r="H817" s="34">
        <f>'2018'!BH817</f>
        <v>0</v>
      </c>
      <c r="I817" s="13"/>
      <c r="J817" s="15"/>
      <c r="K817" s="34">
        <f>J817*$F$8</f>
        <v>0</v>
      </c>
      <c r="L817" s="28"/>
      <c r="N817" s="15">
        <f>M817-I817</f>
        <v>0</v>
      </c>
      <c r="O817" s="34">
        <f>N817*$F$8</f>
        <v>0</v>
      </c>
      <c r="Q817" s="13"/>
      <c r="R817" s="15">
        <f>Q817-M817</f>
        <v>0</v>
      </c>
      <c r="S817" s="34">
        <f>R817*$F$8</f>
        <v>0</v>
      </c>
      <c r="T817" s="28"/>
      <c r="V817" s="15">
        <f>U817-Q817</f>
        <v>0</v>
      </c>
      <c r="Y817" s="13">
        <v>8</v>
      </c>
      <c r="Z817" s="15">
        <f>Y817-U817</f>
        <v>8</v>
      </c>
      <c r="AA817" s="34">
        <f>Z817*$F$8</f>
        <v>19.92</v>
      </c>
      <c r="AB817" s="28"/>
      <c r="AC817" s="73">
        <v>8</v>
      </c>
      <c r="AD817" s="15">
        <f t="shared" ref="AD817:AD818" si="2589">AC817-Y817</f>
        <v>0</v>
      </c>
      <c r="AE817" s="34">
        <f>AD817*$G$8</f>
        <v>0</v>
      </c>
      <c r="AG817" s="75">
        <v>24</v>
      </c>
      <c r="AH817" s="15">
        <f t="shared" ref="AH817:AH818" si="2590">AG817-AC817</f>
        <v>16</v>
      </c>
      <c r="AI817" s="34">
        <f>AH817*$G$8</f>
        <v>40</v>
      </c>
      <c r="AJ817" s="28"/>
      <c r="AK817" s="13">
        <v>32</v>
      </c>
      <c r="AL817" s="15">
        <f t="shared" ref="AL817:AL818" si="2591">AK817-AG817</f>
        <v>8</v>
      </c>
      <c r="AM817" s="34">
        <f>AL817*$G$8</f>
        <v>20</v>
      </c>
      <c r="AN817" s="28"/>
      <c r="AO817" s="95">
        <v>35</v>
      </c>
      <c r="AP817" s="15">
        <f t="shared" ref="AP817:AP818" si="2592">AO817-AK817</f>
        <v>3</v>
      </c>
      <c r="AQ817" s="34">
        <f>AP817*$G$8</f>
        <v>7.5</v>
      </c>
      <c r="AR817" s="28"/>
      <c r="AS817" s="75">
        <v>35</v>
      </c>
      <c r="AT817" s="15">
        <f t="shared" ref="AT817:AT818" si="2593">AS817-AO817</f>
        <v>0</v>
      </c>
      <c r="AU817" s="34">
        <f t="shared" ref="AU817:AU818" si="2594">AT817*$G$8</f>
        <v>0</v>
      </c>
      <c r="AV817" s="15"/>
      <c r="AW817" s="13">
        <v>35</v>
      </c>
      <c r="AX817" s="15">
        <f>AW817-AS817</f>
        <v>0</v>
      </c>
      <c r="AY817" s="34">
        <f>AX817*$G$8</f>
        <v>0</v>
      </c>
      <c r="AZ817" s="32">
        <v>87.42</v>
      </c>
      <c r="BA817" s="13">
        <v>35</v>
      </c>
      <c r="BB817" s="15">
        <f>BA817-AW817</f>
        <v>0</v>
      </c>
      <c r="BC817" s="34">
        <f>BB817*$G$8</f>
        <v>0</v>
      </c>
      <c r="BD817" s="15"/>
      <c r="BE817" s="40">
        <f t="shared" ref="BE817:BG817" si="2595">J817+N817+R817+V817+Z817+AD817+AH817+AL817+AP817+AT817+AX817+BB817</f>
        <v>35</v>
      </c>
      <c r="BF817" s="41">
        <f t="shared" si="2595"/>
        <v>87.42</v>
      </c>
      <c r="BG817" s="34">
        <f t="shared" si="2595"/>
        <v>87.42</v>
      </c>
      <c r="BH817" s="35">
        <f t="shared" si="2588"/>
        <v>0</v>
      </c>
    </row>
    <row r="818" ht="14.25" customHeight="1" spans="1:60" x14ac:dyDescent="0.25">
      <c r="A818" s="29">
        <v>109</v>
      </c>
      <c r="B818" s="14"/>
      <c r="C818" s="15" t="s">
        <v>456</v>
      </c>
      <c r="D818" s="14" t="s">
        <v>47</v>
      </c>
      <c r="E818" s="2" t="s">
        <v>48</v>
      </c>
      <c r="F818" s="13">
        <v>17.98</v>
      </c>
      <c r="G818" s="28">
        <v>18.56</v>
      </c>
      <c r="H818" s="34">
        <f>'2018'!BH818</f>
        <v>0</v>
      </c>
      <c r="I818" s="94">
        <v>6</v>
      </c>
      <c r="J818" s="15"/>
      <c r="K818" s="15"/>
      <c r="L818" s="28"/>
      <c r="Q818" s="13"/>
      <c r="R818" s="15"/>
      <c r="S818" s="15"/>
      <c r="T818" s="28"/>
      <c r="Y818" s="95">
        <v>1</v>
      </c>
      <c r="Z818" s="15">
        <v>0</v>
      </c>
      <c r="AA818" s="34">
        <f>Z818*$F$10</f>
        <v>0</v>
      </c>
      <c r="AB818" s="28"/>
      <c r="AC818" s="15">
        <v>1</v>
      </c>
      <c r="AD818" s="15">
        <f t="shared" si="2589"/>
        <v>0</v>
      </c>
      <c r="AE818" s="34">
        <f>AD818*$F$10</f>
        <v>0</v>
      </c>
      <c r="AG818" s="13">
        <v>2</v>
      </c>
      <c r="AH818" s="15">
        <f t="shared" si="2590"/>
        <v>1</v>
      </c>
      <c r="AI818" s="45">
        <f>AH818*$G$10</f>
        <v>18.56</v>
      </c>
      <c r="AJ818" s="28"/>
      <c r="AK818" s="13">
        <v>4</v>
      </c>
      <c r="AL818" s="15">
        <f t="shared" si="2591"/>
        <v>2</v>
      </c>
      <c r="AM818" s="45">
        <f>AL818*$G$10</f>
        <v>37.12</v>
      </c>
      <c r="AN818" s="28"/>
      <c r="AO818" s="13">
        <v>4</v>
      </c>
      <c r="AP818" s="15">
        <f t="shared" si="2592"/>
        <v>0</v>
      </c>
      <c r="AQ818" s="45">
        <f>AP818*$G$10</f>
        <v>0</v>
      </c>
      <c r="AR818" s="28"/>
      <c r="AS818" s="13">
        <v>4</v>
      </c>
      <c r="AT818" s="15">
        <f t="shared" si="2593"/>
        <v>0</v>
      </c>
      <c r="AU818" s="34">
        <f t="shared" si="2594"/>
        <v>0</v>
      </c>
      <c r="AV818" s="15"/>
      <c r="AW818" s="13">
        <v>4</v>
      </c>
      <c r="AX818" s="15"/>
      <c r="AY818" s="15"/>
      <c r="AZ818" s="38">
        <v>55.68</v>
      </c>
      <c r="BA818" s="15">
        <v>4</v>
      </c>
      <c r="BB818" s="15"/>
      <c r="BC818" s="15"/>
      <c r="BD818" s="15"/>
      <c r="BE818" s="40">
        <f t="shared" ref="BE818:BG818" si="2596">J818+N818+R818+V818+Z818+AD818+AH818+AL818+AP818+AT818+AX818+BB818</f>
        <v>3</v>
      </c>
      <c r="BF818" s="41">
        <f t="shared" si="2596"/>
        <v>55.68</v>
      </c>
      <c r="BG818" s="34">
        <f t="shared" si="2596"/>
        <v>55.68</v>
      </c>
      <c r="BH818" s="35">
        <f t="shared" si="2588"/>
        <v>0</v>
      </c>
    </row>
    <row r="819" ht="14.25" customHeight="1" spans="1:60" x14ac:dyDescent="0.25">
      <c r="A819" s="29">
        <v>109</v>
      </c>
      <c r="B819" s="14"/>
      <c r="C819" s="15" t="s">
        <v>111</v>
      </c>
      <c r="D819" s="14" t="s">
        <v>47</v>
      </c>
      <c r="E819" s="2" t="s">
        <v>49</v>
      </c>
      <c r="F819" s="41">
        <v>500</v>
      </c>
      <c r="G819" s="28"/>
      <c r="H819" s="34">
        <f>'2018'!BH819</f>
        <v>0</v>
      </c>
      <c r="I819" s="13"/>
      <c r="J819" s="15"/>
      <c r="K819" s="15"/>
      <c r="L819" s="28"/>
      <c r="Q819" s="13"/>
      <c r="R819" s="15"/>
      <c r="S819" s="15"/>
      <c r="T819" s="28"/>
      <c r="Y819" s="13"/>
      <c r="Z819" s="15"/>
      <c r="AA819" s="15"/>
      <c r="AB819" s="28"/>
      <c r="AG819" s="13"/>
      <c r="AH819" s="15"/>
      <c r="AI819" s="15"/>
      <c r="AJ819" s="28"/>
      <c r="AK819" s="13"/>
      <c r="AL819" s="15"/>
      <c r="AM819" s="34"/>
      <c r="AN819" s="28"/>
      <c r="AO819" s="13"/>
      <c r="AP819" s="15"/>
      <c r="AQ819" s="34"/>
      <c r="AR819" s="28"/>
      <c r="AS819" s="15"/>
      <c r="AT819" s="15"/>
      <c r="AU819" s="15"/>
      <c r="AV819" s="15"/>
      <c r="AW819" s="13"/>
      <c r="AX819" s="15"/>
      <c r="AY819" s="15"/>
      <c r="AZ819" s="28"/>
      <c r="BA819" s="15"/>
      <c r="BB819" s="15"/>
      <c r="BC819" s="15"/>
      <c r="BD819" s="15"/>
      <c r="BE819" s="14"/>
      <c r="BF819" s="41">
        <f t="shared" ref="BF819:BG819" si="2597">K819+O819+S819+W819+AA819+AE819+AI819+AM819+AQ819+AU819+AY819+BC819</f>
        <v>0</v>
      </c>
      <c r="BG819" s="34">
        <f t="shared" si="2597"/>
        <v>0</v>
      </c>
      <c r="BH819" s="35">
        <f t="shared" si="2588"/>
        <v>0</v>
      </c>
    </row>
    <row r="820" ht="14.25" customHeight="1" spans="1:60" x14ac:dyDescent="0.25">
      <c r="A820" s="29">
        <v>109</v>
      </c>
      <c r="B820" s="14"/>
      <c r="C820" s="15" t="s">
        <v>457</v>
      </c>
      <c r="D820" s="14" t="s">
        <v>50</v>
      </c>
      <c r="E820" s="2" t="s">
        <v>49</v>
      </c>
      <c r="F820" s="41">
        <v>1200</v>
      </c>
      <c r="G820" s="28"/>
      <c r="H820" s="34">
        <f>'2018'!BH820</f>
        <v>0.003600000001</v>
      </c>
      <c r="I820" s="13"/>
      <c r="J820" s="15"/>
      <c r="K820" s="15"/>
      <c r="L820" s="28"/>
      <c r="Q820" s="13"/>
      <c r="R820" s="15"/>
      <c r="S820" s="15"/>
      <c r="T820" s="28"/>
      <c r="Y820" s="13"/>
      <c r="Z820" s="15"/>
      <c r="AA820" s="15"/>
      <c r="AB820" s="28"/>
      <c r="AE820" s="34">
        <f>B817*$F$12</f>
        <v>7464</v>
      </c>
      <c r="AG820" s="13"/>
      <c r="AH820" s="15"/>
      <c r="AI820" s="15"/>
      <c r="AJ820" s="28"/>
      <c r="AK820" s="13"/>
      <c r="AL820" s="15"/>
      <c r="AM820" s="15"/>
      <c r="AN820" s="28"/>
      <c r="AO820" s="13"/>
      <c r="AP820" s="15"/>
      <c r="AQ820" s="15"/>
      <c r="AR820" s="28"/>
      <c r="AS820" s="15"/>
      <c r="AT820" s="15"/>
      <c r="AU820" s="15"/>
      <c r="AV820" s="15"/>
      <c r="AW820" s="13"/>
      <c r="AX820" s="15"/>
      <c r="AY820" s="15"/>
      <c r="AZ820" s="38">
        <v>7464</v>
      </c>
      <c r="BA820" s="15"/>
      <c r="BB820" s="15"/>
      <c r="BC820" s="15"/>
      <c r="BD820" s="15"/>
      <c r="BE820" s="14"/>
      <c r="BF820" s="41">
        <f t="shared" ref="BF820:BG820" si="2598">K820+O820+S820+W820+AA820+AE820+AI820+AM820+AQ820+AU820+AY820+BC820</f>
        <v>7464</v>
      </c>
      <c r="BG820" s="34">
        <f t="shared" si="2598"/>
        <v>7464</v>
      </c>
      <c r="BH820" s="35">
        <f t="shared" si="2588"/>
        <v>0.003600000001</v>
      </c>
    </row>
    <row r="821" ht="14.25" customHeight="1" spans="1:60" x14ac:dyDescent="0.25">
      <c r="A821" s="29">
        <v>109</v>
      </c>
      <c r="B821" s="14"/>
      <c r="D821" s="14" t="s">
        <v>51</v>
      </c>
      <c r="E821" s="2" t="s">
        <v>49</v>
      </c>
      <c r="F821" s="41">
        <v>1000</v>
      </c>
      <c r="G821" s="28"/>
      <c r="H821" s="34">
        <f>'2018'!BH821</f>
        <v>0</v>
      </c>
      <c r="I821" s="13"/>
      <c r="J821" s="15"/>
      <c r="K821" s="15"/>
      <c r="L821" s="28"/>
      <c r="Q821" s="13"/>
      <c r="R821" s="15"/>
      <c r="S821" s="15"/>
      <c r="T821" s="28"/>
      <c r="Y821" s="13"/>
      <c r="Z821" s="15"/>
      <c r="AA821" s="15"/>
      <c r="AB821" s="28"/>
      <c r="AE821" s="34">
        <f>$F$21</f>
        <v>1000</v>
      </c>
      <c r="AG821" s="13"/>
      <c r="AH821" s="15"/>
      <c r="AI821" s="15"/>
      <c r="AJ821" s="28"/>
      <c r="AK821" s="13"/>
      <c r="AL821" s="15"/>
      <c r="AM821" s="15"/>
      <c r="AN821" s="28"/>
      <c r="AO821" s="13"/>
      <c r="AP821" s="15"/>
      <c r="AQ821" s="15"/>
      <c r="AR821" s="28"/>
      <c r="AS821" s="15"/>
      <c r="AT821" s="15"/>
      <c r="AU821" s="15"/>
      <c r="AV821" s="15"/>
      <c r="AW821" s="13"/>
      <c r="AX821" s="15"/>
      <c r="AY821" s="15"/>
      <c r="AZ821" s="38">
        <v>1000</v>
      </c>
      <c r="BA821" s="15"/>
      <c r="BB821" s="15"/>
      <c r="BC821" s="15"/>
      <c r="BD821" s="15"/>
      <c r="BE821" s="14"/>
      <c r="BF821" s="41">
        <f t="shared" ref="BF821:BG821" si="2599">K821+O821+S821+W821+AA821+AE821+AI821+AM821+AQ821+AU821+AY821+BC821</f>
        <v>1000</v>
      </c>
      <c r="BG821" s="34">
        <f t="shared" si="2599"/>
        <v>1000</v>
      </c>
      <c r="BH821" s="35">
        <f t="shared" si="2588"/>
        <v>0</v>
      </c>
    </row>
    <row r="822" ht="14.25" customHeight="1" spans="1:60" x14ac:dyDescent="0.25">
      <c r="A822" s="29">
        <v>109</v>
      </c>
      <c r="B822" s="14"/>
      <c r="C822" s="15"/>
      <c r="D822" s="14" t="s">
        <v>52</v>
      </c>
      <c r="E822" s="2" t="s">
        <v>39</v>
      </c>
      <c r="F822" s="41">
        <v>500</v>
      </c>
      <c r="G822" s="28"/>
      <c r="H822" s="34">
        <f>'2018'!BH822</f>
        <v>0</v>
      </c>
      <c r="I822" s="13"/>
      <c r="J822" s="15"/>
      <c r="K822" s="15"/>
      <c r="L822" s="28"/>
      <c r="Q822" s="13"/>
      <c r="R822" s="15"/>
      <c r="S822" s="15"/>
      <c r="T822" s="28"/>
      <c r="Y822" s="13"/>
      <c r="Z822" s="15"/>
      <c r="AA822" s="34">
        <f>$F$14</f>
        <v>500</v>
      </c>
      <c r="AB822" s="28"/>
      <c r="AG822" s="13"/>
      <c r="AH822" s="15"/>
      <c r="AI822" s="15"/>
      <c r="AJ822" s="28"/>
      <c r="AK822" s="13"/>
      <c r="AL822" s="15"/>
      <c r="AM822" s="15"/>
      <c r="AN822" s="28"/>
      <c r="AO822" s="13"/>
      <c r="AP822" s="15"/>
      <c r="AQ822" s="15"/>
      <c r="AR822" s="35"/>
      <c r="AS822" s="15"/>
      <c r="AT822" s="15"/>
      <c r="AU822" s="15"/>
      <c r="AV822" s="15"/>
      <c r="AW822" s="13"/>
      <c r="AX822" s="15"/>
      <c r="AY822" s="15"/>
      <c r="AZ822" s="38">
        <v>500</v>
      </c>
      <c r="BA822" s="15"/>
      <c r="BB822" s="15"/>
      <c r="BC822" s="15"/>
      <c r="BD822" s="15"/>
      <c r="BE822" s="14"/>
      <c r="BF822" s="41">
        <f t="shared" ref="BF822:BG822" si="2600">K822+O822+S822+W822+AA822+AE822+AI822+AM822+AQ822+AU822+AY822+BC822</f>
        <v>500</v>
      </c>
      <c r="BG822" s="34">
        <f t="shared" si="2600"/>
        <v>500</v>
      </c>
      <c r="BH822" s="35">
        <f t="shared" si="2588"/>
        <v>0</v>
      </c>
    </row>
    <row r="823" ht="14.25" customHeight="1" spans="1:62" x14ac:dyDescent="0.25">
      <c r="A823" s="50">
        <v>109</v>
      </c>
      <c r="B823" s="21"/>
      <c r="C823" s="22" t="s">
        <v>53</v>
      </c>
      <c r="D823" s="21"/>
      <c r="E823" s="22"/>
      <c r="F823" s="20"/>
      <c r="G823" s="23"/>
      <c r="H823" s="51">
        <f>SUM(H816:H822)</f>
        <v>0.003600000001</v>
      </c>
      <c r="I823" s="52"/>
      <c r="J823" s="53"/>
      <c r="K823" s="51">
        <f t="shared" ref="K823:L823" si="2601">SUM(K816:K822)</f>
        <v>0</v>
      </c>
      <c r="L823" s="68">
        <f t="shared" si="2601"/>
        <v>0</v>
      </c>
      <c r="M823" s="53"/>
      <c r="N823" s="53"/>
      <c r="O823" s="51">
        <f t="shared" ref="O823:P823" si="2602">SUM(O817:O822)</f>
        <v>0</v>
      </c>
      <c r="P823" s="51">
        <f t="shared" si="2602"/>
        <v>0</v>
      </c>
      <c r="Q823" s="52"/>
      <c r="R823" s="53"/>
      <c r="S823" s="51">
        <f t="shared" ref="S823:T823" si="2603">SUM(S817:S822)</f>
        <v>0</v>
      </c>
      <c r="T823" s="68">
        <f t="shared" si="2603"/>
        <v>0</v>
      </c>
      <c r="U823" s="53"/>
      <c r="V823" s="53"/>
      <c r="W823" s="51">
        <f t="shared" ref="W823:X823" si="2604">SUM(W817:W822)</f>
        <v>0</v>
      </c>
      <c r="X823" s="51">
        <f t="shared" si="2604"/>
        <v>0</v>
      </c>
      <c r="Y823" s="52"/>
      <c r="Z823" s="53"/>
      <c r="AA823" s="51">
        <f t="shared" ref="AA823:AB823" si="2605">SUM(AA817:AA822)</f>
        <v>519.92</v>
      </c>
      <c r="AB823" s="68">
        <f t="shared" si="2605"/>
        <v>0</v>
      </c>
      <c r="AC823" s="53"/>
      <c r="AD823" s="53"/>
      <c r="AE823" s="51">
        <f t="shared" ref="AE823:AF823" si="2606">SUM(AE817:AE822)</f>
        <v>8464</v>
      </c>
      <c r="AF823" s="51">
        <f t="shared" si="2606"/>
        <v>0</v>
      </c>
      <c r="AG823" s="52"/>
      <c r="AH823" s="53"/>
      <c r="AI823" s="51">
        <f t="shared" ref="AI823:AJ823" si="2607">SUM(AI817:AI822)</f>
        <v>58.56</v>
      </c>
      <c r="AJ823" s="68">
        <f t="shared" si="2607"/>
        <v>0</v>
      </c>
      <c r="AK823" s="52"/>
      <c r="AL823" s="53"/>
      <c r="AM823" s="51">
        <f t="shared" ref="AM823:AN823" si="2608">SUM(AM817:AM822)</f>
        <v>57.12</v>
      </c>
      <c r="AN823" s="68">
        <f t="shared" si="2608"/>
        <v>0</v>
      </c>
      <c r="AO823" s="52"/>
      <c r="AP823" s="53"/>
      <c r="AQ823" s="51">
        <f t="shared" ref="AQ823:AR823" si="2609">SUM(AQ816:AQ822)</f>
        <v>32.89</v>
      </c>
      <c r="AR823" s="68">
        <f t="shared" si="2609"/>
        <v>0</v>
      </c>
      <c r="AS823" s="53"/>
      <c r="AT823" s="53"/>
      <c r="AU823" s="51">
        <f t="shared" ref="AU823:AV823" si="2610">SUM(AU816:AU822)</f>
        <v>26.24</v>
      </c>
      <c r="AV823" s="68">
        <f t="shared" si="2610"/>
        <v>0</v>
      </c>
      <c r="AW823" s="52"/>
      <c r="AX823" s="53"/>
      <c r="AY823" s="51">
        <f t="shared" ref="AY823:AZ823" si="2611">SUM(AY816:AY822)</f>
        <v>22.01</v>
      </c>
      <c r="AZ823" s="68">
        <f t="shared" si="2611"/>
        <v>9133</v>
      </c>
      <c r="BA823" s="53"/>
      <c r="BB823" s="53"/>
      <c r="BC823" s="51">
        <f t="shared" ref="BC823:BD823" si="2612">SUM(BC816:BC822)</f>
        <v>0</v>
      </c>
      <c r="BD823" s="68">
        <f t="shared" si="2612"/>
        <v>0</v>
      </c>
      <c r="BE823" s="69"/>
      <c r="BF823" s="70">
        <f t="shared" ref="BF823:BH823" si="2613">SUM(BF816:BF822)</f>
        <v>9180.74</v>
      </c>
      <c r="BG823" s="71">
        <f t="shared" si="2613"/>
        <v>9133</v>
      </c>
      <c r="BH823" s="72">
        <f t="shared" si="2613"/>
        <v>47.7436</v>
      </c>
      <c r="BI823" s="34">
        <f>H823+BF823-BG823</f>
        <v>47.7436</v>
      </c>
      <c r="BJ823" s="34">
        <f>BH823-BI823</f>
        <v>0</v>
      </c>
    </row>
    <row r="824" ht="14.25" customHeight="1" spans="1:60" x14ac:dyDescent="0.25">
      <c r="A824" s="29">
        <v>110</v>
      </c>
      <c r="B824" s="14"/>
      <c r="D824" s="14" t="s">
        <v>379</v>
      </c>
      <c r="F824" s="13"/>
      <c r="G824" s="28"/>
      <c r="H824" s="34">
        <f>'2018'!BH824</f>
      </c>
      <c r="I824" s="13"/>
      <c r="J824" s="15"/>
      <c r="K824" s="15"/>
      <c r="L824" s="28"/>
      <c r="Q824" s="13"/>
      <c r="R824" s="15"/>
      <c r="S824" s="15"/>
      <c r="T824" s="28"/>
      <c r="Y824" s="13"/>
      <c r="Z824" s="15"/>
      <c r="AA824" s="15"/>
      <c r="AB824" s="28"/>
      <c r="AG824" s="13"/>
      <c r="AH824" s="15"/>
      <c r="AI824" s="15"/>
      <c r="AJ824" s="28"/>
      <c r="AK824" s="13"/>
      <c r="AL824" s="15"/>
      <c r="AM824" s="15"/>
      <c r="AN824" s="28"/>
      <c r="AO824" s="13"/>
      <c r="AP824" s="15"/>
      <c r="AQ824" s="15">
        <v>10.34</v>
      </c>
      <c r="AR824" s="28"/>
      <c r="AW824" s="13"/>
      <c r="AX824" s="15"/>
      <c r="AY824" s="15"/>
      <c r="AZ824" s="28"/>
      <c r="BE824" s="14"/>
      <c r="BF824" s="41">
        <f t="shared" ref="BF824:BG824" si="2614">K824+O824+S824+W824+AA824+AE824+AI824+AM824+AQ824+AU824+AY824+BC824</f>
        <v>10.34</v>
      </c>
      <c r="BG824" s="34">
        <f t="shared" si="2614"/>
        <v>0</v>
      </c>
      <c r="BH824" s="35">
        <f t="shared" ref="BH824:BH830" si="2615">H824+BF824-BG824</f>
        <v>10.34</v>
      </c>
    </row>
    <row r="825" ht="14.25" customHeight="1" spans="1:60" x14ac:dyDescent="0.25">
      <c r="A825" s="2">
        <v>110</v>
      </c>
      <c r="B825" s="14">
        <v>4.91</v>
      </c>
      <c r="C825" s="2" t="s">
        <v>342</v>
      </c>
      <c r="D825" s="14" t="s">
        <v>44</v>
      </c>
      <c r="E825" s="2" t="s">
        <v>45</v>
      </c>
      <c r="F825" s="13">
        <v>2.49</v>
      </c>
      <c r="G825" s="35">
        <v>2.5</v>
      </c>
      <c r="H825" s="34">
        <f>'2018'!BH825</f>
        <v>24.1</v>
      </c>
      <c r="I825" s="13">
        <v>100</v>
      </c>
      <c r="J825" s="15">
        <f>I825-'2018'!BA825</f>
        <v>0</v>
      </c>
      <c r="K825" s="34">
        <f>J825*$F$8</f>
        <v>0</v>
      </c>
      <c r="L825" s="28"/>
      <c r="M825" s="15">
        <v>100</v>
      </c>
      <c r="N825" s="15">
        <f>M825-I825</f>
        <v>0</v>
      </c>
      <c r="O825" s="34">
        <f>N825*$F$8</f>
        <v>0</v>
      </c>
      <c r="Q825" s="13">
        <v>100</v>
      </c>
      <c r="R825" s="15">
        <f>Q825-M825</f>
        <v>0</v>
      </c>
      <c r="S825" s="34">
        <f>R825*$F$8</f>
        <v>0</v>
      </c>
      <c r="T825" s="28"/>
      <c r="U825" s="15">
        <v>100</v>
      </c>
      <c r="V825" s="15">
        <f>U825-Q825</f>
        <v>0</v>
      </c>
      <c r="W825" s="34">
        <f>V825*$F$8</f>
        <v>0</v>
      </c>
      <c r="Y825" s="13">
        <v>100</v>
      </c>
      <c r="Z825" s="15">
        <f>Y825-U825</f>
        <v>0</v>
      </c>
      <c r="AA825" s="34">
        <f>Z825*$F$8</f>
        <v>0</v>
      </c>
      <c r="AB825" s="28"/>
      <c r="AC825" s="15">
        <v>101</v>
      </c>
      <c r="AD825" s="15">
        <f t="shared" ref="AD825:AD826" si="2616">AC825-Y825</f>
        <v>1</v>
      </c>
      <c r="AE825" s="34">
        <f>AD825*$G$8</f>
        <v>2.5</v>
      </c>
      <c r="AG825" s="13">
        <v>107</v>
      </c>
      <c r="AH825" s="15">
        <f t="shared" ref="AH825:AH826" si="2617">AG825-AC825</f>
        <v>6</v>
      </c>
      <c r="AI825" s="34">
        <f>AH825*$G$8</f>
        <v>15</v>
      </c>
      <c r="AJ825" s="32"/>
      <c r="AK825" s="13">
        <v>111</v>
      </c>
      <c r="AL825" s="15">
        <f t="shared" ref="AL825:AL826" si="2618">AK825-AG825</f>
        <v>4</v>
      </c>
      <c r="AM825" s="34">
        <f>AL825*$G$8</f>
        <v>10</v>
      </c>
      <c r="AN825" s="28"/>
      <c r="AO825" s="95">
        <v>115</v>
      </c>
      <c r="AP825" s="15">
        <f t="shared" ref="AP825:AP826" si="2619">AO825-AK825</f>
        <v>4</v>
      </c>
      <c r="AQ825" s="34">
        <f>AP825*$G$8</f>
        <v>10</v>
      </c>
      <c r="AR825" s="38">
        <v>51.6</v>
      </c>
      <c r="AS825" s="15">
        <v>138</v>
      </c>
      <c r="AT825" s="15">
        <f t="shared" ref="AT825:AT826" si="2620">AS825-AO825</f>
        <v>23</v>
      </c>
      <c r="AU825" s="34">
        <f>AT825*$G$8</f>
        <v>57.5</v>
      </c>
      <c r="AV825" s="15"/>
      <c r="AW825" s="13">
        <v>139</v>
      </c>
      <c r="AX825" s="15">
        <f>AW825-AS825</f>
        <v>1</v>
      </c>
      <c r="AY825" s="34">
        <f>AX825*$G$8</f>
        <v>2.5</v>
      </c>
      <c r="AZ825" s="28"/>
      <c r="BA825" s="13">
        <v>139</v>
      </c>
      <c r="BB825" s="15">
        <f>BA825-AW825</f>
        <v>0</v>
      </c>
      <c r="BC825" s="34">
        <f>BB825*$G$8</f>
        <v>0</v>
      </c>
      <c r="BD825" s="15"/>
      <c r="BE825" s="40">
        <f t="shared" ref="BE825:BG825" si="2621">J825+N825+R825+V825+Z825+AD825+AH825+AL825+AP825+AT825+AX825+BB825</f>
        <v>39</v>
      </c>
      <c r="BF825" s="41">
        <f t="shared" si="2621"/>
        <v>97.5</v>
      </c>
      <c r="BG825" s="34">
        <f t="shared" si="2621"/>
        <v>51.6</v>
      </c>
      <c r="BH825" s="35">
        <f t="shared" si="2615"/>
        <v>70</v>
      </c>
    </row>
    <row r="826" ht="14.25" customHeight="1" spans="1:60" x14ac:dyDescent="0.25">
      <c r="A826" s="29">
        <v>110</v>
      </c>
      <c r="B826" s="14"/>
      <c r="C826" s="15" t="s">
        <v>343</v>
      </c>
      <c r="D826" s="14" t="s">
        <v>47</v>
      </c>
      <c r="E826" s="2" t="s">
        <v>48</v>
      </c>
      <c r="F826" s="13">
        <v>17.98</v>
      </c>
      <c r="G826" s="28">
        <v>18.56</v>
      </c>
      <c r="H826" s="34">
        <f>'2018'!BH826</f>
        <v>17.16</v>
      </c>
      <c r="I826" s="13">
        <v>14</v>
      </c>
      <c r="J826" s="15"/>
      <c r="K826" s="15"/>
      <c r="L826" s="28"/>
      <c r="Q826" s="13"/>
      <c r="R826" s="15"/>
      <c r="S826" s="15"/>
      <c r="T826" s="28"/>
      <c r="Y826" s="13">
        <v>16</v>
      </c>
      <c r="Z826" s="15">
        <f>Y826-'2018'!AO826</f>
        <v>2</v>
      </c>
      <c r="AA826" s="34">
        <f>Z826*$F$10</f>
        <v>35.96</v>
      </c>
      <c r="AB826" s="28"/>
      <c r="AC826" s="15">
        <v>20</v>
      </c>
      <c r="AD826" s="15">
        <f t="shared" si="2616"/>
        <v>4</v>
      </c>
      <c r="AE826" s="34">
        <f>AD826*$F$10</f>
        <v>71.92</v>
      </c>
      <c r="AG826" s="13">
        <v>31</v>
      </c>
      <c r="AH826" s="15">
        <f t="shared" si="2617"/>
        <v>11</v>
      </c>
      <c r="AI826" s="45">
        <f>AH826*$G$10</f>
        <v>204.16</v>
      </c>
      <c r="AJ826" s="38"/>
      <c r="AK826" s="13">
        <v>39</v>
      </c>
      <c r="AL826" s="15">
        <f t="shared" si="2618"/>
        <v>8</v>
      </c>
      <c r="AM826" s="45">
        <f>AL826*$G$10</f>
        <v>148.48</v>
      </c>
      <c r="AN826" s="28"/>
      <c r="AO826" s="13">
        <v>40</v>
      </c>
      <c r="AP826" s="15">
        <f t="shared" si="2619"/>
        <v>1</v>
      </c>
      <c r="AQ826" s="45">
        <f>AP826*$G$10</f>
        <v>18.56</v>
      </c>
      <c r="AR826" s="32">
        <v>477.68</v>
      </c>
      <c r="AS826" s="13">
        <v>40</v>
      </c>
      <c r="AT826" s="15">
        <f t="shared" si="2620"/>
        <v>0</v>
      </c>
      <c r="AU826" s="45">
        <f>AT826*$G$10</f>
        <v>0</v>
      </c>
      <c r="AV826" s="15"/>
      <c r="AW826" s="13">
        <v>40</v>
      </c>
      <c r="AX826" s="15"/>
      <c r="AY826" s="15"/>
      <c r="AZ826" s="28"/>
      <c r="BA826" s="15">
        <v>40</v>
      </c>
      <c r="BB826" s="15"/>
      <c r="BC826" s="15"/>
      <c r="BD826" s="15"/>
      <c r="BE826" s="40">
        <f t="shared" ref="BE826:BG826" si="2622">J826+N826+R826+V826+Z826+AD826+AH826+AL826+AP826+AT826+AX826+BB826</f>
        <v>26</v>
      </c>
      <c r="BF826" s="41">
        <f t="shared" si="2622"/>
        <v>479.08</v>
      </c>
      <c r="BG826" s="34">
        <f t="shared" si="2622"/>
        <v>477.68</v>
      </c>
      <c r="BH826" s="35">
        <f t="shared" si="2615"/>
        <v>18.56</v>
      </c>
    </row>
    <row r="827" ht="14.25" customHeight="1" spans="1:60" x14ac:dyDescent="0.25">
      <c r="A827" s="29">
        <v>110</v>
      </c>
      <c r="B827" s="14"/>
      <c r="C827" s="15" t="s">
        <v>194</v>
      </c>
      <c r="D827" s="14" t="s">
        <v>47</v>
      </c>
      <c r="E827" s="2" t="s">
        <v>49</v>
      </c>
      <c r="F827" s="41">
        <v>500</v>
      </c>
      <c r="G827" s="28"/>
      <c r="H827" s="34">
        <f>'2018'!BH827</f>
        <v>0</v>
      </c>
      <c r="I827" s="13"/>
      <c r="J827" s="15"/>
      <c r="K827" s="15"/>
      <c r="L827" s="28"/>
      <c r="Q827" s="13"/>
      <c r="R827" s="15"/>
      <c r="S827" s="15"/>
      <c r="T827" s="28"/>
      <c r="Y827" s="13"/>
      <c r="Z827" s="15"/>
      <c r="AA827" s="15"/>
      <c r="AB827" s="28"/>
      <c r="AG827" s="13"/>
      <c r="AH827" s="15"/>
      <c r="AI827" s="15"/>
      <c r="AJ827" s="28"/>
      <c r="AK827" s="13"/>
      <c r="AL827" s="15"/>
      <c r="AM827" s="34"/>
      <c r="AN827" s="28"/>
      <c r="AO827" s="13"/>
      <c r="AP827" s="15"/>
      <c r="AQ827" s="34"/>
      <c r="AR827" s="28"/>
      <c r="AS827" s="15"/>
      <c r="AT827" s="15"/>
      <c r="AU827" s="15"/>
      <c r="AV827" s="15"/>
      <c r="AW827" s="13"/>
      <c r="AX827" s="15"/>
      <c r="AY827" s="15"/>
      <c r="AZ827" s="28"/>
      <c r="BA827" s="15"/>
      <c r="BB827" s="15"/>
      <c r="BC827" s="15"/>
      <c r="BD827" s="15"/>
      <c r="BE827" s="14"/>
      <c r="BF827" s="41">
        <f t="shared" ref="BF827:BG827" si="2623">K827+O827+S827+W827+AA827+AE827+AI827+AM827+AQ827+AU827+AY827+BC827</f>
        <v>0</v>
      </c>
      <c r="BG827" s="34">
        <f t="shared" si="2623"/>
        <v>0</v>
      </c>
      <c r="BH827" s="35">
        <f t="shared" si="2615"/>
        <v>0</v>
      </c>
    </row>
    <row r="828" ht="14.25" customHeight="1" spans="1:60" x14ac:dyDescent="0.25">
      <c r="A828" s="29">
        <v>110</v>
      </c>
      <c r="B828" s="14"/>
      <c r="C828" s="2" t="s">
        <v>344</v>
      </c>
      <c r="D828" s="14" t="s">
        <v>50</v>
      </c>
      <c r="E828" s="2" t="s">
        <v>49</v>
      </c>
      <c r="F828" s="41">
        <v>1200</v>
      </c>
      <c r="G828" s="28"/>
      <c r="H828" s="34">
        <f>'2018'!BH828</f>
        <v>0.0008000000007</v>
      </c>
      <c r="I828" s="13"/>
      <c r="J828" s="15"/>
      <c r="K828" s="15"/>
      <c r="L828" s="28"/>
      <c r="Q828" s="13"/>
      <c r="R828" s="15"/>
      <c r="S828" s="15"/>
      <c r="T828" s="28"/>
      <c r="Y828" s="13"/>
      <c r="Z828" s="15"/>
      <c r="AA828" s="15"/>
      <c r="AB828" s="28"/>
      <c r="AE828" s="34">
        <f>B825*$F$12</f>
        <v>5892</v>
      </c>
      <c r="AG828" s="13"/>
      <c r="AH828" s="15"/>
      <c r="AI828" s="15"/>
      <c r="AJ828" s="32"/>
      <c r="AK828" s="13"/>
      <c r="AL828" s="15"/>
      <c r="AM828" s="15"/>
      <c r="AN828" s="28"/>
      <c r="AO828" s="13"/>
      <c r="AP828" s="15"/>
      <c r="AQ828" s="15"/>
      <c r="AR828" s="38">
        <v>5892</v>
      </c>
      <c r="AS828" s="15"/>
      <c r="AT828" s="15"/>
      <c r="AU828" s="15"/>
      <c r="AV828" s="15"/>
      <c r="AW828" s="13"/>
      <c r="AX828" s="15"/>
      <c r="AY828" s="15"/>
      <c r="AZ828" s="28"/>
      <c r="BA828" s="15"/>
      <c r="BB828" s="15"/>
      <c r="BC828" s="15"/>
      <c r="BD828" s="15"/>
      <c r="BE828" s="14"/>
      <c r="BF828" s="41">
        <f t="shared" ref="BF828:BG828" si="2624">K828+O828+S828+W828+AA828+AE828+AI828+AM828+AQ828+AU828+AY828+BC828</f>
        <v>5892</v>
      </c>
      <c r="BG828" s="34">
        <f t="shared" si="2624"/>
        <v>5892</v>
      </c>
      <c r="BH828" s="35">
        <f t="shared" si="2615"/>
        <v>0.0008000000007</v>
      </c>
    </row>
    <row r="829" ht="14.25" customHeight="1" spans="1:60" x14ac:dyDescent="0.25">
      <c r="A829" s="29">
        <v>110</v>
      </c>
      <c r="B829" s="14"/>
      <c r="D829" s="14" t="s">
        <v>51</v>
      </c>
      <c r="E829" s="2" t="s">
        <v>49</v>
      </c>
      <c r="F829" s="41">
        <v>1000</v>
      </c>
      <c r="G829" s="28"/>
      <c r="H829" s="34">
        <f>'2018'!BH829</f>
        <v>0</v>
      </c>
      <c r="I829" s="13"/>
      <c r="J829" s="15"/>
      <c r="K829" s="15"/>
      <c r="L829" s="28"/>
      <c r="Q829" s="13"/>
      <c r="R829" s="15"/>
      <c r="S829" s="15"/>
      <c r="T829" s="28"/>
      <c r="Y829" s="13"/>
      <c r="Z829" s="15"/>
      <c r="AA829" s="15"/>
      <c r="AB829" s="28"/>
      <c r="AE829" s="34">
        <f>$F$21</f>
        <v>1000</v>
      </c>
      <c r="AG829" s="13"/>
      <c r="AH829" s="15"/>
      <c r="AI829" s="15"/>
      <c r="AJ829" s="28"/>
      <c r="AK829" s="13"/>
      <c r="AL829" s="15"/>
      <c r="AM829" s="15"/>
      <c r="AN829" s="28"/>
      <c r="AO829" s="13"/>
      <c r="AP829" s="15"/>
      <c r="AQ829" s="15"/>
      <c r="AR829" s="38">
        <v>1000</v>
      </c>
      <c r="AS829" s="15"/>
      <c r="AT829" s="15"/>
      <c r="AU829" s="15"/>
      <c r="AV829" s="15"/>
      <c r="AW829" s="13"/>
      <c r="AX829" s="15"/>
      <c r="AY829" s="15"/>
      <c r="AZ829" s="28"/>
      <c r="BA829" s="15"/>
      <c r="BB829" s="15"/>
      <c r="BC829" s="15"/>
      <c r="BD829" s="15"/>
      <c r="BE829" s="14"/>
      <c r="BF829" s="41">
        <f t="shared" ref="BF829:BG829" si="2625">K829+O829+S829+W829+AA829+AE829+AI829+AM829+AQ829+AU829+AY829+BC829</f>
        <v>1000</v>
      </c>
      <c r="BG829" s="34">
        <f t="shared" si="2625"/>
        <v>1000</v>
      </c>
      <c r="BH829" s="35">
        <f t="shared" si="2615"/>
        <v>0</v>
      </c>
    </row>
    <row r="830" ht="14.25" customHeight="1" spans="1:60" x14ac:dyDescent="0.25">
      <c r="A830" s="29">
        <v>110</v>
      </c>
      <c r="B830" s="14"/>
      <c r="D830" s="14" t="s">
        <v>52</v>
      </c>
      <c r="E830" s="2" t="s">
        <v>39</v>
      </c>
      <c r="F830" s="41">
        <v>500</v>
      </c>
      <c r="G830" s="28"/>
      <c r="H830" s="34">
        <f>'2018'!BH830</f>
        <v>350</v>
      </c>
      <c r="I830" s="13"/>
      <c r="J830" s="15"/>
      <c r="K830" s="15"/>
      <c r="L830" s="28"/>
      <c r="Q830" s="13"/>
      <c r="R830" s="15"/>
      <c r="S830" s="15"/>
      <c r="T830" s="28"/>
      <c r="Y830" s="13"/>
      <c r="Z830" s="15"/>
      <c r="AA830" s="34">
        <f>$F$14</f>
        <v>500</v>
      </c>
      <c r="AB830" s="28"/>
      <c r="AG830" s="13"/>
      <c r="AH830" s="15"/>
      <c r="AI830" s="15"/>
      <c r="AJ830" s="28"/>
      <c r="AK830" s="13"/>
      <c r="AL830" s="15"/>
      <c r="AM830" s="15"/>
      <c r="AN830" s="28"/>
      <c r="AO830" s="13"/>
      <c r="AP830" s="15"/>
      <c r="AQ830" s="15"/>
      <c r="AR830" s="38">
        <v>850</v>
      </c>
      <c r="AS830" s="15"/>
      <c r="AT830" s="15"/>
      <c r="AU830" s="15"/>
      <c r="AV830" s="15"/>
      <c r="AW830" s="13"/>
      <c r="AX830" s="15"/>
      <c r="AY830" s="15"/>
      <c r="AZ830" s="28"/>
      <c r="BA830" s="15"/>
      <c r="BB830" s="15"/>
      <c r="BC830" s="15"/>
      <c r="BD830" s="15"/>
      <c r="BE830" s="14"/>
      <c r="BF830" s="41">
        <f t="shared" ref="BF830:BG830" si="2626">K830+O830+S830+W830+AA830+AE830+AI830+AM830+AQ830+AU830+AY830+BC830</f>
        <v>500</v>
      </c>
      <c r="BG830" s="34">
        <f t="shared" si="2626"/>
        <v>850</v>
      </c>
      <c r="BH830" s="35">
        <f t="shared" si="2615"/>
        <v>0</v>
      </c>
    </row>
    <row r="831" ht="14.25" customHeight="1" spans="1:62" x14ac:dyDescent="0.25">
      <c r="A831" s="50">
        <v>110</v>
      </c>
      <c r="B831" s="21"/>
      <c r="C831" s="22" t="s">
        <v>53</v>
      </c>
      <c r="D831" s="21"/>
      <c r="E831" s="22"/>
      <c r="F831" s="20"/>
      <c r="G831" s="23"/>
      <c r="H831" s="51">
        <f>SUM(H824:H830)</f>
        <v>391.2608</v>
      </c>
      <c r="I831" s="52"/>
      <c r="J831" s="53"/>
      <c r="K831" s="51">
        <f t="shared" ref="K831:L831" si="2627">SUM(K824:K830)</f>
        <v>0</v>
      </c>
      <c r="L831" s="68">
        <f t="shared" si="2627"/>
        <v>0</v>
      </c>
      <c r="M831" s="53"/>
      <c r="N831" s="53"/>
      <c r="O831" s="51">
        <f t="shared" ref="O831:P831" si="2628">SUM(O825:O830)</f>
        <v>0</v>
      </c>
      <c r="P831" s="51">
        <f t="shared" si="2628"/>
        <v>0</v>
      </c>
      <c r="Q831" s="52"/>
      <c r="R831" s="53"/>
      <c r="S831" s="51">
        <f t="shared" ref="S831:T831" si="2629">SUM(S825:S830)</f>
        <v>0</v>
      </c>
      <c r="T831" s="68">
        <f t="shared" si="2629"/>
        <v>0</v>
      </c>
      <c r="U831" s="53"/>
      <c r="V831" s="53"/>
      <c r="W831" s="51">
        <f t="shared" ref="W831:X831" si="2630">SUM(W825:W830)</f>
        <v>0</v>
      </c>
      <c r="X831" s="51">
        <f t="shared" si="2630"/>
        <v>0</v>
      </c>
      <c r="Y831" s="52"/>
      <c r="Z831" s="53"/>
      <c r="AA831" s="51">
        <f t="shared" ref="AA831:AB831" si="2631">SUM(AA825:AA830)</f>
        <v>535.96</v>
      </c>
      <c r="AB831" s="68">
        <f t="shared" si="2631"/>
        <v>0</v>
      </c>
      <c r="AC831" s="53"/>
      <c r="AD831" s="53"/>
      <c r="AE831" s="51">
        <f t="shared" ref="AE831:AF831" si="2632">SUM(AE825:AE830)</f>
        <v>6966.42</v>
      </c>
      <c r="AF831" s="51">
        <f t="shared" si="2632"/>
        <v>0</v>
      </c>
      <c r="AG831" s="52"/>
      <c r="AH831" s="53"/>
      <c r="AI831" s="51">
        <f t="shared" ref="AI831:AJ831" si="2633">SUM(AI825:AI830)</f>
        <v>219.16</v>
      </c>
      <c r="AJ831" s="68">
        <f t="shared" si="2633"/>
        <v>0</v>
      </c>
      <c r="AK831" s="52"/>
      <c r="AL831" s="53"/>
      <c r="AM831" s="51">
        <f t="shared" ref="AM831:AN831" si="2634">SUM(AM825:AM830)</f>
        <v>158.48</v>
      </c>
      <c r="AN831" s="68">
        <f t="shared" si="2634"/>
        <v>0</v>
      </c>
      <c r="AO831" s="52"/>
      <c r="AP831" s="53"/>
      <c r="AQ831" s="51">
        <f t="shared" ref="AQ831:AR831" si="2635">SUM(AQ824:AQ830)</f>
        <v>38.9</v>
      </c>
      <c r="AR831" s="68">
        <f t="shared" si="2635"/>
        <v>8271.28</v>
      </c>
      <c r="AS831" s="53"/>
      <c r="AT831" s="53"/>
      <c r="AU831" s="51">
        <f t="shared" ref="AU831:AV831" si="2636">SUM(AU824:AU830)</f>
        <v>57.5</v>
      </c>
      <c r="AV831" s="68">
        <f t="shared" si="2636"/>
        <v>0</v>
      </c>
      <c r="AW831" s="52"/>
      <c r="AX831" s="53"/>
      <c r="AY831" s="51">
        <f t="shared" ref="AY831:AZ831" si="2637">SUM(AY824:AY830)</f>
        <v>2.5</v>
      </c>
      <c r="AZ831" s="68">
        <f t="shared" si="2637"/>
        <v>0</v>
      </c>
      <c r="BA831" s="53"/>
      <c r="BB831" s="53"/>
      <c r="BC831" s="51">
        <f t="shared" ref="BC831:BD831" si="2638">SUM(BC824:BC830)</f>
        <v>0</v>
      </c>
      <c r="BD831" s="68">
        <f t="shared" si="2638"/>
        <v>0</v>
      </c>
      <c r="BE831" s="69"/>
      <c r="BF831" s="70">
        <f t="shared" ref="BF831:BH831" si="2639">SUM(BF824:BF830)</f>
        <v>7978.92</v>
      </c>
      <c r="BG831" s="71">
        <f t="shared" si="2639"/>
        <v>8271.28</v>
      </c>
      <c r="BH831" s="72">
        <f t="shared" si="2639"/>
        <v>98.9008</v>
      </c>
      <c r="BI831" s="34">
        <f>H831+BF831-BG831</f>
        <v>98.9008</v>
      </c>
      <c r="BJ831" s="34">
        <f>BH831-BI831</f>
        <v>0</v>
      </c>
    </row>
    <row r="832" ht="14.25" customHeight="1" spans="1:60" x14ac:dyDescent="0.25">
      <c r="A832" s="29">
        <v>111</v>
      </c>
      <c r="B832" s="14"/>
      <c r="D832" s="14" t="s">
        <v>379</v>
      </c>
      <c r="F832" s="13"/>
      <c r="G832" s="28"/>
      <c r="H832" s="34">
        <f>'2018'!BH832</f>
      </c>
      <c r="I832" s="13"/>
      <c r="J832" s="15"/>
      <c r="K832" s="15"/>
      <c r="L832" s="28"/>
      <c r="Q832" s="13"/>
      <c r="R832" s="15"/>
      <c r="S832" s="15"/>
      <c r="T832" s="28"/>
      <c r="Y832" s="13"/>
      <c r="Z832" s="15"/>
      <c r="AA832" s="15"/>
      <c r="AB832" s="28"/>
      <c r="AG832" s="13"/>
      <c r="AH832" s="15"/>
      <c r="AI832" s="15"/>
      <c r="AJ832" s="28"/>
      <c r="AK832" s="13"/>
      <c r="AL832" s="15"/>
      <c r="AM832" s="15"/>
      <c r="AN832" s="28"/>
      <c r="AO832" s="13"/>
      <c r="AP832" s="15"/>
      <c r="AQ832" s="15">
        <v>4.58</v>
      </c>
      <c r="AR832" s="28"/>
      <c r="AW832" s="13"/>
      <c r="AX832" s="15"/>
      <c r="AY832" s="15"/>
      <c r="AZ832" s="28"/>
      <c r="BE832" s="14"/>
      <c r="BF832" s="41">
        <f t="shared" ref="BF832:BG832" si="2640">K832+O832+S832+W832+AA832+AE832+AI832+AM832+AQ832+AU832+AY832+BC832</f>
        <v>4.58</v>
      </c>
      <c r="BG832" s="34">
        <f t="shared" si="2640"/>
        <v>0</v>
      </c>
      <c r="BH832" s="35">
        <f t="shared" ref="BH832:BH838" si="2641">H832+BF832-BG832</f>
        <v>4.58</v>
      </c>
    </row>
    <row r="833" ht="14.25" customHeight="1" spans="1:60" x14ac:dyDescent="0.25">
      <c r="A833" s="2">
        <v>111</v>
      </c>
      <c r="B833" s="42">
        <v>6.8</v>
      </c>
      <c r="C833" s="2" t="s">
        <v>280</v>
      </c>
      <c r="D833" s="14" t="s">
        <v>44</v>
      </c>
      <c r="E833" s="2" t="s">
        <v>45</v>
      </c>
      <c r="F833" s="13">
        <v>2.49</v>
      </c>
      <c r="G833" s="35">
        <v>2.5</v>
      </c>
      <c r="H833" s="34">
        <f>'2018'!BH833</f>
        <v>0</v>
      </c>
      <c r="I833" s="13">
        <v>1</v>
      </c>
      <c r="J833" s="15">
        <f>I833-'2018'!BA833</f>
        <v>0</v>
      </c>
      <c r="K833" s="34">
        <f>J833*$F$8</f>
        <v>0</v>
      </c>
      <c r="L833" s="28"/>
      <c r="M833" s="2">
        <v>1</v>
      </c>
      <c r="N833" s="15">
        <f>M833-I833</f>
        <v>0</v>
      </c>
      <c r="O833" s="34">
        <f>N833*$F$8</f>
        <v>0</v>
      </c>
      <c r="Q833" s="13">
        <v>1</v>
      </c>
      <c r="R833" s="15">
        <f>Q833-M833</f>
        <v>0</v>
      </c>
      <c r="S833" s="34">
        <f>R833*$F$8</f>
        <v>0</v>
      </c>
      <c r="T833" s="28"/>
      <c r="U833" s="2">
        <v>3</v>
      </c>
      <c r="V833" s="15">
        <f>U833-Q833</f>
        <v>2</v>
      </c>
      <c r="W833" s="34">
        <f>V833*$F$8</f>
        <v>4.98</v>
      </c>
      <c r="Y833" s="75">
        <v>1</v>
      </c>
      <c r="Z833" s="15">
        <f>Y833-U833</f>
        <v>-2</v>
      </c>
      <c r="AA833" s="34">
        <f>Z833*$F$8</f>
        <v>-4.98</v>
      </c>
      <c r="AB833" s="28"/>
      <c r="AC833" s="15">
        <v>23</v>
      </c>
      <c r="AD833" s="15">
        <f t="shared" ref="AD833:AD834" si="2642">AC833-Y833</f>
        <v>22</v>
      </c>
      <c r="AE833" s="34">
        <f>AD833*$G$8</f>
        <v>55</v>
      </c>
      <c r="AG833" s="13">
        <v>30</v>
      </c>
      <c r="AH833" s="15">
        <f t="shared" ref="AH833:AH834" si="2643">AG833-AC833</f>
        <v>7</v>
      </c>
      <c r="AI833" s="34">
        <f>AH833*$G$8</f>
        <v>17.5</v>
      </c>
      <c r="AJ833" s="28"/>
      <c r="AK833" s="13">
        <v>40</v>
      </c>
      <c r="AL833" s="15">
        <f t="shared" ref="AL833:AL834" si="2644">AK833-AG833</f>
        <v>10</v>
      </c>
      <c r="AM833" s="34">
        <f>AL833*$G$8</f>
        <v>25</v>
      </c>
      <c r="AN833" s="28"/>
      <c r="AO833" s="13">
        <v>51</v>
      </c>
      <c r="AP833" s="15">
        <f t="shared" ref="AP833:AP834" si="2645">AO833-AK833</f>
        <v>11</v>
      </c>
      <c r="AQ833" s="34">
        <f>AP833*$G$8</f>
        <v>27.5</v>
      </c>
      <c r="AR833" s="38">
        <v>97.5</v>
      </c>
      <c r="AS833" s="15">
        <v>216</v>
      </c>
      <c r="AT833" s="15">
        <f t="shared" ref="AT833:AT834" si="2646">AS833-AO833</f>
        <v>165</v>
      </c>
      <c r="AU833" s="34">
        <f>AT833*$G$8</f>
        <v>412.5</v>
      </c>
      <c r="AV833" s="15"/>
      <c r="AW833" s="13">
        <v>648</v>
      </c>
      <c r="AX833" s="15">
        <f>AW833-AS833</f>
        <v>432</v>
      </c>
      <c r="AY833" s="34">
        <f>AX833*$G$8</f>
        <v>1080</v>
      </c>
      <c r="AZ833" s="38">
        <f>1080+440</f>
        <v>1520</v>
      </c>
      <c r="BA833" s="13">
        <v>868</v>
      </c>
      <c r="BB833" s="15">
        <f>BA833-AW833</f>
        <v>220</v>
      </c>
      <c r="BC833" s="34">
        <f>BB833*$G$8</f>
        <v>550</v>
      </c>
      <c r="BD833" s="15"/>
      <c r="BE833" s="40">
        <f t="shared" ref="BE833:BG833" si="2647">J833+N833+R833+V833+Z833+AD833+AH833+AL833+AP833+AT833+AX833+BB833</f>
        <v>867</v>
      </c>
      <c r="BF833" s="41">
        <f t="shared" si="2647"/>
        <v>2167.5</v>
      </c>
      <c r="BG833" s="34">
        <f t="shared" si="2647"/>
        <v>1617.5</v>
      </c>
      <c r="BH833" s="35">
        <f t="shared" si="2641"/>
        <v>550</v>
      </c>
    </row>
    <row r="834" ht="14.25" customHeight="1" spans="1:60" x14ac:dyDescent="0.25">
      <c r="A834" s="29">
        <v>111</v>
      </c>
      <c r="B834" s="14"/>
      <c r="C834" s="2" t="s">
        <v>153</v>
      </c>
      <c r="D834" s="14" t="s">
        <v>47</v>
      </c>
      <c r="E834" s="2" t="s">
        <v>48</v>
      </c>
      <c r="F834" s="13">
        <v>17.98</v>
      </c>
      <c r="G834" s="28">
        <v>18.56</v>
      </c>
      <c r="H834" s="34">
        <f>'2018'!BH834</f>
        <v>0</v>
      </c>
      <c r="I834" s="94">
        <v>6</v>
      </c>
      <c r="J834" s="15"/>
      <c r="K834" s="15"/>
      <c r="L834" s="28"/>
      <c r="Q834" s="13"/>
      <c r="R834" s="15"/>
      <c r="S834" s="15"/>
      <c r="T834" s="28"/>
      <c r="Y834" s="95">
        <v>6</v>
      </c>
      <c r="Z834" s="15">
        <f>Y834-'2018'!AO834</f>
        <v>0</v>
      </c>
      <c r="AA834" s="34">
        <f>Z834*$F$10</f>
        <v>0</v>
      </c>
      <c r="AB834" s="28"/>
      <c r="AC834" s="13">
        <v>6</v>
      </c>
      <c r="AD834" s="15">
        <f t="shared" si="2642"/>
        <v>0</v>
      </c>
      <c r="AE834" s="34">
        <f>AD834*$F$10</f>
        <v>0</v>
      </c>
      <c r="AG834" s="13">
        <v>6</v>
      </c>
      <c r="AH834" s="15">
        <f t="shared" si="2643"/>
        <v>0</v>
      </c>
      <c r="AI834" s="45">
        <f>AH834*$G$10</f>
        <v>0</v>
      </c>
      <c r="AJ834" s="28"/>
      <c r="AK834" s="13">
        <v>6</v>
      </c>
      <c r="AL834" s="15">
        <f t="shared" si="2644"/>
        <v>0</v>
      </c>
      <c r="AM834" s="45">
        <f>AL834*$G$10</f>
        <v>0</v>
      </c>
      <c r="AN834" s="28"/>
      <c r="AO834" s="95">
        <v>6</v>
      </c>
      <c r="AP834" s="15">
        <f t="shared" si="2645"/>
        <v>0</v>
      </c>
      <c r="AQ834" s="45">
        <f>AP834*$G$10</f>
        <v>0</v>
      </c>
      <c r="AR834" s="28"/>
      <c r="AS834" s="95">
        <v>6</v>
      </c>
      <c r="AT834" s="15">
        <f t="shared" si="2646"/>
        <v>0</v>
      </c>
      <c r="AU834" s="45">
        <f>AT834*$G$10</f>
        <v>0</v>
      </c>
      <c r="AV834" s="15"/>
      <c r="AW834" s="95">
        <v>6</v>
      </c>
      <c r="AX834" s="15"/>
      <c r="AY834" s="15"/>
      <c r="AZ834" s="28"/>
      <c r="BA834" s="95">
        <v>6</v>
      </c>
      <c r="BB834" s="15"/>
      <c r="BC834" s="15"/>
      <c r="BD834" s="15"/>
      <c r="BE834" s="40">
        <f t="shared" ref="BE834:BG834" si="2648">J834+N834+R834+V834+Z834+AD834+AH834+AL834+AP834+AT834+AX834+BB834</f>
        <v>0</v>
      </c>
      <c r="BF834" s="41">
        <f t="shared" si="2648"/>
        <v>0</v>
      </c>
      <c r="BG834" s="34">
        <f t="shared" si="2648"/>
        <v>0</v>
      </c>
      <c r="BH834" s="35">
        <f t="shared" si="2641"/>
        <v>0</v>
      </c>
    </row>
    <row r="835" ht="14.25" customHeight="1" spans="1:60" x14ac:dyDescent="0.25">
      <c r="A835" s="29">
        <v>111</v>
      </c>
      <c r="B835" s="14"/>
      <c r="C835" s="15" t="s">
        <v>345</v>
      </c>
      <c r="D835" s="14" t="s">
        <v>47</v>
      </c>
      <c r="E835" s="2" t="s">
        <v>49</v>
      </c>
      <c r="F835" s="41">
        <v>500</v>
      </c>
      <c r="G835" s="28"/>
      <c r="H835" s="34">
        <f>'2018'!BH835</f>
        <v>0</v>
      </c>
      <c r="I835" s="13"/>
      <c r="J835" s="15"/>
      <c r="K835" s="15"/>
      <c r="L835" s="28"/>
      <c r="Q835" s="13"/>
      <c r="R835" s="15"/>
      <c r="S835" s="15"/>
      <c r="T835" s="28"/>
      <c r="Y835" s="13"/>
      <c r="Z835" s="15"/>
      <c r="AA835" s="15"/>
      <c r="AB835" s="28"/>
      <c r="AG835" s="13"/>
      <c r="AH835" s="15"/>
      <c r="AI835" s="15"/>
      <c r="AJ835" s="28"/>
      <c r="AK835" s="13"/>
      <c r="AL835" s="15"/>
      <c r="AM835" s="34"/>
      <c r="AN835" s="28"/>
      <c r="AO835" s="13"/>
      <c r="AP835" s="15"/>
      <c r="AQ835" s="34"/>
      <c r="AR835" s="28"/>
      <c r="AS835" s="15"/>
      <c r="AT835" s="15"/>
      <c r="AU835" s="15"/>
      <c r="AV835" s="15"/>
      <c r="AW835" s="13"/>
      <c r="AX835" s="15"/>
      <c r="AY835" s="15"/>
      <c r="AZ835" s="28"/>
      <c r="BA835" s="15"/>
      <c r="BB835" s="15"/>
      <c r="BC835" s="15"/>
      <c r="BD835" s="15"/>
      <c r="BE835" s="14"/>
      <c r="BF835" s="41">
        <f t="shared" ref="BF835:BG835" si="2649">K835+O835+S835+W835+AA835+AE835+AI835+AM835+AQ835+AU835+AY835+BC835</f>
        <v>0</v>
      </c>
      <c r="BG835" s="34">
        <f t="shared" si="2649"/>
        <v>0</v>
      </c>
      <c r="BH835" s="35">
        <f t="shared" si="2641"/>
        <v>0</v>
      </c>
    </row>
    <row r="836" ht="14.25" customHeight="1" spans="1:60" x14ac:dyDescent="0.25">
      <c r="A836" s="29">
        <v>111</v>
      </c>
      <c r="B836" s="14"/>
      <c r="C836" s="2" t="s">
        <v>346</v>
      </c>
      <c r="D836" s="14" t="s">
        <v>50</v>
      </c>
      <c r="E836" s="2" t="s">
        <v>49</v>
      </c>
      <c r="F836" s="41">
        <v>1200</v>
      </c>
      <c r="G836" s="28"/>
      <c r="H836" s="34">
        <f>'2018'!BH836</f>
        <v>0.004000000001</v>
      </c>
      <c r="I836" s="13"/>
      <c r="J836" s="15"/>
      <c r="K836" s="15"/>
      <c r="L836" s="28"/>
      <c r="Q836" s="13"/>
      <c r="R836" s="15"/>
      <c r="S836" s="15"/>
      <c r="T836" s="28"/>
      <c r="Y836" s="13"/>
      <c r="Z836" s="15"/>
      <c r="AA836" s="15"/>
      <c r="AB836" s="28"/>
      <c r="AE836" s="34">
        <f>B833*$F$12</f>
        <v>8160</v>
      </c>
      <c r="AG836" s="13"/>
      <c r="AH836" s="15"/>
      <c r="AI836" s="15"/>
      <c r="AJ836" s="28"/>
      <c r="AK836" s="13"/>
      <c r="AL836" s="15"/>
      <c r="AM836" s="15"/>
      <c r="AN836" s="28"/>
      <c r="AO836" s="13"/>
      <c r="AP836" s="15"/>
      <c r="AQ836" s="15"/>
      <c r="AR836" s="38">
        <v>8160</v>
      </c>
      <c r="AS836" s="15"/>
      <c r="AT836" s="15"/>
      <c r="AU836" s="15"/>
      <c r="AV836" s="15"/>
      <c r="AW836" s="13"/>
      <c r="AX836" s="15"/>
      <c r="AY836" s="15"/>
      <c r="AZ836" s="28"/>
      <c r="BA836" s="15"/>
      <c r="BB836" s="15"/>
      <c r="BC836" s="15"/>
      <c r="BD836" s="15"/>
      <c r="BE836" s="14"/>
      <c r="BF836" s="41">
        <f t="shared" ref="BF836:BG836" si="2650">K836+O836+S836+W836+AA836+AE836+AI836+AM836+AQ836+AU836+AY836+BC836</f>
        <v>8160</v>
      </c>
      <c r="BG836" s="34">
        <f t="shared" si="2650"/>
        <v>8160</v>
      </c>
      <c r="BH836" s="35">
        <f t="shared" si="2641"/>
        <v>0.004000000001</v>
      </c>
    </row>
    <row r="837" ht="14.25" customHeight="1" spans="1:60" x14ac:dyDescent="0.25">
      <c r="A837" s="29">
        <v>111</v>
      </c>
      <c r="B837" s="14"/>
      <c r="C837" s="73" t="s">
        <v>458</v>
      </c>
      <c r="D837" s="14" t="s">
        <v>51</v>
      </c>
      <c r="E837" s="2" t="s">
        <v>49</v>
      </c>
      <c r="F837" s="41">
        <v>1000</v>
      </c>
      <c r="G837" s="28"/>
      <c r="H837" s="34">
        <f>'2018'!BH837</f>
        <v>0</v>
      </c>
      <c r="I837" s="13"/>
      <c r="J837" s="15"/>
      <c r="K837" s="15"/>
      <c r="L837" s="28"/>
      <c r="Q837" s="13"/>
      <c r="R837" s="15"/>
      <c r="S837" s="15"/>
      <c r="T837" s="28"/>
      <c r="Y837" s="13"/>
      <c r="Z837" s="15"/>
      <c r="AA837" s="15"/>
      <c r="AB837" s="28"/>
      <c r="AE837" s="34">
        <f>$F$21</f>
        <v>1000</v>
      </c>
      <c r="AG837" s="13"/>
      <c r="AH837" s="15"/>
      <c r="AI837" s="15"/>
      <c r="AJ837" s="28"/>
      <c r="AK837" s="13"/>
      <c r="AL837" s="15"/>
      <c r="AM837" s="15"/>
      <c r="AN837" s="28"/>
      <c r="AO837" s="13"/>
      <c r="AP837" s="15"/>
      <c r="AQ837" s="15"/>
      <c r="AR837" s="38">
        <v>1000</v>
      </c>
      <c r="AS837" s="15"/>
      <c r="AT837" s="15"/>
      <c r="AU837" s="15"/>
      <c r="AV837" s="15"/>
      <c r="AW837" s="13"/>
      <c r="AX837" s="15"/>
      <c r="AY837" s="15"/>
      <c r="AZ837" s="28"/>
      <c r="BA837" s="15"/>
      <c r="BB837" s="15"/>
      <c r="BC837" s="15"/>
      <c r="BD837" s="15"/>
      <c r="BE837" s="14"/>
      <c r="BF837" s="41">
        <f t="shared" ref="BF837:BG837" si="2651">K837+O837+S837+W837+AA837+AE837+AI837+AM837+AQ837+AU837+AY837+BC837</f>
        <v>1000</v>
      </c>
      <c r="BG837" s="34">
        <f t="shared" si="2651"/>
        <v>1000</v>
      </c>
      <c r="BH837" s="35">
        <f t="shared" si="2641"/>
        <v>0</v>
      </c>
    </row>
    <row r="838" ht="14.25" customHeight="1" spans="1:60" x14ac:dyDescent="0.25">
      <c r="A838" s="29">
        <v>111</v>
      </c>
      <c r="B838" s="14"/>
      <c r="C838" s="2" t="s">
        <v>459</v>
      </c>
      <c r="D838" s="14" t="s">
        <v>52</v>
      </c>
      <c r="E838" s="2" t="s">
        <v>39</v>
      </c>
      <c r="F838" s="41">
        <v>500</v>
      </c>
      <c r="G838" s="28"/>
      <c r="H838" s="34">
        <f>'2018'!BH838</f>
        <v>0</v>
      </c>
      <c r="I838" s="13"/>
      <c r="J838" s="15"/>
      <c r="K838" s="15"/>
      <c r="L838" s="28"/>
      <c r="Q838" s="13"/>
      <c r="R838" s="15"/>
      <c r="S838" s="15"/>
      <c r="T838" s="28"/>
      <c r="Y838" s="13"/>
      <c r="Z838" s="15"/>
      <c r="AA838" s="34">
        <f>$F$14</f>
        <v>500</v>
      </c>
      <c r="AB838" s="28"/>
      <c r="AG838" s="13"/>
      <c r="AH838" s="15"/>
      <c r="AI838" s="15"/>
      <c r="AJ838" s="28"/>
      <c r="AK838" s="13"/>
      <c r="AL838" s="15"/>
      <c r="AM838" s="15"/>
      <c r="AN838" s="35"/>
      <c r="AO838" s="13"/>
      <c r="AP838" s="15"/>
      <c r="AQ838" s="15"/>
      <c r="AR838" s="38">
        <v>500</v>
      </c>
      <c r="AS838" s="15"/>
      <c r="AT838" s="15"/>
      <c r="AU838" s="15"/>
      <c r="AV838" s="15"/>
      <c r="AW838" s="13"/>
      <c r="AX838" s="15"/>
      <c r="AY838" s="15"/>
      <c r="AZ838" s="28"/>
      <c r="BA838" s="15"/>
      <c r="BB838" s="15"/>
      <c r="BC838" s="15"/>
      <c r="BD838" s="15"/>
      <c r="BE838" s="14"/>
      <c r="BF838" s="41">
        <f t="shared" ref="BF838:BG838" si="2652">K838+O838+S838+W838+AA838+AE838+AI838+AM838+AQ838+AU838+AY838+BC838</f>
        <v>500</v>
      </c>
      <c r="BG838" s="34">
        <f t="shared" si="2652"/>
        <v>500</v>
      </c>
      <c r="BH838" s="35">
        <f t="shared" si="2641"/>
        <v>0</v>
      </c>
    </row>
    <row r="839" ht="14.25" customHeight="1" spans="1:62" x14ac:dyDescent="0.25">
      <c r="A839" s="50">
        <v>111</v>
      </c>
      <c r="B839" s="21"/>
      <c r="C839" s="22" t="s">
        <v>53</v>
      </c>
      <c r="D839" s="21"/>
      <c r="E839" s="22"/>
      <c r="F839" s="20"/>
      <c r="G839" s="23"/>
      <c r="H839" s="51">
        <f>SUM(H832:H838)</f>
        <v>0.004000000001</v>
      </c>
      <c r="I839" s="52"/>
      <c r="J839" s="53"/>
      <c r="K839" s="51">
        <f t="shared" ref="K839:L839" si="2653">SUM(K832:K838)</f>
        <v>0</v>
      </c>
      <c r="L839" s="68">
        <f t="shared" si="2653"/>
        <v>0</v>
      </c>
      <c r="M839" s="53"/>
      <c r="N839" s="53"/>
      <c r="O839" s="51">
        <f t="shared" ref="O839:P839" si="2654">SUM(O833:O838)</f>
        <v>0</v>
      </c>
      <c r="P839" s="51">
        <f t="shared" si="2654"/>
        <v>0</v>
      </c>
      <c r="Q839" s="52"/>
      <c r="R839" s="53"/>
      <c r="S839" s="51">
        <f t="shared" ref="S839:T839" si="2655">SUM(S833:S838)</f>
        <v>0</v>
      </c>
      <c r="T839" s="68">
        <f t="shared" si="2655"/>
        <v>0</v>
      </c>
      <c r="U839" s="53"/>
      <c r="V839" s="53"/>
      <c r="W839" s="51">
        <f t="shared" ref="W839:X839" si="2656">SUM(W833:W838)</f>
        <v>4.98</v>
      </c>
      <c r="X839" s="51">
        <f t="shared" si="2656"/>
        <v>0</v>
      </c>
      <c r="Y839" s="52"/>
      <c r="Z839" s="53"/>
      <c r="AA839" s="51">
        <f t="shared" ref="AA839:AB839" si="2657">SUM(AA833:AA838)</f>
        <v>495.02</v>
      </c>
      <c r="AB839" s="68">
        <f t="shared" si="2657"/>
        <v>0</v>
      </c>
      <c r="AC839" s="53"/>
      <c r="AD839" s="53"/>
      <c r="AE839" s="51">
        <f t="shared" ref="AE839:AF839" si="2658">SUM(AE833:AE838)</f>
        <v>9215</v>
      </c>
      <c r="AF839" s="51">
        <f t="shared" si="2658"/>
        <v>0</v>
      </c>
      <c r="AG839" s="52"/>
      <c r="AH839" s="53"/>
      <c r="AI839" s="51">
        <f t="shared" ref="AI839:AJ839" si="2659">SUM(AI833:AI838)</f>
        <v>17.5</v>
      </c>
      <c r="AJ839" s="68">
        <f t="shared" si="2659"/>
        <v>0</v>
      </c>
      <c r="AK839" s="52"/>
      <c r="AL839" s="53"/>
      <c r="AM839" s="51">
        <f t="shared" ref="AM839:AN839" si="2660">SUM(AM833:AM838)</f>
        <v>25</v>
      </c>
      <c r="AN839" s="68">
        <f t="shared" si="2660"/>
        <v>0</v>
      </c>
      <c r="AO839" s="52"/>
      <c r="AP839" s="53"/>
      <c r="AQ839" s="51">
        <f t="shared" ref="AQ839:AR839" si="2661">SUM(AQ832:AQ838)</f>
        <v>32.08</v>
      </c>
      <c r="AR839" s="68">
        <f t="shared" si="2661"/>
        <v>9757.5</v>
      </c>
      <c r="AS839" s="53"/>
      <c r="AT839" s="53"/>
      <c r="AU839" s="51">
        <f t="shared" ref="AU839:AV839" si="2662">SUM(AU832:AU838)</f>
        <v>412.5</v>
      </c>
      <c r="AV839" s="68">
        <f t="shared" si="2662"/>
        <v>0</v>
      </c>
      <c r="AW839" s="52"/>
      <c r="AX839" s="53"/>
      <c r="AY839" s="51">
        <f t="shared" ref="AY839:AZ839" si="2663">SUM(AY832:AY838)</f>
        <v>1080</v>
      </c>
      <c r="AZ839" s="68">
        <f t="shared" si="2663"/>
        <v>1520</v>
      </c>
      <c r="BA839" s="53"/>
      <c r="BB839" s="53"/>
      <c r="BC839" s="51">
        <f t="shared" ref="BC839:BD839" si="2664">SUM(BC832:BC838)</f>
        <v>550</v>
      </c>
      <c r="BD839" s="68">
        <f t="shared" si="2664"/>
        <v>0</v>
      </c>
      <c r="BE839" s="69"/>
      <c r="BF839" s="70">
        <f t="shared" ref="BF839:BH839" si="2665">SUM(BF832:BF838)</f>
        <v>11832.08</v>
      </c>
      <c r="BG839" s="71">
        <f t="shared" si="2665"/>
        <v>11277.5</v>
      </c>
      <c r="BH839" s="72">
        <f t="shared" si="2665"/>
        <v>554.584</v>
      </c>
      <c r="BI839" s="34">
        <f>H839+BF839-BG839</f>
        <v>554.584</v>
      </c>
      <c r="BJ839" s="34">
        <f>BH839-BI839</f>
        <v>0</v>
      </c>
    </row>
    <row r="840" ht="14.25" customHeight="1" spans="1:60" x14ac:dyDescent="0.25">
      <c r="A840" s="29">
        <v>112</v>
      </c>
      <c r="B840" s="14"/>
      <c r="D840" s="14" t="s">
        <v>379</v>
      </c>
      <c r="F840" s="13"/>
      <c r="G840" s="28"/>
      <c r="H840" s="34">
        <f>'2018'!BH840</f>
      </c>
      <c r="I840" s="13"/>
      <c r="J840" s="15"/>
      <c r="K840" s="15"/>
      <c r="L840" s="28"/>
      <c r="Q840" s="13"/>
      <c r="R840" s="15"/>
      <c r="S840" s="15"/>
      <c r="T840" s="28"/>
      <c r="Y840" s="13"/>
      <c r="Z840" s="15"/>
      <c r="AA840" s="15"/>
      <c r="AB840" s="28"/>
      <c r="AG840" s="13"/>
      <c r="AH840" s="15"/>
      <c r="AI840" s="15"/>
      <c r="AJ840" s="28"/>
      <c r="AK840" s="13"/>
      <c r="AL840" s="15"/>
      <c r="AM840" s="15"/>
      <c r="AN840" s="28"/>
      <c r="AO840" s="13"/>
      <c r="AP840" s="15"/>
      <c r="AQ840" s="15"/>
      <c r="AR840" s="28"/>
      <c r="AW840" s="13"/>
      <c r="AX840" s="15"/>
      <c r="AY840" s="15"/>
      <c r="AZ840" s="28"/>
      <c r="BE840" s="14"/>
      <c r="BF840" s="41">
        <f t="shared" ref="BF840:BG840" si="2666">K840+O840+S840+W840+AA840+AE840+AI840+AM840+AQ840+AU840+AY840+BC840</f>
        <v>0</v>
      </c>
      <c r="BG840" s="34">
        <f t="shared" si="2666"/>
        <v>0</v>
      </c>
      <c r="BH840" s="35">
        <f t="shared" ref="BH840:BH846" si="2667">H840+BF840-BG840</f>
        <v>0</v>
      </c>
    </row>
    <row r="841" ht="14.25" customHeight="1" spans="1:60" x14ac:dyDescent="0.25">
      <c r="A841" s="2">
        <v>112</v>
      </c>
      <c r="B841" s="14">
        <v>4.94</v>
      </c>
      <c r="C841" s="15" t="s">
        <v>347</v>
      </c>
      <c r="D841" s="14" t="s">
        <v>44</v>
      </c>
      <c r="E841" s="2" t="s">
        <v>45</v>
      </c>
      <c r="F841" s="13">
        <v>2.49</v>
      </c>
      <c r="G841" s="35">
        <v>2.5</v>
      </c>
      <c r="H841" s="34">
        <f>'2018'!BH841</f>
        <v>22.41</v>
      </c>
      <c r="I841" s="13">
        <v>111</v>
      </c>
      <c r="J841" s="15">
        <f>I841-'2018'!BA841</f>
        <v>0</v>
      </c>
      <c r="K841" s="34">
        <f>J841*$F$8</f>
        <v>0</v>
      </c>
      <c r="L841" s="28"/>
      <c r="M841" s="2">
        <v>111</v>
      </c>
      <c r="N841" s="15">
        <f>M841-I841</f>
        <v>0</v>
      </c>
      <c r="O841" s="34">
        <f>N841*$F$8</f>
        <v>0</v>
      </c>
      <c r="Q841" s="13">
        <v>111</v>
      </c>
      <c r="R841" s="15">
        <f>Q841-M841</f>
        <v>0</v>
      </c>
      <c r="S841" s="34">
        <f>R841*$F$8</f>
        <v>0</v>
      </c>
      <c r="T841" s="28"/>
      <c r="U841" s="15">
        <v>111</v>
      </c>
      <c r="V841" s="15">
        <f>U841-Q841</f>
        <v>0</v>
      </c>
      <c r="W841" s="34">
        <f>V841*$F$8</f>
        <v>0</v>
      </c>
      <c r="Y841" s="75">
        <v>113</v>
      </c>
      <c r="Z841" s="15">
        <f>Y841-U841</f>
        <v>2</v>
      </c>
      <c r="AA841" s="34">
        <f>Z841*$F$8</f>
        <v>4.98</v>
      </c>
      <c r="AB841" s="28"/>
      <c r="AC841" s="15">
        <v>115</v>
      </c>
      <c r="AD841" s="15">
        <f t="shared" ref="AD841:AD842" si="2668">AC841-Y841</f>
        <v>2</v>
      </c>
      <c r="AE841" s="34">
        <f>AD841*$G$8</f>
        <v>5</v>
      </c>
      <c r="AF841" s="140">
        <v>176.48</v>
      </c>
      <c r="AG841" s="13">
        <v>122</v>
      </c>
      <c r="AH841" s="15">
        <f t="shared" ref="AH841:AH842" si="2669">AG841-AC841</f>
        <v>7</v>
      </c>
      <c r="AI841" s="34">
        <f>AH841*$G$8</f>
        <v>17.5</v>
      </c>
      <c r="AJ841" s="38">
        <v>5</v>
      </c>
      <c r="AK841" s="13">
        <v>126</v>
      </c>
      <c r="AL841" s="15">
        <f t="shared" ref="AL841:AL842" si="2670">AK841-AG841</f>
        <v>4</v>
      </c>
      <c r="AM841" s="34">
        <f>AL841*$G$8</f>
        <v>10</v>
      </c>
      <c r="AN841" s="28"/>
      <c r="AO841" s="13">
        <v>147</v>
      </c>
      <c r="AP841" s="15">
        <f t="shared" ref="AP841:AP842" si="2671">AO841-AK841</f>
        <v>21</v>
      </c>
      <c r="AQ841" s="34">
        <f>AP841*$G$8</f>
        <v>52.5</v>
      </c>
      <c r="AR841" s="28"/>
      <c r="AS841" s="15">
        <v>155</v>
      </c>
      <c r="AT841" s="15">
        <f t="shared" ref="AT841:AT842" si="2672">AS841-AO841</f>
        <v>8</v>
      </c>
      <c r="AU841" s="34">
        <f>AT841*$G$8</f>
        <v>20</v>
      </c>
      <c r="AV841" s="15"/>
      <c r="AW841" s="13">
        <v>155</v>
      </c>
      <c r="AX841" s="15">
        <f>AW841-AS841</f>
        <v>0</v>
      </c>
      <c r="AY841" s="34">
        <f>AX841*$G$8</f>
        <v>0</v>
      </c>
      <c r="AZ841" s="28"/>
      <c r="BA841" s="13">
        <v>155</v>
      </c>
      <c r="BB841" s="15">
        <f>BA841-AW841</f>
        <v>0</v>
      </c>
      <c r="BC841" s="34">
        <f>BB841*$G$8</f>
        <v>0</v>
      </c>
      <c r="BD841" s="15"/>
      <c r="BE841" s="40">
        <f t="shared" ref="BE841:BG841" si="2673">J841+N841+R841+V841+Z841+AD841+AH841+AL841+AP841+AT841+AX841+BB841</f>
        <v>44</v>
      </c>
      <c r="BF841" s="41">
        <f t="shared" si="2673"/>
        <v>109.98</v>
      </c>
      <c r="BG841" s="34">
        <f t="shared" si="2673"/>
        <v>181.48</v>
      </c>
      <c r="BH841" s="35">
        <f t="shared" si="2667"/>
        <v>-49.09</v>
      </c>
    </row>
    <row r="842" ht="14.25" customHeight="1" spans="1:60" x14ac:dyDescent="0.25">
      <c r="A842" s="29">
        <v>112</v>
      </c>
      <c r="B842" s="14"/>
      <c r="C842" s="15" t="s">
        <v>114</v>
      </c>
      <c r="D842" s="14" t="s">
        <v>47</v>
      </c>
      <c r="E842" s="2" t="s">
        <v>48</v>
      </c>
      <c r="F842" s="13">
        <v>17.98</v>
      </c>
      <c r="G842" s="28">
        <v>18.56</v>
      </c>
      <c r="H842" s="90">
        <f>'2018'!BH842</f>
        <v>0</v>
      </c>
      <c r="I842" s="13">
        <v>2</v>
      </c>
      <c r="J842" s="15"/>
      <c r="K842" s="15"/>
      <c r="L842" s="28"/>
      <c r="Q842" s="13"/>
      <c r="R842" s="15"/>
      <c r="S842" s="15"/>
      <c r="T842" s="28"/>
      <c r="Y842" s="95">
        <f>0+0</f>
        <v>0</v>
      </c>
      <c r="Z842" s="15">
        <v>0</v>
      </c>
      <c r="AA842" s="34">
        <f>Z842*$F$10</f>
        <v>0</v>
      </c>
      <c r="AB842" s="28"/>
      <c r="AC842" s="15">
        <f>2+3</f>
        <v>5</v>
      </c>
      <c r="AD842" s="15">
        <f t="shared" si="2668"/>
        <v>5</v>
      </c>
      <c r="AE842" s="34">
        <f>AD842*$F$10</f>
        <v>89.9</v>
      </c>
      <c r="AF842" s="39">
        <f>89.9+315</f>
        <v>404.9</v>
      </c>
      <c r="AG842" s="13">
        <f>2+3</f>
        <v>5</v>
      </c>
      <c r="AH842" s="15">
        <f t="shared" si="2669"/>
        <v>0</v>
      </c>
      <c r="AI842" s="45">
        <f>AH842*$G$10</f>
        <v>0</v>
      </c>
      <c r="AJ842" s="38">
        <v>89.9</v>
      </c>
      <c r="AK842" s="15">
        <f>2+3</f>
        <v>5</v>
      </c>
      <c r="AL842" s="15">
        <f t="shared" si="2670"/>
        <v>0</v>
      </c>
      <c r="AM842" s="45">
        <f>AL842*$G$10</f>
        <v>0</v>
      </c>
      <c r="AN842" s="28"/>
      <c r="AO842" s="15">
        <f>28+9</f>
        <v>37</v>
      </c>
      <c r="AP842" s="15">
        <f t="shared" si="2671"/>
        <v>32</v>
      </c>
      <c r="AQ842" s="45">
        <f>AP842*$G$10</f>
        <v>593.92</v>
      </c>
      <c r="AR842" s="28"/>
      <c r="AS842" s="15">
        <f>28+9</f>
        <v>37</v>
      </c>
      <c r="AT842" s="15">
        <f t="shared" si="2672"/>
        <v>0</v>
      </c>
      <c r="AU842" s="45">
        <f>AT842*$G$10</f>
        <v>0</v>
      </c>
      <c r="AV842" s="15"/>
      <c r="AW842" s="13">
        <f>28+9</f>
        <v>37</v>
      </c>
      <c r="AX842" s="15"/>
      <c r="AY842" s="15"/>
      <c r="AZ842" s="28"/>
      <c r="BA842" s="13">
        <f>28+9</f>
        <v>37</v>
      </c>
      <c r="BB842" s="15"/>
      <c r="BC842" s="15"/>
      <c r="BD842" s="15"/>
      <c r="BE842" s="40">
        <f t="shared" ref="BE842:BG842" si="2674">J842+N842+R842+V842+Z842+AD842+AH842+AL842+AP842+AT842+AX842+BB842</f>
        <v>37</v>
      </c>
      <c r="BF842" s="41">
        <f t="shared" si="2674"/>
        <v>683.82</v>
      </c>
      <c r="BG842" s="34">
        <f t="shared" si="2674"/>
        <v>494.8</v>
      </c>
      <c r="BH842" s="35">
        <f t="shared" si="2667"/>
        <v>189.02</v>
      </c>
    </row>
    <row r="843" ht="14.25" customHeight="1" spans="1:60" x14ac:dyDescent="0.25">
      <c r="A843" s="29">
        <v>112</v>
      </c>
      <c r="B843" s="14"/>
      <c r="C843" s="15" t="s">
        <v>460</v>
      </c>
      <c r="D843" s="14" t="s">
        <v>47</v>
      </c>
      <c r="E843" s="2" t="s">
        <v>49</v>
      </c>
      <c r="F843" s="41">
        <v>500</v>
      </c>
      <c r="G843" s="28"/>
      <c r="H843" s="34">
        <f>'2018'!BH843</f>
        <v>0</v>
      </c>
      <c r="I843" s="13"/>
      <c r="J843" s="15"/>
      <c r="K843" s="15"/>
      <c r="L843" s="28"/>
      <c r="Q843" s="13"/>
      <c r="R843" s="15"/>
      <c r="S843" s="15"/>
      <c r="T843" s="28"/>
      <c r="Y843" s="13"/>
      <c r="Z843" s="15"/>
      <c r="AA843" s="34"/>
      <c r="AB843" s="28"/>
      <c r="AC843" s="15"/>
      <c r="AF843" s="15"/>
      <c r="AG843" s="13"/>
      <c r="AH843" s="15"/>
      <c r="AI843" s="15"/>
      <c r="AJ843" s="28"/>
      <c r="AK843" s="13"/>
      <c r="AL843" s="15"/>
      <c r="AM843" s="34"/>
      <c r="AN843" s="28"/>
      <c r="AO843" s="13"/>
      <c r="AP843" s="15"/>
      <c r="AQ843" s="34"/>
      <c r="AR843" s="28"/>
      <c r="AS843" s="15"/>
      <c r="AT843" s="15"/>
      <c r="AU843" s="15"/>
      <c r="AV843" s="15"/>
      <c r="AW843" s="13"/>
      <c r="AX843" s="15"/>
      <c r="AY843" s="15"/>
      <c r="AZ843" s="28"/>
      <c r="BA843" s="15"/>
      <c r="BB843" s="15"/>
      <c r="BC843" s="15"/>
      <c r="BD843" s="15"/>
      <c r="BE843" s="14"/>
      <c r="BF843" s="41">
        <f t="shared" ref="BF843:BG843" si="2675">K843+O843+S843+W843+AA843+AE843+AI843+AM843+AQ843+AU843+AY843+BC843</f>
        <v>0</v>
      </c>
      <c r="BG843" s="34">
        <f t="shared" si="2675"/>
        <v>0</v>
      </c>
      <c r="BH843" s="35">
        <f t="shared" si="2667"/>
        <v>0</v>
      </c>
    </row>
    <row r="844" ht="14.25" customHeight="1" spans="1:60" x14ac:dyDescent="0.25">
      <c r="A844" s="29">
        <v>112</v>
      </c>
      <c r="B844" s="14"/>
      <c r="C844" s="15"/>
      <c r="D844" s="14" t="s">
        <v>50</v>
      </c>
      <c r="E844" s="2" t="s">
        <v>49</v>
      </c>
      <c r="F844" s="41">
        <v>1200</v>
      </c>
      <c r="G844" s="28"/>
      <c r="H844" s="34">
        <f>'2018'!BH844</f>
        <v>0.007200000001</v>
      </c>
      <c r="I844" s="13"/>
      <c r="J844" s="15"/>
      <c r="K844" s="15"/>
      <c r="L844" s="28"/>
      <c r="Q844" s="13"/>
      <c r="R844" s="15"/>
      <c r="S844" s="15"/>
      <c r="T844" s="28"/>
      <c r="Y844" s="13"/>
      <c r="Z844" s="15"/>
      <c r="AA844" s="15"/>
      <c r="AB844" s="28"/>
      <c r="AE844" s="34">
        <f>B841*$F$12</f>
        <v>5928</v>
      </c>
      <c r="AF844" s="1">
        <v>5928.01</v>
      </c>
      <c r="AG844" s="13"/>
      <c r="AH844" s="15"/>
      <c r="AI844" s="15"/>
      <c r="AJ844" s="28"/>
      <c r="AK844" s="13"/>
      <c r="AL844" s="15"/>
      <c r="AM844" s="15"/>
      <c r="AN844" s="28"/>
      <c r="AO844" s="13"/>
      <c r="AP844" s="15"/>
      <c r="AQ844" s="15"/>
      <c r="AR844" s="28"/>
      <c r="AS844" s="15"/>
      <c r="AT844" s="15"/>
      <c r="AU844" s="15"/>
      <c r="AV844" s="15"/>
      <c r="AW844" s="13"/>
      <c r="AX844" s="15"/>
      <c r="AY844" s="15"/>
      <c r="AZ844" s="28"/>
      <c r="BA844" s="15"/>
      <c r="BB844" s="15"/>
      <c r="BC844" s="15"/>
      <c r="BD844" s="15"/>
      <c r="BE844" s="14"/>
      <c r="BF844" s="41">
        <f t="shared" ref="BF844:BG844" si="2676">K844+O844+S844+W844+AA844+AE844+AI844+AM844+AQ844+AU844+AY844+BC844</f>
        <v>5928</v>
      </c>
      <c r="BG844" s="34">
        <f t="shared" si="2676"/>
        <v>5928.01</v>
      </c>
      <c r="BH844" s="35">
        <f t="shared" si="2667"/>
        <v>-0.002799999998</v>
      </c>
    </row>
    <row r="845" ht="14.25" customHeight="1" spans="1:60" x14ac:dyDescent="0.25">
      <c r="A845" s="29">
        <v>112</v>
      </c>
      <c r="B845" s="14"/>
      <c r="D845" s="14" t="s">
        <v>51</v>
      </c>
      <c r="E845" s="2" t="s">
        <v>49</v>
      </c>
      <c r="F845" s="41">
        <v>1000</v>
      </c>
      <c r="G845" s="28"/>
      <c r="H845" s="34">
        <f>'2018'!BH845</f>
        <v>0</v>
      </c>
      <c r="I845" s="13"/>
      <c r="J845" s="15"/>
      <c r="K845" s="15"/>
      <c r="L845" s="28"/>
      <c r="Q845" s="13"/>
      <c r="R845" s="15"/>
      <c r="S845" s="15"/>
      <c r="T845" s="28"/>
      <c r="Y845" s="13"/>
      <c r="Z845" s="15"/>
      <c r="AA845" s="15"/>
      <c r="AB845" s="28"/>
      <c r="AE845" s="34">
        <f>$F$21</f>
        <v>1000</v>
      </c>
      <c r="AF845" s="39">
        <f>1000+500</f>
        <v>1500</v>
      </c>
      <c r="AG845" s="13"/>
      <c r="AH845" s="15"/>
      <c r="AI845" s="15"/>
      <c r="AJ845" s="28"/>
      <c r="AK845" s="13"/>
      <c r="AL845" s="15"/>
      <c r="AM845" s="15"/>
      <c r="AN845" s="28"/>
      <c r="AO845" s="13"/>
      <c r="AP845" s="15"/>
      <c r="AQ845" s="15"/>
      <c r="AR845" s="28"/>
      <c r="AS845" s="15"/>
      <c r="AT845" s="15"/>
      <c r="AU845" s="15"/>
      <c r="AV845" s="15"/>
      <c r="AW845" s="13"/>
      <c r="AX845" s="15"/>
      <c r="AY845" s="15"/>
      <c r="AZ845" s="28"/>
      <c r="BA845" s="15"/>
      <c r="BB845" s="15"/>
      <c r="BC845" s="15"/>
      <c r="BD845" s="15"/>
      <c r="BE845" s="14"/>
      <c r="BF845" s="41">
        <f t="shared" ref="BF845:BG845" si="2677">K845+O845+S845+W845+AA845+AE845+AI845+AM845+AQ845+AU845+AY845+BC845</f>
        <v>1000</v>
      </c>
      <c r="BG845" s="34">
        <f t="shared" si="2677"/>
        <v>1500</v>
      </c>
      <c r="BH845" s="35">
        <f t="shared" si="2667"/>
        <v>-500</v>
      </c>
    </row>
    <row r="846" ht="14.25" customHeight="1" spans="1:60" x14ac:dyDescent="0.25">
      <c r="A846" s="29">
        <v>112</v>
      </c>
      <c r="B846" s="14"/>
      <c r="D846" s="14" t="s">
        <v>52</v>
      </c>
      <c r="E846" s="2" t="s">
        <v>39</v>
      </c>
      <c r="F846" s="41">
        <v>500</v>
      </c>
      <c r="G846" s="28"/>
      <c r="H846" s="34">
        <f>'2018'!BH846</f>
        <v>0</v>
      </c>
      <c r="I846" s="13"/>
      <c r="J846" s="15"/>
      <c r="K846" s="15"/>
      <c r="L846" s="28"/>
      <c r="Q846" s="13"/>
      <c r="R846" s="15"/>
      <c r="S846" s="15"/>
      <c r="T846" s="28"/>
      <c r="Y846" s="13"/>
      <c r="Z846" s="15"/>
      <c r="AA846" s="34">
        <f>$F$14</f>
        <v>500</v>
      </c>
      <c r="AB846" s="35"/>
      <c r="AF846" s="39">
        <f>500+500</f>
        <v>1000</v>
      </c>
      <c r="AG846" s="13"/>
      <c r="AH846" s="15"/>
      <c r="AI846" s="15"/>
      <c r="AJ846" s="28"/>
      <c r="AK846" s="13"/>
      <c r="AL846" s="15"/>
      <c r="AM846" s="15"/>
      <c r="AN846" s="28"/>
      <c r="AO846" s="13"/>
      <c r="AP846" s="15"/>
      <c r="AQ846" s="15"/>
      <c r="AR846" s="28"/>
      <c r="AS846" s="15"/>
      <c r="AT846" s="15"/>
      <c r="AU846" s="15"/>
      <c r="AV846" s="15"/>
      <c r="AW846" s="13"/>
      <c r="AX846" s="15"/>
      <c r="AY846" s="15"/>
      <c r="AZ846" s="28"/>
      <c r="BA846" s="15"/>
      <c r="BB846" s="15"/>
      <c r="BC846" s="15"/>
      <c r="BD846" s="15"/>
      <c r="BE846" s="14"/>
      <c r="BF846" s="41">
        <f t="shared" ref="BF846:BG846" si="2678">K846+O846+S846+W846+AA846+AE846+AI846+AM846+AQ846+AU846+AY846+BC846</f>
        <v>500</v>
      </c>
      <c r="BG846" s="34">
        <f t="shared" si="2678"/>
        <v>1000</v>
      </c>
      <c r="BH846" s="35">
        <f t="shared" si="2667"/>
        <v>-500</v>
      </c>
    </row>
    <row r="847" ht="14.25" customHeight="1" spans="1:62" x14ac:dyDescent="0.25">
      <c r="A847" s="50">
        <v>112</v>
      </c>
      <c r="B847" s="21"/>
      <c r="C847" s="22" t="s">
        <v>53</v>
      </c>
      <c r="D847" s="21"/>
      <c r="E847" s="22"/>
      <c r="F847" s="20"/>
      <c r="G847" s="23"/>
      <c r="H847" s="51">
        <f>SUM(H840:H846)</f>
        <v>22.4172</v>
      </c>
      <c r="I847" s="52"/>
      <c r="J847" s="53"/>
      <c r="K847" s="51">
        <f t="shared" ref="K847:L847" si="2679">SUM(K840:K846)</f>
        <v>0</v>
      </c>
      <c r="L847" s="68">
        <f t="shared" si="2679"/>
        <v>0</v>
      </c>
      <c r="M847" s="53"/>
      <c r="N847" s="53"/>
      <c r="O847" s="51">
        <f t="shared" ref="O847:P847" si="2680">SUM(O841:O846)</f>
        <v>0</v>
      </c>
      <c r="P847" s="51">
        <f t="shared" si="2680"/>
        <v>0</v>
      </c>
      <c r="Q847" s="52"/>
      <c r="R847" s="53"/>
      <c r="S847" s="51">
        <f t="shared" ref="S847:T847" si="2681">SUM(S841:S846)</f>
        <v>0</v>
      </c>
      <c r="T847" s="68">
        <f t="shared" si="2681"/>
        <v>0</v>
      </c>
      <c r="U847" s="53"/>
      <c r="V847" s="53"/>
      <c r="W847" s="51">
        <f t="shared" ref="W847:X847" si="2682">SUM(W841:W846)</f>
        <v>0</v>
      </c>
      <c r="X847" s="51">
        <f t="shared" si="2682"/>
        <v>0</v>
      </c>
      <c r="Y847" s="52"/>
      <c r="Z847" s="53"/>
      <c r="AA847" s="51">
        <f t="shared" ref="AA847:AB847" si="2683">SUM(AA841:AA846)</f>
        <v>504.98</v>
      </c>
      <c r="AB847" s="68">
        <f t="shared" si="2683"/>
        <v>0</v>
      </c>
      <c r="AC847" s="53"/>
      <c r="AD847" s="53"/>
      <c r="AE847" s="51">
        <f t="shared" ref="AE847:AF847" si="2684">SUM(AE841:AE846)</f>
        <v>7022.9</v>
      </c>
      <c r="AF847" s="51">
        <f t="shared" si="2684"/>
        <v>9009.39</v>
      </c>
      <c r="AG847" s="52"/>
      <c r="AH847" s="53"/>
      <c r="AI847" s="51">
        <f t="shared" ref="AI847:AJ847" si="2685">SUM(AI841:AI846)</f>
        <v>17.5</v>
      </c>
      <c r="AJ847" s="68">
        <f t="shared" si="2685"/>
        <v>94.9</v>
      </c>
      <c r="AK847" s="52"/>
      <c r="AL847" s="53"/>
      <c r="AM847" s="51">
        <f t="shared" ref="AM847:AN847" si="2686">SUM(AM841:AM846)</f>
        <v>10</v>
      </c>
      <c r="AN847" s="68">
        <f t="shared" si="2686"/>
        <v>0</v>
      </c>
      <c r="AO847" s="52"/>
      <c r="AP847" s="53"/>
      <c r="AQ847" s="51">
        <f t="shared" ref="AQ847:AR847" si="2687">SUM(AQ840:AQ846)</f>
        <v>646.42</v>
      </c>
      <c r="AR847" s="68">
        <f t="shared" si="2687"/>
        <v>0</v>
      </c>
      <c r="AS847" s="53"/>
      <c r="AT847" s="53"/>
      <c r="AU847" s="51">
        <f t="shared" ref="AU847:AV847" si="2688">SUM(AU840:AU846)</f>
        <v>20</v>
      </c>
      <c r="AV847" s="68">
        <f t="shared" si="2688"/>
        <v>0</v>
      </c>
      <c r="AW847" s="52"/>
      <c r="AX847" s="53"/>
      <c r="AY847" s="51">
        <f t="shared" ref="AY847:AZ847" si="2689">SUM(AY840:AY846)</f>
        <v>0</v>
      </c>
      <c r="AZ847" s="68">
        <f t="shared" si="2689"/>
        <v>0</v>
      </c>
      <c r="BA847" s="53"/>
      <c r="BB847" s="53"/>
      <c r="BC847" s="51">
        <f t="shared" ref="BC847:BD847" si="2690">SUM(BC840:BC846)</f>
        <v>0</v>
      </c>
      <c r="BD847" s="68">
        <f t="shared" si="2690"/>
        <v>0</v>
      </c>
      <c r="BE847" s="69"/>
      <c r="BF847" s="70">
        <f t="shared" ref="BF847:BH847" si="2691">SUM(BF840:BF846)</f>
        <v>8221.8</v>
      </c>
      <c r="BG847" s="71">
        <f t="shared" si="2691"/>
        <v>9104.29</v>
      </c>
      <c r="BH847" s="72">
        <f t="shared" si="2691"/>
        <v>-860.0728</v>
      </c>
      <c r="BI847" s="34">
        <f>H847+BF847-BG847</f>
        <v>-860.0728</v>
      </c>
      <c r="BJ847" s="34">
        <f>BH847-BI847</f>
        <v>0</v>
      </c>
    </row>
    <row r="848" ht="14.25" customHeight="1" spans="1:60" x14ac:dyDescent="0.25">
      <c r="A848" s="29">
        <v>113</v>
      </c>
      <c r="B848" s="14"/>
      <c r="D848" s="14" t="s">
        <v>379</v>
      </c>
      <c r="F848" s="13"/>
      <c r="G848" s="28"/>
      <c r="H848" s="34">
        <f>'2018'!BH848</f>
      </c>
      <c r="I848" s="13"/>
      <c r="J848" s="15"/>
      <c r="K848" s="15"/>
      <c r="L848" s="28"/>
      <c r="Q848" s="13"/>
      <c r="R848" s="15"/>
      <c r="S848" s="15"/>
      <c r="T848" s="28"/>
      <c r="Y848" s="13"/>
      <c r="Z848" s="15"/>
      <c r="AA848" s="15"/>
      <c r="AB848" s="28"/>
      <c r="AG848" s="13"/>
      <c r="AH848" s="15"/>
      <c r="AI848" s="15"/>
      <c r="AJ848" s="28"/>
      <c r="AK848" s="13"/>
      <c r="AL848" s="15"/>
      <c r="AM848" s="15"/>
      <c r="AN848" s="28"/>
      <c r="AO848" s="13"/>
      <c r="AP848" s="15"/>
      <c r="AQ848" s="15">
        <v>36.81</v>
      </c>
      <c r="AR848" s="28"/>
      <c r="AU848" s="2">
        <v>38.03</v>
      </c>
      <c r="AW848" s="13"/>
      <c r="AX848" s="15"/>
      <c r="AY848" s="15">
        <v>36.81</v>
      </c>
      <c r="AZ848" s="28"/>
      <c r="BC848" s="2">
        <v>38.03</v>
      </c>
      <c r="BE848" s="14"/>
      <c r="BF848" s="41">
        <f t="shared" ref="BF848:BG848" si="2692">K848+O848+S848+W848+AA848+AE848+AI848+AM848+AQ848+AU848+AY848+BC848</f>
        <v>149.68</v>
      </c>
      <c r="BG848" s="34">
        <f t="shared" si="2692"/>
        <v>0</v>
      </c>
      <c r="BH848" s="35">
        <f t="shared" ref="BH848:BH854" si="2693">H848+BF848-BG848</f>
        <v>149.68</v>
      </c>
    </row>
    <row r="849" ht="14.25" customHeight="1" spans="1:60" x14ac:dyDescent="0.25">
      <c r="A849" s="2">
        <v>113</v>
      </c>
      <c r="B849" s="14">
        <v>4.98</v>
      </c>
      <c r="C849" s="2" t="s">
        <v>348</v>
      </c>
      <c r="D849" s="14" t="s">
        <v>44</v>
      </c>
      <c r="E849" s="2" t="s">
        <v>45</v>
      </c>
      <c r="F849" s="13">
        <v>2.49</v>
      </c>
      <c r="G849" s="35">
        <v>2.5</v>
      </c>
      <c r="H849" s="104">
        <f>'2018'!BH849</f>
        <v>0</v>
      </c>
      <c r="I849" s="13"/>
      <c r="J849" s="15"/>
      <c r="K849" s="34">
        <f>J849*$F$8</f>
        <v>0</v>
      </c>
      <c r="L849" s="28"/>
      <c r="N849" s="15">
        <f>M849-I849</f>
        <v>0</v>
      </c>
      <c r="O849" s="34">
        <f>N849*$F$8</f>
        <v>0</v>
      </c>
      <c r="Q849" s="13"/>
      <c r="R849" s="15">
        <f>Q849-M849</f>
        <v>0</v>
      </c>
      <c r="S849" s="34">
        <f>R849*$F$8</f>
        <v>0</v>
      </c>
      <c r="T849" s="28"/>
      <c r="V849" s="15">
        <f>U849-Q849</f>
        <v>0</v>
      </c>
      <c r="Y849" s="13"/>
      <c r="Z849" s="15">
        <f>Y849-U849</f>
        <v>0</v>
      </c>
      <c r="AA849" s="34">
        <f>Z849*$F$8</f>
        <v>0</v>
      </c>
      <c r="AB849" s="28"/>
      <c r="AC849" s="15"/>
      <c r="AD849" s="15">
        <f>AC849-Y849</f>
        <v>0</v>
      </c>
      <c r="AE849" s="34">
        <f>AD849*$G$8</f>
        <v>0</v>
      </c>
      <c r="AG849" s="13"/>
      <c r="AH849" s="15">
        <f t="shared" ref="AH849:AH850" si="2694">AG849-AC849</f>
        <v>0</v>
      </c>
      <c r="AI849" s="34">
        <f>AH849*$G$8</f>
        <v>0</v>
      </c>
      <c r="AJ849" s="28"/>
      <c r="AK849" s="13"/>
      <c r="AL849" s="15">
        <f t="shared" ref="AL849:AL850" si="2695">AK849-AG849</f>
        <v>0</v>
      </c>
      <c r="AM849" s="34">
        <f>AL849*$G$8</f>
        <v>0</v>
      </c>
      <c r="AN849" s="28"/>
      <c r="AO849" s="13"/>
      <c r="AP849" s="15">
        <f t="shared" ref="AP849:AP850" si="2696">AO849-AK849</f>
        <v>0</v>
      </c>
      <c r="AQ849" s="34">
        <f>AP849*$G$8</f>
        <v>0</v>
      </c>
      <c r="AR849" s="28"/>
      <c r="AS849" s="15"/>
      <c r="AT849" s="15">
        <f t="shared" ref="AT849:AT850" si="2697">AS849-AO849</f>
        <v>0</v>
      </c>
      <c r="AU849" s="34">
        <f>AT849*$G$8</f>
        <v>0</v>
      </c>
      <c r="AV849" s="15"/>
      <c r="AW849" s="13"/>
      <c r="AX849" s="15">
        <f>AW849-AS849</f>
        <v>0</v>
      </c>
      <c r="AY849" s="34">
        <f>AX849*$G$8</f>
        <v>0</v>
      </c>
      <c r="AZ849" s="28"/>
      <c r="BA849" s="15"/>
      <c r="BB849" s="15">
        <f>BA849-AW849</f>
        <v>0</v>
      </c>
      <c r="BC849" s="34">
        <f>BB849*$G$8</f>
        <v>0</v>
      </c>
      <c r="BD849" s="15"/>
      <c r="BE849" s="40">
        <f t="shared" ref="BE849:BG849" si="2698">J849+N849+R849+V849+Z849+AD849+AH849+AL849+AP849+AT849+AX849+BB849</f>
        <v>0</v>
      </c>
      <c r="BF849" s="41">
        <f t="shared" si="2698"/>
        <v>0</v>
      </c>
      <c r="BG849" s="34">
        <f t="shared" si="2698"/>
        <v>0</v>
      </c>
      <c r="BH849" s="35">
        <f t="shared" si="2693"/>
        <v>0</v>
      </c>
    </row>
    <row r="850" ht="14.25" customHeight="1" spans="1:60" x14ac:dyDescent="0.25">
      <c r="A850" s="29">
        <v>113</v>
      </c>
      <c r="B850" s="14"/>
      <c r="C850" s="2" t="s">
        <v>98</v>
      </c>
      <c r="D850" s="14" t="s">
        <v>47</v>
      </c>
      <c r="E850" s="2" t="s">
        <v>48</v>
      </c>
      <c r="F850" s="13">
        <v>17.98</v>
      </c>
      <c r="G850" s="28">
        <v>18.56</v>
      </c>
      <c r="H850" s="34">
        <f>'2018'!BH850</f>
        <v>0</v>
      </c>
      <c r="I850" s="13"/>
      <c r="J850" s="15"/>
      <c r="K850" s="15"/>
      <c r="L850" s="28"/>
      <c r="Q850" s="13"/>
      <c r="R850" s="15"/>
      <c r="S850" s="15"/>
      <c r="T850" s="28"/>
      <c r="Y850" s="13"/>
      <c r="Z850" s="15"/>
      <c r="AA850" s="15"/>
      <c r="AB850" s="28"/>
      <c r="AC850" s="15"/>
      <c r="AD850" s="15"/>
      <c r="AE850" s="34">
        <f>AD850*$F$10</f>
        <v>0</v>
      </c>
      <c r="AG850" s="13"/>
      <c r="AH850" s="15">
        <f t="shared" si="2694"/>
        <v>0</v>
      </c>
      <c r="AI850" s="45">
        <f>AH850*$G$10</f>
        <v>0</v>
      </c>
      <c r="AJ850" s="28"/>
      <c r="AK850" s="13"/>
      <c r="AL850" s="15">
        <f t="shared" si="2695"/>
        <v>0</v>
      </c>
      <c r="AM850" s="45">
        <f>AL850*$G$10</f>
        <v>0</v>
      </c>
      <c r="AN850" s="28"/>
      <c r="AO850" s="13"/>
      <c r="AP850" s="15">
        <f t="shared" si="2696"/>
        <v>0</v>
      </c>
      <c r="AQ850" s="45">
        <f>AP850*$G$10</f>
        <v>0</v>
      </c>
      <c r="AR850" s="28"/>
      <c r="AS850" s="13"/>
      <c r="AT850" s="15">
        <f t="shared" si="2697"/>
        <v>0</v>
      </c>
      <c r="AU850" s="45">
        <f>AT850*$G$10</f>
        <v>0</v>
      </c>
      <c r="AV850" s="15"/>
      <c r="AW850" s="13"/>
      <c r="AX850" s="15"/>
      <c r="AY850" s="15"/>
      <c r="AZ850" s="28"/>
      <c r="BA850" s="15"/>
      <c r="BB850" s="15"/>
      <c r="BC850" s="15"/>
      <c r="BD850" s="15"/>
      <c r="BE850" s="40">
        <f t="shared" ref="BE850:BG850" si="2699">J850+N850+R850+V850+Z850+AD850+AH850+AL850+AP850+AT850+AX850+BB850</f>
        <v>0</v>
      </c>
      <c r="BF850" s="41">
        <f t="shared" si="2699"/>
        <v>0</v>
      </c>
      <c r="BG850" s="34">
        <f t="shared" si="2699"/>
        <v>0</v>
      </c>
      <c r="BH850" s="35">
        <f t="shared" si="2693"/>
        <v>0</v>
      </c>
    </row>
    <row r="851" ht="14.25" customHeight="1" spans="1:60" x14ac:dyDescent="0.25">
      <c r="A851" s="29">
        <v>113</v>
      </c>
      <c r="B851" s="14"/>
      <c r="C851" s="2" t="s">
        <v>55</v>
      </c>
      <c r="D851" s="14" t="s">
        <v>47</v>
      </c>
      <c r="E851" s="2" t="s">
        <v>49</v>
      </c>
      <c r="F851" s="41">
        <v>500</v>
      </c>
      <c r="G851" s="28"/>
      <c r="H851" s="144">
        <f>'2018'!BH851</f>
        <v>0</v>
      </c>
      <c r="I851" s="13"/>
      <c r="J851" s="15"/>
      <c r="K851" s="15"/>
      <c r="L851" s="28"/>
      <c r="Q851" s="13"/>
      <c r="R851" s="15"/>
      <c r="S851" s="15"/>
      <c r="T851" s="28"/>
      <c r="Y851" s="13"/>
      <c r="Z851" s="15"/>
      <c r="AA851" s="34"/>
      <c r="AB851" s="28"/>
      <c r="AC851" s="15"/>
      <c r="AG851" s="13"/>
      <c r="AH851" s="15"/>
      <c r="AI851" s="15"/>
      <c r="AJ851" s="28"/>
      <c r="AK851" s="13"/>
      <c r="AL851" s="15"/>
      <c r="AM851" s="34"/>
      <c r="AN851" s="28"/>
      <c r="AO851" s="13"/>
      <c r="AP851" s="15"/>
      <c r="AQ851" s="34"/>
      <c r="AR851" s="28"/>
      <c r="AS851" s="15"/>
      <c r="AT851" s="15"/>
      <c r="AU851" s="15"/>
      <c r="AV851" s="15"/>
      <c r="AW851" s="13"/>
      <c r="AX851" s="15"/>
      <c r="AY851" s="15"/>
      <c r="AZ851" s="28"/>
      <c r="BA851" s="15"/>
      <c r="BB851" s="15"/>
      <c r="BC851" s="15"/>
      <c r="BD851" s="15"/>
      <c r="BE851" s="14"/>
      <c r="BF851" s="41">
        <f t="shared" ref="BF851:BG851" si="2700">K851+O851+S851+W851+AA851+AE851+AI851+AM851+AQ851+AU851+AY851+BC851</f>
        <v>0</v>
      </c>
      <c r="BG851" s="34">
        <f t="shared" si="2700"/>
        <v>0</v>
      </c>
      <c r="BH851" s="35">
        <f t="shared" si="2693"/>
        <v>0</v>
      </c>
    </row>
    <row r="852" ht="14.25" customHeight="1" spans="1:60" x14ac:dyDescent="0.25">
      <c r="A852" s="29">
        <v>113</v>
      </c>
      <c r="B852" s="14"/>
      <c r="D852" s="14" t="s">
        <v>50</v>
      </c>
      <c r="E852" s="2" t="s">
        <v>49</v>
      </c>
      <c r="F852" s="41">
        <v>1200</v>
      </c>
      <c r="G852" s="28"/>
      <c r="H852" s="34">
        <f>'2018'!BH852</f>
        <v>5293.1424</v>
      </c>
      <c r="I852" s="13"/>
      <c r="J852" s="15"/>
      <c r="K852" s="15"/>
      <c r="L852" s="28"/>
      <c r="Q852" s="13"/>
      <c r="R852" s="15"/>
      <c r="S852" s="15"/>
      <c r="T852" s="28"/>
      <c r="Y852" s="13"/>
      <c r="Z852" s="15"/>
      <c r="AA852" s="15"/>
      <c r="AB852" s="28"/>
      <c r="AE852" s="34">
        <f>B849*$F$12</f>
        <v>5976</v>
      </c>
      <c r="AG852" s="13"/>
      <c r="AH852" s="15"/>
      <c r="AI852" s="15"/>
      <c r="AJ852" s="28"/>
      <c r="AK852" s="13"/>
      <c r="AL852" s="15"/>
      <c r="AM852" s="15"/>
      <c r="AN852" s="28"/>
      <c r="AO852" s="13"/>
      <c r="AP852" s="15"/>
      <c r="AQ852" s="15"/>
      <c r="AR852" s="28"/>
      <c r="AS852" s="15"/>
      <c r="AT852" s="15"/>
      <c r="AU852" s="15"/>
      <c r="AV852" s="15"/>
      <c r="AW852" s="13"/>
      <c r="AX852" s="15"/>
      <c r="AY852" s="15"/>
      <c r="AZ852" s="28"/>
      <c r="BA852" s="15"/>
      <c r="BB852" s="15"/>
      <c r="BC852" s="15"/>
      <c r="BD852" s="15"/>
      <c r="BE852" s="14"/>
      <c r="BF852" s="41">
        <f t="shared" ref="BF852:BG852" si="2701">K852+O852+S852+W852+AA852+AE852+AI852+AM852+AQ852+AU852+AY852+BC852</f>
        <v>5976</v>
      </c>
      <c r="BG852" s="34">
        <f t="shared" si="2701"/>
        <v>0</v>
      </c>
      <c r="BH852" s="35">
        <f t="shared" si="2693"/>
        <v>11269.1424</v>
      </c>
    </row>
    <row r="853" ht="14.25" customHeight="1" spans="1:60" x14ac:dyDescent="0.25">
      <c r="A853" s="29">
        <v>113</v>
      </c>
      <c r="B853" s="14"/>
      <c r="D853" s="14" t="s">
        <v>51</v>
      </c>
      <c r="E853" s="2" t="s">
        <v>49</v>
      </c>
      <c r="F853" s="41">
        <v>1000</v>
      </c>
      <c r="G853" s="28"/>
      <c r="H853" s="34">
        <f>'2018'!BH853</f>
        <v>0</v>
      </c>
      <c r="I853" s="13"/>
      <c r="J853" s="15"/>
      <c r="K853" s="15"/>
      <c r="L853" s="28"/>
      <c r="Q853" s="13"/>
      <c r="R853" s="15"/>
      <c r="S853" s="15"/>
      <c r="T853" s="28"/>
      <c r="Y853" s="13"/>
      <c r="Z853" s="15"/>
      <c r="AA853" s="15"/>
      <c r="AB853" s="28"/>
      <c r="AE853" s="34">
        <f>$F$21</f>
        <v>1000</v>
      </c>
      <c r="AG853" s="13"/>
      <c r="AH853" s="15"/>
      <c r="AI853" s="15"/>
      <c r="AJ853" s="28"/>
      <c r="AK853" s="13"/>
      <c r="AL853" s="15"/>
      <c r="AM853" s="15"/>
      <c r="AN853" s="28"/>
      <c r="AO853" s="13"/>
      <c r="AP853" s="15"/>
      <c r="AQ853" s="15"/>
      <c r="AR853" s="28"/>
      <c r="AS853" s="15"/>
      <c r="AT853" s="15"/>
      <c r="AU853" s="15"/>
      <c r="AV853" s="15"/>
      <c r="AW853" s="13"/>
      <c r="AX853" s="15"/>
      <c r="AY853" s="15"/>
      <c r="AZ853" s="28"/>
      <c r="BA853" s="15"/>
      <c r="BB853" s="15"/>
      <c r="BC853" s="15"/>
      <c r="BD853" s="15"/>
      <c r="BE853" s="14"/>
      <c r="BF853" s="41">
        <f t="shared" ref="BF853:BG853" si="2702">K853+O853+S853+W853+AA853+AE853+AI853+AM853+AQ853+AU853+AY853+BC853</f>
        <v>1000</v>
      </c>
      <c r="BG853" s="34">
        <f t="shared" si="2702"/>
        <v>0</v>
      </c>
      <c r="BH853" s="35">
        <f t="shared" si="2693"/>
        <v>1000</v>
      </c>
    </row>
    <row r="854" ht="14.25" customHeight="1" spans="1:60" x14ac:dyDescent="0.25">
      <c r="A854" s="29">
        <v>113</v>
      </c>
      <c r="B854" s="14"/>
      <c r="D854" s="14" t="s">
        <v>52</v>
      </c>
      <c r="E854" s="2" t="s">
        <v>39</v>
      </c>
      <c r="F854" s="41">
        <v>500</v>
      </c>
      <c r="G854" s="28"/>
      <c r="H854" s="34">
        <f>'2018'!BH854</f>
        <v>350</v>
      </c>
      <c r="I854" s="13"/>
      <c r="J854" s="15"/>
      <c r="K854" s="15"/>
      <c r="L854" s="28"/>
      <c r="Q854" s="13"/>
      <c r="R854" s="15"/>
      <c r="S854" s="15"/>
      <c r="T854" s="28"/>
      <c r="Y854" s="13"/>
      <c r="Z854" s="15"/>
      <c r="AA854" s="34">
        <f>$F$14</f>
        <v>500</v>
      </c>
      <c r="AB854" s="28"/>
      <c r="AG854" s="13"/>
      <c r="AH854" s="15"/>
      <c r="AI854" s="15"/>
      <c r="AJ854" s="28"/>
      <c r="AK854" s="13"/>
      <c r="AL854" s="15"/>
      <c r="AM854" s="15"/>
      <c r="AN854" s="28"/>
      <c r="AO854" s="13"/>
      <c r="AP854" s="15"/>
      <c r="AQ854" s="15"/>
      <c r="AR854" s="28"/>
      <c r="AS854" s="15"/>
      <c r="AT854" s="15"/>
      <c r="AU854" s="15"/>
      <c r="AV854" s="15"/>
      <c r="AW854" s="13"/>
      <c r="AX854" s="15"/>
      <c r="AY854" s="15"/>
      <c r="AZ854" s="28"/>
      <c r="BA854" s="15"/>
      <c r="BB854" s="15"/>
      <c r="BC854" s="15"/>
      <c r="BD854" s="15"/>
      <c r="BE854" s="14"/>
      <c r="BF854" s="41">
        <f t="shared" ref="BF854:BG854" si="2703">K854+O854+S854+W854+AA854+AE854+AI854+AM854+AQ854+AU854+AY854+BC854</f>
        <v>500</v>
      </c>
      <c r="BG854" s="34">
        <f t="shared" si="2703"/>
        <v>0</v>
      </c>
      <c r="BH854" s="35">
        <f t="shared" si="2693"/>
        <v>850</v>
      </c>
    </row>
    <row r="855" ht="14.25" customHeight="1" spans="1:62" x14ac:dyDescent="0.25">
      <c r="A855" s="50">
        <v>113</v>
      </c>
      <c r="B855" s="21"/>
      <c r="C855" s="22" t="s">
        <v>53</v>
      </c>
      <c r="D855" s="21"/>
      <c r="E855" s="22"/>
      <c r="F855" s="20"/>
      <c r="G855" s="23"/>
      <c r="H855" s="51">
        <f>SUM(H848:H854)</f>
        <v>5643.1424</v>
      </c>
      <c r="I855" s="52"/>
      <c r="J855" s="53"/>
      <c r="K855" s="51">
        <f t="shared" ref="K855:L855" si="2704">SUM(K848:K854)</f>
        <v>0</v>
      </c>
      <c r="L855" s="68">
        <f t="shared" si="2704"/>
        <v>0</v>
      </c>
      <c r="M855" s="53"/>
      <c r="N855" s="53"/>
      <c r="O855" s="51">
        <f t="shared" ref="O855:P855" si="2705">SUM(O849:O854)</f>
        <v>0</v>
      </c>
      <c r="P855" s="51">
        <f t="shared" si="2705"/>
        <v>0</v>
      </c>
      <c r="Q855" s="52"/>
      <c r="R855" s="53"/>
      <c r="S855" s="51">
        <f t="shared" ref="S855:T855" si="2706">SUM(S849:S854)</f>
        <v>0</v>
      </c>
      <c r="T855" s="68">
        <f t="shared" si="2706"/>
        <v>0</v>
      </c>
      <c r="U855" s="53"/>
      <c r="V855" s="53"/>
      <c r="W855" s="51">
        <f t="shared" ref="W855:X855" si="2707">SUM(W849:W854)</f>
        <v>0</v>
      </c>
      <c r="X855" s="51">
        <f t="shared" si="2707"/>
        <v>0</v>
      </c>
      <c r="Y855" s="52"/>
      <c r="Z855" s="53"/>
      <c r="AA855" s="51">
        <f t="shared" ref="AA855:AB855" si="2708">SUM(AA849:AA854)</f>
        <v>500</v>
      </c>
      <c r="AB855" s="68">
        <f t="shared" si="2708"/>
        <v>0</v>
      </c>
      <c r="AC855" s="53"/>
      <c r="AD855" s="53"/>
      <c r="AE855" s="51">
        <f t="shared" ref="AE855:AF855" si="2709">SUM(AE849:AE854)</f>
        <v>6976</v>
      </c>
      <c r="AF855" s="51">
        <f t="shared" si="2709"/>
        <v>0</v>
      </c>
      <c r="AG855" s="52"/>
      <c r="AH855" s="53"/>
      <c r="AI855" s="51">
        <f t="shared" ref="AI855:AJ855" si="2710">SUM(AI849:AI854)</f>
        <v>0</v>
      </c>
      <c r="AJ855" s="68">
        <f t="shared" si="2710"/>
        <v>0</v>
      </c>
      <c r="AK855" s="52"/>
      <c r="AL855" s="53"/>
      <c r="AM855" s="51">
        <f t="shared" ref="AM855:AN855" si="2711">SUM(AM849:AM854)</f>
        <v>0</v>
      </c>
      <c r="AN855" s="68">
        <f t="shared" si="2711"/>
        <v>0</v>
      </c>
      <c r="AO855" s="52"/>
      <c r="AP855" s="53"/>
      <c r="AQ855" s="51">
        <f t="shared" ref="AQ855:AR855" si="2712">SUM(AQ848:AQ854)</f>
        <v>36.81</v>
      </c>
      <c r="AR855" s="68">
        <f t="shared" si="2712"/>
        <v>0</v>
      </c>
      <c r="AS855" s="53"/>
      <c r="AT855" s="53"/>
      <c r="AU855" s="51">
        <f t="shared" ref="AU855:AV855" si="2713">SUM(AU848:AU854)</f>
        <v>38.03</v>
      </c>
      <c r="AV855" s="68">
        <f t="shared" si="2713"/>
        <v>0</v>
      </c>
      <c r="AW855" s="52"/>
      <c r="AX855" s="53"/>
      <c r="AY855" s="51">
        <f t="shared" ref="AY855:AZ855" si="2714">SUM(AY848:AY854)</f>
        <v>36.81</v>
      </c>
      <c r="AZ855" s="68">
        <f t="shared" si="2714"/>
        <v>0</v>
      </c>
      <c r="BA855" s="53"/>
      <c r="BB855" s="53"/>
      <c r="BC855" s="51">
        <f t="shared" ref="BC855:BD855" si="2715">SUM(BC848:BC854)</f>
        <v>38.03</v>
      </c>
      <c r="BD855" s="68">
        <f t="shared" si="2715"/>
        <v>0</v>
      </c>
      <c r="BE855" s="69"/>
      <c r="BF855" s="70">
        <f t="shared" ref="BF855:BH855" si="2716">SUM(BF848:BF854)</f>
        <v>7625.68</v>
      </c>
      <c r="BG855" s="71">
        <f t="shared" si="2716"/>
        <v>0</v>
      </c>
      <c r="BH855" s="72">
        <f t="shared" si="2716"/>
        <v>13268.8224</v>
      </c>
      <c r="BI855" s="34">
        <f>H855+BF855-BG855</f>
        <v>13268.8224</v>
      </c>
      <c r="BJ855" s="34">
        <f>BH855-BI855</f>
        <v>0</v>
      </c>
    </row>
    <row r="856" ht="14.25" customHeight="1" spans="1:60" x14ac:dyDescent="0.25">
      <c r="A856" s="29">
        <v>114</v>
      </c>
      <c r="B856" s="14"/>
      <c r="D856" s="14" t="s">
        <v>379</v>
      </c>
      <c r="F856" s="13"/>
      <c r="G856" s="28"/>
      <c r="H856" s="34">
        <f>'2018'!BH856</f>
      </c>
      <c r="I856" s="13"/>
      <c r="J856" s="15"/>
      <c r="K856" s="15"/>
      <c r="L856" s="28"/>
      <c r="Q856" s="13"/>
      <c r="R856" s="15"/>
      <c r="S856" s="15"/>
      <c r="T856" s="28"/>
      <c r="Y856" s="13"/>
      <c r="Z856" s="15"/>
      <c r="AA856" s="15"/>
      <c r="AB856" s="28"/>
      <c r="AG856" s="13"/>
      <c r="AH856" s="15"/>
      <c r="AI856" s="15"/>
      <c r="AJ856" s="28"/>
      <c r="AK856" s="13"/>
      <c r="AL856" s="15"/>
      <c r="AM856" s="15"/>
      <c r="AN856" s="28"/>
      <c r="AO856" s="13"/>
      <c r="AP856" s="15"/>
      <c r="AQ856" s="34">
        <v>20.5</v>
      </c>
      <c r="AR856" s="28"/>
      <c r="AU856" s="2">
        <v>8.88</v>
      </c>
      <c r="AV856" s="39">
        <v>20.5</v>
      </c>
      <c r="AW856" s="13"/>
      <c r="AX856" s="15"/>
      <c r="AY856" s="15"/>
      <c r="AZ856" s="28"/>
      <c r="BE856" s="14"/>
      <c r="BF856" s="41">
        <f t="shared" ref="BF856:BG856" si="2717">K856+O856+S856+W856+AA856+AE856+AI856+AM856+AQ856+AU856+AY856+BC856</f>
        <v>29.38</v>
      </c>
      <c r="BG856" s="34">
        <f t="shared" si="2717"/>
        <v>20.5</v>
      </c>
      <c r="BH856" s="35">
        <f t="shared" ref="BH856:BH862" si="2718">H856+BF856-BG856</f>
        <v>8.88</v>
      </c>
    </row>
    <row r="857" ht="14.25" customHeight="1" spans="1:60" x14ac:dyDescent="0.25">
      <c r="A857" s="2">
        <v>114</v>
      </c>
      <c r="B857" s="14">
        <v>4.86</v>
      </c>
      <c r="C857" s="2" t="s">
        <v>245</v>
      </c>
      <c r="D857" s="14" t="s">
        <v>44</v>
      </c>
      <c r="E857" s="2" t="s">
        <v>45</v>
      </c>
      <c r="F857" s="13">
        <v>2.49</v>
      </c>
      <c r="G857" s="35">
        <v>2.5</v>
      </c>
      <c r="H857" s="34">
        <f>'2018'!BH857</f>
        <v>0</v>
      </c>
      <c r="I857" s="13">
        <v>28</v>
      </c>
      <c r="J857" s="15">
        <f>I857-'2018'!BA857</f>
        <v>0</v>
      </c>
      <c r="K857" s="15"/>
      <c r="L857" s="28"/>
      <c r="M857" s="2">
        <v>28</v>
      </c>
      <c r="N857" s="15">
        <f>M857-I857</f>
        <v>0</v>
      </c>
      <c r="O857" s="34">
        <f>N857*$F$8</f>
        <v>0</v>
      </c>
      <c r="Q857" s="13">
        <v>28</v>
      </c>
      <c r="R857" s="15">
        <f>Q857-M857</f>
        <v>0</v>
      </c>
      <c r="S857" s="34">
        <f>R857*$F$8</f>
        <v>0</v>
      </c>
      <c r="T857" s="28"/>
      <c r="U857" s="15">
        <v>28</v>
      </c>
      <c r="V857" s="15">
        <f>U857-Q857</f>
        <v>0</v>
      </c>
      <c r="W857" s="34">
        <f>V857*$F$8</f>
        <v>0</v>
      </c>
      <c r="Y857" s="13">
        <v>28</v>
      </c>
      <c r="Z857" s="15">
        <f>Y857-U857</f>
        <v>0</v>
      </c>
      <c r="AA857" s="34">
        <f>Z857*$F$8</f>
        <v>0</v>
      </c>
      <c r="AB857" s="28"/>
      <c r="AC857" s="15">
        <v>28</v>
      </c>
      <c r="AD857" s="15">
        <f t="shared" ref="AD857:AD858" si="2719">AC857-Y857</f>
        <v>0</v>
      </c>
      <c r="AE857" s="34">
        <f>AD857*$G$8</f>
        <v>0</v>
      </c>
      <c r="AG857" s="13">
        <v>28</v>
      </c>
      <c r="AH857" s="15">
        <f t="shared" ref="AH857:AH858" si="2720">AG857-AC857</f>
        <v>0</v>
      </c>
      <c r="AI857" s="34">
        <f>AH857*$G$8</f>
        <v>0</v>
      </c>
      <c r="AJ857" s="28"/>
      <c r="AK857" s="13">
        <v>28</v>
      </c>
      <c r="AL857" s="15">
        <f t="shared" ref="AL857:AL858" si="2721">AK857-AG857</f>
        <v>0</v>
      </c>
      <c r="AM857" s="34">
        <f>AL857*$G$8</f>
        <v>0</v>
      </c>
      <c r="AN857" s="28"/>
      <c r="AO857" s="75">
        <v>28</v>
      </c>
      <c r="AP857" s="15">
        <f t="shared" ref="AP857:AP858" si="2722">AO857-AK857</f>
        <v>0</v>
      </c>
      <c r="AQ857" s="34">
        <f>AP857*$G$8</f>
        <v>0</v>
      </c>
      <c r="AR857" s="28"/>
      <c r="AS857" s="75">
        <v>28</v>
      </c>
      <c r="AT857" s="15">
        <f t="shared" ref="AT857:AT858" si="2723">AS857-AO857</f>
        <v>0</v>
      </c>
      <c r="AU857" s="34">
        <f>AT857*$G$8</f>
        <v>0</v>
      </c>
      <c r="AV857" s="15"/>
      <c r="AW857" s="13">
        <v>28</v>
      </c>
      <c r="AX857" s="15">
        <f>AW857-AS857</f>
        <v>0</v>
      </c>
      <c r="AY857" s="34">
        <f>AX857*$G$8</f>
        <v>0</v>
      </c>
      <c r="AZ857" s="28"/>
      <c r="BA857" s="13">
        <v>28</v>
      </c>
      <c r="BB857" s="15">
        <f>BA857-AW857</f>
        <v>0</v>
      </c>
      <c r="BC857" s="34">
        <f>BB857*$G$8</f>
        <v>0</v>
      </c>
      <c r="BD857" s="15"/>
      <c r="BE857" s="40">
        <f t="shared" ref="BE857:BG857" si="2724">J857+N857+R857+V857+Z857+AD857+AH857+AL857+AP857+AT857+AX857+BB857</f>
        <v>0</v>
      </c>
      <c r="BF857" s="41">
        <f t="shared" si="2724"/>
        <v>0</v>
      </c>
      <c r="BG857" s="34">
        <f t="shared" si="2724"/>
        <v>0</v>
      </c>
      <c r="BH857" s="35">
        <f t="shared" si="2718"/>
        <v>0</v>
      </c>
    </row>
    <row r="858" ht="14.25" customHeight="1" spans="1:60" x14ac:dyDescent="0.25">
      <c r="A858" s="29">
        <v>114</v>
      </c>
      <c r="B858" s="14"/>
      <c r="C858" s="2" t="s">
        <v>98</v>
      </c>
      <c r="D858" s="14" t="s">
        <v>47</v>
      </c>
      <c r="E858" s="2" t="s">
        <v>48</v>
      </c>
      <c r="F858" s="13">
        <v>17.98</v>
      </c>
      <c r="G858" s="28">
        <v>18.56</v>
      </c>
      <c r="H858" s="34">
        <f>'2018'!BH858</f>
        <v>0</v>
      </c>
      <c r="I858" s="13">
        <v>13</v>
      </c>
      <c r="J858" s="15"/>
      <c r="K858" s="15"/>
      <c r="L858" s="28"/>
      <c r="Q858" s="13"/>
      <c r="R858" s="15"/>
      <c r="S858" s="15"/>
      <c r="T858" s="28"/>
      <c r="Y858" s="13">
        <v>13</v>
      </c>
      <c r="Z858" s="15">
        <f>Y858-'2018'!AO858</f>
        <v>0</v>
      </c>
      <c r="AA858" s="34">
        <f>Z858*$F$10</f>
        <v>0</v>
      </c>
      <c r="AB858" s="28"/>
      <c r="AC858" s="13">
        <v>13</v>
      </c>
      <c r="AD858" s="15">
        <f t="shared" si="2719"/>
        <v>0</v>
      </c>
      <c r="AE858" s="34">
        <f>AD858*$F$10</f>
        <v>0</v>
      </c>
      <c r="AG858" s="13">
        <v>13</v>
      </c>
      <c r="AH858" s="15">
        <f t="shared" si="2720"/>
        <v>0</v>
      </c>
      <c r="AI858" s="45">
        <f>AH858*$G$10</f>
        <v>0</v>
      </c>
      <c r="AJ858" s="28"/>
      <c r="AK858" s="13">
        <v>13</v>
      </c>
      <c r="AL858" s="15">
        <f t="shared" si="2721"/>
        <v>0</v>
      </c>
      <c r="AM858" s="45">
        <f>AL858*$G$10</f>
        <v>0</v>
      </c>
      <c r="AN858" s="28"/>
      <c r="AO858" s="75">
        <v>13</v>
      </c>
      <c r="AP858" s="15">
        <f t="shared" si="2722"/>
        <v>0</v>
      </c>
      <c r="AQ858" s="45">
        <f>AP858*$G$10</f>
        <v>0</v>
      </c>
      <c r="AR858" s="28"/>
      <c r="AS858" s="75">
        <v>13</v>
      </c>
      <c r="AT858" s="15">
        <f t="shared" si="2723"/>
        <v>0</v>
      </c>
      <c r="AU858" s="45">
        <f>AT858*$G$10</f>
        <v>0</v>
      </c>
      <c r="AV858" s="15"/>
      <c r="AW858" s="75">
        <v>13</v>
      </c>
      <c r="AX858" s="15"/>
      <c r="AY858" s="15"/>
      <c r="AZ858" s="28"/>
      <c r="BA858" s="75">
        <v>13</v>
      </c>
      <c r="BB858" s="15"/>
      <c r="BC858" s="15"/>
      <c r="BD858" s="15"/>
      <c r="BE858" s="40">
        <f t="shared" ref="BE858:BG858" si="2725">J858+N858+R858+V858+Z858+AD858+AH858+AL858+AP858+AT858+AX858+BB858</f>
        <v>0</v>
      </c>
      <c r="BF858" s="41">
        <f t="shared" si="2725"/>
        <v>0</v>
      </c>
      <c r="BG858" s="34">
        <f t="shared" si="2725"/>
        <v>0</v>
      </c>
      <c r="BH858" s="35">
        <f t="shared" si="2718"/>
        <v>0</v>
      </c>
    </row>
    <row r="859" ht="14.25" customHeight="1" spans="1:60" x14ac:dyDescent="0.25">
      <c r="A859" s="29">
        <v>114</v>
      </c>
      <c r="B859" s="14"/>
      <c r="C859" s="2" t="s">
        <v>299</v>
      </c>
      <c r="D859" s="14" t="s">
        <v>47</v>
      </c>
      <c r="E859" s="2" t="s">
        <v>49</v>
      </c>
      <c r="F859" s="41">
        <v>500</v>
      </c>
      <c r="G859" s="28"/>
      <c r="H859" s="34">
        <f>'2018'!BH859</f>
        <v>0</v>
      </c>
      <c r="I859" s="13"/>
      <c r="J859" s="15"/>
      <c r="K859" s="15"/>
      <c r="L859" s="28"/>
      <c r="Q859" s="13"/>
      <c r="R859" s="15"/>
      <c r="S859" s="15"/>
      <c r="T859" s="28"/>
      <c r="Y859" s="13"/>
      <c r="Z859" s="15"/>
      <c r="AA859" s="15"/>
      <c r="AB859" s="28"/>
      <c r="AG859" s="13"/>
      <c r="AH859" s="15"/>
      <c r="AI859" s="15"/>
      <c r="AJ859" s="28"/>
      <c r="AK859" s="13"/>
      <c r="AL859" s="15"/>
      <c r="AM859" s="34"/>
      <c r="AN859" s="28"/>
      <c r="AO859" s="13"/>
      <c r="AP859" s="15"/>
      <c r="AQ859" s="34"/>
      <c r="AR859" s="28"/>
      <c r="AS859" s="15"/>
      <c r="AT859" s="15"/>
      <c r="AU859" s="15"/>
      <c r="AV859" s="15"/>
      <c r="AW859" s="13"/>
      <c r="AX859" s="15"/>
      <c r="AY859" s="15"/>
      <c r="AZ859" s="28"/>
      <c r="BA859" s="15"/>
      <c r="BB859" s="15"/>
      <c r="BC859" s="15"/>
      <c r="BD859" s="15"/>
      <c r="BE859" s="14"/>
      <c r="BF859" s="41">
        <f t="shared" ref="BF859:BG859" si="2726">K859+O859+S859+W859+AA859+AE859+AI859+AM859+AQ859+AU859+AY859+BC859</f>
        <v>0</v>
      </c>
      <c r="BG859" s="34">
        <f t="shared" si="2726"/>
        <v>0</v>
      </c>
      <c r="BH859" s="35">
        <f t="shared" si="2718"/>
        <v>0</v>
      </c>
    </row>
    <row r="860" ht="14.25" customHeight="1" spans="1:60" x14ac:dyDescent="0.25">
      <c r="A860" s="29">
        <v>114</v>
      </c>
      <c r="B860" s="14"/>
      <c r="C860" s="2" t="s">
        <v>349</v>
      </c>
      <c r="D860" s="14" t="s">
        <v>50</v>
      </c>
      <c r="E860" s="2" t="s">
        <v>49</v>
      </c>
      <c r="F860" s="41">
        <v>1200</v>
      </c>
      <c r="G860" s="28"/>
      <c r="H860" s="34">
        <f>'2018'!BH860</f>
        <v>-0.003199999999</v>
      </c>
      <c r="I860" s="13"/>
      <c r="J860" s="15"/>
      <c r="K860" s="15"/>
      <c r="L860" s="28"/>
      <c r="Q860" s="13"/>
      <c r="R860" s="15"/>
      <c r="S860" s="15"/>
      <c r="T860" s="28"/>
      <c r="Y860" s="13"/>
      <c r="Z860" s="15"/>
      <c r="AA860" s="15"/>
      <c r="AB860" s="28"/>
      <c r="AE860" s="34">
        <f>B857*$F$12</f>
        <v>5832</v>
      </c>
      <c r="AG860" s="13"/>
      <c r="AH860" s="15"/>
      <c r="AI860" s="15"/>
      <c r="AJ860" s="28"/>
      <c r="AK860" s="13"/>
      <c r="AL860" s="15"/>
      <c r="AM860" s="15"/>
      <c r="AN860" s="28"/>
      <c r="AO860" s="13"/>
      <c r="AP860" s="15"/>
      <c r="AQ860" s="15"/>
      <c r="AR860" s="35"/>
      <c r="AS860" s="15"/>
      <c r="AT860" s="15"/>
      <c r="AU860" s="15"/>
      <c r="AV860" s="39">
        <v>5832</v>
      </c>
      <c r="AW860" s="13"/>
      <c r="AX860" s="15"/>
      <c r="AY860" s="15"/>
      <c r="AZ860" s="28"/>
      <c r="BA860" s="15"/>
      <c r="BB860" s="15"/>
      <c r="BC860" s="15"/>
      <c r="BD860" s="15"/>
      <c r="BE860" s="14"/>
      <c r="BF860" s="41">
        <f t="shared" ref="BF860:BG860" si="2727">K860+O860+S860+W860+AA860+AE860+AI860+AM860+AQ860+AU860+AY860+BC860</f>
        <v>5832</v>
      </c>
      <c r="BG860" s="34">
        <f t="shared" si="2727"/>
        <v>5832</v>
      </c>
      <c r="BH860" s="35">
        <f t="shared" si="2718"/>
        <v>-0.003199999999</v>
      </c>
    </row>
    <row r="861" ht="14.25" customHeight="1" spans="1:60" x14ac:dyDescent="0.25">
      <c r="A861" s="29">
        <v>114</v>
      </c>
      <c r="B861" s="14"/>
      <c r="D861" s="14" t="s">
        <v>51</v>
      </c>
      <c r="E861" s="2" t="s">
        <v>49</v>
      </c>
      <c r="F861" s="41">
        <v>1000</v>
      </c>
      <c r="G861" s="28"/>
      <c r="H861" s="34">
        <f>'2018'!BH861</f>
        <v>0</v>
      </c>
      <c r="I861" s="13"/>
      <c r="J861" s="15"/>
      <c r="K861" s="15"/>
      <c r="L861" s="28"/>
      <c r="Q861" s="13"/>
      <c r="R861" s="15"/>
      <c r="S861" s="15"/>
      <c r="T861" s="28"/>
      <c r="Y861" s="13"/>
      <c r="Z861" s="15"/>
      <c r="AA861" s="15"/>
      <c r="AB861" s="28"/>
      <c r="AE861" s="34">
        <f>$F$21</f>
        <v>1000</v>
      </c>
      <c r="AG861" s="13"/>
      <c r="AH861" s="15"/>
      <c r="AI861" s="15"/>
      <c r="AJ861" s="28"/>
      <c r="AK861" s="13"/>
      <c r="AL861" s="15"/>
      <c r="AM861" s="15"/>
      <c r="AN861" s="28"/>
      <c r="AO861" s="13"/>
      <c r="AP861" s="15"/>
      <c r="AQ861" s="15"/>
      <c r="AR861" s="28"/>
      <c r="AS861" s="15"/>
      <c r="AT861" s="15"/>
      <c r="AU861" s="15"/>
      <c r="AV861" s="39">
        <v>1000</v>
      </c>
      <c r="AW861" s="13"/>
      <c r="AX861" s="15"/>
      <c r="AY861" s="15"/>
      <c r="AZ861" s="28"/>
      <c r="BA861" s="15"/>
      <c r="BB861" s="15"/>
      <c r="BC861" s="15"/>
      <c r="BD861" s="15"/>
      <c r="BE861" s="14"/>
      <c r="BF861" s="41">
        <f t="shared" ref="BF861:BG861" si="2728">K861+O861+S861+W861+AA861+AE861+AI861+AM861+AQ861+AU861+AY861+BC861</f>
        <v>1000</v>
      </c>
      <c r="BG861" s="34">
        <f t="shared" si="2728"/>
        <v>1000</v>
      </c>
      <c r="BH861" s="35">
        <f t="shared" si="2718"/>
        <v>0</v>
      </c>
    </row>
    <row r="862" ht="14.25" customHeight="1" spans="1:60" x14ac:dyDescent="0.25">
      <c r="A862" s="29">
        <v>114</v>
      </c>
      <c r="B862" s="14"/>
      <c r="D862" s="14" t="s">
        <v>52</v>
      </c>
      <c r="E862" s="2" t="s">
        <v>39</v>
      </c>
      <c r="F862" s="41">
        <v>500</v>
      </c>
      <c r="G862" s="28"/>
      <c r="H862" s="84">
        <f>'2018'!BH862-500</f>
        <v>-500</v>
      </c>
      <c r="I862" s="13"/>
      <c r="J862" s="15"/>
      <c r="K862" s="15"/>
      <c r="L862" s="28"/>
      <c r="Q862" s="13"/>
      <c r="R862" s="15"/>
      <c r="S862" s="15"/>
      <c r="T862" s="28"/>
      <c r="Y862" s="13"/>
      <c r="Z862" s="15"/>
      <c r="AA862" s="34">
        <f>$F$14</f>
        <v>500</v>
      </c>
      <c r="AB862" s="28"/>
      <c r="AG862" s="13"/>
      <c r="AH862" s="15"/>
      <c r="AI862" s="15"/>
      <c r="AJ862" s="28"/>
      <c r="AK862" s="13"/>
      <c r="AL862" s="15"/>
      <c r="AM862" s="15"/>
      <c r="AN862" s="28"/>
      <c r="AO862" s="13"/>
      <c r="AP862" s="15"/>
      <c r="AQ862" s="15"/>
      <c r="AR862" s="35"/>
      <c r="AS862" s="15"/>
      <c r="AT862" s="15"/>
      <c r="AU862" s="15"/>
      <c r="AV862" s="15"/>
      <c r="AW862" s="13"/>
      <c r="AX862" s="15"/>
      <c r="AY862" s="15"/>
      <c r="AZ862" s="28"/>
      <c r="BA862" s="15"/>
      <c r="BB862" s="15"/>
      <c r="BC862" s="15"/>
      <c r="BD862" s="15"/>
      <c r="BE862" s="14"/>
      <c r="BF862" s="41">
        <f t="shared" ref="BF862:BG862" si="2729">K862+O862+S862+W862+AA862+AE862+AI862+AM862+AQ862+AU862+AY862+BC862</f>
        <v>500</v>
      </c>
      <c r="BG862" s="34">
        <f t="shared" si="2729"/>
        <v>0</v>
      </c>
      <c r="BH862" s="35">
        <f t="shared" si="2718"/>
        <v>0</v>
      </c>
    </row>
    <row r="863" ht="14.25" customHeight="1" spans="1:62" x14ac:dyDescent="0.25">
      <c r="A863" s="50">
        <v>114</v>
      </c>
      <c r="B863" s="21"/>
      <c r="C863" s="22" t="s">
        <v>53</v>
      </c>
      <c r="D863" s="21"/>
      <c r="E863" s="22"/>
      <c r="F863" s="20"/>
      <c r="G863" s="23"/>
      <c r="H863" s="51">
        <f>SUM(H856:H862)</f>
        <v>-500.0032</v>
      </c>
      <c r="I863" s="52"/>
      <c r="J863" s="53"/>
      <c r="K863" s="51">
        <f t="shared" ref="K863:L863" si="2730">SUM(K856:K862)</f>
        <v>0</v>
      </c>
      <c r="L863" s="68">
        <f t="shared" si="2730"/>
        <v>0</v>
      </c>
      <c r="M863" s="53"/>
      <c r="N863" s="53"/>
      <c r="O863" s="51">
        <f t="shared" ref="O863:P863" si="2731">SUM(O857:O862)</f>
        <v>0</v>
      </c>
      <c r="P863" s="51">
        <f t="shared" si="2731"/>
        <v>0</v>
      </c>
      <c r="Q863" s="52"/>
      <c r="R863" s="53"/>
      <c r="S863" s="51">
        <f t="shared" ref="S863:T863" si="2732">SUM(S857:S862)</f>
        <v>0</v>
      </c>
      <c r="T863" s="68">
        <f t="shared" si="2732"/>
        <v>0</v>
      </c>
      <c r="U863" s="53"/>
      <c r="V863" s="53"/>
      <c r="W863" s="51">
        <f t="shared" ref="W863:X863" si="2733">SUM(W857:W862)</f>
        <v>0</v>
      </c>
      <c r="X863" s="51">
        <f t="shared" si="2733"/>
        <v>0</v>
      </c>
      <c r="Y863" s="52"/>
      <c r="Z863" s="53"/>
      <c r="AA863" s="51">
        <f t="shared" ref="AA863:AB863" si="2734">SUM(AA857:AA862)</f>
        <v>500</v>
      </c>
      <c r="AB863" s="68">
        <f t="shared" si="2734"/>
        <v>0</v>
      </c>
      <c r="AC863" s="53"/>
      <c r="AD863" s="53"/>
      <c r="AE863" s="51">
        <f t="shared" ref="AE863:AF863" si="2735">SUM(AE857:AE862)</f>
        <v>6832</v>
      </c>
      <c r="AF863" s="51">
        <f t="shared" si="2735"/>
        <v>0</v>
      </c>
      <c r="AG863" s="52"/>
      <c r="AH863" s="53"/>
      <c r="AI863" s="51">
        <f t="shared" ref="AI863:AJ863" si="2736">SUM(AI857:AI862)</f>
        <v>0</v>
      </c>
      <c r="AJ863" s="68">
        <f t="shared" si="2736"/>
        <v>0</v>
      </c>
      <c r="AK863" s="52"/>
      <c r="AL863" s="53"/>
      <c r="AM863" s="51">
        <f t="shared" ref="AM863:AN863" si="2737">SUM(AM857:AM862)</f>
        <v>0</v>
      </c>
      <c r="AN863" s="68">
        <f t="shared" si="2737"/>
        <v>0</v>
      </c>
      <c r="AO863" s="52"/>
      <c r="AP863" s="53"/>
      <c r="AQ863" s="51">
        <f t="shared" ref="AQ863:AR863" si="2738">SUM(AQ856:AQ862)</f>
        <v>20.5</v>
      </c>
      <c r="AR863" s="68">
        <f t="shared" si="2738"/>
        <v>0</v>
      </c>
      <c r="AS863" s="53"/>
      <c r="AT863" s="53"/>
      <c r="AU863" s="51">
        <f t="shared" ref="AU863:AV863" si="2739">SUM(AU856:AU862)</f>
        <v>8.88</v>
      </c>
      <c r="AV863" s="68">
        <f t="shared" si="2739"/>
        <v>6852.5</v>
      </c>
      <c r="AW863" s="52"/>
      <c r="AX863" s="53"/>
      <c r="AY863" s="51">
        <f t="shared" ref="AY863:AZ863" si="2740">SUM(AY856:AY862)</f>
        <v>0</v>
      </c>
      <c r="AZ863" s="68">
        <f t="shared" si="2740"/>
        <v>0</v>
      </c>
      <c r="BA863" s="53"/>
      <c r="BB863" s="53"/>
      <c r="BC863" s="51">
        <f t="shared" ref="BC863:BD863" si="2741">SUM(BC856:BC862)</f>
        <v>0</v>
      </c>
      <c r="BD863" s="68">
        <f t="shared" si="2741"/>
        <v>0</v>
      </c>
      <c r="BE863" s="69"/>
      <c r="BF863" s="70">
        <f t="shared" ref="BF863:BH863" si="2742">SUM(BF856:BF862)</f>
        <v>7361.38</v>
      </c>
      <c r="BG863" s="71">
        <f t="shared" si="2742"/>
        <v>6852.5</v>
      </c>
      <c r="BH863" s="72">
        <f t="shared" si="2742"/>
        <v>8.8768</v>
      </c>
      <c r="BI863" s="34">
        <f>H863+BF863-BG863</f>
        <v>8.8768</v>
      </c>
      <c r="BJ863" s="34">
        <f>BH863-BI863</f>
        <v>0</v>
      </c>
    </row>
    <row r="864" ht="15.75" customHeight="1" spans="25:40" x14ac:dyDescent="0.25">
      <c r="Y864" s="15"/>
      <c r="Z864" s="15"/>
      <c r="AN864" s="15"/>
    </row>
    <row r="865" ht="15.75" customHeight="1" spans="2:62" x14ac:dyDescent="0.25">
      <c r="B865" s="106">
        <f>SUM(B8,B17,B25,B33,B41,B49,B57,B65,B73,B81,B89,B97,B105,B113,B121,B129,B137,B145,B153,B161,B169,B177,B185,B193,B201,B209,B217,B225,B233,B241,B249,B257,B265,B273,B281,B289,B297,B305,B313,B321,B329,B337,B345,B353,B361,B369,B377,B385,B393,B401,B409,B417,B425,B433,B441,B449,B457,B465,B473,B481,B489,B497,B505,B513,B521,B529,B537,B545,B553,B561,B569,B577,B585,B593,B601,B609,B617,B625,B633,B641,B649,B657,B665,B673,B681,B689,B697,B705,B713,B721,B729,B737,B745,B753,B761,B769,B777,B785,B793,B801,B809,B817,B825,B833,B841,B849,B857)</f>
        <v>505.74</v>
      </c>
      <c r="C865" s="2" t="s">
        <v>350</v>
      </c>
      <c r="H865" s="107">
        <f>SUM(H15,H23,H31,H39,H47,H55,H63,H71,H79,H87,H95,H103,H111,H119,H127,H135,H143,H151,H159,H167,H175,H183,H191,H199,H207,H215,H223,H231,H239,H247,H255,H263,H271,H279,H287,H295,H303,H311,H319,H327,H335,H343,H351,H359,H367,H375,H383,H391,H399,H407,H415,H423,H431,H439,H447,H455,H463,H471,H479,H487,H495,H503,H511,H519,H527,H535,H543,H551,H559,H567,H575,H583,H591,H599,H607,H615,H623,H631,H639,H647,H655,H663,H671,H679,H687,H695,H703,H711,H719,H727,H735,H743,H751,H759,H767,H775,H783,H791,H799,H807,H815,H823,H831,H839,H847,H855,H863)</f>
        <v>189743.1312</v>
      </c>
      <c r="K865" s="107">
        <f t="shared" ref="K865:L865" si="2743">SUM(K15,K23,K31,K39,K47,K55,K63,K71,K79,K87,K95,K103,K111,K119,K127,K135,K143,K151,K159,K167,K175,K183,K191,K199,K207,K215,K223,K231,K239,K247,K255,K263,K271,K279,K287,K295,K303,K311,K319,K327,K335,K343,K351,K359,K367,K375,K383,K391,K399,K407,K415,K423,K431,K439,K447,K455,K463,K471,K479,K487,K495,K503,K511,K519,K527,K535,K543,K551,K559,K567,K575,K583,K591,K599,K607,K615,K623,K631,K639,K647,K655,K663,K671,K679,K687,K695,K703,K711,K719,K727,K735,K743,K751,K759,K767,K775,K783,K791,K799,K807,K815,K823,K831,K839,K847,K855,K863)</f>
        <v>19056.5</v>
      </c>
      <c r="L865" s="107">
        <f t="shared" si="2743"/>
        <v>10829.91</v>
      </c>
      <c r="O865" s="107">
        <f t="shared" ref="O865:P865" si="2744">SUM(O15,O23,O31,O39,O47,O55,O63,O71,O79,O87,O95,O103,O111,O119,O127,O135,O143,O151,O159,O167,O175,O183,O191,O199,O207,O215,O223,O231,O239,O247,O255,O263,O271,O279,O287,O295,O303,O311,O319,O327,O335,O343,O351,O359,O367,O375,O383,O391,O399,O407,O415,O423,O431,O439,O447,O455,O463,O471,O479,O487,O495,O503,O511,O519,O527,O535,O543,O551,O559,O567,O575,O583,O591,O599,O607,O615,O623,O631,O639,O647,O655,O663,O671,O679,O687,O695,O703,O711,O719,O727,O735,O743,O751,O759,O767,O775,O783,O791,O799,O807,O815,O823,O831,O839,O847,O855,O863)</f>
        <v>17993.27</v>
      </c>
      <c r="P865" s="107">
        <f t="shared" si="2744"/>
        <v>20016.11</v>
      </c>
      <c r="S865" s="107">
        <f t="shared" ref="S865:T865" si="2745">SUM(S15,S23,S31,S39,S47,S55,S63,S71,S79,S87,S95,S103,S111,S119,S127,S135,S143,S151,S159,S167,S175,S183,S191,S199,S207,S215,S223,S231,S239,S247,S255,S263,S271,S279,S287,S295,S303,S311,S319,S327,S335,S343,S351,S359,S367,S375,S383,S391,S399,S407,S415,S423,S431,S439,S447,S455,S463,S471,S479,S487,S495,S503,S511,S519,S527,S535,S543,S551,S559,S567,S575,S583,S591,S599,S607,S615,S623,S631,S639,S647,S655,S663,S671,S679,S687,S695,S703,S711,S719,S727,S735,S743,S751,S759,S767,S775,S783,S791,S799,S807,S815,S823,S831,S839,S847,S855,S863)</f>
        <v>9690.1</v>
      </c>
      <c r="T865" s="107">
        <f t="shared" si="2745"/>
        <v>13198.78</v>
      </c>
      <c r="W865" s="107">
        <f t="shared" ref="W865:X865" si="2746">SUM(W15,W23,W31,W39,W47,W55,W63,W71,W79,W87,W95,W103,W111,W119,W127,W135,W143,W151,W159,W167,W175,W183,W191,W199,W207,W215,W223,W231,W239,W247,W255,W263,W271,W279,W287,W295,W303,W311,W319,W327,W335,W343,W351,W359,W367,W375,W383,W391,W399,W407,W415,W423,W431,W439,W447,W455,W463,W471,W479,W487,W495,W503,W511,W519,W527,W535,W543,W551,W559,W567,W575,W583,W591,W599,W607,W615,W623,W631,W639,W647,W655,W663,W671,W679,W687,W695,W703,W711,W719,W727,W735,W743,W751,W759,W767,W775,W783,W791,W799,W807,W815,W823,W831,W839,W847,W855,W863)</f>
        <v>9960</v>
      </c>
      <c r="X865" s="107">
        <f t="shared" si="2746"/>
        <v>38492.77</v>
      </c>
      <c r="AA865" s="107">
        <f t="shared" ref="AA865:AB865" si="2747">SUM(AA15,AA23,AA31,AA39,AA47,AA55,AA63,AA71,AA79,AA87,AA95,AA103,AA111,AA119,AA127,AA135,AA143,AA151,AA159,AA167,AA175,AA183,AA191,AA199,AA207,AA215,AA223,AA231,AA239,AA247,AA255,AA263,AA271,AA279,AA287,AA295,AA303,AA311,AA319,AA327,AA335,AA343,AA351,AA359,AA367,AA375,AA383,AA391,AA399,AA407,AA415,AA423,AA431,AA439,AA447,AA455,AA463,AA471,AA479,AA487,AA495,AA503,AA511,AA519,AA527,AA535,AA543,AA551,AA559,AA567,AA575,AA583,AA591,AA599,AA607,AA615,AA623,AA631,AA639,AA647,AA655,AA663,AA671,AA679,AA687,AA695,AA703,AA711,AA719,AA727,AA735,AA743,AA751,AA759,AA767,AA775,AA783,AA791,AA799,AA807,AA815,AA823,AA831,AA839,AA847,AA855,AA863)</f>
        <v>84683.82</v>
      </c>
      <c r="AB865" s="107">
        <f t="shared" si="2747"/>
        <v>43478.24</v>
      </c>
      <c r="AE865" s="107">
        <f t="shared" ref="AE865:AF865" si="2748">SUM(AE15,AE23,AE31,AE39,AE47,AE55,AE63,AE71,AE79,AE87,AE95,AE103,AE111,AE119,AE127,AE135,AE143,AE151,AE159,AE167,AE175,AE183,AE191,AE199,AE207,AE215,AE223,AE231,AE239,AE247,AE255,AE263,AE271,AE279,AE287,AE295,AE303,AE311,AE319,AE327,AE335,AE343,AE351,AE359,AE367,AE375,AE383,AE391,AE399,AE407,AE415,AE423,AE431,AE439,AE447,AE455,AE463,AE471,AE479,AE487,AE495,AE503,AE511,AE519,AE527,AE535,AE543,AE551,AE559,AE567,AE575,AE583,AE591,AE599,AE607,AE615,AE623,AE631,AE639,AE647,AE655,AE663,AE671,AE679,AE687,AE695,AE703,AE711,AE719,AE727,AE735,AE743,AE751,AE759,AE767,AE775,AE783,AE791,AE799,AE807,AE815,AE823,AE831,AE839,AE847,AE855,AE863)</f>
        <v>734810.54</v>
      </c>
      <c r="AF865" s="107">
        <f t="shared" si="2748"/>
        <v>258894.85</v>
      </c>
      <c r="AI865" s="107">
        <f t="shared" ref="AI865:AJ865" si="2749">SUM(AI15,AI23,AI31,AI39,AI47,AI55,AI63,AI71,AI79,AI87,AI95,AI103,AI111,AI119,AI127,AI135,AI143,AI151,AI159,AI167,AI175,AI183,AI191,AI199,AI207,AI215,AI223,AI231,AI239,AI247,AI255,AI263,AI271,AI279,AI287,AI295,AI303,AI311,AI319,AI327,AI335,AI343,AI351,AI359,AI367,AI375,AI383,AI391,AI399,AI407,AI415,AI423,AI431,AI439,AI447,AI455,AI463,AI471,AI479,AI487,AI495,AI503,AI511,AI519,AI527,AI535,AI543,AI551,AI559,AI567,AI575,AI583,AI591,AI599,AI607,AI615,AI623,AI631,AI639,AI647,AI655,AI663,AI671,AI679,AI687,AI695,AI703,AI711,AI719,AI727,AI735,AI743,AI751,AI759,AI767,AI775,AI783,AI791,AI799,AI807,AI815,AI823,AI831,AI839,AI847,AI855,AI863)</f>
        <v>23153.5</v>
      </c>
      <c r="AJ865" s="107">
        <f t="shared" si="2749"/>
        <v>194353.71</v>
      </c>
      <c r="AM865" s="107">
        <f t="shared" ref="AM865:AN865" si="2750">SUM(AM15,AM23,AM31,AM39,AM47,AM55,AM63,AM71,AM79,AM87,AM95,AM103,AM111,AM119,AM127,AM135,AM143,AM151,AM159,AM167,AM175,AM183,AM191,AM199,AM207,AM215,AM223,AM231,AM239,AM247,AM255,AM263,AM271,AM279,AM287,AM295,AM303,AM311,AM319,AM327,AM335,AM343,AM351,AM359,AM367,AM375,AM383,AM391,AM399,AM407,AM415,AM423,AM431,AM439,AM447,AM455,AM463,AM471,AM479,AM487,AM495,AM503,AM511,AM519,AM527,AM535,AM543,AM551,AM559,AM567,AM575,AM583,AM591,AM599,AM607,AM615,AM623,AM631,AM639,AM647,AM655,AM663,AM671,AM679,AM687,AM695,AM703,AM711,AM719,AM727,AM735,AM743,AM751,AM759,AM767,AM775,AM783,AM791,AM799,AM807,AM815,AM823,AM831,AM839,AM847,AM855,AM863)</f>
        <v>20555.68</v>
      </c>
      <c r="AN865" s="107">
        <f t="shared" si="2750"/>
        <v>85658.83</v>
      </c>
      <c r="AQ865" s="107">
        <f t="shared" ref="AQ865:AR865" si="2751">SUM(AQ15,AQ23,AQ31,AQ39,AQ47,AQ55,AQ63,AQ71,AQ79,AQ87,AQ95,AQ103,AQ111,AQ119,AQ127,AQ135,AQ143,AQ151,AQ159,AQ167,AQ175,AQ183,AQ191,AQ199,AQ207,AQ215,AQ223,AQ231,AQ239,AQ247,AQ255,AQ263,AQ271,AQ279,AQ287,AQ295,AQ303,AQ311,AQ319,AQ327,AQ335,AQ343,AQ351,AQ359,AQ367,AQ375,AQ383,AQ391,AQ399,AQ407,AQ415,AQ423,AQ431,AQ439,AQ447,AQ455,AQ463,AQ471,AQ479,AQ487,AQ495,AQ503,AQ511,AQ519,AQ527,AQ535,AQ543,AQ551,AQ559,AQ567,AQ575,AQ583,AQ591,AQ599,AQ607,AQ615,AQ623,AQ631,AQ639,AQ647,AQ655,AQ663,AQ671,AQ679,AQ687,AQ695,AQ703,AQ711,AQ719,AQ727,AQ735,AQ743,AQ751,AQ759,AQ767,AQ775,AQ783,AQ791,AQ799,AQ807,AQ815,AQ823,AQ831,AQ839,AQ847,AQ855,AQ863)</f>
        <v>25200.49</v>
      </c>
      <c r="AR865" s="107">
        <f t="shared" si="2751"/>
        <v>166346.81</v>
      </c>
      <c r="AU865" s="107">
        <f t="shared" ref="AU865:AV865" si="2752">SUM(AU15,AU23,AU31,AU39,AU47,AU55,AU63,AU71,AU79,AU87,AU95,AU103,AU111,AU119,AU127,AU135,AU143,AU151,AU159,AU167,AU175,AU183,AU191,AU199,AU207,AU215,AU223,AU231,AU239,AU247,AU255,AU263,AU271,AU279,AU287,AU295,AU303,AU311,AU319,AU327,AU335,AU343,AU351,AU359,AU367,AU375,AU383,AU391,AU399,AU407,AU415,AU423,AU431,AU439,AU447,AU455,AU463,AU471,AU479,AU487,AU495,AU503,AU511,AU519,AU527,AU535,AU543,AU551,AU559,AU567,AU575,AU583,AU591,AU599,AU607,AU615,AU623,AU631,AU639,AU647,AU655,AU663,AU671,AU679,AU687,AU695,AU703,AU711,AU719,AU727,AU735,AU743,AU751,AU759,AU767,AU775,AU783,AU791,AU799,AU807,AU815,AU823,AU831,AU839,AU847,AU855,AU863)</f>
        <v>14066.77</v>
      </c>
      <c r="AV865" s="107">
        <f t="shared" si="2752"/>
        <v>65387.8</v>
      </c>
      <c r="AY865" s="107">
        <f t="shared" ref="AY865:AZ865" si="2753">SUM(AY15,AY23,AY31,AY39,AY47,AY55,AY63,AY71,AY79,AY87,AY95,AY103,AY111,AY119,AY127,AY135,AY143,AY151,AY159,AY167,AY175,AY183,AY191,AY199,AY207,AY215,AY223,AY231,AY239,AY247,AY255,AY263,AY271,AY279,AY287,AY295,AY303,AY311,AY319,AY327,AY335,AY343,AY351,AY359,AY367,AY375,AY383,AY391,AY399,AY407,AY415,AY423,AY431,AY439,AY447,AY455,AY463,AY471,AY479,AY487,AY495,AY503,AY511,AY519,AY527,AY535,AY543,AY551,AY559,AY567,AY575,AY583,AY591,AY599,AY607,AY615,AY623,AY631,AY639,AY647,AY655,AY663,AY671,AY679,AY687,AY695,AY703,AY711,AY719,AY727,AY735,AY743,AY751,AY759,AY767,AY775,AY783,AY791,AY799,AY807,AY815,AY823,AY831,AY839,AY847,AY855,AY863)</f>
        <v>14385.89</v>
      </c>
      <c r="AZ865" s="107">
        <f t="shared" si="2753"/>
        <v>22663</v>
      </c>
      <c r="BC865" s="107">
        <f t="shared" ref="BC865:BD865" si="2754">SUM(BC15,BC23,BC31,BC39,BC47,BC55,BC63,BC71,BC79,BC87,BC95,BC103,BC111,BC119,BC127,BC135,BC143,BC151,BC159,BC167,BC175,BC183,BC191,BC199,BC207,BC215,BC223,BC231,BC239,BC247,BC255,BC263,BC271,BC279,BC287,BC295,BC303,BC311,BC319,BC327,BC335,BC343,BC351,BC359,BC367,BC375,BC383,BC391,BC399,BC407,BC415,BC423,BC431,BC439,BC447,BC455,BC463,BC471,BC479,BC487,BC495,BC503,BC511,BC519,BC527,BC535,BC543,BC551,BC559,BC567,BC575,BC583,BC591,BC599,BC607,BC615,BC623,BC631,BC639,BC647,BC655,BC663,BC671,BC679,BC687,BC695,BC703,BC711,BC719,BC727,BC735,BC743,BC751,BC759,BC767,BC775,BC783,BC791,BC799,BC807,BC815,BC823,BC831,BC839,BC847,BC855,BC863)</f>
        <v>15904.41</v>
      </c>
      <c r="BD865" s="108">
        <f t="shared" si="2754"/>
        <v>32161.74</v>
      </c>
      <c r="BE865" s="107"/>
      <c r="BF865" s="107">
        <f t="shared" ref="BF865:BH865" si="2755">SUM(BF15,BF23,BF31,BF39,BF47,BF55,BF63,BF71,BF79,BF87,BF95,BF103,BF111,BF119,BF127,BF135,BF143,BF151,BF159,BF167,BF175,BF183,BF191,BF199,BF207,BF215,BF223,BF231,BF239,BF247,BF255,BF263,BF271,BF279,BF287,BF295,BF303,BF311,BF319,BF327,BF335,BF343,BF351,BF359,BF367,BF375,BF383,BF391,BF399,BF407,BF415,BF423,BF431,BF439,BF447,BF455,BF463,BF471,BF479,BF487,BF495,BF503,BF511,BF519,BF527,BF535,BF543,BF551,BF559,BF567,BF575,BF583,BF591,BF599,BF607,BF615,BF623,BF631,BF639,BF647,BF655,BF663,BF671,BF679,BF687,BF695,BF703,BF711,BF719,BF727,BF735,BF743,BF751,BF759,BF767,BF775,BF783,BF791,BF799,BF807,BF815,BF823,BF831,BF839,BF847,BF855,BF863)</f>
        <v>989460.97</v>
      </c>
      <c r="BG865" s="107">
        <f t="shared" si="2755"/>
        <v>951482.55</v>
      </c>
      <c r="BH865" s="107">
        <f t="shared" si="2755"/>
        <v>227721.5512</v>
      </c>
      <c r="BI865" s="34">
        <f>H865+BF865-BG865</f>
        <v>227721.5512</v>
      </c>
      <c r="BJ865" s="34">
        <f>BH865-BI865</f>
        <v>-3.783497959e-10</v>
      </c>
    </row>
    <row r="866" ht="15.75" customHeight="1" spans="3:60" x14ac:dyDescent="0.25">
      <c r="C866" s="2" t="s">
        <v>351</v>
      </c>
      <c r="D866" s="2" t="s">
        <v>461</v>
      </c>
      <c r="H866" s="34">
        <f t="shared" ref="H866:H867" si="2756">SUM(H7,H16,H24,H32,H40,H48,H56,H64,H72,H80,H88,H96,H104,H112,H120,H128,H136,H144,H152,H160,H168,H176,H184,H192,H200,H208,H216,H224,H232,H240,H248,H256,H264,H272,H280,H288,H296,H304,H312,H320,H328,H336,H344,H352,H360,H368,H376,H384,H392,H400,H408,H416,H424,H432,H440,H448,H456,H464,H472,H480,H488,H496,H504,H512,H520,H528,H536,H544,H552,H560,H568,H576,H584,H592,H600,H608,H616,H624,H632,H640,H648,H656,H664,H672,H680,H688,H696,H704,H712,H720,H728,H736,H744,H752,H760,H768,H776,H784,H792,H800,H808,H816,H824,H832,H840,H848,H856)</f>
        <v>17430</v>
      </c>
      <c r="K866" s="34">
        <f t="shared" ref="K866:L866" si="2757">SUM(K7,K16,K24,K32,K40,K48,K56,K64,K72,K80,K88,K96,K104,K112,K120,K128,K136,K144,K152,K160,K168,K176,K184,K192,K200,K208,K216,K224,K232,K240,K248,K256,K264,K272,K280,K288,K296,K304,K312,K320,K328,K336,K344,K352,K360,K368,K376,K384,K392,K400,K408,K416,K424,K432,K440,K448,K456,K464,K472,K480,K488,K496,K504,K512,K520,K528,K536,K544,K552,K560,K568,K576,K584,K592,K600,K608,K616,K624,K632,K640,K648,K656,K664,K672,K680,K688,K696,K704,K712,K720,K728,K736,K744,K752,K760,K768,K776,K784,K792,K800,K808,K816,K824,K832,K840,K848,K856)</f>
        <v>0</v>
      </c>
      <c r="L866" s="34">
        <f t="shared" si="2757"/>
        <v>0</v>
      </c>
      <c r="O866" s="34">
        <f t="shared" ref="O866:P866" si="2758">SUM(O7,O16,O24,O32,O40,O48,O56,O64,O72,O80,O88,O96,O104,O112,O120,O128,O136,O144,O152,O160,O168,O176,O184,O192,O200,O208,O216,O224,O232,O240,O248,O256,O264,O272,O280,O288,O296,O304,O312,O320,O328,O336,O344,O352,O360,O368,O376,O384,O392,O400,O408,O416,O424,O432,O440,O448,O456,O464,O472,O480,O488,O496,O504,O512,O520,O528,O536,O544,O552,O560,O568,O576,O584,O592,O600,O608,O616,O624,O632,O640,O648,O656,O664,O672,O680,O688,O696,O704,O712,O720,O728,O736,O744,O752,O760,O768,O776,O784,O792,O800,O808,O816,O824,O832,O840,O848,O856)</f>
        <v>0</v>
      </c>
      <c r="P866" s="34">
        <f t="shared" si="2758"/>
        <v>0</v>
      </c>
      <c r="S866" s="34">
        <f t="shared" ref="S866:T866" si="2759">SUM(S7,S16,S24,S32,S40,S48,S56,S64,S72,S80,S88,S96,S104,S112,S120,S128,S136,S144,S152,S160,S168,S176,S184,S192,S200,S208,S216,S224,S232,S240,S248,S256,S264,S272,S280,S288,S296,S304,S312,S320,S328,S336,S344,S352,S360,S368,S376,S384,S392,S400,S408,S416,S424,S432,S440,S448,S456,S464,S472,S480,S488,S496,S504,S512,S520,S528,S536,S544,S552,S560,S568,S576,S584,S592,S600,S608,S616,S624,S632,S640,S648,S656,S664,S672,S680,S688,S696,S704,S712,S720,S728,S736,S744,S752,S760,S768,S776,S784,S792,S800,S808,S816,S824,S832,S840,S848,S856)</f>
        <v>0</v>
      </c>
      <c r="T866" s="34">
        <f t="shared" si="2759"/>
        <v>0</v>
      </c>
      <c r="W866" s="34">
        <f t="shared" ref="W866:X866" si="2760">SUM(W7,W16,W24,W32,W40,W48,W56,W64,W72,W80,W88,W96,W104,W112,W120,W128,W136,W144,W152,W160,W168,W176,W184,W192,W200,W208,W216,W224,W232,W240,W248,W256,W264,W272,W280,W288,W296,W304,W312,W320,W328,W336,W344,W352,W360,W368,W376,W384,W392,W400,W408,W416,W424,W432,W440,W448,W456,W464,W472,W480,W488,W496,W504,W512,W520,W528,W536,W544,W552,W560,W568,W576,W584,W592,W600,W608,W616,W624,W632,W640,W648,W656,W664,W672,W680,W688,W696,W704,W712,W720,W728,W736,W744,W752,W760,W768,W776,W784,W792,W800,W808,W816,W824,W832,W840,W848,W856)</f>
        <v>0</v>
      </c>
      <c r="X866" s="34">
        <f t="shared" si="2760"/>
        <v>5000</v>
      </c>
      <c r="AA866" s="34">
        <f t="shared" ref="AA866:AB866" si="2761">SUM(AA7,AA16,AA24,AA32,AA40,AA48,AA56,AA64,AA72,AA80,AA88,AA96,AA104,AA112,AA120,AA128,AA136,AA144,AA152,AA160,AA168,AA176,AA184,AA192,AA200,AA208,AA216,AA224,AA232,AA240,AA248,AA256,AA264,AA272,AA280,AA288,AA296,AA304,AA312,AA320,AA328,AA336,AA344,AA352,AA360,AA368,AA376,AA384,AA392,AA400,AA408,AA416,AA424,AA432,AA440,AA448,AA456,AA464,AA472,AA480,AA488,AA496,AA504,AA512,AA520,AA528,AA536,AA544,AA552,AA560,AA568,AA576,AA584,AA592,AA600,AA608,AA616,AA624,AA632,AA640,AA648,AA656,AA664,AA672,AA680,AA688,AA696,AA704,AA712,AA720,AA728,AA736,AA744,AA752,AA760,AA768,AA776,AA784,AA792,AA800,AA808,AA816,AA824,AA832,AA840,AA848,AA856)</f>
        <v>0</v>
      </c>
      <c r="AB866" s="34">
        <f t="shared" si="2761"/>
        <v>0</v>
      </c>
      <c r="AE866" s="34">
        <f t="shared" ref="AE866:AF866" si="2762">SUM(AE7,AE16,AE24,AE32,AE40,AE48,AE56,AE64,AE72,AE80,AE88,AE96,AE104,AE112,AE120,AE128,AE136,AE144,AE152,AE160,AE168,AE176,AE184,AE192,AE200,AE208,AE216,AE224,AE232,AE240,AE248,AE256,AE264,AE272,AE280,AE288,AE296,AE304,AE312,AE320,AE328,AE336,AE344,AE352,AE360,AE368,AE376,AE384,AE392,AE400,AE408,AE416,AE424,AE432,AE440,AE448,AE456,AE464,AE472,AE480,AE488,AE496,AE504,AE512,AE520,AE528,AE536,AE544,AE552,AE560,AE568,AE576,AE584,AE592,AE600,AE608,AE616,AE624,AE632,AE640,AE648,AE656,AE664,AE672,AE680,AE688,AE696,AE704,AE712,AE720,AE728,AE736,AE744,AE752,AE760,AE768,AE776,AE784,AE792,AE800,AE808,AE816,AE824,AE832,AE840,AE848,AE856)</f>
        <v>0</v>
      </c>
      <c r="AF866" s="34">
        <f t="shared" si="2762"/>
        <v>1500</v>
      </c>
      <c r="AI866" s="34">
        <f t="shared" ref="AI866:AJ866" si="2763">SUM(AI7,AI16,AI24,AI32,AI40,AI48,AI56,AI64,AI72,AI80,AI88,AI96,AI104,AI112,AI120,AI128,AI136,AI144,AI152,AI160,AI168,AI176,AI184,AI192,AI200,AI208,AI216,AI224,AI232,AI240,AI248,AI256,AI264,AI272,AI280,AI288,AI296,AI304,AI312,AI320,AI328,AI336,AI344,AI352,AI360,AI368,AI376,AI384,AI392,AI400,AI408,AI416,AI424,AI432,AI440,AI448,AI456,AI464,AI472,AI480,AI488,AI496,AI504,AI512,AI520,AI528,AI536,AI544,AI552,AI560,AI568,AI576,AI584,AI592,AI600,AI608,AI616,AI624,AI632,AI640,AI648,AI656,AI664,AI672,AI680,AI688,AI696,AI704,AI712,AI720,AI728,AI736,AI744,AI752,AI760,AI768,AI776,AI784,AI792,AI800,AI808,AI816,AI824,AI832,AI840,AI848,AI856)</f>
        <v>0</v>
      </c>
      <c r="AJ866" s="34">
        <f t="shared" si="2763"/>
        <v>0</v>
      </c>
      <c r="AM866" s="34">
        <f t="shared" ref="AM866:AN866" si="2764">SUM(AM7,AM16,AM24,AM32,AM40,AM48,AM56,AM64,AM72,AM80,AM88,AM96,AM104,AM112,AM120,AM128,AM136,AM144,AM152,AM160,AM168,AM176,AM184,AM192,AM200,AM208,AM216,AM224,AM232,AM240,AM248,AM256,AM264,AM272,AM280,AM288,AM296,AM304,AM312,AM320,AM328,AM336,AM344,AM352,AM360,AM368,AM376,AM384,AM392,AM400,AM408,AM416,AM424,AM432,AM440,AM448,AM456,AM464,AM472,AM480,AM488,AM496,AM504,AM512,AM520,AM528,AM536,AM544,AM552,AM560,AM568,AM576,AM584,AM592,AM600,AM608,AM616,AM624,AM632,AM640,AM648,AM656,AM664,AM672,AM680,AM688,AM696,AM704,AM712,AM720,AM728,AM736,AM744,AM752,AM760,AM768,AM776,AM784,AM792,AM800,AM808,AM816,AM824,AM832,AM840,AM848,AM856)</f>
        <v>0</v>
      </c>
      <c r="AN866" s="34">
        <f t="shared" si="2764"/>
        <v>0</v>
      </c>
      <c r="AQ866" s="34">
        <f t="shared" ref="AQ866:AR866" si="2765">SUM(AQ7,AQ16,AQ24,AQ32,AQ40,AQ48,AQ56,AQ64,AQ72,AQ80,AQ88,AQ96,AQ104,AQ112,AQ120,AQ128,AQ136,AQ144,AQ152,AQ160,AQ168,AQ176,AQ184,AQ192,AQ200,AQ208,AQ216,AQ224,AQ232,AQ240,AQ248,AQ256,AQ264,AQ272,AQ280,AQ288,AQ296,AQ304,AQ312,AQ320,AQ328,AQ336,AQ344,AQ352,AQ360,AQ368,AQ376,AQ384,AQ392,AQ400,AQ408,AQ416,AQ424,AQ432,AQ440,AQ448,AQ456,AQ464,AQ472,AQ480,AQ488,AQ496,AQ504,AQ512,AQ520,AQ528,AQ536,AQ544,AQ552,AQ560,AQ568,AQ576,AQ584,AQ592,AQ600,AQ608,AQ616,AQ624,AQ632,AQ640,AQ648,AQ656,AQ664,AQ672,AQ680,AQ688,AQ696,AQ704,AQ712,AQ720,AQ728,AQ736,AQ744,AQ752,AQ760,AQ768,AQ776,AQ784,AQ792,AQ800,AQ808,AQ816,AQ824,AQ832,AQ840,AQ848,AQ856)</f>
        <v>929.68</v>
      </c>
      <c r="AR866" s="34">
        <f t="shared" si="2765"/>
        <v>0</v>
      </c>
      <c r="AU866" s="34">
        <f t="shared" ref="AU866:AV866" si="2766">SUM(AU7,AU16,AU24,AU32,AU40,AU48,AU56,AU64,AU72,AU80,AU88,AU96,AU104,AU112,AU120,AU128,AU136,AU144,AU152,AU160,AU168,AU176,AU184,AU192,AU200,AU208,AU216,AU224,AU232,AU240,AU248,AU256,AU264,AU272,AU280,AU288,AU296,AU304,AU312,AU320,AU328,AU336,AU344,AU352,AU360,AU368,AU376,AU384,AU392,AU400,AU408,AU416,AU424,AU432,AU440,AU448,AU456,AU464,AU472,AU480,AU488,AU496,AU504,AU512,AU520,AU528,AU536,AU544,AU552,AU560,AU568,AU576,AU584,AU592,AU600,AU608,AU616,AU624,AU632,AU640,AU648,AU656,AU664,AU672,AU680,AU688,AU696,AU704,AU712,AU720,AU728,AU736,AU744,AU752,AU760,AU768,AU776,AU784,AU792,AU800,AU808,AU816,AU824,AU832,AU840,AU848,AU856)</f>
        <v>705.52</v>
      </c>
      <c r="AV866" s="34">
        <f t="shared" si="2766"/>
        <v>3054.77</v>
      </c>
      <c r="AY866" s="34">
        <f t="shared" ref="AY866:AZ866" si="2767">SUM(AY7,AY16,AY24,AY32,AY40,AY48,AY56,AY64,AY72,AY80,AY88,AY96,AY104,AY112,AY120,AY128,AY136,AY144,AY152,AY160,AY168,AY176,AY184,AY192,AY200,AY208,AY216,AY224,AY232,AY240,AY248,AY256,AY264,AY272,AY280,AY288,AY296,AY304,AY312,AY320,AY328,AY336,AY344,AY352,AY360,AY368,AY376,AY384,AY392,AY400,AY408,AY416,AY424,AY432,AY440,AY448,AY456,AY464,AY472,AY480,AY488,AY496,AY504,AY512,AY520,AY528,AY536,AY544,AY552,AY560,AY568,AY576,AY584,AY592,AY600,AY608,AY616,AY624,AY632,AY640,AY648,AY656,AY664,AY672,AY680,AY688,AY696,AY704,AY712,AY720,AY728,AY736,AY744,AY752,AY760,AY768,AY776,AY784,AY792,AY800,AY808,AY816,AY824,AY832,AY840,AY848,AY856)</f>
        <v>628.39</v>
      </c>
      <c r="AZ866" s="34">
        <f t="shared" si="2767"/>
        <v>25.9</v>
      </c>
      <c r="BC866" s="34">
        <f t="shared" ref="BC866:BD866" si="2768">SUM(BC7,BC16,BC24,BC32,BC40,BC48,BC56,BC64,BC72,BC80,BC88,BC96,BC104,BC112,BC120,BC128,BC136,BC144,BC152,BC160,BC168,BC176,BC184,BC192,BC200,BC208,BC216,BC224,BC232,BC240,BC248,BC256,BC264,BC272,BC280,BC288,BC296,BC304,BC312,BC320,BC328,BC336,BC344,BC352,BC360,BC368,BC376,BC384,BC392,BC400,BC408,BC416,BC424,BC432,BC440,BC448,BC456,BC464,BC472,BC480,BC488,BC496,BC504,BC512,BC520,BC528,BC536,BC544,BC552,BC560,BC568,BC576,BC584,BC592,BC600,BC608,BC616,BC624,BC632,BC640,BC648,BC656,BC664,BC672,BC680,BC688,BC696,BC704,BC712,BC720,BC728,BC736,BC744,BC752,BC760,BC768,BC776,BC784,BC792,BC800,BC808,BC816,BC824,BC832,BC840,BC848,BC856)</f>
        <v>606.91</v>
      </c>
      <c r="BD866" s="34">
        <f t="shared" si="2768"/>
        <v>119.2</v>
      </c>
      <c r="BE866" s="41"/>
      <c r="BF866" s="34">
        <f t="shared" ref="BF866:BH866" si="2769">SUM(BF7,BF16,BF24,BF32,BF40,BF48,BF56,BF64,BF72,BF80,BF88,BF96,BF104,BF112,BF120,BF128,BF136,BF144,BF152,BF160,BF168,BF176,BF184,BF192,BF200,BF208,BF216,BF224,BF232,BF240,BF248,BF256,BF264,BF272,BF280,BF288,BF296,BF304,BF312,BF320,BF328,BF336,BF344,BF352,BF360,BF368,BF376,BF384,BF392,BF400,BF408,BF416,BF424,BF432,BF440,BF448,BF456,BF464,BF472,BF480,BF488,BF496,BF504,BF512,BF520,BF528,BF536,BF544,BF552,BF560,BF568,BF576,BF584,BF592,BF600,BF608,BF616,BF624,BF632,BF640,BF648,BF656,BF664,BF672,BF680,BF688,BF696,BF704,BF712,BF720,BF728,BF736,BF744,BF752,BF760,BF768,BF776,BF784,BF792,BF800,BF808,BF816,BF824,BF832,BF840,BF848,BF856)</f>
        <v>2870.5</v>
      </c>
      <c r="BG866" s="34">
        <f t="shared" si="2769"/>
        <v>9699.87</v>
      </c>
      <c r="BH866" s="35">
        <f t="shared" si="2769"/>
        <v>10600.63</v>
      </c>
    </row>
    <row r="867" ht="15.75" customHeight="1" spans="4:60" x14ac:dyDescent="0.25">
      <c r="D867" s="15" t="s">
        <v>44</v>
      </c>
      <c r="H867" s="34">
        <f t="shared" si="2756"/>
        <v>7060.63</v>
      </c>
      <c r="I867" s="37">
        <f t="shared" ref="I867:BD867" si="2770">SUM(I8,I17,I25,I33,I41,I49,I57,I65,I73,I81,I89,I97,I105,I113,I121,I129,I137,I145,I153,I161,I169,I177,I185,I193,I201,I209,I217,I225,I233,I241,I249,I257,I265,I273,I281,I289,I297,I305,I313,I321,I329,I337,I345,I353,I361,I369,I377,I385,I393,I401,I409,I417,I425,I433,I441,I449,I457,I465,I473,I481,I489,I497,I505,I513,I521,I529,I537,I545,I553,I561,I569,I577,I585,I593,I601,I609,I617,I625,I633,I641,I649,I657,I665,I673,I681,I689,I697,I705,I713,I721,I729,I737,I745,I753,I761,I769,I777,I785,I793,I801,I809,I817,I825,I833,I841,I849,I857)</f>
        <v>126867</v>
      </c>
      <c r="J867" s="37">
        <f t="shared" si="2770"/>
        <v>6850</v>
      </c>
      <c r="K867" s="34">
        <f t="shared" si="2770"/>
        <v>17056.5</v>
      </c>
      <c r="L867" s="34">
        <f t="shared" si="2770"/>
        <v>8829.91</v>
      </c>
      <c r="M867" s="37">
        <f t="shared" si="2770"/>
        <v>133290</v>
      </c>
      <c r="N867" s="37">
        <f t="shared" si="2770"/>
        <v>6423</v>
      </c>
      <c r="O867" s="34">
        <f t="shared" si="2770"/>
        <v>15993.27</v>
      </c>
      <c r="P867" s="34">
        <f t="shared" si="2770"/>
        <v>18016.11</v>
      </c>
      <c r="Q867" s="37">
        <f t="shared" si="2770"/>
        <v>136780</v>
      </c>
      <c r="R867" s="37">
        <f t="shared" si="2770"/>
        <v>3490</v>
      </c>
      <c r="S867" s="34">
        <f t="shared" si="2770"/>
        <v>8690.1</v>
      </c>
      <c r="T867" s="34">
        <f t="shared" si="2770"/>
        <v>13198.78</v>
      </c>
      <c r="U867" s="37">
        <f t="shared" si="2770"/>
        <v>140780</v>
      </c>
      <c r="V867" s="37">
        <f t="shared" si="2770"/>
        <v>4000</v>
      </c>
      <c r="W867" s="34">
        <f t="shared" si="2770"/>
        <v>9960</v>
      </c>
      <c r="X867" s="34">
        <f t="shared" si="2770"/>
        <v>9163.66</v>
      </c>
      <c r="Y867" s="37">
        <f t="shared" si="2770"/>
        <v>146488</v>
      </c>
      <c r="Z867" s="37">
        <f t="shared" si="2770"/>
        <v>5708</v>
      </c>
      <c r="AA867" s="34">
        <f t="shared" si="2770"/>
        <v>14212.92</v>
      </c>
      <c r="AB867" s="34">
        <f t="shared" si="2770"/>
        <v>15555.88</v>
      </c>
      <c r="AC867" s="37">
        <f t="shared" si="2770"/>
        <v>151155</v>
      </c>
      <c r="AD867" s="37">
        <f t="shared" si="2770"/>
        <v>4667</v>
      </c>
      <c r="AE867" s="34">
        <f t="shared" si="2770"/>
        <v>11667.5</v>
      </c>
      <c r="AF867" s="34">
        <f t="shared" si="2770"/>
        <v>15507.84</v>
      </c>
      <c r="AG867" s="37">
        <f t="shared" si="2770"/>
        <v>156890</v>
      </c>
      <c r="AH867" s="37">
        <f t="shared" si="2770"/>
        <v>5735</v>
      </c>
      <c r="AI867" s="34">
        <f t="shared" si="2770"/>
        <v>14337.5</v>
      </c>
      <c r="AJ867" s="34">
        <f t="shared" si="2770"/>
        <v>9629.31</v>
      </c>
      <c r="AK867" s="37">
        <f t="shared" si="2770"/>
        <v>161378</v>
      </c>
      <c r="AL867" s="37">
        <f t="shared" si="2770"/>
        <v>4488</v>
      </c>
      <c r="AM867" s="34">
        <f t="shared" si="2770"/>
        <v>11220</v>
      </c>
      <c r="AN867" s="34">
        <f t="shared" si="2770"/>
        <v>8068.57</v>
      </c>
      <c r="AO867" s="37">
        <f t="shared" si="2770"/>
        <v>168480.5</v>
      </c>
      <c r="AP867" s="37">
        <f t="shared" si="2770"/>
        <v>7102.5</v>
      </c>
      <c r="AQ867" s="34">
        <f t="shared" si="2770"/>
        <v>17756.25</v>
      </c>
      <c r="AR867" s="34">
        <f t="shared" si="2770"/>
        <v>14718.41</v>
      </c>
      <c r="AS867" s="37">
        <f t="shared" si="2770"/>
        <v>173687</v>
      </c>
      <c r="AT867" s="37">
        <f t="shared" si="2770"/>
        <v>5206.5</v>
      </c>
      <c r="AU867" s="34">
        <f t="shared" si="2770"/>
        <v>13016.25</v>
      </c>
      <c r="AV867" s="34">
        <f t="shared" si="2770"/>
        <v>14892.8</v>
      </c>
      <c r="AW867" s="37">
        <f t="shared" si="2770"/>
        <v>179190</v>
      </c>
      <c r="AX867" s="37">
        <f t="shared" si="2770"/>
        <v>5503</v>
      </c>
      <c r="AY867" s="34">
        <f t="shared" si="2770"/>
        <v>13757.5</v>
      </c>
      <c r="AZ867" s="34">
        <f t="shared" si="2770"/>
        <v>13145.42</v>
      </c>
      <c r="BA867" s="37">
        <f t="shared" si="2770"/>
        <v>185309</v>
      </c>
      <c r="BB867" s="37">
        <f t="shared" si="2770"/>
        <v>6119</v>
      </c>
      <c r="BC867" s="34">
        <f t="shared" si="2770"/>
        <v>15297.5</v>
      </c>
      <c r="BD867" s="34">
        <f t="shared" si="2770"/>
        <v>14322.9</v>
      </c>
      <c r="BE867" s="36">
        <f t="shared" ref="BE867:BE868" si="2771">J867+N867+R867+V867+Z867+AD867+AH867+AL867+AP867+AT867+AX867+BB867</f>
        <v>65292</v>
      </c>
      <c r="BF867" s="34">
        <f t="shared" ref="BF867:BH867" si="2772">SUM(BF8,BF17,BF25,BF33,BF41,BF49,BF57,BF65,BF73,BF81,BF89,BF97,BF105,BF113,BF121,BF129,BF137,BF145,BF153,BF161,BF169,BF177,BF185,BF193,BF201,BF209,BF217,BF225,BF233,BF241,BF249,BF257,BF265,BF273,BF281,BF289,BF297,BF305,BF313,BF321,BF329,BF337,BF345,BF353,BF361,BF369,BF377,BF385,BF393,BF401,BF409,BF417,BF425,BF433,BF441,BF449,BF457,BF465,BF473,BF481,BF489,BF497,BF505,BF513,BF521,BF529,BF537,BF545,BF553,BF561,BF569,BF577,BF585,BF593,BF601,BF609,BF617,BF625,BF633,BF641,BF649,BF657,BF665,BF673,BF681,BF689,BF697,BF705,BF713,BF721,BF729,BF737,BF745,BF753,BF761,BF769,BF777,BF785,BF793,BF801,BF809,BF817,BF825,BF833,BF841,BF849,BF857)</f>
        <v>162965.29</v>
      </c>
      <c r="BG867" s="34">
        <f t="shared" si="2772"/>
        <v>155049.59</v>
      </c>
      <c r="BH867" s="35">
        <f t="shared" si="2772"/>
        <v>14976.33</v>
      </c>
    </row>
    <row r="868" ht="15.75" customHeight="1" spans="4:60" x14ac:dyDescent="0.25">
      <c r="D868" s="15" t="s">
        <v>47</v>
      </c>
      <c r="E868" s="2" t="s">
        <v>48</v>
      </c>
      <c r="H868" s="34">
        <f t="shared" ref="H868:BD868" si="2773">SUM(H10,H18,H26,H34,H42,H50,H58,H66,H74,H82,H90,H98,H106,H114,H122,H130,H138,H146,H154,H162,H170,H178,H186,H194,H202,H210,H218,H226,H234,H242,H250,H258,H266,H274,H282,H290,H298,H306,H314,H322,H330,H338,H346,H354,H362,H370,H378,H386,H394,H402,H410,H418,H426,H434,H442,H450,H458,H466,H474,H482,H490,H498,H506,H514,H522,H530,H538,H546,H554,H562,H570,H578,H586,H594,H602,H610,H618,H626,H634,H642,H650,H658,H666,H674,H682,H690,H698,H706,H714,H722,H730,H738,H746,H754,H762,H770,H778,H786,H794,H802,H810,H818,H826,H834,H842,H850,H858)</f>
        <v>1566.55</v>
      </c>
      <c r="I868" s="37">
        <f t="shared" si="2773"/>
        <v>9262</v>
      </c>
      <c r="J868" s="37">
        <f t="shared" si="2773"/>
        <v>0</v>
      </c>
      <c r="K868" s="34">
        <f t="shared" si="2773"/>
        <v>0</v>
      </c>
      <c r="L868" s="34">
        <f t="shared" si="2773"/>
        <v>0</v>
      </c>
      <c r="M868" s="37">
        <f t="shared" si="2773"/>
        <v>0</v>
      </c>
      <c r="N868" s="37">
        <f t="shared" si="2773"/>
        <v>0</v>
      </c>
      <c r="O868" s="34">
        <f t="shared" si="2773"/>
        <v>0</v>
      </c>
      <c r="P868" s="34">
        <f t="shared" si="2773"/>
        <v>0</v>
      </c>
      <c r="Q868" s="37">
        <f t="shared" si="2773"/>
        <v>0</v>
      </c>
      <c r="R868" s="37">
        <f t="shared" si="2773"/>
        <v>0</v>
      </c>
      <c r="S868" s="34">
        <f t="shared" si="2773"/>
        <v>0</v>
      </c>
      <c r="T868" s="34">
        <f t="shared" si="2773"/>
        <v>0</v>
      </c>
      <c r="U868" s="37">
        <f t="shared" si="2773"/>
        <v>0</v>
      </c>
      <c r="V868" s="37">
        <f t="shared" si="2773"/>
        <v>0</v>
      </c>
      <c r="W868" s="34">
        <f t="shared" si="2773"/>
        <v>0</v>
      </c>
      <c r="X868" s="34">
        <f t="shared" si="2773"/>
        <v>34.32</v>
      </c>
      <c r="Y868" s="37">
        <f t="shared" si="2773"/>
        <v>8680</v>
      </c>
      <c r="Z868" s="37">
        <f t="shared" si="2773"/>
        <v>205</v>
      </c>
      <c r="AA868" s="34">
        <f t="shared" si="2773"/>
        <v>3685.9</v>
      </c>
      <c r="AB868" s="34">
        <f t="shared" si="2773"/>
        <v>540</v>
      </c>
      <c r="AC868" s="37">
        <f t="shared" si="2773"/>
        <v>9148</v>
      </c>
      <c r="AD868" s="37">
        <f t="shared" si="2773"/>
        <v>448</v>
      </c>
      <c r="AE868" s="34">
        <f t="shared" si="2773"/>
        <v>8055.04</v>
      </c>
      <c r="AF868" s="34">
        <f t="shared" si="2773"/>
        <v>9507.55</v>
      </c>
      <c r="AG868" s="37">
        <f t="shared" si="2773"/>
        <v>9521</v>
      </c>
      <c r="AH868" s="37">
        <f t="shared" si="2773"/>
        <v>475</v>
      </c>
      <c r="AI868" s="34">
        <f t="shared" si="2773"/>
        <v>8816</v>
      </c>
      <c r="AJ868" s="34">
        <f t="shared" si="2773"/>
        <v>10021.55</v>
      </c>
      <c r="AK868" s="37">
        <f t="shared" si="2773"/>
        <v>10021</v>
      </c>
      <c r="AL868" s="37">
        <f t="shared" si="2773"/>
        <v>503</v>
      </c>
      <c r="AM868" s="34">
        <f t="shared" si="2773"/>
        <v>9335.68</v>
      </c>
      <c r="AN868" s="34">
        <f t="shared" si="2773"/>
        <v>7394.42</v>
      </c>
      <c r="AO868" s="37">
        <f t="shared" si="2773"/>
        <v>10372</v>
      </c>
      <c r="AP868" s="37">
        <f t="shared" si="2773"/>
        <v>351</v>
      </c>
      <c r="AQ868" s="34">
        <f t="shared" si="2773"/>
        <v>6514.56</v>
      </c>
      <c r="AR868" s="34">
        <f t="shared" si="2773"/>
        <v>6194.73</v>
      </c>
      <c r="AS868" s="37">
        <f t="shared" si="2773"/>
        <v>10510</v>
      </c>
      <c r="AT868" s="37">
        <f t="shared" si="2773"/>
        <v>138</v>
      </c>
      <c r="AU868" s="34">
        <f t="shared" si="2773"/>
        <v>345</v>
      </c>
      <c r="AV868" s="34">
        <f t="shared" si="2773"/>
        <v>4724.29</v>
      </c>
      <c r="AW868" s="37">
        <f t="shared" si="2773"/>
        <v>10510</v>
      </c>
      <c r="AX868" s="37">
        <f t="shared" si="2773"/>
        <v>0</v>
      </c>
      <c r="AY868" s="34">
        <f t="shared" si="2773"/>
        <v>0</v>
      </c>
      <c r="AZ868" s="34">
        <f t="shared" si="2773"/>
        <v>527.68</v>
      </c>
      <c r="BA868" s="37">
        <f t="shared" si="2773"/>
        <v>10510</v>
      </c>
      <c r="BB868" s="37">
        <f t="shared" si="2773"/>
        <v>0</v>
      </c>
      <c r="BC868" s="34">
        <f t="shared" si="2773"/>
        <v>0</v>
      </c>
      <c r="BD868" s="34">
        <f t="shared" si="2773"/>
        <v>562.71</v>
      </c>
      <c r="BE868" s="36">
        <f t="shared" si="2771"/>
        <v>2120</v>
      </c>
      <c r="BF868" s="34">
        <f t="shared" ref="BF868:BH868" si="2774">SUM(BF10,BF18,BF26,BF34,BF42,BF50,BF58,BF66,BF74,BF82,BF90,BF98,BF106,BF114,BF122,BF130,BF138,BF146,BF154,BF162,BF170,BF178,BF186,BF194,BF202,BF210,BF218,BF226,BF234,BF242,BF250,BF258,BF266,BF274,BF282,BF290,BF298,BF306,BF314,BF322,BF330,BF338,BF346,BF354,BF362,BF370,BF378,BF386,BF394,BF402,BF410,BF418,BF426,BF434,BF442,BF450,BF458,BF466,BF474,BF482,BF490,BF498,BF506,BF514,BF522,BF530,BF538,BF546,BF554,BF562,BF570,BF578,BF586,BF594,BF602,BF610,BF618,BF626,BF634,BF642,BF650,BF658,BF666,BF674,BF682,BF690,BF698,BF706,BF714,BF722,BF730,BF738,BF746,BF754,BF762,BF770,BF778,BF786,BF794,BF802,BF810,BF818,BF826,BF834,BF842,BF850,BF858)</f>
        <v>36752.18</v>
      </c>
      <c r="BG868" s="34">
        <f t="shared" si="2774"/>
        <v>39507.25</v>
      </c>
      <c r="BH868" s="35">
        <f t="shared" si="2774"/>
        <v>-1188.52</v>
      </c>
    </row>
    <row r="869" ht="15.75" customHeight="1" spans="4:60" x14ac:dyDescent="0.25">
      <c r="D869" s="15" t="s">
        <v>47</v>
      </c>
      <c r="E869" s="2" t="s">
        <v>49</v>
      </c>
      <c r="H869" s="34">
        <f t="shared" ref="H869:H872" si="2775">SUM(H11,H19,H27,H35,H43,H51,H59,H67,H75,H83,H91,H99,H107,H115,H123,H131,H139,H147,H155,H163,H171,H179,H187,H195,H203,H211,H219,H227,H235,H243,H251,H259,H267,H275,H283,H291,H299,H307,H315,H323,H331,H339,H347,H355,H363,H371,H379,H387,H395,H403,H411,H419,H427,H435,H443,H451,H459,H467,H475,H483,H491,H499,H507,H515,H523,H531,H539,H547,H555,H563,H571,H579,H587,H595,H603,H611,H619,H627,H635,H643,H651,H659,H667,H675,H683,H691,H699,H707,H715,H723,H731,H739,H747,H755,H763,H771,H779,H787,H795,H803,H811,H819,H827,H835,H843,H851,H859)</f>
        <v>6641.36</v>
      </c>
      <c r="K869" s="34">
        <f t="shared" ref="K869:L869" si="2776">SUM(K11,K19,K27,K35,K43,K51,K59,K67,K75,K83,K91,K99,K107,K115,K123,K131,K139,K147,K155,K163,K171,K179,K187,K195,K203,K211,K219,K227,K235,K243,K251,K259,K267,K275,K283,K291,K299,K307,K315,K323,K331,K339,K347,K355,K363,K371,K379,K387,K395,K403,K411,K419,K427,K435,K443,K451,K459,K467,K475,K483,K491,K499,K507,K515,K523,K531,K539,K547,K555,K563,K571,K579,K587,K595,K603,K611,K619,K627,K635,K643,K651,K659,K667,K675,K683,K691,K699,K707,K715,K723,K731,K739,K747,K755,K763,K771,K779,K787,K795,K803,K811,K819,K827,K835,K843,K851,K859)</f>
        <v>0</v>
      </c>
      <c r="L869" s="34">
        <f t="shared" si="2776"/>
        <v>0</v>
      </c>
      <c r="O869" s="34">
        <f t="shared" ref="O869:P869" si="2777">SUM(O11,O19,O27,O35,O43,O51,O59,O67,O75,O83,O91,O99,O107,O115,O123,O131,O139,O147,O155,O163,O171,O179,O187,O195,O203,O211,O219,O227,O235,O243,O251,O259,O267,O275,O283,O291,O299,O307,O315,O323,O331,O339,O347,O355,O363,O371,O379,O387,O395,O403,O411,O419,O427,O435,O443,O451,O459,O467,O475,O483,O491,O499,O507,O515,O523,O531,O539,O547,O555,O563,O571,O579,O587,O595,O603,O611,O619,O627,O635,O643,O651,O659,O667,O675,O683,O691,O699,O707,O715,O723,O731,O739,O747,O755,O763,O771,O779,O787,O795,O803,O811,O819,O827,O835,O843,O851,O859)</f>
        <v>0</v>
      </c>
      <c r="P869" s="34">
        <f t="shared" si="2777"/>
        <v>0</v>
      </c>
      <c r="S869" s="34">
        <f t="shared" ref="S869:T869" si="2778">SUM(S11,S19,S27,S35,S43,S51,S59,S67,S75,S83,S91,S99,S107,S115,S123,S131,S139,S147,S155,S163,S171,S179,S187,S195,S203,S211,S219,S227,S235,S243,S251,S259,S267,S275,S283,S291,S299,S307,S315,S323,S331,S339,S347,S355,S363,S371,S379,S387,S395,S403,S411,S419,S427,S435,S443,S451,S459,S467,S475,S483,S491,S499,S507,S515,S523,S531,S539,S547,S555,S563,S571,S579,S587,S595,S603,S611,S619,S627,S635,S643,S651,S659,S667,S675,S683,S691,S699,S707,S715,S723,S731,S739,S747,S755,S763,S771,S779,S787,S795,S803,S811,S819,S827,S835,S843,S851,S859)</f>
        <v>0</v>
      </c>
      <c r="T869" s="34">
        <f t="shared" si="2778"/>
        <v>0</v>
      </c>
      <c r="W869" s="34">
        <f t="shared" ref="W869:X869" si="2779">SUM(W11,W19,W27,W35,W43,W51,W59,W67,W75,W83,W91,W99,W107,W115,W123,W131,W139,W147,W155,W163,W171,W179,W187,W195,W203,W211,W219,W227,W235,W243,W251,W259,W267,W275,W283,W291,W299,W307,W315,W323,W331,W339,W347,W355,W363,W371,W379,W387,W395,W403,W411,W419,W427,W435,W443,W451,W459,W467,W475,W483,W491,W499,W507,W515,W523,W531,W539,W547,W555,W563,W571,W579,W587,W595,W603,W611,W619,W627,W635,W643,W651,W659,W667,W675,W683,W691,W699,W707,W715,W723,W731,W739,W747,W755,W763,W771,W779,W787,W795,W803,W811,W819,W827,W835,W843,W851,W859)</f>
        <v>0</v>
      </c>
      <c r="X869" s="34">
        <f t="shared" si="2779"/>
        <v>2400</v>
      </c>
      <c r="AA869" s="34">
        <f t="shared" ref="AA869:AB869" si="2780">SUM(AA11,AA19,AA27,AA35,AA43,AA51,AA59,AA67,AA75,AA83,AA91,AA99,AA107,AA115,AA123,AA131,AA139,AA147,AA155,AA163,AA171,AA179,AA187,AA195,AA203,AA211,AA219,AA227,AA235,AA243,AA251,AA259,AA267,AA275,AA283,AA291,AA299,AA307,AA315,AA323,AA331,AA339,AA347,AA355,AA363,AA371,AA379,AA387,AA395,AA403,AA411,AA419,AA427,AA435,AA443,AA451,AA459,AA467,AA475,AA483,AA491,AA499,AA507,AA515,AA523,AA531,AA539,AA547,AA555,AA563,AA571,AA579,AA587,AA595,AA603,AA611,AA619,AA627,AA635,AA643,AA651,AA659,AA667,AA675,AA683,AA691,AA699,AA707,AA715,AA723,AA731,AA739,AA747,AA755,AA763,AA771,AA779,AA787,AA795,AA803,AA811,AA819,AA827,AA835,AA843,AA851,AA859)</f>
        <v>10285</v>
      </c>
      <c r="AB869" s="34">
        <f t="shared" si="2780"/>
        <v>1838.36</v>
      </c>
      <c r="AE869" s="34">
        <f t="shared" ref="AE869:AF869" si="2781">SUM(AE11,AE19,AE27,AE35,AE43,AE51,AE59,AE67,AE75,AE83,AE91,AE99,AE107,AE115,AE123,AE131,AE139,AE147,AE155,AE163,AE171,AE179,AE187,AE195,AE203,AE211,AE219,AE227,AE235,AE243,AE251,AE259,AE267,AE275,AE283,AE291,AE299,AE307,AE315,AE323,AE331,AE339,AE347,AE355,AE363,AE371,AE379,AE387,AE395,AE403,AE411,AE419,AE427,AE435,AE443,AE451,AE459,AE467,AE475,AE483,AE491,AE499,AE507,AE515,AE523,AE531,AE539,AE547,AE555,AE563,AE571,AE579,AE587,AE595,AE603,AE611,AE619,AE627,AE635,AE643,AE651,AE659,AE667,AE675,AE683,AE691,AE699,AE707,AE715,AE723,AE731,AE739,AE747,AE755,AE763,AE771,AE779,AE787,AE795,AE803,AE811,AE819,AE827,AE835,AE843,AE851,AE859)</f>
        <v>0</v>
      </c>
      <c r="AF869" s="34">
        <f t="shared" si="2781"/>
        <v>2010</v>
      </c>
      <c r="AI869" s="34">
        <f t="shared" ref="AI869:AJ869" si="2782">SUM(AI11,AI19,AI27,AI35,AI43,AI51,AI59,AI67,AI75,AI83,AI91,AI99,AI107,AI115,AI123,AI131,AI139,AI147,AI155,AI163,AI171,AI179,AI187,AI195,AI203,AI211,AI219,AI227,AI235,AI243,AI251,AI259,AI267,AI275,AI283,AI291,AI299,AI307,AI315,AI323,AI331,AI339,AI347,AI355,AI363,AI371,AI379,AI387,AI395,AI403,AI411,AI419,AI427,AI435,AI443,AI451,AI459,AI467,AI475,AI483,AI491,AI499,AI507,AI515,AI523,AI531,AI539,AI547,AI555,AI563,AI571,AI579,AI587,AI595,AI603,AI611,AI619,AI627,AI635,AI643,AI651,AI659,AI667,AI675,AI683,AI691,AI699,AI707,AI715,AI723,AI731,AI739,AI747,AI755,AI763,AI771,AI779,AI787,AI795,AI803,AI811,AI819,AI827,AI835,AI843,AI851,AI859)</f>
        <v>0</v>
      </c>
      <c r="AJ869" s="34">
        <f t="shared" si="2782"/>
        <v>3980</v>
      </c>
      <c r="AM869" s="34">
        <f t="shared" ref="AM869:AN869" si="2783">SUM(AM11,AM19,AM27,AM35,AM43,AM51,AM59,AM67,AM75,AM83,AM91,AM99,AM107,AM115,AM123,AM131,AM139,AM147,AM155,AM163,AM171,AM179,AM187,AM195,AM203,AM211,AM219,AM227,AM235,AM243,AM251,AM259,AM267,AM275,AM283,AM291,AM299,AM307,AM315,AM323,AM331,AM339,AM347,AM355,AM363,AM371,AM379,AM387,AM395,AM403,AM411,AM419,AM427,AM435,AM443,AM451,AM459,AM467,AM475,AM483,AM491,AM499,AM507,AM515,AM523,AM531,AM539,AM547,AM555,AM563,AM571,AM579,AM587,AM595,AM603,AM611,AM619,AM627,AM635,AM643,AM651,AM659,AM667,AM675,AM683,AM691,AM699,AM707,AM715,AM723,AM731,AM739,AM747,AM755,AM763,AM771,AM779,AM787,AM795,AM803,AM811,AM819,AM827,AM835,AM843,AM851,AM859)</f>
        <v>0</v>
      </c>
      <c r="AN869" s="34">
        <f t="shared" si="2783"/>
        <v>2010</v>
      </c>
      <c r="AQ869" s="34">
        <f t="shared" ref="AQ869:AR869" si="2784">SUM(AQ11,AQ19,AQ27,AQ35,AQ43,AQ51,AQ59,AQ67,AQ75,AQ83,AQ91,AQ99,AQ107,AQ115,AQ123,AQ131,AQ139,AQ147,AQ155,AQ163,AQ171,AQ179,AQ187,AQ195,AQ203,AQ211,AQ219,AQ227,AQ235,AQ243,AQ251,AQ259,AQ267,AQ275,AQ283,AQ291,AQ299,AQ307,AQ315,AQ323,AQ331,AQ339,AQ347,AQ355,AQ363,AQ371,AQ379,AQ387,AQ395,AQ403,AQ411,AQ419,AQ427,AQ435,AQ443,AQ451,AQ459,AQ467,AQ475,AQ483,AQ491,AQ499,AQ507,AQ515,AQ523,AQ531,AQ539,AQ547,AQ555,AQ563,AQ571,AQ579,AQ587,AQ595,AQ603,AQ611,AQ619,AQ627,AQ635,AQ643,AQ651,AQ659,AQ667,AQ675,AQ683,AQ691,AQ699,AQ707,AQ715,AQ723,AQ731,AQ739,AQ747,AQ755,AQ763,AQ771,AQ779,AQ787,AQ795,AQ803,AQ811,AQ819,AQ827,AQ835,AQ843,AQ851,AQ859)</f>
        <v>0</v>
      </c>
      <c r="AR869" s="34">
        <f t="shared" si="2784"/>
        <v>0</v>
      </c>
      <c r="AU869" s="34">
        <f t="shared" ref="AU869:AV869" si="2785">SUM(AU11,AU19,AU27,AU35,AU43,AU51,AU59,AU67,AU75,AU83,AU91,AU99,AU107,AU115,AU123,AU131,AU139,AU147,AU155,AU163,AU171,AU179,AU187,AU195,AU203,AU211,AU219,AU227,AU235,AU243,AU251,AU259,AU267,AU275,AU283,AU291,AU299,AU307,AU315,AU323,AU331,AU339,AU347,AU355,AU363,AU371,AU379,AU387,AU395,AU403,AU411,AU419,AU427,AU435,AU443,AU451,AU459,AU467,AU475,AU483,AU491,AU499,AU507,AU515,AU523,AU531,AU539,AU547,AU555,AU563,AU571,AU579,AU587,AU595,AU603,AU611,AU619,AU627,AU635,AU643,AU651,AU659,AU667,AU675,AU683,AU691,AU699,AU707,AU715,AU723,AU731,AU739,AU747,AU755,AU763,AU771,AU779,AU787,AU795,AU803,AU811,AU819,AU827,AU835,AU843,AU851,AU859)</f>
        <v>0</v>
      </c>
      <c r="AV869" s="34">
        <f t="shared" si="2785"/>
        <v>0</v>
      </c>
      <c r="AY869" s="34">
        <f t="shared" ref="AY869:AZ869" si="2786">SUM(AY11,AY19,AY27,AY35,AY43,AY51,AY59,AY67,AY75,AY83,AY91,AY99,AY107,AY115,AY123,AY131,AY139,AY147,AY155,AY163,AY171,AY179,AY187,AY195,AY203,AY211,AY219,AY227,AY235,AY243,AY251,AY259,AY267,AY275,AY283,AY291,AY299,AY307,AY315,AY323,AY331,AY339,AY347,AY355,AY363,AY371,AY379,AY387,AY395,AY403,AY411,AY419,AY427,AY435,AY443,AY451,AY459,AY467,AY475,AY483,AY491,AY499,AY507,AY515,AY523,AY531,AY539,AY547,AY555,AY563,AY571,AY579,AY587,AY595,AY603,AY611,AY619,AY627,AY635,AY643,AY651,AY659,AY667,AY675,AY683,AY691,AY699,AY707,AY715,AY723,AY731,AY739,AY747,AY755,AY763,AY771,AY779,AY787,AY795,AY803,AY811,AY819,AY827,AY835,AY843,AY851,AY859)</f>
        <v>0</v>
      </c>
      <c r="AZ869" s="34">
        <f t="shared" si="2786"/>
        <v>0</v>
      </c>
      <c r="BC869" s="34">
        <f t="shared" ref="BC869:BD869" si="2787">SUM(BC11,BC19,BC27,BC35,BC43,BC51,BC59,BC67,BC75,BC83,BC91,BC99,BC107,BC115,BC123,BC131,BC139,BC147,BC155,BC163,BC171,BC179,BC187,BC195,BC203,BC211,BC219,BC227,BC235,BC243,BC251,BC259,BC267,BC275,BC283,BC291,BC299,BC307,BC315,BC323,BC331,BC339,BC347,BC355,BC363,BC371,BC379,BC387,BC395,BC403,BC411,BC419,BC427,BC435,BC443,BC451,BC459,BC467,BC475,BC483,BC491,BC499,BC507,BC515,BC523,BC531,BC539,BC547,BC555,BC563,BC571,BC579,BC587,BC595,BC603,BC611,BC619,BC627,BC635,BC643,BC651,BC659,BC667,BC675,BC683,BC691,BC699,BC707,BC715,BC723,BC731,BC739,BC747,BC755,BC763,BC771,BC779,BC787,BC795,BC803,BC811,BC819,BC827,BC835,BC843,BC851,BC859)</f>
        <v>0</v>
      </c>
      <c r="BD869" s="34">
        <f t="shared" si="2787"/>
        <v>2269</v>
      </c>
      <c r="BE869" s="41"/>
      <c r="BF869" s="34">
        <f t="shared" ref="BF869:BH869" si="2788">SUM(BF11,BF19,BF27,BF35,BF43,BF51,BF59,BF67,BF75,BF83,BF91,BF99,BF107,BF115,BF123,BF131,BF139,BF147,BF155,BF163,BF171,BF179,BF187,BF195,BF203,BF211,BF219,BF227,BF235,BF243,BF251,BF259,BF267,BF275,BF283,BF291,BF299,BF307,BF315,BF323,BF331,BF339,BF347,BF355,BF363,BF371,BF379,BF387,BF395,BF403,BF411,BF419,BF427,BF435,BF443,BF451,BF459,BF467,BF475,BF483,BF491,BF499,BF507,BF515,BF523,BF531,BF539,BF547,BF555,BF563,BF571,BF579,BF587,BF595,BF603,BF611,BF619,BF627,BF635,BF643,BF651,BF659,BF667,BF675,BF683,BF691,BF699,BF707,BF715,BF723,BF731,BF739,BF747,BF755,BF763,BF771,BF779,BF787,BF795,BF803,BF811,BF819,BF827,BF835,BF843,BF851,BF859)</f>
        <v>10285</v>
      </c>
      <c r="BG869" s="34">
        <f t="shared" si="2788"/>
        <v>14507.36</v>
      </c>
      <c r="BH869" s="35">
        <f t="shared" si="2788"/>
        <v>2419</v>
      </c>
    </row>
    <row r="870" ht="15.75" customHeight="1" spans="4:60" x14ac:dyDescent="0.25">
      <c r="D870" s="15" t="s">
        <v>50</v>
      </c>
      <c r="H870" s="34">
        <f t="shared" si="2775"/>
        <v>113601.5912</v>
      </c>
      <c r="K870" s="34">
        <f t="shared" ref="K870:L870" si="2789">SUM(K12,K20,K28,K36,K44,K52,K60,K68,K76,K84,K92,K100,K108,K116,K124,K132,K140,K148,K156,K164,K172,K180,K188,K196,K204,K212,K220,K228,K236,K244,K252,K260,K268,K276,K284,K292,K300,K308,K316,K324,K332,K340,K348,K356,K364,K372,K380,K388,K396,K404,K412,K420,K428,K436,K444,K452,K460,K468,K476,K484,K492,K500,K508,K516,K524,K532,K540,K548,K556,K564,K572,K580,K588,K596,K604,K612,K620,K628,K636,K644,K652,K660,K668,K676,K684,K692,K700,K708,K716,K724,K732,K740,K748,K756,K764,K772,K780,K788,K796,K804,K812,K820,K828,K836,K844,K852,K860)</f>
        <v>0</v>
      </c>
      <c r="L870" s="34">
        <f t="shared" si="2789"/>
        <v>0</v>
      </c>
      <c r="O870" s="34">
        <f t="shared" ref="O870:P870" si="2790">SUM(O12,O20,O28,O36,O44,O52,O60,O68,O76,O84,O92,O100,O108,O116,O124,O132,O140,O148,O156,O164,O172,O180,O188,O196,O204,O212,O220,O228,O236,O244,O252,O260,O268,O276,O284,O292,O300,O308,O316,O324,O332,O340,O348,O356,O364,O372,O380,O388,O396,O404,O412,O420,O428,O436,O444,O452,O460,O468,O476,O484,O492,O500,O508,O516,O524,O532,O540,O548,O556,O564,O572,O580,O588,O596,O604,O612,O620,O628,O636,O644,O652,O660,O668,O676,O684,O692,O700,O708,O716,O724,O732,O740,O748,O756,O764,O772,O780,O788,O796,O804,O812,O820,O828,O836,O844,O852,O860)</f>
        <v>0</v>
      </c>
      <c r="P870" s="34">
        <f t="shared" si="2790"/>
        <v>0</v>
      </c>
      <c r="S870" s="34">
        <f t="shared" ref="S870:T870" si="2791">SUM(S12,S20,S28,S36,S44,S52,S60,S68,S76,S84,S92,S100,S108,S116,S124,S132,S140,S148,S156,S164,S172,S180,S188,S196,S204,S212,S220,S228,S236,S244,S252,S260,S268,S276,S284,S292,S300,S308,S316,S324,S332,S340,S348,S356,S364,S372,S380,S388,S396,S404,S412,S420,S428,S436,S444,S452,S460,S468,S476,S484,S492,S500,S508,S516,S524,S532,S540,S548,S556,S564,S572,S580,S588,S596,S604,S612,S620,S628,S636,S644,S652,S660,S668,S676,S684,S692,S700,S708,S716,S724,S732,S740,S748,S756,S764,S772,S780,S788,S796,S804,S812,S820,S828,S836,S844,S852,S860)</f>
        <v>0</v>
      </c>
      <c r="T870" s="34">
        <f t="shared" si="2791"/>
        <v>0</v>
      </c>
      <c r="W870" s="34">
        <f t="shared" ref="W870:X870" si="2792">SUM(W12,W20,W28,W36,W44,W52,W60,W68,W76,W84,W92,W100,W108,W116,W124,W132,W140,W148,W156,W164,W172,W180,W188,W196,W204,W212,W220,W228,W236,W244,W252,W260,W268,W276,W284,W292,W300,W308,W316,W324,W332,W340,W348,W356,W364,W372,W380,W388,W396,W404,W412,W420,W428,W436,W444,W452,W460,W468,W476,W484,W492,W500,W508,W516,W524,W532,W540,W548,W556,W564,W572,W580,W588,W596,W604,W612,W620,W628,W636,W644,W652,W660,W668,W676,W684,W692,W700,W708,W716,W724,W732,W740,W748,W756,W764,W772,W780,W788,W796,W804,W812,W820,W828,W836,W844,W852,W860)</f>
        <v>0</v>
      </c>
      <c r="X870" s="34">
        <f t="shared" si="2792"/>
        <v>18896.31</v>
      </c>
      <c r="AA870" s="34">
        <f t="shared" ref="AA870:AB870" si="2793">SUM(AA12,AA20,AA28,AA36,AA44,AA52,AA60,AA68,AA76,AA84,AA92,AA100,AA108,AA116,AA124,AA132,AA140,AA148,AA156,AA164,AA172,AA180,AA188,AA196,AA204,AA212,AA220,AA228,AA236,AA244,AA252,AA260,AA268,AA276,AA284,AA292,AA300,AA308,AA316,AA324,AA332,AA340,AA348,AA356,AA364,AA372,AA380,AA388,AA396,AA404,AA412,AA420,AA428,AA436,AA444,AA452,AA460,AA468,AA476,AA484,AA492,AA500,AA508,AA516,AA524,AA532,AA540,AA548,AA556,AA564,AA572,AA580,AA588,AA596,AA604,AA612,AA620,AA628,AA636,AA644,AA652,AA660,AA668,AA676,AA684,AA692,AA700,AA708,AA716,AA724,AA732,AA740,AA748,AA756,AA764,AA772,AA780,AA788,AA796,AA804,AA812,AA820,AA828,AA836,AA844,AA852,AA860)</f>
        <v>0</v>
      </c>
      <c r="AB870" s="34">
        <f t="shared" si="2793"/>
        <v>20844</v>
      </c>
      <c r="AE870" s="34">
        <f t="shared" ref="AE870:AF870" si="2794">SUM(AE12,AE20,AE28,AE36,AE44,AE52,AE60,AE68,AE76,AE84,AE92,AE100,AE108,AE116,AE124,AE132,AE140,AE148,AE156,AE164,AE172,AE180,AE188,AE196,AE204,AE212,AE220,AE228,AE236,AE244,AE252,AE260,AE268,AE276,AE284,AE292,AE300,AE308,AE316,AE324,AE332,AE340,AE348,AE356,AE364,AE372,AE380,AE388,AE396,AE404,AE412,AE420,AE428,AE436,AE444,AE452,AE460,AE468,AE476,AE484,AE492,AE500,AE508,AE516,AE524,AE532,AE540,AE548,AE556,AE564,AE572,AE580,AE588,AE596,AE604,AE612,AE620,AE628,AE636,AE644,AE652,AE660,AE668,AE676,AE684,AE692,AE700,AE708,AE716,AE724,AE732,AE740,AE748,AE756,AE764,AE772,AE780,AE788,AE796,AE804,AE812,AE820,AE828,AE836,AE844,AE852,AE860)</f>
        <v>602088</v>
      </c>
      <c r="AF870" s="34">
        <f t="shared" si="2794"/>
        <v>177019.46</v>
      </c>
      <c r="AI870" s="34">
        <f t="shared" ref="AI870:AJ870" si="2795">SUM(AI12,AI20,AI28,AI36,AI44,AI52,AI60,AI68,AI76,AI84,AI92,AI100,AI108,AI116,AI124,AI132,AI140,AI148,AI156,AI164,AI172,AI180,AI188,AI196,AI204,AI212,AI220,AI228,AI236,AI244,AI252,AI260,AI268,AI276,AI284,AI292,AI300,AI308,AI316,AI324,AI332,AI340,AI348,AI356,AI364,AI372,AI380,AI388,AI396,AI404,AI412,AI420,AI428,AI436,AI444,AI452,AI460,AI468,AI476,AI484,AI492,AI500,AI508,AI516,AI524,AI532,AI540,AI548,AI556,AI564,AI572,AI580,AI588,AI596,AI604,AI612,AI620,AI628,AI636,AI644,AI652,AI660,AI668,AI676,AI684,AI692,AI700,AI708,AI716,AI724,AI732,AI740,AI748,AI756,AI764,AI772,AI780,AI788,AI796,AI804,AI812,AI820,AI828,AI836,AI844,AI852,AI860)</f>
        <v>0</v>
      </c>
      <c r="AJ870" s="34">
        <f t="shared" si="2795"/>
        <v>133394.24</v>
      </c>
      <c r="AM870" s="34">
        <f t="shared" ref="AM870:AN870" si="2796">SUM(AM12,AM20,AM28,AM36,AM44,AM52,AM60,AM68,AM76,AM84,AM92,AM100,AM108,AM116,AM124,AM132,AM140,AM148,AM156,AM164,AM172,AM180,AM188,AM196,AM204,AM212,AM220,AM228,AM236,AM244,AM252,AM260,AM268,AM276,AM284,AM292,AM300,AM308,AM316,AM324,AM332,AM340,AM348,AM356,AM364,AM372,AM380,AM388,AM396,AM404,AM412,AM420,AM428,AM436,AM444,AM452,AM460,AM468,AM476,AM484,AM492,AM500,AM508,AM516,AM524,AM532,AM540,AM548,AM556,AM564,AM572,AM580,AM588,AM596,AM604,AM612,AM620,AM628,AM636,AM644,AM652,AM660,AM668,AM676,AM684,AM692,AM700,AM708,AM716,AM724,AM732,AM740,AM748,AM756,AM764,AM772,AM780,AM788,AM796,AM804,AM812,AM820,AM828,AM836,AM844,AM852,AM860)</f>
        <v>0</v>
      </c>
      <c r="AN870" s="34">
        <f t="shared" si="2796"/>
        <v>58809.45</v>
      </c>
      <c r="AQ870" s="34">
        <f t="shared" ref="AQ870:AR870" si="2797">SUM(AQ12,AQ20,AQ28,AQ36,AQ44,AQ52,AQ60,AQ68,AQ76,AQ84,AQ92,AQ100,AQ108,AQ116,AQ124,AQ132,AQ140,AQ148,AQ156,AQ164,AQ172,AQ180,AQ188,AQ196,AQ204,AQ212,AQ220,AQ228,AQ236,AQ244,AQ252,AQ260,AQ268,AQ276,AQ284,AQ292,AQ300,AQ308,AQ316,AQ324,AQ332,AQ340,AQ348,AQ356,AQ364,AQ372,AQ380,AQ388,AQ396,AQ404,AQ412,AQ420,AQ428,AQ436,AQ444,AQ452,AQ460,AQ468,AQ476,AQ484,AQ492,AQ500,AQ508,AQ516,AQ524,AQ532,AQ540,AQ548,AQ556,AQ564,AQ572,AQ580,AQ588,AQ596,AQ604,AQ612,AQ620,AQ628,AQ636,AQ644,AQ652,AQ660,AQ668,AQ676,AQ684,AQ692,AQ700,AQ708,AQ716,AQ724,AQ732,AQ740,AQ748,AQ756,AQ764,AQ772,AQ780,AQ788,AQ796,AQ804,AQ812,AQ820,AQ828,AQ836,AQ844,AQ852,AQ860)</f>
        <v>0</v>
      </c>
      <c r="AR870" s="34">
        <f t="shared" si="2797"/>
        <v>121532.15</v>
      </c>
      <c r="AU870" s="34">
        <f t="shared" ref="AU870:AV870" si="2798">SUM(AU12,AU20,AU28,AU36,AU44,AU52,AU60,AU68,AU76,AU84,AU92,AU100,AU108,AU116,AU124,AU132,AU140,AU148,AU156,AU164,AU172,AU180,AU188,AU196,AU204,AU212,AU220,AU228,AU236,AU244,AU252,AU260,AU268,AU276,AU284,AU292,AU300,AU308,AU316,AU324,AU332,AU340,AU348,AU356,AU364,AU372,AU380,AU388,AU396,AU404,AU412,AU420,AU428,AU436,AU444,AU452,AU460,AU468,AU476,AU484,AU492,AU500,AU508,AU516,AU524,AU532,AU540,AU548,AU556,AU564,AU572,AU580,AU588,AU596,AU604,AU612,AU620,AU628,AU636,AU644,AU652,AU660,AU668,AU676,AU684,AU692,AU700,AU708,AU716,AU724,AU732,AU740,AU748,AU756,AU764,AU772,AU780,AU788,AU796,AU804,AU812,AU820,AU828,AU836,AU844,AU852,AU860)</f>
        <v>0</v>
      </c>
      <c r="AV870" s="34">
        <f t="shared" si="2798"/>
        <v>34822.2</v>
      </c>
      <c r="AY870" s="34">
        <f t="shared" ref="AY870:AZ870" si="2799">SUM(AY12,AY20,AY28,AY36,AY44,AY52,AY60,AY68,AY76,AY84,AY92,AY100,AY108,AY116,AY124,AY132,AY140,AY148,AY156,AY164,AY172,AY180,AY188,AY196,AY204,AY212,AY220,AY228,AY236,AY244,AY252,AY260,AY268,AY276,AY284,AY292,AY300,AY308,AY316,AY324,AY332,AY340,AY348,AY356,AY364,AY372,AY380,AY388,AY396,AY404,AY412,AY420,AY428,AY436,AY444,AY452,AY460,AY468,AY476,AY484,AY492,AY500,AY508,AY516,AY524,AY532,AY540,AY548,AY556,AY564,AY572,AY580,AY588,AY596,AY604,AY612,AY620,AY628,AY636,AY644,AY652,AY660,AY668,AY676,AY684,AY692,AY700,AY708,AY716,AY724,AY732,AY740,AY748,AY756,AY764,AY772,AY780,AY788,AY796,AY804,AY812,AY820,AY828,AY836,AY844,AY852,AY860)</f>
        <v>0</v>
      </c>
      <c r="AZ870" s="34">
        <f t="shared" si="2799"/>
        <v>7464</v>
      </c>
      <c r="BC870" s="34">
        <f t="shared" ref="BC870:BD870" si="2800">SUM(BC12,BC20,BC28,BC36,BC44,BC52,BC60,BC68,BC76,BC84,BC92,BC100,BC108,BC116,BC124,BC132,BC140,BC148,BC156,BC164,BC172,BC180,BC188,BC196,BC204,BC212,BC220,BC228,BC236,BC244,BC252,BC260,BC268,BC276,BC284,BC292,BC300,BC308,BC316,BC324,BC332,BC340,BC348,BC356,BC364,BC372,BC380,BC388,BC396,BC404,BC412,BC420,BC428,BC436,BC444,BC452,BC460,BC468,BC476,BC484,BC492,BC500,BC508,BC516,BC524,BC532,BC540,BC548,BC556,BC564,BC572,BC580,BC588,BC596,BC604,BC612,BC620,BC628,BC636,BC644,BC652,BC660,BC668,BC676,BC684,BC692,BC700,BC708,BC716,BC724,BC732,BC740,BC748,BC756,BC764,BC772,BC780,BC788,BC796,BC804,BC812,BC820,BC828,BC836,BC844,BC852,BC860)</f>
        <v>0</v>
      </c>
      <c r="BD870" s="34">
        <f t="shared" si="2800"/>
        <v>13037.93</v>
      </c>
      <c r="BE870" s="41"/>
      <c r="BF870" s="34">
        <f t="shared" ref="BF870:BH870" si="2801">SUM(BF12,BF20,BF28,BF36,BF44,BF52,BF60,BF68,BF76,BF84,BF92,BF100,BF108,BF116,BF124,BF132,BF140,BF148,BF156,BF164,BF172,BF180,BF188,BF196,BF204,BF212,BF220,BF228,BF236,BF244,BF252,BF260,BF268,BF276,BF284,BF292,BF300,BF308,BF316,BF324,BF332,BF340,BF348,BF356,BF364,BF372,BF380,BF388,BF396,BF404,BF412,BF420,BF428,BF436,BF444,BF452,BF460,BF468,BF476,BF484,BF492,BF500,BF508,BF516,BF524,BF532,BF540,BF548,BF556,BF564,BF572,BF580,BF588,BF596,BF604,BF612,BF620,BF628,BF636,BF644,BF652,BF660,BF668,BF676,BF684,BF692,BF700,BF708,BF716,BF724,BF732,BF740,BF748,BF756,BF764,BF772,BF780,BF788,BF796,BF804,BF812,BF820,BF828,BF836,BF844,BF852,BF860)</f>
        <v>602088</v>
      </c>
      <c r="BG870" s="34">
        <f t="shared" si="2801"/>
        <v>585819.74</v>
      </c>
      <c r="BH870" s="35">
        <f t="shared" si="2801"/>
        <v>129869.8512</v>
      </c>
    </row>
    <row r="871" ht="15.75" customHeight="1" spans="4:60" x14ac:dyDescent="0.25">
      <c r="D871" s="15" t="s">
        <v>51</v>
      </c>
      <c r="H871" s="34">
        <f t="shared" si="2775"/>
        <v>43593</v>
      </c>
      <c r="K871" s="34">
        <f t="shared" ref="K871:L871" si="2802">SUM(K13,K21,K29,K37,K45,K53,K61,K69,K77,K85,K93,K101,K109,K117,K125,K133,K141,K149,K157,K165,K173,K181,K189,K197,K205,K213,K221,K229,K237,K245,K253,K261,K269,K277,K285,K293,K301,K309,K317,K325,K333,K341,K349,K357,K365,K373,K381,K389,K397,K405,K413,K421,K429,K437,K445,K453,K461,K469,K477,K485,K493,K501,K509,K517,K525,K533,K541,K549,K557,K565,K573,K581,K589,K597,K605,K613,K621,K629,K637,K645,K653,K661,K669,K677,K685,K693,K701,K709,K717,K725,K733,K741,K749,K757,K765,K773,K781,K789,K797,K805,K813,K821,K829,K837,K845,K853,K861)</f>
        <v>2000</v>
      </c>
      <c r="L871" s="34">
        <f t="shared" si="2802"/>
        <v>2000</v>
      </c>
      <c r="O871" s="34">
        <f t="shared" ref="O871:P871" si="2803">SUM(O13,O21,O29,O37,O45,O53,O61,O69,O77,O85,O93,O101,O109,O117,O125,O133,O141,O149,O157,O165,O173,O181,O189,O197,O205,O213,O221,O229,O237,O245,O253,O261,O269,O277,O285,O293,O301,O309,O317,O325,O333,O341,O349,O357,O365,O373,O381,O389,O397,O405,O413,O421,O429,O437,O445,O453,O461,O469,O477,O485,O493,O501,O509,O517,O525,O533,O541,O549,O557,O565,O573,O581,O589,O597,O605,O613,O621,O629,O637,O645,O653,O661,O669,O677,O685,O693,O701,O709,O717,O725,O733,O741,O749,O757,O765,O773,O781,O789,O797,O805,O813,O821,O829,O837,O845,O853,O861)</f>
        <v>2000</v>
      </c>
      <c r="P871" s="34">
        <f t="shared" si="2803"/>
        <v>2000</v>
      </c>
      <c r="S871" s="34">
        <f t="shared" ref="S871:T871" si="2804">SUM(S13,S21,S29,S37,S45,S53,S61,S69,S77,S85,S93,S101,S109,S117,S125,S133,S141,S149,S157,S165,S173,S181,S189,S197,S205,S213,S221,S229,S237,S245,S253,S261,S269,S277,S285,S293,S301,S309,S317,S325,S333,S341,S349,S357,S365,S373,S381,S389,S397,S405,S413,S421,S429,S437,S445,S453,S461,S469,S477,S485,S493,S501,S509,S517,S525,S533,S541,S549,S557,S565,S573,S581,S589,S597,S605,S613,S621,S629,S637,S645,S653,S661,S669,S677,S685,S693,S701,S709,S717,S725,S733,S741,S749,S757,S765,S773,S781,S789,S797,S805,S813,S821,S829,S837,S845,S853,S861)</f>
        <v>1000</v>
      </c>
      <c r="T871" s="34">
        <f t="shared" si="2804"/>
        <v>0</v>
      </c>
      <c r="W871" s="34">
        <f t="shared" ref="W871:X871" si="2805">SUM(W13,W21,W29,W37,W45,W53,W61,W69,W77,W85,W93,W101,W109,W117,W125,W133,W141,W149,W157,W165,W173,W181,W189,W197,W205,W213,W221,W229,W237,W245,W253,W261,W269,W277,W285,W293,W301,W309,W317,W325,W333,W341,W349,W357,W365,W373,W381,W389,W397,W405,W413,W421,W429,W437,W445,W453,W461,W469,W477,W485,W493,W501,W509,W517,W525,W533,W541,W549,W557,W565,W573,W581,W589,W597,W605,W613,W621,W629,W637,W645,W653,W661,W669,W677,W685,W693,W701,W709,W717,W725,W733,W741,W749,W757,W765,W773,W781,W789,W797,W805,W813,W821,W829,W837,W845,W853,W861)</f>
        <v>0</v>
      </c>
      <c r="X871" s="34">
        <f t="shared" si="2805"/>
        <v>1598.48</v>
      </c>
      <c r="AA871" s="34">
        <f t="shared" ref="AA871:AB871" si="2806">SUM(AA13,AA21,AA29,AA37,AA45,AA53,AA61,AA69,AA77,AA85,AA93,AA101,AA109,AA117,AA125,AA133,AA141,AA149,AA157,AA165,AA173,AA181,AA189,AA197,AA205,AA213,AA221,AA229,AA237,AA245,AA253,AA261,AA269,AA277,AA285,AA293,AA301,AA309,AA317,AA325,AA333,AA341,AA349,AA357,AA365,AA373,AA381,AA389,AA397,AA405,AA413,AA421,AA429,AA437,AA445,AA453,AA461,AA469,AA477,AA485,AA493,AA501,AA509,AA517,AA525,AA533,AA541,AA549,AA557,AA565,AA573,AA581,AA589,AA597,AA605,AA613,AA621,AA629,AA637,AA645,AA653,AA661,AA669,AA677,AA685,AA693,AA701,AA709,AA717,AA725,AA733,AA741,AA749,AA757,AA765,AA773,AA781,AA789,AA797,AA805,AA813,AA821,AA829,AA837,AA845,AA853,AA861)</f>
        <v>0</v>
      </c>
      <c r="AB871" s="34">
        <f t="shared" si="2806"/>
        <v>4000</v>
      </c>
      <c r="AE871" s="34">
        <f t="shared" ref="AE871:AF871" si="2807">SUM(AE13,AE21,AE29,AE37,AE45,AE53,AE61,AE69,AE77,AE85,AE93,AE101,AE109,AE117,AE125,AE133,AE141,AE149,AE157,AE165,AE173,AE181,AE189,AE197,AE205,AE213,AE221,AE229,AE237,AE245,AE253,AE261,AE269,AE277,AE285,AE293,AE301,AE309,AE317,AE325,AE333,AE341,AE349,AE357,AE365,AE373,AE381,AE389,AE397,AE405,AE413,AE421,AE429,AE437,AE445,AE453,AE461,AE469,AE477,AE485,AE493,AE501,AE509,AE517,AE525,AE533,AE541,AE549,AE557,AE565,AE573,AE581,AE589,AE597,AE605,AE613,AE621,AE629,AE637,AE645,AE653,AE661,AE669,AE677,AE685,AE693,AE701,AE709,AE717,AE725,AE733,AE741,AE749,AE757,AE765,AE773,AE781,AE789,AE797,AE805,AE813,AE821,AE829,AE837,AE845,AE853,AE861)</f>
        <v>113000</v>
      </c>
      <c r="AF871" s="34">
        <f t="shared" si="2807"/>
        <v>36500</v>
      </c>
      <c r="AI871" s="34">
        <f t="shared" ref="AI871:AJ871" si="2808">SUM(AI13,AI21,AI29,AI37,AI45,AI53,AI61,AI69,AI77,AI85,AI93,AI101,AI109,AI117,AI125,AI133,AI141,AI149,AI157,AI165,AI173,AI181,AI189,AI197,AI205,AI213,AI221,AI229,AI237,AI245,AI253,AI261,AI269,AI277,AI285,AI293,AI301,AI309,AI317,AI325,AI333,AI341,AI349,AI357,AI365,AI373,AI381,AI389,AI397,AI405,AI413,AI421,AI429,AI437,AI445,AI453,AI461,AI469,AI477,AI485,AI493,AI501,AI509,AI517,AI525,AI533,AI541,AI549,AI557,AI565,AI573,AI581,AI589,AI597,AI605,AI613,AI621,AI629,AI637,AI645,AI653,AI661,AI669,AI677,AI685,AI693,AI701,AI709,AI717,AI725,AI733,AI741,AI749,AI757,AI765,AI773,AI781,AI789,AI797,AI805,AI813,AI821,AI829,AI837,AI845,AI853,AI861)</f>
        <v>0</v>
      </c>
      <c r="AJ871" s="34">
        <f t="shared" si="2808"/>
        <v>26323.61</v>
      </c>
      <c r="AM871" s="34">
        <f t="shared" ref="AM871:AN871" si="2809">SUM(AM13,AM21,AM29,AM37,AM45,AM53,AM61,AM69,AM77,AM85,AM93,AM101,AM109,AM117,AM125,AM133,AM141,AM149,AM157,AM165,AM173,AM181,AM189,AM197,AM205,AM213,AM221,AM229,AM237,AM245,AM253,AM261,AM269,AM277,AM285,AM293,AM301,AM309,AM317,AM325,AM333,AM341,AM349,AM357,AM365,AM373,AM381,AM389,AM397,AM405,AM413,AM421,AM429,AM437,AM445,AM453,AM461,AM469,AM477,AM485,AM493,AM501,AM509,AM517,AM525,AM533,AM541,AM549,AM557,AM565,AM573,AM581,AM589,AM597,AM605,AM613,AM621,AM629,AM637,AM645,AM653,AM661,AM669,AM677,AM685,AM693,AM701,AM709,AM717,AM725,AM733,AM741,AM749,AM757,AM765,AM773,AM781,AM789,AM797,AM805,AM813,AM821,AM829,AM837,AM845,AM853,AM861)</f>
        <v>0</v>
      </c>
      <c r="AN871" s="34">
        <f t="shared" si="2809"/>
        <v>5676.39</v>
      </c>
      <c r="AQ871" s="34">
        <f t="shared" ref="AQ871:AR871" si="2810">SUM(AQ13,AQ21,AQ29,AQ37,AQ45,AQ53,AQ61,AQ69,AQ77,AQ85,AQ93,AQ101,AQ109,AQ117,AQ125,AQ133,AQ141,AQ149,AQ157,AQ165,AQ173,AQ181,AQ189,AQ197,AQ205,AQ213,AQ221,AQ229,AQ237,AQ245,AQ253,AQ261,AQ269,AQ277,AQ285,AQ293,AQ301,AQ309,AQ317,AQ325,AQ333,AQ341,AQ349,AQ357,AQ365,AQ373,AQ381,AQ389,AQ397,AQ405,AQ413,AQ421,AQ429,AQ437,AQ445,AQ453,AQ461,AQ469,AQ477,AQ485,AQ493,AQ501,AQ509,AQ517,AQ525,AQ533,AQ541,AQ549,AQ557,AQ565,AQ573,AQ581,AQ589,AQ597,AQ605,AQ613,AQ621,AQ629,AQ637,AQ645,AQ653,AQ661,AQ669,AQ677,AQ685,AQ693,AQ701,AQ709,AQ717,AQ725,AQ733,AQ741,AQ749,AQ757,AQ765,AQ773,AQ781,AQ789,AQ797,AQ805,AQ813,AQ821,AQ829,AQ837,AQ845,AQ853,AQ861)</f>
        <v>0</v>
      </c>
      <c r="AR871" s="34">
        <f t="shared" si="2810"/>
        <v>18001.52</v>
      </c>
      <c r="AU871" s="34">
        <f t="shared" ref="AU871:AV871" si="2811">SUM(AU13,AU21,AU29,AU37,AU45,AU53,AU61,AU69,AU77,AU85,AU93,AU101,AU109,AU117,AU125,AU133,AU141,AU149,AU157,AU165,AU173,AU181,AU189,AU197,AU205,AU213,AU221,AU229,AU237,AU245,AU253,AU261,AU269,AU277,AU285,AU293,AU301,AU309,AU317,AU325,AU333,AU341,AU349,AU357,AU365,AU373,AU381,AU389,AU397,AU405,AU413,AU421,AU429,AU437,AU445,AU453,AU461,AU469,AU477,AU485,AU493,AU501,AU509,AU517,AU525,AU533,AU541,AU549,AU557,AU565,AU573,AU581,AU589,AU597,AU605,AU613,AU621,AU629,AU637,AU645,AU653,AU661,AU669,AU677,AU685,AU693,AU701,AU709,AU717,AU725,AU733,AU741,AU749,AU757,AU765,AU773,AU781,AU789,AU797,AU805,AU813,AU821,AU829,AU837,AU845,AU853,AU861)</f>
        <v>0</v>
      </c>
      <c r="AV871" s="34">
        <f t="shared" si="2811"/>
        <v>6017.99</v>
      </c>
      <c r="AY871" s="34">
        <f t="shared" ref="AY871:AZ871" si="2812">SUM(AY13,AY21,AY29,AY37,AY45,AY53,AY61,AY69,AY77,AY85,AY93,AY101,AY109,AY117,AY125,AY133,AY141,AY149,AY157,AY165,AY173,AY181,AY189,AY197,AY205,AY213,AY221,AY229,AY237,AY245,AY253,AY261,AY269,AY277,AY285,AY293,AY301,AY309,AY317,AY325,AY333,AY341,AY349,AY357,AY365,AY373,AY381,AY389,AY397,AY405,AY413,AY421,AY429,AY437,AY445,AY453,AY461,AY469,AY477,AY485,AY493,AY501,AY509,AY517,AY525,AY533,AY541,AY549,AY557,AY565,AY573,AY581,AY589,AY597,AY605,AY613,AY621,AY629,AY637,AY645,AY653,AY661,AY669,AY677,AY685,AY693,AY701,AY709,AY717,AY725,AY733,AY741,AY749,AY757,AY765,AY773,AY781,AY789,AY797,AY805,AY813,AY821,AY829,AY837,AY845,AY853,AY861)</f>
        <v>0</v>
      </c>
      <c r="AZ871" s="34">
        <f t="shared" si="2812"/>
        <v>1000</v>
      </c>
      <c r="BC871" s="34">
        <f t="shared" ref="BC871:BD871" si="2813">SUM(BC13,BC21,BC29,BC37,BC45,BC53,BC61,BC69,BC77,BC85,BC93,BC101,BC109,BC117,BC125,BC133,BC141,BC149,BC157,BC165,BC173,BC181,BC189,BC197,BC205,BC213,BC221,BC229,BC237,BC245,BC253,BC261,BC269,BC277,BC285,BC293,BC301,BC309,BC317,BC325,BC333,BC341,BC349,BC357,BC365,BC373,BC381,BC389,BC397,BC405,BC413,BC421,BC429,BC437,BC445,BC453,BC461,BC469,BC477,BC485,BC493,BC501,BC509,BC517,BC525,BC533,BC541,BC549,BC557,BC565,BC573,BC581,BC589,BC597,BC605,BC613,BC621,BC629,BC637,BC645,BC653,BC661,BC669,BC677,BC685,BC693,BC701,BC709,BC717,BC725,BC733,BC741,BC749,BC757,BC765,BC773,BC781,BC789,BC797,BC805,BC813,BC821,BC829,BC837,BC845,BC853,BC861)</f>
        <v>0</v>
      </c>
      <c r="BD871" s="34">
        <f t="shared" si="2813"/>
        <v>1000</v>
      </c>
      <c r="BE871" s="41"/>
      <c r="BF871" s="34">
        <f t="shared" ref="BF871:BH871" si="2814">SUM(BF13,BF21,BF29,BF37,BF45,BF53,BF61,BF69,BF77,BF85,BF93,BF101,BF109,BF117,BF125,BF133,BF141,BF149,BF157,BF165,BF173,BF181,BF189,BF197,BF205,BF213,BF221,BF229,BF237,BF245,BF253,BF261,BF269,BF277,BF285,BF293,BF301,BF309,BF317,BF325,BF333,BF341,BF349,BF357,BF365,BF373,BF381,BF389,BF397,BF405,BF413,BF421,BF429,BF437,BF445,BF453,BF461,BF469,BF477,BF485,BF493,BF501,BF509,BF517,BF525,BF533,BF541,BF549,BF557,BF565,BF573,BF581,BF589,BF597,BF605,BF613,BF621,BF629,BF637,BF645,BF653,BF661,BF669,BF677,BF685,BF693,BF701,BF709,BF717,BF725,BF733,BF741,BF749,BF757,BF765,BF773,BF781,BF789,BF797,BF805,BF813,BF821,BF829,BF837,BF845,BF853,BF861)</f>
        <v>118000</v>
      </c>
      <c r="BG871" s="34">
        <f t="shared" si="2814"/>
        <v>104117.99</v>
      </c>
      <c r="BH871" s="35">
        <f t="shared" si="2814"/>
        <v>57475.01</v>
      </c>
    </row>
    <row r="872" ht="15.75" customHeight="1" spans="4:60" x14ac:dyDescent="0.25">
      <c r="D872" s="15" t="s">
        <v>52</v>
      </c>
      <c r="H872" s="34">
        <f t="shared" si="2775"/>
        <v>-150</v>
      </c>
      <c r="K872" s="34">
        <f t="shared" ref="K872:L872" si="2815">SUM(K14,K22,K30,K38,K46,K54,K62,K70,K78,K86,K94,K102,K110,K118,K126,K134,K142,K150,K158,K166,K174,K182,K190,K198,K206,K214,K222,K230,K238,K246,K254,K262,K270,K278,K286,K294,K302,K310,K318,K326,K334,K342,K350,K358,K366,K374,K382,K390,K398,K406,K414,K422,K430,K438,K446,K454,K462,K470,K478,K486,K494,K502,K510,K518,K526,K534,K542,K550,K558,K566,K574,K582,K590,K598,K606,K614,K622,K630,K638,K646,K654,K662,K670,K678,K686,K694,K702,K710,K718,K726,K734,K742,K750,K758,K766,K774,K782,K790,K798,K806,K814,K822,K830,K838,K846,K854,K862)</f>
        <v>0</v>
      </c>
      <c r="L872" s="34">
        <f t="shared" si="2815"/>
        <v>0</v>
      </c>
      <c r="O872" s="34">
        <f t="shared" ref="O872:P872" si="2816">SUM(O14,O22,O30,O38,O46,O54,O62,O70,O78,O86,O94,O102,O110,O118,O126,O134,O142,O150,O158,O166,O174,O182,O190,O198,O206,O214,O222,O230,O238,O246,O254,O262,O270,O278,O286,O294,O302,O310,O318,O326,O334,O342,O350,O358,O366,O374,O382,O390,O398,O406,O414,O422,O430,O438,O446,O454,O462,O470,O478,O486,O494,O502,O510,O518,O526,O534,O542,O550,O558,O566,O574,O582,O590,O598,O606,O614,O622,O630,O638,O646,O654,O662,O670,O678,O686,O694,O702,O710,O718,O726,O734,O742,O750,O758,O766,O774,O782,O790,O798,O806,O814,O822,O830,O838,O846,O854,O862)</f>
        <v>0</v>
      </c>
      <c r="P872" s="34">
        <f t="shared" si="2816"/>
        <v>0</v>
      </c>
      <c r="S872" s="34">
        <f t="shared" ref="S872:T872" si="2817">SUM(S14,S22,S30,S38,S46,S54,S62,S70,S78,S86,S94,S102,S110,S118,S126,S134,S142,S150,S158,S166,S174,S182,S190,S198,S206,S214,S222,S230,S238,S246,S254,S262,S270,S278,S286,S294,S302,S310,S318,S326,S334,S342,S350,S358,S366,S374,S382,S390,S398,S406,S414,S422,S430,S438,S446,S454,S462,S470,S478,S486,S494,S502,S510,S518,S526,S534,S542,S550,S558,S566,S574,S582,S590,S598,S606,S614,S622,S630,S638,S646,S654,S662,S670,S678,S686,S694,S702,S710,S718,S726,S734,S742,S750,S758,S766,S774,S782,S790,S798,S806,S814,S822,S830,S838,S846,S854,S862)</f>
        <v>0</v>
      </c>
      <c r="T872" s="34">
        <f t="shared" si="2817"/>
        <v>0</v>
      </c>
      <c r="W872" s="34">
        <f t="shared" ref="W872:X872" si="2818">SUM(W14,W22,W30,W38,W46,W54,W62,W70,W78,W86,W94,W102,W110,W118,W126,W134,W142,W150,W158,W166,W174,W182,W190,W198,W206,W214,W222,W230,W238,W246,W254,W262,W270,W278,W286,W294,W302,W310,W318,W326,W334,W342,W350,W358,W366,W374,W382,W390,W398,W406,W414,W422,W430,W438,W446,W454,W462,W470,W478,W486,W494,W502,W510,W518,W526,W534,W542,W550,W558,W566,W574,W582,W590,W598,W606,W614,W622,W630,W638,W646,W654,W662,W670,W678,W686,W694,W702,W710,W718,W726,W734,W742,W750,W758,W766,W774,W782,W790,W798,W806,W814,W822,W830,W838,W846,W854,W862)</f>
        <v>0</v>
      </c>
      <c r="X872" s="34">
        <f t="shared" si="2818"/>
        <v>1400</v>
      </c>
      <c r="AA872" s="34">
        <f t="shared" ref="AA872:AB872" si="2819">SUM(AA14,AA22,AA30,AA38,AA46,AA54,AA62,AA70,AA78,AA86,AA94,AA102,AA110,AA118,AA126,AA134,AA142,AA150,AA158,AA166,AA174,AA182,AA190,AA198,AA206,AA214,AA222,AA230,AA238,AA246,AA254,AA262,AA270,AA278,AA286,AA294,AA302,AA310,AA318,AA326,AA334,AA342,AA350,AA358,AA366,AA374,AA382,AA390,AA398,AA406,AA414,AA422,AA430,AA438,AA446,AA454,AA462,AA470,AA478,AA486,AA494,AA502,AA510,AA518,AA526,AA534,AA542,AA550,AA558,AA566,AA574,AA582,AA590,AA598,AA606,AA614,AA622,AA630,AA638,AA646,AA654,AA662,AA670,AA678,AA686,AA694,AA702,AA710,AA718,AA726,AA734,AA742,AA750,AA758,AA766,AA774,AA782,AA790,AA798,AA806,AA814,AA822,AA830,AA838,AA846,AA854,AA862)</f>
        <v>56500</v>
      </c>
      <c r="AB872" s="34">
        <f t="shared" si="2819"/>
        <v>700</v>
      </c>
      <c r="AE872" s="34">
        <f t="shared" ref="AE872:AF872" si="2820">SUM(AE14,AE22,AE30,AE38,AE46,AE54,AE62,AE70,AE78,AE86,AE94,AE102,AE110,AE118,AE126,AE134,AE142,AE150,AE158,AE166,AE174,AE182,AE190,AE198,AE206,AE214,AE222,AE230,AE238,AE246,AE254,AE262,AE270,AE278,AE286,AE294,AE302,AE310,AE318,AE326,AE334,AE342,AE350,AE358,AE366,AE374,AE382,AE390,AE398,AE406,AE414,AE422,AE430,AE438,AE446,AE454,AE462,AE470,AE478,AE486,AE494,AE502,AE510,AE518,AE526,AE534,AE542,AE550,AE558,AE566,AE574,AE582,AE590,AE598,AE606,AE614,AE622,AE630,AE638,AE646,AE654,AE662,AE670,AE678,AE686,AE694,AE702,AE710,AE718,AE726,AE734,AE742,AE750,AE758,AE766,AE774,AE782,AE790,AE798,AE806,AE814,AE822,AE830,AE838,AE846,AE854,AE862)</f>
        <v>0</v>
      </c>
      <c r="AF872" s="34">
        <f t="shared" si="2820"/>
        <v>16850</v>
      </c>
      <c r="AI872" s="34">
        <f t="shared" ref="AI872:AJ872" si="2821">SUM(AI14,AI22,AI30,AI38,AI46,AI54,AI62,AI70,AI78,AI86,AI94,AI102,AI110,AI118,AI126,AI134,AI142,AI150,AI158,AI166,AI174,AI182,AI190,AI198,AI206,AI214,AI222,AI230,AI238,AI246,AI254,AI262,AI270,AI278,AI286,AI294,AI302,AI310,AI318,AI326,AI334,AI342,AI350,AI358,AI366,AI374,AI382,AI390,AI398,AI406,AI414,AI422,AI430,AI438,AI446,AI454,AI462,AI470,AI478,AI486,AI494,AI502,AI510,AI518,AI526,AI534,AI542,AI550,AI558,AI566,AI574,AI582,AI590,AI598,AI606,AI614,AI622,AI630,AI638,AI646,AI654,AI662,AI670,AI678,AI686,AI694,AI702,AI710,AI718,AI726,AI734,AI742,AI750,AI758,AI766,AI774,AI782,AI790,AI798,AI806,AI814,AI822,AI830,AI838,AI846,AI854,AI862)</f>
        <v>0</v>
      </c>
      <c r="AJ872" s="34">
        <f t="shared" si="2821"/>
        <v>11005</v>
      </c>
      <c r="AM872" s="34">
        <f t="shared" ref="AM872:AN872" si="2822">SUM(AM14,AM22,AM30,AM38,AM46,AM54,AM62,AM70,AM78,AM86,AM94,AM102,AM110,AM118,AM126,AM134,AM142,AM150,AM158,AM166,AM174,AM182,AM190,AM198,AM206,AM214,AM222,AM230,AM238,AM246,AM254,AM262,AM270,AM278,AM286,AM294,AM302,AM310,AM318,AM326,AM334,AM342,AM350,AM358,AM366,AM374,AM382,AM390,AM398,AM406,AM414,AM422,AM430,AM438,AM446,AM454,AM462,AM470,AM478,AM486,AM494,AM502,AM510,AM518,AM526,AM534,AM542,AM550,AM558,AM566,AM574,AM582,AM590,AM598,AM606,AM614,AM622,AM630,AM638,AM646,AM654,AM662,AM670,AM678,AM686,AM694,AM702,AM710,AM718,AM726,AM734,AM742,AM750,AM758,AM766,AM774,AM782,AM790,AM798,AM806,AM814,AM822,AM830,AM838,AM846,AM854,AM862)</f>
        <v>0</v>
      </c>
      <c r="AN872" s="34">
        <f t="shared" si="2822"/>
        <v>3700</v>
      </c>
      <c r="AQ872" s="34">
        <f t="shared" ref="AQ872:AR872" si="2823">SUM(AQ14,AQ22,AQ30,AQ38,AQ46,AQ54,AQ62,AQ70,AQ78,AQ86,AQ94,AQ102,AQ110,AQ118,AQ126,AQ134,AQ142,AQ150,AQ158,AQ166,AQ174,AQ182,AQ190,AQ198,AQ206,AQ214,AQ222,AQ230,AQ238,AQ246,AQ254,AQ262,AQ270,AQ278,AQ286,AQ294,AQ302,AQ310,AQ318,AQ326,AQ334,AQ342,AQ350,AQ358,AQ366,AQ374,AQ382,AQ390,AQ398,AQ406,AQ414,AQ422,AQ430,AQ438,AQ446,AQ454,AQ462,AQ470,AQ478,AQ486,AQ494,AQ502,AQ510,AQ518,AQ526,AQ534,AQ542,AQ550,AQ558,AQ566,AQ574,AQ582,AQ590,AQ598,AQ606,AQ614,AQ622,AQ630,AQ638,AQ646,AQ654,AQ662,AQ670,AQ678,AQ686,AQ694,AQ702,AQ710,AQ718,AQ726,AQ734,AQ742,AQ750,AQ758,AQ766,AQ774,AQ782,AQ790,AQ798,AQ806,AQ814,AQ822,AQ830,AQ838,AQ846,AQ854,AQ862)</f>
        <v>0</v>
      </c>
      <c r="AR872" s="34">
        <f t="shared" si="2823"/>
        <v>5900</v>
      </c>
      <c r="AU872" s="34">
        <f t="shared" ref="AU872:AV872" si="2824">SUM(AU14,AU22,AU30,AU38,AU46,AU54,AU62,AU70,AU78,AU86,AU94,AU102,AU110,AU118,AU126,AU134,AU142,AU150,AU158,AU166,AU174,AU182,AU190,AU198,AU206,AU214,AU222,AU230,AU238,AU246,AU254,AU262,AU270,AU278,AU286,AU294,AU302,AU310,AU318,AU326,AU334,AU342,AU350,AU358,AU366,AU374,AU382,AU390,AU398,AU406,AU414,AU422,AU430,AU438,AU446,AU454,AU462,AU470,AU478,AU486,AU494,AU502,AU510,AU518,AU526,AU534,AU542,AU550,AU558,AU566,AU574,AU582,AU590,AU598,AU606,AU614,AU622,AU630,AU638,AU646,AU654,AU662,AU670,AU678,AU686,AU694,AU702,AU710,AU718,AU726,AU734,AU742,AU750,AU758,AU766,AU774,AU782,AU790,AU798,AU806,AU814,AU822,AU830,AU838,AU846,AU854,AU862)</f>
        <v>0</v>
      </c>
      <c r="AV872" s="34">
        <f t="shared" si="2824"/>
        <v>1875.75</v>
      </c>
      <c r="AY872" s="34">
        <f t="shared" ref="AY872:AZ872" si="2825">SUM(AY14,AY22,AY30,AY38,AY46,AY54,AY62,AY70,AY78,AY86,AY94,AY102,AY110,AY118,AY126,AY134,AY142,AY150,AY158,AY166,AY174,AY182,AY190,AY198,AY206,AY214,AY222,AY230,AY238,AY246,AY254,AY262,AY270,AY278,AY286,AY294,AY302,AY310,AY318,AY326,AY334,AY342,AY350,AY358,AY366,AY374,AY382,AY390,AY398,AY406,AY414,AY422,AY430,AY438,AY446,AY454,AY462,AY470,AY478,AY486,AY494,AY502,AY510,AY518,AY526,AY534,AY542,AY550,AY558,AY566,AY574,AY582,AY590,AY598,AY606,AY614,AY622,AY630,AY638,AY646,AY654,AY662,AY670,AY678,AY686,AY694,AY702,AY710,AY718,AY726,AY734,AY742,AY750,AY758,AY766,AY774,AY782,AY790,AY798,AY806,AY814,AY822,AY830,AY838,AY846,AY854,AY862)</f>
        <v>0</v>
      </c>
      <c r="AZ872" s="34">
        <f t="shared" si="2825"/>
        <v>500</v>
      </c>
      <c r="BC872" s="34">
        <f t="shared" ref="BC872:BD872" si="2826">SUM(BC14,BC22,BC30,BC38,BC46,BC54,BC62,BC70,BC78,BC86,BC94,BC102,BC110,BC118,BC126,BC134,BC142,BC150,BC158,BC166,BC174,BC182,BC190,BC198,BC206,BC214,BC222,BC230,BC238,BC246,BC254,BC262,BC270,BC278,BC286,BC294,BC302,BC310,BC318,BC326,BC334,BC342,BC350,BC358,BC366,BC374,BC382,BC390,BC398,BC406,BC414,BC422,BC430,BC438,BC446,BC454,BC462,BC470,BC478,BC486,BC494,BC502,BC510,BC518,BC526,BC534,BC542,BC550,BC558,BC566,BC574,BC582,BC590,BC598,BC606,BC614,BC622,BC630,BC638,BC646,BC654,BC662,BC670,BC678,BC686,BC694,BC702,BC710,BC718,BC726,BC734,BC742,BC750,BC758,BC766,BC774,BC782,BC790,BC798,BC806,BC814,BC822,BC830,BC838,BC846,BC854,BC862)</f>
        <v>0</v>
      </c>
      <c r="BD872" s="34">
        <f t="shared" si="2826"/>
        <v>850</v>
      </c>
      <c r="BE872" s="109"/>
      <c r="BF872" s="110">
        <f t="shared" ref="BF872:BH872" si="2827">SUM(BF14,BF22,BF30,BF38,BF46,BF54,BF62,BF70,BF78,BF86,BF94,BF102,BF110,BF118,BF126,BF134,BF142,BF150,BF158,BF166,BF174,BF182,BF190,BF198,BF206,BF214,BF222,BF230,BF238,BF246,BF254,BF262,BF270,BF278,BF286,BF294,BF302,BF310,BF318,BF326,BF334,BF342,BF350,BF358,BF366,BF374,BF382,BF390,BF398,BF406,BF414,BF422,BF430,BF438,BF446,BF454,BF462,BF470,BF478,BF486,BF494,BF502,BF510,BF518,BF526,BF534,BF542,BF550,BF558,BF566,BF574,BF582,BF590,BF598,BF606,BF614,BF622,BF630,BF638,BF646,BF654,BF662,BF670,BF678,BF686,BF694,BF702,BF710,BF718,BF726,BF734,BF742,BF750,BF758,BF766,BF774,BF782,BF790,BF798,BF806,BF814,BF822,BF830,BF838,BF846,BF854,BF862)</f>
        <v>56500</v>
      </c>
      <c r="BG872" s="110">
        <f t="shared" si="2827"/>
        <v>42780.75</v>
      </c>
      <c r="BH872" s="111">
        <f t="shared" si="2827"/>
        <v>13569.25</v>
      </c>
    </row>
    <row r="873" ht="15.75" customHeight="1" spans="4:56" x14ac:dyDescent="0.25">
      <c r="D873" s="60" t="s">
        <v>462</v>
      </c>
      <c r="L873" s="60">
        <v>10829.91</v>
      </c>
      <c r="P873" s="60">
        <v>20016.11</v>
      </c>
      <c r="T873" s="60">
        <v>13198.78</v>
      </c>
      <c r="X873" s="60">
        <v>16107.78</v>
      </c>
      <c r="AB873" s="60">
        <v>43478.24</v>
      </c>
      <c r="AF873" s="60">
        <v>43606.77</v>
      </c>
      <c r="AJ873" s="151">
        <v>70502.18</v>
      </c>
      <c r="AN873" s="60">
        <v>23344.83</v>
      </c>
      <c r="AR873" s="152">
        <v>266345.81</v>
      </c>
      <c r="AV873" s="152">
        <v>75387.8</v>
      </c>
      <c r="AZ873" s="153">
        <v>22663</v>
      </c>
      <c r="BD873" s="62">
        <v>32161.74</v>
      </c>
    </row>
    <row r="874" ht="15.75" customHeight="1" spans="4:49" x14ac:dyDescent="0.25">
      <c r="D874" s="15" t="s">
        <v>463</v>
      </c>
      <c r="N874" s="2">
        <v>6680</v>
      </c>
      <c r="R874" s="2">
        <v>3680</v>
      </c>
      <c r="AD874" s="2">
        <v>4465</v>
      </c>
      <c r="AF874" s="15"/>
      <c r="AH874" s="2">
        <v>4603</v>
      </c>
      <c r="AW874" s="34"/>
    </row>
    <row r="875" ht="15.75" customHeight="1" spans="14:18" x14ac:dyDescent="0.25">
      <c r="N875" s="37">
        <f>N874-N867</f>
        <v>257</v>
      </c>
      <c r="R875" s="37">
        <f>R874-R867</f>
        <v>190</v>
      </c>
    </row>
  </sheetData>
  <autoFilter ref="$A$6:$BJ$863"/>
  <mergeCells count="15">
    <mergeCell ref="F3:G3"/>
    <mergeCell ref="I3:L3"/>
    <mergeCell ref="M3:P3"/>
    <mergeCell ref="Q3:T3"/>
    <mergeCell ref="U3:X3"/>
    <mergeCell ref="Y3:AB3"/>
    <mergeCell ref="AC3:AF3"/>
    <mergeCell ref="AG3:AJ3"/>
    <mergeCell ref="AK3:AN3"/>
    <mergeCell ref="AO3:AR3"/>
    <mergeCell ref="AS3:AV3"/>
    <mergeCell ref="AW3:AZ3"/>
    <mergeCell ref="BA3:BD3"/>
    <mergeCell ref="BE3:BH3"/>
    <mergeCell ref="BI3:BJ5"/>
  </mergeCells>
  <pageMargins left="0.196527777777778" right="0" top="0.7875" bottom="0.196527777777778" header="0" footer="0"/>
  <pageSetup paperSize="9" orientation="portrait" horizontalDpi="4294967295" verticalDpi="4294967295" scale="95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FF"/>
  </sheetPr>
  <dimension ref="A1:Y1000"/>
  <sheetViews>
    <sheetView workbookViewId="0" zoomScale="100" zoomScaleNormal="100">
      <pane ySplit="4" topLeftCell="A5" activePane="bottomLeft" state="frozen"/>
      <selection pane="bottomLeft" activeCell="B6" sqref="B6"/>
    </sheetView>
  </sheetViews>
  <sheetFormatPr defaultRowHeight="15" outlineLevelRow="1" outlineLevelCol="1" x14ac:dyDescent="0" defaultColWidth="14.43"/>
  <cols>
    <col min="1" max="1" width="9.14" customWidth="1"/>
    <col min="2" max="2" width="8.43" customWidth="1"/>
    <col min="3" max="3" width="6.43" hidden="1" outlineLevel="1" collapsed="1" customWidth="1"/>
    <col min="4" max="4" width="14.86" hidden="1" outlineLevel="1" collapsed="1" customWidth="1"/>
    <col min="5" max="6" width="9.86" customWidth="1"/>
    <col min="7" max="7" width="8.14" customWidth="1"/>
    <col min="8" max="8" width="7.14" customWidth="1"/>
    <col min="9" max="9" width="9.43" customWidth="1"/>
    <col min="10" max="10" width="8.86" customWidth="1"/>
    <col min="11" max="11" width="9.43" customWidth="1"/>
    <col min="12" max="12" width="10" customWidth="1"/>
    <col min="13" max="13" width="11.14" outlineLevel="1" collapsed="1" customWidth="1"/>
    <col min="14" max="14" width="5.57" outlineLevel="1" collapsed="1" customWidth="1"/>
    <col min="15" max="15" width="6.86" outlineLevel="1" collapsed="1" customWidth="1"/>
    <col min="16" max="16" width="9.43" outlineLevel="1" collapsed="1" customWidth="1"/>
    <col min="17" max="17" width="8.14" outlineLevel="1" collapsed="1" customWidth="1"/>
    <col min="18" max="18" width="5.86" outlineLevel="1" collapsed="1" customWidth="1"/>
    <col min="19" max="19" width="6.14" outlineLevel="1" collapsed="1" customWidth="1"/>
    <col min="20" max="21" width="8.86" outlineLevel="1" collapsed="1" customWidth="1"/>
    <col min="22" max="22" width="5.86" outlineLevel="1" collapsed="1" customWidth="1"/>
    <col min="23" max="23" width="9.86" outlineLevel="1" collapsed="1" customWidth="1"/>
    <col min="24" max="24" width="11.86" outlineLevel="1" collapsed="1" customWidth="1"/>
    <col min="25" max="25" width="8.43" customWidth="1"/>
  </cols>
  <sheetData>
    <row r="1" spans="1:14" x14ac:dyDescent="0.25">
      <c r="A1" s="15"/>
      <c r="B1" s="112"/>
      <c r="C1" s="112"/>
      <c r="E1" s="1" t="str">
        <f>'2019'!B1</f>
        <v>СВОДНАЯ ВЕДОМОСТЬ СНТ "СОЛНЫШКО"</v>
      </c>
      <c r="J1" s="2" t="str">
        <f>'2019'!F1</f>
        <v>на 01 января 2020 года</v>
      </c>
      <c r="N1" s="154">
        <v>31</v>
      </c>
    </row>
    <row r="2" spans="1:15" x14ac:dyDescent="0.25">
      <c r="A2" s="15"/>
      <c r="B2" s="112"/>
      <c r="C2" s="112"/>
      <c r="E2" s="2" t="s">
        <v>352</v>
      </c>
      <c r="O2" s="155" t="s">
        <v>464</v>
      </c>
    </row>
    <row r="3" spans="1:24" x14ac:dyDescent="0.25">
      <c r="A3" s="3"/>
      <c r="B3" s="17" t="s">
        <v>353</v>
      </c>
      <c r="C3" s="17" t="s">
        <v>354</v>
      </c>
      <c r="D3" s="16" t="s">
        <v>355</v>
      </c>
      <c r="E3" s="156" t="s">
        <v>465</v>
      </c>
      <c r="F3" s="4" t="s">
        <v>44</v>
      </c>
      <c r="G3" s="4" t="s">
        <v>466</v>
      </c>
      <c r="H3" s="4" t="s">
        <v>467</v>
      </c>
      <c r="I3" s="156" t="s">
        <v>50</v>
      </c>
      <c r="J3" s="156" t="s">
        <v>51</v>
      </c>
      <c r="K3" s="4" t="s">
        <v>52</v>
      </c>
      <c r="L3" s="4" t="s">
        <v>35</v>
      </c>
      <c r="M3" s="156" t="s">
        <v>468</v>
      </c>
      <c r="N3" s="3"/>
      <c r="O3" s="11" t="s">
        <v>469</v>
      </c>
      <c r="P3" s="157"/>
      <c r="Q3" s="157"/>
      <c r="R3" s="12"/>
      <c r="S3" s="6" t="s">
        <v>470</v>
      </c>
      <c r="T3" s="9"/>
      <c r="U3" s="9"/>
      <c r="V3" s="9"/>
      <c r="W3" s="17" t="s">
        <v>471</v>
      </c>
      <c r="X3" s="156" t="s">
        <v>468</v>
      </c>
    </row>
    <row r="4" spans="1:24" x14ac:dyDescent="0.25">
      <c r="A4" s="20"/>
      <c r="B4" s="113" t="s">
        <v>23</v>
      </c>
      <c r="C4" s="24"/>
      <c r="D4" s="23"/>
      <c r="E4" s="14" t="s">
        <v>472</v>
      </c>
      <c r="F4" s="14"/>
      <c r="G4" s="14" t="s">
        <v>48</v>
      </c>
      <c r="H4" s="14" t="s">
        <v>354</v>
      </c>
      <c r="I4" s="14"/>
      <c r="J4" s="14"/>
      <c r="K4" s="14"/>
      <c r="L4" s="14" t="s">
        <v>40</v>
      </c>
      <c r="M4" s="14" t="s">
        <v>473</v>
      </c>
      <c r="N4" s="24" t="s">
        <v>474</v>
      </c>
      <c r="O4" s="115" t="s">
        <v>475</v>
      </c>
      <c r="P4" s="115" t="s">
        <v>476</v>
      </c>
      <c r="Q4" s="115" t="s">
        <v>477</v>
      </c>
      <c r="R4" s="115" t="s">
        <v>474</v>
      </c>
      <c r="S4" s="24" t="s">
        <v>475</v>
      </c>
      <c r="T4" s="24" t="s">
        <v>476</v>
      </c>
      <c r="U4" s="24" t="s">
        <v>477</v>
      </c>
      <c r="V4" s="158" t="s">
        <v>474</v>
      </c>
      <c r="W4" s="24" t="s">
        <v>478</v>
      </c>
      <c r="X4" s="14" t="s">
        <v>479</v>
      </c>
    </row>
    <row r="5" spans="1:24" x14ac:dyDescent="0.25">
      <c r="A5" s="114" t="s">
        <v>41</v>
      </c>
      <c r="B5" s="115">
        <f>'2019'!A8</f>
        <v>1</v>
      </c>
      <c r="C5" s="116">
        <v>4</v>
      </c>
      <c r="D5" s="117" t="str">
        <f>'2019'!C8</f>
        <v>сторож</v>
      </c>
      <c r="E5" s="106">
        <f>'2019'!BH7</f>
        <v>0</v>
      </c>
      <c r="F5" s="106">
        <f>'2019'!BH8</f>
        <v>2091.01</v>
      </c>
      <c r="G5" s="106">
        <f>'2019'!BH10</f>
        <v>0</v>
      </c>
      <c r="H5" s="106">
        <f>'2019'!BH11</f>
        <v>0</v>
      </c>
      <c r="I5" s="106">
        <f>'2019'!BH12</f>
        <v>-1</v>
      </c>
      <c r="J5" s="106">
        <f>'2019'!BH13</f>
        <v>0</v>
      </c>
      <c r="K5" s="106">
        <f>'2019'!BH14</f>
        <v>0</v>
      </c>
      <c r="L5" s="106">
        <f t="shared" ref="L5:L111" si="0">SUM(E5:K5)</f>
        <v>2090.01</v>
      </c>
      <c r="M5" s="106">
        <v>0</v>
      </c>
      <c r="N5" s="34"/>
      <c r="W5" s="14"/>
      <c r="X5" s="159">
        <f t="shared" ref="X5:X111" si="1">I5+J5</f>
        <v>-1</v>
      </c>
    </row>
    <row r="6" spans="1:24" x14ac:dyDescent="0.25">
      <c r="A6" s="14"/>
      <c r="B6" s="115">
        <v>2</v>
      </c>
      <c r="C6" s="115">
        <v>4.12</v>
      </c>
      <c r="D6" s="117" t="s">
        <v>359</v>
      </c>
      <c r="E6" s="106">
        <f>'2019'!BH16</f>
        <v>0</v>
      </c>
      <c r="F6" s="106">
        <f>'2019'!BH17</f>
        <v>-282.5</v>
      </c>
      <c r="G6" s="106">
        <f>'2019'!BH18</f>
        <v>0</v>
      </c>
      <c r="H6" s="106">
        <f>'2019'!BH19</f>
        <v>0</v>
      </c>
      <c r="I6" s="106">
        <f>'2019'!BH20</f>
        <v>0.0056</v>
      </c>
      <c r="J6" s="106">
        <f>'2019'!BH21</f>
        <v>0</v>
      </c>
      <c r="K6" s="106">
        <f>'2019'!BH22</f>
        <v>0</v>
      </c>
      <c r="L6" s="106">
        <f t="shared" si="0"/>
        <v>-282.4944</v>
      </c>
      <c r="M6" s="106">
        <v>0.00560000000041327</v>
      </c>
      <c r="N6" s="34"/>
      <c r="W6" s="14"/>
      <c r="X6" s="42">
        <f t="shared" si="1"/>
        <v>0.0056</v>
      </c>
    </row>
    <row r="7" spans="1:24" x14ac:dyDescent="0.25">
      <c r="A7" s="14"/>
      <c r="B7" s="115">
        <v>3</v>
      </c>
      <c r="C7" s="116">
        <v>4</v>
      </c>
      <c r="D7" s="117" t="s">
        <v>60</v>
      </c>
      <c r="E7" s="106">
        <f>'2019'!BH24</f>
        <v>0</v>
      </c>
      <c r="F7" s="106">
        <f>'2019'!BH25</f>
        <v>-12.92</v>
      </c>
      <c r="G7" s="106">
        <f>'2019'!BH26</f>
        <v>73.44</v>
      </c>
      <c r="H7" s="106">
        <f>'2019'!BH27</f>
        <v>0</v>
      </c>
      <c r="I7" s="106">
        <f>'2019'!BH28</f>
        <v>0</v>
      </c>
      <c r="J7" s="106">
        <f>'2019'!BH29</f>
        <v>0</v>
      </c>
      <c r="K7" s="106">
        <f>'2019'!BH30</f>
        <v>0</v>
      </c>
      <c r="L7" s="106">
        <f t="shared" si="0"/>
        <v>60.52</v>
      </c>
      <c r="M7" s="106">
        <v>0</v>
      </c>
      <c r="N7" s="34"/>
      <c r="W7" s="14"/>
      <c r="X7" s="42">
        <f t="shared" si="1"/>
        <v>0</v>
      </c>
    </row>
    <row r="8" spans="1:24" x14ac:dyDescent="0.25">
      <c r="A8" s="14"/>
      <c r="B8" s="115">
        <v>4</v>
      </c>
      <c r="C8" s="115">
        <v>3.95</v>
      </c>
      <c r="D8" s="117" t="s">
        <v>64</v>
      </c>
      <c r="E8" s="106">
        <f>'2019'!BH32</f>
        <v>0</v>
      </c>
      <c r="F8" s="106">
        <f>'2019'!BH33</f>
        <v>0</v>
      </c>
      <c r="G8" s="106">
        <f>'2019'!BH34</f>
        <v>160.51</v>
      </c>
      <c r="H8" s="106">
        <f>'2019'!BH35</f>
        <v>0</v>
      </c>
      <c r="I8" s="106">
        <f>'2019'!BH36</f>
        <v>-0.004</v>
      </c>
      <c r="J8" s="106">
        <f>'2019'!BH37</f>
        <v>0</v>
      </c>
      <c r="K8" s="106">
        <f>'2019'!BH38</f>
        <v>0</v>
      </c>
      <c r="L8" s="106">
        <f t="shared" si="0"/>
        <v>160.506</v>
      </c>
      <c r="M8" s="106">
        <v>-0.00399999999990541</v>
      </c>
      <c r="N8" s="34"/>
      <c r="W8" s="14"/>
      <c r="X8" s="42">
        <f t="shared" si="1"/>
        <v>-0.004</v>
      </c>
    </row>
    <row r="9" spans="1:24" x14ac:dyDescent="0.25">
      <c r="A9" s="14"/>
      <c r="B9" s="115">
        <v>5</v>
      </c>
      <c r="C9" s="115">
        <v>5.08</v>
      </c>
      <c r="D9" s="117" t="s">
        <v>66</v>
      </c>
      <c r="E9" s="106">
        <f>'2019'!BH40</f>
        <v>0</v>
      </c>
      <c r="F9" s="106">
        <f>'2019'!BH41</f>
        <v>-197.51</v>
      </c>
      <c r="G9" s="106">
        <f>'2019'!BH42</f>
        <v>11.24</v>
      </c>
      <c r="H9" s="106">
        <f>'2019'!BH43</f>
        <v>0</v>
      </c>
      <c r="I9" s="106">
        <f>'2019'!BH44</f>
        <v>0.0003999999999</v>
      </c>
      <c r="J9" s="106">
        <f>'2019'!BH45</f>
        <v>0</v>
      </c>
      <c r="K9" s="106">
        <f>'2019'!BH46</f>
        <v>0</v>
      </c>
      <c r="L9" s="106">
        <f t="shared" si="0"/>
        <v>-186.2696</v>
      </c>
      <c r="M9" s="106">
        <v>0.000399999999899592</v>
      </c>
      <c r="N9" s="34"/>
      <c r="W9" s="14"/>
      <c r="X9" s="42">
        <f t="shared" si="1"/>
        <v>0.0003999999999</v>
      </c>
    </row>
    <row r="10" spans="1:24" x14ac:dyDescent="0.25">
      <c r="A10" s="14"/>
      <c r="B10" s="115">
        <v>6</v>
      </c>
      <c r="C10" s="115">
        <v>4.01</v>
      </c>
      <c r="D10" s="117" t="s">
        <v>70</v>
      </c>
      <c r="E10" s="106">
        <f>'2019'!BH48</f>
        <v>2.1</v>
      </c>
      <c r="F10" s="106">
        <f>'2019'!BH49</f>
        <v>17.5</v>
      </c>
      <c r="G10" s="106">
        <f>'2019'!BH50</f>
        <v>0</v>
      </c>
      <c r="H10" s="106">
        <f>'2019'!BH51</f>
        <v>0</v>
      </c>
      <c r="I10" s="106">
        <f>'2019'!BH52</f>
        <v>-0.0012</v>
      </c>
      <c r="J10" s="106">
        <f>'2019'!BH53</f>
        <v>0</v>
      </c>
      <c r="K10" s="106">
        <f>'2019'!BH54</f>
        <v>0</v>
      </c>
      <c r="L10" s="106">
        <f t="shared" si="0"/>
        <v>19.5988</v>
      </c>
      <c r="M10" s="106">
        <v>-0.00119999999969878</v>
      </c>
      <c r="N10" s="34"/>
      <c r="T10" s="34"/>
      <c r="U10" s="34"/>
      <c r="V10" s="37"/>
      <c r="W10" s="14"/>
      <c r="X10" s="42">
        <f t="shared" si="1"/>
        <v>-0.0012</v>
      </c>
    </row>
    <row r="11" spans="1:24" x14ac:dyDescent="0.25">
      <c r="A11" s="14"/>
      <c r="B11" s="115">
        <v>7</v>
      </c>
      <c r="C11" s="115">
        <v>4.85</v>
      </c>
      <c r="D11" s="117" t="s">
        <v>74</v>
      </c>
      <c r="E11" s="106">
        <f>'2019'!BH56</f>
        <v>8.18</v>
      </c>
      <c r="F11" s="106">
        <f>'2019'!BH57</f>
        <v>69.87</v>
      </c>
      <c r="G11" s="106">
        <f>'2019'!BH58</f>
        <v>-388.64</v>
      </c>
      <c r="H11" s="106">
        <f>'2019'!BH59</f>
        <v>0</v>
      </c>
      <c r="I11" s="106">
        <f>'2019'!BH60</f>
        <v>-0.002</v>
      </c>
      <c r="J11" s="106">
        <f>'2019'!BH61</f>
        <v>0</v>
      </c>
      <c r="K11" s="106">
        <f>'2019'!BH62</f>
        <v>0</v>
      </c>
      <c r="L11" s="106">
        <f t="shared" si="0"/>
        <v>-310.592</v>
      </c>
      <c r="M11" s="106">
        <v>-0.00200000000040745</v>
      </c>
      <c r="N11" s="37"/>
      <c r="O11" s="15"/>
      <c r="P11" s="34"/>
      <c r="Q11" s="34"/>
      <c r="R11" s="37"/>
      <c r="S11" s="15"/>
      <c r="T11" s="15"/>
      <c r="U11" s="15"/>
      <c r="V11" s="15"/>
      <c r="W11" s="14"/>
      <c r="X11" s="42">
        <f t="shared" si="1"/>
        <v>-0.002</v>
      </c>
    </row>
    <row r="12" spans="1:24" x14ac:dyDescent="0.25">
      <c r="A12" s="14"/>
      <c r="B12" s="115">
        <v>8</v>
      </c>
      <c r="C12" s="116">
        <v>4</v>
      </c>
      <c r="D12" s="117" t="s">
        <v>78</v>
      </c>
      <c r="E12" s="106">
        <f>'2019'!BH64</f>
        <v>0</v>
      </c>
      <c r="F12" s="106">
        <f>'2019'!BH65</f>
        <v>114.7</v>
      </c>
      <c r="G12" s="106">
        <f>'2019'!BH66</f>
        <v>0</v>
      </c>
      <c r="H12" s="106">
        <f>'2019'!BH67</f>
        <v>0</v>
      </c>
      <c r="I12" s="106">
        <f>'2019'!BH68</f>
        <v>0</v>
      </c>
      <c r="J12" s="106">
        <f>'2019'!BH69</f>
        <v>0</v>
      </c>
      <c r="K12" s="106">
        <f>'2019'!BH70</f>
        <v>0</v>
      </c>
      <c r="L12" s="106">
        <f t="shared" si="0"/>
        <v>114.7</v>
      </c>
      <c r="M12" s="106">
        <v>0</v>
      </c>
      <c r="N12" s="34"/>
      <c r="W12" s="14"/>
      <c r="X12" s="42">
        <f t="shared" si="1"/>
        <v>0</v>
      </c>
    </row>
    <row r="13" spans="1:24" x14ac:dyDescent="0.25">
      <c r="A13" s="14"/>
      <c r="B13" s="115">
        <v>9</v>
      </c>
      <c r="C13" s="115">
        <v>4.03</v>
      </c>
      <c r="D13" s="117" t="s">
        <v>82</v>
      </c>
      <c r="E13" s="106">
        <f>'2019'!BH72</f>
        <v>0</v>
      </c>
      <c r="F13" s="106">
        <f>'2019'!BH73</f>
        <v>-85.03</v>
      </c>
      <c r="G13" s="106">
        <f>'2019'!BH74</f>
        <v>1.78</v>
      </c>
      <c r="H13" s="106">
        <f>'2019'!BH75</f>
        <v>0</v>
      </c>
      <c r="I13" s="106">
        <f>'2019'!BH76</f>
        <v>-0.003599999999</v>
      </c>
      <c r="J13" s="106">
        <f>'2019'!BH77</f>
        <v>0</v>
      </c>
      <c r="K13" s="106">
        <f>'2019'!BH78</f>
        <v>0</v>
      </c>
      <c r="L13" s="106">
        <f t="shared" si="0"/>
        <v>-83.2536</v>
      </c>
      <c r="M13" s="106">
        <v>-0.00359999999909633</v>
      </c>
      <c r="N13" s="34"/>
      <c r="W13" s="14"/>
      <c r="X13" s="42">
        <f t="shared" si="1"/>
        <v>-0.003599999999</v>
      </c>
    </row>
    <row r="14" spans="1:24" x14ac:dyDescent="0.25">
      <c r="A14" s="14"/>
      <c r="B14" s="115">
        <v>10</v>
      </c>
      <c r="C14" s="115">
        <v>4.01</v>
      </c>
      <c r="D14" s="117" t="s">
        <v>86</v>
      </c>
      <c r="E14" s="106">
        <f>'2019'!BH80</f>
        <v>0</v>
      </c>
      <c r="F14" s="106">
        <f>'2019'!BH81</f>
        <v>0</v>
      </c>
      <c r="G14" s="106">
        <f>'2019'!BH82</f>
        <v>52.45</v>
      </c>
      <c r="H14" s="106">
        <f>'2019'!BH83</f>
        <v>0</v>
      </c>
      <c r="I14" s="106">
        <f>'2019'!BH84</f>
        <v>-0.0012</v>
      </c>
      <c r="J14" s="106">
        <f>'2019'!BH85</f>
        <v>0</v>
      </c>
      <c r="K14" s="106">
        <f>'2019'!BH86</f>
        <v>0</v>
      </c>
      <c r="L14" s="106">
        <f t="shared" si="0"/>
        <v>52.4488</v>
      </c>
      <c r="M14" s="106">
        <v>-0.00119999999969878</v>
      </c>
      <c r="N14" s="34"/>
      <c r="W14" s="14"/>
      <c r="X14" s="42">
        <f t="shared" si="1"/>
        <v>-0.0012</v>
      </c>
    </row>
    <row r="15" spans="1:24" x14ac:dyDescent="0.25">
      <c r="A15" s="14"/>
      <c r="B15" s="115">
        <v>11</v>
      </c>
      <c r="C15" s="115">
        <v>4.02</v>
      </c>
      <c r="D15" s="117" t="s">
        <v>89</v>
      </c>
      <c r="E15" s="106">
        <f>'2019'!BH88</f>
        <v>13.71</v>
      </c>
      <c r="F15" s="106">
        <f>'2019'!BH89</f>
        <v>-80.6</v>
      </c>
      <c r="G15" s="106">
        <f>'2019'!BH90</f>
        <v>0</v>
      </c>
      <c r="H15" s="106">
        <f>'2019'!BH91</f>
        <v>0</v>
      </c>
      <c r="I15" s="106">
        <f>'2019'!BH92</f>
        <v>-0.002400000001</v>
      </c>
      <c r="J15" s="106">
        <f>'2019'!BH93</f>
        <v>0</v>
      </c>
      <c r="K15" s="106">
        <f>'2019'!BH94</f>
        <v>0</v>
      </c>
      <c r="L15" s="106">
        <f t="shared" si="0"/>
        <v>-66.8924</v>
      </c>
      <c r="M15" s="106">
        <v>-0.00240000000121654</v>
      </c>
      <c r="N15" s="34"/>
      <c r="W15" s="14"/>
      <c r="X15" s="42">
        <f t="shared" si="1"/>
        <v>-0.002400000001</v>
      </c>
    </row>
    <row r="16" spans="1:24" x14ac:dyDescent="0.25">
      <c r="A16" s="14"/>
      <c r="B16" s="115">
        <v>12</v>
      </c>
      <c r="C16" s="115">
        <v>4.02</v>
      </c>
      <c r="D16" s="117" t="s">
        <v>92</v>
      </c>
      <c r="E16" s="106">
        <f>'2019'!BH96</f>
        <v>0</v>
      </c>
      <c r="F16" s="106">
        <f>'2019'!BH97</f>
        <v>0</v>
      </c>
      <c r="G16" s="106">
        <f>'2019'!BH98</f>
        <v>0</v>
      </c>
      <c r="H16" s="106">
        <f>'2019'!BH99</f>
        <v>0</v>
      </c>
      <c r="I16" s="106">
        <f>'2019'!BH100</f>
        <v>-0.0024</v>
      </c>
      <c r="J16" s="106">
        <f>'2019'!BH101</f>
        <v>0</v>
      </c>
      <c r="K16" s="106">
        <f>'2019'!BH102</f>
        <v>0</v>
      </c>
      <c r="L16" s="106">
        <f t="shared" si="0"/>
        <v>-0.002400000001</v>
      </c>
      <c r="M16" s="106">
        <v>-0.00240000000030705</v>
      </c>
      <c r="N16" s="34"/>
      <c r="W16" s="14"/>
      <c r="X16" s="42">
        <f t="shared" si="1"/>
        <v>-0.0024</v>
      </c>
    </row>
    <row r="17" spans="1:24" x14ac:dyDescent="0.25">
      <c r="A17" s="14"/>
      <c r="B17" s="115" t="s">
        <v>96</v>
      </c>
      <c r="C17" s="115">
        <v>7.94</v>
      </c>
      <c r="D17" s="117" t="s">
        <v>97</v>
      </c>
      <c r="E17" s="106">
        <f>'2019'!BH104</f>
        <v>18.66</v>
      </c>
      <c r="F17" s="106">
        <f>'2019'!BH105</f>
        <v>0</v>
      </c>
      <c r="G17" s="106">
        <f>'2019'!BH106</f>
        <v>0</v>
      </c>
      <c r="H17" s="106">
        <f>'2019'!BH107</f>
        <v>0</v>
      </c>
      <c r="I17" s="106">
        <f>'2019'!BH108</f>
        <v>-0.0028</v>
      </c>
      <c r="J17" s="106">
        <f>'2019'!BH109</f>
        <v>0</v>
      </c>
      <c r="K17" s="106">
        <f>'2019'!BH110</f>
        <v>0</v>
      </c>
      <c r="L17" s="106">
        <f t="shared" si="0"/>
        <v>18.6572</v>
      </c>
      <c r="M17" s="106">
        <v>-0.00280000000020664</v>
      </c>
      <c r="N17" s="37"/>
      <c r="O17" s="15"/>
      <c r="P17" s="15"/>
      <c r="Q17" s="34"/>
      <c r="R17" s="37"/>
      <c r="S17" s="15"/>
      <c r="T17" s="15"/>
      <c r="U17" s="15"/>
      <c r="V17" s="15"/>
      <c r="W17" s="14"/>
      <c r="X17" s="42">
        <f t="shared" si="1"/>
        <v>-0.0028</v>
      </c>
    </row>
    <row r="18" spans="1:24" x14ac:dyDescent="0.25">
      <c r="A18" s="14"/>
      <c r="B18" s="115">
        <v>14</v>
      </c>
      <c r="C18" s="115">
        <v>4.02</v>
      </c>
      <c r="D18" s="117" t="s">
        <v>100</v>
      </c>
      <c r="E18" s="106">
        <f>'2019'!BH112</f>
        <v>0</v>
      </c>
      <c r="F18" s="106">
        <f>'2019'!BH113</f>
        <v>0</v>
      </c>
      <c r="G18" s="106">
        <f>'2019'!BH114</f>
        <v>0</v>
      </c>
      <c r="H18" s="106">
        <f>'2019'!BH115</f>
        <v>0</v>
      </c>
      <c r="I18" s="106">
        <f>'2019'!BH116</f>
        <v>-0.002400000001</v>
      </c>
      <c r="J18" s="106">
        <f>'2019'!BH117</f>
        <v>0</v>
      </c>
      <c r="K18" s="106">
        <f>'2019'!BH118</f>
        <v>0</v>
      </c>
      <c r="L18" s="106">
        <f t="shared" si="0"/>
        <v>-0.002400000002</v>
      </c>
      <c r="M18" s="106">
        <v>-0.00240000000121654</v>
      </c>
      <c r="N18" s="34"/>
      <c r="W18" s="14"/>
      <c r="X18" s="42">
        <f t="shared" si="1"/>
        <v>-0.002400000001</v>
      </c>
    </row>
    <row r="19" spans="1:24" x14ac:dyDescent="0.25">
      <c r="A19" s="14"/>
      <c r="B19" s="115">
        <v>16</v>
      </c>
      <c r="C19" s="115">
        <v>3.98</v>
      </c>
      <c r="D19" s="117" t="s">
        <v>103</v>
      </c>
      <c r="E19" s="106">
        <f>'2019'!BH120</f>
        <v>0</v>
      </c>
      <c r="F19" s="106">
        <f>'2019'!BH121</f>
        <v>238.83</v>
      </c>
      <c r="G19" s="106">
        <f>'2019'!BH122</f>
        <v>37.12</v>
      </c>
      <c r="H19" s="106">
        <f>'2019'!BH123</f>
        <v>0</v>
      </c>
      <c r="I19" s="106">
        <f>'2019'!BH124</f>
        <v>0.0024</v>
      </c>
      <c r="J19" s="106">
        <f>'2019'!BH125</f>
        <v>0</v>
      </c>
      <c r="K19" s="106">
        <f>'2019'!BH126</f>
        <v>0</v>
      </c>
      <c r="L19" s="106">
        <f t="shared" si="0"/>
        <v>275.9524</v>
      </c>
      <c r="M19" s="106">
        <v>0.00240000000030705</v>
      </c>
      <c r="N19" s="34"/>
      <c r="W19" s="14"/>
      <c r="X19" s="42">
        <f t="shared" si="1"/>
        <v>0.0024</v>
      </c>
    </row>
    <row r="20" spans="1:24" x14ac:dyDescent="0.25">
      <c r="A20" s="14"/>
      <c r="B20" s="115">
        <v>17</v>
      </c>
      <c r="C20" s="116">
        <v>4</v>
      </c>
      <c r="D20" s="117" t="s">
        <v>106</v>
      </c>
      <c r="E20" s="106">
        <f>'2019'!BH128</f>
        <v>0</v>
      </c>
      <c r="F20" s="106">
        <f>'2019'!BH129</f>
        <v>-17.39</v>
      </c>
      <c r="G20" s="106">
        <f>'2019'!BH130</f>
        <v>-18.56</v>
      </c>
      <c r="H20" s="106">
        <f>'2019'!BH131</f>
        <v>0</v>
      </c>
      <c r="I20" s="106">
        <f>'2019'!BH132</f>
        <v>0</v>
      </c>
      <c r="J20" s="106">
        <f>'2019'!BH133</f>
        <v>0</v>
      </c>
      <c r="K20" s="106">
        <f>'2019'!BH1134</f>
      </c>
      <c r="L20" s="106">
        <f t="shared" si="0"/>
        <v>-35.95</v>
      </c>
      <c r="M20" s="106">
        <v>0</v>
      </c>
      <c r="N20" s="34"/>
      <c r="W20" s="14"/>
      <c r="X20" s="42">
        <f t="shared" si="1"/>
        <v>0</v>
      </c>
    </row>
    <row r="21" ht="15.75" customHeight="1" spans="1:24" x14ac:dyDescent="0.25">
      <c r="A21" s="14"/>
      <c r="B21" s="115">
        <v>18</v>
      </c>
      <c r="C21" s="115">
        <v>4.03</v>
      </c>
      <c r="D21" s="117" t="s">
        <v>109</v>
      </c>
      <c r="E21" s="106">
        <f>'2019'!BH136</f>
        <v>0</v>
      </c>
      <c r="F21" s="106">
        <f>'2019'!BH137</f>
        <v>40</v>
      </c>
      <c r="G21" s="106">
        <f>'2019'!BH138</f>
        <v>-1.07</v>
      </c>
      <c r="H21" s="106">
        <f>'2019'!BH139</f>
        <v>0</v>
      </c>
      <c r="I21" s="106">
        <f>'2019'!BH140</f>
        <v>-0.003599999999</v>
      </c>
      <c r="J21" s="106">
        <f>'2019'!BH141</f>
        <v>0</v>
      </c>
      <c r="K21" s="106">
        <f>'2019'!BH142</f>
        <v>0</v>
      </c>
      <c r="L21" s="106">
        <f t="shared" si="0"/>
        <v>38.9264</v>
      </c>
      <c r="M21" s="106">
        <v>-0.00359999999909633</v>
      </c>
      <c r="N21" s="34"/>
      <c r="W21" s="14"/>
      <c r="X21" s="42">
        <f t="shared" si="1"/>
        <v>-0.003599999999</v>
      </c>
    </row>
    <row r="22" ht="15.75" customHeight="1" spans="1:24" x14ac:dyDescent="0.25">
      <c r="A22" s="21"/>
      <c r="B22" s="115">
        <v>19</v>
      </c>
      <c r="C22" s="116">
        <v>4.1</v>
      </c>
      <c r="D22" s="117" t="s">
        <v>113</v>
      </c>
      <c r="E22" s="106">
        <f>'2019'!BH144</f>
        <v>16.71</v>
      </c>
      <c r="F22" s="106">
        <f>'2019'!BH145</f>
        <v>0</v>
      </c>
      <c r="G22" s="106">
        <f>'2019'!BH146</f>
        <v>0</v>
      </c>
      <c r="H22" s="106">
        <f>'2019'!BH147</f>
        <v>0</v>
      </c>
      <c r="I22" s="106">
        <f>'2019'!BH148</f>
        <v>-0.002</v>
      </c>
      <c r="J22" s="106">
        <f>'2019'!BH149</f>
        <v>0</v>
      </c>
      <c r="K22" s="106">
        <f>'2019'!BH150</f>
        <v>474.25</v>
      </c>
      <c r="L22" s="106">
        <f t="shared" si="0"/>
        <v>490.958</v>
      </c>
      <c r="M22" s="106">
        <v>-0.00200000000040745</v>
      </c>
      <c r="N22" s="34"/>
      <c r="W22" s="14"/>
      <c r="X22" s="42">
        <f t="shared" si="1"/>
        <v>-0.002</v>
      </c>
    </row>
    <row r="23" ht="15.75" customHeight="1" spans="1:24" x14ac:dyDescent="0.25">
      <c r="A23" s="114" t="s">
        <v>116</v>
      </c>
      <c r="B23" s="115" t="s">
        <v>117</v>
      </c>
      <c r="C23" s="116">
        <v>8</v>
      </c>
      <c r="D23" s="117" t="s">
        <v>118</v>
      </c>
      <c r="E23" s="106">
        <f>'2019'!BH152</f>
        <v>0</v>
      </c>
      <c r="F23" s="106">
        <f>'2019'!BH153</f>
        <v>188.88</v>
      </c>
      <c r="G23" s="106">
        <f>'2019'!BH154</f>
        <v>-383.64</v>
      </c>
      <c r="H23" s="106">
        <f>'2019'!BH155</f>
        <v>0</v>
      </c>
      <c r="I23" s="106">
        <f>'2019'!BH156</f>
        <v>0</v>
      </c>
      <c r="J23" s="106">
        <f>'2019'!BH157</f>
        <v>0</v>
      </c>
      <c r="K23" s="106">
        <f>'2019'!BH158</f>
        <v>0</v>
      </c>
      <c r="L23" s="106">
        <f t="shared" si="0"/>
        <v>-194.76</v>
      </c>
      <c r="M23" s="106">
        <v>0</v>
      </c>
      <c r="N23" s="34"/>
      <c r="W23" s="14"/>
      <c r="X23" s="42">
        <f t="shared" si="1"/>
        <v>0</v>
      </c>
    </row>
    <row r="24" ht="15.75" customHeight="1" spans="1:24" x14ac:dyDescent="0.25">
      <c r="A24" s="14"/>
      <c r="B24" s="115">
        <v>21</v>
      </c>
      <c r="C24" s="115">
        <v>3.96</v>
      </c>
      <c r="D24" s="117" t="s">
        <v>120</v>
      </c>
      <c r="E24" s="106">
        <f>'2019'!BH160</f>
        <v>0</v>
      </c>
      <c r="F24" s="106">
        <f>'2019'!BH161</f>
        <v>-238.5</v>
      </c>
      <c r="G24" s="106">
        <f>'2019'!BH162</f>
        <v>-269.08</v>
      </c>
      <c r="H24" s="106">
        <f>'2019'!BH163</f>
        <v>0</v>
      </c>
      <c r="I24" s="106">
        <f>'2019'!BH164</f>
        <v>0.004800000001</v>
      </c>
      <c r="J24" s="106">
        <f>'2019'!BH165</f>
        <v>0</v>
      </c>
      <c r="K24" s="106">
        <f>'2019'!BH166</f>
        <v>0</v>
      </c>
      <c r="L24" s="106">
        <f t="shared" si="0"/>
        <v>-507.5752</v>
      </c>
      <c r="M24" s="106">
        <v>0.00480000000061409</v>
      </c>
      <c r="N24" s="37"/>
      <c r="O24" s="15"/>
      <c r="P24" s="34"/>
      <c r="Q24" s="34"/>
      <c r="R24" s="37"/>
      <c r="S24" s="15"/>
      <c r="T24" s="15"/>
      <c r="U24" s="15"/>
      <c r="V24" s="15"/>
      <c r="W24" s="14"/>
      <c r="X24" s="42">
        <f t="shared" si="1"/>
        <v>0.004800000001</v>
      </c>
    </row>
    <row r="25" ht="15.75" customHeight="1" spans="1:24" x14ac:dyDescent="0.25">
      <c r="A25" s="14"/>
      <c r="B25" s="115">
        <v>23</v>
      </c>
      <c r="C25" s="115">
        <v>3.98</v>
      </c>
      <c r="D25" s="117" t="s">
        <v>124</v>
      </c>
      <c r="E25" s="106">
        <f>'2019'!BH168</f>
        <v>0</v>
      </c>
      <c r="F25" s="106">
        <f>'2019'!BH169</f>
        <v>104.04</v>
      </c>
      <c r="G25" s="106">
        <f>'2019'!BH170</f>
        <v>0</v>
      </c>
      <c r="H25" s="106">
        <f>'2019'!BH171</f>
        <v>0</v>
      </c>
      <c r="I25" s="106">
        <f>'2019'!BH172</f>
        <v>0.0024</v>
      </c>
      <c r="J25" s="106">
        <f>'2019'!BH173</f>
        <v>0</v>
      </c>
      <c r="K25" s="106">
        <f>'2019'!BH174</f>
        <v>0</v>
      </c>
      <c r="L25" s="106">
        <f t="shared" si="0"/>
        <v>104.0424</v>
      </c>
      <c r="M25" s="106">
        <v>0.00240000000030705</v>
      </c>
      <c r="N25" s="34"/>
      <c r="W25" s="14"/>
      <c r="X25" s="42">
        <f t="shared" si="1"/>
        <v>0.0024</v>
      </c>
    </row>
    <row r="26" ht="15.75" customHeight="1" spans="1:24" x14ac:dyDescent="0.25">
      <c r="A26" s="14"/>
      <c r="B26" s="115">
        <v>24</v>
      </c>
      <c r="C26" s="115">
        <v>4.01</v>
      </c>
      <c r="D26" s="117" t="s">
        <v>127</v>
      </c>
      <c r="E26" s="106">
        <f>'2019'!BH176</f>
        <v>0</v>
      </c>
      <c r="F26" s="106">
        <f>'2019'!BH177</f>
        <v>-39.64</v>
      </c>
      <c r="G26" s="106">
        <f>'2019'!BH178</f>
        <v>-37.12</v>
      </c>
      <c r="H26" s="106">
        <f>'2019'!BH179</f>
        <v>0</v>
      </c>
      <c r="I26" s="106">
        <f>'2019'!BH180</f>
        <v>-0.001200000001</v>
      </c>
      <c r="J26" s="106">
        <f>'2019'!BH181</f>
        <v>0</v>
      </c>
      <c r="K26" s="106">
        <f>'2019'!BH182</f>
        <v>0</v>
      </c>
      <c r="L26" s="106">
        <f t="shared" si="0"/>
        <v>-76.7612</v>
      </c>
      <c r="M26" s="106">
        <v>-0.00120000000060827</v>
      </c>
      <c r="N26" s="34"/>
      <c r="W26" s="14"/>
      <c r="X26" s="42">
        <f t="shared" si="1"/>
        <v>-0.001200000001</v>
      </c>
    </row>
    <row r="27" ht="15.75" customHeight="1" spans="1:24" x14ac:dyDescent="0.25">
      <c r="A27" s="14"/>
      <c r="B27" s="115">
        <v>25</v>
      </c>
      <c r="C27" s="116">
        <v>4</v>
      </c>
      <c r="D27" s="117" t="s">
        <v>131</v>
      </c>
      <c r="E27" s="106">
        <f>'2019'!BH184</f>
        <v>3.02</v>
      </c>
      <c r="F27" s="106">
        <f>'2019'!BH185</f>
        <v>-66.11</v>
      </c>
      <c r="G27" s="106">
        <f>'2019'!BH186</f>
        <v>0</v>
      </c>
      <c r="H27" s="106">
        <f>'2019'!BH187</f>
        <v>0</v>
      </c>
      <c r="I27" s="106">
        <f>'2019'!BH188</f>
        <v>0</v>
      </c>
      <c r="J27" s="106">
        <f>'2019'!BH189</f>
        <v>0</v>
      </c>
      <c r="K27" s="106">
        <f>'2019'!BH190</f>
        <v>0</v>
      </c>
      <c r="L27" s="106">
        <f t="shared" si="0"/>
        <v>-63.09</v>
      </c>
      <c r="M27" s="106">
        <v>0</v>
      </c>
      <c r="N27" s="37"/>
      <c r="O27" s="15"/>
      <c r="P27" s="34"/>
      <c r="Q27" s="34"/>
      <c r="R27" s="37"/>
      <c r="S27" s="15"/>
      <c r="T27" s="15"/>
      <c r="U27" s="15"/>
      <c r="V27" s="15"/>
      <c r="W27" s="14"/>
      <c r="X27" s="42">
        <f t="shared" si="1"/>
        <v>0</v>
      </c>
    </row>
    <row r="28" ht="15.75" customHeight="1" spans="1:24" x14ac:dyDescent="0.25">
      <c r="A28" s="14"/>
      <c r="B28" s="115">
        <v>26</v>
      </c>
      <c r="C28" s="115">
        <v>3.98</v>
      </c>
      <c r="D28" s="117" t="s">
        <v>133</v>
      </c>
      <c r="E28" s="106">
        <f>'2019'!BH192</f>
        <v>5277.46</v>
      </c>
      <c r="F28" s="106">
        <f>'2019'!BH193</f>
        <v>0</v>
      </c>
      <c r="G28" s="106">
        <f>'2019'!BH194</f>
        <v>0</v>
      </c>
      <c r="H28" s="106">
        <f>'2019'!BH195</f>
        <v>0</v>
      </c>
      <c r="I28" s="106">
        <f>'2019'!BH196</f>
        <v>20150.2624</v>
      </c>
      <c r="J28" s="106">
        <f>'2019'!BH197</f>
        <v>16527</v>
      </c>
      <c r="K28" s="106">
        <f>'2019'!BH198</f>
        <v>1950</v>
      </c>
      <c r="L28" s="106">
        <f t="shared" si="0"/>
        <v>43904.7224</v>
      </c>
      <c r="M28" s="106">
        <v>36677.2624</v>
      </c>
      <c r="N28" s="37">
        <f t="shared" ref="N28:N29" si="2">IF(O28&gt;0,O28-1,$N$1)</f>
        <v>31</v>
      </c>
      <c r="O28" s="15"/>
      <c r="P28" s="15"/>
      <c r="Q28" s="15"/>
      <c r="R28" s="15"/>
      <c r="S28" s="15"/>
      <c r="T28" s="15"/>
      <c r="U28" s="15"/>
      <c r="V28" s="15"/>
      <c r="W28" s="160">
        <f t="shared" ref="W28:W29" si="3">ROUND(0.01%*(M28*N28+Q28*R28+U28*V28),2)</f>
        <v>113.7</v>
      </c>
      <c r="X28" s="42">
        <f t="shared" si="1"/>
        <v>36677.2624</v>
      </c>
    </row>
    <row r="29" ht="15.75" customHeight="1" spans="1:24" x14ac:dyDescent="0.25">
      <c r="A29" s="14"/>
      <c r="B29" s="115">
        <v>27</v>
      </c>
      <c r="C29" s="115">
        <v>4.04</v>
      </c>
      <c r="D29" s="117" t="s">
        <v>136</v>
      </c>
      <c r="E29" s="106">
        <f>'2019'!BH200</f>
        <v>253.06</v>
      </c>
      <c r="F29" s="106">
        <f>'2019'!BH201</f>
        <v>0</v>
      </c>
      <c r="G29" s="106">
        <f>'2019'!BH202</f>
        <v>0</v>
      </c>
      <c r="H29" s="106">
        <f>'2019'!BH203</f>
        <v>0</v>
      </c>
      <c r="I29" s="106">
        <f>'2019'!BH204</f>
        <v>17934.0352</v>
      </c>
      <c r="J29" s="106">
        <f>'2019'!BH205</f>
        <v>2808</v>
      </c>
      <c r="K29" s="106">
        <f>'2019'!BH206</f>
        <v>1700</v>
      </c>
      <c r="L29" s="106">
        <f t="shared" si="0"/>
        <v>22695.0952</v>
      </c>
      <c r="M29" s="106">
        <v>20742.0352</v>
      </c>
      <c r="N29" s="37">
        <f t="shared" si="2"/>
        <v>31</v>
      </c>
      <c r="O29" s="15"/>
      <c r="P29" s="15"/>
      <c r="Q29" s="15"/>
      <c r="R29" s="15"/>
      <c r="S29" s="15"/>
      <c r="T29" s="15"/>
      <c r="U29" s="15"/>
      <c r="V29" s="15"/>
      <c r="W29" s="160">
        <f t="shared" si="3"/>
        <v>64.3</v>
      </c>
      <c r="X29" s="42">
        <f t="shared" si="1"/>
        <v>20742.0352</v>
      </c>
    </row>
    <row r="30" ht="15.75" customHeight="1" spans="1:24" x14ac:dyDescent="0.25">
      <c r="A30" s="14"/>
      <c r="B30" s="115" t="s">
        <v>139</v>
      </c>
      <c r="C30" s="115">
        <v>8.01</v>
      </c>
      <c r="D30" s="117" t="s">
        <v>140</v>
      </c>
      <c r="E30" s="106">
        <f>'2019'!BH208</f>
        <v>0</v>
      </c>
      <c r="F30" s="106">
        <f>'2019'!BH209</f>
        <v>1982.5</v>
      </c>
      <c r="G30" s="106">
        <f>'2019'!BH210</f>
        <v>0</v>
      </c>
      <c r="H30" s="106">
        <f>'2019'!BH211</f>
        <v>0</v>
      </c>
      <c r="I30" s="106">
        <f>'2019'!BH212</f>
        <v>-0.001199999999</v>
      </c>
      <c r="J30" s="106">
        <f>'2019'!BH213</f>
        <v>0</v>
      </c>
      <c r="K30" s="106">
        <f>'2019'!BH214</f>
        <v>0</v>
      </c>
      <c r="L30" s="106">
        <f t="shared" si="0"/>
        <v>1982.4988</v>
      </c>
      <c r="M30" s="106">
        <v>-0.00119999999878928</v>
      </c>
      <c r="N30" s="34"/>
      <c r="W30" s="14"/>
      <c r="X30" s="42">
        <f t="shared" si="1"/>
        <v>-0.001199999999</v>
      </c>
    </row>
    <row r="31" ht="15.75" customHeight="1" spans="1:24" x14ac:dyDescent="0.25">
      <c r="A31" s="14"/>
      <c r="B31" s="115">
        <v>29</v>
      </c>
      <c r="C31" s="115">
        <v>4.02</v>
      </c>
      <c r="D31" s="117" t="s">
        <v>146</v>
      </c>
      <c r="E31" s="106">
        <f>'2019'!BH216</f>
        <v>0</v>
      </c>
      <c r="F31" s="106">
        <f>'2019'!BH217</f>
        <v>0</v>
      </c>
      <c r="G31" s="106">
        <f>'2019'!BH218</f>
        <v>-1.76</v>
      </c>
      <c r="H31" s="106">
        <f>'2019'!BH219</f>
        <v>0</v>
      </c>
      <c r="I31" s="106">
        <f>'2019'!BH220</f>
        <v>-0.0024</v>
      </c>
      <c r="J31" s="106">
        <f>'2019'!BH221</f>
        <v>0</v>
      </c>
      <c r="K31" s="106">
        <f>'2019'!BH222</f>
        <v>0</v>
      </c>
      <c r="L31" s="106">
        <f t="shared" si="0"/>
        <v>-1.7624</v>
      </c>
      <c r="M31" s="106">
        <v>-0.00240000000030705</v>
      </c>
      <c r="N31" s="34"/>
      <c r="W31" s="14"/>
      <c r="X31" s="42">
        <f t="shared" si="1"/>
        <v>-0.0024</v>
      </c>
    </row>
    <row r="32" ht="15.75" customHeight="1" spans="1:24" x14ac:dyDescent="0.25">
      <c r="A32" s="14"/>
      <c r="B32" s="115">
        <v>31</v>
      </c>
      <c r="C32" s="116">
        <v>4</v>
      </c>
      <c r="D32" s="117" t="s">
        <v>149</v>
      </c>
      <c r="E32" s="106">
        <f>'2019'!BH224</f>
        <v>0</v>
      </c>
      <c r="F32" s="106">
        <f>'2019'!BH225</f>
        <v>12.5</v>
      </c>
      <c r="G32" s="106">
        <f>'2019'!BH226</f>
        <v>0</v>
      </c>
      <c r="H32" s="106">
        <f>'2019'!BH227</f>
        <v>0</v>
      </c>
      <c r="I32" s="106">
        <f>'2019'!BH228</f>
        <v>0</v>
      </c>
      <c r="J32" s="106">
        <f>'2019'!BH229</f>
        <v>0</v>
      </c>
      <c r="K32" s="106">
        <f>'2019'!BH230</f>
        <v>0</v>
      </c>
      <c r="L32" s="106">
        <f t="shared" si="0"/>
        <v>12.5</v>
      </c>
      <c r="M32" s="106">
        <v>0</v>
      </c>
      <c r="N32" s="34"/>
      <c r="W32" s="14"/>
      <c r="X32" s="42">
        <f t="shared" si="1"/>
        <v>0</v>
      </c>
    </row>
    <row r="33" ht="15.75" customHeight="1" spans="1:24" x14ac:dyDescent="0.25">
      <c r="A33" s="14"/>
      <c r="B33" s="115">
        <v>32</v>
      </c>
      <c r="C33" s="115">
        <v>3.96</v>
      </c>
      <c r="D33" s="117" t="s">
        <v>152</v>
      </c>
      <c r="E33" s="106">
        <f>'2019'!BH232</f>
        <v>14.05</v>
      </c>
      <c r="F33" s="106">
        <f>'2019'!BH233</f>
        <v>37.5</v>
      </c>
      <c r="G33" s="106">
        <f>'2019'!BH234</f>
        <v>0</v>
      </c>
      <c r="H33" s="106">
        <f>'2019'!BH235</f>
        <v>0</v>
      </c>
      <c r="I33" s="106">
        <f>'2019'!BH236</f>
        <v>0.004800000001</v>
      </c>
      <c r="J33" s="106">
        <f>'2019'!BH237</f>
        <v>0</v>
      </c>
      <c r="K33" s="106">
        <f>'2019'!BH238</f>
        <v>0</v>
      </c>
      <c r="L33" s="106">
        <f t="shared" si="0"/>
        <v>51.5548</v>
      </c>
      <c r="M33" s="106">
        <v>0.00480000000061409</v>
      </c>
      <c r="N33" s="34"/>
      <c r="W33" s="14"/>
      <c r="X33" s="42">
        <f t="shared" si="1"/>
        <v>0.004800000001</v>
      </c>
    </row>
    <row r="34" ht="15.75" customHeight="1" spans="1:24" x14ac:dyDescent="0.25">
      <c r="A34" s="14"/>
      <c r="B34" s="115">
        <v>33</v>
      </c>
      <c r="C34" s="115">
        <v>4.01</v>
      </c>
      <c r="D34" s="117" t="s">
        <v>154</v>
      </c>
      <c r="E34" s="106">
        <f>'2019'!BH240</f>
        <v>51.37</v>
      </c>
      <c r="F34" s="106">
        <f>'2019'!BH241</f>
        <v>82.49</v>
      </c>
      <c r="G34" s="106">
        <f>'2019'!BH242</f>
        <v>71.92</v>
      </c>
      <c r="H34" s="106">
        <f>'2019'!BH243</f>
        <v>1203</v>
      </c>
      <c r="I34" s="106">
        <f>'2019'!BH244</f>
        <v>-95.5712</v>
      </c>
      <c r="J34" s="106">
        <f>'2019'!BH245</f>
        <v>1000</v>
      </c>
      <c r="K34" s="106">
        <f>'2019'!BH246</f>
        <v>850</v>
      </c>
      <c r="L34" s="106">
        <f t="shared" si="0"/>
        <v>3163.2088</v>
      </c>
      <c r="M34" s="106">
        <v>904.428799999998</v>
      </c>
      <c r="N34" s="37">
        <f t="shared" ref="N34:N35" si="4">IF(O34&gt;0,O34-1,$N$1)</f>
        <v>31</v>
      </c>
      <c r="S34" s="15"/>
      <c r="T34" s="15"/>
      <c r="U34" s="15"/>
      <c r="V34" s="15"/>
      <c r="W34" s="160">
        <f t="shared" ref="W34:W35" si="5">ROUND(0.01%*(M34*N34+Q34*R34+U34*V34),2)</f>
        <v>2.8</v>
      </c>
      <c r="X34" s="42">
        <f t="shared" si="1"/>
        <v>904.4288</v>
      </c>
    </row>
    <row r="35" ht="15.75" customHeight="1" spans="1:24" x14ac:dyDescent="0.25">
      <c r="A35" s="14"/>
      <c r="B35" s="115">
        <v>34</v>
      </c>
      <c r="C35" s="115">
        <v>4.01</v>
      </c>
      <c r="D35" s="117" t="s">
        <v>155</v>
      </c>
      <c r="E35" s="106">
        <f>'2019'!BH248</f>
        <v>70.92</v>
      </c>
      <c r="F35" s="106">
        <f>'2019'!BH249</f>
        <v>-205.1</v>
      </c>
      <c r="G35" s="106">
        <f>'2019'!BH250</f>
        <v>30.58</v>
      </c>
      <c r="H35" s="106">
        <f>'2019'!BH251</f>
        <v>0</v>
      </c>
      <c r="I35" s="106">
        <f>'2019'!BH252</f>
        <v>4811.9988</v>
      </c>
      <c r="J35" s="106">
        <f>'2019'!BH253</f>
        <v>1000</v>
      </c>
      <c r="K35" s="106">
        <f>'2019'!BH254</f>
        <v>0</v>
      </c>
      <c r="L35" s="106">
        <f t="shared" si="0"/>
        <v>5708.3988</v>
      </c>
      <c r="M35" s="106">
        <v>5811.9988</v>
      </c>
      <c r="N35" s="37">
        <f t="shared" si="4"/>
        <v>31</v>
      </c>
      <c r="O35" s="15"/>
      <c r="P35" s="15"/>
      <c r="Q35" s="15"/>
      <c r="R35" s="15"/>
      <c r="S35" s="15"/>
      <c r="T35" s="15"/>
      <c r="U35" s="15"/>
      <c r="V35" s="15"/>
      <c r="W35" s="160">
        <f t="shared" si="5"/>
        <v>18.02</v>
      </c>
      <c r="X35" s="42">
        <f t="shared" si="1"/>
        <v>5811.9988</v>
      </c>
    </row>
    <row r="36" ht="15.75" customHeight="1" spans="1:24" x14ac:dyDescent="0.25">
      <c r="A36" s="14"/>
      <c r="B36" s="115">
        <v>35</v>
      </c>
      <c r="C36" s="115">
        <v>4.01</v>
      </c>
      <c r="D36" s="117" t="s">
        <v>157</v>
      </c>
      <c r="E36" s="106">
        <f>'2019'!BH256</f>
        <v>0</v>
      </c>
      <c r="F36" s="106">
        <f>'2019'!BH257</f>
        <v>0</v>
      </c>
      <c r="G36" s="106">
        <f>'2019'!BH258</f>
        <v>-2.36</v>
      </c>
      <c r="H36" s="106">
        <f>'2019'!BH259</f>
        <v>0</v>
      </c>
      <c r="I36" s="106">
        <f>'2019'!BH260</f>
        <v>-0.0012</v>
      </c>
      <c r="J36" s="106">
        <f>'2019'!BH261</f>
        <v>0</v>
      </c>
      <c r="K36" s="106">
        <f>'2019'!BH262</f>
        <v>0</v>
      </c>
      <c r="L36" s="106">
        <f t="shared" si="0"/>
        <v>-2.3612</v>
      </c>
      <c r="M36" s="106">
        <v>-0.00119999999969878</v>
      </c>
      <c r="N36" s="34"/>
      <c r="W36" s="14"/>
      <c r="X36" s="42">
        <f t="shared" si="1"/>
        <v>-0.0012</v>
      </c>
    </row>
    <row r="37" ht="15.75" customHeight="1" spans="1:24" x14ac:dyDescent="0.25">
      <c r="A37" s="14"/>
      <c r="B37" s="115">
        <v>36</v>
      </c>
      <c r="C37" s="115">
        <v>4.03</v>
      </c>
      <c r="D37" s="117" t="s">
        <v>160</v>
      </c>
      <c r="E37" s="106">
        <f>'2019'!BH264</f>
        <v>0</v>
      </c>
      <c r="F37" s="106">
        <f>'2019'!BH265</f>
        <v>65.47</v>
      </c>
      <c r="G37" s="106">
        <f>'2019'!BH266</f>
        <v>0</v>
      </c>
      <c r="H37" s="106">
        <f>'2019'!BH267</f>
        <v>0</v>
      </c>
      <c r="I37" s="106">
        <f>'2019'!BH268</f>
        <v>-0.003599999999</v>
      </c>
      <c r="J37" s="106">
        <f>'2019'!BH269</f>
        <v>0</v>
      </c>
      <c r="K37" s="106">
        <f>'2019'!BH270</f>
        <v>0</v>
      </c>
      <c r="L37" s="106">
        <f t="shared" si="0"/>
        <v>65.4664</v>
      </c>
      <c r="M37" s="106">
        <v>-0.00359999999909633</v>
      </c>
      <c r="N37" s="34"/>
      <c r="W37" s="14"/>
      <c r="X37" s="42">
        <f t="shared" si="1"/>
        <v>-0.003599999999</v>
      </c>
    </row>
    <row r="38" ht="15.75" customHeight="1" spans="1:24" x14ac:dyDescent="0.25">
      <c r="A38" s="14"/>
      <c r="B38" s="115">
        <v>37</v>
      </c>
      <c r="C38" s="115">
        <v>4.06</v>
      </c>
      <c r="D38" s="117" t="s">
        <v>162</v>
      </c>
      <c r="E38" s="106">
        <f>'2019'!BH272</f>
        <v>0</v>
      </c>
      <c r="F38" s="106">
        <f>'2019'!BH273</f>
        <v>0</v>
      </c>
      <c r="G38" s="106">
        <f>'2019'!BH274</f>
        <v>-4.46</v>
      </c>
      <c r="H38" s="106">
        <f>'2019'!BH275</f>
        <v>0</v>
      </c>
      <c r="I38" s="106">
        <f>'2019'!BH276</f>
        <v>0.002799999999</v>
      </c>
      <c r="J38" s="106">
        <f>'2019'!BH277</f>
        <v>0</v>
      </c>
      <c r="K38" s="106">
        <f>'2019'!BH278</f>
        <v>0</v>
      </c>
      <c r="L38" s="106">
        <f t="shared" si="0"/>
        <v>-4.4572</v>
      </c>
      <c r="M38" s="106">
        <v>0.00279999999929714</v>
      </c>
      <c r="N38" s="34"/>
      <c r="W38" s="14"/>
      <c r="X38" s="42">
        <f t="shared" si="1"/>
        <v>0.002799999999</v>
      </c>
    </row>
    <row r="39" ht="15.75" customHeight="1" spans="1:24" x14ac:dyDescent="0.25">
      <c r="A39" s="14"/>
      <c r="B39" s="115">
        <v>38</v>
      </c>
      <c r="C39" s="115">
        <v>4.34</v>
      </c>
      <c r="D39" s="117" t="s">
        <v>167</v>
      </c>
      <c r="E39" s="106">
        <f>'2019'!BH280</f>
        <v>0</v>
      </c>
      <c r="F39" s="106">
        <f>'2019'!BH281</f>
        <v>2.5</v>
      </c>
      <c r="G39" s="106">
        <f>'2019'!BH282</f>
        <v>362.49</v>
      </c>
      <c r="H39" s="106">
        <f>'2019'!BH283</f>
        <v>0</v>
      </c>
      <c r="I39" s="106">
        <f>'2019'!BH284</f>
        <v>-0.0007999999998</v>
      </c>
      <c r="J39" s="106">
        <f>'2019'!BH285</f>
        <v>0</v>
      </c>
      <c r="K39" s="106">
        <f>'2019'!BH285</f>
        <v>0</v>
      </c>
      <c r="L39" s="106">
        <f t="shared" si="0"/>
        <v>364.9892</v>
      </c>
      <c r="M39" s="106">
        <v>-0.000799999999799184</v>
      </c>
      <c r="N39" s="34"/>
      <c r="W39" s="14"/>
      <c r="X39" s="42">
        <f t="shared" si="1"/>
        <v>-0.0007999999998</v>
      </c>
    </row>
    <row r="40" ht="15.75" customHeight="1" spans="1:24" x14ac:dyDescent="0.25">
      <c r="A40" s="21"/>
      <c r="B40" s="115">
        <v>39</v>
      </c>
      <c r="C40" s="116">
        <v>4</v>
      </c>
      <c r="D40" s="117" t="s">
        <v>169</v>
      </c>
      <c r="E40" s="106">
        <f>'2019'!BH288</f>
        <v>8.7</v>
      </c>
      <c r="F40" s="106">
        <f>'2019'!BH289</f>
        <v>-444.05</v>
      </c>
      <c r="G40" s="106">
        <f>'2019'!BH290</f>
        <v>0</v>
      </c>
      <c r="H40" s="106">
        <f>'2019'!BH291</f>
        <v>0</v>
      </c>
      <c r="I40" s="106">
        <f>'2019'!BH292</f>
        <v>0</v>
      </c>
      <c r="J40" s="106">
        <f>'2019'!BH293</f>
        <v>0</v>
      </c>
      <c r="K40" s="106">
        <f>'2019'!BH294</f>
        <v>0</v>
      </c>
      <c r="L40" s="106">
        <f t="shared" si="0"/>
        <v>-435.35</v>
      </c>
      <c r="M40" s="106">
        <v>0</v>
      </c>
      <c r="N40" s="37"/>
      <c r="O40" s="15"/>
      <c r="P40" s="15"/>
      <c r="Q40" s="34"/>
      <c r="R40" s="37"/>
      <c r="S40" s="15"/>
      <c r="T40" s="15"/>
      <c r="U40" s="15"/>
      <c r="V40" s="15"/>
      <c r="W40" s="14"/>
      <c r="X40" s="42">
        <f t="shared" si="1"/>
        <v>0</v>
      </c>
    </row>
    <row r="41" ht="15.75" customHeight="1" spans="1:24" x14ac:dyDescent="0.25">
      <c r="A41" s="114" t="s">
        <v>173</v>
      </c>
      <c r="B41" s="115">
        <v>40</v>
      </c>
      <c r="C41" s="115">
        <v>4.92</v>
      </c>
      <c r="D41" s="117" t="s">
        <v>174</v>
      </c>
      <c r="E41" s="106">
        <f>'2019'!BH296</f>
        <v>0</v>
      </c>
      <c r="F41" s="106">
        <f>'2019'!BH297</f>
        <v>2612.73</v>
      </c>
      <c r="G41" s="106">
        <f>'2019'!BH298</f>
        <v>-0.87</v>
      </c>
      <c r="H41" s="106">
        <f>'2019'!BH299</f>
        <v>0</v>
      </c>
      <c r="I41" s="106">
        <f>'2019'!BH300</f>
        <v>-0.000399999999</v>
      </c>
      <c r="J41" s="106">
        <f>'2019'!BH301</f>
        <v>0</v>
      </c>
      <c r="K41" s="106">
        <f>'2019'!BH302</f>
        <v>0</v>
      </c>
      <c r="L41" s="106">
        <f t="shared" si="0"/>
        <v>2611.8596</v>
      </c>
      <c r="M41" s="106">
        <v>-0.000399999998990097</v>
      </c>
      <c r="N41" s="34"/>
      <c r="W41" s="14"/>
      <c r="X41" s="42">
        <f t="shared" si="1"/>
        <v>-0.000399999999</v>
      </c>
    </row>
    <row r="42" ht="15.75" customHeight="1" spans="1:24" x14ac:dyDescent="0.25">
      <c r="A42" s="14"/>
      <c r="B42" s="115">
        <v>41</v>
      </c>
      <c r="C42" s="115">
        <v>4.87</v>
      </c>
      <c r="D42" s="117" t="s">
        <v>177</v>
      </c>
      <c r="E42" s="106">
        <f>'2019'!BH304</f>
        <v>26.67</v>
      </c>
      <c r="F42" s="106">
        <f>'2019'!BH305</f>
        <v>-20</v>
      </c>
      <c r="G42" s="106">
        <f>'2019'!BH306</f>
        <v>0</v>
      </c>
      <c r="H42" s="106">
        <f>'2019'!BH307</f>
        <v>0</v>
      </c>
      <c r="I42" s="106">
        <f>'2019'!BH308</f>
        <v>-0.004399999999</v>
      </c>
      <c r="J42" s="106">
        <f>'2019'!BH309</f>
        <v>0</v>
      </c>
      <c r="K42" s="106">
        <f>'2019'!BH310</f>
        <v>0</v>
      </c>
      <c r="L42" s="106">
        <f t="shared" si="0"/>
        <v>6.6656</v>
      </c>
      <c r="M42" s="106">
        <v>-0.00439999999889551</v>
      </c>
      <c r="N42" s="34"/>
      <c r="W42" s="14"/>
      <c r="X42" s="42">
        <f t="shared" si="1"/>
        <v>-0.004399999999</v>
      </c>
    </row>
    <row r="43" ht="15.75" customHeight="1" spans="1:24" x14ac:dyDescent="0.25">
      <c r="A43" s="14"/>
      <c r="B43" s="115">
        <v>42</v>
      </c>
      <c r="C43" s="116">
        <v>4.9</v>
      </c>
      <c r="D43" s="161" t="s">
        <v>181</v>
      </c>
      <c r="E43" s="106">
        <f>'2019'!BH312</f>
        <v>83.94</v>
      </c>
      <c r="F43" s="106">
        <f>'2019'!BH313</f>
        <v>0</v>
      </c>
      <c r="G43" s="106">
        <f>'2019'!BH314</f>
        <v>129.92</v>
      </c>
      <c r="H43" s="106">
        <f>'2019'!BH315</f>
        <v>0</v>
      </c>
      <c r="I43" s="106">
        <f>'2019'!BH316</f>
        <v>5880.002</v>
      </c>
      <c r="J43" s="106">
        <f>'2019'!BH317</f>
        <v>1000</v>
      </c>
      <c r="K43" s="106">
        <f>'2019'!BH318</f>
        <v>500</v>
      </c>
      <c r="L43" s="106">
        <f t="shared" si="0"/>
        <v>7593.862</v>
      </c>
      <c r="M43" s="106">
        <v>6880.002</v>
      </c>
      <c r="N43" s="37">
        <f>IF(O43&gt;0,O43-1,$N$1)</f>
        <v>31</v>
      </c>
      <c r="O43" s="15"/>
      <c r="P43" s="15"/>
      <c r="Q43" s="15"/>
      <c r="R43" s="15"/>
      <c r="S43" s="15"/>
      <c r="T43" s="15"/>
      <c r="U43" s="15"/>
      <c r="V43" s="15"/>
      <c r="W43" s="160">
        <f>ROUND(0.01%*(M43*N43+Q43*R43+U43*V43),2)</f>
        <v>21.33</v>
      </c>
      <c r="X43" s="42">
        <f t="shared" si="1"/>
        <v>6880.002</v>
      </c>
    </row>
    <row r="44" ht="15.75" customHeight="1" spans="1:24" x14ac:dyDescent="0.25">
      <c r="A44" s="14"/>
      <c r="B44" s="115">
        <v>43</v>
      </c>
      <c r="C44" s="115">
        <v>4.96</v>
      </c>
      <c r="D44" s="117" t="s">
        <v>185</v>
      </c>
      <c r="E44" s="106">
        <f>'2019'!BH320</f>
        <v>0</v>
      </c>
      <c r="F44" s="106">
        <f>'2019'!BH321</f>
        <v>-327.87</v>
      </c>
      <c r="G44" s="106">
        <f>'2019'!BH322</f>
        <v>204.14</v>
      </c>
      <c r="H44" s="106">
        <f>'2019'!BH323</f>
        <v>0</v>
      </c>
      <c r="I44" s="106">
        <f>'2019'!BH324</f>
        <v>-47.9952</v>
      </c>
      <c r="J44" s="106">
        <f>'2019'!BH325</f>
        <v>0</v>
      </c>
      <c r="K44" s="106">
        <f>'2019'!BH326</f>
        <v>0</v>
      </c>
      <c r="L44" s="106">
        <f t="shared" si="0"/>
        <v>-171.7252</v>
      </c>
      <c r="M44" s="106">
        <v>-47.9951999999994</v>
      </c>
      <c r="N44" s="34"/>
      <c r="W44" s="14"/>
      <c r="X44" s="42">
        <f t="shared" si="1"/>
        <v>-47.9952</v>
      </c>
    </row>
    <row r="45" ht="15.75" customHeight="1" spans="1:24" x14ac:dyDescent="0.25">
      <c r="A45" s="14"/>
      <c r="B45" s="115">
        <v>44</v>
      </c>
      <c r="C45" s="115">
        <v>4.01</v>
      </c>
      <c r="D45" s="117" t="s">
        <v>188</v>
      </c>
      <c r="E45" s="106">
        <f>'2019'!BH328</f>
        <v>8.72</v>
      </c>
      <c r="F45" s="106">
        <f>'2019'!BH329</f>
        <v>25</v>
      </c>
      <c r="G45" s="106">
        <f>'2019'!BH330</f>
        <v>-0.12</v>
      </c>
      <c r="H45" s="106">
        <f>'2019'!BH331</f>
        <v>0</v>
      </c>
      <c r="I45" s="106">
        <f>'2019'!BH332</f>
        <v>-0.001200000001</v>
      </c>
      <c r="J45" s="106">
        <f>'2019'!BH333</f>
        <v>0</v>
      </c>
      <c r="K45" s="106">
        <f>'2019'!BH334</f>
        <v>0</v>
      </c>
      <c r="L45" s="106">
        <f t="shared" si="0"/>
        <v>33.5988</v>
      </c>
      <c r="M45" s="106">
        <v>-0.00120000000060827</v>
      </c>
      <c r="N45" s="37"/>
      <c r="O45" s="15"/>
      <c r="P45" s="34"/>
      <c r="Q45" s="34"/>
      <c r="R45" s="37"/>
      <c r="S45" s="15"/>
      <c r="T45" s="15"/>
      <c r="U45" s="15"/>
      <c r="V45" s="15"/>
      <c r="W45" s="14"/>
      <c r="X45" s="42">
        <f t="shared" si="1"/>
        <v>-0.001200000001</v>
      </c>
    </row>
    <row r="46" ht="15.75" customHeight="1" spans="1:24" x14ac:dyDescent="0.25">
      <c r="A46" s="14"/>
      <c r="B46" s="115">
        <v>45</v>
      </c>
      <c r="C46" s="115">
        <v>5.04</v>
      </c>
      <c r="D46" s="117" t="s">
        <v>189</v>
      </c>
      <c r="E46" s="106">
        <f>'2019'!BH336</f>
        <v>0</v>
      </c>
      <c r="F46" s="106">
        <f>'2019'!BH337</f>
        <v>2.5</v>
      </c>
      <c r="G46" s="106">
        <f>'2019'!BH338</f>
        <v>18.56</v>
      </c>
      <c r="H46" s="106">
        <f>'2019'!BH339</f>
        <v>0</v>
      </c>
      <c r="I46" s="106">
        <f>'2019'!BH340</f>
        <v>-0.0048</v>
      </c>
      <c r="J46" s="106">
        <f>'2019'!BH341</f>
        <v>0</v>
      </c>
      <c r="K46" s="106">
        <f>'2019'!BH342</f>
        <v>0</v>
      </c>
      <c r="L46" s="106">
        <f t="shared" si="0"/>
        <v>21.0552</v>
      </c>
      <c r="M46" s="106">
        <v>-0.0047999999997046</v>
      </c>
      <c r="N46" s="34"/>
      <c r="W46" s="14"/>
      <c r="X46" s="42">
        <f t="shared" si="1"/>
        <v>-0.0048</v>
      </c>
    </row>
    <row r="47" ht="15.75" customHeight="1" spans="1:24" x14ac:dyDescent="0.25">
      <c r="A47" s="14"/>
      <c r="B47" s="115">
        <v>46</v>
      </c>
      <c r="C47" s="116">
        <v>4</v>
      </c>
      <c r="D47" s="117" t="s">
        <v>188</v>
      </c>
      <c r="E47" s="106">
        <f>'2019'!BH344</f>
        <v>0</v>
      </c>
      <c r="F47" s="106">
        <f>'2019'!BH345</f>
        <v>270</v>
      </c>
      <c r="G47" s="106">
        <f>'2019'!BH346</f>
        <v>-55.13</v>
      </c>
      <c r="H47" s="106">
        <f>'2019'!BH347</f>
        <v>0</v>
      </c>
      <c r="I47" s="106">
        <f>'2019'!BH348</f>
        <v>0</v>
      </c>
      <c r="J47" s="106">
        <f>'2019'!BH349</f>
        <v>0</v>
      </c>
      <c r="K47" s="106">
        <f>'2019'!BH350</f>
        <v>0</v>
      </c>
      <c r="L47" s="106">
        <f t="shared" si="0"/>
        <v>214.87</v>
      </c>
      <c r="M47" s="106">
        <v>0</v>
      </c>
      <c r="N47" s="34"/>
      <c r="W47" s="14"/>
      <c r="X47" s="42">
        <f t="shared" si="1"/>
        <v>0</v>
      </c>
    </row>
    <row r="48" ht="15.75" customHeight="1" spans="1:24" x14ac:dyDescent="0.25">
      <c r="A48" s="14"/>
      <c r="B48" s="115">
        <v>47</v>
      </c>
      <c r="C48" s="116">
        <v>5</v>
      </c>
      <c r="D48" s="117" t="s">
        <v>192</v>
      </c>
      <c r="E48" s="106">
        <f>'2019'!BH352</f>
        <v>0</v>
      </c>
      <c r="F48" s="106">
        <f>'2019'!BH353</f>
        <v>0</v>
      </c>
      <c r="G48" s="106">
        <f>'2019'!BH354</f>
        <v>55.1</v>
      </c>
      <c r="H48" s="106">
        <f>'2019'!BH355</f>
        <v>0</v>
      </c>
      <c r="I48" s="106">
        <f>'2019'!BH356</f>
        <v>0</v>
      </c>
      <c r="J48" s="106">
        <f>'2019'!BH357</f>
        <v>0</v>
      </c>
      <c r="K48" s="106">
        <f>'2019'!BH358</f>
        <v>0</v>
      </c>
      <c r="L48" s="106">
        <f t="shared" si="0"/>
        <v>55.1</v>
      </c>
      <c r="M48" s="106">
        <v>0</v>
      </c>
      <c r="N48" s="34"/>
      <c r="W48" s="14"/>
      <c r="X48" s="42">
        <f t="shared" si="1"/>
        <v>0</v>
      </c>
    </row>
    <row r="49" ht="15.75" customHeight="1" spans="1:24" x14ac:dyDescent="0.25">
      <c r="A49" s="14"/>
      <c r="B49" s="115">
        <v>48</v>
      </c>
      <c r="C49" s="115">
        <v>5.93</v>
      </c>
      <c r="D49" s="117" t="s">
        <v>97</v>
      </c>
      <c r="E49" s="106">
        <f>'2019'!BH360</f>
        <v>17.86</v>
      </c>
      <c r="F49" s="106">
        <f>'2019'!BH361</f>
        <v>0</v>
      </c>
      <c r="G49" s="106">
        <f>'2019'!BH362</f>
        <v>85</v>
      </c>
      <c r="H49" s="106">
        <f>'2019'!BH363</f>
        <v>0</v>
      </c>
      <c r="I49" s="106">
        <f>'2019'!BH364</f>
        <v>-0.0016</v>
      </c>
      <c r="J49" s="106">
        <f>'2019'!BH365</f>
        <v>0</v>
      </c>
      <c r="K49" s="106">
        <f>'2019'!BH366</f>
        <v>0</v>
      </c>
      <c r="L49" s="106">
        <f t="shared" si="0"/>
        <v>102.8584</v>
      </c>
      <c r="M49" s="106">
        <v>-0.00159999999959837</v>
      </c>
      <c r="N49" s="37"/>
      <c r="O49" s="15"/>
      <c r="P49" s="34"/>
      <c r="Q49" s="34"/>
      <c r="R49" s="37"/>
      <c r="S49" s="15"/>
      <c r="T49" s="15"/>
      <c r="U49" s="15"/>
      <c r="V49" s="15"/>
      <c r="W49" s="14"/>
      <c r="X49" s="42">
        <f t="shared" si="1"/>
        <v>-0.0016</v>
      </c>
    </row>
    <row r="50" ht="15.75" customHeight="1" spans="1:24" x14ac:dyDescent="0.25">
      <c r="A50" s="14"/>
      <c r="B50" s="115">
        <v>49</v>
      </c>
      <c r="C50" s="115">
        <v>5.03</v>
      </c>
      <c r="D50" s="117" t="s">
        <v>197</v>
      </c>
      <c r="E50" s="106">
        <f>'2019'!BH368</f>
        <v>0</v>
      </c>
      <c r="F50" s="106">
        <f>'2019'!BH369</f>
        <v>0</v>
      </c>
      <c r="G50" s="106">
        <f>'2019'!BH370</f>
        <v>-20.7</v>
      </c>
      <c r="H50" s="106">
        <f>'2019'!BH371</f>
        <v>0</v>
      </c>
      <c r="I50" s="106">
        <f>'2019'!BH372</f>
        <v>-0.003599999999</v>
      </c>
      <c r="J50" s="106">
        <f>'2019'!BH373</f>
        <v>0</v>
      </c>
      <c r="K50" s="106">
        <f>'2019'!BH374</f>
        <v>0</v>
      </c>
      <c r="L50" s="106">
        <f t="shared" si="0"/>
        <v>-20.7036</v>
      </c>
      <c r="M50" s="106">
        <v>-0.00359999999909633</v>
      </c>
      <c r="N50" s="34"/>
      <c r="W50" s="14"/>
      <c r="X50" s="42">
        <f t="shared" si="1"/>
        <v>-0.003599999999</v>
      </c>
    </row>
    <row r="51" ht="15.75" customHeight="1" spans="1:24" x14ac:dyDescent="0.25">
      <c r="A51" s="14"/>
      <c r="B51" s="115">
        <v>50</v>
      </c>
      <c r="C51" s="115">
        <v>6.05</v>
      </c>
      <c r="D51" s="117" t="s">
        <v>200</v>
      </c>
      <c r="E51" s="106">
        <f>'2019'!BH376</f>
        <v>4.02</v>
      </c>
      <c r="F51" s="106">
        <f>'2019'!BH377</f>
        <v>52.5</v>
      </c>
      <c r="G51" s="106">
        <f>'2019'!BH378</f>
        <v>-0.32</v>
      </c>
      <c r="H51" s="106">
        <f>'2019'!BH379</f>
        <v>0</v>
      </c>
      <c r="I51" s="106">
        <f>'2019'!BH380</f>
        <v>0.004000000001</v>
      </c>
      <c r="J51" s="106">
        <f>'2019'!BH381</f>
        <v>0</v>
      </c>
      <c r="K51" s="106">
        <f>'2019'!BH382</f>
        <v>0</v>
      </c>
      <c r="L51" s="106">
        <f t="shared" si="0"/>
        <v>56.204</v>
      </c>
      <c r="M51" s="106">
        <v>0.00400000000081491</v>
      </c>
      <c r="N51" s="34"/>
      <c r="W51" s="14"/>
      <c r="X51" s="42">
        <f t="shared" si="1"/>
        <v>0.004000000001</v>
      </c>
    </row>
    <row r="52" ht="15.75" customHeight="1" spans="1:24" x14ac:dyDescent="0.25">
      <c r="A52" s="14"/>
      <c r="B52" s="115">
        <v>51</v>
      </c>
      <c r="C52" s="115">
        <v>4.95</v>
      </c>
      <c r="D52" s="117" t="s">
        <v>204</v>
      </c>
      <c r="E52" s="106">
        <f>'2019'!BH384</f>
        <v>8.33</v>
      </c>
      <c r="F52" s="106">
        <f>'2019'!BH385</f>
        <v>0</v>
      </c>
      <c r="G52" s="106">
        <f>'2019'!BH386</f>
        <v>13.12</v>
      </c>
      <c r="H52" s="106">
        <f>'2019'!BH387</f>
        <v>0</v>
      </c>
      <c r="I52" s="106">
        <f>'2019'!BH388</f>
        <v>-0.004</v>
      </c>
      <c r="J52" s="106">
        <f>'2019'!BH389</f>
        <v>0</v>
      </c>
      <c r="K52" s="106">
        <f>'2019'!BH390</f>
        <v>0</v>
      </c>
      <c r="L52" s="106">
        <f t="shared" si="0"/>
        <v>21.446</v>
      </c>
      <c r="M52" s="106">
        <v>-0.00399999999990541</v>
      </c>
      <c r="N52" s="37"/>
      <c r="O52" s="15"/>
      <c r="P52" s="34"/>
      <c r="Q52" s="34"/>
      <c r="R52" s="37"/>
      <c r="S52" s="15"/>
      <c r="T52" s="15"/>
      <c r="U52" s="15"/>
      <c r="V52" s="15"/>
      <c r="W52" s="14"/>
      <c r="X52" s="42">
        <f t="shared" si="1"/>
        <v>-0.004</v>
      </c>
    </row>
    <row r="53" ht="15.75" customHeight="1" spans="1:24" x14ac:dyDescent="0.25">
      <c r="A53" s="14"/>
      <c r="B53" s="115">
        <v>52</v>
      </c>
      <c r="C53" s="116">
        <v>5</v>
      </c>
      <c r="D53" s="117" t="s">
        <v>206</v>
      </c>
      <c r="E53" s="106">
        <f>'2019'!BH392</f>
        <v>0</v>
      </c>
      <c r="F53" s="106">
        <f>'2019'!BH393</f>
        <v>9.2</v>
      </c>
      <c r="G53" s="106">
        <f>'2019'!BH394</f>
        <v>37.12</v>
      </c>
      <c r="H53" s="106">
        <f>'2019'!BH395</f>
        <v>0</v>
      </c>
      <c r="I53" s="106">
        <f>'2019'!BH396</f>
        <v>0</v>
      </c>
      <c r="J53" s="106">
        <f>'2019'!BH397</f>
        <v>0</v>
      </c>
      <c r="K53" s="106">
        <f>'2019'!BH398</f>
        <v>0</v>
      </c>
      <c r="L53" s="106">
        <f t="shared" si="0"/>
        <v>46.32</v>
      </c>
      <c r="M53" s="106">
        <v>0</v>
      </c>
      <c r="N53" s="34"/>
      <c r="W53" s="14"/>
      <c r="X53" s="42">
        <f t="shared" si="1"/>
        <v>0</v>
      </c>
    </row>
    <row r="54" ht="15.75" customHeight="1" spans="1:24" x14ac:dyDescent="0.25">
      <c r="A54" s="14"/>
      <c r="B54" s="115">
        <v>53</v>
      </c>
      <c r="C54" s="115">
        <v>5.05</v>
      </c>
      <c r="D54" s="117" t="s">
        <v>210</v>
      </c>
      <c r="E54" s="106">
        <f>'2019'!BH400</f>
        <v>0</v>
      </c>
      <c r="F54" s="106">
        <f>'2019'!BH401</f>
        <v>-1853.27</v>
      </c>
      <c r="G54" s="106">
        <f>'2019'!BH402</f>
        <v>-1206.52</v>
      </c>
      <c r="H54" s="106">
        <f>'2019'!BH403</f>
        <v>0</v>
      </c>
      <c r="I54" s="106">
        <f>'2019'!BH404</f>
        <v>-39.996</v>
      </c>
      <c r="J54" s="106">
        <f>'2019'!BH405</f>
        <v>0</v>
      </c>
      <c r="K54" s="106">
        <f>'2019'!BH406</f>
        <v>-5</v>
      </c>
      <c r="L54" s="106">
        <f t="shared" si="0"/>
        <v>-3104.786</v>
      </c>
      <c r="M54" s="106">
        <v>-39.9959999999992</v>
      </c>
      <c r="N54" s="34"/>
      <c r="W54" s="14"/>
      <c r="X54" s="42">
        <f t="shared" si="1"/>
        <v>-39.996</v>
      </c>
    </row>
    <row r="55" ht="15.75" customHeight="1" spans="1:24" x14ac:dyDescent="0.25">
      <c r="A55" s="14"/>
      <c r="B55" s="115">
        <v>54</v>
      </c>
      <c r="C55" s="115">
        <v>5.54</v>
      </c>
      <c r="D55" s="117" t="s">
        <v>212</v>
      </c>
      <c r="E55" s="106">
        <f>'2019'!BH408</f>
        <v>4.53</v>
      </c>
      <c r="F55" s="106">
        <f>'2019'!BH409</f>
        <v>17.27</v>
      </c>
      <c r="G55" s="106">
        <f>'2019'!BH410</f>
        <v>-122.74</v>
      </c>
      <c r="H55" s="106">
        <f>'2019'!BH411</f>
        <v>0</v>
      </c>
      <c r="I55" s="106">
        <f>'2019'!BH412</f>
        <v>-0.0048</v>
      </c>
      <c r="J55" s="106">
        <f>'2019'!BH413</f>
        <v>0</v>
      </c>
      <c r="K55" s="106">
        <f>'2019'!BH414</f>
        <v>0</v>
      </c>
      <c r="L55" s="106">
        <f t="shared" si="0"/>
        <v>-100.9448</v>
      </c>
      <c r="M55" s="106">
        <v>-0.0047999999997046</v>
      </c>
      <c r="N55" s="37"/>
      <c r="O55" s="15"/>
      <c r="P55" s="15"/>
      <c r="Q55" s="34"/>
      <c r="R55" s="37"/>
      <c r="S55" s="15"/>
      <c r="T55" s="15"/>
      <c r="U55" s="15"/>
      <c r="V55" s="15"/>
      <c r="W55" s="14"/>
      <c r="X55" s="42">
        <f t="shared" si="1"/>
        <v>-0.0048</v>
      </c>
    </row>
    <row r="56" ht="15.75" customHeight="1" spans="1:24" x14ac:dyDescent="0.25">
      <c r="A56" s="21"/>
      <c r="B56" s="115">
        <v>55</v>
      </c>
      <c r="C56" s="116">
        <v>5.5</v>
      </c>
      <c r="D56" s="117" t="s">
        <v>214</v>
      </c>
      <c r="E56" s="106">
        <f>'2019'!BH416</f>
        <v>0</v>
      </c>
      <c r="F56" s="106">
        <f>'2019'!BH417</f>
        <v>152.5</v>
      </c>
      <c r="G56" s="106">
        <f>'2019'!BH418</f>
        <v>-28.16</v>
      </c>
      <c r="H56" s="106">
        <f>'2019'!BH419</f>
        <v>0</v>
      </c>
      <c r="I56" s="106">
        <f>'2019'!BH420</f>
        <v>0</v>
      </c>
      <c r="J56" s="106">
        <f>'2019'!BH421</f>
        <v>0</v>
      </c>
      <c r="K56" s="106">
        <f>'2019'!BH422</f>
        <v>0</v>
      </c>
      <c r="L56" s="106">
        <f t="shared" si="0"/>
        <v>124.34</v>
      </c>
      <c r="M56" s="106">
        <v>0</v>
      </c>
      <c r="N56" s="34"/>
      <c r="W56" s="14"/>
      <c r="X56" s="42">
        <f t="shared" si="1"/>
        <v>0</v>
      </c>
    </row>
    <row r="57" ht="15.75" customHeight="1" spans="1:24" x14ac:dyDescent="0.25">
      <c r="A57" s="114" t="s">
        <v>217</v>
      </c>
      <c r="B57" s="115">
        <v>56</v>
      </c>
      <c r="C57" s="115">
        <v>6.23</v>
      </c>
      <c r="D57" s="161" t="s">
        <v>218</v>
      </c>
      <c r="E57" s="106">
        <f>'2019'!BH424</f>
        <v>0</v>
      </c>
      <c r="F57" s="106">
        <f>'2019'!BH425</f>
        <v>1165</v>
      </c>
      <c r="G57" s="106">
        <f>'2019'!BH426</f>
        <v>0</v>
      </c>
      <c r="H57" s="106">
        <f>'2019'!BH427</f>
        <v>0</v>
      </c>
      <c r="I57" s="106">
        <f>'2019'!BH428</f>
        <v>0.002400000002</v>
      </c>
      <c r="J57" s="106">
        <f>'2019'!BH429</f>
        <v>0</v>
      </c>
      <c r="K57" s="106">
        <f>'2019'!BH430</f>
        <v>0</v>
      </c>
      <c r="L57" s="106">
        <f t="shared" si="0"/>
        <v>1165.0024</v>
      </c>
      <c r="M57" s="106">
        <v>0.00240000000212603</v>
      </c>
      <c r="N57" s="34"/>
      <c r="W57" s="14"/>
      <c r="X57" s="42">
        <f t="shared" si="1"/>
        <v>0.002400000002</v>
      </c>
    </row>
    <row r="58" ht="15.75" customHeight="1" spans="1:24" x14ac:dyDescent="0.25">
      <c r="A58" s="14"/>
      <c r="B58" s="115">
        <v>57</v>
      </c>
      <c r="C58" s="116">
        <v>4</v>
      </c>
      <c r="D58" s="117" t="s">
        <v>221</v>
      </c>
      <c r="E58" s="106">
        <f>'2019'!BH432</f>
        <v>107.24</v>
      </c>
      <c r="F58" s="106">
        <f>'2019'!BH433</f>
        <v>4.98</v>
      </c>
      <c r="G58" s="106">
        <f>'2019'!BH434</f>
        <v>0</v>
      </c>
      <c r="H58" s="106">
        <f>'2019'!BH435</f>
        <v>1200</v>
      </c>
      <c r="I58" s="106">
        <f>'2019'!BH436</f>
        <v>7790.02</v>
      </c>
      <c r="J58" s="106">
        <f>'2019'!BH437</f>
        <v>1000</v>
      </c>
      <c r="K58" s="106">
        <f>'2019'!BH438</f>
        <v>850</v>
      </c>
      <c r="L58" s="106">
        <f t="shared" si="0"/>
        <v>10952.24</v>
      </c>
      <c r="M58" s="106">
        <v>8790.02</v>
      </c>
      <c r="N58" s="37">
        <f t="shared" ref="N58:N59" si="6">IF(O58&gt;0,O58-1,$N$1)</f>
        <v>31</v>
      </c>
      <c r="O58" s="15"/>
      <c r="P58" s="15"/>
      <c r="Q58" s="15"/>
      <c r="R58" s="15"/>
      <c r="S58" s="15"/>
      <c r="T58" s="15"/>
      <c r="U58" s="15"/>
      <c r="V58" s="15"/>
      <c r="W58" s="160">
        <f t="shared" ref="W58:W59" si="7">ROUND(0.01%*(M58*N58+Q58*R58+U58*V58),2)</f>
        <v>27.25</v>
      </c>
      <c r="X58" s="42">
        <f t="shared" si="1"/>
        <v>8790.02</v>
      </c>
    </row>
    <row r="59" ht="15.75" customHeight="1" spans="1:24" x14ac:dyDescent="0.25">
      <c r="A59" s="14"/>
      <c r="B59" s="115">
        <v>59</v>
      </c>
      <c r="C59" s="116">
        <v>4</v>
      </c>
      <c r="D59" s="117" t="s">
        <v>221</v>
      </c>
      <c r="E59" s="106">
        <f>'2019'!BH440</f>
        <v>962.98</v>
      </c>
      <c r="F59" s="106">
        <f>'2019'!BH441</f>
        <v>0</v>
      </c>
      <c r="G59" s="106">
        <f>'2019'!BH442</f>
        <v>0</v>
      </c>
      <c r="H59" s="106">
        <f>'2019'!BH443</f>
        <v>0</v>
      </c>
      <c r="I59" s="106">
        <f>'2019'!BH444</f>
        <v>17851.52</v>
      </c>
      <c r="J59" s="106">
        <f>'2019'!BH445</f>
        <v>16000</v>
      </c>
      <c r="K59" s="106">
        <f>'2019'!BH446</f>
        <v>1700</v>
      </c>
      <c r="L59" s="106">
        <f t="shared" si="0"/>
        <v>36514.5</v>
      </c>
      <c r="M59" s="106">
        <v>33851.52</v>
      </c>
      <c r="N59" s="37">
        <f t="shared" si="6"/>
        <v>31</v>
      </c>
      <c r="O59" s="15"/>
      <c r="P59" s="15"/>
      <c r="Q59" s="15"/>
      <c r="R59" s="15"/>
      <c r="S59" s="15"/>
      <c r="T59" s="15"/>
      <c r="U59" s="15"/>
      <c r="V59" s="15"/>
      <c r="W59" s="160">
        <f t="shared" si="7"/>
        <v>104.94</v>
      </c>
      <c r="X59" s="42">
        <f t="shared" si="1"/>
        <v>33851.52</v>
      </c>
    </row>
    <row r="60" ht="15.75" customHeight="1" spans="1:24" x14ac:dyDescent="0.25">
      <c r="A60" s="14"/>
      <c r="B60" s="115">
        <v>58</v>
      </c>
      <c r="C60" s="115">
        <v>5.08</v>
      </c>
      <c r="D60" s="117" t="s">
        <v>223</v>
      </c>
      <c r="E60" s="106">
        <f>'2019'!BH448</f>
        <v>0</v>
      </c>
      <c r="F60" s="106">
        <f>'2019'!BH449</f>
        <v>-49.41</v>
      </c>
      <c r="G60" s="106">
        <f>'2019'!BH450</f>
        <v>0</v>
      </c>
      <c r="H60" s="106">
        <f>'2019'!BH451</f>
        <v>0</v>
      </c>
      <c r="I60" s="106">
        <f>'2019'!BH452</f>
        <v>0.0003999999999</v>
      </c>
      <c r="J60" s="106">
        <f>'2019'!BH453</f>
        <v>0</v>
      </c>
      <c r="K60" s="106">
        <f>'2019'!BH454</f>
        <v>0</v>
      </c>
      <c r="L60" s="106">
        <f t="shared" si="0"/>
        <v>-49.4096</v>
      </c>
      <c r="M60" s="106">
        <v>0.000399999999899592</v>
      </c>
      <c r="N60" s="34"/>
      <c r="W60" s="14"/>
      <c r="X60" s="42">
        <f t="shared" si="1"/>
        <v>0.0003999999999</v>
      </c>
    </row>
    <row r="61" ht="15.75" customHeight="1" spans="1:24" x14ac:dyDescent="0.25">
      <c r="A61" s="14"/>
      <c r="B61" s="115">
        <v>60</v>
      </c>
      <c r="C61" s="116">
        <v>4.4</v>
      </c>
      <c r="D61" s="117" t="s">
        <v>227</v>
      </c>
      <c r="E61" s="106">
        <f>'2019'!BH456</f>
        <v>0</v>
      </c>
      <c r="F61" s="106">
        <f>'2019'!BH457</f>
        <v>327.02</v>
      </c>
      <c r="G61" s="106">
        <f>'2019'!BH458</f>
        <v>0</v>
      </c>
      <c r="H61" s="106">
        <f>'2019'!BH459</f>
        <v>0</v>
      </c>
      <c r="I61" s="106">
        <f>'2019'!BH460</f>
        <v>0.002</v>
      </c>
      <c r="J61" s="106">
        <f>'2019'!BH461</f>
        <v>0</v>
      </c>
      <c r="K61" s="106">
        <f>'2019'!BH462</f>
        <v>0</v>
      </c>
      <c r="L61" s="106">
        <f t="shared" si="0"/>
        <v>327.022</v>
      </c>
      <c r="M61" s="106">
        <v>0.00200000000040745</v>
      </c>
      <c r="N61" s="34"/>
      <c r="W61" s="14"/>
      <c r="X61" s="42">
        <f t="shared" si="1"/>
        <v>0.002</v>
      </c>
    </row>
    <row r="62" ht="15.75" customHeight="1" spans="1:24" x14ac:dyDescent="0.25">
      <c r="A62" s="14"/>
      <c r="B62" s="115">
        <v>61</v>
      </c>
      <c r="C62" s="115">
        <v>4.71</v>
      </c>
      <c r="D62" s="117" t="s">
        <v>231</v>
      </c>
      <c r="E62" s="106">
        <f>'2019'!BH464</f>
        <v>0</v>
      </c>
      <c r="F62" s="106">
        <f>'2019'!BH465</f>
        <v>38.91</v>
      </c>
      <c r="G62" s="106">
        <f>'2019'!BH466</f>
        <v>37.12</v>
      </c>
      <c r="H62" s="106">
        <f>'2019'!BH467</f>
        <v>0</v>
      </c>
      <c r="I62" s="106">
        <f>'2019'!BH468</f>
        <v>0.004800000001</v>
      </c>
      <c r="J62" s="106">
        <f>'2019'!BH469</f>
        <v>0</v>
      </c>
      <c r="K62" s="106">
        <f>'2019'!BH470</f>
        <v>0</v>
      </c>
      <c r="L62" s="106">
        <f t="shared" si="0"/>
        <v>76.0348</v>
      </c>
      <c r="M62" s="106">
        <v>0.00480000000061409</v>
      </c>
      <c r="N62" s="34"/>
      <c r="W62" s="14"/>
      <c r="X62" s="42">
        <f t="shared" si="1"/>
        <v>0.004800000001</v>
      </c>
    </row>
    <row r="63" ht="15.75" customHeight="1" spans="1:24" x14ac:dyDescent="0.25">
      <c r="A63" s="14"/>
      <c r="B63" s="115">
        <v>62</v>
      </c>
      <c r="C63" s="116">
        <v>4.6</v>
      </c>
      <c r="D63" s="117" t="s">
        <v>234</v>
      </c>
      <c r="E63" s="106">
        <f>'2019'!BH472</f>
        <v>0</v>
      </c>
      <c r="F63" s="106">
        <f>'2019'!BH473</f>
        <v>55</v>
      </c>
      <c r="G63" s="106">
        <f>'2019'!BH474</f>
        <v>51.64</v>
      </c>
      <c r="H63" s="106">
        <f>'2019'!BH475</f>
        <v>0</v>
      </c>
      <c r="I63" s="106">
        <f>'2019'!BH476</f>
        <v>-0.001999999999</v>
      </c>
      <c r="J63" s="106">
        <f>'2019'!BH477</f>
        <v>0</v>
      </c>
      <c r="K63" s="106">
        <f>'2019'!BH478</f>
        <v>0</v>
      </c>
      <c r="L63" s="106">
        <f t="shared" si="0"/>
        <v>106.638</v>
      </c>
      <c r="M63" s="106">
        <v>-0.00199999999949796</v>
      </c>
      <c r="N63" s="34"/>
      <c r="W63" s="14"/>
      <c r="X63" s="42">
        <f t="shared" si="1"/>
        <v>-0.001999999999</v>
      </c>
    </row>
    <row r="64" ht="15.75" customHeight="1" spans="1:24" x14ac:dyDescent="0.25">
      <c r="A64" s="14"/>
      <c r="B64" s="115" t="s">
        <v>237</v>
      </c>
      <c r="C64" s="115">
        <v>8.02</v>
      </c>
      <c r="D64" s="117" t="s">
        <v>238</v>
      </c>
      <c r="E64" s="106">
        <f>'2019'!BH480</f>
        <v>0</v>
      </c>
      <c r="F64" s="106">
        <f>'2019'!BH481</f>
        <v>12.03</v>
      </c>
      <c r="G64" s="106">
        <f>'2019'!BH482</f>
        <v>0</v>
      </c>
      <c r="H64" s="106">
        <f>'2019'!BH483</f>
        <v>0</v>
      </c>
      <c r="I64" s="106">
        <f>'2019'!BH484</f>
        <v>-0.002399999999</v>
      </c>
      <c r="J64" s="106">
        <f>'2019'!BH485</f>
        <v>0</v>
      </c>
      <c r="K64" s="106">
        <f>'2019'!BH486</f>
        <v>0</v>
      </c>
      <c r="L64" s="106">
        <f t="shared" si="0"/>
        <v>12.0276</v>
      </c>
      <c r="M64" s="106">
        <v>-0.00239999999939755</v>
      </c>
      <c r="N64" s="34"/>
      <c r="W64" s="14"/>
      <c r="X64" s="42">
        <f t="shared" si="1"/>
        <v>-0.002399999999</v>
      </c>
    </row>
    <row r="65" ht="15.75" customHeight="1" spans="1:24" x14ac:dyDescent="0.25">
      <c r="A65" s="14"/>
      <c r="B65" s="115">
        <v>64</v>
      </c>
      <c r="C65" s="115">
        <v>4.24</v>
      </c>
      <c r="D65" s="117" t="s">
        <v>241</v>
      </c>
      <c r="E65" s="106">
        <f>'2019'!BH488</f>
        <v>0</v>
      </c>
      <c r="F65" s="106">
        <f>'2019'!BH489</f>
        <v>-226.69</v>
      </c>
      <c r="G65" s="106">
        <f>'2019'!BH490</f>
        <v>-627.4</v>
      </c>
      <c r="H65" s="106">
        <f>'2019'!BH491</f>
        <v>0</v>
      </c>
      <c r="I65" s="106">
        <f>'2019'!BH492</f>
        <v>0.1012</v>
      </c>
      <c r="J65" s="106">
        <f>'2019'!BH493</f>
        <v>0</v>
      </c>
      <c r="K65" s="106">
        <f>'2019'!BH494</f>
        <v>500</v>
      </c>
      <c r="L65" s="106">
        <f t="shared" si="0"/>
        <v>-353.9888</v>
      </c>
      <c r="M65" s="106">
        <v>0.101200000000063</v>
      </c>
      <c r="N65" s="37">
        <f t="shared" ref="N65:N66" si="8">IF(O65&gt;0,O65-1,$N$1)</f>
        <v>31</v>
      </c>
      <c r="O65" s="15"/>
      <c r="P65" s="15"/>
      <c r="Q65" s="15"/>
      <c r="R65" s="15"/>
      <c r="S65" s="15"/>
      <c r="T65" s="15"/>
      <c r="U65" s="15"/>
      <c r="V65" s="15"/>
      <c r="W65" s="160">
        <f t="shared" ref="W65:W66" si="9">ROUND(0.01%*(M65*N65+Q65*R65+U65*V65),2)</f>
        <v>0</v>
      </c>
      <c r="X65" s="42">
        <f t="shared" si="1"/>
        <v>0.1012</v>
      </c>
    </row>
    <row r="66" ht="15.75" customHeight="1" spans="1:24" x14ac:dyDescent="0.25">
      <c r="A66" s="14"/>
      <c r="B66" s="115">
        <v>66</v>
      </c>
      <c r="C66" s="115">
        <v>4.66</v>
      </c>
      <c r="D66" s="117" t="s">
        <v>244</v>
      </c>
      <c r="E66" s="106">
        <f>'2019'!BH496</f>
        <v>80.44</v>
      </c>
      <c r="F66" s="106">
        <f>'2019'!BH497</f>
        <v>0</v>
      </c>
      <c r="G66" s="106">
        <f>'2019'!BH498</f>
        <v>-17.16</v>
      </c>
      <c r="H66" s="106">
        <f>'2019'!BH499</f>
        <v>0</v>
      </c>
      <c r="I66" s="106">
        <f>'2019'!BH500</f>
        <v>5592.0008</v>
      </c>
      <c r="J66" s="106">
        <f>'2019'!BH501</f>
        <v>1000</v>
      </c>
      <c r="K66" s="106">
        <f>'2019'!BH502</f>
        <v>500</v>
      </c>
      <c r="L66" s="106">
        <f t="shared" si="0"/>
        <v>7155.2808</v>
      </c>
      <c r="M66" s="106">
        <v>6592.0008</v>
      </c>
      <c r="N66" s="37">
        <f t="shared" si="8"/>
        <v>31</v>
      </c>
      <c r="O66" s="15"/>
      <c r="P66" s="15"/>
      <c r="Q66" s="15"/>
      <c r="R66" s="15"/>
      <c r="S66" s="15"/>
      <c r="T66" s="15"/>
      <c r="U66" s="15"/>
      <c r="V66" s="15"/>
      <c r="W66" s="160">
        <f t="shared" si="9"/>
        <v>20.44</v>
      </c>
      <c r="X66" s="42">
        <f t="shared" si="1"/>
        <v>6592.0008</v>
      </c>
    </row>
    <row r="67" ht="15.75" customHeight="1" spans="1:24" x14ac:dyDescent="0.25">
      <c r="A67" s="14"/>
      <c r="B67" s="115">
        <v>67</v>
      </c>
      <c r="C67" s="115">
        <v>6.08</v>
      </c>
      <c r="D67" s="117" t="s">
        <v>245</v>
      </c>
      <c r="E67" s="106">
        <f>'2019'!BH504</f>
        <v>0</v>
      </c>
      <c r="F67" s="106">
        <f>'2019'!BH505</f>
        <v>-120.79</v>
      </c>
      <c r="G67" s="106">
        <f>'2019'!BH506</f>
        <v>-300</v>
      </c>
      <c r="H67" s="106">
        <f>'2019'!BH507</f>
        <v>0</v>
      </c>
      <c r="I67" s="106">
        <f>'2019'!BH508</f>
        <v>0.0003999999999</v>
      </c>
      <c r="J67" s="106">
        <f>'2019'!BH509</f>
        <v>0</v>
      </c>
      <c r="K67" s="106">
        <f>'2019'!BH510</f>
        <v>0</v>
      </c>
      <c r="L67" s="106">
        <f t="shared" si="0"/>
        <v>-420.7896</v>
      </c>
      <c r="M67" s="106">
        <v>0.000399999999899592</v>
      </c>
      <c r="N67" s="34"/>
      <c r="W67" s="14"/>
      <c r="X67" s="42">
        <f t="shared" si="1"/>
        <v>0.0003999999999</v>
      </c>
    </row>
    <row r="68" ht="15.75" customHeight="1" spans="1:24" x14ac:dyDescent="0.25">
      <c r="A68" s="14"/>
      <c r="B68" s="115" t="s">
        <v>248</v>
      </c>
      <c r="C68" s="115">
        <v>8.03</v>
      </c>
      <c r="D68" s="117" t="s">
        <v>249</v>
      </c>
      <c r="E68" s="106">
        <f>'2019'!BH512</f>
        <v>0</v>
      </c>
      <c r="F68" s="106">
        <f>'2019'!BH513</f>
        <v>0</v>
      </c>
      <c r="G68" s="106">
        <f>'2019'!BH514</f>
        <v>0</v>
      </c>
      <c r="H68" s="106">
        <f>'2019'!BH515</f>
        <v>0</v>
      </c>
      <c r="I68" s="106">
        <f>'2019'!BH516</f>
        <v>-0.0036</v>
      </c>
      <c r="J68" s="106">
        <f>'2019'!BH517</f>
        <v>0</v>
      </c>
      <c r="K68" s="106">
        <f>'2019'!BH518</f>
        <v>0</v>
      </c>
      <c r="L68" s="106">
        <f t="shared" si="0"/>
        <v>-0.0036</v>
      </c>
      <c r="M68" s="106">
        <v>-0.00360000000000582</v>
      </c>
      <c r="N68" s="34"/>
      <c r="W68" s="14"/>
      <c r="X68" s="42">
        <f t="shared" si="1"/>
        <v>-0.0036</v>
      </c>
    </row>
    <row r="69" ht="15.75" customHeight="1" spans="1:24" x14ac:dyDescent="0.25">
      <c r="A69" s="14"/>
      <c r="B69" s="115">
        <v>69</v>
      </c>
      <c r="C69" s="115">
        <v>4.03</v>
      </c>
      <c r="D69" s="117" t="s">
        <v>253</v>
      </c>
      <c r="E69" s="106">
        <f>'2019'!BH520</f>
        <v>0</v>
      </c>
      <c r="F69" s="106">
        <f>'2019'!BH521</f>
        <v>-36.9</v>
      </c>
      <c r="G69" s="106">
        <f>'2019'!BH522</f>
        <v>0</v>
      </c>
      <c r="H69" s="106">
        <f>'2019'!BH523</f>
        <v>0</v>
      </c>
      <c r="I69" s="106">
        <f>'2019'!BH524</f>
        <v>-0.003599999999</v>
      </c>
      <c r="J69" s="106">
        <f>'2019'!BH525</f>
        <v>0</v>
      </c>
      <c r="K69" s="106">
        <f>'2019'!BH526</f>
        <v>0</v>
      </c>
      <c r="L69" s="106">
        <f t="shared" si="0"/>
        <v>-36.9036</v>
      </c>
      <c r="M69" s="106">
        <v>35.9964000000009</v>
      </c>
      <c r="N69" s="37">
        <f>IF(O69&gt;0,O69-1,$N$1)</f>
        <v>11</v>
      </c>
      <c r="O69" s="15">
        <v>12</v>
      </c>
      <c r="P69" s="34">
        <v>36</v>
      </c>
      <c r="Q69" s="34">
        <f>M69-P69</f>
        <v>-0.003599999999</v>
      </c>
      <c r="R69" s="37">
        <f>IF(S69&gt;0,S69-O69,$N$1-N69)</f>
        <v>20</v>
      </c>
      <c r="S69" s="15"/>
      <c r="T69" s="15"/>
      <c r="U69" s="15"/>
      <c r="V69" s="15"/>
      <c r="W69" s="160">
        <f>ROUND(0.01%*(M69*N69+Q69*R69+U69*V69),2)</f>
        <v>0.04</v>
      </c>
      <c r="X69" s="42">
        <f t="shared" si="1"/>
        <v>-0.003599999999</v>
      </c>
    </row>
    <row r="70" ht="15.75" customHeight="1" spans="1:24" x14ac:dyDescent="0.25">
      <c r="A70" s="14"/>
      <c r="B70" s="115">
        <v>71</v>
      </c>
      <c r="C70" s="115">
        <v>5.98</v>
      </c>
      <c r="D70" s="117" t="s">
        <v>255</v>
      </c>
      <c r="E70" s="106">
        <f>'2019'!BH528</f>
        <v>0</v>
      </c>
      <c r="F70" s="106">
        <f>'2019'!BH529</f>
        <v>4.5</v>
      </c>
      <c r="G70" s="106">
        <f>'2019'!BH530</f>
        <v>39.24</v>
      </c>
      <c r="H70" s="106">
        <f>'2019'!BH531</f>
        <v>0</v>
      </c>
      <c r="I70" s="106">
        <f>'2019'!BH532</f>
        <v>0.002400000001</v>
      </c>
      <c r="J70" s="106">
        <f>'2019'!BH533</f>
        <v>0</v>
      </c>
      <c r="K70" s="106">
        <f>'2019'!BH534</f>
        <v>0</v>
      </c>
      <c r="L70" s="106">
        <f t="shared" si="0"/>
        <v>43.7424</v>
      </c>
      <c r="M70" s="106">
        <v>0.00240000000121654</v>
      </c>
      <c r="N70" s="34"/>
      <c r="W70" s="14"/>
      <c r="X70" s="42">
        <f t="shared" si="1"/>
        <v>0.002400000001</v>
      </c>
    </row>
    <row r="71" ht="15.75" customHeight="1" spans="1:24" x14ac:dyDescent="0.25">
      <c r="A71" s="14"/>
      <c r="B71" s="115">
        <v>72</v>
      </c>
      <c r="C71" s="115">
        <v>4.03</v>
      </c>
      <c r="D71" s="117" t="s">
        <v>257</v>
      </c>
      <c r="E71" s="106">
        <f>'2019'!BH536</f>
        <v>0</v>
      </c>
      <c r="F71" s="106">
        <f>'2019'!BH537</f>
        <v>-30.63</v>
      </c>
      <c r="G71" s="106">
        <f>'2019'!BH538</f>
        <v>-259.46</v>
      </c>
      <c r="H71" s="106">
        <f>'2019'!BH539</f>
        <v>0</v>
      </c>
      <c r="I71" s="106">
        <f>'2019'!BH540</f>
        <v>-0.003599999999</v>
      </c>
      <c r="J71" s="106">
        <f>'2019'!BH541</f>
        <v>0</v>
      </c>
      <c r="K71" s="106">
        <f>'2019'!BH542</f>
        <v>0</v>
      </c>
      <c r="L71" s="106">
        <f t="shared" si="0"/>
        <v>-290.0936</v>
      </c>
      <c r="M71" s="106">
        <v>-0.00359999999909633</v>
      </c>
      <c r="N71" s="34"/>
      <c r="W71" s="14"/>
      <c r="X71" s="42">
        <f t="shared" si="1"/>
        <v>-0.003599999999</v>
      </c>
    </row>
    <row r="72" ht="15.75" customHeight="1" spans="1:24" x14ac:dyDescent="0.25">
      <c r="A72" s="14"/>
      <c r="B72" s="115">
        <v>73</v>
      </c>
      <c r="C72" s="115">
        <v>4.02</v>
      </c>
      <c r="D72" s="117" t="s">
        <v>259</v>
      </c>
      <c r="E72" s="106">
        <f>'2019'!BH544</f>
        <v>6.99</v>
      </c>
      <c r="F72" s="106">
        <f>'2019'!BH545</f>
        <v>0</v>
      </c>
      <c r="G72" s="106">
        <f>'2019'!BH546</f>
        <v>-221.94</v>
      </c>
      <c r="H72" s="106">
        <f>'2019'!BH547</f>
        <v>0</v>
      </c>
      <c r="I72" s="106">
        <f>'2019'!BH548</f>
        <v>-0.0024</v>
      </c>
      <c r="J72" s="106">
        <f>'2019'!BH549</f>
        <v>0</v>
      </c>
      <c r="K72" s="106">
        <f>'2019'!BH550</f>
        <v>0</v>
      </c>
      <c r="L72" s="106">
        <f t="shared" si="0"/>
        <v>-214.9524</v>
      </c>
      <c r="M72" s="106">
        <v>-0.00240000000030705</v>
      </c>
      <c r="N72" s="37"/>
      <c r="O72" s="15"/>
      <c r="P72" s="34"/>
      <c r="Q72" s="34"/>
      <c r="R72" s="37"/>
      <c r="S72" s="15"/>
      <c r="T72" s="15"/>
      <c r="U72" s="15"/>
      <c r="V72" s="15"/>
      <c r="W72" s="14"/>
      <c r="X72" s="42">
        <f t="shared" si="1"/>
        <v>-0.0024</v>
      </c>
    </row>
    <row r="73" ht="15.75" customHeight="1" spans="1:24" x14ac:dyDescent="0.25">
      <c r="A73" s="21"/>
      <c r="B73" s="115">
        <v>74</v>
      </c>
      <c r="C73" s="115">
        <v>4.97</v>
      </c>
      <c r="D73" s="117" t="s">
        <v>262</v>
      </c>
      <c r="E73" s="106">
        <f>'2019'!BH552</f>
        <v>0</v>
      </c>
      <c r="F73" s="106">
        <f>'2019'!BH553</f>
        <v>0</v>
      </c>
      <c r="G73" s="106">
        <f>'2019'!BH554</f>
        <v>61.64</v>
      </c>
      <c r="H73" s="106">
        <f>'2019'!BH555</f>
        <v>0</v>
      </c>
      <c r="I73" s="106">
        <f>'2019'!BH556</f>
        <v>0.0036</v>
      </c>
      <c r="J73" s="106">
        <f>'2019'!BH557</f>
        <v>0</v>
      </c>
      <c r="K73" s="106">
        <f>'2019'!BH558</f>
        <v>0</v>
      </c>
      <c r="L73" s="106">
        <f t="shared" si="0"/>
        <v>61.6436</v>
      </c>
      <c r="M73" s="106">
        <v>0.00360000000000582</v>
      </c>
      <c r="N73" s="34"/>
      <c r="W73" s="14"/>
      <c r="X73" s="42">
        <f t="shared" si="1"/>
        <v>0.0036</v>
      </c>
    </row>
    <row r="74" ht="15.75" customHeight="1" spans="1:24" x14ac:dyDescent="0.25">
      <c r="A74" s="114" t="s">
        <v>264</v>
      </c>
      <c r="B74" s="115">
        <v>75</v>
      </c>
      <c r="C74" s="115">
        <v>4.15</v>
      </c>
      <c r="D74" s="117" t="s">
        <v>265</v>
      </c>
      <c r="E74" s="106">
        <f>'2019'!BH560</f>
        <v>0</v>
      </c>
      <c r="F74" s="106">
        <f>'2019'!BH561</f>
        <v>0</v>
      </c>
      <c r="G74" s="106">
        <f>'2019'!BH562</f>
        <v>-1.72</v>
      </c>
      <c r="H74" s="106">
        <f>'2019'!BH563</f>
        <v>0</v>
      </c>
      <c r="I74" s="106">
        <f>'2019'!BH564</f>
        <v>0.002000000001</v>
      </c>
      <c r="J74" s="106">
        <f>'2019'!BH565</f>
        <v>0</v>
      </c>
      <c r="K74" s="106">
        <f>'2019'!BH566</f>
        <v>0</v>
      </c>
      <c r="L74" s="106">
        <f t="shared" si="0"/>
        <v>-1.718</v>
      </c>
      <c r="M74" s="106">
        <v>0.00200000000131695</v>
      </c>
      <c r="N74" s="34"/>
      <c r="W74" s="14"/>
      <c r="X74" s="42">
        <f t="shared" si="1"/>
        <v>0.002000000001</v>
      </c>
    </row>
    <row r="75" ht="15.75" customHeight="1" spans="1:24" x14ac:dyDescent="0.25">
      <c r="A75" s="14"/>
      <c r="B75" s="115">
        <v>76</v>
      </c>
      <c r="C75" s="115">
        <v>4.15</v>
      </c>
      <c r="D75" s="117" t="s">
        <v>267</v>
      </c>
      <c r="E75" s="106">
        <f>'2019'!BH568</f>
        <v>0</v>
      </c>
      <c r="F75" s="106">
        <f>'2019'!BH569</f>
        <v>0</v>
      </c>
      <c r="G75" s="106">
        <f>'2019'!BH570</f>
        <v>-2.22</v>
      </c>
      <c r="H75" s="106">
        <f>'2019'!BH571</f>
        <v>0</v>
      </c>
      <c r="I75" s="106">
        <f>'2019'!BH572</f>
        <v>0.002000000001</v>
      </c>
      <c r="J75" s="106">
        <f>'2019'!BH573</f>
        <v>0</v>
      </c>
      <c r="K75" s="106">
        <f>'2019'!BH574</f>
        <v>0</v>
      </c>
      <c r="L75" s="106">
        <f t="shared" si="0"/>
        <v>-2.218</v>
      </c>
      <c r="M75" s="106">
        <v>0.00200000000131695</v>
      </c>
      <c r="N75" s="34"/>
      <c r="W75" s="14"/>
      <c r="X75" s="42">
        <f t="shared" si="1"/>
        <v>0.002000000001</v>
      </c>
    </row>
    <row r="76" ht="15.75" customHeight="1" spans="1:24" x14ac:dyDescent="0.25">
      <c r="A76" s="14"/>
      <c r="B76" s="115">
        <v>77</v>
      </c>
      <c r="C76" s="115">
        <v>4.12</v>
      </c>
      <c r="D76" s="117" t="s">
        <v>268</v>
      </c>
      <c r="E76" s="106">
        <f>'2019'!BH576</f>
        <v>0</v>
      </c>
      <c r="F76" s="106">
        <f>'2019'!BH577</f>
        <v>0</v>
      </c>
      <c r="G76" s="106">
        <f>'2019'!BH578</f>
        <v>-16.06</v>
      </c>
      <c r="H76" s="106">
        <f>'2019'!BH579</f>
        <v>0</v>
      </c>
      <c r="I76" s="106">
        <f>'2019'!BH580</f>
        <v>-0.0044</v>
      </c>
      <c r="J76" s="106">
        <f>'2019'!BH581</f>
        <v>0</v>
      </c>
      <c r="K76" s="106">
        <f>'2019'!BH582</f>
        <v>0</v>
      </c>
      <c r="L76" s="106">
        <f t="shared" si="0"/>
        <v>-16.0644</v>
      </c>
      <c r="M76" s="106">
        <v>-0.004399999999805</v>
      </c>
      <c r="N76" s="34"/>
      <c r="W76" s="14"/>
      <c r="X76" s="42">
        <f t="shared" si="1"/>
        <v>-0.0044</v>
      </c>
    </row>
    <row r="77" ht="15.75" customHeight="1" spans="1:24" x14ac:dyDescent="0.25">
      <c r="A77" s="14"/>
      <c r="B77" s="115">
        <v>78</v>
      </c>
      <c r="C77" s="115">
        <v>4.03</v>
      </c>
      <c r="D77" s="117" t="s">
        <v>271</v>
      </c>
      <c r="E77" s="106">
        <f>'2019'!BH584</f>
        <v>0</v>
      </c>
      <c r="F77" s="106">
        <f>'2019'!BH585</f>
        <v>12.5</v>
      </c>
      <c r="G77" s="106">
        <f>'2019'!BH586</f>
        <v>55.55</v>
      </c>
      <c r="H77" s="106">
        <f>'2019'!BH587</f>
        <v>0</v>
      </c>
      <c r="I77" s="106">
        <f>'2019'!BH588</f>
        <v>-0.003599999999</v>
      </c>
      <c r="J77" s="106">
        <f>'2019'!BH589</f>
        <v>0</v>
      </c>
      <c r="K77" s="106">
        <f>'2019'!BH590</f>
        <v>0</v>
      </c>
      <c r="L77" s="106">
        <f t="shared" si="0"/>
        <v>68.0464</v>
      </c>
      <c r="M77" s="106">
        <v>-0.00359999999909633</v>
      </c>
      <c r="N77" s="34"/>
      <c r="W77" s="14"/>
      <c r="X77" s="42">
        <f t="shared" si="1"/>
        <v>-0.003599999999</v>
      </c>
    </row>
    <row r="78" ht="15.75" customHeight="1" spans="1:24" x14ac:dyDescent="0.25">
      <c r="A78" s="14"/>
      <c r="B78" s="115">
        <v>79</v>
      </c>
      <c r="C78" s="115">
        <v>4.24</v>
      </c>
      <c r="D78" s="117" t="s">
        <v>275</v>
      </c>
      <c r="E78" s="106">
        <f>'2019'!BH592</f>
        <v>2011.42</v>
      </c>
      <c r="F78" s="106">
        <f>'2019'!BH593</f>
        <v>69.95</v>
      </c>
      <c r="G78" s="106">
        <f>'2019'!BH594</f>
        <v>37.12</v>
      </c>
      <c r="H78" s="106">
        <f>'2019'!BH595</f>
        <v>0</v>
      </c>
      <c r="I78" s="106">
        <f>'2019'!BH596</f>
        <v>444.6112</v>
      </c>
      <c r="J78" s="106">
        <f>'2019'!BH597</f>
        <v>0</v>
      </c>
      <c r="K78" s="106">
        <f>'2019'!BH598</f>
        <v>0</v>
      </c>
      <c r="L78" s="106">
        <f t="shared" si="0"/>
        <v>2563.1012</v>
      </c>
      <c r="M78" s="106">
        <v>444.6112</v>
      </c>
      <c r="N78" s="37">
        <f>IF(O78&gt;0,O78-1,$N$1)</f>
        <v>31</v>
      </c>
      <c r="O78" s="15"/>
      <c r="P78" s="34"/>
      <c r="Q78" s="34"/>
      <c r="R78" s="37"/>
      <c r="S78" s="15"/>
      <c r="T78" s="15"/>
      <c r="U78" s="15"/>
      <c r="V78" s="15"/>
      <c r="W78" s="160">
        <f>ROUND(0.01%*(M78*N78+Q78*R78+U78*V78),2)</f>
        <v>1.38</v>
      </c>
      <c r="X78" s="42">
        <f t="shared" si="1"/>
        <v>444.6112</v>
      </c>
    </row>
    <row r="79" ht="15.75" customHeight="1" spans="1:24" x14ac:dyDescent="0.25">
      <c r="A79" s="14"/>
      <c r="B79" s="115">
        <v>81</v>
      </c>
      <c r="C79" s="116">
        <v>4.3</v>
      </c>
      <c r="D79" s="117" t="s">
        <v>278</v>
      </c>
      <c r="E79" s="106">
        <f>'2019'!BH600</f>
        <v>0</v>
      </c>
      <c r="F79" s="106">
        <f>'2019'!BH601</f>
        <v>0</v>
      </c>
      <c r="G79" s="106">
        <f>'2019'!BH602</f>
        <v>-0.66</v>
      </c>
      <c r="H79" s="106">
        <f>'2019'!BH603</f>
        <v>0</v>
      </c>
      <c r="I79" s="106">
        <f>'2019'!BH604</f>
        <v>0.004</v>
      </c>
      <c r="J79" s="106">
        <f>'2019'!BH605</f>
        <v>0</v>
      </c>
      <c r="K79" s="106">
        <f>'2019'!BH606</f>
        <v>0</v>
      </c>
      <c r="L79" s="106">
        <f t="shared" si="0"/>
        <v>-0.656</v>
      </c>
      <c r="M79" s="106">
        <v>0.00399999999990541</v>
      </c>
      <c r="N79" s="34"/>
      <c r="W79" s="14"/>
      <c r="X79" s="42">
        <f t="shared" si="1"/>
        <v>0.004</v>
      </c>
    </row>
    <row r="80" ht="15.75" customHeight="1" spans="1:24" x14ac:dyDescent="0.25">
      <c r="A80" s="14"/>
      <c r="B80" s="115">
        <v>83</v>
      </c>
      <c r="C80" s="115">
        <v>4.29</v>
      </c>
      <c r="D80" s="117" t="s">
        <v>280</v>
      </c>
      <c r="E80" s="106">
        <f>'2019'!BH608</f>
        <v>0</v>
      </c>
      <c r="F80" s="106">
        <f>'2019'!BH609</f>
        <v>-122.19</v>
      </c>
      <c r="G80" s="106">
        <f>'2019'!BH610</f>
        <v>74.24</v>
      </c>
      <c r="H80" s="106">
        <f>'2019'!BH611</f>
        <v>0</v>
      </c>
      <c r="I80" s="106">
        <f>'2019'!BH612</f>
        <v>-0.0048</v>
      </c>
      <c r="J80" s="106">
        <f>'2019'!BH613</f>
        <v>0</v>
      </c>
      <c r="K80" s="106">
        <f>'2019'!BH614</f>
        <v>0</v>
      </c>
      <c r="L80" s="106">
        <f t="shared" si="0"/>
        <v>-47.9548</v>
      </c>
      <c r="M80" s="106">
        <v>-0.0047999999997046</v>
      </c>
      <c r="N80" s="34"/>
      <c r="W80" s="14"/>
      <c r="X80" s="42">
        <f t="shared" si="1"/>
        <v>-0.0048</v>
      </c>
    </row>
    <row r="81" ht="15.75" customHeight="1" spans="1:24" x14ac:dyDescent="0.25">
      <c r="A81" s="14"/>
      <c r="B81" s="115">
        <v>85</v>
      </c>
      <c r="C81" s="115">
        <v>4.27</v>
      </c>
      <c r="D81" s="117" t="s">
        <v>282</v>
      </c>
      <c r="E81" s="106">
        <f>'2019'!BH616</f>
        <v>0</v>
      </c>
      <c r="F81" s="106">
        <f>'2019'!BH617</f>
        <v>-41.37</v>
      </c>
      <c r="G81" s="106">
        <f>'2019'!BH618</f>
        <v>0</v>
      </c>
      <c r="H81" s="106">
        <f>'2019'!BH619</f>
        <v>0</v>
      </c>
      <c r="I81" s="106">
        <f>'2019'!BH620</f>
        <v>-0.002400000001</v>
      </c>
      <c r="J81" s="106">
        <f>'2019'!BH621</f>
        <v>0</v>
      </c>
      <c r="K81" s="106">
        <f>'2019'!BH622</f>
        <v>0</v>
      </c>
      <c r="L81" s="106">
        <f t="shared" si="0"/>
        <v>-41.3724</v>
      </c>
      <c r="M81" s="106">
        <v>-0.00240000000121654</v>
      </c>
      <c r="N81" s="34"/>
      <c r="W81" s="14"/>
      <c r="X81" s="42">
        <f t="shared" si="1"/>
        <v>-0.002400000001</v>
      </c>
    </row>
    <row r="82" ht="15.75" customHeight="1" spans="1:24" x14ac:dyDescent="0.25">
      <c r="A82" s="14"/>
      <c r="B82" s="115">
        <v>87</v>
      </c>
      <c r="C82" s="115">
        <v>4.23</v>
      </c>
      <c r="D82" s="117" t="s">
        <v>284</v>
      </c>
      <c r="E82" s="106">
        <f>'2019'!BH624</f>
        <v>0</v>
      </c>
      <c r="F82" s="106">
        <f>'2019'!BH625</f>
        <v>25.73</v>
      </c>
      <c r="G82" s="106">
        <f>'2019'!BH626</f>
        <v>0</v>
      </c>
      <c r="H82" s="106">
        <f>'2019'!BH627</f>
        <v>0</v>
      </c>
      <c r="I82" s="106">
        <f>'2019'!BH628</f>
        <v>0.002400000001</v>
      </c>
      <c r="J82" s="106">
        <f>'2019'!BH629</f>
        <v>0</v>
      </c>
      <c r="K82" s="106">
        <f>'2019'!BH630</f>
        <v>0</v>
      </c>
      <c r="L82" s="106">
        <f t="shared" si="0"/>
        <v>25.7324</v>
      </c>
      <c r="M82" s="106">
        <v>0.00240000000121654</v>
      </c>
      <c r="N82" s="34"/>
      <c r="W82" s="14"/>
      <c r="X82" s="42">
        <f t="shared" si="1"/>
        <v>0.002400000001</v>
      </c>
    </row>
    <row r="83" ht="15.75" customHeight="1" spans="1:24" x14ac:dyDescent="0.25">
      <c r="A83" s="14"/>
      <c r="B83" s="115">
        <v>89</v>
      </c>
      <c r="C83" s="115">
        <v>4.25</v>
      </c>
      <c r="D83" s="117" t="s">
        <v>286</v>
      </c>
      <c r="E83" s="106">
        <f>'2019'!BH632</f>
        <v>0</v>
      </c>
      <c r="F83" s="106">
        <f>'2019'!BH633</f>
        <v>0</v>
      </c>
      <c r="G83" s="106">
        <f>'2019'!BH634</f>
        <v>-65.74</v>
      </c>
      <c r="H83" s="106">
        <f>'2019'!BH635</f>
        <v>0</v>
      </c>
      <c r="I83" s="106">
        <f>'2019'!BH636</f>
        <v>0</v>
      </c>
      <c r="J83" s="106">
        <f>'2019'!BH637</f>
        <v>0</v>
      </c>
      <c r="K83" s="106">
        <f>'2019'!BH638</f>
        <v>0</v>
      </c>
      <c r="L83" s="106">
        <f t="shared" si="0"/>
        <v>-65.74</v>
      </c>
      <c r="M83" s="106">
        <v>0</v>
      </c>
      <c r="N83" s="34"/>
      <c r="W83" s="14"/>
      <c r="X83" s="42">
        <f t="shared" si="1"/>
        <v>0</v>
      </c>
    </row>
    <row r="84" ht="15.75" customHeight="1" spans="1:24" x14ac:dyDescent="0.25">
      <c r="A84" s="14"/>
      <c r="B84" s="115">
        <v>91</v>
      </c>
      <c r="C84" s="115">
        <v>4.23</v>
      </c>
      <c r="D84" s="117" t="s">
        <v>288</v>
      </c>
      <c r="E84" s="106">
        <f>'2019'!BH640</f>
        <v>0</v>
      </c>
      <c r="F84" s="106">
        <f>'2019'!BH641</f>
        <v>-7.42</v>
      </c>
      <c r="G84" s="106">
        <f>'2019'!BH642</f>
        <v>-0.32</v>
      </c>
      <c r="H84" s="106">
        <f>'2019'!BH643</f>
        <v>0</v>
      </c>
      <c r="I84" s="106">
        <f>'2019'!BH644</f>
        <v>0.002400000002</v>
      </c>
      <c r="J84" s="106">
        <f>'2019'!BH645</f>
        <v>0</v>
      </c>
      <c r="K84" s="106">
        <f>'2019'!BH646</f>
        <v>0</v>
      </c>
      <c r="L84" s="106">
        <f t="shared" si="0"/>
        <v>-7.7376</v>
      </c>
      <c r="M84" s="106">
        <v>0.00240000000212603</v>
      </c>
      <c r="N84" s="34"/>
      <c r="W84" s="14"/>
      <c r="X84" s="42">
        <f t="shared" si="1"/>
        <v>0.002400000002</v>
      </c>
    </row>
    <row r="85" ht="15.75" customHeight="1" spans="1:24" x14ac:dyDescent="0.25">
      <c r="A85" s="21"/>
      <c r="B85" s="115" t="s">
        <v>292</v>
      </c>
      <c r="C85" s="115">
        <v>8.56</v>
      </c>
      <c r="D85" s="117" t="s">
        <v>293</v>
      </c>
      <c r="E85" s="106">
        <f>'2019'!BH648</f>
        <v>25.69</v>
      </c>
      <c r="F85" s="106">
        <f>'2019'!BH649</f>
        <v>-44.92</v>
      </c>
      <c r="G85" s="106">
        <f>'2019'!BH650</f>
        <v>0</v>
      </c>
      <c r="H85" s="106">
        <f>'2019'!BH651</f>
        <v>0</v>
      </c>
      <c r="I85" s="106">
        <f>'2019'!BH652</f>
        <v>0.002799999998</v>
      </c>
      <c r="J85" s="106">
        <f>'2019'!BH653</f>
        <v>0</v>
      </c>
      <c r="K85" s="106">
        <f>'2019'!BH654</f>
        <v>0</v>
      </c>
      <c r="L85" s="106">
        <f t="shared" si="0"/>
        <v>-19.2272</v>
      </c>
      <c r="M85" s="106">
        <v>0.00279999999838765</v>
      </c>
      <c r="N85" s="34"/>
      <c r="W85" s="14"/>
      <c r="X85" s="42">
        <f t="shared" si="1"/>
        <v>0.002799999998</v>
      </c>
    </row>
    <row r="86" ht="15.75" customHeight="1" spans="1:24" x14ac:dyDescent="0.25">
      <c r="A86" s="114" t="s">
        <v>297</v>
      </c>
      <c r="B86" s="115">
        <v>80</v>
      </c>
      <c r="C86" s="115">
        <v>4.28</v>
      </c>
      <c r="D86" s="117" t="s">
        <v>298</v>
      </c>
      <c r="E86" s="106">
        <f>'2019'!BH656</f>
        <v>0</v>
      </c>
      <c r="F86" s="106">
        <f>'2019'!BH657</f>
        <v>75.27</v>
      </c>
      <c r="G86" s="106">
        <f>'2019'!BH658</f>
        <v>18.56</v>
      </c>
      <c r="H86" s="106">
        <f>'2019'!BH659</f>
        <v>0</v>
      </c>
      <c r="I86" s="106">
        <f>'2019'!BH660</f>
        <v>-0.003599999999</v>
      </c>
      <c r="J86" s="106">
        <f>'2019'!BH661</f>
        <v>0</v>
      </c>
      <c r="K86" s="106">
        <f>'2019'!BH662</f>
        <v>0</v>
      </c>
      <c r="L86" s="106">
        <f t="shared" si="0"/>
        <v>93.8264</v>
      </c>
      <c r="M86" s="106">
        <v>-0.00359999999909633</v>
      </c>
      <c r="N86" s="34"/>
      <c r="W86" s="14"/>
      <c r="X86" s="42">
        <f t="shared" si="1"/>
        <v>-0.003599999999</v>
      </c>
    </row>
    <row r="87" ht="15.75" customHeight="1" spans="1:24" x14ac:dyDescent="0.25">
      <c r="A87" s="14"/>
      <c r="B87" s="115">
        <v>82</v>
      </c>
      <c r="C87" s="115">
        <v>4.28</v>
      </c>
      <c r="D87" s="117" t="s">
        <v>300</v>
      </c>
      <c r="E87" s="106">
        <f>'2019'!BH664</f>
        <v>0</v>
      </c>
      <c r="F87" s="106">
        <f>'2019'!BH665</f>
        <v>0</v>
      </c>
      <c r="G87" s="106">
        <f>'2019'!BH666</f>
        <v>-0.83</v>
      </c>
      <c r="H87" s="106">
        <f>'2019'!BH667</f>
        <v>0</v>
      </c>
      <c r="I87" s="106">
        <f>'2019'!BH668</f>
        <v>-0.003599999999</v>
      </c>
      <c r="J87" s="106">
        <f>'2019'!BH669</f>
        <v>0</v>
      </c>
      <c r="K87" s="106">
        <f>'2019'!BH670</f>
        <v>0</v>
      </c>
      <c r="L87" s="106">
        <f t="shared" si="0"/>
        <v>-0.8336</v>
      </c>
      <c r="M87" s="106">
        <v>-0.00359999999909633</v>
      </c>
      <c r="N87" s="34"/>
      <c r="W87" s="14"/>
      <c r="X87" s="42">
        <f t="shared" si="1"/>
        <v>-0.003599999999</v>
      </c>
    </row>
    <row r="88" ht="15.75" customHeight="1" spans="1:24" x14ac:dyDescent="0.25">
      <c r="A88" s="14"/>
      <c r="B88" s="115">
        <v>84</v>
      </c>
      <c r="C88" s="115">
        <v>4.18</v>
      </c>
      <c r="D88" s="117" t="s">
        <v>301</v>
      </c>
      <c r="E88" s="106">
        <f>'2019'!BH672</f>
        <v>29.89</v>
      </c>
      <c r="F88" s="106">
        <f>'2019'!BH673</f>
        <v>0</v>
      </c>
      <c r="G88" s="106">
        <f>'2019'!BH674</f>
        <v>375.12</v>
      </c>
      <c r="H88" s="106">
        <f>'2019'!BH675</f>
        <v>0</v>
      </c>
      <c r="I88" s="106">
        <f>'2019'!BH676</f>
        <v>1258.8384</v>
      </c>
      <c r="J88" s="106">
        <f>'2019'!BH677</f>
        <v>1000</v>
      </c>
      <c r="K88" s="106">
        <f>'2019'!BH678</f>
        <v>350</v>
      </c>
      <c r="L88" s="106">
        <f t="shared" si="0"/>
        <v>3013.8484</v>
      </c>
      <c r="M88" s="106">
        <v>2258.8384</v>
      </c>
      <c r="N88" s="37">
        <f t="shared" ref="N88:N89" si="10">IF(O88&gt;0,O88-1,$N$1)</f>
        <v>31</v>
      </c>
      <c r="O88" s="15"/>
      <c r="P88" s="34"/>
      <c r="Q88" s="34"/>
      <c r="R88" s="37"/>
      <c r="S88" s="15"/>
      <c r="T88" s="34"/>
      <c r="U88" s="34"/>
      <c r="V88" s="37"/>
      <c r="W88" s="160">
        <f t="shared" ref="W88:W89" si="11">ROUND(0.01%*(M88*N88+Q88*R88+U88*V88),2)</f>
        <v>7</v>
      </c>
      <c r="X88" s="42">
        <f t="shared" si="1"/>
        <v>2258.8384</v>
      </c>
    </row>
    <row r="89" ht="15.75" customHeight="1" spans="1:24" x14ac:dyDescent="0.25">
      <c r="A89" s="14"/>
      <c r="B89" s="115">
        <v>86</v>
      </c>
      <c r="C89" s="115">
        <v>4.23</v>
      </c>
      <c r="D89" s="117" t="s">
        <v>304</v>
      </c>
      <c r="E89" s="106">
        <f>'2019'!BH680</f>
        <v>74.14</v>
      </c>
      <c r="F89" s="106">
        <f>'2019'!BH681</f>
        <v>0</v>
      </c>
      <c r="G89" s="106">
        <f>'2019'!BH682</f>
        <v>0</v>
      </c>
      <c r="H89" s="106">
        <f>'2019'!BH683</f>
        <v>0</v>
      </c>
      <c r="I89" s="106">
        <f>'2019'!BH684</f>
        <v>5076.0024</v>
      </c>
      <c r="J89" s="106">
        <f>'2019'!BH685</f>
        <v>1000</v>
      </c>
      <c r="K89" s="106">
        <f>'2019'!BH686</f>
        <v>500</v>
      </c>
      <c r="L89" s="106">
        <f t="shared" si="0"/>
        <v>6650.1424</v>
      </c>
      <c r="M89" s="106">
        <v>6076.0024</v>
      </c>
      <c r="N89" s="37">
        <f t="shared" si="10"/>
        <v>31</v>
      </c>
      <c r="O89" s="15"/>
      <c r="P89" s="15"/>
      <c r="Q89" s="15"/>
      <c r="R89" s="15"/>
      <c r="S89" s="15"/>
      <c r="T89" s="15"/>
      <c r="U89" s="15"/>
      <c r="V89" s="15"/>
      <c r="W89" s="160">
        <f t="shared" si="11"/>
        <v>18.84</v>
      </c>
      <c r="X89" s="42">
        <f t="shared" si="1"/>
        <v>6076.0024</v>
      </c>
    </row>
    <row r="90" ht="15.75" customHeight="1" spans="1:24" x14ac:dyDescent="0.25">
      <c r="A90" s="14"/>
      <c r="B90" s="115">
        <v>88</v>
      </c>
      <c r="C90" s="115">
        <v>4.23</v>
      </c>
      <c r="D90" s="117" t="s">
        <v>308</v>
      </c>
      <c r="E90" s="106">
        <f>'2019'!BH688</f>
        <v>1.22</v>
      </c>
      <c r="F90" s="106">
        <f>'2019'!BH689</f>
        <v>0</v>
      </c>
      <c r="G90" s="106">
        <f>'2019'!BH690</f>
        <v>0</v>
      </c>
      <c r="H90" s="106">
        <f>'2019'!BH691</f>
        <v>0</v>
      </c>
      <c r="I90" s="106">
        <f>'2019'!BH692</f>
        <v>0.002400000002</v>
      </c>
      <c r="J90" s="106">
        <f>'2019'!BH693</f>
        <v>0</v>
      </c>
      <c r="K90" s="106">
        <f>'2019'!BH694</f>
        <v>0</v>
      </c>
      <c r="L90" s="106">
        <f t="shared" si="0"/>
        <v>1.2224</v>
      </c>
      <c r="M90" s="106">
        <v>0.00240000000212603</v>
      </c>
      <c r="N90" s="37"/>
      <c r="O90" s="15"/>
      <c r="P90" s="34"/>
      <c r="Q90" s="34"/>
      <c r="R90" s="37"/>
      <c r="S90" s="15"/>
      <c r="T90" s="15"/>
      <c r="U90" s="15"/>
      <c r="V90" s="15"/>
      <c r="W90" s="14"/>
      <c r="X90" s="42">
        <f t="shared" si="1"/>
        <v>0.002400000002</v>
      </c>
    </row>
    <row r="91" ht="15.75" customHeight="1" spans="1:24" x14ac:dyDescent="0.25">
      <c r="A91" s="14"/>
      <c r="B91" s="115">
        <v>90</v>
      </c>
      <c r="C91" s="115">
        <v>4.23</v>
      </c>
      <c r="D91" s="117" t="s">
        <v>311</v>
      </c>
      <c r="E91" s="106">
        <f>'2019'!BH696</f>
        <v>1.22</v>
      </c>
      <c r="F91" s="106">
        <f>'2019'!BH697</f>
        <v>0</v>
      </c>
      <c r="G91" s="106">
        <f>'2019'!BH698</f>
        <v>0</v>
      </c>
      <c r="H91" s="106">
        <f>'2019'!BH699</f>
        <v>0</v>
      </c>
      <c r="I91" s="106">
        <f>'2019'!BH700</f>
        <v>0.002400000002</v>
      </c>
      <c r="J91" s="106">
        <f>'2019'!BH701</f>
        <v>0</v>
      </c>
      <c r="K91" s="106">
        <f>'2019'!BH702</f>
        <v>0</v>
      </c>
      <c r="L91" s="106">
        <f t="shared" si="0"/>
        <v>1.2224</v>
      </c>
      <c r="M91" s="106">
        <v>0.00240000000212603</v>
      </c>
      <c r="N91" s="37"/>
      <c r="O91" s="15"/>
      <c r="P91" s="34"/>
      <c r="Q91" s="34"/>
      <c r="R91" s="37"/>
      <c r="S91" s="15"/>
      <c r="T91" s="15"/>
      <c r="U91" s="15"/>
      <c r="V91" s="15"/>
      <c r="W91" s="14"/>
      <c r="X91" s="42">
        <f t="shared" si="1"/>
        <v>0.002400000002</v>
      </c>
    </row>
    <row r="92" ht="15.75" customHeight="1" spans="1:24" x14ac:dyDescent="0.25">
      <c r="A92" s="14"/>
      <c r="B92" s="115">
        <v>92</v>
      </c>
      <c r="C92" s="115">
        <v>4.28</v>
      </c>
      <c r="D92" s="117" t="s">
        <v>312</v>
      </c>
      <c r="E92" s="106">
        <f>'2019'!BH704</f>
        <v>13.5</v>
      </c>
      <c r="F92" s="106">
        <f>'2019'!BH705</f>
        <v>932.45</v>
      </c>
      <c r="G92" s="106">
        <f>'2019'!BH706</f>
        <v>296.4</v>
      </c>
      <c r="H92" s="106">
        <f>'2019'!BH707</f>
        <v>0</v>
      </c>
      <c r="I92" s="106">
        <f>'2019'!BH708</f>
        <v>-0.003599999999</v>
      </c>
      <c r="J92" s="106">
        <f>'2019'!BH709</f>
        <v>0</v>
      </c>
      <c r="K92" s="106">
        <f>'2019'!BH710</f>
        <v>0</v>
      </c>
      <c r="L92" s="106">
        <f t="shared" si="0"/>
        <v>1242.3464</v>
      </c>
      <c r="M92" s="106">
        <v>-0.00359999999909633</v>
      </c>
      <c r="N92" s="37"/>
      <c r="O92" s="15"/>
      <c r="P92" s="34"/>
      <c r="Q92" s="34"/>
      <c r="R92" s="37"/>
      <c r="S92" s="15"/>
      <c r="T92" s="15"/>
      <c r="U92" s="15"/>
      <c r="V92" s="15"/>
      <c r="W92" s="14"/>
      <c r="X92" s="42">
        <f t="shared" si="1"/>
        <v>-0.003599999999</v>
      </c>
    </row>
    <row r="93" ht="15.75" customHeight="1" spans="1:24" x14ac:dyDescent="0.25">
      <c r="A93" s="14"/>
      <c r="B93" s="115" t="s">
        <v>315</v>
      </c>
      <c r="C93" s="115">
        <v>8.76</v>
      </c>
      <c r="D93" s="117" t="s">
        <v>316</v>
      </c>
      <c r="E93" s="106">
        <f>'2019'!BH712</f>
        <v>0</v>
      </c>
      <c r="F93" s="106">
        <f>'2019'!BH713</f>
        <v>8360</v>
      </c>
      <c r="G93" s="106">
        <f>'2019'!BH714</f>
        <v>21.06</v>
      </c>
      <c r="H93" s="106">
        <f>'2019'!BH715</f>
        <v>0</v>
      </c>
      <c r="I93" s="106">
        <f>'2019'!BH716</f>
        <v>-0.001199999995</v>
      </c>
      <c r="J93" s="106">
        <f>'2019'!BH717</f>
        <v>0</v>
      </c>
      <c r="K93" s="106">
        <f>'2019'!BH718</f>
        <v>0</v>
      </c>
      <c r="L93" s="106">
        <f t="shared" si="0"/>
        <v>8381.0588</v>
      </c>
      <c r="M93" s="106">
        <v>-0.0011999999951513</v>
      </c>
      <c r="N93" s="34"/>
      <c r="W93" s="14"/>
      <c r="X93" s="42">
        <f t="shared" si="1"/>
        <v>-0.001199999995</v>
      </c>
    </row>
    <row r="94" ht="15.75" customHeight="1" spans="1:24" x14ac:dyDescent="0.25">
      <c r="A94" s="14"/>
      <c r="B94" s="115">
        <v>99</v>
      </c>
      <c r="C94" s="115">
        <v>4.53</v>
      </c>
      <c r="D94" s="117" t="s">
        <v>319</v>
      </c>
      <c r="E94" s="106">
        <f>'2019'!BH720</f>
        <v>12.04</v>
      </c>
      <c r="F94" s="106">
        <f>'2019'!BH721</f>
        <v>-386.26</v>
      </c>
      <c r="G94" s="106">
        <f>'2019'!BH722</f>
        <v>-373.42</v>
      </c>
      <c r="H94" s="106">
        <f>'2019'!BH723</f>
        <v>0</v>
      </c>
      <c r="I94" s="106">
        <f>'2019'!BH724</f>
        <v>-0.0036</v>
      </c>
      <c r="J94" s="106">
        <f>'2019'!BH725</f>
        <v>982.01</v>
      </c>
      <c r="K94" s="106">
        <f>'2019'!BH726</f>
        <v>0</v>
      </c>
      <c r="L94" s="106">
        <f t="shared" si="0"/>
        <v>234.3664</v>
      </c>
      <c r="M94" s="106">
        <v>982.0064</v>
      </c>
      <c r="N94" s="37">
        <f>IF(O94&gt;0,O94-1,$N$1)</f>
        <v>31</v>
      </c>
      <c r="S94" s="15"/>
      <c r="T94" s="15"/>
      <c r="U94" s="15"/>
      <c r="V94" s="15"/>
      <c r="W94" s="160">
        <f>ROUND(0.01%*(M94*N94+Q94*R94+U94*V94),2)</f>
        <v>3.04</v>
      </c>
      <c r="X94" s="42">
        <f t="shared" si="1"/>
        <v>982.0064</v>
      </c>
    </row>
    <row r="95" ht="15.75" customHeight="1" spans="1:24" x14ac:dyDescent="0.25">
      <c r="A95" s="14"/>
      <c r="B95" s="115">
        <v>101</v>
      </c>
      <c r="C95" s="115">
        <v>4.46</v>
      </c>
      <c r="D95" s="117" t="s">
        <v>321</v>
      </c>
      <c r="E95" s="106">
        <f>'2019'!BH728</f>
        <v>0</v>
      </c>
      <c r="F95" s="106">
        <f>'2019'!BH729</f>
        <v>8.49</v>
      </c>
      <c r="G95" s="106">
        <f>'2019'!BH730</f>
        <v>9.08</v>
      </c>
      <c r="H95" s="106">
        <f>'2019'!BH731</f>
        <v>0</v>
      </c>
      <c r="I95" s="106">
        <f>'2019'!BH732</f>
        <v>0.0048</v>
      </c>
      <c r="J95" s="106">
        <f>'2019'!BH733</f>
        <v>0</v>
      </c>
      <c r="K95" s="106">
        <f>'2019'!BH734</f>
        <v>0</v>
      </c>
      <c r="L95" s="106">
        <f t="shared" si="0"/>
        <v>17.5748</v>
      </c>
      <c r="M95" s="106">
        <v>0.0047999999997046</v>
      </c>
      <c r="N95" s="34"/>
      <c r="W95" s="14"/>
      <c r="X95" s="42">
        <f t="shared" si="1"/>
        <v>0.0048</v>
      </c>
    </row>
    <row r="96" ht="15.75" customHeight="1" spans="1:24" x14ac:dyDescent="0.25">
      <c r="A96" s="14"/>
      <c r="B96" s="115">
        <v>103</v>
      </c>
      <c r="C96" s="115">
        <v>4.42</v>
      </c>
      <c r="D96" s="117" t="s">
        <v>322</v>
      </c>
      <c r="E96" s="106">
        <f>'2019'!BH736</f>
        <v>0</v>
      </c>
      <c r="F96" s="106">
        <f>'2019'!BH737</f>
        <v>0</v>
      </c>
      <c r="G96" s="106">
        <f>'2019'!BH738</f>
        <v>-14.31</v>
      </c>
      <c r="H96" s="106">
        <f>'2019'!BH739</f>
        <v>0</v>
      </c>
      <c r="I96" s="106">
        <f>'2019'!BH740</f>
        <v>-0.0004000000008</v>
      </c>
      <c r="J96" s="106">
        <f>'2019'!BH741</f>
        <v>0</v>
      </c>
      <c r="K96" s="106">
        <f>'2019'!BH742</f>
        <v>0</v>
      </c>
      <c r="L96" s="106">
        <f t="shared" si="0"/>
        <v>-14.3104</v>
      </c>
      <c r="M96" s="106">
        <v>11001.9296</v>
      </c>
      <c r="N96" s="37">
        <f>IF(O96&gt;0,O96-1,$N$1)</f>
        <v>17</v>
      </c>
      <c r="O96" s="15">
        <v>18</v>
      </c>
      <c r="P96" s="15">
        <v>11001.93</v>
      </c>
      <c r="Q96" s="34">
        <f>M96-P96</f>
        <v>-0.0004000000008</v>
      </c>
      <c r="R96" s="37">
        <f>IF(S96&gt;0,S96-O96,$N$1-N96)</f>
        <v>14</v>
      </c>
      <c r="S96" s="15"/>
      <c r="T96" s="15"/>
      <c r="U96" s="15"/>
      <c r="V96" s="15"/>
      <c r="W96" s="160">
        <f>ROUND(0.01%*(M96*N96+Q96*R96+U96*V96),2)</f>
        <v>18.7</v>
      </c>
      <c r="X96" s="42">
        <f t="shared" si="1"/>
        <v>-0.0004000000008</v>
      </c>
    </row>
    <row r="97" ht="15.75" customHeight="1" spans="1:24" x14ac:dyDescent="0.25">
      <c r="A97" s="14"/>
      <c r="B97" s="115">
        <v>105</v>
      </c>
      <c r="C97" s="115">
        <v>4.41</v>
      </c>
      <c r="D97" s="117" t="s">
        <v>323</v>
      </c>
      <c r="E97" s="106">
        <f>'2019'!BH744</f>
        <v>2.57</v>
      </c>
      <c r="F97" s="106">
        <f>'2019'!BH745</f>
        <v>-15.12</v>
      </c>
      <c r="G97" s="106">
        <f>'2019'!BH746</f>
        <v>-1.68</v>
      </c>
      <c r="H97" s="106">
        <f>'2019'!BH747</f>
        <v>0</v>
      </c>
      <c r="I97" s="106">
        <f>'2019'!BH748</f>
        <v>0.0008000000007</v>
      </c>
      <c r="J97" s="106">
        <f>'2019'!BH749</f>
        <v>0</v>
      </c>
      <c r="K97" s="106">
        <f>'2019'!BH750</f>
        <v>0</v>
      </c>
      <c r="L97" s="106">
        <f t="shared" si="0"/>
        <v>-14.2292</v>
      </c>
      <c r="M97" s="106">
        <v>0.000800000000708678</v>
      </c>
      <c r="N97" s="34"/>
      <c r="S97" s="15"/>
      <c r="T97" s="15"/>
      <c r="U97" s="15"/>
      <c r="V97" s="15"/>
      <c r="W97" s="14"/>
      <c r="X97" s="42">
        <f t="shared" si="1"/>
        <v>0.0008000000007</v>
      </c>
    </row>
    <row r="98" ht="15.75" customHeight="1" spans="1:24" x14ac:dyDescent="0.25">
      <c r="A98" s="21"/>
      <c r="B98" s="115">
        <v>107</v>
      </c>
      <c r="C98" s="115">
        <v>4.37</v>
      </c>
      <c r="D98" s="117" t="s">
        <v>325</v>
      </c>
      <c r="E98" s="106">
        <f>'2019'!BH752</f>
        <v>0</v>
      </c>
      <c r="F98" s="106">
        <f>'2019'!BH753</f>
        <v>-22.49</v>
      </c>
      <c r="G98" s="106">
        <f>'2019'!BH754</f>
        <v>37.12</v>
      </c>
      <c r="H98" s="106">
        <f>'2019'!BH755</f>
        <v>0</v>
      </c>
      <c r="I98" s="106">
        <f>'2019'!BH756</f>
        <v>-0.0044</v>
      </c>
      <c r="J98" s="106">
        <f>'2019'!BH757</f>
        <v>0</v>
      </c>
      <c r="K98" s="106">
        <f>'2019'!BH758</f>
        <v>0</v>
      </c>
      <c r="L98" s="106">
        <f t="shared" si="0"/>
        <v>14.6256</v>
      </c>
      <c r="M98" s="106">
        <v>-0.004399999999805</v>
      </c>
      <c r="N98" s="34"/>
      <c r="W98" s="14"/>
      <c r="X98" s="42">
        <f t="shared" si="1"/>
        <v>-0.0044</v>
      </c>
    </row>
    <row r="99" ht="15.75" customHeight="1" spans="1:24" x14ac:dyDescent="0.25">
      <c r="A99" s="114" t="s">
        <v>327</v>
      </c>
      <c r="B99" s="115">
        <v>96</v>
      </c>
      <c r="C99" s="115">
        <v>4.46</v>
      </c>
      <c r="D99" s="117" t="s">
        <v>316</v>
      </c>
      <c r="E99" s="106">
        <f>'2019'!BH760</f>
        <v>0</v>
      </c>
      <c r="F99" s="106">
        <f>'2019'!BH761</f>
        <v>0</v>
      </c>
      <c r="G99" s="106">
        <f>'2019'!BH762</f>
        <v>0</v>
      </c>
      <c r="H99" s="106">
        <f>'2019'!BH763</f>
        <v>0</v>
      </c>
      <c r="I99" s="106">
        <f>'2019'!BH764</f>
        <v>-135.5552</v>
      </c>
      <c r="J99" s="106">
        <f>'2019'!BH765</f>
        <v>0</v>
      </c>
      <c r="K99" s="106">
        <f>'2019'!BH766</f>
        <v>0</v>
      </c>
      <c r="L99" s="106">
        <f t="shared" si="0"/>
        <v>-135.5552</v>
      </c>
      <c r="M99" s="106">
        <v>-135.555199999999</v>
      </c>
      <c r="N99" s="34"/>
      <c r="W99" s="14"/>
      <c r="X99" s="42">
        <f t="shared" si="1"/>
        <v>-135.5552</v>
      </c>
    </row>
    <row r="100" ht="15.75" customHeight="1" spans="1:24" x14ac:dyDescent="0.25">
      <c r="A100" s="14"/>
      <c r="B100" s="115">
        <v>98</v>
      </c>
      <c r="C100" s="115">
        <v>4.45</v>
      </c>
      <c r="D100" s="117" t="s">
        <v>328</v>
      </c>
      <c r="E100" s="106">
        <f>'2019'!BH768</f>
        <v>190.02</v>
      </c>
      <c r="F100" s="106">
        <f>'2019'!BH769</f>
        <v>0</v>
      </c>
      <c r="G100" s="106">
        <f>'2019'!BH770</f>
        <v>-49.5</v>
      </c>
      <c r="H100" s="106">
        <f>'2019'!BH771</f>
        <v>0</v>
      </c>
      <c r="I100" s="106">
        <f>'2019'!BH772</f>
        <v>10029.816</v>
      </c>
      <c r="J100" s="106">
        <f>'2019'!BH773</f>
        <v>2890</v>
      </c>
      <c r="K100" s="106">
        <f>'2019'!BH774</f>
        <v>1700</v>
      </c>
      <c r="L100" s="106">
        <f t="shared" si="0"/>
        <v>14760.336</v>
      </c>
      <c r="M100" s="106">
        <v>15919.816</v>
      </c>
      <c r="N100" s="37">
        <f t="shared" ref="N100:N101" si="12">IF(O100&gt;0,O100-1,$N$1)</f>
        <v>17</v>
      </c>
      <c r="O100" s="15">
        <v>18</v>
      </c>
      <c r="P100" s="34">
        <v>3000</v>
      </c>
      <c r="Q100" s="34">
        <f>M100-P100</f>
        <v>12919.816</v>
      </c>
      <c r="R100" s="37">
        <f>IF(S100&gt;0,S100-O100,$N$1-N100)</f>
        <v>14</v>
      </c>
      <c r="S100" s="15"/>
      <c r="T100" s="15"/>
      <c r="U100" s="15"/>
      <c r="V100" s="15"/>
      <c r="W100" s="160">
        <f t="shared" ref="W100:W101" si="13">ROUND(0.01%*(M100*N100+Q100*R100+U100*V100),2)</f>
        <v>45.15</v>
      </c>
      <c r="X100" s="42">
        <f t="shared" si="1"/>
        <v>12919.816</v>
      </c>
    </row>
    <row r="101" ht="15.75" customHeight="1" spans="1:24" x14ac:dyDescent="0.25">
      <c r="A101" s="14"/>
      <c r="B101" s="115">
        <v>100</v>
      </c>
      <c r="C101" s="115">
        <v>4.47</v>
      </c>
      <c r="D101" s="117" t="s">
        <v>330</v>
      </c>
      <c r="E101" s="106">
        <f>'2019'!BH776</f>
        <v>57.32</v>
      </c>
      <c r="F101" s="106">
        <f>'2019'!BH777</f>
        <v>82.5</v>
      </c>
      <c r="G101" s="106">
        <f>'2019'!BH778</f>
        <v>890.88</v>
      </c>
      <c r="H101" s="106">
        <f>'2019'!BH779</f>
        <v>0</v>
      </c>
      <c r="I101" s="106">
        <f>'2019'!BH780</f>
        <v>2838.0236</v>
      </c>
      <c r="J101" s="106">
        <f>'2019'!BH781</f>
        <v>1000</v>
      </c>
      <c r="K101" s="106">
        <f>'2019'!BH782</f>
        <v>500</v>
      </c>
      <c r="L101" s="106">
        <f t="shared" si="0"/>
        <v>5368.7236</v>
      </c>
      <c r="M101" s="106">
        <v>3838.0236</v>
      </c>
      <c r="N101" s="37">
        <f t="shared" si="12"/>
        <v>31</v>
      </c>
      <c r="O101" s="15"/>
      <c r="P101" s="15"/>
      <c r="Q101" s="15"/>
      <c r="R101" s="15"/>
      <c r="S101" s="15"/>
      <c r="T101" s="15"/>
      <c r="U101" s="15"/>
      <c r="V101" s="15"/>
      <c r="W101" s="160">
        <f t="shared" si="13"/>
        <v>11.9</v>
      </c>
      <c r="X101" s="42">
        <f t="shared" si="1"/>
        <v>3838.0236</v>
      </c>
    </row>
    <row r="102" ht="15.75" customHeight="1" spans="1:24" x14ac:dyDescent="0.25">
      <c r="A102" s="14"/>
      <c r="B102" s="115">
        <v>102</v>
      </c>
      <c r="C102" s="115">
        <v>4.45</v>
      </c>
      <c r="D102" s="117" t="s">
        <v>331</v>
      </c>
      <c r="E102" s="106">
        <f>'2019'!BH784</f>
        <v>6.34</v>
      </c>
      <c r="F102" s="106">
        <f>'2019'!BH785</f>
        <v>-5</v>
      </c>
      <c r="G102" s="106">
        <f>'2019'!BH786</f>
        <v>-250.81</v>
      </c>
      <c r="H102" s="106">
        <f>'2019'!BH787</f>
        <v>0</v>
      </c>
      <c r="I102" s="106">
        <f>'2019'!BH788</f>
        <v>-0.003999999999</v>
      </c>
      <c r="J102" s="106">
        <f>'2019'!BH789</f>
        <v>0</v>
      </c>
      <c r="K102" s="106">
        <f>'2019'!BH790</f>
        <v>0</v>
      </c>
      <c r="L102" s="106">
        <f t="shared" si="0"/>
        <v>-249.474</v>
      </c>
      <c r="M102" s="106">
        <v>-0.00399999999899592</v>
      </c>
      <c r="N102" s="37"/>
      <c r="O102" s="15"/>
      <c r="P102" s="34"/>
      <c r="Q102" s="34"/>
      <c r="R102" s="37"/>
      <c r="S102" s="15"/>
      <c r="T102" s="15"/>
      <c r="U102" s="15"/>
      <c r="V102" s="15"/>
      <c r="W102" s="14"/>
      <c r="X102" s="42">
        <f t="shared" si="1"/>
        <v>-0.003999999999</v>
      </c>
    </row>
    <row r="103" ht="15.75" customHeight="1" spans="1:24" x14ac:dyDescent="0.25">
      <c r="A103" s="14"/>
      <c r="B103" s="115">
        <v>104</v>
      </c>
      <c r="C103" s="115">
        <v>4.42</v>
      </c>
      <c r="D103" s="117" t="s">
        <v>333</v>
      </c>
      <c r="E103" s="106">
        <f>'2019'!BH792</f>
        <v>0</v>
      </c>
      <c r="F103" s="106">
        <f>'2019'!BH793</f>
        <v>21.28</v>
      </c>
      <c r="G103" s="106">
        <f>'2019'!BH794</f>
        <v>-0.88</v>
      </c>
      <c r="H103" s="106">
        <f>'2019'!BH795</f>
        <v>0</v>
      </c>
      <c r="I103" s="106">
        <f>'2019'!BH796</f>
        <v>-0.0003999999999</v>
      </c>
      <c r="J103" s="106">
        <f>'2019'!BH797</f>
        <v>0</v>
      </c>
      <c r="K103" s="106">
        <f>'2019'!BH798</f>
        <v>0</v>
      </c>
      <c r="L103" s="106">
        <f t="shared" si="0"/>
        <v>20.3996</v>
      </c>
      <c r="M103" s="106">
        <v>-0.000399999999899592</v>
      </c>
      <c r="N103" s="34"/>
      <c r="W103" s="14"/>
      <c r="X103" s="42">
        <f t="shared" si="1"/>
        <v>-0.0003999999999</v>
      </c>
    </row>
    <row r="104" ht="15.75" customHeight="1" spans="1:24" x14ac:dyDescent="0.25">
      <c r="A104" s="14"/>
      <c r="B104" s="115">
        <v>106</v>
      </c>
      <c r="C104" s="115">
        <v>4.57</v>
      </c>
      <c r="D104" s="117" t="s">
        <v>336</v>
      </c>
      <c r="E104" s="106">
        <f>'2019'!BH800</f>
        <v>0</v>
      </c>
      <c r="F104" s="106">
        <f>'2019'!BH801</f>
        <v>0</v>
      </c>
      <c r="G104" s="106">
        <f>'2019'!BH802</f>
        <v>0</v>
      </c>
      <c r="H104" s="106">
        <f>'2019'!BH803</f>
        <v>16</v>
      </c>
      <c r="I104" s="106">
        <f>'2019'!BH804</f>
        <v>-15.9984</v>
      </c>
      <c r="J104" s="106">
        <f>'2019'!BH805</f>
        <v>0</v>
      </c>
      <c r="K104" s="106">
        <f>'2019'!BH806</f>
        <v>0</v>
      </c>
      <c r="L104" s="106">
        <f t="shared" si="0"/>
        <v>0.001600000001</v>
      </c>
      <c r="M104" s="106">
        <v>-15.9983999999986</v>
      </c>
      <c r="N104" s="34"/>
      <c r="W104" s="14"/>
      <c r="X104" s="42">
        <f t="shared" si="1"/>
        <v>-15.9984</v>
      </c>
    </row>
    <row r="105" ht="15.75" customHeight="1" spans="1:24" x14ac:dyDescent="0.25">
      <c r="A105" s="14"/>
      <c r="B105" s="115">
        <v>108</v>
      </c>
      <c r="C105" s="115">
        <v>4.32</v>
      </c>
      <c r="D105" s="117" t="s">
        <v>339</v>
      </c>
      <c r="E105" s="106">
        <f>'2019'!BH808</f>
        <v>904.38</v>
      </c>
      <c r="F105" s="106">
        <f>'2019'!BH809</f>
        <v>0</v>
      </c>
      <c r="G105" s="106">
        <f>'2019'!BH810</f>
        <v>0</v>
      </c>
      <c r="H105" s="106">
        <f>'2019'!BH811</f>
        <v>0</v>
      </c>
      <c r="I105" s="106">
        <f>'2019'!BH812</f>
        <v>19279.6416</v>
      </c>
      <c r="J105" s="106">
        <f>'2019'!BH813</f>
        <v>9768</v>
      </c>
      <c r="K105" s="106">
        <f>'2019'!BH814</f>
        <v>1150</v>
      </c>
      <c r="L105" s="106">
        <f t="shared" si="0"/>
        <v>31102.0216</v>
      </c>
      <c r="M105" s="106">
        <v>29047.6416</v>
      </c>
      <c r="N105" s="37">
        <f>IF(O105&gt;0,O105-1,$N$1)</f>
        <v>31</v>
      </c>
      <c r="O105" s="15"/>
      <c r="P105" s="15"/>
      <c r="Q105" s="15"/>
      <c r="R105" s="15"/>
      <c r="S105" s="15"/>
      <c r="T105" s="15"/>
      <c r="U105" s="15"/>
      <c r="V105" s="15"/>
      <c r="W105" s="160">
        <f>ROUND(0.01%*(M105*N105+Q105*R105+U105*V105),2)</f>
        <v>90.05</v>
      </c>
      <c r="X105" s="42">
        <f t="shared" si="1"/>
        <v>29047.6416</v>
      </c>
    </row>
    <row r="106" ht="15.75" customHeight="1" spans="1:24" x14ac:dyDescent="0.25">
      <c r="A106" s="14"/>
      <c r="B106" s="115">
        <v>109</v>
      </c>
      <c r="C106" s="115">
        <v>6.22</v>
      </c>
      <c r="D106" s="117" t="s">
        <v>340</v>
      </c>
      <c r="E106" s="106">
        <f>'2019'!BH816</f>
        <v>47.74</v>
      </c>
      <c r="F106" s="106">
        <f>'2019'!BH817</f>
        <v>0</v>
      </c>
      <c r="G106" s="106">
        <f>'2019'!BH818</f>
        <v>0</v>
      </c>
      <c r="H106" s="106">
        <f>'2019'!BH819</f>
        <v>0</v>
      </c>
      <c r="I106" s="106">
        <f>'2019'!BH820</f>
        <v>0.003600000001</v>
      </c>
      <c r="J106" s="106">
        <f>'2019'!BH821</f>
        <v>0</v>
      </c>
      <c r="K106" s="106">
        <f>'2019'!BH822</f>
        <v>0</v>
      </c>
      <c r="L106" s="106">
        <f t="shared" si="0"/>
        <v>47.7436</v>
      </c>
      <c r="M106" s="106">
        <v>0.00360000000091532</v>
      </c>
      <c r="N106" s="37"/>
      <c r="O106" s="15"/>
      <c r="P106" s="34"/>
      <c r="Q106" s="15"/>
      <c r="R106" s="15"/>
      <c r="S106" s="15"/>
      <c r="T106" s="15"/>
      <c r="U106" s="15"/>
      <c r="V106" s="15"/>
      <c r="W106" s="160"/>
      <c r="X106" s="42">
        <f t="shared" si="1"/>
        <v>0.003600000001</v>
      </c>
    </row>
    <row r="107" ht="15.75" customHeight="1" spans="1:24" x14ac:dyDescent="0.25">
      <c r="A107" s="14"/>
      <c r="B107" s="115">
        <v>110</v>
      </c>
      <c r="C107" s="115">
        <v>4.91</v>
      </c>
      <c r="D107" s="117" t="s">
        <v>342</v>
      </c>
      <c r="E107" s="106">
        <f>'2019'!BH824</f>
        <v>10.34</v>
      </c>
      <c r="F107" s="106">
        <f>'2019'!BH825</f>
        <v>70</v>
      </c>
      <c r="G107" s="106">
        <f>'2019'!BH826</f>
        <v>18.56</v>
      </c>
      <c r="H107" s="106">
        <f>'2019'!BH827</f>
        <v>0</v>
      </c>
      <c r="I107" s="106">
        <f>'2019'!BH828</f>
        <v>0.0008000000007</v>
      </c>
      <c r="J107" s="106">
        <f>'2019'!BH829</f>
        <v>0</v>
      </c>
      <c r="K107" s="106">
        <f>'2019'!BH830</f>
        <v>0</v>
      </c>
      <c r="L107" s="106">
        <f t="shared" si="0"/>
        <v>98.9008</v>
      </c>
      <c r="M107" s="106">
        <v>0.000800000000708678</v>
      </c>
      <c r="N107" s="37"/>
      <c r="O107" s="15"/>
      <c r="P107" s="34"/>
      <c r="Q107" s="34"/>
      <c r="R107" s="37"/>
      <c r="S107" s="15"/>
      <c r="T107" s="15"/>
      <c r="U107" s="15"/>
      <c r="V107" s="15"/>
      <c r="W107" s="14"/>
      <c r="X107" s="42">
        <f t="shared" si="1"/>
        <v>0.0008000000007</v>
      </c>
    </row>
    <row r="108" ht="15.75" customHeight="1" spans="1:24" x14ac:dyDescent="0.25">
      <c r="A108" s="14"/>
      <c r="B108" s="115">
        <v>111</v>
      </c>
      <c r="C108" s="116">
        <v>6.8</v>
      </c>
      <c r="D108" s="117" t="s">
        <v>280</v>
      </c>
      <c r="E108" s="106">
        <f>'2019'!BH832</f>
        <v>4.58</v>
      </c>
      <c r="F108" s="106">
        <f>'2019'!BH833</f>
        <v>550</v>
      </c>
      <c r="G108" s="106">
        <f>'2019'!BH834</f>
        <v>0</v>
      </c>
      <c r="H108" s="106">
        <f>'2019'!BH835</f>
        <v>0</v>
      </c>
      <c r="I108" s="106">
        <f>'2019'!BH836</f>
        <v>0.004000000001</v>
      </c>
      <c r="J108" s="106">
        <f>'2019'!BH837</f>
        <v>0</v>
      </c>
      <c r="K108" s="106">
        <f>'2019'!BH838</f>
        <v>0</v>
      </c>
      <c r="L108" s="106">
        <f t="shared" si="0"/>
        <v>554.584</v>
      </c>
      <c r="M108" s="106">
        <v>0.00400000000081491</v>
      </c>
      <c r="N108" s="37"/>
      <c r="O108" s="15"/>
      <c r="P108" s="34"/>
      <c r="Q108" s="34"/>
      <c r="R108" s="37"/>
      <c r="S108" s="15"/>
      <c r="T108" s="15"/>
      <c r="U108" s="15"/>
      <c r="V108" s="15"/>
      <c r="W108" s="14"/>
      <c r="X108" s="42">
        <f t="shared" si="1"/>
        <v>0.004000000001</v>
      </c>
    </row>
    <row r="109" ht="15.75" customHeight="1" spans="1:24" x14ac:dyDescent="0.25">
      <c r="A109" s="14"/>
      <c r="B109" s="115">
        <v>112</v>
      </c>
      <c r="C109" s="115">
        <v>4.94</v>
      </c>
      <c r="D109" s="117" t="s">
        <v>364</v>
      </c>
      <c r="E109" s="106">
        <f>'2019'!BH840</f>
        <v>0</v>
      </c>
      <c r="F109" s="106">
        <f>'2019'!BH841</f>
        <v>-49.09</v>
      </c>
      <c r="G109" s="106">
        <f>'2019'!BH842</f>
        <v>189.02</v>
      </c>
      <c r="H109" s="106">
        <f>'2019'!BH843</f>
        <v>0</v>
      </c>
      <c r="I109" s="106">
        <f>'2019'!BH844</f>
        <v>-0.002799999998</v>
      </c>
      <c r="J109" s="106">
        <f>'2019'!BH845</f>
        <v>-500</v>
      </c>
      <c r="K109" s="106">
        <f>'2019'!BH846</f>
        <v>-500</v>
      </c>
      <c r="L109" s="106">
        <f t="shared" si="0"/>
        <v>-860.0728</v>
      </c>
      <c r="M109" s="106">
        <v>-0.00279999999838765</v>
      </c>
      <c r="N109" s="34"/>
      <c r="W109" s="14"/>
      <c r="X109" s="42">
        <f t="shared" si="1"/>
        <v>-500.0028</v>
      </c>
    </row>
    <row r="110" ht="15.75" customHeight="1" spans="1:24" x14ac:dyDescent="0.25">
      <c r="A110" s="14"/>
      <c r="B110" s="115">
        <v>113</v>
      </c>
      <c r="C110" s="115">
        <v>4.98</v>
      </c>
      <c r="D110" s="117" t="s">
        <v>348</v>
      </c>
      <c r="E110" s="106">
        <f>'2019'!BH848</f>
        <v>149.68</v>
      </c>
      <c r="F110" s="106">
        <f>'2019'!BH849</f>
        <v>0</v>
      </c>
      <c r="G110" s="106">
        <f>'2019'!BH850</f>
        <v>0</v>
      </c>
      <c r="H110" s="106">
        <f>'2019'!BH851</f>
        <v>0</v>
      </c>
      <c r="I110" s="106">
        <f>'2019'!BH852</f>
        <v>11269.1424</v>
      </c>
      <c r="J110" s="106">
        <f>'2019'!BH853</f>
        <v>1000</v>
      </c>
      <c r="K110" s="106">
        <f>'2019'!BH854</f>
        <v>850</v>
      </c>
      <c r="L110" s="106">
        <f t="shared" si="0"/>
        <v>13268.8224</v>
      </c>
      <c r="M110" s="106">
        <v>12269.1424</v>
      </c>
      <c r="N110" s="37">
        <f>IF(O110&gt;0,O110-1,$N$1)</f>
        <v>31</v>
      </c>
      <c r="O110" s="15"/>
      <c r="P110" s="15"/>
      <c r="Q110" s="15"/>
      <c r="R110" s="15"/>
      <c r="S110" s="15"/>
      <c r="T110" s="15"/>
      <c r="U110" s="15"/>
      <c r="V110" s="15"/>
      <c r="W110" s="160">
        <f>ROUND(0.01%*(M110*N110+Q110*R110+U110*V110),2)</f>
        <v>38.03</v>
      </c>
      <c r="X110" s="42">
        <f t="shared" si="1"/>
        <v>12269.1424</v>
      </c>
    </row>
    <row r="111" ht="15.75" customHeight="1" spans="1:24" x14ac:dyDescent="0.25">
      <c r="A111" s="14"/>
      <c r="B111" s="118">
        <v>114</v>
      </c>
      <c r="C111" s="115">
        <v>4.86</v>
      </c>
      <c r="D111" s="117" t="s">
        <v>245</v>
      </c>
      <c r="E111" s="106">
        <f>'2019'!BH856</f>
        <v>8.88</v>
      </c>
      <c r="F111" s="106">
        <f>'2019'!BH857</f>
        <v>0</v>
      </c>
      <c r="G111" s="106">
        <f>'2019'!BH858</f>
        <v>0</v>
      </c>
      <c r="H111" s="106">
        <f>'2019'!BH859</f>
        <v>0</v>
      </c>
      <c r="I111" s="106">
        <f>'2019'!BH860</f>
        <v>-0.003199999999</v>
      </c>
      <c r="J111" s="106">
        <f>'2019'!BH861</f>
        <v>0</v>
      </c>
      <c r="K111" s="106">
        <f>'2019'!BH862</f>
        <v>0</v>
      </c>
      <c r="L111" s="106">
        <f t="shared" si="0"/>
        <v>8.8768</v>
      </c>
      <c r="M111" s="106">
        <v>-0.00319999999919673</v>
      </c>
      <c r="N111" s="37"/>
      <c r="O111" s="15"/>
      <c r="P111" s="34"/>
      <c r="Q111" s="34"/>
      <c r="R111" s="37"/>
      <c r="S111" s="15"/>
      <c r="T111" s="34"/>
      <c r="U111" s="34"/>
      <c r="V111" s="37"/>
      <c r="W111" s="162"/>
      <c r="X111" s="124">
        <f t="shared" si="1"/>
        <v>-0.003199999999</v>
      </c>
    </row>
    <row r="112" ht="15.75" customHeight="1" spans="1:24" x14ac:dyDescent="0.25">
      <c r="A112" s="117"/>
      <c r="B112" s="115" t="s">
        <v>350</v>
      </c>
      <c r="C112" s="116">
        <f>SUM(C5:C111)</f>
        <v>505.74</v>
      </c>
      <c r="D112" s="117"/>
      <c r="E112" s="106">
        <f t="shared" ref="E112:M112" si="14">SUM(E5:E111)</f>
        <v>10600.63</v>
      </c>
      <c r="F112" s="106">
        <f t="shared" si="14"/>
        <v>14976.33</v>
      </c>
      <c r="G112" s="106">
        <f t="shared" si="14"/>
        <v>-1188.52</v>
      </c>
      <c r="H112" s="106">
        <f t="shared" si="14"/>
        <v>2419</v>
      </c>
      <c r="I112" s="106">
        <f t="shared" si="14"/>
        <v>129869.8512</v>
      </c>
      <c r="J112" s="106">
        <f t="shared" si="14"/>
        <v>57475.01</v>
      </c>
      <c r="K112" s="106">
        <f t="shared" si="14"/>
        <v>13569.25</v>
      </c>
      <c r="L112" s="106">
        <f t="shared" si="14"/>
        <v>227721.5512</v>
      </c>
      <c r="M112" s="106">
        <f t="shared" si="14"/>
        <v>201883.7912</v>
      </c>
      <c r="N112" s="106"/>
      <c r="O112" s="117"/>
      <c r="P112" s="106">
        <f>SUM(P5:P111)</f>
        <v>14037.93</v>
      </c>
      <c r="Q112" s="117"/>
      <c r="R112" s="117"/>
      <c r="S112" s="117"/>
      <c r="T112" s="106">
        <f>SUM(T5:T111)</f>
        <v>0</v>
      </c>
      <c r="U112" s="117"/>
      <c r="V112" s="117"/>
      <c r="W112" s="116">
        <f t="shared" ref="W112:X112" si="15">SUM(W5:W111)</f>
        <v>606.91</v>
      </c>
      <c r="X112" s="106">
        <f t="shared" si="15"/>
        <v>187344.8612</v>
      </c>
    </row>
    <row r="113" ht="15.75" customHeight="1" spans="1:16" x14ac:dyDescent="0.25">
      <c r="A113" s="15"/>
      <c r="B113" s="112"/>
      <c r="C113" s="112"/>
      <c r="P113" s="34"/>
    </row>
    <row r="114" ht="15.75" customHeight="1" hidden="1" spans="1:25" x14ac:dyDescent="0.25" outlineLevel="1" collapsed="1">
      <c r="A114" s="15"/>
      <c r="B114" s="112"/>
      <c r="C114" s="112"/>
      <c r="E114" s="2" t="b">
        <f>E112='2019'!BH866</f>
        <v>1</v>
      </c>
      <c r="F114" s="120" t="b">
        <f>F112='2019'!BH867</f>
        <v>1</v>
      </c>
      <c r="G114" s="120" t="b">
        <f>G112='2019'!BH868</f>
        <v>1</v>
      </c>
      <c r="H114" s="120" t="b">
        <f>H112='2019'!BH869</f>
        <v>1</v>
      </c>
      <c r="I114" s="120" t="b">
        <f>I112='2019'!BH870</f>
        <v>1</v>
      </c>
      <c r="J114" s="120" t="b">
        <f>J112='2019'!BH871</f>
        <v>1</v>
      </c>
      <c r="K114" s="120" t="b">
        <f>K112='2019'!BH872</f>
        <v>1</v>
      </c>
      <c r="L114" s="120" t="b">
        <f>L112='2019'!BH865</f>
        <v>1</v>
      </c>
      <c r="X114" s="34" t="b">
        <f>X112=M112-P112-T112</f>
        <v>0</v>
      </c>
      <c r="Y114" s="2" t="b">
        <f>X112='2019'!BH870+'2019'!BH871</f>
        <v>1</v>
      </c>
    </row>
    <row r="115" ht="15.75" customHeight="1" spans="1:24" x14ac:dyDescent="0.25">
      <c r="A115" s="15"/>
      <c r="B115" s="112"/>
      <c r="C115" s="112"/>
      <c r="W115" s="2" t="b">
        <f>W112='2019'!BC866</f>
        <v>1</v>
      </c>
      <c r="X115" s="2" t="b">
        <f>X112='2019'!BH870+'2019'!BH871</f>
        <v>1</v>
      </c>
    </row>
    <row r="116" ht="15.75" customHeight="1" spans="1:3" x14ac:dyDescent="0.25">
      <c r="A116" s="15"/>
      <c r="B116" s="112"/>
      <c r="C116" s="112"/>
    </row>
    <row r="117" ht="15.75" customHeight="1" spans="1:3" x14ac:dyDescent="0.25">
      <c r="A117" s="15"/>
      <c r="B117" s="112"/>
      <c r="C117" s="112"/>
    </row>
    <row r="118" ht="15.75" customHeight="1" spans="1:3" x14ac:dyDescent="0.25">
      <c r="A118" s="15"/>
      <c r="B118" s="112"/>
      <c r="C118" s="112"/>
    </row>
    <row r="119" ht="15.75" customHeight="1" spans="1:3" x14ac:dyDescent="0.25">
      <c r="A119" s="15"/>
      <c r="B119" s="112"/>
      <c r="C119" s="112"/>
    </row>
    <row r="120" ht="15.75" customHeight="1" spans="1:3" x14ac:dyDescent="0.25">
      <c r="A120" s="15"/>
      <c r="B120" s="112"/>
      <c r="C120" s="112"/>
    </row>
    <row r="121" ht="15.75" customHeight="1" spans="1:3" x14ac:dyDescent="0.25">
      <c r="A121" s="15"/>
      <c r="B121" s="112"/>
      <c r="C121" s="112"/>
    </row>
    <row r="122" ht="15.75" customHeight="1" spans="1:3" x14ac:dyDescent="0.25">
      <c r="A122" s="15"/>
      <c r="B122" s="112"/>
      <c r="C122" s="112"/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A$4:$W$112"/>
  <mergeCells count="2">
    <mergeCell ref="O3:R3"/>
    <mergeCell ref="S3:V3"/>
  </mergeCells>
  <pageMargins left="0.39375" right="0" top="0.196527777777778" bottom="0.196527777777778" header="0" footer="0"/>
  <pageSetup paperSize="9"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FF"/>
  </sheetPr>
  <dimension ref="A1:AF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14" customWidth="1"/>
    <col min="2" max="2" width="7.14" customWidth="1"/>
    <col min="3" max="3" width="6.43" hidden="1" outlineLevel="1" collapsed="1" customWidth="1"/>
    <col min="4" max="4" width="13.86" hidden="1" outlineLevel="1" collapsed="1" customWidth="1"/>
    <col min="5" max="6" width="7.14" customWidth="1"/>
    <col min="7" max="7" width="7.14" hidden="1" outlineLevel="1" collapsed="1" customWidth="1"/>
    <col min="8" max="8" width="7.14" customWidth="1"/>
    <col min="9" max="9" width="7.14" hidden="1" outlineLevel="1" collapsed="1" customWidth="1"/>
    <col min="10" max="10" width="7.14" customWidth="1"/>
    <col min="11" max="11" width="7.14" hidden="1" outlineLevel="1" collapsed="1" customWidth="1"/>
    <col min="12" max="12" width="7.14" customWidth="1"/>
    <col min="13" max="13" width="7.14" hidden="1" outlineLevel="1" collapsed="1" customWidth="1"/>
    <col min="14" max="14" width="7.14" customWidth="1"/>
    <col min="15" max="15" width="7.14" hidden="1" outlineLevel="1" collapsed="1" customWidth="1"/>
    <col min="16" max="16" width="7.14" customWidth="1"/>
    <col min="17" max="17" width="7.14" hidden="1" outlineLevel="1" collapsed="1" customWidth="1"/>
    <col min="18" max="18" width="7.14" customWidth="1"/>
    <col min="19" max="19" width="7.14" hidden="1" outlineLevel="1" collapsed="1" customWidth="1"/>
    <col min="20" max="20" width="7.14" customWidth="1"/>
    <col min="21" max="21" width="7.14" hidden="1" outlineLevel="1" collapsed="1" customWidth="1"/>
    <col min="22" max="22" width="7.14" customWidth="1"/>
    <col min="23" max="23" width="7.14" hidden="1" outlineLevel="1" collapsed="1" customWidth="1"/>
    <col min="24" max="24" width="7.14" customWidth="1"/>
    <col min="25" max="25" width="7.14" hidden="1" outlineLevel="1" collapsed="1" customWidth="1"/>
    <col min="26" max="26" width="7.14" customWidth="1"/>
    <col min="27" max="27" width="8.43" hidden="1" outlineLevel="1" collapsed="1" customWidth="1"/>
    <col min="28" max="28" width="7.14" hidden="1" outlineLevel="1" collapsed="1" customWidth="1"/>
    <col min="29" max="29" width="7.14" customWidth="1"/>
    <col min="30" max="30" width="7.14" hidden="1" outlineLevel="1" collapsed="1" customWidth="1"/>
    <col min="31" max="31" width="7.43" customWidth="1"/>
    <col min="32" max="32" width="8.86" hidden="1" outlineLevel="1" collapsed="1" customWidth="1"/>
  </cols>
  <sheetData>
    <row r="1" spans="1:16" x14ac:dyDescent="0.25">
      <c r="A1" s="1" t="s">
        <v>365</v>
      </c>
      <c r="B1" s="112"/>
      <c r="C1" s="112"/>
      <c r="E1" s="2" t="str">
        <f>'2019'!F1</f>
        <v>на 01 января 2020 года</v>
      </c>
      <c r="F1" s="1"/>
      <c r="G1" s="1"/>
      <c r="H1" s="1"/>
      <c r="I1" s="1"/>
      <c r="J1" s="1"/>
      <c r="L1" s="1"/>
      <c r="M1" s="1"/>
      <c r="N1" s="1"/>
      <c r="O1" s="1"/>
      <c r="P1" s="1"/>
    </row>
    <row r="2" spans="1:3" x14ac:dyDescent="0.25">
      <c r="A2" s="15" t="s">
        <v>366</v>
      </c>
      <c r="B2" s="112"/>
      <c r="C2" s="112"/>
    </row>
    <row r="3" spans="1:32" x14ac:dyDescent="0.25">
      <c r="A3" s="4"/>
      <c r="B3" s="17" t="s">
        <v>2</v>
      </c>
      <c r="C3" s="17" t="s">
        <v>354</v>
      </c>
      <c r="D3" s="16" t="s">
        <v>355</v>
      </c>
      <c r="E3" s="11" t="s">
        <v>9</v>
      </c>
      <c r="F3" s="12"/>
      <c r="G3" s="11" t="s">
        <v>10</v>
      </c>
      <c r="H3" s="12"/>
      <c r="I3" s="11" t="s">
        <v>11</v>
      </c>
      <c r="J3" s="12"/>
      <c r="K3" s="11" t="s">
        <v>12</v>
      </c>
      <c r="L3" s="12"/>
      <c r="M3" s="11" t="s">
        <v>13</v>
      </c>
      <c r="N3" s="12"/>
      <c r="O3" s="11" t="s">
        <v>14</v>
      </c>
      <c r="P3" s="12"/>
      <c r="Q3" s="11" t="s">
        <v>15</v>
      </c>
      <c r="R3" s="12"/>
      <c r="S3" s="11" t="s">
        <v>16</v>
      </c>
      <c r="T3" s="12"/>
      <c r="U3" s="11" t="s">
        <v>17</v>
      </c>
      <c r="V3" s="12"/>
      <c r="W3" s="11" t="s">
        <v>18</v>
      </c>
      <c r="X3" s="12"/>
      <c r="Y3" s="6" t="s">
        <v>19</v>
      </c>
      <c r="Z3" s="9"/>
      <c r="AA3" s="7"/>
      <c r="AB3" s="6" t="s">
        <v>20</v>
      </c>
      <c r="AC3" s="9"/>
      <c r="AD3" s="7"/>
      <c r="AE3" s="17" t="s">
        <v>367</v>
      </c>
      <c r="AF3" s="17" t="s">
        <v>368</v>
      </c>
    </row>
    <row r="4" spans="1:32" x14ac:dyDescent="0.25">
      <c r="A4" s="21"/>
      <c r="B4" s="24" t="s">
        <v>23</v>
      </c>
      <c r="C4" s="24"/>
      <c r="D4" s="23"/>
      <c r="E4" s="4" t="s">
        <v>30</v>
      </c>
      <c r="F4" s="4" t="s">
        <v>3</v>
      </c>
      <c r="G4" s="4" t="s">
        <v>30</v>
      </c>
      <c r="H4" s="4" t="s">
        <v>3</v>
      </c>
      <c r="I4" s="4" t="s">
        <v>30</v>
      </c>
      <c r="J4" s="4" t="s">
        <v>3</v>
      </c>
      <c r="K4" s="4" t="s">
        <v>30</v>
      </c>
      <c r="L4" s="4" t="s">
        <v>3</v>
      </c>
      <c r="M4" s="4" t="s">
        <v>30</v>
      </c>
      <c r="N4" s="4" t="s">
        <v>3</v>
      </c>
      <c r="O4" s="4" t="s">
        <v>30</v>
      </c>
      <c r="P4" s="4" t="s">
        <v>3</v>
      </c>
      <c r="Q4" s="4" t="s">
        <v>30</v>
      </c>
      <c r="R4" s="4" t="s">
        <v>3</v>
      </c>
      <c r="S4" s="4" t="s">
        <v>30</v>
      </c>
      <c r="T4" s="4" t="s">
        <v>3</v>
      </c>
      <c r="U4" s="4" t="s">
        <v>30</v>
      </c>
      <c r="V4" s="4" t="s">
        <v>3</v>
      </c>
      <c r="W4" s="4" t="s">
        <v>30</v>
      </c>
      <c r="X4" s="4" t="s">
        <v>3</v>
      </c>
      <c r="Y4" s="4" t="s">
        <v>30</v>
      </c>
      <c r="Z4" s="4" t="s">
        <v>3</v>
      </c>
      <c r="AA4" s="4" t="s">
        <v>369</v>
      </c>
      <c r="AB4" s="4" t="s">
        <v>30</v>
      </c>
      <c r="AC4" s="4" t="s">
        <v>3</v>
      </c>
      <c r="AD4" s="4" t="s">
        <v>369</v>
      </c>
      <c r="AE4" s="113" t="s">
        <v>370</v>
      </c>
      <c r="AF4" s="113" t="s">
        <v>370</v>
      </c>
    </row>
    <row r="5" spans="1:32" x14ac:dyDescent="0.25">
      <c r="A5" s="114" t="s">
        <v>41</v>
      </c>
      <c r="B5" s="115">
        <f>'2019'!A8</f>
        <v>1</v>
      </c>
      <c r="C5" s="116">
        <v>4</v>
      </c>
      <c r="D5" s="117" t="str">
        <f>'2019'!C8</f>
        <v>сторож</v>
      </c>
      <c r="E5" s="119">
        <f>'2019'!I8</f>
        <v>3507</v>
      </c>
      <c r="F5" s="21">
        <f>'2019'!J8</f>
        <v>323</v>
      </c>
      <c r="G5" s="119">
        <f>'2019'!M8</f>
        <v>3704</v>
      </c>
      <c r="H5" s="119">
        <f>'2019'!N8</f>
        <v>197</v>
      </c>
      <c r="I5" s="119">
        <f>'2019'!Q8</f>
        <v>3729</v>
      </c>
      <c r="J5" s="119">
        <f>'2019'!R8</f>
        <v>25</v>
      </c>
      <c r="K5" s="119">
        <f>'2019'!U8</f>
        <v>3760</v>
      </c>
      <c r="L5" s="119">
        <f>'2019'!V8</f>
        <v>31</v>
      </c>
      <c r="M5" s="119">
        <f>'2019'!Y8</f>
        <v>3790</v>
      </c>
      <c r="N5" s="119">
        <f>'2019'!Z8</f>
        <v>30</v>
      </c>
      <c r="O5" s="119">
        <f>'2019'!AC8</f>
        <v>3803</v>
      </c>
      <c r="P5" s="119">
        <f>'2019'!AD8</f>
        <v>13</v>
      </c>
      <c r="Q5" s="119">
        <f>'2019'!AG8</f>
        <v>3818</v>
      </c>
      <c r="R5" s="119">
        <f>'2019'!AH8</f>
        <v>15</v>
      </c>
      <c r="S5" s="119">
        <f>'2019'!AK8</f>
        <v>3828</v>
      </c>
      <c r="T5" s="119">
        <f>'2019'!AL8</f>
        <v>10</v>
      </c>
      <c r="U5" s="119">
        <f>'2019'!AO8</f>
        <v>3937</v>
      </c>
      <c r="V5" s="119">
        <f>'2019'!AP8</f>
        <v>109</v>
      </c>
      <c r="W5" s="119">
        <f>'2019'!AS8</f>
        <v>4100</v>
      </c>
      <c r="X5" s="119">
        <f>'2019'!AT8</f>
        <v>163</v>
      </c>
      <c r="Y5" s="119">
        <f>'2019'!AW8</f>
        <v>4305</v>
      </c>
      <c r="Z5" s="119">
        <f>'2019'!AX8</f>
        <v>205</v>
      </c>
      <c r="AA5" s="119"/>
      <c r="AB5" s="119">
        <f>'2019'!BA8</f>
        <v>4682</v>
      </c>
      <c r="AC5" s="119">
        <f>'2019'!BB8</f>
        <v>377</v>
      </c>
      <c r="AD5" s="119"/>
      <c r="AE5" s="119">
        <f>'2019'!BE8</f>
        <v>1498</v>
      </c>
      <c r="AF5" s="119">
        <f t="shared" ref="AF5:AF111" si="0">AA5</f>
      </c>
    </row>
    <row r="6" spans="1:32" x14ac:dyDescent="0.25">
      <c r="A6" s="14"/>
      <c r="B6" s="115">
        <v>2</v>
      </c>
      <c r="C6" s="115">
        <v>4.12</v>
      </c>
      <c r="D6" s="117" t="s">
        <v>359</v>
      </c>
      <c r="E6" s="119">
        <f>'2019'!I17</f>
        <v>15062</v>
      </c>
      <c r="F6" s="119">
        <f>'2019'!J17</f>
        <v>1007</v>
      </c>
      <c r="G6" s="119">
        <f>'2019'!M17</f>
        <v>15728</v>
      </c>
      <c r="H6" s="119">
        <f>'2019'!N17</f>
        <v>666</v>
      </c>
      <c r="I6" s="119">
        <f>'2019'!Q17</f>
        <v>16286</v>
      </c>
      <c r="J6" s="119">
        <f>'2019'!R17</f>
        <v>558</v>
      </c>
      <c r="K6" s="119">
        <f>'2019'!U17</f>
        <v>16889</v>
      </c>
      <c r="L6" s="119">
        <f>'2019'!V17</f>
        <v>603</v>
      </c>
      <c r="M6" s="119">
        <f>'2019'!Y17</f>
        <v>17429</v>
      </c>
      <c r="N6" s="119">
        <f>'2019'!Z17</f>
        <v>540</v>
      </c>
      <c r="O6" s="119">
        <f>'2019'!AC17</f>
        <v>17903</v>
      </c>
      <c r="P6" s="119">
        <f>'2019'!AD17</f>
        <v>474</v>
      </c>
      <c r="Q6" s="119">
        <f>'2019'!AG17</f>
        <v>18383</v>
      </c>
      <c r="R6" s="119">
        <f>'2019'!AH17</f>
        <v>480</v>
      </c>
      <c r="S6" s="119">
        <f>'2019'!AK17</f>
        <v>18881</v>
      </c>
      <c r="T6" s="119">
        <f>'2019'!AL17</f>
        <v>498</v>
      </c>
      <c r="U6" s="119">
        <f>'2019'!AO17</f>
        <v>19468</v>
      </c>
      <c r="V6" s="119">
        <f>'2019'!AP17</f>
        <v>587</v>
      </c>
      <c r="W6" s="119">
        <f>'2019'!AS17</f>
        <v>20020</v>
      </c>
      <c r="X6" s="119">
        <f>'2019'!AT17</f>
        <v>552</v>
      </c>
      <c r="Y6" s="119">
        <f>'2019'!AW17</f>
        <v>20640</v>
      </c>
      <c r="Z6" s="119">
        <f>'2019'!AX17</f>
        <v>620</v>
      </c>
      <c r="AA6" s="119"/>
      <c r="AB6" s="119">
        <f>'2019'!BA17</f>
        <v>21327</v>
      </c>
      <c r="AC6" s="119">
        <f>'2019'!BB17</f>
        <v>687</v>
      </c>
      <c r="AD6" s="119"/>
      <c r="AE6" s="119">
        <f>'2019'!BE17</f>
        <v>7272</v>
      </c>
      <c r="AF6" s="119">
        <f t="shared" si="0"/>
      </c>
    </row>
    <row r="7" spans="1:32" x14ac:dyDescent="0.25">
      <c r="A7" s="14"/>
      <c r="B7" s="115">
        <v>3</v>
      </c>
      <c r="C7" s="116">
        <v>4</v>
      </c>
      <c r="D7" s="117" t="s">
        <v>60</v>
      </c>
      <c r="E7" s="119">
        <f>'2019'!I25</f>
        <v>27</v>
      </c>
      <c r="F7" s="119">
        <f>'2019'!J25</f>
        <v>0</v>
      </c>
      <c r="G7" s="119">
        <f>'2019'!M25</f>
        <v>27</v>
      </c>
      <c r="H7" s="119">
        <f>'2019'!N25</f>
        <v>0</v>
      </c>
      <c r="I7" s="119">
        <f>'2019'!Q25</f>
        <v>27</v>
      </c>
      <c r="J7" s="119">
        <f>'2019'!R25</f>
        <v>0</v>
      </c>
      <c r="K7" s="119">
        <f>'2019'!U25</f>
        <v>27</v>
      </c>
      <c r="L7" s="119">
        <f>'2019'!V25</f>
        <v>0</v>
      </c>
      <c r="M7" s="119">
        <f>'2019'!Y25</f>
        <v>28</v>
      </c>
      <c r="N7" s="119">
        <f>'2019'!Z25</f>
        <v>1</v>
      </c>
      <c r="O7" s="119">
        <f>'2019'!AC25</f>
        <v>30</v>
      </c>
      <c r="P7" s="119">
        <f>'2019'!AD25</f>
        <v>2</v>
      </c>
      <c r="Q7" s="119">
        <f>'2019'!AG25</f>
        <v>31</v>
      </c>
      <c r="R7" s="119">
        <f>'2019'!AH25</f>
        <v>1</v>
      </c>
      <c r="S7" s="119">
        <f>'2019'!AK25</f>
        <v>34</v>
      </c>
      <c r="T7" s="119">
        <f>'2019'!AL25</f>
        <v>3</v>
      </c>
      <c r="U7" s="119">
        <f>'2019'!AO25</f>
        <v>35</v>
      </c>
      <c r="V7" s="119">
        <f>'2019'!AP25</f>
        <v>1</v>
      </c>
      <c r="W7" s="119">
        <f>'2019'!AS25</f>
        <v>37</v>
      </c>
      <c r="X7" s="119">
        <f>'2019'!AT25</f>
        <v>2</v>
      </c>
      <c r="Y7" s="119">
        <f>'2019'!AW25</f>
        <v>37</v>
      </c>
      <c r="Z7" s="119">
        <f>'2019'!AX25</f>
        <v>0</v>
      </c>
      <c r="AA7" s="119"/>
      <c r="AB7" s="119">
        <f>'2019'!BA25</f>
        <v>37</v>
      </c>
      <c r="AC7" s="119">
        <f>'2019'!BB25</f>
        <v>0</v>
      </c>
      <c r="AD7" s="119"/>
      <c r="AE7" s="119">
        <f>'2019'!BE25</f>
        <v>10</v>
      </c>
      <c r="AF7" s="119">
        <f t="shared" si="0"/>
      </c>
    </row>
    <row r="8" spans="1:32" x14ac:dyDescent="0.25">
      <c r="A8" s="14"/>
      <c r="B8" s="115">
        <v>4</v>
      </c>
      <c r="C8" s="115">
        <v>3.95</v>
      </c>
      <c r="D8" s="117" t="s">
        <v>64</v>
      </c>
      <c r="E8" s="119">
        <f>'2019'!I33</f>
      </c>
      <c r="F8" s="119">
        <f>'2019'!J33</f>
      </c>
      <c r="G8" s="119">
        <f>'2019'!M33</f>
      </c>
      <c r="H8" s="119">
        <f>'2019'!N33</f>
        <v>0</v>
      </c>
      <c r="I8" s="119">
        <f>'2019'!Q33</f>
      </c>
      <c r="J8" s="119">
        <f>'2019'!R33</f>
        <v>0</v>
      </c>
      <c r="K8" s="119">
        <f>'2019'!U33</f>
      </c>
      <c r="L8" s="119">
        <f>'2019'!V33</f>
        <v>0</v>
      </c>
      <c r="M8" s="119">
        <f>'2019'!Y33</f>
      </c>
      <c r="N8" s="119">
        <f>'2019'!Z33</f>
        <v>0</v>
      </c>
      <c r="O8" s="119">
        <f>'2019'!AC33</f>
      </c>
      <c r="P8" s="119">
        <f>'2019'!AD33</f>
        <v>0</v>
      </c>
      <c r="Q8" s="119">
        <f>'2019'!AG33</f>
      </c>
      <c r="R8" s="119">
        <f>'2019'!AH33</f>
        <v>0</v>
      </c>
      <c r="S8" s="119">
        <f>'2019'!AK33</f>
      </c>
      <c r="T8" s="119">
        <f>'2019'!AL33</f>
        <v>0</v>
      </c>
      <c r="U8" s="119">
        <f>'2019'!AO33</f>
      </c>
      <c r="V8" s="119">
        <f>'2019'!AP33</f>
        <v>0</v>
      </c>
      <c r="W8" s="119">
        <f>'2019'!AS33</f>
      </c>
      <c r="X8" s="119">
        <f>'2019'!AT33</f>
        <v>0</v>
      </c>
      <c r="Y8" s="119">
        <f>'2019'!AW33</f>
      </c>
      <c r="Z8" s="119">
        <f>'2019'!AX33</f>
        <v>0</v>
      </c>
      <c r="AA8" s="119"/>
      <c r="AB8" s="119">
        <f>'2019'!BA33</f>
      </c>
      <c r="AC8" s="119">
        <f>'2019'!BB33</f>
        <v>0</v>
      </c>
      <c r="AD8" s="119"/>
      <c r="AE8" s="119">
        <f>'2019'!BE33</f>
        <v>0</v>
      </c>
      <c r="AF8" s="119">
        <f t="shared" si="0"/>
      </c>
    </row>
    <row r="9" spans="1:32" x14ac:dyDescent="0.25">
      <c r="A9" s="14"/>
      <c r="B9" s="115">
        <v>5</v>
      </c>
      <c r="C9" s="115">
        <v>5.08</v>
      </c>
      <c r="D9" s="117" t="s">
        <v>66</v>
      </c>
      <c r="E9" s="119">
        <f>'2019'!I41</f>
        <v>93</v>
      </c>
      <c r="F9" s="119">
        <f>'2019'!J41</f>
        <v>0</v>
      </c>
      <c r="G9" s="119">
        <f>'2019'!M41</f>
        <v>93</v>
      </c>
      <c r="H9" s="119">
        <f>'2019'!N41</f>
        <v>0</v>
      </c>
      <c r="I9" s="119">
        <f>'2019'!Q41</f>
        <v>93</v>
      </c>
      <c r="J9" s="119">
        <f>'2019'!R41</f>
        <v>0</v>
      </c>
      <c r="K9" s="119">
        <f>'2019'!U41</f>
        <v>93</v>
      </c>
      <c r="L9" s="119">
        <f>'2019'!V41</f>
        <v>0</v>
      </c>
      <c r="M9" s="119">
        <f>'2019'!Y41</f>
        <v>93</v>
      </c>
      <c r="N9" s="119">
        <f>'2019'!Z41</f>
        <v>0</v>
      </c>
      <c r="O9" s="119">
        <f>'2019'!AC41</f>
        <v>93</v>
      </c>
      <c r="P9" s="119">
        <f>'2019'!AD41</f>
        <v>0</v>
      </c>
      <c r="Q9" s="119">
        <f>'2019'!AG41</f>
        <v>93</v>
      </c>
      <c r="R9" s="119">
        <f>'2019'!AH41</f>
        <v>0</v>
      </c>
      <c r="S9" s="119">
        <f>'2019'!AK41</f>
        <v>93</v>
      </c>
      <c r="T9" s="119">
        <f>'2019'!AL41</f>
        <v>0</v>
      </c>
      <c r="U9" s="119">
        <f>'2019'!AO41</f>
        <v>93</v>
      </c>
      <c r="V9" s="119">
        <f>'2019'!AP41</f>
        <v>0</v>
      </c>
      <c r="W9" s="119">
        <f>'2019'!AS41</f>
        <v>93</v>
      </c>
      <c r="X9" s="119">
        <f>'2019'!AT41</f>
        <v>0</v>
      </c>
      <c r="Y9" s="119">
        <f>'2019'!AW41</f>
        <v>93</v>
      </c>
      <c r="Z9" s="119">
        <f>'2019'!AX41</f>
        <v>0</v>
      </c>
      <c r="AA9" s="119"/>
      <c r="AB9" s="119">
        <f>'2019'!BA41</f>
        <v>93</v>
      </c>
      <c r="AC9" s="119">
        <f>'2019'!BB41</f>
        <v>0</v>
      </c>
      <c r="AD9" s="119"/>
      <c r="AE9" s="119">
        <f>'2019'!BE41</f>
        <v>0</v>
      </c>
      <c r="AF9" s="119">
        <f t="shared" si="0"/>
      </c>
    </row>
    <row r="10" spans="1:32" x14ac:dyDescent="0.25">
      <c r="A10" s="14"/>
      <c r="B10" s="115">
        <v>6</v>
      </c>
      <c r="C10" s="115">
        <v>4.01</v>
      </c>
      <c r="D10" s="117" t="s">
        <v>70</v>
      </c>
      <c r="E10" s="119">
        <f>'2019'!I49</f>
        <v>6</v>
      </c>
      <c r="F10" s="119">
        <f>'2019'!J49</f>
        <v>0</v>
      </c>
      <c r="G10" s="119">
        <f>'2019'!M49</f>
        <v>6</v>
      </c>
      <c r="H10" s="119">
        <f>'2019'!N49</f>
        <v>0</v>
      </c>
      <c r="I10" s="119">
        <f>'2019'!Q49</f>
        <v>6</v>
      </c>
      <c r="J10" s="119">
        <f>'2019'!R49</f>
        <v>0</v>
      </c>
      <c r="K10" s="119">
        <f>'2019'!U49</f>
        <v>6</v>
      </c>
      <c r="L10" s="119">
        <f>'2019'!V49</f>
        <v>0</v>
      </c>
      <c r="M10" s="119">
        <f>'2019'!Y49</f>
        <v>6</v>
      </c>
      <c r="N10" s="119">
        <f>'2019'!Z49</f>
        <v>0</v>
      </c>
      <c r="O10" s="119">
        <f>'2019'!AC49</f>
        <v>6</v>
      </c>
      <c r="P10" s="119">
        <f>'2019'!AD49</f>
        <v>0</v>
      </c>
      <c r="Q10" s="119">
        <f>'2019'!AG49</f>
        <v>6</v>
      </c>
      <c r="R10" s="119">
        <f>'2019'!AH49</f>
        <v>0</v>
      </c>
      <c r="S10" s="119">
        <f>'2019'!AK49</f>
        <v>6</v>
      </c>
      <c r="T10" s="119">
        <f>'2019'!AL49</f>
        <v>0</v>
      </c>
      <c r="U10" s="119">
        <f>'2019'!AO49</f>
        <v>6</v>
      </c>
      <c r="V10" s="119">
        <f>'2019'!AP49</f>
        <v>0</v>
      </c>
      <c r="W10" s="119">
        <f>'2019'!AS49</f>
        <v>6</v>
      </c>
      <c r="X10" s="119">
        <f>'2019'!AT49</f>
        <v>0</v>
      </c>
      <c r="Y10" s="119">
        <f>'2019'!AW49</f>
        <v>13</v>
      </c>
      <c r="Z10" s="119">
        <f>'2019'!AX49</f>
        <v>7</v>
      </c>
      <c r="AA10" s="119"/>
      <c r="AB10" s="119">
        <f>'2019'!BA49</f>
        <v>13</v>
      </c>
      <c r="AC10" s="119">
        <f>'2019'!BB49</f>
        <v>0</v>
      </c>
      <c r="AD10" s="119"/>
      <c r="AE10" s="119">
        <f>'2019'!BE49</f>
        <v>7</v>
      </c>
      <c r="AF10" s="119">
        <f t="shared" si="0"/>
      </c>
    </row>
    <row r="11" spans="1:32" x14ac:dyDescent="0.25">
      <c r="A11" s="14"/>
      <c r="B11" s="115">
        <v>7</v>
      </c>
      <c r="C11" s="115">
        <v>4.85</v>
      </c>
      <c r="D11" s="117" t="s">
        <v>74</v>
      </c>
      <c r="E11" s="119">
        <f>'2019'!I57</f>
        <v>131</v>
      </c>
      <c r="F11" s="119">
        <f>'2019'!J57</f>
        <v>0</v>
      </c>
      <c r="G11" s="119">
        <f>'2019'!M57</f>
        <v>131</v>
      </c>
      <c r="H11" s="119">
        <f>'2019'!N57</f>
        <v>0</v>
      </c>
      <c r="I11" s="119">
        <f>'2019'!Q57</f>
        <v>131</v>
      </c>
      <c r="J11" s="119">
        <f>'2019'!R57</f>
        <v>0</v>
      </c>
      <c r="K11" s="119">
        <f>'2019'!U57</f>
        <v>131</v>
      </c>
      <c r="L11" s="119">
        <f>'2019'!V57</f>
        <v>0</v>
      </c>
      <c r="M11" s="119">
        <f>'2019'!Y57</f>
        <v>140</v>
      </c>
      <c r="N11" s="119">
        <f>'2019'!Z57</f>
        <v>9</v>
      </c>
      <c r="O11" s="119">
        <f>'2019'!AC57</f>
        <v>168</v>
      </c>
      <c r="P11" s="119">
        <f>'2019'!AD57</f>
        <v>28</v>
      </c>
      <c r="Q11" s="119">
        <f>'2019'!AG57</f>
        <v>207</v>
      </c>
      <c r="R11" s="119">
        <f>'2019'!AH57</f>
        <v>39</v>
      </c>
      <c r="S11" s="119">
        <f>'2019'!AK57</f>
        <v>252</v>
      </c>
      <c r="T11" s="119">
        <f>'2019'!AL57</f>
        <v>45</v>
      </c>
      <c r="U11" s="119">
        <f>'2019'!AO57</f>
        <v>306</v>
      </c>
      <c r="V11" s="119">
        <f>'2019'!AP57</f>
        <v>54</v>
      </c>
      <c r="W11" s="119">
        <f>'2019'!AS57</f>
        <v>315</v>
      </c>
      <c r="X11" s="119">
        <f>'2019'!AT57</f>
        <v>9</v>
      </c>
      <c r="Y11" s="119">
        <f>'2019'!AW57</f>
        <v>315</v>
      </c>
      <c r="Z11" s="119">
        <f>'2019'!AX57</f>
        <v>0</v>
      </c>
      <c r="AA11" s="119"/>
      <c r="AB11" s="119">
        <f>'2019'!BA57</f>
        <v>315</v>
      </c>
      <c r="AC11" s="119">
        <f>'2019'!BB57</f>
        <v>0</v>
      </c>
      <c r="AD11" s="119"/>
      <c r="AE11" s="119">
        <f>'2019'!BE57</f>
        <v>184</v>
      </c>
      <c r="AF11" s="119">
        <f t="shared" si="0"/>
      </c>
    </row>
    <row r="12" spans="1:32" x14ac:dyDescent="0.25">
      <c r="A12" s="14"/>
      <c r="B12" s="115">
        <v>8</v>
      </c>
      <c r="C12" s="116">
        <v>4</v>
      </c>
      <c r="D12" s="117" t="s">
        <v>78</v>
      </c>
      <c r="E12" s="119">
        <f>'2019'!I65</f>
        <v>179</v>
      </c>
      <c r="F12" s="119">
        <f>'2019'!J65</f>
        <v>0</v>
      </c>
      <c r="G12" s="119">
        <f>'2019'!M65</f>
        <v>179</v>
      </c>
      <c r="H12" s="119">
        <f>'2019'!N65</f>
        <v>0</v>
      </c>
      <c r="I12" s="119">
        <f>'2019'!Q65</f>
        <v>179</v>
      </c>
      <c r="J12" s="119">
        <f>'2019'!R65</f>
        <v>0</v>
      </c>
      <c r="K12" s="119">
        <f>'2019'!U65</f>
        <v>179</v>
      </c>
      <c r="L12" s="119">
        <f>'2019'!V65</f>
        <v>0</v>
      </c>
      <c r="M12" s="119">
        <f>'2019'!Y65</f>
        <v>189</v>
      </c>
      <c r="N12" s="119">
        <f>'2019'!Z65</f>
        <v>10</v>
      </c>
      <c r="O12" s="119">
        <f>'2019'!AC65</f>
        <v>215</v>
      </c>
      <c r="P12" s="119">
        <f>'2019'!AD65</f>
        <v>26</v>
      </c>
      <c r="Q12" s="119">
        <f>'2019'!AG65</f>
        <v>249</v>
      </c>
      <c r="R12" s="119">
        <f>'2019'!AH65</f>
        <v>34</v>
      </c>
      <c r="S12" s="119">
        <f>'2019'!AK65</f>
        <v>275</v>
      </c>
      <c r="T12" s="119">
        <f>'2019'!AL65</f>
        <v>26</v>
      </c>
      <c r="U12" s="119">
        <f>'2019'!AO65</f>
        <v>306</v>
      </c>
      <c r="V12" s="119">
        <f>'2019'!AP65</f>
        <v>31</v>
      </c>
      <c r="W12" s="119">
        <f>'2019'!AS65</f>
        <v>352</v>
      </c>
      <c r="X12" s="119">
        <f>'2019'!AT65</f>
        <v>46</v>
      </c>
      <c r="Y12" s="119">
        <f>'2019'!AW65</f>
        <v>352</v>
      </c>
      <c r="Z12" s="119">
        <f>'2019'!AX65</f>
        <v>0</v>
      </c>
      <c r="AA12" s="119"/>
      <c r="AB12" s="119">
        <f>'2019'!BA65</f>
        <v>352</v>
      </c>
      <c r="AC12" s="119">
        <f>'2019'!BB65</f>
        <v>0</v>
      </c>
      <c r="AD12" s="119"/>
      <c r="AE12" s="119">
        <f>'2019'!BE65</f>
        <v>173</v>
      </c>
      <c r="AF12" s="119">
        <f t="shared" si="0"/>
      </c>
    </row>
    <row r="13" spans="1:32" x14ac:dyDescent="0.25">
      <c r="A13" s="14"/>
      <c r="B13" s="115">
        <v>9</v>
      </c>
      <c r="C13" s="115">
        <v>4.03</v>
      </c>
      <c r="D13" s="117" t="s">
        <v>82</v>
      </c>
      <c r="E13" s="119">
        <f>'2019'!I73</f>
        <v>41</v>
      </c>
      <c r="F13" s="119">
        <f>'2019'!J73</f>
        <v>0</v>
      </c>
      <c r="G13" s="119">
        <f>'2019'!M73</f>
        <v>41</v>
      </c>
      <c r="H13" s="119">
        <f>'2019'!N73</f>
        <v>0</v>
      </c>
      <c r="I13" s="119">
        <f>'2019'!Q73</f>
        <v>41</v>
      </c>
      <c r="J13" s="119">
        <f>'2019'!R73</f>
        <v>0</v>
      </c>
      <c r="K13" s="119">
        <f>'2019'!U73</f>
        <v>41</v>
      </c>
      <c r="L13" s="119">
        <f>'2019'!V73</f>
        <v>0</v>
      </c>
      <c r="M13" s="119">
        <f>'2019'!Y73</f>
        <v>43</v>
      </c>
      <c r="N13" s="119">
        <f>'2019'!Z73</f>
        <v>2</v>
      </c>
      <c r="O13" s="119">
        <f>'2019'!AC73</f>
        <v>45</v>
      </c>
      <c r="P13" s="119">
        <f>'2019'!AD73</f>
        <v>2</v>
      </c>
      <c r="Q13" s="119">
        <f>'2019'!AG73</f>
        <v>46</v>
      </c>
      <c r="R13" s="119">
        <f>'2019'!AH73</f>
        <v>1</v>
      </c>
      <c r="S13" s="119">
        <f>'2019'!AK73</f>
        <v>46</v>
      </c>
      <c r="T13" s="119">
        <f>'2019'!AL73</f>
        <v>0</v>
      </c>
      <c r="U13" s="119">
        <f>'2019'!AO73</f>
        <v>46</v>
      </c>
      <c r="V13" s="119">
        <f>'2019'!AP73</f>
        <v>0</v>
      </c>
      <c r="W13" s="119">
        <f>'2019'!AS73</f>
        <v>46</v>
      </c>
      <c r="X13" s="119">
        <f>'2019'!AT73</f>
        <v>0</v>
      </c>
      <c r="Y13" s="119">
        <f>'2019'!AW73</f>
        <v>46</v>
      </c>
      <c r="Z13" s="119">
        <f>'2019'!AX73</f>
        <v>0</v>
      </c>
      <c r="AA13" s="119"/>
      <c r="AB13" s="119">
        <f>'2019'!BA73</f>
        <v>46</v>
      </c>
      <c r="AC13" s="119">
        <f>'2019'!BB73</f>
        <v>0</v>
      </c>
      <c r="AD13" s="119"/>
      <c r="AE13" s="119">
        <f>'2019'!BE73</f>
        <v>5</v>
      </c>
      <c r="AF13" s="119">
        <f t="shared" si="0"/>
      </c>
    </row>
    <row r="14" spans="1:32" x14ac:dyDescent="0.25">
      <c r="A14" s="14"/>
      <c r="B14" s="115">
        <v>10</v>
      </c>
      <c r="C14" s="115">
        <v>4.01</v>
      </c>
      <c r="D14" s="117" t="s">
        <v>86</v>
      </c>
      <c r="E14" s="119">
        <f>'2019'!I81</f>
      </c>
      <c r="F14" s="119">
        <f>'2019'!J81</f>
      </c>
      <c r="G14" s="119">
        <f>'2019'!M81</f>
      </c>
      <c r="H14" s="119">
        <f>'2019'!N81</f>
        <v>0</v>
      </c>
      <c r="I14" s="119">
        <f>'2019'!Q81</f>
      </c>
      <c r="J14" s="119">
        <f>'2019'!R81</f>
        <v>0</v>
      </c>
      <c r="K14" s="119">
        <f>'2019'!U81</f>
      </c>
      <c r="L14" s="119">
        <f>'2019'!V81</f>
        <v>0</v>
      </c>
      <c r="M14" s="119">
        <f>'2019'!Y81</f>
      </c>
      <c r="N14" s="119">
        <f>'2019'!Z81</f>
        <v>0</v>
      </c>
      <c r="O14" s="119">
        <f>'2019'!AC81</f>
      </c>
      <c r="P14" s="119">
        <f>'2019'!AD81</f>
        <v>0</v>
      </c>
      <c r="Q14" s="119">
        <f>'2019'!AG81</f>
      </c>
      <c r="R14" s="119">
        <f>'2019'!AH81</f>
        <v>0</v>
      </c>
      <c r="S14" s="119">
        <f>'2019'!AK81</f>
      </c>
      <c r="T14" s="119">
        <f>'2019'!AL81</f>
        <v>0</v>
      </c>
      <c r="U14" s="119">
        <f>'2019'!AO81</f>
      </c>
      <c r="V14" s="119">
        <f>'2019'!AP81</f>
        <v>0</v>
      </c>
      <c r="W14" s="119">
        <f>'2019'!AS81</f>
      </c>
      <c r="X14" s="119">
        <f>'2019'!AT81</f>
        <v>0</v>
      </c>
      <c r="Y14" s="119">
        <f>'2019'!AW81</f>
      </c>
      <c r="Z14" s="119">
        <f>'2019'!AX81</f>
        <v>0</v>
      </c>
      <c r="AA14" s="119"/>
      <c r="AB14" s="119">
        <f>'2019'!BA81</f>
      </c>
      <c r="AC14" s="119">
        <f>'2019'!BB81</f>
        <v>0</v>
      </c>
      <c r="AD14" s="119"/>
      <c r="AE14" s="119">
        <f>'2019'!BE81</f>
        <v>0</v>
      </c>
      <c r="AF14" s="119">
        <f t="shared" si="0"/>
      </c>
    </row>
    <row r="15" spans="1:32" x14ac:dyDescent="0.25">
      <c r="A15" s="14"/>
      <c r="B15" s="115">
        <v>11</v>
      </c>
      <c r="C15" s="115">
        <v>4.02</v>
      </c>
      <c r="D15" s="117" t="s">
        <v>89</v>
      </c>
      <c r="E15" s="119">
        <f>'2019'!I89</f>
        <v>37</v>
      </c>
      <c r="F15" s="119">
        <f>'2019'!J89</f>
        <v>0</v>
      </c>
      <c r="G15" s="119">
        <f>'2019'!M89</f>
        <v>37</v>
      </c>
      <c r="H15" s="119">
        <f>'2019'!N89</f>
        <v>0</v>
      </c>
      <c r="I15" s="119">
        <f>'2019'!Q89</f>
        <v>37</v>
      </c>
      <c r="J15" s="119">
        <f>'2019'!R89</f>
        <v>0</v>
      </c>
      <c r="K15" s="119">
        <f>'2019'!U89</f>
        <v>37</v>
      </c>
      <c r="L15" s="119">
        <f>'2019'!V89</f>
        <v>0</v>
      </c>
      <c r="M15" s="119">
        <f>'2019'!Y89</f>
        <v>33</v>
      </c>
      <c r="N15" s="119">
        <f>'2019'!Z89</f>
        <v>-4</v>
      </c>
      <c r="O15" s="119">
        <f>'2019'!AC89</f>
        <v>33</v>
      </c>
      <c r="P15" s="119">
        <f>'2019'!AD89</f>
        <v>0</v>
      </c>
      <c r="Q15" s="119">
        <f>'2019'!AG89</f>
        <v>35</v>
      </c>
      <c r="R15" s="119">
        <f>'2019'!AH89</f>
        <v>2</v>
      </c>
      <c r="S15" s="119">
        <f>'2019'!AK89</f>
        <v>35</v>
      </c>
      <c r="T15" s="119">
        <f>'2019'!AL89</f>
        <v>0</v>
      </c>
      <c r="U15" s="119">
        <f>'2019'!AO89</f>
        <v>35</v>
      </c>
      <c r="V15" s="119">
        <f>'2019'!AP89</f>
        <v>0</v>
      </c>
      <c r="W15" s="119">
        <f>'2019'!AS89</f>
        <v>35</v>
      </c>
      <c r="X15" s="119">
        <f>'2019'!AT89</f>
        <v>0</v>
      </c>
      <c r="Y15" s="119">
        <f>'2019'!AW89</f>
        <v>35</v>
      </c>
      <c r="Z15" s="119">
        <f>'2019'!AX89</f>
        <v>0</v>
      </c>
      <c r="AA15" s="119"/>
      <c r="AB15" s="119">
        <f>'2019'!BA89</f>
        <v>35</v>
      </c>
      <c r="AC15" s="119">
        <f>'2019'!BB89</f>
        <v>0</v>
      </c>
      <c r="AD15" s="119"/>
      <c r="AE15" s="119">
        <f>'2019'!BE89</f>
        <v>-2</v>
      </c>
      <c r="AF15" s="119">
        <f t="shared" si="0"/>
      </c>
    </row>
    <row r="16" spans="1:32" x14ac:dyDescent="0.25">
      <c r="A16" s="14"/>
      <c r="B16" s="115">
        <v>12</v>
      </c>
      <c r="C16" s="115">
        <v>4.02</v>
      </c>
      <c r="D16" s="117" t="s">
        <v>92</v>
      </c>
      <c r="E16" s="119">
        <f>'2019'!I97</f>
      </c>
      <c r="F16" s="119">
        <f>'2019'!J97</f>
      </c>
      <c r="G16" s="119">
        <f>'2019'!M97</f>
      </c>
      <c r="H16" s="119">
        <f>'2019'!N97</f>
        <v>0</v>
      </c>
      <c r="I16" s="119">
        <f>'2019'!Q97</f>
      </c>
      <c r="J16" s="119">
        <f>'2019'!R97</f>
        <v>0</v>
      </c>
      <c r="K16" s="119">
        <f>'2019'!U97</f>
      </c>
      <c r="L16" s="119">
        <f>'2019'!V97</f>
        <v>0</v>
      </c>
      <c r="M16" s="119">
        <f>'2019'!Y97</f>
      </c>
      <c r="N16" s="119">
        <f>'2019'!Z97</f>
        <v>0</v>
      </c>
      <c r="O16" s="119">
        <f>'2019'!AC97</f>
      </c>
      <c r="P16" s="119">
        <f>'2019'!AD97</f>
        <v>0</v>
      </c>
      <c r="Q16" s="119">
        <f>'2019'!AG97</f>
      </c>
      <c r="R16" s="119">
        <f>'2019'!AH97</f>
        <v>0</v>
      </c>
      <c r="S16" s="119">
        <f>'2019'!AK97</f>
      </c>
      <c r="T16" s="119">
        <f>'2019'!AL97</f>
        <v>0</v>
      </c>
      <c r="U16" s="119">
        <f>'2019'!AO97</f>
      </c>
      <c r="V16" s="119">
        <f>'2019'!AP97</f>
        <v>0</v>
      </c>
      <c r="W16" s="119">
        <f>'2019'!AS97</f>
      </c>
      <c r="X16" s="119">
        <f>'2019'!AT97</f>
        <v>0</v>
      </c>
      <c r="Y16" s="119">
        <f>'2019'!AW97</f>
      </c>
      <c r="Z16" s="119">
        <f>'2019'!AX97</f>
        <v>0</v>
      </c>
      <c r="AA16" s="119"/>
      <c r="AB16" s="119">
        <f>'2019'!BA97</f>
      </c>
      <c r="AC16" s="119">
        <f>'2019'!BB97</f>
        <v>0</v>
      </c>
      <c r="AD16" s="119"/>
      <c r="AE16" s="119">
        <f>'2019'!BE97</f>
        <v>0</v>
      </c>
      <c r="AF16" s="119">
        <f t="shared" si="0"/>
      </c>
    </row>
    <row r="17" spans="1:32" x14ac:dyDescent="0.25">
      <c r="A17" s="14"/>
      <c r="B17" s="115" t="s">
        <v>96</v>
      </c>
      <c r="C17" s="115">
        <v>7.94</v>
      </c>
      <c r="D17" s="117" t="s">
        <v>97</v>
      </c>
      <c r="E17" s="119">
        <f>'2019'!I105</f>
        <v>5007</v>
      </c>
      <c r="F17" s="119">
        <f>'2019'!J105</f>
        <v>300</v>
      </c>
      <c r="G17" s="119">
        <f>'2019'!M105</f>
        <v>5007</v>
      </c>
      <c r="H17" s="119">
        <f>'2019'!N105</f>
        <v>0</v>
      </c>
      <c r="I17" s="119">
        <f>'2019'!Q105</f>
        <v>5007</v>
      </c>
      <c r="J17" s="119">
        <f>'2019'!R105</f>
        <v>0</v>
      </c>
      <c r="K17" s="119">
        <f>'2019'!U105</f>
        <v>5135</v>
      </c>
      <c r="L17" s="119">
        <f>'2019'!V105</f>
        <v>128</v>
      </c>
      <c r="M17" s="119">
        <f>'2019'!Y105</f>
        <v>5135</v>
      </c>
      <c r="N17" s="119">
        <f>'2019'!Z105</f>
        <v>0</v>
      </c>
      <c r="O17" s="119">
        <f>'2019'!AC105</f>
        <v>5160</v>
      </c>
      <c r="P17" s="119">
        <f>'2019'!AD105</f>
        <v>25</v>
      </c>
      <c r="Q17" s="119">
        <f>'2019'!AG105</f>
        <v>5456</v>
      </c>
      <c r="R17" s="119">
        <f>'2019'!AH105</f>
        <v>296</v>
      </c>
      <c r="S17" s="119">
        <f>'2019'!AK105</f>
        <v>5523</v>
      </c>
      <c r="T17" s="119">
        <f>'2019'!AL105</f>
        <v>67</v>
      </c>
      <c r="U17" s="119">
        <f>'2019'!AO105</f>
        <v>5523</v>
      </c>
      <c r="V17" s="119">
        <f>'2019'!AP105</f>
        <v>0</v>
      </c>
      <c r="W17" s="119">
        <f>'2019'!AS105</f>
        <v>5523</v>
      </c>
      <c r="X17" s="119">
        <f>'2019'!AT105</f>
        <v>0</v>
      </c>
      <c r="Y17" s="119">
        <f>'2019'!AW105</f>
        <v>5523</v>
      </c>
      <c r="Z17" s="119">
        <f>'2019'!AX105</f>
        <v>0</v>
      </c>
      <c r="AA17" s="119"/>
      <c r="AB17" s="119">
        <f>'2019'!BA105</f>
        <v>5523</v>
      </c>
      <c r="AC17" s="119">
        <f>'2019'!BB105</f>
        <v>0</v>
      </c>
      <c r="AD17" s="119"/>
      <c r="AE17" s="119">
        <f>'2019'!BE105</f>
        <v>816</v>
      </c>
      <c r="AF17" s="119">
        <f t="shared" si="0"/>
      </c>
    </row>
    <row r="18" spans="1:32" x14ac:dyDescent="0.25">
      <c r="A18" s="14"/>
      <c r="B18" s="115">
        <v>14</v>
      </c>
      <c r="C18" s="115">
        <v>4.02</v>
      </c>
      <c r="D18" s="117" t="s">
        <v>100</v>
      </c>
      <c r="E18" s="119">
        <f>'2019'!I113</f>
      </c>
      <c r="F18" s="119">
        <f>'2019'!J113</f>
      </c>
      <c r="G18" s="119">
        <f>'2019'!M113</f>
      </c>
      <c r="H18" s="119">
        <f>'2019'!N113</f>
        <v>0</v>
      </c>
      <c r="I18" s="119">
        <f>'2019'!Q113</f>
      </c>
      <c r="J18" s="119">
        <f>'2019'!R113</f>
        <v>0</v>
      </c>
      <c r="K18" s="119">
        <f>'2019'!U113</f>
      </c>
      <c r="L18" s="119">
        <f>'2019'!V113</f>
        <v>0</v>
      </c>
      <c r="M18" s="119">
        <f>'2019'!Y113</f>
      </c>
      <c r="N18" s="119">
        <f>'2019'!Z113</f>
        <v>0</v>
      </c>
      <c r="O18" s="119">
        <f>'2019'!AC113</f>
      </c>
      <c r="P18" s="119">
        <f>'2019'!AD113</f>
        <v>0</v>
      </c>
      <c r="Q18" s="119">
        <f>'2019'!AG113</f>
      </c>
      <c r="R18" s="119">
        <f>'2019'!AH113</f>
        <v>0</v>
      </c>
      <c r="S18" s="119">
        <f>'2019'!AK113</f>
      </c>
      <c r="T18" s="119">
        <f>'2019'!AL113</f>
        <v>0</v>
      </c>
      <c r="U18" s="119">
        <f>'2019'!AO113</f>
      </c>
      <c r="V18" s="119">
        <f>'2019'!AP113</f>
        <v>0</v>
      </c>
      <c r="W18" s="119">
        <f>'2019'!AS113</f>
      </c>
      <c r="X18" s="119">
        <f>'2019'!AT113</f>
        <v>0</v>
      </c>
      <c r="Y18" s="119">
        <f>'2019'!AW113</f>
      </c>
      <c r="Z18" s="119">
        <f>'2019'!AX113</f>
        <v>0</v>
      </c>
      <c r="AA18" s="119"/>
      <c r="AB18" s="119">
        <f>'2019'!BA113</f>
      </c>
      <c r="AC18" s="119">
        <f>'2019'!BB113</f>
        <v>0</v>
      </c>
      <c r="AD18" s="119"/>
      <c r="AE18" s="119">
        <f>'2019'!BE113</f>
        <v>0</v>
      </c>
      <c r="AF18" s="119">
        <f t="shared" si="0"/>
      </c>
    </row>
    <row r="19" spans="1:32" x14ac:dyDescent="0.25">
      <c r="A19" s="14"/>
      <c r="B19" s="115">
        <v>16</v>
      </c>
      <c r="C19" s="115">
        <v>3.98</v>
      </c>
      <c r="D19" s="117" t="s">
        <v>103</v>
      </c>
      <c r="E19" s="119">
        <f>'2019'!I121</f>
        <v>488</v>
      </c>
      <c r="F19" s="119">
        <f>'2019'!J121</f>
        <v>0</v>
      </c>
      <c r="G19" s="119">
        <f>'2019'!M121</f>
        <v>488</v>
      </c>
      <c r="H19" s="119">
        <f>'2019'!N121</f>
        <v>0</v>
      </c>
      <c r="I19" s="119">
        <f>'2019'!Q121</f>
        <v>488</v>
      </c>
      <c r="J19" s="119">
        <f>'2019'!R121</f>
        <v>0</v>
      </c>
      <c r="K19" s="119">
        <f>'2019'!U121</f>
        <v>490</v>
      </c>
      <c r="L19" s="119">
        <f>'2019'!V121</f>
        <v>2</v>
      </c>
      <c r="M19" s="119">
        <f>'2019'!Y121</f>
        <v>560</v>
      </c>
      <c r="N19" s="119">
        <f>'2019'!Z121</f>
        <v>70</v>
      </c>
      <c r="O19" s="119">
        <f>'2019'!AC121</f>
        <v>594</v>
      </c>
      <c r="P19" s="119">
        <f>'2019'!AD121</f>
        <v>34</v>
      </c>
      <c r="Q19" s="119">
        <f>'2019'!AG121</f>
        <v>637</v>
      </c>
      <c r="R19" s="119">
        <f>'2019'!AH121</f>
        <v>43</v>
      </c>
      <c r="S19" s="119">
        <f>'2019'!AK121</f>
        <v>651</v>
      </c>
      <c r="T19" s="119">
        <f>'2019'!AL121</f>
        <v>14</v>
      </c>
      <c r="U19" s="119">
        <f>'2019'!AO121</f>
        <v>744</v>
      </c>
      <c r="V19" s="119">
        <f>'2019'!AP121</f>
        <v>93</v>
      </c>
      <c r="W19" s="119">
        <f>'2019'!AS121</f>
        <v>761</v>
      </c>
      <c r="X19" s="119">
        <f>'2019'!AT121</f>
        <v>17</v>
      </c>
      <c r="Y19" s="119">
        <f>'2019'!AW121</f>
        <v>761</v>
      </c>
      <c r="Z19" s="119">
        <f>'2019'!AX121</f>
        <v>0</v>
      </c>
      <c r="AA19" s="119"/>
      <c r="AB19" s="119">
        <f>'2019'!BA121</f>
        <v>761</v>
      </c>
      <c r="AC19" s="119">
        <f>'2019'!BB121</f>
        <v>0</v>
      </c>
      <c r="AD19" s="119"/>
      <c r="AE19" s="119">
        <f>'2019'!BE121</f>
        <v>273</v>
      </c>
      <c r="AF19" s="119">
        <f t="shared" si="0"/>
      </c>
    </row>
    <row r="20" spans="1:32" x14ac:dyDescent="0.25">
      <c r="A20" s="14"/>
      <c r="B20" s="115">
        <v>17</v>
      </c>
      <c r="C20" s="116">
        <v>4</v>
      </c>
      <c r="D20" s="117" t="s">
        <v>106</v>
      </c>
      <c r="E20" s="119">
        <f>'2019'!I129</f>
        <v>9</v>
      </c>
      <c r="F20" s="119">
        <f>'2019'!J129</f>
        <v>0</v>
      </c>
      <c r="G20" s="119">
        <f>'2019'!M129</f>
        <v>9</v>
      </c>
      <c r="H20" s="119">
        <f>'2019'!N129</f>
        <v>0</v>
      </c>
      <c r="I20" s="119">
        <f>'2019'!Q129</f>
        <v>9</v>
      </c>
      <c r="J20" s="119">
        <f>'2019'!R129</f>
        <v>0</v>
      </c>
      <c r="K20" s="119">
        <f>'2019'!U129</f>
        <v>9</v>
      </c>
      <c r="L20" s="119">
        <f>'2019'!V129</f>
        <v>0</v>
      </c>
      <c r="M20" s="119">
        <f>'2019'!Y129</f>
        <v>14</v>
      </c>
      <c r="N20" s="119">
        <f>'2019'!Z129</f>
        <v>5</v>
      </c>
      <c r="O20" s="119">
        <f>'2019'!AC129</f>
        <v>14</v>
      </c>
      <c r="P20" s="119">
        <f>'2019'!AD129</f>
        <v>0</v>
      </c>
      <c r="Q20" s="119">
        <f>'2019'!AG129</f>
        <v>18</v>
      </c>
      <c r="R20" s="119">
        <f>'2019'!AH129</f>
        <v>4</v>
      </c>
      <c r="S20" s="119">
        <f>'2019'!AK129</f>
        <v>18</v>
      </c>
      <c r="T20" s="119">
        <f>'2019'!AL129</f>
        <v>0</v>
      </c>
      <c r="U20" s="119">
        <f>'2019'!AO129</f>
        <v>18</v>
      </c>
      <c r="V20" s="119">
        <f>'2019'!AP129</f>
        <v>0</v>
      </c>
      <c r="W20" s="119">
        <f>'2019'!AS129</f>
        <v>18</v>
      </c>
      <c r="X20" s="119">
        <f>'2019'!AT129</f>
        <v>0</v>
      </c>
      <c r="Y20" s="119">
        <f>'2019'!AW129</f>
        <v>18</v>
      </c>
      <c r="Z20" s="119">
        <f>'2019'!AX129</f>
        <v>0</v>
      </c>
      <c r="AA20" s="119"/>
      <c r="AB20" s="119">
        <f>'2019'!BA129</f>
        <v>18</v>
      </c>
      <c r="AC20" s="119">
        <f>'2019'!BB129</f>
        <v>0</v>
      </c>
      <c r="AD20" s="119"/>
      <c r="AE20" s="119">
        <f>'2019'!BE129</f>
        <v>9</v>
      </c>
      <c r="AF20" s="119">
        <f t="shared" si="0"/>
      </c>
    </row>
    <row r="21" ht="15.75" customHeight="1" spans="1:32" x14ac:dyDescent="0.25">
      <c r="A21" s="14"/>
      <c r="B21" s="115">
        <v>18</v>
      </c>
      <c r="C21" s="115">
        <v>4.03</v>
      </c>
      <c r="D21" s="117" t="s">
        <v>109</v>
      </c>
      <c r="E21" s="119">
        <f>'2019'!I137</f>
        <v>189</v>
      </c>
      <c r="F21" s="119">
        <f>'2019'!J137</f>
        <v>0</v>
      </c>
      <c r="G21" s="119">
        <f>'2019'!M137</f>
        <v>189</v>
      </c>
      <c r="H21" s="119">
        <f>'2019'!N137</f>
        <v>0</v>
      </c>
      <c r="I21" s="119">
        <f>'2019'!Q137</f>
        <v>189</v>
      </c>
      <c r="J21" s="119">
        <f>'2019'!R137</f>
        <v>0</v>
      </c>
      <c r="K21" s="119">
        <f>'2019'!U137</f>
        <v>192</v>
      </c>
      <c r="L21" s="119">
        <f>'2019'!V137</f>
        <v>3</v>
      </c>
      <c r="M21" s="119">
        <f>'2019'!Y137</f>
        <v>201</v>
      </c>
      <c r="N21" s="119">
        <f>'2019'!Z137</f>
        <v>9</v>
      </c>
      <c r="O21" s="119">
        <f>'2019'!AC137</f>
        <v>209</v>
      </c>
      <c r="P21" s="119">
        <f>'2019'!AD137</f>
        <v>8</v>
      </c>
      <c r="Q21" s="119">
        <f>'2019'!AG137</f>
        <v>226</v>
      </c>
      <c r="R21" s="119">
        <f>'2019'!AH137</f>
        <v>17</v>
      </c>
      <c r="S21" s="119">
        <f>'2019'!AK137</f>
        <v>242</v>
      </c>
      <c r="T21" s="119">
        <f>'2019'!AL137</f>
        <v>16</v>
      </c>
      <c r="U21" s="119">
        <f>'2019'!AO137</f>
        <v>252</v>
      </c>
      <c r="V21" s="119">
        <f>'2019'!AP137</f>
        <v>10</v>
      </c>
      <c r="W21" s="119">
        <f>'2019'!AS137</f>
        <v>257</v>
      </c>
      <c r="X21" s="119">
        <f>'2019'!AT137</f>
        <v>5</v>
      </c>
      <c r="Y21" s="119">
        <f>'2019'!AW137</f>
        <v>258</v>
      </c>
      <c r="Z21" s="119">
        <f>'2019'!AX137</f>
        <v>1</v>
      </c>
      <c r="AA21" s="119"/>
      <c r="AB21" s="119">
        <f>'2019'!BA137</f>
        <v>258</v>
      </c>
      <c r="AC21" s="119">
        <f>'2019'!BB137</f>
        <v>0</v>
      </c>
      <c r="AD21" s="119"/>
      <c r="AE21" s="119">
        <f>'2019'!BE137</f>
        <v>69</v>
      </c>
      <c r="AF21" s="119">
        <f t="shared" si="0"/>
      </c>
    </row>
    <row r="22" ht="15.75" customHeight="1" spans="1:32" x14ac:dyDescent="0.25">
      <c r="A22" s="21"/>
      <c r="B22" s="115">
        <v>19</v>
      </c>
      <c r="C22" s="116">
        <v>4.1</v>
      </c>
      <c r="D22" s="117" t="s">
        <v>113</v>
      </c>
      <c r="E22" s="119">
        <f>'2019'!I145</f>
        <v>1</v>
      </c>
      <c r="F22" s="119">
        <f>'2019'!J145</f>
        <v>0</v>
      </c>
      <c r="G22" s="119">
        <f>'2019'!M145</f>
        <v>1</v>
      </c>
      <c r="H22" s="119">
        <f>'2019'!N145</f>
        <v>0</v>
      </c>
      <c r="I22" s="119">
        <f>'2019'!Q145</f>
        <v>1</v>
      </c>
      <c r="J22" s="119">
        <f>'2019'!R145</f>
        <v>0</v>
      </c>
      <c r="K22" s="119">
        <f>'2019'!U145</f>
        <v>1</v>
      </c>
      <c r="L22" s="119">
        <f>'2019'!V145</f>
        <v>0</v>
      </c>
      <c r="M22" s="119">
        <f>'2019'!Y145</f>
        <v>1</v>
      </c>
      <c r="N22" s="119">
        <f>'2019'!Z145</f>
        <v>0</v>
      </c>
      <c r="O22" s="119">
        <f>'2019'!AC145</f>
        <v>1</v>
      </c>
      <c r="P22" s="119">
        <f>'2019'!AD145</f>
        <v>0</v>
      </c>
      <c r="Q22" s="119">
        <f>'2019'!AG145</f>
        <v>1</v>
      </c>
      <c r="R22" s="119">
        <f>'2019'!AH145</f>
        <v>0</v>
      </c>
      <c r="S22" s="119">
        <f>'2019'!AK145</f>
        <v>1</v>
      </c>
      <c r="T22" s="119">
        <f>'2019'!AL145</f>
        <v>0</v>
      </c>
      <c r="U22" s="119">
        <f>'2019'!AO145</f>
        <v>1</v>
      </c>
      <c r="V22" s="119">
        <f>'2019'!AP145</f>
        <v>0</v>
      </c>
      <c r="W22" s="119">
        <f>'2019'!AS145</f>
        <v>1</v>
      </c>
      <c r="X22" s="119">
        <f>'2019'!AT145</f>
        <v>0</v>
      </c>
      <c r="Y22" s="119">
        <f>'2019'!AW145</f>
        <v>1</v>
      </c>
      <c r="Z22" s="119">
        <f>'2019'!AX145</f>
        <v>0</v>
      </c>
      <c r="AA22" s="119"/>
      <c r="AB22" s="119">
        <f>'2019'!BA145</f>
        <v>1</v>
      </c>
      <c r="AC22" s="119">
        <f>'2019'!BB145</f>
        <v>0</v>
      </c>
      <c r="AD22" s="119"/>
      <c r="AE22" s="119">
        <f>'2019'!BE145</f>
        <v>0</v>
      </c>
      <c r="AF22" s="119">
        <f t="shared" si="0"/>
      </c>
    </row>
    <row r="23" ht="15.75" customHeight="1" spans="1:32" x14ac:dyDescent="0.25">
      <c r="A23" s="114" t="s">
        <v>116</v>
      </c>
      <c r="B23" s="115" t="s">
        <v>117</v>
      </c>
      <c r="C23" s="116">
        <v>8</v>
      </c>
      <c r="D23" s="117" t="s">
        <v>118</v>
      </c>
      <c r="E23" s="119">
        <f>'2019'!I153</f>
        <v>2425</v>
      </c>
      <c r="F23" s="119">
        <f>'2019'!J153</f>
        <v>0</v>
      </c>
      <c r="G23" s="119">
        <f>'2019'!M153</f>
        <v>2425</v>
      </c>
      <c r="H23" s="119">
        <f>'2019'!N153</f>
        <v>0</v>
      </c>
      <c r="I23" s="119">
        <f>'2019'!Q153</f>
        <v>2425</v>
      </c>
      <c r="J23" s="119">
        <f>'2019'!R153</f>
        <v>0</v>
      </c>
      <c r="K23" s="119">
        <f>'2019'!U153</f>
        <v>2436</v>
      </c>
      <c r="L23" s="119">
        <f>'2019'!V153</f>
        <v>11</v>
      </c>
      <c r="M23" s="119">
        <f>'2019'!Y153</f>
        <v>2471</v>
      </c>
      <c r="N23" s="119">
        <f>'2019'!Z153</f>
        <v>35</v>
      </c>
      <c r="O23" s="119">
        <f>'2019'!AC153</f>
        <v>2556</v>
      </c>
      <c r="P23" s="119">
        <f>'2019'!AD153</f>
        <v>85</v>
      </c>
      <c r="Q23" s="119">
        <f>'2019'!AG153</f>
        <v>2698</v>
      </c>
      <c r="R23" s="119">
        <f>'2019'!AH153</f>
        <v>142</v>
      </c>
      <c r="S23" s="119">
        <f>'2019'!AK153</f>
        <v>2818</v>
      </c>
      <c r="T23" s="119">
        <f>'2019'!AL153</f>
        <v>120</v>
      </c>
      <c r="U23" s="119">
        <f>'2019'!AO153</f>
        <v>2930</v>
      </c>
      <c r="V23" s="119">
        <f>'2019'!AP153</f>
        <v>112</v>
      </c>
      <c r="W23" s="119">
        <f>'2019'!AS153</f>
        <v>2980</v>
      </c>
      <c r="X23" s="119">
        <f>'2019'!AT153</f>
        <v>50</v>
      </c>
      <c r="Y23" s="119">
        <f>'2019'!AW153</f>
        <v>2985</v>
      </c>
      <c r="Z23" s="119">
        <f>'2019'!AX153</f>
        <v>5</v>
      </c>
      <c r="AA23" s="119"/>
      <c r="AB23" s="119">
        <f>'2019'!BA153</f>
        <v>2985</v>
      </c>
      <c r="AC23" s="119">
        <f>'2019'!BB153</f>
        <v>0</v>
      </c>
      <c r="AD23" s="119"/>
      <c r="AE23" s="119">
        <f>'2019'!BE153</f>
        <v>560</v>
      </c>
      <c r="AF23" s="119">
        <f t="shared" si="0"/>
      </c>
    </row>
    <row r="24" ht="15.75" customHeight="1" spans="1:32" x14ac:dyDescent="0.25">
      <c r="A24" s="14"/>
      <c r="B24" s="115">
        <v>21</v>
      </c>
      <c r="C24" s="115">
        <v>3.96</v>
      </c>
      <c r="D24" s="117" t="s">
        <v>120</v>
      </c>
      <c r="E24" s="119">
        <f>'2019'!I161</f>
        <v>658</v>
      </c>
      <c r="F24" s="119">
        <f>'2019'!J161</f>
        <v>72</v>
      </c>
      <c r="G24" s="119">
        <f>'2019'!M161</f>
        <v>966</v>
      </c>
      <c r="H24" s="119">
        <f>'2019'!N161</f>
        <v>308</v>
      </c>
      <c r="I24" s="119">
        <f>'2019'!Q161</f>
        <v>984</v>
      </c>
      <c r="J24" s="119">
        <f>'2019'!R161</f>
        <v>18</v>
      </c>
      <c r="K24" s="119">
        <f>'2019'!U161</f>
        <v>1094</v>
      </c>
      <c r="L24" s="119">
        <f>'2019'!V161</f>
        <v>110</v>
      </c>
      <c r="M24" s="119">
        <f>'2019'!Y161</f>
        <v>1175</v>
      </c>
      <c r="N24" s="119">
        <f>'2019'!Z161</f>
        <v>81</v>
      </c>
      <c r="O24" s="119">
        <f>'2019'!AC161</f>
        <v>1205</v>
      </c>
      <c r="P24" s="119">
        <f>'2019'!AD161</f>
        <v>30</v>
      </c>
      <c r="Q24" s="119">
        <f>'2019'!AG161</f>
        <v>1280</v>
      </c>
      <c r="R24" s="119">
        <f>'2019'!AH161</f>
        <v>75</v>
      </c>
      <c r="S24" s="119">
        <f>'2019'!AK161</f>
        <v>1354</v>
      </c>
      <c r="T24" s="119">
        <f>'2019'!AL161</f>
        <v>74</v>
      </c>
      <c r="U24" s="119">
        <f>'2019'!AO161</f>
        <v>1416</v>
      </c>
      <c r="V24" s="119">
        <f>'2019'!AP161</f>
        <v>62</v>
      </c>
      <c r="W24" s="119">
        <f>'2019'!AS161</f>
        <v>1455</v>
      </c>
      <c r="X24" s="119">
        <f>'2019'!AT161</f>
        <v>39</v>
      </c>
      <c r="Y24" s="119">
        <f>'2019'!AW161</f>
        <v>1491</v>
      </c>
      <c r="Z24" s="119">
        <f>'2019'!AX161</f>
        <v>36</v>
      </c>
      <c r="AA24" s="119"/>
      <c r="AB24" s="119">
        <f>'2019'!BA161</f>
        <v>1519</v>
      </c>
      <c r="AC24" s="119">
        <f>'2019'!BB161</f>
        <v>28</v>
      </c>
      <c r="AD24" s="119"/>
      <c r="AE24" s="119">
        <f>'2019'!BE161</f>
        <v>933</v>
      </c>
      <c r="AF24" s="119">
        <f t="shared" si="0"/>
      </c>
    </row>
    <row r="25" ht="15.75" customHeight="1" spans="1:32" x14ac:dyDescent="0.25">
      <c r="A25" s="14"/>
      <c r="B25" s="115">
        <v>23</v>
      </c>
      <c r="C25" s="115">
        <v>3.98</v>
      </c>
      <c r="D25" s="117" t="s">
        <v>124</v>
      </c>
      <c r="E25" s="119">
        <f>'2019'!I169</f>
        <v>1901</v>
      </c>
      <c r="F25" s="119">
        <f>'2019'!J169</f>
        <v>0</v>
      </c>
      <c r="G25" s="119">
        <f>'2019'!M169</f>
        <v>1930</v>
      </c>
      <c r="H25" s="119">
        <f>'2019'!N169</f>
        <v>29</v>
      </c>
      <c r="I25" s="119">
        <f>'2019'!Q169</f>
        <v>1960</v>
      </c>
      <c r="J25" s="119">
        <f>'2019'!R169</f>
        <v>30</v>
      </c>
      <c r="K25" s="119">
        <f>'2019'!U169</f>
        <v>1983</v>
      </c>
      <c r="L25" s="119">
        <f>'2019'!V169</f>
        <v>23</v>
      </c>
      <c r="M25" s="119">
        <f>'2019'!Y169</f>
        <v>2146</v>
      </c>
      <c r="N25" s="119">
        <f>'2019'!Z169</f>
        <v>163</v>
      </c>
      <c r="O25" s="119">
        <f>'2019'!AC169</f>
        <v>2252</v>
      </c>
      <c r="P25" s="119">
        <f>'2019'!AD169</f>
        <v>106</v>
      </c>
      <c r="Q25" s="119">
        <f>'2019'!AG169</f>
        <v>2397</v>
      </c>
      <c r="R25" s="119">
        <f>'2019'!AH169</f>
        <v>145</v>
      </c>
      <c r="S25" s="119">
        <f>'2019'!AK169</f>
        <v>2491</v>
      </c>
      <c r="T25" s="119">
        <f>'2019'!AL169</f>
        <v>94</v>
      </c>
      <c r="U25" s="119">
        <f>'2019'!AO169</f>
        <v>3027</v>
      </c>
      <c r="V25" s="119">
        <f>'2019'!AP169</f>
        <v>536</v>
      </c>
      <c r="W25" s="119">
        <f>'2019'!AS169</f>
        <v>3353</v>
      </c>
      <c r="X25" s="119">
        <f>'2019'!AT169</f>
        <v>326</v>
      </c>
      <c r="Y25" s="119">
        <f>'2019'!AW169</f>
        <v>3353</v>
      </c>
      <c r="Z25" s="119">
        <f>'2019'!AX169</f>
        <v>0</v>
      </c>
      <c r="AA25" s="119"/>
      <c r="AB25" s="119">
        <f>'2019'!BA169</f>
        <v>3353</v>
      </c>
      <c r="AC25" s="119">
        <f>'2019'!BB169</f>
        <v>0</v>
      </c>
      <c r="AD25" s="119"/>
      <c r="AE25" s="119">
        <f>'2019'!BE169</f>
        <v>1452</v>
      </c>
      <c r="AF25" s="119">
        <f t="shared" si="0"/>
      </c>
    </row>
    <row r="26" ht="15.75" customHeight="1" spans="1:32" x14ac:dyDescent="0.25">
      <c r="A26" s="14"/>
      <c r="B26" s="115">
        <v>24</v>
      </c>
      <c r="C26" s="115">
        <v>4.01</v>
      </c>
      <c r="D26" s="117" t="s">
        <v>127</v>
      </c>
      <c r="E26" s="119">
        <f>'2019'!I177</f>
        <v>56</v>
      </c>
      <c r="F26" s="119">
        <f>'2019'!J177</f>
        <v>0</v>
      </c>
      <c r="G26" s="119">
        <f>'2019'!M177</f>
        <v>56</v>
      </c>
      <c r="H26" s="119">
        <f>'2019'!N177</f>
        <v>0</v>
      </c>
      <c r="I26" s="119">
        <f>'2019'!Q177</f>
        <v>56</v>
      </c>
      <c r="J26" s="119">
        <f>'2019'!R177</f>
        <v>0</v>
      </c>
      <c r="K26" s="119">
        <f>'2019'!U177</f>
        <v>56</v>
      </c>
      <c r="L26" s="119">
        <f>'2019'!V177</f>
        <v>0</v>
      </c>
      <c r="M26" s="119">
        <f>'2019'!Y177</f>
        <v>56</v>
      </c>
      <c r="N26" s="119">
        <f>'2019'!Z177</f>
        <v>0</v>
      </c>
      <c r="O26" s="119">
        <f>'2019'!AC177</f>
        <v>61</v>
      </c>
      <c r="P26" s="119">
        <f>'2019'!AD177</f>
        <v>5</v>
      </c>
      <c r="Q26" s="119">
        <f>'2019'!AG177</f>
        <v>66</v>
      </c>
      <c r="R26" s="119">
        <f>'2019'!AH177</f>
        <v>5</v>
      </c>
      <c r="S26" s="119">
        <f>'2019'!AK177</f>
        <v>71</v>
      </c>
      <c r="T26" s="119">
        <f>'2019'!AL177</f>
        <v>5</v>
      </c>
      <c r="U26" s="119">
        <f>'2019'!AO177</f>
        <v>75</v>
      </c>
      <c r="V26" s="119">
        <f>'2019'!AP177</f>
        <v>4</v>
      </c>
      <c r="W26" s="119">
        <f>'2019'!AS177</f>
        <v>76</v>
      </c>
      <c r="X26" s="119">
        <f>'2019'!AT177</f>
        <v>1</v>
      </c>
      <c r="Y26" s="119">
        <f>'2019'!AW177</f>
        <v>76</v>
      </c>
      <c r="Z26" s="119">
        <f>'2019'!AX177</f>
        <v>0</v>
      </c>
      <c r="AA26" s="119"/>
      <c r="AB26" s="119">
        <f>'2019'!BA177</f>
        <v>76</v>
      </c>
      <c r="AC26" s="119">
        <f>'2019'!BB177</f>
        <v>0</v>
      </c>
      <c r="AD26" s="119"/>
      <c r="AE26" s="119">
        <f>'2019'!BE177</f>
        <v>20</v>
      </c>
      <c r="AF26" s="119">
        <f t="shared" si="0"/>
      </c>
    </row>
    <row r="27" ht="15.75" customHeight="1" spans="1:32" x14ac:dyDescent="0.25">
      <c r="A27" s="14"/>
      <c r="B27" s="115">
        <v>25</v>
      </c>
      <c r="C27" s="116">
        <v>4</v>
      </c>
      <c r="D27" s="117" t="s">
        <v>131</v>
      </c>
      <c r="E27" s="119">
        <f>'2019'!I185</f>
        <v>13</v>
      </c>
      <c r="F27" s="119">
        <f>'2019'!J185</f>
      </c>
      <c r="G27" s="119">
        <f>'2019'!M185</f>
        <v>13</v>
      </c>
      <c r="H27" s="119">
        <f>'2019'!N185</f>
        <v>0</v>
      </c>
      <c r="I27" s="119">
        <f>'2019'!Q185</f>
        <v>13</v>
      </c>
      <c r="J27" s="119">
        <f>'2019'!R185</f>
        <v>0</v>
      </c>
      <c r="K27" s="119">
        <f>'2019'!U185</f>
        <v>13</v>
      </c>
      <c r="L27" s="119">
        <f>'2019'!V185</f>
        <v>0</v>
      </c>
      <c r="M27" s="119">
        <f>'2019'!Y185</f>
        <v>13</v>
      </c>
      <c r="N27" s="119">
        <f>'2019'!Z185</f>
        <v>0</v>
      </c>
      <c r="O27" s="119">
        <f>'2019'!AC185</f>
        <v>13</v>
      </c>
      <c r="P27" s="119">
        <f>'2019'!AD185</f>
        <v>0</v>
      </c>
      <c r="Q27" s="119">
        <f>'2019'!AG185</f>
        <v>13</v>
      </c>
      <c r="R27" s="119">
        <f>'2019'!AH185</f>
        <v>0</v>
      </c>
      <c r="S27" s="119">
        <f>'2019'!AK185</f>
        <v>13</v>
      </c>
      <c r="T27" s="119">
        <f>'2019'!AL185</f>
        <v>0</v>
      </c>
      <c r="U27" s="119">
        <f>'2019'!AO185</f>
        <v>13</v>
      </c>
      <c r="V27" s="119">
        <f>'2019'!AP185</f>
        <v>0</v>
      </c>
      <c r="W27" s="119">
        <f>'2019'!AS185</f>
        <v>13</v>
      </c>
      <c r="X27" s="119">
        <f>'2019'!AT185</f>
        <v>0</v>
      </c>
      <c r="Y27" s="119">
        <f>'2019'!AW185</f>
        <v>13</v>
      </c>
      <c r="Z27" s="119">
        <f>'2019'!AX185</f>
        <v>0</v>
      </c>
      <c r="AA27" s="119"/>
      <c r="AB27" s="119">
        <f>'2019'!BA185</f>
        <v>13</v>
      </c>
      <c r="AC27" s="119">
        <f>'2019'!BB185</f>
        <v>0</v>
      </c>
      <c r="AD27" s="119"/>
      <c r="AE27" s="119">
        <f>'2019'!BE185</f>
        <v>0</v>
      </c>
      <c r="AF27" s="119">
        <f t="shared" si="0"/>
      </c>
    </row>
    <row r="28" ht="15.75" customHeight="1" spans="1:32" x14ac:dyDescent="0.25">
      <c r="A28" s="14"/>
      <c r="B28" s="115">
        <v>26</v>
      </c>
      <c r="C28" s="115">
        <v>3.98</v>
      </c>
      <c r="D28" s="117" t="s">
        <v>133</v>
      </c>
      <c r="E28" s="119">
        <f>'2019'!I193</f>
      </c>
      <c r="F28" s="119">
        <f>'2019'!J193</f>
      </c>
      <c r="G28" s="119">
        <f>'2019'!M193</f>
      </c>
      <c r="H28" s="119">
        <f>'2019'!N193</f>
        <v>0</v>
      </c>
      <c r="I28" s="119">
        <f>'2019'!Q193</f>
      </c>
      <c r="J28" s="119">
        <f>'2019'!R193</f>
        <v>0</v>
      </c>
      <c r="K28" s="119">
        <f>'2019'!U193</f>
      </c>
      <c r="L28" s="119">
        <f>'2019'!V193</f>
        <v>0</v>
      </c>
      <c r="M28" s="119">
        <f>'2019'!Y193</f>
      </c>
      <c r="N28" s="119">
        <f>'2019'!Z193</f>
        <v>0</v>
      </c>
      <c r="O28" s="119">
        <f>'2019'!AC193</f>
      </c>
      <c r="P28" s="119">
        <f>'2019'!AD193</f>
        <v>0</v>
      </c>
      <c r="Q28" s="119">
        <f>'2019'!AG193</f>
      </c>
      <c r="R28" s="119">
        <f>'2019'!AH193</f>
        <v>0</v>
      </c>
      <c r="S28" s="119">
        <f>'2019'!AK193</f>
      </c>
      <c r="T28" s="119">
        <f>'2019'!AL193</f>
        <v>0</v>
      </c>
      <c r="U28" s="119">
        <f>'2019'!AO193</f>
      </c>
      <c r="V28" s="119">
        <f>'2019'!AP193</f>
        <v>0</v>
      </c>
      <c r="W28" s="119">
        <f>'2019'!AS193</f>
      </c>
      <c r="X28" s="119">
        <f>'2019'!AT193</f>
        <v>0</v>
      </c>
      <c r="Y28" s="119">
        <f>'2019'!AW193</f>
      </c>
      <c r="Z28" s="119">
        <f>'2019'!AX193</f>
        <v>0</v>
      </c>
      <c r="AA28" s="119"/>
      <c r="AB28" s="119">
        <f>'2019'!BA193</f>
      </c>
      <c r="AC28" s="119">
        <f>'2019'!BB193</f>
        <v>0</v>
      </c>
      <c r="AD28" s="119"/>
      <c r="AE28" s="119">
        <f>'2019'!BE193</f>
        <v>0</v>
      </c>
      <c r="AF28" s="119">
        <f t="shared" si="0"/>
      </c>
    </row>
    <row r="29" ht="15.75" customHeight="1" spans="1:32" x14ac:dyDescent="0.25">
      <c r="A29" s="14"/>
      <c r="B29" s="115">
        <v>27</v>
      </c>
      <c r="C29" s="115">
        <v>4.04</v>
      </c>
      <c r="D29" s="117" t="s">
        <v>136</v>
      </c>
      <c r="E29" s="119">
        <f>'2019'!I201</f>
      </c>
      <c r="F29" s="119">
        <f>'2019'!J201</f>
      </c>
      <c r="G29" s="119">
        <f>'2019'!M201</f>
      </c>
      <c r="H29" s="119">
        <f>'2019'!N201</f>
        <v>0</v>
      </c>
      <c r="I29" s="119">
        <f>'2019'!Q201</f>
      </c>
      <c r="J29" s="119">
        <f>'2019'!R201</f>
        <v>0</v>
      </c>
      <c r="K29" s="119">
        <f>'2019'!U201</f>
      </c>
      <c r="L29" s="119">
        <f>'2019'!V201</f>
        <v>0</v>
      </c>
      <c r="M29" s="119">
        <f>'2019'!Y201</f>
      </c>
      <c r="N29" s="119">
        <f>'2019'!Z201</f>
        <v>0</v>
      </c>
      <c r="O29" s="119">
        <f>'2019'!AC201</f>
      </c>
      <c r="P29" s="119">
        <f>'2019'!AD201</f>
        <v>0</v>
      </c>
      <c r="Q29" s="119">
        <f>'2019'!AG201</f>
      </c>
      <c r="R29" s="119">
        <f>'2019'!AH201</f>
        <v>0</v>
      </c>
      <c r="S29" s="119">
        <f>'2019'!AK201</f>
      </c>
      <c r="T29" s="119">
        <f>'2019'!AL201</f>
        <v>0</v>
      </c>
      <c r="U29" s="119">
        <f>'2019'!AO201</f>
      </c>
      <c r="V29" s="119">
        <f>'2019'!AP201</f>
        <v>0</v>
      </c>
      <c r="W29" s="119">
        <f>'2019'!AS201</f>
      </c>
      <c r="X29" s="119">
        <f>'2019'!AT201</f>
        <v>0</v>
      </c>
      <c r="Y29" s="119">
        <f>'2019'!AW201</f>
      </c>
      <c r="Z29" s="119">
        <f>'2019'!AX201</f>
        <v>0</v>
      </c>
      <c r="AA29" s="119"/>
      <c r="AB29" s="119">
        <f>'2019'!BA201</f>
      </c>
      <c r="AC29" s="119">
        <f>'2019'!BB201</f>
        <v>0</v>
      </c>
      <c r="AD29" s="119"/>
      <c r="AE29" s="119">
        <f>'2019'!BE201</f>
        <v>0</v>
      </c>
      <c r="AF29" s="119">
        <f t="shared" si="0"/>
      </c>
    </row>
    <row r="30" ht="15.75" customHeight="1" spans="1:32" x14ac:dyDescent="0.25">
      <c r="A30" s="14"/>
      <c r="B30" s="115" t="s">
        <v>139</v>
      </c>
      <c r="C30" s="115">
        <v>8.01</v>
      </c>
      <c r="D30" s="117" t="s">
        <v>140</v>
      </c>
      <c r="E30" s="119">
        <f>'2019'!I209</f>
        <v>13817</v>
      </c>
      <c r="F30" s="119">
        <f>'2019'!J209</f>
        <v>881</v>
      </c>
      <c r="G30" s="119">
        <f>'2019'!M209</f>
        <v>14559</v>
      </c>
      <c r="H30" s="119">
        <f>'2019'!N209</f>
        <v>742</v>
      </c>
      <c r="I30" s="119">
        <f>'2019'!Q209</f>
        <v>14951</v>
      </c>
      <c r="J30" s="119">
        <f>'2019'!R209</f>
        <v>392</v>
      </c>
      <c r="K30" s="119">
        <f>'2019'!U209</f>
        <v>15338</v>
      </c>
      <c r="L30" s="119">
        <f>'2019'!V209</f>
        <v>387</v>
      </c>
      <c r="M30" s="119">
        <f>'2019'!Y209</f>
        <v>15547</v>
      </c>
      <c r="N30" s="119">
        <f>'2019'!Z209</f>
        <v>209</v>
      </c>
      <c r="O30" s="119">
        <f>'2019'!AC209</f>
        <v>15639</v>
      </c>
      <c r="P30" s="119">
        <f>'2019'!AD209</f>
        <v>92</v>
      </c>
      <c r="Q30" s="119">
        <f>'2019'!AG209</f>
        <v>15715</v>
      </c>
      <c r="R30" s="119">
        <f>'2019'!AH209</f>
        <v>76</v>
      </c>
      <c r="S30" s="119">
        <f>'2019'!AK209</f>
        <v>15784</v>
      </c>
      <c r="T30" s="119">
        <f>'2019'!AL209</f>
        <v>69</v>
      </c>
      <c r="U30" s="119">
        <f>'2019'!AO209</f>
        <v>15919</v>
      </c>
      <c r="V30" s="119">
        <f>'2019'!AP209</f>
        <v>135</v>
      </c>
      <c r="W30" s="119">
        <f>'2019'!AS209</f>
        <v>16233</v>
      </c>
      <c r="X30" s="119">
        <f>'2019'!AT209</f>
        <v>314</v>
      </c>
      <c r="Y30" s="119">
        <f>'2019'!AW209</f>
        <v>16807</v>
      </c>
      <c r="Z30" s="119">
        <f>'2019'!AX209</f>
        <v>574</v>
      </c>
      <c r="AA30" s="119"/>
      <c r="AB30" s="119">
        <f>'2019'!BA209</f>
        <v>17600</v>
      </c>
      <c r="AC30" s="119">
        <f>'2019'!BB209</f>
        <v>793</v>
      </c>
      <c r="AD30" s="119"/>
      <c r="AE30" s="119">
        <f>'2019'!BE209</f>
        <v>4664</v>
      </c>
      <c r="AF30" s="119">
        <f t="shared" si="0"/>
      </c>
    </row>
    <row r="31" ht="15.75" customHeight="1" spans="1:32" x14ac:dyDescent="0.25">
      <c r="A31" s="14"/>
      <c r="B31" s="115">
        <v>29</v>
      </c>
      <c r="C31" s="115">
        <v>4.02</v>
      </c>
      <c r="D31" s="117" t="s">
        <v>146</v>
      </c>
      <c r="E31" s="119">
        <f>'2019'!I217</f>
      </c>
      <c r="F31" s="119">
        <f>'2019'!J217</f>
      </c>
      <c r="G31" s="119">
        <f>'2019'!M217</f>
      </c>
      <c r="H31" s="119">
        <f>'2019'!N217</f>
        <v>0</v>
      </c>
      <c r="I31" s="119">
        <f>'2019'!Q217</f>
      </c>
      <c r="J31" s="119">
        <f>'2019'!R217</f>
        <v>0</v>
      </c>
      <c r="K31" s="119">
        <f>'2019'!U217</f>
      </c>
      <c r="L31" s="119">
        <f>'2019'!V217</f>
        <v>0</v>
      </c>
      <c r="M31" s="119">
        <f>'2019'!Y217</f>
      </c>
      <c r="N31" s="119">
        <f>'2019'!Z217</f>
        <v>0</v>
      </c>
      <c r="O31" s="119">
        <f>'2019'!AC217</f>
      </c>
      <c r="P31" s="119">
        <f>'2019'!AD217</f>
        <v>0</v>
      </c>
      <c r="Q31" s="119">
        <f>'2019'!AG217</f>
      </c>
      <c r="R31" s="119">
        <f>'2019'!AH217</f>
        <v>0</v>
      </c>
      <c r="S31" s="119">
        <f>'2019'!AK217</f>
      </c>
      <c r="T31" s="119">
        <f>'2019'!AL217</f>
        <v>0</v>
      </c>
      <c r="U31" s="119">
        <f>'2019'!AO217</f>
      </c>
      <c r="V31" s="119">
        <f>'2019'!AP217</f>
        <v>0</v>
      </c>
      <c r="W31" s="119">
        <f>'2019'!AS217</f>
      </c>
      <c r="X31" s="119">
        <f>'2019'!AT217</f>
        <v>0</v>
      </c>
      <c r="Y31" s="119">
        <f>'2019'!AW217</f>
      </c>
      <c r="Z31" s="119">
        <f>'2019'!AX217</f>
        <v>0</v>
      </c>
      <c r="AA31" s="119"/>
      <c r="AB31" s="119">
        <f>'2019'!BA217</f>
      </c>
      <c r="AC31" s="119">
        <f>'2019'!BB217</f>
        <v>0</v>
      </c>
      <c r="AD31" s="119"/>
      <c r="AE31" s="119">
        <f>'2019'!BE217</f>
        <v>0</v>
      </c>
      <c r="AF31" s="119">
        <f t="shared" si="0"/>
      </c>
    </row>
    <row r="32" ht="15.75" customHeight="1" spans="1:32" x14ac:dyDescent="0.25">
      <c r="A32" s="14"/>
      <c r="B32" s="115">
        <v>31</v>
      </c>
      <c r="C32" s="116">
        <v>4</v>
      </c>
      <c r="D32" s="117" t="s">
        <v>149</v>
      </c>
      <c r="E32" s="119">
        <f>'2019'!I225</f>
      </c>
      <c r="F32" s="119">
        <f>'2019'!J225</f>
      </c>
      <c r="G32" s="119">
        <f>'2019'!M225</f>
      </c>
      <c r="H32" s="119">
        <f>'2019'!N225</f>
        <v>0</v>
      </c>
      <c r="I32" s="119">
        <f>'2019'!Q225</f>
      </c>
      <c r="J32" s="119">
        <f>'2019'!R225</f>
        <v>0</v>
      </c>
      <c r="K32" s="119">
        <f>'2019'!U225</f>
      </c>
      <c r="L32" s="119">
        <f>'2019'!V225</f>
        <v>0</v>
      </c>
      <c r="M32" s="119">
        <f>'2019'!Y225</f>
      </c>
      <c r="N32" s="119">
        <f>'2019'!Z225</f>
        <v>0</v>
      </c>
      <c r="O32" s="119">
        <f>'2019'!AC225</f>
      </c>
      <c r="P32" s="119">
        <f>'2019'!AD225</f>
        <v>0</v>
      </c>
      <c r="Q32" s="119">
        <f>'2019'!AG225</f>
      </c>
      <c r="R32" s="119">
        <f>'2019'!AH225</f>
        <v>0</v>
      </c>
      <c r="S32" s="119">
        <f>'2019'!AK225</f>
      </c>
      <c r="T32" s="119">
        <f>'2019'!AL225</f>
        <v>0</v>
      </c>
      <c r="U32" s="119">
        <f>'2019'!AO225</f>
      </c>
      <c r="V32" s="119">
        <f>'2019'!AP225</f>
        <v>0</v>
      </c>
      <c r="W32" s="119">
        <f>'2019'!AS225</f>
        <v>5</v>
      </c>
      <c r="X32" s="119">
        <f>'2019'!AT225</f>
        <v>5</v>
      </c>
      <c r="Y32" s="119">
        <f>'2019'!AW225</f>
        <v>5</v>
      </c>
      <c r="Z32" s="119">
        <f>'2019'!AX225</f>
        <v>0</v>
      </c>
      <c r="AA32" s="119"/>
      <c r="AB32" s="119">
        <f>'2019'!BA225</f>
        <v>5</v>
      </c>
      <c r="AC32" s="119">
        <f>'2019'!BB225</f>
        <v>0</v>
      </c>
      <c r="AD32" s="119"/>
      <c r="AE32" s="119">
        <f>'2019'!BE225</f>
        <v>5</v>
      </c>
      <c r="AF32" s="119">
        <f t="shared" si="0"/>
      </c>
    </row>
    <row r="33" ht="15.75" customHeight="1" spans="1:32" x14ac:dyDescent="0.25">
      <c r="A33" s="14"/>
      <c r="B33" s="115">
        <v>32</v>
      </c>
      <c r="C33" s="115">
        <v>3.96</v>
      </c>
      <c r="D33" s="117" t="s">
        <v>152</v>
      </c>
      <c r="E33" s="119">
        <f>'2019'!I233</f>
        <v>381</v>
      </c>
      <c r="F33" s="119">
        <f>'2019'!J233</f>
        <v>0</v>
      </c>
      <c r="G33" s="119">
        <f>'2019'!M233</f>
        <v>381</v>
      </c>
      <c r="H33" s="119">
        <f>'2019'!N233</f>
        <v>0</v>
      </c>
      <c r="I33" s="119">
        <f>'2019'!Q233</f>
        <v>381</v>
      </c>
      <c r="J33" s="119">
        <f>'2019'!R233</f>
        <v>0</v>
      </c>
      <c r="K33" s="119">
        <f>'2019'!U233</f>
        <v>384</v>
      </c>
      <c r="L33" s="119">
        <f>'2019'!V233</f>
        <v>3</v>
      </c>
      <c r="M33" s="119">
        <f>'2019'!Y233</f>
        <v>417</v>
      </c>
      <c r="N33" s="119">
        <f>'2019'!Z233</f>
        <v>33</v>
      </c>
      <c r="O33" s="119">
        <f>'2019'!AC233</f>
        <v>471</v>
      </c>
      <c r="P33" s="119">
        <f>'2019'!AD233</f>
        <v>54</v>
      </c>
      <c r="Q33" s="119">
        <f>'2019'!AG233</f>
        <v>534</v>
      </c>
      <c r="R33" s="119">
        <f>'2019'!AH233</f>
        <v>63</v>
      </c>
      <c r="S33" s="119">
        <f>'2019'!AK233</f>
        <v>593</v>
      </c>
      <c r="T33" s="119">
        <f>'2019'!AL233</f>
        <v>59</v>
      </c>
      <c r="U33" s="119">
        <f>'2019'!AO233</f>
        <v>656</v>
      </c>
      <c r="V33" s="119">
        <f>'2019'!AP233</f>
        <v>63</v>
      </c>
      <c r="W33" s="119">
        <f>'2019'!AS233</f>
        <v>668</v>
      </c>
      <c r="X33" s="119">
        <f>'2019'!AT233</f>
        <v>12</v>
      </c>
      <c r="Y33" s="119">
        <f>'2019'!AW233</f>
        <v>677</v>
      </c>
      <c r="Z33" s="119">
        <f>'2019'!AX233</f>
        <v>9</v>
      </c>
      <c r="AA33" s="119"/>
      <c r="AB33" s="119">
        <f>'2019'!BA233</f>
        <v>677</v>
      </c>
      <c r="AC33" s="119">
        <f>'2019'!BB233</f>
        <v>0</v>
      </c>
      <c r="AD33" s="119"/>
      <c r="AE33" s="119">
        <f>'2019'!BE233</f>
        <v>296</v>
      </c>
      <c r="AF33" s="119">
        <f t="shared" si="0"/>
      </c>
    </row>
    <row r="34" ht="15.75" customHeight="1" spans="1:32" x14ac:dyDescent="0.25">
      <c r="A34" s="14"/>
      <c r="B34" s="115">
        <v>33</v>
      </c>
      <c r="C34" s="115">
        <v>4.01</v>
      </c>
      <c r="D34" s="117" t="s">
        <v>154</v>
      </c>
      <c r="E34" s="119">
        <f>'2019'!I241</f>
        <v>1</v>
      </c>
      <c r="F34" s="119">
        <f>'2019'!J241</f>
        <v>0</v>
      </c>
      <c r="G34" s="119">
        <f>'2019'!M241</f>
        <v>1</v>
      </c>
      <c r="H34" s="119">
        <f>'2019'!N241</f>
        <v>0</v>
      </c>
      <c r="I34" s="119">
        <f>'2019'!Q241</f>
        <v>1</v>
      </c>
      <c r="J34" s="119">
        <f>'2019'!R241</f>
        <v>0</v>
      </c>
      <c r="K34" s="119">
        <f>'2019'!U241</f>
        <v>1</v>
      </c>
      <c r="L34" s="119">
        <f>'2019'!V241</f>
        <v>0</v>
      </c>
      <c r="M34" s="119">
        <f>'2019'!Y241</f>
        <v>1</v>
      </c>
      <c r="N34" s="119">
        <f>'2019'!Z241</f>
        <v>0</v>
      </c>
      <c r="O34" s="119">
        <f>'2019'!AC241</f>
        <v>1</v>
      </c>
      <c r="P34" s="119">
        <f>'2019'!AD241</f>
        <v>0</v>
      </c>
      <c r="Q34" s="119">
        <f>'2019'!AG241</f>
        <v>1</v>
      </c>
      <c r="R34" s="119">
        <f>'2019'!AH241</f>
        <v>0</v>
      </c>
      <c r="S34" s="119">
        <f>'2019'!AK241</f>
        <v>1</v>
      </c>
      <c r="T34" s="119">
        <f>'2019'!AL241</f>
        <v>0</v>
      </c>
      <c r="U34" s="119">
        <f>'2019'!AO241</f>
        <v>33</v>
      </c>
      <c r="V34" s="119">
        <f>'2019'!AP241</f>
        <v>32</v>
      </c>
      <c r="W34" s="119">
        <f>'2019'!AS241</f>
        <v>33</v>
      </c>
      <c r="X34" s="119">
        <f>'2019'!AT241</f>
        <v>0</v>
      </c>
      <c r="Y34" s="119">
        <f>'2019'!AW241</f>
        <v>33</v>
      </c>
      <c r="Z34" s="119">
        <f>'2019'!AX241</f>
        <v>0</v>
      </c>
      <c r="AA34" s="119"/>
      <c r="AB34" s="119">
        <f>'2019'!BA241</f>
        <v>33</v>
      </c>
      <c r="AC34" s="119">
        <f>'2019'!BB241</f>
        <v>0</v>
      </c>
      <c r="AD34" s="119"/>
      <c r="AE34" s="119">
        <f>'2019'!BE241</f>
        <v>32</v>
      </c>
      <c r="AF34" s="119">
        <f t="shared" si="0"/>
      </c>
    </row>
    <row r="35" ht="15.75" customHeight="1" spans="1:32" x14ac:dyDescent="0.25">
      <c r="A35" s="14"/>
      <c r="B35" s="115">
        <v>34</v>
      </c>
      <c r="C35" s="115">
        <v>4.01</v>
      </c>
      <c r="D35" s="117" t="s">
        <v>155</v>
      </c>
      <c r="E35" s="119">
        <f>'2019'!I249</f>
        <v>743</v>
      </c>
      <c r="F35" s="119">
        <f>'2019'!J249</f>
        <v>0</v>
      </c>
      <c r="G35" s="119">
        <f>'2019'!M249</f>
        <v>743</v>
      </c>
      <c r="H35" s="119">
        <f>'2019'!N249</f>
        <v>0</v>
      </c>
      <c r="I35" s="119">
        <f>'2019'!Q249</f>
        <v>743</v>
      </c>
      <c r="J35" s="119">
        <f>'2019'!R249</f>
        <v>0</v>
      </c>
      <c r="K35" s="119">
        <f>'2019'!U249</f>
        <v>743</v>
      </c>
      <c r="L35" s="119">
        <f>'2019'!V249</f>
        <v>0</v>
      </c>
      <c r="M35" s="119">
        <f>'2019'!Y249</f>
        <v>743</v>
      </c>
      <c r="N35" s="119">
        <f>'2019'!Z249</f>
        <v>0</v>
      </c>
      <c r="O35" s="119">
        <f>'2019'!AC249</f>
        <v>743</v>
      </c>
      <c r="P35" s="119">
        <f>'2019'!AD249</f>
        <v>0</v>
      </c>
      <c r="Q35" s="119">
        <f>'2019'!AG249</f>
        <v>1282</v>
      </c>
      <c r="R35" s="119">
        <f>'2019'!AH249</f>
        <v>539</v>
      </c>
      <c r="S35" s="119">
        <f>'2019'!AK249</f>
        <v>1348</v>
      </c>
      <c r="T35" s="119">
        <f>'2019'!AL249</f>
        <v>66</v>
      </c>
      <c r="U35" s="119">
        <f>'2019'!AO249</f>
        <v>2016.5</v>
      </c>
      <c r="V35" s="119">
        <f>'2019'!AP249</f>
        <v>668.5</v>
      </c>
      <c r="W35" s="119">
        <f>'2019'!AS249</f>
        <v>2221</v>
      </c>
      <c r="X35" s="119">
        <f>'2019'!AT249</f>
        <v>204.5</v>
      </c>
      <c r="Y35" s="119">
        <f>'2019'!AW249</f>
        <v>2282</v>
      </c>
      <c r="Z35" s="119">
        <f>'2019'!AX249</f>
        <v>61</v>
      </c>
      <c r="AA35" s="119"/>
      <c r="AB35" s="119">
        <f>'2019'!BA249</f>
        <v>2306</v>
      </c>
      <c r="AC35" s="119">
        <f>'2019'!BB249</f>
        <v>24</v>
      </c>
      <c r="AD35" s="119"/>
      <c r="AE35" s="119">
        <f>'2019'!BE249</f>
        <v>1563</v>
      </c>
      <c r="AF35" s="119">
        <f t="shared" si="0"/>
      </c>
    </row>
    <row r="36" ht="15.75" customHeight="1" spans="1:32" x14ac:dyDescent="0.25">
      <c r="A36" s="14"/>
      <c r="B36" s="115">
        <v>35</v>
      </c>
      <c r="C36" s="115">
        <v>4.01</v>
      </c>
      <c r="D36" s="117" t="s">
        <v>157</v>
      </c>
      <c r="E36" s="119">
        <f>'2019'!I257</f>
        <v>33</v>
      </c>
      <c r="F36" s="119">
        <f>'2019'!J257</f>
        <v>0</v>
      </c>
      <c r="G36" s="119">
        <f>'2019'!M257</f>
        <v>33</v>
      </c>
      <c r="H36" s="119">
        <f>'2019'!N257</f>
        <v>0</v>
      </c>
      <c r="I36" s="119">
        <f>'2019'!Q257</f>
        <v>33</v>
      </c>
      <c r="J36" s="119">
        <f>'2019'!R257</f>
        <v>0</v>
      </c>
      <c r="K36" s="119">
        <f>'2019'!U257</f>
        <v>33</v>
      </c>
      <c r="L36" s="119">
        <f>'2019'!V257</f>
        <v>0</v>
      </c>
      <c r="M36" s="119">
        <f>'2019'!Y257</f>
        <v>33</v>
      </c>
      <c r="N36" s="119">
        <f>'2019'!Z257</f>
        <v>0</v>
      </c>
      <c r="O36" s="119">
        <f>'2019'!AC257</f>
        <v>33</v>
      </c>
      <c r="P36" s="119">
        <f>'2019'!AD257</f>
        <v>0</v>
      </c>
      <c r="Q36" s="119">
        <f>'2019'!AG257</f>
        <v>33</v>
      </c>
      <c r="R36" s="119">
        <f>'2019'!AH257</f>
        <v>0</v>
      </c>
      <c r="S36" s="119">
        <f>'2019'!AK257</f>
        <v>33</v>
      </c>
      <c r="T36" s="119">
        <f>'2019'!AL257</f>
        <v>0</v>
      </c>
      <c r="U36" s="119">
        <f>'2019'!AO257</f>
        <v>33</v>
      </c>
      <c r="V36" s="119">
        <f>'2019'!AP257</f>
        <v>0</v>
      </c>
      <c r="W36" s="119">
        <f>'2019'!AS257</f>
        <v>33</v>
      </c>
      <c r="X36" s="119">
        <f>'2019'!AT257</f>
        <v>0</v>
      </c>
      <c r="Y36" s="119">
        <f>'2019'!AW257</f>
        <v>33</v>
      </c>
      <c r="Z36" s="119">
        <f>'2019'!AX257</f>
        <v>0</v>
      </c>
      <c r="AA36" s="119"/>
      <c r="AB36" s="119">
        <f>'2019'!BA257</f>
        <v>33</v>
      </c>
      <c r="AC36" s="119">
        <f>'2019'!BB257</f>
        <v>0</v>
      </c>
      <c r="AD36" s="119"/>
      <c r="AE36" s="119">
        <f>'2019'!BE257</f>
        <v>0</v>
      </c>
      <c r="AF36" s="119">
        <f t="shared" si="0"/>
      </c>
    </row>
    <row r="37" ht="15.75" customHeight="1" spans="1:32" x14ac:dyDescent="0.25">
      <c r="A37" s="14"/>
      <c r="B37" s="115">
        <v>36</v>
      </c>
      <c r="C37" s="115">
        <v>4.03</v>
      </c>
      <c r="D37" s="117" t="s">
        <v>160</v>
      </c>
      <c r="E37" s="119">
        <f>'2019'!I265</f>
        <v>251</v>
      </c>
      <c r="F37" s="119">
        <f>'2019'!J265</f>
        <v>0</v>
      </c>
      <c r="G37" s="119">
        <f>'2019'!M265</f>
        <v>251</v>
      </c>
      <c r="H37" s="119">
        <f>'2019'!N265</f>
        <v>0</v>
      </c>
      <c r="I37" s="119">
        <f>'2019'!Q265</f>
        <v>251</v>
      </c>
      <c r="J37" s="119">
        <f>'2019'!R265</f>
        <v>0</v>
      </c>
      <c r="K37" s="119">
        <f>'2019'!U265</f>
        <v>254</v>
      </c>
      <c r="L37" s="119">
        <f>'2019'!V265</f>
        <v>3</v>
      </c>
      <c r="M37" s="119">
        <f>'2019'!Y265</f>
        <v>254</v>
      </c>
      <c r="N37" s="119">
        <f>'2019'!Z265</f>
        <v>0</v>
      </c>
      <c r="O37" s="119">
        <f>'2019'!AC265</f>
        <v>263</v>
      </c>
      <c r="P37" s="119">
        <f>'2019'!AD265</f>
        <v>9</v>
      </c>
      <c r="Q37" s="119">
        <f>'2019'!AG265</f>
        <v>272</v>
      </c>
      <c r="R37" s="119">
        <f>'2019'!AH265</f>
        <v>9</v>
      </c>
      <c r="S37" s="119">
        <f>'2019'!AK265</f>
        <v>281</v>
      </c>
      <c r="T37" s="119">
        <f>'2019'!AL265</f>
        <v>9</v>
      </c>
      <c r="U37" s="119">
        <f>'2019'!AO265</f>
        <v>289</v>
      </c>
      <c r="V37" s="119">
        <f>'2019'!AP265</f>
        <v>8</v>
      </c>
      <c r="W37" s="119">
        <f>'2019'!AS265</f>
        <v>299</v>
      </c>
      <c r="X37" s="119">
        <f>'2019'!AT265</f>
        <v>10</v>
      </c>
      <c r="Y37" s="119">
        <f>'2019'!AW265</f>
        <v>299</v>
      </c>
      <c r="Z37" s="119">
        <f>'2019'!AX265</f>
        <v>0</v>
      </c>
      <c r="AA37" s="119"/>
      <c r="AB37" s="119">
        <f>'2019'!BA265</f>
        <v>299</v>
      </c>
      <c r="AC37" s="119">
        <f>'2019'!BB265</f>
        <v>0</v>
      </c>
      <c r="AD37" s="119"/>
      <c r="AE37" s="119">
        <f>'2019'!BE265</f>
        <v>48</v>
      </c>
      <c r="AF37" s="119">
        <f t="shared" si="0"/>
      </c>
    </row>
    <row r="38" ht="15.75" customHeight="1" spans="1:32" x14ac:dyDescent="0.25">
      <c r="A38" s="14"/>
      <c r="B38" s="115">
        <v>37</v>
      </c>
      <c r="C38" s="115">
        <v>4.06</v>
      </c>
      <c r="D38" s="117" t="s">
        <v>162</v>
      </c>
      <c r="E38" s="119">
        <f>'2019'!I273</f>
      </c>
      <c r="F38" s="119">
        <f>'2019'!J273</f>
      </c>
      <c r="G38" s="119">
        <f>'2019'!M273</f>
      </c>
      <c r="H38" s="119">
        <f>'2019'!N273</f>
        <v>0</v>
      </c>
      <c r="I38" s="119">
        <f>'2019'!Q273</f>
      </c>
      <c r="J38" s="119">
        <f>'2019'!R273</f>
        <v>0</v>
      </c>
      <c r="K38" s="119">
        <f>'2019'!U273</f>
      </c>
      <c r="L38" s="119">
        <f>'2019'!V273</f>
        <v>0</v>
      </c>
      <c r="M38" s="119">
        <f>'2019'!Y273</f>
      </c>
      <c r="N38" s="119">
        <f>'2019'!Z273</f>
        <v>0</v>
      </c>
      <c r="O38" s="119">
        <f>'2019'!AC273</f>
      </c>
      <c r="P38" s="119">
        <f>'2019'!AD273</f>
      </c>
      <c r="Q38" s="119">
        <f>'2019'!AG273</f>
      </c>
      <c r="R38" s="119">
        <f>'2019'!AH273</f>
      </c>
      <c r="S38" s="119">
        <f>'2019'!AK273</f>
      </c>
      <c r="T38" s="119">
        <f>'2019'!AL273</f>
        <v>0</v>
      </c>
      <c r="U38" s="119">
        <f>'2019'!AO273</f>
      </c>
      <c r="V38" s="119">
        <f>'2019'!AP273</f>
        <v>0</v>
      </c>
      <c r="W38" s="119">
        <f>'2019'!AS273</f>
      </c>
      <c r="X38" s="119">
        <f>'2019'!AT273</f>
        <v>0</v>
      </c>
      <c r="Y38" s="119">
        <f>'2019'!AW273</f>
      </c>
      <c r="Z38" s="119">
        <f>'2019'!AX273</f>
        <v>0</v>
      </c>
      <c r="AA38" s="119"/>
      <c r="AB38" s="119">
        <f>'2019'!BA273</f>
      </c>
      <c r="AC38" s="119">
        <f>'2019'!BB273</f>
        <v>0</v>
      </c>
      <c r="AD38" s="119"/>
      <c r="AE38" s="119">
        <f>'2019'!BE273</f>
        <v>0</v>
      </c>
      <c r="AF38" s="119">
        <f t="shared" si="0"/>
      </c>
    </row>
    <row r="39" ht="15.75" customHeight="1" spans="1:32" x14ac:dyDescent="0.25">
      <c r="A39" s="14"/>
      <c r="B39" s="115">
        <v>38</v>
      </c>
      <c r="C39" s="115">
        <v>4.34</v>
      </c>
      <c r="D39" s="117" t="s">
        <v>167</v>
      </c>
      <c r="E39" s="119">
        <f>'2019'!I281</f>
        <v>17</v>
      </c>
      <c r="F39" s="119">
        <f>'2019'!J281</f>
        <v>0</v>
      </c>
      <c r="G39" s="119">
        <f>'2019'!M281</f>
        <v>17</v>
      </c>
      <c r="H39" s="119">
        <f>'2019'!N281</f>
        <v>0</v>
      </c>
      <c r="I39" s="119">
        <f>'2019'!Q281</f>
        <v>17</v>
      </c>
      <c r="J39" s="119">
        <f>'2019'!R281</f>
        <v>0</v>
      </c>
      <c r="K39" s="119">
        <f>'2019'!U281</f>
        <v>17</v>
      </c>
      <c r="L39" s="119">
        <f>'2019'!V281</f>
        <v>0</v>
      </c>
      <c r="M39" s="119">
        <f>'2019'!Y281</f>
        <v>17</v>
      </c>
      <c r="N39" s="119">
        <f>'2019'!Z281</f>
        <v>0</v>
      </c>
      <c r="O39" s="119">
        <f>'2019'!AC281</f>
        <v>18</v>
      </c>
      <c r="P39" s="119">
        <f>'2019'!AD281</f>
        <v>1</v>
      </c>
      <c r="Q39" s="119">
        <f>'2019'!AG281</f>
        <v>18</v>
      </c>
      <c r="R39" s="119">
        <f>'2019'!AH281</f>
        <v>0</v>
      </c>
      <c r="S39" s="119">
        <f>'2019'!AK281</f>
        <v>18</v>
      </c>
      <c r="T39" s="119">
        <f>'2019'!AL281</f>
        <v>0</v>
      </c>
      <c r="U39" s="119">
        <f>'2019'!AO281</f>
        <v>18</v>
      </c>
      <c r="V39" s="119">
        <f>'2019'!AP281</f>
        <v>0</v>
      </c>
      <c r="W39" s="119">
        <f>'2019'!AS281</f>
        <v>18</v>
      </c>
      <c r="X39" s="119">
        <f>'2019'!AT281</f>
        <v>0</v>
      </c>
      <c r="Y39" s="119">
        <f>'2019'!AW281</f>
        <v>18</v>
      </c>
      <c r="Z39" s="119">
        <f>'2019'!AX281</f>
        <v>0</v>
      </c>
      <c r="AA39" s="119"/>
      <c r="AB39" s="119">
        <f>'2019'!BA281</f>
        <v>18</v>
      </c>
      <c r="AC39" s="119">
        <f>'2019'!BB281</f>
        <v>0</v>
      </c>
      <c r="AD39" s="119"/>
      <c r="AE39" s="119">
        <f>'2019'!BE281</f>
        <v>1</v>
      </c>
      <c r="AF39" s="119">
        <f t="shared" si="0"/>
      </c>
    </row>
    <row r="40" ht="15.75" customHeight="1" spans="1:32" x14ac:dyDescent="0.25">
      <c r="A40" s="21"/>
      <c r="B40" s="115">
        <v>39</v>
      </c>
      <c r="C40" s="116">
        <v>4</v>
      </c>
      <c r="D40" s="117" t="s">
        <v>169</v>
      </c>
      <c r="E40" s="119">
        <f>'2019'!I289</f>
      </c>
      <c r="F40" s="119">
        <f>'2019'!J289</f>
      </c>
      <c r="G40" s="119">
        <f>'2019'!M289</f>
      </c>
      <c r="H40" s="119">
        <f>'2019'!N289</f>
        <v>0</v>
      </c>
      <c r="I40" s="119">
        <f>'2019'!Q289</f>
      </c>
      <c r="J40" s="119">
        <f>'2019'!R289</f>
        <v>0</v>
      </c>
      <c r="K40" s="119">
        <f>'2019'!U289</f>
      </c>
      <c r="L40" s="119">
        <f>'2019'!V289</f>
        <v>0</v>
      </c>
      <c r="M40" s="119">
        <f>'2019'!Y289</f>
        <v>33</v>
      </c>
      <c r="N40" s="119">
        <f>'2019'!Z289</f>
        <v>33</v>
      </c>
      <c r="O40" s="119">
        <f>'2019'!AC289</f>
        <v>33</v>
      </c>
      <c r="P40" s="119">
        <f>'2019'!AD289</f>
        <v>0</v>
      </c>
      <c r="Q40" s="119">
        <f>'2019'!AG289</f>
        <v>46</v>
      </c>
      <c r="R40" s="119">
        <f>'2019'!AH289</f>
        <v>13</v>
      </c>
      <c r="S40" s="119">
        <f>'2019'!AK289</f>
        <v>47</v>
      </c>
      <c r="T40" s="119">
        <f>'2019'!AL289</f>
        <v>1</v>
      </c>
      <c r="U40" s="119">
        <f>'2019'!AO289</f>
        <v>48</v>
      </c>
      <c r="V40" s="119">
        <f>'2019'!AP289</f>
        <v>1</v>
      </c>
      <c r="W40" s="119">
        <f>'2019'!AS289</f>
        <v>48</v>
      </c>
      <c r="X40" s="119">
        <f>'2019'!AT289</f>
        <v>0</v>
      </c>
      <c r="Y40" s="119">
        <f>'2019'!AW289</f>
        <v>48</v>
      </c>
      <c r="Z40" s="119">
        <f>'2019'!AX289</f>
        <v>0</v>
      </c>
      <c r="AA40" s="119"/>
      <c r="AB40" s="119">
        <f>'2019'!BA289</f>
        <v>48</v>
      </c>
      <c r="AC40" s="119">
        <f>'2019'!BB289</f>
        <v>0</v>
      </c>
      <c r="AD40" s="119"/>
      <c r="AE40" s="119">
        <f>'2019'!BE289</f>
        <v>48</v>
      </c>
      <c r="AF40" s="119">
        <f t="shared" si="0"/>
      </c>
    </row>
    <row r="41" ht="15.75" customHeight="1" spans="1:32" x14ac:dyDescent="0.25">
      <c r="A41" s="114" t="s">
        <v>173</v>
      </c>
      <c r="B41" s="115">
        <v>40</v>
      </c>
      <c r="C41" s="115">
        <v>4.92</v>
      </c>
      <c r="D41" s="117" t="s">
        <v>174</v>
      </c>
      <c r="E41" s="119">
        <f>'2019'!I297</f>
        <v>23169</v>
      </c>
      <c r="F41" s="119">
        <f>'2019'!J297</f>
        <v>1183</v>
      </c>
      <c r="G41" s="119">
        <f>'2019'!M297</f>
        <v>23992</v>
      </c>
      <c r="H41" s="119">
        <f>'2019'!N297</f>
        <v>823</v>
      </c>
      <c r="I41" s="119">
        <f>'2019'!Q297</f>
        <v>24298</v>
      </c>
      <c r="J41" s="119">
        <f>'2019'!R297</f>
        <v>306</v>
      </c>
      <c r="K41" s="119">
        <f>'2019'!U297</f>
        <v>24664</v>
      </c>
      <c r="L41" s="119">
        <f>'2019'!V297</f>
        <v>366</v>
      </c>
      <c r="M41" s="119">
        <f>'2019'!Y297</f>
        <v>25292</v>
      </c>
      <c r="N41" s="119">
        <f>'2019'!Z297</f>
        <v>628</v>
      </c>
      <c r="O41" s="119">
        <f>'2019'!AC297</f>
        <v>25652</v>
      </c>
      <c r="P41" s="119">
        <f>'2019'!AD297</f>
        <v>360</v>
      </c>
      <c r="Q41" s="119">
        <f>'2019'!AG297</f>
        <v>25938</v>
      </c>
      <c r="R41" s="119">
        <f>'2019'!AH297</f>
        <v>286</v>
      </c>
      <c r="S41" s="119">
        <f>'2019'!AK297</f>
        <v>26171</v>
      </c>
      <c r="T41" s="119">
        <f>'2019'!AL297</f>
        <v>233</v>
      </c>
      <c r="U41" s="119">
        <f>'2019'!AO297</f>
        <v>26555</v>
      </c>
      <c r="V41" s="119">
        <f>'2019'!AP297</f>
        <v>384</v>
      </c>
      <c r="W41" s="119">
        <f>'2019'!AS297</f>
        <v>26835</v>
      </c>
      <c r="X41" s="119">
        <f>'2019'!AT297</f>
        <v>280</v>
      </c>
      <c r="Y41" s="119">
        <f>'2019'!AW297</f>
        <v>27280</v>
      </c>
      <c r="Z41" s="119">
        <f>'2019'!AX297</f>
        <v>445</v>
      </c>
      <c r="AA41" s="119"/>
      <c r="AB41" s="119">
        <f>'2019'!BA297</f>
        <v>27882</v>
      </c>
      <c r="AC41" s="119">
        <f>'2019'!BB297</f>
        <v>602</v>
      </c>
      <c r="AD41" s="119"/>
      <c r="AE41" s="119">
        <f>'2019'!BE297</f>
        <v>5896</v>
      </c>
      <c r="AF41" s="119">
        <f t="shared" si="0"/>
      </c>
    </row>
    <row r="42" ht="15.75" customHeight="1" spans="1:32" x14ac:dyDescent="0.25">
      <c r="A42" s="14"/>
      <c r="B42" s="115">
        <v>41</v>
      </c>
      <c r="C42" s="115">
        <v>4.87</v>
      </c>
      <c r="D42" s="117" t="s">
        <v>177</v>
      </c>
      <c r="E42" s="119">
        <f>'2019'!I305</f>
        <v>88</v>
      </c>
      <c r="F42" s="119">
        <f>'2019'!J305</f>
        <v>0</v>
      </c>
      <c r="G42" s="119">
        <f>'2019'!M305</f>
        <v>88</v>
      </c>
      <c r="H42" s="119">
        <f>'2019'!N305</f>
        <v>0</v>
      </c>
      <c r="I42" s="119">
        <f>'2019'!Q305</f>
        <v>88</v>
      </c>
      <c r="J42" s="119">
        <f>'2019'!R305</f>
        <v>0</v>
      </c>
      <c r="K42" s="119">
        <f>'2019'!U305</f>
        <v>88</v>
      </c>
      <c r="L42" s="119">
        <f>'2019'!V305</f>
        <v>0</v>
      </c>
      <c r="M42" s="119">
        <f>'2019'!Y305</f>
        <v>88</v>
      </c>
      <c r="N42" s="119">
        <f>'2019'!Z305</f>
        <v>0</v>
      </c>
      <c r="O42" s="119">
        <f>'2019'!AC305</f>
        <v>96</v>
      </c>
      <c r="P42" s="119">
        <f>'2019'!AD305</f>
        <v>8</v>
      </c>
      <c r="Q42" s="119">
        <f>'2019'!AG305</f>
        <v>98</v>
      </c>
      <c r="R42" s="119">
        <f>'2019'!AH305</f>
        <v>2</v>
      </c>
      <c r="S42" s="119">
        <f>'2019'!AK305</f>
        <v>208</v>
      </c>
      <c r="T42" s="119">
        <f>'2019'!AL305</f>
        <v>110</v>
      </c>
      <c r="U42" s="119">
        <f>'2019'!AO305</f>
        <v>300</v>
      </c>
      <c r="V42" s="119">
        <f>'2019'!AP305</f>
        <v>92</v>
      </c>
      <c r="W42" s="119">
        <f>'2019'!AS305</f>
        <v>300</v>
      </c>
      <c r="X42" s="119">
        <f>'2019'!AT305</f>
        <v>0</v>
      </c>
      <c r="Y42" s="119">
        <f>'2019'!AW305</f>
        <v>300</v>
      </c>
      <c r="Z42" s="119">
        <f>'2019'!AX305</f>
        <v>0</v>
      </c>
      <c r="AA42" s="119"/>
      <c r="AB42" s="119">
        <f>'2019'!BA305</f>
        <v>300</v>
      </c>
      <c r="AC42" s="119">
        <f>'2019'!BB305</f>
        <v>0</v>
      </c>
      <c r="AD42" s="119"/>
      <c r="AE42" s="119">
        <f>'2019'!BE305</f>
        <v>212</v>
      </c>
      <c r="AF42" s="119">
        <f t="shared" si="0"/>
      </c>
    </row>
    <row r="43" ht="15.75" customHeight="1" spans="1:32" x14ac:dyDescent="0.25">
      <c r="A43" s="14"/>
      <c r="B43" s="115">
        <v>42</v>
      </c>
      <c r="C43" s="116">
        <v>4.9</v>
      </c>
      <c r="D43" s="161" t="s">
        <v>181</v>
      </c>
      <c r="E43" s="119">
        <f>'2019'!I313</f>
      </c>
      <c r="F43" s="119">
        <f>'2019'!J313</f>
      </c>
      <c r="G43" s="119">
        <f>'2019'!M313</f>
      </c>
      <c r="H43" s="119">
        <f>'2019'!N313</f>
        <v>0</v>
      </c>
      <c r="I43" s="119">
        <f>'2019'!Q313</f>
      </c>
      <c r="J43" s="119">
        <f>'2019'!R313</f>
        <v>0</v>
      </c>
      <c r="K43" s="119">
        <f>'2019'!U313</f>
      </c>
      <c r="L43" s="119">
        <f>'2019'!V313</f>
        <v>0</v>
      </c>
      <c r="M43" s="119">
        <f>'2019'!Y313</f>
      </c>
      <c r="N43" s="119">
        <f>'2019'!Z313</f>
        <v>0</v>
      </c>
      <c r="O43" s="119">
        <f>'2019'!AC313</f>
      </c>
      <c r="P43" s="119">
        <f>'2019'!AD313</f>
        <v>0</v>
      </c>
      <c r="Q43" s="119">
        <f>'2019'!AG313</f>
      </c>
      <c r="R43" s="119">
        <f>'2019'!AH313</f>
        <v>0</v>
      </c>
      <c r="S43" s="119">
        <f>'2019'!AK313</f>
        <v>0</v>
      </c>
      <c r="T43" s="119">
        <f>'2019'!AL313</f>
        <v>0</v>
      </c>
      <c r="U43" s="119">
        <f>'2019'!AO313</f>
        <v>0</v>
      </c>
      <c r="V43" s="119">
        <f>'2019'!AP313</f>
        <v>0</v>
      </c>
      <c r="W43" s="119">
        <f>'2019'!AS313</f>
        <v>0</v>
      </c>
      <c r="X43" s="119">
        <f>'2019'!AT313</f>
        <v>0</v>
      </c>
      <c r="Y43" s="119">
        <f>'2019'!AW313</f>
        <v>0</v>
      </c>
      <c r="Z43" s="119">
        <f>'2019'!AX313</f>
        <v>0</v>
      </c>
      <c r="AA43" s="119"/>
      <c r="AB43" s="119">
        <f>'2019'!BA313</f>
        <v>0</v>
      </c>
      <c r="AC43" s="119">
        <f>'2019'!BB313</f>
        <v>0</v>
      </c>
      <c r="AD43" s="119"/>
      <c r="AE43" s="119">
        <f>'2019'!BE313</f>
        <v>0</v>
      </c>
      <c r="AF43" s="119">
        <f t="shared" si="0"/>
      </c>
    </row>
    <row r="44" ht="15.75" customHeight="1" spans="1:32" x14ac:dyDescent="0.25">
      <c r="A44" s="14"/>
      <c r="B44" s="115">
        <v>43</v>
      </c>
      <c r="C44" s="115">
        <v>4.96</v>
      </c>
      <c r="D44" s="117" t="s">
        <v>185</v>
      </c>
      <c r="E44" s="119">
        <f>'2019'!I321</f>
        <v>358</v>
      </c>
      <c r="F44" s="119">
        <f>'2019'!J321</f>
        <v>0</v>
      </c>
      <c r="G44" s="119">
        <f>'2019'!M321</f>
        <v>358</v>
      </c>
      <c r="H44" s="119">
        <f>'2019'!N321</f>
        <v>0</v>
      </c>
      <c r="I44" s="119">
        <f>'2019'!Q321</f>
        <v>358</v>
      </c>
      <c r="J44" s="119">
        <f>'2019'!R321</f>
        <v>0</v>
      </c>
      <c r="K44" s="119">
        <f>'2019'!U321</f>
        <v>360</v>
      </c>
      <c r="L44" s="119">
        <f>'2019'!V321</f>
        <v>2</v>
      </c>
      <c r="M44" s="119">
        <f>'2019'!Y321</f>
        <v>372</v>
      </c>
      <c r="N44" s="119">
        <f>'2019'!Z321</f>
        <v>12</v>
      </c>
      <c r="O44" s="119">
        <f>'2019'!AC321</f>
        <v>413</v>
      </c>
      <c r="P44" s="119">
        <f>'2019'!AD321</f>
        <v>41</v>
      </c>
      <c r="Q44" s="119">
        <f>'2019'!AG321</f>
        <v>514</v>
      </c>
      <c r="R44" s="119">
        <f>'2019'!AH321</f>
        <v>101</v>
      </c>
      <c r="S44" s="119">
        <f>'2019'!AK321</f>
        <v>644</v>
      </c>
      <c r="T44" s="119">
        <f>'2019'!AL321</f>
        <v>130</v>
      </c>
      <c r="U44" s="119">
        <f>'2019'!AO321</f>
        <v>759</v>
      </c>
      <c r="V44" s="119">
        <f>'2019'!AP321</f>
        <v>115</v>
      </c>
      <c r="W44" s="119">
        <f>'2019'!AS321</f>
        <v>848</v>
      </c>
      <c r="X44" s="119">
        <f>'2019'!AT321</f>
        <v>89</v>
      </c>
      <c r="Y44" s="119">
        <f>'2019'!AW321</f>
        <v>924</v>
      </c>
      <c r="Z44" s="119">
        <f>'2019'!AX321</f>
        <v>76</v>
      </c>
      <c r="AA44" s="119"/>
      <c r="AB44" s="119">
        <f>'2019'!BA321</f>
        <v>924</v>
      </c>
      <c r="AC44" s="119">
        <f>'2019'!BB321</f>
        <v>0</v>
      </c>
      <c r="AD44" s="119"/>
      <c r="AE44" s="119">
        <f>'2019'!BE321</f>
        <v>566</v>
      </c>
      <c r="AF44" s="119">
        <f t="shared" si="0"/>
      </c>
    </row>
    <row r="45" ht="15.75" customHeight="1" spans="1:32" x14ac:dyDescent="0.25">
      <c r="A45" s="14"/>
      <c r="B45" s="115">
        <v>44</v>
      </c>
      <c r="C45" s="115">
        <v>4.01</v>
      </c>
      <c r="D45" s="117" t="s">
        <v>188</v>
      </c>
      <c r="E45" s="119">
        <f>'2019'!I329</f>
      </c>
      <c r="F45" s="119">
        <f>'2019'!J329</f>
      </c>
      <c r="G45" s="119">
        <f>'2019'!M329</f>
      </c>
      <c r="H45" s="119">
        <f>'2019'!N329</f>
        <v>0</v>
      </c>
      <c r="I45" s="119">
        <f>'2019'!Q329</f>
      </c>
      <c r="J45" s="119">
        <f>'2019'!R329</f>
        <v>0</v>
      </c>
      <c r="K45" s="119">
        <f>'2019'!U329</f>
      </c>
      <c r="L45" s="119">
        <f>'2019'!V329</f>
        <v>0</v>
      </c>
      <c r="M45" s="119">
        <f>'2019'!Y329</f>
      </c>
      <c r="N45" s="119">
        <f>'2019'!Z329</f>
        <v>0</v>
      </c>
      <c r="O45" s="119">
        <f>'2019'!AC329</f>
      </c>
      <c r="P45" s="119">
        <f>'2019'!AD329</f>
        <v>0</v>
      </c>
      <c r="Q45" s="119">
        <f>'2019'!AG329</f>
      </c>
      <c r="R45" s="119">
        <f>'2019'!AH329</f>
        <v>0</v>
      </c>
      <c r="S45" s="119">
        <f>'2019'!AK329</f>
        <v>5</v>
      </c>
      <c r="T45" s="119">
        <f>'2019'!AL329</f>
        <v>5</v>
      </c>
      <c r="U45" s="119">
        <f>'2019'!AO329</f>
        <v>6</v>
      </c>
      <c r="V45" s="119">
        <f>'2019'!AP329</f>
        <v>1</v>
      </c>
      <c r="W45" s="119">
        <f>'2019'!AS329</f>
        <v>8</v>
      </c>
      <c r="X45" s="119">
        <f>'2019'!AT329</f>
        <v>2</v>
      </c>
      <c r="Y45" s="119">
        <f>'2019'!AW329</f>
        <v>10</v>
      </c>
      <c r="Z45" s="119">
        <f>'2019'!AX329</f>
        <v>2</v>
      </c>
      <c r="AA45" s="119"/>
      <c r="AB45" s="119">
        <f>'2019'!BA329</f>
        <v>10</v>
      </c>
      <c r="AC45" s="119">
        <f>'2019'!BB329</f>
        <v>0</v>
      </c>
      <c r="AD45" s="119"/>
      <c r="AE45" s="119">
        <f>'2019'!BE329</f>
        <v>10</v>
      </c>
      <c r="AF45" s="119">
        <f t="shared" si="0"/>
      </c>
    </row>
    <row r="46" ht="15.75" customHeight="1" spans="1:32" x14ac:dyDescent="0.25">
      <c r="A46" s="14"/>
      <c r="B46" s="115">
        <v>45</v>
      </c>
      <c r="C46" s="115">
        <v>5.04</v>
      </c>
      <c r="D46" s="117" t="s">
        <v>189</v>
      </c>
      <c r="E46" s="119">
        <f>'2019'!I337</f>
        <v>12</v>
      </c>
      <c r="F46" s="119">
        <f>'2019'!J337</f>
        <v>0</v>
      </c>
      <c r="G46" s="119">
        <f>'2019'!M337</f>
        <v>12</v>
      </c>
      <c r="H46" s="119">
        <f>'2019'!N337</f>
        <v>0</v>
      </c>
      <c r="I46" s="119">
        <f>'2019'!Q337</f>
        <v>12</v>
      </c>
      <c r="J46" s="119">
        <f>'2019'!R337</f>
        <v>0</v>
      </c>
      <c r="K46" s="119">
        <f>'2019'!U337</f>
        <v>12</v>
      </c>
      <c r="L46" s="119">
        <f>'2019'!V337</f>
        <v>0</v>
      </c>
      <c r="M46" s="119">
        <f>'2019'!Y337</f>
        <v>12</v>
      </c>
      <c r="N46" s="119">
        <f>'2019'!Z337</f>
        <v>0</v>
      </c>
      <c r="O46" s="119">
        <f>'2019'!AC337</f>
        <v>12</v>
      </c>
      <c r="P46" s="119">
        <f>'2019'!AD337</f>
        <v>0</v>
      </c>
      <c r="Q46" s="119">
        <f>'2019'!AG337</f>
        <v>12</v>
      </c>
      <c r="R46" s="119">
        <f>'2019'!AH337</f>
        <v>0</v>
      </c>
      <c r="S46" s="119">
        <f>'2019'!AK337</f>
        <v>13</v>
      </c>
      <c r="T46" s="119">
        <f>'2019'!AL337</f>
        <v>1</v>
      </c>
      <c r="U46" s="119">
        <f>'2019'!AO337</f>
        <v>13</v>
      </c>
      <c r="V46" s="119">
        <f>'2019'!AP337</f>
        <v>0</v>
      </c>
      <c r="W46" s="119">
        <f>'2019'!AS337</f>
        <v>13</v>
      </c>
      <c r="X46" s="119">
        <f>'2019'!AT337</f>
        <v>0</v>
      </c>
      <c r="Y46" s="119">
        <f>'2019'!AW337</f>
        <v>13</v>
      </c>
      <c r="Z46" s="119">
        <f>'2019'!AX337</f>
        <v>0</v>
      </c>
      <c r="AA46" s="119"/>
      <c r="AB46" s="119">
        <f>'2019'!BA337</f>
        <v>13</v>
      </c>
      <c r="AC46" s="119">
        <f>'2019'!BB337</f>
        <v>0</v>
      </c>
      <c r="AD46" s="119"/>
      <c r="AE46" s="119">
        <f>'2019'!BE337</f>
        <v>1</v>
      </c>
      <c r="AF46" s="119">
        <f t="shared" si="0"/>
      </c>
    </row>
    <row r="47" ht="15.75" customHeight="1" spans="1:32" x14ac:dyDescent="0.25">
      <c r="A47" s="14"/>
      <c r="B47" s="115">
        <v>46</v>
      </c>
      <c r="C47" s="116">
        <v>4</v>
      </c>
      <c r="D47" s="117" t="s">
        <v>188</v>
      </c>
      <c r="E47" s="119">
        <f>'2019'!I345</f>
        <v>2215</v>
      </c>
      <c r="F47" s="119">
        <f>'2019'!J345</f>
        <v>0</v>
      </c>
      <c r="G47" s="119">
        <f>'2019'!M345</f>
        <v>2215</v>
      </c>
      <c r="H47" s="119">
        <f>'2019'!N345</f>
        <v>0</v>
      </c>
      <c r="I47" s="119">
        <f>'2019'!Q345</f>
        <v>2215</v>
      </c>
      <c r="J47" s="119">
        <f>'2019'!R345</f>
        <v>0</v>
      </c>
      <c r="K47" s="119">
        <f>'2019'!U345</f>
        <v>2217</v>
      </c>
      <c r="L47" s="119">
        <f>'2019'!V345</f>
        <v>2</v>
      </c>
      <c r="M47" s="119">
        <f>'2019'!Y345</f>
        <v>2312</v>
      </c>
      <c r="N47" s="119">
        <f>'2019'!Z345</f>
        <v>95</v>
      </c>
      <c r="O47" s="119">
        <f>'2019'!AC345</f>
        <v>2410</v>
      </c>
      <c r="P47" s="119">
        <f>'2019'!AD345</f>
        <v>98</v>
      </c>
      <c r="Q47" s="119">
        <f>'2019'!AG345</f>
        <v>2534</v>
      </c>
      <c r="R47" s="119">
        <f>'2019'!AH345</f>
        <v>124</v>
      </c>
      <c r="S47" s="119">
        <f>'2019'!AK345</f>
        <v>2646</v>
      </c>
      <c r="T47" s="119">
        <f>'2019'!AL345</f>
        <v>112</v>
      </c>
      <c r="U47" s="119">
        <f>'2019'!AO345</f>
        <v>2765</v>
      </c>
      <c r="V47" s="119">
        <f>'2019'!AP345</f>
        <v>119</v>
      </c>
      <c r="W47" s="119">
        <f>'2019'!AS345</f>
        <v>2834</v>
      </c>
      <c r="X47" s="119">
        <f>'2019'!AT345</f>
        <v>69</v>
      </c>
      <c r="Y47" s="119">
        <f>'2019'!AW345</f>
        <v>2834</v>
      </c>
      <c r="Z47" s="119">
        <f>'2019'!AX345</f>
        <v>0</v>
      </c>
      <c r="AA47" s="119"/>
      <c r="AB47" s="119">
        <f>'2019'!BA345</f>
        <v>2834</v>
      </c>
      <c r="AC47" s="119">
        <f>'2019'!BB345</f>
        <v>0</v>
      </c>
      <c r="AD47" s="119"/>
      <c r="AE47" s="119">
        <f>'2019'!BE345</f>
        <v>619</v>
      </c>
      <c r="AF47" s="119">
        <f t="shared" si="0"/>
      </c>
    </row>
    <row r="48" ht="15.75" customHeight="1" spans="1:32" x14ac:dyDescent="0.25">
      <c r="A48" s="14"/>
      <c r="B48" s="115">
        <v>47</v>
      </c>
      <c r="C48" s="116">
        <v>5</v>
      </c>
      <c r="D48" s="117" t="s">
        <v>192</v>
      </c>
      <c r="E48" s="119">
        <f>'2019'!I353</f>
        <v>165</v>
      </c>
      <c r="F48" s="119">
        <f>'2019'!J353</f>
        <v>0</v>
      </c>
      <c r="G48" s="119">
        <f>'2019'!M353</f>
        <v>165</v>
      </c>
      <c r="H48" s="119">
        <f>'2019'!N353</f>
        <v>0</v>
      </c>
      <c r="I48" s="119">
        <f>'2019'!Q353</f>
        <v>165</v>
      </c>
      <c r="J48" s="119">
        <f>'2019'!R353</f>
        <v>0</v>
      </c>
      <c r="K48" s="119">
        <f>'2019'!U353</f>
        <v>165</v>
      </c>
      <c r="L48" s="119">
        <f>'2019'!V353</f>
        <v>0</v>
      </c>
      <c r="M48" s="119">
        <f>'2019'!Y353</f>
        <v>165</v>
      </c>
      <c r="N48" s="119">
        <f>'2019'!Z353</f>
        <v>0</v>
      </c>
      <c r="O48" s="119">
        <f>'2019'!AC353</f>
        <v>165</v>
      </c>
      <c r="P48" s="119">
        <f>'2019'!AD353</f>
        <v>0</v>
      </c>
      <c r="Q48" s="119">
        <f>'2019'!AG353</f>
        <v>165</v>
      </c>
      <c r="R48" s="119">
        <f>'2019'!AH353</f>
        <v>0</v>
      </c>
      <c r="S48" s="119">
        <f>'2019'!AK353</f>
        <v>165</v>
      </c>
      <c r="T48" s="119">
        <f>'2019'!AL353</f>
        <v>0</v>
      </c>
      <c r="U48" s="119">
        <f>'2019'!AO353</f>
        <v>165</v>
      </c>
      <c r="V48" s="119">
        <f>'2019'!AP353</f>
        <v>0</v>
      </c>
      <c r="W48" s="119">
        <f>'2019'!AS353</f>
        <v>165</v>
      </c>
      <c r="X48" s="119">
        <f>'2019'!AT353</f>
        <v>0</v>
      </c>
      <c r="Y48" s="119">
        <f>'2019'!AW353</f>
        <v>165</v>
      </c>
      <c r="Z48" s="119">
        <f>'2019'!AX353</f>
        <v>0</v>
      </c>
      <c r="AA48" s="119"/>
      <c r="AB48" s="119">
        <f>'2019'!BA353</f>
        <v>165</v>
      </c>
      <c r="AC48" s="119">
        <f>'2019'!BB353</f>
        <v>0</v>
      </c>
      <c r="AD48" s="119"/>
      <c r="AE48" s="119">
        <f>'2019'!BE353</f>
        <v>0</v>
      </c>
      <c r="AF48" s="119">
        <f t="shared" si="0"/>
      </c>
    </row>
    <row r="49" ht="15.75" customHeight="1" spans="1:32" x14ac:dyDescent="0.25">
      <c r="A49" s="14"/>
      <c r="B49" s="115">
        <v>48</v>
      </c>
      <c r="C49" s="115">
        <v>5.93</v>
      </c>
      <c r="D49" s="117" t="s">
        <v>97</v>
      </c>
      <c r="E49" s="119">
        <f>'2019'!I361</f>
      </c>
      <c r="F49" s="119">
        <f>'2019'!J361</f>
      </c>
      <c r="G49" s="119">
        <f>'2019'!M361</f>
      </c>
      <c r="H49" s="119">
        <f>'2019'!N361</f>
        <v>0</v>
      </c>
      <c r="I49" s="119">
        <f>'2019'!Q361</f>
      </c>
      <c r="J49" s="119">
        <f>'2019'!R361</f>
        <v>0</v>
      </c>
      <c r="K49" s="119">
        <f>'2019'!U361</f>
      </c>
      <c r="L49" s="119">
        <f>'2019'!V361</f>
        <v>0</v>
      </c>
      <c r="M49" s="119">
        <f>'2019'!Y361</f>
      </c>
      <c r="N49" s="119">
        <f>'2019'!Z361</f>
        <v>0</v>
      </c>
      <c r="O49" s="119">
        <f>'2019'!AC361</f>
      </c>
      <c r="P49" s="119">
        <f>'2019'!AD361</f>
        <v>0</v>
      </c>
      <c r="Q49" s="119">
        <f>'2019'!AG361</f>
      </c>
      <c r="R49" s="119">
        <f>'2019'!AH361</f>
        <v>0</v>
      </c>
      <c r="S49" s="119">
        <f>'2019'!AK361</f>
      </c>
      <c r="T49" s="119">
        <f>'2019'!AL361</f>
        <v>0</v>
      </c>
      <c r="U49" s="119">
        <f>'2019'!AO361</f>
      </c>
      <c r="V49" s="119">
        <f>'2019'!AP361</f>
        <v>0</v>
      </c>
      <c r="W49" s="119">
        <f>'2019'!AS361</f>
      </c>
      <c r="X49" s="119">
        <f>'2019'!AT361</f>
        <v>0</v>
      </c>
      <c r="Y49" s="119">
        <f>'2019'!AW361</f>
      </c>
      <c r="Z49" s="119">
        <f>'2019'!AX361</f>
        <v>0</v>
      </c>
      <c r="AA49" s="119"/>
      <c r="AB49" s="119">
        <f>'2019'!BA361</f>
      </c>
      <c r="AC49" s="119">
        <f>'2019'!BB361</f>
        <v>0</v>
      </c>
      <c r="AD49" s="119"/>
      <c r="AE49" s="119">
        <f>'2019'!BE361</f>
        <v>0</v>
      </c>
      <c r="AF49" s="119">
        <f t="shared" si="0"/>
      </c>
    </row>
    <row r="50" ht="15.75" customHeight="1" spans="1:32" x14ac:dyDescent="0.25">
      <c r="A50" s="14"/>
      <c r="B50" s="115">
        <v>49</v>
      </c>
      <c r="C50" s="115">
        <v>5.03</v>
      </c>
      <c r="D50" s="117" t="s">
        <v>197</v>
      </c>
      <c r="E50" s="119">
        <f>'2019'!I369</f>
      </c>
      <c r="F50" s="119">
        <f>'2019'!J369</f>
      </c>
      <c r="G50" s="119">
        <f>'2019'!M369</f>
      </c>
      <c r="H50" s="119">
        <f>'2019'!N369</f>
        <v>0</v>
      </c>
      <c r="I50" s="119">
        <f>'2019'!Q369</f>
      </c>
      <c r="J50" s="119">
        <f>'2019'!R369</f>
        <v>0</v>
      </c>
      <c r="K50" s="119">
        <f>'2019'!U369</f>
      </c>
      <c r="L50" s="119">
        <f>'2019'!V369</f>
        <v>0</v>
      </c>
      <c r="M50" s="119">
        <f>'2019'!Y369</f>
      </c>
      <c r="N50" s="119">
        <f>'2019'!Z369</f>
        <v>0</v>
      </c>
      <c r="O50" s="119">
        <f>'2019'!AC369</f>
      </c>
      <c r="P50" s="119">
        <f>'2019'!AD369</f>
        <v>0</v>
      </c>
      <c r="Q50" s="119">
        <f>'2019'!AG369</f>
      </c>
      <c r="R50" s="119">
        <f>'2019'!AH369</f>
        <v>0</v>
      </c>
      <c r="S50" s="119">
        <f>'2019'!AK369</f>
      </c>
      <c r="T50" s="119">
        <f>'2019'!AL369</f>
        <v>0</v>
      </c>
      <c r="U50" s="119">
        <f>'2019'!AO369</f>
      </c>
      <c r="V50" s="119">
        <f>'2019'!AP369</f>
        <v>0</v>
      </c>
      <c r="W50" s="119">
        <f>'2019'!AS369</f>
      </c>
      <c r="X50" s="119">
        <f>'2019'!AT369</f>
        <v>0</v>
      </c>
      <c r="Y50" s="119">
        <f>'2019'!AW369</f>
      </c>
      <c r="Z50" s="119">
        <f>'2019'!AX369</f>
        <v>0</v>
      </c>
      <c r="AA50" s="119"/>
      <c r="AB50" s="119">
        <f>'2019'!BA369</f>
      </c>
      <c r="AC50" s="119">
        <f>'2019'!BB369</f>
        <v>0</v>
      </c>
      <c r="AD50" s="119"/>
      <c r="AE50" s="119">
        <f>'2019'!BE369</f>
        <v>0</v>
      </c>
      <c r="AF50" s="119">
        <f t="shared" si="0"/>
      </c>
    </row>
    <row r="51" ht="15.75" customHeight="1" spans="1:32" x14ac:dyDescent="0.25">
      <c r="A51" s="14"/>
      <c r="B51" s="115">
        <v>50</v>
      </c>
      <c r="C51" s="115">
        <v>6.05</v>
      </c>
      <c r="D51" s="117" t="s">
        <v>200</v>
      </c>
      <c r="E51" s="119">
        <f>'2019'!I377</f>
        <v>1387</v>
      </c>
      <c r="F51" s="119">
        <f>'2019'!J377</f>
        <v>0</v>
      </c>
      <c r="G51" s="119">
        <f>'2019'!M377</f>
        <v>1387</v>
      </c>
      <c r="H51" s="119">
        <f>'2019'!N377</f>
        <v>0</v>
      </c>
      <c r="I51" s="119">
        <f>'2019'!Q377</f>
        <v>1387</v>
      </c>
      <c r="J51" s="119">
        <f>'2019'!R377</f>
        <v>0</v>
      </c>
      <c r="K51" s="119">
        <f>'2019'!U377</f>
        <v>1392</v>
      </c>
      <c r="L51" s="119">
        <f>'2019'!V377</f>
        <v>5</v>
      </c>
      <c r="M51" s="119">
        <f>'2019'!Y377</f>
        <v>1512</v>
      </c>
      <c r="N51" s="119">
        <f>'2019'!Z377</f>
        <v>120</v>
      </c>
      <c r="O51" s="119">
        <f>'2019'!AC377</f>
        <v>1566</v>
      </c>
      <c r="P51" s="119">
        <f>'2019'!AD377</f>
        <v>54</v>
      </c>
      <c r="Q51" s="119">
        <f>'2019'!AG377</f>
        <v>1667</v>
      </c>
      <c r="R51" s="119">
        <f>'2019'!AH377</f>
        <v>101</v>
      </c>
      <c r="S51" s="119">
        <f>'2019'!AK377</f>
        <v>1780</v>
      </c>
      <c r="T51" s="119">
        <f>'2019'!AL377</f>
        <v>113</v>
      </c>
      <c r="U51" s="119">
        <f>'2019'!AO377</f>
        <v>1869</v>
      </c>
      <c r="V51" s="119">
        <f>'2019'!AP377</f>
        <v>89</v>
      </c>
      <c r="W51" s="119">
        <f>'2019'!AS377</f>
        <v>2313</v>
      </c>
      <c r="X51" s="119">
        <f>'2019'!AT377</f>
        <v>444</v>
      </c>
      <c r="Y51" s="119">
        <f>'2019'!AW377</f>
        <v>2382</v>
      </c>
      <c r="Z51" s="119">
        <f>'2019'!AX377</f>
        <v>69</v>
      </c>
      <c r="AA51" s="119"/>
      <c r="AB51" s="119">
        <f>'2019'!BA377</f>
        <v>2406</v>
      </c>
      <c r="AC51" s="119">
        <f>'2019'!BB377</f>
        <v>24</v>
      </c>
      <c r="AD51" s="119"/>
      <c r="AE51" s="119">
        <f>'2019'!BE377</f>
        <v>1019</v>
      </c>
      <c r="AF51" s="119">
        <f t="shared" si="0"/>
      </c>
    </row>
    <row r="52" ht="15.75" customHeight="1" spans="1:32" x14ac:dyDescent="0.25">
      <c r="A52" s="14"/>
      <c r="B52" s="115">
        <v>51</v>
      </c>
      <c r="C52" s="115">
        <v>4.95</v>
      </c>
      <c r="D52" s="117" t="s">
        <v>204</v>
      </c>
      <c r="E52" s="119">
        <f>'2019'!I385</f>
      </c>
      <c r="F52" s="119">
        <f>'2019'!J385</f>
      </c>
      <c r="G52" s="119">
        <f>'2019'!M385</f>
      </c>
      <c r="H52" s="119">
        <f>'2019'!N385</f>
        <v>0</v>
      </c>
      <c r="I52" s="119">
        <f>'2019'!Q385</f>
      </c>
      <c r="J52" s="119">
        <f>'2019'!R385</f>
        <v>0</v>
      </c>
      <c r="K52" s="119">
        <f>'2019'!U385</f>
      </c>
      <c r="L52" s="119">
        <f>'2019'!V385</f>
        <v>0</v>
      </c>
      <c r="M52" s="119">
        <f>'2019'!Y385</f>
      </c>
      <c r="N52" s="119">
        <f>'2019'!Z385</f>
        <v>0</v>
      </c>
      <c r="O52" s="119">
        <f>'2019'!AC385</f>
      </c>
      <c r="P52" s="119">
        <f>'2019'!AD385</f>
        <v>0</v>
      </c>
      <c r="Q52" s="119">
        <f>'2019'!AG385</f>
      </c>
      <c r="R52" s="119">
        <f>'2019'!AH385</f>
        <v>0</v>
      </c>
      <c r="S52" s="119">
        <f>'2019'!AK385</f>
      </c>
      <c r="T52" s="119">
        <f>'2019'!AL385</f>
        <v>0</v>
      </c>
      <c r="U52" s="119">
        <f>'2019'!AO385</f>
      </c>
      <c r="V52" s="119">
        <f>'2019'!AP385</f>
        <v>0</v>
      </c>
      <c r="W52" s="119">
        <f>'2019'!AS385</f>
      </c>
      <c r="X52" s="119">
        <f>'2019'!AT385</f>
        <v>0</v>
      </c>
      <c r="Y52" s="119">
        <f>'2019'!AW385</f>
      </c>
      <c r="Z52" s="119">
        <f>'2019'!AX385</f>
        <v>0</v>
      </c>
      <c r="AA52" s="119"/>
      <c r="AB52" s="119">
        <f>'2019'!BA385</f>
      </c>
      <c r="AC52" s="119">
        <f>'2019'!BB385</f>
        <v>0</v>
      </c>
      <c r="AD52" s="119"/>
      <c r="AE52" s="119">
        <f>'2019'!BE385</f>
        <v>0</v>
      </c>
      <c r="AF52" s="119">
        <f t="shared" si="0"/>
      </c>
    </row>
    <row r="53" ht="15.75" customHeight="1" spans="1:32" x14ac:dyDescent="0.25">
      <c r="A53" s="14"/>
      <c r="B53" s="115">
        <v>52</v>
      </c>
      <c r="C53" s="116">
        <v>5</v>
      </c>
      <c r="D53" s="117" t="s">
        <v>206</v>
      </c>
      <c r="E53" s="119">
        <f>'2019'!I393</f>
        <v>63</v>
      </c>
      <c r="F53" s="119">
        <f>'2019'!J393</f>
        <v>0</v>
      </c>
      <c r="G53" s="119">
        <f>'2019'!M393</f>
        <v>63</v>
      </c>
      <c r="H53" s="119">
        <f>'2019'!N393</f>
        <v>0</v>
      </c>
      <c r="I53" s="119">
        <f>'2019'!Q393</f>
        <v>63</v>
      </c>
      <c r="J53" s="119">
        <f>'2019'!R393</f>
        <v>0</v>
      </c>
      <c r="K53" s="119">
        <f>'2019'!U393</f>
        <v>64</v>
      </c>
      <c r="L53" s="119">
        <f>'2019'!V393</f>
        <v>1</v>
      </c>
      <c r="M53" s="119">
        <f>'2019'!Y393</f>
        <v>68</v>
      </c>
      <c r="N53" s="119">
        <f>'2019'!Z393</f>
        <v>4</v>
      </c>
      <c r="O53" s="119">
        <f>'2019'!AC393</f>
        <v>72</v>
      </c>
      <c r="P53" s="119">
        <f>'2019'!AD393</f>
        <v>4</v>
      </c>
      <c r="Q53" s="119">
        <f>'2019'!AG393</f>
        <v>76</v>
      </c>
      <c r="R53" s="119">
        <f>'2019'!AH393</f>
        <v>4</v>
      </c>
      <c r="S53" s="119">
        <f>'2019'!AK393</f>
        <v>83</v>
      </c>
      <c r="T53" s="119">
        <f>'2019'!AL393</f>
        <v>7</v>
      </c>
      <c r="U53" s="119">
        <f>'2019'!AO393</f>
        <v>91</v>
      </c>
      <c r="V53" s="119">
        <f>'2019'!AP393</f>
        <v>8</v>
      </c>
      <c r="W53" s="119">
        <f>'2019'!AS393</f>
        <v>95</v>
      </c>
      <c r="X53" s="119">
        <f>'2019'!AT393</f>
        <v>4</v>
      </c>
      <c r="Y53" s="119">
        <f>'2019'!AW393</f>
        <v>95</v>
      </c>
      <c r="Z53" s="119">
        <f>'2019'!AX393</f>
        <v>0</v>
      </c>
      <c r="AA53" s="119"/>
      <c r="AB53" s="119">
        <f>'2019'!BA393</f>
        <v>95</v>
      </c>
      <c r="AC53" s="119">
        <f>'2019'!BB393</f>
        <v>0</v>
      </c>
      <c r="AD53" s="119"/>
      <c r="AE53" s="119">
        <f>'2019'!BE393</f>
        <v>32</v>
      </c>
      <c r="AF53" s="119">
        <f t="shared" si="0"/>
      </c>
    </row>
    <row r="54" ht="15.75" customHeight="1" spans="1:32" x14ac:dyDescent="0.25">
      <c r="A54" s="14"/>
      <c r="B54" s="115">
        <v>53</v>
      </c>
      <c r="C54" s="115">
        <v>5.05</v>
      </c>
      <c r="D54" s="117" t="s">
        <v>210</v>
      </c>
      <c r="E54" s="119">
        <f>'2019'!I401</f>
        <v>4537</v>
      </c>
      <c r="F54" s="119">
        <f>'2019'!J401</f>
        <v>497</v>
      </c>
      <c r="G54" s="119">
        <f>'2019'!M401</f>
        <v>5272</v>
      </c>
      <c r="H54" s="119">
        <f>'2019'!N401</f>
        <v>735</v>
      </c>
      <c r="I54" s="119">
        <f>'2019'!Q401</f>
        <v>5765</v>
      </c>
      <c r="J54" s="119">
        <f>'2019'!R401</f>
        <v>493</v>
      </c>
      <c r="K54" s="119">
        <f>'2019'!U401</f>
        <v>5887</v>
      </c>
      <c r="L54" s="119">
        <f>'2019'!V401</f>
        <v>122</v>
      </c>
      <c r="M54" s="119">
        <f>'2019'!Y401</f>
        <v>5982</v>
      </c>
      <c r="N54" s="119">
        <f>'2019'!Z401</f>
        <v>95</v>
      </c>
      <c r="O54" s="119">
        <f>'2019'!AC401</f>
        <v>6063</v>
      </c>
      <c r="P54" s="119">
        <f>'2019'!AD401</f>
        <v>81</v>
      </c>
      <c r="Q54" s="119">
        <f>'2019'!AG401</f>
        <v>6213</v>
      </c>
      <c r="R54" s="119">
        <f>'2019'!AH401</f>
        <v>150</v>
      </c>
      <c r="S54" s="119">
        <f>'2019'!AK401</f>
        <v>6294</v>
      </c>
      <c r="T54" s="119">
        <f>'2019'!AL401</f>
        <v>81</v>
      </c>
      <c r="U54" s="119">
        <f>'2019'!AO401</f>
        <v>6375</v>
      </c>
      <c r="V54" s="119">
        <f>'2019'!AP401</f>
        <v>81</v>
      </c>
      <c r="W54" s="119">
        <f>'2019'!AS401</f>
        <v>6587</v>
      </c>
      <c r="X54" s="119">
        <f>'2019'!AT401</f>
        <v>212</v>
      </c>
      <c r="Y54" s="119">
        <f>'2019'!AW401</f>
        <v>6607</v>
      </c>
      <c r="Z54" s="119">
        <f>'2019'!AX401</f>
        <v>20</v>
      </c>
      <c r="AA54" s="119"/>
      <c r="AB54" s="119">
        <f>'2019'!BA401</f>
        <v>6781</v>
      </c>
      <c r="AC54" s="119">
        <f>'2019'!BB401</f>
        <v>174</v>
      </c>
      <c r="AD54" s="119"/>
      <c r="AE54" s="119">
        <f>'2019'!BE401</f>
        <v>2741</v>
      </c>
      <c r="AF54" s="119">
        <f t="shared" si="0"/>
      </c>
    </row>
    <row r="55" ht="15.75" customHeight="1" spans="1:32" x14ac:dyDescent="0.25">
      <c r="A55" s="14"/>
      <c r="B55" s="115">
        <v>54</v>
      </c>
      <c r="C55" s="115">
        <v>5.54</v>
      </c>
      <c r="D55" s="117" t="s">
        <v>212</v>
      </c>
      <c r="E55" s="119">
        <f>'2019'!I409</f>
        <v>176</v>
      </c>
      <c r="F55" s="119">
        <f>'2019'!J409</f>
        <v>0</v>
      </c>
      <c r="G55" s="119">
        <f>'2019'!M409</f>
        <v>176</v>
      </c>
      <c r="H55" s="119">
        <f>'2019'!N409</f>
        <v>0</v>
      </c>
      <c r="I55" s="119">
        <f>'2019'!Q409</f>
        <v>176</v>
      </c>
      <c r="J55" s="119">
        <f>'2019'!R409</f>
        <v>0</v>
      </c>
      <c r="K55" s="119">
        <f>'2019'!U409</f>
        <v>176</v>
      </c>
      <c r="L55" s="119">
        <f>'2019'!V409</f>
        <v>0</v>
      </c>
      <c r="M55" s="119">
        <f>'2019'!Y409</f>
        <v>179</v>
      </c>
      <c r="N55" s="119">
        <f>'2019'!Z409</f>
        <v>3</v>
      </c>
      <c r="O55" s="119">
        <f>'2019'!AC409</f>
        <v>197</v>
      </c>
      <c r="P55" s="119">
        <f>'2019'!AD409</f>
        <v>18</v>
      </c>
      <c r="Q55" s="119">
        <f>'2019'!AG409</f>
        <v>208</v>
      </c>
      <c r="R55" s="119">
        <f>'2019'!AH409</f>
        <v>11</v>
      </c>
      <c r="S55" s="119">
        <f>'2019'!AK409</f>
        <v>225</v>
      </c>
      <c r="T55" s="119">
        <f>'2019'!AL409</f>
        <v>17</v>
      </c>
      <c r="U55" s="119">
        <f>'2019'!AO409</f>
        <v>232</v>
      </c>
      <c r="V55" s="119">
        <f>'2019'!AP409</f>
        <v>7</v>
      </c>
      <c r="W55" s="119">
        <f>'2019'!AS409</f>
        <v>243</v>
      </c>
      <c r="X55" s="119">
        <f>'2019'!AT409</f>
        <v>11</v>
      </c>
      <c r="Y55" s="119">
        <f>'2019'!AW409</f>
        <v>243</v>
      </c>
      <c r="Z55" s="119">
        <f>'2019'!AX409</f>
        <v>0</v>
      </c>
      <c r="AA55" s="119"/>
      <c r="AB55" s="119">
        <f>'2019'!BA409</f>
        <v>243</v>
      </c>
      <c r="AC55" s="119">
        <f>'2019'!BB409</f>
        <v>0</v>
      </c>
      <c r="AD55" s="119"/>
      <c r="AE55" s="119">
        <f>'2019'!BE409</f>
        <v>67</v>
      </c>
      <c r="AF55" s="119">
        <f t="shared" si="0"/>
      </c>
    </row>
    <row r="56" ht="15.75" customHeight="1" spans="1:32" x14ac:dyDescent="0.25">
      <c r="A56" s="21"/>
      <c r="B56" s="115">
        <v>55</v>
      </c>
      <c r="C56" s="116">
        <v>5.5</v>
      </c>
      <c r="D56" s="117" t="s">
        <v>214</v>
      </c>
      <c r="E56" s="119">
        <f>'2019'!I417</f>
        <v>267</v>
      </c>
      <c r="F56" s="119">
        <f>'2019'!J417</f>
        <v>0</v>
      </c>
      <c r="G56" s="119">
        <f>'2019'!M417</f>
        <v>267</v>
      </c>
      <c r="H56" s="119">
        <f>'2019'!N417</f>
        <v>0</v>
      </c>
      <c r="I56" s="119">
        <f>'2019'!Q417</f>
        <v>267</v>
      </c>
      <c r="J56" s="119">
        <f>'2019'!R417</f>
        <v>0</v>
      </c>
      <c r="K56" s="119">
        <f>'2019'!U417</f>
        <v>277</v>
      </c>
      <c r="L56" s="119">
        <f>'2019'!V417</f>
        <v>10</v>
      </c>
      <c r="M56" s="119">
        <f>'2019'!Y417</f>
        <v>287</v>
      </c>
      <c r="N56" s="119">
        <f>'2019'!Z417</f>
        <v>10</v>
      </c>
      <c r="O56" s="119">
        <f>'2019'!AC417</f>
        <v>291</v>
      </c>
      <c r="P56" s="119">
        <f>'2019'!AD417</f>
        <v>4</v>
      </c>
      <c r="Q56" s="119">
        <f>'2019'!AG417</f>
        <v>296</v>
      </c>
      <c r="R56" s="119">
        <f>'2019'!AH417</f>
        <v>5</v>
      </c>
      <c r="S56" s="119">
        <f>'2019'!AK417</f>
        <v>308</v>
      </c>
      <c r="T56" s="119">
        <f>'2019'!AL417</f>
        <v>12</v>
      </c>
      <c r="U56" s="119">
        <f>'2019'!AO417</f>
        <v>325</v>
      </c>
      <c r="V56" s="119">
        <f>'2019'!AP417</f>
        <v>17</v>
      </c>
      <c r="W56" s="119">
        <f>'2019'!AS417</f>
        <v>369</v>
      </c>
      <c r="X56" s="119">
        <f>'2019'!AT417</f>
        <v>44</v>
      </c>
      <c r="Y56" s="119">
        <f>'2019'!AW417</f>
        <v>369</v>
      </c>
      <c r="Z56" s="119">
        <f>'2019'!AX417</f>
        <v>0</v>
      </c>
      <c r="AA56" s="119"/>
      <c r="AB56" s="119">
        <f>'2019'!BA417</f>
        <v>369</v>
      </c>
      <c r="AC56" s="119">
        <f>'2019'!BB417</f>
        <v>0</v>
      </c>
      <c r="AD56" s="119"/>
      <c r="AE56" s="119">
        <f>'2019'!BE417</f>
        <v>102</v>
      </c>
      <c r="AF56" s="119">
        <f t="shared" si="0"/>
      </c>
    </row>
    <row r="57" ht="15.75" customHeight="1" spans="1:32" x14ac:dyDescent="0.25">
      <c r="A57" s="114" t="s">
        <v>217</v>
      </c>
      <c r="B57" s="115">
        <v>56</v>
      </c>
      <c r="C57" s="115">
        <v>6.23</v>
      </c>
      <c r="D57" s="161" t="s">
        <v>218</v>
      </c>
      <c r="E57" s="119">
        <f>'2019'!I425</f>
        <v>38</v>
      </c>
      <c r="F57" s="119">
        <f>'2019'!J425</f>
        <v>24</v>
      </c>
      <c r="G57" s="119">
        <f>'2019'!M425</f>
        <v>195</v>
      </c>
      <c r="H57" s="119">
        <f>'2019'!N425</f>
        <v>157</v>
      </c>
      <c r="I57" s="119">
        <f>'2019'!Q425</f>
        <v>443</v>
      </c>
      <c r="J57" s="119">
        <f>'2019'!R425</f>
        <v>248</v>
      </c>
      <c r="K57" s="119">
        <f>'2019'!U425</f>
        <v>482</v>
      </c>
      <c r="L57" s="119">
        <f>'2019'!V425</f>
        <v>39</v>
      </c>
      <c r="M57" s="119">
        <f>'2019'!Y425</f>
        <v>1485</v>
      </c>
      <c r="N57" s="119">
        <f>'2019'!Z425</f>
        <v>1003</v>
      </c>
      <c r="O57" s="119">
        <f>'2019'!AC425</f>
        <v>2506</v>
      </c>
      <c r="P57" s="119">
        <f>'2019'!AD425</f>
        <v>1021</v>
      </c>
      <c r="Q57" s="119">
        <f>'2019'!AG425</f>
        <v>3074</v>
      </c>
      <c r="R57" s="119">
        <f>'2019'!AH425</f>
        <v>568</v>
      </c>
      <c r="S57" s="119">
        <f>'2019'!AK425</f>
        <v>3470</v>
      </c>
      <c r="T57" s="119">
        <f>'2019'!AL425</f>
        <v>396</v>
      </c>
      <c r="U57" s="119">
        <f>'2019'!AO425</f>
        <v>4072</v>
      </c>
      <c r="V57" s="119">
        <f>'2019'!AP425</f>
        <v>602</v>
      </c>
      <c r="W57" s="119">
        <f>'2019'!AS425</f>
        <v>4494</v>
      </c>
      <c r="X57" s="119">
        <f>'2019'!AT425</f>
        <v>422</v>
      </c>
      <c r="Y57" s="119">
        <f>'2019'!AW425</f>
        <v>4968</v>
      </c>
      <c r="Z57" s="119">
        <f>'2019'!AX425</f>
        <v>474</v>
      </c>
      <c r="AA57" s="119"/>
      <c r="AB57" s="119">
        <f>'2019'!BA425</f>
        <v>5434</v>
      </c>
      <c r="AC57" s="119">
        <f>'2019'!BB425</f>
        <v>466</v>
      </c>
      <c r="AD57" s="119"/>
      <c r="AE57" s="119">
        <f>'2019'!BE425</f>
        <v>5420</v>
      </c>
      <c r="AF57" s="119">
        <f t="shared" si="0"/>
      </c>
    </row>
    <row r="58" ht="15.75" customHeight="1" spans="1:32" x14ac:dyDescent="0.25">
      <c r="A58" s="14"/>
      <c r="B58" s="115">
        <v>57</v>
      </c>
      <c r="C58" s="116">
        <v>4</v>
      </c>
      <c r="D58" s="117" t="s">
        <v>221</v>
      </c>
      <c r="E58" s="119">
        <f>'2019'!I433</f>
        <v>462</v>
      </c>
      <c r="F58" s="119">
        <f>'2019'!J433</f>
        <v>0</v>
      </c>
      <c r="G58" s="119">
        <f>'2019'!M433</f>
        <v>462</v>
      </c>
      <c r="H58" s="119">
        <f>'2019'!N433</f>
        <v>0</v>
      </c>
      <c r="I58" s="119">
        <f>'2019'!Q433</f>
        <v>462</v>
      </c>
      <c r="J58" s="119">
        <f>'2019'!R433</f>
        <v>0</v>
      </c>
      <c r="K58" s="119">
        <f>'2019'!U433</f>
        <v>462</v>
      </c>
      <c r="L58" s="119">
        <f>'2019'!V433</f>
        <v>0</v>
      </c>
      <c r="M58" s="119">
        <f>'2019'!Y433</f>
        <v>462</v>
      </c>
      <c r="N58" s="119">
        <f>'2019'!Z433</f>
        <v>0</v>
      </c>
      <c r="O58" s="119">
        <f>'2019'!AC433</f>
        <v>462</v>
      </c>
      <c r="P58" s="119">
        <f>'2019'!AD433</f>
        <v>0</v>
      </c>
      <c r="Q58" s="119">
        <f>'2019'!AG433</f>
        <v>462</v>
      </c>
      <c r="R58" s="119">
        <f>'2019'!AH433</f>
        <v>0</v>
      </c>
      <c r="S58" s="119">
        <f>'2019'!AK433</f>
        <v>462</v>
      </c>
      <c r="T58" s="119">
        <f>'2019'!AL433</f>
        <v>0</v>
      </c>
      <c r="U58" s="119">
        <f>'2019'!AO433</f>
        <v>462</v>
      </c>
      <c r="V58" s="119">
        <f>'2019'!AP433</f>
        <v>0</v>
      </c>
      <c r="W58" s="119">
        <f>'2019'!AS433</f>
        <v>462</v>
      </c>
      <c r="X58" s="119">
        <f>'2019'!AT433</f>
        <v>0</v>
      </c>
      <c r="Y58" s="119">
        <f>'2019'!AW433</f>
        <v>462</v>
      </c>
      <c r="Z58" s="119">
        <f>'2019'!AX433</f>
        <v>0</v>
      </c>
      <c r="AA58" s="119"/>
      <c r="AB58" s="119">
        <f>'2019'!BA433</f>
        <v>462</v>
      </c>
      <c r="AC58" s="119">
        <f>'2019'!BB433</f>
        <v>0</v>
      </c>
      <c r="AD58" s="119"/>
      <c r="AE58" s="119">
        <f>'2019'!BE433</f>
        <v>0</v>
      </c>
      <c r="AF58" s="119">
        <f t="shared" si="0"/>
      </c>
    </row>
    <row r="59" ht="15.75" customHeight="1" spans="1:32" x14ac:dyDescent="0.25">
      <c r="A59" s="14"/>
      <c r="B59" s="115">
        <v>59</v>
      </c>
      <c r="C59" s="116">
        <v>4</v>
      </c>
      <c r="D59" s="117" t="s">
        <v>221</v>
      </c>
      <c r="E59" s="119">
        <f>'2019'!I441</f>
      </c>
      <c r="F59" s="119">
        <f>'2019'!J441</f>
      </c>
      <c r="G59" s="119">
        <f>'2019'!M441</f>
      </c>
      <c r="H59" s="119">
        <f>'2019'!N441</f>
        <v>0</v>
      </c>
      <c r="I59" s="119">
        <f>'2019'!Q441</f>
      </c>
      <c r="J59" s="119">
        <f>'2019'!R441</f>
        <v>0</v>
      </c>
      <c r="K59" s="119">
        <f>'2019'!U441</f>
      </c>
      <c r="L59" s="119">
        <f>'2019'!V441</f>
        <v>0</v>
      </c>
      <c r="M59" s="119">
        <f>'2019'!Y441</f>
      </c>
      <c r="N59" s="119">
        <f>'2019'!Z441</f>
        <v>0</v>
      </c>
      <c r="O59" s="119">
        <f>'2019'!AC441</f>
      </c>
      <c r="P59" s="119">
        <f>'2019'!AD441</f>
        <v>0</v>
      </c>
      <c r="Q59" s="119">
        <f>'2019'!AG441</f>
      </c>
      <c r="R59" s="119">
        <f>'2019'!AH441</f>
        <v>0</v>
      </c>
      <c r="S59" s="119">
        <f>'2019'!AK441</f>
      </c>
      <c r="T59" s="119">
        <f>'2019'!AL441</f>
        <v>0</v>
      </c>
      <c r="U59" s="119">
        <f>'2019'!AO441</f>
      </c>
      <c r="V59" s="119">
        <f>'2019'!AP441</f>
        <v>0</v>
      </c>
      <c r="W59" s="119">
        <f>'2019'!AS441</f>
      </c>
      <c r="X59" s="119">
        <f>'2019'!AT441</f>
        <v>0</v>
      </c>
      <c r="Y59" s="119">
        <f>'2019'!AW441</f>
      </c>
      <c r="Z59" s="119">
        <f>'2019'!AX441</f>
        <v>0</v>
      </c>
      <c r="AA59" s="119"/>
      <c r="AB59" s="119">
        <f>'2019'!BA441</f>
      </c>
      <c r="AC59" s="119">
        <f>'2019'!BB441</f>
        <v>0</v>
      </c>
      <c r="AD59" s="119"/>
      <c r="AE59" s="119">
        <f>'2019'!BE441</f>
        <v>0</v>
      </c>
      <c r="AF59" s="119">
        <f t="shared" si="0"/>
      </c>
    </row>
    <row r="60" ht="15.75" customHeight="1" spans="1:32" x14ac:dyDescent="0.25">
      <c r="A60" s="14"/>
      <c r="B60" s="115">
        <v>58</v>
      </c>
      <c r="C60" s="115">
        <v>5.08</v>
      </c>
      <c r="D60" s="117" t="s">
        <v>223</v>
      </c>
      <c r="E60" s="119">
        <f>'2019'!I449</f>
        <v>1910</v>
      </c>
      <c r="F60" s="119">
        <f>'2019'!J449</f>
        <v>0</v>
      </c>
      <c r="G60" s="119">
        <f>'2019'!M449</f>
        <v>1910</v>
      </c>
      <c r="H60" s="119">
        <f>'2019'!N449</f>
        <v>0</v>
      </c>
      <c r="I60" s="119">
        <f>'2019'!Q449</f>
        <v>1934</v>
      </c>
      <c r="J60" s="119">
        <f>'2019'!R449</f>
        <v>24</v>
      </c>
      <c r="K60" s="119">
        <f>'2019'!U449</f>
        <v>1950</v>
      </c>
      <c r="L60" s="119">
        <f>'2019'!V449</f>
        <v>16</v>
      </c>
      <c r="M60" s="119">
        <f>'2019'!Y449</f>
        <v>2189</v>
      </c>
      <c r="N60" s="119">
        <f>'2019'!Z449</f>
        <v>239</v>
      </c>
      <c r="O60" s="119">
        <f>'2019'!AC449</f>
        <v>2343</v>
      </c>
      <c r="P60" s="119">
        <f>'2019'!AD449</f>
        <v>154</v>
      </c>
      <c r="Q60" s="119">
        <f>'2019'!AG449</f>
        <v>2435</v>
      </c>
      <c r="R60" s="119">
        <f>'2019'!AH449</f>
        <v>92</v>
      </c>
      <c r="S60" s="119">
        <f>'2019'!AK449</f>
        <v>2572</v>
      </c>
      <c r="T60" s="119">
        <f>'2019'!AL449</f>
        <v>137</v>
      </c>
      <c r="U60" s="119">
        <f>'2019'!AO449</f>
        <v>2964</v>
      </c>
      <c r="V60" s="119">
        <f>'2019'!AP449</f>
        <v>392</v>
      </c>
      <c r="W60" s="119">
        <f>'2019'!AS449</f>
        <v>3099</v>
      </c>
      <c r="X60" s="119">
        <f>'2019'!AT449</f>
        <v>135</v>
      </c>
      <c r="Y60" s="119">
        <f>'2019'!AW449</f>
        <v>3104</v>
      </c>
      <c r="Z60" s="119">
        <f>'2019'!AX449</f>
        <v>5</v>
      </c>
      <c r="AA60" s="119"/>
      <c r="AB60" s="119">
        <f>'2019'!BA449</f>
        <v>3105</v>
      </c>
      <c r="AC60" s="119">
        <f>'2019'!BB449</f>
        <v>1</v>
      </c>
      <c r="AD60" s="119"/>
      <c r="AE60" s="119">
        <f>'2019'!BE449</f>
        <v>1195</v>
      </c>
      <c r="AF60" s="119">
        <f t="shared" si="0"/>
      </c>
    </row>
    <row r="61" ht="15.75" customHeight="1" spans="1:32" x14ac:dyDescent="0.25">
      <c r="A61" s="14"/>
      <c r="B61" s="115">
        <v>60</v>
      </c>
      <c r="C61" s="116">
        <v>4.4</v>
      </c>
      <c r="D61" s="117" t="s">
        <v>227</v>
      </c>
      <c r="E61" s="119">
        <f>'2019'!I457</f>
        <v>530</v>
      </c>
      <c r="F61" s="119">
        <f>'2019'!J457</f>
        <v>20</v>
      </c>
      <c r="G61" s="119">
        <f>'2019'!M457</f>
        <v>535</v>
      </c>
      <c r="H61" s="119">
        <f>'2019'!N457</f>
        <v>5</v>
      </c>
      <c r="I61" s="119">
        <f>'2019'!Q457</f>
        <v>570</v>
      </c>
      <c r="J61" s="119">
        <f>'2019'!R457</f>
        <v>35</v>
      </c>
      <c r="K61" s="119">
        <f>'2019'!U457</f>
        <v>574</v>
      </c>
      <c r="L61" s="119">
        <f>'2019'!V457</f>
        <v>4</v>
      </c>
      <c r="M61" s="119">
        <f>'2019'!Y457</f>
        <v>575</v>
      </c>
      <c r="N61" s="119">
        <f>'2019'!Z457</f>
        <v>1</v>
      </c>
      <c r="O61" s="119">
        <f>'2019'!AC457</f>
        <v>576</v>
      </c>
      <c r="P61" s="119">
        <f>'2019'!AD457</f>
        <v>1</v>
      </c>
      <c r="Q61" s="119">
        <f>'2019'!AG457</f>
        <v>597</v>
      </c>
      <c r="R61" s="119">
        <f>'2019'!AH457</f>
        <v>21</v>
      </c>
      <c r="S61" s="119">
        <f>'2019'!AK457</f>
        <v>628</v>
      </c>
      <c r="T61" s="119">
        <f>'2019'!AL457</f>
        <v>31</v>
      </c>
      <c r="U61" s="119">
        <f>'2019'!AO457</f>
        <v>675</v>
      </c>
      <c r="V61" s="119">
        <f>'2019'!AP457</f>
        <v>47</v>
      </c>
      <c r="W61" s="119">
        <f>'2019'!AS457</f>
        <v>753</v>
      </c>
      <c r="X61" s="119">
        <f>'2019'!AT457</f>
        <v>78</v>
      </c>
      <c r="Y61" s="119">
        <f>'2019'!AW457</f>
        <v>762</v>
      </c>
      <c r="Z61" s="119">
        <f>'2019'!AX457</f>
        <v>9</v>
      </c>
      <c r="AA61" s="119"/>
      <c r="AB61" s="119">
        <f>'2019'!BA457</f>
        <v>763</v>
      </c>
      <c r="AC61" s="119">
        <f>'2019'!BB457</f>
        <v>1</v>
      </c>
      <c r="AD61" s="119"/>
      <c r="AE61" s="119">
        <f>'2019'!BE457</f>
        <v>253</v>
      </c>
      <c r="AF61" s="119">
        <f t="shared" si="0"/>
      </c>
    </row>
    <row r="62" ht="15.75" customHeight="1" spans="1:32" x14ac:dyDescent="0.25">
      <c r="A62" s="14"/>
      <c r="B62" s="115">
        <v>61</v>
      </c>
      <c r="C62" s="115">
        <v>4.71</v>
      </c>
      <c r="D62" s="117" t="s">
        <v>231</v>
      </c>
      <c r="E62" s="119">
        <f>'2019'!I465</f>
        <v>222</v>
      </c>
      <c r="F62" s="119">
        <f>'2019'!J465</f>
        <v>0</v>
      </c>
      <c r="G62" s="119">
        <f>'2019'!M465</f>
        <v>222</v>
      </c>
      <c r="H62" s="119">
        <f>'2019'!N465</f>
        <v>0</v>
      </c>
      <c r="I62" s="119">
        <f>'2019'!Q465</f>
        <v>222</v>
      </c>
      <c r="J62" s="119">
        <f>'2019'!R465</f>
        <v>0</v>
      </c>
      <c r="K62" s="119">
        <f>'2019'!U465</f>
        <v>222</v>
      </c>
      <c r="L62" s="119">
        <f>'2019'!V465</f>
        <v>0</v>
      </c>
      <c r="M62" s="119">
        <f>'2019'!Y465</f>
        <v>240</v>
      </c>
      <c r="N62" s="119">
        <f>'2019'!Z465</f>
        <v>18</v>
      </c>
      <c r="O62" s="119">
        <f>'2019'!AC465</f>
        <v>255</v>
      </c>
      <c r="P62" s="119">
        <f>'2019'!AD465</f>
        <v>15</v>
      </c>
      <c r="Q62" s="119">
        <f>'2019'!AG465</f>
        <v>277</v>
      </c>
      <c r="R62" s="119">
        <f>'2019'!AH465</f>
        <v>22</v>
      </c>
      <c r="S62" s="119">
        <f>'2019'!AK465</f>
        <v>286</v>
      </c>
      <c r="T62" s="119">
        <f>'2019'!AL465</f>
        <v>9</v>
      </c>
      <c r="U62" s="119">
        <f>'2019'!AO465</f>
        <v>295</v>
      </c>
      <c r="V62" s="119">
        <f>'2019'!AP465</f>
        <v>9</v>
      </c>
      <c r="W62" s="119">
        <f>'2019'!AS465</f>
        <v>301</v>
      </c>
      <c r="X62" s="119">
        <f>'2019'!AT465</f>
        <v>6</v>
      </c>
      <c r="Y62" s="119">
        <f>'2019'!AW465</f>
        <v>303</v>
      </c>
      <c r="Z62" s="119">
        <f>'2019'!AX465</f>
        <v>2</v>
      </c>
      <c r="AA62" s="119"/>
      <c r="AB62" s="119">
        <f>'2019'!BA465</f>
        <v>303</v>
      </c>
      <c r="AC62" s="119">
        <f>'2019'!BB465</f>
        <v>0</v>
      </c>
      <c r="AD62" s="119"/>
      <c r="AE62" s="119">
        <f>'2019'!BE465</f>
        <v>81</v>
      </c>
      <c r="AF62" s="119">
        <f t="shared" si="0"/>
      </c>
    </row>
    <row r="63" ht="15.75" customHeight="1" spans="1:32" x14ac:dyDescent="0.25">
      <c r="A63" s="14"/>
      <c r="B63" s="115">
        <v>62</v>
      </c>
      <c r="C63" s="116">
        <v>4.6</v>
      </c>
      <c r="D63" s="117" t="s">
        <v>234</v>
      </c>
      <c r="E63" s="119">
        <f>'2019'!I473</f>
        <v>307</v>
      </c>
      <c r="F63" s="119">
        <f>'2019'!J473</f>
        <v>0</v>
      </c>
      <c r="G63" s="119">
        <f>'2019'!M473</f>
        <v>307</v>
      </c>
      <c r="H63" s="119">
        <f>'2019'!N473</f>
        <v>0</v>
      </c>
      <c r="I63" s="119">
        <f>'2019'!Q473</f>
        <v>307</v>
      </c>
      <c r="J63" s="119">
        <f>'2019'!R473</f>
        <v>0</v>
      </c>
      <c r="K63" s="119">
        <f>'2019'!U473</f>
        <v>307</v>
      </c>
      <c r="L63" s="119">
        <f>'2019'!V473</f>
        <v>0</v>
      </c>
      <c r="M63" s="119">
        <f>'2019'!Y473</f>
        <v>312</v>
      </c>
      <c r="N63" s="119">
        <f>'2019'!Z473</f>
        <v>5</v>
      </c>
      <c r="O63" s="119">
        <f>'2019'!AC473</f>
        <v>329</v>
      </c>
      <c r="P63" s="119">
        <f>'2019'!AD473</f>
        <v>17</v>
      </c>
      <c r="Q63" s="119">
        <f>'2019'!AG473</f>
        <v>364</v>
      </c>
      <c r="R63" s="119">
        <f>'2019'!AH473</f>
        <v>35</v>
      </c>
      <c r="S63" s="119">
        <f>'2019'!AK473</f>
        <v>396</v>
      </c>
      <c r="T63" s="119">
        <f>'2019'!AL473</f>
        <v>32</v>
      </c>
      <c r="U63" s="119">
        <f>'2019'!AO473</f>
        <v>417</v>
      </c>
      <c r="V63" s="119">
        <f>'2019'!AP473</f>
        <v>21</v>
      </c>
      <c r="W63" s="119">
        <f>'2019'!AS473</f>
        <v>418</v>
      </c>
      <c r="X63" s="119">
        <f>'2019'!AT473</f>
        <v>1</v>
      </c>
      <c r="Y63" s="119">
        <f>'2019'!AW473</f>
        <v>418</v>
      </c>
      <c r="Z63" s="119">
        <f>'2019'!AX473</f>
        <v>0</v>
      </c>
      <c r="AA63" s="119"/>
      <c r="AB63" s="119">
        <f>'2019'!BA473</f>
        <v>418</v>
      </c>
      <c r="AC63" s="119">
        <f>'2019'!BB473</f>
        <v>0</v>
      </c>
      <c r="AD63" s="119"/>
      <c r="AE63" s="119">
        <f>'2019'!BE473</f>
        <v>111</v>
      </c>
      <c r="AF63" s="119">
        <f t="shared" si="0"/>
      </c>
    </row>
    <row r="64" ht="15.75" customHeight="1" spans="1:32" x14ac:dyDescent="0.25">
      <c r="A64" s="14"/>
      <c r="B64" s="115" t="s">
        <v>237</v>
      </c>
      <c r="C64" s="115">
        <v>8.02</v>
      </c>
      <c r="D64" s="117" t="s">
        <v>238</v>
      </c>
      <c r="E64" s="119">
        <f>'2019'!I481</f>
        <v>23</v>
      </c>
      <c r="F64" s="119">
        <f>'2019'!J481</f>
        <v>0</v>
      </c>
      <c r="G64" s="119">
        <f>'2019'!M481</f>
        <v>23</v>
      </c>
      <c r="H64" s="119">
        <f>'2019'!N481</f>
        <v>0</v>
      </c>
      <c r="I64" s="119">
        <f>'2019'!Q481</f>
        <v>23</v>
      </c>
      <c r="J64" s="119">
        <f>'2019'!R481</f>
        <v>0</v>
      </c>
      <c r="K64" s="119">
        <f>'2019'!U481</f>
        <v>23</v>
      </c>
      <c r="L64" s="119">
        <f>'2019'!V481</f>
        <v>0</v>
      </c>
      <c r="M64" s="119">
        <f>'2019'!Y481</f>
        <v>25</v>
      </c>
      <c r="N64" s="119">
        <f>'2019'!Z481</f>
        <v>2</v>
      </c>
      <c r="O64" s="119">
        <f>'2019'!AC481</f>
        <v>27</v>
      </c>
      <c r="P64" s="119">
        <f>'2019'!AD481</f>
        <v>2</v>
      </c>
      <c r="Q64" s="119">
        <f>'2019'!AG481</f>
        <v>29</v>
      </c>
      <c r="R64" s="119">
        <f>'2019'!AH481</f>
        <v>2</v>
      </c>
      <c r="S64" s="119">
        <f>'2019'!AK481</f>
        <v>31</v>
      </c>
      <c r="T64" s="119">
        <f>'2019'!AL481</f>
        <v>2</v>
      </c>
      <c r="U64" s="119">
        <f>'2019'!AO481</f>
        <v>33</v>
      </c>
      <c r="V64" s="119">
        <f>'2019'!AP481</f>
        <v>2</v>
      </c>
      <c r="W64" s="119">
        <f>'2019'!AS481</f>
        <v>34</v>
      </c>
      <c r="X64" s="119">
        <f>'2019'!AT481</f>
        <v>1</v>
      </c>
      <c r="Y64" s="119">
        <f>'2019'!AW481</f>
        <v>34</v>
      </c>
      <c r="Z64" s="119">
        <f>'2019'!AX481</f>
        <v>0</v>
      </c>
      <c r="AA64" s="119"/>
      <c r="AB64" s="119">
        <f>'2019'!BA481</f>
        <v>34</v>
      </c>
      <c r="AC64" s="119">
        <f>'2019'!BB481</f>
        <v>0</v>
      </c>
      <c r="AD64" s="119"/>
      <c r="AE64" s="119">
        <f>'2019'!BE481</f>
        <v>11</v>
      </c>
      <c r="AF64" s="119">
        <f t="shared" si="0"/>
      </c>
    </row>
    <row r="65" ht="15.75" customHeight="1" spans="1:32" x14ac:dyDescent="0.25">
      <c r="A65" s="14"/>
      <c r="B65" s="115">
        <v>64</v>
      </c>
      <c r="C65" s="115">
        <v>4.24</v>
      </c>
      <c r="D65" s="117" t="s">
        <v>241</v>
      </c>
      <c r="E65" s="119">
        <f>'2019'!I489</f>
        <v>239</v>
      </c>
      <c r="F65" s="119">
        <f>'2019'!J489</f>
        <v>0</v>
      </c>
      <c r="G65" s="119">
        <f>'2019'!M489</f>
        <v>239</v>
      </c>
      <c r="H65" s="119">
        <f>'2019'!N489</f>
        <v>0</v>
      </c>
      <c r="I65" s="119">
        <f>'2019'!Q489</f>
        <v>239</v>
      </c>
      <c r="J65" s="119">
        <f>'2019'!R489</f>
        <v>0</v>
      </c>
      <c r="K65" s="119">
        <f>'2019'!U489</f>
        <v>239</v>
      </c>
      <c r="L65" s="119">
        <f>'2019'!V489</f>
        <v>0</v>
      </c>
      <c r="M65" s="119">
        <f>'2019'!Y489</f>
        <v>249</v>
      </c>
      <c r="N65" s="119">
        <f>'2019'!Z489</f>
        <v>10</v>
      </c>
      <c r="O65" s="119">
        <f>'2019'!AC489</f>
        <v>264</v>
      </c>
      <c r="P65" s="119">
        <f>'2019'!AD489</f>
        <v>15</v>
      </c>
      <c r="Q65" s="119">
        <f>'2019'!AG489</f>
        <v>291</v>
      </c>
      <c r="R65" s="119">
        <f>'2019'!AH489</f>
        <v>27</v>
      </c>
      <c r="S65" s="119">
        <f>'2019'!AK489</f>
        <v>317</v>
      </c>
      <c r="T65" s="119">
        <f>'2019'!AL489</f>
        <v>26</v>
      </c>
      <c r="U65" s="119">
        <f>'2019'!AO489</f>
        <v>328</v>
      </c>
      <c r="V65" s="119">
        <f>'2019'!AP489</f>
        <v>11</v>
      </c>
      <c r="W65" s="119">
        <f>'2019'!AS489</f>
        <v>328</v>
      </c>
      <c r="X65" s="119">
        <f>'2019'!AT489</f>
        <v>0</v>
      </c>
      <c r="Y65" s="119">
        <f>'2019'!AW489</f>
        <v>328</v>
      </c>
      <c r="Z65" s="119">
        <f>'2019'!AX489</f>
        <v>0</v>
      </c>
      <c r="AA65" s="119"/>
      <c r="AB65" s="119">
        <f>'2019'!BA489</f>
        <v>328</v>
      </c>
      <c r="AC65" s="119">
        <f>'2019'!BB489</f>
        <v>0</v>
      </c>
      <c r="AD65" s="119"/>
      <c r="AE65" s="119">
        <f>'2019'!BE489</f>
        <v>89</v>
      </c>
      <c r="AF65" s="119">
        <f t="shared" si="0"/>
      </c>
    </row>
    <row r="66" ht="15.75" customHeight="1" spans="1:32" x14ac:dyDescent="0.25">
      <c r="A66" s="14"/>
      <c r="B66" s="115">
        <v>66</v>
      </c>
      <c r="C66" s="115">
        <v>4.66</v>
      </c>
      <c r="D66" s="117" t="s">
        <v>244</v>
      </c>
      <c r="E66" s="119">
        <f>'2019'!I497</f>
        <v>1</v>
      </c>
      <c r="F66" s="119">
        <f>'2019'!J497</f>
        <v>0</v>
      </c>
      <c r="G66" s="119">
        <f>'2019'!M497</f>
        <v>1</v>
      </c>
      <c r="H66" s="119">
        <f>'2019'!N497</f>
        <v>0</v>
      </c>
      <c r="I66" s="119">
        <f>'2019'!Q497</f>
        <v>1</v>
      </c>
      <c r="J66" s="119">
        <f>'2019'!R497</f>
        <v>0</v>
      </c>
      <c r="K66" s="119">
        <f>'2019'!U497</f>
        <v>1</v>
      </c>
      <c r="L66" s="119">
        <f>'2019'!V497</f>
        <v>0</v>
      </c>
      <c r="M66" s="119">
        <f>'2019'!Y497</f>
        <v>1</v>
      </c>
      <c r="N66" s="119">
        <f>'2019'!Z497</f>
        <v>0</v>
      </c>
      <c r="O66" s="119">
        <f>'2019'!AC497</f>
        <v>1</v>
      </c>
      <c r="P66" s="119">
        <f>'2019'!AD497</f>
        <v>0</v>
      </c>
      <c r="Q66" s="119">
        <f>'2019'!AG497</f>
        <v>1</v>
      </c>
      <c r="R66" s="119">
        <f>'2019'!AH497</f>
        <v>0</v>
      </c>
      <c r="S66" s="119">
        <f>'2019'!AK497</f>
        <v>1</v>
      </c>
      <c r="T66" s="119">
        <f>'2019'!AL497</f>
        <v>0</v>
      </c>
      <c r="U66" s="119">
        <f>'2019'!AO497</f>
        <v>1</v>
      </c>
      <c r="V66" s="119">
        <f>'2019'!AP497</f>
        <v>0</v>
      </c>
      <c r="W66" s="119">
        <f>'2019'!AS497</f>
        <v>1</v>
      </c>
      <c r="X66" s="119">
        <f>'2019'!AT497</f>
        <v>0</v>
      </c>
      <c r="Y66" s="119">
        <f>'2019'!AW497</f>
        <v>1</v>
      </c>
      <c r="Z66" s="119">
        <f>'2019'!AX497</f>
        <v>0</v>
      </c>
      <c r="AA66" s="119"/>
      <c r="AB66" s="119">
        <f>'2019'!BA497</f>
        <v>1</v>
      </c>
      <c r="AC66" s="119">
        <f>'2019'!BB497</f>
        <v>0</v>
      </c>
      <c r="AD66" s="119"/>
      <c r="AE66" s="119">
        <f>'2019'!BE497</f>
        <v>0</v>
      </c>
      <c r="AF66" s="119">
        <f t="shared" si="0"/>
      </c>
    </row>
    <row r="67" ht="15.75" customHeight="1" spans="1:32" x14ac:dyDescent="0.25">
      <c r="A67" s="14"/>
      <c r="B67" s="115">
        <v>67</v>
      </c>
      <c r="C67" s="115">
        <v>6.08</v>
      </c>
      <c r="D67" s="117" t="s">
        <v>245</v>
      </c>
      <c r="E67" s="119">
        <f>'2019'!I505</f>
        <v>1425</v>
      </c>
      <c r="F67" s="119">
        <f>'2019'!J505</f>
        <v>0</v>
      </c>
      <c r="G67" s="119">
        <f>'2019'!M505</f>
        <v>1425</v>
      </c>
      <c r="H67" s="119">
        <f>'2019'!N505</f>
        <v>0</v>
      </c>
      <c r="I67" s="119">
        <f>'2019'!Q505</f>
        <v>1425</v>
      </c>
      <c r="J67" s="119">
        <f>'2019'!R505</f>
        <v>0</v>
      </c>
      <c r="K67" s="119">
        <f>'2019'!U505</f>
        <v>1455</v>
      </c>
      <c r="L67" s="119">
        <f>'2019'!V505</f>
        <v>30</v>
      </c>
      <c r="M67" s="119">
        <f>'2019'!Y505</f>
        <v>1476</v>
      </c>
      <c r="N67" s="119">
        <f>'2019'!Z505</f>
        <v>21</v>
      </c>
      <c r="O67" s="119">
        <f>'2019'!AC505</f>
        <v>1564</v>
      </c>
      <c r="P67" s="119">
        <f>'2019'!AD505</f>
        <v>88</v>
      </c>
      <c r="Q67" s="119">
        <f>'2019'!AG505</f>
        <v>1696</v>
      </c>
      <c r="R67" s="119">
        <f>'2019'!AH505</f>
        <v>132</v>
      </c>
      <c r="S67" s="119">
        <f>'2019'!AK505</f>
        <v>1774</v>
      </c>
      <c r="T67" s="119">
        <f>'2019'!AL505</f>
        <v>78</v>
      </c>
      <c r="U67" s="119">
        <f>'2019'!AO505</f>
        <v>1851</v>
      </c>
      <c r="V67" s="119">
        <f>'2019'!AP505</f>
        <v>77</v>
      </c>
      <c r="W67" s="119">
        <f>'2019'!AS505</f>
        <v>1884</v>
      </c>
      <c r="X67" s="119">
        <f>'2019'!AT505</f>
        <v>33</v>
      </c>
      <c r="Y67" s="119">
        <f>'2019'!AW505</f>
        <v>1887</v>
      </c>
      <c r="Z67" s="119">
        <f>'2019'!AX505</f>
        <v>3</v>
      </c>
      <c r="AA67" s="119"/>
      <c r="AB67" s="119">
        <f>'2019'!BA505</f>
        <v>1887</v>
      </c>
      <c r="AC67" s="119">
        <f>'2019'!BB505</f>
        <v>0</v>
      </c>
      <c r="AD67" s="119"/>
      <c r="AE67" s="119">
        <f>'2019'!BE505</f>
        <v>462</v>
      </c>
      <c r="AF67" s="119">
        <f t="shared" si="0"/>
      </c>
    </row>
    <row r="68" ht="15.75" customHeight="1" spans="1:32" x14ac:dyDescent="0.25">
      <c r="A68" s="14"/>
      <c r="B68" s="115" t="s">
        <v>248</v>
      </c>
      <c r="C68" s="115">
        <v>8.03</v>
      </c>
      <c r="D68" s="117" t="s">
        <v>249</v>
      </c>
      <c r="E68" s="119">
        <f>'2019'!I513</f>
        <v>1247</v>
      </c>
      <c r="F68" s="119">
        <f>'2019'!J513</f>
        <v>0</v>
      </c>
      <c r="G68" s="119">
        <f>'2019'!M513</f>
        <v>1247</v>
      </c>
      <c r="H68" s="119">
        <f>'2019'!N513</f>
        <v>0</v>
      </c>
      <c r="I68" s="119">
        <f>'2019'!Q513</f>
        <v>1247</v>
      </c>
      <c r="J68" s="119">
        <f>'2019'!R513</f>
        <v>0</v>
      </c>
      <c r="K68" s="119">
        <f>'2019'!U513</f>
        <v>1247</v>
      </c>
      <c r="L68" s="119">
        <f>'2019'!V513</f>
        <v>0</v>
      </c>
      <c r="M68" s="119">
        <f>'2019'!Y513</f>
        <v>1264</v>
      </c>
      <c r="N68" s="119">
        <f>'2019'!Z513</f>
        <v>17</v>
      </c>
      <c r="O68" s="119">
        <f>'2019'!AC513</f>
        <v>1281</v>
      </c>
      <c r="P68" s="119">
        <f>'2019'!AD513</f>
        <v>17</v>
      </c>
      <c r="Q68" s="119">
        <f>'2019'!AG513</f>
        <v>1308</v>
      </c>
      <c r="R68" s="119">
        <f>'2019'!AH513</f>
        <v>27</v>
      </c>
      <c r="S68" s="119">
        <f>'2019'!AK513</f>
        <v>1358</v>
      </c>
      <c r="T68" s="119">
        <f>'2019'!AL513</f>
        <v>50</v>
      </c>
      <c r="U68" s="119">
        <f>'2019'!AO513</f>
        <v>1695</v>
      </c>
      <c r="V68" s="119">
        <f>'2019'!AP513</f>
        <v>337</v>
      </c>
      <c r="W68" s="119">
        <f>'2019'!AS513</f>
        <v>1702</v>
      </c>
      <c r="X68" s="119">
        <f>'2019'!AT513</f>
        <v>7</v>
      </c>
      <c r="Y68" s="119">
        <f>'2019'!AW513</f>
        <v>1702</v>
      </c>
      <c r="Z68" s="119">
        <f>'2019'!AX513</f>
        <v>0</v>
      </c>
      <c r="AA68" s="119"/>
      <c r="AB68" s="119">
        <f>'2019'!BA513</f>
        <v>1702</v>
      </c>
      <c r="AC68" s="119">
        <f>'2019'!BB513</f>
        <v>0</v>
      </c>
      <c r="AD68" s="119"/>
      <c r="AE68" s="119">
        <f>'2019'!BE513</f>
        <v>455</v>
      </c>
      <c r="AF68" s="119">
        <f t="shared" si="0"/>
      </c>
    </row>
    <row r="69" ht="15.75" customHeight="1" spans="1:32" x14ac:dyDescent="0.25">
      <c r="A69" s="14"/>
      <c r="B69" s="115">
        <v>69</v>
      </c>
      <c r="C69" s="115">
        <v>4.03</v>
      </c>
      <c r="D69" s="117" t="s">
        <v>253</v>
      </c>
      <c r="E69" s="119">
        <f>'2019'!I521</f>
        <v>16373</v>
      </c>
      <c r="F69" s="119">
        <f>'2019'!J521</f>
        <v>583</v>
      </c>
      <c r="G69" s="119">
        <f>'2019'!M521</f>
        <v>17053</v>
      </c>
      <c r="H69" s="119">
        <f>'2019'!N521</f>
        <v>680</v>
      </c>
      <c r="I69" s="119">
        <f>'2019'!Q521</f>
        <v>17463</v>
      </c>
      <c r="J69" s="119">
        <f>'2019'!R521</f>
        <v>410</v>
      </c>
      <c r="K69" s="119">
        <f>'2019'!U521</f>
        <v>18362</v>
      </c>
      <c r="L69" s="119">
        <f>'2019'!V521</f>
        <v>899</v>
      </c>
      <c r="M69" s="119">
        <f>'2019'!Y521</f>
        <v>18969</v>
      </c>
      <c r="N69" s="119">
        <f>'2019'!Z521</f>
        <v>607</v>
      </c>
      <c r="O69" s="119">
        <f>'2019'!AC521</f>
        <v>19275</v>
      </c>
      <c r="P69" s="119">
        <f>'2019'!AD521</f>
        <v>306</v>
      </c>
      <c r="Q69" s="119">
        <f>'2019'!AG521</f>
        <v>19564</v>
      </c>
      <c r="R69" s="119">
        <f>'2019'!AH521</f>
        <v>289</v>
      </c>
      <c r="S69" s="119">
        <f>'2019'!AK521</f>
        <v>19811</v>
      </c>
      <c r="T69" s="119">
        <f>'2019'!AL521</f>
        <v>247</v>
      </c>
      <c r="U69" s="119">
        <f>'2019'!AO521</f>
        <v>20141</v>
      </c>
      <c r="V69" s="119">
        <f>'2019'!AP521</f>
        <v>330</v>
      </c>
      <c r="W69" s="119">
        <f>'2019'!AS521</f>
        <v>20532</v>
      </c>
      <c r="X69" s="119">
        <f>'2019'!AT521</f>
        <v>391</v>
      </c>
      <c r="Y69" s="119">
        <f>'2019'!AW521</f>
        <v>20942</v>
      </c>
      <c r="Z69" s="119">
        <f>'2019'!AX521</f>
        <v>410</v>
      </c>
      <c r="AA69" s="119"/>
      <c r="AB69" s="119">
        <f>'2019'!BA521</f>
        <v>21465</v>
      </c>
      <c r="AC69" s="119">
        <f>'2019'!BB521</f>
        <v>523</v>
      </c>
      <c r="AD69" s="119"/>
      <c r="AE69" s="119">
        <f>'2019'!BE521</f>
        <v>5675</v>
      </c>
      <c r="AF69" s="119">
        <f t="shared" si="0"/>
      </c>
    </row>
    <row r="70" ht="15.75" customHeight="1" spans="1:32" x14ac:dyDescent="0.25">
      <c r="A70" s="14"/>
      <c r="B70" s="115">
        <v>71</v>
      </c>
      <c r="C70" s="115">
        <v>5.98</v>
      </c>
      <c r="D70" s="117" t="s">
        <v>255</v>
      </c>
      <c r="E70" s="119">
        <f>'2019'!I529</f>
        <v>85</v>
      </c>
      <c r="F70" s="119">
        <f>'2019'!J529</f>
        <v>0</v>
      </c>
      <c r="G70" s="119">
        <f>'2019'!M529</f>
        <v>85</v>
      </c>
      <c r="H70" s="119">
        <f>'2019'!N529</f>
        <v>0</v>
      </c>
      <c r="I70" s="119">
        <f>'2019'!Q529</f>
        <v>85</v>
      </c>
      <c r="J70" s="119">
        <f>'2019'!R529</f>
        <v>0</v>
      </c>
      <c r="K70" s="119">
        <f>'2019'!U529</f>
        <v>86</v>
      </c>
      <c r="L70" s="119">
        <f>'2019'!V529</f>
        <v>1</v>
      </c>
      <c r="M70" s="119">
        <f>'2019'!Y529</f>
        <v>94</v>
      </c>
      <c r="N70" s="119">
        <f>'2019'!Z529</f>
        <v>8</v>
      </c>
      <c r="O70" s="119">
        <f>'2019'!AC529</f>
        <v>98</v>
      </c>
      <c r="P70" s="119">
        <f>'2019'!AD529</f>
        <v>4</v>
      </c>
      <c r="Q70" s="119">
        <f>'2019'!AG529</f>
        <v>102</v>
      </c>
      <c r="R70" s="119">
        <f>'2019'!AH529</f>
        <v>4</v>
      </c>
      <c r="S70" s="119">
        <f>'2019'!AK529</f>
        <v>105</v>
      </c>
      <c r="T70" s="119">
        <f>'2019'!AL529</f>
        <v>3</v>
      </c>
      <c r="U70" s="119">
        <f>'2019'!AO529</f>
        <v>109</v>
      </c>
      <c r="V70" s="119">
        <f>'2019'!AP529</f>
        <v>4</v>
      </c>
      <c r="W70" s="119">
        <f>'2019'!AS529</f>
        <v>115</v>
      </c>
      <c r="X70" s="119">
        <f>'2019'!AT529</f>
        <v>6</v>
      </c>
      <c r="Y70" s="119">
        <f>'2019'!AW529</f>
        <v>115</v>
      </c>
      <c r="Z70" s="119">
        <f>'2019'!AX529</f>
        <v>0</v>
      </c>
      <c r="AA70" s="119"/>
      <c r="AB70" s="119">
        <f>'2019'!BA529</f>
        <v>115</v>
      </c>
      <c r="AC70" s="119">
        <f>'2019'!BB529</f>
        <v>0</v>
      </c>
      <c r="AD70" s="119"/>
      <c r="AE70" s="119">
        <f>'2019'!BE529</f>
        <v>30</v>
      </c>
      <c r="AF70" s="119">
        <f t="shared" si="0"/>
      </c>
    </row>
    <row r="71" ht="15.75" customHeight="1" spans="1:32" x14ac:dyDescent="0.25">
      <c r="A71" s="14"/>
      <c r="B71" s="115">
        <v>72</v>
      </c>
      <c r="C71" s="115">
        <v>4.03</v>
      </c>
      <c r="D71" s="117" t="s">
        <v>257</v>
      </c>
      <c r="E71" s="119">
        <f>'2019'!I537</f>
        <v>2</v>
      </c>
      <c r="F71" s="119">
        <f>'2019'!J537</f>
        <v>0</v>
      </c>
      <c r="G71" s="119">
        <f>'2019'!M537</f>
        <v>2</v>
      </c>
      <c r="H71" s="119">
        <f>'2019'!N537</f>
        <v>0</v>
      </c>
      <c r="I71" s="119">
        <f>'2019'!Q537</f>
        <v>2</v>
      </c>
      <c r="J71" s="119">
        <f>'2019'!R537</f>
        <v>0</v>
      </c>
      <c r="K71" s="119">
        <f>'2019'!U537</f>
        <v>2</v>
      </c>
      <c r="L71" s="119">
        <f>'2019'!V537</f>
        <v>0</v>
      </c>
      <c r="M71" s="119">
        <f>'2019'!Y537</f>
        <v>5</v>
      </c>
      <c r="N71" s="119">
        <f>'2019'!Z537</f>
        <v>3</v>
      </c>
      <c r="O71" s="119">
        <f>'2019'!AC537</f>
        <v>38</v>
      </c>
      <c r="P71" s="119">
        <f>'2019'!AD537</f>
        <v>33</v>
      </c>
      <c r="Q71" s="119">
        <f>'2019'!AG537</f>
        <v>74</v>
      </c>
      <c r="R71" s="119">
        <f>'2019'!AH537</f>
        <v>36</v>
      </c>
      <c r="S71" s="119">
        <f>'2019'!AK537</f>
        <v>110</v>
      </c>
      <c r="T71" s="119">
        <f>'2019'!AL537</f>
        <v>36</v>
      </c>
      <c r="U71" s="119">
        <f>'2019'!AO537</f>
        <v>131</v>
      </c>
      <c r="V71" s="119">
        <f>'2019'!AP537</f>
        <v>21</v>
      </c>
      <c r="W71" s="119">
        <f>'2019'!AS537</f>
        <v>131</v>
      </c>
      <c r="X71" s="119">
        <f>'2019'!AT537</f>
        <v>0</v>
      </c>
      <c r="Y71" s="119">
        <f>'2019'!AW537</f>
        <v>131</v>
      </c>
      <c r="Z71" s="119">
        <f>'2019'!AX537</f>
        <v>0</v>
      </c>
      <c r="AA71" s="119"/>
      <c r="AB71" s="119">
        <f>'2019'!BA537</f>
        <v>131</v>
      </c>
      <c r="AC71" s="119">
        <f>'2019'!BB537</f>
        <v>0</v>
      </c>
      <c r="AD71" s="119"/>
      <c r="AE71" s="119">
        <f>'2019'!BE537</f>
        <v>129</v>
      </c>
      <c r="AF71" s="119">
        <f t="shared" si="0"/>
      </c>
    </row>
    <row r="72" ht="15.75" customHeight="1" spans="1:32" x14ac:dyDescent="0.25">
      <c r="A72" s="14"/>
      <c r="B72" s="115">
        <v>73</v>
      </c>
      <c r="C72" s="115">
        <v>4.02</v>
      </c>
      <c r="D72" s="117" t="s">
        <v>259</v>
      </c>
      <c r="E72" s="119">
        <f>'2019'!I545</f>
      </c>
      <c r="F72" s="119">
        <f>'2019'!J545</f>
      </c>
      <c r="G72" s="119">
        <f>'2019'!M545</f>
      </c>
      <c r="H72" s="119">
        <f>'2019'!N545</f>
        <v>0</v>
      </c>
      <c r="I72" s="119">
        <f>'2019'!Q545</f>
      </c>
      <c r="J72" s="119">
        <f>'2019'!R545</f>
        <v>0</v>
      </c>
      <c r="K72" s="119">
        <f>'2019'!U545</f>
      </c>
      <c r="L72" s="119">
        <f>'2019'!V545</f>
        <v>0</v>
      </c>
      <c r="M72" s="119">
        <f>'2019'!Y545</f>
      </c>
      <c r="N72" s="119">
        <f>'2019'!Z545</f>
        <v>0</v>
      </c>
      <c r="O72" s="119">
        <f>'2019'!AC545</f>
      </c>
      <c r="P72" s="119">
        <f>'2019'!AD545</f>
        <v>0</v>
      </c>
      <c r="Q72" s="119">
        <f>'2019'!AG545</f>
      </c>
      <c r="R72" s="119">
        <f>'2019'!AH545</f>
        <v>0</v>
      </c>
      <c r="S72" s="119">
        <f>'2019'!AK545</f>
      </c>
      <c r="T72" s="119">
        <f>'2019'!AL545</f>
        <v>0</v>
      </c>
      <c r="U72" s="119">
        <f>'2019'!AO545</f>
      </c>
      <c r="V72" s="119">
        <f>'2019'!AP545</f>
        <v>0</v>
      </c>
      <c r="W72" s="119">
        <f>'2019'!AS545</f>
      </c>
      <c r="X72" s="119">
        <f>'2019'!AT545</f>
        <v>0</v>
      </c>
      <c r="Y72" s="119">
        <f>'2019'!AW545</f>
      </c>
      <c r="Z72" s="119">
        <f>'2019'!AX545</f>
        <v>0</v>
      </c>
      <c r="AA72" s="119"/>
      <c r="AB72" s="119">
        <f>'2019'!BA545</f>
      </c>
      <c r="AC72" s="119">
        <f>'2019'!BB545</f>
        <v>0</v>
      </c>
      <c r="AD72" s="119"/>
      <c r="AE72" s="119">
        <f>'2019'!BE545</f>
        <v>0</v>
      </c>
      <c r="AF72" s="119">
        <f t="shared" si="0"/>
      </c>
    </row>
    <row r="73" ht="15.75" customHeight="1" spans="1:32" x14ac:dyDescent="0.25">
      <c r="A73" s="21"/>
      <c r="B73" s="115">
        <v>74</v>
      </c>
      <c r="C73" s="115">
        <v>4.97</v>
      </c>
      <c r="D73" s="117" t="s">
        <v>262</v>
      </c>
      <c r="E73" s="119">
        <f>'2019'!I553</f>
      </c>
      <c r="F73" s="119">
        <f>'2019'!J553</f>
      </c>
      <c r="G73" s="119">
        <f>'2019'!M553</f>
      </c>
      <c r="H73" s="119">
        <f>'2019'!N553</f>
        <v>0</v>
      </c>
      <c r="I73" s="119">
        <f>'2019'!Q553</f>
      </c>
      <c r="J73" s="119">
        <f>'2019'!R553</f>
        <v>0</v>
      </c>
      <c r="K73" s="119">
        <f>'2019'!U553</f>
      </c>
      <c r="L73" s="119">
        <f>'2019'!V553</f>
        <v>0</v>
      </c>
      <c r="M73" s="119">
        <f>'2019'!Y553</f>
      </c>
      <c r="N73" s="119">
        <f>'2019'!Z553</f>
        <v>0</v>
      </c>
      <c r="O73" s="119">
        <f>'2019'!AC553</f>
      </c>
      <c r="P73" s="119">
        <f>'2019'!AD553</f>
        <v>0</v>
      </c>
      <c r="Q73" s="119">
        <f>'2019'!AG553</f>
      </c>
      <c r="R73" s="119">
        <f>'2019'!AH553</f>
        <v>0</v>
      </c>
      <c r="S73" s="119">
        <f>'2019'!AK553</f>
      </c>
      <c r="T73" s="119">
        <f>'2019'!AL553</f>
        <v>0</v>
      </c>
      <c r="U73" s="119">
        <f>'2019'!AO553</f>
      </c>
      <c r="V73" s="119">
        <f>'2019'!AP553</f>
        <v>0</v>
      </c>
      <c r="W73" s="119">
        <f>'2019'!AS553</f>
      </c>
      <c r="X73" s="119">
        <f>'2019'!AT553</f>
        <v>0</v>
      </c>
      <c r="Y73" s="119">
        <f>'2019'!AW553</f>
      </c>
      <c r="Z73" s="119">
        <f>'2019'!AX553</f>
        <v>0</v>
      </c>
      <c r="AA73" s="119"/>
      <c r="AB73" s="119">
        <f>'2019'!BA553</f>
      </c>
      <c r="AC73" s="119">
        <f>'2019'!BB553</f>
        <v>0</v>
      </c>
      <c r="AD73" s="119"/>
      <c r="AE73" s="119">
        <f>'2019'!BE553</f>
        <v>0</v>
      </c>
      <c r="AF73" s="119">
        <f t="shared" si="0"/>
      </c>
    </row>
    <row r="74" ht="15.75" customHeight="1" spans="1:32" x14ac:dyDescent="0.25">
      <c r="A74" s="114" t="s">
        <v>264</v>
      </c>
      <c r="B74" s="115">
        <v>75</v>
      </c>
      <c r="C74" s="115">
        <v>4.15</v>
      </c>
      <c r="D74" s="117" t="s">
        <v>265</v>
      </c>
      <c r="E74" s="119">
        <f>'2019'!I561</f>
      </c>
      <c r="F74" s="119">
        <f>'2019'!J561</f>
      </c>
      <c r="G74" s="119">
        <f>'2019'!M561</f>
      </c>
      <c r="H74" s="119">
        <f>'2019'!N561</f>
        <v>0</v>
      </c>
      <c r="I74" s="119">
        <f>'2019'!Q561</f>
      </c>
      <c r="J74" s="119">
        <f>'2019'!R561</f>
        <v>0</v>
      </c>
      <c r="K74" s="119">
        <f>'2019'!U561</f>
      </c>
      <c r="L74" s="119">
        <f>'2019'!V561</f>
        <v>0</v>
      </c>
      <c r="M74" s="119">
        <f>'2019'!Y561</f>
      </c>
      <c r="N74" s="119">
        <f>'2019'!Z561</f>
        <v>0</v>
      </c>
      <c r="O74" s="119">
        <f>'2019'!AC561</f>
      </c>
      <c r="P74" s="119">
        <f>'2019'!AD561</f>
        <v>0</v>
      </c>
      <c r="Q74" s="119">
        <f>'2019'!AG561</f>
      </c>
      <c r="R74" s="119">
        <f>'2019'!AH561</f>
        <v>0</v>
      </c>
      <c r="S74" s="119">
        <f>'2019'!AK561</f>
      </c>
      <c r="T74" s="119">
        <f>'2019'!AL561</f>
        <v>0</v>
      </c>
      <c r="U74" s="119">
        <f>'2019'!AO561</f>
      </c>
      <c r="V74" s="119">
        <f>'2019'!AP561</f>
        <v>0</v>
      </c>
      <c r="W74" s="119">
        <f>'2019'!AS561</f>
      </c>
      <c r="X74" s="119">
        <f>'2019'!AT561</f>
        <v>0</v>
      </c>
      <c r="Y74" s="119">
        <f>'2019'!AW561</f>
      </c>
      <c r="Z74" s="119">
        <f>'2019'!AX561</f>
        <v>0</v>
      </c>
      <c r="AA74" s="119"/>
      <c r="AB74" s="119">
        <f>'2019'!BA561</f>
      </c>
      <c r="AC74" s="119">
        <f>'2019'!BB561</f>
        <v>0</v>
      </c>
      <c r="AD74" s="119"/>
      <c r="AE74" s="119">
        <f>'2019'!BE561</f>
        <v>0</v>
      </c>
      <c r="AF74" s="119">
        <f t="shared" si="0"/>
      </c>
    </row>
    <row r="75" ht="15.75" customHeight="1" spans="1:32" x14ac:dyDescent="0.25">
      <c r="A75" s="14"/>
      <c r="B75" s="115">
        <v>76</v>
      </c>
      <c r="C75" s="115">
        <v>4.15</v>
      </c>
      <c r="D75" s="117" t="s">
        <v>267</v>
      </c>
      <c r="E75" s="119">
        <f>'2019'!I569</f>
      </c>
      <c r="F75" s="119">
        <f>'2019'!J569</f>
      </c>
      <c r="G75" s="119">
        <f>'2019'!M569</f>
      </c>
      <c r="H75" s="119">
        <f>'2019'!N569</f>
        <v>0</v>
      </c>
      <c r="I75" s="119">
        <f>'2019'!Q569</f>
      </c>
      <c r="J75" s="119">
        <f>'2019'!R569</f>
        <v>0</v>
      </c>
      <c r="K75" s="119">
        <f>'2019'!U569</f>
      </c>
      <c r="L75" s="119">
        <f>'2019'!V569</f>
        <v>0</v>
      </c>
      <c r="M75" s="119">
        <f>'2019'!Y569</f>
      </c>
      <c r="N75" s="119">
        <f>'2019'!Z569</f>
        <v>0</v>
      </c>
      <c r="O75" s="119">
        <f>'2019'!AC569</f>
      </c>
      <c r="P75" s="119">
        <f>'2019'!AD569</f>
        <v>0</v>
      </c>
      <c r="Q75" s="119">
        <f>'2019'!AG569</f>
      </c>
      <c r="R75" s="119">
        <f>'2019'!AH569</f>
        <v>0</v>
      </c>
      <c r="S75" s="119">
        <f>'2019'!AK569</f>
      </c>
      <c r="T75" s="119">
        <f>'2019'!AL569</f>
        <v>0</v>
      </c>
      <c r="U75" s="119">
        <f>'2019'!AO569</f>
      </c>
      <c r="V75" s="119">
        <f>'2019'!AP569</f>
        <v>0</v>
      </c>
      <c r="W75" s="119">
        <f>'2019'!AS569</f>
      </c>
      <c r="X75" s="119">
        <f>'2019'!AT569</f>
        <v>0</v>
      </c>
      <c r="Y75" s="119">
        <f>'2019'!AW569</f>
      </c>
      <c r="Z75" s="119">
        <f>'2019'!AX569</f>
        <v>0</v>
      </c>
      <c r="AA75" s="119"/>
      <c r="AB75" s="119">
        <f>'2019'!BA569</f>
      </c>
      <c r="AC75" s="119">
        <f>'2019'!BB569</f>
        <v>0</v>
      </c>
      <c r="AD75" s="119"/>
      <c r="AE75" s="119">
        <f>'2019'!BE569</f>
        <v>0</v>
      </c>
      <c r="AF75" s="119">
        <f t="shared" si="0"/>
      </c>
    </row>
    <row r="76" ht="15.75" customHeight="1" spans="1:32" x14ac:dyDescent="0.25">
      <c r="A76" s="14"/>
      <c r="B76" s="115">
        <v>77</v>
      </c>
      <c r="C76" s="115">
        <v>4.12</v>
      </c>
      <c r="D76" s="117" t="s">
        <v>268</v>
      </c>
      <c r="E76" s="119">
        <f>'2019'!I577</f>
        <v>922</v>
      </c>
      <c r="F76" s="119">
        <f>'2019'!J577</f>
        <v>0</v>
      </c>
      <c r="G76" s="119">
        <f>'2019'!M577</f>
        <v>922</v>
      </c>
      <c r="H76" s="119">
        <f>'2019'!N577</f>
        <v>0</v>
      </c>
      <c r="I76" s="119">
        <f>'2019'!Q577</f>
        <v>922</v>
      </c>
      <c r="J76" s="119">
        <f>'2019'!R577</f>
        <v>0</v>
      </c>
      <c r="K76" s="119">
        <f>'2019'!U577</f>
        <v>925</v>
      </c>
      <c r="L76" s="119">
        <f>'2019'!V577</f>
        <v>3</v>
      </c>
      <c r="M76" s="119">
        <f>'2019'!Y577</f>
        <v>1026</v>
      </c>
      <c r="N76" s="119">
        <f>'2019'!Z577</f>
        <v>101</v>
      </c>
      <c r="O76" s="119">
        <f>'2019'!AC577</f>
        <v>1162</v>
      </c>
      <c r="P76" s="119">
        <f>'2019'!AD577</f>
        <v>136</v>
      </c>
      <c r="Q76" s="119">
        <f>'2019'!AG577</f>
        <v>1286</v>
      </c>
      <c r="R76" s="119">
        <f>'2019'!AH577</f>
        <v>124</v>
      </c>
      <c r="S76" s="119">
        <f>'2019'!AK577</f>
        <v>1403</v>
      </c>
      <c r="T76" s="119">
        <f>'2019'!AL577</f>
        <v>117</v>
      </c>
      <c r="U76" s="119">
        <f>'2019'!AO577</f>
        <v>1477</v>
      </c>
      <c r="V76" s="119">
        <f>'2019'!AP577</f>
        <v>74</v>
      </c>
      <c r="W76" s="119">
        <f>'2019'!AS577</f>
        <v>1477</v>
      </c>
      <c r="X76" s="119">
        <f>'2019'!AT577</f>
        <v>0</v>
      </c>
      <c r="Y76" s="119">
        <f>'2019'!AW577</f>
        <v>1477</v>
      </c>
      <c r="Z76" s="119">
        <f>'2019'!AX577</f>
        <v>0</v>
      </c>
      <c r="AA76" s="119"/>
      <c r="AB76" s="119">
        <f>'2019'!BA577</f>
        <v>1477</v>
      </c>
      <c r="AC76" s="119">
        <f>'2019'!BB577</f>
        <v>0</v>
      </c>
      <c r="AD76" s="119"/>
      <c r="AE76" s="119">
        <f>'2019'!BE577</f>
        <v>555</v>
      </c>
      <c r="AF76" s="119">
        <f t="shared" si="0"/>
      </c>
    </row>
    <row r="77" ht="15.75" customHeight="1" spans="1:32" x14ac:dyDescent="0.25">
      <c r="A77" s="14"/>
      <c r="B77" s="115">
        <v>78</v>
      </c>
      <c r="C77" s="115">
        <v>4.03</v>
      </c>
      <c r="D77" s="117" t="s">
        <v>271</v>
      </c>
      <c r="E77" s="119">
        <f>'2019'!I585</f>
        <v>44</v>
      </c>
      <c r="F77" s="119">
        <f>'2019'!J585</f>
        <v>0</v>
      </c>
      <c r="G77" s="119">
        <f>'2019'!M585</f>
        <v>44</v>
      </c>
      <c r="H77" s="119">
        <f>'2019'!N585</f>
        <v>0</v>
      </c>
      <c r="I77" s="119">
        <f>'2019'!Q585</f>
        <v>44</v>
      </c>
      <c r="J77" s="119">
        <f>'2019'!R585</f>
        <v>0</v>
      </c>
      <c r="K77" s="119">
        <f>'2019'!U585</f>
        <v>44</v>
      </c>
      <c r="L77" s="119">
        <f>'2019'!V585</f>
        <v>0</v>
      </c>
      <c r="M77" s="119">
        <f>'2019'!Y585</f>
        <v>46</v>
      </c>
      <c r="N77" s="119">
        <f>'2019'!Z585</f>
        <v>2</v>
      </c>
      <c r="O77" s="119">
        <f>'2019'!AC585</f>
        <v>47</v>
      </c>
      <c r="P77" s="119">
        <f>'2019'!AD585</f>
        <v>1</v>
      </c>
      <c r="Q77" s="119">
        <f>'2019'!AG585</f>
        <v>48</v>
      </c>
      <c r="R77" s="119">
        <f>'2019'!AH585</f>
        <v>1</v>
      </c>
      <c r="S77" s="119">
        <f>'2019'!AK585</f>
        <v>50</v>
      </c>
      <c r="T77" s="119">
        <f>'2019'!AL585</f>
        <v>2</v>
      </c>
      <c r="U77" s="119">
        <f>'2019'!AO585</f>
        <v>54</v>
      </c>
      <c r="V77" s="119">
        <f>'2019'!AP585</f>
        <v>4</v>
      </c>
      <c r="W77" s="119">
        <f>'2019'!AS585</f>
        <v>55</v>
      </c>
      <c r="X77" s="119">
        <f>'2019'!AT585</f>
        <v>1</v>
      </c>
      <c r="Y77" s="119">
        <f>'2019'!AW585</f>
        <v>55</v>
      </c>
      <c r="Z77" s="119">
        <f>'2019'!AX585</f>
        <v>0</v>
      </c>
      <c r="AA77" s="119"/>
      <c r="AB77" s="119">
        <f>'2019'!BA585</f>
        <v>55</v>
      </c>
      <c r="AC77" s="119">
        <f>'2019'!BB585</f>
        <v>0</v>
      </c>
      <c r="AD77" s="119"/>
      <c r="AE77" s="119">
        <f>'2019'!BE585</f>
        <v>11</v>
      </c>
      <c r="AF77" s="119">
        <f t="shared" si="0"/>
      </c>
    </row>
    <row r="78" ht="15.75" customHeight="1" spans="1:32" x14ac:dyDescent="0.25">
      <c r="A78" s="14"/>
      <c r="B78" s="115">
        <v>79</v>
      </c>
      <c r="C78" s="115">
        <v>4.24</v>
      </c>
      <c r="D78" s="117" t="s">
        <v>275</v>
      </c>
      <c r="E78" s="119">
        <f>'2019'!I593</f>
        <v>5</v>
      </c>
      <c r="F78" s="119">
        <f>'2019'!J593</f>
        <v>0</v>
      </c>
      <c r="G78" s="119">
        <f>'2019'!M593</f>
        <v>5</v>
      </c>
      <c r="H78" s="119">
        <f>'2019'!N593</f>
        <v>0</v>
      </c>
      <c r="I78" s="119">
        <f>'2019'!Q593</f>
        <v>5</v>
      </c>
      <c r="J78" s="119">
        <f>'2019'!R593</f>
        <v>0</v>
      </c>
      <c r="K78" s="119">
        <f>'2019'!U593</f>
        <v>5</v>
      </c>
      <c r="L78" s="119">
        <f>'2019'!V593</f>
        <v>0</v>
      </c>
      <c r="M78" s="119">
        <f>'2019'!Y593</f>
        <v>5</v>
      </c>
      <c r="N78" s="119">
        <f>'2019'!Z593</f>
        <v>0</v>
      </c>
      <c r="O78" s="119">
        <f>'2019'!AC593</f>
        <v>5</v>
      </c>
      <c r="P78" s="119">
        <f>'2019'!AD593</f>
        <v>0</v>
      </c>
      <c r="Q78" s="119">
        <f>'2019'!AG593</f>
        <v>5</v>
      </c>
      <c r="R78" s="119">
        <f>'2019'!AH593</f>
        <v>0</v>
      </c>
      <c r="S78" s="119">
        <f>'2019'!AK593</f>
        <v>5</v>
      </c>
      <c r="T78" s="119">
        <f>'2019'!AL593</f>
        <v>0</v>
      </c>
      <c r="U78" s="119">
        <f>'2019'!AO593</f>
        <v>28</v>
      </c>
      <c r="V78" s="119">
        <f>'2019'!AP593</f>
        <v>23</v>
      </c>
      <c r="W78" s="119">
        <f>'2019'!AS593</f>
        <v>28</v>
      </c>
      <c r="X78" s="119">
        <f>'2019'!AT593</f>
        <v>0</v>
      </c>
      <c r="Y78" s="119">
        <f>'2019'!AW593</f>
        <v>28</v>
      </c>
      <c r="Z78" s="119">
        <f>'2019'!AX593</f>
        <v>0</v>
      </c>
      <c r="AA78" s="119"/>
      <c r="AB78" s="119">
        <f>'2019'!BA593</f>
        <v>28</v>
      </c>
      <c r="AC78" s="119">
        <f>'2019'!BB593</f>
        <v>0</v>
      </c>
      <c r="AD78" s="119"/>
      <c r="AE78" s="119">
        <f>'2019'!BE593</f>
        <v>23</v>
      </c>
      <c r="AF78" s="119">
        <f t="shared" si="0"/>
      </c>
    </row>
    <row r="79" ht="15.75" customHeight="1" spans="1:32" x14ac:dyDescent="0.25">
      <c r="A79" s="14"/>
      <c r="B79" s="115">
        <v>81</v>
      </c>
      <c r="C79" s="116">
        <v>4.3</v>
      </c>
      <c r="D79" s="117" t="s">
        <v>278</v>
      </c>
      <c r="E79" s="119">
        <f>'2019'!I601</f>
      </c>
      <c r="F79" s="119">
        <f>'2019'!J601</f>
      </c>
      <c r="G79" s="119">
        <f>'2019'!M601</f>
      </c>
      <c r="H79" s="119">
        <f>'2019'!N601</f>
        <v>0</v>
      </c>
      <c r="I79" s="119">
        <f>'2019'!Q601</f>
      </c>
      <c r="J79" s="119">
        <f>'2019'!R601</f>
        <v>0</v>
      </c>
      <c r="K79" s="119">
        <f>'2019'!U601</f>
      </c>
      <c r="L79" s="119">
        <f>'2019'!V601</f>
        <v>0</v>
      </c>
      <c r="M79" s="119">
        <f>'2019'!Y601</f>
      </c>
      <c r="N79" s="119">
        <f>'2019'!Z601</f>
        <v>0</v>
      </c>
      <c r="O79" s="119">
        <f>'2019'!AC601</f>
      </c>
      <c r="P79" s="119">
        <f>'2019'!AD601</f>
        <v>0</v>
      </c>
      <c r="Q79" s="119">
        <f>'2019'!AG601</f>
      </c>
      <c r="R79" s="119">
        <f>'2019'!AH601</f>
        <v>0</v>
      </c>
      <c r="S79" s="119">
        <f>'2019'!AK601</f>
      </c>
      <c r="T79" s="119">
        <f>'2019'!AL601</f>
        <v>0</v>
      </c>
      <c r="U79" s="119">
        <f>'2019'!AO601</f>
      </c>
      <c r="V79" s="119">
        <f>'2019'!AP601</f>
        <v>0</v>
      </c>
      <c r="W79" s="119">
        <f>'2019'!AS601</f>
      </c>
      <c r="X79" s="119">
        <f>'2019'!AT601</f>
        <v>0</v>
      </c>
      <c r="Y79" s="119">
        <f>'2019'!AW601</f>
      </c>
      <c r="Z79" s="119">
        <f>'2019'!AX601</f>
        <v>0</v>
      </c>
      <c r="AA79" s="119"/>
      <c r="AB79" s="119">
        <f>'2019'!BA601</f>
      </c>
      <c r="AC79" s="119">
        <f>'2019'!BB601</f>
        <v>0</v>
      </c>
      <c r="AD79" s="119"/>
      <c r="AE79" s="119">
        <f>'2019'!BE601</f>
        <v>0</v>
      </c>
      <c r="AF79" s="119">
        <f t="shared" si="0"/>
      </c>
    </row>
    <row r="80" ht="15.75" customHeight="1" spans="1:32" x14ac:dyDescent="0.25">
      <c r="A80" s="14"/>
      <c r="B80" s="115">
        <v>83</v>
      </c>
      <c r="C80" s="115">
        <v>4.29</v>
      </c>
      <c r="D80" s="117" t="s">
        <v>280</v>
      </c>
      <c r="E80" s="119">
        <f>'2019'!I609</f>
        <v>61</v>
      </c>
      <c r="F80" s="119">
        <f>'2019'!J609</f>
        <v>0</v>
      </c>
      <c r="G80" s="119">
        <f>'2019'!M609</f>
        <v>61</v>
      </c>
      <c r="H80" s="119">
        <f>'2019'!N609</f>
        <v>0</v>
      </c>
      <c r="I80" s="119">
        <f>'2019'!Q609</f>
        <v>61</v>
      </c>
      <c r="J80" s="119">
        <f>'2019'!R609</f>
        <v>0</v>
      </c>
      <c r="K80" s="119">
        <f>'2019'!U609</f>
        <v>61</v>
      </c>
      <c r="L80" s="119">
        <f>'2019'!V609</f>
        <v>0</v>
      </c>
      <c r="M80" s="119">
        <f>'2019'!Y609</f>
        <v>64</v>
      </c>
      <c r="N80" s="119">
        <f>'2019'!Z609</f>
        <v>3</v>
      </c>
      <c r="O80" s="119">
        <f>'2019'!AC609</f>
        <v>71</v>
      </c>
      <c r="P80" s="119">
        <f>'2019'!AD609</f>
        <v>7</v>
      </c>
      <c r="Q80" s="119">
        <f>'2019'!AG609</f>
        <v>81</v>
      </c>
      <c r="R80" s="119">
        <f>'2019'!AH609</f>
        <v>10</v>
      </c>
      <c r="S80" s="119">
        <f>'2019'!AK609</f>
        <v>92</v>
      </c>
      <c r="T80" s="119">
        <f>'2019'!AL609</f>
        <v>11</v>
      </c>
      <c r="U80" s="119">
        <f>'2019'!AO609</f>
        <v>110</v>
      </c>
      <c r="V80" s="119">
        <f>'2019'!AP609</f>
        <v>18</v>
      </c>
      <c r="W80" s="119">
        <f>'2019'!AS609</f>
        <v>111</v>
      </c>
      <c r="X80" s="119">
        <f>'2019'!AT609</f>
        <v>1</v>
      </c>
      <c r="Y80" s="119">
        <f>'2019'!AW609</f>
        <v>111</v>
      </c>
      <c r="Z80" s="119">
        <f>'2019'!AX609</f>
        <v>0</v>
      </c>
      <c r="AA80" s="119"/>
      <c r="AB80" s="119">
        <f>'2019'!BA609</f>
        <v>111</v>
      </c>
      <c r="AC80" s="119">
        <f>'2019'!BB609</f>
        <v>0</v>
      </c>
      <c r="AD80" s="119"/>
      <c r="AE80" s="119">
        <f>'2019'!BE609</f>
        <v>50</v>
      </c>
      <c r="AF80" s="119">
        <f t="shared" si="0"/>
      </c>
    </row>
    <row r="81" ht="15.75" customHeight="1" spans="1:32" x14ac:dyDescent="0.25">
      <c r="A81" s="14"/>
      <c r="B81" s="115">
        <v>85</v>
      </c>
      <c r="C81" s="115">
        <v>4.27</v>
      </c>
      <c r="D81" s="117" t="s">
        <v>282</v>
      </c>
      <c r="E81" s="119">
        <f>'2019'!I617</f>
        <v>1032</v>
      </c>
      <c r="F81" s="119">
        <f>'2019'!J617</f>
        <v>0</v>
      </c>
      <c r="G81" s="119">
        <f>'2019'!M617</f>
        <v>1032</v>
      </c>
      <c r="H81" s="119">
        <f>'2019'!N617</f>
        <v>0</v>
      </c>
      <c r="I81" s="119">
        <f>'2019'!Q617</f>
        <v>1032</v>
      </c>
      <c r="J81" s="119">
        <f>'2019'!R617</f>
        <v>0</v>
      </c>
      <c r="K81" s="119">
        <f>'2019'!U617</f>
        <v>1051</v>
      </c>
      <c r="L81" s="119">
        <f>'2019'!V617</f>
        <v>19</v>
      </c>
      <c r="M81" s="119">
        <f>'2019'!Y617</f>
        <v>1210</v>
      </c>
      <c r="N81" s="119">
        <f>'2019'!Z617</f>
        <v>159</v>
      </c>
      <c r="O81" s="119">
        <f>'2019'!AC617</f>
        <v>1550</v>
      </c>
      <c r="P81" s="119">
        <f>'2019'!AD617</f>
        <v>340</v>
      </c>
      <c r="Q81" s="119">
        <f>'2019'!AG617</f>
        <v>1963</v>
      </c>
      <c r="R81" s="119">
        <f>'2019'!AH617</f>
        <v>413</v>
      </c>
      <c r="S81" s="119">
        <f>'2019'!AK617</f>
        <v>2311</v>
      </c>
      <c r="T81" s="119">
        <f>'2019'!AL617</f>
        <v>348</v>
      </c>
      <c r="U81" s="119">
        <f>'2019'!AO617</f>
        <v>2904</v>
      </c>
      <c r="V81" s="119">
        <f>'2019'!AP617</f>
        <v>593</v>
      </c>
      <c r="W81" s="119">
        <f>'2019'!AS617</f>
        <v>2907</v>
      </c>
      <c r="X81" s="119">
        <f>'2019'!AT617</f>
        <v>3</v>
      </c>
      <c r="Y81" s="119">
        <f>'2019'!AW617</f>
        <v>2907</v>
      </c>
      <c r="Z81" s="119">
        <f>'2019'!AX617</f>
        <v>0</v>
      </c>
      <c r="AA81" s="119"/>
      <c r="AB81" s="119">
        <f>'2019'!BA617</f>
        <v>2907</v>
      </c>
      <c r="AC81" s="119">
        <f>'2019'!BB617</f>
        <v>0</v>
      </c>
      <c r="AD81" s="119"/>
      <c r="AE81" s="119">
        <f>'2019'!BE617</f>
        <v>1875</v>
      </c>
      <c r="AF81" s="119">
        <f t="shared" si="0"/>
      </c>
    </row>
    <row r="82" ht="15.75" customHeight="1" spans="1:32" x14ac:dyDescent="0.25">
      <c r="A82" s="14"/>
      <c r="B82" s="115">
        <v>87</v>
      </c>
      <c r="C82" s="115">
        <v>4.23</v>
      </c>
      <c r="D82" s="117" t="s">
        <v>284</v>
      </c>
      <c r="E82" s="119">
        <f>'2019'!I625</f>
        <v>241</v>
      </c>
      <c r="F82" s="119">
        <f>'2019'!J625</f>
        <v>0</v>
      </c>
      <c r="G82" s="119">
        <f>'2019'!M625</f>
        <v>241</v>
      </c>
      <c r="H82" s="119">
        <f>'2019'!N625</f>
        <v>0</v>
      </c>
      <c r="I82" s="119">
        <f>'2019'!Q625</f>
        <v>241</v>
      </c>
      <c r="J82" s="119">
        <f>'2019'!R625</f>
        <v>0</v>
      </c>
      <c r="K82" s="119">
        <f>'2019'!U625</f>
        <v>241</v>
      </c>
      <c r="L82" s="119">
        <f>'2019'!V625</f>
        <v>0</v>
      </c>
      <c r="M82" s="119">
        <f>'2019'!Y625</f>
        <v>254</v>
      </c>
      <c r="N82" s="119">
        <f>'2019'!Z625</f>
        <v>13</v>
      </c>
      <c r="O82" s="119">
        <f>'2019'!AC625</f>
        <v>279</v>
      </c>
      <c r="P82" s="119">
        <f>'2019'!AD625</f>
        <v>25</v>
      </c>
      <c r="Q82" s="119">
        <f>'2019'!AG625</f>
        <v>318</v>
      </c>
      <c r="R82" s="119">
        <f>'2019'!AH625</f>
        <v>39</v>
      </c>
      <c r="S82" s="119">
        <f>'2019'!AK625</f>
        <v>346</v>
      </c>
      <c r="T82" s="119">
        <f>'2019'!AL625</f>
        <v>28</v>
      </c>
      <c r="U82" s="119">
        <f>'2019'!AO625</f>
        <v>367</v>
      </c>
      <c r="V82" s="119">
        <f>'2019'!AP625</f>
        <v>21</v>
      </c>
      <c r="W82" s="119">
        <f>'2019'!AS625</f>
        <v>368</v>
      </c>
      <c r="X82" s="119">
        <f>'2019'!AT625</f>
        <v>1</v>
      </c>
      <c r="Y82" s="119">
        <f>'2019'!AW625</f>
        <v>368</v>
      </c>
      <c r="Z82" s="119">
        <f>'2019'!AX625</f>
        <v>0</v>
      </c>
      <c r="AA82" s="119"/>
      <c r="AB82" s="119">
        <f>'2019'!BA625</f>
        <v>368</v>
      </c>
      <c r="AC82" s="119">
        <f>'2019'!BB625</f>
        <v>0</v>
      </c>
      <c r="AD82" s="119"/>
      <c r="AE82" s="119">
        <f>'2019'!BE625</f>
        <v>127</v>
      </c>
      <c r="AF82" s="119">
        <f t="shared" si="0"/>
      </c>
    </row>
    <row r="83" ht="15.75" customHeight="1" spans="1:32" x14ac:dyDescent="0.25">
      <c r="A83" s="14"/>
      <c r="B83" s="115">
        <v>89</v>
      </c>
      <c r="C83" s="115">
        <v>4.25</v>
      </c>
      <c r="D83" s="117" t="s">
        <v>286</v>
      </c>
      <c r="E83" s="119">
        <f>'2019'!I633</f>
      </c>
      <c r="F83" s="119">
        <f>'2019'!J633</f>
      </c>
      <c r="G83" s="119">
        <f>'2019'!M633</f>
      </c>
      <c r="H83" s="119">
        <f>'2019'!N633</f>
        <v>0</v>
      </c>
      <c r="I83" s="119">
        <f>'2019'!Q633</f>
      </c>
      <c r="J83" s="119">
        <f>'2019'!R633</f>
        <v>0</v>
      </c>
      <c r="K83" s="119">
        <f>'2019'!U633</f>
      </c>
      <c r="L83" s="119">
        <f>'2019'!V633</f>
        <v>0</v>
      </c>
      <c r="M83" s="119">
        <f>'2019'!Y633</f>
      </c>
      <c r="N83" s="119">
        <f>'2019'!Z633</f>
        <v>0</v>
      </c>
      <c r="O83" s="119">
        <f>'2019'!AC633</f>
      </c>
      <c r="P83" s="119">
        <f>'2019'!AD633</f>
        <v>0</v>
      </c>
      <c r="Q83" s="119">
        <f>'2019'!AG633</f>
      </c>
      <c r="R83" s="119">
        <f>'2019'!AH633</f>
        <v>0</v>
      </c>
      <c r="S83" s="119">
        <f>'2019'!AK633</f>
      </c>
      <c r="T83" s="119">
        <f>'2019'!AL633</f>
        <v>0</v>
      </c>
      <c r="U83" s="119">
        <f>'2019'!AO633</f>
      </c>
      <c r="V83" s="119">
        <f>'2019'!AP633</f>
        <v>0</v>
      </c>
      <c r="W83" s="119">
        <f>'2019'!AS633</f>
      </c>
      <c r="X83" s="119">
        <f>'2019'!AT633</f>
        <v>0</v>
      </c>
      <c r="Y83" s="119">
        <f>'2019'!AW633</f>
      </c>
      <c r="Z83" s="119">
        <f>'2019'!AX633</f>
        <v>0</v>
      </c>
      <c r="AA83" s="119"/>
      <c r="AB83" s="119">
        <f>'2019'!BA633</f>
      </c>
      <c r="AC83" s="119">
        <f>'2019'!BB633</f>
        <v>0</v>
      </c>
      <c r="AD83" s="119"/>
      <c r="AE83" s="119">
        <f>'2019'!BE633</f>
        <v>0</v>
      </c>
      <c r="AF83" s="119">
        <f t="shared" si="0"/>
      </c>
    </row>
    <row r="84" ht="15.75" customHeight="1" spans="1:32" x14ac:dyDescent="0.25">
      <c r="A84" s="14"/>
      <c r="B84" s="115">
        <v>91</v>
      </c>
      <c r="C84" s="115">
        <v>4.23</v>
      </c>
      <c r="D84" s="117" t="s">
        <v>288</v>
      </c>
      <c r="E84" s="119">
        <f>'2019'!I641</f>
        <v>143</v>
      </c>
      <c r="F84" s="119">
        <f>'2019'!J641</f>
        <v>0</v>
      </c>
      <c r="G84" s="119">
        <f>'2019'!M641</f>
        <v>143</v>
      </c>
      <c r="H84" s="119">
        <f>'2019'!N641</f>
        <v>0</v>
      </c>
      <c r="I84" s="119">
        <f>'2019'!Q641</f>
        <v>143</v>
      </c>
      <c r="J84" s="119">
        <f>'2019'!R641</f>
        <v>0</v>
      </c>
      <c r="K84" s="119">
        <f>'2019'!U641</f>
        <v>143</v>
      </c>
      <c r="L84" s="119">
        <f>'2019'!V641</f>
        <v>0</v>
      </c>
      <c r="M84" s="119">
        <f>'2019'!Y641</f>
        <v>145</v>
      </c>
      <c r="N84" s="119">
        <f>'2019'!Z641</f>
        <v>2</v>
      </c>
      <c r="O84" s="119">
        <f>'2019'!AC641</f>
        <v>151</v>
      </c>
      <c r="P84" s="119">
        <f>'2019'!AD641</f>
        <v>6</v>
      </c>
      <c r="Q84" s="119">
        <f>'2019'!AG641</f>
        <v>162</v>
      </c>
      <c r="R84" s="119">
        <f>'2019'!AH641</f>
        <v>11</v>
      </c>
      <c r="S84" s="119">
        <f>'2019'!AK641</f>
        <v>169</v>
      </c>
      <c r="T84" s="119">
        <f>'2019'!AL641</f>
        <v>7</v>
      </c>
      <c r="U84" s="119">
        <f>'2019'!AO641</f>
        <v>171</v>
      </c>
      <c r="V84" s="119">
        <f>'2019'!AP641</f>
        <v>2</v>
      </c>
      <c r="W84" s="119">
        <f>'2019'!AS641</f>
        <v>171</v>
      </c>
      <c r="X84" s="119">
        <f>'2019'!AT641</f>
        <v>0</v>
      </c>
      <c r="Y84" s="119">
        <f>'2019'!AW641</f>
        <v>171</v>
      </c>
      <c r="Z84" s="119">
        <f>'2019'!AX641</f>
        <v>0</v>
      </c>
      <c r="AA84" s="119"/>
      <c r="AB84" s="119">
        <f>'2019'!BA641</f>
        <v>171</v>
      </c>
      <c r="AC84" s="119">
        <f>'2019'!BB641</f>
        <v>0</v>
      </c>
      <c r="AD84" s="119"/>
      <c r="AE84" s="119">
        <f>'2019'!BE641</f>
        <v>28</v>
      </c>
      <c r="AF84" s="119">
        <f t="shared" si="0"/>
      </c>
    </row>
    <row r="85" ht="15.75" customHeight="1" spans="1:32" x14ac:dyDescent="0.25">
      <c r="A85" s="21"/>
      <c r="B85" s="115" t="s">
        <v>292</v>
      </c>
      <c r="C85" s="115">
        <v>8.56</v>
      </c>
      <c r="D85" s="117" t="s">
        <v>293</v>
      </c>
      <c r="E85" s="119">
        <f>'2019'!I649</f>
        <v>871</v>
      </c>
      <c r="F85" s="119">
        <f>'2019'!J649</f>
        <v>0</v>
      </c>
      <c r="G85" s="119">
        <f>'2019'!M649</f>
        <v>871</v>
      </c>
      <c r="H85" s="119">
        <f>'2019'!N649</f>
        <v>0</v>
      </c>
      <c r="I85" s="119">
        <f>'2019'!Q649</f>
        <v>871</v>
      </c>
      <c r="J85" s="119">
        <f>'2019'!R649</f>
        <v>0</v>
      </c>
      <c r="K85" s="119">
        <f>'2019'!U649</f>
        <v>1043</v>
      </c>
      <c r="L85" s="119">
        <f>'2019'!V649</f>
        <v>172</v>
      </c>
      <c r="M85" s="119">
        <f>'2019'!Y649</f>
        <v>1231</v>
      </c>
      <c r="N85" s="119">
        <f>'2019'!Z649</f>
        <v>188</v>
      </c>
      <c r="O85" s="119">
        <f>'2019'!AC649</f>
        <v>1319</v>
      </c>
      <c r="P85" s="119">
        <f>'2019'!AD649</f>
        <v>88</v>
      </c>
      <c r="Q85" s="119">
        <f>'2019'!AG649</f>
        <v>1457</v>
      </c>
      <c r="R85" s="119">
        <f>'2019'!AH649</f>
        <v>138</v>
      </c>
      <c r="S85" s="119">
        <f>'2019'!AK649</f>
        <v>1546</v>
      </c>
      <c r="T85" s="119">
        <f>'2019'!AL649</f>
        <v>89</v>
      </c>
      <c r="U85" s="119">
        <f>'2019'!AO649</f>
        <v>1665</v>
      </c>
      <c r="V85" s="119">
        <f>'2019'!AP649</f>
        <v>119</v>
      </c>
      <c r="W85" s="119">
        <f>'2019'!AS649</f>
        <v>1732</v>
      </c>
      <c r="X85" s="119">
        <f>'2019'!AT649</f>
        <v>67</v>
      </c>
      <c r="Y85" s="119">
        <f>'2019'!AW649</f>
        <v>1732</v>
      </c>
      <c r="Z85" s="119">
        <f>'2019'!AX649</f>
        <v>0</v>
      </c>
      <c r="AA85" s="119"/>
      <c r="AB85" s="119">
        <f>'2019'!BA649</f>
        <v>1732</v>
      </c>
      <c r="AC85" s="119">
        <f>'2019'!BB649</f>
        <v>0</v>
      </c>
      <c r="AD85" s="119"/>
      <c r="AE85" s="119">
        <f>'2019'!BE649</f>
        <v>861</v>
      </c>
      <c r="AF85" s="119">
        <f t="shared" si="0"/>
      </c>
    </row>
    <row r="86" ht="15.75" customHeight="1" spans="1:32" x14ac:dyDescent="0.25">
      <c r="A86" s="114" t="s">
        <v>297</v>
      </c>
      <c r="B86" s="115">
        <v>80</v>
      </c>
      <c r="C86" s="115">
        <v>4.28</v>
      </c>
      <c r="D86" s="117" t="s">
        <v>298</v>
      </c>
      <c r="E86" s="119">
        <f>'2019'!I657</f>
        <v>743</v>
      </c>
      <c r="F86" s="119">
        <f>'2019'!J657</f>
        <v>0</v>
      </c>
      <c r="G86" s="119">
        <f>'2019'!M657</f>
        <v>743</v>
      </c>
      <c r="H86" s="119">
        <f>'2019'!N657</f>
        <v>0</v>
      </c>
      <c r="I86" s="119">
        <f>'2019'!Q657</f>
        <v>743</v>
      </c>
      <c r="J86" s="119">
        <f>'2019'!R657</f>
        <v>0</v>
      </c>
      <c r="K86" s="119">
        <f>'2019'!U657</f>
        <v>746</v>
      </c>
      <c r="L86" s="119">
        <f>'2019'!V657</f>
        <v>3</v>
      </c>
      <c r="M86" s="119">
        <f>'2019'!Y657</f>
        <v>785</v>
      </c>
      <c r="N86" s="119">
        <f>'2019'!Z657</f>
        <v>39</v>
      </c>
      <c r="O86" s="119">
        <f>'2019'!AC657</f>
        <v>829</v>
      </c>
      <c r="P86" s="119">
        <f>'2019'!AD657</f>
        <v>44</v>
      </c>
      <c r="Q86" s="119">
        <f>'2019'!AG657</f>
        <v>902</v>
      </c>
      <c r="R86" s="119">
        <f>'2019'!AH657</f>
        <v>73</v>
      </c>
      <c r="S86" s="119">
        <f>'2019'!AK657</f>
        <v>952</v>
      </c>
      <c r="T86" s="119">
        <f>'2019'!AL657</f>
        <v>50</v>
      </c>
      <c r="U86" s="119">
        <f>'2019'!AO657</f>
        <v>984</v>
      </c>
      <c r="V86" s="119">
        <f>'2019'!AP657</f>
        <v>32</v>
      </c>
      <c r="W86" s="119">
        <f>'2019'!AS657</f>
        <v>988</v>
      </c>
      <c r="X86" s="119">
        <f>'2019'!AT657</f>
        <v>4</v>
      </c>
      <c r="Y86" s="119">
        <f>'2019'!AW657</f>
        <v>988</v>
      </c>
      <c r="Z86" s="119">
        <f>'2019'!AX657</f>
        <v>0</v>
      </c>
      <c r="AA86" s="119"/>
      <c r="AB86" s="119">
        <f>'2019'!BA657</f>
        <v>988</v>
      </c>
      <c r="AC86" s="119">
        <f>'2019'!BB657</f>
        <v>0</v>
      </c>
      <c r="AD86" s="119"/>
      <c r="AE86" s="119">
        <f>'2019'!BE657</f>
        <v>245</v>
      </c>
      <c r="AF86" s="119">
        <f t="shared" si="0"/>
      </c>
    </row>
    <row r="87" ht="15.75" customHeight="1" spans="1:32" x14ac:dyDescent="0.25">
      <c r="A87" s="14"/>
      <c r="B87" s="115">
        <v>82</v>
      </c>
      <c r="C87" s="115">
        <v>4.28</v>
      </c>
      <c r="D87" s="117" t="s">
        <v>300</v>
      </c>
      <c r="E87" s="119">
        <f>'2019'!I665</f>
      </c>
      <c r="F87" s="119">
        <f>'2019'!J665</f>
      </c>
      <c r="G87" s="119">
        <f>'2019'!M665</f>
      </c>
      <c r="H87" s="119">
        <f>'2019'!N665</f>
        <v>0</v>
      </c>
      <c r="I87" s="119">
        <f>'2019'!Q665</f>
      </c>
      <c r="J87" s="119">
        <f>'2019'!R665</f>
        <v>0</v>
      </c>
      <c r="K87" s="119">
        <f>'2019'!U665</f>
      </c>
      <c r="L87" s="119">
        <f>'2019'!V665</f>
        <v>0</v>
      </c>
      <c r="M87" s="119">
        <f>'2019'!Y665</f>
      </c>
      <c r="N87" s="119">
        <f>'2019'!Z665</f>
        <v>0</v>
      </c>
      <c r="O87" s="119">
        <f>'2019'!AC665</f>
      </c>
      <c r="P87" s="119">
        <f>'2019'!AD665</f>
        <v>0</v>
      </c>
      <c r="Q87" s="119">
        <f>'2019'!AG665</f>
      </c>
      <c r="R87" s="119">
        <f>'2019'!AH665</f>
        <v>0</v>
      </c>
      <c r="S87" s="119">
        <f>'2019'!AK665</f>
      </c>
      <c r="T87" s="119">
        <f>'2019'!AL665</f>
        <v>0</v>
      </c>
      <c r="U87" s="119">
        <f>'2019'!AO665</f>
      </c>
      <c r="V87" s="119">
        <f>'2019'!AP665</f>
        <v>0</v>
      </c>
      <c r="W87" s="119">
        <f>'2019'!AS665</f>
      </c>
      <c r="X87" s="119">
        <f>'2019'!AT665</f>
        <v>0</v>
      </c>
      <c r="Y87" s="119">
        <f>'2019'!AW665</f>
      </c>
      <c r="Z87" s="119">
        <f>'2019'!AX665</f>
        <v>0</v>
      </c>
      <c r="AA87" s="119"/>
      <c r="AB87" s="119">
        <f>'2019'!BA665</f>
      </c>
      <c r="AC87" s="119">
        <f>'2019'!BB665</f>
        <v>0</v>
      </c>
      <c r="AD87" s="119"/>
      <c r="AE87" s="119">
        <f>'2019'!BE665</f>
        <v>0</v>
      </c>
      <c r="AF87" s="119">
        <f t="shared" si="0"/>
      </c>
    </row>
    <row r="88" ht="15.75" customHeight="1" spans="1:32" x14ac:dyDescent="0.25">
      <c r="A88" s="14"/>
      <c r="B88" s="115">
        <v>84</v>
      </c>
      <c r="C88" s="115">
        <v>4.18</v>
      </c>
      <c r="D88" s="117" t="s">
        <v>301</v>
      </c>
      <c r="E88" s="119">
        <f>'2019'!I673</f>
      </c>
      <c r="F88" s="119">
        <f>'2019'!J673</f>
      </c>
      <c r="G88" s="119">
        <f>'2019'!M673</f>
      </c>
      <c r="H88" s="119">
        <f>'2019'!N673</f>
        <v>0</v>
      </c>
      <c r="I88" s="119">
        <f>'2019'!Q673</f>
      </c>
      <c r="J88" s="119">
        <f>'2019'!R673</f>
        <v>0</v>
      </c>
      <c r="K88" s="119">
        <f>'2019'!U673</f>
      </c>
      <c r="L88" s="119">
        <f>'2019'!V673</f>
        <v>0</v>
      </c>
      <c r="M88" s="119">
        <f>'2019'!Y673</f>
      </c>
      <c r="N88" s="119">
        <f>'2019'!Z673</f>
        <v>0</v>
      </c>
      <c r="O88" s="119">
        <f>'2019'!AC673</f>
      </c>
      <c r="P88" s="119">
        <f>'2019'!AD673</f>
        <v>0</v>
      </c>
      <c r="Q88" s="119">
        <f>'2019'!AG673</f>
      </c>
      <c r="R88" s="119">
        <f>'2019'!AH673</f>
        <v>0</v>
      </c>
      <c r="S88" s="119">
        <f>'2019'!AK673</f>
      </c>
      <c r="T88" s="119">
        <f>'2019'!AL673</f>
        <v>0</v>
      </c>
      <c r="U88" s="119">
        <f>'2019'!AO673</f>
      </c>
      <c r="V88" s="119">
        <f>'2019'!AP673</f>
        <v>0</v>
      </c>
      <c r="W88" s="119">
        <f>'2019'!AS673</f>
      </c>
      <c r="X88" s="119">
        <f>'2019'!AT673</f>
        <v>0</v>
      </c>
      <c r="Y88" s="119">
        <f>'2019'!AW673</f>
      </c>
      <c r="Z88" s="119">
        <f>'2019'!AX673</f>
        <v>0</v>
      </c>
      <c r="AA88" s="119"/>
      <c r="AB88" s="119">
        <f>'2019'!BA673</f>
      </c>
      <c r="AC88" s="119">
        <f>'2019'!BB673</f>
        <v>0</v>
      </c>
      <c r="AD88" s="119"/>
      <c r="AE88" s="119">
        <f>'2019'!BE673</f>
        <v>0</v>
      </c>
      <c r="AF88" s="119">
        <f t="shared" si="0"/>
      </c>
    </row>
    <row r="89" ht="15.75" customHeight="1" spans="1:32" x14ac:dyDescent="0.25">
      <c r="A89" s="14"/>
      <c r="B89" s="115">
        <v>86</v>
      </c>
      <c r="C89" s="115">
        <v>4.23</v>
      </c>
      <c r="D89" s="117" t="s">
        <v>304</v>
      </c>
      <c r="E89" s="119">
        <f>'2019'!I681</f>
      </c>
      <c r="F89" s="119">
        <f>'2019'!J681</f>
      </c>
      <c r="G89" s="119">
        <f>'2019'!M681</f>
      </c>
      <c r="H89" s="119">
        <f>'2019'!N681</f>
        <v>0</v>
      </c>
      <c r="I89" s="119">
        <f>'2019'!Q681</f>
      </c>
      <c r="J89" s="119">
        <f>'2019'!R681</f>
        <v>0</v>
      </c>
      <c r="K89" s="119">
        <f>'2019'!U681</f>
      </c>
      <c r="L89" s="119">
        <f>'2019'!V681</f>
        <v>0</v>
      </c>
      <c r="M89" s="119">
        <f>'2019'!Y681</f>
      </c>
      <c r="N89" s="119">
        <f>'2019'!Z681</f>
        <v>0</v>
      </c>
      <c r="O89" s="119">
        <f>'2019'!AC681</f>
      </c>
      <c r="P89" s="119">
        <f>'2019'!AD681</f>
        <v>0</v>
      </c>
      <c r="Q89" s="119">
        <f>'2019'!AG681</f>
      </c>
      <c r="R89" s="119">
        <f>'2019'!AH681</f>
        <v>0</v>
      </c>
      <c r="S89" s="119">
        <f>'2019'!AK681</f>
      </c>
      <c r="T89" s="119">
        <f>'2019'!AL681</f>
        <v>0</v>
      </c>
      <c r="U89" s="119">
        <f>'2019'!AO681</f>
      </c>
      <c r="V89" s="119">
        <f>'2019'!AP681</f>
        <v>0</v>
      </c>
      <c r="W89" s="119">
        <f>'2019'!AS681</f>
      </c>
      <c r="X89" s="119">
        <f>'2019'!AT681</f>
        <v>0</v>
      </c>
      <c r="Y89" s="119">
        <f>'2019'!AW681</f>
      </c>
      <c r="Z89" s="119">
        <f>'2019'!AX681</f>
        <v>0</v>
      </c>
      <c r="AA89" s="119"/>
      <c r="AB89" s="119">
        <f>'2019'!BA681</f>
      </c>
      <c r="AC89" s="119">
        <f>'2019'!BB681</f>
        <v>0</v>
      </c>
      <c r="AD89" s="119"/>
      <c r="AE89" s="119">
        <f>'2019'!BE681</f>
        <v>0</v>
      </c>
      <c r="AF89" s="119">
        <f t="shared" si="0"/>
      </c>
    </row>
    <row r="90" ht="15.75" customHeight="1" spans="1:32" x14ac:dyDescent="0.25">
      <c r="A90" s="14"/>
      <c r="B90" s="115">
        <v>88</v>
      </c>
      <c r="C90" s="115">
        <v>4.23</v>
      </c>
      <c r="D90" s="117" t="s">
        <v>308</v>
      </c>
      <c r="E90" s="119">
        <f>'2019'!I689</f>
      </c>
      <c r="F90" s="119">
        <f>'2019'!J689</f>
      </c>
      <c r="G90" s="119">
        <f>'2019'!M689</f>
      </c>
      <c r="H90" s="119">
        <f>'2019'!N689</f>
        <v>0</v>
      </c>
      <c r="I90" s="119">
        <f>'2019'!Q689</f>
      </c>
      <c r="J90" s="119">
        <f>'2019'!R689</f>
        <v>0</v>
      </c>
      <c r="K90" s="119">
        <f>'2019'!U689</f>
      </c>
      <c r="L90" s="119">
        <f>'2019'!V689</f>
        <v>0</v>
      </c>
      <c r="M90" s="119">
        <f>'2019'!Y689</f>
      </c>
      <c r="N90" s="119">
        <f>'2019'!Z689</f>
        <v>0</v>
      </c>
      <c r="O90" s="119">
        <f>'2019'!AC689</f>
      </c>
      <c r="P90" s="119">
        <f>'2019'!AD689</f>
        <v>0</v>
      </c>
      <c r="Q90" s="119">
        <f>'2019'!AG689</f>
      </c>
      <c r="R90" s="119">
        <f>'2019'!AH689</f>
        <v>0</v>
      </c>
      <c r="S90" s="119">
        <f>'2019'!AK689</f>
      </c>
      <c r="T90" s="119">
        <f>'2019'!AL689</f>
        <v>0</v>
      </c>
      <c r="U90" s="119">
        <f>'2019'!AO689</f>
      </c>
      <c r="V90" s="119">
        <f>'2019'!AP689</f>
        <v>0</v>
      </c>
      <c r="W90" s="119">
        <f>'2019'!AS689</f>
      </c>
      <c r="X90" s="119">
        <f>'2019'!AT689</f>
        <v>0</v>
      </c>
      <c r="Y90" s="119">
        <f>'2019'!AW689</f>
      </c>
      <c r="Z90" s="119">
        <f>'2019'!AX689</f>
        <v>0</v>
      </c>
      <c r="AA90" s="119"/>
      <c r="AB90" s="119">
        <f>'2019'!BA689</f>
      </c>
      <c r="AC90" s="119">
        <f>'2019'!BB689</f>
        <v>0</v>
      </c>
      <c r="AD90" s="119"/>
      <c r="AE90" s="119">
        <f>'2019'!BE689</f>
        <v>0</v>
      </c>
      <c r="AF90" s="119">
        <f t="shared" si="0"/>
      </c>
    </row>
    <row r="91" ht="15.75" customHeight="1" spans="1:32" x14ac:dyDescent="0.25">
      <c r="A91" s="14"/>
      <c r="B91" s="115">
        <v>90</v>
      </c>
      <c r="C91" s="115">
        <v>4.23</v>
      </c>
      <c r="D91" s="117" t="s">
        <v>311</v>
      </c>
      <c r="E91" s="119">
        <f>'2019'!I697</f>
      </c>
      <c r="F91" s="119">
        <f>'2019'!J697</f>
      </c>
      <c r="G91" s="119">
        <f>'2019'!M697</f>
      </c>
      <c r="H91" s="119">
        <f>'2019'!N697</f>
        <v>0</v>
      </c>
      <c r="I91" s="119">
        <f>'2019'!Q697</f>
      </c>
      <c r="J91" s="119">
        <f>'2019'!R697</f>
        <v>0</v>
      </c>
      <c r="K91" s="119">
        <f>'2019'!U697</f>
      </c>
      <c r="L91" s="119">
        <f>'2019'!V697</f>
        <v>0</v>
      </c>
      <c r="M91" s="119">
        <f>'2019'!Y697</f>
      </c>
      <c r="N91" s="119">
        <f>'2019'!Z697</f>
        <v>0</v>
      </c>
      <c r="O91" s="119">
        <f>'2019'!AC697</f>
      </c>
      <c r="P91" s="119">
        <f>'2019'!AD697</f>
        <v>0</v>
      </c>
      <c r="Q91" s="119">
        <f>'2019'!AG697</f>
      </c>
      <c r="R91" s="119">
        <f>'2019'!AH697</f>
        <v>0</v>
      </c>
      <c r="S91" s="119">
        <f>'2019'!AK697</f>
      </c>
      <c r="T91" s="119">
        <f>'2019'!AL697</f>
        <v>0</v>
      </c>
      <c r="U91" s="119">
        <f>'2019'!AO697</f>
      </c>
      <c r="V91" s="119">
        <f>'2019'!AP697</f>
        <v>0</v>
      </c>
      <c r="W91" s="119">
        <f>'2019'!AS697</f>
      </c>
      <c r="X91" s="119">
        <f>'2019'!AT697</f>
        <v>0</v>
      </c>
      <c r="Y91" s="119">
        <f>'2019'!AW697</f>
      </c>
      <c r="Z91" s="119">
        <f>'2019'!AX697</f>
        <v>0</v>
      </c>
      <c r="AA91" s="119"/>
      <c r="AB91" s="119">
        <f>'2019'!BA697</f>
      </c>
      <c r="AC91" s="119">
        <f>'2019'!BB697</f>
        <v>0</v>
      </c>
      <c r="AD91" s="119"/>
      <c r="AE91" s="119">
        <f>'2019'!BE697</f>
        <v>0</v>
      </c>
      <c r="AF91" s="119">
        <f t="shared" si="0"/>
      </c>
    </row>
    <row r="92" ht="15.75" customHeight="1" spans="1:32" x14ac:dyDescent="0.25">
      <c r="A92" s="14"/>
      <c r="B92" s="115">
        <v>92</v>
      </c>
      <c r="C92" s="115">
        <v>4.28</v>
      </c>
      <c r="D92" s="117" t="s">
        <v>312</v>
      </c>
      <c r="E92" s="119">
        <f>'2019'!I705</f>
        <v>4900</v>
      </c>
      <c r="F92" s="119">
        <f>'2019'!J705</f>
        <v>404</v>
      </c>
      <c r="G92" s="119">
        <f>'2019'!M705</f>
        <v>5493</v>
      </c>
      <c r="H92" s="119">
        <f>'2019'!N705</f>
        <v>593</v>
      </c>
      <c r="I92" s="119">
        <f>'2019'!Q705</f>
        <v>5706</v>
      </c>
      <c r="J92" s="119">
        <f>'2019'!R705</f>
        <v>213</v>
      </c>
      <c r="K92" s="119">
        <f>'2019'!U705</f>
        <v>5868</v>
      </c>
      <c r="L92" s="119">
        <f>'2019'!V705</f>
        <v>162</v>
      </c>
      <c r="M92" s="119">
        <f>'2019'!Y705</f>
        <v>6096</v>
      </c>
      <c r="N92" s="119">
        <f>'2019'!Z705</f>
        <v>228</v>
      </c>
      <c r="O92" s="119">
        <f>'2019'!AC705</f>
        <v>6212</v>
      </c>
      <c r="P92" s="119">
        <f>'2019'!AD705</f>
        <v>116</v>
      </c>
      <c r="Q92" s="119">
        <f>'2019'!AG705</f>
        <v>6405</v>
      </c>
      <c r="R92" s="119">
        <f>'2019'!AH705</f>
        <v>193</v>
      </c>
      <c r="S92" s="119">
        <f>'2019'!AK705</f>
        <v>6593</v>
      </c>
      <c r="T92" s="119">
        <f>'2019'!AL705</f>
        <v>188</v>
      </c>
      <c r="U92" s="119">
        <f>'2019'!AO705</f>
        <v>6776</v>
      </c>
      <c r="V92" s="119">
        <f>'2019'!AP705</f>
        <v>183</v>
      </c>
      <c r="W92" s="119">
        <f>'2019'!AS705</f>
        <v>6945</v>
      </c>
      <c r="X92" s="119">
        <f>'2019'!AT705</f>
        <v>169</v>
      </c>
      <c r="Y92" s="119">
        <f>'2019'!AW705</f>
        <v>7406</v>
      </c>
      <c r="Z92" s="119">
        <f>'2019'!AX705</f>
        <v>461</v>
      </c>
      <c r="AA92" s="119"/>
      <c r="AB92" s="119">
        <f>'2019'!BA705</f>
        <v>7869</v>
      </c>
      <c r="AC92" s="119">
        <f>'2019'!BB705</f>
        <v>463</v>
      </c>
      <c r="AD92" s="119"/>
      <c r="AE92" s="119">
        <f>'2019'!BE705</f>
        <v>3373</v>
      </c>
      <c r="AF92" s="119">
        <f t="shared" si="0"/>
      </c>
    </row>
    <row r="93" ht="15.75" customHeight="1" spans="1:32" x14ac:dyDescent="0.25">
      <c r="A93" s="14"/>
      <c r="B93" s="115" t="s">
        <v>315</v>
      </c>
      <c r="C93" s="115">
        <v>8.76</v>
      </c>
      <c r="D93" s="117" t="s">
        <v>316</v>
      </c>
      <c r="E93" s="119">
        <f>'2019'!I713</f>
        <v>14204</v>
      </c>
      <c r="F93" s="119">
        <f>'2019'!J713</f>
        <v>1526</v>
      </c>
      <c r="G93" s="119">
        <f>'2019'!M713</f>
        <v>15686</v>
      </c>
      <c r="H93" s="119">
        <f>'2019'!N713</f>
        <v>1482</v>
      </c>
      <c r="I93" s="119">
        <f>'2019'!Q713</f>
        <v>16424</v>
      </c>
      <c r="J93" s="119">
        <f>'2019'!R713</f>
        <v>738</v>
      </c>
      <c r="K93" s="119">
        <f>'2019'!U713</f>
        <v>17247</v>
      </c>
      <c r="L93" s="119">
        <f>'2019'!V713</f>
        <v>823</v>
      </c>
      <c r="M93" s="119">
        <f>'2019'!Y713</f>
        <v>17974</v>
      </c>
      <c r="N93" s="119">
        <f>'2019'!Z713</f>
        <v>727</v>
      </c>
      <c r="O93" s="119">
        <f>'2019'!AC713</f>
        <v>18377</v>
      </c>
      <c r="P93" s="119">
        <f>'2019'!AD713</f>
        <v>403</v>
      </c>
      <c r="Q93" s="119">
        <f>'2019'!AG713</f>
        <v>18806</v>
      </c>
      <c r="R93" s="119">
        <f>'2019'!AH713</f>
        <v>429</v>
      </c>
      <c r="S93" s="119">
        <f>'2019'!AK713</f>
        <v>19139</v>
      </c>
      <c r="T93" s="119">
        <f>'2019'!AL713</f>
        <v>333</v>
      </c>
      <c r="U93" s="119">
        <f>'2019'!AO713</f>
        <v>19606</v>
      </c>
      <c r="V93" s="119">
        <f>'2019'!AP713</f>
        <v>467</v>
      </c>
      <c r="W93" s="119">
        <f>'2019'!AS713</f>
        <v>20252</v>
      </c>
      <c r="X93" s="119">
        <f>'2019'!AT713</f>
        <v>646</v>
      </c>
      <c r="Y93" s="119">
        <f>'2019'!AW713</f>
        <v>21774</v>
      </c>
      <c r="Z93" s="119">
        <f>'2019'!AX713</f>
        <v>1522</v>
      </c>
      <c r="AA93" s="119"/>
      <c r="AB93" s="119">
        <f>'2019'!BA713</f>
        <v>23503</v>
      </c>
      <c r="AC93" s="119">
        <f>'2019'!BB713</f>
        <v>1729</v>
      </c>
      <c r="AD93" s="119"/>
      <c r="AE93" s="119">
        <f>'2019'!BE713</f>
        <v>10825</v>
      </c>
      <c r="AF93" s="119">
        <f t="shared" si="0"/>
      </c>
    </row>
    <row r="94" ht="15.75" customHeight="1" spans="1:32" x14ac:dyDescent="0.25">
      <c r="A94" s="14"/>
      <c r="B94" s="115">
        <v>99</v>
      </c>
      <c r="C94" s="115">
        <v>4.53</v>
      </c>
      <c r="D94" s="117" t="s">
        <v>319</v>
      </c>
      <c r="E94" s="119">
        <f>'2019'!I721</f>
        <v>112</v>
      </c>
      <c r="F94" s="119">
        <f>'2019'!J721</f>
        <v>0</v>
      </c>
      <c r="G94" s="119">
        <f>'2019'!M721</f>
        <v>112</v>
      </c>
      <c r="H94" s="119">
        <f>'2019'!N721</f>
        <v>0</v>
      </c>
      <c r="I94" s="119">
        <f>'2019'!Q721</f>
        <v>112</v>
      </c>
      <c r="J94" s="119">
        <f>'2019'!R721</f>
        <v>0</v>
      </c>
      <c r="K94" s="119">
        <f>'2019'!U721</f>
        <v>112</v>
      </c>
      <c r="L94" s="119">
        <f>'2019'!V721</f>
        <v>0</v>
      </c>
      <c r="M94" s="119">
        <f>'2019'!Y721</f>
        <v>112</v>
      </c>
      <c r="N94" s="119">
        <f>'2019'!Z721</f>
        <v>0</v>
      </c>
      <c r="O94" s="119">
        <f>'2019'!AC721</f>
        <v>114</v>
      </c>
      <c r="P94" s="119">
        <f>'2019'!AD721</f>
        <v>2</v>
      </c>
      <c r="Q94" s="119">
        <f>'2019'!AG721</f>
        <v>116</v>
      </c>
      <c r="R94" s="119">
        <f>'2019'!AH721</f>
        <v>2</v>
      </c>
      <c r="S94" s="119">
        <f>'2019'!AK721</f>
        <v>122</v>
      </c>
      <c r="T94" s="119">
        <f>'2019'!AL721</f>
        <v>6</v>
      </c>
      <c r="U94" s="119">
        <f>'2019'!AO721</f>
        <v>123</v>
      </c>
      <c r="V94" s="119">
        <f>'2019'!AP721</f>
        <v>1</v>
      </c>
      <c r="W94" s="119">
        <f>'2019'!AS721</f>
        <v>128</v>
      </c>
      <c r="X94" s="119">
        <f>'2019'!AT721</f>
        <v>5</v>
      </c>
      <c r="Y94" s="119">
        <f>'2019'!AW721</f>
        <v>128</v>
      </c>
      <c r="Z94" s="119">
        <f>'2019'!AX721</f>
        <v>0</v>
      </c>
      <c r="AA94" s="119"/>
      <c r="AB94" s="119">
        <f>'2019'!BA721</f>
        <v>128</v>
      </c>
      <c r="AC94" s="119">
        <f>'2019'!BB721</f>
        <v>0</v>
      </c>
      <c r="AD94" s="119"/>
      <c r="AE94" s="119">
        <f>'2019'!BE721</f>
        <v>16</v>
      </c>
      <c r="AF94" s="119">
        <f t="shared" si="0"/>
      </c>
    </row>
    <row r="95" ht="15.75" customHeight="1" spans="1:32" x14ac:dyDescent="0.25">
      <c r="A95" s="14"/>
      <c r="B95" s="115">
        <v>101</v>
      </c>
      <c r="C95" s="115">
        <v>4.46</v>
      </c>
      <c r="D95" s="117" t="s">
        <v>321</v>
      </c>
      <c r="E95" s="119">
        <f>'2019'!I729</f>
        <v>117</v>
      </c>
      <c r="F95" s="119">
        <f>'2019'!J729</f>
        <v>0</v>
      </c>
      <c r="G95" s="119">
        <f>'2019'!M729</f>
        <v>117</v>
      </c>
      <c r="H95" s="119">
        <f>'2019'!N729</f>
        <v>0</v>
      </c>
      <c r="I95" s="119">
        <f>'2019'!Q729</f>
        <v>117</v>
      </c>
      <c r="J95" s="119">
        <f>'2019'!R729</f>
        <v>0</v>
      </c>
      <c r="K95" s="119">
        <f>'2019'!U729</f>
        <v>117</v>
      </c>
      <c r="L95" s="119">
        <f>'2019'!V729</f>
        <v>0</v>
      </c>
      <c r="M95" s="119">
        <f>'2019'!Y729</f>
        <v>120</v>
      </c>
      <c r="N95" s="119">
        <f>'2019'!Z729</f>
        <v>3</v>
      </c>
      <c r="O95" s="119">
        <f>'2019'!AC729</f>
        <v>127</v>
      </c>
      <c r="P95" s="119">
        <f>'2019'!AD729</f>
        <v>7</v>
      </c>
      <c r="Q95" s="119">
        <f>'2019'!AG729</f>
        <v>129</v>
      </c>
      <c r="R95" s="119">
        <f>'2019'!AH729</f>
        <v>2</v>
      </c>
      <c r="S95" s="119">
        <f>'2019'!AK729</f>
        <v>130</v>
      </c>
      <c r="T95" s="119">
        <f>'2019'!AL729</f>
        <v>1</v>
      </c>
      <c r="U95" s="119">
        <f>'2019'!AO729</f>
        <v>133</v>
      </c>
      <c r="V95" s="119">
        <f>'2019'!AP729</f>
        <v>3</v>
      </c>
      <c r="W95" s="119">
        <f>'2019'!AS729</f>
        <v>135</v>
      </c>
      <c r="X95" s="119">
        <f>'2019'!AT729</f>
        <v>2</v>
      </c>
      <c r="Y95" s="119">
        <f>'2019'!AW729</f>
        <v>135</v>
      </c>
      <c r="Z95" s="119">
        <f>'2019'!AX729</f>
        <v>0</v>
      </c>
      <c r="AA95" s="119"/>
      <c r="AB95" s="119">
        <f>'2019'!BA729</f>
        <v>135</v>
      </c>
      <c r="AC95" s="119">
        <f>'2019'!BB729</f>
        <v>0</v>
      </c>
      <c r="AD95" s="119"/>
      <c r="AE95" s="119">
        <f>'2019'!BE729</f>
        <v>18</v>
      </c>
      <c r="AF95" s="119">
        <f t="shared" si="0"/>
      </c>
    </row>
    <row r="96" ht="15.75" customHeight="1" spans="1:32" x14ac:dyDescent="0.25">
      <c r="A96" s="14"/>
      <c r="B96" s="115">
        <v>103</v>
      </c>
      <c r="C96" s="115">
        <v>4.42</v>
      </c>
      <c r="D96" s="117" t="s">
        <v>322</v>
      </c>
      <c r="E96" s="119">
        <f>'2019'!I737</f>
      </c>
      <c r="F96" s="119">
        <f>'2019'!J737</f>
      </c>
      <c r="G96" s="119">
        <f>'2019'!M737</f>
      </c>
      <c r="H96" s="119">
        <f>'2019'!N737</f>
        <v>0</v>
      </c>
      <c r="I96" s="119">
        <f>'2019'!Q737</f>
      </c>
      <c r="J96" s="119">
        <f>'2019'!R737</f>
        <v>0</v>
      </c>
      <c r="K96" s="119">
        <f>'2019'!U737</f>
      </c>
      <c r="L96" s="119">
        <f>'2019'!V737</f>
        <v>0</v>
      </c>
      <c r="M96" s="119">
        <f>'2019'!Y737</f>
      </c>
      <c r="N96" s="119">
        <f>'2019'!Z737</f>
        <v>0</v>
      </c>
      <c r="O96" s="119">
        <f>'2019'!AC737</f>
      </c>
      <c r="P96" s="119">
        <f>'2019'!AD737</f>
        <v>0</v>
      </c>
      <c r="Q96" s="119">
        <f>'2019'!AG737</f>
      </c>
      <c r="R96" s="119">
        <f>'2019'!AH737</f>
        <v>0</v>
      </c>
      <c r="S96" s="119">
        <f>'2019'!AK737</f>
      </c>
      <c r="T96" s="119">
        <f>'2019'!AL737</f>
        <v>0</v>
      </c>
      <c r="U96" s="119">
        <f>'2019'!AO737</f>
      </c>
      <c r="V96" s="119">
        <f>'2019'!AP737</f>
        <v>0</v>
      </c>
      <c r="W96" s="119">
        <f>'2019'!AS737</f>
      </c>
      <c r="X96" s="119">
        <f>'2019'!AT737</f>
        <v>0</v>
      </c>
      <c r="Y96" s="119">
        <f>'2019'!AW737</f>
      </c>
      <c r="Z96" s="119">
        <f>'2019'!AX737</f>
        <v>0</v>
      </c>
      <c r="AA96" s="119"/>
      <c r="AB96" s="119">
        <f>'2019'!BA737</f>
      </c>
      <c r="AC96" s="119">
        <f>'2019'!BB737</f>
        <v>0</v>
      </c>
      <c r="AD96" s="119"/>
      <c r="AE96" s="119">
        <f>'2019'!BE737</f>
        <v>0</v>
      </c>
      <c r="AF96" s="119">
        <f t="shared" si="0"/>
      </c>
    </row>
    <row r="97" ht="15.75" customHeight="1" spans="1:32" x14ac:dyDescent="0.25">
      <c r="A97" s="14"/>
      <c r="B97" s="115">
        <v>105</v>
      </c>
      <c r="C97" s="115">
        <v>4.41</v>
      </c>
      <c r="D97" s="117" t="s">
        <v>323</v>
      </c>
      <c r="E97" s="119">
        <f>'2019'!I745</f>
        <v>738</v>
      </c>
      <c r="F97" s="119">
        <f>'2019'!J745</f>
        <v>0</v>
      </c>
      <c r="G97" s="119">
        <f>'2019'!M745</f>
        <v>738</v>
      </c>
      <c r="H97" s="119">
        <f>'2019'!N745</f>
        <v>0</v>
      </c>
      <c r="I97" s="119">
        <f>'2019'!Q745</f>
        <v>738</v>
      </c>
      <c r="J97" s="119">
        <f>'2019'!R745</f>
        <v>0</v>
      </c>
      <c r="K97" s="119">
        <f>'2019'!U745</f>
        <v>738</v>
      </c>
      <c r="L97" s="119">
        <f>'2019'!V745</f>
        <v>0</v>
      </c>
      <c r="M97" s="119">
        <f>'2019'!Y745</f>
        <v>738</v>
      </c>
      <c r="N97" s="119">
        <f>'2019'!Z745</f>
        <v>0</v>
      </c>
      <c r="O97" s="119">
        <f>'2019'!AC745</f>
        <v>739</v>
      </c>
      <c r="P97" s="119">
        <f>'2019'!AD745</f>
        <v>1</v>
      </c>
      <c r="Q97" s="119">
        <f>'2019'!AG745</f>
        <v>744</v>
      </c>
      <c r="R97" s="119">
        <f>'2019'!AH745</f>
        <v>5</v>
      </c>
      <c r="S97" s="119">
        <f>'2019'!AK745</f>
        <v>798</v>
      </c>
      <c r="T97" s="119">
        <f>'2019'!AL745</f>
        <v>54</v>
      </c>
      <c r="U97" s="119">
        <f>'2019'!AO745</f>
        <v>892</v>
      </c>
      <c r="V97" s="119">
        <f>'2019'!AP745</f>
        <v>94</v>
      </c>
      <c r="W97" s="119">
        <f>'2019'!AS745</f>
        <v>946</v>
      </c>
      <c r="X97" s="119">
        <f>'2019'!AT745</f>
        <v>54</v>
      </c>
      <c r="Y97" s="119">
        <f>'2019'!AW745</f>
        <v>946</v>
      </c>
      <c r="Z97" s="119">
        <f>'2019'!AX745</f>
        <v>0</v>
      </c>
      <c r="AA97" s="119"/>
      <c r="AB97" s="119">
        <f>'2019'!BA745</f>
        <v>946</v>
      </c>
      <c r="AC97" s="119">
        <f>'2019'!BB745</f>
        <v>0</v>
      </c>
      <c r="AD97" s="119"/>
      <c r="AE97" s="119">
        <f>'2019'!BE745</f>
        <v>208</v>
      </c>
      <c r="AF97" s="119">
        <f t="shared" si="0"/>
      </c>
    </row>
    <row r="98" ht="15.75" customHeight="1" spans="1:32" x14ac:dyDescent="0.25">
      <c r="A98" s="21"/>
      <c r="B98" s="115">
        <v>107</v>
      </c>
      <c r="C98" s="115">
        <v>4.37</v>
      </c>
      <c r="D98" s="117" t="s">
        <v>325</v>
      </c>
      <c r="E98" s="119">
        <f>'2019'!I753</f>
      </c>
      <c r="F98" s="119">
        <f>'2019'!J753</f>
      </c>
      <c r="G98" s="119">
        <f>'2019'!M753</f>
      </c>
      <c r="H98" s="119">
        <f>'2019'!N753</f>
        <v>0</v>
      </c>
      <c r="I98" s="119">
        <f>'2019'!Q753</f>
      </c>
      <c r="J98" s="119">
        <f>'2019'!R753</f>
        <v>0</v>
      </c>
      <c r="K98" s="119">
        <f>'2019'!U753</f>
      </c>
      <c r="L98" s="119">
        <f>'2019'!V753</f>
        <v>0</v>
      </c>
      <c r="M98" s="119">
        <f>'2019'!Y753</f>
      </c>
      <c r="N98" s="119">
        <f>'2019'!Z753</f>
        <v>0</v>
      </c>
      <c r="O98" s="119">
        <f>'2019'!AC753</f>
      </c>
      <c r="P98" s="119">
        <f>'2019'!AD753</f>
        <v>0</v>
      </c>
      <c r="Q98" s="119">
        <f>'2019'!AG753</f>
        <v>65</v>
      </c>
      <c r="R98" s="119">
        <f>'2019'!AH753</f>
        <v>65</v>
      </c>
      <c r="S98" s="119">
        <f>'2019'!AK753</f>
        <v>111</v>
      </c>
      <c r="T98" s="119">
        <f>'2019'!AL753</f>
        <v>46</v>
      </c>
      <c r="U98" s="119">
        <f>'2019'!AO753</f>
        <v>118</v>
      </c>
      <c r="V98" s="119">
        <f>'2019'!AP753</f>
        <v>7</v>
      </c>
      <c r="W98" s="119">
        <f>'2019'!AS753</f>
        <v>118</v>
      </c>
      <c r="X98" s="119">
        <f>'2019'!AT753</f>
        <v>0</v>
      </c>
      <c r="Y98" s="119">
        <f>'2019'!AW753</f>
        <v>118</v>
      </c>
      <c r="Z98" s="119">
        <f>'2019'!AX753</f>
        <v>0</v>
      </c>
      <c r="AA98" s="119"/>
      <c r="AB98" s="119">
        <f>'2019'!BA753</f>
        <v>118</v>
      </c>
      <c r="AC98" s="119">
        <f>'2019'!BB753</f>
        <v>0</v>
      </c>
      <c r="AD98" s="119"/>
      <c r="AE98" s="119">
        <f>'2019'!BE753</f>
        <v>118</v>
      </c>
      <c r="AF98" s="119">
        <f t="shared" si="0"/>
      </c>
    </row>
    <row r="99" ht="15.75" customHeight="1" spans="1:32" x14ac:dyDescent="0.25">
      <c r="A99" s="114" t="s">
        <v>327</v>
      </c>
      <c r="B99" s="115">
        <v>96</v>
      </c>
      <c r="C99" s="115">
        <v>4.46</v>
      </c>
      <c r="D99" s="117" t="s">
        <v>316</v>
      </c>
      <c r="E99" s="119">
        <f>'2019'!I761</f>
      </c>
      <c r="F99" s="119">
        <f>'2019'!J761</f>
      </c>
      <c r="G99" s="119">
        <f>'2019'!M761</f>
      </c>
      <c r="H99" s="119">
        <f>'2019'!N761</f>
        <v>0</v>
      </c>
      <c r="I99" s="119">
        <f>'2019'!Q761</f>
      </c>
      <c r="J99" s="119">
        <f>'2019'!R761</f>
        <v>0</v>
      </c>
      <c r="K99" s="119">
        <f>'2019'!U761</f>
      </c>
      <c r="L99" s="119">
        <f>'2019'!V761</f>
        <v>0</v>
      </c>
      <c r="M99" s="119">
        <f>'2019'!Y761</f>
      </c>
      <c r="N99" s="119">
        <f>'2019'!Z761</f>
        <v>0</v>
      </c>
      <c r="O99" s="119">
        <f>'2019'!AC761</f>
      </c>
      <c r="P99" s="119">
        <f>'2019'!AD761</f>
        <v>0</v>
      </c>
      <c r="Q99" s="119">
        <f>'2019'!AG761</f>
      </c>
      <c r="R99" s="119">
        <f>'2019'!AH761</f>
        <v>0</v>
      </c>
      <c r="S99" s="119">
        <f>'2019'!AK761</f>
      </c>
      <c r="T99" s="119">
        <f>'2019'!AL761</f>
        <v>0</v>
      </c>
      <c r="U99" s="119">
        <f>'2019'!AO761</f>
      </c>
      <c r="V99" s="119">
        <f>'2019'!AP761</f>
        <v>0</v>
      </c>
      <c r="W99" s="119">
        <f>'2019'!AS761</f>
      </c>
      <c r="X99" s="119">
        <f>'2019'!AT761</f>
        <v>0</v>
      </c>
      <c r="Y99" s="119">
        <f>'2019'!AW761</f>
      </c>
      <c r="Z99" s="119">
        <f>'2019'!AX761</f>
        <v>0</v>
      </c>
      <c r="AA99" s="119"/>
      <c r="AB99" s="119">
        <f>'2019'!BA761</f>
      </c>
      <c r="AC99" s="119">
        <f>'2019'!BB761</f>
        <v>0</v>
      </c>
      <c r="AD99" s="119"/>
      <c r="AE99" s="119">
        <f>'2019'!BE761</f>
        <v>0</v>
      </c>
      <c r="AF99" s="119">
        <f t="shared" si="0"/>
      </c>
    </row>
    <row r="100" ht="15.75" customHeight="1" spans="1:32" x14ac:dyDescent="0.25">
      <c r="A100" s="14"/>
      <c r="B100" s="115">
        <v>98</v>
      </c>
      <c r="C100" s="115">
        <v>4.45</v>
      </c>
      <c r="D100" s="117" t="s">
        <v>328</v>
      </c>
      <c r="E100" s="119">
        <f>'2019'!I769</f>
      </c>
      <c r="F100" s="119">
        <f>'2019'!J769</f>
      </c>
      <c r="G100" s="119">
        <f>'2019'!M769</f>
      </c>
      <c r="H100" s="119">
        <f>'2019'!N769</f>
        <v>0</v>
      </c>
      <c r="I100" s="119">
        <f>'2019'!Q769</f>
      </c>
      <c r="J100" s="119">
        <f>'2019'!R769</f>
        <v>0</v>
      </c>
      <c r="K100" s="119">
        <f>'2019'!U769</f>
      </c>
      <c r="L100" s="119">
        <f>'2019'!V769</f>
        <v>0</v>
      </c>
      <c r="M100" s="119">
        <f>'2019'!Y769</f>
      </c>
      <c r="N100" s="119">
        <f>'2019'!Z769</f>
        <v>0</v>
      </c>
      <c r="O100" s="119">
        <f>'2019'!AC769</f>
      </c>
      <c r="P100" s="119">
        <f>'2019'!AD769</f>
        <v>0</v>
      </c>
      <c r="Q100" s="119">
        <f>'2019'!AG769</f>
      </c>
      <c r="R100" s="119">
        <f>'2019'!AH769</f>
        <v>0</v>
      </c>
      <c r="S100" s="119">
        <f>'2019'!AK769</f>
      </c>
      <c r="T100" s="119">
        <f>'2019'!AL769</f>
        <v>0</v>
      </c>
      <c r="U100" s="119">
        <f>'2019'!AO769</f>
      </c>
      <c r="V100" s="119">
        <f>'2019'!AP769</f>
        <v>0</v>
      </c>
      <c r="W100" s="119">
        <f>'2019'!AS769</f>
      </c>
      <c r="X100" s="119">
        <f>'2019'!AT769</f>
        <v>0</v>
      </c>
      <c r="Y100" s="119">
        <f>'2019'!AW769</f>
      </c>
      <c r="Z100" s="119">
        <f>'2019'!AX769</f>
        <v>0</v>
      </c>
      <c r="AA100" s="119"/>
      <c r="AB100" s="119">
        <f>'2019'!BA769</f>
      </c>
      <c r="AC100" s="119">
        <f>'2019'!BB769</f>
        <v>0</v>
      </c>
      <c r="AD100" s="119"/>
      <c r="AE100" s="119">
        <f>'2019'!BE769</f>
        <v>0</v>
      </c>
      <c r="AF100" s="119">
        <f t="shared" si="0"/>
      </c>
    </row>
    <row r="101" ht="15.75" customHeight="1" spans="1:32" x14ac:dyDescent="0.25">
      <c r="A101" s="14"/>
      <c r="B101" s="115">
        <v>100</v>
      </c>
      <c r="C101" s="115">
        <v>4.47</v>
      </c>
      <c r="D101" s="117" t="s">
        <v>330</v>
      </c>
      <c r="E101" s="119">
        <f>'2019'!I777</f>
        <v>313</v>
      </c>
      <c r="F101" s="119">
        <f>'2019'!J777</f>
        <v>0</v>
      </c>
      <c r="G101" s="119">
        <f>'2019'!M777</f>
        <v>313</v>
      </c>
      <c r="H101" s="119">
        <f>'2019'!N777</f>
        <v>0</v>
      </c>
      <c r="I101" s="119">
        <f>'2019'!Q777</f>
        <v>313</v>
      </c>
      <c r="J101" s="119">
        <f>'2019'!R777</f>
        <v>0</v>
      </c>
      <c r="K101" s="119">
        <f>'2019'!U777</f>
        <v>313</v>
      </c>
      <c r="L101" s="119">
        <f>'2019'!V777</f>
        <v>0</v>
      </c>
      <c r="M101" s="119">
        <f>'2019'!Y777</f>
        <v>366</v>
      </c>
      <c r="N101" s="119">
        <f>'2019'!Z777</f>
        <v>53</v>
      </c>
      <c r="O101" s="119">
        <f>'2019'!AC777</f>
        <v>392</v>
      </c>
      <c r="P101" s="119">
        <f>'2019'!AD777</f>
        <v>26</v>
      </c>
      <c r="Q101" s="119">
        <f>'2019'!AG777</f>
        <v>409</v>
      </c>
      <c r="R101" s="119">
        <f>'2019'!AH777</f>
        <v>17</v>
      </c>
      <c r="S101" s="119">
        <f>'2019'!AK777</f>
        <v>419</v>
      </c>
      <c r="T101" s="119">
        <f>'2019'!AL777</f>
        <v>10</v>
      </c>
      <c r="U101" s="119">
        <f>'2019'!AO777</f>
        <v>424</v>
      </c>
      <c r="V101" s="119">
        <f>'2019'!AP777</f>
        <v>5</v>
      </c>
      <c r="W101" s="119">
        <f>'2019'!AS777</f>
        <v>425</v>
      </c>
      <c r="X101" s="119">
        <f>'2019'!AT777</f>
        <v>1</v>
      </c>
      <c r="Y101" s="119">
        <f>'2019'!AW777</f>
        <v>425</v>
      </c>
      <c r="Z101" s="119">
        <f>'2019'!AX777</f>
        <v>0</v>
      </c>
      <c r="AA101" s="119"/>
      <c r="AB101" s="119">
        <f>'2019'!BA777</f>
        <v>425</v>
      </c>
      <c r="AC101" s="119">
        <f>'2019'!BB777</f>
        <v>0</v>
      </c>
      <c r="AD101" s="119"/>
      <c r="AE101" s="119">
        <f>'2019'!BE777</f>
        <v>112</v>
      </c>
      <c r="AF101" s="119">
        <f t="shared" si="0"/>
      </c>
    </row>
    <row r="102" ht="15.75" customHeight="1" spans="1:32" x14ac:dyDescent="0.25">
      <c r="A102" s="14"/>
      <c r="B102" s="115">
        <v>102</v>
      </c>
      <c r="C102" s="115">
        <v>4.45</v>
      </c>
      <c r="D102" s="117" t="s">
        <v>331</v>
      </c>
      <c r="E102" s="119">
        <f>'2019'!I785</f>
        <v>1187</v>
      </c>
      <c r="F102" s="119">
        <f>'2019'!J785</f>
        <v>30</v>
      </c>
      <c r="G102" s="119">
        <f>'2019'!M785</f>
        <v>1193</v>
      </c>
      <c r="H102" s="119">
        <f>'2019'!N785</f>
        <v>6</v>
      </c>
      <c r="I102" s="119">
        <f>'2019'!Q785</f>
        <v>1193</v>
      </c>
      <c r="J102" s="119">
        <f>'2019'!R785</f>
        <v>0</v>
      </c>
      <c r="K102" s="119">
        <f>'2019'!U785</f>
        <v>1203</v>
      </c>
      <c r="L102" s="119">
        <f>'2019'!V785</f>
        <v>10</v>
      </c>
      <c r="M102" s="119">
        <f>'2019'!Y785</f>
        <v>1244</v>
      </c>
      <c r="N102" s="119">
        <f>'2019'!Z785</f>
        <v>41</v>
      </c>
      <c r="O102" s="119">
        <f>'2019'!AC785</f>
        <v>1306</v>
      </c>
      <c r="P102" s="119">
        <f>'2019'!AD785</f>
        <v>62</v>
      </c>
      <c r="Q102" s="119">
        <f>'2019'!AG785</f>
        <v>1382</v>
      </c>
      <c r="R102" s="119">
        <f>'2019'!AH785</f>
        <v>76</v>
      </c>
      <c r="S102" s="119">
        <f>'2019'!AK785</f>
        <v>1445</v>
      </c>
      <c r="T102" s="119">
        <f>'2019'!AL785</f>
        <v>63</v>
      </c>
      <c r="U102" s="119">
        <f>'2019'!AO785</f>
        <v>1532</v>
      </c>
      <c r="V102" s="119">
        <f>'2019'!AP785</f>
        <v>87</v>
      </c>
      <c r="W102" s="119">
        <f>'2019'!AS785</f>
        <v>1591</v>
      </c>
      <c r="X102" s="119">
        <f>'2019'!AT785</f>
        <v>59</v>
      </c>
      <c r="Y102" s="119">
        <f>'2019'!AW785</f>
        <v>1643</v>
      </c>
      <c r="Z102" s="119">
        <f>'2019'!AX785</f>
        <v>52</v>
      </c>
      <c r="AA102" s="119"/>
      <c r="AB102" s="119">
        <f>'2019'!BA785</f>
        <v>1650</v>
      </c>
      <c r="AC102" s="119">
        <f>'2019'!BB785</f>
        <v>7</v>
      </c>
      <c r="AD102" s="119"/>
      <c r="AE102" s="119">
        <f>'2019'!BE785</f>
        <v>493</v>
      </c>
      <c r="AF102" s="119">
        <f t="shared" si="0"/>
      </c>
    </row>
    <row r="103" ht="15.75" customHeight="1" spans="1:32" x14ac:dyDescent="0.25">
      <c r="A103" s="14"/>
      <c r="B103" s="115">
        <v>104</v>
      </c>
      <c r="C103" s="115">
        <v>4.42</v>
      </c>
      <c r="D103" s="117" t="s">
        <v>333</v>
      </c>
      <c r="E103" s="119">
        <f>'2019'!I793</f>
        <v>620</v>
      </c>
      <c r="F103" s="119">
        <f>'2019'!J793</f>
        <v>0</v>
      </c>
      <c r="G103" s="119">
        <f>'2019'!M793</f>
        <v>620</v>
      </c>
      <c r="H103" s="119">
        <f>'2019'!N793</f>
        <v>0</v>
      </c>
      <c r="I103" s="119">
        <f>'2019'!Q793</f>
        <v>620</v>
      </c>
      <c r="J103" s="119">
        <f>'2019'!R793</f>
        <v>0</v>
      </c>
      <c r="K103" s="119">
        <f>'2019'!U793</f>
        <v>625</v>
      </c>
      <c r="L103" s="119">
        <f>'2019'!V793</f>
        <v>5</v>
      </c>
      <c r="M103" s="119">
        <f>'2019'!Y793</f>
        <v>639</v>
      </c>
      <c r="N103" s="119">
        <f>'2019'!Z793</f>
        <v>14</v>
      </c>
      <c r="O103" s="119">
        <f>'2019'!AC793</f>
        <v>682</v>
      </c>
      <c r="P103" s="119">
        <f>'2019'!AD793</f>
        <v>43</v>
      </c>
      <c r="Q103" s="119">
        <f>'2019'!AG793</f>
        <v>745</v>
      </c>
      <c r="R103" s="119">
        <f>'2019'!AH793</f>
        <v>63</v>
      </c>
      <c r="S103" s="119">
        <f>'2019'!AK793</f>
        <v>810</v>
      </c>
      <c r="T103" s="119">
        <f>'2019'!AL793</f>
        <v>65</v>
      </c>
      <c r="U103" s="119">
        <f>'2019'!AO793</f>
        <v>868</v>
      </c>
      <c r="V103" s="119">
        <f>'2019'!AP793</f>
        <v>58</v>
      </c>
      <c r="W103" s="119">
        <f>'2019'!AS793</f>
        <v>875</v>
      </c>
      <c r="X103" s="119">
        <f>'2019'!AT793</f>
        <v>7</v>
      </c>
      <c r="Y103" s="119">
        <f>'2019'!AW793</f>
        <v>877</v>
      </c>
      <c r="Z103" s="119">
        <f>'2019'!AX793</f>
        <v>2</v>
      </c>
      <c r="AA103" s="119"/>
      <c r="AB103" s="119">
        <f>'2019'!BA793</f>
        <v>877</v>
      </c>
      <c r="AC103" s="119">
        <f>'2019'!BB793</f>
        <v>0</v>
      </c>
      <c r="AD103" s="119"/>
      <c r="AE103" s="119">
        <f>'2019'!BE793</f>
        <v>257</v>
      </c>
      <c r="AF103" s="119">
        <f t="shared" si="0"/>
      </c>
    </row>
    <row r="104" ht="15.75" customHeight="1" spans="1:32" x14ac:dyDescent="0.25">
      <c r="A104" s="14"/>
      <c r="B104" s="115">
        <v>106</v>
      </c>
      <c r="C104" s="115">
        <v>4.57</v>
      </c>
      <c r="D104" s="117" t="s">
        <v>336</v>
      </c>
      <c r="E104" s="119">
        <f>'2019'!I801</f>
      </c>
      <c r="F104" s="119">
        <f>'2019'!J801</f>
      </c>
      <c r="G104" s="119">
        <f>'2019'!M801</f>
      </c>
      <c r="H104" s="119">
        <f>'2019'!N801</f>
        <v>0</v>
      </c>
      <c r="I104" s="119">
        <f>'2019'!Q801</f>
      </c>
      <c r="J104" s="119">
        <f>'2019'!R801</f>
        <v>0</v>
      </c>
      <c r="K104" s="119">
        <f>'2019'!U801</f>
      </c>
      <c r="L104" s="119">
        <f>'2019'!V801</f>
        <v>0</v>
      </c>
      <c r="M104" s="119">
        <f>'2019'!Y801</f>
      </c>
      <c r="N104" s="119">
        <f>'2019'!Z801</f>
        <v>0</v>
      </c>
      <c r="O104" s="119">
        <f>'2019'!AC801</f>
      </c>
      <c r="P104" s="119">
        <f>'2019'!AD801</f>
        <v>0</v>
      </c>
      <c r="Q104" s="119">
        <f>'2019'!AG801</f>
      </c>
      <c r="R104" s="119">
        <f>'2019'!AH801</f>
        <v>0</v>
      </c>
      <c r="S104" s="119">
        <f>'2019'!AK801</f>
      </c>
      <c r="T104" s="119">
        <f>'2019'!AL801</f>
        <v>0</v>
      </c>
      <c r="U104" s="119">
        <f>'2019'!AO801</f>
      </c>
      <c r="V104" s="119">
        <f>'2019'!AP801</f>
        <v>0</v>
      </c>
      <c r="W104" s="119">
        <f>'2019'!AS801</f>
      </c>
      <c r="X104" s="119">
        <f>'2019'!AT801</f>
        <v>0</v>
      </c>
      <c r="Y104" s="119">
        <f>'2019'!AW801</f>
      </c>
      <c r="Z104" s="119">
        <f>'2019'!AX801</f>
        <v>0</v>
      </c>
      <c r="AA104" s="119"/>
      <c r="AB104" s="119">
        <f>'2019'!BA801</f>
      </c>
      <c r="AC104" s="119">
        <f>'2019'!BB801</f>
        <v>0</v>
      </c>
      <c r="AD104" s="119"/>
      <c r="AE104" s="119">
        <f>'2019'!BE801</f>
        <v>0</v>
      </c>
      <c r="AF104" s="119">
        <f t="shared" si="0"/>
      </c>
    </row>
    <row r="105" ht="15.75" customHeight="1" spans="1:32" x14ac:dyDescent="0.25">
      <c r="A105" s="14"/>
      <c r="B105" s="115">
        <v>108</v>
      </c>
      <c r="C105" s="115">
        <v>4.32</v>
      </c>
      <c r="D105" s="117" t="s">
        <v>339</v>
      </c>
      <c r="E105" s="119">
        <f>'2019'!I809</f>
      </c>
      <c r="F105" s="119">
        <f>'2019'!J809</f>
      </c>
      <c r="G105" s="119">
        <f>'2019'!M809</f>
      </c>
      <c r="H105" s="119">
        <f>'2019'!N809</f>
        <v>0</v>
      </c>
      <c r="I105" s="119">
        <f>'2019'!Q809</f>
      </c>
      <c r="J105" s="119">
        <f>'2019'!R809</f>
        <v>0</v>
      </c>
      <c r="K105" s="119">
        <f>'2019'!U809</f>
      </c>
      <c r="L105" s="119">
        <f>'2019'!V809</f>
        <v>0</v>
      </c>
      <c r="M105" s="119">
        <f>'2019'!Y809</f>
      </c>
      <c r="N105" s="119">
        <f>'2019'!Z809</f>
        <v>0</v>
      </c>
      <c r="O105" s="119">
        <f>'2019'!AC809</f>
      </c>
      <c r="P105" s="119">
        <f>'2019'!AD809</f>
        <v>0</v>
      </c>
      <c r="Q105" s="119">
        <f>'2019'!AG809</f>
      </c>
      <c r="R105" s="119">
        <f>'2019'!AH809</f>
        <v>0</v>
      </c>
      <c r="S105" s="119">
        <f>'2019'!AK809</f>
      </c>
      <c r="T105" s="119">
        <f>'2019'!AL809</f>
        <v>0</v>
      </c>
      <c r="U105" s="119">
        <f>'2019'!AO809</f>
      </c>
      <c r="V105" s="119">
        <f>'2019'!AP809</f>
        <v>0</v>
      </c>
      <c r="W105" s="119">
        <f>'2019'!AS809</f>
      </c>
      <c r="X105" s="119">
        <f>'2019'!AT809</f>
        <v>0</v>
      </c>
      <c r="Y105" s="119">
        <f>'2019'!AW809</f>
      </c>
      <c r="Z105" s="119">
        <f>'2019'!AX809</f>
        <v>0</v>
      </c>
      <c r="AA105" s="119"/>
      <c r="AB105" s="119">
        <f>'2019'!BA809</f>
      </c>
      <c r="AC105" s="119">
        <f>'2019'!BB809</f>
        <v>0</v>
      </c>
      <c r="AD105" s="119"/>
      <c r="AE105" s="119">
        <f>'2019'!BE809</f>
        <v>0</v>
      </c>
      <c r="AF105" s="119">
        <f t="shared" si="0"/>
      </c>
    </row>
    <row r="106" ht="15.75" customHeight="1" spans="1:32" x14ac:dyDescent="0.25">
      <c r="A106" s="14"/>
      <c r="B106" s="115">
        <v>109</v>
      </c>
      <c r="C106" s="115">
        <v>6.22</v>
      </c>
      <c r="D106" s="117" t="s">
        <v>340</v>
      </c>
      <c r="E106" s="119">
        <f>'2019'!I817</f>
      </c>
      <c r="F106" s="119">
        <f>'2019'!J817</f>
      </c>
      <c r="G106" s="119">
        <f>'2019'!M817</f>
      </c>
      <c r="H106" s="119">
        <f>'2019'!N817</f>
        <v>0</v>
      </c>
      <c r="I106" s="119">
        <f>'2019'!Q817</f>
      </c>
      <c r="J106" s="119">
        <f>'2019'!R817</f>
        <v>0</v>
      </c>
      <c r="K106" s="119">
        <f>'2019'!U817</f>
      </c>
      <c r="L106" s="119">
        <f>'2019'!V817</f>
        <v>0</v>
      </c>
      <c r="M106" s="119">
        <f>'2019'!Y817</f>
        <v>8</v>
      </c>
      <c r="N106" s="119">
        <f>'2019'!Z817</f>
        <v>8</v>
      </c>
      <c r="O106" s="119">
        <f>'2019'!AC817</f>
        <v>8</v>
      </c>
      <c r="P106" s="119">
        <f>'2019'!AD817</f>
        <v>0</v>
      </c>
      <c r="Q106" s="119">
        <f>'2019'!AG817</f>
        <v>24</v>
      </c>
      <c r="R106" s="119">
        <f>'2019'!AH817</f>
        <v>16</v>
      </c>
      <c r="S106" s="119">
        <f>'2019'!AK817</f>
        <v>32</v>
      </c>
      <c r="T106" s="119">
        <f>'2019'!AL817</f>
        <v>8</v>
      </c>
      <c r="U106" s="119">
        <f>'2019'!AO817</f>
        <v>35</v>
      </c>
      <c r="V106" s="119">
        <f>'2019'!AP817</f>
        <v>3</v>
      </c>
      <c r="W106" s="119">
        <f>'2019'!AS817</f>
        <v>35</v>
      </c>
      <c r="X106" s="119">
        <f>'2019'!AT817</f>
        <v>0</v>
      </c>
      <c r="Y106" s="119">
        <f>'2019'!AW817</f>
        <v>35</v>
      </c>
      <c r="Z106" s="119">
        <f>'2019'!AX817</f>
        <v>0</v>
      </c>
      <c r="AA106" s="119"/>
      <c r="AB106" s="119">
        <f>'2019'!BA817</f>
        <v>35</v>
      </c>
      <c r="AC106" s="119">
        <f>'2019'!BB817</f>
        <v>0</v>
      </c>
      <c r="AD106" s="119"/>
      <c r="AE106" s="119">
        <f>'2019'!BE817</f>
        <v>35</v>
      </c>
      <c r="AF106" s="119">
        <f t="shared" si="0"/>
      </c>
    </row>
    <row r="107" ht="15.75" customHeight="1" spans="1:32" x14ac:dyDescent="0.25">
      <c r="A107" s="14"/>
      <c r="B107" s="115">
        <v>110</v>
      </c>
      <c r="C107" s="115">
        <v>4.91</v>
      </c>
      <c r="D107" s="117" t="s">
        <v>342</v>
      </c>
      <c r="E107" s="119">
        <f>'2019'!I825</f>
        <v>100</v>
      </c>
      <c r="F107" s="119">
        <f>'2019'!J825</f>
        <v>0</v>
      </c>
      <c r="G107" s="119">
        <f>'2019'!M825</f>
        <v>100</v>
      </c>
      <c r="H107" s="119">
        <f>'2019'!N825</f>
        <v>0</v>
      </c>
      <c r="I107" s="119">
        <f>'2019'!Q825</f>
        <v>100</v>
      </c>
      <c r="J107" s="119">
        <f>'2019'!R825</f>
        <v>0</v>
      </c>
      <c r="K107" s="119">
        <f>'2019'!U825</f>
        <v>100</v>
      </c>
      <c r="L107" s="119">
        <f>'2019'!V825</f>
        <v>0</v>
      </c>
      <c r="M107" s="119">
        <f>'2019'!Y825</f>
        <v>100</v>
      </c>
      <c r="N107" s="119">
        <f>'2019'!Z825</f>
        <v>0</v>
      </c>
      <c r="O107" s="119">
        <f>'2019'!AC825</f>
        <v>101</v>
      </c>
      <c r="P107" s="119">
        <f>'2019'!AD825</f>
        <v>1</v>
      </c>
      <c r="Q107" s="119">
        <f>'2019'!AG825</f>
        <v>107</v>
      </c>
      <c r="R107" s="119">
        <f>'2019'!AH825</f>
        <v>6</v>
      </c>
      <c r="S107" s="119">
        <f>'2019'!AK825</f>
        <v>111</v>
      </c>
      <c r="T107" s="119">
        <f>'2019'!AL825</f>
        <v>4</v>
      </c>
      <c r="U107" s="119">
        <f>'2019'!AO825</f>
        <v>115</v>
      </c>
      <c r="V107" s="119">
        <f>'2019'!AP825</f>
        <v>4</v>
      </c>
      <c r="W107" s="119">
        <f>'2019'!AS825</f>
        <v>138</v>
      </c>
      <c r="X107" s="119">
        <f>'2019'!AT825</f>
        <v>23</v>
      </c>
      <c r="Y107" s="119">
        <f>'2019'!AW825</f>
        <v>139</v>
      </c>
      <c r="Z107" s="119">
        <f>'2019'!AX825</f>
        <v>1</v>
      </c>
      <c r="AA107" s="119"/>
      <c r="AB107" s="119">
        <f>'2019'!BA825</f>
        <v>139</v>
      </c>
      <c r="AC107" s="119">
        <f>'2019'!BB825</f>
        <v>0</v>
      </c>
      <c r="AD107" s="119"/>
      <c r="AE107" s="119">
        <f>'2019'!BE825</f>
        <v>39</v>
      </c>
      <c r="AF107" s="119">
        <f t="shared" si="0"/>
      </c>
    </row>
    <row r="108" ht="15.75" customHeight="1" spans="1:32" x14ac:dyDescent="0.25">
      <c r="A108" s="14"/>
      <c r="B108" s="115">
        <v>111</v>
      </c>
      <c r="C108" s="116">
        <v>6.8</v>
      </c>
      <c r="D108" s="117" t="s">
        <v>280</v>
      </c>
      <c r="E108" s="119">
        <f>'2019'!I833</f>
        <v>1</v>
      </c>
      <c r="F108" s="119">
        <f>'2019'!J833</f>
        <v>0</v>
      </c>
      <c r="G108" s="119">
        <f>'2019'!M833</f>
        <v>1</v>
      </c>
      <c r="H108" s="119">
        <f>'2019'!N833</f>
        <v>0</v>
      </c>
      <c r="I108" s="119">
        <f>'2019'!Q833</f>
        <v>1</v>
      </c>
      <c r="J108" s="119">
        <f>'2019'!R833</f>
        <v>0</v>
      </c>
      <c r="K108" s="119">
        <f>'2019'!U833</f>
        <v>3</v>
      </c>
      <c r="L108" s="119">
        <f>'2019'!V833</f>
        <v>2</v>
      </c>
      <c r="M108" s="119">
        <f>'2019'!Y833</f>
        <v>1</v>
      </c>
      <c r="N108" s="119">
        <f>'2019'!Z833</f>
        <v>-2</v>
      </c>
      <c r="O108" s="119">
        <f>'2019'!AC833</f>
        <v>23</v>
      </c>
      <c r="P108" s="119">
        <f>'2019'!AD833</f>
        <v>22</v>
      </c>
      <c r="Q108" s="119">
        <f>'2019'!AG833</f>
        <v>30</v>
      </c>
      <c r="R108" s="119">
        <f>'2019'!AH833</f>
        <v>7</v>
      </c>
      <c r="S108" s="119">
        <f>'2019'!AK833</f>
        <v>40</v>
      </c>
      <c r="T108" s="119">
        <f>'2019'!AL833</f>
        <v>10</v>
      </c>
      <c r="U108" s="119">
        <f>'2019'!AO833</f>
        <v>51</v>
      </c>
      <c r="V108" s="119">
        <f>'2019'!AP833</f>
        <v>11</v>
      </c>
      <c r="W108" s="119">
        <f>'2019'!AS833</f>
        <v>216</v>
      </c>
      <c r="X108" s="119">
        <f>'2019'!AT833</f>
        <v>165</v>
      </c>
      <c r="Y108" s="119">
        <f>'2019'!AW833</f>
        <v>648</v>
      </c>
      <c r="Z108" s="119">
        <f>'2019'!AX833</f>
        <v>432</v>
      </c>
      <c r="AA108" s="119"/>
      <c r="AB108" s="119">
        <f>'2019'!BA833</f>
        <v>868</v>
      </c>
      <c r="AC108" s="119">
        <f>'2019'!BB833</f>
        <v>220</v>
      </c>
      <c r="AD108" s="119"/>
      <c r="AE108" s="119">
        <f>'2019'!BE833</f>
        <v>867</v>
      </c>
      <c r="AF108" s="119">
        <f t="shared" si="0"/>
      </c>
    </row>
    <row r="109" ht="15.75" customHeight="1" spans="1:32" x14ac:dyDescent="0.25">
      <c r="A109" s="14"/>
      <c r="B109" s="115">
        <v>112</v>
      </c>
      <c r="C109" s="115">
        <v>4.94</v>
      </c>
      <c r="D109" s="117" t="s">
        <v>364</v>
      </c>
      <c r="E109" s="119">
        <f>'2019'!I841</f>
        <v>111</v>
      </c>
      <c r="F109" s="119">
        <f>'2019'!J841</f>
        <v>0</v>
      </c>
      <c r="G109" s="119">
        <f>'2019'!M841</f>
        <v>111</v>
      </c>
      <c r="H109" s="119">
        <f>'2019'!N841</f>
        <v>0</v>
      </c>
      <c r="I109" s="119">
        <f>'2019'!Q841</f>
        <v>111</v>
      </c>
      <c r="J109" s="119">
        <f>'2019'!R841</f>
        <v>0</v>
      </c>
      <c r="K109" s="119">
        <f>'2019'!U841</f>
        <v>111</v>
      </c>
      <c r="L109" s="119">
        <f>'2019'!V841</f>
        <v>0</v>
      </c>
      <c r="M109" s="119">
        <f>'2019'!Y841</f>
        <v>113</v>
      </c>
      <c r="N109" s="119">
        <f>'2019'!Z841</f>
        <v>2</v>
      </c>
      <c r="O109" s="119">
        <f>'2019'!AC841</f>
        <v>115</v>
      </c>
      <c r="P109" s="119">
        <f>'2019'!AD841</f>
        <v>2</v>
      </c>
      <c r="Q109" s="119">
        <f>'2019'!AG841</f>
        <v>122</v>
      </c>
      <c r="R109" s="119">
        <f>'2019'!AH841</f>
        <v>7</v>
      </c>
      <c r="S109" s="119">
        <f>'2019'!AK841</f>
        <v>126</v>
      </c>
      <c r="T109" s="119">
        <f>'2019'!AL841</f>
        <v>4</v>
      </c>
      <c r="U109" s="119">
        <f>'2019'!AO841</f>
        <v>147</v>
      </c>
      <c r="V109" s="119">
        <f>'2019'!AP841</f>
        <v>21</v>
      </c>
      <c r="W109" s="119">
        <f>'2019'!AS841</f>
        <v>155</v>
      </c>
      <c r="X109" s="119">
        <f>'2019'!AT841</f>
        <v>8</v>
      </c>
      <c r="Y109" s="119">
        <f>'2019'!AW841</f>
        <v>155</v>
      </c>
      <c r="Z109" s="119">
        <f>'2019'!AX841</f>
        <v>0</v>
      </c>
      <c r="AA109" s="119"/>
      <c r="AB109" s="119">
        <f>'2019'!BA841</f>
        <v>155</v>
      </c>
      <c r="AC109" s="119">
        <f>'2019'!BB841</f>
        <v>0</v>
      </c>
      <c r="AD109" s="119"/>
      <c r="AE109" s="119">
        <f>'2019'!BE841</f>
        <v>44</v>
      </c>
      <c r="AF109" s="119">
        <f t="shared" si="0"/>
      </c>
    </row>
    <row r="110" ht="15.75" customHeight="1" spans="1:32" x14ac:dyDescent="0.25">
      <c r="A110" s="14"/>
      <c r="B110" s="115">
        <v>113</v>
      </c>
      <c r="C110" s="115">
        <v>4.98</v>
      </c>
      <c r="D110" s="117" t="s">
        <v>348</v>
      </c>
      <c r="E110" s="119">
        <f>'2019'!I849</f>
      </c>
      <c r="F110" s="119">
        <f>'2019'!J849</f>
      </c>
      <c r="G110" s="119">
        <f>'2019'!M849</f>
      </c>
      <c r="H110" s="119">
        <f>'2019'!N849</f>
        <v>0</v>
      </c>
      <c r="I110" s="119">
        <f>'2019'!Q849</f>
      </c>
      <c r="J110" s="119">
        <f>'2019'!R849</f>
        <v>0</v>
      </c>
      <c r="K110" s="119">
        <f>'2019'!U849</f>
      </c>
      <c r="L110" s="119">
        <f>'2019'!V849</f>
        <v>0</v>
      </c>
      <c r="M110" s="119">
        <f>'2019'!Y849</f>
      </c>
      <c r="N110" s="119">
        <f>'2019'!Z849</f>
        <v>0</v>
      </c>
      <c r="O110" s="119">
        <f>'2019'!AC849</f>
      </c>
      <c r="P110" s="119">
        <f>'2019'!AD849</f>
        <v>0</v>
      </c>
      <c r="Q110" s="119">
        <f>'2019'!AG849</f>
      </c>
      <c r="R110" s="119">
        <f>'2019'!AH849</f>
        <v>0</v>
      </c>
      <c r="S110" s="119">
        <f>'2019'!AK849</f>
      </c>
      <c r="T110" s="119">
        <f>'2019'!AL849</f>
        <v>0</v>
      </c>
      <c r="U110" s="119">
        <f>'2019'!AO849</f>
      </c>
      <c r="V110" s="119">
        <f>'2019'!AP849</f>
        <v>0</v>
      </c>
      <c r="W110" s="119">
        <f>'2019'!AS849</f>
      </c>
      <c r="X110" s="119">
        <f>'2019'!AT849</f>
        <v>0</v>
      </c>
      <c r="Y110" s="119">
        <f>'2019'!AW849</f>
      </c>
      <c r="Z110" s="119">
        <f>'2019'!AX849</f>
        <v>0</v>
      </c>
      <c r="AA110" s="119"/>
      <c r="AB110" s="119">
        <f>'2019'!BA849</f>
      </c>
      <c r="AC110" s="119">
        <f>'2019'!BB849</f>
        <v>0</v>
      </c>
      <c r="AD110" s="119"/>
      <c r="AE110" s="119">
        <f>'2019'!BE849</f>
        <v>0</v>
      </c>
      <c r="AF110" s="119">
        <f t="shared" si="0"/>
      </c>
    </row>
    <row r="111" ht="15.75" customHeight="1" spans="1:32" x14ac:dyDescent="0.25">
      <c r="A111" s="14"/>
      <c r="B111" s="118">
        <v>114</v>
      </c>
      <c r="C111" s="115">
        <v>4.86</v>
      </c>
      <c r="D111" s="117" t="s">
        <v>245</v>
      </c>
      <c r="E111" s="119">
        <f>'2019'!I857</f>
        <v>28</v>
      </c>
      <c r="F111" s="119">
        <f>'2019'!J857</f>
        <v>0</v>
      </c>
      <c r="G111" s="119">
        <f>'2019'!M857</f>
        <v>28</v>
      </c>
      <c r="H111" s="119">
        <f>'2019'!N857</f>
        <v>0</v>
      </c>
      <c r="I111" s="119">
        <f>'2019'!Q857</f>
        <v>28</v>
      </c>
      <c r="J111" s="119">
        <f>'2019'!R857</f>
        <v>0</v>
      </c>
      <c r="K111" s="119">
        <f>'2019'!U857</f>
        <v>28</v>
      </c>
      <c r="L111" s="119">
        <f>'2019'!V857</f>
        <v>0</v>
      </c>
      <c r="M111" s="119">
        <f>'2019'!Y857</f>
        <v>28</v>
      </c>
      <c r="N111" s="119">
        <f>'2019'!Z857</f>
        <v>0</v>
      </c>
      <c r="O111" s="119">
        <f>'2019'!AC857</f>
        <v>28</v>
      </c>
      <c r="P111" s="119">
        <f>'2019'!AD857</f>
        <v>0</v>
      </c>
      <c r="Q111" s="119">
        <f>'2019'!AG857</f>
        <v>28</v>
      </c>
      <c r="R111" s="119">
        <f>'2019'!AH857</f>
        <v>0</v>
      </c>
      <c r="S111" s="119">
        <f>'2019'!AK857</f>
        <v>28</v>
      </c>
      <c r="T111" s="119">
        <f>'2019'!AL857</f>
        <v>0</v>
      </c>
      <c r="U111" s="119">
        <f>'2019'!AO857</f>
        <v>28</v>
      </c>
      <c r="V111" s="119">
        <f>'2019'!AP857</f>
        <v>0</v>
      </c>
      <c r="W111" s="119">
        <f>'2019'!AS857</f>
        <v>28</v>
      </c>
      <c r="X111" s="119">
        <f>'2019'!AT857</f>
        <v>0</v>
      </c>
      <c r="Y111" s="119">
        <f>'2019'!AW857</f>
        <v>28</v>
      </c>
      <c r="Z111" s="119">
        <f>'2019'!AX857</f>
        <v>0</v>
      </c>
      <c r="AA111" s="119"/>
      <c r="AB111" s="119">
        <f>'2019'!BA857</f>
        <v>28</v>
      </c>
      <c r="AC111" s="119">
        <f>'2019'!BB857</f>
        <v>0</v>
      </c>
      <c r="AD111" s="119"/>
      <c r="AE111" s="119">
        <f>'2019'!BE857</f>
        <v>0</v>
      </c>
      <c r="AF111" s="119">
        <f t="shared" si="0"/>
      </c>
    </row>
    <row r="112" ht="15.75" customHeight="1" spans="1:32" x14ac:dyDescent="0.25">
      <c r="A112" s="117"/>
      <c r="B112" s="115" t="s">
        <v>350</v>
      </c>
      <c r="C112" s="116">
        <f>SUM(C5:C111)</f>
        <v>505.74</v>
      </c>
      <c r="D112" s="117"/>
      <c r="E112" s="119">
        <f t="shared" ref="E112:AC112" si="1">SUM(E5:E111)</f>
        <v>126867</v>
      </c>
      <c r="F112" s="119">
        <f t="shared" si="1"/>
        <v>6850</v>
      </c>
      <c r="G112" s="119">
        <f t="shared" si="1"/>
        <v>133290</v>
      </c>
      <c r="H112" s="119">
        <f t="shared" si="1"/>
        <v>6423</v>
      </c>
      <c r="I112" s="119">
        <f t="shared" si="1"/>
        <v>136780</v>
      </c>
      <c r="J112" s="119">
        <f t="shared" si="1"/>
        <v>3490</v>
      </c>
      <c r="K112" s="119">
        <f t="shared" si="1"/>
        <v>140780</v>
      </c>
      <c r="L112" s="119">
        <f t="shared" si="1"/>
        <v>4000</v>
      </c>
      <c r="M112" s="119">
        <f t="shared" si="1"/>
        <v>146488</v>
      </c>
      <c r="N112" s="119">
        <f t="shared" si="1"/>
        <v>5708</v>
      </c>
      <c r="O112" s="119">
        <f t="shared" si="1"/>
        <v>151155</v>
      </c>
      <c r="P112" s="119">
        <f t="shared" si="1"/>
        <v>4667</v>
      </c>
      <c r="Q112" s="119">
        <f t="shared" si="1"/>
        <v>156890</v>
      </c>
      <c r="R112" s="119">
        <f t="shared" si="1"/>
        <v>5735</v>
      </c>
      <c r="S112" s="119">
        <f t="shared" si="1"/>
        <v>161378</v>
      </c>
      <c r="T112" s="119">
        <f t="shared" si="1"/>
        <v>4488</v>
      </c>
      <c r="U112" s="119">
        <f t="shared" si="1"/>
        <v>168480.5</v>
      </c>
      <c r="V112" s="119">
        <f t="shared" si="1"/>
        <v>7102.5</v>
      </c>
      <c r="W112" s="119">
        <f t="shared" si="1"/>
        <v>173687</v>
      </c>
      <c r="X112" s="119">
        <f t="shared" si="1"/>
        <v>5206.5</v>
      </c>
      <c r="Y112" s="119">
        <f t="shared" si="1"/>
        <v>179190</v>
      </c>
      <c r="Z112" s="119">
        <f t="shared" si="1"/>
        <v>5503</v>
      </c>
      <c r="AA112" s="119">
        <f t="shared" si="1"/>
        <v>0</v>
      </c>
      <c r="AB112" s="119">
        <f t="shared" si="1"/>
        <v>185309</v>
      </c>
      <c r="AC112" s="119">
        <f t="shared" si="1"/>
        <v>6119</v>
      </c>
      <c r="AD112" s="119"/>
      <c r="AE112" s="119">
        <f t="shared" ref="AE112:AF112" si="2">SUM(AE5:AE111)</f>
        <v>65292</v>
      </c>
      <c r="AF112" s="119">
        <f t="shared" si="2"/>
        <v>0</v>
      </c>
    </row>
    <row r="113" ht="15.75" customHeight="1" spans="1:3" x14ac:dyDescent="0.25">
      <c r="A113" s="15"/>
      <c r="B113" s="112"/>
      <c r="C113" s="112"/>
    </row>
    <row r="114" ht="15.75" customHeight="1" spans="1:31" x14ac:dyDescent="0.25" outlineLevel="1" collapsed="1">
      <c r="A114" s="15"/>
      <c r="B114" s="112"/>
      <c r="C114" s="112"/>
      <c r="E114" s="120" t="b">
        <f>E112='2019'!I867</f>
        <v>1</v>
      </c>
      <c r="F114" s="120" t="b">
        <f>F112='2019'!J867</f>
        <v>1</v>
      </c>
      <c r="G114" s="120" t="b">
        <f>G112='2019'!M867</f>
        <v>1</v>
      </c>
      <c r="H114" s="120" t="b">
        <f>H112='2019'!N867</f>
        <v>1</v>
      </c>
      <c r="I114" s="120" t="b">
        <f>I112='2019'!Q867</f>
        <v>1</v>
      </c>
      <c r="J114" s="120" t="b">
        <f>J112='2019'!R867</f>
        <v>1</v>
      </c>
      <c r="K114" s="120" t="b">
        <f>K112='2019'!U867</f>
        <v>1</v>
      </c>
      <c r="L114" s="120" t="b">
        <f>L112='2019'!V867</f>
        <v>1</v>
      </c>
      <c r="M114" s="120" t="b">
        <f>M112='2019'!Y867</f>
        <v>1</v>
      </c>
      <c r="N114" s="120" t="b">
        <f>N112='2019'!Z867</f>
        <v>1</v>
      </c>
      <c r="O114" s="120" t="b">
        <f>O112='2019'!AC867</f>
        <v>1</v>
      </c>
      <c r="P114" s="120" t="b">
        <f>P112='2019'!AD867</f>
        <v>1</v>
      </c>
      <c r="Q114" s="120" t="b">
        <f>Q112='2019'!AG867</f>
        <v>1</v>
      </c>
      <c r="R114" s="120" t="b">
        <f>R112='2019'!AH867</f>
        <v>1</v>
      </c>
      <c r="S114" s="120" t="b">
        <f>S112='2019'!AK867</f>
        <v>1</v>
      </c>
      <c r="T114" s="120" t="b">
        <f>T112='2019'!AL867</f>
        <v>1</v>
      </c>
      <c r="U114" s="120" t="b">
        <f>U112='2019'!AO867</f>
        <v>1</v>
      </c>
      <c r="V114" s="120" t="b">
        <f>V112='2019'!AP867</f>
        <v>1</v>
      </c>
      <c r="W114" s="120" t="b">
        <f>W112='2019'!AS867</f>
        <v>1</v>
      </c>
      <c r="X114" s="120" t="b">
        <f>X112='2019'!AT867</f>
        <v>1</v>
      </c>
      <c r="Y114" s="120" t="b">
        <f>Y112='2019'!AW867</f>
        <v>1</v>
      </c>
      <c r="Z114" s="120" t="b">
        <f>Z112='2019'!AX867</f>
        <v>1</v>
      </c>
      <c r="AA114" s="121"/>
      <c r="AB114" s="120" t="b">
        <f>AB112='2019'!BA867</f>
        <v>1</v>
      </c>
      <c r="AC114" s="120" t="b">
        <f>AC112='2019'!BB867</f>
        <v>1</v>
      </c>
      <c r="AD114" s="120"/>
      <c r="AE114" s="120" t="b">
        <f>AE112='2019'!BE867</f>
        <v>1</v>
      </c>
    </row>
    <row r="115" ht="15.75" customHeight="1" spans="1:31" x14ac:dyDescent="0.25">
      <c r="A115" s="15"/>
      <c r="B115" s="112"/>
      <c r="C115" s="112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 t="b">
        <f>AE112=F112+H112+J112+L112+N112+P112+R112+T112+V112+X112+Z112+AC112</f>
        <v>1</v>
      </c>
    </row>
    <row r="116" ht="15.75" customHeight="1" spans="1:3" x14ac:dyDescent="0.25">
      <c r="A116" s="15"/>
      <c r="B116" s="112"/>
      <c r="C116" s="112"/>
    </row>
    <row r="117" ht="15.75" customHeight="1" spans="1:3" x14ac:dyDescent="0.25">
      <c r="A117" s="15"/>
      <c r="B117" s="112"/>
      <c r="C117" s="112"/>
    </row>
    <row r="118" ht="15.75" customHeight="1" spans="1:3" x14ac:dyDescent="0.25">
      <c r="A118" s="15"/>
      <c r="B118" s="112"/>
      <c r="C118" s="112"/>
    </row>
    <row r="119" ht="15.75" customHeight="1" spans="1:3" x14ac:dyDescent="0.25">
      <c r="A119" s="15"/>
      <c r="B119" s="112"/>
      <c r="C119" s="112"/>
    </row>
    <row r="120" ht="15.75" customHeight="1" spans="1:3" x14ac:dyDescent="0.25">
      <c r="A120" s="15"/>
      <c r="B120" s="112"/>
      <c r="C120" s="112"/>
    </row>
    <row r="121" ht="15.75" customHeight="1" spans="1:3" x14ac:dyDescent="0.25">
      <c r="A121" s="15"/>
      <c r="B121" s="112"/>
      <c r="C121" s="112"/>
    </row>
    <row r="122" ht="15.75" customHeight="1" spans="1:3" x14ac:dyDescent="0.25">
      <c r="A122" s="15"/>
      <c r="B122" s="112"/>
      <c r="C122" s="112"/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B$4:$AE$114"/>
  <mergeCells count="12"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AA3"/>
    <mergeCell ref="AB3:AD3"/>
  </mergeCells>
  <pageMargins left="0.196527777777778" right="0" top="0.196527777777778" bottom="0.196527777777778" header="0" footer="0"/>
  <pageSetup paperSize="9" orientation="landscape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FF"/>
  </sheetPr>
  <dimension ref="A1:L1000"/>
  <sheetViews>
    <sheetView workbookViewId="0" zoomScale="100" zoomScaleNormal="100">
      <pane xSplit="4" ySplit="2" topLeftCell="E3" activePane="bottomRight" state="frozen"/>
      <selection pane="bottomRight" activeCell="E3" sqref="E3"/>
    </sheetView>
  </sheetViews>
  <sheetFormatPr defaultRowHeight="15" outlineLevelRow="1" outlineLevelCol="1" x14ac:dyDescent="0" defaultColWidth="14.43"/>
  <cols>
    <col min="1" max="1" width="9.14" customWidth="1"/>
    <col min="2" max="2" width="7.14" customWidth="1"/>
    <col min="3" max="3" width="6.43" hidden="1" outlineLevel="1" collapsed="1" customWidth="1"/>
    <col min="4" max="4" width="13.86" hidden="1" outlineLevel="1" collapsed="1" customWidth="1"/>
    <col min="5" max="5" width="8.86" customWidth="1"/>
    <col min="6" max="6" width="17.86" customWidth="1"/>
    <col min="7" max="8" width="8.43" customWidth="1"/>
    <col min="9" max="9" width="8.86" hidden="1" outlineLevel="1" collapsed="1" customWidth="1"/>
    <col min="10" max="10" width="14.43" hidden="1" outlineLevel="1" collapsed="1" customWidth="1"/>
    <col min="11" max="11" width="8.86" customWidth="1"/>
    <col min="12" max="12" width="16.57" customWidth="1"/>
  </cols>
  <sheetData>
    <row r="1" spans="1:11" x14ac:dyDescent="0.25">
      <c r="A1" s="1" t="s">
        <v>365</v>
      </c>
      <c r="B1" s="112"/>
      <c r="C1" s="112"/>
      <c r="E1" s="2" t="s">
        <v>366</v>
      </c>
      <c r="K1" s="2" t="str">
        <f>'2019'!F1</f>
        <v>на 01 января 2020 года</v>
      </c>
    </row>
    <row r="2" spans="1:12" x14ac:dyDescent="0.25">
      <c r="A2" s="4"/>
      <c r="B2" s="17" t="s">
        <v>480</v>
      </c>
      <c r="C2" s="17" t="s">
        <v>354</v>
      </c>
      <c r="D2" s="16" t="s">
        <v>355</v>
      </c>
      <c r="E2" s="11" t="s">
        <v>20</v>
      </c>
      <c r="F2" s="163" t="s">
        <v>9</v>
      </c>
      <c r="G2" s="16"/>
      <c r="H2" s="17" t="s">
        <v>480</v>
      </c>
      <c r="I2" s="17" t="s">
        <v>354</v>
      </c>
      <c r="J2" s="16" t="s">
        <v>355</v>
      </c>
      <c r="K2" s="11" t="s">
        <v>20</v>
      </c>
      <c r="L2" s="163" t="s">
        <v>9</v>
      </c>
    </row>
    <row r="3" spans="1:12" x14ac:dyDescent="0.25">
      <c r="A3" s="114" t="s">
        <v>41</v>
      </c>
      <c r="B3" s="115">
        <f>'2019'!A8</f>
        <v>1</v>
      </c>
      <c r="C3" s="116">
        <v>4</v>
      </c>
      <c r="D3" s="117" t="str">
        <f>'2019'!C8</f>
        <v>сторож</v>
      </c>
      <c r="E3" s="119">
        <f>'Эл.энергия (расход)_19'!AB5</f>
        <v>4682</v>
      </c>
      <c r="F3" s="21"/>
      <c r="G3" s="114" t="s">
        <v>217</v>
      </c>
      <c r="H3" s="115">
        <v>59</v>
      </c>
      <c r="I3" s="116">
        <v>4</v>
      </c>
      <c r="J3" s="117" t="s">
        <v>221</v>
      </c>
      <c r="K3" s="119">
        <f>'Эл.энергия (расход)_19'!AB59</f>
      </c>
      <c r="L3" s="117"/>
    </row>
    <row r="4" spans="1:12" x14ac:dyDescent="0.25">
      <c r="A4" s="14"/>
      <c r="B4" s="115">
        <v>2</v>
      </c>
      <c r="C4" s="115">
        <v>4.12</v>
      </c>
      <c r="D4" s="117" t="s">
        <v>359</v>
      </c>
      <c r="E4" s="119">
        <f>'Эл.энергия (расход)_19'!AB6</f>
        <v>21327</v>
      </c>
      <c r="F4" s="117"/>
      <c r="G4" s="14"/>
      <c r="H4" s="115">
        <v>58</v>
      </c>
      <c r="I4" s="115">
        <v>5.08</v>
      </c>
      <c r="J4" s="117" t="s">
        <v>223</v>
      </c>
      <c r="K4" s="119">
        <f>'Эл.энергия (расход)_19'!AB60</f>
        <v>3105</v>
      </c>
      <c r="L4" s="117"/>
    </row>
    <row r="5" spans="1:12" x14ac:dyDescent="0.25">
      <c r="A5" s="14"/>
      <c r="B5" s="115">
        <v>3</v>
      </c>
      <c r="C5" s="116">
        <v>4</v>
      </c>
      <c r="D5" s="117" t="s">
        <v>60</v>
      </c>
      <c r="E5" s="119">
        <f>'Эл.энергия (расход)_19'!AB7</f>
        <v>37</v>
      </c>
      <c r="F5" s="117"/>
      <c r="G5" s="14"/>
      <c r="H5" s="115">
        <v>60</v>
      </c>
      <c r="I5" s="116">
        <v>4.4</v>
      </c>
      <c r="J5" s="117" t="s">
        <v>227</v>
      </c>
      <c r="K5" s="119">
        <f>'Эл.энергия (расход)_19'!AB61</f>
        <v>763</v>
      </c>
      <c r="L5" s="117"/>
    </row>
    <row r="6" spans="1:12" x14ac:dyDescent="0.25">
      <c r="A6" s="14"/>
      <c r="B6" s="115">
        <v>4</v>
      </c>
      <c r="C6" s="115">
        <v>3.95</v>
      </c>
      <c r="D6" s="117" t="s">
        <v>64</v>
      </c>
      <c r="E6" s="119">
        <f>'Эл.энергия (расход)_19'!AB8</f>
      </c>
      <c r="F6" s="117"/>
      <c r="G6" s="14"/>
      <c r="H6" s="115">
        <v>61</v>
      </c>
      <c r="I6" s="115">
        <v>4.71</v>
      </c>
      <c r="J6" s="117" t="s">
        <v>231</v>
      </c>
      <c r="K6" s="119">
        <f>'Эл.энергия (расход)_19'!AB62</f>
        <v>303</v>
      </c>
      <c r="L6" s="117"/>
    </row>
    <row r="7" spans="1:12" x14ac:dyDescent="0.25">
      <c r="A7" s="14"/>
      <c r="B7" s="115">
        <v>5</v>
      </c>
      <c r="C7" s="115">
        <v>5.08</v>
      </c>
      <c r="D7" s="117" t="s">
        <v>66</v>
      </c>
      <c r="E7" s="119">
        <f>'Эл.энергия (расход)_19'!AB9</f>
        <v>93</v>
      </c>
      <c r="F7" s="117"/>
      <c r="G7" s="14"/>
      <c r="H7" s="115">
        <v>62</v>
      </c>
      <c r="I7" s="116">
        <v>4.6</v>
      </c>
      <c r="J7" s="117" t="s">
        <v>234</v>
      </c>
      <c r="K7" s="119">
        <f>'Эл.энергия (расход)_19'!AB63</f>
        <v>418</v>
      </c>
      <c r="L7" s="117"/>
    </row>
    <row r="8" spans="1:12" x14ac:dyDescent="0.25">
      <c r="A8" s="14"/>
      <c r="B8" s="115">
        <v>6</v>
      </c>
      <c r="C8" s="115">
        <v>4.01</v>
      </c>
      <c r="D8" s="117" t="s">
        <v>70</v>
      </c>
      <c r="E8" s="119">
        <f>'Эл.энергия (расход)_19'!AB10</f>
        <v>13</v>
      </c>
      <c r="F8" s="117"/>
      <c r="G8" s="14"/>
      <c r="H8" s="115" t="s">
        <v>237</v>
      </c>
      <c r="I8" s="115">
        <v>8.02</v>
      </c>
      <c r="J8" s="117" t="s">
        <v>238</v>
      </c>
      <c r="K8" s="119">
        <f>'Эл.энергия (расход)_19'!AB64</f>
        <v>34</v>
      </c>
      <c r="L8" s="117"/>
    </row>
    <row r="9" spans="1:12" x14ac:dyDescent="0.25">
      <c r="A9" s="14"/>
      <c r="B9" s="115">
        <v>7</v>
      </c>
      <c r="C9" s="115">
        <v>4.85</v>
      </c>
      <c r="D9" s="117" t="s">
        <v>74</v>
      </c>
      <c r="E9" s="119">
        <f>'Эл.энергия (расход)_19'!AB11</f>
        <v>315</v>
      </c>
      <c r="F9" s="117"/>
      <c r="G9" s="14"/>
      <c r="H9" s="115">
        <v>64</v>
      </c>
      <c r="I9" s="115">
        <v>4.24</v>
      </c>
      <c r="J9" s="117" t="s">
        <v>241</v>
      </c>
      <c r="K9" s="119">
        <f>'Эл.энергия (расход)_19'!AB65</f>
        <v>328</v>
      </c>
      <c r="L9" s="117"/>
    </row>
    <row r="10" spans="1:12" x14ac:dyDescent="0.25">
      <c r="A10" s="14"/>
      <c r="B10" s="115">
        <v>8</v>
      </c>
      <c r="C10" s="116">
        <v>4</v>
      </c>
      <c r="D10" s="117" t="s">
        <v>78</v>
      </c>
      <c r="E10" s="119">
        <f>'Эл.энергия (расход)_19'!AB12</f>
        <v>352</v>
      </c>
      <c r="F10" s="117"/>
      <c r="G10" s="14"/>
      <c r="H10" s="115">
        <v>66</v>
      </c>
      <c r="I10" s="115">
        <v>4.66</v>
      </c>
      <c r="J10" s="117" t="s">
        <v>244</v>
      </c>
      <c r="K10" s="119">
        <f>'Эл.энергия (расход)_19'!AB66</f>
        <v>1</v>
      </c>
      <c r="L10" s="117"/>
    </row>
    <row r="11" spans="1:12" x14ac:dyDescent="0.25">
      <c r="A11" s="14"/>
      <c r="B11" s="115">
        <v>9</v>
      </c>
      <c r="C11" s="115">
        <v>4.03</v>
      </c>
      <c r="D11" s="117" t="s">
        <v>82</v>
      </c>
      <c r="E11" s="119">
        <f>'Эл.энергия (расход)_19'!AB13</f>
        <v>46</v>
      </c>
      <c r="F11" s="117"/>
      <c r="G11" s="14"/>
      <c r="H11" s="115">
        <v>67</v>
      </c>
      <c r="I11" s="115">
        <v>6.08</v>
      </c>
      <c r="J11" s="117" t="s">
        <v>245</v>
      </c>
      <c r="K11" s="119">
        <f>'Эл.энергия (расход)_19'!AB67</f>
        <v>1887</v>
      </c>
      <c r="L11" s="117"/>
    </row>
    <row r="12" spans="1:12" x14ac:dyDescent="0.25">
      <c r="A12" s="14"/>
      <c r="B12" s="115">
        <v>10</v>
      </c>
      <c r="C12" s="115">
        <v>4.01</v>
      </c>
      <c r="D12" s="117" t="s">
        <v>86</v>
      </c>
      <c r="E12" s="119">
        <f>'Эл.энергия (расход)_19'!AB14</f>
      </c>
      <c r="F12" s="117"/>
      <c r="G12" s="14"/>
      <c r="H12" s="115" t="s">
        <v>248</v>
      </c>
      <c r="I12" s="115">
        <v>8.03</v>
      </c>
      <c r="J12" s="117" t="s">
        <v>249</v>
      </c>
      <c r="K12" s="119">
        <f>'Эл.энергия (расход)_19'!AB68</f>
        <v>1702</v>
      </c>
      <c r="L12" s="117"/>
    </row>
    <row r="13" spans="1:12" x14ac:dyDescent="0.25">
      <c r="A13" s="14"/>
      <c r="B13" s="115">
        <v>11</v>
      </c>
      <c r="C13" s="115">
        <v>4.02</v>
      </c>
      <c r="D13" s="117" t="s">
        <v>89</v>
      </c>
      <c r="E13" s="119">
        <f>'Эл.энергия (расход)_19'!AB15</f>
        <v>35</v>
      </c>
      <c r="F13" s="117"/>
      <c r="G13" s="14"/>
      <c r="H13" s="115">
        <v>69</v>
      </c>
      <c r="I13" s="115">
        <v>4.03</v>
      </c>
      <c r="J13" s="117" t="s">
        <v>253</v>
      </c>
      <c r="K13" s="119">
        <f>'Эл.энергия (расход)_19'!AB69</f>
        <v>21465</v>
      </c>
      <c r="L13" s="117"/>
    </row>
    <row r="14" spans="1:12" x14ac:dyDescent="0.25">
      <c r="A14" s="14"/>
      <c r="B14" s="115">
        <v>12</v>
      </c>
      <c r="C14" s="115">
        <v>4.02</v>
      </c>
      <c r="D14" s="117" t="s">
        <v>92</v>
      </c>
      <c r="E14" s="119">
        <f>'Эл.энергия (расход)_19'!AB16</f>
      </c>
      <c r="F14" s="117"/>
      <c r="G14" s="14"/>
      <c r="H14" s="115">
        <v>71</v>
      </c>
      <c r="I14" s="115">
        <v>5.98</v>
      </c>
      <c r="J14" s="117" t="s">
        <v>255</v>
      </c>
      <c r="K14" s="119">
        <f>'Эл.энергия (расход)_19'!AB70</f>
        <v>115</v>
      </c>
      <c r="L14" s="117"/>
    </row>
    <row r="15" spans="1:12" x14ac:dyDescent="0.25">
      <c r="A15" s="14"/>
      <c r="B15" s="115" t="s">
        <v>96</v>
      </c>
      <c r="C15" s="115">
        <v>7.94</v>
      </c>
      <c r="D15" s="117" t="s">
        <v>97</v>
      </c>
      <c r="E15" s="119">
        <f>'Эл.энергия (расход)_19'!AB17</f>
        <v>5523</v>
      </c>
      <c r="F15" s="117"/>
      <c r="G15" s="14"/>
      <c r="H15" s="115">
        <v>72</v>
      </c>
      <c r="I15" s="115">
        <v>4.03</v>
      </c>
      <c r="J15" s="117" t="s">
        <v>257</v>
      </c>
      <c r="K15" s="119">
        <f>'Эл.энергия (расход)_19'!AB71</f>
        <v>131</v>
      </c>
      <c r="L15" s="117"/>
    </row>
    <row r="16" spans="1:12" x14ac:dyDescent="0.25">
      <c r="A16" s="14"/>
      <c r="B16" s="115">
        <v>14</v>
      </c>
      <c r="C16" s="115">
        <v>4.02</v>
      </c>
      <c r="D16" s="117" t="s">
        <v>100</v>
      </c>
      <c r="E16" s="119">
        <f>'Эл.энергия (расход)_19'!AB18</f>
      </c>
      <c r="F16" s="117"/>
      <c r="G16" s="14"/>
      <c r="H16" s="115">
        <v>73</v>
      </c>
      <c r="I16" s="115">
        <v>4.02</v>
      </c>
      <c r="J16" s="117" t="s">
        <v>259</v>
      </c>
      <c r="K16" s="119">
        <f>'Эл.энергия (расход)_19'!AB72</f>
      </c>
      <c r="L16" s="117"/>
    </row>
    <row r="17" spans="1:12" x14ac:dyDescent="0.25">
      <c r="A17" s="14"/>
      <c r="B17" s="115">
        <v>16</v>
      </c>
      <c r="C17" s="115">
        <v>3.98</v>
      </c>
      <c r="D17" s="117" t="s">
        <v>103</v>
      </c>
      <c r="E17" s="119">
        <f>'Эл.энергия (расход)_19'!AB19</f>
        <v>761</v>
      </c>
      <c r="F17" s="117"/>
      <c r="G17" s="21"/>
      <c r="H17" s="115">
        <v>74</v>
      </c>
      <c r="I17" s="115">
        <v>4.97</v>
      </c>
      <c r="J17" s="117" t="s">
        <v>262</v>
      </c>
      <c r="K17" s="119">
        <f>'Эл.энергия (расход)_19'!AB73</f>
      </c>
      <c r="L17" s="117"/>
    </row>
    <row r="18" spans="1:12" x14ac:dyDescent="0.25">
      <c r="A18" s="14"/>
      <c r="B18" s="115">
        <v>17</v>
      </c>
      <c r="C18" s="116">
        <v>4</v>
      </c>
      <c r="D18" s="117" t="s">
        <v>106</v>
      </c>
      <c r="E18" s="119">
        <f>'Эл.энергия (расход)_19'!AB20</f>
        <v>18</v>
      </c>
      <c r="F18" s="117"/>
      <c r="G18" s="114" t="s">
        <v>264</v>
      </c>
      <c r="H18" s="115">
        <v>75</v>
      </c>
      <c r="I18" s="115">
        <v>4.15</v>
      </c>
      <c r="J18" s="117" t="s">
        <v>265</v>
      </c>
      <c r="K18" s="119">
        <f>'Эл.энергия (расход)_19'!AB74</f>
      </c>
      <c r="L18" s="117"/>
    </row>
    <row r="19" spans="1:12" x14ac:dyDescent="0.25">
      <c r="A19" s="14"/>
      <c r="B19" s="115">
        <v>18</v>
      </c>
      <c r="C19" s="115">
        <v>4.03</v>
      </c>
      <c r="D19" s="117" t="s">
        <v>109</v>
      </c>
      <c r="E19" s="119">
        <f>'Эл.энергия (расход)_19'!AB21</f>
        <v>258</v>
      </c>
      <c r="F19" s="117"/>
      <c r="G19" s="14"/>
      <c r="H19" s="115">
        <v>76</v>
      </c>
      <c r="I19" s="115">
        <v>4.15</v>
      </c>
      <c r="J19" s="117" t="s">
        <v>267</v>
      </c>
      <c r="K19" s="119">
        <f>'Эл.энергия (расход)_19'!AB75</f>
      </c>
      <c r="L19" s="117"/>
    </row>
    <row r="20" spans="1:12" x14ac:dyDescent="0.25">
      <c r="A20" s="21"/>
      <c r="B20" s="115">
        <v>19</v>
      </c>
      <c r="C20" s="116">
        <v>4.1</v>
      </c>
      <c r="D20" s="117" t="s">
        <v>113</v>
      </c>
      <c r="E20" s="119">
        <f>'Эл.энергия (расход)_19'!AB22</f>
        <v>1</v>
      </c>
      <c r="F20" s="117"/>
      <c r="G20" s="14"/>
      <c r="H20" s="115">
        <v>77</v>
      </c>
      <c r="I20" s="115">
        <v>4.12</v>
      </c>
      <c r="J20" s="117" t="s">
        <v>268</v>
      </c>
      <c r="K20" s="119">
        <f>'Эл.энергия (расход)_19'!AB76</f>
        <v>1477</v>
      </c>
      <c r="L20" s="117"/>
    </row>
    <row r="21" ht="15.75" customHeight="1" spans="1:12" x14ac:dyDescent="0.25">
      <c r="A21" s="114" t="s">
        <v>116</v>
      </c>
      <c r="B21" s="115" t="s">
        <v>117</v>
      </c>
      <c r="C21" s="116">
        <v>8</v>
      </c>
      <c r="D21" s="117" t="s">
        <v>118</v>
      </c>
      <c r="E21" s="119">
        <f>'Эл.энергия (расход)_19'!AB23</f>
        <v>2985</v>
      </c>
      <c r="F21" s="117"/>
      <c r="G21" s="14"/>
      <c r="H21" s="115">
        <v>78</v>
      </c>
      <c r="I21" s="115">
        <v>4.03</v>
      </c>
      <c r="J21" s="117" t="s">
        <v>271</v>
      </c>
      <c r="K21" s="119">
        <f>'Эл.энергия (расход)_19'!AB77</f>
        <v>55</v>
      </c>
      <c r="L21" s="117"/>
    </row>
    <row r="22" ht="15.75" customHeight="1" spans="1:12" x14ac:dyDescent="0.25">
      <c r="A22" s="14"/>
      <c r="B22" s="115">
        <v>21</v>
      </c>
      <c r="C22" s="115">
        <v>3.96</v>
      </c>
      <c r="D22" s="117" t="s">
        <v>120</v>
      </c>
      <c r="E22" s="119">
        <f>'Эл.энергия (расход)_19'!AB24</f>
        <v>1519</v>
      </c>
      <c r="F22" s="117"/>
      <c r="G22" s="14"/>
      <c r="H22" s="115">
        <v>79</v>
      </c>
      <c r="I22" s="115">
        <v>4.24</v>
      </c>
      <c r="J22" s="117" t="s">
        <v>275</v>
      </c>
      <c r="K22" s="119">
        <f>'Эл.энергия (расход)_19'!AB78</f>
        <v>28</v>
      </c>
      <c r="L22" s="117"/>
    </row>
    <row r="23" ht="15.75" customHeight="1" spans="1:12" x14ac:dyDescent="0.25">
      <c r="A23" s="14"/>
      <c r="B23" s="115">
        <v>23</v>
      </c>
      <c r="C23" s="115">
        <v>3.98</v>
      </c>
      <c r="D23" s="117" t="s">
        <v>124</v>
      </c>
      <c r="E23" s="119">
        <f>'Эл.энергия (расход)_19'!AB25</f>
        <v>3353</v>
      </c>
      <c r="F23" s="117"/>
      <c r="G23" s="14"/>
      <c r="H23" s="115">
        <v>81</v>
      </c>
      <c r="I23" s="116">
        <v>4.3</v>
      </c>
      <c r="J23" s="117" t="s">
        <v>278</v>
      </c>
      <c r="K23" s="119">
        <f>'Эл.энергия (расход)_19'!AB79</f>
      </c>
      <c r="L23" s="117"/>
    </row>
    <row r="24" ht="15.75" customHeight="1" spans="1:12" x14ac:dyDescent="0.25">
      <c r="A24" s="14"/>
      <c r="B24" s="115">
        <v>24</v>
      </c>
      <c r="C24" s="115">
        <v>4.01</v>
      </c>
      <c r="D24" s="117" t="s">
        <v>127</v>
      </c>
      <c r="E24" s="119">
        <f>'Эл.энергия (расход)_19'!AB26</f>
        <v>76</v>
      </c>
      <c r="F24" s="117"/>
      <c r="G24" s="14"/>
      <c r="H24" s="115">
        <v>83</v>
      </c>
      <c r="I24" s="115">
        <v>4.29</v>
      </c>
      <c r="J24" s="117" t="s">
        <v>280</v>
      </c>
      <c r="K24" s="119">
        <f>'Эл.энергия (расход)_19'!AB80</f>
        <v>111</v>
      </c>
      <c r="L24" s="117"/>
    </row>
    <row r="25" ht="15.75" customHeight="1" spans="1:12" x14ac:dyDescent="0.25">
      <c r="A25" s="14"/>
      <c r="B25" s="115">
        <v>25</v>
      </c>
      <c r="C25" s="116">
        <v>4</v>
      </c>
      <c r="D25" s="117" t="s">
        <v>131</v>
      </c>
      <c r="E25" s="119">
        <f>'Эл.энергия (расход)_19'!AB27</f>
        <v>13</v>
      </c>
      <c r="F25" s="117"/>
      <c r="G25" s="14"/>
      <c r="H25" s="115">
        <v>85</v>
      </c>
      <c r="I25" s="115">
        <v>4.27</v>
      </c>
      <c r="J25" s="117" t="s">
        <v>282</v>
      </c>
      <c r="K25" s="119">
        <f>'Эл.энергия (расход)_19'!AB81</f>
        <v>2907</v>
      </c>
      <c r="L25" s="117"/>
    </row>
    <row r="26" ht="15.75" customHeight="1" spans="1:12" x14ac:dyDescent="0.25">
      <c r="A26" s="14"/>
      <c r="B26" s="115">
        <v>26</v>
      </c>
      <c r="C26" s="115">
        <v>3.98</v>
      </c>
      <c r="D26" s="117" t="s">
        <v>133</v>
      </c>
      <c r="E26" s="119">
        <f>'Эл.энергия (расход)_19'!AB28</f>
      </c>
      <c r="F26" s="117"/>
      <c r="G26" s="14"/>
      <c r="H26" s="115">
        <v>87</v>
      </c>
      <c r="I26" s="115">
        <v>4.23</v>
      </c>
      <c r="J26" s="117" t="s">
        <v>284</v>
      </c>
      <c r="K26" s="119">
        <f>'Эл.энергия (расход)_19'!AB82</f>
        <v>368</v>
      </c>
      <c r="L26" s="117"/>
    </row>
    <row r="27" ht="15.75" customHeight="1" spans="1:12" x14ac:dyDescent="0.25">
      <c r="A27" s="14"/>
      <c r="B27" s="115">
        <v>27</v>
      </c>
      <c r="C27" s="115">
        <v>4.04</v>
      </c>
      <c r="D27" s="117" t="s">
        <v>136</v>
      </c>
      <c r="E27" s="119">
        <f>'Эл.энергия (расход)_19'!AB29</f>
      </c>
      <c r="F27" s="117"/>
      <c r="G27" s="14"/>
      <c r="H27" s="115">
        <v>89</v>
      </c>
      <c r="I27" s="115">
        <v>4.25</v>
      </c>
      <c r="J27" s="117" t="s">
        <v>286</v>
      </c>
      <c r="K27" s="119">
        <f>'Эл.энергия (расход)_19'!AB83</f>
      </c>
      <c r="L27" s="117"/>
    </row>
    <row r="28" ht="15.75" customHeight="1" spans="1:12" x14ac:dyDescent="0.25">
      <c r="A28" s="14"/>
      <c r="B28" s="115" t="s">
        <v>139</v>
      </c>
      <c r="C28" s="115">
        <v>8.01</v>
      </c>
      <c r="D28" s="117" t="s">
        <v>140</v>
      </c>
      <c r="E28" s="119">
        <f>'Эл.энергия (расход)_19'!AB30</f>
        <v>17600</v>
      </c>
      <c r="F28" s="117"/>
      <c r="G28" s="14"/>
      <c r="H28" s="115">
        <v>91</v>
      </c>
      <c r="I28" s="115">
        <v>4.23</v>
      </c>
      <c r="J28" s="117" t="s">
        <v>288</v>
      </c>
      <c r="K28" s="119">
        <f>'Эл.энергия (расход)_19'!AB84</f>
        <v>171</v>
      </c>
      <c r="L28" s="117"/>
    </row>
    <row r="29" ht="15.75" customHeight="1" spans="1:12" x14ac:dyDescent="0.25">
      <c r="A29" s="14"/>
      <c r="B29" s="115">
        <v>29</v>
      </c>
      <c r="C29" s="115">
        <v>4.02</v>
      </c>
      <c r="D29" s="117" t="s">
        <v>146</v>
      </c>
      <c r="E29" s="119">
        <f>'Эл.энергия (расход)_19'!AB31</f>
      </c>
      <c r="F29" s="117"/>
      <c r="G29" s="21"/>
      <c r="H29" s="115" t="s">
        <v>292</v>
      </c>
      <c r="I29" s="115">
        <v>8.56</v>
      </c>
      <c r="J29" s="117" t="s">
        <v>293</v>
      </c>
      <c r="K29" s="119">
        <f>'Эл.энергия (расход)_19'!AB85</f>
        <v>1732</v>
      </c>
      <c r="L29" s="117"/>
    </row>
    <row r="30" ht="15.75" customHeight="1" spans="1:12" x14ac:dyDescent="0.25">
      <c r="A30" s="14"/>
      <c r="B30" s="115">
        <v>31</v>
      </c>
      <c r="C30" s="116">
        <v>4</v>
      </c>
      <c r="D30" s="117" t="s">
        <v>149</v>
      </c>
      <c r="E30" s="119">
        <f>'Эл.энергия (расход)_19'!AB32</f>
        <v>5</v>
      </c>
      <c r="F30" s="117"/>
      <c r="G30" s="114" t="s">
        <v>297</v>
      </c>
      <c r="H30" s="115">
        <v>80</v>
      </c>
      <c r="I30" s="115">
        <v>4.28</v>
      </c>
      <c r="J30" s="117" t="s">
        <v>298</v>
      </c>
      <c r="K30" s="119">
        <f>'Эл.энергия (расход)_19'!AB86</f>
        <v>988</v>
      </c>
      <c r="L30" s="117"/>
    </row>
    <row r="31" ht="15.75" customHeight="1" spans="1:12" x14ac:dyDescent="0.25">
      <c r="A31" s="14"/>
      <c r="B31" s="115">
        <v>32</v>
      </c>
      <c r="C31" s="115">
        <v>3.96</v>
      </c>
      <c r="D31" s="117" t="s">
        <v>152</v>
      </c>
      <c r="E31" s="119">
        <f>'Эл.энергия (расход)_19'!AB33</f>
        <v>677</v>
      </c>
      <c r="F31" s="117"/>
      <c r="G31" s="14"/>
      <c r="H31" s="115">
        <v>82</v>
      </c>
      <c r="I31" s="115">
        <v>4.28</v>
      </c>
      <c r="J31" s="117" t="s">
        <v>300</v>
      </c>
      <c r="K31" s="119">
        <f>'Эл.энергия (расход)_19'!AB87</f>
      </c>
      <c r="L31" s="117"/>
    </row>
    <row r="32" ht="15.75" customHeight="1" spans="1:12" x14ac:dyDescent="0.25">
      <c r="A32" s="14"/>
      <c r="B32" s="115">
        <v>33</v>
      </c>
      <c r="C32" s="115">
        <v>4.01</v>
      </c>
      <c r="D32" s="117" t="s">
        <v>154</v>
      </c>
      <c r="E32" s="119">
        <f>'Эл.энергия (расход)_19'!AB34</f>
        <v>33</v>
      </c>
      <c r="F32" s="117"/>
      <c r="G32" s="14"/>
      <c r="H32" s="115">
        <v>84</v>
      </c>
      <c r="I32" s="115">
        <v>4.18</v>
      </c>
      <c r="J32" s="117" t="s">
        <v>301</v>
      </c>
      <c r="K32" s="119">
        <f>'Эл.энергия (расход)_19'!AB88</f>
      </c>
      <c r="L32" s="117"/>
    </row>
    <row r="33" ht="15.75" customHeight="1" spans="1:12" x14ac:dyDescent="0.25">
      <c r="A33" s="14"/>
      <c r="B33" s="115">
        <v>34</v>
      </c>
      <c r="C33" s="115">
        <v>4.01</v>
      </c>
      <c r="D33" s="117" t="s">
        <v>155</v>
      </c>
      <c r="E33" s="119">
        <f>'Эл.энергия (расход)_19'!AB35</f>
        <v>2306</v>
      </c>
      <c r="F33" s="117"/>
      <c r="G33" s="14"/>
      <c r="H33" s="115">
        <v>86</v>
      </c>
      <c r="I33" s="115">
        <v>4.23</v>
      </c>
      <c r="J33" s="117" t="s">
        <v>304</v>
      </c>
      <c r="K33" s="119">
        <f>'Эл.энергия (расход)_19'!AB89</f>
      </c>
      <c r="L33" s="117"/>
    </row>
    <row r="34" ht="15.75" customHeight="1" spans="1:12" x14ac:dyDescent="0.25">
      <c r="A34" s="14"/>
      <c r="B34" s="115">
        <v>35</v>
      </c>
      <c r="C34" s="115">
        <v>4.01</v>
      </c>
      <c r="D34" s="117" t="s">
        <v>157</v>
      </c>
      <c r="E34" s="119">
        <f>'Эл.энергия (расход)_19'!AB36</f>
        <v>33</v>
      </c>
      <c r="F34" s="117"/>
      <c r="G34" s="14"/>
      <c r="H34" s="115">
        <v>88</v>
      </c>
      <c r="I34" s="115">
        <v>4.23</v>
      </c>
      <c r="J34" s="117" t="s">
        <v>308</v>
      </c>
      <c r="K34" s="119">
        <f>'Эл.энергия (расход)_19'!AB90</f>
      </c>
      <c r="L34" s="117"/>
    </row>
    <row r="35" ht="15.75" customHeight="1" spans="1:12" x14ac:dyDescent="0.25">
      <c r="A35" s="14"/>
      <c r="B35" s="115">
        <v>36</v>
      </c>
      <c r="C35" s="115">
        <v>4.03</v>
      </c>
      <c r="D35" s="117" t="s">
        <v>160</v>
      </c>
      <c r="E35" s="119">
        <f>'Эл.энергия (расход)_19'!AB37</f>
        <v>299</v>
      </c>
      <c r="F35" s="117"/>
      <c r="G35" s="14"/>
      <c r="H35" s="115">
        <v>90</v>
      </c>
      <c r="I35" s="115">
        <v>4.23</v>
      </c>
      <c r="J35" s="117" t="s">
        <v>311</v>
      </c>
      <c r="K35" s="119">
        <f>'Эл.энергия (расход)_19'!AB91</f>
      </c>
      <c r="L35" s="117"/>
    </row>
    <row r="36" ht="15.75" customHeight="1" spans="1:12" x14ac:dyDescent="0.25">
      <c r="A36" s="14"/>
      <c r="B36" s="115">
        <v>37</v>
      </c>
      <c r="C36" s="115">
        <v>4.06</v>
      </c>
      <c r="D36" s="117" t="s">
        <v>162</v>
      </c>
      <c r="E36" s="119">
        <f>'Эл.энергия (расход)_19'!AB38</f>
      </c>
      <c r="F36" s="117"/>
      <c r="G36" s="14"/>
      <c r="H36" s="115">
        <v>92</v>
      </c>
      <c r="I36" s="115">
        <v>4.28</v>
      </c>
      <c r="J36" s="117" t="s">
        <v>312</v>
      </c>
      <c r="K36" s="119">
        <f>'Эл.энергия (расход)_19'!AB92</f>
        <v>7869</v>
      </c>
      <c r="L36" s="117"/>
    </row>
    <row r="37" ht="15.75" customHeight="1" spans="1:12" x14ac:dyDescent="0.25">
      <c r="A37" s="14"/>
      <c r="B37" s="115">
        <v>38</v>
      </c>
      <c r="C37" s="115">
        <v>4.34</v>
      </c>
      <c r="D37" s="117" t="s">
        <v>167</v>
      </c>
      <c r="E37" s="119">
        <f>'Эл.энергия (расход)_19'!AB39</f>
        <v>18</v>
      </c>
      <c r="F37" s="117"/>
      <c r="G37" s="14"/>
      <c r="H37" s="115" t="s">
        <v>315</v>
      </c>
      <c r="I37" s="115">
        <v>8.76</v>
      </c>
      <c r="J37" s="117" t="s">
        <v>316</v>
      </c>
      <c r="K37" s="119">
        <f>'Эл.энергия (расход)_19'!AB93</f>
        <v>23503</v>
      </c>
      <c r="L37" s="117"/>
    </row>
    <row r="38" ht="15.75" customHeight="1" spans="1:12" x14ac:dyDescent="0.25">
      <c r="A38" s="21"/>
      <c r="B38" s="115">
        <v>39</v>
      </c>
      <c r="C38" s="116">
        <v>4</v>
      </c>
      <c r="D38" s="117" t="s">
        <v>169</v>
      </c>
      <c r="E38" s="119">
        <f>'Эл.энергия (расход)_19'!AB40</f>
        <v>48</v>
      </c>
      <c r="F38" s="117"/>
      <c r="G38" s="14"/>
      <c r="H38" s="115">
        <v>99</v>
      </c>
      <c r="I38" s="115">
        <v>4.53</v>
      </c>
      <c r="J38" s="117" t="s">
        <v>319</v>
      </c>
      <c r="K38" s="119">
        <f>'Эл.энергия (расход)_19'!AB94</f>
        <v>128</v>
      </c>
      <c r="L38" s="117"/>
    </row>
    <row r="39" ht="15.75" customHeight="1" spans="1:12" x14ac:dyDescent="0.25">
      <c r="A39" s="114" t="s">
        <v>173</v>
      </c>
      <c r="B39" s="115">
        <v>40</v>
      </c>
      <c r="C39" s="115">
        <v>4.92</v>
      </c>
      <c r="D39" s="117" t="s">
        <v>174</v>
      </c>
      <c r="E39" s="119">
        <f>'Эл.энергия (расход)_19'!AB41</f>
        <v>27882</v>
      </c>
      <c r="F39" s="117"/>
      <c r="G39" s="14"/>
      <c r="H39" s="115">
        <v>101</v>
      </c>
      <c r="I39" s="115">
        <v>4.46</v>
      </c>
      <c r="J39" s="117" t="s">
        <v>321</v>
      </c>
      <c r="K39" s="119">
        <f>'Эл.энергия (расход)_19'!AB95</f>
        <v>135</v>
      </c>
      <c r="L39" s="117"/>
    </row>
    <row r="40" ht="15.75" customHeight="1" spans="1:12" x14ac:dyDescent="0.25">
      <c r="A40" s="14"/>
      <c r="B40" s="115">
        <v>41</v>
      </c>
      <c r="C40" s="115">
        <v>4.87</v>
      </c>
      <c r="D40" s="117" t="s">
        <v>177</v>
      </c>
      <c r="E40" s="119">
        <f>'Эл.энергия (расход)_19'!AB42</f>
        <v>300</v>
      </c>
      <c r="F40" s="117"/>
      <c r="G40" s="14"/>
      <c r="H40" s="115">
        <v>103</v>
      </c>
      <c r="I40" s="115">
        <v>4.42</v>
      </c>
      <c r="J40" s="117" t="s">
        <v>322</v>
      </c>
      <c r="K40" s="119">
        <f>'Эл.энергия (расход)_19'!AB96</f>
      </c>
      <c r="L40" s="117"/>
    </row>
    <row r="41" ht="15.75" customHeight="1" spans="1:12" x14ac:dyDescent="0.25">
      <c r="A41" s="14"/>
      <c r="B41" s="115">
        <v>42</v>
      </c>
      <c r="C41" s="116">
        <v>4.9</v>
      </c>
      <c r="D41" s="2" t="s">
        <v>181</v>
      </c>
      <c r="E41" s="119">
        <f>'Эл.энергия (расход)_19'!AB43</f>
        <v>0</v>
      </c>
      <c r="F41" s="117"/>
      <c r="G41" s="14"/>
      <c r="H41" s="115">
        <v>105</v>
      </c>
      <c r="I41" s="115">
        <v>4.41</v>
      </c>
      <c r="J41" s="117" t="s">
        <v>323</v>
      </c>
      <c r="K41" s="119">
        <f>'Эл.энергия (расход)_19'!AB97</f>
        <v>946</v>
      </c>
      <c r="L41" s="117"/>
    </row>
    <row r="42" ht="15.75" customHeight="1" spans="1:12" x14ac:dyDescent="0.25">
      <c r="A42" s="14"/>
      <c r="B42" s="115">
        <v>43</v>
      </c>
      <c r="C42" s="115">
        <v>4.96</v>
      </c>
      <c r="D42" s="117" t="s">
        <v>185</v>
      </c>
      <c r="E42" s="119">
        <f>'Эл.энергия (расход)_19'!AB44</f>
        <v>924</v>
      </c>
      <c r="F42" s="117"/>
      <c r="G42" s="21"/>
      <c r="H42" s="115">
        <v>107</v>
      </c>
      <c r="I42" s="115">
        <v>4.37</v>
      </c>
      <c r="J42" s="117" t="s">
        <v>325</v>
      </c>
      <c r="K42" s="119">
        <f>'Эл.энергия (расход)_19'!AB98</f>
        <v>118</v>
      </c>
      <c r="L42" s="117"/>
    </row>
    <row r="43" ht="15.75" customHeight="1" spans="1:12" x14ac:dyDescent="0.25">
      <c r="A43" s="14"/>
      <c r="B43" s="115">
        <v>44</v>
      </c>
      <c r="C43" s="115">
        <v>4.01</v>
      </c>
      <c r="D43" s="117" t="s">
        <v>188</v>
      </c>
      <c r="E43" s="119">
        <f>'Эл.энергия (расход)_19'!AB45</f>
        <v>10</v>
      </c>
      <c r="F43" s="117"/>
      <c r="G43" s="114" t="s">
        <v>327</v>
      </c>
      <c r="H43" s="115">
        <v>96</v>
      </c>
      <c r="I43" s="115">
        <v>4.46</v>
      </c>
      <c r="J43" s="117" t="s">
        <v>316</v>
      </c>
      <c r="K43" s="119">
        <f>'Эл.энергия (расход)_19'!AB99</f>
      </c>
      <c r="L43" s="117"/>
    </row>
    <row r="44" ht="15.75" customHeight="1" spans="1:12" x14ac:dyDescent="0.25">
      <c r="A44" s="14"/>
      <c r="B44" s="115">
        <v>45</v>
      </c>
      <c r="C44" s="115">
        <v>5.04</v>
      </c>
      <c r="D44" s="117" t="s">
        <v>189</v>
      </c>
      <c r="E44" s="119">
        <f>'Эл.энергия (расход)_19'!AB46</f>
        <v>13</v>
      </c>
      <c r="F44" s="117"/>
      <c r="G44" s="14"/>
      <c r="H44" s="115">
        <v>98</v>
      </c>
      <c r="I44" s="115">
        <v>4.45</v>
      </c>
      <c r="J44" s="117" t="s">
        <v>328</v>
      </c>
      <c r="K44" s="119">
        <f>'Эл.энергия (расход)_19'!AB100</f>
      </c>
      <c r="L44" s="117"/>
    </row>
    <row r="45" ht="15.75" customHeight="1" spans="1:12" x14ac:dyDescent="0.25">
      <c r="A45" s="14"/>
      <c r="B45" s="115">
        <v>46</v>
      </c>
      <c r="C45" s="116">
        <v>4</v>
      </c>
      <c r="D45" s="117" t="s">
        <v>188</v>
      </c>
      <c r="E45" s="119">
        <f>'Эл.энергия (расход)_19'!AB47</f>
        <v>2834</v>
      </c>
      <c r="F45" s="117"/>
      <c r="G45" s="14"/>
      <c r="H45" s="115">
        <v>100</v>
      </c>
      <c r="I45" s="115">
        <v>4.47</v>
      </c>
      <c r="J45" s="117" t="s">
        <v>330</v>
      </c>
      <c r="K45" s="119">
        <f>'Эл.энергия (расход)_19'!AB101</f>
        <v>425</v>
      </c>
      <c r="L45" s="117"/>
    </row>
    <row r="46" ht="15.75" customHeight="1" spans="1:12" x14ac:dyDescent="0.25">
      <c r="A46" s="14"/>
      <c r="B46" s="115">
        <v>47</v>
      </c>
      <c r="C46" s="116">
        <v>5</v>
      </c>
      <c r="D46" s="117" t="s">
        <v>192</v>
      </c>
      <c r="E46" s="119">
        <f>'Эл.энергия (расход)_19'!AB48</f>
        <v>165</v>
      </c>
      <c r="F46" s="117"/>
      <c r="G46" s="14"/>
      <c r="H46" s="115">
        <v>102</v>
      </c>
      <c r="I46" s="115">
        <v>4.45</v>
      </c>
      <c r="J46" s="117" t="s">
        <v>331</v>
      </c>
      <c r="K46" s="119">
        <f>'Эл.энергия (расход)_19'!AB102</f>
        <v>1650</v>
      </c>
      <c r="L46" s="117"/>
    </row>
    <row r="47" ht="15.75" customHeight="1" spans="1:12" x14ac:dyDescent="0.25">
      <c r="A47" s="14"/>
      <c r="B47" s="115">
        <v>48</v>
      </c>
      <c r="C47" s="115">
        <v>5.93</v>
      </c>
      <c r="D47" s="117" t="s">
        <v>97</v>
      </c>
      <c r="E47" s="119">
        <f>'Эл.энергия (расход)_19'!AB49</f>
      </c>
      <c r="F47" s="117"/>
      <c r="G47" s="14"/>
      <c r="H47" s="115">
        <v>104</v>
      </c>
      <c r="I47" s="115">
        <v>4.42</v>
      </c>
      <c r="J47" s="117" t="s">
        <v>333</v>
      </c>
      <c r="K47" s="119">
        <f>'Эл.энергия (расход)_19'!AB103</f>
        <v>877</v>
      </c>
      <c r="L47" s="117"/>
    </row>
    <row r="48" ht="15.75" customHeight="1" spans="1:12" x14ac:dyDescent="0.25">
      <c r="A48" s="14"/>
      <c r="B48" s="115">
        <v>49</v>
      </c>
      <c r="C48" s="115">
        <v>5.03</v>
      </c>
      <c r="D48" s="117" t="s">
        <v>197</v>
      </c>
      <c r="E48" s="119">
        <f>'Эл.энергия (расход)_19'!AB50</f>
      </c>
      <c r="F48" s="117"/>
      <c r="G48" s="14"/>
      <c r="H48" s="115">
        <v>106</v>
      </c>
      <c r="I48" s="115">
        <v>4.57</v>
      </c>
      <c r="J48" s="117" t="s">
        <v>336</v>
      </c>
      <c r="K48" s="119">
        <f>'Эл.энергия (расход)_19'!AB104</f>
      </c>
      <c r="L48" s="117"/>
    </row>
    <row r="49" ht="15.75" customHeight="1" spans="1:12" x14ac:dyDescent="0.25">
      <c r="A49" s="14"/>
      <c r="B49" s="115">
        <v>50</v>
      </c>
      <c r="C49" s="115">
        <v>6.05</v>
      </c>
      <c r="D49" s="117" t="s">
        <v>200</v>
      </c>
      <c r="E49" s="119">
        <f>'Эл.энергия (расход)_19'!AB51</f>
        <v>2406</v>
      </c>
      <c r="F49" s="117"/>
      <c r="G49" s="14"/>
      <c r="H49" s="115">
        <v>108</v>
      </c>
      <c r="I49" s="115">
        <v>4.32</v>
      </c>
      <c r="J49" s="117" t="s">
        <v>339</v>
      </c>
      <c r="K49" s="119">
        <f>'Эл.энергия (расход)_19'!AB105</f>
      </c>
      <c r="L49" s="117"/>
    </row>
    <row r="50" ht="15.75" customHeight="1" spans="1:12" x14ac:dyDescent="0.25">
      <c r="A50" s="14"/>
      <c r="B50" s="115">
        <v>51</v>
      </c>
      <c r="C50" s="115">
        <v>4.95</v>
      </c>
      <c r="D50" s="117" t="s">
        <v>204</v>
      </c>
      <c r="E50" s="119">
        <f>'Эл.энергия (расход)_19'!AB52</f>
      </c>
      <c r="F50" s="117"/>
      <c r="G50" s="14"/>
      <c r="H50" s="115">
        <v>109</v>
      </c>
      <c r="I50" s="115">
        <v>6.22</v>
      </c>
      <c r="J50" s="117" t="s">
        <v>340</v>
      </c>
      <c r="K50" s="119">
        <f>'Эл.энергия (расход)_19'!AB106</f>
        <v>35</v>
      </c>
      <c r="L50" s="117"/>
    </row>
    <row r="51" ht="15.75" customHeight="1" spans="1:12" x14ac:dyDescent="0.25">
      <c r="A51" s="14"/>
      <c r="B51" s="115">
        <v>52</v>
      </c>
      <c r="C51" s="116">
        <v>5</v>
      </c>
      <c r="D51" s="117" t="s">
        <v>206</v>
      </c>
      <c r="E51" s="119">
        <f>'Эл.энергия (расход)_19'!AB53</f>
        <v>95</v>
      </c>
      <c r="F51" s="117"/>
      <c r="G51" s="14"/>
      <c r="H51" s="115">
        <v>110</v>
      </c>
      <c r="I51" s="115">
        <v>4.91</v>
      </c>
      <c r="J51" s="117" t="s">
        <v>342</v>
      </c>
      <c r="K51" s="119">
        <f>'Эл.энергия (расход)_19'!AB107</f>
        <v>139</v>
      </c>
      <c r="L51" s="117"/>
    </row>
    <row r="52" ht="15.75" customHeight="1" spans="1:12" x14ac:dyDescent="0.25">
      <c r="A52" s="14"/>
      <c r="B52" s="115">
        <v>53</v>
      </c>
      <c r="C52" s="115">
        <v>5.05</v>
      </c>
      <c r="D52" s="117" t="s">
        <v>210</v>
      </c>
      <c r="E52" s="119">
        <f>'Эл.энергия (расход)_19'!AB54</f>
        <v>6781</v>
      </c>
      <c r="F52" s="117"/>
      <c r="G52" s="14"/>
      <c r="H52" s="115">
        <v>111</v>
      </c>
      <c r="I52" s="116">
        <v>6.8</v>
      </c>
      <c r="J52" s="117" t="s">
        <v>280</v>
      </c>
      <c r="K52" s="119">
        <f>'Эл.энергия (расход)_19'!AB108</f>
        <v>868</v>
      </c>
      <c r="L52" s="117"/>
    </row>
    <row r="53" ht="15.75" customHeight="1" spans="1:12" x14ac:dyDescent="0.25">
      <c r="A53" s="14"/>
      <c r="B53" s="115">
        <v>54</v>
      </c>
      <c r="C53" s="115">
        <v>5.54</v>
      </c>
      <c r="D53" s="117" t="s">
        <v>212</v>
      </c>
      <c r="E53" s="119">
        <f>'Эл.энергия (расход)_19'!AB55</f>
        <v>243</v>
      </c>
      <c r="F53" s="117"/>
      <c r="G53" s="14"/>
      <c r="H53" s="115">
        <v>112</v>
      </c>
      <c r="I53" s="115">
        <v>4.94</v>
      </c>
      <c r="J53" s="117" t="s">
        <v>364</v>
      </c>
      <c r="K53" s="119">
        <f>'Эл.энергия (расход)_19'!AB109</f>
        <v>155</v>
      </c>
      <c r="L53" s="117"/>
    </row>
    <row r="54" ht="15.75" customHeight="1" spans="1:12" x14ac:dyDescent="0.25">
      <c r="A54" s="21"/>
      <c r="B54" s="115">
        <v>55</v>
      </c>
      <c r="C54" s="116">
        <v>5.5</v>
      </c>
      <c r="D54" s="117" t="s">
        <v>214</v>
      </c>
      <c r="E54" s="119">
        <f>'Эл.энергия (расход)_19'!AB56</f>
        <v>369</v>
      </c>
      <c r="F54" s="117"/>
      <c r="G54" s="14"/>
      <c r="H54" s="115">
        <v>113</v>
      </c>
      <c r="I54" s="115">
        <v>4.98</v>
      </c>
      <c r="J54" s="117" t="s">
        <v>348</v>
      </c>
      <c r="K54" s="119">
        <f>'Эл.энергия (расход)_19'!AB110</f>
      </c>
      <c r="L54" s="117"/>
    </row>
    <row r="55" ht="15.75" customHeight="1" spans="1:12" x14ac:dyDescent="0.25">
      <c r="A55" s="114" t="s">
        <v>217</v>
      </c>
      <c r="B55" s="115">
        <v>56</v>
      </c>
      <c r="C55" s="115">
        <v>6.23</v>
      </c>
      <c r="D55" s="2" t="s">
        <v>218</v>
      </c>
      <c r="E55" s="119">
        <f>'Эл.энергия (расход)_19'!AB57</f>
        <v>5434</v>
      </c>
      <c r="F55" s="117"/>
      <c r="G55" s="14"/>
      <c r="H55" s="118">
        <v>114</v>
      </c>
      <c r="I55" s="115">
        <v>4.86</v>
      </c>
      <c r="J55" s="117" t="s">
        <v>245</v>
      </c>
      <c r="K55" s="119">
        <f>'Эл.энергия (расход)_19'!AB111</f>
        <v>28</v>
      </c>
      <c r="L55" s="117"/>
    </row>
    <row r="56" ht="15.75" customHeight="1" spans="1:12" x14ac:dyDescent="0.25">
      <c r="A56" s="21"/>
      <c r="B56" s="115">
        <v>57</v>
      </c>
      <c r="C56" s="116">
        <v>4</v>
      </c>
      <c r="D56" s="117" t="s">
        <v>221</v>
      </c>
      <c r="E56" s="119">
        <f>'Эл.энергия (расход)_19'!AB58</f>
        <v>462</v>
      </c>
      <c r="F56" s="117"/>
      <c r="G56" s="115" t="s">
        <v>350</v>
      </c>
      <c r="H56" s="117"/>
      <c r="I56" s="117"/>
      <c r="J56" s="117"/>
      <c r="K56" s="119">
        <f>SUM(E3:E56,K3:K55)</f>
        <v>185309</v>
      </c>
      <c r="L56" s="117"/>
    </row>
    <row r="57" ht="15.75" customHeight="1" spans="1:3" x14ac:dyDescent="0.25">
      <c r="A57" s="15"/>
      <c r="B57" s="112"/>
      <c r="C57" s="112"/>
    </row>
    <row r="58" ht="15.75" customHeight="1" spans="1:11" x14ac:dyDescent="0.25">
      <c r="A58" s="15"/>
      <c r="B58" s="112"/>
      <c r="C58" s="112"/>
      <c r="K58" s="2" t="b">
        <f>K56='Эл.энергия (расход)_19'!AB112</f>
        <v>1</v>
      </c>
    </row>
    <row r="59" ht="15.75" customHeight="1" spans="1:3" x14ac:dyDescent="0.25">
      <c r="A59" s="15"/>
      <c r="B59" s="112"/>
      <c r="C59" s="112"/>
    </row>
    <row r="60" ht="15.75" customHeight="1" spans="1:3" x14ac:dyDescent="0.25">
      <c r="A60" s="15"/>
      <c r="B60" s="112"/>
      <c r="C60" s="112"/>
    </row>
    <row r="61" ht="15.75" customHeight="1" spans="1:3" x14ac:dyDescent="0.25">
      <c r="A61" s="15"/>
      <c r="B61" s="112"/>
      <c r="C61" s="112"/>
    </row>
    <row r="62" ht="15.75" customHeight="1" spans="1:3" x14ac:dyDescent="0.25">
      <c r="A62" s="15"/>
      <c r="B62" s="112"/>
      <c r="C62" s="112"/>
    </row>
    <row r="63" ht="15.75" customHeight="1" spans="1:3" x14ac:dyDescent="0.25">
      <c r="A63" s="15"/>
      <c r="B63" s="112"/>
      <c r="C63" s="112"/>
    </row>
    <row r="64" ht="15.75" customHeight="1" spans="1:3" x14ac:dyDescent="0.25">
      <c r="A64" s="15"/>
      <c r="B64" s="112"/>
      <c r="C64" s="112"/>
    </row>
    <row r="65" ht="15.75" customHeight="1" spans="1:3" x14ac:dyDescent="0.25">
      <c r="A65" s="15"/>
      <c r="B65" s="112"/>
      <c r="C65" s="112"/>
    </row>
    <row r="66" ht="15.75" customHeight="1" spans="1:3" x14ac:dyDescent="0.25">
      <c r="A66" s="15"/>
      <c r="B66" s="112"/>
      <c r="C66" s="112"/>
    </row>
    <row r="67" ht="15.75" customHeight="1" spans="1:3" x14ac:dyDescent="0.25">
      <c r="A67" s="15"/>
      <c r="B67" s="112"/>
      <c r="C67" s="112"/>
    </row>
    <row r="68" ht="15.75" customHeight="1" spans="1:3" x14ac:dyDescent="0.25">
      <c r="A68" s="15"/>
      <c r="B68" s="112"/>
      <c r="C68" s="112"/>
    </row>
    <row r="69" ht="15.75" customHeight="1" spans="1:3" x14ac:dyDescent="0.25">
      <c r="A69" s="15"/>
      <c r="B69" s="112"/>
      <c r="C69" s="112"/>
    </row>
    <row r="70" ht="15.75" customHeight="1" spans="1:3" x14ac:dyDescent="0.25">
      <c r="A70" s="15"/>
      <c r="B70" s="112"/>
      <c r="C70" s="112"/>
    </row>
    <row r="71" ht="15.75" customHeight="1" spans="1:3" x14ac:dyDescent="0.25">
      <c r="A71" s="15"/>
      <c r="B71" s="112"/>
      <c r="C71" s="112"/>
    </row>
    <row r="72" ht="15.75" customHeight="1" spans="1:3" x14ac:dyDescent="0.25">
      <c r="A72" s="15"/>
      <c r="B72" s="112"/>
      <c r="C72" s="112"/>
    </row>
    <row r="73" ht="15.75" customHeight="1" spans="1:3" x14ac:dyDescent="0.25">
      <c r="A73" s="15"/>
      <c r="B73" s="112"/>
      <c r="C73" s="112"/>
    </row>
    <row r="74" ht="15.75" customHeight="1" spans="1:3" x14ac:dyDescent="0.25">
      <c r="A74" s="15"/>
      <c r="B74" s="112"/>
      <c r="C74" s="112"/>
    </row>
    <row r="75" ht="15.75" customHeight="1" spans="1:3" x14ac:dyDescent="0.25">
      <c r="A75" s="15"/>
      <c r="B75" s="112"/>
      <c r="C75" s="112"/>
    </row>
    <row r="76" ht="15.75" customHeight="1" spans="1:3" x14ac:dyDescent="0.25">
      <c r="A76" s="15"/>
      <c r="B76" s="112"/>
      <c r="C76" s="112"/>
    </row>
    <row r="77" ht="15.75" customHeight="1" spans="1:3" x14ac:dyDescent="0.25">
      <c r="A77" s="15"/>
      <c r="B77" s="112"/>
      <c r="C77" s="112"/>
    </row>
    <row r="78" ht="15.75" customHeight="1" spans="1:3" x14ac:dyDescent="0.25">
      <c r="A78" s="15"/>
      <c r="B78" s="112"/>
      <c r="C78" s="112"/>
    </row>
    <row r="79" ht="15.75" customHeight="1" spans="1:3" x14ac:dyDescent="0.25">
      <c r="A79" s="15"/>
      <c r="B79" s="112"/>
      <c r="C79" s="112"/>
    </row>
    <row r="80" ht="15.75" customHeight="1" spans="1:3" x14ac:dyDescent="0.25">
      <c r="A80" s="15"/>
      <c r="B80" s="112"/>
      <c r="C80" s="112"/>
    </row>
    <row r="81" ht="15.75" customHeight="1" spans="1:3" x14ac:dyDescent="0.25">
      <c r="A81" s="15"/>
      <c r="B81" s="112"/>
      <c r="C81" s="112"/>
    </row>
    <row r="82" ht="15.75" customHeight="1" spans="1:3" x14ac:dyDescent="0.25">
      <c r="A82" s="15"/>
      <c r="B82" s="112"/>
      <c r="C82" s="112"/>
    </row>
    <row r="83" ht="15.75" customHeight="1" spans="1:3" x14ac:dyDescent="0.25">
      <c r="A83" s="15"/>
      <c r="B83" s="112"/>
      <c r="C83" s="112"/>
    </row>
    <row r="84" ht="15.75" customHeight="1" spans="1:3" x14ac:dyDescent="0.25">
      <c r="A84" s="15"/>
      <c r="B84" s="112"/>
      <c r="C84" s="112"/>
    </row>
    <row r="85" ht="15.75" customHeight="1" spans="1:3" x14ac:dyDescent="0.25">
      <c r="A85" s="15"/>
      <c r="B85" s="112"/>
      <c r="C85" s="112"/>
    </row>
    <row r="86" ht="15.75" customHeight="1" spans="1:3" x14ac:dyDescent="0.25">
      <c r="A86" s="15"/>
      <c r="B86" s="112"/>
      <c r="C86" s="112"/>
    </row>
    <row r="87" ht="15.75" customHeight="1" spans="1:3" x14ac:dyDescent="0.25">
      <c r="A87" s="15"/>
      <c r="B87" s="112"/>
      <c r="C87" s="112"/>
    </row>
    <row r="88" ht="15.75" customHeight="1" spans="1:3" x14ac:dyDescent="0.25">
      <c r="A88" s="15"/>
      <c r="B88" s="112"/>
      <c r="C88" s="112"/>
    </row>
    <row r="89" ht="15.75" customHeight="1" spans="1:3" x14ac:dyDescent="0.25">
      <c r="A89" s="15"/>
      <c r="B89" s="112"/>
      <c r="C89" s="112"/>
    </row>
    <row r="90" ht="15.75" customHeight="1" spans="1:3" x14ac:dyDescent="0.25">
      <c r="A90" s="15"/>
      <c r="B90" s="112"/>
      <c r="C90" s="112"/>
    </row>
    <row r="91" ht="15.75" customHeight="1" spans="1:3" x14ac:dyDescent="0.25">
      <c r="A91" s="15"/>
      <c r="B91" s="112"/>
      <c r="C91" s="112"/>
    </row>
    <row r="92" ht="15.75" customHeight="1" spans="1:3" x14ac:dyDescent="0.25">
      <c r="A92" s="15"/>
      <c r="B92" s="112"/>
      <c r="C92" s="112"/>
    </row>
    <row r="93" ht="15.75" customHeight="1" spans="1:3" x14ac:dyDescent="0.25">
      <c r="A93" s="15"/>
      <c r="B93" s="112"/>
      <c r="C93" s="112"/>
    </row>
    <row r="94" ht="15.75" customHeight="1" spans="1:3" x14ac:dyDescent="0.25">
      <c r="A94" s="15"/>
      <c r="B94" s="112"/>
      <c r="C94" s="112"/>
    </row>
    <row r="95" ht="15.75" customHeight="1" spans="1:3" x14ac:dyDescent="0.25">
      <c r="A95" s="15"/>
      <c r="B95" s="112"/>
      <c r="C95" s="112"/>
    </row>
    <row r="96" ht="15.75" customHeight="1" spans="1:3" x14ac:dyDescent="0.25">
      <c r="A96" s="15"/>
      <c r="B96" s="112"/>
      <c r="C96" s="112"/>
    </row>
    <row r="97" ht="15.75" customHeight="1" spans="1:3" x14ac:dyDescent="0.25">
      <c r="A97" s="15"/>
      <c r="B97" s="112"/>
      <c r="C97" s="112"/>
    </row>
    <row r="98" ht="15.75" customHeight="1" spans="1:3" x14ac:dyDescent="0.25">
      <c r="A98" s="15"/>
      <c r="B98" s="112"/>
      <c r="C98" s="112"/>
    </row>
    <row r="99" ht="15.75" customHeight="1" spans="1:3" x14ac:dyDescent="0.25">
      <c r="A99" s="15"/>
      <c r="B99" s="112"/>
      <c r="C99" s="112"/>
    </row>
    <row r="100" ht="15.75" customHeight="1" spans="1:3" x14ac:dyDescent="0.25">
      <c r="A100" s="15"/>
      <c r="B100" s="112"/>
      <c r="C100" s="112"/>
    </row>
    <row r="101" ht="15.75" customHeight="1" spans="1:3" x14ac:dyDescent="0.25">
      <c r="A101" s="15"/>
      <c r="B101" s="112"/>
      <c r="C101" s="112"/>
    </row>
    <row r="102" ht="15.75" customHeight="1" spans="1:3" x14ac:dyDescent="0.25">
      <c r="A102" s="15"/>
      <c r="B102" s="112"/>
      <c r="C102" s="112"/>
    </row>
    <row r="103" ht="15.75" customHeight="1" spans="1:3" x14ac:dyDescent="0.25">
      <c r="A103" s="15"/>
      <c r="B103" s="112"/>
      <c r="C103" s="112"/>
    </row>
    <row r="104" ht="15.75" customHeight="1" spans="1:3" x14ac:dyDescent="0.25">
      <c r="A104" s="15"/>
      <c r="B104" s="112"/>
      <c r="C104" s="112"/>
    </row>
    <row r="105" ht="15.75" customHeight="1" spans="1:3" x14ac:dyDescent="0.25">
      <c r="A105" s="15"/>
      <c r="B105" s="112"/>
      <c r="C105" s="112"/>
    </row>
    <row r="106" ht="15.75" customHeight="1" spans="1:3" x14ac:dyDescent="0.25">
      <c r="A106" s="15"/>
      <c r="B106" s="112"/>
      <c r="C106" s="112"/>
    </row>
    <row r="107" ht="15.75" customHeight="1" spans="1:3" x14ac:dyDescent="0.25">
      <c r="A107" s="15"/>
      <c r="B107" s="112"/>
      <c r="C107" s="112"/>
    </row>
    <row r="108" ht="15.75" customHeight="1" spans="1:3" x14ac:dyDescent="0.25">
      <c r="A108" s="15"/>
      <c r="B108" s="112"/>
      <c r="C108" s="112"/>
    </row>
    <row r="109" ht="15.75" customHeight="1" spans="1:3" x14ac:dyDescent="0.25">
      <c r="A109" s="15"/>
      <c r="B109" s="112"/>
      <c r="C109" s="112"/>
    </row>
    <row r="110" ht="15.75" customHeight="1" spans="1:3" x14ac:dyDescent="0.25">
      <c r="A110" s="15"/>
      <c r="B110" s="112"/>
      <c r="C110" s="112"/>
    </row>
    <row r="111" ht="15.75" customHeight="1" spans="1:3" x14ac:dyDescent="0.25">
      <c r="A111" s="15"/>
      <c r="B111" s="112"/>
      <c r="C111" s="112"/>
    </row>
    <row r="112" ht="15.75" customHeight="1" hidden="1" spans="1:5" x14ac:dyDescent="0.25" outlineLevel="1" collapsed="1">
      <c r="A112" s="15"/>
      <c r="B112" s="112"/>
      <c r="C112" s="112"/>
      <c r="E112" s="120" t="b">
        <f>E100='2019'!Y867</f>
        <v>0</v>
      </c>
    </row>
    <row r="113" ht="15.75" customHeight="1" spans="1:5" x14ac:dyDescent="0.25">
      <c r="A113" s="15"/>
      <c r="B113" s="112"/>
      <c r="C113" s="112"/>
      <c r="E113" s="120"/>
    </row>
    <row r="114" ht="15.75" customHeight="1" spans="1:3" x14ac:dyDescent="0.25">
      <c r="A114" s="15"/>
      <c r="B114" s="112"/>
      <c r="C114" s="112"/>
    </row>
    <row r="115" ht="15.75" customHeight="1" spans="1:3" x14ac:dyDescent="0.25">
      <c r="A115" s="15"/>
      <c r="B115" s="112"/>
      <c r="C115" s="112"/>
    </row>
    <row r="116" ht="15.75" customHeight="1" spans="1:3" x14ac:dyDescent="0.25">
      <c r="A116" s="15"/>
      <c r="B116" s="112"/>
      <c r="C116" s="112"/>
    </row>
    <row r="117" ht="15.75" customHeight="1" spans="1:3" x14ac:dyDescent="0.25">
      <c r="A117" s="15"/>
      <c r="B117" s="112"/>
      <c r="C117" s="112"/>
    </row>
    <row r="118" ht="15.75" customHeight="1" spans="1:3" x14ac:dyDescent="0.25">
      <c r="A118" s="15"/>
      <c r="B118" s="112"/>
      <c r="C118" s="112"/>
    </row>
    <row r="119" ht="15.75" customHeight="1" spans="1:3" x14ac:dyDescent="0.25">
      <c r="A119" s="15"/>
      <c r="B119" s="112"/>
      <c r="C119" s="112"/>
    </row>
    <row r="120" ht="15.75" customHeight="1" spans="1:3" x14ac:dyDescent="0.25">
      <c r="A120" s="15"/>
      <c r="B120" s="112"/>
      <c r="C120" s="112"/>
    </row>
    <row r="121" ht="15.75" customHeight="1" spans="1:3" x14ac:dyDescent="0.25">
      <c r="A121" s="15"/>
      <c r="B121" s="112"/>
      <c r="C121" s="112"/>
    </row>
    <row r="122" ht="15.75" customHeight="1" spans="1:3" x14ac:dyDescent="0.25">
      <c r="A122" s="15"/>
      <c r="B122" s="112"/>
      <c r="C122" s="112"/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875" right="0" top="0.196527777777778" bottom="0" header="0" footer="0"/>
  <pageSetup paperSize="9"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FF"/>
  </sheetPr>
  <dimension ref="A1:BJ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14" outlineLevel="1" collapsed="1" customWidth="1"/>
    <col min="2" max="2" width="10.14" customWidth="1"/>
    <col min="3" max="3" width="6.43" outlineLevel="1" collapsed="1" customWidth="1"/>
    <col min="4" max="4" width="13.86" outlineLevel="1" collapsed="1" customWidth="1"/>
    <col min="5" max="6" width="7.14" outlineLevel="1" collapsed="1" customWidth="1"/>
    <col min="7" max="8" width="8.86" outlineLevel="1" collapsed="1" customWidth="1"/>
    <col min="9" max="10" width="7.14" outlineLevel="1" collapsed="1" customWidth="1"/>
    <col min="11" max="12" width="8.86" outlineLevel="1" collapsed="1" customWidth="1"/>
    <col min="13" max="14" width="7.14" outlineLevel="1" collapsed="1" customWidth="1"/>
    <col min="15" max="16" width="8.86" outlineLevel="1" collapsed="1" customWidth="1"/>
    <col min="17" max="18" width="7.14" outlineLevel="1" collapsed="1" customWidth="1"/>
    <col min="19" max="20" width="8.86" outlineLevel="1" collapsed="1" customWidth="1"/>
    <col min="21" max="22" width="7.14" outlineLevel="1" collapsed="1" customWidth="1"/>
    <col min="23" max="24" width="8.14" outlineLevel="1" collapsed="1" customWidth="1"/>
    <col min="25" max="26" width="7.14" outlineLevel="1" collapsed="1" customWidth="1"/>
    <col min="27" max="28" width="8.86" outlineLevel="1" collapsed="1" customWidth="1"/>
    <col min="29" max="30" width="7.14" outlineLevel="1" collapsed="1" customWidth="1"/>
    <col min="31" max="32" width="8.86" outlineLevel="1" collapsed="1" customWidth="1"/>
    <col min="33" max="34" width="7.14" outlineLevel="1" collapsed="1" customWidth="1"/>
    <col min="35" max="36" width="8.86" outlineLevel="1" collapsed="1" customWidth="1"/>
    <col min="37" max="38" width="7.14" outlineLevel="1" collapsed="1" customWidth="1"/>
    <col min="39" max="40" width="8.86" outlineLevel="1" collapsed="1" customWidth="1"/>
    <col min="41" max="42" width="7.14" outlineLevel="1" collapsed="1" customWidth="1"/>
    <col min="43" max="44" width="8.86" outlineLevel="1" collapsed="1" customWidth="1"/>
    <col min="45" max="46" width="7.14" outlineLevel="1" collapsed="1" customWidth="1"/>
    <col min="47" max="47" width="8.57" outlineLevel="1" collapsed="1" customWidth="1"/>
    <col min="48" max="48" width="8.14" outlineLevel="1" collapsed="1" customWidth="1"/>
    <col min="49" max="49" width="7.14" outlineLevel="1" collapsed="1" customWidth="1"/>
    <col min="50" max="50" width="8.14" outlineLevel="1" collapsed="1" customWidth="1"/>
    <col min="51" max="52" width="7.14" customWidth="1"/>
    <col min="53" max="53" width="8.57" customWidth="1"/>
    <col min="54" max="54" width="8.14" customWidth="1"/>
    <col min="55" max="56" width="7.14" outlineLevel="1" collapsed="1" customWidth="1"/>
    <col min="57" max="57" width="7.43" customWidth="1"/>
    <col min="58" max="59" width="9.86" customWidth="1"/>
    <col min="60" max="60" width="8.43" customWidth="1"/>
    <col min="61" max="61" width="9.14" outlineLevel="1" collapsed="1" customWidth="1"/>
    <col min="62" max="62" width="9.86" outlineLevel="1" collapsed="1" customWidth="1"/>
  </cols>
  <sheetData>
    <row r="1" spans="1:57" x14ac:dyDescent="0.25">
      <c r="A1" s="15"/>
      <c r="B1" s="1" t="s">
        <v>371</v>
      </c>
      <c r="C1" s="112"/>
      <c r="G1" s="1"/>
      <c r="H1" s="1"/>
      <c r="I1" s="1"/>
      <c r="J1" s="1"/>
      <c r="K1" s="1"/>
      <c r="L1" s="1"/>
      <c r="M1" s="1"/>
      <c r="N1" s="1"/>
      <c r="O1" s="1"/>
      <c r="P1" s="1"/>
      <c r="R1" s="1"/>
      <c r="S1" s="1"/>
      <c r="T1" s="1"/>
      <c r="V1" s="1"/>
      <c r="W1" s="1"/>
      <c r="X1" s="1"/>
      <c r="Y1" s="1"/>
      <c r="Z1" s="1"/>
      <c r="AB1" s="1"/>
      <c r="BE1" s="2" t="str">
        <f>'2019'!F1</f>
        <v>на 01 января 2020 года</v>
      </c>
    </row>
    <row r="2" spans="1:50" x14ac:dyDescent="0.25">
      <c r="A2" s="15"/>
      <c r="B2" s="112" t="s">
        <v>366</v>
      </c>
      <c r="C2" s="112"/>
      <c r="AX2" s="164">
        <v>2.5</v>
      </c>
    </row>
    <row r="3" spans="1:62" x14ac:dyDescent="0.25">
      <c r="A3" s="4"/>
      <c r="B3" s="17" t="s">
        <v>2</v>
      </c>
      <c r="C3" s="17" t="s">
        <v>354</v>
      </c>
      <c r="D3" s="16" t="s">
        <v>355</v>
      </c>
      <c r="E3" s="6" t="s">
        <v>9</v>
      </c>
      <c r="F3" s="9"/>
      <c r="G3" s="9"/>
      <c r="H3" s="7"/>
      <c r="I3" s="6" t="s">
        <v>10</v>
      </c>
      <c r="J3" s="9"/>
      <c r="K3" s="9"/>
      <c r="L3" s="7"/>
      <c r="M3" s="6" t="s">
        <v>11</v>
      </c>
      <c r="N3" s="9"/>
      <c r="O3" s="9"/>
      <c r="P3" s="7"/>
      <c r="Q3" s="6" t="s">
        <v>12</v>
      </c>
      <c r="R3" s="9"/>
      <c r="S3" s="9"/>
      <c r="T3" s="7"/>
      <c r="U3" s="6" t="s">
        <v>13</v>
      </c>
      <c r="V3" s="9"/>
      <c r="W3" s="9"/>
      <c r="X3" s="7"/>
      <c r="Y3" s="6" t="s">
        <v>14</v>
      </c>
      <c r="Z3" s="9"/>
      <c r="AA3" s="9"/>
      <c r="AB3" s="7"/>
      <c r="AC3" s="6" t="s">
        <v>15</v>
      </c>
      <c r="AD3" s="9"/>
      <c r="AE3" s="9"/>
      <c r="AF3" s="7"/>
      <c r="AG3" s="6" t="s">
        <v>16</v>
      </c>
      <c r="AH3" s="9"/>
      <c r="AI3" s="9"/>
      <c r="AJ3" s="7"/>
      <c r="AK3" s="6" t="s">
        <v>17</v>
      </c>
      <c r="AL3" s="9"/>
      <c r="AM3" s="9"/>
      <c r="AN3" s="7"/>
      <c r="AO3" s="6" t="s">
        <v>18</v>
      </c>
      <c r="AP3" s="9"/>
      <c r="AQ3" s="9"/>
      <c r="AR3" s="7"/>
      <c r="AS3" s="6" t="s">
        <v>19</v>
      </c>
      <c r="AT3" s="9"/>
      <c r="AU3" s="9"/>
      <c r="AV3" s="7"/>
      <c r="AW3" s="6" t="s">
        <v>372</v>
      </c>
      <c r="AX3" s="7"/>
      <c r="AY3" s="6" t="s">
        <v>20</v>
      </c>
      <c r="AZ3" s="9"/>
      <c r="BA3" s="9"/>
      <c r="BB3" s="7"/>
      <c r="BC3" s="6" t="s">
        <v>372</v>
      </c>
      <c r="BD3" s="7"/>
      <c r="BE3" s="8" t="s">
        <v>21</v>
      </c>
      <c r="BF3" s="9"/>
      <c r="BG3" s="9"/>
      <c r="BH3" s="7"/>
      <c r="BI3" s="17" t="s">
        <v>33</v>
      </c>
      <c r="BJ3" s="16" t="s">
        <v>373</v>
      </c>
    </row>
    <row r="4" spans="1:62" x14ac:dyDescent="0.25">
      <c r="A4" s="21"/>
      <c r="B4" s="24" t="s">
        <v>23</v>
      </c>
      <c r="C4" s="24"/>
      <c r="D4" s="23"/>
      <c r="E4" s="4" t="s">
        <v>30</v>
      </c>
      <c r="F4" s="4" t="s">
        <v>3</v>
      </c>
      <c r="G4" s="17" t="s">
        <v>374</v>
      </c>
      <c r="H4" s="17" t="s">
        <v>32</v>
      </c>
      <c r="I4" s="4" t="s">
        <v>30</v>
      </c>
      <c r="J4" s="4" t="s">
        <v>3</v>
      </c>
      <c r="K4" s="17" t="s">
        <v>374</v>
      </c>
      <c r="L4" s="17" t="s">
        <v>32</v>
      </c>
      <c r="M4" s="4" t="s">
        <v>30</v>
      </c>
      <c r="N4" s="4" t="s">
        <v>3</v>
      </c>
      <c r="O4" s="17" t="s">
        <v>374</v>
      </c>
      <c r="P4" s="17" t="s">
        <v>32</v>
      </c>
      <c r="Q4" s="4" t="s">
        <v>30</v>
      </c>
      <c r="R4" s="4" t="s">
        <v>3</v>
      </c>
      <c r="S4" s="17" t="s">
        <v>374</v>
      </c>
      <c r="T4" s="17" t="s">
        <v>32</v>
      </c>
      <c r="U4" s="4" t="s">
        <v>30</v>
      </c>
      <c r="V4" s="4" t="s">
        <v>3</v>
      </c>
      <c r="W4" s="17" t="s">
        <v>374</v>
      </c>
      <c r="X4" s="17" t="s">
        <v>32</v>
      </c>
      <c r="Y4" s="4" t="s">
        <v>30</v>
      </c>
      <c r="Z4" s="4" t="s">
        <v>3</v>
      </c>
      <c r="AA4" s="17" t="s">
        <v>374</v>
      </c>
      <c r="AB4" s="17" t="s">
        <v>32</v>
      </c>
      <c r="AC4" s="4" t="s">
        <v>30</v>
      </c>
      <c r="AD4" s="4" t="s">
        <v>3</v>
      </c>
      <c r="AE4" s="17" t="s">
        <v>374</v>
      </c>
      <c r="AF4" s="17" t="s">
        <v>32</v>
      </c>
      <c r="AG4" s="4" t="s">
        <v>30</v>
      </c>
      <c r="AH4" s="4" t="s">
        <v>3</v>
      </c>
      <c r="AI4" s="17" t="s">
        <v>374</v>
      </c>
      <c r="AJ4" s="17" t="s">
        <v>32</v>
      </c>
      <c r="AK4" s="4" t="s">
        <v>30</v>
      </c>
      <c r="AL4" s="4" t="s">
        <v>3</v>
      </c>
      <c r="AM4" s="17" t="s">
        <v>374</v>
      </c>
      <c r="AN4" s="17" t="s">
        <v>32</v>
      </c>
      <c r="AO4" s="4" t="s">
        <v>30</v>
      </c>
      <c r="AP4" s="4" t="s">
        <v>3</v>
      </c>
      <c r="AQ4" s="17" t="s">
        <v>374</v>
      </c>
      <c r="AR4" s="17" t="s">
        <v>32</v>
      </c>
      <c r="AS4" s="4" t="s">
        <v>30</v>
      </c>
      <c r="AT4" s="4" t="s">
        <v>3</v>
      </c>
      <c r="AU4" s="17" t="s">
        <v>374</v>
      </c>
      <c r="AV4" s="17" t="s">
        <v>32</v>
      </c>
      <c r="AW4" s="4" t="s">
        <v>3</v>
      </c>
      <c r="AX4" s="17" t="s">
        <v>374</v>
      </c>
      <c r="AY4" s="4" t="s">
        <v>30</v>
      </c>
      <c r="AZ4" s="4" t="s">
        <v>3</v>
      </c>
      <c r="BA4" s="17" t="s">
        <v>374</v>
      </c>
      <c r="BB4" s="17" t="s">
        <v>32</v>
      </c>
      <c r="BC4" s="4" t="s">
        <v>3</v>
      </c>
      <c r="BD4" s="17" t="s">
        <v>374</v>
      </c>
      <c r="BE4" s="4" t="s">
        <v>3</v>
      </c>
      <c r="BF4" s="17" t="s">
        <v>33</v>
      </c>
      <c r="BG4" s="17" t="s">
        <v>34</v>
      </c>
      <c r="BH4" s="115" t="s">
        <v>35</v>
      </c>
      <c r="BI4" s="24" t="s">
        <v>369</v>
      </c>
      <c r="BJ4" s="123" t="s">
        <v>369</v>
      </c>
    </row>
    <row r="5" spans="1:62" x14ac:dyDescent="0.25">
      <c r="A5" s="114" t="s">
        <v>41</v>
      </c>
      <c r="B5" s="125">
        <f>'2019'!A8</f>
        <v>1</v>
      </c>
      <c r="C5" s="116">
        <v>4</v>
      </c>
      <c r="D5" s="117" t="str">
        <f>'2019'!C8</f>
        <v>сторож</v>
      </c>
      <c r="E5" s="119">
        <f>'2019'!I8</f>
        <v>3507</v>
      </c>
      <c r="F5" s="21">
        <f>'2019'!J8</f>
        <v>323</v>
      </c>
      <c r="G5" s="124">
        <f>'2019'!K8</f>
        <v>804.27</v>
      </c>
      <c r="H5" s="124">
        <f>'2019'!L8</f>
        <v>580.17</v>
      </c>
      <c r="I5" s="119">
        <f>'2019'!M8</f>
        <v>3704</v>
      </c>
      <c r="J5" s="119">
        <f>'2019'!N8</f>
        <v>197</v>
      </c>
      <c r="K5" s="106">
        <f>'2019'!O8</f>
        <v>490.53</v>
      </c>
      <c r="L5" s="106">
        <f>'2019'!P8</f>
        <v>766.92</v>
      </c>
      <c r="M5" s="119">
        <f>'2019'!Q8</f>
        <v>3729</v>
      </c>
      <c r="N5" s="119">
        <f>'2019'!R8</f>
        <v>25</v>
      </c>
      <c r="O5" s="106">
        <f>'2019'!S8</f>
        <v>62.25</v>
      </c>
      <c r="P5" s="106">
        <f>'2019'!T8</f>
        <v>1448.2</v>
      </c>
      <c r="Q5" s="119">
        <f>'2019'!U8</f>
        <v>3760</v>
      </c>
      <c r="R5" s="119">
        <f>'2019'!V8</f>
        <v>31</v>
      </c>
      <c r="S5" s="106">
        <f>'2019'!W8</f>
        <v>77.19</v>
      </c>
      <c r="T5" s="106">
        <f>'2019'!X8</f>
      </c>
      <c r="U5" s="119">
        <f>'2019'!Y8</f>
        <v>3790</v>
      </c>
      <c r="V5" s="119">
        <f>'2019'!Z8</f>
        <v>30</v>
      </c>
      <c r="W5" s="106">
        <f>'2019'!AA8</f>
        <v>74.7</v>
      </c>
      <c r="X5" s="106">
        <f>'2019'!AB8</f>
      </c>
      <c r="Y5" s="119">
        <f>'2019'!AC8</f>
        <v>3803</v>
      </c>
      <c r="Z5" s="119">
        <f>'2019'!AD8</f>
        <v>13</v>
      </c>
      <c r="AA5" s="106">
        <f>'2019'!AE8</f>
        <v>32.5</v>
      </c>
      <c r="AB5" s="106">
        <f>'2019'!AF8</f>
      </c>
      <c r="AC5" s="119">
        <f>'2019'!AG8</f>
        <v>3818</v>
      </c>
      <c r="AD5" s="119">
        <f>'2019'!AH8</f>
        <v>15</v>
      </c>
      <c r="AE5" s="106">
        <f>'2019'!AI8</f>
        <v>37.5</v>
      </c>
      <c r="AF5" s="106">
        <f>'2019'!AJ8</f>
      </c>
      <c r="AG5" s="119">
        <f>'2019'!AK8</f>
        <v>3828</v>
      </c>
      <c r="AH5" s="119">
        <f>'2019'!AL8</f>
        <v>10</v>
      </c>
      <c r="AI5" s="106">
        <f>'2019'!AM8</f>
        <v>25</v>
      </c>
      <c r="AJ5" s="106">
        <f>'2019'!AN8</f>
      </c>
      <c r="AK5" s="119">
        <f>'2019'!AO8</f>
        <v>3937</v>
      </c>
      <c r="AL5" s="119">
        <f>'2019'!AP8</f>
        <v>109</v>
      </c>
      <c r="AM5" s="106">
        <f>'2019'!AQ8</f>
        <v>272.5</v>
      </c>
      <c r="AN5" s="106">
        <f>'2019'!AR8</f>
      </c>
      <c r="AO5" s="119">
        <f>'2019'!AS8</f>
        <v>4100</v>
      </c>
      <c r="AP5" s="119">
        <f>'2019'!AT8</f>
        <v>163</v>
      </c>
      <c r="AQ5" s="106">
        <f>'2019'!AU8</f>
        <v>407.5</v>
      </c>
      <c r="AR5" s="106">
        <f>'2019'!AV8</f>
      </c>
      <c r="AS5" s="119">
        <f>'2019'!AW8</f>
        <v>4305</v>
      </c>
      <c r="AT5" s="119">
        <f>'2019'!AX8</f>
        <v>205</v>
      </c>
      <c r="AU5" s="106">
        <f>'2019'!AY8</f>
        <v>512.5</v>
      </c>
      <c r="AV5" s="106">
        <f>'2019'!AZ8</f>
        <v>605</v>
      </c>
      <c r="AW5" s="106"/>
      <c r="AX5" s="106">
        <f t="shared" ref="AX5:AX111" si="0">AW5*$AX$2</f>
        <v>0</v>
      </c>
      <c r="AY5" s="119">
        <f>'2019'!BA8</f>
        <v>4682</v>
      </c>
      <c r="AZ5" s="119">
        <f>'2019'!BB8</f>
        <v>377</v>
      </c>
      <c r="BA5" s="106">
        <f>'2019'!BC8</f>
        <v>942.5</v>
      </c>
      <c r="BB5" s="106">
        <f>'2019'!BD8</f>
      </c>
      <c r="BC5" s="106"/>
      <c r="BD5" s="106"/>
      <c r="BE5" s="119">
        <f>'2019'!BE8</f>
        <v>1498</v>
      </c>
      <c r="BF5" s="106">
        <f>'2019'!BF8</f>
        <v>3738.94</v>
      </c>
      <c r="BG5" s="106">
        <f>'2019'!BG8</f>
        <v>3400.29</v>
      </c>
      <c r="BH5" s="106">
        <f>'2019'!BH8</f>
        <v>2091.01</v>
      </c>
      <c r="BI5" s="106">
        <f t="shared" ref="BI5:BI111" si="1">AX5+BD5</f>
        <v>0</v>
      </c>
      <c r="BJ5" s="124">
        <f t="shared" ref="BJ5:BJ111" si="2">BH5+BI5</f>
        <v>2091.01</v>
      </c>
    </row>
    <row r="6" spans="1:62" x14ac:dyDescent="0.25">
      <c r="A6" s="14"/>
      <c r="B6" s="125">
        <v>2</v>
      </c>
      <c r="C6" s="115">
        <v>4.12</v>
      </c>
      <c r="D6" s="117" t="s">
        <v>359</v>
      </c>
      <c r="E6" s="119">
        <f>'2019'!I17</f>
        <v>15062</v>
      </c>
      <c r="F6" s="119">
        <f>'2019'!J17</f>
        <v>1007</v>
      </c>
      <c r="G6" s="106">
        <f>'2019'!K17</f>
        <v>2507.43</v>
      </c>
      <c r="H6" s="106">
        <f>'2019'!L17</f>
        <v>2600</v>
      </c>
      <c r="I6" s="119">
        <f>'2019'!M17</f>
        <v>15728</v>
      </c>
      <c r="J6" s="119">
        <f>'2019'!N17</f>
        <v>666</v>
      </c>
      <c r="K6" s="106">
        <f>'2019'!O17</f>
        <v>1658.34</v>
      </c>
      <c r="L6" s="106">
        <f>'2019'!P17</f>
        <v>1700</v>
      </c>
      <c r="M6" s="119">
        <f>'2019'!Q17</f>
        <v>16286</v>
      </c>
      <c r="N6" s="119">
        <f>'2019'!R17</f>
        <v>558</v>
      </c>
      <c r="O6" s="106">
        <f>'2019'!S17</f>
        <v>1389.42</v>
      </c>
      <c r="P6" s="106">
        <f>'2019'!T17</f>
        <v>1400</v>
      </c>
      <c r="Q6" s="119">
        <f>'2019'!U17</f>
        <v>16889</v>
      </c>
      <c r="R6" s="119">
        <f>'2019'!V17</f>
        <v>603</v>
      </c>
      <c r="S6" s="106">
        <f>'2019'!W17</f>
        <v>1501.47</v>
      </c>
      <c r="T6" s="106">
        <f>'2019'!X17</f>
        <v>1600</v>
      </c>
      <c r="U6" s="119">
        <f>'2019'!Y17</f>
        <v>17429</v>
      </c>
      <c r="V6" s="119">
        <f>'2019'!Z17</f>
        <v>540</v>
      </c>
      <c r="W6" s="106">
        <f>'2019'!AA17</f>
        <v>1344.6</v>
      </c>
      <c r="X6" s="106">
        <f>'2019'!AB17</f>
        <v>1100</v>
      </c>
      <c r="Y6" s="119">
        <f>'2019'!AC17</f>
        <v>17903</v>
      </c>
      <c r="Z6" s="119">
        <f>'2019'!AD17</f>
        <v>474</v>
      </c>
      <c r="AA6" s="106">
        <f>'2019'!AE17</f>
        <v>1185</v>
      </c>
      <c r="AB6" s="106">
        <f>'2019'!AF17</f>
        <v>1185</v>
      </c>
      <c r="AC6" s="119">
        <f>'2019'!AG17</f>
        <v>18383</v>
      </c>
      <c r="AD6" s="119">
        <f>'2019'!AH17</f>
        <v>480</v>
      </c>
      <c r="AE6" s="106">
        <f>'2019'!AI17</f>
        <v>1200</v>
      </c>
      <c r="AF6" s="106">
        <f>'2019'!AJ17</f>
        <v>1200</v>
      </c>
      <c r="AG6" s="119">
        <f>'2019'!AK17</f>
        <v>18881</v>
      </c>
      <c r="AH6" s="119">
        <f>'2019'!AL17</f>
        <v>498</v>
      </c>
      <c r="AI6" s="106">
        <f>'2019'!AM17</f>
        <v>1245</v>
      </c>
      <c r="AJ6" s="106">
        <f>'2019'!AN17</f>
      </c>
      <c r="AK6" s="119">
        <f>'2019'!AO17</f>
        <v>19468</v>
      </c>
      <c r="AL6" s="119">
        <f>'2019'!AP17</f>
        <v>587</v>
      </c>
      <c r="AM6" s="106">
        <f>'2019'!AQ17</f>
        <v>1467.5</v>
      </c>
      <c r="AN6" s="106">
        <f>'2019'!AR17</f>
        <v>1225.33</v>
      </c>
      <c r="AO6" s="119">
        <f>'2019'!AS17</f>
        <v>20020</v>
      </c>
      <c r="AP6" s="119">
        <f>'2019'!AT17</f>
        <v>552</v>
      </c>
      <c r="AQ6" s="106">
        <f>'2019'!AU17</f>
        <v>1380</v>
      </c>
      <c r="AR6" s="106">
        <f>'2019'!AV17</f>
        <v>2847.5</v>
      </c>
      <c r="AS6" s="126">
        <f>'2019'!AW17</f>
        <v>20640</v>
      </c>
      <c r="AT6" s="119">
        <f>'2019'!AX17</f>
        <v>620</v>
      </c>
      <c r="AU6" s="106">
        <f>'2019'!AY17</f>
        <v>1550</v>
      </c>
      <c r="AV6" s="106">
        <f>'2019'!AZ17</f>
        <v>1550</v>
      </c>
      <c r="AW6" s="119"/>
      <c r="AX6" s="106">
        <f t="shared" si="0"/>
        <v>0</v>
      </c>
      <c r="AY6" s="119">
        <f>'2019'!BA17</f>
        <v>21327</v>
      </c>
      <c r="AZ6" s="119">
        <f>'2019'!BB17</f>
        <v>687</v>
      </c>
      <c r="BA6" s="106">
        <f>'2019'!BC17</f>
        <v>1717.5</v>
      </c>
      <c r="BB6" s="106">
        <f>'2019'!BD17</f>
        <v>2000</v>
      </c>
      <c r="BC6" s="106"/>
      <c r="BD6" s="106"/>
      <c r="BE6" s="119">
        <f>'2019'!BE17</f>
        <v>7272</v>
      </c>
      <c r="BF6" s="106">
        <f>'2019'!BF17</f>
        <v>18146.26</v>
      </c>
      <c r="BG6" s="106">
        <f>'2019'!BG17</f>
        <v>18407.83</v>
      </c>
      <c r="BH6" s="106">
        <f>'2019'!BH17</f>
        <v>-282.5</v>
      </c>
      <c r="BI6" s="106">
        <f t="shared" si="1"/>
        <v>0</v>
      </c>
      <c r="BJ6" s="124">
        <f t="shared" si="2"/>
        <v>-282.5</v>
      </c>
    </row>
    <row r="7" spans="1:62" x14ac:dyDescent="0.25">
      <c r="A7" s="14"/>
      <c r="B7" s="115">
        <v>3</v>
      </c>
      <c r="C7" s="116">
        <v>4</v>
      </c>
      <c r="D7" s="117" t="s">
        <v>60</v>
      </c>
      <c r="E7" s="119">
        <f>'2019'!I25</f>
        <v>27</v>
      </c>
      <c r="F7" s="119">
        <f>'2019'!J25</f>
        <v>0</v>
      </c>
      <c r="G7" s="106">
        <f>'2019'!K25</f>
        <v>0</v>
      </c>
      <c r="H7" s="106">
        <f>'2019'!L25</f>
      </c>
      <c r="I7" s="119">
        <f>'2019'!M25</f>
        <v>27</v>
      </c>
      <c r="J7" s="119">
        <f>'2019'!N25</f>
        <v>0</v>
      </c>
      <c r="K7" s="106">
        <f>'2019'!O25</f>
        <v>0</v>
      </c>
      <c r="L7" s="106">
        <f>'2019'!P25</f>
      </c>
      <c r="M7" s="119">
        <f>'2019'!Q25</f>
        <v>27</v>
      </c>
      <c r="N7" s="119">
        <f>'2019'!R25</f>
        <v>0</v>
      </c>
      <c r="O7" s="165">
        <f>'2019'!S25</f>
        <v>0</v>
      </c>
      <c r="P7" s="165">
        <f>'2019'!T25</f>
      </c>
      <c r="Q7" s="119">
        <f>'2019'!U25</f>
        <v>27</v>
      </c>
      <c r="R7" s="119">
        <f>'2019'!V25</f>
        <v>0</v>
      </c>
      <c r="S7" s="106">
        <f>'2019'!W25</f>
        <v>0</v>
      </c>
      <c r="T7" s="106">
        <f>'2019'!X25</f>
      </c>
      <c r="U7" s="119">
        <f>'2019'!Y25</f>
        <v>28</v>
      </c>
      <c r="V7" s="119">
        <f>'2019'!Z25</f>
        <v>1</v>
      </c>
      <c r="W7" s="106">
        <f>'2019'!AA25</f>
        <v>2.49</v>
      </c>
      <c r="X7" s="106">
        <f>'2019'!AB25</f>
      </c>
      <c r="Y7" s="119">
        <f>'2019'!AC25</f>
        <v>30</v>
      </c>
      <c r="Z7" s="119">
        <f>'2019'!AD25</f>
        <v>2</v>
      </c>
      <c r="AA7" s="106">
        <f>'2019'!AE25</f>
        <v>5</v>
      </c>
      <c r="AB7" s="106">
        <f>'2019'!AF25</f>
        <v>840.4</v>
      </c>
      <c r="AC7" s="119">
        <f>'2019'!AG25</f>
        <v>31</v>
      </c>
      <c r="AD7" s="119">
        <f>'2019'!AH25</f>
        <v>1</v>
      </c>
      <c r="AE7" s="106">
        <f>'2019'!AI25</f>
        <v>2.5</v>
      </c>
      <c r="AF7" s="106">
        <f>'2019'!AJ25</f>
      </c>
      <c r="AG7" s="119">
        <f>'2019'!AK25</f>
        <v>34</v>
      </c>
      <c r="AH7" s="119">
        <f>'2019'!AL25</f>
        <v>3</v>
      </c>
      <c r="AI7" s="106">
        <f>'2019'!AM25</f>
        <v>7.5</v>
      </c>
      <c r="AJ7" s="106">
        <f>'2019'!AN25</f>
        <v>-800</v>
      </c>
      <c r="AK7" s="119">
        <f>'2019'!AO25</f>
        <v>35</v>
      </c>
      <c r="AL7" s="119">
        <f>'2019'!AP25</f>
        <v>1</v>
      </c>
      <c r="AM7" s="106">
        <f>'2019'!AQ25</f>
        <v>2.5</v>
      </c>
      <c r="AN7" s="106">
        <f>'2019'!AR25</f>
      </c>
      <c r="AO7" s="119">
        <f>'2019'!AS25</f>
        <v>37</v>
      </c>
      <c r="AP7" s="119">
        <f>'2019'!AT25</f>
        <v>2</v>
      </c>
      <c r="AQ7" s="106">
        <f>'2019'!AU25</f>
        <v>5</v>
      </c>
      <c r="AR7" s="106">
        <f>'2019'!AV25</f>
      </c>
      <c r="AS7" s="119">
        <f>'2019'!AW25</f>
        <v>37</v>
      </c>
      <c r="AT7" s="119">
        <f>'2019'!AX25</f>
        <v>0</v>
      </c>
      <c r="AU7" s="106">
        <f>'2019'!AY25</f>
        <v>0</v>
      </c>
      <c r="AV7" s="106">
        <f>'2019'!AZ25</f>
      </c>
      <c r="AW7" s="106"/>
      <c r="AX7" s="106">
        <f t="shared" si="0"/>
        <v>0</v>
      </c>
      <c r="AY7" s="119">
        <f>'2019'!BA25</f>
        <v>37</v>
      </c>
      <c r="AZ7" s="119">
        <f>'2019'!BB25</f>
        <v>0</v>
      </c>
      <c r="BA7" s="106">
        <f>'2019'!BC25</f>
        <v>0</v>
      </c>
      <c r="BB7" s="106">
        <f>'2019'!BD25</f>
      </c>
      <c r="BC7" s="106"/>
      <c r="BD7" s="106"/>
      <c r="BE7" s="119">
        <f>'2019'!BE25</f>
        <v>10</v>
      </c>
      <c r="BF7" s="106">
        <f>'2019'!BF25</f>
        <v>24.99</v>
      </c>
      <c r="BG7" s="106">
        <f>'2019'!BG25</f>
        <v>40.4</v>
      </c>
      <c r="BH7" s="106">
        <f>'2019'!BH25</f>
        <v>-12.92</v>
      </c>
      <c r="BI7" s="106">
        <f t="shared" si="1"/>
        <v>0</v>
      </c>
      <c r="BJ7" s="124">
        <f t="shared" si="2"/>
        <v>-12.92</v>
      </c>
    </row>
    <row r="8" spans="1:62" x14ac:dyDescent="0.25">
      <c r="A8" s="14"/>
      <c r="B8" s="115">
        <v>4</v>
      </c>
      <c r="C8" s="115">
        <v>3.95</v>
      </c>
      <c r="D8" s="117" t="s">
        <v>64</v>
      </c>
      <c r="E8" s="119">
        <f>'2019'!I33</f>
      </c>
      <c r="F8" s="119">
        <f>'2019'!J33</f>
      </c>
      <c r="G8" s="106">
        <f>'2019'!K33</f>
        <v>0</v>
      </c>
      <c r="H8" s="106">
        <f>'2019'!L33</f>
      </c>
      <c r="I8" s="119">
        <f>'2019'!M33</f>
      </c>
      <c r="J8" s="119">
        <f>'2019'!N33</f>
        <v>0</v>
      </c>
      <c r="K8" s="106">
        <f>'2019'!O33</f>
        <v>0</v>
      </c>
      <c r="L8" s="106">
        <f>'2019'!P33</f>
      </c>
      <c r="M8" s="119">
        <f>'2019'!Q33</f>
      </c>
      <c r="N8" s="119">
        <f>'2019'!R33</f>
        <v>0</v>
      </c>
      <c r="O8" s="165">
        <f>'2019'!S33</f>
        <v>0</v>
      </c>
      <c r="P8" s="165">
        <f>'2019'!T33</f>
      </c>
      <c r="Q8" s="119">
        <f>'2019'!U33</f>
      </c>
      <c r="R8" s="119">
        <f>'2019'!V33</f>
        <v>0</v>
      </c>
      <c r="S8" s="106">
        <f>'2019'!W33</f>
      </c>
      <c r="T8" s="106">
        <f>'2019'!X33</f>
      </c>
      <c r="U8" s="119">
        <f>'2019'!Y33</f>
      </c>
      <c r="V8" s="119">
        <f>'2019'!Z33</f>
        <v>0</v>
      </c>
      <c r="W8" s="106">
        <f>'2019'!AA33</f>
        <v>0</v>
      </c>
      <c r="X8" s="106">
        <f>'2019'!AB33</f>
      </c>
      <c r="Y8" s="119">
        <f>'2019'!AC33</f>
      </c>
      <c r="Z8" s="119">
        <f>'2019'!AD33</f>
        <v>0</v>
      </c>
      <c r="AA8" s="106">
        <f>'2019'!AE33</f>
        <v>0</v>
      </c>
      <c r="AB8" s="106">
        <f>'2019'!AF33</f>
      </c>
      <c r="AC8" s="119">
        <f>'2019'!AG33</f>
      </c>
      <c r="AD8" s="119">
        <f>'2019'!AH33</f>
        <v>0</v>
      </c>
      <c r="AE8" s="106">
        <f>'2019'!AI33</f>
        <v>0</v>
      </c>
      <c r="AF8" s="106">
        <f>'2019'!AJ33</f>
      </c>
      <c r="AG8" s="119">
        <f>'2019'!AK33</f>
      </c>
      <c r="AH8" s="119">
        <f>'2019'!AL33</f>
        <v>0</v>
      </c>
      <c r="AI8" s="106">
        <f>'2019'!AM33</f>
        <v>0</v>
      </c>
      <c r="AJ8" s="106">
        <f>'2019'!AN33</f>
      </c>
      <c r="AK8" s="119">
        <f>'2019'!AO33</f>
      </c>
      <c r="AL8" s="119">
        <f>'2019'!AP33</f>
        <v>0</v>
      </c>
      <c r="AM8" s="106">
        <f>'2019'!AQ33</f>
        <v>0</v>
      </c>
      <c r="AN8" s="106">
        <f>'2019'!AR33</f>
      </c>
      <c r="AO8" s="119">
        <f>'2019'!AS33</f>
      </c>
      <c r="AP8" s="119">
        <f>'2019'!AT33</f>
        <v>0</v>
      </c>
      <c r="AQ8" s="106">
        <f>'2019'!AU33</f>
        <v>0</v>
      </c>
      <c r="AR8" s="106">
        <f>'2019'!AV33</f>
      </c>
      <c r="AS8" s="119">
        <f>'2019'!AW33</f>
      </c>
      <c r="AT8" s="119">
        <f>'2019'!AX33</f>
        <v>0</v>
      </c>
      <c r="AU8" s="106">
        <f>'2019'!AY33</f>
        <v>0</v>
      </c>
      <c r="AV8" s="106">
        <f>'2019'!AZ33</f>
      </c>
      <c r="AW8" s="106"/>
      <c r="AX8" s="106">
        <f t="shared" si="0"/>
        <v>0</v>
      </c>
      <c r="AY8" s="119">
        <f>'2019'!BA33</f>
      </c>
      <c r="AZ8" s="119">
        <f>'2019'!BB33</f>
        <v>0</v>
      </c>
      <c r="BA8" s="106">
        <f>'2019'!BC33</f>
        <v>0</v>
      </c>
      <c r="BB8" s="106">
        <f>'2019'!BD33</f>
      </c>
      <c r="BC8" s="106"/>
      <c r="BD8" s="106"/>
      <c r="BE8" s="119">
        <f>'2019'!BE33</f>
        <v>0</v>
      </c>
      <c r="BF8" s="106">
        <f>'2019'!BF33</f>
        <v>0</v>
      </c>
      <c r="BG8" s="106">
        <f>'2019'!BG33</f>
        <v>0</v>
      </c>
      <c r="BH8" s="106">
        <f>'2019'!BH33</f>
        <v>0</v>
      </c>
      <c r="BI8" s="106">
        <f t="shared" si="1"/>
        <v>0</v>
      </c>
      <c r="BJ8" s="124">
        <f t="shared" si="2"/>
        <v>0</v>
      </c>
    </row>
    <row r="9" spans="1:62" x14ac:dyDescent="0.25">
      <c r="A9" s="14"/>
      <c r="B9" s="115">
        <v>5</v>
      </c>
      <c r="C9" s="115">
        <v>5.08</v>
      </c>
      <c r="D9" s="117" t="s">
        <v>66</v>
      </c>
      <c r="E9" s="119">
        <f>'2019'!I41</f>
        <v>93</v>
      </c>
      <c r="F9" s="119">
        <f>'2019'!J41</f>
        <v>0</v>
      </c>
      <c r="G9" s="106">
        <f>'2019'!K41</f>
        <v>0</v>
      </c>
      <c r="H9" s="106">
        <f>'2019'!L41</f>
      </c>
      <c r="I9" s="119">
        <f>'2019'!M41</f>
        <v>93</v>
      </c>
      <c r="J9" s="119">
        <f>'2019'!N41</f>
        <v>0</v>
      </c>
      <c r="K9" s="106">
        <f>'2019'!O41</f>
        <v>0</v>
      </c>
      <c r="L9" s="106">
        <f>'2019'!P41</f>
      </c>
      <c r="M9" s="119">
        <f>'2019'!Q41</f>
        <v>93</v>
      </c>
      <c r="N9" s="119">
        <f>'2019'!R41</f>
        <v>0</v>
      </c>
      <c r="O9" s="165">
        <f>'2019'!S41</f>
        <v>0</v>
      </c>
      <c r="P9" s="165">
        <f>'2019'!T41</f>
      </c>
      <c r="Q9" s="119">
        <f>'2019'!U41</f>
        <v>93</v>
      </c>
      <c r="R9" s="119">
        <f>'2019'!V41</f>
        <v>0</v>
      </c>
      <c r="S9" s="106">
        <f>'2019'!W41</f>
        <v>0</v>
      </c>
      <c r="T9" s="106">
        <f>'2019'!X41</f>
      </c>
      <c r="U9" s="119">
        <f>'2019'!Y41</f>
        <v>93</v>
      </c>
      <c r="V9" s="119">
        <f>'2019'!Z41</f>
        <v>0</v>
      </c>
      <c r="W9" s="106">
        <f>'2019'!AA41</f>
        <v>0</v>
      </c>
      <c r="X9" s="106">
        <f>'2019'!AB41</f>
      </c>
      <c r="Y9" s="119">
        <f>'2019'!AC41</f>
        <v>93</v>
      </c>
      <c r="Z9" s="119">
        <f>'2019'!AD41</f>
        <v>0</v>
      </c>
      <c r="AA9" s="106">
        <f>'2019'!AE41</f>
        <v>0</v>
      </c>
      <c r="AB9" s="106">
        <f>'2019'!AF41</f>
      </c>
      <c r="AC9" s="119">
        <f>'2019'!AG41</f>
        <v>93</v>
      </c>
      <c r="AD9" s="119">
        <f>'2019'!AH41</f>
        <v>0</v>
      </c>
      <c r="AE9" s="106">
        <f>'2019'!AI41</f>
        <v>0</v>
      </c>
      <c r="AF9" s="106">
        <f>'2019'!AJ41</f>
        <v>100</v>
      </c>
      <c r="AG9" s="119">
        <f>'2019'!AK41</f>
        <v>93</v>
      </c>
      <c r="AH9" s="119">
        <f>'2019'!AL41</f>
        <v>0</v>
      </c>
      <c r="AI9" s="106">
        <f>'2019'!AM41</f>
        <v>0</v>
      </c>
      <c r="AJ9" s="106">
        <f>'2019'!AN41</f>
      </c>
      <c r="AK9" s="119">
        <f>'2019'!AO41</f>
        <v>93</v>
      </c>
      <c r="AL9" s="119">
        <f>'2019'!AP41</f>
        <v>0</v>
      </c>
      <c r="AM9" s="106">
        <f>'2019'!AQ41</f>
        <v>0</v>
      </c>
      <c r="AN9" s="106">
        <f>'2019'!AR41</f>
      </c>
      <c r="AO9" s="119">
        <f>'2019'!AS41</f>
        <v>93</v>
      </c>
      <c r="AP9" s="119">
        <f>'2019'!AT41</f>
        <v>0</v>
      </c>
      <c r="AQ9" s="106">
        <f>'2019'!AU41</f>
        <v>0</v>
      </c>
      <c r="AR9" s="106">
        <f>'2019'!AV41</f>
      </c>
      <c r="AS9" s="119">
        <f>'2019'!AW41</f>
        <v>93</v>
      </c>
      <c r="AT9" s="119">
        <f>'2019'!AX41</f>
        <v>0</v>
      </c>
      <c r="AU9" s="106">
        <f>'2019'!AY41</f>
        <v>0</v>
      </c>
      <c r="AV9" s="106">
        <f>'2019'!AZ41</f>
      </c>
      <c r="AW9" s="106"/>
      <c r="AX9" s="106">
        <f t="shared" si="0"/>
        <v>0</v>
      </c>
      <c r="AY9" s="119">
        <f>'2019'!BA41</f>
        <v>93</v>
      </c>
      <c r="AZ9" s="119">
        <f>'2019'!BB41</f>
        <v>0</v>
      </c>
      <c r="BA9" s="106">
        <f>'2019'!BC41</f>
        <v>0</v>
      </c>
      <c r="BB9" s="106">
        <f>'2019'!BD41</f>
      </c>
      <c r="BC9" s="106"/>
      <c r="BD9" s="106"/>
      <c r="BE9" s="119">
        <f>'2019'!BE41</f>
        <v>0</v>
      </c>
      <c r="BF9" s="106">
        <f>'2019'!BF41</f>
        <v>0</v>
      </c>
      <c r="BG9" s="106">
        <f>'2019'!BG41</f>
        <v>100</v>
      </c>
      <c r="BH9" s="106">
        <f>'2019'!BH41</f>
        <v>-197.51</v>
      </c>
      <c r="BI9" s="106">
        <f t="shared" si="1"/>
        <v>0</v>
      </c>
      <c r="BJ9" s="124">
        <f t="shared" si="2"/>
        <v>-197.51</v>
      </c>
    </row>
    <row r="10" spans="1:62" x14ac:dyDescent="0.25">
      <c r="A10" s="14"/>
      <c r="B10" s="115">
        <v>6</v>
      </c>
      <c r="C10" s="115">
        <v>4.01</v>
      </c>
      <c r="D10" s="117" t="s">
        <v>70</v>
      </c>
      <c r="E10" s="119">
        <f>'2019'!I49</f>
        <v>6</v>
      </c>
      <c r="F10" s="119">
        <f>'2019'!J49</f>
        <v>0</v>
      </c>
      <c r="G10" s="106">
        <f>'2019'!K49</f>
        <v>0</v>
      </c>
      <c r="H10" s="106">
        <f>'2019'!L49</f>
      </c>
      <c r="I10" s="119">
        <f>'2019'!M49</f>
        <v>6</v>
      </c>
      <c r="J10" s="119">
        <f>'2019'!N49</f>
        <v>0</v>
      </c>
      <c r="K10" s="106">
        <f>'2019'!O49</f>
        <v>0</v>
      </c>
      <c r="L10" s="106">
        <f>'2019'!P49</f>
      </c>
      <c r="M10" s="119">
        <f>'2019'!Q49</f>
        <v>6</v>
      </c>
      <c r="N10" s="119">
        <f>'2019'!R49</f>
        <v>0</v>
      </c>
      <c r="O10" s="165">
        <f>'2019'!S49</f>
        <v>0</v>
      </c>
      <c r="P10" s="165">
        <f>'2019'!T49</f>
      </c>
      <c r="Q10" s="119">
        <f>'2019'!U49</f>
        <v>6</v>
      </c>
      <c r="R10" s="119">
        <f>'2019'!V49</f>
        <v>0</v>
      </c>
      <c r="S10" s="106">
        <f>'2019'!W49</f>
        <v>0</v>
      </c>
      <c r="T10" s="106">
        <f>'2019'!X49</f>
      </c>
      <c r="U10" s="119">
        <f>'2019'!Y49</f>
        <v>6</v>
      </c>
      <c r="V10" s="119">
        <f>'2019'!Z49</f>
        <v>0</v>
      </c>
      <c r="W10" s="106">
        <f>'2019'!AA49</f>
        <v>0</v>
      </c>
      <c r="X10" s="106">
        <f>'2019'!AB49</f>
      </c>
      <c r="Y10" s="119">
        <f>'2019'!AC49</f>
        <v>6</v>
      </c>
      <c r="Z10" s="119">
        <f>'2019'!AD49</f>
        <v>0</v>
      </c>
      <c r="AA10" s="106">
        <f>'2019'!AE49</f>
        <v>0</v>
      </c>
      <c r="AB10" s="106">
        <f>'2019'!AF49</f>
      </c>
      <c r="AC10" s="119">
        <f>'2019'!AG49</f>
        <v>6</v>
      </c>
      <c r="AD10" s="119">
        <f>'2019'!AH49</f>
        <v>0</v>
      </c>
      <c r="AE10" s="106">
        <f>'2019'!AI49</f>
        <v>0</v>
      </c>
      <c r="AF10" s="106">
        <f>'2019'!AJ49</f>
      </c>
      <c r="AG10" s="119">
        <f>'2019'!AK49</f>
        <v>6</v>
      </c>
      <c r="AH10" s="119">
        <f>'2019'!AL49</f>
        <v>0</v>
      </c>
      <c r="AI10" s="106">
        <f>'2019'!AM49</f>
        <v>0</v>
      </c>
      <c r="AJ10" s="106">
        <f>'2019'!AN49</f>
      </c>
      <c r="AK10" s="119">
        <f>'2019'!AO49</f>
        <v>6</v>
      </c>
      <c r="AL10" s="119">
        <f>'2019'!AP49</f>
        <v>0</v>
      </c>
      <c r="AM10" s="106">
        <f>'2019'!AQ49</f>
        <v>0</v>
      </c>
      <c r="AN10" s="106">
        <f>'2019'!AR49</f>
      </c>
      <c r="AO10" s="119">
        <f>'2019'!AS49</f>
        <v>6</v>
      </c>
      <c r="AP10" s="119">
        <f>'2019'!AT49</f>
        <v>0</v>
      </c>
      <c r="AQ10" s="106">
        <f>'2019'!AU49</f>
        <v>0</v>
      </c>
      <c r="AR10" s="106">
        <f>'2019'!AV49</f>
      </c>
      <c r="AS10" s="119">
        <f>'2019'!AW49</f>
        <v>13</v>
      </c>
      <c r="AT10" s="119">
        <f>'2019'!AX49</f>
        <v>7</v>
      </c>
      <c r="AU10" s="106">
        <f>'2019'!AY49</f>
        <v>17.5</v>
      </c>
      <c r="AV10" s="106">
        <f>'2019'!AZ49</f>
      </c>
      <c r="AW10" s="106"/>
      <c r="AX10" s="106">
        <f t="shared" si="0"/>
        <v>0</v>
      </c>
      <c r="AY10" s="119">
        <f>'2019'!BA49</f>
        <v>13</v>
      </c>
      <c r="AZ10" s="119">
        <f>'2019'!BB49</f>
        <v>0</v>
      </c>
      <c r="BA10" s="106">
        <f>'2019'!BC49</f>
        <v>0</v>
      </c>
      <c r="BB10" s="106">
        <f>'2019'!BD49</f>
      </c>
      <c r="BC10" s="106"/>
      <c r="BD10" s="106"/>
      <c r="BE10" s="119">
        <f>'2019'!BE49</f>
        <v>7</v>
      </c>
      <c r="BF10" s="106">
        <f>'2019'!BF49</f>
        <v>17.5</v>
      </c>
      <c r="BG10" s="106">
        <f>'2019'!BG49</f>
        <v>0</v>
      </c>
      <c r="BH10" s="106">
        <f>'2019'!BH49</f>
        <v>17.5</v>
      </c>
      <c r="BI10" s="106">
        <f t="shared" si="1"/>
        <v>0</v>
      </c>
      <c r="BJ10" s="124">
        <f t="shared" si="2"/>
        <v>17.5</v>
      </c>
    </row>
    <row r="11" spans="1:62" x14ac:dyDescent="0.25">
      <c r="A11" s="14"/>
      <c r="B11" s="115">
        <v>7</v>
      </c>
      <c r="C11" s="115">
        <v>4.85</v>
      </c>
      <c r="D11" s="117" t="s">
        <v>74</v>
      </c>
      <c r="E11" s="119">
        <f>'2019'!I57</f>
        <v>131</v>
      </c>
      <c r="F11" s="119">
        <f>'2019'!J57</f>
        <v>0</v>
      </c>
      <c r="G11" s="106">
        <f>'2019'!K57</f>
        <v>0</v>
      </c>
      <c r="H11" s="106">
        <f>'2019'!L57</f>
      </c>
      <c r="I11" s="119">
        <f>'2019'!M57</f>
        <v>131</v>
      </c>
      <c r="J11" s="119">
        <f>'2019'!N57</f>
        <v>0</v>
      </c>
      <c r="K11" s="106">
        <f>'2019'!O57</f>
        <v>0</v>
      </c>
      <c r="L11" s="106">
        <f>'2019'!P57</f>
      </c>
      <c r="M11" s="119">
        <f>'2019'!Q57</f>
        <v>131</v>
      </c>
      <c r="N11" s="119">
        <f>'2019'!R57</f>
        <v>0</v>
      </c>
      <c r="O11" s="165">
        <f>'2019'!S57</f>
        <v>0</v>
      </c>
      <c r="P11" s="165">
        <f>'2019'!T57</f>
      </c>
      <c r="Q11" s="119">
        <f>'2019'!U57</f>
        <v>131</v>
      </c>
      <c r="R11" s="119">
        <f>'2019'!V57</f>
        <v>0</v>
      </c>
      <c r="S11" s="106">
        <f>'2019'!W57</f>
        <v>0</v>
      </c>
      <c r="T11" s="106">
        <f>'2019'!X57</f>
      </c>
      <c r="U11" s="119">
        <f>'2019'!Y57</f>
        <v>140</v>
      </c>
      <c r="V11" s="119">
        <f>'2019'!Z57</f>
        <v>9</v>
      </c>
      <c r="W11" s="106">
        <f>'2019'!AA57</f>
        <v>22.41</v>
      </c>
      <c r="X11" s="106">
        <f>'2019'!AB57</f>
      </c>
      <c r="Y11" s="119">
        <f>'2019'!AC57</f>
        <v>168</v>
      </c>
      <c r="Z11" s="119">
        <f>'2019'!AD57</f>
        <v>28</v>
      </c>
      <c r="AA11" s="106">
        <f>'2019'!AE57</f>
        <v>70</v>
      </c>
      <c r="AB11" s="106">
        <f>'2019'!AF57</f>
      </c>
      <c r="AC11" s="119">
        <f>'2019'!AG57</f>
        <v>207</v>
      </c>
      <c r="AD11" s="119">
        <f>'2019'!AH57</f>
        <v>39</v>
      </c>
      <c r="AE11" s="106">
        <f>'2019'!AI57</f>
        <v>97.5</v>
      </c>
      <c r="AF11" s="106">
        <f>'2019'!AJ57</f>
      </c>
      <c r="AG11" s="119">
        <f>'2019'!AK57</f>
        <v>252</v>
      </c>
      <c r="AH11" s="119">
        <f>'2019'!AL57</f>
        <v>45</v>
      </c>
      <c r="AI11" s="106">
        <f>'2019'!AM57</f>
        <v>112.5</v>
      </c>
      <c r="AJ11" s="106">
        <f>'2019'!AN57</f>
        <v>300</v>
      </c>
      <c r="AK11" s="119">
        <f>'2019'!AO57</f>
        <v>306</v>
      </c>
      <c r="AL11" s="119">
        <f>'2019'!AP57</f>
        <v>54</v>
      </c>
      <c r="AM11" s="106">
        <f>'2019'!AQ57</f>
        <v>135</v>
      </c>
      <c r="AN11" s="106">
        <f>'2019'!AR57</f>
        <v>100</v>
      </c>
      <c r="AO11" s="119">
        <f>'2019'!AS57</f>
        <v>315</v>
      </c>
      <c r="AP11" s="119">
        <f>'2019'!AT57</f>
        <v>9</v>
      </c>
      <c r="AQ11" s="106">
        <f>'2019'!AU57</f>
        <v>22.5</v>
      </c>
      <c r="AR11" s="106">
        <f>'2019'!AV57</f>
      </c>
      <c r="AS11" s="119">
        <f>'2019'!AW57</f>
        <v>315</v>
      </c>
      <c r="AT11" s="119">
        <f>'2019'!AX57</f>
        <v>0</v>
      </c>
      <c r="AU11" s="106">
        <f>'2019'!AY57</f>
        <v>0</v>
      </c>
      <c r="AV11" s="106">
        <f>'2019'!AZ57</f>
      </c>
      <c r="AW11" s="106"/>
      <c r="AX11" s="106">
        <f t="shared" si="0"/>
        <v>0</v>
      </c>
      <c r="AY11" s="119">
        <f>'2019'!BA57</f>
        <v>315</v>
      </c>
      <c r="AZ11" s="119">
        <f>'2019'!BB57</f>
        <v>0</v>
      </c>
      <c r="BA11" s="106">
        <f>'2019'!BC57</f>
        <v>0</v>
      </c>
      <c r="BB11" s="106">
        <f>'2019'!BD57</f>
      </c>
      <c r="BC11" s="106"/>
      <c r="BD11" s="106"/>
      <c r="BE11" s="119">
        <f>'2019'!BE57</f>
        <v>184</v>
      </c>
      <c r="BF11" s="106">
        <f>'2019'!BF57</f>
        <v>459.91</v>
      </c>
      <c r="BG11" s="106">
        <f>'2019'!BG57</f>
        <v>400</v>
      </c>
      <c r="BH11" s="106">
        <f>'2019'!BH57</f>
        <v>69.87</v>
      </c>
      <c r="BI11" s="106">
        <f t="shared" si="1"/>
        <v>0</v>
      </c>
      <c r="BJ11" s="124">
        <f t="shared" si="2"/>
        <v>69.87</v>
      </c>
    </row>
    <row r="12" spans="1:62" x14ac:dyDescent="0.25">
      <c r="A12" s="14"/>
      <c r="B12" s="115">
        <v>8</v>
      </c>
      <c r="C12" s="116">
        <v>4</v>
      </c>
      <c r="D12" s="117" t="s">
        <v>78</v>
      </c>
      <c r="E12" s="119">
        <f>'2019'!I65</f>
        <v>179</v>
      </c>
      <c r="F12" s="119">
        <f>'2019'!J65</f>
        <v>0</v>
      </c>
      <c r="G12" s="106">
        <f>'2019'!K65</f>
        <v>0</v>
      </c>
      <c r="H12" s="106">
        <f>'2019'!L65</f>
      </c>
      <c r="I12" s="119">
        <f>'2019'!M65</f>
        <v>179</v>
      </c>
      <c r="J12" s="119">
        <f>'2019'!N65</f>
        <v>0</v>
      </c>
      <c r="K12" s="106">
        <f>'2019'!O65</f>
        <v>0</v>
      </c>
      <c r="L12" s="106">
        <f>'2019'!P65</f>
      </c>
      <c r="M12" s="119">
        <f>'2019'!Q65</f>
        <v>179</v>
      </c>
      <c r="N12" s="119">
        <f>'2019'!R65</f>
        <v>0</v>
      </c>
      <c r="O12" s="165">
        <f>'2019'!S65</f>
        <v>0</v>
      </c>
      <c r="P12" s="165">
        <f>'2019'!T65</f>
      </c>
      <c r="Q12" s="119">
        <f>'2019'!U65</f>
        <v>179</v>
      </c>
      <c r="R12" s="119">
        <f>'2019'!V65</f>
        <v>0</v>
      </c>
      <c r="S12" s="106">
        <f>'2019'!W65</f>
        <v>0</v>
      </c>
      <c r="T12" s="106">
        <f>'2019'!X65</f>
      </c>
      <c r="U12" s="119">
        <f>'2019'!Y65</f>
        <v>189</v>
      </c>
      <c r="V12" s="119">
        <f>'2019'!Z65</f>
        <v>10</v>
      </c>
      <c r="W12" s="106">
        <f>'2019'!AA65</f>
        <v>24.9</v>
      </c>
      <c r="X12" s="106">
        <f>'2019'!AB65</f>
      </c>
      <c r="Y12" s="119">
        <f>'2019'!AC65</f>
        <v>215</v>
      </c>
      <c r="Z12" s="119">
        <f>'2019'!AD65</f>
        <v>26</v>
      </c>
      <c r="AA12" s="106">
        <f>'2019'!AE65</f>
        <v>65</v>
      </c>
      <c r="AB12" s="106">
        <f>'2019'!AF65</f>
        <v>96.06</v>
      </c>
      <c r="AC12" s="119">
        <f>'2019'!AG65</f>
        <v>249</v>
      </c>
      <c r="AD12" s="119">
        <f>'2019'!AH65</f>
        <v>34</v>
      </c>
      <c r="AE12" s="106">
        <f>'2019'!AI65</f>
        <v>85</v>
      </c>
      <c r="AF12" s="106">
        <f>'2019'!AJ65</f>
        <v>94.32</v>
      </c>
      <c r="AG12" s="119">
        <f>'2019'!AK65</f>
        <v>275</v>
      </c>
      <c r="AH12" s="119">
        <f>'2019'!AL65</f>
        <v>26</v>
      </c>
      <c r="AI12" s="106">
        <f>'2019'!AM65</f>
        <v>65</v>
      </c>
      <c r="AJ12" s="106">
        <f>'2019'!AN65</f>
        <v>50.32</v>
      </c>
      <c r="AK12" s="119">
        <f>'2019'!AO65</f>
        <v>306</v>
      </c>
      <c r="AL12" s="119">
        <f>'2019'!AP65</f>
        <v>31</v>
      </c>
      <c r="AM12" s="106">
        <f>'2019'!AQ65</f>
        <v>77.5</v>
      </c>
      <c r="AN12" s="106">
        <f>'2019'!AR65</f>
      </c>
      <c r="AO12" s="119">
        <f>'2019'!AS65</f>
        <v>352</v>
      </c>
      <c r="AP12" s="119">
        <f>'2019'!AT65</f>
        <v>46</v>
      </c>
      <c r="AQ12" s="106">
        <f>'2019'!AU65</f>
        <v>115</v>
      </c>
      <c r="AR12" s="106">
        <f>'2019'!AV65</f>
        <v>77</v>
      </c>
      <c r="AS12" s="119">
        <f>'2019'!AW65</f>
        <v>352</v>
      </c>
      <c r="AT12" s="119">
        <f>'2019'!AX65</f>
        <v>0</v>
      </c>
      <c r="AU12" s="106">
        <f>'2019'!AY65</f>
        <v>0</v>
      </c>
      <c r="AV12" s="106">
        <f>'2019'!AZ65</f>
      </c>
      <c r="AW12" s="106"/>
      <c r="AX12" s="106">
        <f t="shared" si="0"/>
        <v>0</v>
      </c>
      <c r="AY12" s="119">
        <f>'2019'!BA65</f>
        <v>352</v>
      </c>
      <c r="AZ12" s="119">
        <f>'2019'!BB65</f>
        <v>0</v>
      </c>
      <c r="BA12" s="106">
        <f>'2019'!BC65</f>
        <v>0</v>
      </c>
      <c r="BB12" s="106">
        <f>'2019'!BD65</f>
      </c>
      <c r="BC12" s="106"/>
      <c r="BD12" s="106"/>
      <c r="BE12" s="119">
        <f>'2019'!BE65</f>
        <v>173</v>
      </c>
      <c r="BF12" s="106">
        <f>'2019'!BF65</f>
        <v>432.4</v>
      </c>
      <c r="BG12" s="106">
        <f>'2019'!BG65</f>
        <v>317.7</v>
      </c>
      <c r="BH12" s="106">
        <f>'2019'!BH65</f>
        <v>114.7</v>
      </c>
      <c r="BI12" s="106">
        <f t="shared" si="1"/>
        <v>0</v>
      </c>
      <c r="BJ12" s="124">
        <f t="shared" si="2"/>
        <v>114.7</v>
      </c>
    </row>
    <row r="13" spans="1:62" x14ac:dyDescent="0.25">
      <c r="A13" s="14"/>
      <c r="B13" s="115">
        <v>9</v>
      </c>
      <c r="C13" s="115">
        <v>4.03</v>
      </c>
      <c r="D13" s="117" t="s">
        <v>82</v>
      </c>
      <c r="E13" s="119">
        <f>'2019'!I73</f>
        <v>41</v>
      </c>
      <c r="F13" s="119">
        <f>'2019'!J73</f>
        <v>0</v>
      </c>
      <c r="G13" s="106">
        <f>'2019'!K73</f>
        <v>0</v>
      </c>
      <c r="H13" s="106">
        <f>'2019'!L73</f>
      </c>
      <c r="I13" s="119">
        <f>'2019'!M73</f>
        <v>41</v>
      </c>
      <c r="J13" s="119">
        <f>'2019'!N73</f>
        <v>0</v>
      </c>
      <c r="K13" s="106">
        <f>'2019'!O73</f>
        <v>0</v>
      </c>
      <c r="L13" s="106">
        <f>'2019'!P73</f>
      </c>
      <c r="M13" s="119">
        <f>'2019'!Q73</f>
        <v>41</v>
      </c>
      <c r="N13" s="119">
        <f>'2019'!R73</f>
        <v>0</v>
      </c>
      <c r="O13" s="165">
        <f>'2019'!S73</f>
        <v>0</v>
      </c>
      <c r="P13" s="165">
        <f>'2019'!T73</f>
      </c>
      <c r="Q13" s="119">
        <f>'2019'!U73</f>
        <v>41</v>
      </c>
      <c r="R13" s="119">
        <f>'2019'!V73</f>
        <v>0</v>
      </c>
      <c r="S13" s="106">
        <f>'2019'!W73</f>
        <v>0</v>
      </c>
      <c r="T13" s="106">
        <f>'2019'!X73</f>
      </c>
      <c r="U13" s="119">
        <f>'2019'!Y73</f>
        <v>43</v>
      </c>
      <c r="V13" s="119">
        <f>'2019'!Z73</f>
        <v>2</v>
      </c>
      <c r="W13" s="106">
        <f>'2019'!AA73</f>
        <v>4.98</v>
      </c>
      <c r="X13" s="106">
        <f>'2019'!AB73</f>
      </c>
      <c r="Y13" s="119">
        <f>'2019'!AC73</f>
        <v>45</v>
      </c>
      <c r="Z13" s="119">
        <f>'2019'!AD73</f>
        <v>2</v>
      </c>
      <c r="AA13" s="106">
        <f>'2019'!AE73</f>
        <v>5</v>
      </c>
      <c r="AB13" s="106">
        <f>'2019'!AF73</f>
        <v>100</v>
      </c>
      <c r="AC13" s="119">
        <f>'2019'!AG73</f>
        <v>46</v>
      </c>
      <c r="AD13" s="119">
        <f>'2019'!AH73</f>
        <v>1</v>
      </c>
      <c r="AE13" s="106">
        <f>'2019'!AI73</f>
        <v>2.5</v>
      </c>
      <c r="AF13" s="106">
        <f>'2019'!AJ73</f>
      </c>
      <c r="AG13" s="119">
        <f>'2019'!AK73</f>
        <v>46</v>
      </c>
      <c r="AH13" s="119">
        <f>'2019'!AL73</f>
        <v>0</v>
      </c>
      <c r="AI13" s="106">
        <f>'2019'!AM73</f>
        <v>0</v>
      </c>
      <c r="AJ13" s="106">
        <f>'2019'!AN73</f>
      </c>
      <c r="AK13" s="119">
        <f>'2019'!AO73</f>
        <v>46</v>
      </c>
      <c r="AL13" s="119">
        <f>'2019'!AP73</f>
        <v>0</v>
      </c>
      <c r="AM13" s="106">
        <f>'2019'!AQ73</f>
        <v>0</v>
      </c>
      <c r="AN13" s="106">
        <f>'2019'!AR73</f>
      </c>
      <c r="AO13" s="119">
        <f>'2019'!AS73</f>
        <v>46</v>
      </c>
      <c r="AP13" s="119">
        <f>'2019'!AT73</f>
        <v>0</v>
      </c>
      <c r="AQ13" s="106">
        <f>'2019'!AU73</f>
        <v>0</v>
      </c>
      <c r="AR13" s="106">
        <f>'2019'!AV73</f>
      </c>
      <c r="AS13" s="119">
        <f>'2019'!AW73</f>
        <v>46</v>
      </c>
      <c r="AT13" s="119">
        <f>'2019'!AX73</f>
        <v>0</v>
      </c>
      <c r="AU13" s="106">
        <f>'2019'!AY73</f>
        <v>0</v>
      </c>
      <c r="AV13" s="106">
        <f>'2019'!AZ73</f>
      </c>
      <c r="AW13" s="106"/>
      <c r="AX13" s="106">
        <f t="shared" si="0"/>
        <v>0</v>
      </c>
      <c r="AY13" s="119">
        <f>'2019'!BA73</f>
        <v>46</v>
      </c>
      <c r="AZ13" s="119">
        <f>'2019'!BB73</f>
        <v>0</v>
      </c>
      <c r="BA13" s="106">
        <f>'2019'!BC73</f>
        <v>0</v>
      </c>
      <c r="BB13" s="106">
        <f>'2019'!BD73</f>
      </c>
      <c r="BC13" s="106"/>
      <c r="BD13" s="106"/>
      <c r="BE13" s="119">
        <f>'2019'!BE73</f>
        <v>5</v>
      </c>
      <c r="BF13" s="106">
        <f>'2019'!BF73</f>
        <v>12.48</v>
      </c>
      <c r="BG13" s="106">
        <f>'2019'!BG73</f>
        <v>100</v>
      </c>
      <c r="BH13" s="106">
        <f>'2019'!BH73</f>
        <v>-85.03</v>
      </c>
      <c r="BI13" s="106">
        <f t="shared" si="1"/>
        <v>0</v>
      </c>
      <c r="BJ13" s="124">
        <f t="shared" si="2"/>
        <v>-85.03</v>
      </c>
    </row>
    <row r="14" spans="1:62" x14ac:dyDescent="0.25">
      <c r="A14" s="14"/>
      <c r="B14" s="115">
        <v>10</v>
      </c>
      <c r="C14" s="115">
        <v>4.01</v>
      </c>
      <c r="D14" s="117" t="s">
        <v>86</v>
      </c>
      <c r="E14" s="119">
        <f>'2019'!I81</f>
      </c>
      <c r="F14" s="119">
        <f>'2019'!J81</f>
      </c>
      <c r="G14" s="106">
        <f>'2019'!K81</f>
        <v>0</v>
      </c>
      <c r="H14" s="106">
        <f>'2019'!L81</f>
      </c>
      <c r="I14" s="119">
        <f>'2019'!M81</f>
      </c>
      <c r="J14" s="119">
        <f>'2019'!N81</f>
        <v>0</v>
      </c>
      <c r="K14" s="106">
        <f>'2019'!O81</f>
        <v>0</v>
      </c>
      <c r="L14" s="106">
        <f>'2019'!P81</f>
      </c>
      <c r="M14" s="119">
        <f>'2019'!Q81</f>
      </c>
      <c r="N14" s="119">
        <f>'2019'!R81</f>
        <v>0</v>
      </c>
      <c r="O14" s="165">
        <f>'2019'!S81</f>
        <v>0</v>
      </c>
      <c r="P14" s="165">
        <f>'2019'!T81</f>
      </c>
      <c r="Q14" s="119">
        <f>'2019'!U81</f>
      </c>
      <c r="R14" s="119">
        <f>'2019'!V81</f>
        <v>0</v>
      </c>
      <c r="S14" s="106">
        <f>'2019'!W81</f>
      </c>
      <c r="T14" s="106">
        <f>'2019'!X81</f>
      </c>
      <c r="U14" s="119">
        <f>'2019'!Y81</f>
      </c>
      <c r="V14" s="119">
        <f>'2019'!Z81</f>
        <v>0</v>
      </c>
      <c r="W14" s="106">
        <f>'2019'!AA81</f>
        <v>0</v>
      </c>
      <c r="X14" s="106">
        <f>'2019'!AB81</f>
      </c>
      <c r="Y14" s="119">
        <f>'2019'!AC81</f>
      </c>
      <c r="Z14" s="119">
        <f>'2019'!AD81</f>
        <v>0</v>
      </c>
      <c r="AA14" s="106">
        <f>'2019'!AE81</f>
        <v>0</v>
      </c>
      <c r="AB14" s="106">
        <f>'2019'!AF81</f>
      </c>
      <c r="AC14" s="119">
        <f>'2019'!AG81</f>
      </c>
      <c r="AD14" s="119">
        <f>'2019'!AH81</f>
        <v>0</v>
      </c>
      <c r="AE14" s="106">
        <f>'2019'!AI81</f>
        <v>0</v>
      </c>
      <c r="AF14" s="106">
        <f>'2019'!AJ81</f>
      </c>
      <c r="AG14" s="119">
        <f>'2019'!AK81</f>
      </c>
      <c r="AH14" s="119">
        <f>'2019'!AL81</f>
        <v>0</v>
      </c>
      <c r="AI14" s="106">
        <f>'2019'!AM81</f>
        <v>0</v>
      </c>
      <c r="AJ14" s="106">
        <f>'2019'!AN81</f>
      </c>
      <c r="AK14" s="119">
        <f>'2019'!AO81</f>
      </c>
      <c r="AL14" s="119">
        <f>'2019'!AP81</f>
        <v>0</v>
      </c>
      <c r="AM14" s="106">
        <f>'2019'!AQ81</f>
        <v>0</v>
      </c>
      <c r="AN14" s="106">
        <f>'2019'!AR81</f>
      </c>
      <c r="AO14" s="119">
        <f>'2019'!AS81</f>
      </c>
      <c r="AP14" s="119">
        <f>'2019'!AT81</f>
        <v>0</v>
      </c>
      <c r="AQ14" s="106">
        <f>'2019'!AU81</f>
        <v>0</v>
      </c>
      <c r="AR14" s="106">
        <f>'2019'!AV81</f>
      </c>
      <c r="AS14" s="119">
        <f>'2019'!AW81</f>
      </c>
      <c r="AT14" s="119">
        <f>'2019'!AX81</f>
        <v>0</v>
      </c>
      <c r="AU14" s="106">
        <f>'2019'!AY81</f>
        <v>0</v>
      </c>
      <c r="AV14" s="106">
        <f>'2019'!AZ81</f>
      </c>
      <c r="AW14" s="106"/>
      <c r="AX14" s="106">
        <f t="shared" si="0"/>
        <v>0</v>
      </c>
      <c r="AY14" s="119">
        <f>'2019'!BA81</f>
      </c>
      <c r="AZ14" s="119">
        <f>'2019'!BB81</f>
        <v>0</v>
      </c>
      <c r="BA14" s="106">
        <f>'2019'!BC81</f>
        <v>0</v>
      </c>
      <c r="BB14" s="106">
        <f>'2019'!BD81</f>
      </c>
      <c r="BC14" s="106"/>
      <c r="BD14" s="106"/>
      <c r="BE14" s="119">
        <f>'2019'!BE81</f>
        <v>0</v>
      </c>
      <c r="BF14" s="106">
        <f>'2019'!BF81</f>
        <v>0</v>
      </c>
      <c r="BG14" s="106">
        <f>'2019'!BG81</f>
        <v>0</v>
      </c>
      <c r="BH14" s="106">
        <f>'2019'!BH81</f>
        <v>0</v>
      </c>
      <c r="BI14" s="106">
        <f t="shared" si="1"/>
        <v>0</v>
      </c>
      <c r="BJ14" s="124">
        <f t="shared" si="2"/>
        <v>0</v>
      </c>
    </row>
    <row r="15" spans="1:62" x14ac:dyDescent="0.25">
      <c r="A15" s="14"/>
      <c r="B15" s="115">
        <v>11</v>
      </c>
      <c r="C15" s="115">
        <v>4.02</v>
      </c>
      <c r="D15" s="117" t="s">
        <v>89</v>
      </c>
      <c r="E15" s="119">
        <f>'2019'!I89</f>
        <v>37</v>
      </c>
      <c r="F15" s="119">
        <f>'2019'!J89</f>
        <v>0</v>
      </c>
      <c r="G15" s="106">
        <f>'2019'!K89</f>
        <v>0</v>
      </c>
      <c r="H15" s="106">
        <f>'2019'!L89</f>
      </c>
      <c r="I15" s="119">
        <f>'2019'!M89</f>
        <v>37</v>
      </c>
      <c r="J15" s="119">
        <f>'2019'!N89</f>
        <v>0</v>
      </c>
      <c r="K15" s="106">
        <f>'2019'!O89</f>
        <v>0</v>
      </c>
      <c r="L15" s="106">
        <f>'2019'!P89</f>
      </c>
      <c r="M15" s="119">
        <f>'2019'!Q89</f>
        <v>37</v>
      </c>
      <c r="N15" s="119">
        <f>'2019'!R89</f>
        <v>0</v>
      </c>
      <c r="O15" s="165">
        <f>'2019'!S89</f>
        <v>0</v>
      </c>
      <c r="P15" s="165">
        <f>'2019'!T89</f>
      </c>
      <c r="Q15" s="119">
        <f>'2019'!U89</f>
        <v>37</v>
      </c>
      <c r="R15" s="119">
        <f>'2019'!V89</f>
        <v>0</v>
      </c>
      <c r="S15" s="106">
        <f>'2019'!W89</f>
        <v>0</v>
      </c>
      <c r="T15" s="106">
        <f>'2019'!X89</f>
      </c>
      <c r="U15" s="119">
        <f>'2019'!Y89</f>
        <v>33</v>
      </c>
      <c r="V15" s="119">
        <f>'2019'!Z89</f>
        <v>-4</v>
      </c>
      <c r="W15" s="106">
        <f>'2019'!AA89</f>
        <v>-9.96</v>
      </c>
      <c r="X15" s="106">
        <f>'2019'!AB89</f>
      </c>
      <c r="Y15" s="119">
        <f>'2019'!AC89</f>
        <v>33</v>
      </c>
      <c r="Z15" s="119">
        <f>'2019'!AD89</f>
        <v>0</v>
      </c>
      <c r="AA15" s="106">
        <f>'2019'!AE89</f>
        <v>0</v>
      </c>
      <c r="AB15" s="106">
        <f>'2019'!AF89</f>
      </c>
      <c r="AC15" s="119">
        <f>'2019'!AG89</f>
        <v>35</v>
      </c>
      <c r="AD15" s="119">
        <f>'2019'!AH89</f>
        <v>2</v>
      </c>
      <c r="AE15" s="106">
        <f>'2019'!AI89</f>
        <v>5</v>
      </c>
      <c r="AF15" s="106">
        <f>'2019'!AJ89</f>
      </c>
      <c r="AG15" s="119">
        <f>'2019'!AK89</f>
        <v>35</v>
      </c>
      <c r="AH15" s="119">
        <f>'2019'!AL89</f>
        <v>0</v>
      </c>
      <c r="AI15" s="106">
        <f>'2019'!AM89</f>
        <v>0</v>
      </c>
      <c r="AJ15" s="106">
        <f>'2019'!AN89</f>
      </c>
      <c r="AK15" s="119">
        <f>'2019'!AO89</f>
        <v>35</v>
      </c>
      <c r="AL15" s="119">
        <f>'2019'!AP89</f>
        <v>0</v>
      </c>
      <c r="AM15" s="106">
        <f>'2019'!AQ89</f>
        <v>0</v>
      </c>
      <c r="AN15" s="106">
        <f>'2019'!AR89</f>
      </c>
      <c r="AO15" s="119">
        <f>'2019'!AS89</f>
        <v>35</v>
      </c>
      <c r="AP15" s="119">
        <f>'2019'!AT89</f>
        <v>0</v>
      </c>
      <c r="AQ15" s="106">
        <f>'2019'!AU89</f>
        <v>0</v>
      </c>
      <c r="AR15" s="106">
        <f>'2019'!AV89</f>
        <v>0.54</v>
      </c>
      <c r="AS15" s="119">
        <f>'2019'!AW89</f>
        <v>35</v>
      </c>
      <c r="AT15" s="119">
        <f>'2019'!AX89</f>
        <v>0</v>
      </c>
      <c r="AU15" s="106">
        <f>'2019'!AY89</f>
        <v>0</v>
      </c>
      <c r="AV15" s="106">
        <f>'2019'!AZ89</f>
      </c>
      <c r="AW15" s="106"/>
      <c r="AX15" s="106">
        <f t="shared" si="0"/>
        <v>0</v>
      </c>
      <c r="AY15" s="119">
        <f>'2019'!BA89</f>
        <v>35</v>
      </c>
      <c r="AZ15" s="119">
        <f>'2019'!BB89</f>
        <v>0</v>
      </c>
      <c r="BA15" s="106">
        <f>'2019'!BC89</f>
        <v>0</v>
      </c>
      <c r="BB15" s="106">
        <f>'2019'!BD89</f>
      </c>
      <c r="BC15" s="106"/>
      <c r="BD15" s="106"/>
      <c r="BE15" s="119">
        <f>'2019'!BE89</f>
        <v>-2</v>
      </c>
      <c r="BF15" s="106">
        <f>'2019'!BF89</f>
        <v>-4.96</v>
      </c>
      <c r="BG15" s="106">
        <f>'2019'!BG89</f>
        <v>0.54</v>
      </c>
      <c r="BH15" s="106">
        <f>'2019'!BH89</f>
        <v>-80.6</v>
      </c>
      <c r="BI15" s="106">
        <f t="shared" si="1"/>
        <v>0</v>
      </c>
      <c r="BJ15" s="124">
        <f t="shared" si="2"/>
        <v>-80.6</v>
      </c>
    </row>
    <row r="16" spans="1:62" x14ac:dyDescent="0.25">
      <c r="A16" s="14"/>
      <c r="B16" s="115">
        <v>12</v>
      </c>
      <c r="C16" s="115">
        <v>4.02</v>
      </c>
      <c r="D16" s="117" t="s">
        <v>92</v>
      </c>
      <c r="E16" s="119">
        <f>'2019'!I97</f>
      </c>
      <c r="F16" s="119">
        <f>'2019'!J97</f>
      </c>
      <c r="G16" s="106">
        <f>'2019'!K97</f>
        <v>0</v>
      </c>
      <c r="H16" s="106">
        <f>'2019'!L97</f>
      </c>
      <c r="I16" s="119">
        <f>'2019'!M97</f>
      </c>
      <c r="J16" s="119">
        <f>'2019'!N97</f>
        <v>0</v>
      </c>
      <c r="K16" s="106">
        <f>'2019'!O97</f>
        <v>0</v>
      </c>
      <c r="L16" s="106">
        <f>'2019'!P97</f>
      </c>
      <c r="M16" s="119">
        <f>'2019'!Q97</f>
      </c>
      <c r="N16" s="119">
        <f>'2019'!R97</f>
        <v>0</v>
      </c>
      <c r="O16" s="165">
        <f>'2019'!S97</f>
        <v>0</v>
      </c>
      <c r="P16" s="165">
        <f>'2019'!T97</f>
      </c>
      <c r="Q16" s="119">
        <f>'2019'!U97</f>
      </c>
      <c r="R16" s="119">
        <f>'2019'!V97</f>
        <v>0</v>
      </c>
      <c r="S16" s="106">
        <f>'2019'!W97</f>
      </c>
      <c r="T16" s="106">
        <f>'2019'!X97</f>
      </c>
      <c r="U16" s="119">
        <f>'2019'!Y97</f>
      </c>
      <c r="V16" s="119">
        <f>'2019'!Z97</f>
        <v>0</v>
      </c>
      <c r="W16" s="106">
        <f>'2019'!AA97</f>
        <v>0</v>
      </c>
      <c r="X16" s="106">
        <f>'2019'!AB97</f>
      </c>
      <c r="Y16" s="119">
        <f>'2019'!AC97</f>
      </c>
      <c r="Z16" s="119">
        <f>'2019'!AD97</f>
        <v>0</v>
      </c>
      <c r="AA16" s="106">
        <f>'2019'!AE97</f>
        <v>0</v>
      </c>
      <c r="AB16" s="106">
        <f>'2019'!AF97</f>
      </c>
      <c r="AC16" s="119">
        <f>'2019'!AG97</f>
      </c>
      <c r="AD16" s="119">
        <f>'2019'!AH97</f>
        <v>0</v>
      </c>
      <c r="AE16" s="106">
        <f>'2019'!AI97</f>
        <v>0</v>
      </c>
      <c r="AF16" s="106">
        <f>'2019'!AJ97</f>
      </c>
      <c r="AG16" s="119">
        <f>'2019'!AK97</f>
      </c>
      <c r="AH16" s="119">
        <f>'2019'!AL97</f>
        <v>0</v>
      </c>
      <c r="AI16" s="106">
        <f>'2019'!AM97</f>
        <v>0</v>
      </c>
      <c r="AJ16" s="106">
        <f>'2019'!AN97</f>
      </c>
      <c r="AK16" s="119">
        <f>'2019'!AO97</f>
      </c>
      <c r="AL16" s="119">
        <f>'2019'!AP97</f>
        <v>0</v>
      </c>
      <c r="AM16" s="106">
        <f>'2019'!AQ97</f>
        <v>0</v>
      </c>
      <c r="AN16" s="106">
        <f>'2019'!AR97</f>
      </c>
      <c r="AO16" s="119">
        <f>'2019'!AS97</f>
      </c>
      <c r="AP16" s="119">
        <f>'2019'!AT97</f>
        <v>0</v>
      </c>
      <c r="AQ16" s="106">
        <f>'2019'!AU97</f>
        <v>0</v>
      </c>
      <c r="AR16" s="106">
        <f>'2019'!AV97</f>
      </c>
      <c r="AS16" s="119">
        <f>'2019'!AW97</f>
      </c>
      <c r="AT16" s="119">
        <f>'2019'!AX97</f>
        <v>0</v>
      </c>
      <c r="AU16" s="106">
        <f>'2019'!AY97</f>
        <v>0</v>
      </c>
      <c r="AV16" s="106">
        <f>'2019'!AZ97</f>
      </c>
      <c r="AW16" s="106"/>
      <c r="AX16" s="106">
        <f t="shared" si="0"/>
        <v>0</v>
      </c>
      <c r="AY16" s="119">
        <f>'2019'!BA97</f>
      </c>
      <c r="AZ16" s="119">
        <f>'2019'!BB97</f>
        <v>0</v>
      </c>
      <c r="BA16" s="106">
        <f>'2019'!BC97</f>
        <v>0</v>
      </c>
      <c r="BB16" s="106">
        <f>'2019'!BD97</f>
      </c>
      <c r="BC16" s="106"/>
      <c r="BD16" s="106"/>
      <c r="BE16" s="119">
        <f>'2019'!BE97</f>
        <v>0</v>
      </c>
      <c r="BF16" s="106">
        <f>'2019'!BF97</f>
        <v>0</v>
      </c>
      <c r="BG16" s="106">
        <f>'2019'!BG97</f>
        <v>0</v>
      </c>
      <c r="BH16" s="106">
        <f>'2019'!BH97</f>
        <v>0</v>
      </c>
      <c r="BI16" s="106">
        <f t="shared" si="1"/>
        <v>0</v>
      </c>
      <c r="BJ16" s="124">
        <f t="shared" si="2"/>
        <v>0</v>
      </c>
    </row>
    <row r="17" spans="1:62" x14ac:dyDescent="0.25">
      <c r="A17" s="14"/>
      <c r="B17" s="118" t="s">
        <v>96</v>
      </c>
      <c r="C17" s="115">
        <v>7.94</v>
      </c>
      <c r="D17" s="117" t="s">
        <v>97</v>
      </c>
      <c r="E17" s="119">
        <f>'2019'!I105</f>
        <v>5007</v>
      </c>
      <c r="F17" s="119">
        <f>'2019'!J105</f>
        <v>300</v>
      </c>
      <c r="G17" s="106">
        <f>'2019'!K105</f>
        <v>747</v>
      </c>
      <c r="H17" s="106">
        <f>'2019'!L105</f>
      </c>
      <c r="I17" s="119">
        <f>'2019'!M105</f>
        <v>5007</v>
      </c>
      <c r="J17" s="119">
        <f>'2019'!N105</f>
        <v>0</v>
      </c>
      <c r="K17" s="106">
        <f>'2019'!O105</f>
        <v>0</v>
      </c>
      <c r="L17" s="106">
        <f>'2019'!P105</f>
      </c>
      <c r="M17" s="119">
        <f>'2019'!Q105</f>
        <v>5007</v>
      </c>
      <c r="N17" s="119">
        <f>'2019'!R105</f>
        <v>0</v>
      </c>
      <c r="O17" s="106">
        <f>'2019'!S105</f>
        <v>0</v>
      </c>
      <c r="P17" s="106">
        <f>'2019'!T105</f>
      </c>
      <c r="Q17" s="119">
        <f>'2019'!U105</f>
        <v>5135</v>
      </c>
      <c r="R17" s="119">
        <f>'2019'!V105</f>
        <v>128</v>
      </c>
      <c r="S17" s="106">
        <f>'2019'!W105</f>
        <v>318.72</v>
      </c>
      <c r="T17" s="106">
        <f>'2019'!X105</f>
      </c>
      <c r="U17" s="119">
        <f>'2019'!Y105</f>
        <v>5135</v>
      </c>
      <c r="V17" s="119">
        <f>'2019'!Z105</f>
        <v>0</v>
      </c>
      <c r="W17" s="106">
        <f>'2019'!AA105</f>
        <v>0</v>
      </c>
      <c r="X17" s="106">
        <f>'2019'!AB105</f>
        <v>1830</v>
      </c>
      <c r="Y17" s="119">
        <f>'2019'!AC105</f>
        <v>5160</v>
      </c>
      <c r="Z17" s="119">
        <f>'2019'!AD105</f>
        <v>25</v>
      </c>
      <c r="AA17" s="106">
        <f>'2019'!AE105</f>
        <v>62.5</v>
      </c>
      <c r="AB17" s="106">
        <f>'2019'!AF105</f>
        <v>451.09</v>
      </c>
      <c r="AC17" s="119">
        <f>'2019'!AG105</f>
        <v>5456</v>
      </c>
      <c r="AD17" s="119">
        <f>'2019'!AH105</f>
        <v>296</v>
      </c>
      <c r="AE17" s="106">
        <f>'2019'!AI105</f>
        <v>740</v>
      </c>
      <c r="AF17" s="106">
        <f>'2019'!AJ105</f>
      </c>
      <c r="AG17" s="119">
        <f>'2019'!AK105</f>
        <v>5523</v>
      </c>
      <c r="AH17" s="119">
        <f>'2019'!AL105</f>
        <v>67</v>
      </c>
      <c r="AI17" s="106">
        <f>'2019'!AM105</f>
        <v>167.5</v>
      </c>
      <c r="AJ17" s="106">
        <f>'2019'!AN105</f>
      </c>
      <c r="AK17" s="119">
        <f>'2019'!AO105</f>
        <v>5523</v>
      </c>
      <c r="AL17" s="119">
        <f>'2019'!AP105</f>
        <v>0</v>
      </c>
      <c r="AM17" s="106">
        <f>'2019'!AQ105</f>
        <v>0</v>
      </c>
      <c r="AN17" s="106">
        <f>'2019'!AR105</f>
        <v>907.5</v>
      </c>
      <c r="AO17" s="119">
        <f>'2019'!AS105</f>
        <v>5523</v>
      </c>
      <c r="AP17" s="119">
        <f>'2019'!AT105</f>
        <v>0</v>
      </c>
      <c r="AQ17" s="106">
        <f>'2019'!AU105</f>
        <v>0</v>
      </c>
      <c r="AR17" s="106">
        <f>'2019'!AV105</f>
      </c>
      <c r="AS17" s="119">
        <f>'2019'!AW105</f>
        <v>5523</v>
      </c>
      <c r="AT17" s="119">
        <f>'2019'!AX105</f>
        <v>0</v>
      </c>
      <c r="AU17" s="106">
        <f>'2019'!AY105</f>
        <v>0</v>
      </c>
      <c r="AV17" s="106">
        <f>'2019'!AZ105</f>
      </c>
      <c r="AW17" s="106"/>
      <c r="AX17" s="106">
        <f t="shared" si="0"/>
        <v>0</v>
      </c>
      <c r="AY17" s="119">
        <f>'2019'!BA105</f>
        <v>5523</v>
      </c>
      <c r="AZ17" s="119">
        <f>'2019'!BB105</f>
        <v>0</v>
      </c>
      <c r="BA17" s="106">
        <f>'2019'!BC105</f>
        <v>0</v>
      </c>
      <c r="BB17" s="106">
        <f>'2019'!BD105</f>
      </c>
      <c r="BC17" s="106"/>
      <c r="BD17" s="106"/>
      <c r="BE17" s="119">
        <f>'2019'!BE105</f>
        <v>816</v>
      </c>
      <c r="BF17" s="106">
        <f>'2019'!BF105</f>
        <v>2035.72</v>
      </c>
      <c r="BG17" s="106">
        <f>'2019'!BG105</f>
        <v>3188.59</v>
      </c>
      <c r="BH17" s="106">
        <f>'2019'!BH105</f>
        <v>0</v>
      </c>
      <c r="BI17" s="106">
        <f t="shared" si="1"/>
        <v>0</v>
      </c>
      <c r="BJ17" s="124">
        <f t="shared" si="2"/>
        <v>0</v>
      </c>
    </row>
    <row r="18" spans="1:62" x14ac:dyDescent="0.25">
      <c r="A18" s="14"/>
      <c r="B18" s="115">
        <v>14</v>
      </c>
      <c r="C18" s="115">
        <v>4.02</v>
      </c>
      <c r="D18" s="117" t="s">
        <v>100</v>
      </c>
      <c r="E18" s="119">
        <f>'2019'!I113</f>
      </c>
      <c r="F18" s="119">
        <f>'2019'!J113</f>
      </c>
      <c r="G18" s="106">
        <f>'2019'!K113</f>
        <v>0</v>
      </c>
      <c r="H18" s="106">
        <f>'2019'!L113</f>
      </c>
      <c r="I18" s="119">
        <f>'2019'!M113</f>
      </c>
      <c r="J18" s="119">
        <f>'2019'!N113</f>
        <v>0</v>
      </c>
      <c r="K18" s="106">
        <f>'2019'!O113</f>
        <v>0</v>
      </c>
      <c r="L18" s="106">
        <f>'2019'!P113</f>
      </c>
      <c r="M18" s="119">
        <f>'2019'!Q113</f>
      </c>
      <c r="N18" s="119">
        <f>'2019'!R113</f>
        <v>0</v>
      </c>
      <c r="O18" s="165">
        <f>'2019'!S113</f>
        <v>0</v>
      </c>
      <c r="P18" s="165">
        <f>'2019'!T113</f>
      </c>
      <c r="Q18" s="119">
        <f>'2019'!U113</f>
      </c>
      <c r="R18" s="119">
        <f>'2019'!V113</f>
        <v>0</v>
      </c>
      <c r="S18" s="106">
        <f>'2019'!W113</f>
      </c>
      <c r="T18" s="106">
        <f>'2019'!X113</f>
      </c>
      <c r="U18" s="119">
        <f>'2019'!Y113</f>
      </c>
      <c r="V18" s="119">
        <f>'2019'!Z113</f>
        <v>0</v>
      </c>
      <c r="W18" s="106">
        <f>'2019'!AA113</f>
        <v>0</v>
      </c>
      <c r="X18" s="106">
        <f>'2019'!AB113</f>
      </c>
      <c r="Y18" s="119">
        <f>'2019'!AC113</f>
      </c>
      <c r="Z18" s="119">
        <f>'2019'!AD113</f>
        <v>0</v>
      </c>
      <c r="AA18" s="106">
        <f>'2019'!AE113</f>
        <v>0</v>
      </c>
      <c r="AB18" s="106">
        <f>'2019'!AF113</f>
      </c>
      <c r="AC18" s="119">
        <f>'2019'!AG113</f>
      </c>
      <c r="AD18" s="119">
        <f>'2019'!AH113</f>
        <v>0</v>
      </c>
      <c r="AE18" s="106">
        <f>'2019'!AI113</f>
        <v>0</v>
      </c>
      <c r="AF18" s="106">
        <f>'2019'!AJ113</f>
      </c>
      <c r="AG18" s="119">
        <f>'2019'!AK113</f>
      </c>
      <c r="AH18" s="119">
        <f>'2019'!AL113</f>
        <v>0</v>
      </c>
      <c r="AI18" s="106">
        <f>'2019'!AM113</f>
        <v>0</v>
      </c>
      <c r="AJ18" s="106">
        <f>'2019'!AN113</f>
      </c>
      <c r="AK18" s="119">
        <f>'2019'!AO113</f>
      </c>
      <c r="AL18" s="119">
        <f>'2019'!AP113</f>
        <v>0</v>
      </c>
      <c r="AM18" s="106">
        <f>'2019'!AQ113</f>
        <v>0</v>
      </c>
      <c r="AN18" s="106">
        <f>'2019'!AR113</f>
      </c>
      <c r="AO18" s="119">
        <f>'2019'!AS113</f>
      </c>
      <c r="AP18" s="119">
        <f>'2019'!AT113</f>
        <v>0</v>
      </c>
      <c r="AQ18" s="106">
        <f>'2019'!AU113</f>
        <v>0</v>
      </c>
      <c r="AR18" s="106">
        <f>'2019'!AV113</f>
      </c>
      <c r="AS18" s="119">
        <f>'2019'!AW113</f>
      </c>
      <c r="AT18" s="119">
        <f>'2019'!AX113</f>
        <v>0</v>
      </c>
      <c r="AU18" s="106">
        <f>'2019'!AY113</f>
        <v>0</v>
      </c>
      <c r="AV18" s="106">
        <f>'2019'!AZ113</f>
      </c>
      <c r="AW18" s="106"/>
      <c r="AX18" s="106">
        <f t="shared" si="0"/>
        <v>0</v>
      </c>
      <c r="AY18" s="119">
        <f>'2019'!BA113</f>
      </c>
      <c r="AZ18" s="119">
        <f>'2019'!BB113</f>
        <v>0</v>
      </c>
      <c r="BA18" s="106">
        <f>'2019'!BC113</f>
        <v>0</v>
      </c>
      <c r="BB18" s="106">
        <f>'2019'!BD113</f>
      </c>
      <c r="BC18" s="106"/>
      <c r="BD18" s="106"/>
      <c r="BE18" s="119">
        <f>'2019'!BE113</f>
        <v>0</v>
      </c>
      <c r="BF18" s="106">
        <f>'2019'!BF113</f>
        <v>0</v>
      </c>
      <c r="BG18" s="106">
        <f>'2019'!BG113</f>
        <v>0</v>
      </c>
      <c r="BH18" s="106">
        <f>'2019'!BH113</f>
        <v>0</v>
      </c>
      <c r="BI18" s="106">
        <f t="shared" si="1"/>
        <v>0</v>
      </c>
      <c r="BJ18" s="124">
        <f t="shared" si="2"/>
        <v>0</v>
      </c>
    </row>
    <row r="19" spans="1:62" x14ac:dyDescent="0.25">
      <c r="A19" s="14"/>
      <c r="B19" s="115">
        <v>16</v>
      </c>
      <c r="C19" s="115">
        <v>3.98</v>
      </c>
      <c r="D19" s="117" t="s">
        <v>103</v>
      </c>
      <c r="E19" s="119">
        <f>'2019'!I121</f>
        <v>488</v>
      </c>
      <c r="F19" s="119">
        <f>'2019'!J121</f>
        <v>0</v>
      </c>
      <c r="G19" s="106">
        <f>'2019'!K121</f>
        <v>0</v>
      </c>
      <c r="H19" s="106">
        <f>'2019'!L121</f>
      </c>
      <c r="I19" s="119">
        <f>'2019'!M121</f>
        <v>488</v>
      </c>
      <c r="J19" s="119">
        <f>'2019'!N121</f>
        <v>0</v>
      </c>
      <c r="K19" s="106">
        <f>'2019'!O121</f>
        <v>0</v>
      </c>
      <c r="L19" s="106">
        <f>'2019'!P121</f>
      </c>
      <c r="M19" s="119">
        <f>'2019'!Q121</f>
        <v>488</v>
      </c>
      <c r="N19" s="119">
        <f>'2019'!R121</f>
        <v>0</v>
      </c>
      <c r="O19" s="165">
        <f>'2019'!S121</f>
        <v>0</v>
      </c>
      <c r="P19" s="165">
        <f>'2019'!T121</f>
      </c>
      <c r="Q19" s="119">
        <f>'2019'!U121</f>
        <v>490</v>
      </c>
      <c r="R19" s="119">
        <f>'2019'!V121</f>
        <v>2</v>
      </c>
      <c r="S19" s="106">
        <f>'2019'!W121</f>
        <v>4.98</v>
      </c>
      <c r="T19" s="106">
        <f>'2019'!X121</f>
      </c>
      <c r="U19" s="119">
        <f>'2019'!Y121</f>
        <v>560</v>
      </c>
      <c r="V19" s="119">
        <f>'2019'!Z121</f>
        <v>70</v>
      </c>
      <c r="W19" s="106">
        <f>'2019'!AA121</f>
        <v>174.3</v>
      </c>
      <c r="X19" s="106">
        <f>'2019'!AB121</f>
        <v>600</v>
      </c>
      <c r="Y19" s="119">
        <f>'2019'!AC121</f>
        <v>594</v>
      </c>
      <c r="Z19" s="119">
        <f>'2019'!AD121</f>
        <v>34</v>
      </c>
      <c r="AA19" s="106">
        <f>'2019'!AE121</f>
        <v>85</v>
      </c>
      <c r="AB19" s="106">
        <f>'2019'!AF121</f>
        <v>64.04</v>
      </c>
      <c r="AC19" s="119">
        <f>'2019'!AG121</f>
        <v>637</v>
      </c>
      <c r="AD19" s="119">
        <f>'2019'!AH121</f>
        <v>43</v>
      </c>
      <c r="AE19" s="106">
        <f>'2019'!AI121</f>
        <v>107.5</v>
      </c>
      <c r="AF19" s="106">
        <f>'2019'!AJ121</f>
      </c>
      <c r="AG19" s="119">
        <f>'2019'!AK121</f>
        <v>651</v>
      </c>
      <c r="AH19" s="119">
        <f>'2019'!AL121</f>
        <v>14</v>
      </c>
      <c r="AI19" s="106">
        <f>'2019'!AM121</f>
        <v>35</v>
      </c>
      <c r="AJ19" s="106">
        <f>'2019'!AN121</f>
        <v>169.84</v>
      </c>
      <c r="AK19" s="119">
        <f>'2019'!AO121</f>
        <v>744</v>
      </c>
      <c r="AL19" s="119">
        <f>'2019'!AP121</f>
        <v>93</v>
      </c>
      <c r="AM19" s="106">
        <f>'2019'!AQ121</f>
        <v>232.5</v>
      </c>
      <c r="AN19" s="106">
        <f>'2019'!AR121</f>
      </c>
      <c r="AO19" s="119">
        <f>'2019'!AS121</f>
        <v>761</v>
      </c>
      <c r="AP19" s="119">
        <f>'2019'!AT121</f>
        <v>17</v>
      </c>
      <c r="AQ19" s="106">
        <f>'2019'!AU121</f>
        <v>42.5</v>
      </c>
      <c r="AR19" s="106">
        <f>'2019'!AV121</f>
      </c>
      <c r="AS19" s="119">
        <f>'2019'!AW121</f>
        <v>761</v>
      </c>
      <c r="AT19" s="119">
        <f>'2019'!AX121</f>
        <v>0</v>
      </c>
      <c r="AU19" s="106">
        <f>'2019'!AY121</f>
        <v>0</v>
      </c>
      <c r="AV19" s="106">
        <f>'2019'!AZ121</f>
      </c>
      <c r="AW19" s="106"/>
      <c r="AX19" s="106">
        <f t="shared" si="0"/>
        <v>0</v>
      </c>
      <c r="AY19" s="119">
        <f>'2019'!BA121</f>
        <v>761</v>
      </c>
      <c r="AZ19" s="119">
        <f>'2019'!BB121</f>
        <v>0</v>
      </c>
      <c r="BA19" s="106">
        <f>'2019'!BC121</f>
        <v>0</v>
      </c>
      <c r="BB19" s="106">
        <f>'2019'!BD121</f>
      </c>
      <c r="BC19" s="106"/>
      <c r="BD19" s="106"/>
      <c r="BE19" s="119">
        <f>'2019'!BE121</f>
        <v>273</v>
      </c>
      <c r="BF19" s="106">
        <f>'2019'!BF121</f>
        <v>681.78</v>
      </c>
      <c r="BG19" s="106">
        <f>'2019'!BG121</f>
        <v>833.88</v>
      </c>
      <c r="BH19" s="106">
        <f>'2019'!BH121</f>
        <v>238.83</v>
      </c>
      <c r="BI19" s="106">
        <f t="shared" si="1"/>
        <v>0</v>
      </c>
      <c r="BJ19" s="124">
        <f t="shared" si="2"/>
        <v>238.83</v>
      </c>
    </row>
    <row r="20" spans="1:62" x14ac:dyDescent="0.25">
      <c r="A20" s="14"/>
      <c r="B20" s="115">
        <v>17</v>
      </c>
      <c r="C20" s="116">
        <v>4</v>
      </c>
      <c r="D20" s="117" t="s">
        <v>106</v>
      </c>
      <c r="E20" s="119">
        <f>'2019'!I129</f>
        <v>9</v>
      </c>
      <c r="F20" s="119">
        <f>'2019'!J129</f>
        <v>0</v>
      </c>
      <c r="G20" s="106">
        <f>'2019'!K129</f>
        <v>0</v>
      </c>
      <c r="H20" s="106">
        <f>'2019'!L129</f>
      </c>
      <c r="I20" s="119">
        <f>'2019'!M129</f>
        <v>9</v>
      </c>
      <c r="J20" s="119">
        <f>'2019'!N129</f>
        <v>0</v>
      </c>
      <c r="K20" s="106">
        <f>'2019'!O129</f>
        <v>0</v>
      </c>
      <c r="L20" s="106">
        <f>'2019'!P129</f>
      </c>
      <c r="M20" s="119">
        <f>'2019'!Q129</f>
        <v>9</v>
      </c>
      <c r="N20" s="119">
        <f>'2019'!R129</f>
        <v>0</v>
      </c>
      <c r="O20" s="165">
        <f>'2019'!S129</f>
        <v>0</v>
      </c>
      <c r="P20" s="165">
        <f>'2019'!T129</f>
      </c>
      <c r="Q20" s="119">
        <f>'2019'!U129</f>
        <v>9</v>
      </c>
      <c r="R20" s="119">
        <f>'2019'!V129</f>
        <v>0</v>
      </c>
      <c r="S20" s="106">
        <f>'2019'!W129</f>
        <v>0</v>
      </c>
      <c r="T20" s="106">
        <f>'2019'!X129</f>
      </c>
      <c r="U20" s="119">
        <f>'2019'!Y129</f>
        <v>14</v>
      </c>
      <c r="V20" s="119">
        <f>'2019'!Z129</f>
        <v>5</v>
      </c>
      <c r="W20" s="106">
        <f>'2019'!AA129</f>
        <v>12.45</v>
      </c>
      <c r="X20" s="106">
        <f>'2019'!AB129</f>
      </c>
      <c r="Y20" s="119">
        <f>'2019'!AC129</f>
        <v>14</v>
      </c>
      <c r="Z20" s="119">
        <f>'2019'!AD129</f>
        <v>0</v>
      </c>
      <c r="AA20" s="106">
        <f>'2019'!AE129</f>
        <v>0</v>
      </c>
      <c r="AB20" s="106">
        <f>'2019'!AF129</f>
      </c>
      <c r="AC20" s="119">
        <f>'2019'!AG129</f>
        <v>18</v>
      </c>
      <c r="AD20" s="119">
        <f>'2019'!AH129</f>
        <v>4</v>
      </c>
      <c r="AE20" s="106">
        <f>'2019'!AI129</f>
        <v>10</v>
      </c>
      <c r="AF20" s="106">
        <f>'2019'!AJ129</f>
      </c>
      <c r="AG20" s="119">
        <f>'2019'!AK129</f>
        <v>18</v>
      </c>
      <c r="AH20" s="119">
        <f>'2019'!AL129</f>
        <v>0</v>
      </c>
      <c r="AI20" s="106">
        <f>'2019'!AM129</f>
        <v>0</v>
      </c>
      <c r="AJ20" s="106">
        <f>'2019'!AN129</f>
      </c>
      <c r="AK20" s="119">
        <f>'2019'!AO129</f>
        <v>18</v>
      </c>
      <c r="AL20" s="119">
        <f>'2019'!AP129</f>
        <v>0</v>
      </c>
      <c r="AM20" s="106">
        <f>'2019'!AQ129</f>
        <v>0</v>
      </c>
      <c r="AN20" s="106">
        <f>'2019'!AR129</f>
      </c>
      <c r="AO20" s="119">
        <f>'2019'!AS129</f>
        <v>18</v>
      </c>
      <c r="AP20" s="119">
        <f>'2019'!AT129</f>
        <v>0</v>
      </c>
      <c r="AQ20" s="106">
        <f>'2019'!AU129</f>
        <v>0</v>
      </c>
      <c r="AR20" s="106">
        <f>'2019'!AV129</f>
      </c>
      <c r="AS20" s="119">
        <f>'2019'!AW129</f>
        <v>18</v>
      </c>
      <c r="AT20" s="119">
        <f>'2019'!AX129</f>
        <v>0</v>
      </c>
      <c r="AU20" s="106">
        <f>'2019'!AY129</f>
        <v>0</v>
      </c>
      <c r="AV20" s="106">
        <f>'2019'!AZ129</f>
      </c>
      <c r="AW20" s="106"/>
      <c r="AX20" s="106">
        <f t="shared" si="0"/>
        <v>0</v>
      </c>
      <c r="AY20" s="119">
        <f>'2019'!BA129</f>
        <v>18</v>
      </c>
      <c r="AZ20" s="119">
        <f>'2019'!BB129</f>
        <v>0</v>
      </c>
      <c r="BA20" s="106">
        <f>'2019'!BC129</f>
        <v>0</v>
      </c>
      <c r="BB20" s="106">
        <f>'2019'!BD129</f>
      </c>
      <c r="BC20" s="106"/>
      <c r="BD20" s="106"/>
      <c r="BE20" s="119">
        <f>'2019'!BE129</f>
        <v>9</v>
      </c>
      <c r="BF20" s="106">
        <f>'2019'!BF129</f>
        <v>22.45</v>
      </c>
      <c r="BG20" s="106">
        <f>'2019'!BG129</f>
        <v>0</v>
      </c>
      <c r="BH20" s="106">
        <f>'2019'!BH129</f>
        <v>-17.39</v>
      </c>
      <c r="BI20" s="106">
        <f t="shared" si="1"/>
        <v>0</v>
      </c>
      <c r="BJ20" s="124">
        <f t="shared" si="2"/>
        <v>-17.39</v>
      </c>
    </row>
    <row r="21" ht="15.75" customHeight="1" spans="1:62" x14ac:dyDescent="0.25">
      <c r="A21" s="14"/>
      <c r="B21" s="115">
        <v>18</v>
      </c>
      <c r="C21" s="115">
        <v>4.03</v>
      </c>
      <c r="D21" s="117" t="s">
        <v>109</v>
      </c>
      <c r="E21" s="119">
        <f>'2019'!I137</f>
        <v>189</v>
      </c>
      <c r="F21" s="119">
        <f>'2019'!J137</f>
        <v>0</v>
      </c>
      <c r="G21" s="106">
        <f>'2019'!K137</f>
        <v>0</v>
      </c>
      <c r="H21" s="106">
        <f>'2019'!L137</f>
      </c>
      <c r="I21" s="119">
        <f>'2019'!M137</f>
        <v>189</v>
      </c>
      <c r="J21" s="119">
        <f>'2019'!N137</f>
        <v>0</v>
      </c>
      <c r="K21" s="106">
        <f>'2019'!O137</f>
        <v>0</v>
      </c>
      <c r="L21" s="106">
        <f>'2019'!P137</f>
      </c>
      <c r="M21" s="119">
        <f>'2019'!Q137</f>
        <v>189</v>
      </c>
      <c r="N21" s="119">
        <f>'2019'!R137</f>
        <v>0</v>
      </c>
      <c r="O21" s="165">
        <f>'2019'!S137</f>
        <v>0</v>
      </c>
      <c r="P21" s="165">
        <f>'2019'!T137</f>
      </c>
      <c r="Q21" s="119">
        <f>'2019'!U137</f>
        <v>192</v>
      </c>
      <c r="R21" s="119">
        <f>'2019'!V137</f>
        <v>3</v>
      </c>
      <c r="S21" s="106">
        <f>'2019'!W137</f>
        <v>7.47</v>
      </c>
      <c r="T21" s="106">
        <f>'2019'!X137</f>
      </c>
      <c r="U21" s="119">
        <f>'2019'!Y137</f>
        <v>201</v>
      </c>
      <c r="V21" s="119">
        <f>'2019'!Z137</f>
        <v>9</v>
      </c>
      <c r="W21" s="106">
        <f>'2019'!AA137</f>
        <v>22.41</v>
      </c>
      <c r="X21" s="106">
        <f>'2019'!AB137</f>
      </c>
      <c r="Y21" s="119">
        <f>'2019'!AC137</f>
        <v>209</v>
      </c>
      <c r="Z21" s="119">
        <f>'2019'!AD137</f>
        <v>8</v>
      </c>
      <c r="AA21" s="106">
        <f>'2019'!AE137</f>
        <v>20</v>
      </c>
      <c r="AB21" s="106">
        <f>'2019'!AF137</f>
        <v>62.33</v>
      </c>
      <c r="AC21" s="119">
        <f>'2019'!AG137</f>
        <v>226</v>
      </c>
      <c r="AD21" s="119">
        <f>'2019'!AH137</f>
        <v>17</v>
      </c>
      <c r="AE21" s="106">
        <f>'2019'!AI137</f>
        <v>42.5</v>
      </c>
      <c r="AF21" s="106">
        <f>'2019'!AJ137</f>
      </c>
      <c r="AG21" s="119">
        <f>'2019'!AK137</f>
        <v>242</v>
      </c>
      <c r="AH21" s="119">
        <f>'2019'!AL137</f>
        <v>16</v>
      </c>
      <c r="AI21" s="106">
        <f>'2019'!AM137</f>
        <v>40</v>
      </c>
      <c r="AJ21" s="106">
        <f>'2019'!AN137</f>
        <v>82.5</v>
      </c>
      <c r="AK21" s="119">
        <f>'2019'!AO137</f>
        <v>252</v>
      </c>
      <c r="AL21" s="119">
        <f>'2019'!AP137</f>
        <v>10</v>
      </c>
      <c r="AM21" s="106">
        <f>'2019'!AQ137</f>
        <v>25</v>
      </c>
      <c r="AN21" s="106">
        <f>'2019'!AR137</f>
      </c>
      <c r="AO21" s="119">
        <f>'2019'!AS137</f>
        <v>257</v>
      </c>
      <c r="AP21" s="119">
        <f>'2019'!AT137</f>
        <v>5</v>
      </c>
      <c r="AQ21" s="106">
        <f>'2019'!AU137</f>
        <v>12.5</v>
      </c>
      <c r="AR21" s="106">
        <f>'2019'!AV137</f>
      </c>
      <c r="AS21" s="119">
        <f>'2019'!AW137</f>
        <v>258</v>
      </c>
      <c r="AT21" s="119">
        <f>'2019'!AX137</f>
        <v>1</v>
      </c>
      <c r="AU21" s="106">
        <f>'2019'!AY137</f>
        <v>2.5</v>
      </c>
      <c r="AV21" s="106">
        <f>'2019'!AZ137</f>
      </c>
      <c r="AW21" s="106"/>
      <c r="AX21" s="106">
        <f t="shared" si="0"/>
        <v>0</v>
      </c>
      <c r="AY21" s="119">
        <f>'2019'!BA137</f>
        <v>258</v>
      </c>
      <c r="AZ21" s="119">
        <f>'2019'!BB137</f>
        <v>0</v>
      </c>
      <c r="BA21" s="106">
        <f>'2019'!BC137</f>
        <v>0</v>
      </c>
      <c r="BB21" s="106">
        <f>'2019'!BD137</f>
      </c>
      <c r="BC21" s="106"/>
      <c r="BD21" s="106"/>
      <c r="BE21" s="119">
        <f>'2019'!BE137</f>
        <v>69</v>
      </c>
      <c r="BF21" s="106">
        <f>'2019'!BF137</f>
        <v>172.38</v>
      </c>
      <c r="BG21" s="106">
        <f>'2019'!BG137</f>
        <v>144.83</v>
      </c>
      <c r="BH21" s="106">
        <f>'2019'!BH137</f>
        <v>40</v>
      </c>
      <c r="BI21" s="106">
        <f t="shared" si="1"/>
        <v>0</v>
      </c>
      <c r="BJ21" s="124">
        <f t="shared" si="2"/>
        <v>40</v>
      </c>
    </row>
    <row r="22" ht="15.75" customHeight="1" spans="1:62" x14ac:dyDescent="0.25">
      <c r="A22" s="21"/>
      <c r="B22" s="115">
        <v>19</v>
      </c>
      <c r="C22" s="116">
        <v>4.1</v>
      </c>
      <c r="D22" s="117" t="s">
        <v>113</v>
      </c>
      <c r="E22" s="119">
        <f>'2019'!I145</f>
        <v>1</v>
      </c>
      <c r="F22" s="119">
        <f>'2019'!J145</f>
        <v>0</v>
      </c>
      <c r="G22" s="106">
        <f>'2019'!K145</f>
        <v>0</v>
      </c>
      <c r="H22" s="106">
        <f>'2019'!L145</f>
      </c>
      <c r="I22" s="119">
        <f>'2019'!M145</f>
        <v>1</v>
      </c>
      <c r="J22" s="119">
        <f>'2019'!N145</f>
        <v>0</v>
      </c>
      <c r="K22" s="106">
        <f>'2019'!O145</f>
        <v>0</v>
      </c>
      <c r="L22" s="106">
        <f>'2019'!P145</f>
      </c>
      <c r="M22" s="119">
        <f>'2019'!Q145</f>
        <v>1</v>
      </c>
      <c r="N22" s="119">
        <f>'2019'!R145</f>
        <v>0</v>
      </c>
      <c r="O22" s="165">
        <f>'2019'!S145</f>
        <v>0</v>
      </c>
      <c r="P22" s="165">
        <f>'2019'!T145</f>
      </c>
      <c r="Q22" s="119">
        <f>'2019'!U145</f>
        <v>1</v>
      </c>
      <c r="R22" s="119">
        <f>'2019'!V145</f>
        <v>0</v>
      </c>
      <c r="S22" s="106">
        <f>'2019'!W145</f>
        <v>0</v>
      </c>
      <c r="T22" s="106">
        <f>'2019'!X145</f>
      </c>
      <c r="U22" s="119">
        <f>'2019'!Y145</f>
        <v>1</v>
      </c>
      <c r="V22" s="119">
        <f>'2019'!Z145</f>
        <v>0</v>
      </c>
      <c r="W22" s="106">
        <f>'2019'!AA145</f>
        <v>0</v>
      </c>
      <c r="X22" s="106">
        <f>'2019'!AB145</f>
      </c>
      <c r="Y22" s="119">
        <f>'2019'!AC145</f>
        <v>1</v>
      </c>
      <c r="Z22" s="119">
        <f>'2019'!AD145</f>
        <v>0</v>
      </c>
      <c r="AA22" s="106">
        <f>'2019'!AE145</f>
        <v>0</v>
      </c>
      <c r="AB22" s="106">
        <f>'2019'!AF145</f>
      </c>
      <c r="AC22" s="119">
        <f>'2019'!AG145</f>
        <v>1</v>
      </c>
      <c r="AD22" s="119">
        <f>'2019'!AH145</f>
        <v>0</v>
      </c>
      <c r="AE22" s="106">
        <f>'2019'!AI145</f>
        <v>0</v>
      </c>
      <c r="AF22" s="106">
        <f>'2019'!AJ145</f>
      </c>
      <c r="AG22" s="119">
        <f>'2019'!AK145</f>
        <v>1</v>
      </c>
      <c r="AH22" s="119">
        <f>'2019'!AL145</f>
        <v>0</v>
      </c>
      <c r="AI22" s="106">
        <f>'2019'!AM145</f>
        <v>0</v>
      </c>
      <c r="AJ22" s="106">
        <f>'2019'!AN145</f>
      </c>
      <c r="AK22" s="119">
        <f>'2019'!AO145</f>
        <v>1</v>
      </c>
      <c r="AL22" s="119">
        <f>'2019'!AP145</f>
        <v>0</v>
      </c>
      <c r="AM22" s="106">
        <f>'2019'!AQ145</f>
        <v>0</v>
      </c>
      <c r="AN22" s="106">
        <f>'2019'!AR145</f>
      </c>
      <c r="AO22" s="119">
        <f>'2019'!AS145</f>
        <v>1</v>
      </c>
      <c r="AP22" s="119">
        <f>'2019'!AT145</f>
        <v>0</v>
      </c>
      <c r="AQ22" s="106">
        <f>'2019'!AU145</f>
        <v>0</v>
      </c>
      <c r="AR22" s="106">
        <f>'2019'!AV145</f>
      </c>
      <c r="AS22" s="119">
        <f>'2019'!AW145</f>
        <v>1</v>
      </c>
      <c r="AT22" s="119">
        <f>'2019'!AX145</f>
        <v>0</v>
      </c>
      <c r="AU22" s="106">
        <f>'2019'!AY145</f>
        <v>0</v>
      </c>
      <c r="AV22" s="106">
        <f>'2019'!AZ145</f>
      </c>
      <c r="AW22" s="106"/>
      <c r="AX22" s="106">
        <f t="shared" si="0"/>
        <v>0</v>
      </c>
      <c r="AY22" s="119">
        <f>'2019'!BA145</f>
        <v>1</v>
      </c>
      <c r="AZ22" s="119">
        <f>'2019'!BB145</f>
        <v>0</v>
      </c>
      <c r="BA22" s="106">
        <f>'2019'!BC145</f>
        <v>0</v>
      </c>
      <c r="BB22" s="106">
        <f>'2019'!BD145</f>
      </c>
      <c r="BC22" s="106"/>
      <c r="BD22" s="106"/>
      <c r="BE22" s="119">
        <f>'2019'!BE145</f>
        <v>0</v>
      </c>
      <c r="BF22" s="106">
        <f>'2019'!BF145</f>
        <v>0</v>
      </c>
      <c r="BG22" s="106">
        <f>'2019'!BG145</f>
        <v>0</v>
      </c>
      <c r="BH22" s="106">
        <f>'2019'!BH145</f>
        <v>0</v>
      </c>
      <c r="BI22" s="106">
        <f t="shared" si="1"/>
        <v>0</v>
      </c>
      <c r="BJ22" s="124">
        <f t="shared" si="2"/>
        <v>0</v>
      </c>
    </row>
    <row r="23" ht="15.75" customHeight="1" spans="1:62" x14ac:dyDescent="0.25">
      <c r="A23" s="114" t="s">
        <v>116</v>
      </c>
      <c r="B23" s="115" t="s">
        <v>117</v>
      </c>
      <c r="C23" s="116">
        <v>8</v>
      </c>
      <c r="D23" s="117" t="s">
        <v>118</v>
      </c>
      <c r="E23" s="119">
        <f>'2019'!I153</f>
        <v>2425</v>
      </c>
      <c r="F23" s="119">
        <f>'2019'!J153</f>
        <v>0</v>
      </c>
      <c r="G23" s="106">
        <f>'2019'!K153</f>
        <v>0</v>
      </c>
      <c r="H23" s="106">
        <f>'2019'!L153</f>
      </c>
      <c r="I23" s="119">
        <f>'2019'!M153</f>
        <v>2425</v>
      </c>
      <c r="J23" s="119">
        <f>'2019'!N153</f>
        <v>0</v>
      </c>
      <c r="K23" s="106">
        <f>'2019'!O153</f>
        <v>0</v>
      </c>
      <c r="L23" s="106">
        <f>'2019'!P153</f>
      </c>
      <c r="M23" s="119">
        <f>'2019'!Q153</f>
        <v>2425</v>
      </c>
      <c r="N23" s="119">
        <f>'2019'!R153</f>
        <v>0</v>
      </c>
      <c r="O23" s="165">
        <f>'2019'!S153</f>
        <v>0</v>
      </c>
      <c r="P23" s="165">
        <f>'2019'!T153</f>
      </c>
      <c r="Q23" s="119">
        <f>'2019'!U153</f>
        <v>2436</v>
      </c>
      <c r="R23" s="119">
        <f>'2019'!V153</f>
        <v>11</v>
      </c>
      <c r="S23" s="106">
        <f>'2019'!W153</f>
        <v>27.39</v>
      </c>
      <c r="T23" s="106">
        <f>'2019'!X153</f>
      </c>
      <c r="U23" s="119">
        <f>'2019'!Y153</f>
        <v>2471</v>
      </c>
      <c r="V23" s="119">
        <f>'2019'!Z153</f>
        <v>35</v>
      </c>
      <c r="W23" s="106">
        <f>'2019'!AA153</f>
        <v>87.15</v>
      </c>
      <c r="X23" s="106">
        <f>'2019'!AB153</f>
      </c>
      <c r="Y23" s="119">
        <f>'2019'!AC153</f>
        <v>2556</v>
      </c>
      <c r="Z23" s="119">
        <f>'2019'!AD153</f>
        <v>85</v>
      </c>
      <c r="AA23" s="106">
        <f>'2019'!AE153</f>
        <v>212.5</v>
      </c>
      <c r="AB23" s="106">
        <f>'2019'!AF153</f>
        <v>511.3</v>
      </c>
      <c r="AC23" s="119">
        <f>'2019'!AG153</f>
        <v>2698</v>
      </c>
      <c r="AD23" s="119">
        <f>'2019'!AH153</f>
        <v>142</v>
      </c>
      <c r="AE23" s="106">
        <f>'2019'!AI153</f>
        <v>355</v>
      </c>
      <c r="AF23" s="106">
        <f>'2019'!AJ153</f>
        <v>383.62</v>
      </c>
      <c r="AG23" s="119">
        <f>'2019'!AK153</f>
        <v>2818</v>
      </c>
      <c r="AH23" s="119">
        <f>'2019'!AL153</f>
        <v>120</v>
      </c>
      <c r="AI23" s="106">
        <f>'2019'!AM153</f>
        <v>300</v>
      </c>
      <c r="AJ23" s="106">
        <f>'2019'!AN153</f>
      </c>
      <c r="AK23" s="119">
        <f>'2019'!AO153</f>
        <v>2930</v>
      </c>
      <c r="AL23" s="119">
        <f>'2019'!AP153</f>
        <v>112</v>
      </c>
      <c r="AM23" s="106">
        <f>'2019'!AQ153</f>
        <v>280</v>
      </c>
      <c r="AN23" s="106">
        <f>'2019'!AR153</f>
        <v>500</v>
      </c>
      <c r="AO23" s="119">
        <f>'2019'!AS153</f>
        <v>2980</v>
      </c>
      <c r="AP23" s="119">
        <f>'2019'!AT153</f>
        <v>50</v>
      </c>
      <c r="AQ23" s="106">
        <f>'2019'!AU153</f>
        <v>125</v>
      </c>
      <c r="AR23" s="106">
        <f>'2019'!AV153</f>
      </c>
      <c r="AS23" s="119">
        <f>'2019'!AW153</f>
        <v>2985</v>
      </c>
      <c r="AT23" s="119">
        <f>'2019'!AX153</f>
        <v>5</v>
      </c>
      <c r="AU23" s="106">
        <f>'2019'!AY153</f>
        <v>12.5</v>
      </c>
      <c r="AV23" s="106">
        <f>'2019'!AZ153</f>
      </c>
      <c r="AW23" s="106"/>
      <c r="AX23" s="106">
        <f t="shared" si="0"/>
        <v>0</v>
      </c>
      <c r="AY23" s="119">
        <f>'2019'!BA153</f>
        <v>2985</v>
      </c>
      <c r="AZ23" s="119">
        <f>'2019'!BB153</f>
        <v>0</v>
      </c>
      <c r="BA23" s="106">
        <f>'2019'!BC153</f>
        <v>0</v>
      </c>
      <c r="BB23" s="106">
        <f>'2019'!BD153</f>
      </c>
      <c r="BC23" s="106"/>
      <c r="BD23" s="106"/>
      <c r="BE23" s="119">
        <f>'2019'!BE153</f>
        <v>560</v>
      </c>
      <c r="BF23" s="106">
        <f>'2019'!BF153</f>
        <v>1399.54</v>
      </c>
      <c r="BG23" s="106">
        <f>'2019'!BG153</f>
        <v>1394.92</v>
      </c>
      <c r="BH23" s="106">
        <f>'2019'!BH153</f>
        <v>188.88</v>
      </c>
      <c r="BI23" s="106">
        <f t="shared" si="1"/>
        <v>0</v>
      </c>
      <c r="BJ23" s="124">
        <f t="shared" si="2"/>
        <v>188.88</v>
      </c>
    </row>
    <row r="24" ht="15.75" customHeight="1" spans="1:62" x14ac:dyDescent="0.25">
      <c r="A24" s="14"/>
      <c r="B24" s="125">
        <v>21</v>
      </c>
      <c r="C24" s="115">
        <v>3.96</v>
      </c>
      <c r="D24" s="117" t="s">
        <v>120</v>
      </c>
      <c r="E24" s="119">
        <f>'2019'!I161</f>
        <v>658</v>
      </c>
      <c r="F24" s="119">
        <f>'2019'!J161</f>
        <v>72</v>
      </c>
      <c r="G24" s="106">
        <f>'2019'!K161</f>
        <v>179.28</v>
      </c>
      <c r="H24" s="106">
        <f>'2019'!L161</f>
      </c>
      <c r="I24" s="119">
        <f>'2019'!M161</f>
        <v>966</v>
      </c>
      <c r="J24" s="119">
        <f>'2019'!N161</f>
        <v>308</v>
      </c>
      <c r="K24" s="106">
        <f>'2019'!O161</f>
        <v>766.92</v>
      </c>
      <c r="L24" s="106">
        <f>'2019'!P161</f>
      </c>
      <c r="M24" s="119">
        <f>'2019'!Q161</f>
        <v>984</v>
      </c>
      <c r="N24" s="119">
        <f>'2019'!R161</f>
        <v>18</v>
      </c>
      <c r="O24" s="106">
        <f>'2019'!S161</f>
        <v>44.82</v>
      </c>
      <c r="P24" s="106">
        <f>'2019'!T161</f>
        <v>767</v>
      </c>
      <c r="Q24" s="119">
        <f>'2019'!U161</f>
        <v>1094</v>
      </c>
      <c r="R24" s="119">
        <f>'2019'!V161</f>
        <v>110</v>
      </c>
      <c r="S24" s="106">
        <f>'2019'!W161</f>
        <v>273.9</v>
      </c>
      <c r="T24" s="106">
        <f>'2019'!X161</f>
        <v>302</v>
      </c>
      <c r="U24" s="119">
        <f>'2019'!Y161</f>
        <v>1175</v>
      </c>
      <c r="V24" s="119">
        <f>'2019'!Z161</f>
        <v>81</v>
      </c>
      <c r="W24" s="106">
        <f>'2019'!AA161</f>
        <v>201.69</v>
      </c>
      <c r="X24" s="106">
        <f>'2019'!AB161</f>
        <v>397.61</v>
      </c>
      <c r="Y24" s="119">
        <f>'2019'!AC161</f>
        <v>1205</v>
      </c>
      <c r="Z24" s="119">
        <f>'2019'!AD161</f>
        <v>30</v>
      </c>
      <c r="AA24" s="106">
        <f>'2019'!AE161</f>
        <v>75</v>
      </c>
      <c r="AB24" s="106">
        <f>'2019'!AF161</f>
      </c>
      <c r="AC24" s="119">
        <f>'2019'!AG161</f>
        <v>1280</v>
      </c>
      <c r="AD24" s="119">
        <f>'2019'!AH161</f>
        <v>75</v>
      </c>
      <c r="AE24" s="106">
        <f>'2019'!AI161</f>
        <v>187.5</v>
      </c>
      <c r="AF24" s="106">
        <f>'2019'!AJ161</f>
        <v>100</v>
      </c>
      <c r="AG24" s="119">
        <f>'2019'!AK161</f>
        <v>1354</v>
      </c>
      <c r="AH24" s="119">
        <f>'2019'!AL161</f>
        <v>74</v>
      </c>
      <c r="AI24" s="106">
        <f>'2019'!AM161</f>
        <v>185</v>
      </c>
      <c r="AJ24" s="106">
        <f>'2019'!AN161</f>
        <v>347.5</v>
      </c>
      <c r="AK24" s="119">
        <f>'2019'!AO161</f>
        <v>1416</v>
      </c>
      <c r="AL24" s="119">
        <f>'2019'!AP161</f>
        <v>62</v>
      </c>
      <c r="AM24" s="106">
        <f>'2019'!AQ161</f>
        <v>155</v>
      </c>
      <c r="AN24" s="106">
        <f>'2019'!AR161</f>
        <v>48</v>
      </c>
      <c r="AO24" s="119">
        <f>'2019'!AS161</f>
        <v>1455</v>
      </c>
      <c r="AP24" s="119">
        <f>'2019'!AT161</f>
        <v>39</v>
      </c>
      <c r="AQ24" s="106">
        <f>'2019'!AU161</f>
        <v>97.5</v>
      </c>
      <c r="AR24" s="106">
        <f>'2019'!AV161</f>
      </c>
      <c r="AS24" s="126">
        <f>'2019'!AW161</f>
        <v>1491</v>
      </c>
      <c r="AT24" s="119">
        <f>'2019'!AX161</f>
        <v>36</v>
      </c>
      <c r="AU24" s="106">
        <f>'2019'!AY161</f>
        <v>90</v>
      </c>
      <c r="AV24" s="106">
        <f>'2019'!AZ161</f>
        <v>238</v>
      </c>
      <c r="AW24" s="119"/>
      <c r="AX24" s="106">
        <f t="shared" si="0"/>
        <v>0</v>
      </c>
      <c r="AY24" s="119">
        <f>'2019'!BA161</f>
        <v>1519</v>
      </c>
      <c r="AZ24" s="119">
        <f>'2019'!BB161</f>
        <v>28</v>
      </c>
      <c r="BA24" s="106">
        <f>'2019'!BC161</f>
        <v>70</v>
      </c>
      <c r="BB24" s="106">
        <f>'2019'!BD161</f>
        <v>365</v>
      </c>
      <c r="BC24" s="106"/>
      <c r="BD24" s="106"/>
      <c r="BE24" s="119">
        <f>'2019'!BE161</f>
        <v>933</v>
      </c>
      <c r="BF24" s="106">
        <f>'2019'!BF161</f>
        <v>2326.61</v>
      </c>
      <c r="BG24" s="106">
        <f>'2019'!BG161</f>
        <v>2565.11</v>
      </c>
      <c r="BH24" s="106">
        <f>'2019'!BH161</f>
        <v>-238.5</v>
      </c>
      <c r="BI24" s="106">
        <f t="shared" si="1"/>
        <v>0</v>
      </c>
      <c r="BJ24" s="124">
        <f t="shared" si="2"/>
        <v>-238.5</v>
      </c>
    </row>
    <row r="25" ht="15.75" customHeight="1" spans="1:62" x14ac:dyDescent="0.25">
      <c r="A25" s="14"/>
      <c r="B25" s="115">
        <v>23</v>
      </c>
      <c r="C25" s="115">
        <v>3.98</v>
      </c>
      <c r="D25" s="117" t="s">
        <v>124</v>
      </c>
      <c r="E25" s="119">
        <f>'2019'!I169</f>
        <v>1901</v>
      </c>
      <c r="F25" s="119">
        <f>'2019'!J169</f>
        <v>0</v>
      </c>
      <c r="G25" s="106">
        <f>'2019'!K169</f>
        <v>0</v>
      </c>
      <c r="H25" s="106">
        <f>'2019'!L169</f>
      </c>
      <c r="I25" s="119">
        <f>'2019'!M169</f>
        <v>1930</v>
      </c>
      <c r="J25" s="119">
        <f>'2019'!N169</f>
        <v>29</v>
      </c>
      <c r="K25" s="106">
        <f>'2019'!O169</f>
        <v>72.21</v>
      </c>
      <c r="L25" s="106">
        <f>'2019'!P169</f>
        <v>124.5</v>
      </c>
      <c r="M25" s="119">
        <f>'2019'!Q169</f>
        <v>1960</v>
      </c>
      <c r="N25" s="119">
        <f>'2019'!R169</f>
        <v>30</v>
      </c>
      <c r="O25" s="165">
        <f>'2019'!S169</f>
        <v>74.7</v>
      </c>
      <c r="P25" s="165">
        <f>'2019'!T169</f>
      </c>
      <c r="Q25" s="119">
        <f>'2019'!U169</f>
        <v>1983</v>
      </c>
      <c r="R25" s="119">
        <f>'2019'!V169</f>
        <v>23</v>
      </c>
      <c r="S25" s="106">
        <f>'2019'!W169</f>
        <v>57.27</v>
      </c>
      <c r="T25" s="106">
        <f>'2019'!X169</f>
        <v>74.7</v>
      </c>
      <c r="U25" s="119">
        <f>'2019'!Y169</f>
        <v>2146</v>
      </c>
      <c r="V25" s="119">
        <f>'2019'!Z169</f>
        <v>163</v>
      </c>
      <c r="W25" s="106">
        <f>'2019'!AA169</f>
        <v>405.87</v>
      </c>
      <c r="X25" s="106">
        <f>'2019'!AB169</f>
      </c>
      <c r="Y25" s="119">
        <f>'2019'!AC169</f>
        <v>2252</v>
      </c>
      <c r="Z25" s="119">
        <f>'2019'!AD169</f>
        <v>106</v>
      </c>
      <c r="AA25" s="106">
        <f>'2019'!AE169</f>
        <v>265</v>
      </c>
      <c r="AB25" s="106">
        <f>'2019'!AF169</f>
        <v>728.14</v>
      </c>
      <c r="AC25" s="119">
        <f>'2019'!AG169</f>
        <v>2397</v>
      </c>
      <c r="AD25" s="119">
        <f>'2019'!AH169</f>
        <v>145</v>
      </c>
      <c r="AE25" s="106">
        <f>'2019'!AI169</f>
        <v>362.5</v>
      </c>
      <c r="AF25" s="106">
        <f>'2019'!AJ169</f>
        <v>360.42</v>
      </c>
      <c r="AG25" s="119">
        <f>'2019'!AK169</f>
        <v>2491</v>
      </c>
      <c r="AH25" s="119">
        <f>'2019'!AL169</f>
        <v>94</v>
      </c>
      <c r="AI25" s="106">
        <f>'2019'!AM169</f>
        <v>235</v>
      </c>
      <c r="AJ25" s="106">
        <f>'2019'!AN169</f>
      </c>
      <c r="AK25" s="119">
        <f>'2019'!AO169</f>
        <v>3027</v>
      </c>
      <c r="AL25" s="119">
        <f>'2019'!AP169</f>
        <v>536</v>
      </c>
      <c r="AM25" s="106">
        <f>'2019'!AQ169</f>
        <v>1340</v>
      </c>
      <c r="AN25" s="106">
        <f>'2019'!AR169</f>
        <v>258.04</v>
      </c>
      <c r="AO25" s="119">
        <f>'2019'!AS169</f>
        <v>3353</v>
      </c>
      <c r="AP25" s="119">
        <f>'2019'!AT169</f>
        <v>326</v>
      </c>
      <c r="AQ25" s="106">
        <f>'2019'!AU169</f>
        <v>815</v>
      </c>
      <c r="AR25" s="106">
        <f>'2019'!AV169</f>
        <v>1340</v>
      </c>
      <c r="AS25" s="119">
        <f>'2019'!AW169</f>
        <v>3353</v>
      </c>
      <c r="AT25" s="119">
        <f>'2019'!AX169</f>
        <v>0</v>
      </c>
      <c r="AU25" s="106">
        <f>'2019'!AY169</f>
        <v>0</v>
      </c>
      <c r="AV25" s="106">
        <f>'2019'!AZ169</f>
        <v>690</v>
      </c>
      <c r="AW25" s="106"/>
      <c r="AX25" s="106">
        <f t="shared" si="0"/>
        <v>0</v>
      </c>
      <c r="AY25" s="119">
        <f>'2019'!BA169</f>
        <v>3353</v>
      </c>
      <c r="AZ25" s="119">
        <f>'2019'!BB169</f>
        <v>0</v>
      </c>
      <c r="BA25" s="106">
        <f>'2019'!BC169</f>
        <v>0</v>
      </c>
      <c r="BB25" s="106">
        <f>'2019'!BD169</f>
      </c>
      <c r="BC25" s="106"/>
      <c r="BD25" s="106"/>
      <c r="BE25" s="119">
        <f>'2019'!BE169</f>
        <v>1452</v>
      </c>
      <c r="BF25" s="106">
        <f>'2019'!BF169</f>
        <v>3627.55</v>
      </c>
      <c r="BG25" s="106">
        <f>'2019'!BG169</f>
        <v>3575.8</v>
      </c>
      <c r="BH25" s="106">
        <f>'2019'!BH169</f>
        <v>104.04</v>
      </c>
      <c r="BI25" s="106">
        <f t="shared" si="1"/>
        <v>0</v>
      </c>
      <c r="BJ25" s="124">
        <f t="shared" si="2"/>
        <v>104.04</v>
      </c>
    </row>
    <row r="26" ht="15.75" customHeight="1" spans="1:62" x14ac:dyDescent="0.25">
      <c r="A26" s="14"/>
      <c r="B26" s="115">
        <v>24</v>
      </c>
      <c r="C26" s="115">
        <v>4.01</v>
      </c>
      <c r="D26" s="117" t="s">
        <v>127</v>
      </c>
      <c r="E26" s="119">
        <f>'2019'!I177</f>
        <v>56</v>
      </c>
      <c r="F26" s="119">
        <f>'2019'!J177</f>
        <v>0</v>
      </c>
      <c r="G26" s="106">
        <f>'2019'!K177</f>
        <v>0</v>
      </c>
      <c r="H26" s="106">
        <f>'2019'!L177</f>
      </c>
      <c r="I26" s="119">
        <f>'2019'!M177</f>
        <v>56</v>
      </c>
      <c r="J26" s="119">
        <f>'2019'!N177</f>
        <v>0</v>
      </c>
      <c r="K26" s="106">
        <f>'2019'!O177</f>
        <v>0</v>
      </c>
      <c r="L26" s="106">
        <f>'2019'!P177</f>
      </c>
      <c r="M26" s="119">
        <f>'2019'!Q177</f>
        <v>56</v>
      </c>
      <c r="N26" s="119">
        <f>'2019'!R177</f>
        <v>0</v>
      </c>
      <c r="O26" s="165">
        <f>'2019'!S177</f>
        <v>0</v>
      </c>
      <c r="P26" s="165">
        <f>'2019'!T177</f>
      </c>
      <c r="Q26" s="119">
        <f>'2019'!U177</f>
        <v>56</v>
      </c>
      <c r="R26" s="119">
        <f>'2019'!V177</f>
        <v>0</v>
      </c>
      <c r="S26" s="106">
        <f>'2019'!W177</f>
        <v>0</v>
      </c>
      <c r="T26" s="106">
        <f>'2019'!X177</f>
      </c>
      <c r="U26" s="119">
        <f>'2019'!Y177</f>
        <v>56</v>
      </c>
      <c r="V26" s="119">
        <f>'2019'!Z177</f>
        <v>0</v>
      </c>
      <c r="W26" s="106">
        <f>'2019'!AA177</f>
        <v>0</v>
      </c>
      <c r="X26" s="106">
        <f>'2019'!AB177</f>
        <v>89.64</v>
      </c>
      <c r="Y26" s="119">
        <f>'2019'!AC177</f>
        <v>61</v>
      </c>
      <c r="Z26" s="119">
        <f>'2019'!AD177</f>
        <v>5</v>
      </c>
      <c r="AA26" s="106">
        <f>'2019'!AE177</f>
        <v>12.5</v>
      </c>
      <c r="AB26" s="106">
        <f>'2019'!AF177</f>
      </c>
      <c r="AC26" s="119">
        <f>'2019'!AG177</f>
        <v>66</v>
      </c>
      <c r="AD26" s="119">
        <f>'2019'!AH177</f>
        <v>5</v>
      </c>
      <c r="AE26" s="106">
        <f>'2019'!AI177</f>
        <v>12.5</v>
      </c>
      <c r="AF26" s="106">
        <f>'2019'!AJ177</f>
      </c>
      <c r="AG26" s="119">
        <f>'2019'!AK177</f>
        <v>71</v>
      </c>
      <c r="AH26" s="119">
        <f>'2019'!AL177</f>
        <v>5</v>
      </c>
      <c r="AI26" s="106">
        <f>'2019'!AM177</f>
        <v>12.5</v>
      </c>
      <c r="AJ26" s="106">
        <f>'2019'!AN177</f>
      </c>
      <c r="AK26" s="119">
        <f>'2019'!AO177</f>
        <v>75</v>
      </c>
      <c r="AL26" s="119">
        <f>'2019'!AP177</f>
        <v>4</v>
      </c>
      <c r="AM26" s="106">
        <f>'2019'!AQ177</f>
        <v>10</v>
      </c>
      <c r="AN26" s="106">
        <f>'2019'!AR177</f>
      </c>
      <c r="AO26" s="119">
        <f>'2019'!AS177</f>
        <v>76</v>
      </c>
      <c r="AP26" s="119">
        <f>'2019'!AT177</f>
        <v>1</v>
      </c>
      <c r="AQ26" s="106">
        <f>'2019'!AU177</f>
        <v>2.5</v>
      </c>
      <c r="AR26" s="106">
        <f>'2019'!AV177</f>
      </c>
      <c r="AS26" s="119">
        <f>'2019'!AW177</f>
        <v>76</v>
      </c>
      <c r="AT26" s="119">
        <f>'2019'!AX177</f>
        <v>0</v>
      </c>
      <c r="AU26" s="106">
        <f>'2019'!AY177</f>
        <v>0</v>
      </c>
      <c r="AV26" s="106">
        <f>'2019'!AZ177</f>
      </c>
      <c r="AW26" s="106"/>
      <c r="AX26" s="106">
        <f t="shared" si="0"/>
        <v>0</v>
      </c>
      <c r="AY26" s="119">
        <f>'2019'!BA177</f>
        <v>76</v>
      </c>
      <c r="AZ26" s="119">
        <f>'2019'!BB177</f>
        <v>0</v>
      </c>
      <c r="BA26" s="106">
        <f>'2019'!BC177</f>
        <v>0</v>
      </c>
      <c r="BB26" s="106">
        <f>'2019'!BD177</f>
      </c>
      <c r="BC26" s="106"/>
      <c r="BD26" s="106"/>
      <c r="BE26" s="119">
        <f>'2019'!BE177</f>
        <v>20</v>
      </c>
      <c r="BF26" s="106">
        <f>'2019'!BF177</f>
        <v>50</v>
      </c>
      <c r="BG26" s="106">
        <f>'2019'!BG177</f>
        <v>89.64</v>
      </c>
      <c r="BH26" s="106">
        <f>'2019'!BH177</f>
        <v>-39.64</v>
      </c>
      <c r="BI26" s="106">
        <f t="shared" si="1"/>
        <v>0</v>
      </c>
      <c r="BJ26" s="124">
        <f t="shared" si="2"/>
        <v>-39.64</v>
      </c>
    </row>
    <row r="27" ht="15.75" customHeight="1" spans="1:62" x14ac:dyDescent="0.25">
      <c r="A27" s="14"/>
      <c r="B27" s="115">
        <v>25</v>
      </c>
      <c r="C27" s="116">
        <v>4</v>
      </c>
      <c r="D27" s="117" t="s">
        <v>131</v>
      </c>
      <c r="E27" s="119">
        <f>'2019'!I185</f>
        <v>13</v>
      </c>
      <c r="F27" s="119">
        <f>'2019'!J185</f>
      </c>
      <c r="G27" s="106">
        <f>'2019'!K185</f>
        <v>0</v>
      </c>
      <c r="H27" s="106">
        <f>'2019'!L185</f>
      </c>
      <c r="I27" s="119">
        <f>'2019'!M185</f>
        <v>13</v>
      </c>
      <c r="J27" s="119">
        <f>'2019'!N185</f>
        <v>0</v>
      </c>
      <c r="K27" s="106">
        <f>'2019'!O185</f>
        <v>0</v>
      </c>
      <c r="L27" s="106">
        <f>'2019'!P185</f>
      </c>
      <c r="M27" s="119">
        <f>'2019'!Q185</f>
        <v>13</v>
      </c>
      <c r="N27" s="119">
        <f>'2019'!R185</f>
        <v>0</v>
      </c>
      <c r="O27" s="165">
        <f>'2019'!S185</f>
        <v>0</v>
      </c>
      <c r="P27" s="165">
        <f>'2019'!T185</f>
      </c>
      <c r="Q27" s="119">
        <f>'2019'!U185</f>
        <v>13</v>
      </c>
      <c r="R27" s="119">
        <f>'2019'!V185</f>
        <v>0</v>
      </c>
      <c r="S27" s="106">
        <f>'2019'!W185</f>
        <v>0</v>
      </c>
      <c r="T27" s="106">
        <f>'2019'!X185</f>
      </c>
      <c r="U27" s="119">
        <f>'2019'!Y185</f>
        <v>13</v>
      </c>
      <c r="V27" s="119">
        <f>'2019'!Z185</f>
        <v>0</v>
      </c>
      <c r="W27" s="106">
        <f>'2019'!AA185</f>
        <v>0</v>
      </c>
      <c r="X27" s="106">
        <f>'2019'!AB185</f>
      </c>
      <c r="Y27" s="119">
        <f>'2019'!AC185</f>
        <v>13</v>
      </c>
      <c r="Z27" s="119">
        <f>'2019'!AD185</f>
        <v>0</v>
      </c>
      <c r="AA27" s="106">
        <f>'2019'!AE185</f>
        <v>0</v>
      </c>
      <c r="AB27" s="106">
        <f>'2019'!AF185</f>
      </c>
      <c r="AC27" s="119">
        <f>'2019'!AG185</f>
        <v>13</v>
      </c>
      <c r="AD27" s="119">
        <f>'2019'!AH185</f>
        <v>0</v>
      </c>
      <c r="AE27" s="106">
        <f>'2019'!AI185</f>
        <v>0</v>
      </c>
      <c r="AF27" s="106">
        <f>'2019'!AJ185</f>
      </c>
      <c r="AG27" s="119">
        <f>'2019'!AK185</f>
        <v>13</v>
      </c>
      <c r="AH27" s="119">
        <f>'2019'!AL185</f>
        <v>0</v>
      </c>
      <c r="AI27" s="106">
        <f>'2019'!AM185</f>
        <v>0</v>
      </c>
      <c r="AJ27" s="106">
        <f>'2019'!AN185</f>
      </c>
      <c r="AK27" s="119">
        <f>'2019'!AO185</f>
        <v>13</v>
      </c>
      <c r="AL27" s="119">
        <f>'2019'!AP185</f>
        <v>0</v>
      </c>
      <c r="AM27" s="106">
        <f>'2019'!AQ185</f>
        <v>0</v>
      </c>
      <c r="AN27" s="106">
        <f>'2019'!AR185</f>
        <v>98.48</v>
      </c>
      <c r="AO27" s="119">
        <f>'2019'!AS185</f>
        <v>13</v>
      </c>
      <c r="AP27" s="119">
        <f>'2019'!AT185</f>
        <v>0</v>
      </c>
      <c r="AQ27" s="106">
        <f>'2019'!AU185</f>
        <v>0</v>
      </c>
      <c r="AR27" s="106">
        <f>'2019'!AV185</f>
      </c>
      <c r="AS27" s="119">
        <f>'2019'!AW185</f>
        <v>13</v>
      </c>
      <c r="AT27" s="119">
        <f>'2019'!AX185</f>
        <v>0</v>
      </c>
      <c r="AU27" s="106">
        <f>'2019'!AY185</f>
        <v>0</v>
      </c>
      <c r="AV27" s="106">
        <f>'2019'!AZ185</f>
      </c>
      <c r="AW27" s="106"/>
      <c r="AX27" s="106">
        <f t="shared" si="0"/>
        <v>0</v>
      </c>
      <c r="AY27" s="119">
        <f>'2019'!BA185</f>
        <v>13</v>
      </c>
      <c r="AZ27" s="119">
        <f>'2019'!BB185</f>
        <v>0</v>
      </c>
      <c r="BA27" s="106">
        <f>'2019'!BC185</f>
        <v>0</v>
      </c>
      <c r="BB27" s="106">
        <f>'2019'!BD185</f>
      </c>
      <c r="BC27" s="106"/>
      <c r="BD27" s="106"/>
      <c r="BE27" s="119">
        <f>'2019'!BE185</f>
        <v>0</v>
      </c>
      <c r="BF27" s="106">
        <f>'2019'!BF185</f>
        <v>0</v>
      </c>
      <c r="BG27" s="106">
        <f>'2019'!BG185</f>
        <v>98.48</v>
      </c>
      <c r="BH27" s="106">
        <f>'2019'!BH185</f>
        <v>-66.11</v>
      </c>
      <c r="BI27" s="106">
        <f t="shared" si="1"/>
        <v>0</v>
      </c>
      <c r="BJ27" s="124">
        <f t="shared" si="2"/>
        <v>-66.11</v>
      </c>
    </row>
    <row r="28" ht="15.75" customHeight="1" spans="1:62" x14ac:dyDescent="0.25">
      <c r="A28" s="14"/>
      <c r="B28" s="115">
        <v>26</v>
      </c>
      <c r="C28" s="115">
        <v>3.98</v>
      </c>
      <c r="D28" s="117" t="s">
        <v>133</v>
      </c>
      <c r="E28" s="119">
        <f>'2019'!I193</f>
      </c>
      <c r="F28" s="119">
        <f>'2019'!J193</f>
      </c>
      <c r="G28" s="106">
        <f>'2019'!K193</f>
        <v>0</v>
      </c>
      <c r="H28" s="106">
        <f>'2019'!L193</f>
      </c>
      <c r="I28" s="119">
        <f>'2019'!M193</f>
      </c>
      <c r="J28" s="119">
        <f>'2019'!N193</f>
        <v>0</v>
      </c>
      <c r="K28" s="106">
        <f>'2019'!O193</f>
        <v>0</v>
      </c>
      <c r="L28" s="106">
        <f>'2019'!P193</f>
      </c>
      <c r="M28" s="119">
        <f>'2019'!Q193</f>
      </c>
      <c r="N28" s="119">
        <f>'2019'!R193</f>
        <v>0</v>
      </c>
      <c r="O28" s="165">
        <f>'2019'!S193</f>
        <v>0</v>
      </c>
      <c r="P28" s="165">
        <f>'2019'!T193</f>
      </c>
      <c r="Q28" s="119">
        <f>'2019'!U193</f>
      </c>
      <c r="R28" s="119">
        <f>'2019'!V193</f>
        <v>0</v>
      </c>
      <c r="S28" s="106">
        <f>'2019'!W193</f>
      </c>
      <c r="T28" s="106">
        <f>'2019'!X193</f>
      </c>
      <c r="U28" s="119">
        <f>'2019'!Y193</f>
      </c>
      <c r="V28" s="119">
        <f>'2019'!Z193</f>
        <v>0</v>
      </c>
      <c r="W28" s="106">
        <f>'2019'!AA193</f>
        <v>0</v>
      </c>
      <c r="X28" s="106">
        <f>'2019'!AB193</f>
      </c>
      <c r="Y28" s="119">
        <f>'2019'!AC193</f>
      </c>
      <c r="Z28" s="119">
        <f>'2019'!AD193</f>
        <v>0</v>
      </c>
      <c r="AA28" s="106">
        <f>'2019'!AE193</f>
        <v>0</v>
      </c>
      <c r="AB28" s="106">
        <f>'2019'!AF193</f>
      </c>
      <c r="AC28" s="119">
        <f>'2019'!AG193</f>
      </c>
      <c r="AD28" s="119">
        <f>'2019'!AH193</f>
        <v>0</v>
      </c>
      <c r="AE28" s="106">
        <f>'2019'!AI193</f>
        <v>0</v>
      </c>
      <c r="AF28" s="106">
        <f>'2019'!AJ193</f>
      </c>
      <c r="AG28" s="119">
        <f>'2019'!AK193</f>
      </c>
      <c r="AH28" s="119">
        <f>'2019'!AL193</f>
        <v>0</v>
      </c>
      <c r="AI28" s="106">
        <f>'2019'!AM193</f>
        <v>0</v>
      </c>
      <c r="AJ28" s="106">
        <f>'2019'!AN193</f>
      </c>
      <c r="AK28" s="119">
        <f>'2019'!AO193</f>
      </c>
      <c r="AL28" s="119">
        <f>'2019'!AP193</f>
        <v>0</v>
      </c>
      <c r="AM28" s="106">
        <f>'2019'!AQ193</f>
        <v>0</v>
      </c>
      <c r="AN28" s="106">
        <f>'2019'!AR193</f>
      </c>
      <c r="AO28" s="119">
        <f>'2019'!AS193</f>
      </c>
      <c r="AP28" s="119">
        <f>'2019'!AT193</f>
        <v>0</v>
      </c>
      <c r="AQ28" s="106">
        <f>'2019'!AU193</f>
        <v>0</v>
      </c>
      <c r="AR28" s="106">
        <f>'2019'!AV193</f>
      </c>
      <c r="AS28" s="119">
        <f>'2019'!AW193</f>
      </c>
      <c r="AT28" s="119">
        <f>'2019'!AX193</f>
        <v>0</v>
      </c>
      <c r="AU28" s="106">
        <f>'2019'!AY193</f>
        <v>0</v>
      </c>
      <c r="AV28" s="106">
        <f>'2019'!AZ193</f>
      </c>
      <c r="AW28" s="106"/>
      <c r="AX28" s="106">
        <f t="shared" si="0"/>
        <v>0</v>
      </c>
      <c r="AY28" s="119">
        <f>'2019'!BA193</f>
      </c>
      <c r="AZ28" s="119">
        <f>'2019'!BB193</f>
        <v>0</v>
      </c>
      <c r="BA28" s="106">
        <f>'2019'!BC193</f>
        <v>0</v>
      </c>
      <c r="BB28" s="106">
        <f>'2019'!BD193</f>
      </c>
      <c r="BC28" s="106"/>
      <c r="BD28" s="106"/>
      <c r="BE28" s="119">
        <f>'2019'!BE193</f>
        <v>0</v>
      </c>
      <c r="BF28" s="106">
        <f>'2019'!BF193</f>
        <v>0</v>
      </c>
      <c r="BG28" s="106">
        <f>'2019'!BG193</f>
        <v>0</v>
      </c>
      <c r="BH28" s="106">
        <f>'2019'!BH193</f>
        <v>0</v>
      </c>
      <c r="BI28" s="106">
        <f t="shared" si="1"/>
        <v>0</v>
      </c>
      <c r="BJ28" s="124">
        <f t="shared" si="2"/>
        <v>0</v>
      </c>
    </row>
    <row r="29" ht="15.75" customHeight="1" spans="1:62" x14ac:dyDescent="0.25">
      <c r="A29" s="14"/>
      <c r="B29" s="115">
        <v>27</v>
      </c>
      <c r="C29" s="115">
        <v>4.04</v>
      </c>
      <c r="D29" s="117" t="s">
        <v>136</v>
      </c>
      <c r="E29" s="119">
        <f>'2019'!I201</f>
      </c>
      <c r="F29" s="119">
        <f>'2019'!J201</f>
      </c>
      <c r="G29" s="106">
        <f>'2019'!K201</f>
        <v>0</v>
      </c>
      <c r="H29" s="106">
        <f>'2019'!L201</f>
      </c>
      <c r="I29" s="119">
        <f>'2019'!M201</f>
      </c>
      <c r="J29" s="119">
        <f>'2019'!N201</f>
        <v>0</v>
      </c>
      <c r="K29" s="106">
        <f>'2019'!O201</f>
        <v>0</v>
      </c>
      <c r="L29" s="106">
        <f>'2019'!P201</f>
      </c>
      <c r="M29" s="119">
        <f>'2019'!Q201</f>
      </c>
      <c r="N29" s="119">
        <f>'2019'!R201</f>
        <v>0</v>
      </c>
      <c r="O29" s="165">
        <f>'2019'!S201</f>
        <v>0</v>
      </c>
      <c r="P29" s="165">
        <f>'2019'!T201</f>
      </c>
      <c r="Q29" s="119">
        <f>'2019'!U201</f>
      </c>
      <c r="R29" s="119">
        <f>'2019'!V201</f>
        <v>0</v>
      </c>
      <c r="S29" s="106">
        <f>'2019'!W201</f>
      </c>
      <c r="T29" s="106">
        <f>'2019'!X201</f>
      </c>
      <c r="U29" s="119">
        <f>'2019'!Y201</f>
      </c>
      <c r="V29" s="119">
        <f>'2019'!Z201</f>
        <v>0</v>
      </c>
      <c r="W29" s="106">
        <f>'2019'!AA201</f>
        <v>0</v>
      </c>
      <c r="X29" s="106">
        <f>'2019'!AB201</f>
      </c>
      <c r="Y29" s="119">
        <f>'2019'!AC201</f>
      </c>
      <c r="Z29" s="119">
        <f>'2019'!AD201</f>
        <v>0</v>
      </c>
      <c r="AA29" s="106">
        <f>'2019'!AE201</f>
        <v>0</v>
      </c>
      <c r="AB29" s="106">
        <f>'2019'!AF201</f>
      </c>
      <c r="AC29" s="119">
        <f>'2019'!AG201</f>
      </c>
      <c r="AD29" s="119">
        <f>'2019'!AH201</f>
        <v>0</v>
      </c>
      <c r="AE29" s="106">
        <f>'2019'!AI201</f>
        <v>0</v>
      </c>
      <c r="AF29" s="106">
        <f>'2019'!AJ201</f>
      </c>
      <c r="AG29" s="119">
        <f>'2019'!AK201</f>
      </c>
      <c r="AH29" s="119">
        <f>'2019'!AL201</f>
        <v>0</v>
      </c>
      <c r="AI29" s="106">
        <f>'2019'!AM201</f>
        <v>0</v>
      </c>
      <c r="AJ29" s="106">
        <f>'2019'!AN201</f>
      </c>
      <c r="AK29" s="119">
        <f>'2019'!AO201</f>
      </c>
      <c r="AL29" s="119">
        <f>'2019'!AP201</f>
        <v>0</v>
      </c>
      <c r="AM29" s="106">
        <f>'2019'!AQ201</f>
        <v>0</v>
      </c>
      <c r="AN29" s="106">
        <f>'2019'!AR201</f>
      </c>
      <c r="AO29" s="119">
        <f>'2019'!AS201</f>
      </c>
      <c r="AP29" s="119">
        <f>'2019'!AT201</f>
        <v>0</v>
      </c>
      <c r="AQ29" s="106">
        <f>'2019'!AU201</f>
        <v>0</v>
      </c>
      <c r="AR29" s="106">
        <f>'2019'!AV201</f>
      </c>
      <c r="AS29" s="119">
        <f>'2019'!AW201</f>
      </c>
      <c r="AT29" s="119">
        <f>'2019'!AX201</f>
        <v>0</v>
      </c>
      <c r="AU29" s="106">
        <f>'2019'!AY201</f>
        <v>0</v>
      </c>
      <c r="AV29" s="106">
        <f>'2019'!AZ201</f>
      </c>
      <c r="AW29" s="106"/>
      <c r="AX29" s="106">
        <f t="shared" si="0"/>
        <v>0</v>
      </c>
      <c r="AY29" s="119">
        <f>'2019'!BA201</f>
      </c>
      <c r="AZ29" s="119">
        <f>'2019'!BB201</f>
        <v>0</v>
      </c>
      <c r="BA29" s="106">
        <f>'2019'!BC201</f>
        <v>0</v>
      </c>
      <c r="BB29" s="106">
        <f>'2019'!BD201</f>
      </c>
      <c r="BC29" s="106"/>
      <c r="BD29" s="106"/>
      <c r="BE29" s="119">
        <f>'2019'!BE201</f>
        <v>0</v>
      </c>
      <c r="BF29" s="106">
        <f>'2019'!BF201</f>
        <v>0</v>
      </c>
      <c r="BG29" s="106">
        <f>'2019'!BG201</f>
        <v>0</v>
      </c>
      <c r="BH29" s="106">
        <f>'2019'!BH201</f>
        <v>0</v>
      </c>
      <c r="BI29" s="106">
        <f t="shared" si="1"/>
        <v>0</v>
      </c>
      <c r="BJ29" s="124">
        <f t="shared" si="2"/>
        <v>0</v>
      </c>
    </row>
    <row r="30" ht="15.75" customHeight="1" spans="1:62" x14ac:dyDescent="0.25">
      <c r="A30" s="14"/>
      <c r="B30" s="125" t="s">
        <v>139</v>
      </c>
      <c r="C30" s="115">
        <v>8.01</v>
      </c>
      <c r="D30" s="117" t="s">
        <v>140</v>
      </c>
      <c r="E30" s="119">
        <f>'2019'!I209</f>
        <v>13817</v>
      </c>
      <c r="F30" s="119">
        <f>'2019'!J209</f>
        <v>881</v>
      </c>
      <c r="G30" s="106">
        <f>'2019'!K209</f>
        <v>2193.69</v>
      </c>
      <c r="H30" s="106">
        <f>'2019'!L209</f>
      </c>
      <c r="I30" s="119">
        <f>'2019'!M209</f>
        <v>14559</v>
      </c>
      <c r="J30" s="119">
        <f>'2019'!N209</f>
        <v>742</v>
      </c>
      <c r="K30" s="106">
        <f>'2019'!O209</f>
        <v>1847.58</v>
      </c>
      <c r="L30" s="106">
        <f>'2019'!P209</f>
        <v>2193.69</v>
      </c>
      <c r="M30" s="119">
        <f>'2019'!Q209</f>
        <v>14951</v>
      </c>
      <c r="N30" s="119">
        <f>'2019'!R209</f>
        <v>392</v>
      </c>
      <c r="O30" s="106">
        <f>'2019'!S209</f>
        <v>976.08</v>
      </c>
      <c r="P30" s="106">
        <f>'2019'!T209</f>
        <v>1847.58</v>
      </c>
      <c r="Q30" s="119">
        <f>'2019'!U209</f>
        <v>15338</v>
      </c>
      <c r="R30" s="119">
        <f>'2019'!V209</f>
        <v>387</v>
      </c>
      <c r="S30" s="106">
        <f>'2019'!W209</f>
        <v>963.63</v>
      </c>
      <c r="T30" s="106">
        <f>'2019'!X209</f>
        <v>976.08</v>
      </c>
      <c r="U30" s="119">
        <f>'2019'!Y209</f>
        <v>15547</v>
      </c>
      <c r="V30" s="119">
        <f>'2019'!Z209</f>
        <v>209</v>
      </c>
      <c r="W30" s="106">
        <f>'2019'!AA209</f>
        <v>520.41</v>
      </c>
      <c r="X30" s="106">
        <f>'2019'!AB209</f>
        <v>963.63</v>
      </c>
      <c r="Y30" s="119">
        <f>'2019'!AC209</f>
        <v>15639</v>
      </c>
      <c r="Z30" s="119">
        <f>'2019'!AD209</f>
        <v>92</v>
      </c>
      <c r="AA30" s="106">
        <f>'2019'!AE209</f>
        <v>230</v>
      </c>
      <c r="AB30" s="106">
        <f>'2019'!AF209</f>
        <v>520.41</v>
      </c>
      <c r="AC30" s="119">
        <f>'2019'!AG209</f>
        <v>15715</v>
      </c>
      <c r="AD30" s="119">
        <f>'2019'!AH209</f>
        <v>76</v>
      </c>
      <c r="AE30" s="106">
        <f>'2019'!AI209</f>
        <v>190</v>
      </c>
      <c r="AF30" s="106">
        <f>'2019'!AJ209</f>
        <v>230</v>
      </c>
      <c r="AG30" s="119">
        <f>'2019'!AK209</f>
        <v>15784</v>
      </c>
      <c r="AH30" s="119">
        <f>'2019'!AL209</f>
        <v>69</v>
      </c>
      <c r="AI30" s="106">
        <f>'2019'!AM209</f>
        <v>172.5</v>
      </c>
      <c r="AJ30" s="106">
        <f>'2019'!AN209</f>
        <v>190</v>
      </c>
      <c r="AK30" s="119">
        <f>'2019'!AO209</f>
        <v>15919</v>
      </c>
      <c r="AL30" s="119">
        <f>'2019'!AP209</f>
        <v>135</v>
      </c>
      <c r="AM30" s="106">
        <f>'2019'!AQ209</f>
        <v>337.5</v>
      </c>
      <c r="AN30" s="106">
        <f>'2019'!AR209</f>
      </c>
      <c r="AO30" s="119">
        <f>'2019'!AS209</f>
        <v>16233</v>
      </c>
      <c r="AP30" s="119">
        <f>'2019'!AT209</f>
        <v>314</v>
      </c>
      <c r="AQ30" s="106">
        <f>'2019'!AU209</f>
        <v>785</v>
      </c>
      <c r="AR30" s="106">
        <f>'2019'!AV209</f>
      </c>
      <c r="AS30" s="126">
        <f>'2019'!AW209</f>
        <v>16807</v>
      </c>
      <c r="AT30" s="119">
        <f>'2019'!AX209</f>
        <v>574</v>
      </c>
      <c r="AU30" s="106">
        <f>'2019'!AY209</f>
        <v>1435</v>
      </c>
      <c r="AV30" s="106">
        <f>'2019'!AZ209</f>
        <v>1295</v>
      </c>
      <c r="AW30" s="119"/>
      <c r="AX30" s="106">
        <f t="shared" si="0"/>
        <v>0</v>
      </c>
      <c r="AY30" s="119">
        <f>'2019'!BA209</f>
        <v>17600</v>
      </c>
      <c r="AZ30" s="119">
        <f>'2019'!BB209</f>
        <v>793</v>
      </c>
      <c r="BA30" s="106">
        <f>'2019'!BC209</f>
        <v>1982.5</v>
      </c>
      <c r="BB30" s="106">
        <f>'2019'!BD209</f>
        <v>1435</v>
      </c>
      <c r="BC30" s="106"/>
      <c r="BD30" s="106"/>
      <c r="BE30" s="119">
        <f>'2019'!BE209</f>
        <v>4664</v>
      </c>
      <c r="BF30" s="106">
        <f>'2019'!BF209</f>
        <v>11633.89</v>
      </c>
      <c r="BG30" s="106">
        <f>'2019'!BG209</f>
        <v>9651.39</v>
      </c>
      <c r="BH30" s="106">
        <f>'2019'!BH209</f>
        <v>1982.5</v>
      </c>
      <c r="BI30" s="106">
        <f t="shared" si="1"/>
        <v>0</v>
      </c>
      <c r="BJ30" s="124">
        <f t="shared" si="2"/>
        <v>1982.5</v>
      </c>
    </row>
    <row r="31" ht="15.75" customHeight="1" spans="1:62" x14ac:dyDescent="0.25">
      <c r="A31" s="14"/>
      <c r="B31" s="115">
        <v>29</v>
      </c>
      <c r="C31" s="115">
        <v>4.02</v>
      </c>
      <c r="D31" s="117" t="s">
        <v>146</v>
      </c>
      <c r="E31" s="119">
        <f>'2019'!I217</f>
      </c>
      <c r="F31" s="119">
        <f>'2019'!J217</f>
      </c>
      <c r="G31" s="106">
        <f>'2019'!K217</f>
        <v>0</v>
      </c>
      <c r="H31" s="106">
        <f>'2019'!L217</f>
      </c>
      <c r="I31" s="119">
        <f>'2019'!M217</f>
      </c>
      <c r="J31" s="119">
        <f>'2019'!N217</f>
        <v>0</v>
      </c>
      <c r="K31" s="106">
        <f>'2019'!O217</f>
        <v>0</v>
      </c>
      <c r="L31" s="106">
        <f>'2019'!P217</f>
      </c>
      <c r="M31" s="119">
        <f>'2019'!Q217</f>
      </c>
      <c r="N31" s="119">
        <f>'2019'!R217</f>
        <v>0</v>
      </c>
      <c r="O31" s="165">
        <f>'2019'!S217</f>
        <v>0</v>
      </c>
      <c r="P31" s="165">
        <f>'2019'!T217</f>
      </c>
      <c r="Q31" s="119">
        <f>'2019'!U217</f>
      </c>
      <c r="R31" s="119">
        <f>'2019'!V217</f>
        <v>0</v>
      </c>
      <c r="S31" s="106">
        <f>'2019'!W217</f>
      </c>
      <c r="T31" s="106">
        <f>'2019'!X217</f>
      </c>
      <c r="U31" s="119">
        <f>'2019'!Y217</f>
      </c>
      <c r="V31" s="119">
        <f>'2019'!Z217</f>
        <v>0</v>
      </c>
      <c r="W31" s="106">
        <f>'2019'!AA217</f>
        <v>0</v>
      </c>
      <c r="X31" s="106">
        <f>'2019'!AB217</f>
      </c>
      <c r="Y31" s="119">
        <f>'2019'!AC217</f>
      </c>
      <c r="Z31" s="119">
        <f>'2019'!AD217</f>
        <v>0</v>
      </c>
      <c r="AA31" s="106">
        <f>'2019'!AE217</f>
        <v>0</v>
      </c>
      <c r="AB31" s="106">
        <f>'2019'!AF217</f>
      </c>
      <c r="AC31" s="119">
        <f>'2019'!AG217</f>
      </c>
      <c r="AD31" s="119">
        <f>'2019'!AH217</f>
        <v>0</v>
      </c>
      <c r="AE31" s="106">
        <f>'2019'!AI217</f>
        <v>0</v>
      </c>
      <c r="AF31" s="106">
        <f>'2019'!AJ217</f>
      </c>
      <c r="AG31" s="119">
        <f>'2019'!AK217</f>
      </c>
      <c r="AH31" s="119">
        <f>'2019'!AL217</f>
        <v>0</v>
      </c>
      <c r="AI31" s="106">
        <f>'2019'!AM217</f>
        <v>0</v>
      </c>
      <c r="AJ31" s="106">
        <f>'2019'!AN217</f>
      </c>
      <c r="AK31" s="119">
        <f>'2019'!AO217</f>
      </c>
      <c r="AL31" s="119">
        <f>'2019'!AP217</f>
        <v>0</v>
      </c>
      <c r="AM31" s="106">
        <f>'2019'!AQ217</f>
        <v>0</v>
      </c>
      <c r="AN31" s="106">
        <f>'2019'!AR217</f>
      </c>
      <c r="AO31" s="119">
        <f>'2019'!AS217</f>
      </c>
      <c r="AP31" s="119">
        <f>'2019'!AT217</f>
        <v>0</v>
      </c>
      <c r="AQ31" s="106">
        <f>'2019'!AU217</f>
        <v>0</v>
      </c>
      <c r="AR31" s="106">
        <f>'2019'!AV217</f>
      </c>
      <c r="AS31" s="119">
        <f>'2019'!AW217</f>
      </c>
      <c r="AT31" s="119">
        <f>'2019'!AX217</f>
        <v>0</v>
      </c>
      <c r="AU31" s="106">
        <f>'2019'!AY217</f>
        <v>0</v>
      </c>
      <c r="AV31" s="106">
        <f>'2019'!AZ217</f>
      </c>
      <c r="AW31" s="106"/>
      <c r="AX31" s="106">
        <f t="shared" si="0"/>
        <v>0</v>
      </c>
      <c r="AY31" s="119">
        <f>'2019'!BA217</f>
      </c>
      <c r="AZ31" s="119">
        <f>'2019'!BB217</f>
        <v>0</v>
      </c>
      <c r="BA31" s="106">
        <f>'2019'!BC217</f>
        <v>0</v>
      </c>
      <c r="BB31" s="106">
        <f>'2019'!BD217</f>
      </c>
      <c r="BC31" s="106"/>
      <c r="BD31" s="106"/>
      <c r="BE31" s="119">
        <f>'2019'!BE217</f>
        <v>0</v>
      </c>
      <c r="BF31" s="106">
        <f>'2019'!BF217</f>
        <v>0</v>
      </c>
      <c r="BG31" s="106">
        <f>'2019'!BG217</f>
        <v>0</v>
      </c>
      <c r="BH31" s="106">
        <f>'2019'!BH217</f>
        <v>0</v>
      </c>
      <c r="BI31" s="106">
        <f t="shared" si="1"/>
        <v>0</v>
      </c>
      <c r="BJ31" s="124">
        <f t="shared" si="2"/>
        <v>0</v>
      </c>
    </row>
    <row r="32" ht="15.75" customHeight="1" spans="1:62" x14ac:dyDescent="0.25">
      <c r="A32" s="14"/>
      <c r="B32" s="115">
        <v>31</v>
      </c>
      <c r="C32" s="116">
        <v>4</v>
      </c>
      <c r="D32" s="117" t="s">
        <v>149</v>
      </c>
      <c r="E32" s="119">
        <f>'2019'!I225</f>
      </c>
      <c r="F32" s="119">
        <f>'2019'!J225</f>
      </c>
      <c r="G32" s="106">
        <f>'2019'!K225</f>
        <v>0</v>
      </c>
      <c r="H32" s="106">
        <f>'2019'!L225</f>
      </c>
      <c r="I32" s="119">
        <f>'2019'!M225</f>
      </c>
      <c r="J32" s="119">
        <f>'2019'!N225</f>
        <v>0</v>
      </c>
      <c r="K32" s="106">
        <f>'2019'!O225</f>
        <v>0</v>
      </c>
      <c r="L32" s="106">
        <f>'2019'!P225</f>
      </c>
      <c r="M32" s="119">
        <f>'2019'!Q225</f>
      </c>
      <c r="N32" s="119">
        <f>'2019'!R225</f>
        <v>0</v>
      </c>
      <c r="O32" s="165">
        <f>'2019'!S225</f>
        <v>0</v>
      </c>
      <c r="P32" s="165">
        <f>'2019'!T225</f>
      </c>
      <c r="Q32" s="119">
        <f>'2019'!U225</f>
      </c>
      <c r="R32" s="119">
        <f>'2019'!V225</f>
        <v>0</v>
      </c>
      <c r="S32" s="106">
        <f>'2019'!W225</f>
      </c>
      <c r="T32" s="106">
        <f>'2019'!X225</f>
      </c>
      <c r="U32" s="119">
        <f>'2019'!Y225</f>
      </c>
      <c r="V32" s="119">
        <f>'2019'!Z225</f>
        <v>0</v>
      </c>
      <c r="W32" s="106">
        <f>'2019'!AA225</f>
        <v>0</v>
      </c>
      <c r="X32" s="106">
        <f>'2019'!AB225</f>
      </c>
      <c r="Y32" s="119">
        <f>'2019'!AC225</f>
      </c>
      <c r="Z32" s="119">
        <f>'2019'!AD225</f>
        <v>0</v>
      </c>
      <c r="AA32" s="106">
        <f>'2019'!AE225</f>
        <v>0</v>
      </c>
      <c r="AB32" s="106">
        <f>'2019'!AF225</f>
      </c>
      <c r="AC32" s="119">
        <f>'2019'!AG225</f>
      </c>
      <c r="AD32" s="119">
        <f>'2019'!AH225</f>
        <v>0</v>
      </c>
      <c r="AE32" s="106">
        <f>'2019'!AI225</f>
        <v>0</v>
      </c>
      <c r="AF32" s="106">
        <f>'2019'!AJ225</f>
      </c>
      <c r="AG32" s="119">
        <f>'2019'!AK225</f>
      </c>
      <c r="AH32" s="119">
        <f>'2019'!AL225</f>
        <v>0</v>
      </c>
      <c r="AI32" s="106">
        <f>'2019'!AM225</f>
        <v>0</v>
      </c>
      <c r="AJ32" s="106">
        <f>'2019'!AN225</f>
      </c>
      <c r="AK32" s="119">
        <f>'2019'!AO225</f>
      </c>
      <c r="AL32" s="119">
        <f>'2019'!AP225</f>
        <v>0</v>
      </c>
      <c r="AM32" s="106">
        <f>'2019'!AQ225</f>
        <v>0</v>
      </c>
      <c r="AN32" s="106">
        <f>'2019'!AR225</f>
      </c>
      <c r="AO32" s="119">
        <f>'2019'!AS225</f>
        <v>5</v>
      </c>
      <c r="AP32" s="119">
        <f>'2019'!AT225</f>
        <v>5</v>
      </c>
      <c r="AQ32" s="106">
        <f>'2019'!AU225</f>
        <v>12.5</v>
      </c>
      <c r="AR32" s="106">
        <f>'2019'!AV225</f>
      </c>
      <c r="AS32" s="119">
        <f>'2019'!AW225</f>
        <v>5</v>
      </c>
      <c r="AT32" s="119">
        <f>'2019'!AX225</f>
        <v>0</v>
      </c>
      <c r="AU32" s="106">
        <f>'2019'!AY225</f>
        <v>0</v>
      </c>
      <c r="AV32" s="106">
        <f>'2019'!AZ225</f>
      </c>
      <c r="AW32" s="106"/>
      <c r="AX32" s="106">
        <f t="shared" si="0"/>
        <v>0</v>
      </c>
      <c r="AY32" s="119">
        <f>'2019'!BA225</f>
        <v>5</v>
      </c>
      <c r="AZ32" s="119">
        <f>'2019'!BB225</f>
        <v>0</v>
      </c>
      <c r="BA32" s="106">
        <f>'2019'!BC225</f>
        <v>0</v>
      </c>
      <c r="BB32" s="106">
        <f>'2019'!BD225</f>
      </c>
      <c r="BC32" s="106"/>
      <c r="BD32" s="106"/>
      <c r="BE32" s="119">
        <f>'2019'!BE225</f>
        <v>5</v>
      </c>
      <c r="BF32" s="106">
        <f>'2019'!BF225</f>
        <v>12.5</v>
      </c>
      <c r="BG32" s="106">
        <f>'2019'!BG225</f>
        <v>0</v>
      </c>
      <c r="BH32" s="106">
        <f>'2019'!BH225</f>
        <v>12.5</v>
      </c>
      <c r="BI32" s="106">
        <f t="shared" si="1"/>
        <v>0</v>
      </c>
      <c r="BJ32" s="124">
        <f t="shared" si="2"/>
        <v>12.5</v>
      </c>
    </row>
    <row r="33" ht="15.75" customHeight="1" spans="1:62" x14ac:dyDescent="0.25">
      <c r="A33" s="14"/>
      <c r="B33" s="115">
        <v>32</v>
      </c>
      <c r="C33" s="115">
        <v>3.96</v>
      </c>
      <c r="D33" s="117" t="s">
        <v>152</v>
      </c>
      <c r="E33" s="119">
        <f>'2019'!I233</f>
        <v>381</v>
      </c>
      <c r="F33" s="119">
        <f>'2019'!J233</f>
        <v>0</v>
      </c>
      <c r="G33" s="106">
        <f>'2019'!K233</f>
        <v>0</v>
      </c>
      <c r="H33" s="106">
        <f>'2019'!L233</f>
      </c>
      <c r="I33" s="119">
        <f>'2019'!M233</f>
        <v>381</v>
      </c>
      <c r="J33" s="119">
        <f>'2019'!N233</f>
        <v>0</v>
      </c>
      <c r="K33" s="106">
        <f>'2019'!O233</f>
        <v>0</v>
      </c>
      <c r="L33" s="106">
        <f>'2019'!P233</f>
      </c>
      <c r="M33" s="119">
        <f>'2019'!Q233</f>
        <v>381</v>
      </c>
      <c r="N33" s="119">
        <f>'2019'!R233</f>
        <v>0</v>
      </c>
      <c r="O33" s="165">
        <f>'2019'!S233</f>
        <v>0</v>
      </c>
      <c r="P33" s="165">
        <f>'2019'!T233</f>
      </c>
      <c r="Q33" s="119">
        <f>'2019'!U233</f>
        <v>384</v>
      </c>
      <c r="R33" s="119">
        <f>'2019'!V233</f>
        <v>3</v>
      </c>
      <c r="S33" s="106">
        <f>'2019'!W233</f>
        <v>7.47</v>
      </c>
      <c r="T33" s="106">
        <f>'2019'!X233</f>
      </c>
      <c r="U33" s="119">
        <f>'2019'!Y233</f>
        <v>417</v>
      </c>
      <c r="V33" s="119">
        <f>'2019'!Z233</f>
        <v>33</v>
      </c>
      <c r="W33" s="106">
        <f>'2019'!AA233</f>
        <v>82.17</v>
      </c>
      <c r="X33" s="106">
        <f>'2019'!AB233</f>
      </c>
      <c r="Y33" s="119">
        <f>'2019'!AC233</f>
        <v>471</v>
      </c>
      <c r="Z33" s="119">
        <f>'2019'!AD233</f>
        <v>54</v>
      </c>
      <c r="AA33" s="106">
        <f>'2019'!AE233</f>
        <v>135</v>
      </c>
      <c r="AB33" s="106">
        <f>'2019'!AF233</f>
      </c>
      <c r="AC33" s="119">
        <f>'2019'!AG233</f>
        <v>534</v>
      </c>
      <c r="AD33" s="119">
        <f>'2019'!AH233</f>
        <v>63</v>
      </c>
      <c r="AE33" s="106">
        <f>'2019'!AI233</f>
        <v>157.5</v>
      </c>
      <c r="AF33" s="106">
        <f>'2019'!AJ233</f>
        <v>165.86</v>
      </c>
      <c r="AG33" s="119">
        <f>'2019'!AK233</f>
        <v>593</v>
      </c>
      <c r="AH33" s="119">
        <f>'2019'!AL233</f>
        <v>59</v>
      </c>
      <c r="AI33" s="106">
        <f>'2019'!AM233</f>
        <v>147.5</v>
      </c>
      <c r="AJ33" s="106">
        <f>'2019'!AN233</f>
      </c>
      <c r="AK33" s="119">
        <f>'2019'!AO233</f>
        <v>656</v>
      </c>
      <c r="AL33" s="119">
        <f>'2019'!AP233</f>
        <v>63</v>
      </c>
      <c r="AM33" s="106">
        <f>'2019'!AQ233</f>
        <v>157.5</v>
      </c>
      <c r="AN33" s="106">
        <f>'2019'!AR233</f>
        <v>157.5</v>
      </c>
      <c r="AO33" s="119">
        <f>'2019'!AS233</f>
        <v>668</v>
      </c>
      <c r="AP33" s="119">
        <f>'2019'!AT233</f>
        <v>12</v>
      </c>
      <c r="AQ33" s="106">
        <f>'2019'!AU233</f>
        <v>30</v>
      </c>
      <c r="AR33" s="106">
        <f>'2019'!AV233</f>
        <v>320</v>
      </c>
      <c r="AS33" s="119">
        <f>'2019'!AW233</f>
        <v>677</v>
      </c>
      <c r="AT33" s="119">
        <f>'2019'!AX233</f>
        <v>9</v>
      </c>
      <c r="AU33" s="106">
        <f>'2019'!AY233</f>
        <v>22.5</v>
      </c>
      <c r="AV33" s="106">
        <f>'2019'!AZ233</f>
      </c>
      <c r="AW33" s="106"/>
      <c r="AX33" s="106">
        <f t="shared" si="0"/>
        <v>0</v>
      </c>
      <c r="AY33" s="119">
        <f>'2019'!BA233</f>
        <v>677</v>
      </c>
      <c r="AZ33" s="119">
        <f>'2019'!BB233</f>
        <v>0</v>
      </c>
      <c r="BA33" s="106">
        <f>'2019'!BC233</f>
        <v>0</v>
      </c>
      <c r="BB33" s="106">
        <f>'2019'!BD233</f>
      </c>
      <c r="BC33" s="106"/>
      <c r="BD33" s="106"/>
      <c r="BE33" s="119">
        <f>'2019'!BE233</f>
        <v>296</v>
      </c>
      <c r="BF33" s="106">
        <f>'2019'!BF233</f>
        <v>739.64</v>
      </c>
      <c r="BG33" s="106">
        <f>'2019'!BG233</f>
        <v>643.36</v>
      </c>
      <c r="BH33" s="106">
        <f>'2019'!BH233</f>
        <v>37.5</v>
      </c>
      <c r="BI33" s="106">
        <f t="shared" si="1"/>
        <v>0</v>
      </c>
      <c r="BJ33" s="124">
        <f t="shared" si="2"/>
        <v>37.5</v>
      </c>
    </row>
    <row r="34" ht="15.75" customHeight="1" spans="1:62" x14ac:dyDescent="0.25">
      <c r="A34" s="14"/>
      <c r="B34" s="115">
        <v>33</v>
      </c>
      <c r="C34" s="115">
        <v>4.01</v>
      </c>
      <c r="D34" s="117" t="s">
        <v>154</v>
      </c>
      <c r="E34" s="119">
        <f>'2019'!I241</f>
        <v>1</v>
      </c>
      <c r="F34" s="119">
        <f>'2019'!J241</f>
        <v>0</v>
      </c>
      <c r="G34" s="106">
        <f>'2019'!K241</f>
        <v>0</v>
      </c>
      <c r="H34" s="106">
        <f>'2019'!L241</f>
      </c>
      <c r="I34" s="119">
        <f>'2019'!M241</f>
        <v>1</v>
      </c>
      <c r="J34" s="119">
        <f>'2019'!N241</f>
        <v>0</v>
      </c>
      <c r="K34" s="106">
        <f>'2019'!O241</f>
        <v>0</v>
      </c>
      <c r="L34" s="106">
        <f>'2019'!P241</f>
      </c>
      <c r="M34" s="119">
        <f>'2019'!Q241</f>
        <v>1</v>
      </c>
      <c r="N34" s="119">
        <f>'2019'!R241</f>
        <v>0</v>
      </c>
      <c r="O34" s="165">
        <f>'2019'!S241</f>
        <v>0</v>
      </c>
      <c r="P34" s="165">
        <f>'2019'!T241</f>
      </c>
      <c r="Q34" s="119">
        <f>'2019'!U241</f>
        <v>1</v>
      </c>
      <c r="R34" s="119">
        <f>'2019'!V241</f>
        <v>0</v>
      </c>
      <c r="S34" s="106">
        <f>'2019'!W241</f>
        <v>0</v>
      </c>
      <c r="T34" s="106">
        <f>'2019'!X241</f>
      </c>
      <c r="U34" s="119">
        <f>'2019'!Y241</f>
        <v>1</v>
      </c>
      <c r="V34" s="119">
        <f>'2019'!Z241</f>
        <v>0</v>
      </c>
      <c r="W34" s="106">
        <f>'2019'!AA241</f>
        <v>0</v>
      </c>
      <c r="X34" s="106">
        <f>'2019'!AB241</f>
      </c>
      <c r="Y34" s="119">
        <f>'2019'!AC241</f>
        <v>1</v>
      </c>
      <c r="Z34" s="119">
        <f>'2019'!AD241</f>
        <v>0</v>
      </c>
      <c r="AA34" s="106">
        <f>'2019'!AE241</f>
        <v>0</v>
      </c>
      <c r="AB34" s="106">
        <f>'2019'!AF241</f>
      </c>
      <c r="AC34" s="119">
        <f>'2019'!AG241</f>
        <v>1</v>
      </c>
      <c r="AD34" s="119">
        <f>'2019'!AH241</f>
        <v>0</v>
      </c>
      <c r="AE34" s="106">
        <f>'2019'!AI241</f>
        <v>0</v>
      </c>
      <c r="AF34" s="106">
        <f>'2019'!AJ241</f>
      </c>
      <c r="AG34" s="119">
        <f>'2019'!AK241</f>
        <v>1</v>
      </c>
      <c r="AH34" s="119">
        <f>'2019'!AL241</f>
        <v>0</v>
      </c>
      <c r="AI34" s="106">
        <f>'2019'!AM241</f>
        <v>0</v>
      </c>
      <c r="AJ34" s="106">
        <f>'2019'!AN241</f>
      </c>
      <c r="AK34" s="119">
        <f>'2019'!AO241</f>
        <v>33</v>
      </c>
      <c r="AL34" s="119">
        <f>'2019'!AP241</f>
        <v>32</v>
      </c>
      <c r="AM34" s="106">
        <f>'2019'!AQ241</f>
        <v>80</v>
      </c>
      <c r="AN34" s="106">
        <f>'2019'!AR241</f>
      </c>
      <c r="AO34" s="119">
        <f>'2019'!AS241</f>
        <v>33</v>
      </c>
      <c r="AP34" s="119">
        <f>'2019'!AT241</f>
        <v>0</v>
      </c>
      <c r="AQ34" s="106">
        <f>'2019'!AU241</f>
        <v>0</v>
      </c>
      <c r="AR34" s="106">
        <f>'2019'!AV241</f>
      </c>
      <c r="AS34" s="119">
        <f>'2019'!AW241</f>
        <v>33</v>
      </c>
      <c r="AT34" s="119">
        <f>'2019'!AX241</f>
        <v>0</v>
      </c>
      <c r="AU34" s="106">
        <f>'2019'!AY241</f>
        <v>0</v>
      </c>
      <c r="AV34" s="106">
        <f>'2019'!AZ241</f>
      </c>
      <c r="AW34" s="106"/>
      <c r="AX34" s="106">
        <f t="shared" si="0"/>
        <v>0</v>
      </c>
      <c r="AY34" s="119">
        <f>'2019'!BA241</f>
        <v>33</v>
      </c>
      <c r="AZ34" s="119">
        <f>'2019'!BB241</f>
        <v>0</v>
      </c>
      <c r="BA34" s="106">
        <f>'2019'!BC241</f>
        <v>0</v>
      </c>
      <c r="BB34" s="106">
        <f>'2019'!BD241</f>
      </c>
      <c r="BC34" s="106"/>
      <c r="BD34" s="106"/>
      <c r="BE34" s="119">
        <f>'2019'!BE241</f>
        <v>32</v>
      </c>
      <c r="BF34" s="106">
        <f>'2019'!BF241</f>
        <v>80</v>
      </c>
      <c r="BG34" s="106">
        <f>'2019'!BG241</f>
        <v>0</v>
      </c>
      <c r="BH34" s="106">
        <f>'2019'!BH241</f>
        <v>82.49</v>
      </c>
      <c r="BI34" s="106">
        <f t="shared" si="1"/>
        <v>0</v>
      </c>
      <c r="BJ34" s="124">
        <f t="shared" si="2"/>
        <v>82.49</v>
      </c>
    </row>
    <row r="35" ht="15.75" customHeight="1" spans="1:62" x14ac:dyDescent="0.25">
      <c r="A35" s="14"/>
      <c r="B35" s="125">
        <v>34</v>
      </c>
      <c r="C35" s="115">
        <v>4.01</v>
      </c>
      <c r="D35" s="117" t="s">
        <v>155</v>
      </c>
      <c r="E35" s="119">
        <f>'2019'!I249</f>
        <v>743</v>
      </c>
      <c r="F35" s="119">
        <f>'2019'!J249</f>
        <v>0</v>
      </c>
      <c r="G35" s="106">
        <f>'2019'!K249</f>
        <v>0</v>
      </c>
      <c r="H35" s="106">
        <f>'2019'!L249</f>
      </c>
      <c r="I35" s="119">
        <f>'2019'!M249</f>
        <v>743</v>
      </c>
      <c r="J35" s="119">
        <f>'2019'!N249</f>
        <v>0</v>
      </c>
      <c r="K35" s="106">
        <f>'2019'!O249</f>
        <v>0</v>
      </c>
      <c r="L35" s="106">
        <f>'2019'!P249</f>
      </c>
      <c r="M35" s="119">
        <f>'2019'!Q249</f>
        <v>743</v>
      </c>
      <c r="N35" s="119">
        <f>'2019'!R249</f>
        <v>0</v>
      </c>
      <c r="O35" s="165">
        <f>'2019'!S249</f>
        <v>0</v>
      </c>
      <c r="P35" s="165">
        <f>'2019'!T249</f>
      </c>
      <c r="Q35" s="119">
        <f>'2019'!U249</f>
        <v>743</v>
      </c>
      <c r="R35" s="119">
        <f>'2019'!V249</f>
        <v>0</v>
      </c>
      <c r="S35" s="106">
        <f>'2019'!W249</f>
        <v>0</v>
      </c>
      <c r="T35" s="106">
        <f>'2019'!X249</f>
        <v>164.79</v>
      </c>
      <c r="U35" s="119">
        <f>'2019'!Y249</f>
        <v>743</v>
      </c>
      <c r="V35" s="119">
        <f>'2019'!Z249</f>
        <v>0</v>
      </c>
      <c r="W35" s="106">
        <f>'2019'!AA249</f>
        <v>0</v>
      </c>
      <c r="X35" s="106">
        <f>'2019'!AB249</f>
      </c>
      <c r="Y35" s="119">
        <f>'2019'!AC249</f>
        <v>743</v>
      </c>
      <c r="Z35" s="119">
        <f>'2019'!AD249</f>
        <v>0</v>
      </c>
      <c r="AA35" s="106">
        <f>'2019'!AE249</f>
        <v>0</v>
      </c>
      <c r="AB35" s="106">
        <f>'2019'!AF249</f>
      </c>
      <c r="AC35" s="119">
        <f>'2019'!AG249</f>
        <v>1282</v>
      </c>
      <c r="AD35" s="119">
        <f>'2019'!AH249</f>
        <v>539</v>
      </c>
      <c r="AE35" s="106">
        <f>'2019'!AI249</f>
        <v>1347.5</v>
      </c>
      <c r="AF35" s="106">
        <f>'2019'!AJ249</f>
      </c>
      <c r="AG35" s="119">
        <f>'2019'!AK249</f>
        <v>1348</v>
      </c>
      <c r="AH35" s="119">
        <f>'2019'!AL249</f>
        <v>66</v>
      </c>
      <c r="AI35" s="106">
        <f>'2019'!AM249</f>
        <v>165</v>
      </c>
      <c r="AJ35" s="106">
        <f>'2019'!AN249</f>
      </c>
      <c r="AK35" s="119">
        <f>'2019'!AO249</f>
        <v>2016.5</v>
      </c>
      <c r="AL35" s="119">
        <f>'2019'!AP249</f>
        <v>668.5</v>
      </c>
      <c r="AM35" s="106">
        <f>'2019'!AQ249</f>
        <v>1671.25</v>
      </c>
      <c r="AN35" s="106">
        <f>'2019'!AR249</f>
        <v>1674</v>
      </c>
      <c r="AO35" s="119">
        <f>'2019'!AS249</f>
        <v>2221</v>
      </c>
      <c r="AP35" s="119">
        <f>'2019'!AT249</f>
        <v>204.5</v>
      </c>
      <c r="AQ35" s="106">
        <f>'2019'!AU249</f>
        <v>511.25</v>
      </c>
      <c r="AR35" s="106">
        <f>'2019'!AV249</f>
      </c>
      <c r="AS35" s="119">
        <f>'2019'!AW249</f>
        <v>2282</v>
      </c>
      <c r="AT35" s="119">
        <f>'2019'!AX249</f>
        <v>61</v>
      </c>
      <c r="AU35" s="106">
        <f>'2019'!AY249</f>
        <v>152.5</v>
      </c>
      <c r="AV35" s="106">
        <f>'2019'!AZ249</f>
        <v>2600</v>
      </c>
      <c r="AW35" s="106"/>
      <c r="AX35" s="106">
        <f t="shared" si="0"/>
        <v>0</v>
      </c>
      <c r="AY35" s="119">
        <f>'2019'!BA249</f>
        <v>2306</v>
      </c>
      <c r="AZ35" s="119">
        <f>'2019'!BB249</f>
        <v>24</v>
      </c>
      <c r="BA35" s="106">
        <f>'2019'!BC249</f>
        <v>60</v>
      </c>
      <c r="BB35" s="106">
        <f>'2019'!BD249</f>
      </c>
      <c r="BC35" s="106"/>
      <c r="BD35" s="106"/>
      <c r="BE35" s="119">
        <f>'2019'!BE249</f>
        <v>1563</v>
      </c>
      <c r="BF35" s="106">
        <f>'2019'!BF249</f>
        <v>3907.5</v>
      </c>
      <c r="BG35" s="106">
        <f>'2019'!BG249</f>
        <v>4438.79</v>
      </c>
      <c r="BH35" s="106">
        <f>'2019'!BH249</f>
        <v>-205.1</v>
      </c>
      <c r="BI35" s="106">
        <f t="shared" si="1"/>
        <v>0</v>
      </c>
      <c r="BJ35" s="124">
        <f t="shared" si="2"/>
        <v>-205.1</v>
      </c>
    </row>
    <row r="36" ht="15.75" customHeight="1" spans="1:62" x14ac:dyDescent="0.25">
      <c r="A36" s="14"/>
      <c r="B36" s="115">
        <v>35</v>
      </c>
      <c r="C36" s="115">
        <v>4.01</v>
      </c>
      <c r="D36" s="117" t="s">
        <v>157</v>
      </c>
      <c r="E36" s="119">
        <f>'2019'!I257</f>
        <v>33</v>
      </c>
      <c r="F36" s="119">
        <f>'2019'!J257</f>
        <v>0</v>
      </c>
      <c r="G36" s="106">
        <f>'2019'!K257</f>
        <v>0</v>
      </c>
      <c r="H36" s="106">
        <f>'2019'!L257</f>
      </c>
      <c r="I36" s="119">
        <f>'2019'!M257</f>
        <v>33</v>
      </c>
      <c r="J36" s="119">
        <f>'2019'!N257</f>
        <v>0</v>
      </c>
      <c r="K36" s="106">
        <f>'2019'!O257</f>
        <v>0</v>
      </c>
      <c r="L36" s="106">
        <f>'2019'!P257</f>
      </c>
      <c r="M36" s="119">
        <f>'2019'!Q257</f>
        <v>33</v>
      </c>
      <c r="N36" s="119">
        <f>'2019'!R257</f>
        <v>0</v>
      </c>
      <c r="O36" s="165">
        <f>'2019'!S257</f>
        <v>0</v>
      </c>
      <c r="P36" s="165">
        <f>'2019'!T257</f>
      </c>
      <c r="Q36" s="119">
        <f>'2019'!U257</f>
        <v>33</v>
      </c>
      <c r="R36" s="119">
        <f>'2019'!V257</f>
        <v>0</v>
      </c>
      <c r="S36" s="106">
        <f>'2019'!W257</f>
        <v>0</v>
      </c>
      <c r="T36" s="106">
        <f>'2019'!X257</f>
      </c>
      <c r="U36" s="119">
        <f>'2019'!Y257</f>
        <v>33</v>
      </c>
      <c r="V36" s="119">
        <f>'2019'!Z257</f>
        <v>0</v>
      </c>
      <c r="W36" s="106">
        <f>'2019'!AA257</f>
        <v>0</v>
      </c>
      <c r="X36" s="106">
        <f>'2019'!AB257</f>
      </c>
      <c r="Y36" s="119">
        <f>'2019'!AC257</f>
        <v>33</v>
      </c>
      <c r="Z36" s="119">
        <f>'2019'!AD257</f>
        <v>0</v>
      </c>
      <c r="AA36" s="106">
        <f>'2019'!AE257</f>
        <v>0</v>
      </c>
      <c r="AB36" s="106">
        <f>'2019'!AF257</f>
      </c>
      <c r="AC36" s="119">
        <f>'2019'!AG257</f>
        <v>33</v>
      </c>
      <c r="AD36" s="119">
        <f>'2019'!AH257</f>
        <v>0</v>
      </c>
      <c r="AE36" s="106">
        <f>'2019'!AI257</f>
        <v>0</v>
      </c>
      <c r="AF36" s="106">
        <f>'2019'!AJ257</f>
      </c>
      <c r="AG36" s="119">
        <f>'2019'!AK257</f>
        <v>33</v>
      </c>
      <c r="AH36" s="119">
        <f>'2019'!AL257</f>
        <v>0</v>
      </c>
      <c r="AI36" s="106">
        <f>'2019'!AM257</f>
        <v>0</v>
      </c>
      <c r="AJ36" s="106">
        <f>'2019'!AN257</f>
      </c>
      <c r="AK36" s="119">
        <f>'2019'!AO257</f>
        <v>33</v>
      </c>
      <c r="AL36" s="119">
        <f>'2019'!AP257</f>
        <v>0</v>
      </c>
      <c r="AM36" s="106">
        <f>'2019'!AQ257</f>
        <v>0</v>
      </c>
      <c r="AN36" s="106">
        <f>'2019'!AR257</f>
      </c>
      <c r="AO36" s="119">
        <f>'2019'!AS257</f>
        <v>33</v>
      </c>
      <c r="AP36" s="119">
        <f>'2019'!AT257</f>
        <v>0</v>
      </c>
      <c r="AQ36" s="106">
        <f>'2019'!AU257</f>
        <v>0</v>
      </c>
      <c r="AR36" s="106">
        <f>'2019'!AV257</f>
      </c>
      <c r="AS36" s="119">
        <f>'2019'!AW257</f>
        <v>33</v>
      </c>
      <c r="AT36" s="119">
        <f>'2019'!AX257</f>
        <v>0</v>
      </c>
      <c r="AU36" s="106">
        <f>'2019'!AY257</f>
        <v>0</v>
      </c>
      <c r="AV36" s="106">
        <f>'2019'!AZ257</f>
      </c>
      <c r="AW36" s="106"/>
      <c r="AX36" s="106">
        <f t="shared" si="0"/>
        <v>0</v>
      </c>
      <c r="AY36" s="119">
        <f>'2019'!BA257</f>
        <v>33</v>
      </c>
      <c r="AZ36" s="119">
        <f>'2019'!BB257</f>
        <v>0</v>
      </c>
      <c r="BA36" s="106">
        <f>'2019'!BC257</f>
        <v>0</v>
      </c>
      <c r="BB36" s="106">
        <f>'2019'!BD257</f>
      </c>
      <c r="BC36" s="106"/>
      <c r="BD36" s="106"/>
      <c r="BE36" s="119">
        <f>'2019'!BE257</f>
        <v>0</v>
      </c>
      <c r="BF36" s="106">
        <f>'2019'!BF257</f>
        <v>0</v>
      </c>
      <c r="BG36" s="106">
        <f>'2019'!BG257</f>
        <v>0</v>
      </c>
      <c r="BH36" s="106">
        <f>'2019'!BH257</f>
        <v>0</v>
      </c>
      <c r="BI36" s="106">
        <f t="shared" si="1"/>
        <v>0</v>
      </c>
      <c r="BJ36" s="124">
        <f t="shared" si="2"/>
        <v>0</v>
      </c>
    </row>
    <row r="37" ht="15.75" customHeight="1" spans="1:62" x14ac:dyDescent="0.25">
      <c r="A37" s="14"/>
      <c r="B37" s="115">
        <v>36</v>
      </c>
      <c r="C37" s="115">
        <v>4.03</v>
      </c>
      <c r="D37" s="117" t="s">
        <v>160</v>
      </c>
      <c r="E37" s="119">
        <f>'2019'!I265</f>
        <v>251</v>
      </c>
      <c r="F37" s="119">
        <f>'2019'!J265</f>
        <v>0</v>
      </c>
      <c r="G37" s="106">
        <f>'2019'!K265</f>
        <v>0</v>
      </c>
      <c r="H37" s="106">
        <f>'2019'!L265</f>
      </c>
      <c r="I37" s="119">
        <f>'2019'!M265</f>
        <v>251</v>
      </c>
      <c r="J37" s="119">
        <f>'2019'!N265</f>
        <v>0</v>
      </c>
      <c r="K37" s="106">
        <f>'2019'!O265</f>
        <v>0</v>
      </c>
      <c r="L37" s="106">
        <f>'2019'!P265</f>
      </c>
      <c r="M37" s="119">
        <f>'2019'!Q265</f>
        <v>251</v>
      </c>
      <c r="N37" s="119">
        <f>'2019'!R265</f>
        <v>0</v>
      </c>
      <c r="O37" s="165">
        <f>'2019'!S265</f>
        <v>0</v>
      </c>
      <c r="P37" s="165">
        <f>'2019'!T265</f>
      </c>
      <c r="Q37" s="119">
        <f>'2019'!U265</f>
        <v>254</v>
      </c>
      <c r="R37" s="119">
        <f>'2019'!V265</f>
        <v>3</v>
      </c>
      <c r="S37" s="106">
        <f>'2019'!W265</f>
        <v>7.47</v>
      </c>
      <c r="T37" s="106">
        <f>'2019'!X265</f>
      </c>
      <c r="U37" s="119">
        <f>'2019'!Y265</f>
        <v>254</v>
      </c>
      <c r="V37" s="119">
        <f>'2019'!Z265</f>
        <v>0</v>
      </c>
      <c r="W37" s="106">
        <f>'2019'!AA265</f>
        <v>0</v>
      </c>
      <c r="X37" s="106">
        <f>'2019'!AB265</f>
      </c>
      <c r="Y37" s="119">
        <f>'2019'!AC265</f>
        <v>263</v>
      </c>
      <c r="Z37" s="119">
        <f>'2019'!AD265</f>
        <v>9</v>
      </c>
      <c r="AA37" s="106">
        <f>'2019'!AE265</f>
        <v>22.5</v>
      </c>
      <c r="AB37" s="106">
        <f>'2019'!AF265</f>
      </c>
      <c r="AC37" s="119">
        <f>'2019'!AG265</f>
        <v>272</v>
      </c>
      <c r="AD37" s="119">
        <f>'2019'!AH265</f>
        <v>9</v>
      </c>
      <c r="AE37" s="106">
        <f>'2019'!AI265</f>
        <v>22.5</v>
      </c>
      <c r="AF37" s="106">
        <f>'2019'!AJ265</f>
        <v>102.9</v>
      </c>
      <c r="AG37" s="119">
        <f>'2019'!AK265</f>
        <v>281</v>
      </c>
      <c r="AH37" s="119">
        <f>'2019'!AL265</f>
        <v>9</v>
      </c>
      <c r="AI37" s="106">
        <f>'2019'!AM265</f>
        <v>22.5</v>
      </c>
      <c r="AJ37" s="106">
        <f>'2019'!AN265</f>
      </c>
      <c r="AK37" s="119">
        <f>'2019'!AO265</f>
        <v>289</v>
      </c>
      <c r="AL37" s="119">
        <f>'2019'!AP265</f>
        <v>8</v>
      </c>
      <c r="AM37" s="106">
        <f>'2019'!AQ265</f>
        <v>20</v>
      </c>
      <c r="AN37" s="106">
        <f>'2019'!AR265</f>
      </c>
      <c r="AO37" s="119">
        <f>'2019'!AS265</f>
        <v>299</v>
      </c>
      <c r="AP37" s="119">
        <f>'2019'!AT265</f>
        <v>10</v>
      </c>
      <c r="AQ37" s="106">
        <f>'2019'!AU265</f>
        <v>25</v>
      </c>
      <c r="AR37" s="106">
        <f>'2019'!AV265</f>
      </c>
      <c r="AS37" s="119">
        <f>'2019'!AW265</f>
        <v>299</v>
      </c>
      <c r="AT37" s="119">
        <f>'2019'!AX265</f>
        <v>0</v>
      </c>
      <c r="AU37" s="106">
        <f>'2019'!AY265</f>
        <v>0</v>
      </c>
      <c r="AV37" s="106">
        <f>'2019'!AZ265</f>
      </c>
      <c r="AW37" s="106"/>
      <c r="AX37" s="106">
        <f t="shared" si="0"/>
        <v>0</v>
      </c>
      <c r="AY37" s="119">
        <f>'2019'!BA265</f>
        <v>299</v>
      </c>
      <c r="AZ37" s="119">
        <f>'2019'!BB265</f>
        <v>0</v>
      </c>
      <c r="BA37" s="106">
        <f>'2019'!BC265</f>
        <v>0</v>
      </c>
      <c r="BB37" s="106">
        <f>'2019'!BD265</f>
      </c>
      <c r="BC37" s="106"/>
      <c r="BD37" s="106"/>
      <c r="BE37" s="119">
        <f>'2019'!BE265</f>
        <v>48</v>
      </c>
      <c r="BF37" s="106">
        <f>'2019'!BF265</f>
        <v>119.97</v>
      </c>
      <c r="BG37" s="106">
        <f>'2019'!BG265</f>
        <v>102.9</v>
      </c>
      <c r="BH37" s="106">
        <f>'2019'!BH265</f>
        <v>65.47</v>
      </c>
      <c r="BI37" s="106">
        <f t="shared" si="1"/>
        <v>0</v>
      </c>
      <c r="BJ37" s="124">
        <f t="shared" si="2"/>
        <v>65.47</v>
      </c>
    </row>
    <row r="38" ht="15.75" customHeight="1" spans="1:62" x14ac:dyDescent="0.25">
      <c r="A38" s="14"/>
      <c r="B38" s="115">
        <v>37</v>
      </c>
      <c r="C38" s="115">
        <v>4.06</v>
      </c>
      <c r="D38" s="117" t="s">
        <v>162</v>
      </c>
      <c r="E38" s="119">
        <f>'2019'!I273</f>
      </c>
      <c r="F38" s="119">
        <f>'2019'!J273</f>
      </c>
      <c r="G38" s="106">
        <f>'2019'!K273</f>
        <v>0</v>
      </c>
      <c r="H38" s="106">
        <f>'2019'!L273</f>
      </c>
      <c r="I38" s="119">
        <f>'2019'!M273</f>
      </c>
      <c r="J38" s="119">
        <f>'2019'!N273</f>
        <v>0</v>
      </c>
      <c r="K38" s="106">
        <f>'2019'!O273</f>
        <v>0</v>
      </c>
      <c r="L38" s="106">
        <f>'2019'!P273</f>
      </c>
      <c r="M38" s="119">
        <f>'2019'!Q273</f>
      </c>
      <c r="N38" s="119">
        <f>'2019'!R273</f>
        <v>0</v>
      </c>
      <c r="O38" s="165">
        <f>'2019'!S273</f>
        <v>0</v>
      </c>
      <c r="P38" s="165">
        <f>'2019'!T273</f>
      </c>
      <c r="Q38" s="119">
        <f>'2019'!U273</f>
      </c>
      <c r="R38" s="119">
        <f>'2019'!V273</f>
        <v>0</v>
      </c>
      <c r="S38" s="106">
        <f>'2019'!W273</f>
      </c>
      <c r="T38" s="106">
        <f>'2019'!X273</f>
      </c>
      <c r="U38" s="119">
        <f>'2019'!Y273</f>
      </c>
      <c r="V38" s="119">
        <f>'2019'!Z273</f>
        <v>0</v>
      </c>
      <c r="W38" s="106">
        <f>'2019'!AA273</f>
        <v>0</v>
      </c>
      <c r="X38" s="106">
        <f>'2019'!AB273</f>
      </c>
      <c r="Y38" s="119">
        <f>'2019'!AC273</f>
      </c>
      <c r="Z38" s="119">
        <f>'2019'!AD273</f>
      </c>
      <c r="AA38" s="106">
        <f>'2019'!AE273</f>
        <v>0</v>
      </c>
      <c r="AB38" s="106">
        <f>'2019'!AF273</f>
      </c>
      <c r="AC38" s="119">
        <f>'2019'!AG273</f>
      </c>
      <c r="AD38" s="119">
        <f>'2019'!AH273</f>
      </c>
      <c r="AE38" s="106">
        <f>'2019'!AI273</f>
        <v>0</v>
      </c>
      <c r="AF38" s="106">
        <f>'2019'!AJ273</f>
      </c>
      <c r="AG38" s="119">
        <f>'2019'!AK273</f>
      </c>
      <c r="AH38" s="119">
        <f>'2019'!AL273</f>
        <v>0</v>
      </c>
      <c r="AI38" s="106">
        <f>'2019'!AM273</f>
        <v>0</v>
      </c>
      <c r="AJ38" s="106">
        <f>'2019'!AN273</f>
      </c>
      <c r="AK38" s="119">
        <f>'2019'!AO273</f>
      </c>
      <c r="AL38" s="119">
        <f>'2019'!AP273</f>
        <v>0</v>
      </c>
      <c r="AM38" s="106">
        <f>'2019'!AQ273</f>
        <v>0</v>
      </c>
      <c r="AN38" s="106">
        <f>'2019'!AR273</f>
      </c>
      <c r="AO38" s="119">
        <f>'2019'!AS273</f>
      </c>
      <c r="AP38" s="119">
        <f>'2019'!AT273</f>
        <v>0</v>
      </c>
      <c r="AQ38" s="106">
        <f>'2019'!AU273</f>
        <v>0</v>
      </c>
      <c r="AR38" s="106">
        <f>'2019'!AV273</f>
      </c>
      <c r="AS38" s="119">
        <f>'2019'!AW273</f>
      </c>
      <c r="AT38" s="119">
        <f>'2019'!AX273</f>
        <v>0</v>
      </c>
      <c r="AU38" s="106">
        <f>'2019'!AY273</f>
        <v>0</v>
      </c>
      <c r="AV38" s="106">
        <f>'2019'!AZ273</f>
      </c>
      <c r="AW38" s="106"/>
      <c r="AX38" s="106">
        <f t="shared" si="0"/>
        <v>0</v>
      </c>
      <c r="AY38" s="119">
        <f>'2019'!BA273</f>
      </c>
      <c r="AZ38" s="119">
        <f>'2019'!BB273</f>
        <v>0</v>
      </c>
      <c r="BA38" s="106">
        <f>'2019'!BC273</f>
        <v>0</v>
      </c>
      <c r="BB38" s="106">
        <f>'2019'!BD273</f>
      </c>
      <c r="BC38" s="106"/>
      <c r="BD38" s="106"/>
      <c r="BE38" s="119">
        <f>'2019'!BE273</f>
        <v>0</v>
      </c>
      <c r="BF38" s="106">
        <f>'2019'!BF273</f>
        <v>0</v>
      </c>
      <c r="BG38" s="106">
        <f>'2019'!BG273</f>
        <v>0</v>
      </c>
      <c r="BH38" s="106">
        <f>'2019'!BH273</f>
        <v>0</v>
      </c>
      <c r="BI38" s="106">
        <f t="shared" si="1"/>
        <v>0</v>
      </c>
      <c r="BJ38" s="124">
        <f t="shared" si="2"/>
        <v>0</v>
      </c>
    </row>
    <row r="39" ht="15.75" customHeight="1" spans="1:62" x14ac:dyDescent="0.25">
      <c r="A39" s="14"/>
      <c r="B39" s="115">
        <v>38</v>
      </c>
      <c r="C39" s="115">
        <v>4.34</v>
      </c>
      <c r="D39" s="117" t="s">
        <v>167</v>
      </c>
      <c r="E39" s="119">
        <f>'2019'!I281</f>
        <v>17</v>
      </c>
      <c r="F39" s="119">
        <f>'2019'!J281</f>
        <v>0</v>
      </c>
      <c r="G39" s="106">
        <f>'2019'!K281</f>
        <v>0</v>
      </c>
      <c r="H39" s="106">
        <f>'2019'!L281</f>
      </c>
      <c r="I39" s="119">
        <f>'2019'!M281</f>
        <v>17</v>
      </c>
      <c r="J39" s="119">
        <f>'2019'!N281</f>
        <v>0</v>
      </c>
      <c r="K39" s="106">
        <f>'2019'!O281</f>
        <v>0</v>
      </c>
      <c r="L39" s="106">
        <f>'2019'!P281</f>
      </c>
      <c r="M39" s="119">
        <f>'2019'!Q281</f>
        <v>17</v>
      </c>
      <c r="N39" s="119">
        <f>'2019'!R281</f>
        <v>0</v>
      </c>
      <c r="O39" s="165">
        <f>'2019'!S281</f>
        <v>0</v>
      </c>
      <c r="P39" s="165">
        <f>'2019'!T281</f>
      </c>
      <c r="Q39" s="119">
        <f>'2019'!U281</f>
        <v>17</v>
      </c>
      <c r="R39" s="119">
        <f>'2019'!V281</f>
        <v>0</v>
      </c>
      <c r="S39" s="106">
        <f>'2019'!W281</f>
        <v>0</v>
      </c>
      <c r="T39" s="106">
        <f>'2019'!X281</f>
      </c>
      <c r="U39" s="119">
        <f>'2019'!Y281</f>
        <v>17</v>
      </c>
      <c r="V39" s="119">
        <f>'2019'!Z281</f>
        <v>0</v>
      </c>
      <c r="W39" s="106">
        <f>'2019'!AA281</f>
        <v>0</v>
      </c>
      <c r="X39" s="106">
        <f>'2019'!AB281</f>
      </c>
      <c r="Y39" s="119">
        <f>'2019'!AC281</f>
        <v>18</v>
      </c>
      <c r="Z39" s="119">
        <f>'2019'!AD281</f>
        <v>1</v>
      </c>
      <c r="AA39" s="106">
        <f>'2019'!AE281</f>
        <v>2.5</v>
      </c>
      <c r="AB39" s="106">
        <f>'2019'!AF281</f>
      </c>
      <c r="AC39" s="119">
        <f>'2019'!AG281</f>
        <v>18</v>
      </c>
      <c r="AD39" s="119">
        <f>'2019'!AH281</f>
        <v>0</v>
      </c>
      <c r="AE39" s="106">
        <f>'2019'!AI281</f>
        <v>0</v>
      </c>
      <c r="AF39" s="106">
        <f>'2019'!AJ281</f>
      </c>
      <c r="AG39" s="119">
        <f>'2019'!AK281</f>
        <v>18</v>
      </c>
      <c r="AH39" s="119">
        <f>'2019'!AL281</f>
        <v>0</v>
      </c>
      <c r="AI39" s="106">
        <f>'2019'!AM281</f>
        <v>0</v>
      </c>
      <c r="AJ39" s="106">
        <f>'2019'!AN281</f>
      </c>
      <c r="AK39" s="119">
        <f>'2019'!AO281</f>
        <v>18</v>
      </c>
      <c r="AL39" s="119">
        <f>'2019'!AP281</f>
        <v>0</v>
      </c>
      <c r="AM39" s="106">
        <f>'2019'!AQ281</f>
        <v>0</v>
      </c>
      <c r="AN39" s="106">
        <f>'2019'!AR281</f>
      </c>
      <c r="AO39" s="119">
        <f>'2019'!AS281</f>
        <v>18</v>
      </c>
      <c r="AP39" s="119">
        <f>'2019'!AT281</f>
        <v>0</v>
      </c>
      <c r="AQ39" s="106">
        <f>'2019'!AU281</f>
        <v>0</v>
      </c>
      <c r="AR39" s="106">
        <f>'2019'!AV281</f>
      </c>
      <c r="AS39" s="119">
        <f>'2019'!AW281</f>
        <v>18</v>
      </c>
      <c r="AT39" s="119">
        <f>'2019'!AX281</f>
        <v>0</v>
      </c>
      <c r="AU39" s="106">
        <f>'2019'!AY281</f>
        <v>0</v>
      </c>
      <c r="AV39" s="106">
        <f>'2019'!AZ281</f>
      </c>
      <c r="AW39" s="106"/>
      <c r="AX39" s="106">
        <f t="shared" si="0"/>
        <v>0</v>
      </c>
      <c r="AY39" s="119">
        <f>'2019'!BA281</f>
        <v>18</v>
      </c>
      <c r="AZ39" s="119">
        <f>'2019'!BB281</f>
        <v>0</v>
      </c>
      <c r="BA39" s="106">
        <f>'2019'!BC281</f>
        <v>0</v>
      </c>
      <c r="BB39" s="106">
        <f>'2019'!BD281</f>
      </c>
      <c r="BC39" s="106"/>
      <c r="BD39" s="106"/>
      <c r="BE39" s="119">
        <f>'2019'!BE281</f>
        <v>1</v>
      </c>
      <c r="BF39" s="106">
        <f>'2019'!BF281</f>
        <v>2.5</v>
      </c>
      <c r="BG39" s="106">
        <f>'2019'!BG281</f>
        <v>0</v>
      </c>
      <c r="BH39" s="106">
        <f>'2019'!BH281</f>
        <v>2.5</v>
      </c>
      <c r="BI39" s="106">
        <f t="shared" si="1"/>
        <v>0</v>
      </c>
      <c r="BJ39" s="124">
        <f t="shared" si="2"/>
        <v>2.5</v>
      </c>
    </row>
    <row r="40" ht="15.75" customHeight="1" spans="1:62" x14ac:dyDescent="0.25">
      <c r="A40" s="21"/>
      <c r="B40" s="115">
        <v>39</v>
      </c>
      <c r="C40" s="116">
        <v>4</v>
      </c>
      <c r="D40" s="117" t="s">
        <v>169</v>
      </c>
      <c r="E40" s="119">
        <f>'2019'!I289</f>
      </c>
      <c r="F40" s="119">
        <f>'2019'!J289</f>
      </c>
      <c r="G40" s="106">
        <f>'2019'!K289</f>
        <v>0</v>
      </c>
      <c r="H40" s="106">
        <f>'2019'!L289</f>
      </c>
      <c r="I40" s="119">
        <f>'2019'!M289</f>
      </c>
      <c r="J40" s="119">
        <f>'2019'!N289</f>
        <v>0</v>
      </c>
      <c r="K40" s="106">
        <f>'2019'!O289</f>
        <v>0</v>
      </c>
      <c r="L40" s="106">
        <f>'2019'!P289</f>
      </c>
      <c r="M40" s="119">
        <f>'2019'!Q289</f>
      </c>
      <c r="N40" s="119">
        <f>'2019'!R289</f>
        <v>0</v>
      </c>
      <c r="O40" s="165">
        <f>'2019'!S289</f>
        <v>0</v>
      </c>
      <c r="P40" s="165">
        <f>'2019'!T289</f>
      </c>
      <c r="Q40" s="119">
        <f>'2019'!U289</f>
      </c>
      <c r="R40" s="119">
        <f>'2019'!V289</f>
        <v>0</v>
      </c>
      <c r="S40" s="106">
        <f>'2019'!W289</f>
        <v>0</v>
      </c>
      <c r="T40" s="106">
        <f>'2019'!X289</f>
      </c>
      <c r="U40" s="119">
        <f>'2019'!Y289</f>
        <v>33</v>
      </c>
      <c r="V40" s="119">
        <f>'2019'!Z289</f>
        <v>33</v>
      </c>
      <c r="W40" s="106">
        <f>'2019'!AA289</f>
        <v>82.17</v>
      </c>
      <c r="X40" s="106">
        <f>'2019'!AB289</f>
      </c>
      <c r="Y40" s="119">
        <f>'2019'!AC289</f>
        <v>33</v>
      </c>
      <c r="Z40" s="119">
        <f>'2019'!AD289</f>
        <v>0</v>
      </c>
      <c r="AA40" s="106">
        <f>'2019'!AE289</f>
        <v>0</v>
      </c>
      <c r="AB40" s="106">
        <f>'2019'!AF289</f>
      </c>
      <c r="AC40" s="119">
        <f>'2019'!AG289</f>
        <v>46</v>
      </c>
      <c r="AD40" s="119">
        <f>'2019'!AH289</f>
        <v>13</v>
      </c>
      <c r="AE40" s="106">
        <f>'2019'!AI289</f>
        <v>32.5</v>
      </c>
      <c r="AF40" s="106">
        <f>'2019'!AJ289</f>
      </c>
      <c r="AG40" s="119">
        <f>'2019'!AK289</f>
        <v>47</v>
      </c>
      <c r="AH40" s="119">
        <f>'2019'!AL289</f>
        <v>1</v>
      </c>
      <c r="AI40" s="106">
        <f>'2019'!AM289</f>
        <v>2.5</v>
      </c>
      <c r="AJ40" s="106">
        <f>'2019'!AN289</f>
      </c>
      <c r="AK40" s="119">
        <f>'2019'!AO289</f>
        <v>48</v>
      </c>
      <c r="AL40" s="119">
        <f>'2019'!AP289</f>
        <v>1</v>
      </c>
      <c r="AM40" s="106">
        <f>'2019'!AQ289</f>
        <v>2.5</v>
      </c>
      <c r="AN40" s="106">
        <f>'2019'!AR289</f>
        <v>63.72</v>
      </c>
      <c r="AO40" s="119">
        <f>'2019'!AS289</f>
        <v>48</v>
      </c>
      <c r="AP40" s="119">
        <f>'2019'!AT289</f>
        <v>0</v>
      </c>
      <c r="AQ40" s="106">
        <f>'2019'!AU289</f>
        <v>0</v>
      </c>
      <c r="AR40" s="106">
        <f>'2019'!AV289</f>
        <v>500</v>
      </c>
      <c r="AS40" s="119">
        <f>'2019'!AW289</f>
        <v>48</v>
      </c>
      <c r="AT40" s="119">
        <f>'2019'!AX289</f>
        <v>0</v>
      </c>
      <c r="AU40" s="106">
        <f>'2019'!AY289</f>
        <v>0</v>
      </c>
      <c r="AV40" s="106">
        <f>'2019'!AZ289</f>
      </c>
      <c r="AW40" s="106"/>
      <c r="AX40" s="106">
        <f t="shared" si="0"/>
        <v>0</v>
      </c>
      <c r="AY40" s="119">
        <f>'2019'!BA289</f>
        <v>48</v>
      </c>
      <c r="AZ40" s="119">
        <f>'2019'!BB289</f>
        <v>0</v>
      </c>
      <c r="BA40" s="106">
        <f>'2019'!BC289</f>
        <v>0</v>
      </c>
      <c r="BB40" s="106">
        <f>'2019'!BD289</f>
      </c>
      <c r="BC40" s="106"/>
      <c r="BD40" s="106"/>
      <c r="BE40" s="119">
        <f>'2019'!BE289</f>
        <v>48</v>
      </c>
      <c r="BF40" s="106">
        <f>'2019'!BF289</f>
        <v>119.67</v>
      </c>
      <c r="BG40" s="106">
        <f>'2019'!BG289</f>
        <v>563.72</v>
      </c>
      <c r="BH40" s="106">
        <f>'2019'!BH289</f>
        <v>-444.05</v>
      </c>
      <c r="BI40" s="106">
        <f t="shared" si="1"/>
        <v>0</v>
      </c>
      <c r="BJ40" s="124">
        <f t="shared" si="2"/>
        <v>-444.05</v>
      </c>
    </row>
    <row r="41" ht="15.75" customHeight="1" spans="1:62" x14ac:dyDescent="0.25">
      <c r="A41" s="114" t="s">
        <v>173</v>
      </c>
      <c r="B41" s="125">
        <v>40</v>
      </c>
      <c r="C41" s="115">
        <v>4.92</v>
      </c>
      <c r="D41" s="117" t="s">
        <v>174</v>
      </c>
      <c r="E41" s="119">
        <f>'2019'!I297</f>
        <v>23169</v>
      </c>
      <c r="F41" s="119">
        <f>'2019'!J297</f>
        <v>1183</v>
      </c>
      <c r="G41" s="106">
        <f>'2019'!K297</f>
        <v>2945.67</v>
      </c>
      <c r="H41" s="106">
        <f>'2019'!L297</f>
      </c>
      <c r="I41" s="119">
        <f>'2019'!M297</f>
        <v>23992</v>
      </c>
      <c r="J41" s="119">
        <f>'2019'!N297</f>
        <v>823</v>
      </c>
      <c r="K41" s="106">
        <f>'2019'!O297</f>
        <v>2049.27</v>
      </c>
      <c r="L41" s="106">
        <f>'2019'!P297</f>
        <v>5500</v>
      </c>
      <c r="M41" s="119">
        <f>'2019'!Q297</f>
        <v>24298</v>
      </c>
      <c r="N41" s="119">
        <f>'2019'!R297</f>
        <v>306</v>
      </c>
      <c r="O41" s="106">
        <f>'2019'!S297</f>
        <v>761.94</v>
      </c>
      <c r="P41" s="106">
        <f>'2019'!T297</f>
        <v>2100</v>
      </c>
      <c r="Q41" s="119">
        <f>'2019'!U297</f>
        <v>24664</v>
      </c>
      <c r="R41" s="119">
        <f>'2019'!V297</f>
        <v>366</v>
      </c>
      <c r="S41" s="106">
        <f>'2019'!W297</f>
        <v>911.34</v>
      </c>
      <c r="T41" s="106">
        <f>'2019'!X297</f>
        <v>800</v>
      </c>
      <c r="U41" s="119">
        <f>'2019'!Y297</f>
        <v>25292</v>
      </c>
      <c r="V41" s="119">
        <f>'2019'!Z297</f>
        <v>628</v>
      </c>
      <c r="W41" s="106">
        <f>'2019'!AA297</f>
        <v>1563.72</v>
      </c>
      <c r="X41" s="106">
        <f>'2019'!AB297</f>
      </c>
      <c r="Y41" s="119">
        <f>'2019'!AC297</f>
        <v>25652</v>
      </c>
      <c r="Z41" s="119">
        <f>'2019'!AD297</f>
        <v>360</v>
      </c>
      <c r="AA41" s="106">
        <f>'2019'!AE297</f>
        <v>900</v>
      </c>
      <c r="AB41" s="106">
        <f>'2019'!AF297</f>
      </c>
      <c r="AC41" s="119">
        <f>'2019'!AG297</f>
        <v>25938</v>
      </c>
      <c r="AD41" s="119">
        <f>'2019'!AH297</f>
        <v>286</v>
      </c>
      <c r="AE41" s="106">
        <f>'2019'!AI297</f>
        <v>715</v>
      </c>
      <c r="AF41" s="106">
        <f>'2019'!AJ297</f>
      </c>
      <c r="AG41" s="119">
        <f>'2019'!AK297</f>
        <v>26171</v>
      </c>
      <c r="AH41" s="119">
        <f>'2019'!AL297</f>
        <v>233</v>
      </c>
      <c r="AI41" s="106">
        <f>'2019'!AM297</f>
        <v>582.5</v>
      </c>
      <c r="AJ41" s="106">
        <f>'2019'!AN297</f>
      </c>
      <c r="AK41" s="119">
        <f>'2019'!AO297</f>
        <v>26555</v>
      </c>
      <c r="AL41" s="119">
        <f>'2019'!AP297</f>
        <v>384</v>
      </c>
      <c r="AM41" s="106">
        <f>'2019'!AQ297</f>
        <v>960</v>
      </c>
      <c r="AN41" s="106">
        <f>'2019'!AR297</f>
        <v>3000</v>
      </c>
      <c r="AO41" s="119">
        <f>'2019'!AS297</f>
        <v>26835</v>
      </c>
      <c r="AP41" s="119">
        <f>'2019'!AT297</f>
        <v>280</v>
      </c>
      <c r="AQ41" s="106">
        <f>'2019'!AU297</f>
        <v>700</v>
      </c>
      <c r="AR41" s="106">
        <f>'2019'!AV297</f>
        <v>1000</v>
      </c>
      <c r="AS41" s="126">
        <f>'2019'!AW297</f>
        <v>27280</v>
      </c>
      <c r="AT41" s="119">
        <f>'2019'!AX297</f>
        <v>445</v>
      </c>
      <c r="AU41" s="106">
        <f>'2019'!AY297</f>
        <v>1112.5</v>
      </c>
      <c r="AV41" s="106">
        <f>'2019'!AZ297</f>
        <v>1100</v>
      </c>
      <c r="AW41" s="119"/>
      <c r="AX41" s="106">
        <f t="shared" si="0"/>
        <v>0</v>
      </c>
      <c r="AY41" s="119">
        <f>'2019'!BA297</f>
        <v>27882</v>
      </c>
      <c r="AZ41" s="119">
        <f>'2019'!BB297</f>
        <v>602</v>
      </c>
      <c r="BA41" s="106">
        <f>'2019'!BC297</f>
        <v>1505</v>
      </c>
      <c r="BB41" s="106">
        <f>'2019'!BD297</f>
      </c>
      <c r="BC41" s="106"/>
      <c r="BD41" s="106"/>
      <c r="BE41" s="119">
        <f>'2019'!BE297</f>
        <v>5896</v>
      </c>
      <c r="BF41" s="106">
        <f>'2019'!BF297</f>
        <v>14706.94</v>
      </c>
      <c r="BG41" s="106">
        <f>'2019'!BG297</f>
        <v>13500</v>
      </c>
      <c r="BH41" s="106">
        <f>'2019'!BH297</f>
        <v>2612.73</v>
      </c>
      <c r="BI41" s="106">
        <f t="shared" si="1"/>
        <v>0</v>
      </c>
      <c r="BJ41" s="124">
        <f t="shared" si="2"/>
        <v>2612.73</v>
      </c>
    </row>
    <row r="42" ht="15.75" customHeight="1" spans="1:62" x14ac:dyDescent="0.25">
      <c r="A42" s="14"/>
      <c r="B42" s="115">
        <v>41</v>
      </c>
      <c r="C42" s="115">
        <v>4.87</v>
      </c>
      <c r="D42" s="117" t="s">
        <v>177</v>
      </c>
      <c r="E42" s="119">
        <f>'2019'!I305</f>
        <v>88</v>
      </c>
      <c r="F42" s="119">
        <f>'2019'!J305</f>
        <v>0</v>
      </c>
      <c r="G42" s="106">
        <f>'2019'!K305</f>
      </c>
      <c r="H42" s="106">
        <f>'2019'!L305</f>
      </c>
      <c r="I42" s="119">
        <f>'2019'!M305</f>
        <v>88</v>
      </c>
      <c r="J42" s="119">
        <f>'2019'!N305</f>
        <v>0</v>
      </c>
      <c r="K42" s="106">
        <f>'2019'!O305</f>
        <v>0</v>
      </c>
      <c r="L42" s="106">
        <f>'2019'!P305</f>
      </c>
      <c r="M42" s="119">
        <f>'2019'!Q305</f>
        <v>88</v>
      </c>
      <c r="N42" s="119">
        <f>'2019'!R305</f>
        <v>0</v>
      </c>
      <c r="O42" s="165">
        <f>'2019'!S305</f>
        <v>0</v>
      </c>
      <c r="P42" s="165">
        <f>'2019'!T305</f>
      </c>
      <c r="Q42" s="119">
        <f>'2019'!U305</f>
        <v>88</v>
      </c>
      <c r="R42" s="119">
        <f>'2019'!V305</f>
        <v>0</v>
      </c>
      <c r="S42" s="106">
        <f>'2019'!W305</f>
        <v>0</v>
      </c>
      <c r="T42" s="106">
        <f>'2019'!X305</f>
      </c>
      <c r="U42" s="119">
        <f>'2019'!Y305</f>
        <v>88</v>
      </c>
      <c r="V42" s="119">
        <f>'2019'!Z305</f>
        <v>0</v>
      </c>
      <c r="W42" s="106">
        <f>'2019'!AA305</f>
        <v>0</v>
      </c>
      <c r="X42" s="106">
        <f>'2019'!AB305</f>
      </c>
      <c r="Y42" s="119">
        <f>'2019'!AC305</f>
        <v>96</v>
      </c>
      <c r="Z42" s="119">
        <f>'2019'!AD305</f>
        <v>8</v>
      </c>
      <c r="AA42" s="106">
        <f>'2019'!AE305</f>
        <v>20</v>
      </c>
      <c r="AB42" s="106">
        <f>'2019'!AF305</f>
      </c>
      <c r="AC42" s="119">
        <f>'2019'!AG305</f>
        <v>98</v>
      </c>
      <c r="AD42" s="119">
        <f>'2019'!AH305</f>
        <v>2</v>
      </c>
      <c r="AE42" s="106">
        <f>'2019'!AI305</f>
        <v>5</v>
      </c>
      <c r="AF42" s="106">
        <f>'2019'!AJ305</f>
        <v>234.16</v>
      </c>
      <c r="AG42" s="119">
        <f>'2019'!AK305</f>
        <v>208</v>
      </c>
      <c r="AH42" s="119">
        <f>'2019'!AL305</f>
        <v>110</v>
      </c>
      <c r="AI42" s="106">
        <f>'2019'!AM305</f>
        <v>275</v>
      </c>
      <c r="AJ42" s="106">
        <f>'2019'!AN305</f>
      </c>
      <c r="AK42" s="119">
        <f>'2019'!AO305</f>
        <v>300</v>
      </c>
      <c r="AL42" s="119">
        <f>'2019'!AP305</f>
        <v>92</v>
      </c>
      <c r="AM42" s="106">
        <f>'2019'!AQ305</f>
        <v>230</v>
      </c>
      <c r="AN42" s="106">
        <f>'2019'!AR305</f>
      </c>
      <c r="AO42" s="119">
        <f>'2019'!AS305</f>
        <v>300</v>
      </c>
      <c r="AP42" s="119">
        <f>'2019'!AT305</f>
        <v>0</v>
      </c>
      <c r="AQ42" s="106">
        <f>'2019'!AU305</f>
        <v>0</v>
      </c>
      <c r="AR42" s="106">
        <f>'2019'!AV305</f>
        <v>525</v>
      </c>
      <c r="AS42" s="119">
        <f>'2019'!AW305</f>
        <v>300</v>
      </c>
      <c r="AT42" s="119">
        <f>'2019'!AX305</f>
        <v>0</v>
      </c>
      <c r="AU42" s="106">
        <f>'2019'!AY305</f>
        <v>0</v>
      </c>
      <c r="AV42" s="106">
        <f>'2019'!AZ305</f>
      </c>
      <c r="AW42" s="106"/>
      <c r="AX42" s="106">
        <f t="shared" si="0"/>
        <v>0</v>
      </c>
      <c r="AY42" s="119">
        <f>'2019'!BA305</f>
        <v>300</v>
      </c>
      <c r="AZ42" s="119">
        <f>'2019'!BB305</f>
        <v>0</v>
      </c>
      <c r="BA42" s="106">
        <f>'2019'!BC305</f>
        <v>0</v>
      </c>
      <c r="BB42" s="106">
        <f>'2019'!BD305</f>
      </c>
      <c r="BC42" s="106"/>
      <c r="BD42" s="106"/>
      <c r="BE42" s="119">
        <f>'2019'!BE305</f>
        <v>212</v>
      </c>
      <c r="BF42" s="106">
        <f>'2019'!BF305</f>
        <v>530</v>
      </c>
      <c r="BG42" s="106">
        <f>'2019'!BG305</f>
        <v>759.16</v>
      </c>
      <c r="BH42" s="106">
        <f>'2019'!BH305</f>
        <v>-20</v>
      </c>
      <c r="BI42" s="106">
        <f t="shared" si="1"/>
        <v>0</v>
      </c>
      <c r="BJ42" s="124">
        <f t="shared" si="2"/>
        <v>-20</v>
      </c>
    </row>
    <row r="43" ht="15.75" customHeight="1" spans="1:62" x14ac:dyDescent="0.25">
      <c r="A43" s="14"/>
      <c r="B43" s="115">
        <v>42</v>
      </c>
      <c r="C43" s="116">
        <v>4.9</v>
      </c>
      <c r="D43" s="161" t="s">
        <v>181</v>
      </c>
      <c r="E43" s="119">
        <f>'2019'!I313</f>
      </c>
      <c r="F43" s="119">
        <f>'2019'!J313</f>
      </c>
      <c r="G43" s="106">
        <f>'2019'!K313</f>
        <v>0</v>
      </c>
      <c r="H43" s="106">
        <f>'2019'!L313</f>
      </c>
      <c r="I43" s="119">
        <f>'2019'!M313</f>
      </c>
      <c r="J43" s="119">
        <f>'2019'!N313</f>
        <v>0</v>
      </c>
      <c r="K43" s="106">
        <f>'2019'!O313</f>
        <v>0</v>
      </c>
      <c r="L43" s="106">
        <f>'2019'!P313</f>
      </c>
      <c r="M43" s="119">
        <f>'2019'!Q313</f>
      </c>
      <c r="N43" s="119">
        <f>'2019'!R313</f>
        <v>0</v>
      </c>
      <c r="O43" s="165">
        <f>'2019'!S313</f>
        <v>0</v>
      </c>
      <c r="P43" s="165">
        <f>'2019'!T313</f>
      </c>
      <c r="Q43" s="119">
        <f>'2019'!U313</f>
      </c>
      <c r="R43" s="119">
        <f>'2019'!V313</f>
        <v>0</v>
      </c>
      <c r="S43" s="106">
        <f>'2019'!W313</f>
      </c>
      <c r="T43" s="106">
        <f>'2019'!X313</f>
      </c>
      <c r="U43" s="119">
        <f>'2019'!Y313</f>
      </c>
      <c r="V43" s="119">
        <f>'2019'!Z313</f>
        <v>0</v>
      </c>
      <c r="W43" s="106">
        <f>'2019'!AA313</f>
        <v>0</v>
      </c>
      <c r="X43" s="106">
        <f>'2019'!AB313</f>
      </c>
      <c r="Y43" s="119">
        <f>'2019'!AC313</f>
      </c>
      <c r="Z43" s="119">
        <f>'2019'!AD313</f>
        <v>0</v>
      </c>
      <c r="AA43" s="106">
        <f>'2019'!AE313</f>
        <v>0</v>
      </c>
      <c r="AB43" s="106">
        <f>'2019'!AF313</f>
      </c>
      <c r="AC43" s="119">
        <f>'2019'!AG313</f>
      </c>
      <c r="AD43" s="119">
        <f>'2019'!AH313</f>
        <v>0</v>
      </c>
      <c r="AE43" s="106">
        <f>'2019'!AI313</f>
        <v>0</v>
      </c>
      <c r="AF43" s="106">
        <f>'2019'!AJ313</f>
      </c>
      <c r="AG43" s="119">
        <f>'2019'!AK313</f>
        <v>0</v>
      </c>
      <c r="AH43" s="119">
        <f>'2019'!AL313</f>
        <v>0</v>
      </c>
      <c r="AI43" s="106">
        <f>'2019'!AM313</f>
        <v>0</v>
      </c>
      <c r="AJ43" s="106">
        <f>'2019'!AN313</f>
      </c>
      <c r="AK43" s="119">
        <f>'2019'!AO313</f>
        <v>0</v>
      </c>
      <c r="AL43" s="119">
        <f>'2019'!AP313</f>
        <v>0</v>
      </c>
      <c r="AM43" s="106">
        <f>'2019'!AQ313</f>
        <v>0</v>
      </c>
      <c r="AN43" s="106">
        <f>'2019'!AR313</f>
      </c>
      <c r="AO43" s="119">
        <f>'2019'!AS313</f>
        <v>0</v>
      </c>
      <c r="AP43" s="119">
        <f>'2019'!AT313</f>
        <v>0</v>
      </c>
      <c r="AQ43" s="106">
        <f>'2019'!AU313</f>
        <v>0</v>
      </c>
      <c r="AR43" s="106">
        <f>'2019'!AV313</f>
      </c>
      <c r="AS43" s="119">
        <f>'2019'!AW313</f>
        <v>0</v>
      </c>
      <c r="AT43" s="119">
        <f>'2019'!AX313</f>
        <v>0</v>
      </c>
      <c r="AU43" s="106">
        <f>'2019'!AY313</f>
        <v>0</v>
      </c>
      <c r="AV43" s="106">
        <f>'2019'!AZ313</f>
      </c>
      <c r="AW43" s="106"/>
      <c r="AX43" s="106">
        <f t="shared" si="0"/>
        <v>0</v>
      </c>
      <c r="AY43" s="119">
        <f>'2019'!BA313</f>
        <v>0</v>
      </c>
      <c r="AZ43" s="119">
        <f>'2019'!BB313</f>
        <v>0</v>
      </c>
      <c r="BA43" s="106">
        <f>'2019'!BC313</f>
        <v>0</v>
      </c>
      <c r="BB43" s="106">
        <f>'2019'!BD313</f>
      </c>
      <c r="BC43" s="106"/>
      <c r="BD43" s="106"/>
      <c r="BE43" s="119">
        <f>'2019'!BE313</f>
        <v>0</v>
      </c>
      <c r="BF43" s="106">
        <f>'2019'!BF313</f>
        <v>0</v>
      </c>
      <c r="BG43" s="106">
        <f>'2019'!BG313</f>
        <v>0</v>
      </c>
      <c r="BH43" s="106">
        <f>'2019'!BH313</f>
        <v>0</v>
      </c>
      <c r="BI43" s="106">
        <f t="shared" si="1"/>
        <v>0</v>
      </c>
      <c r="BJ43" s="124">
        <f t="shared" si="2"/>
        <v>0</v>
      </c>
    </row>
    <row r="44" ht="15.75" customHeight="1" spans="1:62" x14ac:dyDescent="0.25">
      <c r="A44" s="14"/>
      <c r="B44" s="118">
        <v>43</v>
      </c>
      <c r="C44" s="115">
        <v>4.96</v>
      </c>
      <c r="D44" s="117" t="s">
        <v>185</v>
      </c>
      <c r="E44" s="119">
        <f>'2019'!I321</f>
        <v>358</v>
      </c>
      <c r="F44" s="119">
        <f>'2019'!J321</f>
        <v>0</v>
      </c>
      <c r="G44" s="106">
        <f>'2019'!K321</f>
        <v>0</v>
      </c>
      <c r="H44" s="106">
        <f>'2019'!L321</f>
      </c>
      <c r="I44" s="119">
        <f>'2019'!M321</f>
        <v>358</v>
      </c>
      <c r="J44" s="119">
        <f>'2019'!N321</f>
        <v>0</v>
      </c>
      <c r="K44" s="106">
        <f>'2019'!O321</f>
        <v>0</v>
      </c>
      <c r="L44" s="106">
        <f>'2019'!P321</f>
      </c>
      <c r="M44" s="119">
        <f>'2019'!Q321</f>
        <v>358</v>
      </c>
      <c r="N44" s="119">
        <f>'2019'!R321</f>
        <v>0</v>
      </c>
      <c r="O44" s="106">
        <f>'2019'!S321</f>
        <v>0</v>
      </c>
      <c r="P44" s="106">
        <f>'2019'!T321</f>
      </c>
      <c r="Q44" s="119">
        <f>'2019'!U321</f>
        <v>360</v>
      </c>
      <c r="R44" s="119">
        <f>'2019'!V321</f>
        <v>2</v>
      </c>
      <c r="S44" s="106">
        <f>'2019'!W321</f>
        <v>4.98</v>
      </c>
      <c r="T44" s="106">
        <f>'2019'!X321</f>
        <v>600</v>
      </c>
      <c r="U44" s="119">
        <f>'2019'!Y321</f>
        <v>372</v>
      </c>
      <c r="V44" s="119">
        <f>'2019'!Z321</f>
        <v>12</v>
      </c>
      <c r="W44" s="106">
        <f>'2019'!AA321</f>
        <v>29.88</v>
      </c>
      <c r="X44" s="106">
        <f>'2019'!AB321</f>
      </c>
      <c r="Y44" s="119">
        <f>'2019'!AC321</f>
        <v>413</v>
      </c>
      <c r="Z44" s="119">
        <f>'2019'!AD321</f>
        <v>41</v>
      </c>
      <c r="AA44" s="106">
        <f>'2019'!AE321</f>
        <v>102.5</v>
      </c>
      <c r="AB44" s="106">
        <f>'2019'!AF321</f>
      </c>
      <c r="AC44" s="119">
        <f>'2019'!AG321</f>
        <v>514</v>
      </c>
      <c r="AD44" s="119">
        <f>'2019'!AH321</f>
        <v>101</v>
      </c>
      <c r="AE44" s="106">
        <f>'2019'!AI321</f>
        <v>252.5</v>
      </c>
      <c r="AF44" s="106">
        <f>'2019'!AJ321</f>
      </c>
      <c r="AG44" s="119">
        <f>'2019'!AK321</f>
        <v>644</v>
      </c>
      <c r="AH44" s="119">
        <f>'2019'!AL321</f>
        <v>130</v>
      </c>
      <c r="AI44" s="106">
        <f>'2019'!AM321</f>
        <v>325</v>
      </c>
      <c r="AJ44" s="106">
        <f>'2019'!AN321</f>
      </c>
      <c r="AK44" s="119">
        <f>'2019'!AO321</f>
        <v>759</v>
      </c>
      <c r="AL44" s="119">
        <f>'2019'!AP321</f>
        <v>115</v>
      </c>
      <c r="AM44" s="106">
        <f>'2019'!AQ321</f>
        <v>287.5</v>
      </c>
      <c r="AN44" s="106">
        <f>'2019'!AR321</f>
      </c>
      <c r="AO44" s="119">
        <f>'2019'!AS321</f>
        <v>848</v>
      </c>
      <c r="AP44" s="119">
        <f>'2019'!AT321</f>
        <v>89</v>
      </c>
      <c r="AQ44" s="106">
        <f>'2019'!AU321</f>
        <v>222.5</v>
      </c>
      <c r="AR44" s="106">
        <f>'2019'!AV321</f>
      </c>
      <c r="AS44" s="126">
        <f>'2019'!AW321</f>
        <v>924</v>
      </c>
      <c r="AT44" s="119">
        <f>'2019'!AX321</f>
        <v>76</v>
      </c>
      <c r="AU44" s="106">
        <f>'2019'!AY321</f>
        <v>190</v>
      </c>
      <c r="AV44" s="106">
        <f>'2019'!AZ321</f>
      </c>
      <c r="AW44" s="106"/>
      <c r="AX44" s="106">
        <f t="shared" si="0"/>
        <v>0</v>
      </c>
      <c r="AY44" s="119">
        <f>'2019'!BA321</f>
        <v>924</v>
      </c>
      <c r="AZ44" s="119">
        <f>'2019'!BB321</f>
        <v>0</v>
      </c>
      <c r="BA44" s="106">
        <f>'2019'!BC321</f>
        <v>0</v>
      </c>
      <c r="BB44" s="106">
        <f>'2019'!BD321</f>
        <v>1000</v>
      </c>
      <c r="BC44" s="106"/>
      <c r="BD44" s="106"/>
      <c r="BE44" s="119">
        <f>'2019'!BE321</f>
        <v>566</v>
      </c>
      <c r="BF44" s="106">
        <f>'2019'!BF321</f>
        <v>1414.86</v>
      </c>
      <c r="BG44" s="106">
        <f>'2019'!BG321</f>
        <v>1600</v>
      </c>
      <c r="BH44" s="106">
        <f>'2019'!BH321</f>
        <v>-327.87</v>
      </c>
      <c r="BI44" s="106">
        <f t="shared" si="1"/>
        <v>0</v>
      </c>
      <c r="BJ44" s="124">
        <f t="shared" si="2"/>
        <v>-327.87</v>
      </c>
    </row>
    <row r="45" ht="15.75" customHeight="1" spans="1:62" x14ac:dyDescent="0.25">
      <c r="A45" s="14"/>
      <c r="B45" s="115">
        <v>44</v>
      </c>
      <c r="C45" s="115">
        <v>4.01</v>
      </c>
      <c r="D45" s="117" t="s">
        <v>188</v>
      </c>
      <c r="E45" s="119">
        <f>'2019'!I329</f>
      </c>
      <c r="F45" s="119">
        <f>'2019'!J329</f>
      </c>
      <c r="G45" s="106">
        <f>'2019'!K329</f>
        <v>0</v>
      </c>
      <c r="H45" s="106">
        <f>'2019'!L329</f>
      </c>
      <c r="I45" s="119">
        <f>'2019'!M329</f>
      </c>
      <c r="J45" s="119">
        <f>'2019'!N329</f>
        <v>0</v>
      </c>
      <c r="K45" s="106">
        <f>'2019'!O329</f>
        <v>0</v>
      </c>
      <c r="L45" s="106">
        <f>'2019'!P329</f>
      </c>
      <c r="M45" s="119">
        <f>'2019'!Q329</f>
      </c>
      <c r="N45" s="119">
        <f>'2019'!R329</f>
        <v>0</v>
      </c>
      <c r="O45" s="165">
        <f>'2019'!S329</f>
        <v>0</v>
      </c>
      <c r="P45" s="165">
        <f>'2019'!T329</f>
      </c>
      <c r="Q45" s="119">
        <f>'2019'!U329</f>
      </c>
      <c r="R45" s="119">
        <f>'2019'!V329</f>
        <v>0</v>
      </c>
      <c r="S45" s="106">
        <f>'2019'!W329</f>
      </c>
      <c r="T45" s="106">
        <f>'2019'!X329</f>
      </c>
      <c r="U45" s="119">
        <f>'2019'!Y329</f>
      </c>
      <c r="V45" s="119">
        <f>'2019'!Z329</f>
        <v>0</v>
      </c>
      <c r="W45" s="106">
        <f>'2019'!AA329</f>
        <v>0</v>
      </c>
      <c r="X45" s="106">
        <f>'2019'!AB329</f>
      </c>
      <c r="Y45" s="119">
        <f>'2019'!AC329</f>
      </c>
      <c r="Z45" s="119">
        <f>'2019'!AD329</f>
        <v>0</v>
      </c>
      <c r="AA45" s="106">
        <f>'2019'!AE329</f>
        <v>0</v>
      </c>
      <c r="AB45" s="106">
        <f>'2019'!AF329</f>
      </c>
      <c r="AC45" s="119">
        <f>'2019'!AG329</f>
      </c>
      <c r="AD45" s="119">
        <f>'2019'!AH329</f>
        <v>0</v>
      </c>
      <c r="AE45" s="106">
        <f>'2019'!AI329</f>
        <v>0</v>
      </c>
      <c r="AF45" s="106">
        <f>'2019'!AJ329</f>
      </c>
      <c r="AG45" s="119">
        <f>'2019'!AK329</f>
        <v>5</v>
      </c>
      <c r="AH45" s="119">
        <f>'2019'!AL329</f>
        <v>5</v>
      </c>
      <c r="AI45" s="106">
        <f>'2019'!AM329</f>
        <v>12.5</v>
      </c>
      <c r="AJ45" s="106">
        <f>'2019'!AN329</f>
      </c>
      <c r="AK45" s="119">
        <f>'2019'!AO329</f>
        <v>6</v>
      </c>
      <c r="AL45" s="119">
        <f>'2019'!AP329</f>
        <v>1</v>
      </c>
      <c r="AM45" s="106">
        <f>'2019'!AQ329</f>
        <v>2.5</v>
      </c>
      <c r="AN45" s="106">
        <f>'2019'!AR329</f>
      </c>
      <c r="AO45" s="119">
        <f>'2019'!AS329</f>
        <v>8</v>
      </c>
      <c r="AP45" s="119">
        <f>'2019'!AT329</f>
        <v>2</v>
      </c>
      <c r="AQ45" s="106">
        <f>'2019'!AU329</f>
        <v>5</v>
      </c>
      <c r="AR45" s="106">
        <f>'2019'!AV329</f>
      </c>
      <c r="AS45" s="119">
        <f>'2019'!AW329</f>
        <v>10</v>
      </c>
      <c r="AT45" s="119">
        <f>'2019'!AX329</f>
        <v>2</v>
      </c>
      <c r="AU45" s="106">
        <f>'2019'!AY329</f>
        <v>5</v>
      </c>
      <c r="AV45" s="106">
        <f>'2019'!AZ329</f>
      </c>
      <c r="AW45" s="106"/>
      <c r="AX45" s="106">
        <f t="shared" si="0"/>
        <v>0</v>
      </c>
      <c r="AY45" s="119">
        <f>'2019'!BA329</f>
        <v>10</v>
      </c>
      <c r="AZ45" s="119">
        <f>'2019'!BB329</f>
        <v>0</v>
      </c>
      <c r="BA45" s="106">
        <f>'2019'!BC329</f>
        <v>0</v>
      </c>
      <c r="BB45" s="106">
        <f>'2019'!BD329</f>
      </c>
      <c r="BC45" s="106"/>
      <c r="BD45" s="106"/>
      <c r="BE45" s="119">
        <f>'2019'!BE329</f>
        <v>10</v>
      </c>
      <c r="BF45" s="106">
        <f>'2019'!BF329</f>
        <v>25</v>
      </c>
      <c r="BG45" s="106">
        <f>'2019'!BG329</f>
        <v>0</v>
      </c>
      <c r="BH45" s="106">
        <f>'2019'!BH329</f>
        <v>25</v>
      </c>
      <c r="BI45" s="106">
        <f t="shared" si="1"/>
        <v>0</v>
      </c>
      <c r="BJ45" s="124">
        <f t="shared" si="2"/>
        <v>25</v>
      </c>
    </row>
    <row r="46" ht="15.75" customHeight="1" spans="1:62" x14ac:dyDescent="0.25">
      <c r="A46" s="14"/>
      <c r="B46" s="115">
        <v>45</v>
      </c>
      <c r="C46" s="115">
        <v>5.04</v>
      </c>
      <c r="D46" s="117" t="s">
        <v>189</v>
      </c>
      <c r="E46" s="119">
        <f>'2019'!I337</f>
        <v>12</v>
      </c>
      <c r="F46" s="119">
        <f>'2019'!J337</f>
        <v>0</v>
      </c>
      <c r="G46" s="106">
        <f>'2019'!K337</f>
        <v>0</v>
      </c>
      <c r="H46" s="106">
        <f>'2019'!L337</f>
      </c>
      <c r="I46" s="119">
        <f>'2019'!M337</f>
        <v>12</v>
      </c>
      <c r="J46" s="119">
        <f>'2019'!N337</f>
        <v>0</v>
      </c>
      <c r="K46" s="106">
        <f>'2019'!O337</f>
        <v>0</v>
      </c>
      <c r="L46" s="106">
        <f>'2019'!P337</f>
      </c>
      <c r="M46" s="119">
        <f>'2019'!Q337</f>
        <v>12</v>
      </c>
      <c r="N46" s="119">
        <f>'2019'!R337</f>
        <v>0</v>
      </c>
      <c r="O46" s="165">
        <f>'2019'!S337</f>
        <v>0</v>
      </c>
      <c r="P46" s="165">
        <f>'2019'!T337</f>
      </c>
      <c r="Q46" s="119">
        <f>'2019'!U337</f>
        <v>12</v>
      </c>
      <c r="R46" s="119">
        <f>'2019'!V337</f>
        <v>0</v>
      </c>
      <c r="S46" s="106">
        <f>'2019'!W337</f>
        <v>0</v>
      </c>
      <c r="T46" s="106">
        <f>'2019'!X337</f>
      </c>
      <c r="U46" s="119">
        <f>'2019'!Y337</f>
        <v>12</v>
      </c>
      <c r="V46" s="119">
        <f>'2019'!Z337</f>
        <v>0</v>
      </c>
      <c r="W46" s="106">
        <f>'2019'!AA337</f>
        <v>0</v>
      </c>
      <c r="X46" s="106">
        <f>'2019'!AB337</f>
      </c>
      <c r="Y46" s="119">
        <f>'2019'!AC337</f>
        <v>12</v>
      </c>
      <c r="Z46" s="119">
        <f>'2019'!AD337</f>
        <v>0</v>
      </c>
      <c r="AA46" s="106">
        <f>'2019'!AE337</f>
        <v>0</v>
      </c>
      <c r="AB46" s="106">
        <f>'2019'!AF337</f>
      </c>
      <c r="AC46" s="119">
        <f>'2019'!AG337</f>
        <v>12</v>
      </c>
      <c r="AD46" s="119">
        <f>'2019'!AH337</f>
        <v>0</v>
      </c>
      <c r="AE46" s="106">
        <f>'2019'!AI337</f>
        <v>0</v>
      </c>
      <c r="AF46" s="106">
        <f>'2019'!AJ337</f>
      </c>
      <c r="AG46" s="119">
        <f>'2019'!AK337</f>
        <v>13</v>
      </c>
      <c r="AH46" s="119">
        <f>'2019'!AL337</f>
        <v>1</v>
      </c>
      <c r="AI46" s="106">
        <f>'2019'!AM337</f>
        <v>2.5</v>
      </c>
      <c r="AJ46" s="106">
        <f>'2019'!AN337</f>
      </c>
      <c r="AK46" s="119">
        <f>'2019'!AO337</f>
        <v>13</v>
      </c>
      <c r="AL46" s="119">
        <f>'2019'!AP337</f>
        <v>0</v>
      </c>
      <c r="AM46" s="106">
        <f>'2019'!AQ337</f>
        <v>0</v>
      </c>
      <c r="AN46" s="106">
        <f>'2019'!AR337</f>
      </c>
      <c r="AO46" s="119">
        <f>'2019'!AS337</f>
        <v>13</v>
      </c>
      <c r="AP46" s="119">
        <f>'2019'!AT337</f>
        <v>0</v>
      </c>
      <c r="AQ46" s="106">
        <f>'2019'!AU337</f>
        <v>0</v>
      </c>
      <c r="AR46" s="106">
        <f>'2019'!AV337</f>
      </c>
      <c r="AS46" s="119">
        <f>'2019'!AW337</f>
        <v>13</v>
      </c>
      <c r="AT46" s="119">
        <f>'2019'!AX337</f>
        <v>0</v>
      </c>
      <c r="AU46" s="106">
        <f>'2019'!AY337</f>
        <v>0</v>
      </c>
      <c r="AV46" s="106">
        <f>'2019'!AZ337</f>
      </c>
      <c r="AW46" s="106"/>
      <c r="AX46" s="106">
        <f t="shared" si="0"/>
        <v>0</v>
      </c>
      <c r="AY46" s="119">
        <f>'2019'!BA337</f>
        <v>13</v>
      </c>
      <c r="AZ46" s="119">
        <f>'2019'!BB337</f>
        <v>0</v>
      </c>
      <c r="BA46" s="106">
        <f>'2019'!BC337</f>
        <v>0</v>
      </c>
      <c r="BB46" s="106">
        <f>'2019'!BD337</f>
      </c>
      <c r="BC46" s="106"/>
      <c r="BD46" s="106"/>
      <c r="BE46" s="119">
        <f>'2019'!BE337</f>
        <v>1</v>
      </c>
      <c r="BF46" s="106">
        <f>'2019'!BF337</f>
        <v>2.5</v>
      </c>
      <c r="BG46" s="106">
        <f>'2019'!BG337</f>
        <v>0</v>
      </c>
      <c r="BH46" s="106">
        <f>'2019'!BH337</f>
        <v>2.5</v>
      </c>
      <c r="BI46" s="106">
        <f t="shared" si="1"/>
        <v>0</v>
      </c>
      <c r="BJ46" s="124">
        <f t="shared" si="2"/>
        <v>2.5</v>
      </c>
    </row>
    <row r="47" ht="15.75" customHeight="1" spans="1:62" x14ac:dyDescent="0.25">
      <c r="A47" s="14"/>
      <c r="B47" s="115">
        <v>46</v>
      </c>
      <c r="C47" s="116">
        <v>4</v>
      </c>
      <c r="D47" s="117" t="s">
        <v>188</v>
      </c>
      <c r="E47" s="119">
        <f>'2019'!I345</f>
        <v>2215</v>
      </c>
      <c r="F47" s="119">
        <f>'2019'!J345</f>
        <v>0</v>
      </c>
      <c r="G47" s="106">
        <f>'2019'!K345</f>
        <v>0</v>
      </c>
      <c r="H47" s="106">
        <f>'2019'!L345</f>
      </c>
      <c r="I47" s="119">
        <f>'2019'!M345</f>
        <v>2215</v>
      </c>
      <c r="J47" s="119">
        <f>'2019'!N345</f>
        <v>0</v>
      </c>
      <c r="K47" s="106">
        <f>'2019'!O345</f>
        <v>0</v>
      </c>
      <c r="L47" s="106">
        <f>'2019'!P345</f>
      </c>
      <c r="M47" s="119">
        <f>'2019'!Q345</f>
        <v>2215</v>
      </c>
      <c r="N47" s="119">
        <f>'2019'!R345</f>
        <v>0</v>
      </c>
      <c r="O47" s="165">
        <f>'2019'!S345</f>
        <v>0</v>
      </c>
      <c r="P47" s="165">
        <f>'2019'!T345</f>
      </c>
      <c r="Q47" s="119">
        <f>'2019'!U345</f>
        <v>2217</v>
      </c>
      <c r="R47" s="119">
        <f>'2019'!V345</f>
        <v>2</v>
      </c>
      <c r="S47" s="106">
        <f>'2019'!W345</f>
        <v>4.98</v>
      </c>
      <c r="T47" s="106">
        <f>'2019'!X345</f>
      </c>
      <c r="U47" s="119">
        <f>'2019'!Y345</f>
        <v>2312</v>
      </c>
      <c r="V47" s="119">
        <f>'2019'!Z345</f>
        <v>95</v>
      </c>
      <c r="W47" s="106">
        <f>'2019'!AA345</f>
        <v>236.55</v>
      </c>
      <c r="X47" s="106">
        <f>'2019'!AB345</f>
      </c>
      <c r="Y47" s="119">
        <f>'2019'!AC345</f>
        <v>2410</v>
      </c>
      <c r="Z47" s="119">
        <f>'2019'!AD345</f>
        <v>98</v>
      </c>
      <c r="AA47" s="106">
        <f>'2019'!AE345</f>
        <v>245</v>
      </c>
      <c r="AB47" s="106">
        <f>'2019'!AF345</f>
      </c>
      <c r="AC47" s="119">
        <f>'2019'!AG345</f>
        <v>2534</v>
      </c>
      <c r="AD47" s="119">
        <f>'2019'!AH345</f>
        <v>124</v>
      </c>
      <c r="AE47" s="106">
        <f>'2019'!AI345</f>
        <v>310</v>
      </c>
      <c r="AF47" s="106">
        <f>'2019'!AJ345</f>
        <v>926.01</v>
      </c>
      <c r="AG47" s="119">
        <f>'2019'!AK345</f>
        <v>2646</v>
      </c>
      <c r="AH47" s="119">
        <f>'2019'!AL345</f>
        <v>112</v>
      </c>
      <c r="AI47" s="106">
        <f>'2019'!AM345</f>
        <v>280</v>
      </c>
      <c r="AJ47" s="106">
        <f>'2019'!AN345</f>
        <v>480</v>
      </c>
      <c r="AK47" s="119">
        <f>'2019'!AO345</f>
        <v>2765</v>
      </c>
      <c r="AL47" s="119">
        <f>'2019'!AP345</f>
        <v>119</v>
      </c>
      <c r="AM47" s="106">
        <f>'2019'!AQ345</f>
        <v>297.5</v>
      </c>
      <c r="AN47" s="106">
        <f>'2019'!AR345</f>
      </c>
      <c r="AO47" s="119">
        <f>'2019'!AS345</f>
        <v>2834</v>
      </c>
      <c r="AP47" s="119">
        <f>'2019'!AT345</f>
        <v>69</v>
      </c>
      <c r="AQ47" s="106">
        <f>'2019'!AU345</f>
        <v>172.5</v>
      </c>
      <c r="AR47" s="106">
        <f>'2019'!AV345</f>
      </c>
      <c r="AS47" s="119">
        <f>'2019'!AW345</f>
        <v>2834</v>
      </c>
      <c r="AT47" s="119">
        <f>'2019'!AX345</f>
        <v>0</v>
      </c>
      <c r="AU47" s="106">
        <f>'2019'!AY345</f>
        <v>0</v>
      </c>
      <c r="AV47" s="106">
        <f>'2019'!AZ345</f>
      </c>
      <c r="AW47" s="106"/>
      <c r="AX47" s="106">
        <f t="shared" si="0"/>
        <v>0</v>
      </c>
      <c r="AY47" s="119">
        <f>'2019'!BA345</f>
        <v>2834</v>
      </c>
      <c r="AZ47" s="119">
        <f>'2019'!BB345</f>
        <v>0</v>
      </c>
      <c r="BA47" s="106">
        <f>'2019'!BC345</f>
        <v>0</v>
      </c>
      <c r="BB47" s="106">
        <f>'2019'!BD345</f>
      </c>
      <c r="BC47" s="106"/>
      <c r="BD47" s="106"/>
      <c r="BE47" s="119">
        <f>'2019'!BE345</f>
        <v>619</v>
      </c>
      <c r="BF47" s="106">
        <f>'2019'!BF345</f>
        <v>1546.53</v>
      </c>
      <c r="BG47" s="106">
        <f>'2019'!BG345</f>
        <v>1406.01</v>
      </c>
      <c r="BH47" s="106">
        <f>'2019'!BH345</f>
        <v>270</v>
      </c>
      <c r="BI47" s="106">
        <f t="shared" si="1"/>
        <v>0</v>
      </c>
      <c r="BJ47" s="124">
        <f t="shared" si="2"/>
        <v>270</v>
      </c>
    </row>
    <row r="48" ht="15.75" customHeight="1" spans="1:62" x14ac:dyDescent="0.25">
      <c r="A48" s="14"/>
      <c r="B48" s="115">
        <v>47</v>
      </c>
      <c r="C48" s="116">
        <v>5</v>
      </c>
      <c r="D48" s="117" t="s">
        <v>192</v>
      </c>
      <c r="E48" s="119">
        <f>'2019'!I353</f>
        <v>165</v>
      </c>
      <c r="F48" s="119">
        <f>'2019'!J353</f>
        <v>0</v>
      </c>
      <c r="G48" s="106">
        <f>'2019'!K353</f>
        <v>0</v>
      </c>
      <c r="H48" s="106">
        <f>'2019'!L353</f>
      </c>
      <c r="I48" s="119">
        <f>'2019'!M353</f>
        <v>165</v>
      </c>
      <c r="J48" s="119">
        <f>'2019'!N353</f>
        <v>0</v>
      </c>
      <c r="K48" s="106">
        <f>'2019'!O353</f>
        <v>0</v>
      </c>
      <c r="L48" s="106">
        <f>'2019'!P353</f>
      </c>
      <c r="M48" s="119">
        <f>'2019'!Q353</f>
        <v>165</v>
      </c>
      <c r="N48" s="119">
        <f>'2019'!R353</f>
        <v>0</v>
      </c>
      <c r="O48" s="165">
        <f>'2019'!S353</f>
        <v>0</v>
      </c>
      <c r="P48" s="165">
        <f>'2019'!T353</f>
      </c>
      <c r="Q48" s="119">
        <f>'2019'!U353</f>
        <v>165</v>
      </c>
      <c r="R48" s="119">
        <f>'2019'!V353</f>
        <v>0</v>
      </c>
      <c r="S48" s="106">
        <f>'2019'!W353</f>
        <v>0</v>
      </c>
      <c r="T48" s="106">
        <f>'2019'!X353</f>
      </c>
      <c r="U48" s="119">
        <f>'2019'!Y353</f>
        <v>165</v>
      </c>
      <c r="V48" s="119">
        <f>'2019'!Z353</f>
        <v>0</v>
      </c>
      <c r="W48" s="106">
        <f>'2019'!AA353</f>
        <v>0</v>
      </c>
      <c r="X48" s="106">
        <f>'2019'!AB353</f>
      </c>
      <c r="Y48" s="119">
        <f>'2019'!AC353</f>
        <v>165</v>
      </c>
      <c r="Z48" s="119">
        <f>'2019'!AD353</f>
        <v>0</v>
      </c>
      <c r="AA48" s="106">
        <f>'2019'!AE353</f>
        <v>0</v>
      </c>
      <c r="AB48" s="106">
        <f>'2019'!AF353</f>
      </c>
      <c r="AC48" s="119">
        <f>'2019'!AG353</f>
        <v>165</v>
      </c>
      <c r="AD48" s="119">
        <f>'2019'!AH353</f>
        <v>0</v>
      </c>
      <c r="AE48" s="106">
        <f>'2019'!AI353</f>
        <v>0</v>
      </c>
      <c r="AF48" s="106">
        <f>'2019'!AJ353</f>
      </c>
      <c r="AG48" s="119">
        <f>'2019'!AK353</f>
        <v>165</v>
      </c>
      <c r="AH48" s="119">
        <f>'2019'!AL353</f>
        <v>0</v>
      </c>
      <c r="AI48" s="106">
        <f>'2019'!AM353</f>
        <v>0</v>
      </c>
      <c r="AJ48" s="106">
        <f>'2019'!AN353</f>
      </c>
      <c r="AK48" s="119">
        <f>'2019'!AO353</f>
        <v>165</v>
      </c>
      <c r="AL48" s="119">
        <f>'2019'!AP353</f>
        <v>0</v>
      </c>
      <c r="AM48" s="106">
        <f>'2019'!AQ353</f>
        <v>0</v>
      </c>
      <c r="AN48" s="106">
        <f>'2019'!AR353</f>
      </c>
      <c r="AO48" s="119">
        <f>'2019'!AS353</f>
        <v>165</v>
      </c>
      <c r="AP48" s="119">
        <f>'2019'!AT353</f>
        <v>0</v>
      </c>
      <c r="AQ48" s="106">
        <f>'2019'!AU353</f>
        <v>0</v>
      </c>
      <c r="AR48" s="106">
        <f>'2019'!AV353</f>
      </c>
      <c r="AS48" s="119">
        <f>'2019'!AW353</f>
        <v>165</v>
      </c>
      <c r="AT48" s="119">
        <f>'2019'!AX353</f>
        <v>0</v>
      </c>
      <c r="AU48" s="106">
        <f>'2019'!AY353</f>
        <v>0</v>
      </c>
      <c r="AV48" s="106">
        <f>'2019'!AZ353</f>
      </c>
      <c r="AW48" s="106"/>
      <c r="AX48" s="106">
        <f t="shared" si="0"/>
        <v>0</v>
      </c>
      <c r="AY48" s="119">
        <f>'2019'!BA353</f>
        <v>165</v>
      </c>
      <c r="AZ48" s="119">
        <f>'2019'!BB353</f>
        <v>0</v>
      </c>
      <c r="BA48" s="106">
        <f>'2019'!BC353</f>
        <v>0</v>
      </c>
      <c r="BB48" s="106">
        <f>'2019'!BD353</f>
      </c>
      <c r="BC48" s="106"/>
      <c r="BD48" s="106"/>
      <c r="BE48" s="119">
        <f>'2019'!BE353</f>
        <v>0</v>
      </c>
      <c r="BF48" s="106">
        <f>'2019'!BF353</f>
        <v>0</v>
      </c>
      <c r="BG48" s="106">
        <f>'2019'!BG353</f>
        <v>0</v>
      </c>
      <c r="BH48" s="106">
        <f>'2019'!BH353</f>
        <v>0</v>
      </c>
      <c r="BI48" s="106">
        <f t="shared" si="1"/>
        <v>0</v>
      </c>
      <c r="BJ48" s="124">
        <f t="shared" si="2"/>
        <v>0</v>
      </c>
    </row>
    <row r="49" ht="15.75" customHeight="1" spans="1:62" x14ac:dyDescent="0.25">
      <c r="A49" s="14"/>
      <c r="B49" s="115">
        <v>48</v>
      </c>
      <c r="C49" s="115">
        <v>5.93</v>
      </c>
      <c r="D49" s="117" t="s">
        <v>97</v>
      </c>
      <c r="E49" s="119">
        <f>'2019'!I361</f>
      </c>
      <c r="F49" s="119">
        <f>'2019'!J361</f>
      </c>
      <c r="G49" s="106">
        <f>'2019'!K361</f>
        <v>0</v>
      </c>
      <c r="H49" s="106">
        <f>'2019'!L361</f>
      </c>
      <c r="I49" s="119">
        <f>'2019'!M361</f>
      </c>
      <c r="J49" s="119">
        <f>'2019'!N361</f>
        <v>0</v>
      </c>
      <c r="K49" s="106">
        <f>'2019'!O361</f>
        <v>0</v>
      </c>
      <c r="L49" s="106">
        <f>'2019'!P361</f>
      </c>
      <c r="M49" s="119">
        <f>'2019'!Q361</f>
      </c>
      <c r="N49" s="119">
        <f>'2019'!R361</f>
        <v>0</v>
      </c>
      <c r="O49" s="165">
        <f>'2019'!S361</f>
        <v>0</v>
      </c>
      <c r="P49" s="165">
        <f>'2019'!T361</f>
      </c>
      <c r="Q49" s="119">
        <f>'2019'!U361</f>
      </c>
      <c r="R49" s="119">
        <f>'2019'!V361</f>
        <v>0</v>
      </c>
      <c r="S49" s="106">
        <f>'2019'!W361</f>
      </c>
      <c r="T49" s="106">
        <f>'2019'!X361</f>
      </c>
      <c r="U49" s="119">
        <f>'2019'!Y361</f>
      </c>
      <c r="V49" s="119">
        <f>'2019'!Z361</f>
        <v>0</v>
      </c>
      <c r="W49" s="106">
        <f>'2019'!AA361</f>
        <v>0</v>
      </c>
      <c r="X49" s="106">
        <f>'2019'!AB361</f>
      </c>
      <c r="Y49" s="119">
        <f>'2019'!AC361</f>
      </c>
      <c r="Z49" s="119">
        <f>'2019'!AD361</f>
        <v>0</v>
      </c>
      <c r="AA49" s="106">
        <f>'2019'!AE361</f>
        <v>0</v>
      </c>
      <c r="AB49" s="106">
        <f>'2019'!AF361</f>
      </c>
      <c r="AC49" s="119">
        <f>'2019'!AG361</f>
      </c>
      <c r="AD49" s="119">
        <f>'2019'!AH361</f>
        <v>0</v>
      </c>
      <c r="AE49" s="106">
        <f>'2019'!AI361</f>
        <v>0</v>
      </c>
      <c r="AF49" s="106">
        <f>'2019'!AJ361</f>
      </c>
      <c r="AG49" s="119">
        <f>'2019'!AK361</f>
      </c>
      <c r="AH49" s="119">
        <f>'2019'!AL361</f>
        <v>0</v>
      </c>
      <c r="AI49" s="106">
        <f>'2019'!AM361</f>
        <v>0</v>
      </c>
      <c r="AJ49" s="106">
        <f>'2019'!AN361</f>
      </c>
      <c r="AK49" s="119">
        <f>'2019'!AO361</f>
      </c>
      <c r="AL49" s="119">
        <f>'2019'!AP361</f>
        <v>0</v>
      </c>
      <c r="AM49" s="106">
        <f>'2019'!AQ361</f>
        <v>0</v>
      </c>
      <c r="AN49" s="106">
        <f>'2019'!AR361</f>
      </c>
      <c r="AO49" s="119">
        <f>'2019'!AS361</f>
      </c>
      <c r="AP49" s="119">
        <f>'2019'!AT361</f>
        <v>0</v>
      </c>
      <c r="AQ49" s="106">
        <f>'2019'!AU361</f>
        <v>0</v>
      </c>
      <c r="AR49" s="106">
        <f>'2019'!AV361</f>
      </c>
      <c r="AS49" s="119">
        <f>'2019'!AW361</f>
      </c>
      <c r="AT49" s="119">
        <f>'2019'!AX361</f>
        <v>0</v>
      </c>
      <c r="AU49" s="106">
        <f>'2019'!AY361</f>
        <v>0</v>
      </c>
      <c r="AV49" s="106">
        <f>'2019'!AZ361</f>
      </c>
      <c r="AW49" s="106"/>
      <c r="AX49" s="106">
        <f t="shared" si="0"/>
        <v>0</v>
      </c>
      <c r="AY49" s="119">
        <f>'2019'!BA361</f>
      </c>
      <c r="AZ49" s="119">
        <f>'2019'!BB361</f>
        <v>0</v>
      </c>
      <c r="BA49" s="106">
        <f>'2019'!BC361</f>
        <v>0</v>
      </c>
      <c r="BB49" s="106">
        <f>'2019'!BD361</f>
      </c>
      <c r="BC49" s="106"/>
      <c r="BD49" s="106"/>
      <c r="BE49" s="119">
        <f>'2019'!BE361</f>
        <v>0</v>
      </c>
      <c r="BF49" s="106">
        <f>'2019'!BF361</f>
        <v>0</v>
      </c>
      <c r="BG49" s="106">
        <f>'2019'!BG361</f>
        <v>0</v>
      </c>
      <c r="BH49" s="106">
        <f>'2019'!BH361</f>
        <v>0</v>
      </c>
      <c r="BI49" s="106">
        <f t="shared" si="1"/>
        <v>0</v>
      </c>
      <c r="BJ49" s="124">
        <f t="shared" si="2"/>
        <v>0</v>
      </c>
    </row>
    <row r="50" ht="15.75" customHeight="1" spans="1:62" x14ac:dyDescent="0.25">
      <c r="A50" s="14"/>
      <c r="B50" s="115">
        <v>49</v>
      </c>
      <c r="C50" s="115">
        <v>5.03</v>
      </c>
      <c r="D50" s="117" t="s">
        <v>197</v>
      </c>
      <c r="E50" s="119">
        <f>'2019'!I369</f>
      </c>
      <c r="F50" s="119">
        <f>'2019'!J369</f>
      </c>
      <c r="G50" s="106">
        <f>'2019'!K369</f>
        <v>0</v>
      </c>
      <c r="H50" s="106">
        <f>'2019'!L369</f>
      </c>
      <c r="I50" s="119">
        <f>'2019'!M369</f>
      </c>
      <c r="J50" s="119">
        <f>'2019'!N369</f>
        <v>0</v>
      </c>
      <c r="K50" s="106">
        <f>'2019'!O369</f>
        <v>0</v>
      </c>
      <c r="L50" s="106">
        <f>'2019'!P369</f>
      </c>
      <c r="M50" s="119">
        <f>'2019'!Q369</f>
      </c>
      <c r="N50" s="119">
        <f>'2019'!R369</f>
        <v>0</v>
      </c>
      <c r="O50" s="165">
        <f>'2019'!S369</f>
        <v>0</v>
      </c>
      <c r="P50" s="165">
        <f>'2019'!T369</f>
      </c>
      <c r="Q50" s="119">
        <f>'2019'!U369</f>
      </c>
      <c r="R50" s="119">
        <f>'2019'!V369</f>
        <v>0</v>
      </c>
      <c r="S50" s="106">
        <f>'2019'!W369</f>
      </c>
      <c r="T50" s="106">
        <f>'2019'!X369</f>
      </c>
      <c r="U50" s="119">
        <f>'2019'!Y369</f>
      </c>
      <c r="V50" s="119">
        <f>'2019'!Z369</f>
        <v>0</v>
      </c>
      <c r="W50" s="106">
        <f>'2019'!AA369</f>
        <v>0</v>
      </c>
      <c r="X50" s="106">
        <f>'2019'!AB369</f>
      </c>
      <c r="Y50" s="119">
        <f>'2019'!AC369</f>
      </c>
      <c r="Z50" s="119">
        <f>'2019'!AD369</f>
        <v>0</v>
      </c>
      <c r="AA50" s="106">
        <f>'2019'!AE369</f>
        <v>0</v>
      </c>
      <c r="AB50" s="106">
        <f>'2019'!AF369</f>
      </c>
      <c r="AC50" s="119">
        <f>'2019'!AG369</f>
      </c>
      <c r="AD50" s="119">
        <f>'2019'!AH369</f>
        <v>0</v>
      </c>
      <c r="AE50" s="106">
        <f>'2019'!AI369</f>
        <v>0</v>
      </c>
      <c r="AF50" s="106">
        <f>'2019'!AJ369</f>
      </c>
      <c r="AG50" s="119">
        <f>'2019'!AK369</f>
      </c>
      <c r="AH50" s="119">
        <f>'2019'!AL369</f>
        <v>0</v>
      </c>
      <c r="AI50" s="106">
        <f>'2019'!AM369</f>
        <v>0</v>
      </c>
      <c r="AJ50" s="106">
        <f>'2019'!AN369</f>
      </c>
      <c r="AK50" s="119">
        <f>'2019'!AO369</f>
      </c>
      <c r="AL50" s="119">
        <f>'2019'!AP369</f>
        <v>0</v>
      </c>
      <c r="AM50" s="106">
        <f>'2019'!AQ369</f>
        <v>0</v>
      </c>
      <c r="AN50" s="106">
        <f>'2019'!AR369</f>
      </c>
      <c r="AO50" s="119">
        <f>'2019'!AS369</f>
      </c>
      <c r="AP50" s="119">
        <f>'2019'!AT369</f>
        <v>0</v>
      </c>
      <c r="AQ50" s="106">
        <f>'2019'!AU369</f>
        <v>0</v>
      </c>
      <c r="AR50" s="106">
        <f>'2019'!AV369</f>
      </c>
      <c r="AS50" s="119">
        <f>'2019'!AW369</f>
      </c>
      <c r="AT50" s="119">
        <f>'2019'!AX369</f>
        <v>0</v>
      </c>
      <c r="AU50" s="106">
        <f>'2019'!AY369</f>
        <v>0</v>
      </c>
      <c r="AV50" s="106">
        <f>'2019'!AZ369</f>
      </c>
      <c r="AW50" s="106"/>
      <c r="AX50" s="106">
        <f t="shared" si="0"/>
        <v>0</v>
      </c>
      <c r="AY50" s="119">
        <f>'2019'!BA369</f>
      </c>
      <c r="AZ50" s="119">
        <f>'2019'!BB369</f>
        <v>0</v>
      </c>
      <c r="BA50" s="106">
        <f>'2019'!BC369</f>
        <v>0</v>
      </c>
      <c r="BB50" s="106">
        <f>'2019'!BD369</f>
      </c>
      <c r="BC50" s="106"/>
      <c r="BD50" s="106"/>
      <c r="BE50" s="119">
        <f>'2019'!BE369</f>
        <v>0</v>
      </c>
      <c r="BF50" s="106">
        <f>'2019'!BF369</f>
        <v>0</v>
      </c>
      <c r="BG50" s="106">
        <f>'2019'!BG369</f>
        <v>0</v>
      </c>
      <c r="BH50" s="106">
        <f>'2019'!BH369</f>
        <v>0</v>
      </c>
      <c r="BI50" s="106">
        <f t="shared" si="1"/>
        <v>0</v>
      </c>
      <c r="BJ50" s="124">
        <f t="shared" si="2"/>
        <v>0</v>
      </c>
    </row>
    <row r="51" ht="15.75" customHeight="1" spans="1:62" x14ac:dyDescent="0.25">
      <c r="A51" s="14"/>
      <c r="B51" s="125">
        <v>50</v>
      </c>
      <c r="C51" s="115">
        <v>6.05</v>
      </c>
      <c r="D51" s="117" t="s">
        <v>200</v>
      </c>
      <c r="E51" s="119">
        <f>'2019'!I377</f>
        <v>1387</v>
      </c>
      <c r="F51" s="119">
        <f>'2019'!J377</f>
        <v>0</v>
      </c>
      <c r="G51" s="106">
        <f>'2019'!K377</f>
        <v>0</v>
      </c>
      <c r="H51" s="106">
        <f>'2019'!L377</f>
      </c>
      <c r="I51" s="119">
        <f>'2019'!M377</f>
        <v>1387</v>
      </c>
      <c r="J51" s="119">
        <f>'2019'!N377</f>
        <v>0</v>
      </c>
      <c r="K51" s="106">
        <f>'2019'!O377</f>
        <v>0</v>
      </c>
      <c r="L51" s="106">
        <f>'2019'!P377</f>
      </c>
      <c r="M51" s="119">
        <f>'2019'!Q377</f>
        <v>1387</v>
      </c>
      <c r="N51" s="119">
        <f>'2019'!R377</f>
        <v>0</v>
      </c>
      <c r="O51" s="165">
        <f>'2019'!S377</f>
        <v>0</v>
      </c>
      <c r="P51" s="165">
        <f>'2019'!T377</f>
      </c>
      <c r="Q51" s="119">
        <f>'2019'!U377</f>
        <v>1392</v>
      </c>
      <c r="R51" s="119">
        <f>'2019'!V377</f>
        <v>5</v>
      </c>
      <c r="S51" s="106">
        <f>'2019'!W377</f>
        <v>12.45</v>
      </c>
      <c r="T51" s="106">
        <f>'2019'!X377</f>
      </c>
      <c r="U51" s="119">
        <f>'2019'!Y377</f>
        <v>1512</v>
      </c>
      <c r="V51" s="119">
        <f>'2019'!Z377</f>
        <v>120</v>
      </c>
      <c r="W51" s="106">
        <f>'2019'!AA377</f>
        <v>298.8</v>
      </c>
      <c r="X51" s="106">
        <f>'2019'!AB377</f>
      </c>
      <c r="Y51" s="119">
        <f>'2019'!AC377</f>
        <v>1566</v>
      </c>
      <c r="Z51" s="119">
        <f>'2019'!AD377</f>
        <v>54</v>
      </c>
      <c r="AA51" s="106">
        <f>'2019'!AE377</f>
        <v>135</v>
      </c>
      <c r="AB51" s="106">
        <f>'2019'!AF377</f>
        <v>754.47</v>
      </c>
      <c r="AC51" s="119">
        <f>'2019'!AG377</f>
        <v>1667</v>
      </c>
      <c r="AD51" s="119">
        <f>'2019'!AH377</f>
        <v>101</v>
      </c>
      <c r="AE51" s="106">
        <f>'2019'!AI377</f>
        <v>252.5</v>
      </c>
      <c r="AF51" s="106">
        <f>'2019'!AJ377</f>
      </c>
      <c r="AG51" s="119">
        <f>'2019'!AK377</f>
        <v>1780</v>
      </c>
      <c r="AH51" s="119">
        <f>'2019'!AL377</f>
        <v>113</v>
      </c>
      <c r="AI51" s="106">
        <f>'2019'!AM377</f>
        <v>282.5</v>
      </c>
      <c r="AJ51" s="106">
        <f>'2019'!AN377</f>
      </c>
      <c r="AK51" s="119">
        <f>'2019'!AO377</f>
        <v>1869</v>
      </c>
      <c r="AL51" s="119">
        <f>'2019'!AP377</f>
        <v>89</v>
      </c>
      <c r="AM51" s="106">
        <f>'2019'!AQ377</f>
        <v>222.5</v>
      </c>
      <c r="AN51" s="106">
        <f>'2019'!AR377</f>
        <v>670</v>
      </c>
      <c r="AO51" s="119">
        <f>'2019'!AS377</f>
        <v>2313</v>
      </c>
      <c r="AP51" s="119">
        <f>'2019'!AT377</f>
        <v>444</v>
      </c>
      <c r="AQ51" s="106">
        <f>'2019'!AU377</f>
        <v>1110</v>
      </c>
      <c r="AR51" s="106">
        <f>'2019'!AV377</f>
        <v>222.5</v>
      </c>
      <c r="AS51" s="119">
        <f>'2019'!AW377</f>
        <v>2382</v>
      </c>
      <c r="AT51" s="119">
        <f>'2019'!AX377</f>
        <v>69</v>
      </c>
      <c r="AU51" s="106">
        <f>'2019'!AY377</f>
        <v>172.5</v>
      </c>
      <c r="AV51" s="106">
        <f>'2019'!AZ377</f>
        <v>1110</v>
      </c>
      <c r="AW51" s="106"/>
      <c r="AX51" s="106">
        <f t="shared" si="0"/>
        <v>0</v>
      </c>
      <c r="AY51" s="119">
        <f>'2019'!BA377</f>
        <v>2406</v>
      </c>
      <c r="AZ51" s="119">
        <f>'2019'!BB377</f>
        <v>24</v>
      </c>
      <c r="BA51" s="106">
        <f>'2019'!BC377</f>
        <v>60</v>
      </c>
      <c r="BB51" s="106">
        <f>'2019'!BD377</f>
        <v>180</v>
      </c>
      <c r="BC51" s="106"/>
      <c r="BD51" s="106"/>
      <c r="BE51" s="119">
        <f>'2019'!BE377</f>
        <v>1019</v>
      </c>
      <c r="BF51" s="106">
        <f>'2019'!BF377</f>
        <v>2546.25</v>
      </c>
      <c r="BG51" s="106">
        <f>'2019'!BG377</f>
        <v>2936.97</v>
      </c>
      <c r="BH51" s="106">
        <f>'2019'!BH377</f>
        <v>52.5</v>
      </c>
      <c r="BI51" s="106">
        <f t="shared" si="1"/>
        <v>0</v>
      </c>
      <c r="BJ51" s="124">
        <f t="shared" si="2"/>
        <v>52.5</v>
      </c>
    </row>
    <row r="52" ht="15.75" customHeight="1" spans="1:62" x14ac:dyDescent="0.25">
      <c r="A52" s="14"/>
      <c r="B52" s="115">
        <v>51</v>
      </c>
      <c r="C52" s="115">
        <v>4.95</v>
      </c>
      <c r="D52" s="117" t="s">
        <v>204</v>
      </c>
      <c r="E52" s="119">
        <f>'2019'!I385</f>
      </c>
      <c r="F52" s="119">
        <f>'2019'!J385</f>
      </c>
      <c r="G52" s="106">
        <f>'2019'!K385</f>
        <v>0</v>
      </c>
      <c r="H52" s="106">
        <f>'2019'!L385</f>
      </c>
      <c r="I52" s="119">
        <f>'2019'!M385</f>
      </c>
      <c r="J52" s="119">
        <f>'2019'!N385</f>
        <v>0</v>
      </c>
      <c r="K52" s="106">
        <f>'2019'!O385</f>
        <v>0</v>
      </c>
      <c r="L52" s="106">
        <f>'2019'!P385</f>
      </c>
      <c r="M52" s="119">
        <f>'2019'!Q385</f>
      </c>
      <c r="N52" s="119">
        <f>'2019'!R385</f>
        <v>0</v>
      </c>
      <c r="O52" s="165">
        <f>'2019'!S385</f>
        <v>0</v>
      </c>
      <c r="P52" s="165">
        <f>'2019'!T385</f>
      </c>
      <c r="Q52" s="119">
        <f>'2019'!U385</f>
      </c>
      <c r="R52" s="119">
        <f>'2019'!V385</f>
        <v>0</v>
      </c>
      <c r="S52" s="106">
        <f>'2019'!W385</f>
      </c>
      <c r="T52" s="106">
        <f>'2019'!X385</f>
      </c>
      <c r="U52" s="119">
        <f>'2019'!Y385</f>
      </c>
      <c r="V52" s="119">
        <f>'2019'!Z385</f>
        <v>0</v>
      </c>
      <c r="W52" s="106">
        <f>'2019'!AA385</f>
        <v>0</v>
      </c>
      <c r="X52" s="106">
        <f>'2019'!AB385</f>
      </c>
      <c r="Y52" s="119">
        <f>'2019'!AC385</f>
      </c>
      <c r="Z52" s="119">
        <f>'2019'!AD385</f>
        <v>0</v>
      </c>
      <c r="AA52" s="106">
        <f>'2019'!AE385</f>
        <v>0</v>
      </c>
      <c r="AB52" s="106">
        <f>'2019'!AF385</f>
      </c>
      <c r="AC52" s="119">
        <f>'2019'!AG385</f>
      </c>
      <c r="AD52" s="119">
        <f>'2019'!AH385</f>
        <v>0</v>
      </c>
      <c r="AE52" s="106">
        <f>'2019'!AI385</f>
        <v>0</v>
      </c>
      <c r="AF52" s="106">
        <f>'2019'!AJ385</f>
      </c>
      <c r="AG52" s="119">
        <f>'2019'!AK385</f>
      </c>
      <c r="AH52" s="119">
        <f>'2019'!AL385</f>
        <v>0</v>
      </c>
      <c r="AI52" s="106">
        <f>'2019'!AM385</f>
        <v>0</v>
      </c>
      <c r="AJ52" s="106">
        <f>'2019'!AN385</f>
      </c>
      <c r="AK52" s="119">
        <f>'2019'!AO385</f>
      </c>
      <c r="AL52" s="119">
        <f>'2019'!AP385</f>
        <v>0</v>
      </c>
      <c r="AM52" s="106">
        <f>'2019'!AQ385</f>
        <v>0</v>
      </c>
      <c r="AN52" s="106">
        <f>'2019'!AR385</f>
      </c>
      <c r="AO52" s="119">
        <f>'2019'!AS385</f>
      </c>
      <c r="AP52" s="119">
        <f>'2019'!AT385</f>
        <v>0</v>
      </c>
      <c r="AQ52" s="106">
        <f>'2019'!AU385</f>
        <v>0</v>
      </c>
      <c r="AR52" s="106">
        <f>'2019'!AV385</f>
      </c>
      <c r="AS52" s="119">
        <f>'2019'!AW385</f>
      </c>
      <c r="AT52" s="119">
        <f>'2019'!AX385</f>
        <v>0</v>
      </c>
      <c r="AU52" s="106">
        <f>'2019'!AY385</f>
        <v>0</v>
      </c>
      <c r="AV52" s="106">
        <f>'2019'!AZ385</f>
      </c>
      <c r="AW52" s="106"/>
      <c r="AX52" s="106">
        <f t="shared" si="0"/>
        <v>0</v>
      </c>
      <c r="AY52" s="119">
        <f>'2019'!BA385</f>
      </c>
      <c r="AZ52" s="119">
        <f>'2019'!BB385</f>
        <v>0</v>
      </c>
      <c r="BA52" s="106">
        <f>'2019'!BC385</f>
        <v>0</v>
      </c>
      <c r="BB52" s="106">
        <f>'2019'!BD385</f>
      </c>
      <c r="BC52" s="106"/>
      <c r="BD52" s="106"/>
      <c r="BE52" s="119">
        <f>'2019'!BE385</f>
        <v>0</v>
      </c>
      <c r="BF52" s="106">
        <f>'2019'!BF385</f>
        <v>0</v>
      </c>
      <c r="BG52" s="106">
        <f>'2019'!BG385</f>
        <v>0</v>
      </c>
      <c r="BH52" s="106">
        <f>'2019'!BH385</f>
        <v>0</v>
      </c>
      <c r="BI52" s="106">
        <f t="shared" si="1"/>
        <v>0</v>
      </c>
      <c r="BJ52" s="124">
        <f t="shared" si="2"/>
        <v>0</v>
      </c>
    </row>
    <row r="53" ht="15.75" customHeight="1" spans="1:62" x14ac:dyDescent="0.25">
      <c r="A53" s="14"/>
      <c r="B53" s="115">
        <v>52</v>
      </c>
      <c r="C53" s="116">
        <v>5</v>
      </c>
      <c r="D53" s="117" t="s">
        <v>206</v>
      </c>
      <c r="E53" s="119">
        <f>'2019'!I393</f>
        <v>63</v>
      </c>
      <c r="F53" s="119">
        <f>'2019'!J393</f>
        <v>0</v>
      </c>
      <c r="G53" s="106">
        <f>'2019'!K393</f>
        <v>0</v>
      </c>
      <c r="H53" s="106">
        <f>'2019'!L393</f>
      </c>
      <c r="I53" s="119">
        <f>'2019'!M393</f>
        <v>63</v>
      </c>
      <c r="J53" s="119">
        <f>'2019'!N393</f>
        <v>0</v>
      </c>
      <c r="K53" s="106">
        <f>'2019'!O393</f>
        <v>0</v>
      </c>
      <c r="L53" s="106">
        <f>'2019'!P393</f>
      </c>
      <c r="M53" s="119">
        <f>'2019'!Q393</f>
        <v>63</v>
      </c>
      <c r="N53" s="119">
        <f>'2019'!R393</f>
        <v>0</v>
      </c>
      <c r="O53" s="165">
        <f>'2019'!S393</f>
        <v>0</v>
      </c>
      <c r="P53" s="165">
        <f>'2019'!T393</f>
      </c>
      <c r="Q53" s="119">
        <f>'2019'!U393</f>
        <v>64</v>
      </c>
      <c r="R53" s="119">
        <f>'2019'!V393</f>
        <v>1</v>
      </c>
      <c r="S53" s="106">
        <f>'2019'!W393</f>
        <v>2.49</v>
      </c>
      <c r="T53" s="106">
        <f>'2019'!X393</f>
      </c>
      <c r="U53" s="119">
        <f>'2019'!Y393</f>
        <v>68</v>
      </c>
      <c r="V53" s="119">
        <f>'2019'!Z393</f>
        <v>4</v>
      </c>
      <c r="W53" s="106">
        <f>'2019'!AA393</f>
        <v>9.96</v>
      </c>
      <c r="X53" s="106">
        <f>'2019'!AB393</f>
      </c>
      <c r="Y53" s="119">
        <f>'2019'!AC393</f>
        <v>72</v>
      </c>
      <c r="Z53" s="119">
        <f>'2019'!AD393</f>
        <v>4</v>
      </c>
      <c r="AA53" s="106">
        <f>'2019'!AE393</f>
        <v>10</v>
      </c>
      <c r="AB53" s="106">
        <f>'2019'!AF393</f>
        <v>24.94</v>
      </c>
      <c r="AC53" s="119">
        <f>'2019'!AG393</f>
        <v>76</v>
      </c>
      <c r="AD53" s="119">
        <f>'2019'!AH393</f>
        <v>4</v>
      </c>
      <c r="AE53" s="106">
        <f>'2019'!AI393</f>
        <v>10</v>
      </c>
      <c r="AF53" s="106">
        <f>'2019'!AJ393</f>
      </c>
      <c r="AG53" s="119">
        <f>'2019'!AK393</f>
        <v>83</v>
      </c>
      <c r="AH53" s="119">
        <f>'2019'!AL393</f>
        <v>7</v>
      </c>
      <c r="AI53" s="106">
        <f>'2019'!AM393</f>
        <v>17.5</v>
      </c>
      <c r="AJ53" s="106">
        <f>'2019'!AN393</f>
        <v>48.3</v>
      </c>
      <c r="AK53" s="119">
        <f>'2019'!AO393</f>
        <v>91</v>
      </c>
      <c r="AL53" s="119">
        <f>'2019'!AP393</f>
        <v>8</v>
      </c>
      <c r="AM53" s="106">
        <f>'2019'!AQ393</f>
        <v>20</v>
      </c>
      <c r="AN53" s="106">
        <f>'2019'!AR393</f>
      </c>
      <c r="AO53" s="119">
        <f>'2019'!AS393</f>
        <v>95</v>
      </c>
      <c r="AP53" s="119">
        <f>'2019'!AT393</f>
        <v>4</v>
      </c>
      <c r="AQ53" s="106">
        <f>'2019'!AU393</f>
        <v>10</v>
      </c>
      <c r="AR53" s="106">
        <f>'2019'!AV393</f>
      </c>
      <c r="AS53" s="119">
        <f>'2019'!AW393</f>
        <v>95</v>
      </c>
      <c r="AT53" s="119">
        <f>'2019'!AX393</f>
        <v>0</v>
      </c>
      <c r="AU53" s="106">
        <f>'2019'!AY393</f>
        <v>0</v>
      </c>
      <c r="AV53" s="106">
        <f>'2019'!AZ393</f>
      </c>
      <c r="AW53" s="106"/>
      <c r="AX53" s="106">
        <f t="shared" si="0"/>
        <v>0</v>
      </c>
      <c r="AY53" s="119">
        <f>'2019'!BA393</f>
        <v>95</v>
      </c>
      <c r="AZ53" s="119">
        <f>'2019'!BB393</f>
        <v>0</v>
      </c>
      <c r="BA53" s="106">
        <f>'2019'!BC393</f>
        <v>0</v>
      </c>
      <c r="BB53" s="106">
        <f>'2019'!BD393</f>
      </c>
      <c r="BC53" s="106"/>
      <c r="BD53" s="106"/>
      <c r="BE53" s="119">
        <f>'2019'!BE393</f>
        <v>32</v>
      </c>
      <c r="BF53" s="106">
        <f>'2019'!BF393</f>
        <v>79.95</v>
      </c>
      <c r="BG53" s="106">
        <f>'2019'!BG393</f>
        <v>73.24</v>
      </c>
      <c r="BH53" s="106">
        <f>'2019'!BH393</f>
        <v>9.2</v>
      </c>
      <c r="BI53" s="106">
        <f t="shared" si="1"/>
        <v>0</v>
      </c>
      <c r="BJ53" s="124">
        <f t="shared" si="2"/>
        <v>9.2</v>
      </c>
    </row>
    <row r="54" ht="15.75" customHeight="1" spans="1:62" x14ac:dyDescent="0.25">
      <c r="A54" s="14"/>
      <c r="B54" s="125">
        <v>53</v>
      </c>
      <c r="C54" s="115">
        <v>5.05</v>
      </c>
      <c r="D54" s="117" t="s">
        <v>210</v>
      </c>
      <c r="E54" s="119">
        <f>'2019'!I401</f>
        <v>4537</v>
      </c>
      <c r="F54" s="119">
        <f>'2019'!J401</f>
        <v>497</v>
      </c>
      <c r="G54" s="106">
        <f>'2019'!K401</f>
        <v>1237.53</v>
      </c>
      <c r="H54" s="106">
        <f>'2019'!L401</f>
        <v>350</v>
      </c>
      <c r="I54" s="119">
        <f>'2019'!M401</f>
        <v>5272</v>
      </c>
      <c r="J54" s="119">
        <f>'2019'!N401</f>
        <v>735</v>
      </c>
      <c r="K54" s="106">
        <f>'2019'!O401</f>
        <v>1830.15</v>
      </c>
      <c r="L54" s="106">
        <f>'2019'!P401</f>
        <v>750</v>
      </c>
      <c r="M54" s="119">
        <f>'2019'!Q401</f>
        <v>5765</v>
      </c>
      <c r="N54" s="119">
        <f>'2019'!R401</f>
        <v>493</v>
      </c>
      <c r="O54" s="106">
        <f>'2019'!S401</f>
        <v>1227.57</v>
      </c>
      <c r="P54" s="106">
        <f>'2019'!T401</f>
      </c>
      <c r="Q54" s="119">
        <f>'2019'!U401</f>
        <v>5887</v>
      </c>
      <c r="R54" s="119">
        <f>'2019'!V401</f>
        <v>122</v>
      </c>
      <c r="S54" s="106">
        <f>'2019'!W401</f>
        <v>303.78</v>
      </c>
      <c r="T54" s="106">
        <f>'2019'!X401</f>
        <v>400</v>
      </c>
      <c r="U54" s="119">
        <f>'2019'!Y401</f>
        <v>5982</v>
      </c>
      <c r="V54" s="119">
        <f>'2019'!Z401</f>
        <v>95</v>
      </c>
      <c r="W54" s="106">
        <f>'2019'!AA401</f>
        <v>236.55</v>
      </c>
      <c r="X54" s="106">
        <f>'2019'!AB401</f>
        <v>2780</v>
      </c>
      <c r="Y54" s="119">
        <f>'2019'!AC401</f>
        <v>6063</v>
      </c>
      <c r="Z54" s="119">
        <f>'2019'!AD401</f>
        <v>81</v>
      </c>
      <c r="AA54" s="106">
        <f>'2019'!AE401</f>
        <v>202.5</v>
      </c>
      <c r="AB54" s="106">
        <f>'2019'!AF401</f>
        <v>1200</v>
      </c>
      <c r="AC54" s="119">
        <f>'2019'!AG401</f>
        <v>6213</v>
      </c>
      <c r="AD54" s="119">
        <f>'2019'!AH401</f>
        <v>150</v>
      </c>
      <c r="AE54" s="106">
        <f>'2019'!AI401</f>
        <v>375</v>
      </c>
      <c r="AF54" s="106">
        <f>'2019'!AJ401</f>
        <v>950</v>
      </c>
      <c r="AG54" s="119">
        <f>'2019'!AK401</f>
        <v>6294</v>
      </c>
      <c r="AH54" s="119">
        <f>'2019'!AL401</f>
        <v>81</v>
      </c>
      <c r="AI54" s="106">
        <f>'2019'!AM401</f>
        <v>202.5</v>
      </c>
      <c r="AJ54" s="106">
        <f>'2019'!AN401</f>
      </c>
      <c r="AK54" s="119">
        <f>'2019'!AO401</f>
        <v>6375</v>
      </c>
      <c r="AL54" s="119">
        <f>'2019'!AP401</f>
        <v>81</v>
      </c>
      <c r="AM54" s="106">
        <f>'2019'!AQ401</f>
        <v>202.5</v>
      </c>
      <c r="AN54" s="106">
        <f>'2019'!AR401</f>
      </c>
      <c r="AO54" s="119">
        <f>'2019'!AS401</f>
        <v>6587</v>
      </c>
      <c r="AP54" s="119">
        <f>'2019'!AT401</f>
        <v>212</v>
      </c>
      <c r="AQ54" s="106">
        <f>'2019'!AU401</f>
        <v>530</v>
      </c>
      <c r="AR54" s="106">
        <f>'2019'!AV401</f>
        <v>700</v>
      </c>
      <c r="AS54" s="126">
        <f>'2019'!AW401</f>
        <v>6607</v>
      </c>
      <c r="AT54" s="119">
        <f>'2019'!AX401</f>
        <v>20</v>
      </c>
      <c r="AU54" s="106">
        <f>'2019'!AY401</f>
        <v>50</v>
      </c>
      <c r="AV54" s="106">
        <f>'2019'!AZ401</f>
        <v>600</v>
      </c>
      <c r="AW54" s="119"/>
      <c r="AX54" s="106">
        <f t="shared" si="0"/>
        <v>0</v>
      </c>
      <c r="AY54" s="119">
        <f>'2019'!BA401</f>
        <v>6781</v>
      </c>
      <c r="AZ54" s="119">
        <f>'2019'!BB401</f>
        <v>174</v>
      </c>
      <c r="BA54" s="106">
        <f>'2019'!BC401</f>
        <v>435</v>
      </c>
      <c r="BB54" s="106">
        <f>'2019'!BD401</f>
        <v>350</v>
      </c>
      <c r="BC54" s="106"/>
      <c r="BD54" s="106"/>
      <c r="BE54" s="119">
        <f>'2019'!BE401</f>
        <v>2741</v>
      </c>
      <c r="BF54" s="106">
        <f>'2019'!BF401</f>
        <v>6833.08</v>
      </c>
      <c r="BG54" s="106">
        <f>'2019'!BG401</f>
        <v>8080</v>
      </c>
      <c r="BH54" s="106">
        <f>'2019'!BH401</f>
        <v>-1853.27</v>
      </c>
      <c r="BI54" s="106">
        <f t="shared" si="1"/>
        <v>0</v>
      </c>
      <c r="BJ54" s="124">
        <f t="shared" si="2"/>
        <v>-1853.27</v>
      </c>
    </row>
    <row r="55" ht="15.75" customHeight="1" spans="1:62" x14ac:dyDescent="0.25">
      <c r="A55" s="14"/>
      <c r="B55" s="115">
        <v>54</v>
      </c>
      <c r="C55" s="115">
        <v>5.54</v>
      </c>
      <c r="D55" s="117" t="s">
        <v>212</v>
      </c>
      <c r="E55" s="119">
        <f>'2019'!I409</f>
        <v>176</v>
      </c>
      <c r="F55" s="119">
        <f>'2019'!J409</f>
        <v>0</v>
      </c>
      <c r="G55" s="106">
        <f>'2019'!K409</f>
        <v>0</v>
      </c>
      <c r="H55" s="106">
        <f>'2019'!L409</f>
      </c>
      <c r="I55" s="119">
        <f>'2019'!M409</f>
        <v>176</v>
      </c>
      <c r="J55" s="119">
        <f>'2019'!N409</f>
        <v>0</v>
      </c>
      <c r="K55" s="106">
        <f>'2019'!O409</f>
        <v>0</v>
      </c>
      <c r="L55" s="106">
        <f>'2019'!P409</f>
      </c>
      <c r="M55" s="119">
        <f>'2019'!Q409</f>
        <v>176</v>
      </c>
      <c r="N55" s="119">
        <f>'2019'!R409</f>
        <v>0</v>
      </c>
      <c r="O55" s="165">
        <f>'2019'!S409</f>
        <v>0</v>
      </c>
      <c r="P55" s="165">
        <f>'2019'!T409</f>
      </c>
      <c r="Q55" s="119">
        <f>'2019'!U409</f>
        <v>176</v>
      </c>
      <c r="R55" s="119">
        <f>'2019'!V409</f>
        <v>0</v>
      </c>
      <c r="S55" s="106">
        <f>'2019'!W409</f>
        <v>0</v>
      </c>
      <c r="T55" s="106">
        <f>'2019'!X409</f>
      </c>
      <c r="U55" s="119">
        <f>'2019'!Y409</f>
        <v>179</v>
      </c>
      <c r="V55" s="119">
        <f>'2019'!Z409</f>
        <v>3</v>
      </c>
      <c r="W55" s="106">
        <f>'2019'!AA409</f>
        <v>7.47</v>
      </c>
      <c r="X55" s="106">
        <f>'2019'!AB409</f>
      </c>
      <c r="Y55" s="119">
        <f>'2019'!AC409</f>
        <v>197</v>
      </c>
      <c r="Z55" s="119">
        <f>'2019'!AD409</f>
        <v>18</v>
      </c>
      <c r="AA55" s="106">
        <f>'2019'!AE409</f>
        <v>45</v>
      </c>
      <c r="AB55" s="106">
        <f>'2019'!AF409</f>
        <v>200</v>
      </c>
      <c r="AC55" s="119">
        <f>'2019'!AG409</f>
        <v>208</v>
      </c>
      <c r="AD55" s="119">
        <f>'2019'!AH409</f>
        <v>11</v>
      </c>
      <c r="AE55" s="106">
        <f>'2019'!AI409</f>
        <v>27.5</v>
      </c>
      <c r="AF55" s="106">
        <f>'2019'!AJ409</f>
      </c>
      <c r="AG55" s="119">
        <f>'2019'!AK409</f>
        <v>225</v>
      </c>
      <c r="AH55" s="119">
        <f>'2019'!AL409</f>
        <v>17</v>
      </c>
      <c r="AI55" s="106">
        <f>'2019'!AM409</f>
        <v>42.5</v>
      </c>
      <c r="AJ55" s="106">
        <f>'2019'!AN409</f>
      </c>
      <c r="AK55" s="119">
        <f>'2019'!AO409</f>
        <v>232</v>
      </c>
      <c r="AL55" s="119">
        <f>'2019'!AP409</f>
        <v>7</v>
      </c>
      <c r="AM55" s="106">
        <f>'2019'!AQ409</f>
        <v>17.5</v>
      </c>
      <c r="AN55" s="106">
        <f>'2019'!AR409</f>
      </c>
      <c r="AO55" s="119">
        <f>'2019'!AS409</f>
        <v>243</v>
      </c>
      <c r="AP55" s="119">
        <f>'2019'!AT409</f>
        <v>11</v>
      </c>
      <c r="AQ55" s="106">
        <f>'2019'!AU409</f>
        <v>27.5</v>
      </c>
      <c r="AR55" s="106">
        <f>'2019'!AV409</f>
      </c>
      <c r="AS55" s="119">
        <f>'2019'!AW409</f>
        <v>243</v>
      </c>
      <c r="AT55" s="119">
        <f>'2019'!AX409</f>
        <v>0</v>
      </c>
      <c r="AU55" s="106">
        <f>'2019'!AY409</f>
        <v>0</v>
      </c>
      <c r="AV55" s="106">
        <f>'2019'!AZ409</f>
      </c>
      <c r="AW55" s="106"/>
      <c r="AX55" s="106">
        <f t="shared" si="0"/>
        <v>0</v>
      </c>
      <c r="AY55" s="119">
        <f>'2019'!BA409</f>
        <v>243</v>
      </c>
      <c r="AZ55" s="119">
        <f>'2019'!BB409</f>
        <v>0</v>
      </c>
      <c r="BA55" s="106">
        <f>'2019'!BC409</f>
        <v>0</v>
      </c>
      <c r="BB55" s="106">
        <f>'2019'!BD409</f>
      </c>
      <c r="BC55" s="106"/>
      <c r="BD55" s="106"/>
      <c r="BE55" s="119">
        <f>'2019'!BE409</f>
        <v>67</v>
      </c>
      <c r="BF55" s="106">
        <f>'2019'!BF409</f>
        <v>167.47</v>
      </c>
      <c r="BG55" s="106">
        <f>'2019'!BG409</f>
        <v>200</v>
      </c>
      <c r="BH55" s="106">
        <f>'2019'!BH409</f>
        <v>17.27</v>
      </c>
      <c r="BI55" s="106">
        <f t="shared" si="1"/>
        <v>0</v>
      </c>
      <c r="BJ55" s="124">
        <f t="shared" si="2"/>
        <v>17.27</v>
      </c>
    </row>
    <row r="56" ht="15.75" customHeight="1" spans="1:62" x14ac:dyDescent="0.25">
      <c r="A56" s="21"/>
      <c r="B56" s="118">
        <v>55</v>
      </c>
      <c r="C56" s="116">
        <v>5.5</v>
      </c>
      <c r="D56" s="117" t="s">
        <v>214</v>
      </c>
      <c r="E56" s="119">
        <f>'2019'!I417</f>
        <v>267</v>
      </c>
      <c r="F56" s="119">
        <f>'2019'!J417</f>
        <v>0</v>
      </c>
      <c r="G56" s="106">
        <f>'2019'!K417</f>
        <v>0</v>
      </c>
      <c r="H56" s="106">
        <f>'2019'!L417</f>
      </c>
      <c r="I56" s="119">
        <f>'2019'!M417</f>
        <v>267</v>
      </c>
      <c r="J56" s="119">
        <f>'2019'!N417</f>
        <v>0</v>
      </c>
      <c r="K56" s="106">
        <f>'2019'!O417</f>
        <v>0</v>
      </c>
      <c r="L56" s="106">
        <f>'2019'!P417</f>
      </c>
      <c r="M56" s="119">
        <f>'2019'!Q417</f>
        <v>267</v>
      </c>
      <c r="N56" s="119">
        <f>'2019'!R417</f>
        <v>0</v>
      </c>
      <c r="O56" s="106">
        <f>'2019'!S417</f>
        <v>0</v>
      </c>
      <c r="P56" s="106">
        <f>'2019'!T417</f>
      </c>
      <c r="Q56" s="119">
        <f>'2019'!U417</f>
        <v>277</v>
      </c>
      <c r="R56" s="119">
        <f>'2019'!V417</f>
        <v>10</v>
      </c>
      <c r="S56" s="106">
        <f>'2019'!W417</f>
        <v>24.9</v>
      </c>
      <c r="T56" s="106">
        <f>'2019'!X417</f>
      </c>
      <c r="U56" s="119">
        <f>'2019'!Y417</f>
        <v>287</v>
      </c>
      <c r="V56" s="119">
        <f>'2019'!Z417</f>
        <v>10</v>
      </c>
      <c r="W56" s="106">
        <f>'2019'!AA417</f>
        <v>24.9</v>
      </c>
      <c r="X56" s="106">
        <f>'2019'!AB417</f>
      </c>
      <c r="Y56" s="119">
        <f>'2019'!AC417</f>
        <v>291</v>
      </c>
      <c r="Z56" s="119">
        <f>'2019'!AD417</f>
        <v>4</v>
      </c>
      <c r="AA56" s="106">
        <f>'2019'!AE417</f>
        <v>10</v>
      </c>
      <c r="AB56" s="106">
        <f>'2019'!AF417</f>
        <v>104.62</v>
      </c>
      <c r="AC56" s="119">
        <f>'2019'!AG417</f>
        <v>296</v>
      </c>
      <c r="AD56" s="119">
        <f>'2019'!AH417</f>
        <v>5</v>
      </c>
      <c r="AE56" s="106">
        <f>'2019'!AI417</f>
        <v>12.5</v>
      </c>
      <c r="AF56" s="106">
        <f>'2019'!AJ417</f>
        <v>12.88</v>
      </c>
      <c r="AG56" s="119">
        <f>'2019'!AK417</f>
        <v>308</v>
      </c>
      <c r="AH56" s="119">
        <f>'2019'!AL417</f>
        <v>12</v>
      </c>
      <c r="AI56" s="106">
        <f>'2019'!AM417</f>
        <v>30</v>
      </c>
      <c r="AJ56" s="106">
        <f>'2019'!AN417</f>
        <v>29.62</v>
      </c>
      <c r="AK56" s="119">
        <f>'2019'!AO417</f>
        <v>325</v>
      </c>
      <c r="AL56" s="119">
        <f>'2019'!AP417</f>
        <v>17</v>
      </c>
      <c r="AM56" s="106">
        <f>'2019'!AQ417</f>
        <v>42.5</v>
      </c>
      <c r="AN56" s="106">
        <f>'2019'!AR417</f>
      </c>
      <c r="AO56" s="119">
        <f>'2019'!AS417</f>
        <v>369</v>
      </c>
      <c r="AP56" s="119">
        <f>'2019'!AT417</f>
        <v>44</v>
      </c>
      <c r="AQ56" s="106">
        <f>'2019'!AU417</f>
        <v>110</v>
      </c>
      <c r="AR56" s="106">
        <f>'2019'!AV417</f>
      </c>
      <c r="AS56" s="126">
        <f>'2019'!AW417</f>
        <v>369</v>
      </c>
      <c r="AT56" s="119">
        <f>'2019'!AX417</f>
        <v>0</v>
      </c>
      <c r="AU56" s="106">
        <f>'2019'!AY417</f>
        <v>0</v>
      </c>
      <c r="AV56" s="106">
        <f>'2019'!AZ417</f>
      </c>
      <c r="AW56" s="106"/>
      <c r="AX56" s="106">
        <f t="shared" si="0"/>
        <v>0</v>
      </c>
      <c r="AY56" s="119">
        <f>'2019'!BA417</f>
        <v>369</v>
      </c>
      <c r="AZ56" s="119">
        <f>'2019'!BB417</f>
        <v>0</v>
      </c>
      <c r="BA56" s="106">
        <f>'2019'!BC417</f>
        <v>0</v>
      </c>
      <c r="BB56" s="106">
        <f>'2019'!BD417</f>
      </c>
      <c r="BC56" s="106"/>
      <c r="BD56" s="106"/>
      <c r="BE56" s="119">
        <f>'2019'!BE417</f>
        <v>102</v>
      </c>
      <c r="BF56" s="106">
        <f>'2019'!BF417</f>
        <v>254.8</v>
      </c>
      <c r="BG56" s="106">
        <f>'2019'!BG417</f>
        <v>147.12</v>
      </c>
      <c r="BH56" s="106">
        <f>'2019'!BH417</f>
        <v>152.5</v>
      </c>
      <c r="BI56" s="106">
        <f t="shared" si="1"/>
        <v>0</v>
      </c>
      <c r="BJ56" s="124">
        <f t="shared" si="2"/>
        <v>152.5</v>
      </c>
    </row>
    <row r="57" ht="15.75" customHeight="1" spans="1:62" x14ac:dyDescent="0.25">
      <c r="A57" s="114" t="s">
        <v>217</v>
      </c>
      <c r="B57" s="125">
        <v>56</v>
      </c>
      <c r="C57" s="115">
        <v>6.23</v>
      </c>
      <c r="D57" s="161" t="s">
        <v>218</v>
      </c>
      <c r="E57" s="119">
        <f>'2019'!I425</f>
        <v>38</v>
      </c>
      <c r="F57" s="119">
        <f>'2019'!J425</f>
        <v>24</v>
      </c>
      <c r="G57" s="106">
        <f>'2019'!K425</f>
        <v>59.76</v>
      </c>
      <c r="H57" s="106">
        <f>'2019'!L425</f>
      </c>
      <c r="I57" s="119">
        <f>'2019'!M425</f>
        <v>195</v>
      </c>
      <c r="J57" s="119">
        <f>'2019'!N425</f>
        <v>157</v>
      </c>
      <c r="K57" s="106">
        <f>'2019'!O425</f>
        <v>390.93</v>
      </c>
      <c r="L57" s="106">
        <f>'2019'!P425</f>
      </c>
      <c r="M57" s="119">
        <f>'2019'!Q425</f>
        <v>443</v>
      </c>
      <c r="N57" s="119">
        <f>'2019'!R425</f>
        <v>248</v>
      </c>
      <c r="O57" s="106">
        <f>'2019'!S425</f>
        <v>617.52</v>
      </c>
      <c r="P57" s="106">
        <f>'2019'!T425</f>
      </c>
      <c r="Q57" s="119">
        <f>'2019'!U425</f>
        <v>482</v>
      </c>
      <c r="R57" s="119">
        <f>'2019'!V425</f>
        <v>39</v>
      </c>
      <c r="S57" s="106">
        <f>'2019'!W425</f>
        <v>97.11</v>
      </c>
      <c r="T57" s="106">
        <f>'2019'!X425</f>
        <v>1500</v>
      </c>
      <c r="U57" s="119">
        <f>'2019'!Y425</f>
        <v>1485</v>
      </c>
      <c r="V57" s="119">
        <f>'2019'!Z425</f>
        <v>1003</v>
      </c>
      <c r="W57" s="106">
        <f>'2019'!AA425</f>
        <v>2497.47</v>
      </c>
      <c r="X57" s="106">
        <f>'2019'!AB425</f>
      </c>
      <c r="Y57" s="119">
        <f>'2019'!AC425</f>
        <v>2506</v>
      </c>
      <c r="Z57" s="119">
        <f>'2019'!AD425</f>
        <v>1021</v>
      </c>
      <c r="AA57" s="106">
        <f>'2019'!AE425</f>
        <v>2552.5</v>
      </c>
      <c r="AB57" s="106">
        <f>'2019'!AF425</f>
        <v>2500</v>
      </c>
      <c r="AC57" s="119">
        <f>'2019'!AG425</f>
        <v>3074</v>
      </c>
      <c r="AD57" s="119">
        <f>'2019'!AH425</f>
        <v>568</v>
      </c>
      <c r="AE57" s="106">
        <f>'2019'!AI425</f>
        <v>1420</v>
      </c>
      <c r="AF57" s="106">
        <f>'2019'!AJ425</f>
      </c>
      <c r="AG57" s="119">
        <f>'2019'!AK425</f>
        <v>3470</v>
      </c>
      <c r="AH57" s="119">
        <f>'2019'!AL425</f>
        <v>396</v>
      </c>
      <c r="AI57" s="106">
        <f>'2019'!AM425</f>
        <v>990</v>
      </c>
      <c r="AJ57" s="106">
        <f>'2019'!AN425</f>
        <v>3431.2</v>
      </c>
      <c r="AK57" s="119">
        <f>'2019'!AO425</f>
        <v>4072</v>
      </c>
      <c r="AL57" s="119">
        <f>'2019'!AP425</f>
        <v>602</v>
      </c>
      <c r="AM57" s="106">
        <f>'2019'!AQ425</f>
        <v>1505</v>
      </c>
      <c r="AN57" s="106">
        <f>'2019'!AR425</f>
        <v>500</v>
      </c>
      <c r="AO57" s="119">
        <f>'2019'!AS425</f>
        <v>4494</v>
      </c>
      <c r="AP57" s="119">
        <f>'2019'!AT425</f>
        <v>422</v>
      </c>
      <c r="AQ57" s="106">
        <f>'2019'!AU425</f>
        <v>1055</v>
      </c>
      <c r="AR57" s="106">
        <f>'2019'!AV425</f>
        <v>3138.95</v>
      </c>
      <c r="AS57" s="126">
        <f>'2019'!AW425</f>
        <v>4968</v>
      </c>
      <c r="AT57" s="119">
        <f>'2019'!AX425</f>
        <v>474</v>
      </c>
      <c r="AU57" s="106">
        <f>'2019'!AY425</f>
        <v>1185</v>
      </c>
      <c r="AV57" s="106">
        <f>'2019'!AZ425</f>
      </c>
      <c r="AW57" s="106"/>
      <c r="AX57" s="106">
        <f t="shared" si="0"/>
        <v>0</v>
      </c>
      <c r="AY57" s="119">
        <f>'2019'!BA425</f>
        <v>5434</v>
      </c>
      <c r="AZ57" s="119">
        <f>'2019'!BB425</f>
        <v>466</v>
      </c>
      <c r="BA57" s="106">
        <f>'2019'!BC425</f>
        <v>1165</v>
      </c>
      <c r="BB57" s="106">
        <f>'2019'!BD425</f>
        <v>1185</v>
      </c>
      <c r="BC57" s="106"/>
      <c r="BD57" s="106"/>
      <c r="BE57" s="119">
        <f>'2019'!BE425</f>
        <v>5420</v>
      </c>
      <c r="BF57" s="106">
        <f>'2019'!BF425</f>
        <v>13535.29</v>
      </c>
      <c r="BG57" s="106">
        <f>'2019'!BG425</f>
        <v>12255.15</v>
      </c>
      <c r="BH57" s="106">
        <f>'2019'!BH425</f>
        <v>1165</v>
      </c>
      <c r="BI57" s="106">
        <f t="shared" si="1"/>
        <v>0</v>
      </c>
      <c r="BJ57" s="124">
        <f t="shared" si="2"/>
        <v>1165</v>
      </c>
    </row>
    <row r="58" ht="15.75" customHeight="1" spans="1:62" x14ac:dyDescent="0.25">
      <c r="A58" s="14"/>
      <c r="B58" s="115">
        <v>57</v>
      </c>
      <c r="C58" s="116">
        <v>4</v>
      </c>
      <c r="D58" s="117" t="s">
        <v>221</v>
      </c>
      <c r="E58" s="119">
        <f>'2019'!I433</f>
        <v>462</v>
      </c>
      <c r="F58" s="119">
        <f>'2019'!J433</f>
        <v>0</v>
      </c>
      <c r="G58" s="106">
        <f>'2019'!K433</f>
        <v>0</v>
      </c>
      <c r="H58" s="106">
        <f>'2019'!L433</f>
      </c>
      <c r="I58" s="119">
        <f>'2019'!M433</f>
        <v>462</v>
      </c>
      <c r="J58" s="119">
        <f>'2019'!N433</f>
        <v>0</v>
      </c>
      <c r="K58" s="106">
        <f>'2019'!O433</f>
        <v>0</v>
      </c>
      <c r="L58" s="106">
        <f>'2019'!P433</f>
      </c>
      <c r="M58" s="119">
        <f>'2019'!Q433</f>
        <v>462</v>
      </c>
      <c r="N58" s="119">
        <f>'2019'!R433</f>
        <v>0</v>
      </c>
      <c r="O58" s="165">
        <f>'2019'!S433</f>
        <v>0</v>
      </c>
      <c r="P58" s="165">
        <f>'2019'!T433</f>
      </c>
      <c r="Q58" s="119">
        <f>'2019'!U433</f>
        <v>462</v>
      </c>
      <c r="R58" s="119">
        <f>'2019'!V433</f>
        <v>0</v>
      </c>
      <c r="S58" s="106">
        <f>'2019'!W433</f>
        <v>0</v>
      </c>
      <c r="T58" s="106">
        <f>'2019'!X433</f>
      </c>
      <c r="U58" s="119">
        <f>'2019'!Y433</f>
        <v>462</v>
      </c>
      <c r="V58" s="119">
        <f>'2019'!Z433</f>
        <v>0</v>
      </c>
      <c r="W58" s="106">
        <f>'2019'!AA433</f>
        <v>0</v>
      </c>
      <c r="X58" s="106">
        <f>'2019'!AB433</f>
      </c>
      <c r="Y58" s="119">
        <f>'2019'!AC433</f>
        <v>462</v>
      </c>
      <c r="Z58" s="119">
        <f>'2019'!AD433</f>
        <v>0</v>
      </c>
      <c r="AA58" s="106">
        <f>'2019'!AE433</f>
        <v>0</v>
      </c>
      <c r="AB58" s="106">
        <f>'2019'!AF433</f>
      </c>
      <c r="AC58" s="119">
        <f>'2019'!AG433</f>
        <v>462</v>
      </c>
      <c r="AD58" s="119">
        <f>'2019'!AH433</f>
        <v>0</v>
      </c>
      <c r="AE58" s="106">
        <f>'2019'!AI433</f>
        <v>0</v>
      </c>
      <c r="AF58" s="106">
        <f>'2019'!AJ433</f>
      </c>
      <c r="AG58" s="119">
        <f>'2019'!AK433</f>
        <v>462</v>
      </c>
      <c r="AH58" s="119">
        <f>'2019'!AL433</f>
        <v>0</v>
      </c>
      <c r="AI58" s="106">
        <f>'2019'!AM433</f>
        <v>0</v>
      </c>
      <c r="AJ58" s="106">
        <f>'2019'!AN433</f>
      </c>
      <c r="AK58" s="119">
        <f>'2019'!AO433</f>
        <v>462</v>
      </c>
      <c r="AL58" s="119">
        <f>'2019'!AP433</f>
        <v>0</v>
      </c>
      <c r="AM58" s="106">
        <f>'2019'!AQ433</f>
        <v>0</v>
      </c>
      <c r="AN58" s="106">
        <f>'2019'!AR433</f>
      </c>
      <c r="AO58" s="119">
        <f>'2019'!AS433</f>
        <v>462</v>
      </c>
      <c r="AP58" s="119">
        <f>'2019'!AT433</f>
        <v>0</v>
      </c>
      <c r="AQ58" s="106">
        <f>'2019'!AU433</f>
        <v>0</v>
      </c>
      <c r="AR58" s="106">
        <f>'2019'!AV433</f>
      </c>
      <c r="AS58" s="119">
        <f>'2019'!AW433</f>
        <v>462</v>
      </c>
      <c r="AT58" s="119">
        <f>'2019'!AX433</f>
        <v>0</v>
      </c>
      <c r="AU58" s="106">
        <f>'2019'!AY433</f>
        <v>0</v>
      </c>
      <c r="AV58" s="106">
        <f>'2019'!AZ433</f>
      </c>
      <c r="AW58" s="106"/>
      <c r="AX58" s="106">
        <f t="shared" si="0"/>
        <v>0</v>
      </c>
      <c r="AY58" s="119">
        <f>'2019'!BA433</f>
        <v>462</v>
      </c>
      <c r="AZ58" s="119">
        <f>'2019'!BB433</f>
        <v>0</v>
      </c>
      <c r="BA58" s="106">
        <f>'2019'!BC433</f>
        <v>0</v>
      </c>
      <c r="BB58" s="106">
        <f>'2019'!BD433</f>
      </c>
      <c r="BC58" s="106"/>
      <c r="BD58" s="106"/>
      <c r="BE58" s="119">
        <f>'2019'!BE433</f>
        <v>0</v>
      </c>
      <c r="BF58" s="106">
        <f>'2019'!BF433</f>
        <v>0</v>
      </c>
      <c r="BG58" s="106">
        <f>'2019'!BG433</f>
        <v>0</v>
      </c>
      <c r="BH58" s="106">
        <f>'2019'!BH433</f>
        <v>4.98</v>
      </c>
      <c r="BI58" s="106">
        <f t="shared" si="1"/>
        <v>0</v>
      </c>
      <c r="BJ58" s="124">
        <f t="shared" si="2"/>
        <v>4.98</v>
      </c>
    </row>
    <row r="59" ht="15.75" customHeight="1" spans="1:62" x14ac:dyDescent="0.25">
      <c r="A59" s="14"/>
      <c r="B59" s="115">
        <v>59</v>
      </c>
      <c r="C59" s="116">
        <v>4</v>
      </c>
      <c r="D59" s="117" t="s">
        <v>221</v>
      </c>
      <c r="E59" s="119">
        <f>'2019'!I441</f>
      </c>
      <c r="F59" s="119">
        <f>'2019'!J441</f>
      </c>
      <c r="G59" s="106">
        <f>'2019'!K441</f>
        <v>0</v>
      </c>
      <c r="H59" s="106">
        <f>'2019'!L441</f>
      </c>
      <c r="I59" s="119">
        <f>'2019'!M441</f>
      </c>
      <c r="J59" s="119">
        <f>'2019'!N441</f>
        <v>0</v>
      </c>
      <c r="K59" s="106">
        <f>'2019'!O441</f>
        <v>0</v>
      </c>
      <c r="L59" s="106">
        <f>'2019'!P441</f>
      </c>
      <c r="M59" s="119">
        <f>'2019'!Q441</f>
      </c>
      <c r="N59" s="119">
        <f>'2019'!R441</f>
        <v>0</v>
      </c>
      <c r="O59" s="165">
        <f>'2019'!S441</f>
        <v>0</v>
      </c>
      <c r="P59" s="165">
        <f>'2019'!T441</f>
      </c>
      <c r="Q59" s="119">
        <f>'2019'!U441</f>
      </c>
      <c r="R59" s="119">
        <f>'2019'!V441</f>
        <v>0</v>
      </c>
      <c r="S59" s="106">
        <f>'2019'!W441</f>
        <v>0</v>
      </c>
      <c r="T59" s="106">
        <f>'2019'!X441</f>
      </c>
      <c r="U59" s="119">
        <f>'2019'!Y441</f>
      </c>
      <c r="V59" s="119">
        <f>'2019'!Z441</f>
        <v>0</v>
      </c>
      <c r="W59" s="106">
        <f>'2019'!AA441</f>
        <v>0</v>
      </c>
      <c r="X59" s="106">
        <f>'2019'!AB441</f>
      </c>
      <c r="Y59" s="119">
        <f>'2019'!AC441</f>
      </c>
      <c r="Z59" s="119">
        <f>'2019'!AD441</f>
        <v>0</v>
      </c>
      <c r="AA59" s="106">
        <f>'2019'!AE441</f>
        <v>0</v>
      </c>
      <c r="AB59" s="106">
        <f>'2019'!AF441</f>
      </c>
      <c r="AC59" s="119">
        <f>'2019'!AG441</f>
      </c>
      <c r="AD59" s="119">
        <f>'2019'!AH441</f>
        <v>0</v>
      </c>
      <c r="AE59" s="106">
        <f>'2019'!AI441</f>
        <v>0</v>
      </c>
      <c r="AF59" s="106">
        <f>'2019'!AJ441</f>
      </c>
      <c r="AG59" s="119">
        <f>'2019'!AK441</f>
      </c>
      <c r="AH59" s="119">
        <f>'2019'!AL441</f>
        <v>0</v>
      </c>
      <c r="AI59" s="106">
        <f>'2019'!AM441</f>
        <v>0</v>
      </c>
      <c r="AJ59" s="106">
        <f>'2019'!AN441</f>
      </c>
      <c r="AK59" s="119">
        <f>'2019'!AO441</f>
      </c>
      <c r="AL59" s="119">
        <f>'2019'!AP441</f>
        <v>0</v>
      </c>
      <c r="AM59" s="106">
        <f>'2019'!AQ441</f>
        <v>0</v>
      </c>
      <c r="AN59" s="106">
        <f>'2019'!AR441</f>
      </c>
      <c r="AO59" s="119">
        <f>'2019'!AS441</f>
      </c>
      <c r="AP59" s="119">
        <f>'2019'!AT441</f>
        <v>0</v>
      </c>
      <c r="AQ59" s="106">
        <f>'2019'!AU441</f>
        <v>0</v>
      </c>
      <c r="AR59" s="106">
        <f>'2019'!AV441</f>
      </c>
      <c r="AS59" s="119">
        <f>'2019'!AW441</f>
      </c>
      <c r="AT59" s="119">
        <f>'2019'!AX441</f>
        <v>0</v>
      </c>
      <c r="AU59" s="106">
        <f>'2019'!AY441</f>
        <v>0</v>
      </c>
      <c r="AV59" s="106">
        <f>'2019'!AZ441</f>
      </c>
      <c r="AW59" s="106"/>
      <c r="AX59" s="106">
        <f t="shared" si="0"/>
        <v>0</v>
      </c>
      <c r="AY59" s="119">
        <f>'2019'!BA441</f>
      </c>
      <c r="AZ59" s="119">
        <f>'2019'!BB441</f>
        <v>0</v>
      </c>
      <c r="BA59" s="106">
        <f>'2019'!BC441</f>
        <v>0</v>
      </c>
      <c r="BB59" s="106">
        <f>'2019'!BD441</f>
      </c>
      <c r="BC59" s="106"/>
      <c r="BD59" s="106"/>
      <c r="BE59" s="119">
        <f>'2019'!BE441</f>
        <v>0</v>
      </c>
      <c r="BF59" s="106">
        <f>'2019'!BF441</f>
        <v>0</v>
      </c>
      <c r="BG59" s="106">
        <f>'2019'!BG441</f>
        <v>0</v>
      </c>
      <c r="BH59" s="106">
        <f>'2019'!BH441</f>
        <v>0</v>
      </c>
      <c r="BI59" s="106">
        <f t="shared" si="1"/>
        <v>0</v>
      </c>
      <c r="BJ59" s="124">
        <f t="shared" si="2"/>
        <v>0</v>
      </c>
    </row>
    <row r="60" ht="15.75" customHeight="1" spans="1:62" x14ac:dyDescent="0.25">
      <c r="A60" s="14"/>
      <c r="B60" s="125">
        <v>58</v>
      </c>
      <c r="C60" s="115">
        <v>5.08</v>
      </c>
      <c r="D60" s="117" t="s">
        <v>223</v>
      </c>
      <c r="E60" s="119">
        <f>'2019'!I449</f>
        <v>1910</v>
      </c>
      <c r="F60" s="119">
        <f>'2019'!J449</f>
        <v>0</v>
      </c>
      <c r="G60" s="106">
        <f>'2019'!K449</f>
        <v>0</v>
      </c>
      <c r="H60" s="106">
        <f>'2019'!L449</f>
      </c>
      <c r="I60" s="119">
        <f>'2019'!M449</f>
        <v>1910</v>
      </c>
      <c r="J60" s="119">
        <f>'2019'!N449</f>
        <v>0</v>
      </c>
      <c r="K60" s="106">
        <f>'2019'!O449</f>
        <v>0</v>
      </c>
      <c r="L60" s="106">
        <f>'2019'!P449</f>
      </c>
      <c r="M60" s="119">
        <f>'2019'!Q449</f>
        <v>1934</v>
      </c>
      <c r="N60" s="119">
        <f>'2019'!R449</f>
        <v>24</v>
      </c>
      <c r="O60" s="106">
        <f>'2019'!S449</f>
        <v>59.76</v>
      </c>
      <c r="P60" s="106">
        <f>'2019'!T449</f>
      </c>
      <c r="Q60" s="119">
        <f>'2019'!U449</f>
        <v>1950</v>
      </c>
      <c r="R60" s="119">
        <f>'2019'!V449</f>
        <v>16</v>
      </c>
      <c r="S60" s="106">
        <f>'2019'!W449</f>
        <v>39.84</v>
      </c>
      <c r="T60" s="106">
        <f>'2019'!X449</f>
      </c>
      <c r="U60" s="119">
        <f>'2019'!Y449</f>
        <v>2189</v>
      </c>
      <c r="V60" s="119">
        <f>'2019'!Z449</f>
        <v>239</v>
      </c>
      <c r="W60" s="106">
        <f>'2019'!AA449</f>
        <v>595.11</v>
      </c>
      <c r="X60" s="106">
        <f>'2019'!AB449</f>
      </c>
      <c r="Y60" s="119">
        <f>'2019'!AC449</f>
        <v>2343</v>
      </c>
      <c r="Z60" s="119">
        <f>'2019'!AD449</f>
        <v>154</v>
      </c>
      <c r="AA60" s="106">
        <f>'2019'!AE449</f>
        <v>385</v>
      </c>
      <c r="AB60" s="106">
        <f>'2019'!AF449</f>
        <v>984.74</v>
      </c>
      <c r="AC60" s="119">
        <f>'2019'!AG449</f>
        <v>2435</v>
      </c>
      <c r="AD60" s="119">
        <f>'2019'!AH449</f>
        <v>92</v>
      </c>
      <c r="AE60" s="106">
        <f>'2019'!AI449</f>
        <v>230</v>
      </c>
      <c r="AF60" s="106">
        <f>'2019'!AJ449</f>
        <v>229.99</v>
      </c>
      <c r="AG60" s="119">
        <f>'2019'!AK449</f>
        <v>2572</v>
      </c>
      <c r="AH60" s="119">
        <f>'2019'!AL449</f>
        <v>137</v>
      </c>
      <c r="AI60" s="106">
        <f>'2019'!AM449</f>
        <v>342.5</v>
      </c>
      <c r="AJ60" s="106">
        <f>'2019'!AN449</f>
        <v>354.33</v>
      </c>
      <c r="AK60" s="119">
        <f>'2019'!AO449</f>
        <v>2964</v>
      </c>
      <c r="AL60" s="119">
        <f>'2019'!AP449</f>
        <v>392</v>
      </c>
      <c r="AM60" s="106">
        <f>'2019'!AQ449</f>
        <v>980</v>
      </c>
      <c r="AN60" s="106">
        <f>'2019'!AR449</f>
      </c>
      <c r="AO60" s="119">
        <f>'2019'!AS449</f>
        <v>3099</v>
      </c>
      <c r="AP60" s="119">
        <f>'2019'!AT449</f>
        <v>135</v>
      </c>
      <c r="AQ60" s="106">
        <f>'2019'!AU449</f>
        <v>337.5</v>
      </c>
      <c r="AR60" s="106">
        <f>'2019'!AV449</f>
        <v>1370.08</v>
      </c>
      <c r="AS60" s="126">
        <f>'2019'!AW449</f>
        <v>3104</v>
      </c>
      <c r="AT60" s="119">
        <f>'2019'!AX449</f>
        <v>5</v>
      </c>
      <c r="AU60" s="106">
        <f>'2019'!AY449</f>
        <v>12.5</v>
      </c>
      <c r="AV60" s="106">
        <f>'2019'!AZ449</f>
      </c>
      <c r="AW60" s="119"/>
      <c r="AX60" s="106">
        <f t="shared" si="0"/>
        <v>0</v>
      </c>
      <c r="AY60" s="119">
        <f>'2019'!BA449</f>
        <v>3105</v>
      </c>
      <c r="AZ60" s="119">
        <f>'2019'!BB449</f>
        <v>1</v>
      </c>
      <c r="BA60" s="106">
        <f>'2019'!BC449</f>
        <v>2.5</v>
      </c>
      <c r="BB60" s="106">
        <f>'2019'!BD449</f>
      </c>
      <c r="BC60" s="106"/>
      <c r="BD60" s="106"/>
      <c r="BE60" s="119">
        <f>'2019'!BE449</f>
        <v>1195</v>
      </c>
      <c r="BF60" s="106">
        <f>'2019'!BF449</f>
        <v>2984.71</v>
      </c>
      <c r="BG60" s="106">
        <f>'2019'!BG449</f>
        <v>2939.14</v>
      </c>
      <c r="BH60" s="106">
        <f>'2019'!BH449</f>
        <v>-49.41</v>
      </c>
      <c r="BI60" s="106">
        <f t="shared" si="1"/>
        <v>0</v>
      </c>
      <c r="BJ60" s="124">
        <f t="shared" si="2"/>
        <v>-49.41</v>
      </c>
    </row>
    <row r="61" ht="15.75" customHeight="1" spans="1:62" x14ac:dyDescent="0.25">
      <c r="A61" s="14"/>
      <c r="B61" s="125">
        <v>60</v>
      </c>
      <c r="C61" s="116">
        <v>4.4</v>
      </c>
      <c r="D61" s="117" t="s">
        <v>227</v>
      </c>
      <c r="E61" s="119">
        <f>'2019'!I457</f>
        <v>530</v>
      </c>
      <c r="F61" s="119">
        <f>'2019'!J457</f>
        <v>20</v>
      </c>
      <c r="G61" s="106">
        <f>'2019'!K457</f>
        <v>49.8</v>
      </c>
      <c r="H61" s="106">
        <f>'2019'!L457</f>
      </c>
      <c r="I61" s="119">
        <f>'2019'!M457</f>
        <v>535</v>
      </c>
      <c r="J61" s="119">
        <f>'2019'!N457</f>
        <v>5</v>
      </c>
      <c r="K61" s="106">
        <f>'2019'!O457</f>
        <v>12.45</v>
      </c>
      <c r="L61" s="106">
        <f>'2019'!P457</f>
      </c>
      <c r="M61" s="119">
        <f>'2019'!Q457</f>
        <v>570</v>
      </c>
      <c r="N61" s="119">
        <f>'2019'!R457</f>
        <v>35</v>
      </c>
      <c r="O61" s="106">
        <f>'2019'!S457</f>
        <v>87.15</v>
      </c>
      <c r="P61" s="106">
        <f>'2019'!T457</f>
      </c>
      <c r="Q61" s="119">
        <f>'2019'!U457</f>
        <v>574</v>
      </c>
      <c r="R61" s="119">
        <f>'2019'!V457</f>
        <v>4</v>
      </c>
      <c r="S61" s="106">
        <f>'2019'!W457</f>
        <v>9.96</v>
      </c>
      <c r="T61" s="106">
        <f>'2019'!X457</f>
      </c>
      <c r="U61" s="119">
        <f>'2019'!Y457</f>
        <v>575</v>
      </c>
      <c r="V61" s="119">
        <f>'2019'!Z457</f>
        <v>1</v>
      </c>
      <c r="W61" s="106">
        <f>'2019'!AA457</f>
        <v>2.49</v>
      </c>
      <c r="X61" s="106">
        <f>'2019'!AB457</f>
      </c>
      <c r="Y61" s="119">
        <f>'2019'!AC457</f>
        <v>576</v>
      </c>
      <c r="Z61" s="119">
        <f>'2019'!AD457</f>
        <v>1</v>
      </c>
      <c r="AA61" s="106">
        <f>'2019'!AE457</f>
        <v>2.5</v>
      </c>
      <c r="AB61" s="106">
        <f>'2019'!AF457</f>
        <v>448.08</v>
      </c>
      <c r="AC61" s="119">
        <f>'2019'!AG457</f>
        <v>597</v>
      </c>
      <c r="AD61" s="119">
        <f>'2019'!AH457</f>
        <v>21</v>
      </c>
      <c r="AE61" s="106">
        <f>'2019'!AI457</f>
        <v>52.5</v>
      </c>
      <c r="AF61" s="106">
        <f>'2019'!AJ457</f>
      </c>
      <c r="AG61" s="119">
        <f>'2019'!AK457</f>
        <v>628</v>
      </c>
      <c r="AH61" s="119">
        <f>'2019'!AL457</f>
        <v>31</v>
      </c>
      <c r="AI61" s="106">
        <f>'2019'!AM457</f>
        <v>77.5</v>
      </c>
      <c r="AJ61" s="106">
        <f>'2019'!AN457</f>
        <v>64.4</v>
      </c>
      <c r="AK61" s="119">
        <f>'2019'!AO457</f>
        <v>675</v>
      </c>
      <c r="AL61" s="119">
        <f>'2019'!AP457</f>
        <v>47</v>
      </c>
      <c r="AM61" s="106">
        <f>'2019'!AQ457</f>
        <v>117.5</v>
      </c>
      <c r="AN61" s="106">
        <f>'2019'!AR457</f>
      </c>
      <c r="AO61" s="119">
        <f>'2019'!AS457</f>
        <v>753</v>
      </c>
      <c r="AP61" s="119">
        <f>'2019'!AT457</f>
        <v>78</v>
      </c>
      <c r="AQ61" s="106">
        <f>'2019'!AU457</f>
        <v>195</v>
      </c>
      <c r="AR61" s="106">
        <f>'2019'!AV457</f>
      </c>
      <c r="AS61" s="126">
        <f>'2019'!AW457</f>
        <v>762</v>
      </c>
      <c r="AT61" s="119">
        <f>'2019'!AX457</f>
        <v>9</v>
      </c>
      <c r="AU61" s="106">
        <f>'2019'!AY457</f>
        <v>22.5</v>
      </c>
      <c r="AV61" s="106">
        <f>'2019'!AZ457</f>
      </c>
      <c r="AW61" s="119"/>
      <c r="AX61" s="106">
        <f t="shared" si="0"/>
        <v>0</v>
      </c>
      <c r="AY61" s="119">
        <f>'2019'!BA457</f>
        <v>763</v>
      </c>
      <c r="AZ61" s="119">
        <f>'2019'!BB457</f>
        <v>1</v>
      </c>
      <c r="BA61" s="106">
        <f>'2019'!BC457</f>
        <v>2.5</v>
      </c>
      <c r="BB61" s="106">
        <f>'2019'!BD457</f>
      </c>
      <c r="BC61" s="106"/>
      <c r="BD61" s="106"/>
      <c r="BE61" s="119">
        <f>'2019'!BE457</f>
        <v>253</v>
      </c>
      <c r="BF61" s="106">
        <f>'2019'!BF457</f>
        <v>631.85</v>
      </c>
      <c r="BG61" s="106">
        <f>'2019'!BG457</f>
        <v>512.48</v>
      </c>
      <c r="BH61" s="106">
        <f>'2019'!BH457</f>
        <v>327.02</v>
      </c>
      <c r="BI61" s="106">
        <f t="shared" si="1"/>
        <v>0</v>
      </c>
      <c r="BJ61" s="124">
        <f t="shared" si="2"/>
        <v>327.02</v>
      </c>
    </row>
    <row r="62" ht="15.75" customHeight="1" spans="1:62" x14ac:dyDescent="0.25">
      <c r="A62" s="14"/>
      <c r="B62" s="115">
        <v>61</v>
      </c>
      <c r="C62" s="115">
        <v>4.71</v>
      </c>
      <c r="D62" s="117" t="s">
        <v>231</v>
      </c>
      <c r="E62" s="119">
        <f>'2019'!I465</f>
        <v>222</v>
      </c>
      <c r="F62" s="119">
        <f>'2019'!J465</f>
        <v>0</v>
      </c>
      <c r="G62" s="106">
        <f>'2019'!K465</f>
        <v>0</v>
      </c>
      <c r="H62" s="106">
        <f>'2019'!L465</f>
      </c>
      <c r="I62" s="119">
        <f>'2019'!M465</f>
        <v>222</v>
      </c>
      <c r="J62" s="119">
        <f>'2019'!N465</f>
        <v>0</v>
      </c>
      <c r="K62" s="106">
        <f>'2019'!O465</f>
        <v>0</v>
      </c>
      <c r="L62" s="106">
        <f>'2019'!P465</f>
      </c>
      <c r="M62" s="119">
        <f>'2019'!Q465</f>
        <v>222</v>
      </c>
      <c r="N62" s="119">
        <f>'2019'!R465</f>
        <v>0</v>
      </c>
      <c r="O62" s="165">
        <f>'2019'!S465</f>
        <v>0</v>
      </c>
      <c r="P62" s="165">
        <f>'2019'!T465</f>
      </c>
      <c r="Q62" s="119">
        <f>'2019'!U465</f>
        <v>222</v>
      </c>
      <c r="R62" s="119">
        <f>'2019'!V465</f>
        <v>0</v>
      </c>
      <c r="S62" s="106">
        <f>'2019'!W465</f>
        <v>0</v>
      </c>
      <c r="T62" s="106">
        <f>'2019'!X465</f>
      </c>
      <c r="U62" s="119">
        <f>'2019'!Y465</f>
        <v>240</v>
      </c>
      <c r="V62" s="119">
        <f>'2019'!Z465</f>
        <v>18</v>
      </c>
      <c r="W62" s="106">
        <f>'2019'!AA465</f>
        <v>44.82</v>
      </c>
      <c r="X62" s="106">
        <f>'2019'!AB465</f>
      </c>
      <c r="Y62" s="119">
        <f>'2019'!AC465</f>
        <v>255</v>
      </c>
      <c r="Z62" s="119">
        <f>'2019'!AD465</f>
        <v>15</v>
      </c>
      <c r="AA62" s="106">
        <f>'2019'!AE465</f>
        <v>37.5</v>
      </c>
      <c r="AB62" s="106">
        <f>'2019'!AF465</f>
      </c>
      <c r="AC62" s="119">
        <f>'2019'!AG465</f>
        <v>277</v>
      </c>
      <c r="AD62" s="119">
        <f>'2019'!AH465</f>
        <v>22</v>
      </c>
      <c r="AE62" s="106">
        <f>'2019'!AI465</f>
        <v>55</v>
      </c>
      <c r="AF62" s="106">
        <f>'2019'!AJ465</f>
        <v>149.77</v>
      </c>
      <c r="AG62" s="119">
        <f>'2019'!AK465</f>
        <v>286</v>
      </c>
      <c r="AH62" s="119">
        <f>'2019'!AL465</f>
        <v>9</v>
      </c>
      <c r="AI62" s="106">
        <f>'2019'!AM465</f>
        <v>22.5</v>
      </c>
      <c r="AJ62" s="106">
        <f>'2019'!AN465</f>
        <v>26.09</v>
      </c>
      <c r="AK62" s="119">
        <f>'2019'!AO465</f>
        <v>295</v>
      </c>
      <c r="AL62" s="119">
        <f>'2019'!AP465</f>
        <v>9</v>
      </c>
      <c r="AM62" s="106">
        <f>'2019'!AQ465</f>
        <v>22.5</v>
      </c>
      <c r="AN62" s="106">
        <f>'2019'!AR465</f>
      </c>
      <c r="AO62" s="119">
        <f>'2019'!AS465</f>
        <v>301</v>
      </c>
      <c r="AP62" s="119">
        <f>'2019'!AT465</f>
        <v>6</v>
      </c>
      <c r="AQ62" s="106">
        <f>'2019'!AU465</f>
        <v>15</v>
      </c>
      <c r="AR62" s="106">
        <f>'2019'!AV465</f>
      </c>
      <c r="AS62" s="119">
        <f>'2019'!AW465</f>
        <v>303</v>
      </c>
      <c r="AT62" s="119">
        <f>'2019'!AX465</f>
        <v>2</v>
      </c>
      <c r="AU62" s="106">
        <f>'2019'!AY465</f>
        <v>5</v>
      </c>
      <c r="AV62" s="106">
        <f>'2019'!AZ465</f>
      </c>
      <c r="AW62" s="106"/>
      <c r="AX62" s="106">
        <f t="shared" si="0"/>
        <v>0</v>
      </c>
      <c r="AY62" s="119">
        <f>'2019'!BA465</f>
        <v>303</v>
      </c>
      <c r="AZ62" s="119">
        <f>'2019'!BB465</f>
        <v>0</v>
      </c>
      <c r="BA62" s="106">
        <f>'2019'!BC465</f>
        <v>0</v>
      </c>
      <c r="BB62" s="106">
        <f>'2019'!BD465</f>
      </c>
      <c r="BC62" s="106"/>
      <c r="BD62" s="106"/>
      <c r="BE62" s="119">
        <f>'2019'!BE465</f>
        <v>81</v>
      </c>
      <c r="BF62" s="106">
        <f>'2019'!BF465</f>
        <v>202.32</v>
      </c>
      <c r="BG62" s="106">
        <f>'2019'!BG465</f>
        <v>175.86</v>
      </c>
      <c r="BH62" s="106">
        <f>'2019'!BH465</f>
        <v>38.91</v>
      </c>
      <c r="BI62" s="106">
        <f t="shared" si="1"/>
        <v>0</v>
      </c>
      <c r="BJ62" s="124">
        <f t="shared" si="2"/>
        <v>38.91</v>
      </c>
    </row>
    <row r="63" ht="15.75" customHeight="1" spans="1:62" x14ac:dyDescent="0.25">
      <c r="A63" s="14"/>
      <c r="B63" s="115">
        <v>62</v>
      </c>
      <c r="C63" s="116">
        <v>4.6</v>
      </c>
      <c r="D63" s="117" t="s">
        <v>234</v>
      </c>
      <c r="E63" s="119">
        <f>'2019'!I473</f>
        <v>307</v>
      </c>
      <c r="F63" s="119">
        <f>'2019'!J473</f>
        <v>0</v>
      </c>
      <c r="G63" s="106">
        <f>'2019'!K473</f>
        <v>0</v>
      </c>
      <c r="H63" s="106">
        <f>'2019'!L473</f>
      </c>
      <c r="I63" s="119">
        <f>'2019'!M473</f>
        <v>307</v>
      </c>
      <c r="J63" s="119">
        <f>'2019'!N473</f>
        <v>0</v>
      </c>
      <c r="K63" s="106">
        <f>'2019'!O473</f>
        <v>0</v>
      </c>
      <c r="L63" s="106">
        <f>'2019'!P473</f>
      </c>
      <c r="M63" s="119">
        <f>'2019'!Q473</f>
        <v>307</v>
      </c>
      <c r="N63" s="119">
        <f>'2019'!R473</f>
        <v>0</v>
      </c>
      <c r="O63" s="165">
        <f>'2019'!S473</f>
        <v>0</v>
      </c>
      <c r="P63" s="165">
        <f>'2019'!T473</f>
      </c>
      <c r="Q63" s="119">
        <f>'2019'!U473</f>
        <v>307</v>
      </c>
      <c r="R63" s="119">
        <f>'2019'!V473</f>
        <v>0</v>
      </c>
      <c r="S63" s="106">
        <f>'2019'!W473</f>
        <v>0</v>
      </c>
      <c r="T63" s="106">
        <f>'2019'!X473</f>
      </c>
      <c r="U63" s="119">
        <f>'2019'!Y473</f>
        <v>312</v>
      </c>
      <c r="V63" s="119">
        <f>'2019'!Z473</f>
        <v>5</v>
      </c>
      <c r="W63" s="106">
        <f>'2019'!AA473</f>
        <v>12.45</v>
      </c>
      <c r="X63" s="106">
        <f>'2019'!AB473</f>
      </c>
      <c r="Y63" s="119">
        <f>'2019'!AC473</f>
        <v>329</v>
      </c>
      <c r="Z63" s="119">
        <f>'2019'!AD473</f>
        <v>17</v>
      </c>
      <c r="AA63" s="106">
        <f>'2019'!AE473</f>
        <v>42.5</v>
      </c>
      <c r="AB63" s="106">
        <f>'2019'!AF473</f>
        <v>79.99</v>
      </c>
      <c r="AC63" s="119">
        <f>'2019'!AG473</f>
        <v>364</v>
      </c>
      <c r="AD63" s="119">
        <f>'2019'!AH473</f>
        <v>35</v>
      </c>
      <c r="AE63" s="106">
        <f>'2019'!AI473</f>
        <v>87.5</v>
      </c>
      <c r="AF63" s="106">
        <f>'2019'!AJ473</f>
      </c>
      <c r="AG63" s="119">
        <f>'2019'!AK473</f>
        <v>396</v>
      </c>
      <c r="AH63" s="119">
        <f>'2019'!AL473</f>
        <v>32</v>
      </c>
      <c r="AI63" s="106">
        <f>'2019'!AM473</f>
        <v>80</v>
      </c>
      <c r="AJ63" s="106">
        <f>'2019'!AN473</f>
        <v>157.4</v>
      </c>
      <c r="AK63" s="119">
        <f>'2019'!AO473</f>
        <v>417</v>
      </c>
      <c r="AL63" s="119">
        <f>'2019'!AP473</f>
        <v>21</v>
      </c>
      <c r="AM63" s="106">
        <f>'2019'!AQ473</f>
        <v>52.5</v>
      </c>
      <c r="AN63" s="106">
        <f>'2019'!AR473</f>
      </c>
      <c r="AO63" s="119">
        <f>'2019'!AS473</f>
        <v>418</v>
      </c>
      <c r="AP63" s="119">
        <f>'2019'!AT473</f>
        <v>1</v>
      </c>
      <c r="AQ63" s="106">
        <f>'2019'!AU473</f>
        <v>2.5</v>
      </c>
      <c r="AR63" s="106">
        <f>'2019'!AV473</f>
      </c>
      <c r="AS63" s="119">
        <f>'2019'!AW473</f>
        <v>418</v>
      </c>
      <c r="AT63" s="119">
        <f>'2019'!AX473</f>
        <v>0</v>
      </c>
      <c r="AU63" s="106">
        <f>'2019'!AY473</f>
        <v>0</v>
      </c>
      <c r="AV63" s="106">
        <f>'2019'!AZ473</f>
      </c>
      <c r="AW63" s="106"/>
      <c r="AX63" s="106">
        <f t="shared" si="0"/>
        <v>0</v>
      </c>
      <c r="AY63" s="119">
        <f>'2019'!BA473</f>
        <v>418</v>
      </c>
      <c r="AZ63" s="119">
        <f>'2019'!BB473</f>
        <v>0</v>
      </c>
      <c r="BA63" s="106">
        <f>'2019'!BC473</f>
        <v>0</v>
      </c>
      <c r="BB63" s="106">
        <f>'2019'!BD473</f>
      </c>
      <c r="BC63" s="106"/>
      <c r="BD63" s="106"/>
      <c r="BE63" s="119">
        <f>'2019'!BE473</f>
        <v>111</v>
      </c>
      <c r="BF63" s="106">
        <f>'2019'!BF473</f>
        <v>277.45</v>
      </c>
      <c r="BG63" s="106">
        <f>'2019'!BG473</f>
        <v>237.39</v>
      </c>
      <c r="BH63" s="106">
        <f>'2019'!BH473</f>
        <v>55</v>
      </c>
      <c r="BI63" s="106">
        <f t="shared" si="1"/>
        <v>0</v>
      </c>
      <c r="BJ63" s="124">
        <f t="shared" si="2"/>
        <v>55</v>
      </c>
    </row>
    <row r="64" ht="15.75" customHeight="1" spans="1:62" x14ac:dyDescent="0.25">
      <c r="A64" s="14"/>
      <c r="B64" s="115" t="s">
        <v>237</v>
      </c>
      <c r="C64" s="115">
        <v>8.02</v>
      </c>
      <c r="D64" s="117" t="s">
        <v>238</v>
      </c>
      <c r="E64" s="119">
        <f>'2019'!I481</f>
        <v>23</v>
      </c>
      <c r="F64" s="119">
        <f>'2019'!J481</f>
        <v>0</v>
      </c>
      <c r="G64" s="106">
        <f>'2019'!K481</f>
        <v>0</v>
      </c>
      <c r="H64" s="106">
        <f>'2019'!L481</f>
      </c>
      <c r="I64" s="119">
        <f>'2019'!M481</f>
        <v>23</v>
      </c>
      <c r="J64" s="119">
        <f>'2019'!N481</f>
        <v>0</v>
      </c>
      <c r="K64" s="106">
        <f>'2019'!O481</f>
        <v>0</v>
      </c>
      <c r="L64" s="106">
        <f>'2019'!P481</f>
      </c>
      <c r="M64" s="119">
        <f>'2019'!Q481</f>
        <v>23</v>
      </c>
      <c r="N64" s="119">
        <f>'2019'!R481</f>
        <v>0</v>
      </c>
      <c r="O64" s="165">
        <f>'2019'!S481</f>
        <v>0</v>
      </c>
      <c r="P64" s="165">
        <f>'2019'!T481</f>
      </c>
      <c r="Q64" s="119">
        <f>'2019'!U481</f>
        <v>23</v>
      </c>
      <c r="R64" s="119">
        <f>'2019'!V481</f>
        <v>0</v>
      </c>
      <c r="S64" s="106">
        <f>'2019'!W481</f>
        <v>0</v>
      </c>
      <c r="T64" s="106">
        <f>'2019'!X481</f>
      </c>
      <c r="U64" s="119">
        <f>'2019'!Y481</f>
        <v>25</v>
      </c>
      <c r="V64" s="119">
        <f>'2019'!Z481</f>
        <v>2</v>
      </c>
      <c r="W64" s="106">
        <f>'2019'!AA481</f>
        <v>4.98</v>
      </c>
      <c r="X64" s="106">
        <f>'2019'!AB481</f>
      </c>
      <c r="Y64" s="119">
        <f>'2019'!AC481</f>
        <v>27</v>
      </c>
      <c r="Z64" s="119">
        <f>'2019'!AD481</f>
        <v>2</v>
      </c>
      <c r="AA64" s="106">
        <f>'2019'!AE481</f>
        <v>5</v>
      </c>
      <c r="AB64" s="106">
        <f>'2019'!AF481</f>
      </c>
      <c r="AC64" s="119">
        <f>'2019'!AG481</f>
        <v>29</v>
      </c>
      <c r="AD64" s="119">
        <f>'2019'!AH481</f>
        <v>2</v>
      </c>
      <c r="AE64" s="106">
        <f>'2019'!AI481</f>
        <v>5</v>
      </c>
      <c r="AF64" s="106">
        <f>'2019'!AJ481</f>
        <v>17.94</v>
      </c>
      <c r="AG64" s="119">
        <f>'2019'!AK481</f>
        <v>31</v>
      </c>
      <c r="AH64" s="119">
        <f>'2019'!AL481</f>
        <v>2</v>
      </c>
      <c r="AI64" s="106">
        <f>'2019'!AM481</f>
        <v>5</v>
      </c>
      <c r="AJ64" s="106">
        <f>'2019'!AN481</f>
      </c>
      <c r="AK64" s="119">
        <f>'2019'!AO481</f>
        <v>33</v>
      </c>
      <c r="AL64" s="119">
        <f>'2019'!AP481</f>
        <v>2</v>
      </c>
      <c r="AM64" s="106">
        <f>'2019'!AQ481</f>
        <v>5</v>
      </c>
      <c r="AN64" s="106">
        <f>'2019'!AR481</f>
      </c>
      <c r="AO64" s="119">
        <f>'2019'!AS481</f>
        <v>34</v>
      </c>
      <c r="AP64" s="119">
        <f>'2019'!AT481</f>
        <v>1</v>
      </c>
      <c r="AQ64" s="106">
        <f>'2019'!AU481</f>
        <v>2.5</v>
      </c>
      <c r="AR64" s="106">
        <f>'2019'!AV481</f>
      </c>
      <c r="AS64" s="119">
        <f>'2019'!AW481</f>
        <v>34</v>
      </c>
      <c r="AT64" s="119">
        <f>'2019'!AX481</f>
        <v>0</v>
      </c>
      <c r="AU64" s="106">
        <f>'2019'!AY481</f>
        <v>0</v>
      </c>
      <c r="AV64" s="106">
        <f>'2019'!AZ481</f>
      </c>
      <c r="AW64" s="106"/>
      <c r="AX64" s="106">
        <f t="shared" si="0"/>
        <v>0</v>
      </c>
      <c r="AY64" s="119">
        <f>'2019'!BA481</f>
        <v>34</v>
      </c>
      <c r="AZ64" s="119">
        <f>'2019'!BB481</f>
        <v>0</v>
      </c>
      <c r="BA64" s="106">
        <f>'2019'!BC481</f>
        <v>0</v>
      </c>
      <c r="BB64" s="106">
        <f>'2019'!BD481</f>
      </c>
      <c r="BC64" s="106"/>
      <c r="BD64" s="106"/>
      <c r="BE64" s="119">
        <f>'2019'!BE481</f>
        <v>11</v>
      </c>
      <c r="BF64" s="106">
        <f>'2019'!BF481</f>
        <v>27.48</v>
      </c>
      <c r="BG64" s="106">
        <f>'2019'!BG481</f>
        <v>17.94</v>
      </c>
      <c r="BH64" s="106">
        <f>'2019'!BH481</f>
        <v>12.03</v>
      </c>
      <c r="BI64" s="106">
        <f t="shared" si="1"/>
        <v>0</v>
      </c>
      <c r="BJ64" s="124">
        <f t="shared" si="2"/>
        <v>12.03</v>
      </c>
    </row>
    <row r="65" ht="15.75" customHeight="1" spans="1:62" x14ac:dyDescent="0.25">
      <c r="A65" s="14"/>
      <c r="B65" s="115">
        <v>64</v>
      </c>
      <c r="C65" s="115">
        <v>4.24</v>
      </c>
      <c r="D65" s="117" t="s">
        <v>241</v>
      </c>
      <c r="E65" s="119">
        <f>'2019'!I489</f>
        <v>239</v>
      </c>
      <c r="F65" s="119">
        <f>'2019'!J489</f>
        <v>0</v>
      </c>
      <c r="G65" s="106">
        <f>'2019'!K489</f>
        <v>0</v>
      </c>
      <c r="H65" s="106">
        <f>'2019'!L489</f>
      </c>
      <c r="I65" s="119">
        <f>'2019'!M489</f>
        <v>239</v>
      </c>
      <c r="J65" s="119">
        <f>'2019'!N489</f>
        <v>0</v>
      </c>
      <c r="K65" s="106">
        <f>'2019'!O489</f>
        <v>0</v>
      </c>
      <c r="L65" s="106">
        <f>'2019'!P489</f>
      </c>
      <c r="M65" s="119">
        <f>'2019'!Q489</f>
        <v>239</v>
      </c>
      <c r="N65" s="119">
        <f>'2019'!R489</f>
        <v>0</v>
      </c>
      <c r="O65" s="165">
        <f>'2019'!S489</f>
        <v>0</v>
      </c>
      <c r="P65" s="165">
        <f>'2019'!T489</f>
      </c>
      <c r="Q65" s="119">
        <f>'2019'!U489</f>
        <v>239</v>
      </c>
      <c r="R65" s="119">
        <f>'2019'!V489</f>
        <v>0</v>
      </c>
      <c r="S65" s="106">
        <f>'2019'!W489</f>
        <v>0</v>
      </c>
      <c r="T65" s="106">
        <f>'2019'!X489</f>
      </c>
      <c r="U65" s="119">
        <f>'2019'!Y489</f>
        <v>249</v>
      </c>
      <c r="V65" s="119">
        <f>'2019'!Z489</f>
        <v>10</v>
      </c>
      <c r="W65" s="106">
        <f>'2019'!AA489</f>
        <v>24.9</v>
      </c>
      <c r="X65" s="106">
        <f>'2019'!AB489</f>
      </c>
      <c r="Y65" s="119">
        <f>'2019'!AC489</f>
        <v>264</v>
      </c>
      <c r="Z65" s="119">
        <f>'2019'!AD489</f>
        <v>15</v>
      </c>
      <c r="AA65" s="106">
        <f>'2019'!AE489</f>
        <v>37.5</v>
      </c>
      <c r="AB65" s="106">
        <f>'2019'!AF489</f>
      </c>
      <c r="AC65" s="119">
        <f>'2019'!AG489</f>
        <v>291</v>
      </c>
      <c r="AD65" s="119">
        <f>'2019'!AH489</f>
        <v>27</v>
      </c>
      <c r="AE65" s="106">
        <f>'2019'!AI489</f>
        <v>67.5</v>
      </c>
      <c r="AF65" s="106">
        <f>'2019'!AJ489</f>
        <v>300</v>
      </c>
      <c r="AG65" s="119">
        <f>'2019'!AK489</f>
        <v>317</v>
      </c>
      <c r="AH65" s="119">
        <f>'2019'!AL489</f>
        <v>26</v>
      </c>
      <c r="AI65" s="106">
        <f>'2019'!AM489</f>
        <v>65</v>
      </c>
      <c r="AJ65" s="106">
        <f>'2019'!AN489</f>
      </c>
      <c r="AK65" s="119">
        <f>'2019'!AO489</f>
        <v>328</v>
      </c>
      <c r="AL65" s="119">
        <f>'2019'!AP489</f>
        <v>11</v>
      </c>
      <c r="AM65" s="106">
        <f>'2019'!AQ489</f>
        <v>27.5</v>
      </c>
      <c r="AN65" s="106">
        <f>'2019'!AR489</f>
      </c>
      <c r="AO65" s="119">
        <f>'2019'!AS489</f>
        <v>328</v>
      </c>
      <c r="AP65" s="119">
        <f>'2019'!AT489</f>
        <v>0</v>
      </c>
      <c r="AQ65" s="106">
        <f>'2019'!AU489</f>
        <v>0</v>
      </c>
      <c r="AR65" s="106">
        <f>'2019'!AV489</f>
      </c>
      <c r="AS65" s="119">
        <f>'2019'!AW489</f>
        <v>328</v>
      </c>
      <c r="AT65" s="119">
        <f>'2019'!AX489</f>
        <v>0</v>
      </c>
      <c r="AU65" s="106">
        <f>'2019'!AY489</f>
        <v>0</v>
      </c>
      <c r="AV65" s="106">
        <f>'2019'!AZ489</f>
      </c>
      <c r="AW65" s="106"/>
      <c r="AX65" s="106">
        <f t="shared" si="0"/>
        <v>0</v>
      </c>
      <c r="AY65" s="119">
        <f>'2019'!BA489</f>
        <v>328</v>
      </c>
      <c r="AZ65" s="119">
        <f>'2019'!BB489</f>
        <v>0</v>
      </c>
      <c r="BA65" s="106">
        <f>'2019'!BC489</f>
        <v>0</v>
      </c>
      <c r="BB65" s="106">
        <f>'2019'!BD489</f>
      </c>
      <c r="BC65" s="106"/>
      <c r="BD65" s="106"/>
      <c r="BE65" s="119">
        <f>'2019'!BE489</f>
        <v>89</v>
      </c>
      <c r="BF65" s="106">
        <f>'2019'!BF489</f>
        <v>222.4</v>
      </c>
      <c r="BG65" s="106">
        <f>'2019'!BG489</f>
        <v>300</v>
      </c>
      <c r="BH65" s="106">
        <f>'2019'!BH489</f>
        <v>-226.69</v>
      </c>
      <c r="BI65" s="106">
        <f t="shared" si="1"/>
        <v>0</v>
      </c>
      <c r="BJ65" s="124">
        <f t="shared" si="2"/>
        <v>-226.69</v>
      </c>
    </row>
    <row r="66" ht="15.75" customHeight="1" spans="1:62" x14ac:dyDescent="0.25">
      <c r="A66" s="14"/>
      <c r="B66" s="115">
        <v>66</v>
      </c>
      <c r="C66" s="115">
        <v>4.66</v>
      </c>
      <c r="D66" s="117" t="s">
        <v>244</v>
      </c>
      <c r="E66" s="119">
        <f>'2019'!I497</f>
        <v>1</v>
      </c>
      <c r="F66" s="119">
        <f>'2019'!J497</f>
        <v>0</v>
      </c>
      <c r="G66" s="106">
        <f>'2019'!K497</f>
        <v>0</v>
      </c>
      <c r="H66" s="106">
        <f>'2019'!L497</f>
      </c>
      <c r="I66" s="119">
        <f>'2019'!M497</f>
        <v>1</v>
      </c>
      <c r="J66" s="119">
        <f>'2019'!N497</f>
        <v>0</v>
      </c>
      <c r="K66" s="106">
        <f>'2019'!O497</f>
        <v>0</v>
      </c>
      <c r="L66" s="106">
        <f>'2019'!P497</f>
      </c>
      <c r="M66" s="119">
        <f>'2019'!Q497</f>
        <v>1</v>
      </c>
      <c r="N66" s="119">
        <f>'2019'!R497</f>
        <v>0</v>
      </c>
      <c r="O66" s="165">
        <f>'2019'!S497</f>
        <v>0</v>
      </c>
      <c r="P66" s="165">
        <f>'2019'!T497</f>
      </c>
      <c r="Q66" s="119">
        <f>'2019'!U497</f>
        <v>1</v>
      </c>
      <c r="R66" s="119">
        <f>'2019'!V497</f>
        <v>0</v>
      </c>
      <c r="S66" s="106">
        <f>'2019'!W497</f>
        <v>0</v>
      </c>
      <c r="T66" s="106">
        <f>'2019'!X497</f>
      </c>
      <c r="U66" s="119">
        <f>'2019'!Y497</f>
        <v>1</v>
      </c>
      <c r="V66" s="119">
        <f>'2019'!Z497</f>
        <v>0</v>
      </c>
      <c r="W66" s="106">
        <f>'2019'!AA497</f>
        <v>0</v>
      </c>
      <c r="X66" s="106">
        <f>'2019'!AB497</f>
      </c>
      <c r="Y66" s="119">
        <f>'2019'!AC497</f>
        <v>1</v>
      </c>
      <c r="Z66" s="119">
        <f>'2019'!AD497</f>
        <v>0</v>
      </c>
      <c r="AA66" s="106">
        <f>'2019'!AE497</f>
        <v>0</v>
      </c>
      <c r="AB66" s="106">
        <f>'2019'!AF497</f>
      </c>
      <c r="AC66" s="119">
        <f>'2019'!AG497</f>
        <v>1</v>
      </c>
      <c r="AD66" s="119">
        <f>'2019'!AH497</f>
        <v>0</v>
      </c>
      <c r="AE66" s="106">
        <f>'2019'!AI497</f>
        <v>0</v>
      </c>
      <c r="AF66" s="106">
        <f>'2019'!AJ497</f>
      </c>
      <c r="AG66" s="119">
        <f>'2019'!AK497</f>
        <v>1</v>
      </c>
      <c r="AH66" s="119">
        <f>'2019'!AL497</f>
        <v>0</v>
      </c>
      <c r="AI66" s="106">
        <f>'2019'!AM497</f>
        <v>0</v>
      </c>
      <c r="AJ66" s="106">
        <f>'2019'!AN497</f>
      </c>
      <c r="AK66" s="119">
        <f>'2019'!AO497</f>
        <v>1</v>
      </c>
      <c r="AL66" s="119">
        <f>'2019'!AP497</f>
        <v>0</v>
      </c>
      <c r="AM66" s="106">
        <f>'2019'!AQ497</f>
        <v>0</v>
      </c>
      <c r="AN66" s="106">
        <f>'2019'!AR497</f>
      </c>
      <c r="AO66" s="119">
        <f>'2019'!AS497</f>
        <v>1</v>
      </c>
      <c r="AP66" s="119">
        <f>'2019'!AT497</f>
        <v>0</v>
      </c>
      <c r="AQ66" s="106">
        <f>'2019'!AU497</f>
        <v>0</v>
      </c>
      <c r="AR66" s="106">
        <f>'2019'!AV497</f>
      </c>
      <c r="AS66" s="119">
        <f>'2019'!AW497</f>
        <v>1</v>
      </c>
      <c r="AT66" s="119">
        <f>'2019'!AX497</f>
        <v>0</v>
      </c>
      <c r="AU66" s="106">
        <f>'2019'!AY497</f>
        <v>0</v>
      </c>
      <c r="AV66" s="106">
        <f>'2019'!AZ497</f>
      </c>
      <c r="AW66" s="106"/>
      <c r="AX66" s="106">
        <f t="shared" si="0"/>
        <v>0</v>
      </c>
      <c r="AY66" s="119">
        <f>'2019'!BA497</f>
        <v>1</v>
      </c>
      <c r="AZ66" s="119">
        <f>'2019'!BB497</f>
        <v>0</v>
      </c>
      <c r="BA66" s="106">
        <f>'2019'!BC497</f>
        <v>0</v>
      </c>
      <c r="BB66" s="106">
        <f>'2019'!BD497</f>
      </c>
      <c r="BC66" s="106"/>
      <c r="BD66" s="106"/>
      <c r="BE66" s="119">
        <f>'2019'!BE497</f>
        <v>0</v>
      </c>
      <c r="BF66" s="106">
        <f>'2019'!BF497</f>
        <v>0</v>
      </c>
      <c r="BG66" s="106">
        <f>'2019'!BG497</f>
        <v>0</v>
      </c>
      <c r="BH66" s="106">
        <f>'2019'!BH497</f>
        <v>0</v>
      </c>
      <c r="BI66" s="106">
        <f t="shared" si="1"/>
        <v>0</v>
      </c>
      <c r="BJ66" s="124">
        <f t="shared" si="2"/>
        <v>0</v>
      </c>
    </row>
    <row r="67" ht="15.75" customHeight="1" spans="1:62" x14ac:dyDescent="0.25">
      <c r="A67" s="14"/>
      <c r="B67" s="118">
        <v>67</v>
      </c>
      <c r="C67" s="115">
        <v>6.08</v>
      </c>
      <c r="D67" s="117" t="s">
        <v>245</v>
      </c>
      <c r="E67" s="119">
        <f>'2019'!I505</f>
        <v>1425</v>
      </c>
      <c r="F67" s="119">
        <f>'2019'!J505</f>
        <v>0</v>
      </c>
      <c r="G67" s="106">
        <f>'2019'!K505</f>
        <v>0</v>
      </c>
      <c r="H67" s="106">
        <f>'2019'!L505</f>
      </c>
      <c r="I67" s="119">
        <f>'2019'!M505</f>
        <v>1425</v>
      </c>
      <c r="J67" s="119">
        <f>'2019'!N505</f>
        <v>0</v>
      </c>
      <c r="K67" s="106">
        <f>'2019'!O505</f>
        <v>0</v>
      </c>
      <c r="L67" s="106">
        <f>'2019'!P505</f>
      </c>
      <c r="M67" s="119">
        <f>'2019'!Q505</f>
        <v>1425</v>
      </c>
      <c r="N67" s="119">
        <f>'2019'!R505</f>
        <v>0</v>
      </c>
      <c r="O67" s="106">
        <f>'2019'!S505</f>
        <v>0</v>
      </c>
      <c r="P67" s="106">
        <f>'2019'!T505</f>
      </c>
      <c r="Q67" s="119">
        <f>'2019'!U505</f>
        <v>1455</v>
      </c>
      <c r="R67" s="119">
        <f>'2019'!V505</f>
        <v>30</v>
      </c>
      <c r="S67" s="106">
        <f>'2019'!W505</f>
        <v>74.7</v>
      </c>
      <c r="T67" s="106">
        <f>'2019'!X505</f>
      </c>
      <c r="U67" s="119">
        <f>'2019'!Y505</f>
        <v>1476</v>
      </c>
      <c r="V67" s="119">
        <f>'2019'!Z505</f>
        <v>21</v>
      </c>
      <c r="W67" s="106">
        <f>'2019'!AA505</f>
        <v>52.29</v>
      </c>
      <c r="X67" s="106">
        <f>'2019'!AB505</f>
      </c>
      <c r="Y67" s="119">
        <f>'2019'!AC505</f>
        <v>1564</v>
      </c>
      <c r="Z67" s="119">
        <f>'2019'!AD505</f>
        <v>88</v>
      </c>
      <c r="AA67" s="106">
        <f>'2019'!AE505</f>
        <v>220</v>
      </c>
      <c r="AB67" s="106">
        <f>'2019'!AF505</f>
        <v>228.08</v>
      </c>
      <c r="AC67" s="119">
        <f>'2019'!AG505</f>
        <v>1696</v>
      </c>
      <c r="AD67" s="119">
        <f>'2019'!AH505</f>
        <v>132</v>
      </c>
      <c r="AE67" s="106">
        <f>'2019'!AI505</f>
        <v>330</v>
      </c>
      <c r="AF67" s="106">
        <f>'2019'!AJ505</f>
        <v>275.6</v>
      </c>
      <c r="AG67" s="119">
        <f>'2019'!AK505</f>
        <v>1774</v>
      </c>
      <c r="AH67" s="119">
        <f>'2019'!AL505</f>
        <v>78</v>
      </c>
      <c r="AI67" s="106">
        <f>'2019'!AM505</f>
        <v>195</v>
      </c>
      <c r="AJ67" s="106">
        <f>'2019'!AN505</f>
        <v>221.6</v>
      </c>
      <c r="AK67" s="119">
        <f>'2019'!AO505</f>
        <v>1851</v>
      </c>
      <c r="AL67" s="119">
        <f>'2019'!AP505</f>
        <v>77</v>
      </c>
      <c r="AM67" s="106">
        <f>'2019'!AQ505</f>
        <v>192.5</v>
      </c>
      <c r="AN67" s="106">
        <f>'2019'!AR505</f>
      </c>
      <c r="AO67" s="119">
        <f>'2019'!AS505</f>
        <v>1884</v>
      </c>
      <c r="AP67" s="119">
        <f>'2019'!AT505</f>
        <v>33</v>
      </c>
      <c r="AQ67" s="106">
        <f>'2019'!AU505</f>
        <v>82.5</v>
      </c>
      <c r="AR67" s="106">
        <f>'2019'!AV505</f>
      </c>
      <c r="AS67" s="126">
        <f>'2019'!AW505</f>
        <v>1887</v>
      </c>
      <c r="AT67" s="119">
        <f>'2019'!AX505</f>
        <v>3</v>
      </c>
      <c r="AU67" s="106">
        <f>'2019'!AY505</f>
        <v>7.5</v>
      </c>
      <c r="AV67" s="106">
        <f>'2019'!AZ505</f>
        <v>350</v>
      </c>
      <c r="AW67" s="106"/>
      <c r="AX67" s="106">
        <f t="shared" si="0"/>
        <v>0</v>
      </c>
      <c r="AY67" s="119">
        <f>'2019'!BA505</f>
        <v>1887</v>
      </c>
      <c r="AZ67" s="119">
        <f>'2019'!BB505</f>
        <v>0</v>
      </c>
      <c r="BA67" s="106">
        <f>'2019'!BC505</f>
        <v>0</v>
      </c>
      <c r="BB67" s="106">
        <f>'2019'!BD505</f>
      </c>
      <c r="BC67" s="106"/>
      <c r="BD67" s="106"/>
      <c r="BE67" s="119">
        <f>'2019'!BE505</f>
        <v>462</v>
      </c>
      <c r="BF67" s="106">
        <f>'2019'!BF505</f>
        <v>1154.49</v>
      </c>
      <c r="BG67" s="106">
        <f>'2019'!BG505</f>
        <v>1075.28</v>
      </c>
      <c r="BH67" s="106">
        <f>'2019'!BH505</f>
        <v>-120.79</v>
      </c>
      <c r="BI67" s="106">
        <f t="shared" si="1"/>
        <v>0</v>
      </c>
      <c r="BJ67" s="124">
        <f t="shared" si="2"/>
        <v>-120.79</v>
      </c>
    </row>
    <row r="68" ht="15.75" customHeight="1" spans="1:62" x14ac:dyDescent="0.25">
      <c r="A68" s="14"/>
      <c r="B68" s="115" t="s">
        <v>248</v>
      </c>
      <c r="C68" s="115">
        <v>8.03</v>
      </c>
      <c r="D68" s="117" t="s">
        <v>249</v>
      </c>
      <c r="E68" s="119">
        <f>'2019'!I513</f>
        <v>1247</v>
      </c>
      <c r="F68" s="119">
        <f>'2019'!J513</f>
        <v>0</v>
      </c>
      <c r="G68" s="106">
        <f>'2019'!K513</f>
        <v>0</v>
      </c>
      <c r="H68" s="106">
        <f>'2019'!L513</f>
      </c>
      <c r="I68" s="119">
        <f>'2019'!M513</f>
        <v>1247</v>
      </c>
      <c r="J68" s="119">
        <f>'2019'!N513</f>
        <v>0</v>
      </c>
      <c r="K68" s="106">
        <f>'2019'!O513</f>
        <v>0</v>
      </c>
      <c r="L68" s="106">
        <f>'2019'!P513</f>
      </c>
      <c r="M68" s="119">
        <f>'2019'!Q513</f>
        <v>1247</v>
      </c>
      <c r="N68" s="119">
        <f>'2019'!R513</f>
        <v>0</v>
      </c>
      <c r="O68" s="165">
        <f>'2019'!S513</f>
        <v>0</v>
      </c>
      <c r="P68" s="165">
        <f>'2019'!T513</f>
      </c>
      <c r="Q68" s="119">
        <f>'2019'!U513</f>
        <v>1247</v>
      </c>
      <c r="R68" s="119">
        <f>'2019'!V513</f>
        <v>0</v>
      </c>
      <c r="S68" s="106">
        <f>'2019'!W513</f>
        <v>0</v>
      </c>
      <c r="T68" s="106">
        <f>'2019'!X513</f>
      </c>
      <c r="U68" s="119">
        <f>'2019'!Y513</f>
        <v>1264</v>
      </c>
      <c r="V68" s="119">
        <f>'2019'!Z513</f>
        <v>17</v>
      </c>
      <c r="W68" s="106">
        <f>'2019'!AA513</f>
        <v>42.33</v>
      </c>
      <c r="X68" s="106">
        <f>'2019'!AB513</f>
      </c>
      <c r="Y68" s="119">
        <f>'2019'!AC513</f>
        <v>1281</v>
      </c>
      <c r="Z68" s="119">
        <f>'2019'!AD513</f>
        <v>17</v>
      </c>
      <c r="AA68" s="106">
        <f>'2019'!AE513</f>
        <v>42.5</v>
      </c>
      <c r="AB68" s="106">
        <f>'2019'!AF513</f>
        <v>100</v>
      </c>
      <c r="AC68" s="119">
        <f>'2019'!AG513</f>
        <v>1308</v>
      </c>
      <c r="AD68" s="119">
        <f>'2019'!AH513</f>
        <v>27</v>
      </c>
      <c r="AE68" s="106">
        <f>'2019'!AI513</f>
        <v>67.5</v>
      </c>
      <c r="AF68" s="106">
        <f>'2019'!AJ513</f>
        <v>67.27</v>
      </c>
      <c r="AG68" s="119">
        <f>'2019'!AK513</f>
        <v>1358</v>
      </c>
      <c r="AH68" s="119">
        <f>'2019'!AL513</f>
        <v>50</v>
      </c>
      <c r="AI68" s="106">
        <f>'2019'!AM513</f>
        <v>125</v>
      </c>
      <c r="AJ68" s="106">
        <f>'2019'!AN513</f>
        <v>178.37</v>
      </c>
      <c r="AK68" s="119">
        <f>'2019'!AO513</f>
        <v>1695</v>
      </c>
      <c r="AL68" s="119">
        <f>'2019'!AP513</f>
        <v>337</v>
      </c>
      <c r="AM68" s="106">
        <f>'2019'!AQ513</f>
        <v>842.5</v>
      </c>
      <c r="AN68" s="106">
        <f>'2019'!AR513</f>
      </c>
      <c r="AO68" s="119">
        <f>'2019'!AS513</f>
        <v>1702</v>
      </c>
      <c r="AP68" s="119">
        <f>'2019'!AT513</f>
        <v>7</v>
      </c>
      <c r="AQ68" s="106">
        <f>'2019'!AU513</f>
        <v>17.5</v>
      </c>
      <c r="AR68" s="106">
        <f>'2019'!AV513</f>
      </c>
      <c r="AS68" s="119">
        <f>'2019'!AW513</f>
        <v>1702</v>
      </c>
      <c r="AT68" s="119">
        <f>'2019'!AX513</f>
        <v>0</v>
      </c>
      <c r="AU68" s="106">
        <f>'2019'!AY513</f>
        <v>0</v>
      </c>
      <c r="AV68" s="106">
        <f>'2019'!AZ513</f>
      </c>
      <c r="AW68" s="106"/>
      <c r="AX68" s="106">
        <f t="shared" si="0"/>
        <v>0</v>
      </c>
      <c r="AY68" s="119">
        <f>'2019'!BA513</f>
        <v>1702</v>
      </c>
      <c r="AZ68" s="119">
        <f>'2019'!BB513</f>
        <v>0</v>
      </c>
      <c r="BA68" s="106">
        <f>'2019'!BC513</f>
        <v>0</v>
      </c>
      <c r="BB68" s="106">
        <f>'2019'!BD513</f>
        <v>806.63</v>
      </c>
      <c r="BC68" s="106"/>
      <c r="BD68" s="106"/>
      <c r="BE68" s="119">
        <f>'2019'!BE513</f>
        <v>455</v>
      </c>
      <c r="BF68" s="106">
        <f>'2019'!BF513</f>
        <v>1137.33</v>
      </c>
      <c r="BG68" s="106">
        <f>'2019'!BG513</f>
        <v>1152.27</v>
      </c>
      <c r="BH68" s="106">
        <f>'2019'!BH513</f>
        <v>0</v>
      </c>
      <c r="BI68" s="106">
        <f t="shared" si="1"/>
        <v>0</v>
      </c>
      <c r="BJ68" s="124">
        <f t="shared" si="2"/>
        <v>0</v>
      </c>
    </row>
    <row r="69" ht="15.75" customHeight="1" spans="1:62" x14ac:dyDescent="0.25">
      <c r="A69" s="14"/>
      <c r="B69" s="125">
        <v>69</v>
      </c>
      <c r="C69" s="115">
        <v>4.03</v>
      </c>
      <c r="D69" s="117" t="s">
        <v>253</v>
      </c>
      <c r="E69" s="119">
        <f>'2019'!I521</f>
        <v>16373</v>
      </c>
      <c r="F69" s="119">
        <f>'2019'!J521</f>
        <v>583</v>
      </c>
      <c r="G69" s="106">
        <f>'2019'!K521</f>
        <v>1451.67</v>
      </c>
      <c r="H69" s="106">
        <f>'2019'!L521</f>
        <v>1500</v>
      </c>
      <c r="I69" s="119">
        <f>'2019'!M521</f>
        <v>17053</v>
      </c>
      <c r="J69" s="119">
        <f>'2019'!N521</f>
        <v>680</v>
      </c>
      <c r="K69" s="106">
        <f>'2019'!O521</f>
        <v>1693.2</v>
      </c>
      <c r="L69" s="106">
        <f>'2019'!P521</f>
        <v>1690</v>
      </c>
      <c r="M69" s="119">
        <f>'2019'!Q521</f>
        <v>17463</v>
      </c>
      <c r="N69" s="119">
        <f>'2019'!R521</f>
        <v>410</v>
      </c>
      <c r="O69" s="106">
        <f>'2019'!S521</f>
        <v>1020.9</v>
      </c>
      <c r="P69" s="106">
        <f>'2019'!T521</f>
        <v>1300</v>
      </c>
      <c r="Q69" s="119">
        <f>'2019'!U521</f>
        <v>18362</v>
      </c>
      <c r="R69" s="119">
        <f>'2019'!V521</f>
        <v>899</v>
      </c>
      <c r="S69" s="106">
        <f>'2019'!W521</f>
        <v>2238.51</v>
      </c>
      <c r="T69" s="106">
        <f>'2019'!X521</f>
        <v>2080</v>
      </c>
      <c r="U69" s="119">
        <f>'2019'!Y521</f>
        <v>18969</v>
      </c>
      <c r="V69" s="119">
        <f>'2019'!Z521</f>
        <v>607</v>
      </c>
      <c r="W69" s="106">
        <f>'2019'!AA521</f>
        <v>1511.43</v>
      </c>
      <c r="X69" s="106">
        <f>'2019'!AB521</f>
        <v>1250</v>
      </c>
      <c r="Y69" s="119">
        <f>'2019'!AC521</f>
        <v>19275</v>
      </c>
      <c r="Z69" s="119">
        <f>'2019'!AD521</f>
        <v>306</v>
      </c>
      <c r="AA69" s="106">
        <f>'2019'!AE521</f>
        <v>765</v>
      </c>
      <c r="AB69" s="106">
        <f>'2019'!AF521</f>
        <v>860</v>
      </c>
      <c r="AC69" s="119">
        <f>'2019'!AG521</f>
        <v>19564</v>
      </c>
      <c r="AD69" s="119">
        <f>'2019'!AH521</f>
        <v>289</v>
      </c>
      <c r="AE69" s="106">
        <f>'2019'!AI521</f>
        <v>722.5</v>
      </c>
      <c r="AF69" s="106">
        <f>'2019'!AJ521</f>
      </c>
      <c r="AG69" s="119">
        <f>'2019'!AK521</f>
        <v>19811</v>
      </c>
      <c r="AH69" s="119">
        <f>'2019'!AL521</f>
        <v>247</v>
      </c>
      <c r="AI69" s="106">
        <f>'2019'!AM521</f>
        <v>617.5</v>
      </c>
      <c r="AJ69" s="106">
        <f>'2019'!AN521</f>
      </c>
      <c r="AK69" s="119">
        <f>'2019'!AO521</f>
        <v>20141</v>
      </c>
      <c r="AL69" s="119">
        <f>'2019'!AP521</f>
        <v>330</v>
      </c>
      <c r="AM69" s="106">
        <f>'2019'!AQ521</f>
        <v>825</v>
      </c>
      <c r="AN69" s="106">
        <f>'2019'!AR521</f>
        <v>2175</v>
      </c>
      <c r="AO69" s="119">
        <f>'2019'!AS521</f>
        <v>20532</v>
      </c>
      <c r="AP69" s="119">
        <f>'2019'!AT521</f>
        <v>391</v>
      </c>
      <c r="AQ69" s="106">
        <f>'2019'!AU521</f>
        <v>977.5</v>
      </c>
      <c r="AR69" s="106">
        <f>'2019'!AV521</f>
      </c>
      <c r="AS69" s="126">
        <f>'2019'!AW521</f>
        <v>20942</v>
      </c>
      <c r="AT69" s="119">
        <f>'2019'!AX521</f>
        <v>410</v>
      </c>
      <c r="AU69" s="106">
        <f>'2019'!AY521</f>
        <v>1025</v>
      </c>
      <c r="AV69" s="106">
        <f>'2019'!AZ521</f>
        <v>1250</v>
      </c>
      <c r="AW69" s="119"/>
      <c r="AX69" s="106">
        <f t="shared" si="0"/>
        <v>0</v>
      </c>
      <c r="AY69" s="119">
        <f>'2019'!BA521</f>
        <v>21465</v>
      </c>
      <c r="AZ69" s="119">
        <f>'2019'!BB521</f>
        <v>523</v>
      </c>
      <c r="BA69" s="106">
        <f>'2019'!BC521</f>
        <v>1307.5</v>
      </c>
      <c r="BB69" s="166">
        <f>'2019'!BD521</f>
        <v>2019.83</v>
      </c>
      <c r="BC69" s="106"/>
      <c r="BD69" s="106"/>
      <c r="BE69" s="119">
        <f>'2019'!BE521</f>
        <v>5675</v>
      </c>
      <c r="BF69" s="106">
        <f>'2019'!BF521</f>
        <v>14155.71</v>
      </c>
      <c r="BG69" s="106">
        <f>'2019'!BG521</f>
        <v>14124.83</v>
      </c>
      <c r="BH69" s="106">
        <f>'2019'!BH521</f>
        <v>-36.9</v>
      </c>
      <c r="BI69" s="106">
        <f t="shared" si="1"/>
        <v>0</v>
      </c>
      <c r="BJ69" s="124">
        <f t="shared" si="2"/>
        <v>-36.9</v>
      </c>
    </row>
    <row r="70" ht="15.75" customHeight="1" spans="1:62" x14ac:dyDescent="0.25">
      <c r="A70" s="14"/>
      <c r="B70" s="115">
        <v>71</v>
      </c>
      <c r="C70" s="115">
        <v>5.98</v>
      </c>
      <c r="D70" s="117" t="s">
        <v>255</v>
      </c>
      <c r="E70" s="119">
        <f>'2019'!I529</f>
        <v>85</v>
      </c>
      <c r="F70" s="119">
        <f>'2019'!J529</f>
        <v>0</v>
      </c>
      <c r="G70" s="106">
        <f>'2019'!K529</f>
        <v>0</v>
      </c>
      <c r="H70" s="106">
        <f>'2019'!L529</f>
      </c>
      <c r="I70" s="119">
        <f>'2019'!M529</f>
        <v>85</v>
      </c>
      <c r="J70" s="119">
        <f>'2019'!N529</f>
        <v>0</v>
      </c>
      <c r="K70" s="106">
        <f>'2019'!O529</f>
        <v>0</v>
      </c>
      <c r="L70" s="106">
        <f>'2019'!P529</f>
      </c>
      <c r="M70" s="119">
        <f>'2019'!Q529</f>
        <v>85</v>
      </c>
      <c r="N70" s="119">
        <f>'2019'!R529</f>
        <v>0</v>
      </c>
      <c r="O70" s="165">
        <f>'2019'!S529</f>
        <v>0</v>
      </c>
      <c r="P70" s="165">
        <f>'2019'!T529</f>
      </c>
      <c r="Q70" s="119">
        <f>'2019'!U529</f>
        <v>86</v>
      </c>
      <c r="R70" s="119">
        <f>'2019'!V529</f>
        <v>1</v>
      </c>
      <c r="S70" s="106">
        <f>'2019'!W529</f>
        <v>2.49</v>
      </c>
      <c r="T70" s="106">
        <f>'2019'!X529</f>
      </c>
      <c r="U70" s="119">
        <f>'2019'!Y529</f>
        <v>94</v>
      </c>
      <c r="V70" s="119">
        <f>'2019'!Z529</f>
        <v>8</v>
      </c>
      <c r="W70" s="106">
        <f>'2019'!AA529</f>
        <v>19.92</v>
      </c>
      <c r="X70" s="106">
        <f>'2019'!AB529</f>
      </c>
      <c r="Y70" s="119">
        <f>'2019'!AC529</f>
        <v>98</v>
      </c>
      <c r="Z70" s="119">
        <f>'2019'!AD529</f>
        <v>4</v>
      </c>
      <c r="AA70" s="106">
        <f>'2019'!AE529</f>
        <v>10</v>
      </c>
      <c r="AB70" s="106">
        <f>'2019'!AF529</f>
        <v>85.35</v>
      </c>
      <c r="AC70" s="119">
        <f>'2019'!AG529</f>
        <v>102</v>
      </c>
      <c r="AD70" s="119">
        <f>'2019'!AH529</f>
        <v>4</v>
      </c>
      <c r="AE70" s="106">
        <f>'2019'!AI529</f>
        <v>10</v>
      </c>
      <c r="AF70" s="106">
        <f>'2019'!AJ529</f>
      </c>
      <c r="AG70" s="119">
        <f>'2019'!AK529</f>
        <v>105</v>
      </c>
      <c r="AH70" s="119">
        <f>'2019'!AL529</f>
        <v>3</v>
      </c>
      <c r="AI70" s="106">
        <f>'2019'!AM529</f>
        <v>7.5</v>
      </c>
      <c r="AJ70" s="106">
        <f>'2019'!AN529</f>
      </c>
      <c r="AK70" s="119">
        <f>'2019'!AO529</f>
        <v>109</v>
      </c>
      <c r="AL70" s="119">
        <f>'2019'!AP529</f>
        <v>4</v>
      </c>
      <c r="AM70" s="106">
        <f>'2019'!AQ529</f>
        <v>10</v>
      </c>
      <c r="AN70" s="106">
        <f>'2019'!AR529</f>
      </c>
      <c r="AO70" s="119">
        <f>'2019'!AS529</f>
        <v>115</v>
      </c>
      <c r="AP70" s="119">
        <f>'2019'!AT529</f>
        <v>6</v>
      </c>
      <c r="AQ70" s="106">
        <f>'2019'!AU529</f>
        <v>15</v>
      </c>
      <c r="AR70" s="106">
        <f>'2019'!AV529</f>
      </c>
      <c r="AS70" s="119">
        <f>'2019'!AW529</f>
        <v>115</v>
      </c>
      <c r="AT70" s="119">
        <f>'2019'!AX529</f>
        <v>0</v>
      </c>
      <c r="AU70" s="106">
        <f>'2019'!AY529</f>
        <v>0</v>
      </c>
      <c r="AV70" s="106">
        <f>'2019'!AZ529</f>
      </c>
      <c r="AW70" s="106"/>
      <c r="AX70" s="106">
        <f t="shared" si="0"/>
        <v>0</v>
      </c>
      <c r="AY70" s="119">
        <f>'2019'!BA529</f>
        <v>115</v>
      </c>
      <c r="AZ70" s="119">
        <f>'2019'!BB529</f>
        <v>0</v>
      </c>
      <c r="BA70" s="106">
        <f>'2019'!BC529</f>
        <v>0</v>
      </c>
      <c r="BB70" s="106">
        <f>'2019'!BD529</f>
      </c>
      <c r="BC70" s="106"/>
      <c r="BD70" s="106"/>
      <c r="BE70" s="119">
        <f>'2019'!BE529</f>
        <v>30</v>
      </c>
      <c r="BF70" s="106">
        <f>'2019'!BF529</f>
        <v>74.91</v>
      </c>
      <c r="BG70" s="106">
        <f>'2019'!BG529</f>
        <v>85.35</v>
      </c>
      <c r="BH70" s="106">
        <f>'2019'!BH529</f>
        <v>4.5</v>
      </c>
      <c r="BI70" s="106">
        <f t="shared" si="1"/>
        <v>0</v>
      </c>
      <c r="BJ70" s="124">
        <f t="shared" si="2"/>
        <v>4.5</v>
      </c>
    </row>
    <row r="71" ht="15.75" customHeight="1" spans="1:62" x14ac:dyDescent="0.25">
      <c r="A71" s="14"/>
      <c r="B71" s="115">
        <v>72</v>
      </c>
      <c r="C71" s="115">
        <v>4.03</v>
      </c>
      <c r="D71" s="117" t="s">
        <v>257</v>
      </c>
      <c r="E71" s="119">
        <f>'2019'!I537</f>
        <v>2</v>
      </c>
      <c r="F71" s="119">
        <f>'2019'!J537</f>
        <v>0</v>
      </c>
      <c r="G71" s="106">
        <f>'2019'!K537</f>
        <v>0</v>
      </c>
      <c r="H71" s="106">
        <f>'2019'!L537</f>
      </c>
      <c r="I71" s="119">
        <f>'2019'!M537</f>
        <v>2</v>
      </c>
      <c r="J71" s="119">
        <f>'2019'!N537</f>
        <v>0</v>
      </c>
      <c r="K71" s="106">
        <f>'2019'!O537</f>
        <v>0</v>
      </c>
      <c r="L71" s="106">
        <f>'2019'!P537</f>
      </c>
      <c r="M71" s="119">
        <f>'2019'!Q537</f>
        <v>2</v>
      </c>
      <c r="N71" s="119">
        <f>'2019'!R537</f>
        <v>0</v>
      </c>
      <c r="O71" s="165">
        <f>'2019'!S537</f>
        <v>0</v>
      </c>
      <c r="P71" s="165">
        <f>'2019'!T537</f>
      </c>
      <c r="Q71" s="119">
        <f>'2019'!U537</f>
        <v>2</v>
      </c>
      <c r="R71" s="119">
        <f>'2019'!V537</f>
        <v>0</v>
      </c>
      <c r="S71" s="106">
        <f>'2019'!W537</f>
        <v>0</v>
      </c>
      <c r="T71" s="106">
        <f>'2019'!X537</f>
        <v>41.59</v>
      </c>
      <c r="U71" s="119">
        <f>'2019'!Y537</f>
        <v>5</v>
      </c>
      <c r="V71" s="119">
        <f>'2019'!Z537</f>
        <v>3</v>
      </c>
      <c r="W71" s="106">
        <f>'2019'!AA537</f>
        <v>7.47</v>
      </c>
      <c r="X71" s="106">
        <f>'2019'!AB537</f>
      </c>
      <c r="Y71" s="119">
        <f>'2019'!AC537</f>
        <v>38</v>
      </c>
      <c r="Z71" s="119">
        <f>'2019'!AD537</f>
        <v>33</v>
      </c>
      <c r="AA71" s="106">
        <f>'2019'!AE537</f>
        <v>82.5</v>
      </c>
      <c r="AB71" s="106">
        <f>'2019'!AF537</f>
      </c>
      <c r="AC71" s="119">
        <f>'2019'!AG537</f>
        <v>74</v>
      </c>
      <c r="AD71" s="119">
        <f>'2019'!AH537</f>
        <v>36</v>
      </c>
      <c r="AE71" s="106">
        <f>'2019'!AI537</f>
        <v>90</v>
      </c>
      <c r="AF71" s="106">
        <f>'2019'!AJ537</f>
      </c>
      <c r="AG71" s="119">
        <f>'2019'!AK537</f>
        <v>110</v>
      </c>
      <c r="AH71" s="119">
        <f>'2019'!AL537</f>
        <v>36</v>
      </c>
      <c r="AI71" s="106">
        <f>'2019'!AM537</f>
        <v>90</v>
      </c>
      <c r="AJ71" s="106">
        <f>'2019'!AN537</f>
        <v>314</v>
      </c>
      <c r="AK71" s="119">
        <f>'2019'!AO537</f>
        <v>131</v>
      </c>
      <c r="AL71" s="119">
        <f>'2019'!AP537</f>
        <v>21</v>
      </c>
      <c r="AM71" s="106">
        <f>'2019'!AQ537</f>
        <v>52.5</v>
      </c>
      <c r="AN71" s="106">
        <f>'2019'!AR537</f>
      </c>
      <c r="AO71" s="119">
        <f>'2019'!AS537</f>
        <v>131</v>
      </c>
      <c r="AP71" s="119">
        <f>'2019'!AT537</f>
        <v>0</v>
      </c>
      <c r="AQ71" s="106">
        <f>'2019'!AU537</f>
        <v>0</v>
      </c>
      <c r="AR71" s="106">
        <f>'2019'!AV537</f>
      </c>
      <c r="AS71" s="119">
        <f>'2019'!AW537</f>
        <v>131</v>
      </c>
      <c r="AT71" s="119">
        <f>'2019'!AX537</f>
        <v>0</v>
      </c>
      <c r="AU71" s="106">
        <f>'2019'!AY537</f>
        <v>0</v>
      </c>
      <c r="AV71" s="106">
        <f>'2019'!AZ537</f>
      </c>
      <c r="AW71" s="106"/>
      <c r="AX71" s="106">
        <f t="shared" si="0"/>
        <v>0</v>
      </c>
      <c r="AY71" s="119">
        <f>'2019'!BA537</f>
        <v>131</v>
      </c>
      <c r="AZ71" s="119">
        <f>'2019'!BB537</f>
        <v>0</v>
      </c>
      <c r="BA71" s="106">
        <f>'2019'!BC537</f>
        <v>0</v>
      </c>
      <c r="BB71" s="106">
        <f>'2019'!BD537</f>
      </c>
      <c r="BC71" s="106"/>
      <c r="BD71" s="106"/>
      <c r="BE71" s="119">
        <f>'2019'!BE537</f>
        <v>129</v>
      </c>
      <c r="BF71" s="106">
        <f>'2019'!BF537</f>
        <v>322.47</v>
      </c>
      <c r="BG71" s="106">
        <f>'2019'!BG537</f>
        <v>355.59</v>
      </c>
      <c r="BH71" s="106">
        <f>'2019'!BH537</f>
        <v>-30.63</v>
      </c>
      <c r="BI71" s="106">
        <f t="shared" si="1"/>
        <v>0</v>
      </c>
      <c r="BJ71" s="124">
        <f t="shared" si="2"/>
        <v>-30.63</v>
      </c>
    </row>
    <row r="72" ht="15.75" customHeight="1" spans="1:62" x14ac:dyDescent="0.25">
      <c r="A72" s="14"/>
      <c r="B72" s="115">
        <v>73</v>
      </c>
      <c r="C72" s="115">
        <v>4.02</v>
      </c>
      <c r="D72" s="117" t="s">
        <v>259</v>
      </c>
      <c r="E72" s="119">
        <f>'2019'!I545</f>
      </c>
      <c r="F72" s="119">
        <f>'2019'!J545</f>
      </c>
      <c r="G72" s="106">
        <f>'2019'!K545</f>
        <v>0</v>
      </c>
      <c r="H72" s="106">
        <f>'2019'!L545</f>
      </c>
      <c r="I72" s="119">
        <f>'2019'!M545</f>
      </c>
      <c r="J72" s="119">
        <f>'2019'!N545</f>
        <v>0</v>
      </c>
      <c r="K72" s="106">
        <f>'2019'!O545</f>
        <v>0</v>
      </c>
      <c r="L72" s="106">
        <f>'2019'!P545</f>
      </c>
      <c r="M72" s="119">
        <f>'2019'!Q545</f>
      </c>
      <c r="N72" s="119">
        <f>'2019'!R545</f>
        <v>0</v>
      </c>
      <c r="O72" s="165">
        <f>'2019'!S545</f>
        <v>0</v>
      </c>
      <c r="P72" s="165">
        <f>'2019'!T545</f>
      </c>
      <c r="Q72" s="119">
        <f>'2019'!U545</f>
      </c>
      <c r="R72" s="119">
        <f>'2019'!V545</f>
        <v>0</v>
      </c>
      <c r="S72" s="106">
        <f>'2019'!W545</f>
      </c>
      <c r="T72" s="106">
        <f>'2019'!X545</f>
      </c>
      <c r="U72" s="119">
        <f>'2019'!Y545</f>
      </c>
      <c r="V72" s="119">
        <f>'2019'!Z545</f>
        <v>0</v>
      </c>
      <c r="W72" s="106">
        <f>'2019'!AA545</f>
        <v>0</v>
      </c>
      <c r="X72" s="106">
        <f>'2019'!AB545</f>
      </c>
      <c r="Y72" s="119">
        <f>'2019'!AC545</f>
      </c>
      <c r="Z72" s="119">
        <f>'2019'!AD545</f>
        <v>0</v>
      </c>
      <c r="AA72" s="106">
        <f>'2019'!AE545</f>
        <v>0</v>
      </c>
      <c r="AB72" s="106">
        <f>'2019'!AF545</f>
      </c>
      <c r="AC72" s="119">
        <f>'2019'!AG545</f>
      </c>
      <c r="AD72" s="119">
        <f>'2019'!AH545</f>
        <v>0</v>
      </c>
      <c r="AE72" s="106">
        <f>'2019'!AI545</f>
        <v>0</v>
      </c>
      <c r="AF72" s="106">
        <f>'2019'!AJ545</f>
      </c>
      <c r="AG72" s="119">
        <f>'2019'!AK545</f>
      </c>
      <c r="AH72" s="119">
        <f>'2019'!AL545</f>
        <v>0</v>
      </c>
      <c r="AI72" s="106">
        <f>'2019'!AM545</f>
        <v>0</v>
      </c>
      <c r="AJ72" s="106">
        <f>'2019'!AN545</f>
      </c>
      <c r="AK72" s="119">
        <f>'2019'!AO545</f>
      </c>
      <c r="AL72" s="119">
        <f>'2019'!AP545</f>
        <v>0</v>
      </c>
      <c r="AM72" s="106">
        <f>'2019'!AQ545</f>
        <v>0</v>
      </c>
      <c r="AN72" s="106">
        <f>'2019'!AR545</f>
      </c>
      <c r="AO72" s="119">
        <f>'2019'!AS545</f>
      </c>
      <c r="AP72" s="119">
        <f>'2019'!AT545</f>
        <v>0</v>
      </c>
      <c r="AQ72" s="106">
        <f>'2019'!AU545</f>
        <v>0</v>
      </c>
      <c r="AR72" s="106">
        <f>'2019'!AV545</f>
      </c>
      <c r="AS72" s="119">
        <f>'2019'!AW545</f>
      </c>
      <c r="AT72" s="119">
        <f>'2019'!AX545</f>
        <v>0</v>
      </c>
      <c r="AU72" s="106">
        <f>'2019'!AY545</f>
        <v>0</v>
      </c>
      <c r="AV72" s="106">
        <f>'2019'!AZ545</f>
      </c>
      <c r="AW72" s="106"/>
      <c r="AX72" s="106">
        <f t="shared" si="0"/>
        <v>0</v>
      </c>
      <c r="AY72" s="119">
        <f>'2019'!BA545</f>
      </c>
      <c r="AZ72" s="119">
        <f>'2019'!BB545</f>
        <v>0</v>
      </c>
      <c r="BA72" s="106">
        <f>'2019'!BC545</f>
        <v>0</v>
      </c>
      <c r="BB72" s="106">
        <f>'2019'!BD545</f>
      </c>
      <c r="BC72" s="106"/>
      <c r="BD72" s="106"/>
      <c r="BE72" s="119">
        <f>'2019'!BE545</f>
        <v>0</v>
      </c>
      <c r="BF72" s="106">
        <f>'2019'!BF545</f>
        <v>0</v>
      </c>
      <c r="BG72" s="106">
        <f>'2019'!BG545</f>
        <v>0</v>
      </c>
      <c r="BH72" s="106">
        <f>'2019'!BH545</f>
        <v>0</v>
      </c>
      <c r="BI72" s="106">
        <f t="shared" si="1"/>
        <v>0</v>
      </c>
      <c r="BJ72" s="124">
        <f t="shared" si="2"/>
        <v>0</v>
      </c>
    </row>
    <row r="73" ht="15.75" customHeight="1" spans="1:62" x14ac:dyDescent="0.25">
      <c r="A73" s="21"/>
      <c r="B73" s="115">
        <v>74</v>
      </c>
      <c r="C73" s="115">
        <v>4.97</v>
      </c>
      <c r="D73" s="117" t="s">
        <v>262</v>
      </c>
      <c r="E73" s="119">
        <f>'2019'!I553</f>
      </c>
      <c r="F73" s="119">
        <f>'2019'!J553</f>
      </c>
      <c r="G73" s="106">
        <f>'2019'!K553</f>
        <v>0</v>
      </c>
      <c r="H73" s="106">
        <f>'2019'!L553</f>
      </c>
      <c r="I73" s="119">
        <f>'2019'!M553</f>
      </c>
      <c r="J73" s="119">
        <f>'2019'!N553</f>
        <v>0</v>
      </c>
      <c r="K73" s="106">
        <f>'2019'!O553</f>
        <v>0</v>
      </c>
      <c r="L73" s="106">
        <f>'2019'!P553</f>
      </c>
      <c r="M73" s="119">
        <f>'2019'!Q553</f>
      </c>
      <c r="N73" s="119">
        <f>'2019'!R553</f>
        <v>0</v>
      </c>
      <c r="O73" s="165">
        <f>'2019'!S553</f>
        <v>0</v>
      </c>
      <c r="P73" s="165">
        <f>'2019'!T553</f>
      </c>
      <c r="Q73" s="119">
        <f>'2019'!U553</f>
      </c>
      <c r="R73" s="119">
        <f>'2019'!V553</f>
        <v>0</v>
      </c>
      <c r="S73" s="106">
        <f>'2019'!W553</f>
      </c>
      <c r="T73" s="106">
        <f>'2019'!X553</f>
      </c>
      <c r="U73" s="119">
        <f>'2019'!Y553</f>
      </c>
      <c r="V73" s="119">
        <f>'2019'!Z553</f>
        <v>0</v>
      </c>
      <c r="W73" s="106">
        <f>'2019'!AA553</f>
        <v>0</v>
      </c>
      <c r="X73" s="106">
        <f>'2019'!AB553</f>
      </c>
      <c r="Y73" s="119">
        <f>'2019'!AC553</f>
      </c>
      <c r="Z73" s="119">
        <f>'2019'!AD553</f>
        <v>0</v>
      </c>
      <c r="AA73" s="106">
        <f>'2019'!AE553</f>
        <v>0</v>
      </c>
      <c r="AB73" s="106">
        <f>'2019'!AF553</f>
      </c>
      <c r="AC73" s="119">
        <f>'2019'!AG553</f>
      </c>
      <c r="AD73" s="119">
        <f>'2019'!AH553</f>
        <v>0</v>
      </c>
      <c r="AE73" s="106">
        <f>'2019'!AI553</f>
        <v>0</v>
      </c>
      <c r="AF73" s="106">
        <f>'2019'!AJ553</f>
      </c>
      <c r="AG73" s="119">
        <f>'2019'!AK553</f>
      </c>
      <c r="AH73" s="119">
        <f>'2019'!AL553</f>
        <v>0</v>
      </c>
      <c r="AI73" s="106">
        <f>'2019'!AM553</f>
        <v>0</v>
      </c>
      <c r="AJ73" s="106">
        <f>'2019'!AN553</f>
      </c>
      <c r="AK73" s="119">
        <f>'2019'!AO553</f>
      </c>
      <c r="AL73" s="119">
        <f>'2019'!AP553</f>
        <v>0</v>
      </c>
      <c r="AM73" s="106">
        <f>'2019'!AQ553</f>
        <v>0</v>
      </c>
      <c r="AN73" s="106">
        <f>'2019'!AR553</f>
      </c>
      <c r="AO73" s="119">
        <f>'2019'!AS553</f>
      </c>
      <c r="AP73" s="119">
        <f>'2019'!AT553</f>
        <v>0</v>
      </c>
      <c r="AQ73" s="106">
        <f>'2019'!AU553</f>
        <v>0</v>
      </c>
      <c r="AR73" s="106">
        <f>'2019'!AV553</f>
      </c>
      <c r="AS73" s="119">
        <f>'2019'!AW553</f>
      </c>
      <c r="AT73" s="119">
        <f>'2019'!AX553</f>
        <v>0</v>
      </c>
      <c r="AU73" s="106">
        <f>'2019'!AY553</f>
        <v>0</v>
      </c>
      <c r="AV73" s="106">
        <f>'2019'!AZ553</f>
      </c>
      <c r="AW73" s="106"/>
      <c r="AX73" s="106">
        <f t="shared" si="0"/>
        <v>0</v>
      </c>
      <c r="AY73" s="119">
        <f>'2019'!BA553</f>
      </c>
      <c r="AZ73" s="119">
        <f>'2019'!BB553</f>
        <v>0</v>
      </c>
      <c r="BA73" s="106">
        <f>'2019'!BC553</f>
        <v>0</v>
      </c>
      <c r="BB73" s="106">
        <f>'2019'!BD553</f>
      </c>
      <c r="BC73" s="106"/>
      <c r="BD73" s="106"/>
      <c r="BE73" s="119">
        <f>'2019'!BE553</f>
        <v>0</v>
      </c>
      <c r="BF73" s="106">
        <f>'2019'!BF553</f>
        <v>0</v>
      </c>
      <c r="BG73" s="106">
        <f>'2019'!BG553</f>
        <v>0</v>
      </c>
      <c r="BH73" s="106">
        <f>'2019'!BH553</f>
        <v>0</v>
      </c>
      <c r="BI73" s="106">
        <f t="shared" si="1"/>
        <v>0</v>
      </c>
      <c r="BJ73" s="124">
        <f t="shared" si="2"/>
        <v>0</v>
      </c>
    </row>
    <row r="74" ht="15.75" customHeight="1" spans="1:62" x14ac:dyDescent="0.25">
      <c r="A74" s="114" t="s">
        <v>264</v>
      </c>
      <c r="B74" s="115">
        <v>75</v>
      </c>
      <c r="C74" s="115">
        <v>4.15</v>
      </c>
      <c r="D74" s="117" t="s">
        <v>265</v>
      </c>
      <c r="E74" s="119">
        <f>'2019'!I561</f>
      </c>
      <c r="F74" s="119">
        <f>'2019'!J561</f>
      </c>
      <c r="G74" s="106">
        <f>'2019'!K561</f>
        <v>0</v>
      </c>
      <c r="H74" s="106">
        <f>'2019'!L561</f>
      </c>
      <c r="I74" s="119">
        <f>'2019'!M561</f>
      </c>
      <c r="J74" s="119">
        <f>'2019'!N561</f>
        <v>0</v>
      </c>
      <c r="K74" s="106">
        <f>'2019'!O561</f>
        <v>0</v>
      </c>
      <c r="L74" s="106">
        <f>'2019'!P561</f>
      </c>
      <c r="M74" s="119">
        <f>'2019'!Q561</f>
      </c>
      <c r="N74" s="119">
        <f>'2019'!R561</f>
        <v>0</v>
      </c>
      <c r="O74" s="165">
        <f>'2019'!S561</f>
        <v>0</v>
      </c>
      <c r="P74" s="165">
        <f>'2019'!T561</f>
      </c>
      <c r="Q74" s="119">
        <f>'2019'!U561</f>
      </c>
      <c r="R74" s="119">
        <f>'2019'!V561</f>
        <v>0</v>
      </c>
      <c r="S74" s="106">
        <f>'2019'!W561</f>
      </c>
      <c r="T74" s="106">
        <f>'2019'!X561</f>
      </c>
      <c r="U74" s="119">
        <f>'2019'!Y561</f>
      </c>
      <c r="V74" s="119">
        <f>'2019'!Z561</f>
        <v>0</v>
      </c>
      <c r="W74" s="106">
        <f>'2019'!AA561</f>
        <v>0</v>
      </c>
      <c r="X74" s="106">
        <f>'2019'!AB561</f>
      </c>
      <c r="Y74" s="119">
        <f>'2019'!AC561</f>
      </c>
      <c r="Z74" s="119">
        <f>'2019'!AD561</f>
        <v>0</v>
      </c>
      <c r="AA74" s="106">
        <f>'2019'!AE561</f>
        <v>0</v>
      </c>
      <c r="AB74" s="106">
        <f>'2019'!AF561</f>
      </c>
      <c r="AC74" s="119">
        <f>'2019'!AG561</f>
      </c>
      <c r="AD74" s="119">
        <f>'2019'!AH561</f>
        <v>0</v>
      </c>
      <c r="AE74" s="106">
        <f>'2019'!AI561</f>
        <v>0</v>
      </c>
      <c r="AF74" s="106">
        <f>'2019'!AJ561</f>
      </c>
      <c r="AG74" s="119">
        <f>'2019'!AK561</f>
      </c>
      <c r="AH74" s="119">
        <f>'2019'!AL561</f>
        <v>0</v>
      </c>
      <c r="AI74" s="106">
        <f>'2019'!AM561</f>
        <v>0</v>
      </c>
      <c r="AJ74" s="106">
        <f>'2019'!AN561</f>
      </c>
      <c r="AK74" s="119">
        <f>'2019'!AO561</f>
      </c>
      <c r="AL74" s="119">
        <f>'2019'!AP561</f>
        <v>0</v>
      </c>
      <c r="AM74" s="106">
        <f>'2019'!AQ561</f>
        <v>0</v>
      </c>
      <c r="AN74" s="106">
        <f>'2019'!AR561</f>
      </c>
      <c r="AO74" s="119">
        <f>'2019'!AS561</f>
      </c>
      <c r="AP74" s="119">
        <f>'2019'!AT561</f>
        <v>0</v>
      </c>
      <c r="AQ74" s="106">
        <f>'2019'!AU561</f>
        <v>0</v>
      </c>
      <c r="AR74" s="106">
        <f>'2019'!AV561</f>
      </c>
      <c r="AS74" s="119">
        <f>'2019'!AW561</f>
      </c>
      <c r="AT74" s="119">
        <f>'2019'!AX561</f>
        <v>0</v>
      </c>
      <c r="AU74" s="106">
        <f>'2019'!AY561</f>
        <v>0</v>
      </c>
      <c r="AV74" s="106">
        <f>'2019'!AZ561</f>
      </c>
      <c r="AW74" s="106"/>
      <c r="AX74" s="106">
        <f t="shared" si="0"/>
        <v>0</v>
      </c>
      <c r="AY74" s="119">
        <f>'2019'!BA561</f>
      </c>
      <c r="AZ74" s="119">
        <f>'2019'!BB561</f>
        <v>0</v>
      </c>
      <c r="BA74" s="106">
        <f>'2019'!BC561</f>
        <v>0</v>
      </c>
      <c r="BB74" s="106">
        <f>'2019'!BD561</f>
      </c>
      <c r="BC74" s="106"/>
      <c r="BD74" s="106"/>
      <c r="BE74" s="119">
        <f>'2019'!BE561</f>
        <v>0</v>
      </c>
      <c r="BF74" s="106">
        <f>'2019'!BF561</f>
        <v>0</v>
      </c>
      <c r="BG74" s="106">
        <f>'2019'!BG561</f>
        <v>0</v>
      </c>
      <c r="BH74" s="106">
        <f>'2019'!BH561</f>
        <v>0</v>
      </c>
      <c r="BI74" s="106">
        <f t="shared" si="1"/>
        <v>0</v>
      </c>
      <c r="BJ74" s="124">
        <f t="shared" si="2"/>
        <v>0</v>
      </c>
    </row>
    <row r="75" ht="15.75" customHeight="1" spans="1:62" x14ac:dyDescent="0.25">
      <c r="A75" s="14"/>
      <c r="B75" s="115">
        <v>76</v>
      </c>
      <c r="C75" s="115">
        <v>4.15</v>
      </c>
      <c r="D75" s="117" t="s">
        <v>267</v>
      </c>
      <c r="E75" s="119">
        <f>'2019'!I569</f>
      </c>
      <c r="F75" s="119">
        <f>'2019'!J569</f>
      </c>
      <c r="G75" s="106">
        <f>'2019'!K569</f>
        <v>0</v>
      </c>
      <c r="H75" s="106">
        <f>'2019'!L569</f>
      </c>
      <c r="I75" s="119">
        <f>'2019'!M569</f>
      </c>
      <c r="J75" s="119">
        <f>'2019'!N569</f>
        <v>0</v>
      </c>
      <c r="K75" s="106">
        <f>'2019'!O569</f>
        <v>0</v>
      </c>
      <c r="L75" s="106">
        <f>'2019'!P569</f>
      </c>
      <c r="M75" s="119">
        <f>'2019'!Q569</f>
      </c>
      <c r="N75" s="119">
        <f>'2019'!R569</f>
        <v>0</v>
      </c>
      <c r="O75" s="165">
        <f>'2019'!S569</f>
        <v>0</v>
      </c>
      <c r="P75" s="165">
        <f>'2019'!T569</f>
      </c>
      <c r="Q75" s="119">
        <f>'2019'!U569</f>
      </c>
      <c r="R75" s="119">
        <f>'2019'!V569</f>
        <v>0</v>
      </c>
      <c r="S75" s="106">
        <f>'2019'!W569</f>
      </c>
      <c r="T75" s="106">
        <f>'2019'!X569</f>
      </c>
      <c r="U75" s="119">
        <f>'2019'!Y569</f>
      </c>
      <c r="V75" s="119">
        <f>'2019'!Z569</f>
        <v>0</v>
      </c>
      <c r="W75" s="106">
        <f>'2019'!AA569</f>
        <v>0</v>
      </c>
      <c r="X75" s="106">
        <f>'2019'!AB569</f>
      </c>
      <c r="Y75" s="119">
        <f>'2019'!AC569</f>
      </c>
      <c r="Z75" s="119">
        <f>'2019'!AD569</f>
        <v>0</v>
      </c>
      <c r="AA75" s="106">
        <f>'2019'!AE569</f>
        <v>0</v>
      </c>
      <c r="AB75" s="106">
        <f>'2019'!AF569</f>
      </c>
      <c r="AC75" s="119">
        <f>'2019'!AG569</f>
      </c>
      <c r="AD75" s="119">
        <f>'2019'!AH569</f>
        <v>0</v>
      </c>
      <c r="AE75" s="106">
        <f>'2019'!AI569</f>
        <v>0</v>
      </c>
      <c r="AF75" s="106">
        <f>'2019'!AJ569</f>
      </c>
      <c r="AG75" s="119">
        <f>'2019'!AK569</f>
      </c>
      <c r="AH75" s="119">
        <f>'2019'!AL569</f>
        <v>0</v>
      </c>
      <c r="AI75" s="106">
        <f>'2019'!AM569</f>
        <v>0</v>
      </c>
      <c r="AJ75" s="106">
        <f>'2019'!AN569</f>
      </c>
      <c r="AK75" s="119">
        <f>'2019'!AO569</f>
      </c>
      <c r="AL75" s="119">
        <f>'2019'!AP569</f>
        <v>0</v>
      </c>
      <c r="AM75" s="106">
        <f>'2019'!AQ569</f>
        <v>0</v>
      </c>
      <c r="AN75" s="106">
        <f>'2019'!AR569</f>
      </c>
      <c r="AO75" s="119">
        <f>'2019'!AS569</f>
      </c>
      <c r="AP75" s="119">
        <f>'2019'!AT569</f>
        <v>0</v>
      </c>
      <c r="AQ75" s="106">
        <f>'2019'!AU569</f>
        <v>0</v>
      </c>
      <c r="AR75" s="106">
        <f>'2019'!AV569</f>
      </c>
      <c r="AS75" s="119">
        <f>'2019'!AW569</f>
      </c>
      <c r="AT75" s="119">
        <f>'2019'!AX569</f>
        <v>0</v>
      </c>
      <c r="AU75" s="106">
        <f>'2019'!AY569</f>
        <v>0</v>
      </c>
      <c r="AV75" s="106">
        <f>'2019'!AZ569</f>
      </c>
      <c r="AW75" s="106"/>
      <c r="AX75" s="106">
        <f t="shared" si="0"/>
        <v>0</v>
      </c>
      <c r="AY75" s="119">
        <f>'2019'!BA569</f>
      </c>
      <c r="AZ75" s="119">
        <f>'2019'!BB569</f>
        <v>0</v>
      </c>
      <c r="BA75" s="106">
        <f>'2019'!BC569</f>
        <v>0</v>
      </c>
      <c r="BB75" s="106">
        <f>'2019'!BD569</f>
      </c>
      <c r="BC75" s="106"/>
      <c r="BD75" s="106"/>
      <c r="BE75" s="119">
        <f>'2019'!BE569</f>
        <v>0</v>
      </c>
      <c r="BF75" s="106">
        <f>'2019'!BF569</f>
        <v>0</v>
      </c>
      <c r="BG75" s="106">
        <f>'2019'!BG569</f>
        <v>0</v>
      </c>
      <c r="BH75" s="106">
        <f>'2019'!BH569</f>
        <v>0</v>
      </c>
      <c r="BI75" s="106">
        <f t="shared" si="1"/>
        <v>0</v>
      </c>
      <c r="BJ75" s="124">
        <f t="shared" si="2"/>
        <v>0</v>
      </c>
    </row>
    <row r="76" ht="15.75" customHeight="1" spans="1:62" x14ac:dyDescent="0.25">
      <c r="A76" s="14"/>
      <c r="B76" s="115">
        <v>77</v>
      </c>
      <c r="C76" s="115">
        <v>4.12</v>
      </c>
      <c r="D76" s="117" t="s">
        <v>268</v>
      </c>
      <c r="E76" s="119">
        <f>'2019'!I577</f>
        <v>922</v>
      </c>
      <c r="F76" s="119">
        <f>'2019'!J577</f>
        <v>0</v>
      </c>
      <c r="G76" s="106">
        <f>'2019'!K577</f>
        <v>0</v>
      </c>
      <c r="H76" s="106">
        <f>'2019'!L577</f>
      </c>
      <c r="I76" s="119">
        <f>'2019'!M577</f>
        <v>922</v>
      </c>
      <c r="J76" s="119">
        <f>'2019'!N577</f>
        <v>0</v>
      </c>
      <c r="K76" s="106">
        <f>'2019'!O577</f>
        <v>0</v>
      </c>
      <c r="L76" s="106">
        <f>'2019'!P577</f>
      </c>
      <c r="M76" s="119">
        <f>'2019'!Q577</f>
        <v>922</v>
      </c>
      <c r="N76" s="119">
        <f>'2019'!R577</f>
        <v>0</v>
      </c>
      <c r="O76" s="165">
        <f>'2019'!S577</f>
        <v>0</v>
      </c>
      <c r="P76" s="165">
        <f>'2019'!T577</f>
      </c>
      <c r="Q76" s="119">
        <f>'2019'!U577</f>
        <v>925</v>
      </c>
      <c r="R76" s="119">
        <f>'2019'!V577</f>
        <v>3</v>
      </c>
      <c r="S76" s="106">
        <f>'2019'!W577</f>
        <v>7.47</v>
      </c>
      <c r="T76" s="106">
        <f>'2019'!X577</f>
      </c>
      <c r="U76" s="119">
        <f>'2019'!Y577</f>
        <v>1026</v>
      </c>
      <c r="V76" s="119">
        <f>'2019'!Z577</f>
        <v>101</v>
      </c>
      <c r="W76" s="106">
        <f>'2019'!AA577</f>
        <v>251.49</v>
      </c>
      <c r="X76" s="106">
        <f>'2019'!AB577</f>
      </c>
      <c r="Y76" s="119">
        <f>'2019'!AC577</f>
        <v>1162</v>
      </c>
      <c r="Z76" s="119">
        <f>'2019'!AD577</f>
        <v>136</v>
      </c>
      <c r="AA76" s="106">
        <f>'2019'!AE577</f>
        <v>340</v>
      </c>
      <c r="AB76" s="106">
        <f>'2019'!AF577</f>
        <v>634.07</v>
      </c>
      <c r="AC76" s="119">
        <f>'2019'!AG577</f>
        <v>1286</v>
      </c>
      <c r="AD76" s="119">
        <f>'2019'!AH577</f>
        <v>124</v>
      </c>
      <c r="AE76" s="106">
        <f>'2019'!AI577</f>
        <v>310</v>
      </c>
      <c r="AF76" s="106">
        <f>'2019'!AJ577</f>
        <v>285.08</v>
      </c>
      <c r="AG76" s="119">
        <f>'2019'!AK577</f>
        <v>1403</v>
      </c>
      <c r="AH76" s="119">
        <f>'2019'!AL577</f>
        <v>117</v>
      </c>
      <c r="AI76" s="106">
        <f>'2019'!AM577</f>
        <v>292.5</v>
      </c>
      <c r="AJ76" s="106">
        <f>'2019'!AN577</f>
        <v>325.76</v>
      </c>
      <c r="AK76" s="119">
        <f>'2019'!AO577</f>
        <v>1477</v>
      </c>
      <c r="AL76" s="119">
        <f>'2019'!AP577</f>
        <v>74</v>
      </c>
      <c r="AM76" s="106">
        <f>'2019'!AQ577</f>
        <v>185</v>
      </c>
      <c r="AN76" s="106">
        <f>'2019'!AR577</f>
      </c>
      <c r="AO76" s="119">
        <f>'2019'!AS577</f>
        <v>1477</v>
      </c>
      <c r="AP76" s="119">
        <f>'2019'!AT577</f>
        <v>0</v>
      </c>
      <c r="AQ76" s="106">
        <f>'2019'!AU577</f>
        <v>0</v>
      </c>
      <c r="AR76" s="106">
        <f>'2019'!AV577</f>
        <v>151.51</v>
      </c>
      <c r="AS76" s="119">
        <f>'2019'!AW577</f>
        <v>1477</v>
      </c>
      <c r="AT76" s="119">
        <f>'2019'!AX577</f>
        <v>0</v>
      </c>
      <c r="AU76" s="106">
        <f>'2019'!AY577</f>
        <v>0</v>
      </c>
      <c r="AV76" s="106">
        <f>'2019'!AZ577</f>
      </c>
      <c r="AW76" s="106"/>
      <c r="AX76" s="106">
        <f t="shared" si="0"/>
        <v>0</v>
      </c>
      <c r="AY76" s="119">
        <f>'2019'!BA577</f>
        <v>1477</v>
      </c>
      <c r="AZ76" s="119">
        <f>'2019'!BB577</f>
        <v>0</v>
      </c>
      <c r="BA76" s="106">
        <f>'2019'!BC577</f>
        <v>0</v>
      </c>
      <c r="BB76" s="106">
        <f>'2019'!BD577</f>
      </c>
      <c r="BC76" s="106"/>
      <c r="BD76" s="106"/>
      <c r="BE76" s="119">
        <f>'2019'!BE577</f>
        <v>555</v>
      </c>
      <c r="BF76" s="106">
        <f>'2019'!BF577</f>
        <v>1386.46</v>
      </c>
      <c r="BG76" s="106">
        <f>'2019'!BG577</f>
        <v>1396.42</v>
      </c>
      <c r="BH76" s="106">
        <f>'2019'!BH577</f>
        <v>0</v>
      </c>
      <c r="BI76" s="106">
        <f t="shared" si="1"/>
        <v>0</v>
      </c>
      <c r="BJ76" s="124">
        <f t="shared" si="2"/>
        <v>0</v>
      </c>
    </row>
    <row r="77" ht="15.75" customHeight="1" spans="1:62" x14ac:dyDescent="0.25">
      <c r="A77" s="14"/>
      <c r="B77" s="115">
        <v>78</v>
      </c>
      <c r="C77" s="115">
        <v>4.03</v>
      </c>
      <c r="D77" s="117" t="s">
        <v>271</v>
      </c>
      <c r="E77" s="119">
        <f>'2019'!I585</f>
        <v>44</v>
      </c>
      <c r="F77" s="119">
        <f>'2019'!J585</f>
        <v>0</v>
      </c>
      <c r="G77" s="106">
        <f>'2019'!K585</f>
        <v>0</v>
      </c>
      <c r="H77" s="106">
        <f>'2019'!L585</f>
      </c>
      <c r="I77" s="119">
        <f>'2019'!M585</f>
        <v>44</v>
      </c>
      <c r="J77" s="119">
        <f>'2019'!N585</f>
        <v>0</v>
      </c>
      <c r="K77" s="106">
        <f>'2019'!O585</f>
        <v>0</v>
      </c>
      <c r="L77" s="106">
        <f>'2019'!P585</f>
      </c>
      <c r="M77" s="119">
        <f>'2019'!Q585</f>
        <v>44</v>
      </c>
      <c r="N77" s="119">
        <f>'2019'!R585</f>
        <v>0</v>
      </c>
      <c r="O77" s="165">
        <f>'2019'!S585</f>
        <v>0</v>
      </c>
      <c r="P77" s="165">
        <f>'2019'!T585</f>
      </c>
      <c r="Q77" s="119">
        <f>'2019'!U585</f>
        <v>44</v>
      </c>
      <c r="R77" s="119">
        <f>'2019'!V585</f>
        <v>0</v>
      </c>
      <c r="S77" s="106">
        <f>'2019'!W585</f>
        <v>0</v>
      </c>
      <c r="T77" s="106">
        <f>'2019'!X585</f>
      </c>
      <c r="U77" s="119">
        <f>'2019'!Y585</f>
        <v>46</v>
      </c>
      <c r="V77" s="119">
        <f>'2019'!Z585</f>
        <v>2</v>
      </c>
      <c r="W77" s="106">
        <f>'2019'!AA585</f>
        <v>4.98</v>
      </c>
      <c r="X77" s="106">
        <f>'2019'!AB585</f>
      </c>
      <c r="Y77" s="119">
        <f>'2019'!AC585</f>
        <v>47</v>
      </c>
      <c r="Z77" s="119">
        <f>'2019'!AD585</f>
        <v>1</v>
      </c>
      <c r="AA77" s="106">
        <f>'2019'!AE585</f>
        <v>2.5</v>
      </c>
      <c r="AB77" s="106">
        <f>'2019'!AF585</f>
        <v>19.93</v>
      </c>
      <c r="AC77" s="119">
        <f>'2019'!AG585</f>
        <v>48</v>
      </c>
      <c r="AD77" s="119">
        <f>'2019'!AH585</f>
        <v>1</v>
      </c>
      <c r="AE77" s="106">
        <f>'2019'!AI585</f>
        <v>2.5</v>
      </c>
      <c r="AF77" s="106">
        <f>'2019'!AJ585</f>
        <v>2.5</v>
      </c>
      <c r="AG77" s="119">
        <f>'2019'!AK585</f>
        <v>50</v>
      </c>
      <c r="AH77" s="119">
        <f>'2019'!AL585</f>
        <v>2</v>
      </c>
      <c r="AI77" s="106">
        <f>'2019'!AM585</f>
        <v>5</v>
      </c>
      <c r="AJ77" s="106">
        <f>'2019'!AN585</f>
        <v>5</v>
      </c>
      <c r="AK77" s="119">
        <f>'2019'!AO585</f>
        <v>54</v>
      </c>
      <c r="AL77" s="119">
        <f>'2019'!AP585</f>
        <v>4</v>
      </c>
      <c r="AM77" s="106">
        <f>'2019'!AQ585</f>
        <v>10</v>
      </c>
      <c r="AN77" s="106">
        <f>'2019'!AR585</f>
      </c>
      <c r="AO77" s="119">
        <f>'2019'!AS585</f>
        <v>55</v>
      </c>
      <c r="AP77" s="119">
        <f>'2019'!AT585</f>
        <v>1</v>
      </c>
      <c r="AQ77" s="106">
        <f>'2019'!AU585</f>
        <v>2.5</v>
      </c>
      <c r="AR77" s="106">
        <f>'2019'!AV585</f>
      </c>
      <c r="AS77" s="119">
        <f>'2019'!AW585</f>
        <v>55</v>
      </c>
      <c r="AT77" s="119">
        <f>'2019'!AX585</f>
        <v>0</v>
      </c>
      <c r="AU77" s="106">
        <f>'2019'!AY585</f>
        <v>0</v>
      </c>
      <c r="AV77" s="106">
        <f>'2019'!AZ585</f>
      </c>
      <c r="AW77" s="106"/>
      <c r="AX77" s="106">
        <f t="shared" si="0"/>
        <v>0</v>
      </c>
      <c r="AY77" s="119">
        <f>'2019'!BA585</f>
        <v>55</v>
      </c>
      <c r="AZ77" s="119">
        <f>'2019'!BB585</f>
        <v>0</v>
      </c>
      <c r="BA77" s="106">
        <f>'2019'!BC585</f>
        <v>0</v>
      </c>
      <c r="BB77" s="106">
        <f>'2019'!BD585</f>
      </c>
      <c r="BC77" s="106"/>
      <c r="BD77" s="106"/>
      <c r="BE77" s="119">
        <f>'2019'!BE585</f>
        <v>11</v>
      </c>
      <c r="BF77" s="106">
        <f>'2019'!BF585</f>
        <v>27.48</v>
      </c>
      <c r="BG77" s="106">
        <f>'2019'!BG585</f>
        <v>27.43</v>
      </c>
      <c r="BH77" s="106">
        <f>'2019'!BH585</f>
        <v>12.5</v>
      </c>
      <c r="BI77" s="106">
        <f t="shared" si="1"/>
        <v>0</v>
      </c>
      <c r="BJ77" s="124">
        <f t="shared" si="2"/>
        <v>12.5</v>
      </c>
    </row>
    <row r="78" ht="15.75" customHeight="1" spans="1:62" x14ac:dyDescent="0.25">
      <c r="A78" s="14"/>
      <c r="B78" s="115">
        <v>79</v>
      </c>
      <c r="C78" s="115">
        <v>4.24</v>
      </c>
      <c r="D78" s="117" t="s">
        <v>275</v>
      </c>
      <c r="E78" s="119">
        <f>'2019'!I593</f>
        <v>5</v>
      </c>
      <c r="F78" s="119">
        <f>'2019'!J593</f>
        <v>0</v>
      </c>
      <c r="G78" s="106">
        <f>'2019'!K593</f>
        <v>0</v>
      </c>
      <c r="H78" s="106">
        <f>'2019'!L593</f>
      </c>
      <c r="I78" s="119">
        <f>'2019'!M593</f>
        <v>5</v>
      </c>
      <c r="J78" s="119">
        <f>'2019'!N593</f>
        <v>0</v>
      </c>
      <c r="K78" s="106">
        <f>'2019'!O593</f>
        <v>0</v>
      </c>
      <c r="L78" s="106">
        <f>'2019'!P593</f>
      </c>
      <c r="M78" s="119">
        <f>'2019'!Q593</f>
        <v>5</v>
      </c>
      <c r="N78" s="119">
        <f>'2019'!R593</f>
        <v>0</v>
      </c>
      <c r="O78" s="165">
        <f>'2019'!S593</f>
        <v>0</v>
      </c>
      <c r="P78" s="165">
        <f>'2019'!T593</f>
      </c>
      <c r="Q78" s="119">
        <f>'2019'!U593</f>
        <v>5</v>
      </c>
      <c r="R78" s="119">
        <f>'2019'!V593</f>
        <v>0</v>
      </c>
      <c r="S78" s="106">
        <f>'2019'!W593</f>
        <v>0</v>
      </c>
      <c r="T78" s="106">
        <f>'2019'!X593</f>
      </c>
      <c r="U78" s="119">
        <f>'2019'!Y593</f>
        <v>5</v>
      </c>
      <c r="V78" s="119">
        <f>'2019'!Z593</f>
        <v>0</v>
      </c>
      <c r="W78" s="106">
        <f>'2019'!AA593</f>
        <v>0</v>
      </c>
      <c r="X78" s="106">
        <f>'2019'!AB593</f>
      </c>
      <c r="Y78" s="119">
        <f>'2019'!AC593</f>
        <v>5</v>
      </c>
      <c r="Z78" s="119">
        <f>'2019'!AD593</f>
        <v>0</v>
      </c>
      <c r="AA78" s="106">
        <f>'2019'!AE593</f>
        <v>0</v>
      </c>
      <c r="AB78" s="106">
        <f>'2019'!AF593</f>
      </c>
      <c r="AC78" s="119">
        <f>'2019'!AG593</f>
        <v>5</v>
      </c>
      <c r="AD78" s="119">
        <f>'2019'!AH593</f>
        <v>0</v>
      </c>
      <c r="AE78" s="106">
        <f>'2019'!AI593</f>
        <v>0</v>
      </c>
      <c r="AF78" s="106">
        <f>'2019'!AJ593</f>
      </c>
      <c r="AG78" s="119">
        <f>'2019'!AK593</f>
        <v>5</v>
      </c>
      <c r="AH78" s="119">
        <f>'2019'!AL593</f>
        <v>0</v>
      </c>
      <c r="AI78" s="106">
        <f>'2019'!AM593</f>
        <v>0</v>
      </c>
      <c r="AJ78" s="106">
        <f>'2019'!AN593</f>
      </c>
      <c r="AK78" s="119">
        <f>'2019'!AO593</f>
        <v>28</v>
      </c>
      <c r="AL78" s="119">
        <f>'2019'!AP593</f>
        <v>23</v>
      </c>
      <c r="AM78" s="106">
        <f>'2019'!AQ593</f>
        <v>57.5</v>
      </c>
      <c r="AN78" s="106">
        <f>'2019'!AR593</f>
      </c>
      <c r="AO78" s="119">
        <f>'2019'!AS593</f>
        <v>28</v>
      </c>
      <c r="AP78" s="119">
        <f>'2019'!AT593</f>
        <v>0</v>
      </c>
      <c r="AQ78" s="106">
        <f>'2019'!AU593</f>
        <v>0</v>
      </c>
      <c r="AR78" s="106">
        <f>'2019'!AV593</f>
      </c>
      <c r="AS78" s="119">
        <f>'2019'!AW593</f>
        <v>28</v>
      </c>
      <c r="AT78" s="119">
        <f>'2019'!AX593</f>
        <v>0</v>
      </c>
      <c r="AU78" s="106">
        <f>'2019'!AY593</f>
        <v>0</v>
      </c>
      <c r="AV78" s="106">
        <f>'2019'!AZ593</f>
      </c>
      <c r="AW78" s="106"/>
      <c r="AX78" s="106">
        <f t="shared" si="0"/>
        <v>0</v>
      </c>
      <c r="AY78" s="119">
        <f>'2019'!BA593</f>
        <v>28</v>
      </c>
      <c r="AZ78" s="119">
        <f>'2019'!BB593</f>
        <v>0</v>
      </c>
      <c r="BA78" s="106">
        <f>'2019'!BC593</f>
        <v>0</v>
      </c>
      <c r="BB78" s="106">
        <f>'2019'!BD593</f>
      </c>
      <c r="BC78" s="106"/>
      <c r="BD78" s="106"/>
      <c r="BE78" s="119">
        <f>'2019'!BE593</f>
        <v>23</v>
      </c>
      <c r="BF78" s="106">
        <f>'2019'!BF593</f>
        <v>57.5</v>
      </c>
      <c r="BG78" s="106">
        <f>'2019'!BG593</f>
        <v>0</v>
      </c>
      <c r="BH78" s="106">
        <f>'2019'!BH593</f>
        <v>69.95</v>
      </c>
      <c r="BI78" s="106">
        <f t="shared" si="1"/>
        <v>0</v>
      </c>
      <c r="BJ78" s="124">
        <f t="shared" si="2"/>
        <v>69.95</v>
      </c>
    </row>
    <row r="79" ht="15.75" customHeight="1" spans="1:62" x14ac:dyDescent="0.25">
      <c r="A79" s="14"/>
      <c r="B79" s="115">
        <v>81</v>
      </c>
      <c r="C79" s="116">
        <v>4.3</v>
      </c>
      <c r="D79" s="117" t="s">
        <v>278</v>
      </c>
      <c r="E79" s="119">
        <f>'2019'!I601</f>
      </c>
      <c r="F79" s="119">
        <f>'2019'!J601</f>
      </c>
      <c r="G79" s="106">
        <f>'2019'!K601</f>
        <v>0</v>
      </c>
      <c r="H79" s="106">
        <f>'2019'!L601</f>
      </c>
      <c r="I79" s="119">
        <f>'2019'!M601</f>
      </c>
      <c r="J79" s="119">
        <f>'2019'!N601</f>
        <v>0</v>
      </c>
      <c r="K79" s="106">
        <f>'2019'!O601</f>
        <v>0</v>
      </c>
      <c r="L79" s="106">
        <f>'2019'!P601</f>
      </c>
      <c r="M79" s="119">
        <f>'2019'!Q601</f>
      </c>
      <c r="N79" s="119">
        <f>'2019'!R601</f>
        <v>0</v>
      </c>
      <c r="O79" s="165">
        <f>'2019'!S601</f>
        <v>0</v>
      </c>
      <c r="P79" s="165">
        <f>'2019'!T601</f>
      </c>
      <c r="Q79" s="119">
        <f>'2019'!U601</f>
      </c>
      <c r="R79" s="119">
        <f>'2019'!V601</f>
        <v>0</v>
      </c>
      <c r="S79" s="106">
        <f>'2019'!W601</f>
      </c>
      <c r="T79" s="106">
        <f>'2019'!X601</f>
      </c>
      <c r="U79" s="119">
        <f>'2019'!Y601</f>
      </c>
      <c r="V79" s="119">
        <f>'2019'!Z601</f>
        <v>0</v>
      </c>
      <c r="W79" s="106">
        <f>'2019'!AA601</f>
        <v>0</v>
      </c>
      <c r="X79" s="106">
        <f>'2019'!AB601</f>
      </c>
      <c r="Y79" s="119">
        <f>'2019'!AC601</f>
      </c>
      <c r="Z79" s="119">
        <f>'2019'!AD601</f>
        <v>0</v>
      </c>
      <c r="AA79" s="106">
        <f>'2019'!AE601</f>
        <v>0</v>
      </c>
      <c r="AB79" s="106">
        <f>'2019'!AF601</f>
      </c>
      <c r="AC79" s="119">
        <f>'2019'!AG601</f>
      </c>
      <c r="AD79" s="119">
        <f>'2019'!AH601</f>
        <v>0</v>
      </c>
      <c r="AE79" s="106">
        <f>'2019'!AI601</f>
        <v>0</v>
      </c>
      <c r="AF79" s="106">
        <f>'2019'!AJ601</f>
      </c>
      <c r="AG79" s="119">
        <f>'2019'!AK601</f>
      </c>
      <c r="AH79" s="119">
        <f>'2019'!AL601</f>
        <v>0</v>
      </c>
      <c r="AI79" s="106">
        <f>'2019'!AM601</f>
        <v>0</v>
      </c>
      <c r="AJ79" s="106">
        <f>'2019'!AN601</f>
      </c>
      <c r="AK79" s="119">
        <f>'2019'!AO601</f>
      </c>
      <c r="AL79" s="119">
        <f>'2019'!AP601</f>
        <v>0</v>
      </c>
      <c r="AM79" s="106">
        <f>'2019'!AQ601</f>
        <v>0</v>
      </c>
      <c r="AN79" s="106">
        <f>'2019'!AR601</f>
      </c>
      <c r="AO79" s="119">
        <f>'2019'!AS601</f>
      </c>
      <c r="AP79" s="119">
        <f>'2019'!AT601</f>
        <v>0</v>
      </c>
      <c r="AQ79" s="106">
        <f>'2019'!AU601</f>
        <v>0</v>
      </c>
      <c r="AR79" s="106">
        <f>'2019'!AV601</f>
      </c>
      <c r="AS79" s="119">
        <f>'2019'!AW601</f>
      </c>
      <c r="AT79" s="119">
        <f>'2019'!AX601</f>
        <v>0</v>
      </c>
      <c r="AU79" s="106">
        <f>'2019'!AY601</f>
        <v>0</v>
      </c>
      <c r="AV79" s="106">
        <f>'2019'!AZ601</f>
      </c>
      <c r="AW79" s="106"/>
      <c r="AX79" s="106">
        <f t="shared" si="0"/>
        <v>0</v>
      </c>
      <c r="AY79" s="119">
        <f>'2019'!BA601</f>
      </c>
      <c r="AZ79" s="119">
        <f>'2019'!BB601</f>
        <v>0</v>
      </c>
      <c r="BA79" s="106">
        <f>'2019'!BC601</f>
        <v>0</v>
      </c>
      <c r="BB79" s="106">
        <f>'2019'!BD601</f>
      </c>
      <c r="BC79" s="106"/>
      <c r="BD79" s="106"/>
      <c r="BE79" s="119">
        <f>'2019'!BE601</f>
        <v>0</v>
      </c>
      <c r="BF79" s="106">
        <f>'2019'!BF601</f>
        <v>0</v>
      </c>
      <c r="BG79" s="106">
        <f>'2019'!BG601</f>
        <v>0</v>
      </c>
      <c r="BH79" s="106">
        <f>'2019'!BH601</f>
        <v>0</v>
      </c>
      <c r="BI79" s="106">
        <f t="shared" si="1"/>
        <v>0</v>
      </c>
      <c r="BJ79" s="124">
        <f t="shared" si="2"/>
        <v>0</v>
      </c>
    </row>
    <row r="80" ht="15.75" customHeight="1" spans="1:62" x14ac:dyDescent="0.25">
      <c r="A80" s="14"/>
      <c r="B80" s="115">
        <v>83</v>
      </c>
      <c r="C80" s="115">
        <v>4.29</v>
      </c>
      <c r="D80" s="117" t="s">
        <v>280</v>
      </c>
      <c r="E80" s="119">
        <f>'2019'!I609</f>
        <v>61</v>
      </c>
      <c r="F80" s="119">
        <f>'2019'!J609</f>
        <v>0</v>
      </c>
      <c r="G80" s="106">
        <f>'2019'!K609</f>
        <v>0</v>
      </c>
      <c r="H80" s="106">
        <f>'2019'!L609</f>
      </c>
      <c r="I80" s="119">
        <f>'2019'!M609</f>
        <v>61</v>
      </c>
      <c r="J80" s="119">
        <f>'2019'!N609</f>
        <v>0</v>
      </c>
      <c r="K80" s="106">
        <f>'2019'!O609</f>
        <v>0</v>
      </c>
      <c r="L80" s="106">
        <f>'2019'!P609</f>
      </c>
      <c r="M80" s="119">
        <f>'2019'!Q609</f>
        <v>61</v>
      </c>
      <c r="N80" s="119">
        <f>'2019'!R609</f>
        <v>0</v>
      </c>
      <c r="O80" s="165">
        <f>'2019'!S609</f>
        <v>0</v>
      </c>
      <c r="P80" s="165">
        <f>'2019'!T609</f>
      </c>
      <c r="Q80" s="119">
        <f>'2019'!U609</f>
        <v>61</v>
      </c>
      <c r="R80" s="119">
        <f>'2019'!V609</f>
        <v>0</v>
      </c>
      <c r="S80" s="106">
        <f>'2019'!W609</f>
        <v>0</v>
      </c>
      <c r="T80" s="106">
        <f>'2019'!X609</f>
      </c>
      <c r="U80" s="119">
        <f>'2019'!Y609</f>
        <v>64</v>
      </c>
      <c r="V80" s="119">
        <f>'2019'!Z609</f>
        <v>3</v>
      </c>
      <c r="W80" s="106">
        <f>'2019'!AA609</f>
        <v>7.47</v>
      </c>
      <c r="X80" s="106">
        <f>'2019'!AB609</f>
      </c>
      <c r="Y80" s="119">
        <f>'2019'!AC609</f>
        <v>71</v>
      </c>
      <c r="Z80" s="119">
        <f>'2019'!AD609</f>
        <v>7</v>
      </c>
      <c r="AA80" s="106">
        <f>'2019'!AE609</f>
        <v>17.5</v>
      </c>
      <c r="AB80" s="106">
        <f>'2019'!AF609</f>
        <v>262.1</v>
      </c>
      <c r="AC80" s="119">
        <f>'2019'!AG609</f>
        <v>81</v>
      </c>
      <c r="AD80" s="119">
        <f>'2019'!AH609</f>
        <v>10</v>
      </c>
      <c r="AE80" s="106">
        <f>'2019'!AI609</f>
        <v>25</v>
      </c>
      <c r="AF80" s="106">
        <f>'2019'!AJ609</f>
      </c>
      <c r="AG80" s="119">
        <f>'2019'!AK609</f>
        <v>92</v>
      </c>
      <c r="AH80" s="119">
        <f>'2019'!AL609</f>
        <v>11</v>
      </c>
      <c r="AI80" s="106">
        <f>'2019'!AM609</f>
        <v>27.5</v>
      </c>
      <c r="AJ80" s="106">
        <f>'2019'!AN609</f>
      </c>
      <c r="AK80" s="119">
        <f>'2019'!AO609</f>
        <v>110</v>
      </c>
      <c r="AL80" s="119">
        <f>'2019'!AP609</f>
        <v>18</v>
      </c>
      <c r="AM80" s="106">
        <f>'2019'!AQ609</f>
        <v>45</v>
      </c>
      <c r="AN80" s="106">
        <f>'2019'!AR609</f>
      </c>
      <c r="AO80" s="119">
        <f>'2019'!AS609</f>
        <v>111</v>
      </c>
      <c r="AP80" s="119">
        <f>'2019'!AT609</f>
        <v>1</v>
      </c>
      <c r="AQ80" s="106">
        <f>'2019'!AU609</f>
        <v>2.5</v>
      </c>
      <c r="AR80" s="106">
        <f>'2019'!AV609</f>
      </c>
      <c r="AS80" s="119">
        <f>'2019'!AW609</f>
        <v>111</v>
      </c>
      <c r="AT80" s="119">
        <f>'2019'!AX609</f>
        <v>0</v>
      </c>
      <c r="AU80" s="106">
        <f>'2019'!AY609</f>
        <v>0</v>
      </c>
      <c r="AV80" s="106">
        <f>'2019'!AZ609</f>
      </c>
      <c r="AW80" s="106"/>
      <c r="AX80" s="106">
        <f t="shared" si="0"/>
        <v>0</v>
      </c>
      <c r="AY80" s="119">
        <f>'2019'!BA609</f>
        <v>111</v>
      </c>
      <c r="AZ80" s="119">
        <f>'2019'!BB609</f>
        <v>0</v>
      </c>
      <c r="BA80" s="106">
        <f>'2019'!BC609</f>
        <v>0</v>
      </c>
      <c r="BB80" s="106">
        <f>'2019'!BD609</f>
      </c>
      <c r="BC80" s="106"/>
      <c r="BD80" s="106"/>
      <c r="BE80" s="119">
        <f>'2019'!BE609</f>
        <v>50</v>
      </c>
      <c r="BF80" s="106">
        <f>'2019'!BF609</f>
        <v>124.97</v>
      </c>
      <c r="BG80" s="106">
        <f>'2019'!BG609</f>
        <v>262.1</v>
      </c>
      <c r="BH80" s="106">
        <f>'2019'!BH609</f>
        <v>-122.19</v>
      </c>
      <c r="BI80" s="106">
        <f t="shared" si="1"/>
        <v>0</v>
      </c>
      <c r="BJ80" s="124">
        <f t="shared" si="2"/>
        <v>-122.19</v>
      </c>
    </row>
    <row r="81" ht="15.75" customHeight="1" spans="1:62" x14ac:dyDescent="0.25">
      <c r="A81" s="14"/>
      <c r="B81" s="115">
        <v>85</v>
      </c>
      <c r="C81" s="115">
        <v>4.27</v>
      </c>
      <c r="D81" s="117" t="s">
        <v>282</v>
      </c>
      <c r="E81" s="119">
        <f>'2019'!I617</f>
        <v>1032</v>
      </c>
      <c r="F81" s="119">
        <f>'2019'!J617</f>
        <v>0</v>
      </c>
      <c r="G81" s="106">
        <f>'2019'!K617</f>
        <v>0</v>
      </c>
      <c r="H81" s="106">
        <f>'2019'!L617</f>
      </c>
      <c r="I81" s="119">
        <f>'2019'!M617</f>
        <v>1032</v>
      </c>
      <c r="J81" s="119">
        <f>'2019'!N617</f>
        <v>0</v>
      </c>
      <c r="K81" s="106">
        <f>'2019'!O617</f>
        <v>0</v>
      </c>
      <c r="L81" s="106">
        <f>'2019'!P617</f>
      </c>
      <c r="M81" s="119">
        <f>'2019'!Q617</f>
        <v>1032</v>
      </c>
      <c r="N81" s="119">
        <f>'2019'!R617</f>
        <v>0</v>
      </c>
      <c r="O81" s="165">
        <f>'2019'!S617</f>
        <v>0</v>
      </c>
      <c r="P81" s="165">
        <f>'2019'!T617</f>
      </c>
      <c r="Q81" s="119">
        <f>'2019'!U617</f>
        <v>1051</v>
      </c>
      <c r="R81" s="119">
        <f>'2019'!V617</f>
        <v>19</v>
      </c>
      <c r="S81" s="106">
        <f>'2019'!W617</f>
        <v>47.31</v>
      </c>
      <c r="T81" s="106">
        <f>'2019'!X617</f>
      </c>
      <c r="U81" s="119">
        <f>'2019'!Y617</f>
        <v>1210</v>
      </c>
      <c r="V81" s="119">
        <f>'2019'!Z617</f>
        <v>159</v>
      </c>
      <c r="W81" s="106">
        <f>'2019'!AA617</f>
        <v>395.91</v>
      </c>
      <c r="X81" s="106">
        <f>'2019'!AB617</f>
      </c>
      <c r="Y81" s="119">
        <f>'2019'!AC617</f>
        <v>1550</v>
      </c>
      <c r="Z81" s="119">
        <f>'2019'!AD617</f>
        <v>340</v>
      </c>
      <c r="AA81" s="106">
        <f>'2019'!AE617</f>
        <v>850</v>
      </c>
      <c r="AB81" s="106">
        <f>'2019'!AF617</f>
        <v>550</v>
      </c>
      <c r="AC81" s="119">
        <f>'2019'!AG617</f>
        <v>1963</v>
      </c>
      <c r="AD81" s="119">
        <f>'2019'!AH617</f>
        <v>413</v>
      </c>
      <c r="AE81" s="106">
        <f>'2019'!AI617</f>
        <v>1032.5</v>
      </c>
      <c r="AF81" s="106">
        <f>'2019'!AJ617</f>
        <v>1816.54</v>
      </c>
      <c r="AG81" s="119">
        <f>'2019'!AK617</f>
        <v>2311</v>
      </c>
      <c r="AH81" s="119">
        <f>'2019'!AL617</f>
        <v>348</v>
      </c>
      <c r="AI81" s="106">
        <f>'2019'!AM617</f>
        <v>870</v>
      </c>
      <c r="AJ81" s="106">
        <f>'2019'!AN617</f>
        <v>831.6</v>
      </c>
      <c r="AK81" s="119">
        <f>'2019'!AO617</f>
        <v>2904</v>
      </c>
      <c r="AL81" s="119">
        <f>'2019'!AP617</f>
        <v>593</v>
      </c>
      <c r="AM81" s="106">
        <f>'2019'!AQ617</f>
        <v>1482.5</v>
      </c>
      <c r="AN81" s="106">
        <f>'2019'!AR617</f>
      </c>
      <c r="AO81" s="119">
        <f>'2019'!AS617</f>
        <v>2907</v>
      </c>
      <c r="AP81" s="119">
        <f>'2019'!AT617</f>
        <v>3</v>
      </c>
      <c r="AQ81" s="106">
        <f>'2019'!AU617</f>
        <v>7.5</v>
      </c>
      <c r="AR81" s="106">
        <f>'2019'!AV617</f>
      </c>
      <c r="AS81" s="119">
        <f>'2019'!AW617</f>
        <v>2907</v>
      </c>
      <c r="AT81" s="119">
        <f>'2019'!AX617</f>
        <v>0</v>
      </c>
      <c r="AU81" s="106">
        <f>'2019'!AY617</f>
        <v>0</v>
      </c>
      <c r="AV81" s="106">
        <f>'2019'!AZ617</f>
      </c>
      <c r="AW81" s="106"/>
      <c r="AX81" s="106">
        <f t="shared" si="0"/>
        <v>0</v>
      </c>
      <c r="AY81" s="119">
        <f>'2019'!BA617</f>
        <v>2907</v>
      </c>
      <c r="AZ81" s="119">
        <f>'2019'!BB617</f>
        <v>0</v>
      </c>
      <c r="BA81" s="106">
        <f>'2019'!BC617</f>
        <v>0</v>
      </c>
      <c r="BB81" s="106">
        <f>'2019'!BD617</f>
        <v>1531.44</v>
      </c>
      <c r="BC81" s="106"/>
      <c r="BD81" s="106"/>
      <c r="BE81" s="119">
        <f>'2019'!BE617</f>
        <v>1875</v>
      </c>
      <c r="BF81" s="106">
        <f>'2019'!BF617</f>
        <v>4685.72</v>
      </c>
      <c r="BG81" s="106">
        <f>'2019'!BG617</f>
        <v>4729.58</v>
      </c>
      <c r="BH81" s="106">
        <f>'2019'!BH617</f>
        <v>-41.37</v>
      </c>
      <c r="BI81" s="106">
        <f t="shared" si="1"/>
        <v>0</v>
      </c>
      <c r="BJ81" s="124">
        <f t="shared" si="2"/>
        <v>-41.37</v>
      </c>
    </row>
    <row r="82" ht="15.75" customHeight="1" spans="1:62" x14ac:dyDescent="0.25">
      <c r="A82" s="14"/>
      <c r="B82" s="115">
        <v>87</v>
      </c>
      <c r="C82" s="115">
        <v>4.23</v>
      </c>
      <c r="D82" s="117" t="s">
        <v>284</v>
      </c>
      <c r="E82" s="119">
        <f>'2019'!I625</f>
        <v>241</v>
      </c>
      <c r="F82" s="119">
        <f>'2019'!J625</f>
        <v>0</v>
      </c>
      <c r="G82" s="106">
        <f>'2019'!K625</f>
        <v>0</v>
      </c>
      <c r="H82" s="106">
        <f>'2019'!L625</f>
      </c>
      <c r="I82" s="119">
        <f>'2019'!M625</f>
        <v>241</v>
      </c>
      <c r="J82" s="119">
        <f>'2019'!N625</f>
        <v>0</v>
      </c>
      <c r="K82" s="106">
        <f>'2019'!O625</f>
        <v>0</v>
      </c>
      <c r="L82" s="106">
        <f>'2019'!P625</f>
      </c>
      <c r="M82" s="119">
        <f>'2019'!Q625</f>
        <v>241</v>
      </c>
      <c r="N82" s="119">
        <f>'2019'!R625</f>
        <v>0</v>
      </c>
      <c r="O82" s="165">
        <f>'2019'!S625</f>
        <v>0</v>
      </c>
      <c r="P82" s="165">
        <f>'2019'!T625</f>
      </c>
      <c r="Q82" s="119">
        <f>'2019'!U625</f>
        <v>241</v>
      </c>
      <c r="R82" s="119">
        <f>'2019'!V625</f>
        <v>0</v>
      </c>
      <c r="S82" s="106">
        <f>'2019'!W625</f>
        <v>0</v>
      </c>
      <c r="T82" s="106">
        <f>'2019'!X625</f>
      </c>
      <c r="U82" s="119">
        <f>'2019'!Y625</f>
        <v>254</v>
      </c>
      <c r="V82" s="119">
        <f>'2019'!Z625</f>
        <v>13</v>
      </c>
      <c r="W82" s="106">
        <f>'2019'!AA625</f>
        <v>32.37</v>
      </c>
      <c r="X82" s="106">
        <f>'2019'!AB625</f>
      </c>
      <c r="Y82" s="119">
        <f>'2019'!AC625</f>
        <v>279</v>
      </c>
      <c r="Z82" s="119">
        <f>'2019'!AD625</f>
        <v>25</v>
      </c>
      <c r="AA82" s="106">
        <f>'2019'!AE625</f>
        <v>62.5</v>
      </c>
      <c r="AB82" s="106">
        <f>'2019'!AF625</f>
        <v>218.12</v>
      </c>
      <c r="AC82" s="119">
        <f>'2019'!AG625</f>
        <v>318</v>
      </c>
      <c r="AD82" s="119">
        <f>'2019'!AH625</f>
        <v>39</v>
      </c>
      <c r="AE82" s="106">
        <f>'2019'!AI625</f>
        <v>97.5</v>
      </c>
      <c r="AF82" s="106">
        <f>'2019'!AJ625</f>
      </c>
      <c r="AG82" s="119">
        <f>'2019'!AK625</f>
        <v>346</v>
      </c>
      <c r="AH82" s="119">
        <f>'2019'!AL625</f>
        <v>28</v>
      </c>
      <c r="AI82" s="106">
        <f>'2019'!AM625</f>
        <v>70</v>
      </c>
      <c r="AJ82" s="106">
        <f>'2019'!AN625</f>
        <v>173.12</v>
      </c>
      <c r="AK82" s="119">
        <f>'2019'!AO625</f>
        <v>367</v>
      </c>
      <c r="AL82" s="119">
        <f>'2019'!AP625</f>
        <v>21</v>
      </c>
      <c r="AM82" s="106">
        <f>'2019'!AQ625</f>
        <v>52.5</v>
      </c>
      <c r="AN82" s="106">
        <f>'2019'!AR625</f>
      </c>
      <c r="AO82" s="119">
        <f>'2019'!AS625</f>
        <v>368</v>
      </c>
      <c r="AP82" s="119">
        <f>'2019'!AT625</f>
        <v>1</v>
      </c>
      <c r="AQ82" s="106">
        <f>'2019'!AU625</f>
        <v>2.5</v>
      </c>
      <c r="AR82" s="106">
        <f>'2019'!AV625</f>
      </c>
      <c r="AS82" s="119">
        <f>'2019'!AW625</f>
        <v>368</v>
      </c>
      <c r="AT82" s="119">
        <f>'2019'!AX625</f>
        <v>0</v>
      </c>
      <c r="AU82" s="106">
        <f>'2019'!AY625</f>
        <v>0</v>
      </c>
      <c r="AV82" s="106">
        <f>'2019'!AZ625</f>
      </c>
      <c r="AW82" s="106"/>
      <c r="AX82" s="106">
        <f t="shared" si="0"/>
        <v>0</v>
      </c>
      <c r="AY82" s="119">
        <f>'2019'!BA625</f>
        <v>368</v>
      </c>
      <c r="AZ82" s="119">
        <f>'2019'!BB625</f>
        <v>0</v>
      </c>
      <c r="BA82" s="106">
        <f>'2019'!BC625</f>
        <v>0</v>
      </c>
      <c r="BB82" s="106">
        <f>'2019'!BD625</f>
      </c>
      <c r="BC82" s="106"/>
      <c r="BD82" s="106"/>
      <c r="BE82" s="119">
        <f>'2019'!BE625</f>
        <v>127</v>
      </c>
      <c r="BF82" s="106">
        <f>'2019'!BF625</f>
        <v>317.37</v>
      </c>
      <c r="BG82" s="106">
        <f>'2019'!BG625</f>
        <v>391.24</v>
      </c>
      <c r="BH82" s="106">
        <f>'2019'!BH625</f>
        <v>25.73</v>
      </c>
      <c r="BI82" s="106">
        <f t="shared" si="1"/>
        <v>0</v>
      </c>
      <c r="BJ82" s="124">
        <f t="shared" si="2"/>
        <v>25.73</v>
      </c>
    </row>
    <row r="83" ht="15.75" customHeight="1" spans="1:62" x14ac:dyDescent="0.25">
      <c r="A83" s="14"/>
      <c r="B83" s="115">
        <v>89</v>
      </c>
      <c r="C83" s="115">
        <v>4.25</v>
      </c>
      <c r="D83" s="117" t="s">
        <v>286</v>
      </c>
      <c r="E83" s="119">
        <f>'2019'!I633</f>
      </c>
      <c r="F83" s="119">
        <f>'2019'!J633</f>
      </c>
      <c r="G83" s="106">
        <f>'2019'!K633</f>
        <v>0</v>
      </c>
      <c r="H83" s="106">
        <f>'2019'!L633</f>
      </c>
      <c r="I83" s="119">
        <f>'2019'!M633</f>
      </c>
      <c r="J83" s="119">
        <f>'2019'!N633</f>
        <v>0</v>
      </c>
      <c r="K83" s="106">
        <f>'2019'!O633</f>
        <v>0</v>
      </c>
      <c r="L83" s="106">
        <f>'2019'!P633</f>
      </c>
      <c r="M83" s="119">
        <f>'2019'!Q633</f>
      </c>
      <c r="N83" s="119">
        <f>'2019'!R633</f>
        <v>0</v>
      </c>
      <c r="O83" s="165">
        <f>'2019'!S633</f>
        <v>0</v>
      </c>
      <c r="P83" s="165">
        <f>'2019'!T633</f>
      </c>
      <c r="Q83" s="119">
        <f>'2019'!U633</f>
      </c>
      <c r="R83" s="119">
        <f>'2019'!V633</f>
        <v>0</v>
      </c>
      <c r="S83" s="106">
        <f>'2019'!W633</f>
      </c>
      <c r="T83" s="106">
        <f>'2019'!X633</f>
      </c>
      <c r="U83" s="119">
        <f>'2019'!Y633</f>
      </c>
      <c r="V83" s="119">
        <f>'2019'!Z633</f>
        <v>0</v>
      </c>
      <c r="W83" s="106">
        <f>'2019'!AA633</f>
        <v>0</v>
      </c>
      <c r="X83" s="106">
        <f>'2019'!AB633</f>
      </c>
      <c r="Y83" s="119">
        <f>'2019'!AC633</f>
      </c>
      <c r="Z83" s="119">
        <f>'2019'!AD633</f>
        <v>0</v>
      </c>
      <c r="AA83" s="106">
        <f>'2019'!AE633</f>
        <v>0</v>
      </c>
      <c r="AB83" s="106">
        <f>'2019'!AF633</f>
      </c>
      <c r="AC83" s="119">
        <f>'2019'!AG633</f>
      </c>
      <c r="AD83" s="119">
        <f>'2019'!AH633</f>
        <v>0</v>
      </c>
      <c r="AE83" s="106">
        <f>'2019'!AI633</f>
        <v>0</v>
      </c>
      <c r="AF83" s="106">
        <f>'2019'!AJ633</f>
      </c>
      <c r="AG83" s="119">
        <f>'2019'!AK633</f>
      </c>
      <c r="AH83" s="119">
        <f>'2019'!AL633</f>
        <v>0</v>
      </c>
      <c r="AI83" s="106">
        <f>'2019'!AM633</f>
        <v>0</v>
      </c>
      <c r="AJ83" s="106">
        <f>'2019'!AN633</f>
      </c>
      <c r="AK83" s="119">
        <f>'2019'!AO633</f>
      </c>
      <c r="AL83" s="119">
        <f>'2019'!AP633</f>
        <v>0</v>
      </c>
      <c r="AM83" s="106">
        <f>'2019'!AQ633</f>
        <v>0</v>
      </c>
      <c r="AN83" s="106">
        <f>'2019'!AR633</f>
      </c>
      <c r="AO83" s="119">
        <f>'2019'!AS633</f>
      </c>
      <c r="AP83" s="119">
        <f>'2019'!AT633</f>
        <v>0</v>
      </c>
      <c r="AQ83" s="106">
        <f>'2019'!AU633</f>
        <v>0</v>
      </c>
      <c r="AR83" s="106">
        <f>'2019'!AV633</f>
      </c>
      <c r="AS83" s="119">
        <f>'2019'!AW633</f>
      </c>
      <c r="AT83" s="119">
        <f>'2019'!AX633</f>
        <v>0</v>
      </c>
      <c r="AU83" s="106">
        <f>'2019'!AY633</f>
        <v>0</v>
      </c>
      <c r="AV83" s="106">
        <f>'2019'!AZ633</f>
      </c>
      <c r="AW83" s="106"/>
      <c r="AX83" s="106">
        <f t="shared" si="0"/>
        <v>0</v>
      </c>
      <c r="AY83" s="119">
        <f>'2019'!BA633</f>
      </c>
      <c r="AZ83" s="119">
        <f>'2019'!BB633</f>
        <v>0</v>
      </c>
      <c r="BA83" s="106">
        <f>'2019'!BC633</f>
        <v>0</v>
      </c>
      <c r="BB83" s="106">
        <f>'2019'!BD633</f>
      </c>
      <c r="BC83" s="106"/>
      <c r="BD83" s="106"/>
      <c r="BE83" s="119">
        <f>'2019'!BE633</f>
        <v>0</v>
      </c>
      <c r="BF83" s="106">
        <f>'2019'!BF633</f>
        <v>0</v>
      </c>
      <c r="BG83" s="106">
        <f>'2019'!BG633</f>
        <v>0</v>
      </c>
      <c r="BH83" s="106">
        <f>'2019'!BH633</f>
        <v>0</v>
      </c>
      <c r="BI83" s="106">
        <f t="shared" si="1"/>
        <v>0</v>
      </c>
      <c r="BJ83" s="124">
        <f t="shared" si="2"/>
        <v>0</v>
      </c>
    </row>
    <row r="84" ht="15.75" customHeight="1" spans="1:62" x14ac:dyDescent="0.25">
      <c r="A84" s="14"/>
      <c r="B84" s="115">
        <v>91</v>
      </c>
      <c r="C84" s="115">
        <v>4.23</v>
      </c>
      <c r="D84" s="117" t="s">
        <v>288</v>
      </c>
      <c r="E84" s="119">
        <f>'2019'!I641</f>
        <v>143</v>
      </c>
      <c r="F84" s="119">
        <f>'2019'!J641</f>
        <v>0</v>
      </c>
      <c r="G84" s="106">
        <f>'2019'!K641</f>
        <v>0</v>
      </c>
      <c r="H84" s="106">
        <f>'2019'!L641</f>
      </c>
      <c r="I84" s="119">
        <f>'2019'!M641</f>
        <v>143</v>
      </c>
      <c r="J84" s="119">
        <f>'2019'!N641</f>
        <v>0</v>
      </c>
      <c r="K84" s="106">
        <f>'2019'!O641</f>
        <v>0</v>
      </c>
      <c r="L84" s="106">
        <f>'2019'!P641</f>
      </c>
      <c r="M84" s="119">
        <f>'2019'!Q641</f>
        <v>143</v>
      </c>
      <c r="N84" s="119">
        <f>'2019'!R641</f>
        <v>0</v>
      </c>
      <c r="O84" s="165">
        <f>'2019'!S641</f>
        <v>0</v>
      </c>
      <c r="P84" s="165">
        <f>'2019'!T641</f>
      </c>
      <c r="Q84" s="119">
        <f>'2019'!U641</f>
        <v>143</v>
      </c>
      <c r="R84" s="119">
        <f>'2019'!V641</f>
        <v>0</v>
      </c>
      <c r="S84" s="106">
        <f>'2019'!W641</f>
        <v>0</v>
      </c>
      <c r="T84" s="106">
        <f>'2019'!X641</f>
      </c>
      <c r="U84" s="119">
        <f>'2019'!Y641</f>
        <v>145</v>
      </c>
      <c r="V84" s="119">
        <f>'2019'!Z641</f>
        <v>2</v>
      </c>
      <c r="W84" s="106">
        <f>'2019'!AA641</f>
        <v>4.98</v>
      </c>
      <c r="X84" s="106">
        <f>'2019'!AB641</f>
      </c>
      <c r="Y84" s="119">
        <f>'2019'!AC641</f>
        <v>151</v>
      </c>
      <c r="Z84" s="119">
        <f>'2019'!AD641</f>
        <v>6</v>
      </c>
      <c r="AA84" s="106">
        <f>'2019'!AE641</f>
        <v>15</v>
      </c>
      <c r="AB84" s="106">
        <f>'2019'!AF641</f>
        <v>82.38</v>
      </c>
      <c r="AC84" s="119">
        <f>'2019'!AG641</f>
        <v>162</v>
      </c>
      <c r="AD84" s="119">
        <f>'2019'!AH641</f>
        <v>11</v>
      </c>
      <c r="AE84" s="106">
        <f>'2019'!AI641</f>
        <v>27.5</v>
      </c>
      <c r="AF84" s="106">
        <f>'2019'!AJ641</f>
      </c>
      <c r="AG84" s="119">
        <f>'2019'!AK641</f>
        <v>169</v>
      </c>
      <c r="AH84" s="119">
        <f>'2019'!AL641</f>
        <v>7</v>
      </c>
      <c r="AI84" s="106">
        <f>'2019'!AM641</f>
        <v>17.5</v>
      </c>
      <c r="AJ84" s="106">
        <f>'2019'!AN641</f>
      </c>
      <c r="AK84" s="119">
        <f>'2019'!AO641</f>
        <v>171</v>
      </c>
      <c r="AL84" s="119">
        <f>'2019'!AP641</f>
        <v>2</v>
      </c>
      <c r="AM84" s="106">
        <f>'2019'!AQ641</f>
        <v>5</v>
      </c>
      <c r="AN84" s="106">
        <f>'2019'!AR641</f>
      </c>
      <c r="AO84" s="119">
        <f>'2019'!AS641</f>
        <v>171</v>
      </c>
      <c r="AP84" s="119">
        <f>'2019'!AT641</f>
        <v>0</v>
      </c>
      <c r="AQ84" s="106">
        <f>'2019'!AU641</f>
        <v>0</v>
      </c>
      <c r="AR84" s="106">
        <f>'2019'!AV641</f>
      </c>
      <c r="AS84" s="119">
        <f>'2019'!AW641</f>
        <v>171</v>
      </c>
      <c r="AT84" s="119">
        <f>'2019'!AX641</f>
        <v>0</v>
      </c>
      <c r="AU84" s="106">
        <f>'2019'!AY641</f>
        <v>0</v>
      </c>
      <c r="AV84" s="106">
        <f>'2019'!AZ641</f>
      </c>
      <c r="AW84" s="106"/>
      <c r="AX84" s="106">
        <f t="shared" si="0"/>
        <v>0</v>
      </c>
      <c r="AY84" s="119">
        <f>'2019'!BA641</f>
        <v>171</v>
      </c>
      <c r="AZ84" s="119">
        <f>'2019'!BB641</f>
        <v>0</v>
      </c>
      <c r="BA84" s="106">
        <f>'2019'!BC641</f>
        <v>0</v>
      </c>
      <c r="BB84" s="106">
        <f>'2019'!BD641</f>
      </c>
      <c r="BC84" s="106"/>
      <c r="BD84" s="106"/>
      <c r="BE84" s="119">
        <f>'2019'!BE641</f>
        <v>28</v>
      </c>
      <c r="BF84" s="106">
        <f>'2019'!BF641</f>
        <v>69.98</v>
      </c>
      <c r="BG84" s="106">
        <f>'2019'!BG641</f>
        <v>82.38</v>
      </c>
      <c r="BH84" s="106">
        <f>'2019'!BH641</f>
        <v>-7.42</v>
      </c>
      <c r="BI84" s="106">
        <f t="shared" si="1"/>
        <v>0</v>
      </c>
      <c r="BJ84" s="124">
        <f t="shared" si="2"/>
        <v>-7.42</v>
      </c>
    </row>
    <row r="85" ht="15.75" customHeight="1" spans="1:62" x14ac:dyDescent="0.25">
      <c r="A85" s="21"/>
      <c r="B85" s="125" t="s">
        <v>292</v>
      </c>
      <c r="C85" s="115">
        <v>8.56</v>
      </c>
      <c r="D85" s="117" t="s">
        <v>293</v>
      </c>
      <c r="E85" s="119">
        <f>'2019'!I649</f>
        <v>871</v>
      </c>
      <c r="F85" s="119">
        <f>'2019'!J649</f>
        <v>0</v>
      </c>
      <c r="G85" s="106">
        <f>'2019'!K649</f>
        <v>0</v>
      </c>
      <c r="H85" s="106">
        <f>'2019'!L649</f>
      </c>
      <c r="I85" s="119">
        <f>'2019'!M649</f>
        <v>871</v>
      </c>
      <c r="J85" s="119">
        <f>'2019'!N649</f>
        <v>0</v>
      </c>
      <c r="K85" s="106">
        <f>'2019'!O649</f>
        <v>0</v>
      </c>
      <c r="L85" s="106">
        <f>'2019'!P649</f>
      </c>
      <c r="M85" s="119">
        <f>'2019'!Q649</f>
        <v>871</v>
      </c>
      <c r="N85" s="119">
        <f>'2019'!R649</f>
        <v>0</v>
      </c>
      <c r="O85" s="165">
        <f>'2019'!S649</f>
        <v>0</v>
      </c>
      <c r="P85" s="165">
        <f>'2019'!T649</f>
      </c>
      <c r="Q85" s="119">
        <f>'2019'!U649</f>
        <v>1043</v>
      </c>
      <c r="R85" s="119">
        <f>'2019'!V649</f>
        <v>172</v>
      </c>
      <c r="S85" s="106">
        <f>'2019'!W649</f>
        <v>428.28</v>
      </c>
      <c r="T85" s="106">
        <f>'2019'!X649</f>
        <v>500</v>
      </c>
      <c r="U85" s="119">
        <f>'2019'!Y649</f>
        <v>1231</v>
      </c>
      <c r="V85" s="119">
        <f>'2019'!Z649</f>
        <v>188</v>
      </c>
      <c r="W85" s="106">
        <f>'2019'!AA649</f>
        <v>468.12</v>
      </c>
      <c r="X85" s="106">
        <f>'2019'!AB649</f>
        <v>1100</v>
      </c>
      <c r="Y85" s="119">
        <f>'2019'!AC649</f>
        <v>1319</v>
      </c>
      <c r="Z85" s="119">
        <f>'2019'!AD649</f>
        <v>88</v>
      </c>
      <c r="AA85" s="106">
        <f>'2019'!AE649</f>
        <v>220</v>
      </c>
      <c r="AB85" s="106">
        <f>'2019'!AF649</f>
      </c>
      <c r="AC85" s="119">
        <f>'2019'!AG649</f>
        <v>1457</v>
      </c>
      <c r="AD85" s="119">
        <f>'2019'!AH649</f>
        <v>138</v>
      </c>
      <c r="AE85" s="106">
        <f>'2019'!AI649</f>
        <v>345</v>
      </c>
      <c r="AF85" s="106">
        <f>'2019'!AJ649</f>
      </c>
      <c r="AG85" s="119">
        <f>'2019'!AK649</f>
        <v>1546</v>
      </c>
      <c r="AH85" s="119">
        <f>'2019'!AL649</f>
        <v>89</v>
      </c>
      <c r="AI85" s="106">
        <f>'2019'!AM649</f>
        <v>222.5</v>
      </c>
      <c r="AJ85" s="106">
        <f>'2019'!AN649</f>
        <v>400</v>
      </c>
      <c r="AK85" s="119">
        <f>'2019'!AO649</f>
        <v>1665</v>
      </c>
      <c r="AL85" s="119">
        <f>'2019'!AP649</f>
        <v>119</v>
      </c>
      <c r="AM85" s="106">
        <f>'2019'!AQ649</f>
        <v>297.5</v>
      </c>
      <c r="AN85" s="106">
        <f>'2019'!AR649</f>
        <v>250</v>
      </c>
      <c r="AO85" s="119">
        <f>'2019'!AS649</f>
        <v>1732</v>
      </c>
      <c r="AP85" s="119">
        <f>'2019'!AT649</f>
        <v>67</v>
      </c>
      <c r="AQ85" s="106">
        <f>'2019'!AU649</f>
        <v>167.5</v>
      </c>
      <c r="AR85" s="106">
        <f>'2019'!AV649</f>
        <v>466.72</v>
      </c>
      <c r="AS85" s="119">
        <f>'2019'!AW649</f>
        <v>1732</v>
      </c>
      <c r="AT85" s="119">
        <f>'2019'!AX649</f>
        <v>0</v>
      </c>
      <c r="AU85" s="106">
        <f>'2019'!AY649</f>
        <v>0</v>
      </c>
      <c r="AV85" s="106">
        <f>'2019'!AZ649</f>
      </c>
      <c r="AW85" s="106"/>
      <c r="AX85" s="106">
        <f t="shared" si="0"/>
        <v>0</v>
      </c>
      <c r="AY85" s="119">
        <f>'2019'!BA649</f>
        <v>1732</v>
      </c>
      <c r="AZ85" s="119">
        <f>'2019'!BB649</f>
        <v>0</v>
      </c>
      <c r="BA85" s="106">
        <f>'2019'!BC649</f>
        <v>0</v>
      </c>
      <c r="BB85" s="106">
        <f>'2019'!BD649</f>
      </c>
      <c r="BC85" s="106"/>
      <c r="BD85" s="106"/>
      <c r="BE85" s="119">
        <f>'2019'!BE649</f>
        <v>861</v>
      </c>
      <c r="BF85" s="106">
        <f>'2019'!BF649</f>
        <v>2148.9</v>
      </c>
      <c r="BG85" s="106">
        <f>'2019'!BG649</f>
        <v>2716.72</v>
      </c>
      <c r="BH85" s="106">
        <f>'2019'!BH649</f>
        <v>-44.92</v>
      </c>
      <c r="BI85" s="106">
        <f t="shared" si="1"/>
        <v>0</v>
      </c>
      <c r="BJ85" s="124">
        <f t="shared" si="2"/>
        <v>-44.92</v>
      </c>
    </row>
    <row r="86" ht="15.75" customHeight="1" spans="1:62" x14ac:dyDescent="0.25">
      <c r="A86" s="114" t="s">
        <v>297</v>
      </c>
      <c r="B86" s="115">
        <v>80</v>
      </c>
      <c r="C86" s="115">
        <v>4.28</v>
      </c>
      <c r="D86" s="117" t="s">
        <v>298</v>
      </c>
      <c r="E86" s="119">
        <f>'2019'!I657</f>
        <v>743</v>
      </c>
      <c r="F86" s="119">
        <f>'2019'!J657</f>
        <v>0</v>
      </c>
      <c r="G86" s="106">
        <f>'2019'!K657</f>
        <v>0</v>
      </c>
      <c r="H86" s="106">
        <f>'2019'!L657</f>
      </c>
      <c r="I86" s="119">
        <f>'2019'!M657</f>
        <v>743</v>
      </c>
      <c r="J86" s="119">
        <f>'2019'!N657</f>
        <v>0</v>
      </c>
      <c r="K86" s="106">
        <f>'2019'!O657</f>
        <v>0</v>
      </c>
      <c r="L86" s="106">
        <f>'2019'!P657</f>
      </c>
      <c r="M86" s="119">
        <f>'2019'!Q657</f>
        <v>743</v>
      </c>
      <c r="N86" s="119">
        <f>'2019'!R657</f>
        <v>0</v>
      </c>
      <c r="O86" s="165">
        <f>'2019'!S657</f>
        <v>0</v>
      </c>
      <c r="P86" s="165">
        <f>'2019'!T657</f>
      </c>
      <c r="Q86" s="119">
        <f>'2019'!U657</f>
        <v>746</v>
      </c>
      <c r="R86" s="119">
        <f>'2019'!V657</f>
        <v>3</v>
      </c>
      <c r="S86" s="106">
        <f>'2019'!W657</f>
        <v>7.47</v>
      </c>
      <c r="T86" s="106">
        <f>'2019'!X657</f>
      </c>
      <c r="U86" s="119">
        <f>'2019'!Y657</f>
        <v>785</v>
      </c>
      <c r="V86" s="119">
        <f>'2019'!Z657</f>
        <v>39</v>
      </c>
      <c r="W86" s="106">
        <f>'2019'!AA657</f>
        <v>97.11</v>
      </c>
      <c r="X86" s="106">
        <f>'2019'!AB657</f>
      </c>
      <c r="Y86" s="119">
        <f>'2019'!AC657</f>
        <v>829</v>
      </c>
      <c r="Z86" s="119">
        <f>'2019'!AD657</f>
        <v>44</v>
      </c>
      <c r="AA86" s="106">
        <f>'2019'!AE657</f>
        <v>110</v>
      </c>
      <c r="AB86" s="106">
        <f>'2019'!AF657</f>
      </c>
      <c r="AC86" s="119">
        <f>'2019'!AG657</f>
        <v>902</v>
      </c>
      <c r="AD86" s="119">
        <f>'2019'!AH657</f>
        <v>73</v>
      </c>
      <c r="AE86" s="106">
        <f>'2019'!AI657</f>
        <v>182.5</v>
      </c>
      <c r="AF86" s="106">
        <f>'2019'!AJ657</f>
        <v>115</v>
      </c>
      <c r="AG86" s="119">
        <f>'2019'!AK657</f>
        <v>952</v>
      </c>
      <c r="AH86" s="119">
        <f>'2019'!AL657</f>
        <v>50</v>
      </c>
      <c r="AI86" s="106">
        <f>'2019'!AM657</f>
        <v>125</v>
      </c>
      <c r="AJ86" s="106">
        <f>'2019'!AN657</f>
        <v>321.41</v>
      </c>
      <c r="AK86" s="119">
        <f>'2019'!AO657</f>
        <v>984</v>
      </c>
      <c r="AL86" s="119">
        <f>'2019'!AP657</f>
        <v>32</v>
      </c>
      <c r="AM86" s="106">
        <f>'2019'!AQ657</f>
        <v>80</v>
      </c>
      <c r="AN86" s="106">
        <f>'2019'!AR657</f>
      </c>
      <c r="AO86" s="119">
        <f>'2019'!AS657</f>
        <v>988</v>
      </c>
      <c r="AP86" s="119">
        <f>'2019'!AT657</f>
        <v>4</v>
      </c>
      <c r="AQ86" s="106">
        <f>'2019'!AU657</f>
        <v>10</v>
      </c>
      <c r="AR86" s="106">
        <f>'2019'!AV657</f>
      </c>
      <c r="AS86" s="119">
        <f>'2019'!AW657</f>
        <v>988</v>
      </c>
      <c r="AT86" s="119">
        <f>'2019'!AX657</f>
        <v>0</v>
      </c>
      <c r="AU86" s="106">
        <f>'2019'!AY657</f>
        <v>0</v>
      </c>
      <c r="AV86" s="106">
        <f>'2019'!AZ657</f>
      </c>
      <c r="AW86" s="106"/>
      <c r="AX86" s="106">
        <f t="shared" si="0"/>
        <v>0</v>
      </c>
      <c r="AY86" s="119">
        <f>'2019'!BA657</f>
        <v>988</v>
      </c>
      <c r="AZ86" s="119">
        <f>'2019'!BB657</f>
        <v>0</v>
      </c>
      <c r="BA86" s="106">
        <f>'2019'!BC657</f>
        <v>0</v>
      </c>
      <c r="BB86" s="106">
        <f>'2019'!BD657</f>
      </c>
      <c r="BC86" s="106"/>
      <c r="BD86" s="106"/>
      <c r="BE86" s="119">
        <f>'2019'!BE657</f>
        <v>245</v>
      </c>
      <c r="BF86" s="106">
        <f>'2019'!BF657</f>
        <v>612.08</v>
      </c>
      <c r="BG86" s="106">
        <f>'2019'!BG657</f>
        <v>436.41</v>
      </c>
      <c r="BH86" s="106">
        <f>'2019'!BH657</f>
        <v>75.27</v>
      </c>
      <c r="BI86" s="106">
        <f t="shared" si="1"/>
        <v>0</v>
      </c>
      <c r="BJ86" s="124">
        <f t="shared" si="2"/>
        <v>75.27</v>
      </c>
    </row>
    <row r="87" ht="15.75" customHeight="1" spans="1:62" x14ac:dyDescent="0.25">
      <c r="A87" s="14"/>
      <c r="B87" s="115">
        <v>82</v>
      </c>
      <c r="C87" s="115">
        <v>4.28</v>
      </c>
      <c r="D87" s="117" t="s">
        <v>300</v>
      </c>
      <c r="E87" s="119">
        <f>'2019'!I665</f>
      </c>
      <c r="F87" s="119">
        <f>'2019'!J665</f>
      </c>
      <c r="G87" s="106">
        <f>'2019'!K665</f>
        <v>0</v>
      </c>
      <c r="H87" s="106">
        <f>'2019'!L665</f>
      </c>
      <c r="I87" s="119">
        <f>'2019'!M665</f>
      </c>
      <c r="J87" s="119">
        <f>'2019'!N665</f>
        <v>0</v>
      </c>
      <c r="K87" s="106">
        <f>'2019'!O665</f>
        <v>0</v>
      </c>
      <c r="L87" s="106">
        <f>'2019'!P665</f>
      </c>
      <c r="M87" s="119">
        <f>'2019'!Q665</f>
      </c>
      <c r="N87" s="119">
        <f>'2019'!R665</f>
        <v>0</v>
      </c>
      <c r="O87" s="165">
        <f>'2019'!S665</f>
        <v>0</v>
      </c>
      <c r="P87" s="165">
        <f>'2019'!T665</f>
      </c>
      <c r="Q87" s="119">
        <f>'2019'!U665</f>
      </c>
      <c r="R87" s="119">
        <f>'2019'!V665</f>
        <v>0</v>
      </c>
      <c r="S87" s="106">
        <f>'2019'!W665</f>
      </c>
      <c r="T87" s="106">
        <f>'2019'!X665</f>
      </c>
      <c r="U87" s="119">
        <f>'2019'!Y665</f>
      </c>
      <c r="V87" s="119">
        <f>'2019'!Z665</f>
        <v>0</v>
      </c>
      <c r="W87" s="106">
        <f>'2019'!AA665</f>
        <v>0</v>
      </c>
      <c r="X87" s="106">
        <f>'2019'!AB665</f>
      </c>
      <c r="Y87" s="119">
        <f>'2019'!AC665</f>
      </c>
      <c r="Z87" s="119">
        <f>'2019'!AD665</f>
        <v>0</v>
      </c>
      <c r="AA87" s="106">
        <f>'2019'!AE665</f>
        <v>0</v>
      </c>
      <c r="AB87" s="106">
        <f>'2019'!AF665</f>
      </c>
      <c r="AC87" s="119">
        <f>'2019'!AG665</f>
      </c>
      <c r="AD87" s="119">
        <f>'2019'!AH665</f>
        <v>0</v>
      </c>
      <c r="AE87" s="106">
        <f>'2019'!AI665</f>
        <v>0</v>
      </c>
      <c r="AF87" s="106">
        <f>'2019'!AJ665</f>
      </c>
      <c r="AG87" s="119">
        <f>'2019'!AK665</f>
      </c>
      <c r="AH87" s="119">
        <f>'2019'!AL665</f>
        <v>0</v>
      </c>
      <c r="AI87" s="106">
        <f>'2019'!AM665</f>
        <v>0</v>
      </c>
      <c r="AJ87" s="106">
        <f>'2019'!AN665</f>
      </c>
      <c r="AK87" s="119">
        <f>'2019'!AO665</f>
      </c>
      <c r="AL87" s="119">
        <f>'2019'!AP665</f>
        <v>0</v>
      </c>
      <c r="AM87" s="106">
        <f>'2019'!AQ665</f>
        <v>0</v>
      </c>
      <c r="AN87" s="106">
        <f>'2019'!AR665</f>
      </c>
      <c r="AO87" s="119">
        <f>'2019'!AS665</f>
      </c>
      <c r="AP87" s="119">
        <f>'2019'!AT665</f>
        <v>0</v>
      </c>
      <c r="AQ87" s="106">
        <f>'2019'!AU665</f>
        <v>0</v>
      </c>
      <c r="AR87" s="106">
        <f>'2019'!AV665</f>
      </c>
      <c r="AS87" s="119">
        <f>'2019'!AW665</f>
      </c>
      <c r="AT87" s="119">
        <f>'2019'!AX665</f>
        <v>0</v>
      </c>
      <c r="AU87" s="106">
        <f>'2019'!AY665</f>
        <v>0</v>
      </c>
      <c r="AV87" s="106">
        <f>'2019'!AZ665</f>
      </c>
      <c r="AW87" s="106"/>
      <c r="AX87" s="106">
        <f t="shared" si="0"/>
        <v>0</v>
      </c>
      <c r="AY87" s="119">
        <f>'2019'!BA665</f>
      </c>
      <c r="AZ87" s="119">
        <f>'2019'!BB665</f>
        <v>0</v>
      </c>
      <c r="BA87" s="106">
        <f>'2019'!BC665</f>
        <v>0</v>
      </c>
      <c r="BB87" s="106">
        <f>'2019'!BD665</f>
      </c>
      <c r="BC87" s="106"/>
      <c r="BD87" s="106"/>
      <c r="BE87" s="119">
        <f>'2019'!BE665</f>
        <v>0</v>
      </c>
      <c r="BF87" s="106">
        <f>'2019'!BF665</f>
        <v>0</v>
      </c>
      <c r="BG87" s="106">
        <f>'2019'!BG665</f>
        <v>0</v>
      </c>
      <c r="BH87" s="106">
        <f>'2019'!BH665</f>
        <v>0</v>
      </c>
      <c r="BI87" s="106">
        <f t="shared" si="1"/>
        <v>0</v>
      </c>
      <c r="BJ87" s="124">
        <f t="shared" si="2"/>
        <v>0</v>
      </c>
    </row>
    <row r="88" ht="15.75" customHeight="1" spans="1:62" x14ac:dyDescent="0.25">
      <c r="A88" s="14"/>
      <c r="B88" s="115">
        <v>84</v>
      </c>
      <c r="C88" s="115">
        <v>4.18</v>
      </c>
      <c r="D88" s="117" t="s">
        <v>301</v>
      </c>
      <c r="E88" s="119">
        <f>'2019'!I673</f>
      </c>
      <c r="F88" s="119">
        <f>'2019'!J673</f>
      </c>
      <c r="G88" s="106">
        <f>'2019'!K673</f>
        <v>0</v>
      </c>
      <c r="H88" s="106">
        <f>'2019'!L673</f>
      </c>
      <c r="I88" s="119">
        <f>'2019'!M673</f>
      </c>
      <c r="J88" s="119">
        <f>'2019'!N673</f>
        <v>0</v>
      </c>
      <c r="K88" s="106">
        <f>'2019'!O673</f>
        <v>0</v>
      </c>
      <c r="L88" s="106">
        <f>'2019'!P673</f>
      </c>
      <c r="M88" s="119">
        <f>'2019'!Q673</f>
      </c>
      <c r="N88" s="119">
        <f>'2019'!R673</f>
        <v>0</v>
      </c>
      <c r="O88" s="165">
        <f>'2019'!S673</f>
        <v>0</v>
      </c>
      <c r="P88" s="165">
        <f>'2019'!T673</f>
      </c>
      <c r="Q88" s="119">
        <f>'2019'!U673</f>
      </c>
      <c r="R88" s="119">
        <f>'2019'!V673</f>
        <v>0</v>
      </c>
      <c r="S88" s="106">
        <f>'2019'!W673</f>
      </c>
      <c r="T88" s="106">
        <f>'2019'!X673</f>
      </c>
      <c r="U88" s="119">
        <f>'2019'!Y673</f>
      </c>
      <c r="V88" s="119">
        <f>'2019'!Z673</f>
        <v>0</v>
      </c>
      <c r="W88" s="106">
        <f>'2019'!AA673</f>
        <v>0</v>
      </c>
      <c r="X88" s="106">
        <f>'2019'!AB673</f>
      </c>
      <c r="Y88" s="119">
        <f>'2019'!AC673</f>
      </c>
      <c r="Z88" s="119">
        <f>'2019'!AD673</f>
        <v>0</v>
      </c>
      <c r="AA88" s="106">
        <f>'2019'!AE673</f>
        <v>0</v>
      </c>
      <c r="AB88" s="106">
        <f>'2019'!AF673</f>
      </c>
      <c r="AC88" s="119">
        <f>'2019'!AG673</f>
      </c>
      <c r="AD88" s="119">
        <f>'2019'!AH673</f>
        <v>0</v>
      </c>
      <c r="AE88" s="106">
        <f>'2019'!AI673</f>
        <v>0</v>
      </c>
      <c r="AF88" s="106">
        <f>'2019'!AJ673</f>
      </c>
      <c r="AG88" s="119">
        <f>'2019'!AK673</f>
      </c>
      <c r="AH88" s="119">
        <f>'2019'!AL673</f>
        <v>0</v>
      </c>
      <c r="AI88" s="106">
        <f>'2019'!AM673</f>
        <v>0</v>
      </c>
      <c r="AJ88" s="106">
        <f>'2019'!AN673</f>
      </c>
      <c r="AK88" s="119">
        <f>'2019'!AO673</f>
      </c>
      <c r="AL88" s="119">
        <f>'2019'!AP673</f>
        <v>0</v>
      </c>
      <c r="AM88" s="106">
        <f>'2019'!AQ673</f>
        <v>0</v>
      </c>
      <c r="AN88" s="106">
        <f>'2019'!AR673</f>
      </c>
      <c r="AO88" s="119">
        <f>'2019'!AS673</f>
      </c>
      <c r="AP88" s="119">
        <f>'2019'!AT673</f>
        <v>0</v>
      </c>
      <c r="AQ88" s="106">
        <f>'2019'!AU673</f>
        <v>0</v>
      </c>
      <c r="AR88" s="106">
        <f>'2019'!AV673</f>
      </c>
      <c r="AS88" s="119">
        <f>'2019'!AW673</f>
      </c>
      <c r="AT88" s="119">
        <f>'2019'!AX673</f>
        <v>0</v>
      </c>
      <c r="AU88" s="106">
        <f>'2019'!AY673</f>
        <v>0</v>
      </c>
      <c r="AV88" s="106">
        <f>'2019'!AZ673</f>
      </c>
      <c r="AW88" s="106"/>
      <c r="AX88" s="106">
        <f t="shared" si="0"/>
        <v>0</v>
      </c>
      <c r="AY88" s="119">
        <f>'2019'!BA673</f>
      </c>
      <c r="AZ88" s="119">
        <f>'2019'!BB673</f>
        <v>0</v>
      </c>
      <c r="BA88" s="106">
        <f>'2019'!BC673</f>
        <v>0</v>
      </c>
      <c r="BB88" s="106">
        <f>'2019'!BD673</f>
      </c>
      <c r="BC88" s="106"/>
      <c r="BD88" s="106"/>
      <c r="BE88" s="119">
        <f>'2019'!BE673</f>
        <v>0</v>
      </c>
      <c r="BF88" s="106">
        <f>'2019'!BF673</f>
        <v>0</v>
      </c>
      <c r="BG88" s="106">
        <f>'2019'!BG673</f>
        <v>0</v>
      </c>
      <c r="BH88" s="106">
        <f>'2019'!BH673</f>
        <v>0</v>
      </c>
      <c r="BI88" s="106">
        <f t="shared" si="1"/>
        <v>0</v>
      </c>
      <c r="BJ88" s="124">
        <f t="shared" si="2"/>
        <v>0</v>
      </c>
    </row>
    <row r="89" ht="15.75" customHeight="1" spans="1:62" x14ac:dyDescent="0.25">
      <c r="A89" s="14"/>
      <c r="B89" s="115">
        <v>86</v>
      </c>
      <c r="C89" s="115">
        <v>4.23</v>
      </c>
      <c r="D89" s="117" t="s">
        <v>304</v>
      </c>
      <c r="E89" s="119">
        <f>'2019'!I681</f>
      </c>
      <c r="F89" s="119">
        <f>'2019'!J681</f>
      </c>
      <c r="G89" s="106">
        <f>'2019'!K681</f>
        <v>0</v>
      </c>
      <c r="H89" s="106">
        <f>'2019'!L681</f>
      </c>
      <c r="I89" s="119">
        <f>'2019'!M681</f>
      </c>
      <c r="J89" s="119">
        <f>'2019'!N681</f>
        <v>0</v>
      </c>
      <c r="K89" s="106">
        <f>'2019'!O681</f>
        <v>0</v>
      </c>
      <c r="L89" s="106">
        <f>'2019'!P681</f>
      </c>
      <c r="M89" s="119">
        <f>'2019'!Q681</f>
      </c>
      <c r="N89" s="119">
        <f>'2019'!R681</f>
        <v>0</v>
      </c>
      <c r="O89" s="165">
        <f>'2019'!S681</f>
        <v>0</v>
      </c>
      <c r="P89" s="165">
        <f>'2019'!T681</f>
      </c>
      <c r="Q89" s="119">
        <f>'2019'!U681</f>
      </c>
      <c r="R89" s="119">
        <f>'2019'!V681</f>
        <v>0</v>
      </c>
      <c r="S89" s="106">
        <f>'2019'!W681</f>
      </c>
      <c r="T89" s="106">
        <f>'2019'!X681</f>
      </c>
      <c r="U89" s="119">
        <f>'2019'!Y681</f>
      </c>
      <c r="V89" s="119">
        <f>'2019'!Z681</f>
        <v>0</v>
      </c>
      <c r="W89" s="106">
        <f>'2019'!AA681</f>
        <v>0</v>
      </c>
      <c r="X89" s="106">
        <f>'2019'!AB681</f>
      </c>
      <c r="Y89" s="119">
        <f>'2019'!AC681</f>
      </c>
      <c r="Z89" s="119">
        <f>'2019'!AD681</f>
        <v>0</v>
      </c>
      <c r="AA89" s="106">
        <f>'2019'!AE681</f>
        <v>0</v>
      </c>
      <c r="AB89" s="106">
        <f>'2019'!AF681</f>
      </c>
      <c r="AC89" s="119">
        <f>'2019'!AG681</f>
      </c>
      <c r="AD89" s="119">
        <f>'2019'!AH681</f>
        <v>0</v>
      </c>
      <c r="AE89" s="106">
        <f>'2019'!AI681</f>
        <v>0</v>
      </c>
      <c r="AF89" s="106">
        <f>'2019'!AJ681</f>
      </c>
      <c r="AG89" s="119">
        <f>'2019'!AK681</f>
      </c>
      <c r="AH89" s="119">
        <f>'2019'!AL681</f>
        <v>0</v>
      </c>
      <c r="AI89" s="106">
        <f>'2019'!AM681</f>
        <v>0</v>
      </c>
      <c r="AJ89" s="106">
        <f>'2019'!AN681</f>
      </c>
      <c r="AK89" s="119">
        <f>'2019'!AO681</f>
      </c>
      <c r="AL89" s="119">
        <f>'2019'!AP681</f>
        <v>0</v>
      </c>
      <c r="AM89" s="106">
        <f>'2019'!AQ681</f>
        <v>0</v>
      </c>
      <c r="AN89" s="106">
        <f>'2019'!AR681</f>
      </c>
      <c r="AO89" s="119">
        <f>'2019'!AS681</f>
      </c>
      <c r="AP89" s="119">
        <f>'2019'!AT681</f>
        <v>0</v>
      </c>
      <c r="AQ89" s="106">
        <f>'2019'!AU681</f>
        <v>0</v>
      </c>
      <c r="AR89" s="106">
        <f>'2019'!AV681</f>
      </c>
      <c r="AS89" s="119">
        <f>'2019'!AW681</f>
      </c>
      <c r="AT89" s="119">
        <f>'2019'!AX681</f>
        <v>0</v>
      </c>
      <c r="AU89" s="106">
        <f>'2019'!AY681</f>
        <v>0</v>
      </c>
      <c r="AV89" s="106">
        <f>'2019'!AZ681</f>
      </c>
      <c r="AW89" s="106"/>
      <c r="AX89" s="106">
        <f t="shared" si="0"/>
        <v>0</v>
      </c>
      <c r="AY89" s="119">
        <f>'2019'!BA681</f>
      </c>
      <c r="AZ89" s="119">
        <f>'2019'!BB681</f>
        <v>0</v>
      </c>
      <c r="BA89" s="106">
        <f>'2019'!BC681</f>
        <v>0</v>
      </c>
      <c r="BB89" s="106">
        <f>'2019'!BD681</f>
      </c>
      <c r="BC89" s="106"/>
      <c r="BD89" s="106"/>
      <c r="BE89" s="119">
        <f>'2019'!BE681</f>
        <v>0</v>
      </c>
      <c r="BF89" s="106">
        <f>'2019'!BF681</f>
        <v>0</v>
      </c>
      <c r="BG89" s="106">
        <f>'2019'!BG681</f>
        <v>0</v>
      </c>
      <c r="BH89" s="106">
        <f>'2019'!BH681</f>
        <v>0</v>
      </c>
      <c r="BI89" s="106">
        <f t="shared" si="1"/>
        <v>0</v>
      </c>
      <c r="BJ89" s="124">
        <f t="shared" si="2"/>
        <v>0</v>
      </c>
    </row>
    <row r="90" ht="15.75" customHeight="1" spans="1:62" x14ac:dyDescent="0.25">
      <c r="A90" s="14"/>
      <c r="B90" s="115">
        <v>88</v>
      </c>
      <c r="C90" s="115">
        <v>4.23</v>
      </c>
      <c r="D90" s="117" t="s">
        <v>308</v>
      </c>
      <c r="E90" s="119">
        <f>'2019'!I689</f>
      </c>
      <c r="F90" s="119">
        <f>'2019'!J689</f>
      </c>
      <c r="G90" s="106">
        <f>'2019'!K689</f>
        <v>0</v>
      </c>
      <c r="H90" s="106">
        <f>'2019'!L689</f>
      </c>
      <c r="I90" s="119">
        <f>'2019'!M689</f>
      </c>
      <c r="J90" s="119">
        <f>'2019'!N689</f>
        <v>0</v>
      </c>
      <c r="K90" s="106">
        <f>'2019'!O689</f>
        <v>0</v>
      </c>
      <c r="L90" s="106">
        <f>'2019'!P689</f>
      </c>
      <c r="M90" s="119">
        <f>'2019'!Q689</f>
      </c>
      <c r="N90" s="119">
        <f>'2019'!R689</f>
        <v>0</v>
      </c>
      <c r="O90" s="165">
        <f>'2019'!S689</f>
        <v>0</v>
      </c>
      <c r="P90" s="165">
        <f>'2019'!T689</f>
      </c>
      <c r="Q90" s="119">
        <f>'2019'!U689</f>
      </c>
      <c r="R90" s="119">
        <f>'2019'!V689</f>
        <v>0</v>
      </c>
      <c r="S90" s="106">
        <f>'2019'!W689</f>
      </c>
      <c r="T90" s="106">
        <f>'2019'!X689</f>
      </c>
      <c r="U90" s="119">
        <f>'2019'!Y689</f>
      </c>
      <c r="V90" s="119">
        <f>'2019'!Z689</f>
        <v>0</v>
      </c>
      <c r="W90" s="106">
        <f>'2019'!AA689</f>
        <v>0</v>
      </c>
      <c r="X90" s="106">
        <f>'2019'!AB689</f>
      </c>
      <c r="Y90" s="119">
        <f>'2019'!AC689</f>
      </c>
      <c r="Z90" s="119">
        <f>'2019'!AD689</f>
        <v>0</v>
      </c>
      <c r="AA90" s="106">
        <f>'2019'!AE689</f>
        <v>0</v>
      </c>
      <c r="AB90" s="106">
        <f>'2019'!AF689</f>
      </c>
      <c r="AC90" s="119">
        <f>'2019'!AG689</f>
      </c>
      <c r="AD90" s="119">
        <f>'2019'!AH689</f>
        <v>0</v>
      </c>
      <c r="AE90" s="106">
        <f>'2019'!AI689</f>
        <v>0</v>
      </c>
      <c r="AF90" s="106">
        <f>'2019'!AJ689</f>
      </c>
      <c r="AG90" s="119">
        <f>'2019'!AK689</f>
      </c>
      <c r="AH90" s="119">
        <f>'2019'!AL689</f>
        <v>0</v>
      </c>
      <c r="AI90" s="106">
        <f>'2019'!AM689</f>
        <v>0</v>
      </c>
      <c r="AJ90" s="106">
        <f>'2019'!AN689</f>
      </c>
      <c r="AK90" s="119">
        <f>'2019'!AO689</f>
      </c>
      <c r="AL90" s="119">
        <f>'2019'!AP689</f>
        <v>0</v>
      </c>
      <c r="AM90" s="106">
        <f>'2019'!AQ689</f>
        <v>0</v>
      </c>
      <c r="AN90" s="106">
        <f>'2019'!AR689</f>
      </c>
      <c r="AO90" s="119">
        <f>'2019'!AS689</f>
      </c>
      <c r="AP90" s="119">
        <f>'2019'!AT689</f>
        <v>0</v>
      </c>
      <c r="AQ90" s="106">
        <f>'2019'!AU689</f>
        <v>0</v>
      </c>
      <c r="AR90" s="106">
        <f>'2019'!AV689</f>
      </c>
      <c r="AS90" s="119">
        <f>'2019'!AW689</f>
      </c>
      <c r="AT90" s="119">
        <f>'2019'!AX689</f>
        <v>0</v>
      </c>
      <c r="AU90" s="106">
        <f>'2019'!AY689</f>
        <v>0</v>
      </c>
      <c r="AV90" s="106">
        <f>'2019'!AZ689</f>
      </c>
      <c r="AW90" s="106"/>
      <c r="AX90" s="106">
        <f t="shared" si="0"/>
        <v>0</v>
      </c>
      <c r="AY90" s="119">
        <f>'2019'!BA689</f>
      </c>
      <c r="AZ90" s="119">
        <f>'2019'!BB689</f>
        <v>0</v>
      </c>
      <c r="BA90" s="106">
        <f>'2019'!BC689</f>
        <v>0</v>
      </c>
      <c r="BB90" s="106">
        <f>'2019'!BD689</f>
      </c>
      <c r="BC90" s="106"/>
      <c r="BD90" s="106"/>
      <c r="BE90" s="119">
        <f>'2019'!BE689</f>
        <v>0</v>
      </c>
      <c r="BF90" s="106">
        <f>'2019'!BF689</f>
        <v>0</v>
      </c>
      <c r="BG90" s="106">
        <f>'2019'!BG689</f>
        <v>0</v>
      </c>
      <c r="BH90" s="106">
        <f>'2019'!BH689</f>
        <v>0</v>
      </c>
      <c r="BI90" s="106">
        <f t="shared" si="1"/>
        <v>0</v>
      </c>
      <c r="BJ90" s="124">
        <f t="shared" si="2"/>
        <v>0</v>
      </c>
    </row>
    <row r="91" ht="15.75" customHeight="1" spans="1:62" x14ac:dyDescent="0.25">
      <c r="A91" s="14"/>
      <c r="B91" s="115">
        <v>90</v>
      </c>
      <c r="C91" s="115">
        <v>4.23</v>
      </c>
      <c r="D91" s="117" t="s">
        <v>311</v>
      </c>
      <c r="E91" s="119">
        <f>'2019'!I697</f>
      </c>
      <c r="F91" s="119">
        <f>'2019'!J697</f>
      </c>
      <c r="G91" s="106">
        <f>'2019'!K697</f>
        <v>0</v>
      </c>
      <c r="H91" s="106">
        <f>'2019'!L697</f>
      </c>
      <c r="I91" s="119">
        <f>'2019'!M697</f>
      </c>
      <c r="J91" s="119">
        <f>'2019'!N697</f>
        <v>0</v>
      </c>
      <c r="K91" s="106">
        <f>'2019'!O697</f>
        <v>0</v>
      </c>
      <c r="L91" s="106">
        <f>'2019'!P697</f>
      </c>
      <c r="M91" s="119">
        <f>'2019'!Q697</f>
      </c>
      <c r="N91" s="119">
        <f>'2019'!R697</f>
        <v>0</v>
      </c>
      <c r="O91" s="165">
        <f>'2019'!S697</f>
        <v>0</v>
      </c>
      <c r="P91" s="165">
        <f>'2019'!T697</f>
      </c>
      <c r="Q91" s="119">
        <f>'2019'!U697</f>
      </c>
      <c r="R91" s="119">
        <f>'2019'!V697</f>
        <v>0</v>
      </c>
      <c r="S91" s="106">
        <f>'2019'!W697</f>
      </c>
      <c r="T91" s="106">
        <f>'2019'!X697</f>
      </c>
      <c r="U91" s="119">
        <f>'2019'!Y697</f>
      </c>
      <c r="V91" s="119">
        <f>'2019'!Z697</f>
        <v>0</v>
      </c>
      <c r="W91" s="106">
        <f>'2019'!AA697</f>
        <v>0</v>
      </c>
      <c r="X91" s="106">
        <f>'2019'!AB697</f>
      </c>
      <c r="Y91" s="119">
        <f>'2019'!AC697</f>
      </c>
      <c r="Z91" s="119">
        <f>'2019'!AD697</f>
        <v>0</v>
      </c>
      <c r="AA91" s="106">
        <f>'2019'!AE697</f>
        <v>0</v>
      </c>
      <c r="AB91" s="106">
        <f>'2019'!AF697</f>
      </c>
      <c r="AC91" s="119">
        <f>'2019'!AG697</f>
      </c>
      <c r="AD91" s="119">
        <f>'2019'!AH697</f>
        <v>0</v>
      </c>
      <c r="AE91" s="106">
        <f>'2019'!AI697</f>
        <v>0</v>
      </c>
      <c r="AF91" s="106">
        <f>'2019'!AJ697</f>
      </c>
      <c r="AG91" s="119">
        <f>'2019'!AK697</f>
      </c>
      <c r="AH91" s="119">
        <f>'2019'!AL697</f>
        <v>0</v>
      </c>
      <c r="AI91" s="106">
        <f>'2019'!AM697</f>
        <v>0</v>
      </c>
      <c r="AJ91" s="106">
        <f>'2019'!AN697</f>
      </c>
      <c r="AK91" s="119">
        <f>'2019'!AO697</f>
      </c>
      <c r="AL91" s="119">
        <f>'2019'!AP697</f>
        <v>0</v>
      </c>
      <c r="AM91" s="106">
        <f>'2019'!AQ697</f>
        <v>0</v>
      </c>
      <c r="AN91" s="106">
        <f>'2019'!AR697</f>
      </c>
      <c r="AO91" s="119">
        <f>'2019'!AS697</f>
      </c>
      <c r="AP91" s="119">
        <f>'2019'!AT697</f>
        <v>0</v>
      </c>
      <c r="AQ91" s="106">
        <f>'2019'!AU697</f>
        <v>0</v>
      </c>
      <c r="AR91" s="106">
        <f>'2019'!AV697</f>
      </c>
      <c r="AS91" s="119">
        <f>'2019'!AW697</f>
      </c>
      <c r="AT91" s="119">
        <f>'2019'!AX697</f>
        <v>0</v>
      </c>
      <c r="AU91" s="106">
        <f>'2019'!AY697</f>
        <v>0</v>
      </c>
      <c r="AV91" s="106">
        <f>'2019'!AZ697</f>
      </c>
      <c r="AW91" s="106"/>
      <c r="AX91" s="106">
        <f t="shared" si="0"/>
        <v>0</v>
      </c>
      <c r="AY91" s="119">
        <f>'2019'!BA697</f>
      </c>
      <c r="AZ91" s="119">
        <f>'2019'!BB697</f>
        <v>0</v>
      </c>
      <c r="BA91" s="106">
        <f>'2019'!BC697</f>
        <v>0</v>
      </c>
      <c r="BB91" s="106">
        <f>'2019'!BD697</f>
      </c>
      <c r="BC91" s="106"/>
      <c r="BD91" s="106"/>
      <c r="BE91" s="119">
        <f>'2019'!BE697</f>
        <v>0</v>
      </c>
      <c r="BF91" s="106">
        <f>'2019'!BF697</f>
        <v>0</v>
      </c>
      <c r="BG91" s="106">
        <f>'2019'!BG697</f>
        <v>0</v>
      </c>
      <c r="BH91" s="106">
        <f>'2019'!BH697</f>
        <v>0</v>
      </c>
      <c r="BI91" s="106">
        <f t="shared" si="1"/>
        <v>0</v>
      </c>
      <c r="BJ91" s="124">
        <f t="shared" si="2"/>
        <v>0</v>
      </c>
    </row>
    <row r="92" ht="15.75" customHeight="1" spans="1:62" x14ac:dyDescent="0.25">
      <c r="A92" s="14"/>
      <c r="B92" s="125">
        <v>92</v>
      </c>
      <c r="C92" s="115">
        <v>4.28</v>
      </c>
      <c r="D92" s="117" t="s">
        <v>312</v>
      </c>
      <c r="E92" s="119">
        <f>'2019'!I705</f>
        <v>4900</v>
      </c>
      <c r="F92" s="119">
        <f>'2019'!J705</f>
        <v>404</v>
      </c>
      <c r="G92" s="106">
        <f>'2019'!K705</f>
        <v>1005.96</v>
      </c>
      <c r="H92" s="106">
        <f>'2019'!L705</f>
      </c>
      <c r="I92" s="119">
        <f>'2019'!M705</f>
        <v>5493</v>
      </c>
      <c r="J92" s="119">
        <f>'2019'!N705</f>
        <v>593</v>
      </c>
      <c r="K92" s="106">
        <f>'2019'!O705</f>
        <v>1476.57</v>
      </c>
      <c r="L92" s="106">
        <f>'2019'!P705</f>
        <v>1600</v>
      </c>
      <c r="M92" s="119">
        <f>'2019'!Q705</f>
        <v>5706</v>
      </c>
      <c r="N92" s="119">
        <f>'2019'!R705</f>
        <v>213</v>
      </c>
      <c r="O92" s="106">
        <f>'2019'!S705</f>
        <v>530.37</v>
      </c>
      <c r="P92" s="106">
        <f>'2019'!T705</f>
        <v>2500</v>
      </c>
      <c r="Q92" s="119">
        <f>'2019'!U705</f>
        <v>5868</v>
      </c>
      <c r="R92" s="119">
        <f>'2019'!V705</f>
        <v>162</v>
      </c>
      <c r="S92" s="106">
        <f>'2019'!W705</f>
        <v>403.38</v>
      </c>
      <c r="T92" s="106">
        <f>'2019'!X705</f>
      </c>
      <c r="U92" s="119">
        <f>'2019'!Y705</f>
        <v>6096</v>
      </c>
      <c r="V92" s="119">
        <f>'2019'!Z705</f>
        <v>228</v>
      </c>
      <c r="W92" s="106">
        <f>'2019'!AA705</f>
        <v>567.72</v>
      </c>
      <c r="X92" s="106">
        <f>'2019'!AB705</f>
        <v>1500</v>
      </c>
      <c r="Y92" s="119">
        <f>'2019'!AC705</f>
        <v>6212</v>
      </c>
      <c r="Z92" s="119">
        <f>'2019'!AD705</f>
        <v>116</v>
      </c>
      <c r="AA92" s="106">
        <f>'2019'!AE705</f>
        <v>290</v>
      </c>
      <c r="AB92" s="106">
        <f>'2019'!AF705</f>
      </c>
      <c r="AC92" s="119">
        <f>'2019'!AG705</f>
        <v>6405</v>
      </c>
      <c r="AD92" s="119">
        <f>'2019'!AH705</f>
        <v>193</v>
      </c>
      <c r="AE92" s="106">
        <f>'2019'!AI705</f>
        <v>482.5</v>
      </c>
      <c r="AF92" s="106">
        <f>'2019'!AJ705</f>
      </c>
      <c r="AG92" s="119">
        <f>'2019'!AK705</f>
        <v>6593</v>
      </c>
      <c r="AH92" s="119">
        <f>'2019'!AL705</f>
        <v>188</v>
      </c>
      <c r="AI92" s="106">
        <f>'2019'!AM705</f>
        <v>470</v>
      </c>
      <c r="AJ92" s="106">
        <f>'2019'!AN705</f>
      </c>
      <c r="AK92" s="119">
        <f>'2019'!AO705</f>
        <v>6776</v>
      </c>
      <c r="AL92" s="119">
        <f>'2019'!AP705</f>
        <v>183</v>
      </c>
      <c r="AM92" s="106">
        <f>'2019'!AQ705</f>
        <v>457.5</v>
      </c>
      <c r="AN92" s="106">
        <f>'2019'!AR705</f>
        <v>1150</v>
      </c>
      <c r="AO92" s="119">
        <f>'2019'!AS705</f>
        <v>6945</v>
      </c>
      <c r="AP92" s="119">
        <f>'2019'!AT705</f>
        <v>169</v>
      </c>
      <c r="AQ92" s="106">
        <f>'2019'!AU705</f>
        <v>422.5</v>
      </c>
      <c r="AR92" s="106">
        <f>'2019'!AV705</f>
        <v>453</v>
      </c>
      <c r="AS92" s="126">
        <f>'2019'!AW705</f>
        <v>7406</v>
      </c>
      <c r="AT92" s="119">
        <f>'2019'!AX705</f>
        <v>461</v>
      </c>
      <c r="AU92" s="106">
        <f>'2019'!AY705</f>
        <v>1152.5</v>
      </c>
      <c r="AV92" s="106">
        <f>'2019'!AZ705</f>
      </c>
      <c r="AW92" s="119"/>
      <c r="AX92" s="106">
        <f t="shared" si="0"/>
        <v>0</v>
      </c>
      <c r="AY92" s="119">
        <f>'2019'!BA705</f>
        <v>7869</v>
      </c>
      <c r="AZ92" s="119">
        <f>'2019'!BB705</f>
        <v>463</v>
      </c>
      <c r="BA92" s="106">
        <f>'2019'!BC705</f>
        <v>1157.5</v>
      </c>
      <c r="BB92" s="106">
        <f>'2019'!BD705</f>
        <v>1800</v>
      </c>
      <c r="BC92" s="106"/>
      <c r="BD92" s="106"/>
      <c r="BE92" s="119">
        <f>'2019'!BE705</f>
        <v>3373</v>
      </c>
      <c r="BF92" s="106">
        <f>'2019'!BF705</f>
        <v>8416.5</v>
      </c>
      <c r="BG92" s="106">
        <f>'2019'!BG705</f>
        <v>9003</v>
      </c>
      <c r="BH92" s="106">
        <f>'2019'!BH705</f>
        <v>932.45</v>
      </c>
      <c r="BI92" s="106">
        <f t="shared" si="1"/>
        <v>0</v>
      </c>
      <c r="BJ92" s="124">
        <f t="shared" si="2"/>
        <v>932.45</v>
      </c>
    </row>
    <row r="93" ht="15.75" customHeight="1" spans="1:62" x14ac:dyDescent="0.25">
      <c r="A93" s="14"/>
      <c r="B93" s="125" t="s">
        <v>315</v>
      </c>
      <c r="C93" s="115">
        <v>8.76</v>
      </c>
      <c r="D93" s="117" t="s">
        <v>316</v>
      </c>
      <c r="E93" s="119">
        <f>'2019'!I713</f>
        <v>14204</v>
      </c>
      <c r="F93" s="119">
        <f>'2019'!J713</f>
        <v>1526</v>
      </c>
      <c r="G93" s="106">
        <f>'2019'!K713</f>
        <v>3799.74</v>
      </c>
      <c r="H93" s="106">
        <f>'2019'!L713</f>
        <v>3799.74</v>
      </c>
      <c r="I93" s="119">
        <f>'2019'!M713</f>
        <v>15686</v>
      </c>
      <c r="J93" s="119">
        <f>'2019'!N713</f>
        <v>1482</v>
      </c>
      <c r="K93" s="106">
        <f>'2019'!O713</f>
        <v>3690.18</v>
      </c>
      <c r="L93" s="106">
        <f>'2019'!P713</f>
        <v>3691</v>
      </c>
      <c r="M93" s="119">
        <f>'2019'!Q713</f>
        <v>16424</v>
      </c>
      <c r="N93" s="119">
        <f>'2019'!R713</f>
        <v>738</v>
      </c>
      <c r="O93" s="106">
        <f>'2019'!S713</f>
        <v>1837.62</v>
      </c>
      <c r="P93" s="106">
        <f>'2019'!T713</f>
        <v>1836</v>
      </c>
      <c r="Q93" s="119">
        <f>'2019'!U713</f>
        <v>17247</v>
      </c>
      <c r="R93" s="119">
        <f>'2019'!V713</f>
        <v>823</v>
      </c>
      <c r="S93" s="106">
        <f>'2019'!W713</f>
        <v>2049.27</v>
      </c>
      <c r="T93" s="106">
        <f>'2019'!X713</f>
      </c>
      <c r="U93" s="119">
        <f>'2019'!Y713</f>
        <v>17974</v>
      </c>
      <c r="V93" s="119">
        <f>'2019'!Z713</f>
        <v>727</v>
      </c>
      <c r="W93" s="106">
        <f>'2019'!AA713</f>
        <v>1810.23</v>
      </c>
      <c r="X93" s="106">
        <f>'2019'!AB713</f>
        <v>3945</v>
      </c>
      <c r="Y93" s="119">
        <f>'2019'!AC713</f>
        <v>18377</v>
      </c>
      <c r="Z93" s="119">
        <f>'2019'!AD713</f>
        <v>403</v>
      </c>
      <c r="AA93" s="106">
        <f>'2019'!AE713</f>
        <v>1007.5</v>
      </c>
      <c r="AB93" s="106">
        <f>'2019'!AF713</f>
        <v>1007.5</v>
      </c>
      <c r="AC93" s="119">
        <f>'2019'!AG713</f>
        <v>18806</v>
      </c>
      <c r="AD93" s="119">
        <f>'2019'!AH713</f>
        <v>429</v>
      </c>
      <c r="AE93" s="106">
        <f>'2019'!AI713</f>
        <v>1072.5</v>
      </c>
      <c r="AF93" s="106">
        <f>'2019'!AJ713</f>
        <v>1053</v>
      </c>
      <c r="AG93" s="119">
        <f>'2019'!AK713</f>
        <v>19139</v>
      </c>
      <c r="AH93" s="119">
        <f>'2019'!AL713</f>
        <v>333</v>
      </c>
      <c r="AI93" s="106">
        <f>'2019'!AM713</f>
        <v>832.5</v>
      </c>
      <c r="AJ93" s="106">
        <f>'2019'!AN713</f>
      </c>
      <c r="AK93" s="119">
        <f>'2019'!AO713</f>
        <v>19606</v>
      </c>
      <c r="AL93" s="119">
        <f>'2019'!AP713</f>
        <v>467</v>
      </c>
      <c r="AM93" s="106">
        <f>'2019'!AQ713</f>
        <v>1167.5</v>
      </c>
      <c r="AN93" s="106">
        <f>'2019'!AR713</f>
        <v>766.87</v>
      </c>
      <c r="AO93" s="119">
        <f>'2019'!AS713</f>
        <v>20252</v>
      </c>
      <c r="AP93" s="119">
        <f>'2019'!AT713</f>
        <v>646</v>
      </c>
      <c r="AQ93" s="106">
        <f>'2019'!AU713</f>
        <v>1615</v>
      </c>
      <c r="AR93" s="106">
        <f>'2019'!AV713</f>
        <v>1200</v>
      </c>
      <c r="AS93" s="126">
        <f>'2019'!AW713</f>
        <v>21774</v>
      </c>
      <c r="AT93" s="119">
        <f>'2019'!AX713</f>
        <v>1522</v>
      </c>
      <c r="AU93" s="106">
        <f>'2019'!AY713</f>
        <v>3805</v>
      </c>
      <c r="AV93" s="106">
        <f>'2019'!AZ713</f>
      </c>
      <c r="AW93" s="119"/>
      <c r="AX93" s="106">
        <f t="shared" si="0"/>
        <v>0</v>
      </c>
      <c r="AY93" s="119">
        <f>'2019'!BA713</f>
        <v>23503</v>
      </c>
      <c r="AZ93" s="119">
        <f>'2019'!BB713</f>
        <v>1729</v>
      </c>
      <c r="BA93" s="106">
        <f>'2019'!BC713</f>
        <v>4322.5</v>
      </c>
      <c r="BB93" s="106">
        <f>'2019'!BD713</f>
        <v>1350</v>
      </c>
      <c r="BC93" s="106"/>
      <c r="BD93" s="106"/>
      <c r="BE93" s="119">
        <f>'2019'!BE713</f>
        <v>10825</v>
      </c>
      <c r="BF93" s="106">
        <f>'2019'!BF713</f>
        <v>27009.54</v>
      </c>
      <c r="BG93" s="106">
        <f>'2019'!BG713</f>
        <v>18649.11</v>
      </c>
      <c r="BH93" s="106">
        <f>'2019'!BH713</f>
        <v>8360</v>
      </c>
      <c r="BI93" s="106">
        <f t="shared" si="1"/>
        <v>0</v>
      </c>
      <c r="BJ93" s="124">
        <f t="shared" si="2"/>
        <v>8360</v>
      </c>
    </row>
    <row r="94" ht="15.75" customHeight="1" spans="1:62" x14ac:dyDescent="0.25">
      <c r="A94" s="14"/>
      <c r="B94" s="115">
        <v>99</v>
      </c>
      <c r="C94" s="115">
        <v>4.53</v>
      </c>
      <c r="D94" s="117" t="s">
        <v>319</v>
      </c>
      <c r="E94" s="119">
        <f>'2019'!I721</f>
        <v>112</v>
      </c>
      <c r="F94" s="119">
        <f>'2019'!J721</f>
        <v>0</v>
      </c>
      <c r="G94" s="106">
        <f>'2019'!K721</f>
        <v>0</v>
      </c>
      <c r="H94" s="106">
        <f>'2019'!L721</f>
      </c>
      <c r="I94" s="119">
        <f>'2019'!M721</f>
        <v>112</v>
      </c>
      <c r="J94" s="119">
        <f>'2019'!N721</f>
        <v>0</v>
      </c>
      <c r="K94" s="106">
        <f>'2019'!O721</f>
        <v>0</v>
      </c>
      <c r="L94" s="106">
        <f>'2019'!P721</f>
      </c>
      <c r="M94" s="119">
        <f>'2019'!Q721</f>
        <v>112</v>
      </c>
      <c r="N94" s="119">
        <f>'2019'!R721</f>
        <v>0</v>
      </c>
      <c r="O94" s="165">
        <f>'2019'!S721</f>
        <v>0</v>
      </c>
      <c r="P94" s="165">
        <f>'2019'!T721</f>
      </c>
      <c r="Q94" s="119">
        <f>'2019'!U721</f>
        <v>112</v>
      </c>
      <c r="R94" s="119">
        <f>'2019'!V721</f>
        <v>0</v>
      </c>
      <c r="S94" s="106">
        <f>'2019'!W721</f>
        <v>0</v>
      </c>
      <c r="T94" s="106">
        <f>'2019'!X721</f>
      </c>
      <c r="U94" s="119">
        <f>'2019'!Y721</f>
        <v>112</v>
      </c>
      <c r="V94" s="119">
        <f>'2019'!Z721</f>
        <v>0</v>
      </c>
      <c r="W94" s="106">
        <f>'2019'!AA721</f>
        <v>0</v>
      </c>
      <c r="X94" s="106">
        <f>'2019'!AB721</f>
      </c>
      <c r="Y94" s="119">
        <f>'2019'!AC721</f>
        <v>114</v>
      </c>
      <c r="Z94" s="119">
        <f>'2019'!AD721</f>
        <v>2</v>
      </c>
      <c r="AA94" s="106">
        <f>'2019'!AE721</f>
        <v>5</v>
      </c>
      <c r="AB94" s="106">
        <f>'2019'!AF721</f>
        <v>191.2</v>
      </c>
      <c r="AC94" s="119">
        <f>'2019'!AG721</f>
        <v>116</v>
      </c>
      <c r="AD94" s="119">
        <f>'2019'!AH721</f>
        <v>2</v>
      </c>
      <c r="AE94" s="106">
        <f>'2019'!AI721</f>
        <v>5</v>
      </c>
      <c r="AF94" s="106">
        <f>'2019'!AJ721</f>
      </c>
      <c r="AG94" s="119">
        <f>'2019'!AK721</f>
        <v>122</v>
      </c>
      <c r="AH94" s="119">
        <f>'2019'!AL721</f>
        <v>6</v>
      </c>
      <c r="AI94" s="106">
        <f>'2019'!AM721</f>
        <v>15</v>
      </c>
      <c r="AJ94" s="106">
        <f>'2019'!AN721</f>
      </c>
      <c r="AK94" s="119">
        <f>'2019'!AO721</f>
        <v>123</v>
      </c>
      <c r="AL94" s="119">
        <f>'2019'!AP721</f>
        <v>1</v>
      </c>
      <c r="AM94" s="106">
        <f>'2019'!AQ721</f>
        <v>2.5</v>
      </c>
      <c r="AN94" s="106">
        <f>'2019'!AR721</f>
      </c>
      <c r="AO94" s="119">
        <f>'2019'!AS721</f>
        <v>128</v>
      </c>
      <c r="AP94" s="119">
        <f>'2019'!AT721</f>
        <v>5</v>
      </c>
      <c r="AQ94" s="106">
        <f>'2019'!AU721</f>
        <v>12.5</v>
      </c>
      <c r="AR94" s="106">
        <f>'2019'!AV721</f>
        <v>250</v>
      </c>
      <c r="AS94" s="119">
        <f>'2019'!AW721</f>
        <v>128</v>
      </c>
      <c r="AT94" s="119">
        <f>'2019'!AX721</f>
        <v>0</v>
      </c>
      <c r="AU94" s="106">
        <f>'2019'!AY721</f>
        <v>0</v>
      </c>
      <c r="AV94" s="106">
        <f>'2019'!AZ721</f>
      </c>
      <c r="AW94" s="106"/>
      <c r="AX94" s="106">
        <f t="shared" si="0"/>
        <v>0</v>
      </c>
      <c r="AY94" s="119">
        <f>'2019'!BA721</f>
        <v>128</v>
      </c>
      <c r="AZ94" s="119">
        <f>'2019'!BB721</f>
        <v>0</v>
      </c>
      <c r="BA94" s="106">
        <f>'2019'!BC721</f>
        <v>0</v>
      </c>
      <c r="BB94" s="106">
        <f>'2019'!BD721</f>
      </c>
      <c r="BC94" s="106"/>
      <c r="BD94" s="106"/>
      <c r="BE94" s="119">
        <f>'2019'!BE721</f>
        <v>16</v>
      </c>
      <c r="BF94" s="106">
        <f>'2019'!BF721</f>
        <v>40</v>
      </c>
      <c r="BG94" s="106">
        <f>'2019'!BG721</f>
        <v>441.2</v>
      </c>
      <c r="BH94" s="106">
        <f>'2019'!BH721</f>
        <v>-386.26</v>
      </c>
      <c r="BI94" s="106">
        <f t="shared" si="1"/>
        <v>0</v>
      </c>
      <c r="BJ94" s="124">
        <f t="shared" si="2"/>
        <v>-386.26</v>
      </c>
    </row>
    <row r="95" ht="15.75" customHeight="1" spans="1:62" x14ac:dyDescent="0.25">
      <c r="A95" s="14"/>
      <c r="B95" s="125">
        <v>101</v>
      </c>
      <c r="C95" s="115">
        <v>4.46</v>
      </c>
      <c r="D95" s="117" t="s">
        <v>321</v>
      </c>
      <c r="E95" s="119">
        <f>'2019'!I729</f>
        <v>117</v>
      </c>
      <c r="F95" s="119">
        <f>'2019'!J729</f>
        <v>0</v>
      </c>
      <c r="G95" s="106">
        <f>'2019'!K729</f>
        <v>0</v>
      </c>
      <c r="H95" s="106">
        <f>'2019'!L729</f>
      </c>
      <c r="I95" s="119">
        <f>'2019'!M729</f>
        <v>117</v>
      </c>
      <c r="J95" s="119">
        <f>'2019'!N729</f>
        <v>0</v>
      </c>
      <c r="K95" s="106">
        <f>'2019'!O729</f>
        <v>0</v>
      </c>
      <c r="L95" s="106">
        <f>'2019'!P729</f>
      </c>
      <c r="M95" s="119">
        <f>'2019'!Q729</f>
        <v>117</v>
      </c>
      <c r="N95" s="119">
        <f>'2019'!R729</f>
        <v>0</v>
      </c>
      <c r="O95" s="165">
        <f>'2019'!S729</f>
        <v>0</v>
      </c>
      <c r="P95" s="165">
        <f>'2019'!T729</f>
      </c>
      <c r="Q95" s="119">
        <f>'2019'!U729</f>
        <v>117</v>
      </c>
      <c r="R95" s="119">
        <f>'2019'!V729</f>
        <v>0</v>
      </c>
      <c r="S95" s="106">
        <f>'2019'!W729</f>
        <v>0</v>
      </c>
      <c r="T95" s="106">
        <f>'2019'!X729</f>
      </c>
      <c r="U95" s="119">
        <f>'2019'!Y729</f>
        <v>120</v>
      </c>
      <c r="V95" s="119">
        <f>'2019'!Z729</f>
        <v>3</v>
      </c>
      <c r="W95" s="106">
        <f>'2019'!AA729</f>
        <v>7.47</v>
      </c>
      <c r="X95" s="106">
        <f>'2019'!AB729</f>
      </c>
      <c r="Y95" s="119">
        <f>'2019'!AC729</f>
        <v>127</v>
      </c>
      <c r="Z95" s="119">
        <f>'2019'!AD729</f>
        <v>7</v>
      </c>
      <c r="AA95" s="106">
        <f>'2019'!AE729</f>
        <v>17.5</v>
      </c>
      <c r="AB95" s="106">
        <f>'2019'!AF729</f>
        <v>29.95</v>
      </c>
      <c r="AC95" s="119">
        <f>'2019'!AG729</f>
        <v>129</v>
      </c>
      <c r="AD95" s="119">
        <f>'2019'!AH729</f>
        <v>2</v>
      </c>
      <c r="AE95" s="106">
        <f>'2019'!AI729</f>
        <v>5</v>
      </c>
      <c r="AF95" s="106">
        <f>'2019'!AJ729</f>
        <v>11.51</v>
      </c>
      <c r="AG95" s="119">
        <f>'2019'!AK729</f>
        <v>130</v>
      </c>
      <c r="AH95" s="119">
        <f>'2019'!AL729</f>
        <v>1</v>
      </c>
      <c r="AI95" s="106">
        <f>'2019'!AM729</f>
        <v>2.5</v>
      </c>
      <c r="AJ95" s="106">
        <f>'2019'!AN729</f>
      </c>
      <c r="AK95" s="119">
        <f>'2019'!AO729</f>
        <v>133</v>
      </c>
      <c r="AL95" s="119">
        <f>'2019'!AP729</f>
        <v>3</v>
      </c>
      <c r="AM95" s="106">
        <f>'2019'!AQ729</f>
        <v>7.5</v>
      </c>
      <c r="AN95" s="106">
        <f>'2019'!AR729</f>
      </c>
      <c r="AO95" s="119">
        <f>'2019'!AS729</f>
        <v>135</v>
      </c>
      <c r="AP95" s="119">
        <f>'2019'!AT729</f>
        <v>2</v>
      </c>
      <c r="AQ95" s="106">
        <f>'2019'!AU729</f>
        <v>5</v>
      </c>
      <c r="AR95" s="106">
        <f>'2019'!AV729</f>
      </c>
      <c r="AS95" s="119">
        <f>'2019'!AW729</f>
        <v>135</v>
      </c>
      <c r="AT95" s="119">
        <f>'2019'!AX729</f>
        <v>0</v>
      </c>
      <c r="AU95" s="106">
        <f>'2019'!AY729</f>
        <v>0</v>
      </c>
      <c r="AV95" s="106">
        <f>'2019'!AZ729</f>
      </c>
      <c r="AW95" s="106"/>
      <c r="AX95" s="106">
        <f t="shared" si="0"/>
        <v>0</v>
      </c>
      <c r="AY95" s="119">
        <f>'2019'!BA729</f>
        <v>135</v>
      </c>
      <c r="AZ95" s="119">
        <f>'2019'!BB729</f>
        <v>0</v>
      </c>
      <c r="BA95" s="106">
        <f>'2019'!BC729</f>
        <v>0</v>
      </c>
      <c r="BB95" s="106">
        <f>'2019'!BD729</f>
      </c>
      <c r="BC95" s="106"/>
      <c r="BD95" s="106"/>
      <c r="BE95" s="119">
        <f>'2019'!BE729</f>
        <v>18</v>
      </c>
      <c r="BF95" s="106">
        <f>'2019'!BF729</f>
        <v>44.97</v>
      </c>
      <c r="BG95" s="106">
        <f>'2019'!BG729</f>
        <v>41.46</v>
      </c>
      <c r="BH95" s="106">
        <f>'2019'!BH729</f>
        <v>8.49</v>
      </c>
      <c r="BI95" s="106">
        <f t="shared" si="1"/>
        <v>0</v>
      </c>
      <c r="BJ95" s="124">
        <f t="shared" si="2"/>
        <v>8.49</v>
      </c>
    </row>
    <row r="96" ht="15.75" customHeight="1" spans="1:62" x14ac:dyDescent="0.25">
      <c r="A96" s="14"/>
      <c r="B96" s="115">
        <v>103</v>
      </c>
      <c r="C96" s="115">
        <v>4.42</v>
      </c>
      <c r="D96" s="117" t="s">
        <v>322</v>
      </c>
      <c r="E96" s="119">
        <f>'2019'!I737</f>
      </c>
      <c r="F96" s="119">
        <f>'2019'!J737</f>
      </c>
      <c r="G96" s="106">
        <f>'2019'!K737</f>
        <v>0</v>
      </c>
      <c r="H96" s="106">
        <f>'2019'!L737</f>
      </c>
      <c r="I96" s="119">
        <f>'2019'!M737</f>
      </c>
      <c r="J96" s="119">
        <f>'2019'!N737</f>
        <v>0</v>
      </c>
      <c r="K96" s="106">
        <f>'2019'!O737</f>
        <v>0</v>
      </c>
      <c r="L96" s="106">
        <f>'2019'!P737</f>
      </c>
      <c r="M96" s="119">
        <f>'2019'!Q737</f>
      </c>
      <c r="N96" s="119">
        <f>'2019'!R737</f>
        <v>0</v>
      </c>
      <c r="O96" s="165">
        <f>'2019'!S737</f>
        <v>0</v>
      </c>
      <c r="P96" s="165">
        <f>'2019'!T737</f>
      </c>
      <c r="Q96" s="119">
        <f>'2019'!U737</f>
      </c>
      <c r="R96" s="119">
        <f>'2019'!V737</f>
        <v>0</v>
      </c>
      <c r="S96" s="106">
        <f>'2019'!W737</f>
      </c>
      <c r="T96" s="106">
        <f>'2019'!X737</f>
      </c>
      <c r="U96" s="119">
        <f>'2019'!Y737</f>
      </c>
      <c r="V96" s="119">
        <f>'2019'!Z737</f>
        <v>0</v>
      </c>
      <c r="W96" s="106">
        <f>'2019'!AA737</f>
        <v>0</v>
      </c>
      <c r="X96" s="106">
        <f>'2019'!AB737</f>
      </c>
      <c r="Y96" s="119">
        <f>'2019'!AC737</f>
      </c>
      <c r="Z96" s="119">
        <f>'2019'!AD737</f>
        <v>0</v>
      </c>
      <c r="AA96" s="106">
        <f>'2019'!AE737</f>
        <v>0</v>
      </c>
      <c r="AB96" s="106">
        <f>'2019'!AF737</f>
      </c>
      <c r="AC96" s="119">
        <f>'2019'!AG737</f>
      </c>
      <c r="AD96" s="119">
        <f>'2019'!AH737</f>
        <v>0</v>
      </c>
      <c r="AE96" s="106">
        <f>'2019'!AI737</f>
        <v>0</v>
      </c>
      <c r="AF96" s="106">
        <f>'2019'!AJ737</f>
      </c>
      <c r="AG96" s="119">
        <f>'2019'!AK737</f>
      </c>
      <c r="AH96" s="119">
        <f>'2019'!AL737</f>
        <v>0</v>
      </c>
      <c r="AI96" s="106">
        <f>'2019'!AM737</f>
        <v>0</v>
      </c>
      <c r="AJ96" s="106">
        <f>'2019'!AN737</f>
      </c>
      <c r="AK96" s="119">
        <f>'2019'!AO737</f>
      </c>
      <c r="AL96" s="119">
        <f>'2019'!AP737</f>
        <v>0</v>
      </c>
      <c r="AM96" s="106">
        <f>'2019'!AQ737</f>
        <v>0</v>
      </c>
      <c r="AN96" s="106">
        <f>'2019'!AR737</f>
      </c>
      <c r="AO96" s="119">
        <f>'2019'!AS737</f>
      </c>
      <c r="AP96" s="119">
        <f>'2019'!AT737</f>
        <v>0</v>
      </c>
      <c r="AQ96" s="106">
        <f>'2019'!AU737</f>
        <v>0</v>
      </c>
      <c r="AR96" s="106">
        <f>'2019'!AV737</f>
      </c>
      <c r="AS96" s="119">
        <f>'2019'!AW737</f>
      </c>
      <c r="AT96" s="119">
        <f>'2019'!AX737</f>
        <v>0</v>
      </c>
      <c r="AU96" s="106">
        <f>'2019'!AY737</f>
        <v>0</v>
      </c>
      <c r="AV96" s="106">
        <f>'2019'!AZ737</f>
      </c>
      <c r="AW96" s="106"/>
      <c r="AX96" s="106">
        <f t="shared" si="0"/>
        <v>0</v>
      </c>
      <c r="AY96" s="119">
        <f>'2019'!BA737</f>
      </c>
      <c r="AZ96" s="119">
        <f>'2019'!BB737</f>
        <v>0</v>
      </c>
      <c r="BA96" s="106">
        <f>'2019'!BC737</f>
        <v>0</v>
      </c>
      <c r="BB96" s="106">
        <f>'2019'!BD737</f>
      </c>
      <c r="BC96" s="106"/>
      <c r="BD96" s="106"/>
      <c r="BE96" s="119">
        <f>'2019'!BE737</f>
        <v>0</v>
      </c>
      <c r="BF96" s="106">
        <f>'2019'!BF737</f>
        <v>0</v>
      </c>
      <c r="BG96" s="106">
        <f>'2019'!BG737</f>
        <v>0</v>
      </c>
      <c r="BH96" s="106">
        <f>'2019'!BH737</f>
        <v>0</v>
      </c>
      <c r="BI96" s="106">
        <f t="shared" si="1"/>
        <v>0</v>
      </c>
      <c r="BJ96" s="124">
        <f t="shared" si="2"/>
        <v>0</v>
      </c>
    </row>
    <row r="97" ht="15.75" customHeight="1" spans="1:62" x14ac:dyDescent="0.25">
      <c r="A97" s="14"/>
      <c r="B97" s="115">
        <v>105</v>
      </c>
      <c r="C97" s="115">
        <v>4.41</v>
      </c>
      <c r="D97" s="117" t="s">
        <v>323</v>
      </c>
      <c r="E97" s="119">
        <f>'2019'!I745</f>
        <v>738</v>
      </c>
      <c r="F97" s="119">
        <f>'2019'!J745</f>
        <v>0</v>
      </c>
      <c r="G97" s="106">
        <f>'2019'!K745</f>
        <v>0</v>
      </c>
      <c r="H97" s="106">
        <f>'2019'!L745</f>
      </c>
      <c r="I97" s="119">
        <f>'2019'!M745</f>
        <v>738</v>
      </c>
      <c r="J97" s="119">
        <f>'2019'!N745</f>
        <v>0</v>
      </c>
      <c r="K97" s="106">
        <f>'2019'!O745</f>
        <v>0</v>
      </c>
      <c r="L97" s="106">
        <f>'2019'!P745</f>
      </c>
      <c r="M97" s="119">
        <f>'2019'!Q745</f>
        <v>738</v>
      </c>
      <c r="N97" s="119">
        <f>'2019'!R745</f>
        <v>0</v>
      </c>
      <c r="O97" s="165">
        <f>'2019'!S745</f>
        <v>0</v>
      </c>
      <c r="P97" s="165">
        <f>'2019'!T745</f>
      </c>
      <c r="Q97" s="119">
        <f>'2019'!U745</f>
        <v>738</v>
      </c>
      <c r="R97" s="119">
        <f>'2019'!V745</f>
        <v>0</v>
      </c>
      <c r="S97" s="106">
        <f>'2019'!W745</f>
        <v>0</v>
      </c>
      <c r="T97" s="106">
        <f>'2019'!X745</f>
      </c>
      <c r="U97" s="119">
        <f>'2019'!Y745</f>
        <v>738</v>
      </c>
      <c r="V97" s="119">
        <f>'2019'!Z745</f>
        <v>0</v>
      </c>
      <c r="W97" s="106">
        <f>'2019'!AA745</f>
        <v>0</v>
      </c>
      <c r="X97" s="106">
        <f>'2019'!AB745</f>
      </c>
      <c r="Y97" s="119">
        <f>'2019'!AC745</f>
        <v>739</v>
      </c>
      <c r="Z97" s="119">
        <f>'2019'!AD745</f>
        <v>1</v>
      </c>
      <c r="AA97" s="106">
        <f>'2019'!AE745</f>
        <v>2.5</v>
      </c>
      <c r="AB97" s="106">
        <f>'2019'!AF745</f>
        <v>10.1</v>
      </c>
      <c r="AC97" s="119">
        <f>'2019'!AG745</f>
        <v>744</v>
      </c>
      <c r="AD97" s="119">
        <f>'2019'!AH745</f>
        <v>5</v>
      </c>
      <c r="AE97" s="106">
        <f>'2019'!AI745</f>
        <v>12.5</v>
      </c>
      <c r="AF97" s="106">
        <f>'2019'!AJ745</f>
      </c>
      <c r="AG97" s="119">
        <f>'2019'!AK745</f>
        <v>798</v>
      </c>
      <c r="AH97" s="119">
        <f>'2019'!AL745</f>
        <v>54</v>
      </c>
      <c r="AI97" s="106">
        <f>'2019'!AM745</f>
        <v>135</v>
      </c>
      <c r="AJ97" s="106">
        <f>'2019'!AN745</f>
      </c>
      <c r="AK97" s="119">
        <f>'2019'!AO745</f>
        <v>892</v>
      </c>
      <c r="AL97" s="119">
        <f>'2019'!AP745</f>
        <v>94</v>
      </c>
      <c r="AM97" s="106">
        <f>'2019'!AQ745</f>
        <v>235</v>
      </c>
      <c r="AN97" s="106">
        <f>'2019'!AR745</f>
        <v>150</v>
      </c>
      <c r="AO97" s="119">
        <f>'2019'!AS745</f>
        <v>946</v>
      </c>
      <c r="AP97" s="119">
        <f>'2019'!AT745</f>
        <v>54</v>
      </c>
      <c r="AQ97" s="106">
        <f>'2019'!AU745</f>
        <v>135</v>
      </c>
      <c r="AR97" s="106">
        <f>'2019'!AV745</f>
        <v>230</v>
      </c>
      <c r="AS97" s="119">
        <f>'2019'!AW745</f>
        <v>946</v>
      </c>
      <c r="AT97" s="119">
        <f>'2019'!AX745</f>
        <v>0</v>
      </c>
      <c r="AU97" s="106">
        <f>'2019'!AY745</f>
        <v>0</v>
      </c>
      <c r="AV97" s="106">
        <f>'2019'!AZ745</f>
        <v>150</v>
      </c>
      <c r="AW97" s="106"/>
      <c r="AX97" s="106">
        <f t="shared" si="0"/>
        <v>0</v>
      </c>
      <c r="AY97" s="119">
        <f>'2019'!BA745</f>
        <v>946</v>
      </c>
      <c r="AZ97" s="119">
        <f>'2019'!BB745</f>
        <v>0</v>
      </c>
      <c r="BA97" s="106">
        <f>'2019'!BC745</f>
        <v>0</v>
      </c>
      <c r="BB97" s="106">
        <f>'2019'!BD745</f>
      </c>
      <c r="BC97" s="106"/>
      <c r="BD97" s="106"/>
      <c r="BE97" s="119">
        <f>'2019'!BE745</f>
        <v>208</v>
      </c>
      <c r="BF97" s="106">
        <f>'2019'!BF745</f>
        <v>520</v>
      </c>
      <c r="BG97" s="106">
        <f>'2019'!BG745</f>
        <v>540.1</v>
      </c>
      <c r="BH97" s="106">
        <f>'2019'!BH745</f>
        <v>-15.12</v>
      </c>
      <c r="BI97" s="106">
        <f t="shared" si="1"/>
        <v>0</v>
      </c>
      <c r="BJ97" s="124">
        <f t="shared" si="2"/>
        <v>-15.12</v>
      </c>
    </row>
    <row r="98" ht="15.75" customHeight="1" spans="1:62" x14ac:dyDescent="0.25">
      <c r="A98" s="21"/>
      <c r="B98" s="115">
        <v>107</v>
      </c>
      <c r="C98" s="115">
        <v>4.37</v>
      </c>
      <c r="D98" s="117" t="s">
        <v>325</v>
      </c>
      <c r="E98" s="119">
        <f>'2019'!I753</f>
      </c>
      <c r="F98" s="119">
        <f>'2019'!J753</f>
      </c>
      <c r="G98" s="106">
        <f>'2019'!K753</f>
        <v>0</v>
      </c>
      <c r="H98" s="106">
        <f>'2019'!L753</f>
      </c>
      <c r="I98" s="119">
        <f>'2019'!M753</f>
      </c>
      <c r="J98" s="119">
        <f>'2019'!N753</f>
        <v>0</v>
      </c>
      <c r="K98" s="106">
        <f>'2019'!O753</f>
        <v>0</v>
      </c>
      <c r="L98" s="106">
        <f>'2019'!P753</f>
      </c>
      <c r="M98" s="119">
        <f>'2019'!Q753</f>
      </c>
      <c r="N98" s="119">
        <f>'2019'!R753</f>
        <v>0</v>
      </c>
      <c r="O98" s="165">
        <f>'2019'!S753</f>
        <v>0</v>
      </c>
      <c r="P98" s="165">
        <f>'2019'!T753</f>
      </c>
      <c r="Q98" s="119">
        <f>'2019'!U753</f>
      </c>
      <c r="R98" s="119">
        <f>'2019'!V753</f>
        <v>0</v>
      </c>
      <c r="S98" s="106">
        <f>'2019'!W753</f>
      </c>
      <c r="T98" s="106">
        <f>'2019'!X753</f>
      </c>
      <c r="U98" s="119">
        <f>'2019'!Y753</f>
      </c>
      <c r="V98" s="119">
        <f>'2019'!Z753</f>
        <v>0</v>
      </c>
      <c r="W98" s="106">
        <f>'2019'!AA753</f>
        <v>0</v>
      </c>
      <c r="X98" s="106">
        <f>'2019'!AB753</f>
      </c>
      <c r="Y98" s="119">
        <f>'2019'!AC753</f>
      </c>
      <c r="Z98" s="119">
        <f>'2019'!AD753</f>
        <v>0</v>
      </c>
      <c r="AA98" s="106">
        <f>'2019'!AE753</f>
        <v>0</v>
      </c>
      <c r="AB98" s="106">
        <f>'2019'!AF753</f>
      </c>
      <c r="AC98" s="119">
        <f>'2019'!AG753</f>
        <v>65</v>
      </c>
      <c r="AD98" s="119">
        <f>'2019'!AH753</f>
        <v>65</v>
      </c>
      <c r="AE98" s="106">
        <f>'2019'!AI753</f>
        <v>162.5</v>
      </c>
      <c r="AF98" s="106">
        <f>'2019'!AJ753</f>
        <v>160</v>
      </c>
      <c r="AG98" s="119">
        <f>'2019'!AK753</f>
        <v>111</v>
      </c>
      <c r="AH98" s="119">
        <f>'2019'!AL753</f>
        <v>46</v>
      </c>
      <c r="AI98" s="106">
        <f>'2019'!AM753</f>
        <v>115</v>
      </c>
      <c r="AJ98" s="106">
        <f>'2019'!AN753</f>
        <v>157.49</v>
      </c>
      <c r="AK98" s="119">
        <f>'2019'!AO753</f>
        <v>118</v>
      </c>
      <c r="AL98" s="119">
        <f>'2019'!AP753</f>
        <v>7</v>
      </c>
      <c r="AM98" s="106">
        <f>'2019'!AQ753</f>
        <v>17.5</v>
      </c>
      <c r="AN98" s="106">
        <f>'2019'!AR753</f>
      </c>
      <c r="AO98" s="119">
        <f>'2019'!AS753</f>
        <v>118</v>
      </c>
      <c r="AP98" s="119">
        <f>'2019'!AT753</f>
        <v>0</v>
      </c>
      <c r="AQ98" s="106">
        <f>'2019'!AU753</f>
        <v>0</v>
      </c>
      <c r="AR98" s="106">
        <f>'2019'!AV753</f>
      </c>
      <c r="AS98" s="119">
        <f>'2019'!AW753</f>
        <v>118</v>
      </c>
      <c r="AT98" s="119">
        <f>'2019'!AX753</f>
        <v>0</v>
      </c>
      <c r="AU98" s="106">
        <f>'2019'!AY753</f>
        <v>0</v>
      </c>
      <c r="AV98" s="106">
        <f>'2019'!AZ753</f>
      </c>
      <c r="AW98" s="106"/>
      <c r="AX98" s="106">
        <f t="shared" si="0"/>
        <v>0</v>
      </c>
      <c r="AY98" s="119">
        <f>'2019'!BA753</f>
        <v>118</v>
      </c>
      <c r="AZ98" s="119">
        <f>'2019'!BB753</f>
        <v>0</v>
      </c>
      <c r="BA98" s="106">
        <f>'2019'!BC753</f>
        <v>0</v>
      </c>
      <c r="BB98" s="106">
        <f>'2019'!BD753</f>
      </c>
      <c r="BC98" s="106"/>
      <c r="BD98" s="106"/>
      <c r="BE98" s="119">
        <f>'2019'!BE753</f>
        <v>118</v>
      </c>
      <c r="BF98" s="106">
        <f>'2019'!BF753</f>
        <v>295</v>
      </c>
      <c r="BG98" s="106">
        <f>'2019'!BG753</f>
        <v>317.49</v>
      </c>
      <c r="BH98" s="106">
        <f>'2019'!BH753</f>
        <v>-22.49</v>
      </c>
      <c r="BI98" s="106">
        <f t="shared" si="1"/>
        <v>0</v>
      </c>
      <c r="BJ98" s="124">
        <f t="shared" si="2"/>
        <v>-22.49</v>
      </c>
    </row>
    <row r="99" ht="15.75" customHeight="1" spans="1:62" x14ac:dyDescent="0.25">
      <c r="A99" s="114" t="s">
        <v>327</v>
      </c>
      <c r="B99" s="115">
        <v>96</v>
      </c>
      <c r="C99" s="115">
        <v>4.46</v>
      </c>
      <c r="D99" s="117" t="s">
        <v>316</v>
      </c>
      <c r="E99" s="119">
        <f>'2019'!I761</f>
      </c>
      <c r="F99" s="119">
        <f>'2019'!J761</f>
      </c>
      <c r="G99" s="106">
        <f>'2019'!K761</f>
        <v>0</v>
      </c>
      <c r="H99" s="106">
        <f>'2019'!L761</f>
      </c>
      <c r="I99" s="119">
        <f>'2019'!M761</f>
      </c>
      <c r="J99" s="119">
        <f>'2019'!N761</f>
        <v>0</v>
      </c>
      <c r="K99" s="106">
        <f>'2019'!O761</f>
        <v>0</v>
      </c>
      <c r="L99" s="106">
        <f>'2019'!P761</f>
      </c>
      <c r="M99" s="119">
        <f>'2019'!Q761</f>
      </c>
      <c r="N99" s="119">
        <f>'2019'!R761</f>
        <v>0</v>
      </c>
      <c r="O99" s="165">
        <f>'2019'!S761</f>
        <v>0</v>
      </c>
      <c r="P99" s="165">
        <f>'2019'!T761</f>
      </c>
      <c r="Q99" s="119">
        <f>'2019'!U761</f>
      </c>
      <c r="R99" s="119">
        <f>'2019'!V761</f>
        <v>0</v>
      </c>
      <c r="S99" s="106">
        <f>'2019'!W761</f>
      </c>
      <c r="T99" s="106">
        <f>'2019'!X761</f>
      </c>
      <c r="U99" s="119">
        <f>'2019'!Y761</f>
      </c>
      <c r="V99" s="119">
        <f>'2019'!Z761</f>
        <v>0</v>
      </c>
      <c r="W99" s="106">
        <f>'2019'!AA761</f>
        <v>0</v>
      </c>
      <c r="X99" s="106">
        <f>'2019'!AB761</f>
      </c>
      <c r="Y99" s="119">
        <f>'2019'!AC761</f>
      </c>
      <c r="Z99" s="119">
        <f>'2019'!AD761</f>
        <v>0</v>
      </c>
      <c r="AA99" s="106">
        <f>'2019'!AE761</f>
        <v>0</v>
      </c>
      <c r="AB99" s="106">
        <f>'2019'!AF761</f>
      </c>
      <c r="AC99" s="119">
        <f>'2019'!AG761</f>
      </c>
      <c r="AD99" s="119">
        <f>'2019'!AH761</f>
        <v>0</v>
      </c>
      <c r="AE99" s="106">
        <f>'2019'!AI761</f>
        <v>0</v>
      </c>
      <c r="AF99" s="106">
        <f>'2019'!AJ761</f>
      </c>
      <c r="AG99" s="119">
        <f>'2019'!AK761</f>
      </c>
      <c r="AH99" s="119">
        <f>'2019'!AL761</f>
        <v>0</v>
      </c>
      <c r="AI99" s="106">
        <f>'2019'!AM761</f>
        <v>0</v>
      </c>
      <c r="AJ99" s="106">
        <f>'2019'!AN761</f>
      </c>
      <c r="AK99" s="119">
        <f>'2019'!AO761</f>
      </c>
      <c r="AL99" s="119">
        <f>'2019'!AP761</f>
        <v>0</v>
      </c>
      <c r="AM99" s="106">
        <f>'2019'!AQ761</f>
        <v>0</v>
      </c>
      <c r="AN99" s="106">
        <f>'2019'!AR761</f>
      </c>
      <c r="AO99" s="119">
        <f>'2019'!AS761</f>
      </c>
      <c r="AP99" s="119">
        <f>'2019'!AT761</f>
        <v>0</v>
      </c>
      <c r="AQ99" s="106">
        <f>'2019'!AU761</f>
        <v>0</v>
      </c>
      <c r="AR99" s="106">
        <f>'2019'!AV761</f>
      </c>
      <c r="AS99" s="119">
        <f>'2019'!AW761</f>
      </c>
      <c r="AT99" s="119">
        <f>'2019'!AX761</f>
        <v>0</v>
      </c>
      <c r="AU99" s="106">
        <f>'2019'!AY761</f>
        <v>0</v>
      </c>
      <c r="AV99" s="106">
        <f>'2019'!AZ761</f>
      </c>
      <c r="AW99" s="106"/>
      <c r="AX99" s="106">
        <f t="shared" si="0"/>
        <v>0</v>
      </c>
      <c r="AY99" s="119">
        <f>'2019'!BA761</f>
      </c>
      <c r="AZ99" s="119">
        <f>'2019'!BB761</f>
        <v>0</v>
      </c>
      <c r="BA99" s="106">
        <f>'2019'!BC761</f>
        <v>0</v>
      </c>
      <c r="BB99" s="106">
        <f>'2019'!BD761</f>
      </c>
      <c r="BC99" s="106"/>
      <c r="BD99" s="106"/>
      <c r="BE99" s="119">
        <f>'2019'!BE761</f>
        <v>0</v>
      </c>
      <c r="BF99" s="106">
        <f>'2019'!BF761</f>
        <v>0</v>
      </c>
      <c r="BG99" s="106">
        <f>'2019'!BG761</f>
        <v>0</v>
      </c>
      <c r="BH99" s="106">
        <f>'2019'!BH761</f>
        <v>0</v>
      </c>
      <c r="BI99" s="106">
        <f t="shared" si="1"/>
        <v>0</v>
      </c>
      <c r="BJ99" s="124">
        <f t="shared" si="2"/>
        <v>0</v>
      </c>
    </row>
    <row r="100" ht="15.75" customHeight="1" spans="1:62" x14ac:dyDescent="0.25">
      <c r="A100" s="14"/>
      <c r="B100" s="115">
        <v>98</v>
      </c>
      <c r="C100" s="115">
        <v>4.45</v>
      </c>
      <c r="D100" s="117" t="s">
        <v>328</v>
      </c>
      <c r="E100" s="119">
        <f>'2019'!I769</f>
      </c>
      <c r="F100" s="119">
        <f>'2019'!J769</f>
      </c>
      <c r="G100" s="106">
        <f>'2019'!K769</f>
        <v>0</v>
      </c>
      <c r="H100" s="106">
        <f>'2019'!L769</f>
      </c>
      <c r="I100" s="119">
        <f>'2019'!M769</f>
      </c>
      <c r="J100" s="119">
        <f>'2019'!N769</f>
        <v>0</v>
      </c>
      <c r="K100" s="106">
        <f>'2019'!O769</f>
        <v>0</v>
      </c>
      <c r="L100" s="106">
        <f>'2019'!P769</f>
      </c>
      <c r="M100" s="119">
        <f>'2019'!Q769</f>
      </c>
      <c r="N100" s="119">
        <f>'2019'!R769</f>
        <v>0</v>
      </c>
      <c r="O100" s="165">
        <f>'2019'!S769</f>
        <v>0</v>
      </c>
      <c r="P100" s="165">
        <f>'2019'!T769</f>
      </c>
      <c r="Q100" s="119">
        <f>'2019'!U769</f>
      </c>
      <c r="R100" s="119">
        <f>'2019'!V769</f>
        <v>0</v>
      </c>
      <c r="S100" s="106">
        <f>'2019'!W769</f>
      </c>
      <c r="T100" s="106">
        <f>'2019'!X769</f>
      </c>
      <c r="U100" s="119">
        <f>'2019'!Y769</f>
      </c>
      <c r="V100" s="119">
        <f>'2019'!Z769</f>
        <v>0</v>
      </c>
      <c r="W100" s="106">
        <f>'2019'!AA769</f>
        <v>0</v>
      </c>
      <c r="X100" s="106">
        <f>'2019'!AB769</f>
      </c>
      <c r="Y100" s="119">
        <f>'2019'!AC769</f>
      </c>
      <c r="Z100" s="119">
        <f>'2019'!AD769</f>
        <v>0</v>
      </c>
      <c r="AA100" s="106">
        <f>'2019'!AE769</f>
        <v>0</v>
      </c>
      <c r="AB100" s="106">
        <f>'2019'!AF769</f>
      </c>
      <c r="AC100" s="119">
        <f>'2019'!AG769</f>
      </c>
      <c r="AD100" s="119">
        <f>'2019'!AH769</f>
        <v>0</v>
      </c>
      <c r="AE100" s="106">
        <f>'2019'!AI769</f>
        <v>0</v>
      </c>
      <c r="AF100" s="106">
        <f>'2019'!AJ769</f>
      </c>
      <c r="AG100" s="119">
        <f>'2019'!AK769</f>
      </c>
      <c r="AH100" s="119">
        <f>'2019'!AL769</f>
        <v>0</v>
      </c>
      <c r="AI100" s="106">
        <f>'2019'!AM769</f>
        <v>0</v>
      </c>
      <c r="AJ100" s="106">
        <f>'2019'!AN769</f>
      </c>
      <c r="AK100" s="119">
        <f>'2019'!AO769</f>
      </c>
      <c r="AL100" s="119">
        <f>'2019'!AP769</f>
        <v>0</v>
      </c>
      <c r="AM100" s="106">
        <f>'2019'!AQ769</f>
        <v>0</v>
      </c>
      <c r="AN100" s="106">
        <f>'2019'!AR769</f>
      </c>
      <c r="AO100" s="119">
        <f>'2019'!AS769</f>
      </c>
      <c r="AP100" s="119">
        <f>'2019'!AT769</f>
        <v>0</v>
      </c>
      <c r="AQ100" s="106">
        <f>'2019'!AU769</f>
        <v>0</v>
      </c>
      <c r="AR100" s="106">
        <f>'2019'!AV769</f>
      </c>
      <c r="AS100" s="119">
        <f>'2019'!AW769</f>
      </c>
      <c r="AT100" s="119">
        <f>'2019'!AX769</f>
        <v>0</v>
      </c>
      <c r="AU100" s="106">
        <f>'2019'!AY769</f>
        <v>0</v>
      </c>
      <c r="AV100" s="106">
        <f>'2019'!AZ769</f>
      </c>
      <c r="AW100" s="106"/>
      <c r="AX100" s="106">
        <f t="shared" si="0"/>
        <v>0</v>
      </c>
      <c r="AY100" s="119">
        <f>'2019'!BA769</f>
      </c>
      <c r="AZ100" s="119">
        <f>'2019'!BB769</f>
        <v>0</v>
      </c>
      <c r="BA100" s="106">
        <f>'2019'!BC769</f>
        <v>0</v>
      </c>
      <c r="BB100" s="106">
        <f>'2019'!BD769</f>
      </c>
      <c r="BC100" s="106"/>
      <c r="BD100" s="106"/>
      <c r="BE100" s="119">
        <f>'2019'!BE769</f>
        <v>0</v>
      </c>
      <c r="BF100" s="106">
        <f>'2019'!BF769</f>
        <v>0</v>
      </c>
      <c r="BG100" s="106">
        <f>'2019'!BG769</f>
        <v>0</v>
      </c>
      <c r="BH100" s="106">
        <f>'2019'!BH769</f>
        <v>0</v>
      </c>
      <c r="BI100" s="106">
        <f t="shared" si="1"/>
        <v>0</v>
      </c>
      <c r="BJ100" s="124">
        <f t="shared" si="2"/>
        <v>0</v>
      </c>
    </row>
    <row r="101" ht="15.75" customHeight="1" spans="1:62" x14ac:dyDescent="0.25">
      <c r="A101" s="14"/>
      <c r="B101" s="115">
        <v>100</v>
      </c>
      <c r="C101" s="115">
        <v>4.47</v>
      </c>
      <c r="D101" s="117" t="s">
        <v>330</v>
      </c>
      <c r="E101" s="119">
        <f>'2019'!I777</f>
        <v>313</v>
      </c>
      <c r="F101" s="119">
        <f>'2019'!J777</f>
        <v>0</v>
      </c>
      <c r="G101" s="106">
        <f>'2019'!K777</f>
        <v>0</v>
      </c>
      <c r="H101" s="106">
        <f>'2019'!L777</f>
      </c>
      <c r="I101" s="119">
        <f>'2019'!M777</f>
        <v>313</v>
      </c>
      <c r="J101" s="119">
        <f>'2019'!N777</f>
        <v>0</v>
      </c>
      <c r="K101" s="106">
        <f>'2019'!O777</f>
        <v>0</v>
      </c>
      <c r="L101" s="106">
        <f>'2019'!P777</f>
      </c>
      <c r="M101" s="119">
        <f>'2019'!Q777</f>
        <v>313</v>
      </c>
      <c r="N101" s="119">
        <f>'2019'!R777</f>
        <v>0</v>
      </c>
      <c r="O101" s="165">
        <f>'2019'!S777</f>
        <v>0</v>
      </c>
      <c r="P101" s="165">
        <f>'2019'!T777</f>
      </c>
      <c r="Q101" s="119">
        <f>'2019'!U777</f>
        <v>313</v>
      </c>
      <c r="R101" s="119">
        <f>'2019'!V777</f>
        <v>0</v>
      </c>
      <c r="S101" s="106">
        <f>'2019'!W777</f>
        <v>0</v>
      </c>
      <c r="T101" s="106">
        <f>'2019'!X777</f>
        <v>124.5</v>
      </c>
      <c r="U101" s="119">
        <f>'2019'!Y777</f>
        <v>366</v>
      </c>
      <c r="V101" s="119">
        <f>'2019'!Z777</f>
        <v>53</v>
      </c>
      <c r="W101" s="106">
        <f>'2019'!AA777</f>
        <v>131.97</v>
      </c>
      <c r="X101" s="106">
        <f>'2019'!AB777</f>
      </c>
      <c r="Y101" s="119">
        <f>'2019'!AC777</f>
        <v>392</v>
      </c>
      <c r="Z101" s="119">
        <f>'2019'!AD777</f>
        <v>26</v>
      </c>
      <c r="AA101" s="106">
        <f>'2019'!AE777</f>
        <v>65</v>
      </c>
      <c r="AB101" s="106">
        <f>'2019'!AF777</f>
        <v>196.97</v>
      </c>
      <c r="AC101" s="119">
        <f>'2019'!AG777</f>
        <v>409</v>
      </c>
      <c r="AD101" s="119">
        <f>'2019'!AH777</f>
        <v>17</v>
      </c>
      <c r="AE101" s="106">
        <f>'2019'!AI777</f>
        <v>42.5</v>
      </c>
      <c r="AF101" s="106">
        <f>'2019'!AJ777</f>
      </c>
      <c r="AG101" s="119">
        <f>'2019'!AK777</f>
        <v>419</v>
      </c>
      <c r="AH101" s="119">
        <f>'2019'!AL777</f>
        <v>10</v>
      </c>
      <c r="AI101" s="106">
        <f>'2019'!AM777</f>
        <v>25</v>
      </c>
      <c r="AJ101" s="106">
        <f>'2019'!AN777</f>
      </c>
      <c r="AK101" s="119">
        <f>'2019'!AO777</f>
        <v>424</v>
      </c>
      <c r="AL101" s="119">
        <f>'2019'!AP777</f>
        <v>5</v>
      </c>
      <c r="AM101" s="106">
        <f>'2019'!AQ777</f>
        <v>12.5</v>
      </c>
      <c r="AN101" s="106">
        <f>'2019'!AR777</f>
      </c>
      <c r="AO101" s="119">
        <f>'2019'!AS777</f>
        <v>425</v>
      </c>
      <c r="AP101" s="119">
        <f>'2019'!AT777</f>
        <v>1</v>
      </c>
      <c r="AQ101" s="106">
        <f>'2019'!AU777</f>
        <v>2.5</v>
      </c>
      <c r="AR101" s="106">
        <f>'2019'!AV777</f>
      </c>
      <c r="AS101" s="119">
        <f>'2019'!AW777</f>
        <v>425</v>
      </c>
      <c r="AT101" s="119">
        <f>'2019'!AX777</f>
        <v>0</v>
      </c>
      <c r="AU101" s="106">
        <f>'2019'!AY777</f>
        <v>0</v>
      </c>
      <c r="AV101" s="106">
        <f>'2019'!AZ777</f>
      </c>
      <c r="AW101" s="106"/>
      <c r="AX101" s="106">
        <f t="shared" si="0"/>
        <v>0</v>
      </c>
      <c r="AY101" s="119">
        <f>'2019'!BA777</f>
        <v>425</v>
      </c>
      <c r="AZ101" s="119">
        <f>'2019'!BB777</f>
        <v>0</v>
      </c>
      <c r="BA101" s="106">
        <f>'2019'!BC777</f>
        <v>0</v>
      </c>
      <c r="BB101" s="106">
        <f>'2019'!BD777</f>
      </c>
      <c r="BC101" s="106"/>
      <c r="BD101" s="106"/>
      <c r="BE101" s="119">
        <f>'2019'!BE777</f>
        <v>112</v>
      </c>
      <c r="BF101" s="106">
        <f>'2019'!BF777</f>
        <v>279.47</v>
      </c>
      <c r="BG101" s="106">
        <f>'2019'!BG777</f>
        <v>321.47</v>
      </c>
      <c r="BH101" s="106">
        <f>'2019'!BH777</f>
        <v>82.5</v>
      </c>
      <c r="BI101" s="106">
        <f t="shared" si="1"/>
        <v>0</v>
      </c>
      <c r="BJ101" s="124">
        <f t="shared" si="2"/>
        <v>82.5</v>
      </c>
    </row>
    <row r="102" ht="15.75" customHeight="1" spans="1:62" x14ac:dyDescent="0.25">
      <c r="A102" s="14"/>
      <c r="B102" s="125">
        <v>102</v>
      </c>
      <c r="C102" s="115">
        <v>4.45</v>
      </c>
      <c r="D102" s="117" t="s">
        <v>331</v>
      </c>
      <c r="E102" s="119">
        <f>'2019'!I785</f>
        <v>1187</v>
      </c>
      <c r="F102" s="119">
        <f>'2019'!J785</f>
        <v>30</v>
      </c>
      <c r="G102" s="106">
        <f>'2019'!K785</f>
        <v>74.7</v>
      </c>
      <c r="H102" s="106">
        <f>'2019'!L785</f>
      </c>
      <c r="I102" s="119">
        <f>'2019'!M785</f>
        <v>1193</v>
      </c>
      <c r="J102" s="119">
        <f>'2019'!N785</f>
        <v>6</v>
      </c>
      <c r="K102" s="106">
        <f>'2019'!O785</f>
        <v>14.94</v>
      </c>
      <c r="L102" s="106">
        <f>'2019'!P785</f>
      </c>
      <c r="M102" s="119">
        <f>'2019'!Q785</f>
        <v>1193</v>
      </c>
      <c r="N102" s="119">
        <f>'2019'!R785</f>
        <v>0</v>
      </c>
      <c r="O102" s="106">
        <f>'2019'!S785</f>
        <v>0</v>
      </c>
      <c r="P102" s="106">
        <f>'2019'!T785</f>
      </c>
      <c r="Q102" s="119">
        <f>'2019'!U785</f>
        <v>1203</v>
      </c>
      <c r="R102" s="119">
        <f>'2019'!V785</f>
        <v>10</v>
      </c>
      <c r="S102" s="106">
        <f>'2019'!W785</f>
        <v>24.9</v>
      </c>
      <c r="T102" s="106">
        <f>'2019'!X785</f>
      </c>
      <c r="U102" s="119">
        <f>'2019'!Y785</f>
        <v>1244</v>
      </c>
      <c r="V102" s="119">
        <f>'2019'!Z785</f>
        <v>41</v>
      </c>
      <c r="W102" s="106">
        <f>'2019'!AA785</f>
        <v>102.09</v>
      </c>
      <c r="X102" s="106">
        <f>'2019'!AB785</f>
      </c>
      <c r="Y102" s="119">
        <f>'2019'!AC785</f>
        <v>1306</v>
      </c>
      <c r="Z102" s="119">
        <f>'2019'!AD785</f>
        <v>62</v>
      </c>
      <c r="AA102" s="106">
        <f>'2019'!AE785</f>
        <v>155</v>
      </c>
      <c r="AB102" s="106">
        <f>'2019'!AF785</f>
      </c>
      <c r="AC102" s="119">
        <f>'2019'!AG785</f>
        <v>1382</v>
      </c>
      <c r="AD102" s="119">
        <f>'2019'!AH785</f>
        <v>76</v>
      </c>
      <c r="AE102" s="106">
        <f>'2019'!AI785</f>
        <v>190</v>
      </c>
      <c r="AF102" s="106">
        <f>'2019'!AJ785</f>
      </c>
      <c r="AG102" s="119">
        <f>'2019'!AK785</f>
        <v>1445</v>
      </c>
      <c r="AH102" s="119">
        <f>'2019'!AL785</f>
        <v>63</v>
      </c>
      <c r="AI102" s="106">
        <f>'2019'!AM785</f>
        <v>157.5</v>
      </c>
      <c r="AJ102" s="106">
        <f>'2019'!AN785</f>
      </c>
      <c r="AK102" s="119">
        <f>'2019'!AO785</f>
        <v>1532</v>
      </c>
      <c r="AL102" s="119">
        <f>'2019'!AP785</f>
        <v>87</v>
      </c>
      <c r="AM102" s="106">
        <f>'2019'!AQ785</f>
        <v>217.5</v>
      </c>
      <c r="AN102" s="106">
        <f>'2019'!AR785</f>
        <v>874.87</v>
      </c>
      <c r="AO102" s="119">
        <f>'2019'!AS785</f>
        <v>1591</v>
      </c>
      <c r="AP102" s="119">
        <f>'2019'!AT785</f>
        <v>59</v>
      </c>
      <c r="AQ102" s="106">
        <f>'2019'!AU785</f>
        <v>147.5</v>
      </c>
      <c r="AR102" s="106">
        <f>'2019'!AV785</f>
      </c>
      <c r="AS102" s="126">
        <f>'2019'!AW785</f>
        <v>1643</v>
      </c>
      <c r="AT102" s="119">
        <f>'2019'!AX785</f>
        <v>52</v>
      </c>
      <c r="AU102" s="106">
        <f>'2019'!AY785</f>
        <v>130</v>
      </c>
      <c r="AV102" s="106">
        <f>'2019'!AZ785</f>
      </c>
      <c r="AW102" s="119"/>
      <c r="AX102" s="106">
        <f t="shared" si="0"/>
        <v>0</v>
      </c>
      <c r="AY102" s="119">
        <f>'2019'!BA785</f>
        <v>1650</v>
      </c>
      <c r="AZ102" s="119">
        <f>'2019'!BB785</f>
        <v>7</v>
      </c>
      <c r="BA102" s="106">
        <f>'2019'!BC785</f>
        <v>17.5</v>
      </c>
      <c r="BB102" s="106">
        <f>'2019'!BD785</f>
        <v>300</v>
      </c>
      <c r="BC102" s="106"/>
      <c r="BD102" s="106"/>
      <c r="BE102" s="119">
        <f>'2019'!BE785</f>
        <v>493</v>
      </c>
      <c r="BF102" s="106">
        <f>'2019'!BF785</f>
        <v>1231.63</v>
      </c>
      <c r="BG102" s="106">
        <f>'2019'!BG785</f>
        <v>1174.87</v>
      </c>
      <c r="BH102" s="106">
        <f>'2019'!BH785</f>
        <v>-5</v>
      </c>
      <c r="BI102" s="106">
        <f t="shared" si="1"/>
        <v>0</v>
      </c>
      <c r="BJ102" s="124">
        <f t="shared" si="2"/>
        <v>-5</v>
      </c>
    </row>
    <row r="103" ht="15.75" customHeight="1" spans="1:62" x14ac:dyDescent="0.25">
      <c r="A103" s="14"/>
      <c r="B103" s="118">
        <v>104</v>
      </c>
      <c r="C103" s="115">
        <v>4.42</v>
      </c>
      <c r="D103" s="117" t="s">
        <v>333</v>
      </c>
      <c r="E103" s="119">
        <f>'2019'!I793</f>
        <v>620</v>
      </c>
      <c r="F103" s="119">
        <f>'2019'!J793</f>
        <v>0</v>
      </c>
      <c r="G103" s="106">
        <f>'2019'!K793</f>
        <v>0</v>
      </c>
      <c r="H103" s="106">
        <f>'2019'!L793</f>
      </c>
      <c r="I103" s="119">
        <f>'2019'!M793</f>
        <v>620</v>
      </c>
      <c r="J103" s="119">
        <f>'2019'!N793</f>
        <v>0</v>
      </c>
      <c r="K103" s="106">
        <f>'2019'!O793</f>
        <v>0</v>
      </c>
      <c r="L103" s="106">
        <f>'2019'!P793</f>
      </c>
      <c r="M103" s="119">
        <f>'2019'!Q793</f>
        <v>620</v>
      </c>
      <c r="N103" s="119">
        <f>'2019'!R793</f>
        <v>0</v>
      </c>
      <c r="O103" s="106">
        <f>'2019'!S793</f>
        <v>0</v>
      </c>
      <c r="P103" s="106">
        <f>'2019'!T793</f>
      </c>
      <c r="Q103" s="119">
        <f>'2019'!U793</f>
        <v>625</v>
      </c>
      <c r="R103" s="119">
        <f>'2019'!V793</f>
        <v>5</v>
      </c>
      <c r="S103" s="106">
        <f>'2019'!W793</f>
        <v>12.45</v>
      </c>
      <c r="T103" s="106">
        <f>'2019'!X793</f>
      </c>
      <c r="U103" s="119">
        <f>'2019'!Y793</f>
        <v>639</v>
      </c>
      <c r="V103" s="119">
        <f>'2019'!Z793</f>
        <v>14</v>
      </c>
      <c r="W103" s="106">
        <f>'2019'!AA793</f>
        <v>34.86</v>
      </c>
      <c r="X103" s="106">
        <f>'2019'!AB793</f>
      </c>
      <c r="Y103" s="119">
        <f>'2019'!AC793</f>
        <v>682</v>
      </c>
      <c r="Z103" s="119">
        <f>'2019'!AD793</f>
        <v>43</v>
      </c>
      <c r="AA103" s="106">
        <f>'2019'!AE793</f>
        <v>107.5</v>
      </c>
      <c r="AB103" s="106">
        <f>'2019'!AF793</f>
      </c>
      <c r="AC103" s="119">
        <f>'2019'!AG793</f>
        <v>745</v>
      </c>
      <c r="AD103" s="119">
        <f>'2019'!AH793</f>
        <v>63</v>
      </c>
      <c r="AE103" s="106">
        <f>'2019'!AI793</f>
        <v>157.5</v>
      </c>
      <c r="AF103" s="106">
        <f>'2019'!AJ793</f>
        <v>279.94</v>
      </c>
      <c r="AG103" s="119">
        <f>'2019'!AK793</f>
        <v>810</v>
      </c>
      <c r="AH103" s="119">
        <f>'2019'!AL793</f>
        <v>65</v>
      </c>
      <c r="AI103" s="106">
        <f>'2019'!AM793</f>
        <v>162.5</v>
      </c>
      <c r="AJ103" s="106">
        <f>'2019'!AN793</f>
        <v>208.72</v>
      </c>
      <c r="AK103" s="119">
        <f>'2019'!AO793</f>
        <v>868</v>
      </c>
      <c r="AL103" s="119">
        <f>'2019'!AP793</f>
        <v>58</v>
      </c>
      <c r="AM103" s="106">
        <f>'2019'!AQ793</f>
        <v>145</v>
      </c>
      <c r="AN103" s="106">
        <f>'2019'!AR793</f>
      </c>
      <c r="AO103" s="119">
        <f>'2019'!AS793</f>
        <v>875</v>
      </c>
      <c r="AP103" s="119">
        <f>'2019'!AT793</f>
        <v>7</v>
      </c>
      <c r="AQ103" s="106">
        <f>'2019'!AU793</f>
        <v>17.5</v>
      </c>
      <c r="AR103" s="106">
        <f>'2019'!AV793</f>
        <v>100</v>
      </c>
      <c r="AS103" s="119">
        <f>'2019'!AW793</f>
        <v>877</v>
      </c>
      <c r="AT103" s="119">
        <f>'2019'!AX793</f>
        <v>2</v>
      </c>
      <c r="AU103" s="106">
        <f>'2019'!AY793</f>
        <v>5</v>
      </c>
      <c r="AV103" s="106">
        <f>'2019'!AZ793</f>
      </c>
      <c r="AW103" s="106"/>
      <c r="AX103" s="106">
        <f t="shared" si="0"/>
        <v>0</v>
      </c>
      <c r="AY103" s="119">
        <f>'2019'!BA793</f>
        <v>877</v>
      </c>
      <c r="AZ103" s="119">
        <f>'2019'!BB793</f>
        <v>0</v>
      </c>
      <c r="BA103" s="106">
        <f>'2019'!BC793</f>
        <v>0</v>
      </c>
      <c r="BB103" s="106">
        <f>'2019'!BD793</f>
      </c>
      <c r="BC103" s="106"/>
      <c r="BD103" s="106"/>
      <c r="BE103" s="119">
        <f>'2019'!BE793</f>
        <v>257</v>
      </c>
      <c r="BF103" s="106">
        <f>'2019'!BF793</f>
        <v>642.31</v>
      </c>
      <c r="BG103" s="106">
        <f>'2019'!BG793</f>
        <v>588.66</v>
      </c>
      <c r="BH103" s="106">
        <f>'2019'!BH793</f>
        <v>21.28</v>
      </c>
      <c r="BI103" s="106">
        <f t="shared" si="1"/>
        <v>0</v>
      </c>
      <c r="BJ103" s="124">
        <f t="shared" si="2"/>
        <v>21.28</v>
      </c>
    </row>
    <row r="104" ht="15.75" customHeight="1" spans="1:62" x14ac:dyDescent="0.25">
      <c r="A104" s="14"/>
      <c r="B104" s="115">
        <v>106</v>
      </c>
      <c r="C104" s="115">
        <v>4.57</v>
      </c>
      <c r="D104" s="117" t="s">
        <v>336</v>
      </c>
      <c r="E104" s="119">
        <f>'2019'!I801</f>
      </c>
      <c r="F104" s="119">
        <f>'2019'!J801</f>
      </c>
      <c r="G104" s="106">
        <f>'2019'!K801</f>
        <v>0</v>
      </c>
      <c r="H104" s="106">
        <f>'2019'!L801</f>
      </c>
      <c r="I104" s="119">
        <f>'2019'!M801</f>
      </c>
      <c r="J104" s="119">
        <f>'2019'!N801</f>
        <v>0</v>
      </c>
      <c r="K104" s="106">
        <f>'2019'!O801</f>
        <v>0</v>
      </c>
      <c r="L104" s="106">
        <f>'2019'!P801</f>
      </c>
      <c r="M104" s="119">
        <f>'2019'!Q801</f>
      </c>
      <c r="N104" s="119">
        <f>'2019'!R801</f>
        <v>0</v>
      </c>
      <c r="O104" s="165">
        <f>'2019'!S801</f>
        <v>0</v>
      </c>
      <c r="P104" s="165">
        <f>'2019'!T801</f>
      </c>
      <c r="Q104" s="119">
        <f>'2019'!U801</f>
      </c>
      <c r="R104" s="119">
        <f>'2019'!V801</f>
        <v>0</v>
      </c>
      <c r="S104" s="106">
        <f>'2019'!W801</f>
      </c>
      <c r="T104" s="106">
        <f>'2019'!X801</f>
      </c>
      <c r="U104" s="119">
        <f>'2019'!Y801</f>
      </c>
      <c r="V104" s="119">
        <f>'2019'!Z801</f>
        <v>0</v>
      </c>
      <c r="W104" s="106">
        <f>'2019'!AA801</f>
        <v>0</v>
      </c>
      <c r="X104" s="106">
        <f>'2019'!AB801</f>
      </c>
      <c r="Y104" s="119">
        <f>'2019'!AC801</f>
      </c>
      <c r="Z104" s="119">
        <f>'2019'!AD801</f>
        <v>0</v>
      </c>
      <c r="AA104" s="106">
        <f>'2019'!AE801</f>
        <v>0</v>
      </c>
      <c r="AB104" s="106">
        <f>'2019'!AF801</f>
      </c>
      <c r="AC104" s="119">
        <f>'2019'!AG801</f>
      </c>
      <c r="AD104" s="119">
        <f>'2019'!AH801</f>
        <v>0</v>
      </c>
      <c r="AE104" s="106">
        <f>'2019'!AI801</f>
        <v>0</v>
      </c>
      <c r="AF104" s="106">
        <f>'2019'!AJ801</f>
      </c>
      <c r="AG104" s="119">
        <f>'2019'!AK801</f>
      </c>
      <c r="AH104" s="119">
        <f>'2019'!AL801</f>
        <v>0</v>
      </c>
      <c r="AI104" s="106">
        <f>'2019'!AM801</f>
        <v>0</v>
      </c>
      <c r="AJ104" s="106">
        <f>'2019'!AN801</f>
      </c>
      <c r="AK104" s="119">
        <f>'2019'!AO801</f>
      </c>
      <c r="AL104" s="119">
        <f>'2019'!AP801</f>
        <v>0</v>
      </c>
      <c r="AM104" s="106">
        <f>'2019'!AQ801</f>
        <v>0</v>
      </c>
      <c r="AN104" s="106">
        <f>'2019'!AR801</f>
      </c>
      <c r="AO104" s="119">
        <f>'2019'!AS801</f>
      </c>
      <c r="AP104" s="119">
        <f>'2019'!AT801</f>
        <v>0</v>
      </c>
      <c r="AQ104" s="106">
        <f>'2019'!AU801</f>
        <v>0</v>
      </c>
      <c r="AR104" s="106">
        <f>'2019'!AV801</f>
      </c>
      <c r="AS104" s="119">
        <f>'2019'!AW801</f>
      </c>
      <c r="AT104" s="119">
        <f>'2019'!AX801</f>
        <v>0</v>
      </c>
      <c r="AU104" s="106">
        <f>'2019'!AY801</f>
        <v>0</v>
      </c>
      <c r="AV104" s="106">
        <f>'2019'!AZ801</f>
      </c>
      <c r="AW104" s="106"/>
      <c r="AX104" s="106">
        <f t="shared" si="0"/>
        <v>0</v>
      </c>
      <c r="AY104" s="119">
        <f>'2019'!BA801</f>
      </c>
      <c r="AZ104" s="119">
        <f>'2019'!BB801</f>
        <v>0</v>
      </c>
      <c r="BA104" s="106">
        <f>'2019'!BC801</f>
        <v>0</v>
      </c>
      <c r="BB104" s="106">
        <f>'2019'!BD801</f>
      </c>
      <c r="BC104" s="106"/>
      <c r="BD104" s="106"/>
      <c r="BE104" s="119">
        <f>'2019'!BE801</f>
        <v>0</v>
      </c>
      <c r="BF104" s="106">
        <f>'2019'!BF801</f>
        <v>0</v>
      </c>
      <c r="BG104" s="106">
        <f>'2019'!BG801</f>
        <v>0</v>
      </c>
      <c r="BH104" s="106">
        <f>'2019'!BH801</f>
        <v>0</v>
      </c>
      <c r="BI104" s="106">
        <f t="shared" si="1"/>
        <v>0</v>
      </c>
      <c r="BJ104" s="124">
        <f t="shared" si="2"/>
        <v>0</v>
      </c>
    </row>
    <row r="105" ht="15.75" customHeight="1" spans="1:62" x14ac:dyDescent="0.25">
      <c r="A105" s="14"/>
      <c r="B105" s="115">
        <v>108</v>
      </c>
      <c r="C105" s="115">
        <v>4.32</v>
      </c>
      <c r="D105" s="117" t="s">
        <v>339</v>
      </c>
      <c r="E105" s="119">
        <f>'2019'!I809</f>
      </c>
      <c r="F105" s="119">
        <f>'2019'!J809</f>
      </c>
      <c r="G105" s="106">
        <f>'2019'!K809</f>
        <v>0</v>
      </c>
      <c r="H105" s="106">
        <f>'2019'!L809</f>
      </c>
      <c r="I105" s="119">
        <f>'2019'!M809</f>
      </c>
      <c r="J105" s="119">
        <f>'2019'!N809</f>
        <v>0</v>
      </c>
      <c r="K105" s="106">
        <f>'2019'!O809</f>
        <v>0</v>
      </c>
      <c r="L105" s="106">
        <f>'2019'!P809</f>
      </c>
      <c r="M105" s="119">
        <f>'2019'!Q809</f>
      </c>
      <c r="N105" s="119">
        <f>'2019'!R809</f>
        <v>0</v>
      </c>
      <c r="O105" s="165">
        <f>'2019'!S809</f>
        <v>0</v>
      </c>
      <c r="P105" s="165">
        <f>'2019'!T809</f>
      </c>
      <c r="Q105" s="119">
        <f>'2019'!U809</f>
      </c>
      <c r="R105" s="119">
        <f>'2019'!V809</f>
        <v>0</v>
      </c>
      <c r="S105" s="106">
        <f>'2019'!W809</f>
      </c>
      <c r="T105" s="106">
        <f>'2019'!X809</f>
      </c>
      <c r="U105" s="119">
        <f>'2019'!Y809</f>
      </c>
      <c r="V105" s="119">
        <f>'2019'!Z809</f>
        <v>0</v>
      </c>
      <c r="W105" s="106">
        <f>'2019'!AA809</f>
        <v>0</v>
      </c>
      <c r="X105" s="106">
        <f>'2019'!AB809</f>
      </c>
      <c r="Y105" s="119">
        <f>'2019'!AC809</f>
      </c>
      <c r="Z105" s="119">
        <f>'2019'!AD809</f>
        <v>0</v>
      </c>
      <c r="AA105" s="106">
        <f>'2019'!AE809</f>
        <v>0</v>
      </c>
      <c r="AB105" s="106">
        <f>'2019'!AF809</f>
      </c>
      <c r="AC105" s="119">
        <f>'2019'!AG809</f>
      </c>
      <c r="AD105" s="119">
        <f>'2019'!AH809</f>
        <v>0</v>
      </c>
      <c r="AE105" s="106">
        <f>'2019'!AI809</f>
        <v>0</v>
      </c>
      <c r="AF105" s="106">
        <f>'2019'!AJ809</f>
      </c>
      <c r="AG105" s="119">
        <f>'2019'!AK809</f>
      </c>
      <c r="AH105" s="119">
        <f>'2019'!AL809</f>
        <v>0</v>
      </c>
      <c r="AI105" s="106">
        <f>'2019'!AM809</f>
        <v>0</v>
      </c>
      <c r="AJ105" s="106">
        <f>'2019'!AN809</f>
      </c>
      <c r="AK105" s="119">
        <f>'2019'!AO809</f>
      </c>
      <c r="AL105" s="119">
        <f>'2019'!AP809</f>
        <v>0</v>
      </c>
      <c r="AM105" s="106">
        <f>'2019'!AQ809</f>
        <v>0</v>
      </c>
      <c r="AN105" s="106">
        <f>'2019'!AR809</f>
      </c>
      <c r="AO105" s="119">
        <f>'2019'!AS809</f>
      </c>
      <c r="AP105" s="119">
        <f>'2019'!AT809</f>
        <v>0</v>
      </c>
      <c r="AQ105" s="106">
        <f>'2019'!AU809</f>
        <v>0</v>
      </c>
      <c r="AR105" s="106">
        <f>'2019'!AV809</f>
      </c>
      <c r="AS105" s="119">
        <f>'2019'!AW809</f>
      </c>
      <c r="AT105" s="119">
        <f>'2019'!AX809</f>
        <v>0</v>
      </c>
      <c r="AU105" s="106">
        <f>'2019'!AY809</f>
        <v>0</v>
      </c>
      <c r="AV105" s="106">
        <f>'2019'!AZ809</f>
      </c>
      <c r="AW105" s="106"/>
      <c r="AX105" s="106">
        <f t="shared" si="0"/>
        <v>0</v>
      </c>
      <c r="AY105" s="119">
        <f>'2019'!BA809</f>
      </c>
      <c r="AZ105" s="119">
        <f>'2019'!BB809</f>
        <v>0</v>
      </c>
      <c r="BA105" s="106">
        <f>'2019'!BC809</f>
        <v>0</v>
      </c>
      <c r="BB105" s="106">
        <f>'2019'!BD809</f>
      </c>
      <c r="BC105" s="106"/>
      <c r="BD105" s="106"/>
      <c r="BE105" s="119">
        <f>'2019'!BE809</f>
        <v>0</v>
      </c>
      <c r="BF105" s="106">
        <f>'2019'!BF809</f>
        <v>0</v>
      </c>
      <c r="BG105" s="106">
        <f>'2019'!BG809</f>
        <v>0</v>
      </c>
      <c r="BH105" s="106">
        <f>'2019'!BH809</f>
        <v>0</v>
      </c>
      <c r="BI105" s="106">
        <f t="shared" si="1"/>
        <v>0</v>
      </c>
      <c r="BJ105" s="124">
        <f t="shared" si="2"/>
        <v>0</v>
      </c>
    </row>
    <row r="106" ht="15.75" customHeight="1" spans="1:62" x14ac:dyDescent="0.25">
      <c r="A106" s="14"/>
      <c r="B106" s="115">
        <v>109</v>
      </c>
      <c r="C106" s="115">
        <v>6.22</v>
      </c>
      <c r="D106" s="117" t="s">
        <v>340</v>
      </c>
      <c r="E106" s="119">
        <f>'2019'!I817</f>
      </c>
      <c r="F106" s="119">
        <f>'2019'!J817</f>
      </c>
      <c r="G106" s="106">
        <f>'2019'!K817</f>
        <v>0</v>
      </c>
      <c r="H106" s="106">
        <f>'2019'!L817</f>
      </c>
      <c r="I106" s="119">
        <f>'2019'!M817</f>
      </c>
      <c r="J106" s="119">
        <f>'2019'!N817</f>
        <v>0</v>
      </c>
      <c r="K106" s="106">
        <f>'2019'!O817</f>
        <v>0</v>
      </c>
      <c r="L106" s="106">
        <f>'2019'!P817</f>
      </c>
      <c r="M106" s="119">
        <f>'2019'!Q817</f>
      </c>
      <c r="N106" s="119">
        <f>'2019'!R817</f>
        <v>0</v>
      </c>
      <c r="O106" s="165">
        <f>'2019'!S817</f>
        <v>0</v>
      </c>
      <c r="P106" s="165">
        <f>'2019'!T817</f>
      </c>
      <c r="Q106" s="119">
        <f>'2019'!U817</f>
      </c>
      <c r="R106" s="119">
        <f>'2019'!V817</f>
        <v>0</v>
      </c>
      <c r="S106" s="106">
        <f>'2019'!W817</f>
      </c>
      <c r="T106" s="106">
        <f>'2019'!X817</f>
      </c>
      <c r="U106" s="119">
        <f>'2019'!Y817</f>
        <v>8</v>
      </c>
      <c r="V106" s="119">
        <f>'2019'!Z817</f>
        <v>8</v>
      </c>
      <c r="W106" s="106">
        <f>'2019'!AA817</f>
        <v>19.92</v>
      </c>
      <c r="X106" s="106">
        <f>'2019'!AB817</f>
      </c>
      <c r="Y106" s="119">
        <f>'2019'!AC817</f>
        <v>8</v>
      </c>
      <c r="Z106" s="119">
        <f>'2019'!AD817</f>
        <v>0</v>
      </c>
      <c r="AA106" s="106">
        <f>'2019'!AE817</f>
        <v>0</v>
      </c>
      <c r="AB106" s="106">
        <f>'2019'!AF817</f>
      </c>
      <c r="AC106" s="119">
        <f>'2019'!AG817</f>
        <v>24</v>
      </c>
      <c r="AD106" s="119">
        <f>'2019'!AH817</f>
        <v>16</v>
      </c>
      <c r="AE106" s="106">
        <f>'2019'!AI817</f>
        <v>40</v>
      </c>
      <c r="AF106" s="106">
        <f>'2019'!AJ817</f>
      </c>
      <c r="AG106" s="119">
        <f>'2019'!AK817</f>
        <v>32</v>
      </c>
      <c r="AH106" s="119">
        <f>'2019'!AL817</f>
        <v>8</v>
      </c>
      <c r="AI106" s="106">
        <f>'2019'!AM817</f>
        <v>20</v>
      </c>
      <c r="AJ106" s="106">
        <f>'2019'!AN817</f>
      </c>
      <c r="AK106" s="119">
        <f>'2019'!AO817</f>
        <v>35</v>
      </c>
      <c r="AL106" s="119">
        <f>'2019'!AP817</f>
        <v>3</v>
      </c>
      <c r="AM106" s="106">
        <f>'2019'!AQ817</f>
        <v>7.5</v>
      </c>
      <c r="AN106" s="106">
        <f>'2019'!AR817</f>
      </c>
      <c r="AO106" s="119">
        <f>'2019'!AS817</f>
        <v>35</v>
      </c>
      <c r="AP106" s="119">
        <f>'2019'!AT817</f>
        <v>0</v>
      </c>
      <c r="AQ106" s="106">
        <f>'2019'!AU817</f>
        <v>0</v>
      </c>
      <c r="AR106" s="106">
        <f>'2019'!AV817</f>
      </c>
      <c r="AS106" s="119">
        <f>'2019'!AW817</f>
        <v>35</v>
      </c>
      <c r="AT106" s="119">
        <f>'2019'!AX817</f>
        <v>0</v>
      </c>
      <c r="AU106" s="106">
        <f>'2019'!AY817</f>
        <v>0</v>
      </c>
      <c r="AV106" s="106">
        <f>'2019'!AZ817</f>
        <v>87.42</v>
      </c>
      <c r="AW106" s="106"/>
      <c r="AX106" s="106">
        <f t="shared" si="0"/>
        <v>0</v>
      </c>
      <c r="AY106" s="119">
        <f>'2019'!BA817</f>
        <v>35</v>
      </c>
      <c r="AZ106" s="119">
        <f>'2019'!BB817</f>
        <v>0</v>
      </c>
      <c r="BA106" s="106">
        <f>'2019'!BC817</f>
        <v>0</v>
      </c>
      <c r="BB106" s="106">
        <f>'2019'!BD817</f>
      </c>
      <c r="BC106" s="106"/>
      <c r="BD106" s="106"/>
      <c r="BE106" s="119">
        <f>'2019'!BE817</f>
        <v>35</v>
      </c>
      <c r="BF106" s="106">
        <f>'2019'!BF817</f>
        <v>87.42</v>
      </c>
      <c r="BG106" s="106">
        <f>'2019'!BG817</f>
        <v>87.42</v>
      </c>
      <c r="BH106" s="106">
        <f>'2019'!BH817</f>
        <v>0</v>
      </c>
      <c r="BI106" s="106">
        <f t="shared" si="1"/>
        <v>0</v>
      </c>
      <c r="BJ106" s="124">
        <f t="shared" si="2"/>
        <v>0</v>
      </c>
    </row>
    <row r="107" ht="15.75" customHeight="1" spans="1:62" x14ac:dyDescent="0.25">
      <c r="A107" s="14"/>
      <c r="B107" s="125">
        <v>110</v>
      </c>
      <c r="C107" s="115">
        <v>4.91</v>
      </c>
      <c r="D107" s="117" t="s">
        <v>342</v>
      </c>
      <c r="E107" s="119">
        <f>'2019'!I825</f>
        <v>100</v>
      </c>
      <c r="F107" s="119">
        <f>'2019'!J825</f>
        <v>0</v>
      </c>
      <c r="G107" s="106">
        <f>'2019'!K825</f>
        <v>0</v>
      </c>
      <c r="H107" s="106">
        <f>'2019'!L825</f>
      </c>
      <c r="I107" s="119">
        <f>'2019'!M825</f>
        <v>100</v>
      </c>
      <c r="J107" s="119">
        <f>'2019'!N825</f>
        <v>0</v>
      </c>
      <c r="K107" s="106">
        <f>'2019'!O825</f>
        <v>0</v>
      </c>
      <c r="L107" s="106">
        <f>'2019'!P825</f>
      </c>
      <c r="M107" s="119">
        <f>'2019'!Q825</f>
        <v>100</v>
      </c>
      <c r="N107" s="119">
        <f>'2019'!R825</f>
        <v>0</v>
      </c>
      <c r="O107" s="106">
        <f>'2019'!S825</f>
        <v>0</v>
      </c>
      <c r="P107" s="106">
        <f>'2019'!T825</f>
      </c>
      <c r="Q107" s="119">
        <f>'2019'!U825</f>
        <v>100</v>
      </c>
      <c r="R107" s="119">
        <f>'2019'!V825</f>
        <v>0</v>
      </c>
      <c r="S107" s="106">
        <f>'2019'!W825</f>
        <v>0</v>
      </c>
      <c r="T107" s="106">
        <f>'2019'!X825</f>
      </c>
      <c r="U107" s="119">
        <f>'2019'!Y825</f>
        <v>100</v>
      </c>
      <c r="V107" s="119">
        <f>'2019'!Z825</f>
        <v>0</v>
      </c>
      <c r="W107" s="106">
        <f>'2019'!AA825</f>
        <v>0</v>
      </c>
      <c r="X107" s="106">
        <f>'2019'!AB825</f>
      </c>
      <c r="Y107" s="119">
        <f>'2019'!AC825</f>
        <v>101</v>
      </c>
      <c r="Z107" s="119">
        <f>'2019'!AD825</f>
        <v>1</v>
      </c>
      <c r="AA107" s="106">
        <f>'2019'!AE825</f>
        <v>2.5</v>
      </c>
      <c r="AB107" s="106">
        <f>'2019'!AF825</f>
      </c>
      <c r="AC107" s="119">
        <f>'2019'!AG825</f>
        <v>107</v>
      </c>
      <c r="AD107" s="119">
        <f>'2019'!AH825</f>
        <v>6</v>
      </c>
      <c r="AE107" s="106">
        <f>'2019'!AI825</f>
        <v>15</v>
      </c>
      <c r="AF107" s="106">
        <f>'2019'!AJ825</f>
      </c>
      <c r="AG107" s="119">
        <f>'2019'!AK825</f>
        <v>111</v>
      </c>
      <c r="AH107" s="119">
        <f>'2019'!AL825</f>
        <v>4</v>
      </c>
      <c r="AI107" s="106">
        <f>'2019'!AM825</f>
        <v>10</v>
      </c>
      <c r="AJ107" s="106">
        <f>'2019'!AN825</f>
      </c>
      <c r="AK107" s="119">
        <f>'2019'!AO825</f>
        <v>115</v>
      </c>
      <c r="AL107" s="119">
        <f>'2019'!AP825</f>
        <v>4</v>
      </c>
      <c r="AM107" s="106">
        <f>'2019'!AQ825</f>
        <v>10</v>
      </c>
      <c r="AN107" s="106">
        <f>'2019'!AR825</f>
        <v>51.6</v>
      </c>
      <c r="AO107" s="119">
        <f>'2019'!AS825</f>
        <v>138</v>
      </c>
      <c r="AP107" s="119">
        <f>'2019'!AT825</f>
        <v>23</v>
      </c>
      <c r="AQ107" s="106">
        <f>'2019'!AU825</f>
        <v>57.5</v>
      </c>
      <c r="AR107" s="106">
        <f>'2019'!AV825</f>
      </c>
      <c r="AS107" s="119">
        <f>'2019'!AW825</f>
        <v>139</v>
      </c>
      <c r="AT107" s="119">
        <f>'2019'!AX825</f>
        <v>1</v>
      </c>
      <c r="AU107" s="106">
        <f>'2019'!AY825</f>
        <v>2.5</v>
      </c>
      <c r="AV107" s="106">
        <f>'2019'!AZ825</f>
      </c>
      <c r="AW107" s="119"/>
      <c r="AX107" s="106">
        <f t="shared" si="0"/>
        <v>0</v>
      </c>
      <c r="AY107" s="119">
        <f>'2019'!BA825</f>
        <v>139</v>
      </c>
      <c r="AZ107" s="119">
        <f>'2019'!BB825</f>
        <v>0</v>
      </c>
      <c r="BA107" s="106">
        <f>'2019'!BC825</f>
        <v>0</v>
      </c>
      <c r="BB107" s="106">
        <f>'2019'!BD825</f>
      </c>
      <c r="BC107" s="106"/>
      <c r="BD107" s="106"/>
      <c r="BE107" s="119">
        <f>'2019'!BE825</f>
        <v>39</v>
      </c>
      <c r="BF107" s="106">
        <f>'2019'!BF825</f>
        <v>97.5</v>
      </c>
      <c r="BG107" s="106">
        <f>'2019'!BG825</f>
        <v>51.6</v>
      </c>
      <c r="BH107" s="106">
        <f>'2019'!BH825</f>
        <v>70</v>
      </c>
      <c r="BI107" s="106">
        <f t="shared" si="1"/>
        <v>0</v>
      </c>
      <c r="BJ107" s="124">
        <f t="shared" si="2"/>
        <v>70</v>
      </c>
    </row>
    <row r="108" ht="15.75" customHeight="1" spans="1:62" x14ac:dyDescent="0.25">
      <c r="A108" s="14"/>
      <c r="B108" s="125">
        <v>111</v>
      </c>
      <c r="C108" s="116">
        <v>6.8</v>
      </c>
      <c r="D108" s="117" t="s">
        <v>280</v>
      </c>
      <c r="E108" s="119">
        <f>'2019'!I833</f>
        <v>1</v>
      </c>
      <c r="F108" s="119">
        <f>'2019'!J833</f>
        <v>0</v>
      </c>
      <c r="G108" s="106">
        <f>'2019'!K833</f>
        <v>0</v>
      </c>
      <c r="H108" s="106">
        <f>'2019'!L833</f>
      </c>
      <c r="I108" s="119">
        <f>'2019'!M833</f>
        <v>1</v>
      </c>
      <c r="J108" s="119">
        <f>'2019'!N833</f>
        <v>0</v>
      </c>
      <c r="K108" s="106">
        <f>'2019'!O833</f>
        <v>0</v>
      </c>
      <c r="L108" s="106">
        <f>'2019'!P833</f>
      </c>
      <c r="M108" s="119">
        <f>'2019'!Q833</f>
        <v>1</v>
      </c>
      <c r="N108" s="119">
        <f>'2019'!R833</f>
        <v>0</v>
      </c>
      <c r="O108" s="165">
        <f>'2019'!S833</f>
        <v>0</v>
      </c>
      <c r="P108" s="165">
        <f>'2019'!T833</f>
      </c>
      <c r="Q108" s="119">
        <f>'2019'!U833</f>
        <v>3</v>
      </c>
      <c r="R108" s="119">
        <f>'2019'!V833</f>
        <v>2</v>
      </c>
      <c r="S108" s="106">
        <f>'2019'!W833</f>
        <v>4.98</v>
      </c>
      <c r="T108" s="106">
        <f>'2019'!X833</f>
      </c>
      <c r="U108" s="119">
        <f>'2019'!Y833</f>
        <v>1</v>
      </c>
      <c r="V108" s="119">
        <f>'2019'!Z833</f>
        <v>-2</v>
      </c>
      <c r="W108" s="106">
        <f>'2019'!AA833</f>
        <v>-4.98</v>
      </c>
      <c r="X108" s="106">
        <f>'2019'!AB833</f>
      </c>
      <c r="Y108" s="119">
        <f>'2019'!AC833</f>
        <v>23</v>
      </c>
      <c r="Z108" s="119">
        <f>'2019'!AD833</f>
        <v>22</v>
      </c>
      <c r="AA108" s="106">
        <f>'2019'!AE833</f>
        <v>55</v>
      </c>
      <c r="AB108" s="106">
        <f>'2019'!AF833</f>
      </c>
      <c r="AC108" s="119">
        <f>'2019'!AG833</f>
        <v>30</v>
      </c>
      <c r="AD108" s="119">
        <f>'2019'!AH833</f>
        <v>7</v>
      </c>
      <c r="AE108" s="106">
        <f>'2019'!AI833</f>
        <v>17.5</v>
      </c>
      <c r="AF108" s="106">
        <f>'2019'!AJ833</f>
      </c>
      <c r="AG108" s="119">
        <f>'2019'!AK833</f>
        <v>40</v>
      </c>
      <c r="AH108" s="119">
        <f>'2019'!AL833</f>
        <v>10</v>
      </c>
      <c r="AI108" s="106">
        <f>'2019'!AM833</f>
        <v>25</v>
      </c>
      <c r="AJ108" s="106">
        <f>'2019'!AN833</f>
      </c>
      <c r="AK108" s="119">
        <f>'2019'!AO833</f>
        <v>51</v>
      </c>
      <c r="AL108" s="119">
        <f>'2019'!AP833</f>
        <v>11</v>
      </c>
      <c r="AM108" s="106">
        <f>'2019'!AQ833</f>
        <v>27.5</v>
      </c>
      <c r="AN108" s="106">
        <f>'2019'!AR833</f>
        <v>97.5</v>
      </c>
      <c r="AO108" s="119">
        <f>'2019'!AS833</f>
        <v>216</v>
      </c>
      <c r="AP108" s="119">
        <f>'2019'!AT833</f>
        <v>165</v>
      </c>
      <c r="AQ108" s="106">
        <f>'2019'!AU833</f>
        <v>412.5</v>
      </c>
      <c r="AR108" s="106">
        <f>'2019'!AV833</f>
      </c>
      <c r="AS108" s="119">
        <f>'2019'!AW833</f>
        <v>648</v>
      </c>
      <c r="AT108" s="119">
        <f>'2019'!AX833</f>
        <v>432</v>
      </c>
      <c r="AU108" s="106">
        <f>'2019'!AY833</f>
        <v>1080</v>
      </c>
      <c r="AV108" s="106">
        <f>'2019'!AZ833</f>
        <v>1520</v>
      </c>
      <c r="AW108" s="106"/>
      <c r="AX108" s="106">
        <f t="shared" si="0"/>
        <v>0</v>
      </c>
      <c r="AY108" s="119">
        <f>'2019'!BA833</f>
        <v>868</v>
      </c>
      <c r="AZ108" s="119">
        <f>'2019'!BB833</f>
        <v>220</v>
      </c>
      <c r="BA108" s="106">
        <f>'2019'!BC833</f>
        <v>550</v>
      </c>
      <c r="BB108" s="106">
        <f>'2019'!BD833</f>
      </c>
      <c r="BC108" s="106"/>
      <c r="BD108" s="106"/>
      <c r="BE108" s="119">
        <f>'2019'!BE833</f>
        <v>867</v>
      </c>
      <c r="BF108" s="106">
        <f>'2019'!BF833</f>
        <v>2167.5</v>
      </c>
      <c r="BG108" s="106">
        <f>'2019'!BG833</f>
        <v>1617.5</v>
      </c>
      <c r="BH108" s="106">
        <f>'2019'!BH833</f>
        <v>550</v>
      </c>
      <c r="BI108" s="106">
        <f t="shared" si="1"/>
        <v>0</v>
      </c>
      <c r="BJ108" s="124">
        <f t="shared" si="2"/>
        <v>550</v>
      </c>
    </row>
    <row r="109" ht="15.75" customHeight="1" spans="1:62" x14ac:dyDescent="0.25">
      <c r="A109" s="14"/>
      <c r="B109" s="115">
        <v>112</v>
      </c>
      <c r="C109" s="115">
        <v>4.94</v>
      </c>
      <c r="D109" s="117" t="s">
        <v>364</v>
      </c>
      <c r="E109" s="119">
        <f>'2019'!I841</f>
        <v>111</v>
      </c>
      <c r="F109" s="119">
        <f>'2019'!J841</f>
        <v>0</v>
      </c>
      <c r="G109" s="106">
        <f>'2019'!K841</f>
        <v>0</v>
      </c>
      <c r="H109" s="106">
        <f>'2019'!L841</f>
      </c>
      <c r="I109" s="119">
        <f>'2019'!M841</f>
        <v>111</v>
      </c>
      <c r="J109" s="119">
        <f>'2019'!N841</f>
        <v>0</v>
      </c>
      <c r="K109" s="106">
        <f>'2019'!O841</f>
        <v>0</v>
      </c>
      <c r="L109" s="106">
        <f>'2019'!P841</f>
      </c>
      <c r="M109" s="119">
        <f>'2019'!Q841</f>
        <v>111</v>
      </c>
      <c r="N109" s="119">
        <f>'2019'!R841</f>
        <v>0</v>
      </c>
      <c r="O109" s="165">
        <f>'2019'!S841</f>
        <v>0</v>
      </c>
      <c r="P109" s="165">
        <f>'2019'!T841</f>
      </c>
      <c r="Q109" s="119">
        <f>'2019'!U841</f>
        <v>111</v>
      </c>
      <c r="R109" s="119">
        <f>'2019'!V841</f>
        <v>0</v>
      </c>
      <c r="S109" s="106">
        <f>'2019'!W841</f>
        <v>0</v>
      </c>
      <c r="T109" s="106">
        <f>'2019'!X841</f>
      </c>
      <c r="U109" s="119">
        <f>'2019'!Y841</f>
        <v>113</v>
      </c>
      <c r="V109" s="119">
        <f>'2019'!Z841</f>
        <v>2</v>
      </c>
      <c r="W109" s="106">
        <f>'2019'!AA841</f>
        <v>4.98</v>
      </c>
      <c r="X109" s="106">
        <f>'2019'!AB841</f>
      </c>
      <c r="Y109" s="119">
        <f>'2019'!AC841</f>
        <v>115</v>
      </c>
      <c r="Z109" s="119">
        <f>'2019'!AD841</f>
        <v>2</v>
      </c>
      <c r="AA109" s="106">
        <f>'2019'!AE841</f>
        <v>5</v>
      </c>
      <c r="AB109" s="106">
        <f>'2019'!AF841</f>
        <v>176.48</v>
      </c>
      <c r="AC109" s="119">
        <f>'2019'!AG841</f>
        <v>122</v>
      </c>
      <c r="AD109" s="119">
        <f>'2019'!AH841</f>
        <v>7</v>
      </c>
      <c r="AE109" s="106">
        <f>'2019'!AI841</f>
        <v>17.5</v>
      </c>
      <c r="AF109" s="106">
        <f>'2019'!AJ841</f>
        <v>5</v>
      </c>
      <c r="AG109" s="119">
        <f>'2019'!AK841</f>
        <v>126</v>
      </c>
      <c r="AH109" s="119">
        <f>'2019'!AL841</f>
        <v>4</v>
      </c>
      <c r="AI109" s="106">
        <f>'2019'!AM841</f>
        <v>10</v>
      </c>
      <c r="AJ109" s="106">
        <f>'2019'!AN841</f>
      </c>
      <c r="AK109" s="119">
        <f>'2019'!AO841</f>
        <v>147</v>
      </c>
      <c r="AL109" s="119">
        <f>'2019'!AP841</f>
        <v>21</v>
      </c>
      <c r="AM109" s="106">
        <f>'2019'!AQ841</f>
        <v>52.5</v>
      </c>
      <c r="AN109" s="106">
        <f>'2019'!AR841</f>
      </c>
      <c r="AO109" s="119">
        <f>'2019'!AS841</f>
        <v>155</v>
      </c>
      <c r="AP109" s="119">
        <f>'2019'!AT841</f>
        <v>8</v>
      </c>
      <c r="AQ109" s="106">
        <f>'2019'!AU841</f>
        <v>20</v>
      </c>
      <c r="AR109" s="106">
        <f>'2019'!AV841</f>
      </c>
      <c r="AS109" s="119">
        <f>'2019'!AW841</f>
        <v>155</v>
      </c>
      <c r="AT109" s="119">
        <f>'2019'!AX841</f>
        <v>0</v>
      </c>
      <c r="AU109" s="106">
        <f>'2019'!AY841</f>
        <v>0</v>
      </c>
      <c r="AV109" s="106">
        <f>'2019'!AZ841</f>
      </c>
      <c r="AW109" s="106"/>
      <c r="AX109" s="106">
        <f t="shared" si="0"/>
        <v>0</v>
      </c>
      <c r="AY109" s="119">
        <f>'2019'!BA841</f>
        <v>155</v>
      </c>
      <c r="AZ109" s="119">
        <f>'2019'!BB841</f>
        <v>0</v>
      </c>
      <c r="BA109" s="106">
        <f>'2019'!BC841</f>
        <v>0</v>
      </c>
      <c r="BB109" s="106">
        <f>'2019'!BD841</f>
      </c>
      <c r="BC109" s="106"/>
      <c r="BD109" s="106"/>
      <c r="BE109" s="119">
        <f>'2019'!BE841</f>
        <v>44</v>
      </c>
      <c r="BF109" s="106">
        <f>'2019'!BF841</f>
        <v>109.98</v>
      </c>
      <c r="BG109" s="106">
        <f>'2019'!BG841</f>
        <v>181.48</v>
      </c>
      <c r="BH109" s="106">
        <f>'2019'!BH841</f>
        <v>-49.09</v>
      </c>
      <c r="BI109" s="106">
        <f t="shared" si="1"/>
        <v>0</v>
      </c>
      <c r="BJ109" s="124">
        <f t="shared" si="2"/>
        <v>-49.09</v>
      </c>
    </row>
    <row r="110" ht="15.75" customHeight="1" spans="1:62" x14ac:dyDescent="0.25">
      <c r="A110" s="14"/>
      <c r="B110" s="115">
        <v>113</v>
      </c>
      <c r="C110" s="115">
        <v>4.98</v>
      </c>
      <c r="D110" s="117" t="s">
        <v>348</v>
      </c>
      <c r="E110" s="119">
        <f>'2019'!I849</f>
      </c>
      <c r="F110" s="119">
        <f>'2019'!J849</f>
      </c>
      <c r="G110" s="106">
        <f>'2019'!K849</f>
        <v>0</v>
      </c>
      <c r="H110" s="106">
        <f>'2019'!L849</f>
      </c>
      <c r="I110" s="119">
        <f>'2019'!M849</f>
      </c>
      <c r="J110" s="119">
        <f>'2019'!N849</f>
        <v>0</v>
      </c>
      <c r="K110" s="106">
        <f>'2019'!O849</f>
        <v>0</v>
      </c>
      <c r="L110" s="106">
        <f>'2019'!P849</f>
      </c>
      <c r="M110" s="119">
        <f>'2019'!Q849</f>
      </c>
      <c r="N110" s="119">
        <f>'2019'!R849</f>
        <v>0</v>
      </c>
      <c r="O110" s="165">
        <f>'2019'!S849</f>
        <v>0</v>
      </c>
      <c r="P110" s="165">
        <f>'2019'!T849</f>
      </c>
      <c r="Q110" s="119">
        <f>'2019'!U849</f>
      </c>
      <c r="R110" s="119">
        <f>'2019'!V849</f>
        <v>0</v>
      </c>
      <c r="S110" s="106">
        <f>'2019'!W849</f>
      </c>
      <c r="T110" s="106">
        <f>'2019'!X849</f>
      </c>
      <c r="U110" s="119">
        <f>'2019'!Y849</f>
      </c>
      <c r="V110" s="119">
        <f>'2019'!Z849</f>
        <v>0</v>
      </c>
      <c r="W110" s="106">
        <f>'2019'!AA849</f>
        <v>0</v>
      </c>
      <c r="X110" s="106">
        <f>'2019'!AB849</f>
      </c>
      <c r="Y110" s="119">
        <f>'2019'!AC849</f>
      </c>
      <c r="Z110" s="119">
        <f>'2019'!AD849</f>
        <v>0</v>
      </c>
      <c r="AA110" s="106">
        <f>'2019'!AE849</f>
        <v>0</v>
      </c>
      <c r="AB110" s="106">
        <f>'2019'!AF849</f>
      </c>
      <c r="AC110" s="119">
        <f>'2019'!AG849</f>
      </c>
      <c r="AD110" s="119">
        <f>'2019'!AH849</f>
        <v>0</v>
      </c>
      <c r="AE110" s="106">
        <f>'2019'!AI849</f>
        <v>0</v>
      </c>
      <c r="AF110" s="106">
        <f>'2019'!AJ849</f>
      </c>
      <c r="AG110" s="119">
        <f>'2019'!AK849</f>
      </c>
      <c r="AH110" s="119">
        <f>'2019'!AL849</f>
        <v>0</v>
      </c>
      <c r="AI110" s="106">
        <f>'2019'!AM849</f>
        <v>0</v>
      </c>
      <c r="AJ110" s="106">
        <f>'2019'!AN849</f>
      </c>
      <c r="AK110" s="119">
        <f>'2019'!AO849</f>
      </c>
      <c r="AL110" s="119">
        <f>'2019'!AP849</f>
        <v>0</v>
      </c>
      <c r="AM110" s="106">
        <f>'2019'!AQ849</f>
        <v>0</v>
      </c>
      <c r="AN110" s="106">
        <f>'2019'!AR849</f>
      </c>
      <c r="AO110" s="119">
        <f>'2019'!AS849</f>
      </c>
      <c r="AP110" s="119">
        <f>'2019'!AT849</f>
        <v>0</v>
      </c>
      <c r="AQ110" s="106">
        <f>'2019'!AU849</f>
        <v>0</v>
      </c>
      <c r="AR110" s="106">
        <f>'2019'!AV849</f>
      </c>
      <c r="AS110" s="119">
        <f>'2019'!AW849</f>
      </c>
      <c r="AT110" s="119">
        <f>'2019'!AX849</f>
        <v>0</v>
      </c>
      <c r="AU110" s="106">
        <f>'2019'!AY849</f>
        <v>0</v>
      </c>
      <c r="AV110" s="106">
        <f>'2019'!AZ849</f>
      </c>
      <c r="AW110" s="106"/>
      <c r="AX110" s="106">
        <f t="shared" si="0"/>
        <v>0</v>
      </c>
      <c r="AY110" s="119">
        <f>'2019'!BA849</f>
      </c>
      <c r="AZ110" s="119">
        <f>'2019'!BB849</f>
        <v>0</v>
      </c>
      <c r="BA110" s="106">
        <f>'2019'!BC849</f>
        <v>0</v>
      </c>
      <c r="BB110" s="106">
        <f>'2019'!BD849</f>
      </c>
      <c r="BC110" s="106"/>
      <c r="BD110" s="106"/>
      <c r="BE110" s="119">
        <f>'2019'!BE849</f>
        <v>0</v>
      </c>
      <c r="BF110" s="106">
        <f>'2019'!BF849</f>
        <v>0</v>
      </c>
      <c r="BG110" s="106">
        <f>'2019'!BG849</f>
        <v>0</v>
      </c>
      <c r="BH110" s="106">
        <f>'2019'!BH849</f>
        <v>0</v>
      </c>
      <c r="BI110" s="106">
        <f t="shared" si="1"/>
        <v>0</v>
      </c>
      <c r="BJ110" s="124">
        <f t="shared" si="2"/>
        <v>0</v>
      </c>
    </row>
    <row r="111" ht="15.75" customHeight="1" spans="1:62" x14ac:dyDescent="0.25">
      <c r="A111" s="14"/>
      <c r="B111" s="118">
        <v>114</v>
      </c>
      <c r="C111" s="115">
        <v>4.86</v>
      </c>
      <c r="D111" s="117" t="s">
        <v>245</v>
      </c>
      <c r="E111" s="119">
        <f>'2019'!I857</f>
        <v>28</v>
      </c>
      <c r="F111" s="119">
        <f>'2019'!J857</f>
        <v>0</v>
      </c>
      <c r="G111" s="106">
        <f>'2019'!K857</f>
      </c>
      <c r="H111" s="106">
        <f>'2019'!L857</f>
      </c>
      <c r="I111" s="119">
        <f>'2019'!M857</f>
        <v>28</v>
      </c>
      <c r="J111" s="119">
        <f>'2019'!N857</f>
        <v>0</v>
      </c>
      <c r="K111" s="106">
        <f>'2019'!O857</f>
        <v>0</v>
      </c>
      <c r="L111" s="106">
        <f>'2019'!P857</f>
      </c>
      <c r="M111" s="119">
        <f>'2019'!Q857</f>
        <v>28</v>
      </c>
      <c r="N111" s="119">
        <f>'2019'!R857</f>
        <v>0</v>
      </c>
      <c r="O111" s="165">
        <f>'2019'!S857</f>
        <v>0</v>
      </c>
      <c r="P111" s="165">
        <f>'2019'!T857</f>
      </c>
      <c r="Q111" s="119">
        <f>'2019'!U857</f>
        <v>28</v>
      </c>
      <c r="R111" s="119">
        <f>'2019'!V857</f>
        <v>0</v>
      </c>
      <c r="S111" s="106">
        <f>'2019'!W857</f>
        <v>0</v>
      </c>
      <c r="T111" s="106">
        <f>'2019'!X857</f>
      </c>
      <c r="U111" s="119">
        <f>'2019'!Y857</f>
        <v>28</v>
      </c>
      <c r="V111" s="119">
        <f>'2019'!Z857</f>
        <v>0</v>
      </c>
      <c r="W111" s="106">
        <f>'2019'!AA857</f>
        <v>0</v>
      </c>
      <c r="X111" s="106">
        <f>'2019'!AB857</f>
      </c>
      <c r="Y111" s="119">
        <f>'2019'!AC857</f>
        <v>28</v>
      </c>
      <c r="Z111" s="119">
        <f>'2019'!AD857</f>
        <v>0</v>
      </c>
      <c r="AA111" s="106">
        <f>'2019'!AE857</f>
        <v>0</v>
      </c>
      <c r="AB111" s="106">
        <f>'2019'!AF857</f>
      </c>
      <c r="AC111" s="119">
        <f>'2019'!AG857</f>
        <v>28</v>
      </c>
      <c r="AD111" s="119">
        <f>'2019'!AH857</f>
        <v>0</v>
      </c>
      <c r="AE111" s="106">
        <f>'2019'!AI857</f>
        <v>0</v>
      </c>
      <c r="AF111" s="106">
        <f>'2019'!AJ857</f>
      </c>
      <c r="AG111" s="119">
        <f>'2019'!AK857</f>
        <v>28</v>
      </c>
      <c r="AH111" s="119">
        <f>'2019'!AL857</f>
        <v>0</v>
      </c>
      <c r="AI111" s="106">
        <f>'2019'!AM857</f>
        <v>0</v>
      </c>
      <c r="AJ111" s="106">
        <f>'2019'!AN857</f>
      </c>
      <c r="AK111" s="119">
        <f>'2019'!AO857</f>
        <v>28</v>
      </c>
      <c r="AL111" s="119">
        <f>'2019'!AP857</f>
        <v>0</v>
      </c>
      <c r="AM111" s="106">
        <f>'2019'!AQ857</f>
        <v>0</v>
      </c>
      <c r="AN111" s="106">
        <f>'2019'!AR857</f>
      </c>
      <c r="AO111" s="119">
        <f>'2019'!AS857</f>
        <v>28</v>
      </c>
      <c r="AP111" s="119">
        <f>'2019'!AT857</f>
        <v>0</v>
      </c>
      <c r="AQ111" s="106">
        <f>'2019'!AU857</f>
        <v>0</v>
      </c>
      <c r="AR111" s="106">
        <f>'2019'!AV857</f>
      </c>
      <c r="AS111" s="119">
        <f>'2019'!AW857</f>
        <v>28</v>
      </c>
      <c r="AT111" s="119">
        <f>'2019'!AX857</f>
        <v>0</v>
      </c>
      <c r="AU111" s="106">
        <f>'2019'!AY857</f>
        <v>0</v>
      </c>
      <c r="AV111" s="106">
        <f>'2019'!AZ857</f>
      </c>
      <c r="AW111" s="106"/>
      <c r="AX111" s="106">
        <f t="shared" si="0"/>
        <v>0</v>
      </c>
      <c r="AY111" s="119">
        <f>'2019'!BA857</f>
        <v>28</v>
      </c>
      <c r="AZ111" s="119">
        <f>'2019'!BB857</f>
        <v>0</v>
      </c>
      <c r="BA111" s="106">
        <f>'2019'!BC857</f>
        <v>0</v>
      </c>
      <c r="BB111" s="106">
        <f>'2019'!BD857</f>
      </c>
      <c r="BC111" s="106"/>
      <c r="BD111" s="106"/>
      <c r="BE111" s="119">
        <f>'2019'!BE857</f>
        <v>0</v>
      </c>
      <c r="BF111" s="106">
        <f>'2019'!BF857</f>
        <v>0</v>
      </c>
      <c r="BG111" s="106">
        <f>'2019'!BG857</f>
        <v>0</v>
      </c>
      <c r="BH111" s="106">
        <f>'2019'!BH857</f>
        <v>0</v>
      </c>
      <c r="BI111" s="106">
        <f t="shared" si="1"/>
        <v>0</v>
      </c>
      <c r="BJ111" s="124">
        <f t="shared" si="2"/>
        <v>0</v>
      </c>
    </row>
    <row r="112" ht="15.75" customHeight="1" spans="1:62" x14ac:dyDescent="0.25">
      <c r="A112" s="117"/>
      <c r="B112" s="125" t="s">
        <v>350</v>
      </c>
      <c r="C112" s="116">
        <f>SUM(C5:C111)</f>
        <v>505.74</v>
      </c>
      <c r="D112" s="117"/>
      <c r="E112" s="119">
        <f t="shared" ref="E112:BI112" si="3">SUM(E5:E111)</f>
        <v>126867</v>
      </c>
      <c r="F112" s="119">
        <f t="shared" si="3"/>
        <v>6850</v>
      </c>
      <c r="G112" s="106">
        <f t="shared" si="3"/>
        <v>17056.5</v>
      </c>
      <c r="H112" s="106">
        <f t="shared" si="3"/>
        <v>8829.91</v>
      </c>
      <c r="I112" s="119">
        <f t="shared" si="3"/>
        <v>133290</v>
      </c>
      <c r="J112" s="119">
        <f t="shared" si="3"/>
        <v>6423</v>
      </c>
      <c r="K112" s="106">
        <f t="shared" si="3"/>
        <v>15993.27</v>
      </c>
      <c r="L112" s="106">
        <f t="shared" si="3"/>
        <v>18016.11</v>
      </c>
      <c r="M112" s="119">
        <f t="shared" si="3"/>
        <v>136780</v>
      </c>
      <c r="N112" s="119">
        <f t="shared" si="3"/>
        <v>3490</v>
      </c>
      <c r="O112" s="106">
        <f t="shared" si="3"/>
        <v>8690.1</v>
      </c>
      <c r="P112" s="106">
        <f t="shared" si="3"/>
        <v>13198.78</v>
      </c>
      <c r="Q112" s="119">
        <f t="shared" si="3"/>
        <v>140780</v>
      </c>
      <c r="R112" s="119">
        <f t="shared" si="3"/>
        <v>4000</v>
      </c>
      <c r="S112" s="106">
        <f t="shared" si="3"/>
        <v>9960</v>
      </c>
      <c r="T112" s="106">
        <f t="shared" si="3"/>
        <v>9163.66</v>
      </c>
      <c r="U112" s="119">
        <f t="shared" si="3"/>
        <v>146488</v>
      </c>
      <c r="V112" s="119">
        <f t="shared" si="3"/>
        <v>5708</v>
      </c>
      <c r="W112" s="106">
        <f t="shared" si="3"/>
        <v>14212.92</v>
      </c>
      <c r="X112" s="106">
        <f t="shared" si="3"/>
        <v>15555.88</v>
      </c>
      <c r="Y112" s="119">
        <f t="shared" si="3"/>
        <v>151155</v>
      </c>
      <c r="Z112" s="119">
        <f t="shared" si="3"/>
        <v>4667</v>
      </c>
      <c r="AA112" s="106">
        <f t="shared" si="3"/>
        <v>11667.5</v>
      </c>
      <c r="AB112" s="106">
        <f t="shared" si="3"/>
        <v>15507.84</v>
      </c>
      <c r="AC112" s="119">
        <f t="shared" si="3"/>
        <v>156890</v>
      </c>
      <c r="AD112" s="119">
        <f t="shared" si="3"/>
        <v>5735</v>
      </c>
      <c r="AE112" s="106">
        <f t="shared" si="3"/>
        <v>14337.5</v>
      </c>
      <c r="AF112" s="106">
        <f t="shared" si="3"/>
        <v>9629.31</v>
      </c>
      <c r="AG112" s="119">
        <f t="shared" si="3"/>
        <v>161378</v>
      </c>
      <c r="AH112" s="119">
        <f t="shared" si="3"/>
        <v>4488</v>
      </c>
      <c r="AI112" s="106">
        <f t="shared" si="3"/>
        <v>11220</v>
      </c>
      <c r="AJ112" s="106">
        <f t="shared" si="3"/>
        <v>8068.57</v>
      </c>
      <c r="AK112" s="119">
        <f t="shared" si="3"/>
        <v>168480.5</v>
      </c>
      <c r="AL112" s="119">
        <f t="shared" si="3"/>
        <v>7102.5</v>
      </c>
      <c r="AM112" s="106">
        <f t="shared" si="3"/>
        <v>17756.25</v>
      </c>
      <c r="AN112" s="106">
        <f t="shared" si="3"/>
        <v>14718.41</v>
      </c>
      <c r="AO112" s="119">
        <f t="shared" si="3"/>
        <v>173687</v>
      </c>
      <c r="AP112" s="119">
        <f t="shared" si="3"/>
        <v>5206.5</v>
      </c>
      <c r="AQ112" s="106">
        <f t="shared" si="3"/>
        <v>13016.25</v>
      </c>
      <c r="AR112" s="106">
        <f t="shared" si="3"/>
        <v>14892.8</v>
      </c>
      <c r="AS112" s="119">
        <f t="shared" si="3"/>
        <v>179190</v>
      </c>
      <c r="AT112" s="119">
        <f t="shared" si="3"/>
        <v>5503</v>
      </c>
      <c r="AU112" s="106">
        <f t="shared" si="3"/>
        <v>13757.5</v>
      </c>
      <c r="AV112" s="106">
        <f t="shared" si="3"/>
        <v>13145.42</v>
      </c>
      <c r="AW112" s="119">
        <f t="shared" si="3"/>
        <v>0</v>
      </c>
      <c r="AX112" s="106">
        <f t="shared" si="3"/>
        <v>0</v>
      </c>
      <c r="AY112" s="119">
        <f t="shared" si="3"/>
        <v>185309</v>
      </c>
      <c r="AZ112" s="119">
        <f t="shared" si="3"/>
        <v>6119</v>
      </c>
      <c r="BA112" s="106">
        <f t="shared" si="3"/>
        <v>15297.5</v>
      </c>
      <c r="BB112" s="106">
        <f t="shared" si="3"/>
        <v>14322.9</v>
      </c>
      <c r="BC112" s="119">
        <f t="shared" si="3"/>
        <v>0</v>
      </c>
      <c r="BD112" s="106">
        <f t="shared" si="3"/>
        <v>0</v>
      </c>
      <c r="BE112" s="119">
        <f t="shared" si="3"/>
        <v>65292</v>
      </c>
      <c r="BF112" s="106">
        <f t="shared" si="3"/>
        <v>162965.29</v>
      </c>
      <c r="BG112" s="106">
        <f t="shared" si="3"/>
        <v>155049.59</v>
      </c>
      <c r="BH112" s="106">
        <f t="shared" si="3"/>
        <v>14976.33</v>
      </c>
      <c r="BI112" s="106">
        <f t="shared" si="3"/>
        <v>0</v>
      </c>
      <c r="BJ112" s="106">
        <f>BH112+AX112</f>
        <v>14976.33</v>
      </c>
    </row>
    <row r="113" ht="15.75" customHeight="1" spans="1:3" x14ac:dyDescent="0.25">
      <c r="A113" s="15"/>
      <c r="B113" s="112"/>
      <c r="C113" s="112"/>
    </row>
    <row r="114" ht="15.75" customHeight="1" spans="1:61" x14ac:dyDescent="0.25" outlineLevel="1" collapsed="1">
      <c r="A114" s="15"/>
      <c r="B114" s="112"/>
      <c r="C114" s="112"/>
      <c r="E114" s="120" t="b">
        <f>E112='2019'!I867</f>
        <v>1</v>
      </c>
      <c r="F114" s="120" t="b">
        <f>F112='2019'!J867</f>
        <v>1</v>
      </c>
      <c r="G114" s="120" t="b">
        <f>G112='2019'!K867</f>
        <v>1</v>
      </c>
      <c r="H114" s="120" t="b">
        <f>H112='2019'!L867</f>
        <v>1</v>
      </c>
      <c r="I114" s="120" t="b">
        <f>I112='2019'!M867</f>
        <v>1</v>
      </c>
      <c r="J114" s="120" t="b">
        <f>J112='2019'!N867</f>
        <v>1</v>
      </c>
      <c r="K114" s="120" t="b">
        <f>K112='2019'!O867</f>
        <v>1</v>
      </c>
      <c r="L114" s="120" t="b">
        <f>L112='2019'!P867</f>
        <v>1</v>
      </c>
      <c r="M114" s="120" t="b">
        <f>M112='2019'!Q867</f>
        <v>1</v>
      </c>
      <c r="N114" s="120" t="b">
        <f>N112='2019'!R867</f>
        <v>1</v>
      </c>
      <c r="O114" s="120" t="b">
        <f>O112='2019'!S867</f>
        <v>1</v>
      </c>
      <c r="P114" s="120" t="b">
        <f>P112='2019'!T867</f>
        <v>1</v>
      </c>
      <c r="Q114" s="120" t="b">
        <f>Q112='2019'!U867</f>
        <v>1</v>
      </c>
      <c r="R114" s="120" t="b">
        <f>R112='2019'!V867</f>
        <v>1</v>
      </c>
      <c r="S114" s="120" t="b">
        <f>S112='2019'!W867</f>
        <v>1</v>
      </c>
      <c r="T114" s="120" t="b">
        <f>T112='2019'!X867</f>
        <v>1</v>
      </c>
      <c r="U114" s="120" t="b">
        <f>U112='2019'!Y867</f>
        <v>1</v>
      </c>
      <c r="V114" s="120" t="b">
        <f>V112='2019'!Z867</f>
        <v>1</v>
      </c>
      <c r="W114" s="120" t="b">
        <f>W112='2019'!AA867</f>
        <v>1</v>
      </c>
      <c r="X114" s="120" t="b">
        <f>X112='2019'!AB867</f>
        <v>1</v>
      </c>
      <c r="Y114" s="120" t="b">
        <f>Y112='2019'!AC867</f>
        <v>1</v>
      </c>
      <c r="Z114" s="120" t="b">
        <f>Z112='2019'!AD867</f>
        <v>1</v>
      </c>
      <c r="AA114" s="120" t="b">
        <f>AA112='2019'!AE867</f>
        <v>1</v>
      </c>
      <c r="AB114" s="120" t="b">
        <f>AB112='2019'!AF867</f>
        <v>1</v>
      </c>
      <c r="AC114" s="120" t="b">
        <f>AC112='2019'!AG867</f>
        <v>1</v>
      </c>
      <c r="AD114" s="120" t="b">
        <f>AD112='2019'!AH867</f>
        <v>1</v>
      </c>
      <c r="AE114" s="120" t="b">
        <f>AE112='2019'!AI867</f>
        <v>1</v>
      </c>
      <c r="AF114" s="120" t="b">
        <f>AF112='2019'!AJ867</f>
        <v>1</v>
      </c>
      <c r="AG114" s="120" t="b">
        <f>AG112='2019'!AK867</f>
        <v>1</v>
      </c>
      <c r="AH114" s="120" t="b">
        <f>AH112='2019'!AL867</f>
        <v>1</v>
      </c>
      <c r="AI114" s="120" t="b">
        <f>AI112='2019'!AM867</f>
        <v>1</v>
      </c>
      <c r="AJ114" s="120" t="b">
        <f>AJ112='2019'!AN867</f>
        <v>1</v>
      </c>
      <c r="AK114" s="120" t="b">
        <f>AK112='2019'!AO867</f>
        <v>1</v>
      </c>
      <c r="AL114" s="120" t="b">
        <f>AL112='2019'!AP867</f>
        <v>1</v>
      </c>
      <c r="AM114" s="120" t="b">
        <f>AM112='2019'!AQ867</f>
        <v>1</v>
      </c>
      <c r="AN114" s="120" t="b">
        <f>AN112='2019'!AR867</f>
        <v>1</v>
      </c>
      <c r="AO114" s="120" t="b">
        <f>AO112='2019'!AS867</f>
        <v>1</v>
      </c>
      <c r="AP114" s="120" t="b">
        <f>AP112='2019'!AT867</f>
        <v>1</v>
      </c>
      <c r="AQ114" s="120" t="b">
        <f>AQ112='2019'!AU867</f>
        <v>1</v>
      </c>
      <c r="AR114" s="120" t="b">
        <f>AR112='2019'!AV867</f>
        <v>1</v>
      </c>
      <c r="AS114" s="120" t="b">
        <f>AS112='2019'!AW867</f>
        <v>1</v>
      </c>
      <c r="AT114" s="120" t="b">
        <f>AT112='2019'!AX867</f>
        <v>1</v>
      </c>
      <c r="AU114" s="120" t="b">
        <f>AU112='2019'!AY867</f>
        <v>1</v>
      </c>
      <c r="AV114" s="120" t="b">
        <f>AV112='2019'!AZ867</f>
        <v>1</v>
      </c>
      <c r="AW114" s="120"/>
      <c r="AX114" s="120"/>
      <c r="AY114" s="120" t="b">
        <f>AY112='2019'!BA867</f>
        <v>1</v>
      </c>
      <c r="AZ114" s="120" t="b">
        <f>AZ112='2019'!BB867</f>
        <v>1</v>
      </c>
      <c r="BA114" s="120" t="b">
        <f>BA112='2019'!BC867</f>
        <v>1</v>
      </c>
      <c r="BB114" s="120" t="b">
        <f>BB112='2019'!BD867</f>
        <v>1</v>
      </c>
      <c r="BC114" s="120"/>
      <c r="BD114" s="120"/>
      <c r="BE114" s="120" t="b">
        <f>BE112='2019'!BE867</f>
        <v>1</v>
      </c>
      <c r="BF114" s="120" t="b">
        <f>BF112='2019'!BF867</f>
        <v>1</v>
      </c>
      <c r="BG114" s="120" t="b">
        <f>BG112='2019'!BG867</f>
        <v>1</v>
      </c>
      <c r="BH114" s="120" t="b">
        <f>BH112='2019'!BH867</f>
        <v>1</v>
      </c>
      <c r="BI114" s="120"/>
    </row>
    <row r="115" ht="15.75" customHeight="1" spans="1:61" x14ac:dyDescent="0.25" outlineLevel="1" collapsed="1">
      <c r="A115" s="15"/>
      <c r="B115" s="112"/>
      <c r="C115" s="112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  <c r="AO115" s="120"/>
      <c r="AP115" s="120"/>
      <c r="AQ115" s="120"/>
      <c r="AR115" s="120"/>
      <c r="AS115" s="120"/>
      <c r="AT115" s="120"/>
      <c r="AU115" s="120"/>
      <c r="AV115" s="120"/>
      <c r="AW115" s="120"/>
      <c r="AX115" s="120"/>
      <c r="AY115" s="120"/>
      <c r="AZ115" s="120"/>
      <c r="BA115" s="120"/>
      <c r="BB115" s="120"/>
      <c r="BC115" s="120"/>
      <c r="BD115" s="120"/>
      <c r="BE115" s="120" t="b">
        <f t="shared" ref="BE115:BG115" si="4">BE112=F112+J112+N112+R112+V112+Z112+AD112+AH112+AL112+AP112+AT112+AZ112</f>
        <v>1</v>
      </c>
      <c r="BF115" s="120" t="b">
        <f t="shared" si="4"/>
        <v>1</v>
      </c>
      <c r="BG115" s="120" t="b">
        <f t="shared" si="4"/>
        <v>1</v>
      </c>
      <c r="BH115" s="120"/>
      <c r="BI115" s="120"/>
    </row>
    <row r="116" ht="15.75" customHeight="1" spans="1:62" x14ac:dyDescent="0.25">
      <c r="A116" s="15"/>
      <c r="B116" s="167" t="s">
        <v>481</v>
      </c>
      <c r="C116" s="112"/>
      <c r="F116" s="168">
        <f t="shared" ref="F116:H116" si="5">F5+F6+F24+F30+F35+F41+F51+F54+F57+F60+F61+F69+F85+F92+F93+F95+F102+F107+F108</f>
        <v>6550</v>
      </c>
      <c r="G116" s="136">
        <f t="shared" si="5"/>
        <v>16309.5</v>
      </c>
      <c r="H116" s="136">
        <f t="shared" si="5"/>
        <v>8829.91</v>
      </c>
      <c r="J116" s="168">
        <f t="shared" ref="J116:L116" si="6">J5+J6+J24+J30+J35+J41+J51+J54+J57+J60+J61+J69+J85+J92+J93+J95+J102+J107+J108</f>
        <v>6394</v>
      </c>
      <c r="K116" s="136">
        <f t="shared" si="6"/>
        <v>15921.06</v>
      </c>
      <c r="L116" s="136">
        <f t="shared" si="6"/>
        <v>17891.61</v>
      </c>
      <c r="N116" s="168">
        <f t="shared" ref="N116:P116" si="7">N5+N6+N24+N30+N35+N41+N51+N54+N57+N60+N61+N69+N85+N92+N93+N95+N102+N107+N108</f>
        <v>3460</v>
      </c>
      <c r="O116" s="136">
        <f t="shared" si="7"/>
        <v>8615.4</v>
      </c>
      <c r="P116" s="136">
        <f t="shared" si="7"/>
        <v>13198.78</v>
      </c>
      <c r="R116" s="168">
        <f t="shared" ref="R116:T116" si="8">R5+R6+R24+R30+R35+R41+R51+R54+R57+R60+R61+R69+R85+R92+R93+R95+R102+R107+R108</f>
        <v>3751</v>
      </c>
      <c r="S116" s="136">
        <f t="shared" si="8"/>
        <v>9339.99</v>
      </c>
      <c r="T116" s="136">
        <f t="shared" si="8"/>
        <v>8322.87</v>
      </c>
      <c r="V116" s="168">
        <f t="shared" ref="V116:X116" si="9">V5+V6+V24+V30+V35+V41+V51+V54+V57+V60+V61+V69+V85+V92+V93+V95+V102+V107+V108</f>
        <v>4738</v>
      </c>
      <c r="W116" s="136">
        <f t="shared" si="9"/>
        <v>11797.62</v>
      </c>
      <c r="X116" s="136">
        <f t="shared" si="9"/>
        <v>13036.24</v>
      </c>
      <c r="Z116" s="168">
        <f t="shared" ref="Z116:AB116" si="10">Z5+Z6+Z24+Z30+Z35+Z41+Z51+Z54+Z57+Z60+Z61+Z69+Z85+Z92+Z93+Z95+Z102+Z107+Z108</f>
        <v>3285</v>
      </c>
      <c r="AA116" s="136">
        <f t="shared" si="10"/>
        <v>8212.5</v>
      </c>
      <c r="AB116" s="136">
        <f t="shared" si="10"/>
        <v>9490.15</v>
      </c>
      <c r="AD116" s="168">
        <f t="shared" ref="AD116:AF116" si="11">AD5+AD6+AD24+AD30+AD35+AD41+AD51+AD54+AD57+AD60+AD61+AD69+AD85+AD92+AD93+AD95+AD102+AD107+AD108</f>
        <v>3543</v>
      </c>
      <c r="AE116" s="136">
        <f t="shared" si="11"/>
        <v>8857.5</v>
      </c>
      <c r="AF116" s="136">
        <f t="shared" si="11"/>
        <v>3774.5</v>
      </c>
      <c r="AH116" s="168">
        <f t="shared" ref="AH116:AJ116" si="12">AH5+AH6+AH24+AH30+AH35+AH41+AH51+AH54+AH57+AH60+AH61+AH69+AH85+AH92+AH93+AH95+AH102+AH107+AH108</f>
        <v>2643</v>
      </c>
      <c r="AI116" s="136">
        <f t="shared" si="12"/>
        <v>6607.5</v>
      </c>
      <c r="AJ116" s="136">
        <f t="shared" si="12"/>
        <v>4787.43</v>
      </c>
      <c r="AL116" s="168">
        <f t="shared" ref="AL116:AN116" si="13">AL5+AL6+AL24+AL30+AL35+AL41+AL51+AL54+AL57+AL60+AL61+AL69+AL85+AL92+AL93+AL95+AL102+AL107+AL108</f>
        <v>4360.5</v>
      </c>
      <c r="AM116" s="136">
        <f t="shared" si="13"/>
        <v>10901.25</v>
      </c>
      <c r="AN116" s="136">
        <f t="shared" si="13"/>
        <v>12483.17</v>
      </c>
      <c r="AP116" s="168">
        <f t="shared" ref="AP116:AR116" si="14">AP5+AP6+AP24+AP30+AP35+AP41+AP51+AP54+AP57+AP60+AP61+AP69+AP85+AP92+AP93+AP95+AP102+AP107+AP108</f>
        <v>4365.5</v>
      </c>
      <c r="AQ116" s="136">
        <f t="shared" si="14"/>
        <v>10913.75</v>
      </c>
      <c r="AR116" s="136">
        <f t="shared" si="14"/>
        <v>11398.75</v>
      </c>
      <c r="AS116" s="37"/>
      <c r="AT116" s="168">
        <f t="shared" ref="AT116:AV116" si="15">AT5+AT6+AT24+AT30+AT35+AT41+AT51+AT54+AT57+AT60+AT61+AT69+AT85+AT92+AT93+AT95+AT102+AT107+AT108</f>
        <v>5396</v>
      </c>
      <c r="AU116" s="136">
        <f t="shared" si="15"/>
        <v>13490</v>
      </c>
      <c r="AV116" s="136">
        <f t="shared" si="15"/>
        <v>11868</v>
      </c>
      <c r="AW116" s="168">
        <f t="shared" ref="AW116:AX116" si="16">SUBTOTAL(9,AW5:AW115)</f>
        <v>0</v>
      </c>
      <c r="AX116" s="136">
        <f t="shared" si="16"/>
        <v>0</v>
      </c>
      <c r="AY116" s="37"/>
      <c r="AZ116" s="168">
        <f t="shared" ref="AZ116:BB116" si="17">AZ5+AZ6+AZ24+AZ30+AZ35+AZ41+AZ51+AZ54+AZ57+AZ60+AZ61+AZ69+AZ85+AZ92+AZ93+AZ95+AZ102+AZ107+AZ108</f>
        <v>6119</v>
      </c>
      <c r="BA116" s="136">
        <f t="shared" si="17"/>
        <v>15297.5</v>
      </c>
      <c r="BB116" s="136">
        <f t="shared" si="17"/>
        <v>10984.83</v>
      </c>
      <c r="BC116" s="168">
        <f t="shared" ref="BC116:BD116" si="18">SUBTOTAL(9,BC5:BC115)</f>
        <v>0</v>
      </c>
      <c r="BD116" s="136">
        <f t="shared" si="18"/>
        <v>0</v>
      </c>
      <c r="BE116" s="168">
        <f t="shared" ref="BE116:BJ116" si="19">BE5+BE6+BE24+BE30+BE35+BE41+BE51+BE54+BE57+BE60+BE61+BE69+BE85+BE92+BE93+BE95+BE102+BE107+BE108</f>
        <v>54605</v>
      </c>
      <c r="BF116" s="136">
        <f t="shared" si="19"/>
        <v>136263.57</v>
      </c>
      <c r="BG116" s="136">
        <f t="shared" si="19"/>
        <v>126066.24</v>
      </c>
      <c r="BH116" s="136">
        <f t="shared" si="19"/>
        <v>15436.1</v>
      </c>
      <c r="BI116" s="136">
        <f t="shared" si="19"/>
        <v>0</v>
      </c>
      <c r="BJ116" s="136">
        <f t="shared" si="19"/>
        <v>15436.1</v>
      </c>
    </row>
    <row r="117" ht="15.75" customHeight="1" spans="1:3" x14ac:dyDescent="0.25">
      <c r="A117" s="15"/>
      <c r="B117" s="112"/>
      <c r="C117" s="112"/>
    </row>
    <row r="118" ht="15.75" customHeight="1" spans="1:3" x14ac:dyDescent="0.25">
      <c r="A118" s="15"/>
      <c r="B118" s="112"/>
      <c r="C118" s="112"/>
    </row>
    <row r="119" ht="15.75" customHeight="1" spans="1:3" x14ac:dyDescent="0.25">
      <c r="A119" s="15"/>
      <c r="B119" s="112"/>
      <c r="C119" s="112"/>
    </row>
    <row r="120" ht="15.75" customHeight="1" spans="1:3" x14ac:dyDescent="0.25">
      <c r="A120" s="15"/>
      <c r="B120" s="112"/>
      <c r="C120" s="112"/>
    </row>
    <row r="121" ht="15.75" customHeight="1" spans="1:3" x14ac:dyDescent="0.25">
      <c r="A121" s="15"/>
      <c r="B121" s="112"/>
      <c r="C121" s="112"/>
    </row>
    <row r="122" ht="15.75" customHeight="1" spans="1:3" x14ac:dyDescent="0.25">
      <c r="A122" s="15"/>
      <c r="B122" s="112"/>
      <c r="C122" s="112"/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spans="1:3" x14ac:dyDescent="0.25">
      <c r="A316" s="15"/>
      <c r="B316" s="112"/>
      <c r="C316" s="112"/>
    </row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B$4:$BE$114"/>
  <mergeCells count="15">
    <mergeCell ref="E3:H3"/>
    <mergeCell ref="I3:L3"/>
    <mergeCell ref="M3:P3"/>
    <mergeCell ref="Q3:T3"/>
    <mergeCell ref="U3:X3"/>
    <mergeCell ref="Y3:AB3"/>
    <mergeCell ref="AC3:AF3"/>
    <mergeCell ref="AG3:AJ3"/>
    <mergeCell ref="AK3:AN3"/>
    <mergeCell ref="AO3:AR3"/>
    <mergeCell ref="AS3:AV3"/>
    <mergeCell ref="AW3:AX3"/>
    <mergeCell ref="AY3:BB3"/>
    <mergeCell ref="BC3:BD3"/>
    <mergeCell ref="BE3:BH3"/>
  </mergeCells>
  <pageMargins left="0.196527777777778" right="0" top="0.196527777777778" bottom="0.196527777777778" header="0" footer="0"/>
  <pageSetup paperSize="9"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FF"/>
  </sheetPr>
  <dimension ref="A1:AC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86" customWidth="1"/>
    <col min="2" max="2" width="7.14" customWidth="1"/>
    <col min="3" max="3" width="6.43" hidden="1" outlineLevel="1" collapsed="1" customWidth="1"/>
    <col min="4" max="4" width="13.86" hidden="1" outlineLevel="1" collapsed="1" customWidth="1"/>
    <col min="5" max="5" width="7.14" hidden="1" outlineLevel="1" collapsed="1" customWidth="1"/>
    <col min="6" max="6" width="7.14" customWidth="1"/>
    <col min="7" max="7" width="7.14" outlineLevel="1" collapsed="1" customWidth="1"/>
    <col min="8" max="8" width="7.14" customWidth="1"/>
    <col min="9" max="9" width="7.14" outlineLevel="1" collapsed="1" customWidth="1"/>
    <col min="10" max="10" width="7.14" customWidth="1"/>
    <col min="11" max="11" width="7.14" outlineLevel="1" collapsed="1" customWidth="1"/>
    <col min="12" max="12" width="7.14" customWidth="1"/>
    <col min="13" max="13" width="7.14" outlineLevel="1" collapsed="1" customWidth="1"/>
    <col min="14" max="14" width="7.14" customWidth="1"/>
    <col min="15" max="15" width="7.14" outlineLevel="1" collapsed="1" customWidth="1"/>
    <col min="16" max="16" width="7.14" customWidth="1"/>
    <col min="17" max="17" width="7.14" outlineLevel="1" collapsed="1" customWidth="1"/>
    <col min="18" max="18" width="7.14" customWidth="1"/>
    <col min="19" max="19" width="7.14" outlineLevel="1" collapsed="1" customWidth="1"/>
    <col min="20" max="20" width="7.14" customWidth="1"/>
    <col min="21" max="21" width="7.14" outlineLevel="1" collapsed="1" customWidth="1"/>
    <col min="22" max="22" width="7.14" customWidth="1"/>
    <col min="23" max="23" width="7.14" outlineLevel="1" collapsed="1" customWidth="1"/>
    <col min="24" max="24" width="7.14" customWidth="1"/>
    <col min="25" max="25" width="7.14" outlineLevel="1" collapsed="1" customWidth="1"/>
    <col min="26" max="26" width="7.14" customWidth="1"/>
    <col min="27" max="27" width="7.14" outlineLevel="1" collapsed="1" customWidth="1"/>
    <col min="28" max="29" width="7.14" customWidth="1"/>
  </cols>
  <sheetData>
    <row r="1" spans="1:16" x14ac:dyDescent="0.25">
      <c r="A1" s="1" t="s">
        <v>375</v>
      </c>
      <c r="B1" s="112"/>
      <c r="C1" s="112"/>
      <c r="E1" s="2" t="str">
        <f>'2019'!F1</f>
        <v>на 01 января 2020 года</v>
      </c>
      <c r="F1" s="1"/>
      <c r="G1" s="1"/>
      <c r="H1" s="1"/>
      <c r="I1" s="1"/>
      <c r="J1" s="1"/>
      <c r="K1" s="1"/>
      <c r="L1" s="1"/>
      <c r="M1" s="1"/>
      <c r="O1" s="1"/>
      <c r="P1" s="1"/>
    </row>
    <row r="2" spans="1:3" x14ac:dyDescent="0.25">
      <c r="A2" s="15" t="s">
        <v>366</v>
      </c>
      <c r="B2" s="112"/>
      <c r="C2" s="112"/>
    </row>
    <row r="3" spans="1:29" x14ac:dyDescent="0.25">
      <c r="A3" s="3"/>
      <c r="B3" s="17" t="s">
        <v>2</v>
      </c>
      <c r="C3" s="17" t="s">
        <v>354</v>
      </c>
      <c r="D3" s="16" t="s">
        <v>355</v>
      </c>
      <c r="E3" s="11" t="s">
        <v>9</v>
      </c>
      <c r="F3" s="12"/>
      <c r="G3" s="11" t="s">
        <v>10</v>
      </c>
      <c r="H3" s="12"/>
      <c r="I3" s="11" t="s">
        <v>11</v>
      </c>
      <c r="J3" s="12"/>
      <c r="K3" s="11" t="s">
        <v>12</v>
      </c>
      <c r="L3" s="12"/>
      <c r="M3" s="11" t="s">
        <v>13</v>
      </c>
      <c r="N3" s="12"/>
      <c r="O3" s="11" t="s">
        <v>14</v>
      </c>
      <c r="P3" s="12"/>
      <c r="Q3" s="11" t="s">
        <v>15</v>
      </c>
      <c r="R3" s="12"/>
      <c r="S3" s="11" t="s">
        <v>16</v>
      </c>
      <c r="T3" s="12"/>
      <c r="U3" s="11" t="s">
        <v>17</v>
      </c>
      <c r="V3" s="12"/>
      <c r="W3" s="11" t="s">
        <v>18</v>
      </c>
      <c r="X3" s="12"/>
      <c r="Y3" s="11" t="s">
        <v>19</v>
      </c>
      <c r="Z3" s="12"/>
      <c r="AA3" s="11" t="s">
        <v>20</v>
      </c>
      <c r="AB3" s="12"/>
      <c r="AC3" s="17" t="s">
        <v>367</v>
      </c>
    </row>
    <row r="4" spans="1:29" x14ac:dyDescent="0.25">
      <c r="A4" s="20"/>
      <c r="B4" s="24" t="s">
        <v>23</v>
      </c>
      <c r="C4" s="24"/>
      <c r="D4" s="23"/>
      <c r="E4" s="4" t="s">
        <v>30</v>
      </c>
      <c r="F4" s="4" t="s">
        <v>3</v>
      </c>
      <c r="G4" s="4" t="s">
        <v>30</v>
      </c>
      <c r="H4" s="4" t="s">
        <v>3</v>
      </c>
      <c r="I4" s="4" t="s">
        <v>30</v>
      </c>
      <c r="J4" s="4" t="s">
        <v>3</v>
      </c>
      <c r="K4" s="4" t="s">
        <v>30</v>
      </c>
      <c r="L4" s="4" t="s">
        <v>3</v>
      </c>
      <c r="M4" s="4" t="s">
        <v>30</v>
      </c>
      <c r="N4" s="4" t="s">
        <v>3</v>
      </c>
      <c r="O4" s="4" t="s">
        <v>30</v>
      </c>
      <c r="P4" s="4" t="s">
        <v>3</v>
      </c>
      <c r="Q4" s="4" t="s">
        <v>30</v>
      </c>
      <c r="R4" s="4" t="s">
        <v>3</v>
      </c>
      <c r="S4" s="4" t="s">
        <v>30</v>
      </c>
      <c r="T4" s="4" t="s">
        <v>3</v>
      </c>
      <c r="U4" s="4" t="s">
        <v>30</v>
      </c>
      <c r="V4" s="4" t="s">
        <v>3</v>
      </c>
      <c r="W4" s="4" t="s">
        <v>30</v>
      </c>
      <c r="X4" s="4" t="s">
        <v>3</v>
      </c>
      <c r="Y4" s="4" t="s">
        <v>30</v>
      </c>
      <c r="Z4" s="4" t="s">
        <v>3</v>
      </c>
      <c r="AA4" s="4" t="s">
        <v>30</v>
      </c>
      <c r="AB4" s="4" t="s">
        <v>3</v>
      </c>
      <c r="AC4" s="113" t="s">
        <v>48</v>
      </c>
    </row>
    <row r="5" spans="1:29" x14ac:dyDescent="0.25">
      <c r="A5" s="114" t="s">
        <v>41</v>
      </c>
      <c r="B5" s="115">
        <f>'2019'!A8</f>
        <v>1</v>
      </c>
      <c r="C5" s="116">
        <v>4</v>
      </c>
      <c r="D5" s="117" t="str">
        <f>'2019'!C8</f>
        <v>сторож</v>
      </c>
      <c r="E5" s="119">
        <f>'2019'!I10</f>
      </c>
      <c r="F5" s="119">
        <f>'2019'!J10</f>
      </c>
      <c r="G5" s="119">
        <f>'2019'!M10</f>
      </c>
      <c r="H5" s="119">
        <f>'2019'!N10</f>
      </c>
      <c r="I5" s="119">
        <f>'2019'!Q10</f>
      </c>
      <c r="J5" s="119">
        <f>'2019'!R10</f>
      </c>
      <c r="K5" s="119">
        <f>'2019'!U10</f>
      </c>
      <c r="L5" s="119">
        <f>'2019'!V10</f>
      </c>
      <c r="M5" s="119">
        <f>'2019'!Y10</f>
      </c>
      <c r="N5" s="119">
        <f>'2019'!Z10</f>
      </c>
      <c r="O5" s="119">
        <f>'2019'!AC10</f>
      </c>
      <c r="P5" s="119">
        <f>'2019'!AD10</f>
      </c>
      <c r="Q5" s="119">
        <f>'2019'!AG10</f>
      </c>
      <c r="R5" s="119">
        <f>'2019'!AH10</f>
      </c>
      <c r="S5" s="119">
        <f>'2019'!AK10</f>
      </c>
      <c r="T5" s="119">
        <f>'2019'!AL10</f>
      </c>
      <c r="U5" s="119">
        <f>'2019'!AO10</f>
      </c>
      <c r="V5" s="119">
        <f>'2019'!AP10</f>
      </c>
      <c r="W5" s="119">
        <f>'2019'!AS10</f>
      </c>
      <c r="X5" s="119">
        <f>'2019'!AT10</f>
      </c>
      <c r="Y5" s="119">
        <f>'2019'!AW10</f>
      </c>
      <c r="Z5" s="119">
        <f>'2019'!AX10</f>
      </c>
      <c r="AA5" s="119">
        <f>'2019'!BA10</f>
      </c>
      <c r="AB5" s="119">
        <f>'2019'!BB10</f>
      </c>
      <c r="AC5" s="119">
        <f>'2019'!BE10</f>
        <v>0</v>
      </c>
    </row>
    <row r="6" spans="1:29" x14ac:dyDescent="0.25">
      <c r="A6" s="14"/>
      <c r="B6" s="115">
        <v>2</v>
      </c>
      <c r="C6" s="115">
        <v>4.12</v>
      </c>
      <c r="D6" s="117" t="s">
        <v>359</v>
      </c>
      <c r="E6" s="119">
        <f>'2019'!I18</f>
        <v>131</v>
      </c>
      <c r="F6" s="119">
        <f>'2019'!J18</f>
      </c>
      <c r="G6" s="119">
        <f>'2019'!M18</f>
      </c>
      <c r="H6" s="119">
        <f>'2019'!N18</f>
      </c>
      <c r="I6" s="119">
        <f>'2019'!Q18</f>
      </c>
      <c r="J6" s="119">
        <f>'2019'!R18</f>
      </c>
      <c r="K6" s="119">
        <f>'2019'!U18</f>
      </c>
      <c r="L6" s="119">
        <f>'2019'!V18</f>
      </c>
      <c r="M6" s="119">
        <f>'2019'!Y18</f>
        <v>131</v>
      </c>
      <c r="N6" s="119">
        <f>'2019'!Z18</f>
        <v>0</v>
      </c>
      <c r="O6" s="119">
        <f>'2019'!AC18</f>
        <v>132</v>
      </c>
      <c r="P6" s="119">
        <f>'2019'!AD18</f>
        <v>1</v>
      </c>
      <c r="Q6" s="119">
        <f>'2019'!AG18</f>
        <v>135</v>
      </c>
      <c r="R6" s="119">
        <f>'2019'!AH18</f>
        <v>3</v>
      </c>
      <c r="S6" s="119">
        <f>'2019'!AK18</f>
        <v>140</v>
      </c>
      <c r="T6" s="119">
        <f>'2019'!AL18</f>
        <v>5</v>
      </c>
      <c r="U6" s="119">
        <f>'2019'!AO18</f>
        <v>145</v>
      </c>
      <c r="V6" s="119">
        <f>'2019'!AP18</f>
        <v>5</v>
      </c>
      <c r="W6" s="119">
        <f>'2019'!AS18</f>
        <v>145</v>
      </c>
      <c r="X6" s="119">
        <f>'2019'!AT18</f>
        <v>0</v>
      </c>
      <c r="Y6" s="119">
        <f>'2019'!AW18</f>
        <v>145</v>
      </c>
      <c r="Z6" s="119">
        <f>'2019'!AX18</f>
      </c>
      <c r="AA6" s="119">
        <f>'2019'!BA18</f>
        <v>145</v>
      </c>
      <c r="AB6" s="119">
        <f>'2019'!BB18</f>
      </c>
      <c r="AC6" s="119">
        <f>'2019'!BE18</f>
        <v>14</v>
      </c>
    </row>
    <row r="7" spans="1:29" x14ac:dyDescent="0.25">
      <c r="A7" s="14"/>
      <c r="B7" s="115">
        <v>3</v>
      </c>
      <c r="C7" s="116">
        <v>4</v>
      </c>
      <c r="D7" s="117" t="s">
        <v>60</v>
      </c>
      <c r="E7" s="119">
        <f>'2019'!I26</f>
        <v>115</v>
      </c>
      <c r="F7" s="119">
        <f>'2019'!J26</f>
      </c>
      <c r="G7" s="119">
        <f>'2019'!M26</f>
      </c>
      <c r="H7" s="119">
        <f>'2019'!N26</f>
      </c>
      <c r="I7" s="119">
        <f>'2019'!Q26</f>
      </c>
      <c r="J7" s="119">
        <f>'2019'!R26</f>
      </c>
      <c r="K7" s="119">
        <f>'2019'!U26</f>
      </c>
      <c r="L7" s="119">
        <f>'2019'!V26</f>
      </c>
      <c r="M7" s="119">
        <f>'2019'!Y26</f>
        <v>115</v>
      </c>
      <c r="N7" s="119">
        <f>'2019'!Z26</f>
        <v>0</v>
      </c>
      <c r="O7" s="119">
        <f>'2019'!AC26</f>
        <v>155</v>
      </c>
      <c r="P7" s="119">
        <f>'2019'!AD26</f>
        <v>20</v>
      </c>
      <c r="Q7" s="119">
        <f>'2019'!AG26</f>
        <v>155</v>
      </c>
      <c r="R7" s="119">
        <f>'2019'!AH26</f>
        <v>0</v>
      </c>
      <c r="S7" s="119">
        <f>'2019'!AK26</f>
        <v>225</v>
      </c>
      <c r="T7" s="119">
        <f>'2019'!AL26</f>
        <v>70</v>
      </c>
      <c r="U7" s="119">
        <f>'2019'!AO26</f>
        <v>229</v>
      </c>
      <c r="V7" s="119">
        <f>'2019'!AP26</f>
        <v>4</v>
      </c>
      <c r="W7" s="119">
        <f>'2019'!AS26</f>
        <v>229</v>
      </c>
      <c r="X7" s="119">
        <f>'2019'!AT26</f>
        <v>0</v>
      </c>
      <c r="Y7" s="119">
        <f>'2019'!AW26</f>
        <v>229</v>
      </c>
      <c r="Z7" s="119">
        <f>'2019'!AX26</f>
      </c>
      <c r="AA7" s="119">
        <f>'2019'!BA26</f>
        <v>229</v>
      </c>
      <c r="AB7" s="119">
        <f>'2019'!BB26</f>
      </c>
      <c r="AC7" s="119">
        <f>'2019'!BE26</f>
        <v>94</v>
      </c>
    </row>
    <row r="8" spans="1:29" x14ac:dyDescent="0.25">
      <c r="A8" s="14"/>
      <c r="B8" s="115">
        <v>4</v>
      </c>
      <c r="C8" s="115">
        <v>3.95</v>
      </c>
      <c r="D8" s="117" t="s">
        <v>64</v>
      </c>
      <c r="E8" s="119">
        <f>'2019'!I34</f>
        <v>21</v>
      </c>
      <c r="F8" s="119">
        <f>'2019'!J34</f>
      </c>
      <c r="G8" s="119">
        <f>'2019'!M34</f>
      </c>
      <c r="H8" s="119">
        <f>'2019'!N34</f>
      </c>
      <c r="I8" s="119">
        <f>'2019'!Q34</f>
      </c>
      <c r="J8" s="119">
        <f>'2019'!R34</f>
      </c>
      <c r="K8" s="119">
        <f>'2019'!U34</f>
      </c>
      <c r="L8" s="119">
        <f>'2019'!V34</f>
      </c>
      <c r="M8" s="119">
        <f>'2019'!Y34</f>
        <v>1</v>
      </c>
      <c r="N8" s="119">
        <f>'2019'!Z34</f>
        <v>1</v>
      </c>
      <c r="O8" s="119">
        <f>'2019'!AC34</f>
        <v>2</v>
      </c>
      <c r="P8" s="119">
        <f>'2019'!AD34</f>
        <v>1</v>
      </c>
      <c r="Q8" s="119">
        <f>'2019'!AG34</f>
        <v>8</v>
      </c>
      <c r="R8" s="119">
        <f>'2019'!AH34</f>
        <v>6</v>
      </c>
      <c r="S8" s="119">
        <f>'2019'!AK34</f>
        <v>11</v>
      </c>
      <c r="T8" s="119">
        <f>'2019'!AL34</f>
        <v>3</v>
      </c>
      <c r="U8" s="119">
        <f>'2019'!AO34</f>
        <v>11</v>
      </c>
      <c r="V8" s="119">
        <f>'2019'!AP34</f>
        <v>0</v>
      </c>
      <c r="W8" s="119">
        <f>'2019'!AS34</f>
        <v>18</v>
      </c>
      <c r="X8" s="119">
        <f>'2019'!AT34</f>
        <v>7</v>
      </c>
      <c r="Y8" s="119">
        <f>'2019'!AW34</f>
        <v>18</v>
      </c>
      <c r="Z8" s="119">
        <f>'2019'!AX34</f>
      </c>
      <c r="AA8" s="119">
        <f>'2019'!BA34</f>
        <v>18</v>
      </c>
      <c r="AB8" s="119">
        <f>'2019'!BB34</f>
      </c>
      <c r="AC8" s="119">
        <f>'2019'!BE34</f>
        <v>18</v>
      </c>
    </row>
    <row r="9" spans="1:29" x14ac:dyDescent="0.25">
      <c r="A9" s="14"/>
      <c r="B9" s="115">
        <v>5</v>
      </c>
      <c r="C9" s="115">
        <v>5.08</v>
      </c>
      <c r="D9" s="117" t="s">
        <v>66</v>
      </c>
      <c r="E9" s="119">
        <f>'2019'!I42</f>
        <v>115</v>
      </c>
      <c r="F9" s="119">
        <f>'2019'!J42</f>
      </c>
      <c r="G9" s="119">
        <f>'2019'!M42</f>
      </c>
      <c r="H9" s="119">
        <f>'2019'!N42</f>
      </c>
      <c r="I9" s="119">
        <f>'2019'!Q42</f>
      </c>
      <c r="J9" s="119">
        <f>'2019'!R42</f>
      </c>
      <c r="K9" s="119">
        <f>'2019'!U42</f>
      </c>
      <c r="L9" s="119">
        <f>'2019'!V42</f>
      </c>
      <c r="M9" s="119">
        <f>'2019'!Y42</f>
        <v>121</v>
      </c>
      <c r="N9" s="119">
        <f>'2019'!Z42</f>
        <v>6</v>
      </c>
      <c r="O9" s="119">
        <f>'2019'!AC42</f>
        <v>121</v>
      </c>
      <c r="P9" s="119">
        <f>'2019'!AD42</f>
        <v>0</v>
      </c>
      <c r="Q9" s="119">
        <f>'2019'!AG42</f>
        <v>146</v>
      </c>
      <c r="R9" s="119">
        <f>'2019'!AH42</f>
        <v>25</v>
      </c>
      <c r="S9" s="119">
        <f>'2019'!AK42</f>
        <v>146</v>
      </c>
      <c r="T9" s="119">
        <f>'2019'!AL42</f>
        <v>0</v>
      </c>
      <c r="U9" s="119">
        <f>'2019'!AO42</f>
        <v>152</v>
      </c>
      <c r="V9" s="119">
        <f>'2019'!AP42</f>
        <v>6</v>
      </c>
      <c r="W9" s="119">
        <f>'2019'!AS42</f>
        <v>152</v>
      </c>
      <c r="X9" s="119">
        <f>'2019'!AT42</f>
        <v>0</v>
      </c>
      <c r="Y9" s="119">
        <f>'2019'!AW42</f>
        <v>152</v>
      </c>
      <c r="Z9" s="119">
        <f>'2019'!AX42</f>
      </c>
      <c r="AA9" s="119">
        <f>'2019'!BA42</f>
        <v>152</v>
      </c>
      <c r="AB9" s="119">
        <f>'2019'!BB42</f>
      </c>
      <c r="AC9" s="119">
        <f>'2019'!BE42</f>
        <v>37</v>
      </c>
    </row>
    <row r="10" spans="1:29" x14ac:dyDescent="0.25">
      <c r="A10" s="14"/>
      <c r="B10" s="115">
        <v>6</v>
      </c>
      <c r="C10" s="115">
        <v>4.01</v>
      </c>
      <c r="D10" s="117" t="s">
        <v>70</v>
      </c>
      <c r="E10" s="119">
        <f>'2019'!I50</f>
        <v>233</v>
      </c>
      <c r="F10" s="119">
        <f>'2019'!J50</f>
      </c>
      <c r="G10" s="119">
        <f>'2019'!M50</f>
      </c>
      <c r="H10" s="119">
        <f>'2019'!N50</f>
      </c>
      <c r="I10" s="119">
        <f>'2019'!Q50</f>
      </c>
      <c r="J10" s="119">
        <f>'2019'!R50</f>
      </c>
      <c r="K10" s="119">
        <f>'2019'!U50</f>
      </c>
      <c r="L10" s="119">
        <f>'2019'!V50</f>
      </c>
      <c r="M10" s="119">
        <f>'2019'!Y50</f>
        <v>233</v>
      </c>
      <c r="N10" s="119">
        <f>'2019'!Z50</f>
        <v>0</v>
      </c>
      <c r="O10" s="119">
        <f>'2019'!AC50</f>
        <v>233</v>
      </c>
      <c r="P10" s="119">
        <f>'2019'!AD50</f>
        <v>0</v>
      </c>
      <c r="Q10" s="119">
        <f>'2019'!AG50</f>
        <v>233</v>
      </c>
      <c r="R10" s="119">
        <f>'2019'!AH50</f>
        <v>0</v>
      </c>
      <c r="S10" s="119">
        <f>'2019'!AK50</f>
        <v>233</v>
      </c>
      <c r="T10" s="119">
        <f>'2019'!AL50</f>
        <v>0</v>
      </c>
      <c r="U10" s="119">
        <f>'2019'!AO50</f>
        <v>250</v>
      </c>
      <c r="V10" s="119">
        <f>'2019'!AP50</f>
        <v>17</v>
      </c>
      <c r="W10" s="119">
        <f>'2019'!AS50</f>
        <v>250</v>
      </c>
      <c r="X10" s="119">
        <f>'2019'!AT50</f>
        <v>0</v>
      </c>
      <c r="Y10" s="119">
        <f>'2019'!AW50</f>
        <v>250</v>
      </c>
      <c r="Z10" s="119">
        <f>'2019'!AX50</f>
      </c>
      <c r="AA10" s="119">
        <f>'2019'!BA50</f>
        <v>250</v>
      </c>
      <c r="AB10" s="119">
        <f>'2019'!BB50</f>
      </c>
      <c r="AC10" s="119">
        <f>'2019'!BE50</f>
        <v>17</v>
      </c>
    </row>
    <row r="11" spans="1:29" x14ac:dyDescent="0.25">
      <c r="A11" s="14"/>
      <c r="B11" s="115">
        <v>7</v>
      </c>
      <c r="C11" s="115">
        <v>4.85</v>
      </c>
      <c r="D11" s="117" t="s">
        <v>74</v>
      </c>
      <c r="E11" s="119">
        <f>'2019'!I58</f>
        <v>50</v>
      </c>
      <c r="F11" s="119">
        <f>'2019'!J58</f>
      </c>
      <c r="G11" s="119">
        <f>'2019'!M58</f>
      </c>
      <c r="H11" s="119">
        <f>'2019'!N58</f>
      </c>
      <c r="I11" s="119">
        <f>'2019'!Q58</f>
      </c>
      <c r="J11" s="119">
        <f>'2019'!R58</f>
      </c>
      <c r="K11" s="119">
        <f>'2019'!U58</f>
      </c>
      <c r="L11" s="119">
        <f>'2019'!V58</f>
      </c>
      <c r="M11" s="119">
        <f>'2019'!Y58</f>
        <v>50</v>
      </c>
      <c r="N11" s="119">
        <f>'2019'!Z58</f>
      </c>
      <c r="O11" s="119">
        <f>'2019'!AC58</f>
        <v>50</v>
      </c>
      <c r="P11" s="119">
        <f>'2019'!AD58</f>
        <v>0</v>
      </c>
      <c r="Q11" s="119">
        <f>'2019'!AG58</f>
        <v>50</v>
      </c>
      <c r="R11" s="119">
        <f>'2019'!AH58</f>
        <v>0</v>
      </c>
      <c r="S11" s="119">
        <f>'2019'!AK58</f>
        <v>50</v>
      </c>
      <c r="T11" s="119">
        <f>'2019'!AL58</f>
        <v>0</v>
      </c>
      <c r="U11" s="119">
        <f>'2019'!AO58</f>
        <v>56</v>
      </c>
      <c r="V11" s="119">
        <f>'2019'!AP58</f>
        <v>6</v>
      </c>
      <c r="W11" s="119">
        <f>'2019'!AS58</f>
        <v>56</v>
      </c>
      <c r="X11" s="119">
        <f>'2019'!AT58</f>
        <v>0</v>
      </c>
      <c r="Y11" s="119">
        <f>'2019'!AW58</f>
        <v>56</v>
      </c>
      <c r="Z11" s="119">
        <f>'2019'!AX58</f>
      </c>
      <c r="AA11" s="119">
        <f>'2019'!BA58</f>
        <v>56</v>
      </c>
      <c r="AB11" s="119">
        <f>'2019'!BB58</f>
      </c>
      <c r="AC11" s="119">
        <f>'2019'!BE58</f>
        <v>6</v>
      </c>
    </row>
    <row r="12" spans="1:29" x14ac:dyDescent="0.25">
      <c r="A12" s="14"/>
      <c r="B12" s="115">
        <v>8</v>
      </c>
      <c r="C12" s="116">
        <v>4</v>
      </c>
      <c r="D12" s="117" t="s">
        <v>78</v>
      </c>
      <c r="E12" s="119">
        <f>'2019'!I66</f>
        <v>230</v>
      </c>
      <c r="F12" s="119">
        <f>'2019'!J66</f>
      </c>
      <c r="G12" s="119">
        <f>'2019'!M66</f>
      </c>
      <c r="H12" s="119">
        <f>'2019'!N66</f>
      </c>
      <c r="I12" s="119">
        <f>'2019'!Q66</f>
      </c>
      <c r="J12" s="119">
        <f>'2019'!R66</f>
      </c>
      <c r="K12" s="119">
        <f>'2019'!U66</f>
      </c>
      <c r="L12" s="119">
        <f>'2019'!V66</f>
      </c>
      <c r="M12" s="119">
        <f>'2019'!Y66</f>
        <v>0</v>
      </c>
      <c r="N12" s="119">
        <f>'2019'!Z66</f>
        <v>0</v>
      </c>
      <c r="O12" s="119">
        <f>'2019'!AC66</f>
        <v>3</v>
      </c>
      <c r="P12" s="119">
        <f>'2019'!AD66</f>
        <v>3</v>
      </c>
      <c r="Q12" s="119">
        <f>'2019'!AG66</f>
        <v>6</v>
      </c>
      <c r="R12" s="119">
        <f>'2019'!AH66</f>
        <v>3</v>
      </c>
      <c r="S12" s="119">
        <f>'2019'!AK66</f>
        <v>9</v>
      </c>
      <c r="T12" s="119">
        <f>'2019'!AL66</f>
        <v>3</v>
      </c>
      <c r="U12" s="119">
        <f>'2019'!AO66</f>
        <v>12</v>
      </c>
      <c r="V12" s="119">
        <f>'2019'!AP66</f>
        <v>3</v>
      </c>
      <c r="W12" s="119">
        <f>'2019'!AS66</f>
        <v>12</v>
      </c>
      <c r="X12" s="119">
        <f>'2019'!AT66</f>
        <v>0</v>
      </c>
      <c r="Y12" s="119">
        <f>'2019'!AW66</f>
        <v>12</v>
      </c>
      <c r="Z12" s="119">
        <f>'2019'!AX66</f>
      </c>
      <c r="AA12" s="119">
        <f>'2019'!BA66</f>
        <v>12</v>
      </c>
      <c r="AB12" s="119">
        <f>'2019'!BB66</f>
      </c>
      <c r="AC12" s="119">
        <f>'2019'!BE66</f>
        <v>12</v>
      </c>
    </row>
    <row r="13" spans="1:29" x14ac:dyDescent="0.25">
      <c r="A13" s="14"/>
      <c r="B13" s="115">
        <v>9</v>
      </c>
      <c r="C13" s="115">
        <v>4.03</v>
      </c>
      <c r="D13" s="117" t="s">
        <v>82</v>
      </c>
      <c r="E13" s="119">
        <f>'2019'!I74</f>
        <v>90</v>
      </c>
      <c r="F13" s="119">
        <f>'2019'!J74</f>
      </c>
      <c r="G13" s="119">
        <f>'2019'!M74</f>
      </c>
      <c r="H13" s="119">
        <f>'2019'!N74</f>
      </c>
      <c r="I13" s="119">
        <f>'2019'!Q74</f>
      </c>
      <c r="J13" s="119">
        <f>'2019'!R74</f>
      </c>
      <c r="K13" s="119">
        <f>'2019'!U74</f>
      </c>
      <c r="L13" s="119">
        <f>'2019'!V74</f>
      </c>
      <c r="M13" s="119">
        <f>'2019'!Y74</f>
        <v>90</v>
      </c>
      <c r="N13" s="119">
        <f>'2019'!Z74</f>
        <v>0</v>
      </c>
      <c r="O13" s="119">
        <f>'2019'!AC74</f>
        <v>102</v>
      </c>
      <c r="P13" s="119">
        <f>'2019'!AD74</f>
        <v>12</v>
      </c>
      <c r="Q13" s="119">
        <f>'2019'!AG74</f>
        <v>110</v>
      </c>
      <c r="R13" s="119">
        <f>'2019'!AH74</f>
        <v>8</v>
      </c>
      <c r="S13" s="119">
        <f>'2019'!AK74</f>
        <v>110</v>
      </c>
      <c r="T13" s="119">
        <f>'2019'!AL74</f>
        <v>0</v>
      </c>
      <c r="U13" s="119">
        <f>'2019'!AO74</f>
        <v>119</v>
      </c>
      <c r="V13" s="119">
        <f>'2019'!AP74</f>
        <v>9</v>
      </c>
      <c r="W13" s="119">
        <f>'2019'!AS74</f>
        <v>120</v>
      </c>
      <c r="X13" s="119">
        <f>'2019'!AT74</f>
        <v>1</v>
      </c>
      <c r="Y13" s="119">
        <f>'2019'!AW74</f>
        <v>120</v>
      </c>
      <c r="Z13" s="119">
        <f>'2019'!AX74</f>
      </c>
      <c r="AA13" s="119">
        <f>'2019'!BA74</f>
        <v>120</v>
      </c>
      <c r="AB13" s="119">
        <f>'2019'!BB74</f>
      </c>
      <c r="AC13" s="119">
        <f>'2019'!BE74</f>
        <v>30</v>
      </c>
    </row>
    <row r="14" spans="1:29" x14ac:dyDescent="0.25">
      <c r="A14" s="14"/>
      <c r="B14" s="115">
        <v>10</v>
      </c>
      <c r="C14" s="115">
        <v>4.01</v>
      </c>
      <c r="D14" s="117" t="s">
        <v>86</v>
      </c>
      <c r="E14" s="119">
        <f>'2019'!I82</f>
        <v>82</v>
      </c>
      <c r="F14" s="119">
        <f>'2019'!J82</f>
      </c>
      <c r="G14" s="119">
        <f>'2019'!M82</f>
      </c>
      <c r="H14" s="119">
        <f>'2019'!N82</f>
      </c>
      <c r="I14" s="119">
        <f>'2019'!Q82</f>
      </c>
      <c r="J14" s="119">
        <f>'2019'!R82</f>
      </c>
      <c r="K14" s="119">
        <f>'2019'!U82</f>
      </c>
      <c r="L14" s="119">
        <f>'2019'!V82</f>
      </c>
      <c r="M14" s="119">
        <f>'2019'!Y82</f>
        <v>3</v>
      </c>
      <c r="N14" s="119">
        <f>'2019'!Z82</f>
        <v>3</v>
      </c>
      <c r="O14" s="119">
        <f>'2019'!AC82</f>
        <v>5</v>
      </c>
      <c r="P14" s="119">
        <f>'2019'!AD82</f>
        <v>2</v>
      </c>
      <c r="Q14" s="119">
        <f>'2019'!AG82</f>
        <v>5</v>
      </c>
      <c r="R14" s="119">
        <f>'2019'!AH82</f>
        <v>0</v>
      </c>
      <c r="S14" s="119">
        <f>'2019'!AK82</f>
        <v>21</v>
      </c>
      <c r="T14" s="119">
        <f>'2019'!AL82</f>
        <v>16</v>
      </c>
      <c r="U14" s="119">
        <f>'2019'!AO82</f>
        <v>24</v>
      </c>
      <c r="V14" s="119">
        <f>'2019'!AP82</f>
        <v>3</v>
      </c>
      <c r="W14" s="119">
        <f>'2019'!AS82</f>
        <v>24</v>
      </c>
      <c r="X14" s="119">
        <f>'2019'!AT82</f>
        <v>0</v>
      </c>
      <c r="Y14" s="119">
        <f>'2019'!AW82</f>
        <v>24</v>
      </c>
      <c r="Z14" s="119">
        <f>'2019'!AX82</f>
      </c>
      <c r="AA14" s="119">
        <f>'2019'!BA82</f>
        <v>24</v>
      </c>
      <c r="AB14" s="119">
        <f>'2019'!BB82</f>
      </c>
      <c r="AC14" s="119">
        <f>'2019'!BE82</f>
        <v>24</v>
      </c>
    </row>
    <row r="15" spans="1:29" x14ac:dyDescent="0.25">
      <c r="A15" s="14"/>
      <c r="B15" s="115">
        <v>11</v>
      </c>
      <c r="C15" s="115">
        <v>4.02</v>
      </c>
      <c r="D15" s="117" t="s">
        <v>89</v>
      </c>
      <c r="E15" s="119">
        <f>'2019'!I90</f>
        <v>9</v>
      </c>
      <c r="F15" s="119">
        <f>'2019'!J90</f>
      </c>
      <c r="G15" s="119">
        <f>'2019'!M90</f>
      </c>
      <c r="H15" s="119">
        <f>'2019'!N90</f>
      </c>
      <c r="I15" s="119">
        <f>'2019'!Q90</f>
      </c>
      <c r="J15" s="119">
        <f>'2019'!R90</f>
      </c>
      <c r="K15" s="119">
        <f>'2019'!U90</f>
      </c>
      <c r="L15" s="119">
        <f>'2019'!V90</f>
      </c>
      <c r="M15" s="119">
        <f>'2019'!Y90</f>
        <v>10</v>
      </c>
      <c r="N15" s="119">
        <f>'2019'!Z90</f>
        <v>1</v>
      </c>
      <c r="O15" s="119">
        <f>'2019'!AC90</f>
        <v>10</v>
      </c>
      <c r="P15" s="119">
        <f>'2019'!AD90</f>
        <v>0</v>
      </c>
      <c r="Q15" s="119">
        <f>'2019'!AG90</f>
        <v>10</v>
      </c>
      <c r="R15" s="119">
        <f>'2019'!AH90</f>
        <v>0</v>
      </c>
      <c r="S15" s="119">
        <f>'2019'!AK90</f>
        <v>10</v>
      </c>
      <c r="T15" s="119">
        <f>'2019'!AL90</f>
        <v>0</v>
      </c>
      <c r="U15" s="119">
        <f>'2019'!AO90</f>
        <v>10</v>
      </c>
      <c r="V15" s="119">
        <f>'2019'!AP90</f>
        <v>0</v>
      </c>
      <c r="W15" s="119">
        <f>'2019'!AS90</f>
        <v>10</v>
      </c>
      <c r="X15" s="119">
        <f>'2019'!AT90</f>
        <v>0</v>
      </c>
      <c r="Y15" s="119">
        <f>'2019'!AW90</f>
        <v>10</v>
      </c>
      <c r="Z15" s="119">
        <f>'2019'!AX90</f>
      </c>
      <c r="AA15" s="119">
        <f>'2019'!BA90</f>
        <v>10</v>
      </c>
      <c r="AB15" s="119">
        <f>'2019'!BB90</f>
      </c>
      <c r="AC15" s="119">
        <f>'2019'!BE90</f>
        <v>1</v>
      </c>
    </row>
    <row r="16" spans="1:29" x14ac:dyDescent="0.25">
      <c r="A16" s="14"/>
      <c r="B16" s="115">
        <v>12</v>
      </c>
      <c r="C16" s="115">
        <v>4.02</v>
      </c>
      <c r="D16" s="117" t="s">
        <v>92</v>
      </c>
      <c r="E16" s="119">
        <f>'2019'!I98</f>
      </c>
      <c r="F16" s="119">
        <f>'2019'!J98</f>
      </c>
      <c r="G16" s="119">
        <f>'2019'!M98</f>
      </c>
      <c r="H16" s="119">
        <f>'2019'!N98</f>
      </c>
      <c r="I16" s="119">
        <f>'2019'!Q98</f>
      </c>
      <c r="J16" s="119">
        <f>'2019'!R98</f>
      </c>
      <c r="K16" s="119">
        <f>'2019'!U98</f>
      </c>
      <c r="L16" s="119">
        <f>'2019'!V98</f>
      </c>
      <c r="M16" s="119">
        <f>'2019'!Y98</f>
      </c>
      <c r="N16" s="119">
        <f>'2019'!Z98</f>
      </c>
      <c r="O16" s="119">
        <f>'2019'!AC98</f>
      </c>
      <c r="P16" s="119">
        <f>'2019'!AD98</f>
      </c>
      <c r="Q16" s="119">
        <f>'2019'!AG98</f>
      </c>
      <c r="R16" s="119">
        <f>'2019'!AH98</f>
        <v>0</v>
      </c>
      <c r="S16" s="119">
        <f>'2019'!AK98</f>
      </c>
      <c r="T16" s="119">
        <f>'2019'!AL98</f>
        <v>0</v>
      </c>
      <c r="U16" s="119">
        <f>'2019'!AO98</f>
      </c>
      <c r="V16" s="119">
        <f>'2019'!AP98</f>
        <v>0</v>
      </c>
      <c r="W16" s="119">
        <f>'2019'!AS98</f>
      </c>
      <c r="X16" s="119">
        <f>'2019'!AT98</f>
      </c>
      <c r="Y16" s="119">
        <f>'2019'!AW98</f>
      </c>
      <c r="Z16" s="119">
        <f>'2019'!AX98</f>
      </c>
      <c r="AA16" s="119">
        <f>'2019'!BA98</f>
      </c>
      <c r="AB16" s="119">
        <f>'2019'!BB98</f>
      </c>
      <c r="AC16" s="119">
        <f>'2019'!BE98</f>
        <v>0</v>
      </c>
    </row>
    <row r="17" spans="1:29" x14ac:dyDescent="0.25">
      <c r="A17" s="14"/>
      <c r="B17" s="115" t="s">
        <v>96</v>
      </c>
      <c r="C17" s="115">
        <v>7.94</v>
      </c>
      <c r="D17" s="117" t="s">
        <v>97</v>
      </c>
      <c r="E17" s="119">
        <f>'2019'!I106</f>
        <v>36</v>
      </c>
      <c r="F17" s="119">
        <f>'2019'!J106</f>
      </c>
      <c r="G17" s="119">
        <f>'2019'!M106</f>
      </c>
      <c r="H17" s="119">
        <f>'2019'!N106</f>
      </c>
      <c r="I17" s="119">
        <f>'2019'!Q106</f>
      </c>
      <c r="J17" s="119">
        <f>'2019'!R106</f>
      </c>
      <c r="K17" s="119">
        <f>'2019'!U106</f>
      </c>
      <c r="L17" s="119">
        <f>'2019'!V106</f>
      </c>
      <c r="M17" s="119">
        <f>'2019'!Y106</f>
        <v>64</v>
      </c>
      <c r="N17" s="119">
        <f>'2019'!Z106</f>
        <v>28</v>
      </c>
      <c r="O17" s="119">
        <f>'2019'!AC106</f>
        <v>64</v>
      </c>
      <c r="P17" s="119">
        <f>'2019'!AD106</f>
        <v>0</v>
      </c>
      <c r="Q17" s="119">
        <f>'2019'!AG106</f>
        <v>64</v>
      </c>
      <c r="R17" s="119">
        <f>'2019'!AH106</f>
        <v>0</v>
      </c>
      <c r="S17" s="119">
        <f>'2019'!AK106</f>
        <v>68</v>
      </c>
      <c r="T17" s="119">
        <f>'2019'!AL106</f>
        <v>4</v>
      </c>
      <c r="U17" s="119">
        <f>'2019'!AO106</f>
        <v>68</v>
      </c>
      <c r="V17" s="119">
        <f>'2019'!AP106</f>
        <v>0</v>
      </c>
      <c r="W17" s="119">
        <f>'2019'!AS106</f>
        <v>68</v>
      </c>
      <c r="X17" s="119">
        <f>'2019'!AT106</f>
        <v>0</v>
      </c>
      <c r="Y17" s="119">
        <f>'2019'!AW106</f>
        <v>68</v>
      </c>
      <c r="Z17" s="119">
        <f>'2019'!AX106</f>
      </c>
      <c r="AA17" s="119">
        <f>'2019'!BA106</f>
        <v>68</v>
      </c>
      <c r="AB17" s="119">
        <f>'2019'!BB106</f>
      </c>
      <c r="AC17" s="119">
        <f>'2019'!BE106</f>
        <v>32</v>
      </c>
    </row>
    <row r="18" spans="1:29" x14ac:dyDescent="0.25">
      <c r="A18" s="14"/>
      <c r="B18" s="115">
        <v>14</v>
      </c>
      <c r="C18" s="115">
        <v>4.02</v>
      </c>
      <c r="D18" s="117" t="s">
        <v>100</v>
      </c>
      <c r="E18" s="119">
        <f>'2019'!I114</f>
      </c>
      <c r="F18" s="119">
        <f>'2019'!J114</f>
      </c>
      <c r="G18" s="119">
        <f>'2019'!M114</f>
      </c>
      <c r="H18" s="119">
        <f>'2019'!N114</f>
      </c>
      <c r="I18" s="119">
        <f>'2019'!Q114</f>
      </c>
      <c r="J18" s="119">
        <f>'2019'!R114</f>
      </c>
      <c r="K18" s="119">
        <f>'2019'!U114</f>
      </c>
      <c r="L18" s="119">
        <f>'2019'!V114</f>
      </c>
      <c r="M18" s="119">
        <f>'2019'!Y114</f>
      </c>
      <c r="N18" s="119">
        <f>'2019'!Z114</f>
      </c>
      <c r="O18" s="119">
        <f>'2019'!AC114</f>
      </c>
      <c r="P18" s="119">
        <f>'2019'!AD114</f>
      </c>
      <c r="Q18" s="119">
        <f>'2019'!AG114</f>
      </c>
      <c r="R18" s="119">
        <f>'2019'!AH114</f>
      </c>
      <c r="S18" s="119">
        <f>'2019'!AK114</f>
      </c>
      <c r="T18" s="119">
        <f>'2019'!AL114</f>
      </c>
      <c r="U18" s="119">
        <f>'2019'!AO114</f>
      </c>
      <c r="V18" s="119">
        <f>'2019'!AP114</f>
      </c>
      <c r="W18" s="119">
        <f>'2019'!AS114</f>
      </c>
      <c r="X18" s="119">
        <f>'2019'!AT114</f>
      </c>
      <c r="Y18" s="119">
        <f>'2019'!AW114</f>
      </c>
      <c r="Z18" s="119">
        <f>'2019'!AX114</f>
      </c>
      <c r="AA18" s="119">
        <f>'2019'!BA114</f>
      </c>
      <c r="AB18" s="119">
        <f>'2019'!BB114</f>
      </c>
      <c r="AC18" s="119">
        <f>'2019'!BE114</f>
        <v>0</v>
      </c>
    </row>
    <row r="19" spans="1:29" x14ac:dyDescent="0.25">
      <c r="A19" s="14"/>
      <c r="B19" s="115">
        <v>16</v>
      </c>
      <c r="C19" s="115">
        <v>3.98</v>
      </c>
      <c r="D19" s="117" t="s">
        <v>103</v>
      </c>
      <c r="E19" s="119">
        <f>'2019'!I122</f>
        <v>95</v>
      </c>
      <c r="F19" s="119">
        <f>'2019'!J122</f>
      </c>
      <c r="G19" s="119">
        <f>'2019'!M122</f>
      </c>
      <c r="H19" s="119">
        <f>'2019'!N122</f>
      </c>
      <c r="I19" s="119">
        <f>'2019'!Q122</f>
      </c>
      <c r="J19" s="119">
        <f>'2019'!R122</f>
      </c>
      <c r="K19" s="119">
        <f>'2019'!U122</f>
      </c>
      <c r="L19" s="119">
        <f>'2019'!V122</f>
      </c>
      <c r="M19" s="119">
        <f>'2019'!Y122</f>
        <v>92</v>
      </c>
      <c r="N19" s="119">
        <f>'2019'!Z122</f>
        <v>-3</v>
      </c>
      <c r="O19" s="119">
        <f>'2019'!AC122</f>
        <v>97</v>
      </c>
      <c r="P19" s="119">
        <f>'2019'!AD122</f>
        <v>5</v>
      </c>
      <c r="Q19" s="119">
        <f>'2019'!AG122</f>
        <v>97</v>
      </c>
      <c r="R19" s="119">
        <f>'2019'!AH122</f>
        <v>0</v>
      </c>
      <c r="S19" s="119">
        <f>'2019'!AK122</f>
        <v>108</v>
      </c>
      <c r="T19" s="119">
        <f>'2019'!AL122</f>
        <v>11</v>
      </c>
      <c r="U19" s="119">
        <f>'2019'!AO122</f>
        <v>110</v>
      </c>
      <c r="V19" s="119">
        <f>'2019'!AP122</f>
        <v>2</v>
      </c>
      <c r="W19" s="119">
        <f>'2019'!AS122</f>
        <v>110</v>
      </c>
      <c r="X19" s="119">
        <f>'2019'!AT122</f>
        <v>0</v>
      </c>
      <c r="Y19" s="119">
        <f>'2019'!AW122</f>
        <v>110</v>
      </c>
      <c r="Z19" s="119">
        <f>'2019'!AX122</f>
      </c>
      <c r="AA19" s="119">
        <f>'2019'!BA122</f>
        <v>110</v>
      </c>
      <c r="AB19" s="119">
        <f>'2019'!BB122</f>
      </c>
      <c r="AC19" s="119">
        <f>'2019'!BE122</f>
        <v>15</v>
      </c>
    </row>
    <row r="20" spans="1:29" x14ac:dyDescent="0.25">
      <c r="A20" s="14"/>
      <c r="B20" s="115">
        <v>17</v>
      </c>
      <c r="C20" s="116">
        <v>4</v>
      </c>
      <c r="D20" s="117" t="s">
        <v>106</v>
      </c>
      <c r="E20" s="119">
        <f>'2019'!I130</f>
        <v>35</v>
      </c>
      <c r="F20" s="119">
        <f>'2019'!J130</f>
      </c>
      <c r="G20" s="119">
        <f>'2019'!M130</f>
      </c>
      <c r="H20" s="119">
        <f>'2019'!N130</f>
      </c>
      <c r="I20" s="119">
        <f>'2019'!Q130</f>
      </c>
      <c r="J20" s="119">
        <f>'2019'!R130</f>
      </c>
      <c r="K20" s="119">
        <f>'2019'!U130</f>
      </c>
      <c r="L20" s="119">
        <f>'2019'!V130</f>
      </c>
      <c r="M20" s="119">
        <f>'2019'!Y130</f>
        <v>35</v>
      </c>
      <c r="N20" s="119">
        <f>'2019'!Z130</f>
        <v>0</v>
      </c>
      <c r="O20" s="119">
        <f>'2019'!AC130</f>
        <v>67</v>
      </c>
      <c r="P20" s="119">
        <f>'2019'!AD130</f>
        <v>32</v>
      </c>
      <c r="Q20" s="119">
        <f>'2019'!AG130</f>
        <v>69</v>
      </c>
      <c r="R20" s="119">
        <f>'2019'!AH130</f>
        <v>2</v>
      </c>
      <c r="S20" s="119">
        <f>'2019'!AK130</f>
        <v>69</v>
      </c>
      <c r="T20" s="119">
        <f>'2019'!AL130</f>
        <v>0</v>
      </c>
      <c r="U20" s="119">
        <f>'2019'!AO130</f>
        <v>69</v>
      </c>
      <c r="V20" s="119">
        <f>'2019'!AP130</f>
        <v>0</v>
      </c>
      <c r="W20" s="119">
        <f>'2019'!AS130</f>
        <v>69</v>
      </c>
      <c r="X20" s="119">
        <f>'2019'!AT130</f>
        <v>0</v>
      </c>
      <c r="Y20" s="119">
        <f>'2019'!AW130</f>
        <v>69</v>
      </c>
      <c r="Z20" s="119">
        <f>'2019'!AX130</f>
      </c>
      <c r="AA20" s="119">
        <f>'2019'!BA130</f>
        <v>69</v>
      </c>
      <c r="AB20" s="119">
        <f>'2019'!BB130</f>
      </c>
      <c r="AC20" s="119">
        <f>'2019'!BE130</f>
        <v>34</v>
      </c>
    </row>
    <row r="21" ht="15.75" customHeight="1" spans="1:29" x14ac:dyDescent="0.25">
      <c r="A21" s="14"/>
      <c r="B21" s="115">
        <v>18</v>
      </c>
      <c r="C21" s="115">
        <v>4.03</v>
      </c>
      <c r="D21" s="117" t="s">
        <v>109</v>
      </c>
      <c r="E21" s="119">
        <f>'2019'!I138</f>
        <v>305</v>
      </c>
      <c r="F21" s="119">
        <f>'2019'!J138</f>
      </c>
      <c r="G21" s="119">
        <f>'2019'!M138</f>
      </c>
      <c r="H21" s="119">
        <f>'2019'!N138</f>
      </c>
      <c r="I21" s="119">
        <f>'2019'!Q138</f>
      </c>
      <c r="J21" s="119">
        <f>'2019'!R138</f>
      </c>
      <c r="K21" s="119">
        <f>'2019'!U138</f>
      </c>
      <c r="L21" s="119">
        <f>'2019'!V138</f>
      </c>
      <c r="M21" s="119">
        <f>'2019'!Y138</f>
        <v>205</v>
      </c>
      <c r="N21" s="119">
        <f>'2019'!Z138</f>
        <v>0</v>
      </c>
      <c r="O21" s="119">
        <f>'2019'!AC138</f>
        <v>208</v>
      </c>
      <c r="P21" s="119">
        <f>'2019'!AD138</f>
        <v>3</v>
      </c>
      <c r="Q21" s="119">
        <f>'2019'!AG138</f>
        <v>208</v>
      </c>
      <c r="R21" s="119">
        <f>'2019'!AH138</f>
        <v>0</v>
      </c>
      <c r="S21" s="119">
        <f>'2019'!AK138</f>
        <v>219</v>
      </c>
      <c r="T21" s="119">
        <f>'2019'!AL138</f>
        <v>11</v>
      </c>
      <c r="U21" s="119">
        <f>'2019'!AO138</f>
        <v>219</v>
      </c>
      <c r="V21" s="119">
        <f>'2019'!AP138</f>
        <v>0</v>
      </c>
      <c r="W21" s="119">
        <f>'2019'!AS138</f>
        <v>219</v>
      </c>
      <c r="X21" s="119">
        <f>'2019'!AT138</f>
        <v>0</v>
      </c>
      <c r="Y21" s="119">
        <f>'2019'!AW138</f>
        <v>219</v>
      </c>
      <c r="Z21" s="119">
        <f>'2019'!AX138</f>
      </c>
      <c r="AA21" s="119">
        <f>'2019'!BA138</f>
        <v>219</v>
      </c>
      <c r="AB21" s="119">
        <f>'2019'!BB138</f>
      </c>
      <c r="AC21" s="119">
        <f>'2019'!BE138</f>
        <v>14</v>
      </c>
    </row>
    <row r="22" ht="15.75" customHeight="1" spans="1:29" x14ac:dyDescent="0.25">
      <c r="A22" s="21"/>
      <c r="B22" s="115">
        <v>19</v>
      </c>
      <c r="C22" s="116">
        <v>4.1</v>
      </c>
      <c r="D22" s="117" t="s">
        <v>113</v>
      </c>
      <c r="E22" s="119">
        <f>'2019'!I146</f>
        <v>21</v>
      </c>
      <c r="F22" s="119">
        <f>'2019'!J146</f>
      </c>
      <c r="G22" s="119">
        <f>'2019'!M146</f>
      </c>
      <c r="H22" s="119">
        <f>'2019'!N146</f>
      </c>
      <c r="I22" s="119">
        <f>'2019'!Q146</f>
      </c>
      <c r="J22" s="119">
        <f>'2019'!R146</f>
      </c>
      <c r="K22" s="119">
        <f>'2019'!U146</f>
      </c>
      <c r="L22" s="119">
        <f>'2019'!V146</f>
      </c>
      <c r="M22" s="119">
        <f>'2019'!Y146</f>
        <v>27</v>
      </c>
      <c r="N22" s="119">
        <f>'2019'!Z146</f>
        <v>6</v>
      </c>
      <c r="O22" s="119">
        <f>'2019'!AC146</f>
        <v>27</v>
      </c>
      <c r="P22" s="119">
        <f>'2019'!AD146</f>
        <v>0</v>
      </c>
      <c r="Q22" s="119">
        <f>'2019'!AG146</f>
        <v>27</v>
      </c>
      <c r="R22" s="119">
        <f>'2019'!AH146</f>
        <v>0</v>
      </c>
      <c r="S22" s="119">
        <f>'2019'!AK146</f>
        <v>27</v>
      </c>
      <c r="T22" s="119">
        <f>'2019'!AL146</f>
        <v>0</v>
      </c>
      <c r="U22" s="119">
        <f>'2019'!AO146</f>
        <v>78</v>
      </c>
      <c r="V22" s="119">
        <f>'2019'!AP146</f>
        <v>51</v>
      </c>
      <c r="W22" s="119">
        <f>'2019'!AS146</f>
        <v>78</v>
      </c>
      <c r="X22" s="119">
        <f>'2019'!AT146</f>
        <v>0</v>
      </c>
      <c r="Y22" s="119">
        <f>'2019'!AW146</f>
        <v>78</v>
      </c>
      <c r="Z22" s="119">
        <f>'2019'!AX146</f>
      </c>
      <c r="AA22" s="119">
        <f>'2019'!BA146</f>
        <v>78</v>
      </c>
      <c r="AB22" s="119">
        <f>'2019'!BB146</f>
      </c>
      <c r="AC22" s="119">
        <f>'2019'!BE146</f>
        <v>57</v>
      </c>
    </row>
    <row r="23" ht="15.75" customHeight="1" spans="1:29" x14ac:dyDescent="0.25">
      <c r="A23" s="114" t="s">
        <v>116</v>
      </c>
      <c r="B23" s="115" t="s">
        <v>117</v>
      </c>
      <c r="C23" s="116">
        <v>8</v>
      </c>
      <c r="D23" s="117" t="s">
        <v>118</v>
      </c>
      <c r="E23" s="119">
        <f>'2019'!I154</f>
        <v>140</v>
      </c>
      <c r="F23" s="119">
        <f>'2019'!J154</f>
      </c>
      <c r="G23" s="119">
        <f>'2019'!M154</f>
      </c>
      <c r="H23" s="119">
        <f>'2019'!N154</f>
      </c>
      <c r="I23" s="119">
        <f>'2019'!Q154</f>
      </c>
      <c r="J23" s="119">
        <f>'2019'!R154</f>
      </c>
      <c r="K23" s="119">
        <f>'2019'!U154</f>
      </c>
      <c r="L23" s="119">
        <f>'2019'!V154</f>
      </c>
      <c r="M23" s="119">
        <f>'2019'!Y154</f>
        <v>140</v>
      </c>
      <c r="N23" s="119">
        <f>'2019'!Z154</f>
        <v>0</v>
      </c>
      <c r="O23" s="119">
        <f>'2019'!AC154</f>
        <v>145</v>
      </c>
      <c r="P23" s="119">
        <f>'2019'!AD154</f>
        <v>5</v>
      </c>
      <c r="Q23" s="119">
        <f>'2019'!AG154</f>
        <v>154</v>
      </c>
      <c r="R23" s="119">
        <f>'2019'!AH154</f>
        <v>9</v>
      </c>
      <c r="S23" s="119">
        <f>'2019'!AK154</f>
        <v>158</v>
      </c>
      <c r="T23" s="119">
        <f>'2019'!AL154</f>
        <v>4</v>
      </c>
      <c r="U23" s="119">
        <f>'2019'!AO154</f>
        <v>160</v>
      </c>
      <c r="V23" s="119">
        <f>'2019'!AP154</f>
        <v>2</v>
      </c>
      <c r="W23" s="119">
        <f>'2019'!AS154</f>
        <v>162</v>
      </c>
      <c r="X23" s="119">
        <f>'2019'!AT154</f>
        <v>2</v>
      </c>
      <c r="Y23" s="119">
        <f>'2019'!AW154</f>
        <v>162</v>
      </c>
      <c r="Z23" s="119">
        <f>'2019'!AX154</f>
      </c>
      <c r="AA23" s="119">
        <f>'2019'!BA154</f>
        <v>162</v>
      </c>
      <c r="AB23" s="119">
        <f>'2019'!BB154</f>
      </c>
      <c r="AC23" s="119">
        <f>'2019'!BE154</f>
        <v>22</v>
      </c>
    </row>
    <row r="24" ht="15.75" customHeight="1" spans="1:29" x14ac:dyDescent="0.25">
      <c r="A24" s="14"/>
      <c r="B24" s="115">
        <v>21</v>
      </c>
      <c r="C24" s="115">
        <v>3.96</v>
      </c>
      <c r="D24" s="117" t="s">
        <v>120</v>
      </c>
      <c r="E24" s="119">
        <f>'2019'!I162</f>
        <v>26</v>
      </c>
      <c r="F24" s="119">
        <f>'2019'!J162</f>
      </c>
      <c r="G24" s="119">
        <f>'2019'!M162</f>
      </c>
      <c r="H24" s="119">
        <f>'2019'!N162</f>
      </c>
      <c r="I24" s="119">
        <f>'2019'!Q162</f>
      </c>
      <c r="J24" s="119">
        <f>'2019'!R162</f>
      </c>
      <c r="K24" s="119">
        <f>'2019'!U162</f>
      </c>
      <c r="L24" s="119">
        <f>'2019'!V162</f>
      </c>
      <c r="M24" s="119">
        <f>'2019'!Y162</f>
        <v>27</v>
      </c>
      <c r="N24" s="119">
        <f>'2019'!Z162</f>
        <v>1</v>
      </c>
      <c r="O24" s="119">
        <f>'2019'!AC162</f>
        <v>29</v>
      </c>
      <c r="P24" s="119">
        <f>'2019'!AD162</f>
        <v>2</v>
      </c>
      <c r="Q24" s="119">
        <f>'2019'!AG162</f>
        <v>32</v>
      </c>
      <c r="R24" s="119">
        <f>'2019'!AH162</f>
        <v>3</v>
      </c>
      <c r="S24" s="119">
        <f>'2019'!AK162</f>
        <v>36</v>
      </c>
      <c r="T24" s="119">
        <f>'2019'!AL162</f>
        <v>4</v>
      </c>
      <c r="U24" s="119">
        <f>'2019'!AO162</f>
        <v>36</v>
      </c>
      <c r="V24" s="119">
        <f>'2019'!AP162</f>
        <v>0</v>
      </c>
      <c r="W24" s="119">
        <f>'2019'!AS162</f>
        <v>36</v>
      </c>
      <c r="X24" s="119">
        <f>'2019'!AT162</f>
        <v>0</v>
      </c>
      <c r="Y24" s="119">
        <f>'2019'!AW162</f>
        <v>36</v>
      </c>
      <c r="Z24" s="119">
        <f>'2019'!AX162</f>
      </c>
      <c r="AA24" s="119">
        <f>'2019'!BA162</f>
        <v>36</v>
      </c>
      <c r="AB24" s="119">
        <f>'2019'!BB162</f>
      </c>
      <c r="AC24" s="119">
        <f>'2019'!BE162</f>
        <v>10</v>
      </c>
    </row>
    <row r="25" ht="15.75" customHeight="1" spans="1:29" x14ac:dyDescent="0.25">
      <c r="A25" s="14"/>
      <c r="B25" s="115">
        <v>23</v>
      </c>
      <c r="C25" s="115">
        <v>3.98</v>
      </c>
      <c r="D25" s="117" t="s">
        <v>124</v>
      </c>
      <c r="E25" s="119">
        <f>'2019'!I170</f>
        <v>70</v>
      </c>
      <c r="F25" s="119">
        <f>'2019'!J170</f>
      </c>
      <c r="G25" s="119">
        <f>'2019'!M170</f>
      </c>
      <c r="H25" s="119">
        <f>'2019'!N170</f>
      </c>
      <c r="I25" s="119">
        <f>'2019'!Q170</f>
      </c>
      <c r="J25" s="119">
        <f>'2019'!R170</f>
      </c>
      <c r="K25" s="119">
        <f>'2019'!U170</f>
      </c>
      <c r="L25" s="119">
        <f>'2019'!V170</f>
      </c>
      <c r="M25" s="119">
        <f>'2019'!Y170</f>
        <v>3</v>
      </c>
      <c r="N25" s="119">
        <f>'2019'!Z170</f>
        <v>3</v>
      </c>
      <c r="O25" s="119">
        <f>'2019'!AC170</f>
        <v>8</v>
      </c>
      <c r="P25" s="119">
        <f>'2019'!AD170</f>
        <v>5</v>
      </c>
      <c r="Q25" s="119">
        <f>'2019'!AG170</f>
        <v>24</v>
      </c>
      <c r="R25" s="119">
        <f>'2019'!AH170</f>
        <v>16</v>
      </c>
      <c r="S25" s="119">
        <f>'2019'!AK170</f>
        <v>37</v>
      </c>
      <c r="T25" s="119">
        <f>'2019'!AL170</f>
        <v>13</v>
      </c>
      <c r="U25" s="119">
        <f>'2019'!AO170</f>
        <v>43</v>
      </c>
      <c r="V25" s="119">
        <f>'2019'!AP170</f>
        <v>6</v>
      </c>
      <c r="W25" s="119">
        <f>'2019'!AS170</f>
        <v>45</v>
      </c>
      <c r="X25" s="119">
        <f>'2019'!AT170</f>
        <v>2</v>
      </c>
      <c r="Y25" s="119">
        <f>'2019'!AW170</f>
        <v>45</v>
      </c>
      <c r="Z25" s="119">
        <f>'2019'!AX170</f>
      </c>
      <c r="AA25" s="119">
        <f>'2019'!BA170</f>
        <v>45</v>
      </c>
      <c r="AB25" s="119">
        <f>'2019'!BB170</f>
      </c>
      <c r="AC25" s="119">
        <f>'2019'!BE170</f>
        <v>45</v>
      </c>
    </row>
    <row r="26" ht="15.75" customHeight="1" spans="1:29" x14ac:dyDescent="0.25">
      <c r="A26" s="14"/>
      <c r="B26" s="115">
        <v>24</v>
      </c>
      <c r="C26" s="115">
        <v>4.01</v>
      </c>
      <c r="D26" s="117" t="s">
        <v>127</v>
      </c>
      <c r="E26" s="119">
        <f>'2019'!I178</f>
        <v>66</v>
      </c>
      <c r="F26" s="119">
        <f>'2019'!J178</f>
      </c>
      <c r="G26" s="119">
        <f>'2019'!M178</f>
      </c>
      <c r="H26" s="119">
        <f>'2019'!N178</f>
      </c>
      <c r="I26" s="119">
        <f>'2019'!Q178</f>
      </c>
      <c r="J26" s="119">
        <f>'2019'!R178</f>
      </c>
      <c r="K26" s="119">
        <f>'2019'!U178</f>
      </c>
      <c r="L26" s="119">
        <f>'2019'!V178</f>
      </c>
      <c r="M26" s="119">
        <f>'2019'!Y178</f>
        <v>65</v>
      </c>
      <c r="N26" s="119">
        <f>'2019'!Z178</f>
        <v>-1</v>
      </c>
      <c r="O26" s="119">
        <f>'2019'!AC178</f>
        <v>68</v>
      </c>
      <c r="P26" s="119">
        <f>'2019'!AD178</f>
        <v>3</v>
      </c>
      <c r="Q26" s="119">
        <f>'2019'!AG178</f>
        <v>75</v>
      </c>
      <c r="R26" s="119">
        <f>'2019'!AH178</f>
        <v>7</v>
      </c>
      <c r="S26" s="119">
        <f>'2019'!AK178</f>
        <v>80</v>
      </c>
      <c r="T26" s="119">
        <f>'2019'!AL178</f>
        <v>5</v>
      </c>
      <c r="U26" s="119">
        <f>'2019'!AO178</f>
        <v>81</v>
      </c>
      <c r="V26" s="119">
        <f>'2019'!AP178</f>
        <v>1</v>
      </c>
      <c r="W26" s="119">
        <f>'2019'!AS178</f>
        <v>79</v>
      </c>
      <c r="X26" s="119">
        <f>'2019'!AT178</f>
        <v>-2</v>
      </c>
      <c r="Y26" s="119">
        <f>'2019'!AW178</f>
        <v>79</v>
      </c>
      <c r="Z26" s="119">
        <f>'2019'!AX178</f>
      </c>
      <c r="AA26" s="119">
        <f>'2019'!BA178</f>
        <v>79</v>
      </c>
      <c r="AB26" s="119">
        <f>'2019'!BB178</f>
      </c>
      <c r="AC26" s="119">
        <f>'2019'!BE178</f>
        <v>13</v>
      </c>
    </row>
    <row r="27" ht="15.75" customHeight="1" spans="1:29" x14ac:dyDescent="0.25">
      <c r="A27" s="14"/>
      <c r="B27" s="115">
        <v>25</v>
      </c>
      <c r="C27" s="116">
        <v>4</v>
      </c>
      <c r="D27" s="117" t="s">
        <v>131</v>
      </c>
      <c r="E27" s="119">
        <f>'2019'!I186</f>
      </c>
      <c r="F27" s="119">
        <f>'2019'!J186</f>
      </c>
      <c r="G27" s="119">
        <f>'2019'!M186</f>
      </c>
      <c r="H27" s="119">
        <f>'2019'!N186</f>
      </c>
      <c r="I27" s="119">
        <f>'2019'!Q186</f>
      </c>
      <c r="J27" s="119">
        <f>'2019'!R186</f>
      </c>
      <c r="K27" s="119">
        <f>'2019'!U186</f>
      </c>
      <c r="L27" s="119">
        <f>'2019'!V186</f>
      </c>
      <c r="M27" s="119">
        <f>'2019'!Y186</f>
      </c>
      <c r="N27" s="119">
        <f>'2019'!Z186</f>
      </c>
      <c r="O27" s="119">
        <f>'2019'!AC186</f>
      </c>
      <c r="P27" s="119">
        <f>'2019'!AD186</f>
      </c>
      <c r="Q27" s="119">
        <f>'2019'!AG186</f>
      </c>
      <c r="R27" s="119">
        <f>'2019'!AH186</f>
      </c>
      <c r="S27" s="119">
        <f>'2019'!AK186</f>
      </c>
      <c r="T27" s="119">
        <f>'2019'!AL186</f>
      </c>
      <c r="U27" s="119">
        <f>'2019'!AO186</f>
      </c>
      <c r="V27" s="119">
        <f>'2019'!AP186</f>
      </c>
      <c r="W27" s="119">
        <f>'2019'!AS186</f>
      </c>
      <c r="X27" s="119">
        <f>'2019'!AT186</f>
      </c>
      <c r="Y27" s="119">
        <f>'2019'!AW186</f>
      </c>
      <c r="Z27" s="119">
        <f>'2019'!AX186</f>
      </c>
      <c r="AA27" s="119">
        <f>'2019'!BA186</f>
      </c>
      <c r="AB27" s="119">
        <f>'2019'!BB186</f>
      </c>
      <c r="AC27" s="119">
        <f>'2019'!BE186</f>
        <v>0</v>
      </c>
    </row>
    <row r="28" ht="15.75" customHeight="1" spans="1:29" x14ac:dyDescent="0.25">
      <c r="A28" s="14"/>
      <c r="B28" s="115">
        <v>26</v>
      </c>
      <c r="C28" s="115">
        <v>3.98</v>
      </c>
      <c r="D28" s="117" t="s">
        <v>133</v>
      </c>
      <c r="E28" s="119">
        <f>'2019'!I194</f>
      </c>
      <c r="F28" s="119">
        <f>'2019'!J194</f>
      </c>
      <c r="G28" s="119">
        <f>'2019'!M194</f>
      </c>
      <c r="H28" s="119">
        <f>'2019'!N194</f>
      </c>
      <c r="I28" s="119">
        <f>'2019'!Q194</f>
      </c>
      <c r="J28" s="119">
        <f>'2019'!R194</f>
      </c>
      <c r="K28" s="119">
        <f>'2019'!U194</f>
      </c>
      <c r="L28" s="119">
        <f>'2019'!V194</f>
      </c>
      <c r="M28" s="119">
        <f>'2019'!Y194</f>
      </c>
      <c r="N28" s="119">
        <f>'2019'!Z194</f>
      </c>
      <c r="O28" s="119">
        <f>'2019'!AC194</f>
      </c>
      <c r="P28" s="119">
        <f>'2019'!AD194</f>
      </c>
      <c r="Q28" s="119">
        <f>'2019'!AG194</f>
      </c>
      <c r="R28" s="119">
        <f>'2019'!AH194</f>
      </c>
      <c r="S28" s="119">
        <f>'2019'!AK194</f>
      </c>
      <c r="T28" s="119">
        <f>'2019'!AL194</f>
      </c>
      <c r="U28" s="119">
        <f>'2019'!AO194</f>
      </c>
      <c r="V28" s="119">
        <f>'2019'!AP194</f>
      </c>
      <c r="W28" s="119">
        <f>'2019'!AS194</f>
      </c>
      <c r="X28" s="119">
        <f>'2019'!AT194</f>
      </c>
      <c r="Y28" s="119">
        <f>'2019'!AW194</f>
      </c>
      <c r="Z28" s="119">
        <f>'2019'!AX194</f>
      </c>
      <c r="AA28" s="119">
        <f>'2019'!BA194</f>
      </c>
      <c r="AB28" s="119">
        <f>'2019'!BB194</f>
      </c>
      <c r="AC28" s="119">
        <f>'2019'!BE194</f>
        <v>0</v>
      </c>
    </row>
    <row r="29" ht="15.75" customHeight="1" spans="1:29" x14ac:dyDescent="0.25">
      <c r="A29" s="14"/>
      <c r="B29" s="115">
        <v>27</v>
      </c>
      <c r="C29" s="115">
        <v>4.04</v>
      </c>
      <c r="D29" s="117" t="s">
        <v>136</v>
      </c>
      <c r="E29" s="119">
        <f>'2019'!I202</f>
      </c>
      <c r="F29" s="119">
        <f>'2019'!J202</f>
      </c>
      <c r="G29" s="119">
        <f>'2019'!M202</f>
      </c>
      <c r="H29" s="119">
        <f>'2019'!N202</f>
      </c>
      <c r="I29" s="119">
        <f>'2019'!Q202</f>
      </c>
      <c r="J29" s="119">
        <f>'2019'!R202</f>
      </c>
      <c r="K29" s="119">
        <f>'2019'!U202</f>
      </c>
      <c r="L29" s="119">
        <f>'2019'!V202</f>
      </c>
      <c r="M29" s="119">
        <f>'2019'!Y202</f>
      </c>
      <c r="N29" s="119">
        <f>'2019'!Z202</f>
      </c>
      <c r="O29" s="119">
        <f>'2019'!AC202</f>
      </c>
      <c r="P29" s="119">
        <f>'2019'!AD202</f>
      </c>
      <c r="Q29" s="119">
        <f>'2019'!AG202</f>
      </c>
      <c r="R29" s="119">
        <f>'2019'!AH202</f>
      </c>
      <c r="S29" s="119">
        <f>'2019'!AK202</f>
      </c>
      <c r="T29" s="119">
        <f>'2019'!AL202</f>
      </c>
      <c r="U29" s="119">
        <f>'2019'!AO202</f>
      </c>
      <c r="V29" s="119">
        <f>'2019'!AP202</f>
      </c>
      <c r="W29" s="119">
        <f>'2019'!AS202</f>
      </c>
      <c r="X29" s="119">
        <f>'2019'!AT202</f>
      </c>
      <c r="Y29" s="119">
        <f>'2019'!AW202</f>
      </c>
      <c r="Z29" s="119">
        <f>'2019'!AX202</f>
      </c>
      <c r="AA29" s="119">
        <f>'2019'!BA202</f>
      </c>
      <c r="AB29" s="119">
        <f>'2019'!BB202</f>
      </c>
      <c r="AC29" s="119">
        <f>'2019'!BE202</f>
        <v>0</v>
      </c>
    </row>
    <row r="30" ht="15.75" customHeight="1" spans="1:29" x14ac:dyDescent="0.25">
      <c r="A30" s="14"/>
      <c r="B30" s="115" t="s">
        <v>139</v>
      </c>
      <c r="C30" s="115">
        <v>8.01</v>
      </c>
      <c r="D30" s="117" t="s">
        <v>140</v>
      </c>
      <c r="E30" s="119">
        <f>'2019'!I210</f>
        <v>85</v>
      </c>
      <c r="F30" s="119">
        <f>'2019'!J210</f>
      </c>
      <c r="G30" s="119">
        <f>'2019'!M210</f>
      </c>
      <c r="H30" s="119">
        <f>'2019'!N210</f>
      </c>
      <c r="I30" s="119">
        <f>'2019'!Q210</f>
      </c>
      <c r="J30" s="119">
        <f>'2019'!R210</f>
      </c>
      <c r="K30" s="119">
        <f>'2019'!U210</f>
      </c>
      <c r="L30" s="119">
        <f>'2019'!V210</f>
      </c>
      <c r="M30" s="119">
        <f>'2019'!Y210</f>
        <v>85</v>
      </c>
      <c r="N30" s="119">
        <f>'2019'!Z210</f>
        <v>0</v>
      </c>
      <c r="O30" s="119">
        <f>'2019'!AC210</f>
        <v>85</v>
      </c>
      <c r="P30" s="119">
        <f>'2019'!AD210</f>
        <v>0</v>
      </c>
      <c r="Q30" s="119">
        <f>'2019'!AG210</f>
        <v>85</v>
      </c>
      <c r="R30" s="119">
        <f>'2019'!AH210</f>
        <v>0</v>
      </c>
      <c r="S30" s="119">
        <f>'2019'!AK210</f>
        <v>85</v>
      </c>
      <c r="T30" s="119">
        <f>'2019'!AL210</f>
        <v>0</v>
      </c>
      <c r="U30" s="119">
        <f>'2019'!AO210</f>
        <v>85</v>
      </c>
      <c r="V30" s="119">
        <f>'2019'!AP210</f>
        <v>0</v>
      </c>
      <c r="W30" s="119">
        <f>'2019'!AS210</f>
        <v>86</v>
      </c>
      <c r="X30" s="119">
        <f>'2019'!AT210</f>
        <v>1</v>
      </c>
      <c r="Y30" s="119">
        <f>'2019'!AW210</f>
        <v>86</v>
      </c>
      <c r="Z30" s="119">
        <f>'2019'!AX210</f>
      </c>
      <c r="AA30" s="119">
        <f>'2019'!BA210</f>
        <v>86</v>
      </c>
      <c r="AB30" s="119">
        <f>'2019'!BB210</f>
      </c>
      <c r="AC30" s="119">
        <f>'2019'!BE210</f>
        <v>1</v>
      </c>
    </row>
    <row r="31" ht="15.75" customHeight="1" spans="1:29" x14ac:dyDescent="0.25">
      <c r="A31" s="14"/>
      <c r="B31" s="115">
        <v>29</v>
      </c>
      <c r="C31" s="115">
        <v>4.02</v>
      </c>
      <c r="D31" s="117" t="s">
        <v>146</v>
      </c>
      <c r="E31" s="119">
        <f>'2019'!I218</f>
        <v>19</v>
      </c>
      <c r="F31" s="119">
        <f>'2019'!J218</f>
      </c>
      <c r="G31" s="119">
        <f>'2019'!M218</f>
      </c>
      <c r="H31" s="119">
        <f>'2019'!N218</f>
      </c>
      <c r="I31" s="119">
        <f>'2019'!Q218</f>
      </c>
      <c r="J31" s="119">
        <f>'2019'!R218</f>
      </c>
      <c r="K31" s="119">
        <f>'2019'!U218</f>
      </c>
      <c r="L31" s="119">
        <f>'2019'!V218</f>
      </c>
      <c r="M31" s="119">
        <f>'2019'!Y218</f>
        <v>19</v>
      </c>
      <c r="N31" s="119">
        <f>'2019'!Z218</f>
        <v>0</v>
      </c>
      <c r="O31" s="119">
        <f>'2019'!AC218</f>
        <v>19</v>
      </c>
      <c r="P31" s="119">
        <f>'2019'!AD218</f>
        <v>0</v>
      </c>
      <c r="Q31" s="119">
        <f>'2019'!AG218</f>
        <v>23</v>
      </c>
      <c r="R31" s="119">
        <f>'2019'!AH218</f>
        <v>4</v>
      </c>
      <c r="S31" s="119">
        <f>'2019'!AK218</f>
        <v>23</v>
      </c>
      <c r="T31" s="119">
        <f>'2019'!AL218</f>
        <v>0</v>
      </c>
      <c r="U31" s="119">
        <f>'2019'!AO218</f>
        <v>23</v>
      </c>
      <c r="V31" s="119">
        <f>'2019'!AP218</f>
        <v>0</v>
      </c>
      <c r="W31" s="119">
        <f>'2019'!AS218</f>
        <v>23</v>
      </c>
      <c r="X31" s="119">
        <f>'2019'!AT218</f>
        <v>0</v>
      </c>
      <c r="Y31" s="119">
        <f>'2019'!AW218</f>
        <v>23</v>
      </c>
      <c r="Z31" s="119">
        <f>'2019'!AX218</f>
      </c>
      <c r="AA31" s="119">
        <f>'2019'!BA218</f>
        <v>23</v>
      </c>
      <c r="AB31" s="119">
        <f>'2019'!BB218</f>
      </c>
      <c r="AC31" s="119">
        <f>'2019'!BE218</f>
        <v>4</v>
      </c>
    </row>
    <row r="32" ht="15.75" customHeight="1" spans="1:29" x14ac:dyDescent="0.25">
      <c r="A32" s="14"/>
      <c r="B32" s="115">
        <v>31</v>
      </c>
      <c r="C32" s="116">
        <v>4</v>
      </c>
      <c r="D32" s="117" t="s">
        <v>149</v>
      </c>
      <c r="E32" s="119">
        <f>'2019'!I226</f>
      </c>
      <c r="F32" s="119">
        <f>'2019'!J226</f>
      </c>
      <c r="G32" s="119">
        <f>'2019'!M226</f>
      </c>
      <c r="H32" s="119">
        <f>'2019'!N226</f>
      </c>
      <c r="I32" s="119">
        <f>'2019'!Q226</f>
      </c>
      <c r="J32" s="119">
        <f>'2019'!R226</f>
      </c>
      <c r="K32" s="119">
        <f>'2019'!U226</f>
      </c>
      <c r="L32" s="119">
        <f>'2019'!V226</f>
      </c>
      <c r="M32" s="119">
        <f>'2019'!Y226</f>
      </c>
      <c r="N32" s="119">
        <f>'2019'!Z226</f>
      </c>
      <c r="O32" s="119">
        <f>'2019'!AC226</f>
      </c>
      <c r="P32" s="119">
        <f>'2019'!AD226</f>
      </c>
      <c r="Q32" s="119">
        <f>'2019'!AG226</f>
      </c>
      <c r="R32" s="119">
        <f>'2019'!AH226</f>
      </c>
      <c r="S32" s="119">
        <f>'2019'!AK226</f>
      </c>
      <c r="T32" s="119">
        <f>'2019'!AL226</f>
      </c>
      <c r="U32" s="119">
        <f>'2019'!AO226</f>
      </c>
      <c r="V32" s="119">
        <f>'2019'!AP226</f>
      </c>
      <c r="W32" s="119">
        <f>'2019'!AS226</f>
      </c>
      <c r="X32" s="119">
        <f>'2019'!AT226</f>
      </c>
      <c r="Y32" s="119">
        <f>'2019'!AW226</f>
      </c>
      <c r="Z32" s="119">
        <f>'2019'!AX226</f>
      </c>
      <c r="AA32" s="119">
        <f>'2019'!BA226</f>
      </c>
      <c r="AB32" s="119">
        <f>'2019'!BB226</f>
      </c>
      <c r="AC32" s="119">
        <f>'2019'!BE226</f>
        <v>0</v>
      </c>
    </row>
    <row r="33" ht="15.75" customHeight="1" spans="1:29" x14ac:dyDescent="0.25">
      <c r="A33" s="14"/>
      <c r="B33" s="115">
        <v>32</v>
      </c>
      <c r="C33" s="115">
        <v>3.96</v>
      </c>
      <c r="D33" s="117" t="s">
        <v>152</v>
      </c>
      <c r="E33" s="119">
        <f>'2019'!I234</f>
      </c>
      <c r="F33" s="119">
        <f>'2019'!J234</f>
      </c>
      <c r="G33" s="119">
        <f>'2019'!M234</f>
      </c>
      <c r="H33" s="119">
        <f>'2019'!N234</f>
      </c>
      <c r="I33" s="119">
        <f>'2019'!Q234</f>
      </c>
      <c r="J33" s="119">
        <f>'2019'!R234</f>
      </c>
      <c r="K33" s="119">
        <f>'2019'!U234</f>
      </c>
      <c r="L33" s="119">
        <f>'2019'!V234</f>
      </c>
      <c r="M33" s="119">
        <f>'2019'!Y234</f>
      </c>
      <c r="N33" s="119">
        <f>'2019'!Z234</f>
      </c>
      <c r="O33" s="119">
        <f>'2019'!AC234</f>
      </c>
      <c r="P33" s="119">
        <f>'2019'!AD234</f>
      </c>
      <c r="Q33" s="119">
        <f>'2019'!AG234</f>
      </c>
      <c r="R33" s="119">
        <f>'2019'!AH234</f>
        <v>0</v>
      </c>
      <c r="S33" s="119">
        <f>'2019'!AK234</f>
      </c>
      <c r="T33" s="119">
        <f>'2019'!AL234</f>
      </c>
      <c r="U33" s="119">
        <f>'2019'!AO234</f>
      </c>
      <c r="V33" s="119">
        <f>'2019'!AP234</f>
      </c>
      <c r="W33" s="119">
        <f>'2019'!AS234</f>
      </c>
      <c r="X33" s="119">
        <f>'2019'!AT234</f>
      </c>
      <c r="Y33" s="119">
        <f>'2019'!AW234</f>
      </c>
      <c r="Z33" s="119">
        <f>'2019'!AX234</f>
      </c>
      <c r="AA33" s="119">
        <f>'2019'!BA234</f>
      </c>
      <c r="AB33" s="119">
        <f>'2019'!BB234</f>
      </c>
      <c r="AC33" s="119">
        <f>'2019'!BE234</f>
        <v>0</v>
      </c>
    </row>
    <row r="34" ht="15.75" customHeight="1" spans="1:29" x14ac:dyDescent="0.25">
      <c r="A34" s="14"/>
      <c r="B34" s="115">
        <v>33</v>
      </c>
      <c r="C34" s="115">
        <v>4.01</v>
      </c>
      <c r="D34" s="117" t="s">
        <v>154</v>
      </c>
      <c r="E34" s="119">
        <f>'2019'!I242</f>
        <v>12</v>
      </c>
      <c r="F34" s="119">
        <f>'2019'!J242</f>
      </c>
      <c r="G34" s="119">
        <f>'2019'!M242</f>
      </c>
      <c r="H34" s="119">
        <f>'2019'!N242</f>
      </c>
      <c r="I34" s="119">
        <f>'2019'!Q242</f>
      </c>
      <c r="J34" s="119">
        <f>'2019'!R242</f>
      </c>
      <c r="K34" s="119">
        <f>'2019'!U242</f>
      </c>
      <c r="L34" s="119">
        <f>'2019'!V242</f>
      </c>
      <c r="M34" s="119">
        <f>'2019'!Y242</f>
        <v>16</v>
      </c>
      <c r="N34" s="119">
        <f>'2019'!Z242</f>
        <v>4</v>
      </c>
      <c r="O34" s="119">
        <f>'2019'!AC242</f>
        <v>16</v>
      </c>
      <c r="P34" s="119">
        <f>'2019'!AD242</f>
        <v>0</v>
      </c>
      <c r="Q34" s="119">
        <f>'2019'!AG242</f>
        <v>16</v>
      </c>
      <c r="R34" s="119">
        <f>'2019'!AH242</f>
        <v>0</v>
      </c>
      <c r="S34" s="119">
        <f>'2019'!AK242</f>
        <v>16</v>
      </c>
      <c r="T34" s="119">
        <f>'2019'!AL242</f>
        <v>0</v>
      </c>
      <c r="U34" s="119">
        <f>'2019'!AO242</f>
        <v>16</v>
      </c>
      <c r="V34" s="119">
        <f>'2019'!AP242</f>
        <v>0</v>
      </c>
      <c r="W34" s="119">
        <f>'2019'!AS242</f>
        <v>16</v>
      </c>
      <c r="X34" s="119">
        <f>'2019'!AT242</f>
        <v>0</v>
      </c>
      <c r="Y34" s="119">
        <f>'2019'!AW242</f>
        <v>16</v>
      </c>
      <c r="Z34" s="119">
        <f>'2019'!AX242</f>
      </c>
      <c r="AA34" s="119">
        <f>'2019'!BA242</f>
        <v>16</v>
      </c>
      <c r="AB34" s="119">
        <f>'2019'!BB242</f>
      </c>
      <c r="AC34" s="119">
        <f>'2019'!BE242</f>
        <v>4</v>
      </c>
    </row>
    <row r="35" ht="15.75" customHeight="1" spans="1:29" x14ac:dyDescent="0.25">
      <c r="A35" s="14"/>
      <c r="B35" s="115">
        <v>34</v>
      </c>
      <c r="C35" s="115">
        <v>4.01</v>
      </c>
      <c r="D35" s="117" t="s">
        <v>155</v>
      </c>
      <c r="E35" s="119">
        <f>'2019'!I250</f>
        <v>33</v>
      </c>
      <c r="F35" s="119">
        <f>'2019'!J250</f>
      </c>
      <c r="G35" s="119">
        <f>'2019'!M250</f>
      </c>
      <c r="H35" s="119">
        <f>'2019'!N250</f>
      </c>
      <c r="I35" s="119">
        <f>'2019'!Q250</f>
      </c>
      <c r="J35" s="119">
        <f>'2019'!R250</f>
      </c>
      <c r="K35" s="119">
        <f>'2019'!U250</f>
      </c>
      <c r="L35" s="119">
        <f>'2019'!V250</f>
      </c>
      <c r="M35" s="119">
        <f>'2019'!Y250</f>
        <v>33</v>
      </c>
      <c r="N35" s="119">
        <f>'2019'!Z250</f>
        <v>0</v>
      </c>
      <c r="O35" s="119">
        <f>'2019'!AC250</f>
        <v>40</v>
      </c>
      <c r="P35" s="119">
        <f>'2019'!AD250</f>
        <v>7</v>
      </c>
      <c r="Q35" s="119">
        <f>'2019'!AG250</f>
        <v>54</v>
      </c>
      <c r="R35" s="119">
        <f>'2019'!AH250</f>
        <v>14</v>
      </c>
      <c r="S35" s="119">
        <f>'2019'!AK250</f>
        <v>65</v>
      </c>
      <c r="T35" s="119">
        <f>'2019'!AL250</f>
        <v>11</v>
      </c>
      <c r="U35" s="119">
        <f>'2019'!AO250</f>
        <v>67</v>
      </c>
      <c r="V35" s="119">
        <f>'2019'!AP250</f>
        <v>2</v>
      </c>
      <c r="W35" s="119">
        <f>'2019'!AS250</f>
        <v>67</v>
      </c>
      <c r="X35" s="119">
        <f>'2019'!AT250</f>
        <v>0</v>
      </c>
      <c r="Y35" s="119">
        <f>'2019'!AW250</f>
        <v>67</v>
      </c>
      <c r="Z35" s="119">
        <f>'2019'!AX250</f>
      </c>
      <c r="AA35" s="119">
        <f>'2019'!BA250</f>
        <v>67</v>
      </c>
      <c r="AB35" s="119">
        <f>'2019'!BB250</f>
      </c>
      <c r="AC35" s="119">
        <f>'2019'!BE250</f>
        <v>34</v>
      </c>
    </row>
    <row r="36" ht="15.75" customHeight="1" spans="1:29" x14ac:dyDescent="0.25">
      <c r="A36" s="14"/>
      <c r="B36" s="115">
        <v>35</v>
      </c>
      <c r="C36" s="115">
        <v>4.01</v>
      </c>
      <c r="D36" s="117" t="s">
        <v>157</v>
      </c>
      <c r="E36" s="119">
        <f>'2019'!I258</f>
        <v>107</v>
      </c>
      <c r="F36" s="119">
        <f>'2019'!J258</f>
      </c>
      <c r="G36" s="119">
        <f>'2019'!M258</f>
      </c>
      <c r="H36" s="119">
        <f>'2019'!N258</f>
      </c>
      <c r="I36" s="119">
        <f>'2019'!Q258</f>
      </c>
      <c r="J36" s="119">
        <f>'2019'!R258</f>
      </c>
      <c r="K36" s="119">
        <f>'2019'!U258</f>
      </c>
      <c r="L36" s="119">
        <f>'2019'!V258</f>
      </c>
      <c r="M36" s="119">
        <f>'2019'!Y258</f>
        <v>106</v>
      </c>
      <c r="N36" s="119">
        <f>'2019'!Z258</f>
        <v>-1</v>
      </c>
      <c r="O36" s="119">
        <f>'2019'!AC258</f>
        <v>112</v>
      </c>
      <c r="P36" s="119">
        <f>'2019'!AD258</f>
        <v>6</v>
      </c>
      <c r="Q36" s="119">
        <f>'2019'!AG258</f>
        <v>122</v>
      </c>
      <c r="R36" s="119">
        <f>'2019'!AH258</f>
        <v>10</v>
      </c>
      <c r="S36" s="119">
        <f>'2019'!AK258</f>
        <v>131</v>
      </c>
      <c r="T36" s="119">
        <f>'2019'!AL258</f>
        <v>9</v>
      </c>
      <c r="U36" s="119">
        <f>'2019'!AO258</f>
        <v>131</v>
      </c>
      <c r="V36" s="119">
        <f>'2019'!AP258</f>
        <v>0</v>
      </c>
      <c r="W36" s="119">
        <f>'2019'!AS258</f>
        <v>131</v>
      </c>
      <c r="X36" s="119">
        <f>'2019'!AT258</f>
        <v>0</v>
      </c>
      <c r="Y36" s="119">
        <f>'2019'!AW258</f>
        <v>131</v>
      </c>
      <c r="Z36" s="119">
        <f>'2019'!AX258</f>
      </c>
      <c r="AA36" s="119">
        <f>'2019'!BA258</f>
        <v>131</v>
      </c>
      <c r="AB36" s="119">
        <f>'2019'!BB258</f>
      </c>
      <c r="AC36" s="119">
        <f>'2019'!BE258</f>
        <v>24</v>
      </c>
    </row>
    <row r="37" ht="15.75" customHeight="1" spans="1:29" x14ac:dyDescent="0.25">
      <c r="A37" s="14"/>
      <c r="B37" s="115">
        <v>36</v>
      </c>
      <c r="C37" s="115">
        <v>4.03</v>
      </c>
      <c r="D37" s="117" t="s">
        <v>160</v>
      </c>
      <c r="E37" s="119">
        <f>'2019'!I266</f>
        <v>25</v>
      </c>
      <c r="F37" s="119">
        <f>'2019'!J266</f>
      </c>
      <c r="G37" s="119">
        <f>'2019'!M266</f>
      </c>
      <c r="H37" s="119">
        <f>'2019'!N266</f>
      </c>
      <c r="I37" s="119">
        <f>'2019'!Q266</f>
      </c>
      <c r="J37" s="119">
        <f>'2019'!R266</f>
      </c>
      <c r="K37" s="119">
        <f>'2019'!U266</f>
      </c>
      <c r="L37" s="119">
        <f>'2019'!V266</f>
      </c>
      <c r="M37" s="119">
        <f>'2019'!Y266</f>
        <v>0</v>
      </c>
      <c r="N37" s="119">
        <f>'2019'!Z266</f>
        <v>0</v>
      </c>
      <c r="O37" s="119">
        <f>'2019'!AC266</f>
        <v>5</v>
      </c>
      <c r="P37" s="119">
        <f>'2019'!AD266</f>
        <v>5</v>
      </c>
      <c r="Q37" s="119">
        <f>'2019'!AG266</f>
        <v>25</v>
      </c>
      <c r="R37" s="119">
        <f>'2019'!AH266</f>
        <v>20</v>
      </c>
      <c r="S37" s="119">
        <f>'2019'!AK266</f>
        <v>25</v>
      </c>
      <c r="T37" s="119">
        <f>'2019'!AL266</f>
        <v>0</v>
      </c>
      <c r="U37" s="119">
        <f>'2019'!AO266</f>
        <v>25</v>
      </c>
      <c r="V37" s="119">
        <f>'2019'!AP266</f>
        <v>0</v>
      </c>
      <c r="W37" s="119">
        <f>'2019'!AS266</f>
        <v>25</v>
      </c>
      <c r="X37" s="119">
        <f>'2019'!AT266</f>
        <v>0</v>
      </c>
      <c r="Y37" s="119">
        <f>'2019'!AW266</f>
        <v>25</v>
      </c>
      <c r="Z37" s="119">
        <f>'2019'!AX266</f>
      </c>
      <c r="AA37" s="119">
        <f>'2019'!BA266</f>
        <v>25</v>
      </c>
      <c r="AB37" s="119">
        <f>'2019'!BB266</f>
      </c>
      <c r="AC37" s="119">
        <f>'2019'!BE266</f>
        <v>25</v>
      </c>
    </row>
    <row r="38" ht="15.75" customHeight="1" spans="1:29" x14ac:dyDescent="0.25">
      <c r="A38" s="14"/>
      <c r="B38" s="115">
        <v>37</v>
      </c>
      <c r="C38" s="115">
        <v>4.06</v>
      </c>
      <c r="D38" s="117" t="s">
        <v>162</v>
      </c>
      <c r="E38" s="119">
        <f>'2019'!I274</f>
        <v>137</v>
      </c>
      <c r="F38" s="119">
        <f>'2019'!J274</f>
      </c>
      <c r="G38" s="119">
        <f>'2019'!M274</f>
      </c>
      <c r="H38" s="119">
        <f>'2019'!N274</f>
      </c>
      <c r="I38" s="119">
        <f>'2019'!Q274</f>
      </c>
      <c r="J38" s="119">
        <f>'2019'!R274</f>
      </c>
      <c r="K38" s="119">
        <f>'2019'!U274</f>
      </c>
      <c r="L38" s="119">
        <f>'2019'!V274</f>
      </c>
      <c r="M38" s="119">
        <f>'2019'!Y274</f>
        <v>138</v>
      </c>
      <c r="N38" s="119">
        <f>'2019'!Z274</f>
        <v>1</v>
      </c>
      <c r="O38" s="119">
        <f>'2019'!AC274</f>
        <v>138</v>
      </c>
      <c r="P38" s="119">
        <f>'2019'!AD274</f>
        <v>0</v>
      </c>
      <c r="Q38" s="119">
        <f>'2019'!AG274</f>
        <v>154</v>
      </c>
      <c r="R38" s="119">
        <f>'2019'!AH274</f>
        <v>16</v>
      </c>
      <c r="S38" s="119">
        <f>'2019'!AK274</f>
        <v>161</v>
      </c>
      <c r="T38" s="119">
        <f>'2019'!AL274</f>
        <v>7</v>
      </c>
      <c r="U38" s="119">
        <f>'2019'!AO274</f>
        <v>164</v>
      </c>
      <c r="V38" s="119">
        <f>'2019'!AP274</f>
        <v>3</v>
      </c>
      <c r="W38" s="119">
        <f>'2019'!AS274</f>
        <v>164</v>
      </c>
      <c r="X38" s="119">
        <f>'2019'!AT274</f>
        <v>0</v>
      </c>
      <c r="Y38" s="119">
        <f>'2019'!AW274</f>
        <v>164</v>
      </c>
      <c r="Z38" s="119">
        <f>'2019'!AX274</f>
      </c>
      <c r="AA38" s="119">
        <f>'2019'!BA274</f>
        <v>164</v>
      </c>
      <c r="AB38" s="119">
        <f>'2019'!BB274</f>
      </c>
      <c r="AC38" s="119">
        <f>'2019'!BE274</f>
        <v>27</v>
      </c>
    </row>
    <row r="39" ht="15.75" customHeight="1" spans="1:29" x14ac:dyDescent="0.25">
      <c r="A39" s="14"/>
      <c r="B39" s="115">
        <v>38</v>
      </c>
      <c r="C39" s="115">
        <v>4.34</v>
      </c>
      <c r="D39" s="117" t="s">
        <v>167</v>
      </c>
      <c r="E39" s="119">
        <f>'2019'!I282</f>
        <v>75</v>
      </c>
      <c r="F39" s="119">
        <f>'2019'!J282</f>
      </c>
      <c r="G39" s="119">
        <f>'2019'!M282</f>
      </c>
      <c r="H39" s="119">
        <f>'2019'!N282</f>
      </c>
      <c r="I39" s="119">
        <f>'2019'!Q282</f>
      </c>
      <c r="J39" s="119">
        <f>'2019'!R282</f>
      </c>
      <c r="K39" s="119">
        <f>'2019'!U282</f>
      </c>
      <c r="L39" s="119">
        <f>'2019'!V282</f>
      </c>
      <c r="M39" s="119">
        <f>'2019'!Y282</f>
        <v>77</v>
      </c>
      <c r="N39" s="119">
        <f>'2019'!Z282</f>
        <v>2</v>
      </c>
      <c r="O39" s="119">
        <f>'2019'!AC282</f>
        <v>101</v>
      </c>
      <c r="P39" s="119">
        <f>'2019'!AD282</f>
        <v>24</v>
      </c>
      <c r="Q39" s="119">
        <f>'2019'!AG282</f>
        <v>101</v>
      </c>
      <c r="R39" s="119">
        <f>'2019'!AH282</f>
        <v>0</v>
      </c>
      <c r="S39" s="119">
        <f>'2019'!AK282</f>
        <v>101</v>
      </c>
      <c r="T39" s="119">
        <f>'2019'!AL282</f>
        <v>0</v>
      </c>
      <c r="U39" s="119">
        <f>'2019'!AO282</f>
        <v>112</v>
      </c>
      <c r="V39" s="119">
        <f>'2019'!AP282</f>
        <v>11</v>
      </c>
      <c r="W39" s="119">
        <f>'2019'!AS282</f>
        <v>112</v>
      </c>
      <c r="X39" s="119">
        <f>'2019'!AT282</f>
        <v>0</v>
      </c>
      <c r="Y39" s="119">
        <f>'2019'!AW282</f>
        <v>112</v>
      </c>
      <c r="Z39" s="119">
        <f>'2019'!AX282</f>
      </c>
      <c r="AA39" s="119">
        <f>'2019'!BA282</f>
        <v>112</v>
      </c>
      <c r="AB39" s="119">
        <f>'2019'!BB282</f>
      </c>
      <c r="AC39" s="119">
        <f>'2019'!BE282</f>
        <v>37</v>
      </c>
    </row>
    <row r="40" ht="15.75" customHeight="1" spans="1:29" x14ac:dyDescent="0.25">
      <c r="A40" s="21"/>
      <c r="B40" s="115">
        <v>39</v>
      </c>
      <c r="C40" s="116">
        <v>4</v>
      </c>
      <c r="D40" s="117" t="s">
        <v>169</v>
      </c>
      <c r="E40" s="119">
        <f>'2019'!I290</f>
      </c>
      <c r="F40" s="119">
        <f>'2019'!J290</f>
      </c>
      <c r="G40" s="119">
        <f>'2019'!M290</f>
      </c>
      <c r="H40" s="119">
        <f>'2019'!N290</f>
      </c>
      <c r="I40" s="119">
        <f>'2019'!Q290</f>
      </c>
      <c r="J40" s="119">
        <f>'2019'!R290</f>
      </c>
      <c r="K40" s="119">
        <f>'2019'!U290</f>
      </c>
      <c r="L40" s="119">
        <f>'2019'!V290</f>
      </c>
      <c r="M40" s="119">
        <f>'2019'!Y290</f>
        <v>0</v>
      </c>
      <c r="N40" s="119">
        <f>'2019'!Z290</f>
        <v>0</v>
      </c>
      <c r="O40" s="119">
        <f>'2019'!AC290</f>
        <v>6</v>
      </c>
      <c r="P40" s="119">
        <f>'2019'!AD290</f>
        <v>6</v>
      </c>
      <c r="Q40" s="119">
        <f>'2019'!AG290</f>
        <v>16</v>
      </c>
      <c r="R40" s="119">
        <f>'2019'!AH290</f>
        <v>10</v>
      </c>
      <c r="S40" s="119">
        <f>'2019'!AK290</f>
        <v>25</v>
      </c>
      <c r="T40" s="119">
        <f>'2019'!AL290</f>
        <v>9</v>
      </c>
      <c r="U40" s="119">
        <f>'2019'!AO290</f>
        <v>29</v>
      </c>
      <c r="V40" s="119">
        <f>'2019'!AP290</f>
        <v>4</v>
      </c>
      <c r="W40" s="119">
        <f>'2019'!AS290</f>
        <v>29</v>
      </c>
      <c r="X40" s="119">
        <f>'2019'!AT290</f>
        <v>0</v>
      </c>
      <c r="Y40" s="119">
        <f>'2019'!AW290</f>
        <v>29</v>
      </c>
      <c r="Z40" s="119">
        <f>'2019'!AX290</f>
      </c>
      <c r="AA40" s="119">
        <f>'2019'!BA290</f>
        <v>29</v>
      </c>
      <c r="AB40" s="119">
        <f>'2019'!BB290</f>
      </c>
      <c r="AC40" s="119">
        <f>'2019'!BE290</f>
        <v>29</v>
      </c>
    </row>
    <row r="41" ht="15.75" customHeight="1" spans="1:29" x14ac:dyDescent="0.25">
      <c r="A41" s="114" t="s">
        <v>173</v>
      </c>
      <c r="B41" s="115">
        <v>40</v>
      </c>
      <c r="C41" s="115">
        <v>4.92</v>
      </c>
      <c r="D41" s="117" t="s">
        <v>174</v>
      </c>
      <c r="E41" s="119">
        <f>'2019'!I298</f>
        <v>91</v>
      </c>
      <c r="F41" s="119">
        <f>'2019'!J298</f>
      </c>
      <c r="G41" s="119">
        <f>'2019'!M298</f>
      </c>
      <c r="H41" s="119">
        <f>'2019'!N298</f>
      </c>
      <c r="I41" s="119">
        <f>'2019'!Q298</f>
      </c>
      <c r="J41" s="119">
        <f>'2019'!R298</f>
      </c>
      <c r="K41" s="119">
        <f>'2019'!U298</f>
      </c>
      <c r="L41" s="119">
        <f>'2019'!V298</f>
      </c>
      <c r="M41" s="119">
        <f>'2019'!Y298</f>
        <v>108</v>
      </c>
      <c r="N41" s="119">
        <f>'2019'!Z298</f>
        <v>17</v>
      </c>
      <c r="O41" s="119">
        <f>'2019'!AC298</f>
        <v>108</v>
      </c>
      <c r="P41" s="119">
        <f>'2019'!AD298</f>
        <v>0</v>
      </c>
      <c r="Q41" s="119">
        <f>'2019'!AG298</f>
        <v>114</v>
      </c>
      <c r="R41" s="119">
        <f>'2019'!AH298</f>
        <v>6</v>
      </c>
      <c r="S41" s="119">
        <f>'2019'!AK298</f>
        <v>114</v>
      </c>
      <c r="T41" s="119">
        <f>'2019'!AL298</f>
        <v>0</v>
      </c>
      <c r="U41" s="119">
        <f>'2019'!AO298</f>
        <v>120</v>
      </c>
      <c r="V41" s="119">
        <f>'2019'!AP298</f>
        <v>6</v>
      </c>
      <c r="W41" s="119">
        <f>'2019'!AS298</f>
        <v>120</v>
      </c>
      <c r="X41" s="119">
        <f>'2019'!AT298</f>
        <v>0</v>
      </c>
      <c r="Y41" s="119">
        <f>'2019'!AW298</f>
        <v>120</v>
      </c>
      <c r="Z41" s="119">
        <f>'2019'!AX298</f>
      </c>
      <c r="AA41" s="119">
        <f>'2019'!BA298</f>
        <v>120</v>
      </c>
      <c r="AB41" s="119">
        <f>'2019'!BB298</f>
      </c>
      <c r="AC41" s="119">
        <f>'2019'!BE298</f>
        <v>29</v>
      </c>
    </row>
    <row r="42" ht="15.75" customHeight="1" spans="1:29" x14ac:dyDescent="0.25">
      <c r="A42" s="14"/>
      <c r="B42" s="115">
        <v>41</v>
      </c>
      <c r="C42" s="115">
        <v>4.87</v>
      </c>
      <c r="D42" s="117" t="s">
        <v>177</v>
      </c>
      <c r="E42" s="119">
        <f>'2019'!I306</f>
        <v>27</v>
      </c>
      <c r="F42" s="119">
        <f>'2019'!J306</f>
      </c>
      <c r="G42" s="119">
        <f>'2019'!M306</f>
      </c>
      <c r="H42" s="119">
        <f>'2019'!N306</f>
      </c>
      <c r="I42" s="119">
        <f>'2019'!Q306</f>
      </c>
      <c r="J42" s="119">
        <f>'2019'!R306</f>
      </c>
      <c r="K42" s="119">
        <f>'2019'!U306</f>
      </c>
      <c r="L42" s="119">
        <f>'2019'!V306</f>
      </c>
      <c r="M42" s="119">
        <f>'2019'!Y306</f>
        <v>27</v>
      </c>
      <c r="N42" s="119">
        <f>'2019'!Z306</f>
        <v>0</v>
      </c>
      <c r="O42" s="119">
        <f>'2019'!AC306</f>
        <v>27</v>
      </c>
      <c r="P42" s="119">
        <f>'2019'!AD306</f>
        <v>0</v>
      </c>
      <c r="Q42" s="119">
        <f>'2019'!AG306</f>
        <v>35</v>
      </c>
      <c r="R42" s="119">
        <f>'2019'!AH306</f>
        <v>8</v>
      </c>
      <c r="S42" s="119">
        <f>'2019'!AK306</f>
        <v>35</v>
      </c>
      <c r="T42" s="119">
        <f>'2019'!AL306</f>
        <v>0</v>
      </c>
      <c r="U42" s="119">
        <f>'2019'!AO306</f>
        <v>35</v>
      </c>
      <c r="V42" s="119">
        <f>'2019'!AP306</f>
        <v>0</v>
      </c>
      <c r="W42" s="119">
        <f>'2019'!AS306</f>
        <v>35</v>
      </c>
      <c r="X42" s="119">
        <f>'2019'!AT306</f>
        <v>0</v>
      </c>
      <c r="Y42" s="119">
        <f>'2019'!AW306</f>
        <v>35</v>
      </c>
      <c r="Z42" s="119">
        <f>'2019'!AX306</f>
      </c>
      <c r="AA42" s="119">
        <f>'2019'!BA306</f>
        <v>35</v>
      </c>
      <c r="AB42" s="119">
        <f>'2019'!BB306</f>
      </c>
      <c r="AC42" s="119">
        <f>'2019'!BE306</f>
        <v>8</v>
      </c>
    </row>
    <row r="43" ht="15.75" customHeight="1" spans="1:29" x14ac:dyDescent="0.25">
      <c r="A43" s="14"/>
      <c r="B43" s="115">
        <v>42</v>
      </c>
      <c r="C43" s="116">
        <v>4.9</v>
      </c>
      <c r="D43" s="161" t="s">
        <v>181</v>
      </c>
      <c r="E43" s="119">
        <f>'2019'!I314</f>
      </c>
      <c r="F43" s="119">
        <f>'2019'!J314</f>
      </c>
      <c r="G43" s="119">
        <f>'2019'!M314</f>
      </c>
      <c r="H43" s="119">
        <f>'2019'!N314</f>
      </c>
      <c r="I43" s="119">
        <f>'2019'!Q314</f>
      </c>
      <c r="J43" s="119">
        <f>'2019'!R314</f>
      </c>
      <c r="K43" s="119">
        <f>'2019'!U314</f>
      </c>
      <c r="L43" s="119">
        <f>'2019'!V314</f>
      </c>
      <c r="M43" s="119">
        <f>'2019'!Y314</f>
      </c>
      <c r="N43" s="119">
        <f>'2019'!Z314</f>
      </c>
      <c r="O43" s="119">
        <f>'2019'!AC314</f>
      </c>
      <c r="P43" s="119">
        <f>'2019'!AD314</f>
      </c>
      <c r="Q43" s="119">
        <f>'2019'!AG314</f>
      </c>
      <c r="R43" s="119">
        <f>'2019'!AH314</f>
        <v>0</v>
      </c>
      <c r="S43" s="119">
        <f>'2019'!AK314</f>
      </c>
      <c r="T43" s="119">
        <f>'2019'!AL314</f>
      </c>
      <c r="U43" s="119">
        <f>'2019'!AO314</f>
        <v>7</v>
      </c>
      <c r="V43" s="119">
        <f>'2019'!AP314</f>
        <v>7</v>
      </c>
      <c r="W43" s="119">
        <f>'2019'!AS314</f>
        <v>7</v>
      </c>
      <c r="X43" s="119">
        <f>'2019'!AT314</f>
        <v>0</v>
      </c>
      <c r="Y43" s="119">
        <f>'2019'!AW314</f>
        <v>7</v>
      </c>
      <c r="Z43" s="119">
        <f>'2019'!AX314</f>
      </c>
      <c r="AA43" s="119">
        <f>'2019'!BA314</f>
        <v>7</v>
      </c>
      <c r="AB43" s="119">
        <f>'2019'!BB314</f>
      </c>
      <c r="AC43" s="119">
        <f>'2019'!BE314</f>
        <v>7</v>
      </c>
    </row>
    <row r="44" ht="15.75" customHeight="1" spans="1:29" x14ac:dyDescent="0.25">
      <c r="A44" s="14"/>
      <c r="B44" s="115">
        <v>43</v>
      </c>
      <c r="C44" s="115">
        <v>4.96</v>
      </c>
      <c r="D44" s="117" t="s">
        <v>185</v>
      </c>
      <c r="E44" s="119">
        <f>'2019'!I322</f>
        <v>37</v>
      </c>
      <c r="F44" s="119">
        <f>'2019'!J322</f>
      </c>
      <c r="G44" s="119">
        <f>'2019'!M322</f>
      </c>
      <c r="H44" s="119">
        <f>'2019'!N322</f>
      </c>
      <c r="I44" s="119">
        <f>'2019'!Q322</f>
      </c>
      <c r="J44" s="119">
        <f>'2019'!R322</f>
      </c>
      <c r="K44" s="119">
        <f>'2019'!U322</f>
      </c>
      <c r="L44" s="119">
        <f>'2019'!V322</f>
      </c>
      <c r="M44" s="119">
        <f>'2019'!Y322</f>
        <v>37</v>
      </c>
      <c r="N44" s="119">
        <f>'2019'!Z322</f>
        <v>0</v>
      </c>
      <c r="O44" s="119">
        <f>'2019'!AC322</f>
        <v>46</v>
      </c>
      <c r="P44" s="119">
        <f>'2019'!AD322</f>
        <v>9</v>
      </c>
      <c r="Q44" s="119">
        <f>'2019'!AG322</f>
        <v>57</v>
      </c>
      <c r="R44" s="119">
        <f>'2019'!AH322</f>
        <v>11</v>
      </c>
      <c r="S44" s="119">
        <f>'2019'!AK322</f>
        <v>65</v>
      </c>
      <c r="T44" s="119">
        <f>'2019'!AL322</f>
        <v>8</v>
      </c>
      <c r="U44" s="119">
        <f>'2019'!AO322</f>
        <v>68</v>
      </c>
      <c r="V44" s="119">
        <f>'2019'!AP322</f>
        <v>3</v>
      </c>
      <c r="W44" s="119">
        <f>'2019'!AS322</f>
        <v>68</v>
      </c>
      <c r="X44" s="119">
        <f>'2019'!AT322</f>
        <v>0</v>
      </c>
      <c r="Y44" s="119">
        <f>'2019'!AW322</f>
        <v>68</v>
      </c>
      <c r="Z44" s="119">
        <f>'2019'!AX322</f>
      </c>
      <c r="AA44" s="119">
        <f>'2019'!BA322</f>
        <v>68</v>
      </c>
      <c r="AB44" s="119">
        <f>'2019'!BB322</f>
      </c>
      <c r="AC44" s="119">
        <f>'2019'!BE322</f>
        <v>31</v>
      </c>
    </row>
    <row r="45" ht="15.75" customHeight="1" spans="1:29" x14ac:dyDescent="0.25">
      <c r="A45" s="14"/>
      <c r="B45" s="115">
        <v>44</v>
      </c>
      <c r="C45" s="115">
        <v>4.01</v>
      </c>
      <c r="D45" s="117" t="s">
        <v>188</v>
      </c>
      <c r="E45" s="119">
        <f>'2019'!I330</f>
        <v>47</v>
      </c>
      <c r="F45" s="119">
        <f>'2019'!J330</f>
      </c>
      <c r="G45" s="119">
        <f>'2019'!M330</f>
      </c>
      <c r="H45" s="119">
        <f>'2019'!N330</f>
      </c>
      <c r="I45" s="119">
        <f>'2019'!Q330</f>
      </c>
      <c r="J45" s="119">
        <f>'2019'!R330</f>
      </c>
      <c r="K45" s="119">
        <f>'2019'!U330</f>
      </c>
      <c r="L45" s="119">
        <f>'2019'!V330</f>
      </c>
      <c r="M45" s="119">
        <f>'2019'!Y330</f>
        <v>53</v>
      </c>
      <c r="N45" s="119">
        <f>'2019'!Z330</f>
        <v>6</v>
      </c>
      <c r="O45" s="119">
        <f>'2019'!AC330</f>
        <v>53</v>
      </c>
      <c r="P45" s="119">
        <f>'2019'!AD330</f>
        <v>0</v>
      </c>
      <c r="Q45" s="119">
        <f>'2019'!AG330</f>
        <v>53</v>
      </c>
      <c r="R45" s="119">
        <f>'2019'!AH330</f>
        <v>0</v>
      </c>
      <c r="S45" s="119">
        <f>'2019'!AK330</f>
        <v>53</v>
      </c>
      <c r="T45" s="119">
        <f>'2019'!AL330</f>
        <v>0</v>
      </c>
      <c r="U45" s="119">
        <f>'2019'!AO330</f>
        <v>53</v>
      </c>
      <c r="V45" s="119">
        <f>'2019'!AP330</f>
        <v>0</v>
      </c>
      <c r="W45" s="119">
        <f>'2019'!AS330</f>
        <v>53</v>
      </c>
      <c r="X45" s="119">
        <f>'2019'!AT330</f>
        <v>0</v>
      </c>
      <c r="Y45" s="119">
        <f>'2019'!AW330</f>
        <v>53</v>
      </c>
      <c r="Z45" s="119">
        <f>'2019'!AX330</f>
      </c>
      <c r="AA45" s="119">
        <f>'2019'!BA330</f>
        <v>53</v>
      </c>
      <c r="AB45" s="119">
        <f>'2019'!BB330</f>
      </c>
      <c r="AC45" s="119">
        <f>'2019'!BE330</f>
        <v>6</v>
      </c>
    </row>
    <row r="46" ht="15.75" customHeight="1" spans="1:29" x14ac:dyDescent="0.25">
      <c r="A46" s="14"/>
      <c r="B46" s="115">
        <v>45</v>
      </c>
      <c r="C46" s="115">
        <v>5.04</v>
      </c>
      <c r="D46" s="117" t="s">
        <v>189</v>
      </c>
      <c r="E46" s="119">
        <f>'2019'!I338</f>
        <v>3</v>
      </c>
      <c r="F46" s="119">
        <f>'2019'!J338</f>
      </c>
      <c r="G46" s="119">
        <f>'2019'!M338</f>
      </c>
      <c r="H46" s="119">
        <f>'2019'!N338</f>
      </c>
      <c r="I46" s="119">
        <f>'2019'!Q338</f>
      </c>
      <c r="J46" s="119">
        <f>'2019'!R338</f>
      </c>
      <c r="K46" s="119">
        <f>'2019'!U338</f>
      </c>
      <c r="L46" s="119">
        <f>'2019'!V338</f>
      </c>
      <c r="M46" s="119">
        <f>'2019'!Y338</f>
        <v>0</v>
      </c>
      <c r="N46" s="119">
        <f>'2019'!Z338</f>
      </c>
      <c r="O46" s="119">
        <f>'2019'!AC338</f>
        <v>1</v>
      </c>
      <c r="P46" s="119">
        <f>'2019'!AD338</f>
        <v>1</v>
      </c>
      <c r="Q46" s="119">
        <f>'2019'!AG338</f>
        <v>1</v>
      </c>
      <c r="R46" s="119">
        <f>'2019'!AH338</f>
        <v>0</v>
      </c>
      <c r="S46" s="119">
        <f>'2019'!AK338</f>
        <v>2</v>
      </c>
      <c r="T46" s="119">
        <f>'2019'!AL338</f>
        <v>1</v>
      </c>
      <c r="U46" s="119">
        <f>'2019'!AO338</f>
        <v>2</v>
      </c>
      <c r="V46" s="119">
        <f>'2019'!AP338</f>
        <v>0</v>
      </c>
      <c r="W46" s="119">
        <f>'2019'!AS338</f>
        <v>2</v>
      </c>
      <c r="X46" s="119">
        <f>'2019'!AT338</f>
        <v>0</v>
      </c>
      <c r="Y46" s="119">
        <f>'2019'!AW338</f>
        <v>2</v>
      </c>
      <c r="Z46" s="119">
        <f>'2019'!AX338</f>
      </c>
      <c r="AA46" s="119">
        <f>'2019'!BA338</f>
        <v>2</v>
      </c>
      <c r="AB46" s="119">
        <f>'2019'!BB338</f>
      </c>
      <c r="AC46" s="119">
        <f>'2019'!BE338</f>
        <v>2</v>
      </c>
    </row>
    <row r="47" ht="15.75" customHeight="1" spans="1:29" x14ac:dyDescent="0.25">
      <c r="A47" s="14"/>
      <c r="B47" s="115">
        <v>46</v>
      </c>
      <c r="C47" s="116">
        <v>4</v>
      </c>
      <c r="D47" s="117" t="s">
        <v>188</v>
      </c>
      <c r="E47" s="119">
        <f>'2019'!I346</f>
        <v>83</v>
      </c>
      <c r="F47" s="119">
        <f>'2019'!J346</f>
      </c>
      <c r="G47" s="119">
        <f>'2019'!M346</f>
      </c>
      <c r="H47" s="119">
        <f>'2019'!N346</f>
      </c>
      <c r="I47" s="119">
        <f>'2019'!Q346</f>
      </c>
      <c r="J47" s="119">
        <f>'2019'!R346</f>
      </c>
      <c r="K47" s="119">
        <f>'2019'!U346</f>
      </c>
      <c r="L47" s="119">
        <f>'2019'!V346</f>
      </c>
      <c r="M47" s="119">
        <f>'2019'!Y346</f>
        <v>92</v>
      </c>
      <c r="N47" s="119">
        <f>'2019'!Z346</f>
        <v>9</v>
      </c>
      <c r="O47" s="119">
        <f>'2019'!AC346</f>
        <v>92</v>
      </c>
      <c r="P47" s="119">
        <f>'2019'!AD346</f>
        <v>0</v>
      </c>
      <c r="Q47" s="119">
        <f>'2019'!AG346</f>
        <v>109</v>
      </c>
      <c r="R47" s="119">
        <f>'2019'!AH346</f>
        <v>17</v>
      </c>
      <c r="S47" s="119">
        <f>'2019'!AK346</f>
        <v>120</v>
      </c>
      <c r="T47" s="119">
        <f>'2019'!AL346</f>
        <v>11</v>
      </c>
      <c r="U47" s="119">
        <f>'2019'!AO346</f>
        <v>117</v>
      </c>
      <c r="V47" s="119">
        <f>'2019'!AP346</f>
        <v>-3</v>
      </c>
      <c r="W47" s="119">
        <f>'2019'!AS346</f>
        <v>117</v>
      </c>
      <c r="X47" s="119">
        <f>'2019'!AT346</f>
        <v>0</v>
      </c>
      <c r="Y47" s="119">
        <f>'2019'!AW346</f>
        <v>117</v>
      </c>
      <c r="Z47" s="119">
        <f>'2019'!AX346</f>
      </c>
      <c r="AA47" s="119">
        <f>'2019'!BA346</f>
        <v>117</v>
      </c>
      <c r="AB47" s="119">
        <f>'2019'!BB346</f>
      </c>
      <c r="AC47" s="119">
        <f>'2019'!BE346</f>
        <v>34</v>
      </c>
    </row>
    <row r="48" ht="15.75" customHeight="1" spans="1:29" x14ac:dyDescent="0.25">
      <c r="A48" s="14"/>
      <c r="B48" s="115">
        <v>47</v>
      </c>
      <c r="C48" s="116">
        <v>5</v>
      </c>
      <c r="D48" s="117" t="s">
        <v>192</v>
      </c>
      <c r="E48" s="119">
        <f>'2019'!I354</f>
        <v>9</v>
      </c>
      <c r="F48" s="119">
        <f>'2019'!J354</f>
      </c>
      <c r="G48" s="119">
        <f>'2019'!M354</f>
      </c>
      <c r="H48" s="119">
        <f>'2019'!N354</f>
      </c>
      <c r="I48" s="119">
        <f>'2019'!Q354</f>
      </c>
      <c r="J48" s="119">
        <f>'2019'!R354</f>
      </c>
      <c r="K48" s="119">
        <f>'2019'!U354</f>
      </c>
      <c r="L48" s="119">
        <f>'2019'!V354</f>
      </c>
      <c r="M48" s="119">
        <f>'2019'!Y354</f>
        <v>9</v>
      </c>
      <c r="N48" s="119">
        <f>'2019'!Z354</f>
        <v>0</v>
      </c>
      <c r="O48" s="119">
        <f>'2019'!AC354</f>
        <v>10</v>
      </c>
      <c r="P48" s="119">
        <f>'2019'!AD354</f>
        <v>1</v>
      </c>
      <c r="Q48" s="119">
        <f>'2019'!AG354</f>
        <v>10</v>
      </c>
      <c r="R48" s="119">
        <f>'2019'!AH354</f>
        <v>0</v>
      </c>
      <c r="S48" s="119">
        <f>'2019'!AK354</f>
        <v>13</v>
      </c>
      <c r="T48" s="119">
        <f>'2019'!AL354</f>
        <v>3</v>
      </c>
      <c r="U48" s="119">
        <f>'2019'!AO354</f>
        <v>12</v>
      </c>
      <c r="V48" s="119">
        <f>'2019'!AP354</f>
        <v>-1</v>
      </c>
      <c r="W48" s="119">
        <f>'2019'!AS354</f>
        <v>12</v>
      </c>
      <c r="X48" s="119">
        <f>'2019'!AT354</f>
        <v>0</v>
      </c>
      <c r="Y48" s="119">
        <f>'2019'!AW354</f>
        <v>12</v>
      </c>
      <c r="Z48" s="119">
        <f>'2019'!AX354</f>
      </c>
      <c r="AA48" s="119">
        <f>'2019'!BA354</f>
        <v>12</v>
      </c>
      <c r="AB48" s="119">
        <f>'2019'!BB354</f>
      </c>
      <c r="AC48" s="119">
        <f>'2019'!BE354</f>
        <v>3</v>
      </c>
    </row>
    <row r="49" ht="15.75" customHeight="1" spans="1:29" x14ac:dyDescent="0.25">
      <c r="A49" s="14"/>
      <c r="B49" s="115">
        <v>48</v>
      </c>
      <c r="C49" s="115">
        <v>5.93</v>
      </c>
      <c r="D49" s="117" t="s">
        <v>97</v>
      </c>
      <c r="E49" s="119">
        <f>'2019'!I362</f>
        <v>83</v>
      </c>
      <c r="F49" s="119">
        <f>'2019'!J362</f>
      </c>
      <c r="G49" s="119">
        <f>'2019'!M362</f>
      </c>
      <c r="H49" s="119">
        <f>'2019'!N362</f>
      </c>
      <c r="I49" s="119">
        <f>'2019'!Q362</f>
      </c>
      <c r="J49" s="119">
        <f>'2019'!R362</f>
      </c>
      <c r="K49" s="119">
        <f>'2019'!U362</f>
      </c>
      <c r="L49" s="119">
        <f>'2019'!V362</f>
      </c>
      <c r="M49" s="119">
        <f>'2019'!Y362</f>
        <v>85</v>
      </c>
      <c r="N49" s="119">
        <f>'2019'!Z362</f>
        <v>2</v>
      </c>
      <c r="O49" s="119">
        <f>'2019'!AC362</f>
        <v>85</v>
      </c>
      <c r="P49" s="119">
        <f>'2019'!AD362</f>
        <v>0</v>
      </c>
      <c r="Q49" s="119">
        <f>'2019'!AG362</f>
        <v>85</v>
      </c>
      <c r="R49" s="119">
        <f>'2019'!AH362</f>
        <v>0</v>
      </c>
      <c r="S49" s="119">
        <f>'2019'!AK362</f>
        <v>85</v>
      </c>
      <c r="T49" s="119">
        <f>'2019'!AL362</f>
        <v>0</v>
      </c>
      <c r="U49" s="119">
        <f>'2019'!AO362</f>
        <v>85</v>
      </c>
      <c r="V49" s="119">
        <f>'2019'!AP362</f>
        <v>0</v>
      </c>
      <c r="W49" s="119">
        <f>'2019'!AS362</f>
        <v>119</v>
      </c>
      <c r="X49" s="119">
        <f>'2019'!AT362</f>
        <v>34</v>
      </c>
      <c r="Y49" s="119">
        <f>'2019'!AW362</f>
        <v>119</v>
      </c>
      <c r="Z49" s="119">
        <f>'2019'!AX362</f>
      </c>
      <c r="AA49" s="119">
        <f>'2019'!BA362</f>
        <v>119</v>
      </c>
      <c r="AB49" s="119">
        <f>'2019'!BB362</f>
      </c>
      <c r="AC49" s="119">
        <f>'2019'!BE362</f>
        <v>36</v>
      </c>
    </row>
    <row r="50" ht="15.75" customHeight="1" spans="1:29" x14ac:dyDescent="0.25">
      <c r="A50" s="14"/>
      <c r="B50" s="115">
        <v>49</v>
      </c>
      <c r="C50" s="115">
        <v>5.03</v>
      </c>
      <c r="D50" s="117" t="s">
        <v>197</v>
      </c>
      <c r="E50" s="119">
        <f>'2019'!I370</f>
        <v>131</v>
      </c>
      <c r="F50" s="119">
        <f>'2019'!J370</f>
      </c>
      <c r="G50" s="119">
        <f>'2019'!M370</f>
      </c>
      <c r="H50" s="119">
        <f>'2019'!N370</f>
      </c>
      <c r="I50" s="119">
        <f>'2019'!Q370</f>
      </c>
      <c r="J50" s="119">
        <f>'2019'!R370</f>
      </c>
      <c r="K50" s="119">
        <f>'2019'!U370</f>
      </c>
      <c r="L50" s="119">
        <f>'2019'!V370</f>
      </c>
      <c r="M50" s="119">
        <f>'2019'!Y370</f>
        <v>131</v>
      </c>
      <c r="N50" s="119">
        <f>'2019'!Z370</f>
        <v>0</v>
      </c>
      <c r="O50" s="119">
        <f>'2019'!AC370</f>
        <v>148</v>
      </c>
      <c r="P50" s="119">
        <f>'2019'!AD370</f>
        <v>17</v>
      </c>
      <c r="Q50" s="119">
        <f>'2019'!AG370</f>
        <v>157</v>
      </c>
      <c r="R50" s="119">
        <f>'2019'!AH370</f>
        <v>9</v>
      </c>
      <c r="S50" s="119">
        <f>'2019'!AK370</f>
        <v>168</v>
      </c>
      <c r="T50" s="119">
        <f>'2019'!AL370</f>
        <v>11</v>
      </c>
      <c r="U50" s="119">
        <f>'2019'!AO370</f>
        <v>167</v>
      </c>
      <c r="V50" s="119">
        <f>'2019'!AP370</f>
        <v>-1</v>
      </c>
      <c r="W50" s="119">
        <f>'2019'!AS370</f>
        <v>167</v>
      </c>
      <c r="X50" s="119">
        <f>'2019'!AT370</f>
        <v>0</v>
      </c>
      <c r="Y50" s="119">
        <f>'2019'!AW370</f>
        <v>167</v>
      </c>
      <c r="Z50" s="119">
        <f>'2019'!AX370</f>
      </c>
      <c r="AA50" s="119">
        <f>'2019'!BA370</f>
        <v>167</v>
      </c>
      <c r="AB50" s="119">
        <f>'2019'!BB370</f>
      </c>
      <c r="AC50" s="119">
        <f>'2019'!BE370</f>
        <v>36</v>
      </c>
    </row>
    <row r="51" ht="15.75" customHeight="1" spans="1:29" x14ac:dyDescent="0.25">
      <c r="A51" s="14"/>
      <c r="B51" s="115">
        <v>50</v>
      </c>
      <c r="C51" s="115">
        <v>6.05</v>
      </c>
      <c r="D51" s="117" t="s">
        <v>200</v>
      </c>
      <c r="E51" s="119">
        <f>'2019'!I378</f>
        <v>179</v>
      </c>
      <c r="F51" s="119">
        <f>'2019'!J378</f>
      </c>
      <c r="G51" s="119">
        <f>'2019'!M378</f>
      </c>
      <c r="H51" s="119">
        <f>'2019'!N378</f>
      </c>
      <c r="I51" s="119">
        <f>'2019'!Q378</f>
      </c>
      <c r="J51" s="119">
        <f>'2019'!R378</f>
      </c>
      <c r="K51" s="119">
        <f>'2019'!U378</f>
      </c>
      <c r="L51" s="119">
        <f>'2019'!V378</f>
      </c>
      <c r="M51" s="119">
        <f>'2019'!Y378</f>
        <v>181</v>
      </c>
      <c r="N51" s="119">
        <f>'2019'!Z378</f>
        <v>2</v>
      </c>
      <c r="O51" s="119">
        <f>'2019'!AC378</f>
        <v>198</v>
      </c>
      <c r="P51" s="119">
        <f>'2019'!AD378</f>
        <v>17</v>
      </c>
      <c r="Q51" s="119">
        <f>'2019'!AG378</f>
        <v>208</v>
      </c>
      <c r="R51" s="119">
        <f>'2019'!AH378</f>
        <v>10</v>
      </c>
      <c r="S51" s="119">
        <f>'2019'!AK378</f>
        <v>216</v>
      </c>
      <c r="T51" s="119">
        <f>'2019'!AL378</f>
        <v>8</v>
      </c>
      <c r="U51" s="119">
        <f>'2019'!AO378</f>
        <v>219</v>
      </c>
      <c r="V51" s="119">
        <f>'2019'!AP378</f>
        <v>3</v>
      </c>
      <c r="W51" s="119">
        <f>'2019'!AS378</f>
        <v>219</v>
      </c>
      <c r="X51" s="119">
        <f>'2019'!AT378</f>
        <v>0</v>
      </c>
      <c r="Y51" s="119">
        <f>'2019'!AW378</f>
        <v>219</v>
      </c>
      <c r="Z51" s="119">
        <f>'2019'!AX378</f>
      </c>
      <c r="AA51" s="119">
        <f>'2019'!BA378</f>
        <v>219</v>
      </c>
      <c r="AB51" s="119">
        <f>'2019'!BB378</f>
      </c>
      <c r="AC51" s="119">
        <f>'2019'!BE378</f>
        <v>40</v>
      </c>
    </row>
    <row r="52" ht="15.75" customHeight="1" spans="1:29" x14ac:dyDescent="0.25">
      <c r="A52" s="14"/>
      <c r="B52" s="115">
        <v>51</v>
      </c>
      <c r="C52" s="115">
        <v>4.95</v>
      </c>
      <c r="D52" s="117" t="s">
        <v>204</v>
      </c>
      <c r="E52" s="119">
        <f>'2019'!I386</f>
        <v>5</v>
      </c>
      <c r="F52" s="119">
        <f>'2019'!J386</f>
      </c>
      <c r="G52" s="119">
        <f>'2019'!M386</f>
      </c>
      <c r="H52" s="119">
        <f>'2019'!N386</f>
      </c>
      <c r="I52" s="119">
        <f>'2019'!Q386</f>
      </c>
      <c r="J52" s="119">
        <f>'2019'!R386</f>
      </c>
      <c r="K52" s="119">
        <f>'2019'!U386</f>
      </c>
      <c r="L52" s="119">
        <f>'2019'!V386</f>
      </c>
      <c r="M52" s="119">
        <f>'2019'!Y386</f>
        <v>3</v>
      </c>
      <c r="N52" s="119">
        <f>'2019'!Z386</f>
        <v>-2</v>
      </c>
      <c r="O52" s="119">
        <f>'2019'!AC386</f>
        <v>3</v>
      </c>
      <c r="P52" s="119">
        <f>'2019'!AD386</f>
        <v>0</v>
      </c>
      <c r="Q52" s="119">
        <f>'2019'!AG386</f>
        <v>21</v>
      </c>
      <c r="R52" s="119">
        <f>'2019'!AH386</f>
        <v>18</v>
      </c>
      <c r="S52" s="119">
        <f>'2019'!AK386</f>
        <v>21</v>
      </c>
      <c r="T52" s="119">
        <f>'2019'!AL386</f>
        <v>0</v>
      </c>
      <c r="U52" s="119">
        <f>'2019'!AO386</f>
        <v>21</v>
      </c>
      <c r="V52" s="119">
        <f>'2019'!AP386</f>
        <v>0</v>
      </c>
      <c r="W52" s="119">
        <f>'2019'!AS386</f>
        <v>27</v>
      </c>
      <c r="X52" s="119">
        <f>'2019'!AT386</f>
        <v>6</v>
      </c>
      <c r="Y52" s="119">
        <f>'2019'!AW386</f>
        <v>27</v>
      </c>
      <c r="Z52" s="119">
        <f>'2019'!AX386</f>
      </c>
      <c r="AA52" s="119">
        <f>'2019'!BA386</f>
        <v>27</v>
      </c>
      <c r="AB52" s="119">
        <f>'2019'!BB386</f>
      </c>
      <c r="AC52" s="119">
        <f>'2019'!BE386</f>
        <v>22</v>
      </c>
    </row>
    <row r="53" ht="15.75" customHeight="1" spans="1:29" x14ac:dyDescent="0.25">
      <c r="A53" s="14"/>
      <c r="B53" s="115">
        <v>52</v>
      </c>
      <c r="C53" s="116">
        <v>5</v>
      </c>
      <c r="D53" s="117" t="s">
        <v>206</v>
      </c>
      <c r="E53" s="119">
        <f>'2019'!I394</f>
        <v>168</v>
      </c>
      <c r="F53" s="119">
        <f>'2019'!J394</f>
      </c>
      <c r="G53" s="119">
        <f>'2019'!M394</f>
      </c>
      <c r="H53" s="119">
        <f>'2019'!N394</f>
      </c>
      <c r="I53" s="119">
        <f>'2019'!Q394</f>
      </c>
      <c r="J53" s="119">
        <f>'2019'!R394</f>
      </c>
      <c r="K53" s="119">
        <f>'2019'!U394</f>
      </c>
      <c r="L53" s="119">
        <f>'2019'!V394</f>
      </c>
      <c r="M53" s="119">
        <f>'2019'!Y394</f>
        <v>171</v>
      </c>
      <c r="N53" s="119">
        <f>'2019'!Z394</f>
        <v>3</v>
      </c>
      <c r="O53" s="119">
        <f>'2019'!AC394</f>
        <v>178</v>
      </c>
      <c r="P53" s="119">
        <f>'2019'!AD394</f>
        <v>7</v>
      </c>
      <c r="Q53" s="119">
        <f>'2019'!AG394</f>
        <v>178</v>
      </c>
      <c r="R53" s="119">
        <f>'2019'!AH394</f>
        <v>0</v>
      </c>
      <c r="S53" s="119">
        <f>'2019'!AK394</f>
        <v>194</v>
      </c>
      <c r="T53" s="119">
        <f>'2019'!AL394</f>
        <v>16</v>
      </c>
      <c r="U53" s="119">
        <f>'2019'!AO394</f>
        <v>196</v>
      </c>
      <c r="V53" s="119">
        <f>'2019'!AP394</f>
        <v>2</v>
      </c>
      <c r="W53" s="119">
        <f>'2019'!AS394</f>
        <v>196</v>
      </c>
      <c r="X53" s="119">
        <f>'2019'!AT394</f>
        <v>0</v>
      </c>
      <c r="Y53" s="119">
        <f>'2019'!AW394</f>
        <v>196</v>
      </c>
      <c r="Z53" s="119">
        <f>'2019'!AX394</f>
      </c>
      <c r="AA53" s="119">
        <f>'2019'!BA394</f>
        <v>196</v>
      </c>
      <c r="AB53" s="119">
        <f>'2019'!BB394</f>
      </c>
      <c r="AC53" s="119">
        <f>'2019'!BE394</f>
        <v>28</v>
      </c>
    </row>
    <row r="54" ht="15.75" customHeight="1" spans="1:29" x14ac:dyDescent="0.25">
      <c r="A54" s="14"/>
      <c r="B54" s="115">
        <v>53</v>
      </c>
      <c r="C54" s="115">
        <v>5.05</v>
      </c>
      <c r="D54" s="117" t="s">
        <v>210</v>
      </c>
      <c r="E54" s="119">
        <f>'2019'!I402</f>
        <v>53</v>
      </c>
      <c r="F54" s="119">
        <f>'2019'!J402</f>
      </c>
      <c r="G54" s="119">
        <f>'2019'!M402</f>
      </c>
      <c r="H54" s="119">
        <f>'2019'!N402</f>
      </c>
      <c r="I54" s="119">
        <f>'2019'!Q402</f>
      </c>
      <c r="J54" s="119">
        <f>'2019'!R402</f>
      </c>
      <c r="K54" s="119">
        <f>'2019'!U402</f>
      </c>
      <c r="L54" s="119">
        <f>'2019'!V402</f>
      </c>
      <c r="M54" s="119">
        <f>'2019'!Y402</f>
        <v>53</v>
      </c>
      <c r="N54" s="119">
        <f>'2019'!Z402</f>
        <v>0</v>
      </c>
      <c r="O54" s="119">
        <f>'2019'!AC402</f>
        <v>59</v>
      </c>
      <c r="P54" s="119">
        <f>'2019'!AD402</f>
        <v>6</v>
      </c>
      <c r="Q54" s="119">
        <f>'2019'!AG402</f>
        <v>62</v>
      </c>
      <c r="R54" s="119">
        <f>'2019'!AH402</f>
        <v>3</v>
      </c>
      <c r="S54" s="119">
        <f>'2019'!AK402</f>
        <v>68</v>
      </c>
      <c r="T54" s="119">
        <f>'2019'!AL402</f>
        <v>6</v>
      </c>
      <c r="U54" s="119">
        <f>'2019'!AO402</f>
        <v>69</v>
      </c>
      <c r="V54" s="119">
        <f>'2019'!AP402</f>
        <v>1</v>
      </c>
      <c r="W54" s="119">
        <f>'2019'!AS402</f>
        <v>69</v>
      </c>
      <c r="X54" s="119">
        <f>'2019'!AT402</f>
        <v>0</v>
      </c>
      <c r="Y54" s="119">
        <f>'2019'!AW402</f>
        <v>69</v>
      </c>
      <c r="Z54" s="119">
        <f>'2019'!AX402</f>
      </c>
      <c r="AA54" s="119">
        <f>'2019'!BA402</f>
        <v>69</v>
      </c>
      <c r="AB54" s="119">
        <f>'2019'!BB402</f>
      </c>
      <c r="AC54" s="119">
        <f>'2019'!BE402</f>
        <v>16</v>
      </c>
    </row>
    <row r="55" ht="15.75" customHeight="1" spans="1:29" x14ac:dyDescent="0.25">
      <c r="A55" s="14"/>
      <c r="B55" s="115">
        <v>54</v>
      </c>
      <c r="C55" s="115">
        <v>5.54</v>
      </c>
      <c r="D55" s="117" t="s">
        <v>212</v>
      </c>
      <c r="E55" s="119">
        <f>'2019'!I410</f>
        <v>89</v>
      </c>
      <c r="F55" s="119">
        <f>'2019'!J410</f>
      </c>
      <c r="G55" s="119">
        <f>'2019'!M410</f>
      </c>
      <c r="H55" s="119">
        <f>'2019'!N410</f>
      </c>
      <c r="I55" s="119">
        <f>'2019'!Q410</f>
      </c>
      <c r="J55" s="119">
        <f>'2019'!R410</f>
      </c>
      <c r="K55" s="119">
        <f>'2019'!U410</f>
      </c>
      <c r="L55" s="119">
        <f>'2019'!V410</f>
      </c>
      <c r="M55" s="119">
        <f>'2019'!Y410</f>
        <v>96</v>
      </c>
      <c r="N55" s="119">
        <f>'2019'!Z410</f>
        <v>7</v>
      </c>
      <c r="O55" s="119">
        <f>'2019'!AC410</f>
        <v>100</v>
      </c>
      <c r="P55" s="119">
        <f>'2019'!AD410</f>
        <v>4</v>
      </c>
      <c r="Q55" s="119">
        <f>'2019'!AG410</f>
        <v>111</v>
      </c>
      <c r="R55" s="119">
        <f>'2019'!AH410</f>
        <v>11</v>
      </c>
      <c r="S55" s="119">
        <f>'2019'!AK410</f>
        <v>117</v>
      </c>
      <c r="T55" s="119">
        <f>'2019'!AL410</f>
        <v>6</v>
      </c>
      <c r="U55" s="119">
        <f>'2019'!AO410</f>
        <v>117</v>
      </c>
      <c r="V55" s="119">
        <f>'2019'!AP410</f>
        <v>0</v>
      </c>
      <c r="W55" s="119">
        <f>'2019'!AS410</f>
        <v>117</v>
      </c>
      <c r="X55" s="119">
        <f>'2019'!AT410</f>
        <v>0</v>
      </c>
      <c r="Y55" s="119">
        <f>'2019'!AW410</f>
        <v>117</v>
      </c>
      <c r="Z55" s="119">
        <f>'2019'!AX410</f>
      </c>
      <c r="AA55" s="119">
        <f>'2019'!BA410</f>
        <v>117</v>
      </c>
      <c r="AB55" s="119">
        <f>'2019'!BB410</f>
      </c>
      <c r="AC55" s="119">
        <f>'2019'!BE410</f>
        <v>28</v>
      </c>
    </row>
    <row r="56" ht="15.75" customHeight="1" spans="1:29" x14ac:dyDescent="0.25">
      <c r="A56" s="21"/>
      <c r="B56" s="115">
        <v>55</v>
      </c>
      <c r="C56" s="116">
        <v>5.5</v>
      </c>
      <c r="D56" s="117" t="s">
        <v>214</v>
      </c>
      <c r="E56" s="119">
        <f>'2019'!I418</f>
        <v>4</v>
      </c>
      <c r="F56" s="119">
        <f>'2019'!J418</f>
      </c>
      <c r="G56" s="119">
        <f>'2019'!M418</f>
      </c>
      <c r="H56" s="119">
        <f>'2019'!N418</f>
      </c>
      <c r="I56" s="119">
        <f>'2019'!Q418</f>
      </c>
      <c r="J56" s="119">
        <f>'2019'!R418</f>
      </c>
      <c r="K56" s="119">
        <f>'2019'!U418</f>
      </c>
      <c r="L56" s="119">
        <f>'2019'!V418</f>
      </c>
      <c r="M56" s="119">
        <f>'2019'!Y418</f>
        <v>5</v>
      </c>
      <c r="N56" s="119">
        <f>'2019'!Z418</f>
        <v>1</v>
      </c>
      <c r="O56" s="119">
        <f>'2019'!AC418</f>
        <v>8</v>
      </c>
      <c r="P56" s="119">
        <f>'2019'!AD418</f>
        <v>3</v>
      </c>
      <c r="Q56" s="119">
        <f>'2019'!AG418</f>
        <v>10</v>
      </c>
      <c r="R56" s="119">
        <f>'2019'!AH418</f>
        <v>2</v>
      </c>
      <c r="S56" s="119">
        <f>'2019'!AK418</f>
        <v>13</v>
      </c>
      <c r="T56" s="119">
        <f>'2019'!AL418</f>
        <v>3</v>
      </c>
      <c r="U56" s="119">
        <f>'2019'!AO418</f>
        <v>13</v>
      </c>
      <c r="V56" s="119">
        <f>'2019'!AP418</f>
        <v>0</v>
      </c>
      <c r="W56" s="119">
        <f>'2019'!AS418</f>
        <v>13</v>
      </c>
      <c r="X56" s="119">
        <f>'2019'!AT418</f>
        <v>0</v>
      </c>
      <c r="Y56" s="119">
        <f>'2019'!AW418</f>
        <v>13</v>
      </c>
      <c r="Z56" s="119">
        <f>'2019'!AX418</f>
      </c>
      <c r="AA56" s="119">
        <f>'2019'!BA418</f>
        <v>13</v>
      </c>
      <c r="AB56" s="119">
        <f>'2019'!BB418</f>
      </c>
      <c r="AC56" s="119">
        <f>'2019'!BE418</f>
        <v>9</v>
      </c>
    </row>
    <row r="57" ht="15.75" customHeight="1" spans="1:29" x14ac:dyDescent="0.25">
      <c r="A57" s="114" t="s">
        <v>217</v>
      </c>
      <c r="B57" s="115">
        <v>56</v>
      </c>
      <c r="C57" s="115">
        <v>6.23</v>
      </c>
      <c r="D57" s="161" t="s">
        <v>218</v>
      </c>
      <c r="E57" s="119">
        <f>'2019'!I426</f>
      </c>
      <c r="F57" s="119">
        <f>'2019'!J426</f>
      </c>
      <c r="G57" s="119">
        <f>'2019'!M426</f>
      </c>
      <c r="H57" s="119">
        <f>'2019'!N426</f>
      </c>
      <c r="I57" s="119">
        <f>'2019'!Q426</f>
      </c>
      <c r="J57" s="119">
        <f>'2019'!R426</f>
      </c>
      <c r="K57" s="119">
        <f>'2019'!U426</f>
      </c>
      <c r="L57" s="119">
        <f>'2019'!V426</f>
      </c>
      <c r="M57" s="119">
        <f>'2019'!Y426</f>
        <v>0</v>
      </c>
      <c r="N57" s="119">
        <f>'2019'!Z426</f>
        <v>0</v>
      </c>
      <c r="O57" s="119">
        <f>'2019'!AC426</f>
        <v>0</v>
      </c>
      <c r="P57" s="119">
        <f>'2019'!AD426</f>
        <v>0</v>
      </c>
      <c r="Q57" s="119">
        <f>'2019'!AG426</f>
        <v>0</v>
      </c>
      <c r="R57" s="119">
        <f>'2019'!AH426</f>
        <v>0</v>
      </c>
      <c r="S57" s="119">
        <f>'2019'!AK426</f>
        <v>5</v>
      </c>
      <c r="T57" s="119">
        <f>'2019'!AL426</f>
        <v>5</v>
      </c>
      <c r="U57" s="119">
        <f>'2019'!AO426</f>
        <v>15</v>
      </c>
      <c r="V57" s="119">
        <f>'2019'!AP426</f>
        <v>10</v>
      </c>
      <c r="W57" s="119">
        <f>'2019'!AS426</f>
        <v>15</v>
      </c>
      <c r="X57" s="119">
        <f>'2019'!AT426</f>
        <v>0</v>
      </c>
      <c r="Y57" s="119">
        <f>'2019'!AW426</f>
        <v>15</v>
      </c>
      <c r="Z57" s="119">
        <f>'2019'!AX426</f>
      </c>
      <c r="AA57" s="119">
        <f>'2019'!BA426</f>
        <v>15</v>
      </c>
      <c r="AB57" s="119">
        <f>'2019'!BB426</f>
      </c>
      <c r="AC57" s="119">
        <f>'2019'!BE426</f>
        <v>15</v>
      </c>
    </row>
    <row r="58" ht="15.75" customHeight="1" spans="1:29" x14ac:dyDescent="0.25">
      <c r="A58" s="14"/>
      <c r="B58" s="115">
        <v>57</v>
      </c>
      <c r="C58" s="116">
        <v>4</v>
      </c>
      <c r="D58" s="117" t="s">
        <v>221</v>
      </c>
      <c r="E58" s="119">
        <f>'2019'!I434</f>
        <v>21</v>
      </c>
      <c r="F58" s="119">
        <f>'2019'!J434</f>
      </c>
      <c r="G58" s="119">
        <f>'2019'!M434</f>
      </c>
      <c r="H58" s="119">
        <f>'2019'!N434</f>
      </c>
      <c r="I58" s="119">
        <f>'2019'!Q434</f>
      </c>
      <c r="J58" s="119">
        <f>'2019'!R434</f>
      </c>
      <c r="K58" s="119">
        <f>'2019'!U434</f>
      </c>
      <c r="L58" s="119">
        <f>'2019'!V434</f>
      </c>
      <c r="M58" s="119">
        <f>'2019'!Y434</f>
        <v>21</v>
      </c>
      <c r="N58" s="119">
        <f>'2019'!Z434</f>
        <v>0</v>
      </c>
      <c r="O58" s="119">
        <f>'2019'!AC434</f>
        <v>21</v>
      </c>
      <c r="P58" s="119">
        <f>'2019'!AD434</f>
        <v>0</v>
      </c>
      <c r="Q58" s="119">
        <f>'2019'!AG434</f>
        <v>21</v>
      </c>
      <c r="R58" s="119">
        <f>'2019'!AH434</f>
        <v>0</v>
      </c>
      <c r="S58" s="119">
        <f>'2019'!AK434</f>
        <v>21</v>
      </c>
      <c r="T58" s="119">
        <f>'2019'!AL434</f>
        <v>0</v>
      </c>
      <c r="U58" s="119">
        <f>'2019'!AO434</f>
        <v>21</v>
      </c>
      <c r="V58" s="119">
        <f>'2019'!AP434</f>
        <v>0</v>
      </c>
      <c r="W58" s="119">
        <f>'2019'!AS434</f>
        <v>21</v>
      </c>
      <c r="X58" s="119">
        <f>'2019'!AT434</f>
        <v>0</v>
      </c>
      <c r="Y58" s="119">
        <f>'2019'!AW434</f>
        <v>21</v>
      </c>
      <c r="Z58" s="119">
        <f>'2019'!AX434</f>
      </c>
      <c r="AA58" s="119">
        <f>'2019'!BA434</f>
        <v>21</v>
      </c>
      <c r="AB58" s="119">
        <f>'2019'!BB434</f>
      </c>
      <c r="AC58" s="119">
        <f>'2019'!BE434</f>
        <v>0</v>
      </c>
    </row>
    <row r="59" ht="15.75" customHeight="1" spans="1:29" x14ac:dyDescent="0.25">
      <c r="A59" s="14"/>
      <c r="B59" s="115">
        <v>59</v>
      </c>
      <c r="C59" s="116">
        <v>4</v>
      </c>
      <c r="D59" s="117" t="s">
        <v>221</v>
      </c>
      <c r="E59" s="119">
        <f>'2019'!I442</f>
      </c>
      <c r="F59" s="119">
        <f>'2019'!J442</f>
      </c>
      <c r="G59" s="119">
        <f>'2019'!M442</f>
      </c>
      <c r="H59" s="119">
        <f>'2019'!N442</f>
      </c>
      <c r="I59" s="119">
        <f>'2019'!Q442</f>
      </c>
      <c r="J59" s="119">
        <f>'2019'!R442</f>
      </c>
      <c r="K59" s="119">
        <f>'2019'!U442</f>
      </c>
      <c r="L59" s="119">
        <f>'2019'!V442</f>
      </c>
      <c r="M59" s="119">
        <f>'2019'!Y442</f>
      </c>
      <c r="N59" s="119">
        <f>'2019'!Z442</f>
      </c>
      <c r="O59" s="119">
        <f>'2019'!AC442</f>
      </c>
      <c r="P59" s="119">
        <f>'2019'!AD442</f>
      </c>
      <c r="Q59" s="119">
        <f>'2019'!AG442</f>
      </c>
      <c r="R59" s="119">
        <f>'2019'!AH442</f>
      </c>
      <c r="S59" s="119">
        <f>'2019'!AK442</f>
      </c>
      <c r="T59" s="119">
        <f>'2019'!AL442</f>
      </c>
      <c r="U59" s="119">
        <f>'2019'!AO442</f>
      </c>
      <c r="V59" s="119">
        <f>'2019'!AP442</f>
      </c>
      <c r="W59" s="119">
        <f>'2019'!AS442</f>
      </c>
      <c r="X59" s="119">
        <f>'2019'!AT442</f>
      </c>
      <c r="Y59" s="119">
        <f>'2019'!AW442</f>
      </c>
      <c r="Z59" s="119">
        <f>'2019'!AX442</f>
      </c>
      <c r="AA59" s="119">
        <f>'2019'!BA442</f>
      </c>
      <c r="AB59" s="119">
        <f>'2019'!BB442</f>
      </c>
      <c r="AC59" s="119">
        <f>'2019'!BE442</f>
        <v>0</v>
      </c>
    </row>
    <row r="60" ht="15.75" customHeight="1" spans="1:29" x14ac:dyDescent="0.25">
      <c r="A60" s="14"/>
      <c r="B60" s="115">
        <v>58</v>
      </c>
      <c r="C60" s="115">
        <v>5.08</v>
      </c>
      <c r="D60" s="117" t="s">
        <v>223</v>
      </c>
      <c r="E60" s="119">
        <f>'2019'!I450</f>
        <v>1438</v>
      </c>
      <c r="F60" s="119">
        <f>'2019'!J450</f>
      </c>
      <c r="G60" s="119">
        <f>'2019'!M450</f>
      </c>
      <c r="H60" s="119">
        <f>'2019'!N450</f>
      </c>
      <c r="I60" s="119">
        <f>'2019'!Q450</f>
      </c>
      <c r="J60" s="119">
        <f>'2019'!R450</f>
      </c>
      <c r="K60" s="119">
        <f>'2019'!U450</f>
      </c>
      <c r="L60" s="119">
        <f>'2019'!V450</f>
      </c>
      <c r="M60" s="119">
        <f>'2019'!Y450</f>
        <v>1438</v>
      </c>
      <c r="N60" s="119">
        <f>'2019'!Z450</f>
        <v>0</v>
      </c>
      <c r="O60" s="119">
        <f>'2019'!AC450</f>
        <v>1470</v>
      </c>
      <c r="P60" s="119">
        <f>'2019'!AD450</f>
        <v>32</v>
      </c>
      <c r="Q60" s="119">
        <f>'2019'!AG450</f>
        <v>1485</v>
      </c>
      <c r="R60" s="119">
        <f>'2019'!AH450</f>
        <v>15</v>
      </c>
      <c r="S60" s="119">
        <f>'2019'!AK450</f>
        <v>1498</v>
      </c>
      <c r="T60" s="119">
        <f>'2019'!AL450</f>
        <v>13</v>
      </c>
      <c r="U60" s="119">
        <f>'2019'!AO450</f>
        <v>1505</v>
      </c>
      <c r="V60" s="119">
        <f>'2019'!AP450</f>
        <v>7</v>
      </c>
      <c r="W60" s="119">
        <f>'2019'!AS450</f>
        <v>1505</v>
      </c>
      <c r="X60" s="119">
        <f>'2019'!AT450</f>
        <v>0</v>
      </c>
      <c r="Y60" s="119">
        <f>'2019'!AW450</f>
        <v>1505</v>
      </c>
      <c r="Z60" s="119">
        <f>'2019'!AX450</f>
      </c>
      <c r="AA60" s="119">
        <f>'2019'!BA450</f>
        <v>1505</v>
      </c>
      <c r="AB60" s="119">
        <f>'2019'!BB450</f>
      </c>
      <c r="AC60" s="119">
        <f>'2019'!BE450</f>
        <v>67</v>
      </c>
    </row>
    <row r="61" ht="15.75" customHeight="1" spans="1:29" x14ac:dyDescent="0.25">
      <c r="A61" s="14"/>
      <c r="B61" s="115">
        <v>60</v>
      </c>
      <c r="C61" s="116">
        <v>4.4</v>
      </c>
      <c r="D61" s="117" t="s">
        <v>227</v>
      </c>
      <c r="E61" s="119">
        <f>'2019'!I458</f>
        <v>94</v>
      </c>
      <c r="F61" s="119">
        <f>'2019'!J458</f>
      </c>
      <c r="G61" s="119">
        <f>'2019'!M458</f>
      </c>
      <c r="H61" s="119">
        <f>'2019'!N458</f>
      </c>
      <c r="I61" s="119">
        <f>'2019'!Q458</f>
      </c>
      <c r="J61" s="119">
        <f>'2019'!R458</f>
      </c>
      <c r="K61" s="119">
        <f>'2019'!U458</f>
      </c>
      <c r="L61" s="119">
        <f>'2019'!V458</f>
      </c>
      <c r="M61" s="119">
        <f>'2019'!Y458</f>
        <v>93</v>
      </c>
      <c r="N61" s="119">
        <f>'2019'!Z458</f>
        <v>-1</v>
      </c>
      <c r="O61" s="119">
        <f>'2019'!AC458</f>
        <v>98</v>
      </c>
      <c r="P61" s="119">
        <f>'2019'!AD458</f>
        <v>5</v>
      </c>
      <c r="Q61" s="119">
        <f>'2019'!AG458</f>
        <v>106</v>
      </c>
      <c r="R61" s="119">
        <f>'2019'!AH458</f>
        <v>8</v>
      </c>
      <c r="S61" s="119">
        <f>'2019'!AK458</f>
        <v>108</v>
      </c>
      <c r="T61" s="119">
        <f>'2019'!AL458</f>
        <v>2</v>
      </c>
      <c r="U61" s="119">
        <f>'2019'!AO458</f>
        <v>108</v>
      </c>
      <c r="V61" s="119">
        <f>'2019'!AP458</f>
        <v>0</v>
      </c>
      <c r="W61" s="119">
        <f>'2019'!AS458</f>
        <v>108</v>
      </c>
      <c r="X61" s="119">
        <f>'2019'!AT458</f>
        <v>0</v>
      </c>
      <c r="Y61" s="119">
        <f>'2019'!AW458</f>
        <v>108</v>
      </c>
      <c r="Z61" s="119">
        <f>'2019'!AX458</f>
      </c>
      <c r="AA61" s="119">
        <f>'2019'!BA458</f>
        <v>108</v>
      </c>
      <c r="AB61" s="119">
        <f>'2019'!BB458</f>
      </c>
      <c r="AC61" s="119">
        <f>'2019'!BE458</f>
        <v>14</v>
      </c>
    </row>
    <row r="62" ht="15.75" customHeight="1" spans="1:29" x14ac:dyDescent="0.25">
      <c r="A62" s="14"/>
      <c r="B62" s="115">
        <v>61</v>
      </c>
      <c r="C62" s="115">
        <v>4.71</v>
      </c>
      <c r="D62" s="117" t="s">
        <v>231</v>
      </c>
      <c r="E62" s="119">
        <f>'2019'!I466</f>
        <v>248</v>
      </c>
      <c r="F62" s="119">
        <f>'2019'!J466</f>
      </c>
      <c r="G62" s="119">
        <f>'2019'!M466</f>
      </c>
      <c r="H62" s="119">
        <f>'2019'!N466</f>
      </c>
      <c r="I62" s="119">
        <f>'2019'!Q466</f>
      </c>
      <c r="J62" s="119">
        <f>'2019'!R466</f>
      </c>
      <c r="K62" s="119">
        <f>'2019'!U466</f>
      </c>
      <c r="L62" s="119">
        <f>'2019'!V466</f>
      </c>
      <c r="M62" s="119">
        <f>'2019'!Y466</f>
        <v>249</v>
      </c>
      <c r="N62" s="119">
        <f>'2019'!Z466</f>
        <v>1</v>
      </c>
      <c r="O62" s="119">
        <f>'2019'!AC466</f>
        <v>249</v>
      </c>
      <c r="P62" s="119">
        <f>'2019'!AD466</f>
        <v>0</v>
      </c>
      <c r="Q62" s="119">
        <f>'2019'!AG466</f>
        <v>259</v>
      </c>
      <c r="R62" s="119">
        <f>'2019'!AH466</f>
        <v>10</v>
      </c>
      <c r="S62" s="119">
        <f>'2019'!AK466</f>
        <v>260</v>
      </c>
      <c r="T62" s="119">
        <f>'2019'!AL466</f>
        <v>1</v>
      </c>
      <c r="U62" s="119">
        <f>'2019'!AO466</f>
        <v>262</v>
      </c>
      <c r="V62" s="119">
        <f>'2019'!AP466</f>
        <v>2</v>
      </c>
      <c r="W62" s="119">
        <f>'2019'!AS466</f>
        <v>262</v>
      </c>
      <c r="X62" s="119">
        <f>'2019'!AT466</f>
        <v>0</v>
      </c>
      <c r="Y62" s="119">
        <f>'2019'!AW466</f>
        <v>262</v>
      </c>
      <c r="Z62" s="119">
        <f>'2019'!AX466</f>
      </c>
      <c r="AA62" s="119">
        <f>'2019'!BA466</f>
        <v>262</v>
      </c>
      <c r="AB62" s="119">
        <f>'2019'!BB466</f>
      </c>
      <c r="AC62" s="119">
        <f>'2019'!BE466</f>
        <v>14</v>
      </c>
    </row>
    <row r="63" ht="15.75" customHeight="1" spans="1:29" x14ac:dyDescent="0.25">
      <c r="A63" s="14"/>
      <c r="B63" s="115">
        <v>62</v>
      </c>
      <c r="C63" s="116">
        <v>4.6</v>
      </c>
      <c r="D63" s="117" t="s">
        <v>234</v>
      </c>
      <c r="E63" s="119">
        <f>'2019'!I474</f>
        <v>160</v>
      </c>
      <c r="F63" s="119">
        <f>'2019'!J474</f>
      </c>
      <c r="G63" s="119">
        <f>'2019'!M474</f>
      </c>
      <c r="H63" s="119">
        <f>'2019'!N474</f>
      </c>
      <c r="I63" s="119">
        <f>'2019'!Q474</f>
      </c>
      <c r="J63" s="119">
        <f>'2019'!R474</f>
      </c>
      <c r="K63" s="119">
        <f>'2019'!U474</f>
      </c>
      <c r="L63" s="119">
        <f>'2019'!V474</f>
      </c>
      <c r="M63" s="119">
        <f>'2019'!Y474</f>
        <v>145</v>
      </c>
      <c r="N63" s="119">
        <f>'2019'!Z474</f>
        <v>-15</v>
      </c>
      <c r="O63" s="119">
        <f>'2019'!AC474</f>
        <v>150</v>
      </c>
      <c r="P63" s="119">
        <f>'2019'!AD474</f>
        <v>5</v>
      </c>
      <c r="Q63" s="119">
        <f>'2019'!AG474</f>
        <v>150</v>
      </c>
      <c r="R63" s="119">
        <f>'2019'!AH474</f>
        <v>0</v>
      </c>
      <c r="S63" s="119">
        <f>'2019'!AK474</f>
        <v>170</v>
      </c>
      <c r="T63" s="119">
        <f>'2019'!AL474</f>
        <v>20</v>
      </c>
      <c r="U63" s="119">
        <f>'2019'!AO474</f>
        <v>173</v>
      </c>
      <c r="V63" s="119">
        <f>'2019'!AP474</f>
        <v>3</v>
      </c>
      <c r="W63" s="119">
        <f>'2019'!AS474</f>
        <v>173</v>
      </c>
      <c r="X63" s="119">
        <f>'2019'!AT474</f>
        <v>0</v>
      </c>
      <c r="Y63" s="119">
        <f>'2019'!AW474</f>
        <v>173</v>
      </c>
      <c r="Z63" s="119">
        <f>'2019'!AX474</f>
      </c>
      <c r="AA63" s="119">
        <f>'2019'!BA474</f>
        <v>173</v>
      </c>
      <c r="AB63" s="119">
        <f>'2019'!BB474</f>
      </c>
      <c r="AC63" s="119">
        <f>'2019'!BE474</f>
        <v>13</v>
      </c>
    </row>
    <row r="64" ht="15.75" customHeight="1" spans="1:29" x14ac:dyDescent="0.25">
      <c r="A64" s="14"/>
      <c r="B64" s="115" t="s">
        <v>237</v>
      </c>
      <c r="C64" s="115">
        <v>8.02</v>
      </c>
      <c r="D64" s="117" t="s">
        <v>238</v>
      </c>
      <c r="E64" s="119">
        <f>'2019'!I482</f>
        <v>113</v>
      </c>
      <c r="F64" s="119">
        <f>'2019'!J482</f>
      </c>
      <c r="G64" s="119">
        <f>'2019'!M482</f>
      </c>
      <c r="H64" s="119">
        <f>'2019'!N482</f>
      </c>
      <c r="I64" s="119">
        <f>'2019'!Q482</f>
      </c>
      <c r="J64" s="119">
        <f>'2019'!R482</f>
      </c>
      <c r="K64" s="119">
        <f>'2019'!U482</f>
      </c>
      <c r="L64" s="119">
        <f>'2019'!V482</f>
      </c>
      <c r="M64" s="119">
        <f>'2019'!Y482</f>
        <v>114</v>
      </c>
      <c r="N64" s="119">
        <f>'2019'!Z482</f>
        <v>1</v>
      </c>
      <c r="O64" s="119">
        <f>'2019'!AC482</f>
        <v>114</v>
      </c>
      <c r="P64" s="119">
        <f>'2019'!AD482</f>
        <v>0</v>
      </c>
      <c r="Q64" s="119">
        <f>'2019'!AG482</f>
        <v>132</v>
      </c>
      <c r="R64" s="119">
        <f>'2019'!AH482</f>
        <v>18</v>
      </c>
      <c r="S64" s="119">
        <f>'2019'!AK482</f>
        <v>132</v>
      </c>
      <c r="T64" s="119">
        <f>'2019'!AL482</f>
        <v>0</v>
      </c>
      <c r="U64" s="119">
        <f>'2019'!AO482</f>
        <v>132</v>
      </c>
      <c r="V64" s="119">
        <f>'2019'!AP482</f>
        <v>0</v>
      </c>
      <c r="W64" s="119">
        <f>'2019'!AS482</f>
        <v>132</v>
      </c>
      <c r="X64" s="119">
        <f>'2019'!AT482</f>
        <v>0</v>
      </c>
      <c r="Y64" s="119">
        <f>'2019'!AW482</f>
        <v>132</v>
      </c>
      <c r="Z64" s="119">
        <f>'2019'!AX482</f>
      </c>
      <c r="AA64" s="119">
        <f>'2019'!BA482</f>
        <v>132</v>
      </c>
      <c r="AB64" s="119">
        <f>'2019'!BB482</f>
      </c>
      <c r="AC64" s="119">
        <f>'2019'!BE482</f>
        <v>19</v>
      </c>
    </row>
    <row r="65" ht="15.75" customHeight="1" spans="1:29" x14ac:dyDescent="0.25">
      <c r="A65" s="14"/>
      <c r="B65" s="115">
        <v>64</v>
      </c>
      <c r="C65" s="115">
        <v>4.24</v>
      </c>
      <c r="D65" s="117" t="s">
        <v>241</v>
      </c>
      <c r="E65" s="119">
        <f>'2019'!I490</f>
        <v>44</v>
      </c>
      <c r="F65" s="119">
        <f>'2019'!J490</f>
      </c>
      <c r="G65" s="119">
        <f>'2019'!M490</f>
      </c>
      <c r="H65" s="119">
        <f>'2019'!N490</f>
      </c>
      <c r="I65" s="119">
        <f>'2019'!Q490</f>
      </c>
      <c r="J65" s="119">
        <f>'2019'!R490</f>
      </c>
      <c r="K65" s="119">
        <f>'2019'!U490</f>
      </c>
      <c r="L65" s="119">
        <f>'2019'!V490</f>
      </c>
      <c r="M65" s="119">
        <f>'2019'!Y490</f>
        <v>48</v>
      </c>
      <c r="N65" s="119">
        <f>'2019'!Z490</f>
        <v>4</v>
      </c>
      <c r="O65" s="119">
        <f>'2019'!AC490</f>
        <v>48</v>
      </c>
      <c r="P65" s="119">
        <f>'2019'!AD490</f>
        <v>0</v>
      </c>
      <c r="Q65" s="119">
        <f>'2019'!AG490</f>
        <v>67</v>
      </c>
      <c r="R65" s="119">
        <f>'2019'!AH490</f>
        <v>19</v>
      </c>
      <c r="S65" s="119">
        <f>'2019'!AK490</f>
        <v>67</v>
      </c>
      <c r="T65" s="119">
        <f>'2019'!AL490</f>
        <v>0</v>
      </c>
      <c r="U65" s="119">
        <f>'2019'!AO490</f>
        <v>67</v>
      </c>
      <c r="V65" s="119">
        <f>'2019'!AP490</f>
        <v>0</v>
      </c>
      <c r="W65" s="119">
        <f>'2019'!AS490</f>
        <v>67</v>
      </c>
      <c r="X65" s="119">
        <f>'2019'!AT490</f>
        <v>0</v>
      </c>
      <c r="Y65" s="119">
        <f>'2019'!AW490</f>
        <v>67</v>
      </c>
      <c r="Z65" s="119">
        <f>'2019'!AX490</f>
      </c>
      <c r="AA65" s="119">
        <f>'2019'!BA490</f>
        <v>67</v>
      </c>
      <c r="AB65" s="119">
        <f>'2019'!BB490</f>
      </c>
      <c r="AC65" s="119">
        <f>'2019'!BE490</f>
        <v>23</v>
      </c>
    </row>
    <row r="66" ht="15.75" customHeight="1" spans="1:29" x14ac:dyDescent="0.25">
      <c r="A66" s="14"/>
      <c r="B66" s="115">
        <v>66</v>
      </c>
      <c r="C66" s="115">
        <v>4.66</v>
      </c>
      <c r="D66" s="117" t="s">
        <v>244</v>
      </c>
      <c r="E66" s="119">
        <f>'2019'!I498</f>
        <v>37</v>
      </c>
      <c r="F66" s="119">
        <f>'2019'!J498</f>
      </c>
      <c r="G66" s="119">
        <f>'2019'!M498</f>
      </c>
      <c r="H66" s="119">
        <f>'2019'!N498</f>
      </c>
      <c r="I66" s="119">
        <f>'2019'!Q498</f>
      </c>
      <c r="J66" s="119">
        <f>'2019'!R498</f>
      </c>
      <c r="K66" s="119">
        <f>'2019'!U498</f>
      </c>
      <c r="L66" s="119">
        <f>'2019'!V498</f>
      </c>
      <c r="M66" s="119">
        <f>'2019'!Y498</f>
        <v>37</v>
      </c>
      <c r="N66" s="119">
        <f>'2019'!Z498</f>
        <v>0</v>
      </c>
      <c r="O66" s="119">
        <f>'2019'!AC498</f>
        <v>37</v>
      </c>
      <c r="P66" s="119">
        <f>'2019'!AD498</f>
        <v>0</v>
      </c>
      <c r="Q66" s="119">
        <f>'2019'!AG498</f>
        <v>37</v>
      </c>
      <c r="R66" s="119">
        <f>'2019'!AH498</f>
        <v>0</v>
      </c>
      <c r="S66" s="119">
        <f>'2019'!AK498</f>
        <v>37</v>
      </c>
      <c r="T66" s="119">
        <f>'2019'!AL498</f>
        <v>0</v>
      </c>
      <c r="U66" s="119">
        <f>'2019'!AO498</f>
        <v>37</v>
      </c>
      <c r="V66" s="119">
        <f>'2019'!AP498</f>
        <v>0</v>
      </c>
      <c r="W66" s="119">
        <f>'2019'!AS498</f>
        <v>37</v>
      </c>
      <c r="X66" s="119">
        <f>'2019'!AT498</f>
        <v>0</v>
      </c>
      <c r="Y66" s="119">
        <f>'2019'!AW498</f>
        <v>37</v>
      </c>
      <c r="Z66" s="119">
        <f>'2019'!AX498</f>
      </c>
      <c r="AA66" s="119">
        <f>'2019'!BA498</f>
        <v>37</v>
      </c>
      <c r="AB66" s="119">
        <f>'2019'!BB498</f>
      </c>
      <c r="AC66" s="119">
        <f>'2019'!BE498</f>
        <v>0</v>
      </c>
    </row>
    <row r="67" ht="15.75" customHeight="1" spans="1:29" x14ac:dyDescent="0.25">
      <c r="A67" s="14"/>
      <c r="B67" s="115">
        <v>67</v>
      </c>
      <c r="C67" s="115">
        <v>6.08</v>
      </c>
      <c r="D67" s="117" t="s">
        <v>245</v>
      </c>
      <c r="E67" s="119">
        <f>'2019'!I506</f>
        <v>192</v>
      </c>
      <c r="F67" s="119">
        <f>'2019'!J506</f>
      </c>
      <c r="G67" s="119">
        <f>'2019'!M506</f>
      </c>
      <c r="H67" s="119">
        <f>'2019'!N506</f>
      </c>
      <c r="I67" s="119">
        <f>'2019'!Q506</f>
      </c>
      <c r="J67" s="119">
        <f>'2019'!R506</f>
      </c>
      <c r="K67" s="119">
        <f>'2019'!U506</f>
      </c>
      <c r="L67" s="119">
        <f>'2019'!V506</f>
      </c>
      <c r="M67" s="119">
        <f>'2019'!Y506</f>
        <v>194</v>
      </c>
      <c r="N67" s="119">
        <f>'2019'!Z506</f>
        <v>2</v>
      </c>
      <c r="O67" s="119">
        <f>'2019'!AC506</f>
        <v>196</v>
      </c>
      <c r="P67" s="119">
        <f>'2019'!AD506</f>
        <v>2</v>
      </c>
      <c r="Q67" s="119">
        <f>'2019'!AG506</f>
        <v>109</v>
      </c>
      <c r="R67" s="119">
        <f>'2019'!AH506</f>
        <v>15</v>
      </c>
      <c r="S67" s="119">
        <f>'2019'!AK506</f>
        <v>121</v>
      </c>
      <c r="T67" s="119">
        <f>'2019'!AL506</f>
        <v>15</v>
      </c>
      <c r="U67" s="119">
        <f>'2019'!AO506</f>
        <v>121</v>
      </c>
      <c r="V67" s="119">
        <f>'2019'!AP506</f>
        <v>0</v>
      </c>
      <c r="W67" s="119">
        <f>'2019'!AS506</f>
        <v>121</v>
      </c>
      <c r="X67" s="119">
        <f>'2019'!AT506</f>
        <v>0</v>
      </c>
      <c r="Y67" s="119">
        <f>'2019'!AW506</f>
        <v>121</v>
      </c>
      <c r="Z67" s="119">
        <f>'2019'!AX506</f>
      </c>
      <c r="AA67" s="119">
        <f>'2019'!BA506</f>
        <v>121</v>
      </c>
      <c r="AB67" s="119">
        <f>'2019'!BB506</f>
      </c>
      <c r="AC67" s="119">
        <f>'2019'!BE506</f>
        <v>34</v>
      </c>
    </row>
    <row r="68" ht="15.75" customHeight="1" spans="1:29" x14ac:dyDescent="0.25">
      <c r="A68" s="14"/>
      <c r="B68" s="115" t="s">
        <v>248</v>
      </c>
      <c r="C68" s="115">
        <v>8.03</v>
      </c>
      <c r="D68" s="117" t="s">
        <v>249</v>
      </c>
      <c r="E68" s="119">
        <f>'2019'!I514</f>
        <v>289</v>
      </c>
      <c r="F68" s="119">
        <f>'2019'!J514</f>
      </c>
      <c r="G68" s="119">
        <f>'2019'!M514</f>
      </c>
      <c r="H68" s="119">
        <f>'2019'!N514</f>
      </c>
      <c r="I68" s="119">
        <f>'2019'!Q514</f>
      </c>
      <c r="J68" s="119">
        <f>'2019'!R514</f>
      </c>
      <c r="K68" s="119">
        <f>'2019'!U514</f>
      </c>
      <c r="L68" s="119">
        <f>'2019'!V514</f>
      </c>
      <c r="M68" s="119">
        <f>'2019'!Y514</f>
        <v>9</v>
      </c>
      <c r="N68" s="119">
        <f>'2019'!Z514</f>
        <v>9</v>
      </c>
      <c r="O68" s="119">
        <f>'2019'!AC514</f>
        <v>16</v>
      </c>
      <c r="P68" s="119">
        <f>'2019'!AD514</f>
        <v>7</v>
      </c>
      <c r="Q68" s="119">
        <f>'2019'!AG514</f>
        <v>23</v>
      </c>
      <c r="R68" s="119">
        <f>'2019'!AH514</f>
        <v>7</v>
      </c>
      <c r="S68" s="119">
        <f>'2019'!AK514</f>
        <v>44</v>
      </c>
      <c r="T68" s="119">
        <f>'2019'!AL514</f>
        <v>21</v>
      </c>
      <c r="U68" s="119">
        <f>'2019'!AO514</f>
        <v>49</v>
      </c>
      <c r="V68" s="119">
        <f>'2019'!AP514</f>
        <v>5</v>
      </c>
      <c r="W68" s="119">
        <f>'2019'!AS514</f>
        <v>49</v>
      </c>
      <c r="X68" s="119">
        <f>'2019'!AT514</f>
        <v>0</v>
      </c>
      <c r="Y68" s="119">
        <f>'2019'!AW514</f>
        <v>49</v>
      </c>
      <c r="Z68" s="119">
        <f>'2019'!AX514</f>
      </c>
      <c r="AA68" s="119">
        <f>'2019'!BA514</f>
        <v>49</v>
      </c>
      <c r="AB68" s="119">
        <f>'2019'!BB514</f>
      </c>
      <c r="AC68" s="119">
        <f>'2019'!BE514</f>
        <v>49</v>
      </c>
    </row>
    <row r="69" ht="15.75" customHeight="1" spans="1:29" x14ac:dyDescent="0.25">
      <c r="A69" s="14"/>
      <c r="B69" s="115">
        <v>69</v>
      </c>
      <c r="C69" s="115">
        <v>4.03</v>
      </c>
      <c r="D69" s="117" t="s">
        <v>253</v>
      </c>
      <c r="E69" s="119">
        <f>'2019'!I522</f>
        <v>5</v>
      </c>
      <c r="F69" s="119">
        <f>'2019'!J522</f>
      </c>
      <c r="G69" s="119">
        <f>'2019'!M522</f>
      </c>
      <c r="H69" s="119">
        <f>'2019'!N522</f>
      </c>
      <c r="I69" s="119">
        <f>'2019'!Q522</f>
      </c>
      <c r="J69" s="119">
        <f>'2019'!R522</f>
      </c>
      <c r="K69" s="119">
        <f>'2019'!U522</f>
      </c>
      <c r="L69" s="119">
        <f>'2019'!V522</f>
      </c>
      <c r="M69" s="119">
        <f>'2019'!Y522</f>
        <v>7</v>
      </c>
      <c r="N69" s="119">
        <f>'2019'!Z522</f>
        <v>2</v>
      </c>
      <c r="O69" s="119">
        <f>'2019'!AC522</f>
        <v>7</v>
      </c>
      <c r="P69" s="119">
        <f>'2019'!AD522</f>
        <v>0</v>
      </c>
      <c r="Q69" s="119">
        <f>'2019'!AG522</f>
        <v>11</v>
      </c>
      <c r="R69" s="119">
        <f>'2019'!AH522</f>
        <v>4</v>
      </c>
      <c r="S69" s="119">
        <f>'2019'!AK522</f>
        <v>13</v>
      </c>
      <c r="T69" s="119">
        <f>'2019'!AL522</f>
        <v>2</v>
      </c>
      <c r="U69" s="119">
        <f>'2019'!AO522</f>
        <v>15</v>
      </c>
      <c r="V69" s="119">
        <f>'2019'!AP522</f>
        <v>2</v>
      </c>
      <c r="W69" s="119">
        <f>'2019'!AS522</f>
        <v>15</v>
      </c>
      <c r="X69" s="119">
        <f>'2019'!AT522</f>
        <v>0</v>
      </c>
      <c r="Y69" s="119">
        <f>'2019'!AW522</f>
        <v>15</v>
      </c>
      <c r="Z69" s="119">
        <f>'2019'!AX522</f>
      </c>
      <c r="AA69" s="119">
        <f>'2019'!BA522</f>
        <v>15</v>
      </c>
      <c r="AB69" s="119">
        <f>'2019'!BB522</f>
      </c>
      <c r="AC69" s="119">
        <f>'2019'!BE522</f>
        <v>10</v>
      </c>
    </row>
    <row r="70" ht="15.75" customHeight="1" spans="1:29" x14ac:dyDescent="0.25">
      <c r="A70" s="14"/>
      <c r="B70" s="115">
        <v>71</v>
      </c>
      <c r="C70" s="115">
        <v>5.98</v>
      </c>
      <c r="D70" s="117" t="s">
        <v>255</v>
      </c>
      <c r="E70" s="119">
        <f>'2019'!I530</f>
        <v>176</v>
      </c>
      <c r="F70" s="119">
        <f>'2019'!J530</f>
      </c>
      <c r="G70" s="119">
        <f>'2019'!M530</f>
      </c>
      <c r="H70" s="119">
        <f>'2019'!N530</f>
      </c>
      <c r="I70" s="119">
        <f>'2019'!Q530</f>
      </c>
      <c r="J70" s="119">
        <f>'2019'!R530</f>
      </c>
      <c r="K70" s="119">
        <f>'2019'!U530</f>
      </c>
      <c r="L70" s="119">
        <f>'2019'!V530</f>
      </c>
      <c r="M70" s="119">
        <f>'2019'!Y530</f>
        <v>177</v>
      </c>
      <c r="N70" s="119">
        <f>'2019'!Z530</f>
        <v>1</v>
      </c>
      <c r="O70" s="119">
        <f>'2019'!AC530</f>
        <v>190</v>
      </c>
      <c r="P70" s="119">
        <f>'2019'!AD530</f>
        <v>13</v>
      </c>
      <c r="Q70" s="119">
        <f>'2019'!AG530</f>
        <v>205</v>
      </c>
      <c r="R70" s="119">
        <f>'2019'!AH530</f>
        <v>15</v>
      </c>
      <c r="S70" s="119">
        <f>'2019'!AK530</f>
        <v>217</v>
      </c>
      <c r="T70" s="119">
        <f>'2019'!AL530</f>
        <v>12</v>
      </c>
      <c r="U70" s="119">
        <f>'2019'!AO530</f>
        <v>219</v>
      </c>
      <c r="V70" s="119">
        <f>'2019'!AP530</f>
        <v>2</v>
      </c>
      <c r="W70" s="119">
        <f>'2019'!AS530</f>
        <v>219</v>
      </c>
      <c r="X70" s="119">
        <f>'2019'!AT530</f>
        <v>0</v>
      </c>
      <c r="Y70" s="119">
        <f>'2019'!AW530</f>
        <v>219</v>
      </c>
      <c r="Z70" s="119">
        <f>'2019'!AX530</f>
      </c>
      <c r="AA70" s="119">
        <f>'2019'!BA530</f>
        <v>219</v>
      </c>
      <c r="AB70" s="119">
        <f>'2019'!BB530</f>
      </c>
      <c r="AC70" s="119">
        <f>'2019'!BE530</f>
        <v>43</v>
      </c>
    </row>
    <row r="71" ht="15.75" customHeight="1" spans="1:29" x14ac:dyDescent="0.25">
      <c r="A71" s="14"/>
      <c r="B71" s="115">
        <v>72</v>
      </c>
      <c r="C71" s="115">
        <v>4.03</v>
      </c>
      <c r="D71" s="117" t="s">
        <v>257</v>
      </c>
      <c r="E71" s="119">
        <f>'2019'!I538</f>
        <v>35</v>
      </c>
      <c r="F71" s="119">
        <f>'2019'!J538</f>
      </c>
      <c r="G71" s="119">
        <f>'2019'!M538</f>
      </c>
      <c r="H71" s="119">
        <f>'2019'!N538</f>
      </c>
      <c r="I71" s="119">
        <f>'2019'!Q538</f>
      </c>
      <c r="J71" s="119">
        <f>'2019'!R538</f>
      </c>
      <c r="K71" s="119">
        <f>'2019'!U538</f>
      </c>
      <c r="L71" s="119">
        <f>'2019'!V538</f>
      </c>
      <c r="M71" s="119">
        <f>'2019'!Y538</f>
        <v>38</v>
      </c>
      <c r="N71" s="119">
        <f>'2019'!Z538</f>
        <v>3</v>
      </c>
      <c r="O71" s="119">
        <f>'2019'!AC538</f>
        <v>38</v>
      </c>
      <c r="P71" s="119">
        <f>'2019'!AD538</f>
        <v>0</v>
      </c>
      <c r="Q71" s="119">
        <f>'2019'!AG538</f>
        <v>38</v>
      </c>
      <c r="R71" s="119">
        <f>'2019'!AH538</f>
        <v>0</v>
      </c>
      <c r="S71" s="119">
        <f>'2019'!AK538</f>
        <v>38</v>
      </c>
      <c r="T71" s="119">
        <f>'2019'!AL538</f>
        <v>0</v>
      </c>
      <c r="U71" s="119">
        <f>'2019'!AO538</f>
        <v>38</v>
      </c>
      <c r="V71" s="119">
        <f>'2019'!AP538</f>
        <v>0</v>
      </c>
      <c r="W71" s="119">
        <f>'2019'!AS538</f>
        <v>38</v>
      </c>
      <c r="X71" s="119">
        <f>'2019'!AT538</f>
        <v>0</v>
      </c>
      <c r="Y71" s="119">
        <f>'2019'!AW538</f>
        <v>38</v>
      </c>
      <c r="Z71" s="119">
        <f>'2019'!AX538</f>
      </c>
      <c r="AA71" s="119">
        <f>'2019'!BA538</f>
        <v>38</v>
      </c>
      <c r="AB71" s="119">
        <f>'2019'!BB538</f>
      </c>
      <c r="AC71" s="119">
        <f>'2019'!BE538</f>
        <v>3</v>
      </c>
    </row>
    <row r="72" ht="15.75" customHeight="1" spans="1:29" x14ac:dyDescent="0.25">
      <c r="A72" s="14"/>
      <c r="B72" s="115">
        <v>73</v>
      </c>
      <c r="C72" s="115">
        <v>4.02</v>
      </c>
      <c r="D72" s="117" t="s">
        <v>259</v>
      </c>
      <c r="E72" s="119">
        <f>'2019'!I546</f>
        <v>61</v>
      </c>
      <c r="F72" s="119">
        <f>'2019'!J546</f>
      </c>
      <c r="G72" s="119">
        <f>'2019'!M546</f>
      </c>
      <c r="H72" s="119">
        <f>'2019'!N546</f>
      </c>
      <c r="I72" s="119">
        <f>'2019'!Q546</f>
      </c>
      <c r="J72" s="119">
        <f>'2019'!R546</f>
      </c>
      <c r="K72" s="119">
        <f>'2019'!U546</f>
      </c>
      <c r="L72" s="119">
        <f>'2019'!V546</f>
      </c>
      <c r="M72" s="119">
        <f>'2019'!Y546</f>
        <v>61</v>
      </c>
      <c r="N72" s="119">
        <f>'2019'!Z546</f>
        <v>0</v>
      </c>
      <c r="O72" s="119">
        <f>'2019'!AC546</f>
        <v>66</v>
      </c>
      <c r="P72" s="119">
        <f>'2019'!AD546</f>
        <v>5</v>
      </c>
      <c r="Q72" s="119">
        <f>'2019'!AG546</f>
        <v>66</v>
      </c>
      <c r="R72" s="119">
        <f>'2019'!AH546</f>
        <v>0</v>
      </c>
      <c r="S72" s="119">
        <f>'2019'!AK546</f>
        <v>66</v>
      </c>
      <c r="T72" s="119">
        <f>'2019'!AL546</f>
        <v>0</v>
      </c>
      <c r="U72" s="119">
        <f>'2019'!AO546</f>
        <v>77</v>
      </c>
      <c r="V72" s="119">
        <f>'2019'!AP546</f>
        <v>11</v>
      </c>
      <c r="W72" s="119">
        <f>'2019'!AS546</f>
        <v>77</v>
      </c>
      <c r="X72" s="119">
        <f>'2019'!AT546</f>
        <v>0</v>
      </c>
      <c r="Y72" s="119">
        <f>'2019'!AW546</f>
        <v>77</v>
      </c>
      <c r="Z72" s="119">
        <f>'2019'!AX546</f>
      </c>
      <c r="AA72" s="119">
        <f>'2019'!BA546</f>
        <v>77</v>
      </c>
      <c r="AB72" s="119">
        <f>'2019'!BB546</f>
      </c>
      <c r="AC72" s="119">
        <f>'2019'!BE546</f>
        <v>16</v>
      </c>
    </row>
    <row r="73" ht="15.75" customHeight="1" spans="1:29" x14ac:dyDescent="0.25">
      <c r="A73" s="21"/>
      <c r="B73" s="115">
        <v>74</v>
      </c>
      <c r="C73" s="115">
        <v>4.97</v>
      </c>
      <c r="D73" s="117" t="s">
        <v>262</v>
      </c>
      <c r="E73" s="119">
        <f>'2019'!I554</f>
        <v>110</v>
      </c>
      <c r="F73" s="119">
        <f>'2019'!J554</f>
      </c>
      <c r="G73" s="119">
        <f>'2019'!M554</f>
      </c>
      <c r="H73" s="119">
        <f>'2019'!N554</f>
      </c>
      <c r="I73" s="119">
        <f>'2019'!Q554</f>
      </c>
      <c r="J73" s="119">
        <f>'2019'!R554</f>
      </c>
      <c r="K73" s="119">
        <f>'2019'!U554</f>
      </c>
      <c r="L73" s="119">
        <f>'2019'!V554</f>
      </c>
      <c r="M73" s="119">
        <f>'2019'!Y554</f>
        <v>110</v>
      </c>
      <c r="N73" s="119">
        <f>'2019'!Z554</f>
        <v>0</v>
      </c>
      <c r="O73" s="119">
        <f>'2019'!AC554</f>
        <v>116</v>
      </c>
      <c r="P73" s="119">
        <f>'2019'!AD554</f>
        <v>6</v>
      </c>
      <c r="Q73" s="119">
        <f>'2019'!AG554</f>
        <v>124</v>
      </c>
      <c r="R73" s="119">
        <f>'2019'!AH554</f>
        <v>8</v>
      </c>
      <c r="S73" s="119">
        <f>'2019'!AK554</f>
        <v>132</v>
      </c>
      <c r="T73" s="119">
        <f>'2019'!AL554</f>
        <v>8</v>
      </c>
      <c r="U73" s="119">
        <f>'2019'!AO554</f>
        <v>137</v>
      </c>
      <c r="V73" s="119">
        <f>'2019'!AP554</f>
        <v>5</v>
      </c>
      <c r="W73" s="119">
        <f>'2019'!AS554</f>
        <v>137</v>
      </c>
      <c r="X73" s="119">
        <f>'2019'!AT554</f>
        <v>0</v>
      </c>
      <c r="Y73" s="119">
        <f>'2019'!AW554</f>
        <v>137</v>
      </c>
      <c r="Z73" s="119">
        <f>'2019'!AX554</f>
      </c>
      <c r="AA73" s="119">
        <f>'2019'!BA554</f>
        <v>137</v>
      </c>
      <c r="AB73" s="119">
        <f>'2019'!BB554</f>
      </c>
      <c r="AC73" s="119">
        <f>'2019'!BE554</f>
        <v>27</v>
      </c>
    </row>
    <row r="74" ht="15.75" customHeight="1" spans="1:29" x14ac:dyDescent="0.25">
      <c r="A74" s="114" t="s">
        <v>264</v>
      </c>
      <c r="B74" s="115">
        <v>75</v>
      </c>
      <c r="C74" s="115">
        <v>4.15</v>
      </c>
      <c r="D74" s="117" t="s">
        <v>265</v>
      </c>
      <c r="E74" s="119">
        <f>'2019'!I562</f>
        <v>61</v>
      </c>
      <c r="F74" s="119">
        <f>'2019'!J562</f>
      </c>
      <c r="G74" s="119">
        <f>'2019'!M562</f>
      </c>
      <c r="H74" s="119">
        <f>'2019'!N562</f>
      </c>
      <c r="I74" s="119">
        <f>'2019'!Q562</f>
      </c>
      <c r="J74" s="119">
        <f>'2019'!R562</f>
      </c>
      <c r="K74" s="119">
        <f>'2019'!U562</f>
      </c>
      <c r="L74" s="119">
        <f>'2019'!V562</f>
      </c>
      <c r="M74" s="119">
        <f>'2019'!Y562</f>
        <v>62</v>
      </c>
      <c r="N74" s="119">
        <f>'2019'!Z562</f>
        <v>1</v>
      </c>
      <c r="O74" s="119">
        <f>'2019'!AC562</f>
        <v>65</v>
      </c>
      <c r="P74" s="119">
        <f>'2019'!AD562</f>
        <v>3</v>
      </c>
      <c r="Q74" s="119">
        <f>'2019'!AG562</f>
        <v>69</v>
      </c>
      <c r="R74" s="119">
        <f>'2019'!AH562</f>
        <v>4</v>
      </c>
      <c r="S74" s="119">
        <f>'2019'!AK562</f>
        <v>71</v>
      </c>
      <c r="T74" s="119">
        <f>'2019'!AL562</f>
        <v>2</v>
      </c>
      <c r="U74" s="119">
        <f>'2019'!AO562</f>
        <v>71</v>
      </c>
      <c r="V74" s="119">
        <f>'2019'!AP562</f>
        <v>0</v>
      </c>
      <c r="W74" s="119">
        <f>'2019'!AS562</f>
        <v>71</v>
      </c>
      <c r="X74" s="119">
        <f>'2019'!AT562</f>
        <v>0</v>
      </c>
      <c r="Y74" s="119">
        <f>'2019'!AW562</f>
        <v>71</v>
      </c>
      <c r="Z74" s="119">
        <f>'2019'!AX562</f>
      </c>
      <c r="AA74" s="119">
        <f>'2019'!BA562</f>
        <v>71</v>
      </c>
      <c r="AB74" s="119">
        <f>'2019'!BB562</f>
      </c>
      <c r="AC74" s="119">
        <f>'2019'!BE562</f>
        <v>10</v>
      </c>
    </row>
    <row r="75" ht="15.75" customHeight="1" spans="1:29" x14ac:dyDescent="0.25">
      <c r="A75" s="14"/>
      <c r="B75" s="115">
        <v>76</v>
      </c>
      <c r="C75" s="115">
        <v>4.15</v>
      </c>
      <c r="D75" s="117" t="s">
        <v>267</v>
      </c>
      <c r="E75" s="119">
        <f>'2019'!I570</f>
        <v>51</v>
      </c>
      <c r="F75" s="119">
        <f>'2019'!J570</f>
      </c>
      <c r="G75" s="119">
        <f>'2019'!M570</f>
      </c>
      <c r="H75" s="119">
        <f>'2019'!N570</f>
      </c>
      <c r="I75" s="119">
        <f>'2019'!Q570</f>
      </c>
      <c r="J75" s="119">
        <f>'2019'!R570</f>
      </c>
      <c r="K75" s="119">
        <f>'2019'!U570</f>
      </c>
      <c r="L75" s="119">
        <f>'2019'!V570</f>
      </c>
      <c r="M75" s="119">
        <f>'2019'!Y570</f>
        <v>51</v>
      </c>
      <c r="N75" s="119">
        <f>'2019'!Z570</f>
        <v>0</v>
      </c>
      <c r="O75" s="119">
        <f>'2019'!AC570</f>
        <v>58</v>
      </c>
      <c r="P75" s="119">
        <f>'2019'!AD570</f>
        <v>7</v>
      </c>
      <c r="Q75" s="119">
        <f>'2019'!AG570</f>
        <v>58</v>
      </c>
      <c r="R75" s="119">
        <f>'2019'!AH570</f>
        <v>0</v>
      </c>
      <c r="S75" s="119">
        <f>'2019'!AK570</f>
        <v>62</v>
      </c>
      <c r="T75" s="119">
        <f>'2019'!AL570</f>
        <v>4</v>
      </c>
      <c r="U75" s="119">
        <f>'2019'!AO570</f>
        <v>62</v>
      </c>
      <c r="V75" s="119">
        <f>'2019'!AP570</f>
        <v>0</v>
      </c>
      <c r="W75" s="119">
        <f>'2019'!AS570</f>
        <v>62</v>
      </c>
      <c r="X75" s="119">
        <f>'2019'!AT570</f>
        <v>0</v>
      </c>
      <c r="Y75" s="119">
        <f>'2019'!AW570</f>
        <v>62</v>
      </c>
      <c r="Z75" s="119">
        <f>'2019'!AX570</f>
      </c>
      <c r="AA75" s="119">
        <f>'2019'!BA570</f>
        <v>62</v>
      </c>
      <c r="AB75" s="119">
        <f>'2019'!BB570</f>
      </c>
      <c r="AC75" s="119">
        <f>'2019'!BE570</f>
        <v>11</v>
      </c>
    </row>
    <row r="76" ht="15.75" customHeight="1" spans="1:29" x14ac:dyDescent="0.25">
      <c r="A76" s="14"/>
      <c r="B76" s="115">
        <v>77</v>
      </c>
      <c r="C76" s="115">
        <v>4.12</v>
      </c>
      <c r="D76" s="117" t="s">
        <v>268</v>
      </c>
      <c r="E76" s="119">
        <f>'2019'!I578</f>
        <v>366</v>
      </c>
      <c r="F76" s="119">
        <f>'2019'!J578</f>
      </c>
      <c r="G76" s="119">
        <f>'2019'!M578</f>
      </c>
      <c r="H76" s="119">
        <f>'2019'!N578</f>
      </c>
      <c r="I76" s="119">
        <f>'2019'!Q578</f>
      </c>
      <c r="J76" s="119">
        <f>'2019'!R578</f>
      </c>
      <c r="K76" s="119">
        <f>'2019'!U578</f>
      </c>
      <c r="L76" s="119">
        <f>'2019'!V578</f>
      </c>
      <c r="M76" s="119">
        <f>'2019'!Y578</f>
        <v>367</v>
      </c>
      <c r="N76" s="119">
        <f>'2019'!Z578</f>
        <v>1</v>
      </c>
      <c r="O76" s="119">
        <f>'2019'!AC578</f>
        <v>370</v>
      </c>
      <c r="P76" s="119">
        <f>'2019'!AD578</f>
        <v>3</v>
      </c>
      <c r="Q76" s="119">
        <f>'2019'!AG578</f>
        <v>377</v>
      </c>
      <c r="R76" s="119">
        <f>'2019'!AH578</f>
        <v>7</v>
      </c>
      <c r="S76" s="119">
        <f>'2019'!AK578</f>
        <v>381</v>
      </c>
      <c r="T76" s="119">
        <f>'2019'!AL578</f>
        <v>4</v>
      </c>
      <c r="U76" s="119">
        <f>'2019'!AO578</f>
        <v>381</v>
      </c>
      <c r="V76" s="119">
        <f>'2019'!AP578</f>
        <v>0</v>
      </c>
      <c r="W76" s="119">
        <f>'2019'!AS578</f>
        <v>382</v>
      </c>
      <c r="X76" s="119">
        <f>'2019'!AT578</f>
        <v>1</v>
      </c>
      <c r="Y76" s="119">
        <f>'2019'!AW578</f>
        <v>382</v>
      </c>
      <c r="Z76" s="119">
        <f>'2019'!AX578</f>
      </c>
      <c r="AA76" s="119">
        <f>'2019'!BA578</f>
        <v>382</v>
      </c>
      <c r="AB76" s="119">
        <f>'2019'!BB578</f>
      </c>
      <c r="AC76" s="119">
        <f>'2019'!BE578</f>
        <v>16</v>
      </c>
    </row>
    <row r="77" ht="15.75" customHeight="1" spans="1:29" x14ac:dyDescent="0.25">
      <c r="A77" s="14"/>
      <c r="B77" s="115">
        <v>78</v>
      </c>
      <c r="C77" s="115">
        <v>4.03</v>
      </c>
      <c r="D77" s="117" t="s">
        <v>271</v>
      </c>
      <c r="E77" s="119">
        <f>'2019'!I586</f>
        <v>108</v>
      </c>
      <c r="F77" s="119">
        <f>'2019'!J586</f>
      </c>
      <c r="G77" s="119">
        <f>'2019'!M586</f>
      </c>
      <c r="H77" s="119">
        <f>'2019'!N586</f>
      </c>
      <c r="I77" s="119">
        <f>'2019'!Q586</f>
      </c>
      <c r="J77" s="119">
        <f>'2019'!R586</f>
      </c>
      <c r="K77" s="119">
        <f>'2019'!U586</f>
      </c>
      <c r="L77" s="119">
        <f>'2019'!V586</f>
      </c>
      <c r="M77" s="119">
        <f>'2019'!Y586</f>
        <v>108</v>
      </c>
      <c r="N77" s="119">
        <f>'2019'!Z586</f>
        <v>0</v>
      </c>
      <c r="O77" s="119">
        <f>'2019'!AC586</f>
        <v>112</v>
      </c>
      <c r="P77" s="119">
        <f>'2019'!AD586</f>
        <v>4</v>
      </c>
      <c r="Q77" s="119">
        <f>'2019'!AG586</f>
        <v>122</v>
      </c>
      <c r="R77" s="119">
        <f>'2019'!AH586</f>
        <v>10</v>
      </c>
      <c r="S77" s="119">
        <f>'2019'!AK586</f>
        <v>129</v>
      </c>
      <c r="T77" s="119">
        <f>'2019'!AL586</f>
        <v>7</v>
      </c>
      <c r="U77" s="119">
        <f>'2019'!AO586</f>
        <v>132</v>
      </c>
      <c r="V77" s="119">
        <f>'2019'!AP586</f>
        <v>3</v>
      </c>
      <c r="W77" s="119">
        <f>'2019'!AS586</f>
        <v>132</v>
      </c>
      <c r="X77" s="119">
        <f>'2019'!AT586</f>
        <v>0</v>
      </c>
      <c r="Y77" s="119">
        <f>'2019'!AW586</f>
        <v>132</v>
      </c>
      <c r="Z77" s="119">
        <f>'2019'!AX586</f>
      </c>
      <c r="AA77" s="119">
        <f>'2019'!BA586</f>
        <v>132</v>
      </c>
      <c r="AB77" s="119">
        <f>'2019'!BB586</f>
      </c>
      <c r="AC77" s="119">
        <f>'2019'!BE586</f>
        <v>24</v>
      </c>
    </row>
    <row r="78" ht="15.75" customHeight="1" spans="1:29" x14ac:dyDescent="0.25">
      <c r="A78" s="14"/>
      <c r="B78" s="115">
        <v>79</v>
      </c>
      <c r="C78" s="115">
        <v>4.24</v>
      </c>
      <c r="D78" s="117" t="s">
        <v>275</v>
      </c>
      <c r="E78" s="119">
        <f>'2019'!I594</f>
      </c>
      <c r="F78" s="119">
        <f>'2019'!J594</f>
      </c>
      <c r="G78" s="119">
        <f>'2019'!M594</f>
      </c>
      <c r="H78" s="119">
        <f>'2019'!N594</f>
      </c>
      <c r="I78" s="119">
        <f>'2019'!Q594</f>
      </c>
      <c r="J78" s="119">
        <f>'2019'!R594</f>
      </c>
      <c r="K78" s="119">
        <f>'2019'!U594</f>
      </c>
      <c r="L78" s="119">
        <f>'2019'!V594</f>
      </c>
      <c r="M78" s="119">
        <f>'2019'!Y594</f>
        <v>0</v>
      </c>
      <c r="N78" s="119">
        <f>'2019'!Z594</f>
        <v>0</v>
      </c>
      <c r="O78" s="119">
        <f>'2019'!AC594</f>
        <v>0</v>
      </c>
      <c r="P78" s="119">
        <f>'2019'!AD594</f>
        <v>0</v>
      </c>
      <c r="Q78" s="119">
        <f>'2019'!AG594</f>
        <v>0</v>
      </c>
      <c r="R78" s="119">
        <f>'2019'!AH594</f>
        <v>0</v>
      </c>
      <c r="S78" s="119">
        <f>'2019'!AK594</f>
        <v>0</v>
      </c>
      <c r="T78" s="119">
        <f>'2019'!AL594</f>
        <v>0</v>
      </c>
      <c r="U78" s="119">
        <f>'2019'!AO594</f>
        <v>2</v>
      </c>
      <c r="V78" s="119">
        <f>'2019'!AP594</f>
        <v>2</v>
      </c>
      <c r="W78" s="119">
        <f>'2019'!AS594</f>
        <v>2</v>
      </c>
      <c r="X78" s="119">
        <f>'2019'!AT594</f>
        <v>0</v>
      </c>
      <c r="Y78" s="119">
        <f>'2019'!AW594</f>
        <v>2</v>
      </c>
      <c r="Z78" s="119">
        <f>'2019'!AX594</f>
      </c>
      <c r="AA78" s="119">
        <f>'2019'!BA594</f>
        <v>2</v>
      </c>
      <c r="AB78" s="119">
        <f>'2019'!BB594</f>
      </c>
      <c r="AC78" s="119">
        <f>'2019'!BE594</f>
        <v>2</v>
      </c>
    </row>
    <row r="79" ht="15.75" customHeight="1" spans="1:29" x14ac:dyDescent="0.25">
      <c r="A79" s="14"/>
      <c r="B79" s="115">
        <v>81</v>
      </c>
      <c r="C79" s="116">
        <v>4.3</v>
      </c>
      <c r="D79" s="117" t="s">
        <v>278</v>
      </c>
      <c r="E79" s="119">
        <f>'2019'!I602</f>
        <v>22</v>
      </c>
      <c r="F79" s="119">
        <f>'2019'!J602</f>
      </c>
      <c r="G79" s="119">
        <f>'2019'!M602</f>
      </c>
      <c r="H79" s="119">
        <f>'2019'!N602</f>
      </c>
      <c r="I79" s="119">
        <f>'2019'!Q602</f>
      </c>
      <c r="J79" s="119">
        <f>'2019'!R602</f>
      </c>
      <c r="K79" s="119">
        <f>'2019'!U602</f>
      </c>
      <c r="L79" s="119">
        <f>'2019'!V602</f>
      </c>
      <c r="M79" s="119">
        <f>'2019'!Y602</f>
        <v>23</v>
      </c>
      <c r="N79" s="119">
        <f>'2019'!Z602</f>
        <v>1</v>
      </c>
      <c r="O79" s="119">
        <f>'2019'!AC602</f>
        <v>25</v>
      </c>
      <c r="P79" s="119">
        <f>'2019'!AD602</f>
        <v>2</v>
      </c>
      <c r="Q79" s="119">
        <f>'2019'!AG602</f>
        <v>29</v>
      </c>
      <c r="R79" s="119">
        <f>'2019'!AH602</f>
        <v>4</v>
      </c>
      <c r="S79" s="119">
        <f>'2019'!AK602</f>
        <v>40</v>
      </c>
      <c r="T79" s="119">
        <f>'2019'!AL602</f>
        <v>11</v>
      </c>
      <c r="U79" s="119">
        <f>'2019'!AO602</f>
        <v>40</v>
      </c>
      <c r="V79" s="119">
        <f>'2019'!AP602</f>
        <v>0</v>
      </c>
      <c r="W79" s="119">
        <f>'2019'!AS602</f>
        <v>40</v>
      </c>
      <c r="X79" s="119">
        <f>'2019'!AT602</f>
        <v>0</v>
      </c>
      <c r="Y79" s="119">
        <f>'2019'!AW602</f>
        <v>40</v>
      </c>
      <c r="Z79" s="119">
        <f>'2019'!AX602</f>
      </c>
      <c r="AA79" s="119">
        <f>'2019'!BA602</f>
        <v>40</v>
      </c>
      <c r="AB79" s="119">
        <f>'2019'!BB602</f>
      </c>
      <c r="AC79" s="119">
        <f>'2019'!BE602</f>
        <v>18</v>
      </c>
    </row>
    <row r="80" ht="15.75" customHeight="1" spans="1:29" x14ac:dyDescent="0.25">
      <c r="A80" s="14"/>
      <c r="B80" s="115">
        <v>83</v>
      </c>
      <c r="C80" s="115">
        <v>4.29</v>
      </c>
      <c r="D80" s="117" t="s">
        <v>280</v>
      </c>
      <c r="E80" s="119">
        <f>'2019'!I610</f>
        <v>37</v>
      </c>
      <c r="F80" s="119">
        <f>'2019'!J610</f>
      </c>
      <c r="G80" s="119">
        <f>'2019'!M610</f>
      </c>
      <c r="H80" s="119">
        <f>'2019'!N610</f>
      </c>
      <c r="I80" s="119">
        <f>'2019'!Q610</f>
      </c>
      <c r="J80" s="119">
        <f>'2019'!R610</f>
      </c>
      <c r="K80" s="119">
        <f>'2019'!U610</f>
      </c>
      <c r="L80" s="119">
        <f>'2019'!V610</f>
      </c>
      <c r="M80" s="119">
        <f>'2019'!Y610</f>
        <v>37</v>
      </c>
      <c r="N80" s="119">
        <f>'2019'!Z610</f>
        <v>0</v>
      </c>
      <c r="O80" s="119">
        <f>'2019'!AC610</f>
        <v>42</v>
      </c>
      <c r="P80" s="119">
        <f>'2019'!AD610</f>
        <v>5</v>
      </c>
      <c r="Q80" s="119">
        <f>'2019'!AG610</f>
        <v>42</v>
      </c>
      <c r="R80" s="119">
        <f>'2019'!AH610</f>
        <v>0</v>
      </c>
      <c r="S80" s="119">
        <f>'2019'!AK610</f>
        <v>46</v>
      </c>
      <c r="T80" s="119">
        <f>'2019'!AL610</f>
        <v>4</v>
      </c>
      <c r="U80" s="119">
        <f>'2019'!AO610</f>
        <v>46</v>
      </c>
      <c r="V80" s="119">
        <f>'2019'!AP610</f>
        <v>0</v>
      </c>
      <c r="W80" s="119">
        <f>'2019'!AS610</f>
        <v>46</v>
      </c>
      <c r="X80" s="119">
        <f>'2019'!AT610</f>
        <v>0</v>
      </c>
      <c r="Y80" s="119">
        <f>'2019'!AW610</f>
        <v>46</v>
      </c>
      <c r="Z80" s="119">
        <f>'2019'!AX610</f>
      </c>
      <c r="AA80" s="119">
        <f>'2019'!BA610</f>
        <v>46</v>
      </c>
      <c r="AB80" s="119">
        <f>'2019'!BB610</f>
      </c>
      <c r="AC80" s="119">
        <f>'2019'!BE610</f>
        <v>9</v>
      </c>
    </row>
    <row r="81" ht="15.75" customHeight="1" spans="1:29" x14ac:dyDescent="0.25">
      <c r="A81" s="14"/>
      <c r="B81" s="115">
        <v>85</v>
      </c>
      <c r="C81" s="115">
        <v>4.27</v>
      </c>
      <c r="D81" s="117" t="s">
        <v>282</v>
      </c>
      <c r="E81" s="119">
        <f>'2019'!I618</f>
        <v>91</v>
      </c>
      <c r="F81" s="119">
        <f>'2019'!J618</f>
      </c>
      <c r="G81" s="119">
        <f>'2019'!M618</f>
      </c>
      <c r="H81" s="119">
        <f>'2019'!N618</f>
      </c>
      <c r="I81" s="119">
        <f>'2019'!Q618</f>
      </c>
      <c r="J81" s="119">
        <f>'2019'!R618</f>
      </c>
      <c r="K81" s="119">
        <f>'2019'!U618</f>
      </c>
      <c r="L81" s="119">
        <f>'2019'!V618</f>
      </c>
      <c r="M81" s="119">
        <f>'2019'!Y618</f>
        <v>91</v>
      </c>
      <c r="N81" s="119">
        <f>'2019'!Z618</f>
        <v>0</v>
      </c>
      <c r="O81" s="119">
        <f>'2019'!AC618</f>
        <v>104</v>
      </c>
      <c r="P81" s="119">
        <f>'2019'!AD618</f>
        <v>13</v>
      </c>
      <c r="Q81" s="119">
        <f>'2019'!AG618</f>
        <v>114</v>
      </c>
      <c r="R81" s="119">
        <f>'2019'!AH618</f>
        <v>10</v>
      </c>
      <c r="S81" s="119">
        <f>'2019'!AK618</f>
        <v>129</v>
      </c>
      <c r="T81" s="119">
        <f>'2019'!AL618</f>
        <v>15</v>
      </c>
      <c r="U81" s="119">
        <f>'2019'!AO618</f>
        <v>130</v>
      </c>
      <c r="V81" s="119">
        <f>'2019'!AP618</f>
        <v>1</v>
      </c>
      <c r="W81" s="119">
        <f>'2019'!AS618</f>
        <v>130</v>
      </c>
      <c r="X81" s="119">
        <f>'2019'!AT618</f>
        <v>0</v>
      </c>
      <c r="Y81" s="119">
        <f>'2019'!AW618</f>
        <v>130</v>
      </c>
      <c r="Z81" s="119">
        <f>'2019'!AX618</f>
      </c>
      <c r="AA81" s="119">
        <f>'2019'!BA618</f>
        <v>130</v>
      </c>
      <c r="AB81" s="119">
        <f>'2019'!BB618</f>
      </c>
      <c r="AC81" s="119">
        <f>'2019'!BE618</f>
        <v>39</v>
      </c>
    </row>
    <row r="82" ht="15.75" customHeight="1" spans="1:29" x14ac:dyDescent="0.25">
      <c r="A82" s="14"/>
      <c r="B82" s="115">
        <v>87</v>
      </c>
      <c r="C82" s="115">
        <v>4.23</v>
      </c>
      <c r="D82" s="117" t="s">
        <v>284</v>
      </c>
      <c r="E82" s="119">
        <f>'2019'!I626</f>
        <v>145</v>
      </c>
      <c r="F82" s="119">
        <f>'2019'!J626</f>
      </c>
      <c r="G82" s="119">
        <f>'2019'!M626</f>
      </c>
      <c r="H82" s="119">
        <f>'2019'!N626</f>
      </c>
      <c r="I82" s="119">
        <f>'2019'!Q626</f>
      </c>
      <c r="J82" s="119">
        <f>'2019'!R626</f>
      </c>
      <c r="K82" s="119">
        <f>'2019'!U626</f>
      </c>
      <c r="L82" s="119">
        <f>'2019'!V626</f>
      </c>
      <c r="M82" s="119">
        <f>'2019'!Y626</f>
        <v>145</v>
      </c>
      <c r="N82" s="119">
        <f>'2019'!Z626</f>
        <v>0</v>
      </c>
      <c r="O82" s="119">
        <f>'2019'!AC626</f>
        <v>162</v>
      </c>
      <c r="P82" s="119">
        <f>'2019'!AD626</f>
        <v>17</v>
      </c>
      <c r="Q82" s="119">
        <f>'2019'!AG626</f>
        <v>162</v>
      </c>
      <c r="R82" s="119">
        <f>'2019'!AH626</f>
        <v>0</v>
      </c>
      <c r="S82" s="119">
        <f>'2019'!AK626</f>
        <v>185</v>
      </c>
      <c r="T82" s="119">
        <f>'2019'!AL626</f>
        <v>23</v>
      </c>
      <c r="U82" s="119">
        <f>'2019'!AO626</f>
        <v>185</v>
      </c>
      <c r="V82" s="119">
        <f>'2019'!AP626</f>
        <v>0</v>
      </c>
      <c r="W82" s="119">
        <f>'2019'!AS626</f>
        <v>185</v>
      </c>
      <c r="X82" s="119">
        <f>'2019'!AT626</f>
        <v>0</v>
      </c>
      <c r="Y82" s="119">
        <f>'2019'!AW626</f>
        <v>185</v>
      </c>
      <c r="Z82" s="119">
        <f>'2019'!AX626</f>
      </c>
      <c r="AA82" s="119">
        <f>'2019'!BA626</f>
        <v>185</v>
      </c>
      <c r="AB82" s="119">
        <f>'2019'!BB626</f>
      </c>
      <c r="AC82" s="119">
        <f>'2019'!BE626</f>
        <v>40</v>
      </c>
    </row>
    <row r="83" ht="15.75" customHeight="1" spans="1:29" x14ac:dyDescent="0.25">
      <c r="A83" s="14"/>
      <c r="B83" s="115">
        <v>89</v>
      </c>
      <c r="C83" s="115">
        <v>4.25</v>
      </c>
      <c r="D83" s="117" t="s">
        <v>286</v>
      </c>
      <c r="E83" s="119">
        <f>'2019'!I634</f>
        <v>96</v>
      </c>
      <c r="F83" s="119">
        <f>'2019'!J634</f>
      </c>
      <c r="G83" s="119">
        <f>'2019'!M634</f>
      </c>
      <c r="H83" s="119">
        <f>'2019'!N634</f>
      </c>
      <c r="I83" s="119">
        <f>'2019'!Q634</f>
      </c>
      <c r="J83" s="119">
        <f>'2019'!R634</f>
      </c>
      <c r="K83" s="119">
        <f>'2019'!U634</f>
      </c>
      <c r="L83" s="119">
        <f>'2019'!V634</f>
      </c>
      <c r="M83" s="119">
        <f>'2019'!Y634</f>
        <v>96</v>
      </c>
      <c r="N83" s="119">
        <f>'2019'!Z634</f>
        <v>0</v>
      </c>
      <c r="O83" s="119">
        <f>'2019'!AC634</f>
        <v>103</v>
      </c>
      <c r="P83" s="119">
        <f>'2019'!AD634</f>
        <v>7</v>
      </c>
      <c r="Q83" s="119">
        <f>'2019'!AG634</f>
        <v>103</v>
      </c>
      <c r="R83" s="119">
        <f>'2019'!AH634</f>
        <v>0</v>
      </c>
      <c r="S83" s="119">
        <f>'2019'!AK634</f>
        <v>103</v>
      </c>
      <c r="T83" s="119">
        <f>'2019'!AL634</f>
        <v>0</v>
      </c>
      <c r="U83" s="119">
        <f>'2019'!AO634</f>
        <v>118</v>
      </c>
      <c r="V83" s="119">
        <f>'2019'!AP634</f>
        <v>15</v>
      </c>
      <c r="W83" s="119">
        <f>'2019'!AS634</f>
        <v>118</v>
      </c>
      <c r="X83" s="119">
        <f>'2019'!AT634</f>
        <v>0</v>
      </c>
      <c r="Y83" s="119">
        <f>'2019'!AW634</f>
        <v>118</v>
      </c>
      <c r="Z83" s="119">
        <f>'2019'!AX634</f>
      </c>
      <c r="AA83" s="119">
        <f>'2019'!BA634</f>
        <v>118</v>
      </c>
      <c r="AB83" s="119">
        <f>'2019'!BB634</f>
      </c>
      <c r="AC83" s="119">
        <f>'2019'!BE634</f>
        <v>22</v>
      </c>
    </row>
    <row r="84" ht="15.75" customHeight="1" spans="1:29" x14ac:dyDescent="0.25">
      <c r="A84" s="14"/>
      <c r="B84" s="115">
        <v>91</v>
      </c>
      <c r="C84" s="115">
        <v>4.23</v>
      </c>
      <c r="D84" s="117" t="s">
        <v>288</v>
      </c>
      <c r="E84" s="119">
        <f>'2019'!I642</f>
        <v>70</v>
      </c>
      <c r="F84" s="119">
        <f>'2019'!J642</f>
      </c>
      <c r="G84" s="119">
        <f>'2019'!M642</f>
      </c>
      <c r="H84" s="119">
        <f>'2019'!N642</f>
      </c>
      <c r="I84" s="119">
        <f>'2019'!Q642</f>
      </c>
      <c r="J84" s="119">
        <f>'2019'!R642</f>
      </c>
      <c r="K84" s="119">
        <f>'2019'!U642</f>
      </c>
      <c r="L84" s="119">
        <f>'2019'!V642</f>
      </c>
      <c r="M84" s="119">
        <f>'2019'!Y642</f>
        <v>86</v>
      </c>
      <c r="N84" s="119">
        <f>'2019'!Z642</f>
        <v>16</v>
      </c>
      <c r="O84" s="119">
        <f>'2019'!AC642</f>
        <v>89</v>
      </c>
      <c r="P84" s="119">
        <f>'2019'!AD642</f>
        <v>3</v>
      </c>
      <c r="Q84" s="119">
        <f>'2019'!AG642</f>
        <v>92</v>
      </c>
      <c r="R84" s="119">
        <f>'2019'!AH642</f>
        <v>3</v>
      </c>
      <c r="S84" s="119">
        <f>'2019'!AK642</f>
        <v>92</v>
      </c>
      <c r="T84" s="119">
        <f>'2019'!AL642</f>
        <v>0</v>
      </c>
      <c r="U84" s="119">
        <f>'2019'!AO642</f>
        <v>92</v>
      </c>
      <c r="V84" s="119">
        <f>'2019'!AP642</f>
        <v>0</v>
      </c>
      <c r="W84" s="119">
        <f>'2019'!AS642</f>
        <v>92</v>
      </c>
      <c r="X84" s="119">
        <f>'2019'!AT642</f>
        <v>0</v>
      </c>
      <c r="Y84" s="119">
        <f>'2019'!AW642</f>
        <v>92</v>
      </c>
      <c r="Z84" s="119">
        <f>'2019'!AX642</f>
      </c>
      <c r="AA84" s="119">
        <f>'2019'!BA642</f>
        <v>92</v>
      </c>
      <c r="AB84" s="119">
        <f>'2019'!BB642</f>
      </c>
      <c r="AC84" s="119">
        <f>'2019'!BE642</f>
        <v>22</v>
      </c>
    </row>
    <row r="85" ht="15.75" customHeight="1" spans="1:29" x14ac:dyDescent="0.25">
      <c r="A85" s="21"/>
      <c r="B85" s="115" t="s">
        <v>292</v>
      </c>
      <c r="C85" s="115">
        <v>8.56</v>
      </c>
      <c r="D85" s="117" t="s">
        <v>293</v>
      </c>
      <c r="E85" s="119">
        <f>'2019'!I650</f>
        <v>110</v>
      </c>
      <c r="F85" s="119">
        <f>'2019'!J650</f>
      </c>
      <c r="G85" s="119">
        <f>'2019'!M650</f>
      </c>
      <c r="H85" s="119">
        <f>'2019'!N650</f>
      </c>
      <c r="I85" s="119">
        <f>'2019'!Q650</f>
      </c>
      <c r="J85" s="119">
        <f>'2019'!R650</f>
      </c>
      <c r="K85" s="119">
        <f>'2019'!U650</f>
      </c>
      <c r="L85" s="119">
        <f>'2019'!V650</f>
      </c>
      <c r="M85" s="119">
        <f>'2019'!Y650</f>
        <v>0</v>
      </c>
      <c r="N85" s="119">
        <f>'2019'!Z650</f>
        <v>0</v>
      </c>
      <c r="O85" s="119">
        <f>'2019'!AC650</f>
        <v>4</v>
      </c>
      <c r="P85" s="119">
        <f>'2019'!AD650</f>
        <v>4</v>
      </c>
      <c r="Q85" s="119">
        <f>'2019'!AG650</f>
        <v>6</v>
      </c>
      <c r="R85" s="119">
        <f>'2019'!AH650</f>
        <v>2</v>
      </c>
      <c r="S85" s="119">
        <f>'2019'!AK650</f>
        <v>9</v>
      </c>
      <c r="T85" s="119">
        <f>'2019'!AL650</f>
        <v>3</v>
      </c>
      <c r="U85" s="119">
        <f>'2019'!AO650</f>
        <v>10</v>
      </c>
      <c r="V85" s="119">
        <f>'2019'!AP650</f>
        <v>1</v>
      </c>
      <c r="W85" s="119">
        <f>'2019'!AS650</f>
        <v>10</v>
      </c>
      <c r="X85" s="119">
        <f>'2019'!AT650</f>
        <v>0</v>
      </c>
      <c r="Y85" s="119">
        <f>'2019'!AW650</f>
        <v>10</v>
      </c>
      <c r="Z85" s="119">
        <f>'2019'!AX650</f>
      </c>
      <c r="AA85" s="119">
        <f>'2019'!BA650</f>
        <v>10</v>
      </c>
      <c r="AB85" s="119">
        <f>'2019'!BB650</f>
      </c>
      <c r="AC85" s="119">
        <f>'2019'!BE650</f>
        <v>10</v>
      </c>
    </row>
    <row r="86" ht="15.75" customHeight="1" spans="1:29" x14ac:dyDescent="0.25">
      <c r="A86" s="114" t="s">
        <v>297</v>
      </c>
      <c r="B86" s="115">
        <v>80</v>
      </c>
      <c r="C86" s="115">
        <v>4.28</v>
      </c>
      <c r="D86" s="117" t="s">
        <v>298</v>
      </c>
      <c r="E86" s="119">
        <f>'2019'!I658</f>
        <v>12</v>
      </c>
      <c r="F86" s="119">
        <f>'2019'!J658</f>
      </c>
      <c r="G86" s="119">
        <f>'2019'!M658</f>
      </c>
      <c r="H86" s="119">
        <f>'2019'!N658</f>
      </c>
      <c r="I86" s="119">
        <f>'2019'!Q658</f>
      </c>
      <c r="J86" s="119">
        <f>'2019'!R658</f>
      </c>
      <c r="K86" s="119">
        <f>'2019'!U658</f>
      </c>
      <c r="L86" s="119">
        <f>'2019'!V658</f>
      </c>
      <c r="M86" s="119">
        <f>'2019'!Y658</f>
        <v>12</v>
      </c>
      <c r="N86" s="119">
        <f>'2019'!Z658</f>
        <v>0</v>
      </c>
      <c r="O86" s="119">
        <f>'2019'!AC658</f>
        <v>15</v>
      </c>
      <c r="P86" s="119">
        <f>'2019'!AD658</f>
        <v>3</v>
      </c>
      <c r="Q86" s="119">
        <f>'2019'!AG658</f>
        <v>18</v>
      </c>
      <c r="R86" s="119">
        <f>'2019'!AH658</f>
        <v>3</v>
      </c>
      <c r="S86" s="119">
        <f>'2019'!AK658</f>
        <v>20</v>
      </c>
      <c r="T86" s="119">
        <f>'2019'!AL658</f>
        <v>2</v>
      </c>
      <c r="U86" s="119">
        <f>'2019'!AO658</f>
        <v>21</v>
      </c>
      <c r="V86" s="119">
        <f>'2019'!AP658</f>
        <v>1</v>
      </c>
      <c r="W86" s="119">
        <f>'2019'!AS658</f>
        <v>21</v>
      </c>
      <c r="X86" s="119">
        <f>'2019'!AT658</f>
        <v>0</v>
      </c>
      <c r="Y86" s="119">
        <f>'2019'!AW658</f>
        <v>21</v>
      </c>
      <c r="Z86" s="119">
        <f>'2019'!AX658</f>
      </c>
      <c r="AA86" s="119">
        <f>'2019'!BA658</f>
        <v>21</v>
      </c>
      <c r="AB86" s="119">
        <f>'2019'!BB658</f>
      </c>
      <c r="AC86" s="119">
        <f>'2019'!BE658</f>
        <v>9</v>
      </c>
    </row>
    <row r="87" ht="15.75" customHeight="1" spans="1:29" x14ac:dyDescent="0.25">
      <c r="A87" s="14"/>
      <c r="B87" s="115">
        <v>82</v>
      </c>
      <c r="C87" s="115">
        <v>4.28</v>
      </c>
      <c r="D87" s="117" t="s">
        <v>300</v>
      </c>
      <c r="E87" s="119">
        <f>'2019'!I666</f>
        <v>44</v>
      </c>
      <c r="F87" s="119">
        <f>'2019'!J666</f>
      </c>
      <c r="G87" s="119">
        <f>'2019'!M666</f>
      </c>
      <c r="H87" s="119">
        <f>'2019'!N666</f>
      </c>
      <c r="I87" s="119">
        <f>'2019'!Q666</f>
      </c>
      <c r="J87" s="119">
        <f>'2019'!R666</f>
      </c>
      <c r="K87" s="119">
        <f>'2019'!U666</f>
      </c>
      <c r="L87" s="119">
        <f>'2019'!V666</f>
      </c>
      <c r="M87" s="119">
        <f>'2019'!Y666</f>
        <v>44</v>
      </c>
      <c r="N87" s="119">
        <f>'2019'!Z666</f>
        <v>0</v>
      </c>
      <c r="O87" s="119">
        <f>'2019'!AC666</f>
        <v>48</v>
      </c>
      <c r="P87" s="119">
        <f>'2019'!AD666</f>
        <v>4</v>
      </c>
      <c r="Q87" s="119">
        <f>'2019'!AG666</f>
        <v>50</v>
      </c>
      <c r="R87" s="119">
        <f>'2019'!AH666</f>
        <v>2</v>
      </c>
      <c r="S87" s="119">
        <f>'2019'!AK666</f>
        <v>52</v>
      </c>
      <c r="T87" s="119">
        <f>'2019'!AL666</f>
        <v>2</v>
      </c>
      <c r="U87" s="119">
        <f>'2019'!AO666</f>
        <v>52</v>
      </c>
      <c r="V87" s="119">
        <f>'2019'!AP666</f>
        <v>0</v>
      </c>
      <c r="W87" s="119">
        <f>'2019'!AS666</f>
        <v>52</v>
      </c>
      <c r="X87" s="119">
        <f>'2019'!AT666</f>
        <v>0</v>
      </c>
      <c r="Y87" s="119">
        <f>'2019'!AW666</f>
        <v>52</v>
      </c>
      <c r="Z87" s="119">
        <f>'2019'!AX666</f>
      </c>
      <c r="AA87" s="119">
        <f>'2019'!BA666</f>
        <v>52</v>
      </c>
      <c r="AB87" s="119">
        <f>'2019'!BB666</f>
      </c>
      <c r="AC87" s="119">
        <f>'2019'!BE666</f>
        <v>8</v>
      </c>
    </row>
    <row r="88" ht="15.75" customHeight="1" spans="1:29" x14ac:dyDescent="0.25">
      <c r="A88" s="14"/>
      <c r="B88" s="115">
        <v>84</v>
      </c>
      <c r="C88" s="115">
        <v>4.18</v>
      </c>
      <c r="D88" s="117" t="s">
        <v>301</v>
      </c>
      <c r="E88" s="119">
        <f>'2019'!I674</f>
        <v>2</v>
      </c>
      <c r="F88" s="119">
        <f>'2019'!J674</f>
      </c>
      <c r="G88" s="119">
        <f>'2019'!M674</f>
      </c>
      <c r="H88" s="119">
        <f>'2019'!N674</f>
      </c>
      <c r="I88" s="119">
        <f>'2019'!Q674</f>
      </c>
      <c r="J88" s="119">
        <f>'2019'!R674</f>
      </c>
      <c r="K88" s="119">
        <f>'2019'!U674</f>
      </c>
      <c r="L88" s="119">
        <f>'2019'!V674</f>
      </c>
      <c r="M88" s="119">
        <f>'2019'!Y674</f>
        <v>2</v>
      </c>
      <c r="N88" s="119">
        <f>'2019'!Z674</f>
        <v>0</v>
      </c>
      <c r="O88" s="119">
        <f>'2019'!AC674</f>
        <v>2</v>
      </c>
      <c r="P88" s="119">
        <f>'2019'!AD674</f>
        <v>0</v>
      </c>
      <c r="Q88" s="119">
        <f>'2019'!AG674</f>
        <v>2</v>
      </c>
      <c r="R88" s="119">
        <f>'2019'!AH674</f>
        <v>0</v>
      </c>
      <c r="S88" s="119">
        <f>'2019'!AK674</f>
        <v>2</v>
      </c>
      <c r="T88" s="119">
        <f>'2019'!AL674</f>
        <v>0</v>
      </c>
      <c r="U88" s="119">
        <f>'2019'!AO674</f>
        <v>23</v>
      </c>
      <c r="V88" s="119">
        <f>'2019'!AP674</f>
        <v>21</v>
      </c>
      <c r="W88" s="119">
        <f>'2019'!AS674</f>
        <v>23</v>
      </c>
      <c r="X88" s="119">
        <f>'2019'!AT674</f>
        <v>0</v>
      </c>
      <c r="Y88" s="119">
        <f>'2019'!AW674</f>
        <v>23</v>
      </c>
      <c r="Z88" s="119">
        <f>'2019'!AX674</f>
      </c>
      <c r="AA88" s="119">
        <f>'2019'!BA674</f>
        <v>23</v>
      </c>
      <c r="AB88" s="119">
        <f>'2019'!BB674</f>
      </c>
      <c r="AC88" s="119">
        <f>'2019'!BE674</f>
        <v>21</v>
      </c>
    </row>
    <row r="89" ht="15.75" customHeight="1" spans="1:29" x14ac:dyDescent="0.25">
      <c r="A89" s="14"/>
      <c r="B89" s="115">
        <v>86</v>
      </c>
      <c r="C89" s="115">
        <v>4.23</v>
      </c>
      <c r="D89" s="117" t="s">
        <v>304</v>
      </c>
      <c r="E89" s="119">
        <f>'2019'!I682</f>
      </c>
      <c r="F89" s="119">
        <f>'2019'!J682</f>
      </c>
      <c r="G89" s="119">
        <f>'2019'!M682</f>
      </c>
      <c r="H89" s="119">
        <f>'2019'!N682</f>
      </c>
      <c r="I89" s="119">
        <f>'2019'!Q682</f>
      </c>
      <c r="J89" s="119">
        <f>'2019'!R682</f>
      </c>
      <c r="K89" s="119">
        <f>'2019'!U682</f>
      </c>
      <c r="L89" s="119">
        <f>'2019'!V682</f>
      </c>
      <c r="M89" s="119">
        <f>'2019'!Y682</f>
      </c>
      <c r="N89" s="119">
        <f>'2019'!Z682</f>
      </c>
      <c r="O89" s="119">
        <f>'2019'!AC682</f>
      </c>
      <c r="P89" s="119">
        <f>'2019'!AD682</f>
      </c>
      <c r="Q89" s="119">
        <f>'2019'!AG682</f>
      </c>
      <c r="R89" s="119">
        <f>'2019'!AH682</f>
        <v>0</v>
      </c>
      <c r="S89" s="119">
        <f>'2019'!AK682</f>
      </c>
      <c r="T89" s="119">
        <f>'2019'!AL682</f>
        <v>0</v>
      </c>
      <c r="U89" s="119">
        <f>'2019'!AO682</f>
      </c>
      <c r="V89" s="119">
        <f>'2019'!AP682</f>
        <v>0</v>
      </c>
      <c r="W89" s="119">
        <f>'2019'!AS682</f>
      </c>
      <c r="X89" s="119">
        <f>'2019'!AT682</f>
        <v>0</v>
      </c>
      <c r="Y89" s="119">
        <f>'2019'!AW682</f>
      </c>
      <c r="Z89" s="119">
        <f>'2019'!AX682</f>
      </c>
      <c r="AA89" s="119">
        <f>'2019'!BA682</f>
      </c>
      <c r="AB89" s="119">
        <f>'2019'!BB682</f>
      </c>
      <c r="AC89" s="119">
        <f>'2019'!BE682</f>
        <v>0</v>
      </c>
    </row>
    <row r="90" ht="15.75" customHeight="1" spans="1:29" x14ac:dyDescent="0.25">
      <c r="A90" s="14"/>
      <c r="B90" s="115">
        <v>88</v>
      </c>
      <c r="C90" s="115">
        <v>4.23</v>
      </c>
      <c r="D90" s="117" t="s">
        <v>308</v>
      </c>
      <c r="E90" s="119">
        <f>'2019'!I690</f>
      </c>
      <c r="F90" s="119">
        <f>'2019'!J690</f>
      </c>
      <c r="G90" s="119">
        <f>'2019'!M690</f>
      </c>
      <c r="H90" s="119">
        <f>'2019'!N690</f>
      </c>
      <c r="I90" s="119">
        <f>'2019'!Q690</f>
      </c>
      <c r="J90" s="119">
        <f>'2019'!R690</f>
      </c>
      <c r="K90" s="119">
        <f>'2019'!U690</f>
      </c>
      <c r="L90" s="119">
        <f>'2019'!V690</f>
      </c>
      <c r="M90" s="119">
        <f>'2019'!Y690</f>
      </c>
      <c r="N90" s="119">
        <f>'2019'!Z690</f>
      </c>
      <c r="O90" s="119">
        <f>'2019'!AC690</f>
      </c>
      <c r="P90" s="119">
        <f>'2019'!AD690</f>
      </c>
      <c r="Q90" s="119">
        <f>'2019'!AG690</f>
      </c>
      <c r="R90" s="119">
        <f>'2019'!AH690</f>
        <v>0</v>
      </c>
      <c r="S90" s="119">
        <f>'2019'!AK690</f>
      </c>
      <c r="T90" s="119">
        <f>'2019'!AL690</f>
        <v>0</v>
      </c>
      <c r="U90" s="119">
        <f>'2019'!AO690</f>
      </c>
      <c r="V90" s="119">
        <f>'2019'!AP690</f>
        <v>0</v>
      </c>
      <c r="W90" s="119">
        <f>'2019'!AS690</f>
      </c>
      <c r="X90" s="119">
        <f>'2019'!AT690</f>
        <v>0</v>
      </c>
      <c r="Y90" s="119">
        <f>'2019'!AW690</f>
      </c>
      <c r="Z90" s="119">
        <f>'2019'!AX690</f>
      </c>
      <c r="AA90" s="119">
        <f>'2019'!BA690</f>
      </c>
      <c r="AB90" s="119">
        <f>'2019'!BB690</f>
      </c>
      <c r="AC90" s="119">
        <f>'2019'!BE690</f>
        <v>0</v>
      </c>
    </row>
    <row r="91" ht="15.75" customHeight="1" spans="1:29" x14ac:dyDescent="0.25">
      <c r="A91" s="14"/>
      <c r="B91" s="115">
        <v>90</v>
      </c>
      <c r="C91" s="115">
        <v>4.23</v>
      </c>
      <c r="D91" s="117" t="s">
        <v>311</v>
      </c>
      <c r="E91" s="119">
        <f>'2019'!I698</f>
      </c>
      <c r="F91" s="119">
        <f>'2019'!J698</f>
      </c>
      <c r="G91" s="119">
        <f>'2019'!M698</f>
      </c>
      <c r="H91" s="119">
        <f>'2019'!N698</f>
      </c>
      <c r="I91" s="119">
        <f>'2019'!Q698</f>
      </c>
      <c r="J91" s="119">
        <f>'2019'!R698</f>
      </c>
      <c r="K91" s="119">
        <f>'2019'!U698</f>
      </c>
      <c r="L91" s="119">
        <f>'2019'!V698</f>
      </c>
      <c r="M91" s="119">
        <f>'2019'!Y698</f>
      </c>
      <c r="N91" s="119">
        <f>'2019'!Z698</f>
      </c>
      <c r="O91" s="119">
        <f>'2019'!AC698</f>
      </c>
      <c r="P91" s="119">
        <f>'2019'!AD698</f>
      </c>
      <c r="Q91" s="119">
        <f>'2019'!AG698</f>
      </c>
      <c r="R91" s="119">
        <f>'2019'!AH698</f>
        <v>0</v>
      </c>
      <c r="S91" s="119">
        <f>'2019'!AK698</f>
      </c>
      <c r="T91" s="119">
        <f>'2019'!AL698</f>
        <v>0</v>
      </c>
      <c r="U91" s="119">
        <f>'2019'!AO698</f>
      </c>
      <c r="V91" s="119">
        <f>'2019'!AP698</f>
        <v>0</v>
      </c>
      <c r="W91" s="119">
        <f>'2019'!AS698</f>
      </c>
      <c r="X91" s="119">
        <f>'2019'!AT698</f>
        <v>0</v>
      </c>
      <c r="Y91" s="119">
        <f>'2019'!AW698</f>
      </c>
      <c r="Z91" s="119">
        <f>'2019'!AX698</f>
      </c>
      <c r="AA91" s="119">
        <f>'2019'!BA698</f>
      </c>
      <c r="AB91" s="119">
        <f>'2019'!BB698</f>
      </c>
      <c r="AC91" s="119">
        <f>'2019'!BE698</f>
        <v>0</v>
      </c>
    </row>
    <row r="92" ht="15.75" customHeight="1" spans="1:29" x14ac:dyDescent="0.25">
      <c r="A92" s="14"/>
      <c r="B92" s="115">
        <v>92</v>
      </c>
      <c r="C92" s="115">
        <v>4.28</v>
      </c>
      <c r="D92" s="117" t="s">
        <v>312</v>
      </c>
      <c r="E92" s="119">
        <f>'2019'!I706</f>
        <v>134</v>
      </c>
      <c r="F92" s="119">
        <f>'2019'!J706</f>
      </c>
      <c r="G92" s="119">
        <f>'2019'!M706</f>
      </c>
      <c r="H92" s="119">
        <f>'2019'!N706</f>
      </c>
      <c r="I92" s="119">
        <f>'2019'!Q706</f>
      </c>
      <c r="J92" s="119">
        <f>'2019'!R706</f>
      </c>
      <c r="K92" s="119">
        <f>'2019'!U706</f>
      </c>
      <c r="L92" s="119">
        <f>'2019'!V706</f>
      </c>
      <c r="M92" s="119">
        <f>'2019'!Y706</f>
        <v>134</v>
      </c>
      <c r="N92" s="119">
        <f>'2019'!Z706</f>
        <v>0</v>
      </c>
      <c r="O92" s="119">
        <f>'2019'!AC706</f>
        <v>182</v>
      </c>
      <c r="P92" s="119">
        <f>'2019'!AD706</f>
        <v>48</v>
      </c>
      <c r="Q92" s="119">
        <f>'2019'!AG706</f>
        <v>195</v>
      </c>
      <c r="R92" s="119">
        <f>'2019'!AH706</f>
        <v>13</v>
      </c>
      <c r="S92" s="119">
        <f>'2019'!AK706</f>
        <v>195</v>
      </c>
      <c r="T92" s="119">
        <f>'2019'!AL706</f>
        <v>0</v>
      </c>
      <c r="U92" s="119">
        <f>'2019'!AO706</f>
        <v>211</v>
      </c>
      <c r="V92" s="119">
        <f>'2019'!AP706</f>
        <v>16</v>
      </c>
      <c r="W92" s="119">
        <f>'2019'!AS706</f>
        <v>211</v>
      </c>
      <c r="X92" s="119">
        <f>'2019'!AT706</f>
        <v>0</v>
      </c>
      <c r="Y92" s="119">
        <f>'2019'!AW706</f>
        <v>211</v>
      </c>
      <c r="Z92" s="119">
        <f>'2019'!AX706</f>
      </c>
      <c r="AA92" s="119">
        <f>'2019'!BA706</f>
        <v>211</v>
      </c>
      <c r="AB92" s="119">
        <f>'2019'!BB706</f>
      </c>
      <c r="AC92" s="119">
        <f>'2019'!BE706</f>
        <v>77</v>
      </c>
    </row>
    <row r="93" ht="15.75" customHeight="1" spans="1:29" x14ac:dyDescent="0.25">
      <c r="A93" s="14"/>
      <c r="B93" s="115" t="s">
        <v>315</v>
      </c>
      <c r="C93" s="115">
        <v>8.76</v>
      </c>
      <c r="D93" s="117" t="s">
        <v>316</v>
      </c>
      <c r="E93" s="119">
        <f>'2019'!I714</f>
        <v>26</v>
      </c>
      <c r="F93" s="119">
        <f>'2019'!J714</f>
      </c>
      <c r="G93" s="119">
        <f>'2019'!M714</f>
      </c>
      <c r="H93" s="119">
        <f>'2019'!N714</f>
      </c>
      <c r="I93" s="119">
        <f>'2019'!Q714</f>
      </c>
      <c r="J93" s="119">
        <f>'2019'!R714</f>
      </c>
      <c r="K93" s="119">
        <f>'2019'!U714</f>
      </c>
      <c r="L93" s="119">
        <f>'2019'!V714</f>
      </c>
      <c r="M93" s="119">
        <f>'2019'!Y714</f>
        <v>176</v>
      </c>
      <c r="N93" s="119">
        <f>'2019'!Z714</f>
      </c>
      <c r="O93" s="119">
        <f>'2019'!AC714</f>
        <v>182</v>
      </c>
      <c r="P93" s="119">
        <f>'2019'!AD714</f>
        <v>6</v>
      </c>
      <c r="Q93" s="119">
        <f>'2019'!AG714</f>
        <v>191</v>
      </c>
      <c r="R93" s="119">
        <f>'2019'!AH714</f>
        <v>9</v>
      </c>
      <c r="S93" s="119">
        <f>'2019'!AK714</f>
        <v>195</v>
      </c>
      <c r="T93" s="119">
        <f>'2019'!AL714</f>
        <v>4</v>
      </c>
      <c r="U93" s="119">
        <f>'2019'!AO714</f>
        <v>196</v>
      </c>
      <c r="V93" s="119">
        <f>'2019'!AP714</f>
        <v>1</v>
      </c>
      <c r="W93" s="119">
        <f>'2019'!AS714</f>
        <v>197</v>
      </c>
      <c r="X93" s="119">
        <f>'2019'!AT714</f>
        <v>1</v>
      </c>
      <c r="Y93" s="119">
        <f>'2019'!AW714</f>
        <v>197</v>
      </c>
      <c r="Z93" s="119">
        <f>'2019'!AX714</f>
      </c>
      <c r="AA93" s="119">
        <f>'2019'!BA714</f>
        <v>197</v>
      </c>
      <c r="AB93" s="119">
        <f>'2019'!BB714</f>
      </c>
      <c r="AC93" s="119">
        <f>'2019'!BE714</f>
        <v>21</v>
      </c>
    </row>
    <row r="94" ht="15.75" customHeight="1" spans="1:29" x14ac:dyDescent="0.25">
      <c r="A94" s="14"/>
      <c r="B94" s="115">
        <v>99</v>
      </c>
      <c r="C94" s="115">
        <v>4.53</v>
      </c>
      <c r="D94" s="117" t="s">
        <v>319</v>
      </c>
      <c r="E94" s="119">
        <f>'2019'!I722</f>
        <v>133</v>
      </c>
      <c r="F94" s="119">
        <f>'2019'!J722</f>
      </c>
      <c r="G94" s="119">
        <f>'2019'!M722</f>
      </c>
      <c r="H94" s="119">
        <f>'2019'!N722</f>
      </c>
      <c r="I94" s="119">
        <f>'2019'!Q722</f>
      </c>
      <c r="J94" s="119">
        <f>'2019'!R722</f>
      </c>
      <c r="K94" s="119">
        <f>'2019'!U722</f>
      </c>
      <c r="L94" s="119">
        <f>'2019'!V722</f>
      </c>
      <c r="M94" s="119">
        <f>'2019'!Y722</f>
        <v>179</v>
      </c>
      <c r="N94" s="119">
        <f>'2019'!Z722</f>
        <v>46</v>
      </c>
      <c r="O94" s="119">
        <f>'2019'!AC722</f>
        <v>179</v>
      </c>
      <c r="P94" s="119">
        <f>'2019'!AD722</f>
        <v>0</v>
      </c>
      <c r="Q94" s="119">
        <f>'2019'!AG722</f>
        <v>179</v>
      </c>
      <c r="R94" s="119">
        <f>'2019'!AH722</f>
        <v>0</v>
      </c>
      <c r="S94" s="119">
        <f>'2019'!AK722</f>
        <v>179</v>
      </c>
      <c r="T94" s="119">
        <f>'2019'!AL722</f>
        <v>0</v>
      </c>
      <c r="U94" s="119">
        <f>'2019'!AO722</f>
        <v>179</v>
      </c>
      <c r="V94" s="119">
        <f>'2019'!AP722</f>
        <v>0</v>
      </c>
      <c r="W94" s="119">
        <f>'2019'!AS722</f>
        <v>262</v>
      </c>
      <c r="X94" s="119">
        <f>'2019'!AT722</f>
        <v>83</v>
      </c>
      <c r="Y94" s="119">
        <f>'2019'!AW722</f>
        <v>262</v>
      </c>
      <c r="Z94" s="119">
        <f>'2019'!AX722</f>
      </c>
      <c r="AA94" s="119">
        <f>'2019'!BA722</f>
        <v>262</v>
      </c>
      <c r="AB94" s="119">
        <f>'2019'!BB722</f>
      </c>
      <c r="AC94" s="119">
        <f>'2019'!BE722</f>
        <v>129</v>
      </c>
    </row>
    <row r="95" ht="15.75" customHeight="1" spans="1:29" x14ac:dyDescent="0.25">
      <c r="A95" s="14"/>
      <c r="B95" s="115">
        <v>101</v>
      </c>
      <c r="C95" s="115">
        <v>4.46</v>
      </c>
      <c r="D95" s="117" t="s">
        <v>321</v>
      </c>
      <c r="E95" s="119">
        <f>'2019'!I730</f>
        <v>646</v>
      </c>
      <c r="F95" s="119">
        <f>'2019'!J730</f>
      </c>
      <c r="G95" s="119">
        <f>'2019'!M730</f>
      </c>
      <c r="H95" s="119">
        <f>'2019'!N730</f>
      </c>
      <c r="I95" s="119">
        <f>'2019'!Q730</f>
      </c>
      <c r="J95" s="119">
        <f>'2019'!R730</f>
      </c>
      <c r="K95" s="119">
        <f>'2019'!U730</f>
      </c>
      <c r="L95" s="119">
        <f>'2019'!V730</f>
      </c>
      <c r="M95" s="119">
        <f>'2019'!Y730</f>
        <v>664</v>
      </c>
      <c r="N95" s="119">
        <f>'2019'!Z730</f>
        <v>18</v>
      </c>
      <c r="O95" s="119">
        <f>'2019'!AC730</f>
        <v>671</v>
      </c>
      <c r="P95" s="119">
        <f>'2019'!AD730</f>
        <v>7</v>
      </c>
      <c r="Q95" s="119">
        <f>'2019'!AG730</f>
        <v>680</v>
      </c>
      <c r="R95" s="119">
        <f>'2019'!AH730</f>
        <v>9</v>
      </c>
      <c r="S95" s="119">
        <f>'2019'!AK730</f>
        <v>698</v>
      </c>
      <c r="T95" s="119">
        <f>'2019'!AL730</f>
        <v>18</v>
      </c>
      <c r="U95" s="119">
        <f>'2019'!AO730</f>
        <v>698</v>
      </c>
      <c r="V95" s="119">
        <f>'2019'!AP730</f>
        <v>0</v>
      </c>
      <c r="W95" s="119">
        <f>'2019'!AS730</f>
        <v>700</v>
      </c>
      <c r="X95" s="119">
        <f>'2019'!AT730</f>
        <v>2</v>
      </c>
      <c r="Y95" s="119">
        <f>'2019'!AW730</f>
        <v>700</v>
      </c>
      <c r="Z95" s="119">
        <f>'2019'!AX730</f>
      </c>
      <c r="AA95" s="119">
        <f>'2019'!BA730</f>
        <v>700</v>
      </c>
      <c r="AB95" s="119">
        <f>'2019'!BB730</f>
      </c>
      <c r="AC95" s="119">
        <f>'2019'!BE730</f>
        <v>54</v>
      </c>
    </row>
    <row r="96" ht="15.75" customHeight="1" spans="1:29" x14ac:dyDescent="0.25">
      <c r="A96" s="14"/>
      <c r="B96" s="115">
        <v>103</v>
      </c>
      <c r="C96" s="115">
        <v>4.42</v>
      </c>
      <c r="D96" s="117" t="s">
        <v>322</v>
      </c>
      <c r="E96" s="119">
        <f>'2019'!I738</f>
        <v>15</v>
      </c>
      <c r="F96" s="119">
        <f>'2019'!J738</f>
      </c>
      <c r="G96" s="119">
        <f>'2019'!M738</f>
      </c>
      <c r="H96" s="119">
        <f>'2019'!N738</f>
      </c>
      <c r="I96" s="119">
        <f>'2019'!Q738</f>
      </c>
      <c r="J96" s="119">
        <f>'2019'!R738</f>
      </c>
      <c r="K96" s="119">
        <f>'2019'!U738</f>
      </c>
      <c r="L96" s="119">
        <f>'2019'!V738</f>
      </c>
      <c r="M96" s="119">
        <f>'2019'!Y738</f>
        <v>16</v>
      </c>
      <c r="N96" s="119">
        <f>'2019'!Z738</f>
        <v>1</v>
      </c>
      <c r="O96" s="119">
        <f>'2019'!AC738</f>
        <v>16</v>
      </c>
      <c r="P96" s="119">
        <f>'2019'!AD738</f>
        <v>0</v>
      </c>
      <c r="Q96" s="119">
        <f>'2019'!AG738</f>
        <v>16</v>
      </c>
      <c r="R96" s="119">
        <f>'2019'!AH738</f>
        <v>0</v>
      </c>
      <c r="S96" s="119">
        <f>'2019'!AK738</f>
        <v>16</v>
      </c>
      <c r="T96" s="119">
        <f>'2019'!AL738</f>
        <v>0</v>
      </c>
      <c r="U96" s="119">
        <f>'2019'!AO738</f>
        <v>19</v>
      </c>
      <c r="V96" s="119">
        <f>'2019'!AP738</f>
        <v>3</v>
      </c>
      <c r="W96" s="119">
        <f>'2019'!AS738</f>
        <v>19</v>
      </c>
      <c r="X96" s="119">
        <f>'2019'!AT738</f>
        <v>0</v>
      </c>
      <c r="Y96" s="119">
        <f>'2019'!AW738</f>
        <v>19</v>
      </c>
      <c r="Z96" s="119">
        <f>'2019'!AX738</f>
      </c>
      <c r="AA96" s="119">
        <f>'2019'!BA738</f>
        <v>19</v>
      </c>
      <c r="AB96" s="119">
        <f>'2019'!BB738</f>
      </c>
      <c r="AC96" s="119">
        <f>'2019'!BE738</f>
        <v>4</v>
      </c>
    </row>
    <row r="97" ht="15.75" customHeight="1" spans="1:29" x14ac:dyDescent="0.25">
      <c r="A97" s="14"/>
      <c r="B97" s="115">
        <v>105</v>
      </c>
      <c r="C97" s="115">
        <v>4.41</v>
      </c>
      <c r="D97" s="117" t="s">
        <v>323</v>
      </c>
      <c r="E97" s="119">
        <f>'2019'!I746</f>
        <v>150</v>
      </c>
      <c r="F97" s="119">
        <f>'2019'!J746</f>
      </c>
      <c r="G97" s="119">
        <f>'2019'!M746</f>
      </c>
      <c r="H97" s="119">
        <f>'2019'!N746</f>
      </c>
      <c r="I97" s="119">
        <f>'2019'!Q746</f>
      </c>
      <c r="J97" s="119">
        <f>'2019'!R746</f>
      </c>
      <c r="K97" s="119">
        <f>'2019'!U746</f>
      </c>
      <c r="L97" s="119">
        <f>'2019'!V746</f>
      </c>
      <c r="M97" s="119">
        <f>'2019'!Y746</f>
        <v>151</v>
      </c>
      <c r="N97" s="119">
        <f>'2019'!Z746</f>
        <v>1</v>
      </c>
      <c r="O97" s="119">
        <f>'2019'!AC746</f>
        <v>155</v>
      </c>
      <c r="P97" s="119">
        <f>'2019'!AD746</f>
        <v>4</v>
      </c>
      <c r="Q97" s="119">
        <f>'2019'!AG746</f>
        <v>155</v>
      </c>
      <c r="R97" s="119">
        <f>'2019'!AH746</f>
        <v>0</v>
      </c>
      <c r="S97" s="119">
        <f>'2019'!AK746</f>
        <v>174</v>
      </c>
      <c r="T97" s="119">
        <f>'2019'!AL746</f>
        <v>19</v>
      </c>
      <c r="U97" s="119">
        <f>'2019'!AO746</f>
        <v>177</v>
      </c>
      <c r="V97" s="119">
        <f>'2019'!AP746</f>
        <v>3</v>
      </c>
      <c r="W97" s="119">
        <f>'2019'!AS746</f>
        <v>177</v>
      </c>
      <c r="X97" s="119">
        <f>'2019'!AT746</f>
        <v>0</v>
      </c>
      <c r="Y97" s="119">
        <f>'2019'!AW746</f>
        <v>177</v>
      </c>
      <c r="Z97" s="119">
        <f>'2019'!AX746</f>
      </c>
      <c r="AA97" s="119">
        <f>'2019'!BA746</f>
        <v>177</v>
      </c>
      <c r="AB97" s="119">
        <f>'2019'!BB746</f>
      </c>
      <c r="AC97" s="119">
        <f>'2019'!BE746</f>
        <v>27</v>
      </c>
    </row>
    <row r="98" ht="15.75" customHeight="1" spans="1:29" x14ac:dyDescent="0.25">
      <c r="A98" s="21"/>
      <c r="B98" s="115">
        <v>107</v>
      </c>
      <c r="C98" s="115">
        <v>4.37</v>
      </c>
      <c r="D98" s="117" t="s">
        <v>325</v>
      </c>
      <c r="E98" s="119">
        <f>'2019'!I754</f>
        <v>60</v>
      </c>
      <c r="F98" s="119">
        <f>'2019'!J754</f>
      </c>
      <c r="G98" s="119">
        <f>'2019'!M754</f>
      </c>
      <c r="H98" s="119">
        <f>'2019'!N754</f>
      </c>
      <c r="I98" s="119">
        <f>'2019'!Q754</f>
      </c>
      <c r="J98" s="119">
        <f>'2019'!R754</f>
      </c>
      <c r="K98" s="119">
        <f>'2019'!U754</f>
      </c>
      <c r="L98" s="119">
        <f>'2019'!V754</f>
      </c>
      <c r="M98" s="119">
        <f>'2019'!Y754</f>
        <v>75</v>
      </c>
      <c r="N98" s="119">
        <f>'2019'!Z754</f>
        <v>15</v>
      </c>
      <c r="O98" s="119">
        <f>'2019'!AC754</f>
        <v>85</v>
      </c>
      <c r="P98" s="119">
        <f>'2019'!AD754</f>
        <v>10</v>
      </c>
      <c r="Q98" s="119">
        <f>'2019'!AG754</f>
        <v>92</v>
      </c>
      <c r="R98" s="119">
        <f>'2019'!AH754</f>
        <v>7</v>
      </c>
      <c r="S98" s="119">
        <f>'2019'!AK754</f>
        <v>97</v>
      </c>
      <c r="T98" s="119">
        <f>'2019'!AL754</f>
        <v>5</v>
      </c>
      <c r="U98" s="119">
        <f>'2019'!AO754</f>
        <v>99</v>
      </c>
      <c r="V98" s="119">
        <f>'2019'!AP754</f>
        <v>2</v>
      </c>
      <c r="W98" s="119">
        <f>'2019'!AS754</f>
        <v>99</v>
      </c>
      <c r="X98" s="119">
        <f>'2019'!AT754</f>
        <v>0</v>
      </c>
      <c r="Y98" s="119">
        <f>'2019'!AW754</f>
        <v>99</v>
      </c>
      <c r="Z98" s="119">
        <f>'2019'!AX754</f>
      </c>
      <c r="AA98" s="119">
        <f>'2019'!BA754</f>
        <v>99</v>
      </c>
      <c r="AB98" s="119">
        <f>'2019'!BB754</f>
      </c>
      <c r="AC98" s="119">
        <f>'2019'!BE754</f>
        <v>39</v>
      </c>
    </row>
    <row r="99" ht="15.75" customHeight="1" spans="1:29" x14ac:dyDescent="0.25">
      <c r="A99" s="114" t="s">
        <v>327</v>
      </c>
      <c r="B99" s="115">
        <v>96</v>
      </c>
      <c r="C99" s="115">
        <v>4.46</v>
      </c>
      <c r="D99" s="117" t="s">
        <v>316</v>
      </c>
      <c r="E99" s="119">
        <f>'2019'!I762</f>
      </c>
      <c r="F99" s="119">
        <f>'2019'!J762</f>
      </c>
      <c r="G99" s="119">
        <f>'2019'!M762</f>
      </c>
      <c r="H99" s="119">
        <f>'2019'!N762</f>
      </c>
      <c r="I99" s="119">
        <f>'2019'!Q762</f>
      </c>
      <c r="J99" s="119">
        <f>'2019'!R762</f>
      </c>
      <c r="K99" s="119">
        <f>'2019'!U762</f>
      </c>
      <c r="L99" s="119">
        <f>'2019'!V762</f>
      </c>
      <c r="M99" s="119">
        <f>'2019'!Y762</f>
      </c>
      <c r="N99" s="119">
        <f>'2019'!Z762</f>
      </c>
      <c r="O99" s="119">
        <f>'2019'!AC762</f>
      </c>
      <c r="P99" s="119">
        <f>'2019'!AD762</f>
      </c>
      <c r="Q99" s="119">
        <f>'2019'!AG762</f>
      </c>
      <c r="R99" s="119">
        <f>'2019'!AH762</f>
        <v>0</v>
      </c>
      <c r="S99" s="119">
        <f>'2019'!AK762</f>
      </c>
      <c r="T99" s="119">
        <f>'2019'!AL762</f>
        <v>0</v>
      </c>
      <c r="U99" s="119">
        <f>'2019'!AO762</f>
      </c>
      <c r="V99" s="119">
        <f>'2019'!AP762</f>
        <v>0</v>
      </c>
      <c r="W99" s="119">
        <f>'2019'!AS762</f>
      </c>
      <c r="X99" s="119">
        <f>'2019'!AT762</f>
        <v>0</v>
      </c>
      <c r="Y99" s="119">
        <f>'2019'!AW762</f>
      </c>
      <c r="Z99" s="119">
        <f>'2019'!AX762</f>
      </c>
      <c r="AA99" s="119">
        <f>'2019'!BA762</f>
      </c>
      <c r="AB99" s="119">
        <f>'2019'!BB762</f>
      </c>
      <c r="AC99" s="119">
        <f>'2019'!BE762</f>
        <v>0</v>
      </c>
    </row>
    <row r="100" ht="15.75" customHeight="1" spans="1:29" x14ac:dyDescent="0.25">
      <c r="A100" s="14"/>
      <c r="B100" s="115">
        <v>98</v>
      </c>
      <c r="C100" s="115">
        <v>4.45</v>
      </c>
      <c r="D100" s="117" t="s">
        <v>328</v>
      </c>
      <c r="E100" s="119">
        <f>'2019'!I770</f>
        <v>166</v>
      </c>
      <c r="F100" s="119">
        <f>'2019'!J770</f>
      </c>
      <c r="G100" s="119">
        <f>'2019'!M770</f>
      </c>
      <c r="H100" s="119">
        <f>'2019'!N770</f>
      </c>
      <c r="I100" s="119">
        <f>'2019'!Q770</f>
      </c>
      <c r="J100" s="119">
        <f>'2019'!R770</f>
      </c>
      <c r="K100" s="119">
        <f>'2019'!U770</f>
      </c>
      <c r="L100" s="119">
        <f>'2019'!V770</f>
      </c>
      <c r="M100" s="119">
        <f>'2019'!Y770</f>
        <v>166</v>
      </c>
      <c r="N100" s="119">
        <f>'2019'!Z770</f>
        <v>0</v>
      </c>
      <c r="O100" s="119">
        <f>'2019'!AC770</f>
        <v>166</v>
      </c>
      <c r="P100" s="119">
        <f>'2019'!AD770</f>
        <v>0</v>
      </c>
      <c r="Q100" s="119">
        <f>'2019'!AG770</f>
        <v>166</v>
      </c>
      <c r="R100" s="119">
        <f>'2019'!AH770</f>
        <v>0</v>
      </c>
      <c r="S100" s="119">
        <f>'2019'!AK770</f>
        <v>166</v>
      </c>
      <c r="T100" s="119">
        <f>'2019'!AL770</f>
        <v>0</v>
      </c>
      <c r="U100" s="119">
        <f>'2019'!AO770</f>
        <v>166</v>
      </c>
      <c r="V100" s="119">
        <f>'2019'!AP770</f>
        <v>0</v>
      </c>
      <c r="W100" s="119">
        <f>'2019'!AS770</f>
        <v>166</v>
      </c>
      <c r="X100" s="119">
        <f>'2019'!AT770</f>
        <v>0</v>
      </c>
      <c r="Y100" s="119">
        <f>'2019'!AW770</f>
        <v>166</v>
      </c>
      <c r="Z100" s="119">
        <f>'2019'!AX770</f>
      </c>
      <c r="AA100" s="119">
        <f>'2019'!BA770</f>
        <v>166</v>
      </c>
      <c r="AB100" s="119">
        <f>'2019'!BB770</f>
      </c>
      <c r="AC100" s="119">
        <f>'2019'!BE770</f>
        <v>0</v>
      </c>
    </row>
    <row r="101" ht="15.75" customHeight="1" spans="1:29" x14ac:dyDescent="0.25">
      <c r="A101" s="14"/>
      <c r="B101" s="115">
        <v>100</v>
      </c>
      <c r="C101" s="115">
        <v>4.47</v>
      </c>
      <c r="D101" s="117" t="s">
        <v>330</v>
      </c>
      <c r="E101" s="119">
        <f>'2019'!I778</f>
        <v>70</v>
      </c>
      <c r="F101" s="119">
        <f>'2019'!J778</f>
      </c>
      <c r="G101" s="119">
        <f>'2019'!M778</f>
      </c>
      <c r="H101" s="119">
        <f>'2019'!N778</f>
      </c>
      <c r="I101" s="119">
        <f>'2019'!Q778</f>
      </c>
      <c r="J101" s="119">
        <f>'2019'!R778</f>
      </c>
      <c r="K101" s="119">
        <f>'2019'!U778</f>
      </c>
      <c r="L101" s="119">
        <f>'2019'!V778</f>
      </c>
      <c r="M101" s="119">
        <f>'2019'!Y778</f>
        <v>70</v>
      </c>
      <c r="N101" s="119">
        <f>'2019'!Z778</f>
        <v>0</v>
      </c>
      <c r="O101" s="119">
        <f>'2019'!AC778</f>
        <v>70</v>
      </c>
      <c r="P101" s="119">
        <f>'2019'!AD778</f>
        <v>0</v>
      </c>
      <c r="Q101" s="119">
        <f>'2019'!AG778</f>
        <v>70</v>
      </c>
      <c r="R101" s="119">
        <f>'2019'!AH778</f>
        <v>0</v>
      </c>
      <c r="S101" s="119">
        <f>'2019'!AK778</f>
        <v>70</v>
      </c>
      <c r="T101" s="119">
        <f>'2019'!AL778</f>
        <v>0</v>
      </c>
      <c r="U101" s="119">
        <f>'2019'!AO778</f>
        <v>118</v>
      </c>
      <c r="V101" s="119">
        <f>'2019'!AP778</f>
        <v>48</v>
      </c>
      <c r="W101" s="119">
        <f>'2019'!AS778</f>
        <v>118</v>
      </c>
      <c r="X101" s="119">
        <f>'2019'!AT778</f>
        <v>0</v>
      </c>
      <c r="Y101" s="119">
        <f>'2019'!AW778</f>
        <v>118</v>
      </c>
      <c r="Z101" s="119">
        <f>'2019'!AX778</f>
      </c>
      <c r="AA101" s="119">
        <f>'2019'!BA778</f>
        <v>118</v>
      </c>
      <c r="AB101" s="119">
        <f>'2019'!BB778</f>
      </c>
      <c r="AC101" s="119">
        <f>'2019'!BE778</f>
        <v>48</v>
      </c>
    </row>
    <row r="102" ht="15.75" customHeight="1" spans="1:29" x14ac:dyDescent="0.25">
      <c r="A102" s="14"/>
      <c r="B102" s="115">
        <v>102</v>
      </c>
      <c r="C102" s="115">
        <v>4.45</v>
      </c>
      <c r="D102" s="117" t="s">
        <v>331</v>
      </c>
      <c r="E102" s="119">
        <f>'2019'!I786</f>
        <v>41</v>
      </c>
      <c r="F102" s="119">
        <f>'2019'!J786</f>
      </c>
      <c r="G102" s="119">
        <f>'2019'!M786</f>
      </c>
      <c r="H102" s="119">
        <f>'2019'!N786</f>
      </c>
      <c r="I102" s="119">
        <f>'2019'!Q786</f>
      </c>
      <c r="J102" s="119">
        <f>'2019'!R786</f>
      </c>
      <c r="K102" s="119">
        <f>'2019'!U786</f>
      </c>
      <c r="L102" s="119">
        <f>'2019'!V786</f>
      </c>
      <c r="M102" s="119">
        <f>'2019'!Y786</f>
        <v>41</v>
      </c>
      <c r="N102" s="119">
        <f>'2019'!Z786</f>
        <v>0</v>
      </c>
      <c r="O102" s="119">
        <f>'2019'!AC786</f>
        <v>41</v>
      </c>
      <c r="P102" s="119">
        <f>'2019'!AD786</f>
        <v>0</v>
      </c>
      <c r="Q102" s="119">
        <f>'2019'!AG786</f>
        <v>41</v>
      </c>
      <c r="R102" s="119">
        <f>'2019'!AH786</f>
        <v>0</v>
      </c>
      <c r="S102" s="119">
        <f>'2019'!AK786</f>
        <v>41</v>
      </c>
      <c r="T102" s="119">
        <f>'2019'!AL786</f>
        <v>0</v>
      </c>
      <c r="U102" s="119">
        <f>'2019'!AO786</f>
        <v>41</v>
      </c>
      <c r="V102" s="119">
        <f>'2019'!AP786</f>
        <v>0</v>
      </c>
      <c r="W102" s="119">
        <f>'2019'!AS786</f>
        <v>41</v>
      </c>
      <c r="X102" s="119">
        <f>'2019'!AT786</f>
        <v>0</v>
      </c>
      <c r="Y102" s="119">
        <f>'2019'!AW786</f>
        <v>41</v>
      </c>
      <c r="Z102" s="119">
        <f>'2019'!AX786</f>
      </c>
      <c r="AA102" s="119">
        <f>'2019'!BA786</f>
        <v>41</v>
      </c>
      <c r="AB102" s="119">
        <f>'2019'!BB786</f>
      </c>
      <c r="AC102" s="119">
        <f>'2019'!BE786</f>
        <v>0</v>
      </c>
    </row>
    <row r="103" ht="15.75" customHeight="1" spans="1:29" x14ac:dyDescent="0.25">
      <c r="A103" s="14"/>
      <c r="B103" s="115">
        <v>104</v>
      </c>
      <c r="C103" s="115">
        <v>4.42</v>
      </c>
      <c r="D103" s="117" t="s">
        <v>333</v>
      </c>
      <c r="E103" s="119">
        <f>'2019'!I794</f>
        <v>170</v>
      </c>
      <c r="F103" s="119">
        <f>'2019'!J794</f>
      </c>
      <c r="G103" s="119">
        <f>'2019'!M794</f>
      </c>
      <c r="H103" s="119">
        <f>'2019'!N794</f>
      </c>
      <c r="I103" s="119">
        <f>'2019'!Q794</f>
      </c>
      <c r="J103" s="119">
        <f>'2019'!R794</f>
      </c>
      <c r="K103" s="119">
        <f>'2019'!U794</f>
      </c>
      <c r="L103" s="119">
        <f>'2019'!V794</f>
      </c>
      <c r="M103" s="119">
        <f>'2019'!Y794</f>
        <v>170</v>
      </c>
      <c r="N103" s="119">
        <f>'2019'!Z794</f>
        <v>0</v>
      </c>
      <c r="O103" s="119">
        <f>'2019'!AC794</f>
        <v>177</v>
      </c>
      <c r="P103" s="119">
        <f>'2019'!AD794</f>
        <v>7</v>
      </c>
      <c r="Q103" s="119">
        <f>'2019'!AG794</f>
        <v>187</v>
      </c>
      <c r="R103" s="119">
        <f>'2019'!AH794</f>
        <v>10</v>
      </c>
      <c r="S103" s="119">
        <f>'2019'!AK794</f>
        <v>200</v>
      </c>
      <c r="T103" s="119">
        <f>'2019'!AL794</f>
        <v>13</v>
      </c>
      <c r="U103" s="119">
        <f>'2019'!AO794</f>
        <v>202</v>
      </c>
      <c r="V103" s="119">
        <f>'2019'!AP794</f>
        <v>2</v>
      </c>
      <c r="W103" s="119">
        <f>'2019'!AS794</f>
        <v>202</v>
      </c>
      <c r="X103" s="119">
        <f>'2019'!AT794</f>
        <v>0</v>
      </c>
      <c r="Y103" s="119">
        <f>'2019'!AW794</f>
        <v>202</v>
      </c>
      <c r="Z103" s="119">
        <f>'2019'!AX794</f>
      </c>
      <c r="AA103" s="119">
        <f>'2019'!BA794</f>
        <v>202</v>
      </c>
      <c r="AB103" s="119">
        <f>'2019'!BB794</f>
      </c>
      <c r="AC103" s="119">
        <f>'2019'!BE794</f>
        <v>32</v>
      </c>
    </row>
    <row r="104" ht="15.75" customHeight="1" spans="1:29" x14ac:dyDescent="0.25">
      <c r="A104" s="14"/>
      <c r="B104" s="115">
        <v>106</v>
      </c>
      <c r="C104" s="115">
        <v>4.57</v>
      </c>
      <c r="D104" s="117" t="s">
        <v>336</v>
      </c>
      <c r="E104" s="119">
        <f>'2019'!I802</f>
      </c>
      <c r="F104" s="119">
        <f>'2019'!J802</f>
      </c>
      <c r="G104" s="119">
        <f>'2019'!M802</f>
      </c>
      <c r="H104" s="119">
        <f>'2019'!N802</f>
      </c>
      <c r="I104" s="119">
        <f>'2019'!Q802</f>
      </c>
      <c r="J104" s="119">
        <f>'2019'!R802</f>
      </c>
      <c r="K104" s="119">
        <f>'2019'!U802</f>
      </c>
      <c r="L104" s="119">
        <f>'2019'!V802</f>
      </c>
      <c r="M104" s="119">
        <f>'2019'!Y802</f>
      </c>
      <c r="N104" s="119">
        <f>'2019'!Z802</f>
      </c>
      <c r="O104" s="119">
        <f>'2019'!AC802</f>
      </c>
      <c r="P104" s="119">
        <f>'2019'!AD802</f>
      </c>
      <c r="Q104" s="119">
        <f>'2019'!AG802</f>
      </c>
      <c r="R104" s="119">
        <f>'2019'!AH802</f>
        <v>0</v>
      </c>
      <c r="S104" s="119">
        <f>'2019'!AK802</f>
      </c>
      <c r="T104" s="119">
        <f>'2019'!AL802</f>
        <v>0</v>
      </c>
      <c r="U104" s="119">
        <f>'2019'!AO802</f>
      </c>
      <c r="V104" s="119">
        <f>'2019'!AP802</f>
        <v>0</v>
      </c>
      <c r="W104" s="119">
        <f>'2019'!AS802</f>
      </c>
      <c r="X104" s="119">
        <f>'2019'!AT802</f>
        <v>0</v>
      </c>
      <c r="Y104" s="119">
        <f>'2019'!AW802</f>
      </c>
      <c r="Z104" s="119">
        <f>'2019'!AX802</f>
      </c>
      <c r="AA104" s="119">
        <f>'2019'!BA802</f>
      </c>
      <c r="AB104" s="119">
        <f>'2019'!BB802</f>
      </c>
      <c r="AC104" s="119">
        <f>'2019'!BE802</f>
        <v>0</v>
      </c>
    </row>
    <row r="105" ht="15.75" customHeight="1" spans="1:29" x14ac:dyDescent="0.25">
      <c r="A105" s="14"/>
      <c r="B105" s="115">
        <v>108</v>
      </c>
      <c r="C105" s="115">
        <v>4.32</v>
      </c>
      <c r="D105" s="117" t="s">
        <v>339</v>
      </c>
      <c r="E105" s="119">
        <f>'2019'!I810</f>
      </c>
      <c r="F105" s="119">
        <f>'2019'!J810</f>
      </c>
      <c r="G105" s="119">
        <f>'2019'!M810</f>
      </c>
      <c r="H105" s="119">
        <f>'2019'!N810</f>
      </c>
      <c r="I105" s="119">
        <f>'2019'!Q810</f>
      </c>
      <c r="J105" s="119">
        <f>'2019'!R810</f>
      </c>
      <c r="K105" s="119">
        <f>'2019'!U810</f>
      </c>
      <c r="L105" s="119">
        <f>'2019'!V810</f>
      </c>
      <c r="M105" s="119">
        <f>'2019'!Y810</f>
      </c>
      <c r="N105" s="119">
        <f>'2019'!Z810</f>
      </c>
      <c r="O105" s="119">
        <f>'2019'!AC810</f>
      </c>
      <c r="P105" s="119">
        <f>'2019'!AD810</f>
      </c>
      <c r="Q105" s="119">
        <f>'2019'!AG810</f>
      </c>
      <c r="R105" s="119">
        <f>'2019'!AH810</f>
        <v>0</v>
      </c>
      <c r="S105" s="119">
        <f>'2019'!AK810</f>
      </c>
      <c r="T105" s="119">
        <f>'2019'!AL810</f>
        <v>0</v>
      </c>
      <c r="U105" s="119">
        <f>'2019'!AO810</f>
      </c>
      <c r="V105" s="119">
        <f>'2019'!AP810</f>
        <v>0</v>
      </c>
      <c r="W105" s="119">
        <f>'2019'!AS810</f>
      </c>
      <c r="X105" s="119">
        <f>'2019'!AT810</f>
        <v>0</v>
      </c>
      <c r="Y105" s="119">
        <f>'2019'!AW810</f>
      </c>
      <c r="Z105" s="119">
        <f>'2019'!AX810</f>
      </c>
      <c r="AA105" s="119">
        <f>'2019'!BA810</f>
      </c>
      <c r="AB105" s="119">
        <f>'2019'!BB810</f>
      </c>
      <c r="AC105" s="119">
        <f>'2019'!BE810</f>
        <v>0</v>
      </c>
    </row>
    <row r="106" ht="15.75" customHeight="1" spans="1:29" x14ac:dyDescent="0.25">
      <c r="A106" s="14"/>
      <c r="B106" s="115">
        <v>109</v>
      </c>
      <c r="C106" s="115">
        <v>6.22</v>
      </c>
      <c r="D106" s="117" t="s">
        <v>340</v>
      </c>
      <c r="E106" s="119">
        <f>'2019'!I818</f>
        <v>6</v>
      </c>
      <c r="F106" s="119">
        <f>'2019'!J818</f>
      </c>
      <c r="G106" s="119">
        <f>'2019'!M818</f>
      </c>
      <c r="H106" s="119">
        <f>'2019'!N818</f>
      </c>
      <c r="I106" s="119">
        <f>'2019'!Q818</f>
      </c>
      <c r="J106" s="119">
        <f>'2019'!R818</f>
      </c>
      <c r="K106" s="119">
        <f>'2019'!U818</f>
      </c>
      <c r="L106" s="119">
        <f>'2019'!V818</f>
      </c>
      <c r="M106" s="119">
        <f>'2019'!Y818</f>
        <v>1</v>
      </c>
      <c r="N106" s="119">
        <f>'2019'!Z818</f>
        <v>0</v>
      </c>
      <c r="O106" s="119">
        <f>'2019'!AC818</f>
        <v>1</v>
      </c>
      <c r="P106" s="119">
        <f>'2019'!AD818</f>
        <v>0</v>
      </c>
      <c r="Q106" s="119">
        <f>'2019'!AG818</f>
        <v>2</v>
      </c>
      <c r="R106" s="119">
        <f>'2019'!AH818</f>
        <v>1</v>
      </c>
      <c r="S106" s="119">
        <f>'2019'!AK818</f>
        <v>4</v>
      </c>
      <c r="T106" s="119">
        <f>'2019'!AL818</f>
        <v>2</v>
      </c>
      <c r="U106" s="119">
        <f>'2019'!AO818</f>
        <v>4</v>
      </c>
      <c r="V106" s="119">
        <f>'2019'!AP818</f>
        <v>0</v>
      </c>
      <c r="W106" s="119">
        <f>'2019'!AS818</f>
        <v>4</v>
      </c>
      <c r="X106" s="119">
        <f>'2019'!AT818</f>
        <v>0</v>
      </c>
      <c r="Y106" s="119">
        <f>'2019'!AW818</f>
        <v>4</v>
      </c>
      <c r="Z106" s="119">
        <f>'2019'!AX818</f>
      </c>
      <c r="AA106" s="119">
        <f>'2019'!BA818</f>
        <v>4</v>
      </c>
      <c r="AB106" s="119">
        <f>'2019'!BB818</f>
      </c>
      <c r="AC106" s="119">
        <f>'2019'!BE818</f>
        <v>3</v>
      </c>
    </row>
    <row r="107" ht="15.75" customHeight="1" spans="1:29" x14ac:dyDescent="0.25">
      <c r="A107" s="14"/>
      <c r="B107" s="115">
        <v>110</v>
      </c>
      <c r="C107" s="115">
        <v>4.91</v>
      </c>
      <c r="D107" s="117" t="s">
        <v>342</v>
      </c>
      <c r="E107" s="119">
        <f>'2019'!I826</f>
        <v>14</v>
      </c>
      <c r="F107" s="119">
        <f>'2019'!J826</f>
      </c>
      <c r="G107" s="119">
        <f>'2019'!M826</f>
      </c>
      <c r="H107" s="119">
        <f>'2019'!N826</f>
      </c>
      <c r="I107" s="119">
        <f>'2019'!Q826</f>
      </c>
      <c r="J107" s="119">
        <f>'2019'!R826</f>
      </c>
      <c r="K107" s="119">
        <f>'2019'!U826</f>
      </c>
      <c r="L107" s="119">
        <f>'2019'!V826</f>
      </c>
      <c r="M107" s="119">
        <f>'2019'!Y826</f>
        <v>16</v>
      </c>
      <c r="N107" s="119">
        <f>'2019'!Z826</f>
        <v>2</v>
      </c>
      <c r="O107" s="119">
        <f>'2019'!AC826</f>
        <v>20</v>
      </c>
      <c r="P107" s="119">
        <f>'2019'!AD826</f>
        <v>4</v>
      </c>
      <c r="Q107" s="119">
        <f>'2019'!AG826</f>
        <v>31</v>
      </c>
      <c r="R107" s="119">
        <f>'2019'!AH826</f>
        <v>11</v>
      </c>
      <c r="S107" s="119">
        <f>'2019'!AK826</f>
        <v>39</v>
      </c>
      <c r="T107" s="119">
        <f>'2019'!AL826</f>
        <v>8</v>
      </c>
      <c r="U107" s="119">
        <f>'2019'!AO826</f>
        <v>40</v>
      </c>
      <c r="V107" s="119">
        <f>'2019'!AP826</f>
        <v>1</v>
      </c>
      <c r="W107" s="119">
        <f>'2019'!AS826</f>
        <v>40</v>
      </c>
      <c r="X107" s="119">
        <f>'2019'!AT826</f>
        <v>0</v>
      </c>
      <c r="Y107" s="119">
        <f>'2019'!AW826</f>
        <v>40</v>
      </c>
      <c r="Z107" s="119">
        <f>'2019'!AX826</f>
      </c>
      <c r="AA107" s="119">
        <f>'2019'!BA826</f>
        <v>40</v>
      </c>
      <c r="AB107" s="119">
        <f>'2019'!BB826</f>
      </c>
      <c r="AC107" s="119">
        <f>'2019'!BE826</f>
        <v>26</v>
      </c>
    </row>
    <row r="108" ht="15.75" customHeight="1" spans="1:29" x14ac:dyDescent="0.25">
      <c r="A108" s="14"/>
      <c r="B108" s="115">
        <v>111</v>
      </c>
      <c r="C108" s="116">
        <v>6.8</v>
      </c>
      <c r="D108" s="117" t="s">
        <v>280</v>
      </c>
      <c r="E108" s="119">
        <f>'2019'!I834</f>
        <v>6</v>
      </c>
      <c r="F108" s="119">
        <f>'2019'!J834</f>
      </c>
      <c r="G108" s="119">
        <f>'2019'!M834</f>
      </c>
      <c r="H108" s="119">
        <f>'2019'!N834</f>
      </c>
      <c r="I108" s="119">
        <f>'2019'!Q834</f>
      </c>
      <c r="J108" s="119">
        <f>'2019'!R834</f>
      </c>
      <c r="K108" s="119">
        <f>'2019'!U834</f>
      </c>
      <c r="L108" s="119">
        <f>'2019'!V834</f>
      </c>
      <c r="M108" s="119">
        <f>'2019'!Y834</f>
        <v>6</v>
      </c>
      <c r="N108" s="119">
        <f>'2019'!Z834</f>
        <v>0</v>
      </c>
      <c r="O108" s="119">
        <f>'2019'!AC834</f>
        <v>6</v>
      </c>
      <c r="P108" s="119">
        <f>'2019'!AD834</f>
        <v>0</v>
      </c>
      <c r="Q108" s="119">
        <f>'2019'!AG834</f>
        <v>6</v>
      </c>
      <c r="R108" s="119">
        <f>'2019'!AH834</f>
        <v>0</v>
      </c>
      <c r="S108" s="119">
        <f>'2019'!AK834</f>
        <v>6</v>
      </c>
      <c r="T108" s="119">
        <f>'2019'!AL834</f>
        <v>0</v>
      </c>
      <c r="U108" s="119">
        <f>'2019'!AO834</f>
        <v>6</v>
      </c>
      <c r="V108" s="119">
        <f>'2019'!AP834</f>
        <v>0</v>
      </c>
      <c r="W108" s="119">
        <f>'2019'!AS834</f>
        <v>6</v>
      </c>
      <c r="X108" s="119">
        <f>'2019'!AT834</f>
        <v>0</v>
      </c>
      <c r="Y108" s="119">
        <f>'2019'!AW834</f>
        <v>6</v>
      </c>
      <c r="Z108" s="119">
        <f>'2019'!AX834</f>
      </c>
      <c r="AA108" s="119">
        <f>'2019'!BA834</f>
        <v>6</v>
      </c>
      <c r="AB108" s="119">
        <f>'2019'!BB834</f>
      </c>
      <c r="AC108" s="119">
        <f>'2019'!BE834</f>
        <v>0</v>
      </c>
    </row>
    <row r="109" ht="15.75" customHeight="1" spans="1:29" x14ac:dyDescent="0.25">
      <c r="A109" s="14"/>
      <c r="B109" s="115">
        <v>112</v>
      </c>
      <c r="C109" s="115">
        <v>4.94</v>
      </c>
      <c r="D109" s="117" t="s">
        <v>364</v>
      </c>
      <c r="E109" s="119">
        <f>'2019'!I842</f>
        <v>2</v>
      </c>
      <c r="F109" s="119">
        <f>'2019'!J842</f>
      </c>
      <c r="G109" s="119">
        <f>'2019'!M842</f>
      </c>
      <c r="H109" s="119">
        <f>'2019'!N842</f>
      </c>
      <c r="I109" s="119">
        <f>'2019'!Q842</f>
      </c>
      <c r="J109" s="119">
        <f>'2019'!R842</f>
      </c>
      <c r="K109" s="119">
        <f>'2019'!U842</f>
      </c>
      <c r="L109" s="119">
        <f>'2019'!V842</f>
      </c>
      <c r="M109" s="119">
        <f>'2019'!Y842</f>
        <v>0</v>
      </c>
      <c r="N109" s="119">
        <f>'2019'!Z842</f>
        <v>0</v>
      </c>
      <c r="O109" s="119">
        <f>'2019'!AC842</f>
        <v>5</v>
      </c>
      <c r="P109" s="119">
        <f>'2019'!AD842</f>
        <v>5</v>
      </c>
      <c r="Q109" s="119">
        <f>'2019'!AG842</f>
        <v>5</v>
      </c>
      <c r="R109" s="119">
        <f>'2019'!AH842</f>
        <v>0</v>
      </c>
      <c r="S109" s="119">
        <f>'2019'!AK842</f>
        <v>5</v>
      </c>
      <c r="T109" s="119">
        <f>'2019'!AL842</f>
        <v>0</v>
      </c>
      <c r="U109" s="119">
        <f>'2019'!AO842</f>
        <v>37</v>
      </c>
      <c r="V109" s="119">
        <f>'2019'!AP842</f>
        <v>32</v>
      </c>
      <c r="W109" s="119">
        <f>'2019'!AS842</f>
        <v>37</v>
      </c>
      <c r="X109" s="119">
        <f>'2019'!AT842</f>
        <v>0</v>
      </c>
      <c r="Y109" s="119">
        <f>'2019'!AW842</f>
        <v>37</v>
      </c>
      <c r="Z109" s="119">
        <f>'2019'!AX842</f>
      </c>
      <c r="AA109" s="119">
        <f>'2019'!BA842</f>
        <v>37</v>
      </c>
      <c r="AB109" s="119">
        <f>'2019'!BB842</f>
      </c>
      <c r="AC109" s="119">
        <f>'2019'!BE842</f>
        <v>37</v>
      </c>
    </row>
    <row r="110" ht="15.75" customHeight="1" spans="1:29" x14ac:dyDescent="0.25">
      <c r="A110" s="14"/>
      <c r="B110" s="115">
        <v>113</v>
      </c>
      <c r="C110" s="115">
        <v>4.98</v>
      </c>
      <c r="D110" s="117" t="s">
        <v>348</v>
      </c>
      <c r="E110" s="119">
        <f>'2019'!I850</f>
      </c>
      <c r="F110" s="119">
        <f>'2019'!J850</f>
      </c>
      <c r="G110" s="119">
        <f>'2019'!M850</f>
      </c>
      <c r="H110" s="119">
        <f>'2019'!N850</f>
      </c>
      <c r="I110" s="119">
        <f>'2019'!Q850</f>
      </c>
      <c r="J110" s="119">
        <f>'2019'!R850</f>
      </c>
      <c r="K110" s="119">
        <f>'2019'!U850</f>
      </c>
      <c r="L110" s="119">
        <f>'2019'!V850</f>
      </c>
      <c r="M110" s="119">
        <f>'2019'!Y850</f>
      </c>
      <c r="N110" s="119">
        <f>'2019'!Z850</f>
      </c>
      <c r="O110" s="119">
        <f>'2019'!AC850</f>
      </c>
      <c r="P110" s="119">
        <f>'2019'!AD850</f>
      </c>
      <c r="Q110" s="119">
        <f>'2019'!AG850</f>
      </c>
      <c r="R110" s="119">
        <f>'2019'!AH850</f>
        <v>0</v>
      </c>
      <c r="S110" s="119">
        <f>'2019'!AK850</f>
      </c>
      <c r="T110" s="119">
        <f>'2019'!AL850</f>
        <v>0</v>
      </c>
      <c r="U110" s="119">
        <f>'2019'!AO850</f>
      </c>
      <c r="V110" s="119">
        <f>'2019'!AP850</f>
        <v>0</v>
      </c>
      <c r="W110" s="119">
        <f>'2019'!AS850</f>
      </c>
      <c r="X110" s="119">
        <f>'2019'!AT850</f>
        <v>0</v>
      </c>
      <c r="Y110" s="119">
        <f>'2019'!AW850</f>
      </c>
      <c r="Z110" s="119">
        <f>'2019'!AX850</f>
      </c>
      <c r="AA110" s="119">
        <f>'2019'!BA850</f>
      </c>
      <c r="AB110" s="119">
        <f>'2019'!BB850</f>
      </c>
      <c r="AC110" s="119">
        <f>'2019'!BE850</f>
        <v>0</v>
      </c>
    </row>
    <row r="111" ht="15.75" customHeight="1" spans="1:29" x14ac:dyDescent="0.25">
      <c r="A111" s="14"/>
      <c r="B111" s="118">
        <v>114</v>
      </c>
      <c r="C111" s="115">
        <v>4.86</v>
      </c>
      <c r="D111" s="117" t="s">
        <v>245</v>
      </c>
      <c r="E111" s="119">
        <f>'2019'!I858</f>
        <v>13</v>
      </c>
      <c r="F111" s="119">
        <f>'2019'!J858</f>
      </c>
      <c r="G111" s="119">
        <f>'2019'!M858</f>
      </c>
      <c r="H111" s="119">
        <f>'2019'!N858</f>
      </c>
      <c r="I111" s="119">
        <f>'2019'!Q858</f>
      </c>
      <c r="J111" s="119">
        <f>'2019'!R858</f>
      </c>
      <c r="K111" s="119">
        <f>'2019'!U858</f>
      </c>
      <c r="L111" s="119">
        <f>'2019'!V858</f>
      </c>
      <c r="M111" s="119">
        <f>'2019'!Y858</f>
        <v>13</v>
      </c>
      <c r="N111" s="119">
        <f>'2019'!Z858</f>
        <v>0</v>
      </c>
      <c r="O111" s="119">
        <f>'2019'!AC858</f>
        <v>13</v>
      </c>
      <c r="P111" s="119">
        <f>'2019'!AD858</f>
        <v>0</v>
      </c>
      <c r="Q111" s="119">
        <f>'2019'!AG858</f>
        <v>13</v>
      </c>
      <c r="R111" s="119">
        <f>'2019'!AH858</f>
        <v>0</v>
      </c>
      <c r="S111" s="119">
        <f>'2019'!AK858</f>
        <v>13</v>
      </c>
      <c r="T111" s="119">
        <f>'2019'!AL858</f>
        <v>0</v>
      </c>
      <c r="U111" s="119">
        <f>'2019'!AO858</f>
        <v>13</v>
      </c>
      <c r="V111" s="119">
        <f>'2019'!AP858</f>
        <v>0</v>
      </c>
      <c r="W111" s="119">
        <f>'2019'!AS858</f>
        <v>13</v>
      </c>
      <c r="X111" s="119">
        <f>'2019'!AT858</f>
        <v>0</v>
      </c>
      <c r="Y111" s="119">
        <f>'2019'!AW858</f>
        <v>13</v>
      </c>
      <c r="Z111" s="119">
        <f>'2019'!AX858</f>
      </c>
      <c r="AA111" s="119">
        <f>'2019'!BA858</f>
        <v>13</v>
      </c>
      <c r="AB111" s="119">
        <f>'2019'!BB858</f>
      </c>
      <c r="AC111" s="119">
        <f>'2019'!BE858</f>
        <v>0</v>
      </c>
    </row>
    <row r="112" ht="15.75" customHeight="1" spans="1:29" x14ac:dyDescent="0.25">
      <c r="A112" s="117"/>
      <c r="B112" s="115" t="s">
        <v>350</v>
      </c>
      <c r="C112" s="116">
        <f>SUM(C5:C111)</f>
        <v>505.74</v>
      </c>
      <c r="D112" s="117"/>
      <c r="E112" s="119">
        <f t="shared" ref="E112:AC112" si="0">SUM(E5:E111)</f>
        <v>9262</v>
      </c>
      <c r="F112" s="119">
        <f t="shared" si="0"/>
        <v>0</v>
      </c>
      <c r="G112" s="119">
        <f t="shared" si="0"/>
        <v>0</v>
      </c>
      <c r="H112" s="119">
        <f t="shared" si="0"/>
        <v>0</v>
      </c>
      <c r="I112" s="119">
        <f t="shared" si="0"/>
        <v>0</v>
      </c>
      <c r="J112" s="119">
        <f t="shared" si="0"/>
        <v>0</v>
      </c>
      <c r="K112" s="119">
        <f t="shared" si="0"/>
        <v>0</v>
      </c>
      <c r="L112" s="119">
        <f t="shared" si="0"/>
        <v>0</v>
      </c>
      <c r="M112" s="119">
        <f t="shared" si="0"/>
        <v>8680</v>
      </c>
      <c r="N112" s="119">
        <f t="shared" si="0"/>
        <v>205</v>
      </c>
      <c r="O112" s="119">
        <f t="shared" si="0"/>
        <v>9148</v>
      </c>
      <c r="P112" s="119">
        <f t="shared" si="0"/>
        <v>448</v>
      </c>
      <c r="Q112" s="119">
        <f t="shared" si="0"/>
        <v>9521</v>
      </c>
      <c r="R112" s="119">
        <f t="shared" si="0"/>
        <v>475</v>
      </c>
      <c r="S112" s="119">
        <f t="shared" si="0"/>
        <v>10021</v>
      </c>
      <c r="T112" s="119">
        <f t="shared" si="0"/>
        <v>503</v>
      </c>
      <c r="U112" s="119">
        <f t="shared" si="0"/>
        <v>10372</v>
      </c>
      <c r="V112" s="119">
        <f t="shared" si="0"/>
        <v>351</v>
      </c>
      <c r="W112" s="119">
        <f t="shared" si="0"/>
        <v>10510</v>
      </c>
      <c r="X112" s="119">
        <f t="shared" si="0"/>
        <v>138</v>
      </c>
      <c r="Y112" s="119">
        <f t="shared" si="0"/>
        <v>10510</v>
      </c>
      <c r="Z112" s="119">
        <f t="shared" si="0"/>
        <v>0</v>
      </c>
      <c r="AA112" s="119">
        <f t="shared" si="0"/>
        <v>10510</v>
      </c>
      <c r="AB112" s="119">
        <f t="shared" si="0"/>
        <v>0</v>
      </c>
      <c r="AC112" s="119">
        <f t="shared" si="0"/>
        <v>2120</v>
      </c>
    </row>
    <row r="113" ht="15.75" customHeight="1" spans="1:3" x14ac:dyDescent="0.25">
      <c r="A113" s="15"/>
      <c r="B113" s="112"/>
      <c r="C113" s="112"/>
    </row>
    <row r="114" ht="15.75" customHeight="1" spans="1:29" x14ac:dyDescent="0.25" outlineLevel="1" collapsed="1">
      <c r="A114" s="15"/>
      <c r="B114" s="112"/>
      <c r="C114" s="112"/>
      <c r="E114" s="120" t="b">
        <f>E112='2019'!I868</f>
        <v>1</v>
      </c>
      <c r="F114" s="120" t="b">
        <f>F112='2019'!J868</f>
        <v>1</v>
      </c>
      <c r="G114" s="120" t="b">
        <f>G112='2019'!M868</f>
        <v>1</v>
      </c>
      <c r="H114" s="120" t="b">
        <f>H112='2019'!N868</f>
        <v>1</v>
      </c>
      <c r="I114" s="120" t="b">
        <f>I112='2019'!Q868</f>
        <v>1</v>
      </c>
      <c r="J114" s="120" t="b">
        <f>J112='2019'!R868</f>
        <v>1</v>
      </c>
      <c r="K114" s="120" t="b">
        <f>K112='2019'!U868</f>
        <v>1</v>
      </c>
      <c r="L114" s="120" t="b">
        <f>L112='2019'!V868</f>
        <v>1</v>
      </c>
      <c r="M114" s="120" t="b">
        <f>M112='2019'!Y868</f>
        <v>1</v>
      </c>
      <c r="N114" s="120" t="b">
        <f>N112='2019'!Z868</f>
        <v>1</v>
      </c>
      <c r="O114" s="120" t="b">
        <f>O112='2019'!AC868</f>
        <v>1</v>
      </c>
      <c r="P114" s="120" t="b">
        <f>P112='2019'!AD868</f>
        <v>1</v>
      </c>
      <c r="Q114" s="120" t="b">
        <f>Q112='2019'!AG868</f>
        <v>1</v>
      </c>
      <c r="R114" s="120" t="b">
        <f>R112='2019'!AH868</f>
        <v>1</v>
      </c>
      <c r="S114" s="120" t="b">
        <f>S112='2019'!AK868</f>
        <v>1</v>
      </c>
      <c r="T114" s="120" t="b">
        <f>T112='2019'!AL868</f>
        <v>1</v>
      </c>
      <c r="U114" s="120" t="b">
        <f>U112='2019'!AO868</f>
        <v>1</v>
      </c>
      <c r="V114" s="120" t="b">
        <f>V112='2019'!AP868</f>
        <v>1</v>
      </c>
      <c r="W114" s="120" t="b">
        <f>W112='2019'!AS868</f>
        <v>1</v>
      </c>
      <c r="X114" s="120" t="b">
        <f>X112='2019'!AT868</f>
        <v>1</v>
      </c>
      <c r="Y114" s="120" t="b">
        <f>Y112='2019'!AW868</f>
        <v>1</v>
      </c>
      <c r="Z114" s="120" t="b">
        <f>Z112='2019'!AX868</f>
        <v>1</v>
      </c>
      <c r="AA114" s="120" t="b">
        <f>AA112='2019'!BA868</f>
        <v>1</v>
      </c>
      <c r="AB114" s="120" t="b">
        <f>AB112='2019'!BB868</f>
        <v>1</v>
      </c>
      <c r="AC114" s="120" t="b">
        <f>AC112='2019'!BE868</f>
        <v>1</v>
      </c>
    </row>
    <row r="115" ht="15.75" customHeight="1" spans="1:29" x14ac:dyDescent="0.25">
      <c r="A115" s="15"/>
      <c r="B115" s="112"/>
      <c r="C115" s="112"/>
      <c r="AC115" s="120" t="b">
        <f>AC112=F112+H112+J112+L112+N112+P112+R112+T112+V112+X112+Z112+AB112</f>
        <v>1</v>
      </c>
    </row>
    <row r="116" ht="15.75" customHeight="1" spans="1:3" x14ac:dyDescent="0.25">
      <c r="A116" s="15"/>
      <c r="B116" s="112"/>
      <c r="C116" s="112"/>
    </row>
    <row r="117" ht="15.75" customHeight="1" spans="1:3" x14ac:dyDescent="0.25">
      <c r="A117" s="15"/>
      <c r="B117" s="112"/>
      <c r="C117" s="112"/>
    </row>
    <row r="118" ht="15.75" customHeight="1" spans="1:3" x14ac:dyDescent="0.25">
      <c r="A118" s="15"/>
      <c r="B118" s="112"/>
      <c r="C118" s="112"/>
    </row>
    <row r="119" ht="15.75" customHeight="1" spans="1:3" x14ac:dyDescent="0.25">
      <c r="A119" s="15"/>
      <c r="B119" s="112"/>
      <c r="C119" s="112"/>
    </row>
    <row r="120" ht="15.75" customHeight="1" spans="1:3" x14ac:dyDescent="0.25">
      <c r="A120" s="15"/>
      <c r="B120" s="112"/>
      <c r="C120" s="112"/>
    </row>
    <row r="121" ht="15.75" customHeight="1" spans="1:3" x14ac:dyDescent="0.25">
      <c r="A121" s="15"/>
      <c r="B121" s="112"/>
      <c r="C121" s="112"/>
    </row>
    <row r="122" ht="15.75" customHeight="1" spans="1:3" x14ac:dyDescent="0.25">
      <c r="A122" s="15"/>
      <c r="B122" s="112"/>
      <c r="C122" s="112"/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B$4:$AC$114"/>
  <mergeCells count="12"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</mergeCells>
  <pageMargins left="0.196527777777778" right="0" top="0.196527777777778" bottom="0.196527777777778" header="0" footer="0"/>
  <pageSetup paperSize="9" orientation="landscape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BH1000"/>
  <sheetViews>
    <sheetView workbookViewId="0" zoomScale="100" zoomScaleNormal="100"/>
  </sheetViews>
  <sheetFormatPr defaultRowHeight="15" outlineLevelRow="0" outlineLevelCol="1" x14ac:dyDescent="0" defaultColWidth="14.43"/>
  <cols>
    <col min="1" max="1" width="7.14" hidden="1" outlineLevel="1" collapsed="1" customWidth="1"/>
    <col min="2" max="2" width="6.14" customWidth="1"/>
    <col min="3" max="3" width="12.57" hidden="1" outlineLevel="1" collapsed="1" customWidth="1"/>
    <col min="4" max="4" width="9.43" customWidth="1"/>
    <col min="5" max="5" width="11.57" hidden="1" outlineLevel="1" collapsed="1" customWidth="1"/>
    <col min="6" max="7" width="7.86" customWidth="1"/>
    <col min="8" max="8" width="8.43" customWidth="1"/>
    <col min="9" max="9" width="6.14" customWidth="1"/>
    <col min="10" max="10" width="6.43" customWidth="1"/>
    <col min="11" max="11" width="6.86" customWidth="1"/>
    <col min="12" max="12" width="6.57" customWidth="1"/>
    <col min="13" max="13" width="6.86" customWidth="1"/>
    <col min="14" max="15" width="7.14" customWidth="1"/>
    <col min="16" max="16" width="6.43" customWidth="1"/>
    <col min="17" max="18" width="6.86" customWidth="1"/>
    <col min="19" max="19" width="7.14" customWidth="1"/>
    <col min="20" max="21" width="6.57" customWidth="1"/>
    <col min="22" max="22" width="6.86" customWidth="1"/>
    <col min="23" max="23" width="7.14" customWidth="1"/>
    <col min="24" max="24" width="6.86" customWidth="1"/>
    <col min="25" max="25" width="7" customWidth="1"/>
    <col min="26" max="26" width="7.14" customWidth="1"/>
    <col min="27" max="28" width="7.57" customWidth="1"/>
    <col min="29" max="29" width="7" customWidth="1"/>
    <col min="30" max="30" width="7.14" customWidth="1"/>
    <col min="31" max="31" width="7.86" customWidth="1"/>
    <col min="32" max="32" width="7" customWidth="1"/>
    <col min="33" max="34" width="6.86" customWidth="1"/>
    <col min="35" max="35" width="7" customWidth="1"/>
    <col min="36" max="36" width="7.57" customWidth="1"/>
    <col min="37" max="37" width="7" customWidth="1"/>
    <col min="38" max="38" width="6.86" customWidth="1"/>
    <col min="39" max="39" width="7.86" customWidth="1"/>
    <col min="40" max="40" width="7.43" customWidth="1"/>
    <col min="41" max="41" width="6.86" customWidth="1"/>
    <col min="42" max="42" width="7" customWidth="1"/>
    <col min="43" max="43" width="7.43" customWidth="1"/>
    <col min="44" max="44" width="6.86" customWidth="1"/>
    <col min="45" max="49" width="7.14" customWidth="1"/>
    <col min="50" max="51" width="7" customWidth="1"/>
    <col min="52" max="52" width="7.14" customWidth="1"/>
    <col min="53" max="54" width="6.86" customWidth="1"/>
    <col min="55" max="55" width="7.86" customWidth="1"/>
    <col min="56" max="56" width="7.14" customWidth="1"/>
    <col min="57" max="57" width="7" customWidth="1"/>
    <col min="58" max="58" width="9.57" customWidth="1"/>
    <col min="59" max="60" width="8.43" customWidth="1"/>
  </cols>
  <sheetData>
    <row r="1" spans="2:8" x14ac:dyDescent="0.25">
      <c r="B1" s="1" t="s">
        <v>482</v>
      </c>
      <c r="H1" s="1">
        <v>2018</v>
      </c>
    </row>
    <row r="2" spans="1:60" x14ac:dyDescent="0.25">
      <c r="A2" s="3" t="s">
        <v>2</v>
      </c>
      <c r="B2" s="3" t="s">
        <v>3</v>
      </c>
      <c r="C2" s="3" t="s">
        <v>4</v>
      </c>
      <c r="D2" s="4" t="s">
        <v>5</v>
      </c>
      <c r="E2" s="4" t="s">
        <v>6</v>
      </c>
      <c r="F2" s="16" t="s">
        <v>7</v>
      </c>
      <c r="G2" s="4"/>
      <c r="H2" s="4" t="s">
        <v>8</v>
      </c>
      <c r="I2" s="8" t="s">
        <v>9</v>
      </c>
      <c r="J2" s="9"/>
      <c r="K2" s="9"/>
      <c r="L2" s="7"/>
      <c r="M2" s="8" t="s">
        <v>10</v>
      </c>
      <c r="N2" s="9"/>
      <c r="O2" s="9"/>
      <c r="P2" s="7"/>
      <c r="Q2" s="8" t="s">
        <v>11</v>
      </c>
      <c r="R2" s="9"/>
      <c r="S2" s="9"/>
      <c r="T2" s="7"/>
      <c r="U2" s="8" t="s">
        <v>12</v>
      </c>
      <c r="V2" s="9"/>
      <c r="W2" s="9"/>
      <c r="X2" s="7"/>
      <c r="Y2" s="8" t="s">
        <v>13</v>
      </c>
      <c r="Z2" s="9"/>
      <c r="AA2" s="9"/>
      <c r="AB2" s="7"/>
      <c r="AC2" s="8" t="s">
        <v>14</v>
      </c>
      <c r="AD2" s="9"/>
      <c r="AE2" s="9"/>
      <c r="AF2" s="7"/>
      <c r="AG2" s="8" t="s">
        <v>15</v>
      </c>
      <c r="AH2" s="9"/>
      <c r="AI2" s="9"/>
      <c r="AJ2" s="7"/>
      <c r="AK2" s="8" t="s">
        <v>16</v>
      </c>
      <c r="AL2" s="9"/>
      <c r="AM2" s="9"/>
      <c r="AN2" s="7"/>
      <c r="AO2" s="8" t="s">
        <v>17</v>
      </c>
      <c r="AP2" s="9"/>
      <c r="AQ2" s="9"/>
      <c r="AR2" s="7"/>
      <c r="AS2" s="8" t="s">
        <v>18</v>
      </c>
      <c r="AT2" s="9"/>
      <c r="AU2" s="9"/>
      <c r="AV2" s="7"/>
      <c r="AW2" s="8" t="s">
        <v>19</v>
      </c>
      <c r="AX2" s="9"/>
      <c r="AY2" s="9"/>
      <c r="AZ2" s="7"/>
      <c r="BA2" s="8" t="s">
        <v>20</v>
      </c>
      <c r="BB2" s="9"/>
      <c r="BC2" s="9"/>
      <c r="BD2" s="7"/>
      <c r="BE2" s="8" t="s">
        <v>21</v>
      </c>
      <c r="BF2" s="9"/>
      <c r="BG2" s="9"/>
      <c r="BH2" s="7"/>
    </row>
    <row r="3" spans="1:60" x14ac:dyDescent="0.25">
      <c r="A3" s="13" t="s">
        <v>23</v>
      </c>
      <c r="B3" s="13" t="s">
        <v>24</v>
      </c>
      <c r="C3" s="13" t="s">
        <v>25</v>
      </c>
      <c r="D3" s="14" t="s">
        <v>26</v>
      </c>
      <c r="E3" s="13"/>
      <c r="F3" s="4" t="s">
        <v>27</v>
      </c>
      <c r="G3" s="3" t="s">
        <v>28</v>
      </c>
      <c r="H3" s="117" t="s">
        <v>29</v>
      </c>
      <c r="I3" s="16" t="s">
        <v>30</v>
      </c>
      <c r="J3" s="4" t="s">
        <v>3</v>
      </c>
      <c r="K3" s="4" t="s">
        <v>31</v>
      </c>
      <c r="L3" s="4" t="s">
        <v>32</v>
      </c>
      <c r="M3" s="4" t="s">
        <v>30</v>
      </c>
      <c r="N3" s="4" t="s">
        <v>3</v>
      </c>
      <c r="O3" s="4" t="s">
        <v>31</v>
      </c>
      <c r="P3" s="4" t="s">
        <v>32</v>
      </c>
      <c r="Q3" s="4" t="s">
        <v>30</v>
      </c>
      <c r="R3" s="4" t="s">
        <v>3</v>
      </c>
      <c r="S3" s="4" t="s">
        <v>31</v>
      </c>
      <c r="T3" s="4" t="s">
        <v>32</v>
      </c>
      <c r="U3" s="4" t="s">
        <v>30</v>
      </c>
      <c r="V3" s="4" t="s">
        <v>3</v>
      </c>
      <c r="W3" s="4" t="s">
        <v>31</v>
      </c>
      <c r="X3" s="4" t="s">
        <v>32</v>
      </c>
      <c r="Y3" s="4" t="s">
        <v>30</v>
      </c>
      <c r="Z3" s="4" t="s">
        <v>3</v>
      </c>
      <c r="AA3" s="4" t="s">
        <v>31</v>
      </c>
      <c r="AB3" s="4" t="s">
        <v>32</v>
      </c>
      <c r="AC3" s="4" t="s">
        <v>30</v>
      </c>
      <c r="AD3" s="4" t="s">
        <v>3</v>
      </c>
      <c r="AE3" s="4" t="s">
        <v>31</v>
      </c>
      <c r="AF3" s="4" t="s">
        <v>32</v>
      </c>
      <c r="AG3" s="4" t="s">
        <v>30</v>
      </c>
      <c r="AH3" s="4" t="s">
        <v>3</v>
      </c>
      <c r="AI3" s="4" t="s">
        <v>31</v>
      </c>
      <c r="AJ3" s="4" t="s">
        <v>32</v>
      </c>
      <c r="AK3" s="4" t="s">
        <v>30</v>
      </c>
      <c r="AL3" s="4" t="s">
        <v>3</v>
      </c>
      <c r="AM3" s="4" t="s">
        <v>31</v>
      </c>
      <c r="AN3" s="4" t="s">
        <v>32</v>
      </c>
      <c r="AO3" s="4" t="s">
        <v>30</v>
      </c>
      <c r="AP3" s="4" t="s">
        <v>3</v>
      </c>
      <c r="AQ3" s="4" t="s">
        <v>31</v>
      </c>
      <c r="AR3" s="4" t="s">
        <v>32</v>
      </c>
      <c r="AS3" s="4" t="s">
        <v>30</v>
      </c>
      <c r="AT3" s="4" t="s">
        <v>3</v>
      </c>
      <c r="AU3" s="4" t="s">
        <v>31</v>
      </c>
      <c r="AV3" s="4" t="s">
        <v>32</v>
      </c>
      <c r="AW3" s="4" t="s">
        <v>30</v>
      </c>
      <c r="AX3" s="4" t="s">
        <v>3</v>
      </c>
      <c r="AY3" s="4" t="s">
        <v>31</v>
      </c>
      <c r="AZ3" s="4" t="s">
        <v>32</v>
      </c>
      <c r="BA3" s="4" t="s">
        <v>30</v>
      </c>
      <c r="BB3" s="4" t="s">
        <v>3</v>
      </c>
      <c r="BC3" s="4" t="s">
        <v>31</v>
      </c>
      <c r="BD3" s="4" t="s">
        <v>32</v>
      </c>
      <c r="BE3" s="4" t="s">
        <v>3</v>
      </c>
      <c r="BF3" s="17" t="s">
        <v>33</v>
      </c>
      <c r="BG3" s="17" t="s">
        <v>34</v>
      </c>
      <c r="BH3" s="17" t="s">
        <v>35</v>
      </c>
    </row>
    <row r="4" spans="1:60" x14ac:dyDescent="0.25">
      <c r="A4" s="20"/>
      <c r="B4" s="20" t="s">
        <v>36</v>
      </c>
      <c r="C4" s="20"/>
      <c r="D4" s="21"/>
      <c r="E4" s="20"/>
      <c r="F4" s="21" t="s">
        <v>37</v>
      </c>
      <c r="G4" s="20" t="s">
        <v>37</v>
      </c>
      <c r="H4" s="117" t="s">
        <v>38</v>
      </c>
      <c r="I4" s="23"/>
      <c r="J4" s="21"/>
      <c r="K4" s="21" t="s">
        <v>39</v>
      </c>
      <c r="L4" s="21"/>
      <c r="M4" s="21"/>
      <c r="N4" s="21"/>
      <c r="O4" s="21" t="s">
        <v>39</v>
      </c>
      <c r="P4" s="21"/>
      <c r="Q4" s="21"/>
      <c r="R4" s="21"/>
      <c r="S4" s="21" t="s">
        <v>39</v>
      </c>
      <c r="T4" s="21"/>
      <c r="U4" s="21"/>
      <c r="V4" s="21"/>
      <c r="W4" s="21" t="s">
        <v>39</v>
      </c>
      <c r="X4" s="21"/>
      <c r="Y4" s="21"/>
      <c r="Z4" s="21"/>
      <c r="AA4" s="21" t="s">
        <v>39</v>
      </c>
      <c r="AB4" s="21"/>
      <c r="AC4" s="21"/>
      <c r="AD4" s="21"/>
      <c r="AE4" s="21" t="s">
        <v>39</v>
      </c>
      <c r="AF4" s="21"/>
      <c r="AG4" s="21"/>
      <c r="AH4" s="21"/>
      <c r="AI4" s="21" t="s">
        <v>39</v>
      </c>
      <c r="AJ4" s="21"/>
      <c r="AK4" s="21"/>
      <c r="AL4" s="21"/>
      <c r="AM4" s="21" t="s">
        <v>39</v>
      </c>
      <c r="AN4" s="21"/>
      <c r="AO4" s="21"/>
      <c r="AP4" s="21"/>
      <c r="AQ4" s="21" t="s">
        <v>39</v>
      </c>
      <c r="AR4" s="21"/>
      <c r="AS4" s="21"/>
      <c r="AT4" s="21"/>
      <c r="AU4" s="21" t="s">
        <v>39</v>
      </c>
      <c r="AV4" s="21"/>
      <c r="AW4" s="21"/>
      <c r="AX4" s="21"/>
      <c r="AY4" s="21" t="s">
        <v>39</v>
      </c>
      <c r="AZ4" s="21"/>
      <c r="BA4" s="21"/>
      <c r="BB4" s="21"/>
      <c r="BC4" s="21" t="s">
        <v>39</v>
      </c>
      <c r="BD4" s="21"/>
      <c r="BE4" s="21"/>
      <c r="BF4" s="21"/>
      <c r="BG4" s="21"/>
      <c r="BH4" s="24" t="s">
        <v>40</v>
      </c>
    </row>
    <row r="5" spans="1:60" x14ac:dyDescent="0.25">
      <c r="A5" s="29">
        <v>32</v>
      </c>
      <c r="B5" s="14"/>
      <c r="D5" s="14" t="s">
        <v>42</v>
      </c>
      <c r="F5" s="13"/>
      <c r="G5" s="28"/>
      <c r="I5" s="13"/>
      <c r="J5" s="15"/>
      <c r="K5" s="15"/>
      <c r="L5" s="28"/>
      <c r="Q5" s="13"/>
      <c r="R5" s="15"/>
      <c r="S5" s="15"/>
      <c r="T5" s="28"/>
      <c r="Y5" s="13"/>
      <c r="Z5" s="15"/>
      <c r="AA5" s="15"/>
      <c r="AB5" s="28"/>
      <c r="AG5" s="13"/>
      <c r="AH5" s="15"/>
      <c r="AI5" s="15"/>
      <c r="AJ5" s="28"/>
      <c r="AK5" s="13"/>
      <c r="AL5" s="15"/>
      <c r="AM5" s="15"/>
      <c r="AN5" s="28"/>
      <c r="AO5" s="13"/>
      <c r="AP5" s="15"/>
      <c r="AQ5" s="15"/>
      <c r="AR5" s="28"/>
      <c r="AW5" s="13"/>
      <c r="AX5" s="15"/>
      <c r="AY5" s="15"/>
      <c r="AZ5" s="28"/>
      <c r="BE5" s="14"/>
      <c r="BF5" s="13"/>
      <c r="BG5" s="15"/>
      <c r="BH5" s="28"/>
    </row>
    <row r="6" spans="1:60" x14ac:dyDescent="0.25">
      <c r="A6" s="2">
        <v>32</v>
      </c>
      <c r="B6" s="14">
        <v>3.96</v>
      </c>
      <c r="C6" s="2" t="s">
        <v>152</v>
      </c>
      <c r="D6" s="14" t="s">
        <v>44</v>
      </c>
      <c r="E6" s="2" t="s">
        <v>45</v>
      </c>
      <c r="F6" s="13">
        <v>2.49</v>
      </c>
      <c r="G6" s="28"/>
      <c r="H6" s="2">
        <v>-581.68</v>
      </c>
      <c r="I6" s="13">
        <v>168</v>
      </c>
      <c r="J6" s="15">
        <v>0</v>
      </c>
      <c r="K6" s="34">
        <v>0</v>
      </c>
      <c r="L6" s="28"/>
      <c r="M6" s="2">
        <v>168</v>
      </c>
      <c r="N6" s="15">
        <v>0</v>
      </c>
      <c r="O6" s="34">
        <v>0</v>
      </c>
      <c r="Q6" s="13">
        <v>168</v>
      </c>
      <c r="R6" s="15">
        <v>0</v>
      </c>
      <c r="S6" s="34">
        <v>0</v>
      </c>
      <c r="T6" s="28"/>
      <c r="U6" s="2">
        <v>168</v>
      </c>
      <c r="V6" s="15">
        <v>0</v>
      </c>
      <c r="W6" s="34">
        <v>0</v>
      </c>
      <c r="Y6" s="13">
        <v>171</v>
      </c>
      <c r="Z6" s="15">
        <v>3</v>
      </c>
      <c r="AA6" s="34">
        <v>7.47</v>
      </c>
      <c r="AB6" s="28">
        <v>7.47</v>
      </c>
      <c r="AC6" s="2">
        <v>205</v>
      </c>
      <c r="AD6" s="15">
        <v>34</v>
      </c>
      <c r="AE6" s="34">
        <v>84.66</v>
      </c>
      <c r="AG6" s="13">
        <v>257</v>
      </c>
      <c r="AH6" s="15">
        <v>52</v>
      </c>
      <c r="AI6" s="34">
        <v>129.48</v>
      </c>
      <c r="AJ6" s="28"/>
      <c r="AK6" s="13">
        <v>307</v>
      </c>
      <c r="AL6" s="15">
        <v>50</v>
      </c>
      <c r="AM6" s="34">
        <v>124.5</v>
      </c>
      <c r="AN6" s="28"/>
      <c r="AO6" s="13">
        <v>354</v>
      </c>
      <c r="AP6" s="15">
        <v>47</v>
      </c>
      <c r="AQ6" s="34">
        <v>117.03</v>
      </c>
      <c r="AR6" s="28"/>
      <c r="AS6" s="15">
        <v>381</v>
      </c>
      <c r="AT6" s="15">
        <v>27</v>
      </c>
      <c r="AU6" s="34">
        <v>67.23</v>
      </c>
      <c r="AV6" s="15"/>
      <c r="AW6" s="13">
        <v>381</v>
      </c>
      <c r="AX6" s="15">
        <v>0</v>
      </c>
      <c r="AY6" s="34">
        <v>0</v>
      </c>
      <c r="AZ6" s="28"/>
      <c r="BA6" s="13">
        <v>381</v>
      </c>
      <c r="BB6" s="15">
        <v>0</v>
      </c>
      <c r="BC6" s="34">
        <v>0</v>
      </c>
      <c r="BD6" s="15"/>
      <c r="BE6" s="40">
        <v>213</v>
      </c>
      <c r="BF6" s="41">
        <v>530.37</v>
      </c>
      <c r="BG6" s="34">
        <v>7.47</v>
      </c>
      <c r="BH6" s="35">
        <v>-58.78</v>
      </c>
    </row>
    <row r="7" spans="1:60" x14ac:dyDescent="0.25">
      <c r="A7" s="29">
        <v>32</v>
      </c>
      <c r="B7" s="14"/>
      <c r="C7" s="2" t="s">
        <v>153</v>
      </c>
      <c r="D7" s="14" t="s">
        <v>47</v>
      </c>
      <c r="E7" s="2" t="s">
        <v>48</v>
      </c>
      <c r="F7" s="13">
        <v>17.16</v>
      </c>
      <c r="G7" s="28"/>
      <c r="I7" s="13"/>
      <c r="J7" s="15"/>
      <c r="K7" s="15"/>
      <c r="L7" s="28"/>
      <c r="Q7" s="13"/>
      <c r="R7" s="15"/>
      <c r="S7" s="15"/>
      <c r="T7" s="28"/>
      <c r="Y7" s="13"/>
      <c r="Z7" s="15"/>
      <c r="AA7" s="15"/>
      <c r="AB7" s="28"/>
      <c r="AC7" s="15"/>
      <c r="AD7" s="15">
        <v>0</v>
      </c>
      <c r="AE7" s="34">
        <v>0</v>
      </c>
      <c r="AG7" s="13"/>
      <c r="AH7" s="15">
        <v>0</v>
      </c>
      <c r="AI7" s="45">
        <v>0</v>
      </c>
      <c r="AJ7" s="28"/>
      <c r="AK7" s="13"/>
      <c r="AL7" s="15"/>
      <c r="AM7" s="45">
        <v>0</v>
      </c>
      <c r="AN7" s="28"/>
      <c r="AO7" s="13"/>
      <c r="AP7" s="15"/>
      <c r="AQ7" s="45">
        <v>0</v>
      </c>
      <c r="AR7" s="28"/>
      <c r="AS7" s="15"/>
      <c r="AT7" s="15"/>
      <c r="AU7" s="15"/>
      <c r="AV7" s="15"/>
      <c r="AW7" s="13"/>
      <c r="AX7" s="15"/>
      <c r="AY7" s="15"/>
      <c r="AZ7" s="28"/>
      <c r="BA7" s="15"/>
      <c r="BB7" s="15"/>
      <c r="BC7" s="15"/>
      <c r="BD7" s="15"/>
      <c r="BE7" s="40">
        <v>0</v>
      </c>
      <c r="BF7" s="41">
        <v>0</v>
      </c>
      <c r="BG7" s="34">
        <v>0</v>
      </c>
      <c r="BH7" s="35">
        <v>0</v>
      </c>
    </row>
    <row r="8" spans="1:60" x14ac:dyDescent="0.25">
      <c r="A8" s="29">
        <v>32</v>
      </c>
      <c r="B8" s="14"/>
      <c r="C8" s="15" t="s">
        <v>122</v>
      </c>
      <c r="D8" s="14" t="s">
        <v>47</v>
      </c>
      <c r="E8" s="2" t="s">
        <v>49</v>
      </c>
      <c r="F8" s="41">
        <v>300</v>
      </c>
      <c r="G8" s="28"/>
      <c r="H8" s="77">
        <v>1188</v>
      </c>
      <c r="I8" s="13"/>
      <c r="J8" s="15"/>
      <c r="K8" s="15"/>
      <c r="L8" s="28"/>
      <c r="Q8" s="13"/>
      <c r="R8" s="15"/>
      <c r="S8" s="15"/>
      <c r="T8" s="28"/>
      <c r="Y8" s="13"/>
      <c r="Z8" s="15"/>
      <c r="AA8" s="34">
        <v>1188</v>
      </c>
      <c r="AB8" s="28"/>
      <c r="AC8" s="15"/>
      <c r="AG8" s="13"/>
      <c r="AH8" s="15"/>
      <c r="AI8" s="15"/>
      <c r="AJ8" s="38">
        <v>1188</v>
      </c>
      <c r="AK8" s="13"/>
      <c r="AL8" s="15"/>
      <c r="AM8" s="34"/>
      <c r="AN8" s="28"/>
      <c r="AO8" s="13"/>
      <c r="AP8" s="15"/>
      <c r="AQ8" s="34"/>
      <c r="AR8" s="28"/>
      <c r="AS8" s="15"/>
      <c r="AT8" s="15"/>
      <c r="AU8" s="15"/>
      <c r="AV8" s="15"/>
      <c r="AW8" s="13"/>
      <c r="AX8" s="15"/>
      <c r="AY8" s="15"/>
      <c r="AZ8" s="28"/>
      <c r="BA8" s="15"/>
      <c r="BB8" s="15"/>
      <c r="BC8" s="15"/>
      <c r="BD8" s="15"/>
      <c r="BE8" s="14"/>
      <c r="BF8" s="41">
        <v>1188</v>
      </c>
      <c r="BG8" s="34">
        <v>1188</v>
      </c>
      <c r="BH8" s="35">
        <v>1188</v>
      </c>
    </row>
    <row r="9" spans="1:60" x14ac:dyDescent="0.25">
      <c r="A9" s="29">
        <v>32</v>
      </c>
      <c r="B9" s="14"/>
      <c r="D9" s="14" t="s">
        <v>50</v>
      </c>
      <c r="E9" s="2" t="s">
        <v>49</v>
      </c>
      <c r="F9" s="41">
        <v>1062.88</v>
      </c>
      <c r="G9" s="28"/>
      <c r="I9" s="13"/>
      <c r="J9" s="15"/>
      <c r="K9" s="15"/>
      <c r="L9" s="28"/>
      <c r="Q9" s="13"/>
      <c r="R9" s="15"/>
      <c r="S9" s="15"/>
      <c r="T9" s="28"/>
      <c r="Y9" s="13"/>
      <c r="Z9" s="15"/>
      <c r="AA9" s="15"/>
      <c r="AB9" s="28"/>
      <c r="AE9" s="34">
        <v>4209.0048</v>
      </c>
      <c r="AG9" s="13"/>
      <c r="AH9" s="15"/>
      <c r="AI9" s="15"/>
      <c r="AJ9" s="38">
        <v>4209</v>
      </c>
      <c r="AK9" s="13"/>
      <c r="AL9" s="15"/>
      <c r="AM9" s="15"/>
      <c r="AN9" s="28"/>
      <c r="AO9" s="13"/>
      <c r="AP9" s="15"/>
      <c r="AQ9" s="15"/>
      <c r="AR9" s="28"/>
      <c r="AS9" s="15"/>
      <c r="AT9" s="15"/>
      <c r="AU9" s="15"/>
      <c r="AV9" s="15"/>
      <c r="AW9" s="13"/>
      <c r="AX9" s="15"/>
      <c r="AY9" s="15"/>
      <c r="AZ9" s="28"/>
      <c r="BA9" s="15"/>
      <c r="BB9" s="15"/>
      <c r="BC9" s="15"/>
      <c r="BD9" s="15"/>
      <c r="BE9" s="14"/>
      <c r="BF9" s="41">
        <v>4209.0048</v>
      </c>
      <c r="BG9" s="34">
        <v>4209</v>
      </c>
      <c r="BH9" s="35">
        <v>0.00480000000061409</v>
      </c>
    </row>
    <row r="10" spans="1:60" x14ac:dyDescent="0.25">
      <c r="A10" s="29">
        <v>32</v>
      </c>
      <c r="B10" s="14"/>
      <c r="D10" s="14" t="s">
        <v>51</v>
      </c>
      <c r="E10" s="2" t="s">
        <v>49</v>
      </c>
      <c r="F10" s="41">
        <v>0</v>
      </c>
      <c r="G10" s="28"/>
      <c r="I10" s="13"/>
      <c r="J10" s="15"/>
      <c r="K10" s="15"/>
      <c r="L10" s="28"/>
      <c r="Q10" s="13"/>
      <c r="R10" s="15"/>
      <c r="S10" s="15"/>
      <c r="T10" s="28"/>
      <c r="Y10" s="13"/>
      <c r="Z10" s="15"/>
      <c r="AA10" s="15"/>
      <c r="AB10" s="28"/>
      <c r="AG10" s="13"/>
      <c r="AH10" s="15"/>
      <c r="AI10" s="15"/>
      <c r="AJ10" s="28"/>
      <c r="AK10" s="13"/>
      <c r="AL10" s="15"/>
      <c r="AM10" s="15"/>
      <c r="AN10" s="28"/>
      <c r="AO10" s="13"/>
      <c r="AP10" s="15"/>
      <c r="AQ10" s="15"/>
      <c r="AR10" s="28"/>
      <c r="AS10" s="15"/>
      <c r="AT10" s="15"/>
      <c r="AU10" s="15"/>
      <c r="AV10" s="15"/>
      <c r="AW10" s="13"/>
      <c r="AX10" s="15"/>
      <c r="AY10" s="15"/>
      <c r="AZ10" s="28"/>
      <c r="BA10" s="15"/>
      <c r="BB10" s="15"/>
      <c r="BC10" s="15"/>
      <c r="BD10" s="15"/>
      <c r="BE10" s="14"/>
      <c r="BF10" s="41">
        <v>0</v>
      </c>
      <c r="BG10" s="34">
        <v>0</v>
      </c>
      <c r="BH10" s="35">
        <v>0</v>
      </c>
    </row>
    <row r="11" spans="1:60" x14ac:dyDescent="0.25">
      <c r="A11" s="29">
        <v>32</v>
      </c>
      <c r="B11" s="14"/>
      <c r="D11" s="14" t="s">
        <v>52</v>
      </c>
      <c r="E11" s="2" t="s">
        <v>39</v>
      </c>
      <c r="F11" s="41">
        <v>350</v>
      </c>
      <c r="G11" s="28"/>
      <c r="I11" s="13"/>
      <c r="J11" s="15"/>
      <c r="K11" s="15"/>
      <c r="L11" s="28"/>
      <c r="Q11" s="13"/>
      <c r="R11" s="15"/>
      <c r="S11" s="15"/>
      <c r="T11" s="28"/>
      <c r="Y11" s="13"/>
      <c r="Z11" s="15"/>
      <c r="AA11" s="34">
        <v>350</v>
      </c>
      <c r="AB11" s="28"/>
      <c r="AG11" s="13"/>
      <c r="AH11" s="15"/>
      <c r="AI11" s="15"/>
      <c r="AJ11" s="28"/>
      <c r="AK11" s="13"/>
      <c r="AL11" s="15"/>
      <c r="AM11" s="15"/>
      <c r="AN11" s="28"/>
      <c r="AO11" s="13"/>
      <c r="AP11" s="15"/>
      <c r="AQ11" s="15"/>
      <c r="AR11" s="28"/>
      <c r="AS11" s="15"/>
      <c r="AT11" s="15"/>
      <c r="AU11" s="15"/>
      <c r="AV11" s="15"/>
      <c r="AW11" s="13"/>
      <c r="AX11" s="15"/>
      <c r="AY11" s="15"/>
      <c r="AZ11" s="28"/>
      <c r="BA11" s="15"/>
      <c r="BB11" s="15"/>
      <c r="BC11" s="15"/>
      <c r="BD11" s="15"/>
      <c r="BE11" s="14"/>
      <c r="BF11" s="41">
        <v>350</v>
      </c>
      <c r="BG11" s="34">
        <v>0</v>
      </c>
      <c r="BH11" s="35">
        <v>350</v>
      </c>
    </row>
    <row r="12" spans="1:60" x14ac:dyDescent="0.25">
      <c r="A12" s="50">
        <v>32</v>
      </c>
      <c r="B12" s="21"/>
      <c r="C12" s="22" t="s">
        <v>53</v>
      </c>
      <c r="D12" s="21"/>
      <c r="E12" s="22"/>
      <c r="F12" s="20"/>
      <c r="G12" s="23"/>
      <c r="H12" s="51">
        <v>606.32</v>
      </c>
      <c r="I12" s="52"/>
      <c r="J12" s="53"/>
      <c r="K12" s="51">
        <v>0</v>
      </c>
      <c r="L12" s="68">
        <v>0</v>
      </c>
      <c r="M12" s="53"/>
      <c r="N12" s="53"/>
      <c r="O12" s="51">
        <v>0</v>
      </c>
      <c r="P12" s="51">
        <v>0</v>
      </c>
      <c r="Q12" s="52"/>
      <c r="R12" s="53"/>
      <c r="S12" s="51">
        <v>0</v>
      </c>
      <c r="T12" s="68">
        <v>0</v>
      </c>
      <c r="U12" s="53"/>
      <c r="V12" s="53"/>
      <c r="W12" s="51">
        <v>0</v>
      </c>
      <c r="X12" s="51">
        <v>0</v>
      </c>
      <c r="Y12" s="52"/>
      <c r="Z12" s="53"/>
      <c r="AA12" s="51">
        <v>1545.47</v>
      </c>
      <c r="AB12" s="68">
        <v>7.47</v>
      </c>
      <c r="AC12" s="53"/>
      <c r="AD12" s="53"/>
      <c r="AE12" s="51">
        <v>4293.6648</v>
      </c>
      <c r="AF12" s="51">
        <v>0</v>
      </c>
      <c r="AG12" s="52"/>
      <c r="AH12" s="53"/>
      <c r="AI12" s="51">
        <v>129.48</v>
      </c>
      <c r="AJ12" s="68">
        <v>5397</v>
      </c>
      <c r="AK12" s="52"/>
      <c r="AL12" s="53"/>
      <c r="AM12" s="51">
        <v>124.5</v>
      </c>
      <c r="AN12" s="68">
        <v>0</v>
      </c>
      <c r="AO12" s="52"/>
      <c r="AP12" s="53"/>
      <c r="AQ12" s="51">
        <v>117.03</v>
      </c>
      <c r="AR12" s="68">
        <v>0</v>
      </c>
      <c r="AS12" s="53"/>
      <c r="AT12" s="53"/>
      <c r="AU12" s="51">
        <v>67.23</v>
      </c>
      <c r="AV12" s="51">
        <v>0</v>
      </c>
      <c r="AW12" s="52"/>
      <c r="AX12" s="53"/>
      <c r="AY12" s="51">
        <v>0</v>
      </c>
      <c r="AZ12" s="68">
        <v>0</v>
      </c>
      <c r="BA12" s="53"/>
      <c r="BB12" s="53"/>
      <c r="BC12" s="51">
        <v>0</v>
      </c>
      <c r="BD12" s="51">
        <v>0</v>
      </c>
      <c r="BE12" s="69"/>
      <c r="BF12" s="70">
        <v>6277.3748</v>
      </c>
      <c r="BG12" s="71">
        <v>5404.47</v>
      </c>
      <c r="BH12" s="72">
        <v>1479.2248</v>
      </c>
    </row>
    <row r="13" spans="8:8" x14ac:dyDescent="0.25">
      <c r="H13" s="1">
        <v>2019</v>
      </c>
    </row>
    <row r="14" spans="1:60" x14ac:dyDescent="0.25">
      <c r="A14" s="169">
        <v>32</v>
      </c>
      <c r="B14" s="4"/>
      <c r="C14" s="5"/>
      <c r="D14" s="4"/>
      <c r="E14" s="5"/>
      <c r="F14" s="3"/>
      <c r="G14" s="16"/>
      <c r="H14" s="170">
        <v>0</v>
      </c>
      <c r="I14" s="3"/>
      <c r="J14" s="5"/>
      <c r="K14" s="5"/>
      <c r="L14" s="16"/>
      <c r="M14" s="5"/>
      <c r="N14" s="5"/>
      <c r="O14" s="5"/>
      <c r="P14" s="5"/>
      <c r="Q14" s="3"/>
      <c r="R14" s="5"/>
      <c r="S14" s="5"/>
      <c r="T14" s="16"/>
      <c r="U14" s="5"/>
      <c r="V14" s="5"/>
      <c r="W14" s="5"/>
      <c r="X14" s="5"/>
      <c r="Y14" s="3"/>
      <c r="Z14" s="5"/>
      <c r="AA14" s="5"/>
      <c r="AB14" s="16"/>
      <c r="AC14" s="5"/>
      <c r="AD14" s="5"/>
      <c r="AE14" s="5"/>
      <c r="AF14" s="5"/>
      <c r="AG14" s="3"/>
      <c r="AH14" s="5"/>
      <c r="AI14" s="5"/>
      <c r="AJ14" s="16"/>
      <c r="AK14" s="3"/>
      <c r="AL14" s="5"/>
      <c r="AM14" s="5"/>
      <c r="AN14" s="16"/>
      <c r="AO14" s="3"/>
      <c r="AP14" s="5"/>
      <c r="AQ14" s="5"/>
      <c r="AR14" s="16"/>
      <c r="AS14" s="5"/>
      <c r="AT14" s="5"/>
      <c r="AU14" s="5"/>
      <c r="AV14" s="5"/>
      <c r="AW14" s="3"/>
      <c r="AX14" s="5"/>
      <c r="AY14" s="5"/>
      <c r="AZ14" s="16"/>
      <c r="BA14" s="5"/>
      <c r="BB14" s="5"/>
      <c r="BC14" s="5"/>
      <c r="BD14" s="5"/>
      <c r="BE14" s="4"/>
      <c r="BF14" s="171">
        <v>0</v>
      </c>
      <c r="BG14" s="170">
        <v>0</v>
      </c>
      <c r="BH14" s="172">
        <v>0</v>
      </c>
    </row>
    <row r="15" spans="1:60" x14ac:dyDescent="0.25">
      <c r="A15" s="2">
        <v>32</v>
      </c>
      <c r="B15" s="14">
        <v>3.96</v>
      </c>
      <c r="C15" s="2" t="s">
        <v>152</v>
      </c>
      <c r="D15" s="14" t="s">
        <v>44</v>
      </c>
      <c r="E15" s="2" t="s">
        <v>45</v>
      </c>
      <c r="F15" s="13">
        <v>2.49</v>
      </c>
      <c r="G15" s="35">
        <v>2.5</v>
      </c>
      <c r="H15" s="34">
        <v>-58.78</v>
      </c>
      <c r="I15" s="13">
        <v>381</v>
      </c>
      <c r="J15" s="15">
        <v>0</v>
      </c>
      <c r="K15" s="34">
        <v>0</v>
      </c>
      <c r="L15" s="28"/>
      <c r="M15" s="2">
        <v>381</v>
      </c>
      <c r="N15" s="15">
        <v>0</v>
      </c>
      <c r="O15" s="34">
        <v>0</v>
      </c>
      <c r="Q15" s="13">
        <v>381</v>
      </c>
      <c r="R15" s="15">
        <v>0</v>
      </c>
      <c r="S15" s="34">
        <v>0</v>
      </c>
      <c r="T15" s="28"/>
      <c r="U15" s="15">
        <v>384</v>
      </c>
      <c r="V15" s="15">
        <v>3</v>
      </c>
      <c r="W15" s="34">
        <v>7.47</v>
      </c>
      <c r="Y15" s="75">
        <v>417</v>
      </c>
      <c r="Z15" s="15">
        <v>33</v>
      </c>
      <c r="AA15" s="34">
        <v>82.17</v>
      </c>
      <c r="AB15" s="28"/>
      <c r="AC15" s="15">
        <v>471</v>
      </c>
      <c r="AD15" s="15">
        <v>54</v>
      </c>
      <c r="AE15" s="34">
        <v>135</v>
      </c>
      <c r="AG15" s="13">
        <v>534</v>
      </c>
      <c r="AH15" s="15">
        <v>63</v>
      </c>
      <c r="AI15" s="34">
        <v>157.5</v>
      </c>
      <c r="AJ15" s="32">
        <v>165.86</v>
      </c>
      <c r="AK15" s="13"/>
      <c r="AL15" s="15"/>
      <c r="AM15" s="34">
        <v>0</v>
      </c>
      <c r="AN15" s="28"/>
      <c r="AO15" s="13"/>
      <c r="AP15" s="15"/>
      <c r="AQ15" s="34">
        <v>0</v>
      </c>
      <c r="AR15" s="28"/>
      <c r="AS15" s="15"/>
      <c r="AT15" s="15"/>
      <c r="AU15" s="34">
        <v>0</v>
      </c>
      <c r="AV15" s="15"/>
      <c r="AW15" s="13"/>
      <c r="AX15" s="15"/>
      <c r="AY15" s="34">
        <v>0</v>
      </c>
      <c r="AZ15" s="28"/>
      <c r="BA15" s="13"/>
      <c r="BB15" s="15"/>
      <c r="BC15" s="34">
        <v>0</v>
      </c>
      <c r="BD15" s="15"/>
      <c r="BE15" s="40">
        <v>153</v>
      </c>
      <c r="BF15" s="41">
        <v>382.14</v>
      </c>
      <c r="BG15" s="34">
        <v>165.86</v>
      </c>
      <c r="BH15" s="35">
        <v>157.5</v>
      </c>
    </row>
    <row r="16" spans="1:60" x14ac:dyDescent="0.25">
      <c r="A16" s="29">
        <v>32</v>
      </c>
      <c r="B16" s="14"/>
      <c r="C16" s="2" t="s">
        <v>153</v>
      </c>
      <c r="D16" s="14" t="s">
        <v>47</v>
      </c>
      <c r="E16" s="2" t="s">
        <v>48</v>
      </c>
      <c r="F16" s="13">
        <v>17.98</v>
      </c>
      <c r="G16" s="28">
        <v>18.56</v>
      </c>
      <c r="H16" s="34">
        <v>0</v>
      </c>
      <c r="I16" s="13"/>
      <c r="J16" s="15"/>
      <c r="K16" s="15"/>
      <c r="L16" s="28"/>
      <c r="Q16" s="13"/>
      <c r="R16" s="15"/>
      <c r="S16" s="15"/>
      <c r="T16" s="28"/>
      <c r="Y16" s="13"/>
      <c r="Z16" s="15"/>
      <c r="AA16" s="15"/>
      <c r="AB16" s="28"/>
      <c r="AC16" s="15"/>
      <c r="AD16" s="15"/>
      <c r="AE16" s="34">
        <v>0</v>
      </c>
      <c r="AG16" s="13"/>
      <c r="AH16" s="15">
        <v>0</v>
      </c>
      <c r="AI16" s="45">
        <v>0</v>
      </c>
      <c r="AJ16" s="28"/>
      <c r="AK16" s="13"/>
      <c r="AL16" s="15"/>
      <c r="AM16" s="45">
        <v>0</v>
      </c>
      <c r="AN16" s="28"/>
      <c r="AO16" s="13"/>
      <c r="AP16" s="15"/>
      <c r="AQ16" s="45">
        <v>0</v>
      </c>
      <c r="AR16" s="28"/>
      <c r="AS16" s="15"/>
      <c r="AT16" s="15"/>
      <c r="AU16" s="15"/>
      <c r="AV16" s="15"/>
      <c r="AW16" s="13"/>
      <c r="AX16" s="15"/>
      <c r="AY16" s="15"/>
      <c r="AZ16" s="28"/>
      <c r="BA16" s="15"/>
      <c r="BB16" s="15"/>
      <c r="BC16" s="15"/>
      <c r="BD16" s="15"/>
      <c r="BE16" s="40">
        <v>0</v>
      </c>
      <c r="BF16" s="41">
        <v>0</v>
      </c>
      <c r="BG16" s="34">
        <v>0</v>
      </c>
      <c r="BH16" s="35">
        <v>0</v>
      </c>
    </row>
    <row r="17" spans="1:60" x14ac:dyDescent="0.25">
      <c r="A17" s="29">
        <v>32</v>
      </c>
      <c r="B17" s="14"/>
      <c r="C17" s="15" t="s">
        <v>122</v>
      </c>
      <c r="D17" s="14" t="s">
        <v>47</v>
      </c>
      <c r="E17" s="2" t="s">
        <v>49</v>
      </c>
      <c r="F17" s="41">
        <v>500</v>
      </c>
      <c r="G17" s="28"/>
      <c r="H17" s="77">
        <v>1188</v>
      </c>
      <c r="I17" s="13"/>
      <c r="J17" s="15"/>
      <c r="K17" s="15"/>
      <c r="L17" s="28"/>
      <c r="Q17" s="13"/>
      <c r="R17" s="15"/>
      <c r="S17" s="15"/>
      <c r="T17" s="28"/>
      <c r="Y17" s="13"/>
      <c r="Z17" s="15"/>
      <c r="AA17" s="34">
        <v>1980</v>
      </c>
      <c r="AB17" s="38">
        <v>1188</v>
      </c>
      <c r="AC17" s="15"/>
      <c r="AG17" s="13"/>
      <c r="AH17" s="15"/>
      <c r="AI17" s="15"/>
      <c r="AJ17" s="38">
        <v>1980</v>
      </c>
      <c r="AK17" s="13"/>
      <c r="AL17" s="15"/>
      <c r="AM17" s="34"/>
      <c r="AN17" s="28"/>
      <c r="AO17" s="13"/>
      <c r="AP17" s="15"/>
      <c r="AQ17" s="34"/>
      <c r="AR17" s="28"/>
      <c r="AS17" s="15"/>
      <c r="AT17" s="15"/>
      <c r="AU17" s="15"/>
      <c r="AV17" s="15"/>
      <c r="AW17" s="13"/>
      <c r="AX17" s="15"/>
      <c r="AY17" s="15"/>
      <c r="AZ17" s="28"/>
      <c r="BA17" s="15"/>
      <c r="BB17" s="15"/>
      <c r="BC17" s="15"/>
      <c r="BD17" s="15"/>
      <c r="BE17" s="14"/>
      <c r="BF17" s="41">
        <v>1980</v>
      </c>
      <c r="BG17" s="34">
        <v>3168</v>
      </c>
      <c r="BH17" s="35">
        <v>0</v>
      </c>
    </row>
    <row r="18" spans="1:60" x14ac:dyDescent="0.25">
      <c r="A18" s="29">
        <v>32</v>
      </c>
      <c r="B18" s="14"/>
      <c r="D18" s="14" t="s">
        <v>50</v>
      </c>
      <c r="E18" s="2" t="s">
        <v>49</v>
      </c>
      <c r="F18" s="41">
        <v>1200</v>
      </c>
      <c r="G18" s="28"/>
      <c r="H18" s="34">
        <v>0.00480000000061409</v>
      </c>
      <c r="I18" s="13"/>
      <c r="J18" s="15"/>
      <c r="K18" s="15"/>
      <c r="L18" s="28"/>
      <c r="Q18" s="13"/>
      <c r="R18" s="15"/>
      <c r="S18" s="15"/>
      <c r="T18" s="28"/>
      <c r="Y18" s="13"/>
      <c r="Z18" s="15"/>
      <c r="AA18" s="15"/>
      <c r="AB18" s="28"/>
      <c r="AE18" s="34">
        <v>4752</v>
      </c>
      <c r="AG18" s="13"/>
      <c r="AH18" s="15"/>
      <c r="AI18" s="15"/>
      <c r="AJ18" s="38"/>
      <c r="AK18" s="13"/>
      <c r="AL18" s="15"/>
      <c r="AM18" s="15"/>
      <c r="AN18" s="28"/>
      <c r="AO18" s="13"/>
      <c r="AP18" s="15"/>
      <c r="AQ18" s="15"/>
      <c r="AR18" s="28"/>
      <c r="AS18" s="15"/>
      <c r="AT18" s="15"/>
      <c r="AU18" s="15"/>
      <c r="AV18" s="15"/>
      <c r="AW18" s="13"/>
      <c r="AX18" s="15"/>
      <c r="AY18" s="15"/>
      <c r="AZ18" s="28"/>
      <c r="BA18" s="15"/>
      <c r="BB18" s="15"/>
      <c r="BC18" s="15"/>
      <c r="BD18" s="15"/>
      <c r="BE18" s="14"/>
      <c r="BF18" s="41">
        <v>4752</v>
      </c>
      <c r="BG18" s="34">
        <v>0</v>
      </c>
      <c r="BH18" s="35">
        <v>4752.0048</v>
      </c>
    </row>
    <row r="19" spans="1:60" x14ac:dyDescent="0.25">
      <c r="A19" s="29">
        <v>32</v>
      </c>
      <c r="B19" s="14"/>
      <c r="D19" s="14" t="s">
        <v>51</v>
      </c>
      <c r="E19" s="2" t="s">
        <v>49</v>
      </c>
      <c r="F19" s="41">
        <v>1000</v>
      </c>
      <c r="G19" s="28"/>
      <c r="H19" s="34">
        <v>0</v>
      </c>
      <c r="I19" s="13"/>
      <c r="J19" s="15"/>
      <c r="K19" s="15"/>
      <c r="L19" s="28"/>
      <c r="Q19" s="13"/>
      <c r="R19" s="15"/>
      <c r="S19" s="15"/>
      <c r="T19" s="28"/>
      <c r="Y19" s="13"/>
      <c r="Z19" s="15"/>
      <c r="AA19" s="15"/>
      <c r="AB19" s="28"/>
      <c r="AE19" s="34">
        <v>1000</v>
      </c>
      <c r="AG19" s="13"/>
      <c r="AH19" s="15"/>
      <c r="AI19" s="15"/>
      <c r="AJ19" s="28"/>
      <c r="AK19" s="13"/>
      <c r="AL19" s="15"/>
      <c r="AM19" s="15"/>
      <c r="AN19" s="28"/>
      <c r="AO19" s="13"/>
      <c r="AP19" s="15"/>
      <c r="AQ19" s="15"/>
      <c r="AR19" s="28"/>
      <c r="AS19" s="15"/>
      <c r="AT19" s="15"/>
      <c r="AU19" s="15"/>
      <c r="AV19" s="15"/>
      <c r="AW19" s="13"/>
      <c r="AX19" s="15"/>
      <c r="AY19" s="15"/>
      <c r="AZ19" s="28"/>
      <c r="BA19" s="15"/>
      <c r="BB19" s="15"/>
      <c r="BC19" s="15"/>
      <c r="BD19" s="15"/>
      <c r="BE19" s="14"/>
      <c r="BF19" s="41">
        <v>1000</v>
      </c>
      <c r="BG19" s="34">
        <v>0</v>
      </c>
      <c r="BH19" s="35">
        <v>1000</v>
      </c>
    </row>
    <row r="20" spans="1:60" x14ac:dyDescent="0.25">
      <c r="A20" s="29">
        <v>32</v>
      </c>
      <c r="B20" s="14"/>
      <c r="D20" s="14" t="s">
        <v>52</v>
      </c>
      <c r="E20" s="2" t="s">
        <v>39</v>
      </c>
      <c r="F20" s="41">
        <v>500</v>
      </c>
      <c r="G20" s="28"/>
      <c r="H20" s="84">
        <v>-150</v>
      </c>
      <c r="I20" s="13"/>
      <c r="J20" s="15"/>
      <c r="K20" s="15"/>
      <c r="L20" s="28"/>
      <c r="Q20" s="13"/>
      <c r="R20" s="15"/>
      <c r="S20" s="15"/>
      <c r="T20" s="28"/>
      <c r="Y20" s="13"/>
      <c r="Z20" s="15"/>
      <c r="AA20" s="34">
        <v>500</v>
      </c>
      <c r="AB20" s="38">
        <v>350</v>
      </c>
      <c r="AG20" s="13"/>
      <c r="AH20" s="15"/>
      <c r="AI20" s="15"/>
      <c r="AJ20" s="28"/>
      <c r="AK20" s="13"/>
      <c r="AL20" s="15"/>
      <c r="AM20" s="15"/>
      <c r="AN20" s="28"/>
      <c r="AO20" s="13"/>
      <c r="AP20" s="15"/>
      <c r="AQ20" s="15"/>
      <c r="AR20" s="28"/>
      <c r="AS20" s="15"/>
      <c r="AT20" s="15"/>
      <c r="AU20" s="15"/>
      <c r="AV20" s="15"/>
      <c r="AW20" s="13"/>
      <c r="AX20" s="15"/>
      <c r="AY20" s="15"/>
      <c r="AZ20" s="28"/>
      <c r="BA20" s="15"/>
      <c r="BB20" s="15"/>
      <c r="BC20" s="15"/>
      <c r="BD20" s="15"/>
      <c r="BE20" s="14"/>
      <c r="BF20" s="41">
        <v>500</v>
      </c>
      <c r="BG20" s="34">
        <v>350</v>
      </c>
      <c r="BH20" s="35">
        <v>0</v>
      </c>
    </row>
    <row r="21" ht="15.75" customHeight="1" spans="1:60" x14ac:dyDescent="0.25">
      <c r="A21" s="50">
        <v>32</v>
      </c>
      <c r="B21" s="21"/>
      <c r="C21" s="22" t="s">
        <v>53</v>
      </c>
      <c r="D21" s="21"/>
      <c r="E21" s="22"/>
      <c r="F21" s="20"/>
      <c r="G21" s="23"/>
      <c r="H21" s="51">
        <v>979.224800000001</v>
      </c>
      <c r="I21" s="52"/>
      <c r="J21" s="53"/>
      <c r="K21" s="51">
        <v>0</v>
      </c>
      <c r="L21" s="68">
        <v>0</v>
      </c>
      <c r="M21" s="53"/>
      <c r="N21" s="53"/>
      <c r="O21" s="51">
        <v>0</v>
      </c>
      <c r="P21" s="51">
        <v>0</v>
      </c>
      <c r="Q21" s="52"/>
      <c r="R21" s="53"/>
      <c r="S21" s="51">
        <v>0</v>
      </c>
      <c r="T21" s="68">
        <v>0</v>
      </c>
      <c r="U21" s="53"/>
      <c r="V21" s="53"/>
      <c r="W21" s="51">
        <v>7.47</v>
      </c>
      <c r="X21" s="51">
        <v>0</v>
      </c>
      <c r="Y21" s="52"/>
      <c r="Z21" s="53"/>
      <c r="AA21" s="51">
        <v>2562.17</v>
      </c>
      <c r="AB21" s="68">
        <v>1538</v>
      </c>
      <c r="AC21" s="53"/>
      <c r="AD21" s="53"/>
      <c r="AE21" s="51">
        <v>5887</v>
      </c>
      <c r="AF21" s="51">
        <v>0</v>
      </c>
      <c r="AG21" s="52"/>
      <c r="AH21" s="53"/>
      <c r="AI21" s="51">
        <v>157.5</v>
      </c>
      <c r="AJ21" s="68">
        <v>2145.86</v>
      </c>
      <c r="AK21" s="52"/>
      <c r="AL21" s="53"/>
      <c r="AM21" s="51">
        <v>0</v>
      </c>
      <c r="AN21" s="68">
        <v>0</v>
      </c>
      <c r="AO21" s="52"/>
      <c r="AP21" s="53"/>
      <c r="AQ21" s="51">
        <v>0</v>
      </c>
      <c r="AR21" s="68">
        <v>0</v>
      </c>
      <c r="AS21" s="53"/>
      <c r="AT21" s="53"/>
      <c r="AU21" s="51">
        <v>0</v>
      </c>
      <c r="AV21" s="51">
        <v>0</v>
      </c>
      <c r="AW21" s="52"/>
      <c r="AX21" s="53"/>
      <c r="AY21" s="51">
        <v>0</v>
      </c>
      <c r="AZ21" s="68">
        <v>0</v>
      </c>
      <c r="BA21" s="53"/>
      <c r="BB21" s="53"/>
      <c r="BC21" s="51">
        <v>0</v>
      </c>
      <c r="BD21" s="51">
        <v>0</v>
      </c>
      <c r="BE21" s="69"/>
      <c r="BF21" s="70">
        <v>8614.14</v>
      </c>
      <c r="BG21" s="71">
        <v>3683.86</v>
      </c>
      <c r="BH21" s="72">
        <v>5909.5048</v>
      </c>
    </row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3">
    <mergeCell ref="I2:L2"/>
    <mergeCell ref="M2:P2"/>
    <mergeCell ref="Q2:T2"/>
    <mergeCell ref="U2:X2"/>
    <mergeCell ref="Y2:AB2"/>
    <mergeCell ref="AC2:AF2"/>
    <mergeCell ref="AG2:AJ2"/>
    <mergeCell ref="AK2:AN2"/>
    <mergeCell ref="AO2:AR2"/>
    <mergeCell ref="AS2:AV2"/>
    <mergeCell ref="AW2:AZ2"/>
    <mergeCell ref="BA2:BD2"/>
    <mergeCell ref="BE2:BH2"/>
  </mergeCells>
  <pageMargins left="0" right="0" top="0.196527777777778" bottom="0" header="0" footer="0"/>
  <pageSetup paperSize="9" orientation="landscape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</sheetPr>
  <dimension ref="A1:BK1053"/>
  <sheetViews>
    <sheetView workbookViewId="0" zoomScale="100" zoomScaleNormal="100">
      <pane xSplit="8" ySplit="6" topLeftCell="I7" activePane="bottomRight" state="frozen"/>
      <selection pane="bottomRight" activeCell="I7" sqref="I7"/>
    </sheetView>
  </sheetViews>
  <sheetFormatPr defaultRowHeight="15" outlineLevelRow="0" outlineLevelCol="2" x14ac:dyDescent="0" defaultColWidth="14.43"/>
  <cols>
    <col min="1" max="2" width="7.14" customWidth="1"/>
    <col min="3" max="3" width="18" customWidth="1"/>
    <col min="4" max="4" width="11" customWidth="1"/>
    <col min="5" max="7" width="8.43" customWidth="1"/>
    <col min="8" max="8" width="10.43" customWidth="1"/>
    <col min="9" max="10" width="7.86" outlineLevel="1" customWidth="1"/>
    <col min="11" max="12" width="9.14" customWidth="1"/>
    <col min="13" max="14" width="7.86" outlineLevel="1" customWidth="1"/>
    <col min="15" max="15" width="10" customWidth="1"/>
    <col min="16" max="16" width="9.14" customWidth="1"/>
    <col min="17" max="18" width="7.86" outlineLevel="1" customWidth="1"/>
    <col min="19" max="20" width="9.14" customWidth="1"/>
    <col min="21" max="22" width="7.86" outlineLevel="1" customWidth="1"/>
    <col min="23" max="24" width="9.14" customWidth="1"/>
    <col min="25" max="26" width="7.86" outlineLevel="2" collapsed="1" customWidth="1"/>
    <col min="27" max="27" width="10.86" customWidth="1"/>
    <col min="28" max="28" width="9.14" customWidth="1"/>
    <col min="29" max="30" width="7.86" outlineLevel="1" customWidth="1"/>
    <col min="31" max="32" width="10.14" customWidth="1"/>
    <col min="33" max="34" width="7.86" outlineLevel="1" customWidth="1"/>
    <col min="35" max="35" width="8.86" customWidth="1"/>
    <col min="36" max="36" width="9.57" customWidth="1"/>
    <col min="37" max="38" width="7.86" outlineLevel="2" collapsed="1" customWidth="1"/>
    <col min="39" max="39" width="10.86" customWidth="1"/>
    <col min="40" max="40" width="9.86" customWidth="1"/>
    <col min="41" max="42" width="7.86" outlineLevel="1" customWidth="1"/>
    <col min="43" max="44" width="10.86" customWidth="1"/>
    <col min="45" max="46" width="10.86" outlineLevel="1" customWidth="1"/>
    <col min="47" max="48" width="10.86" customWidth="1"/>
    <col min="49" max="50" width="10.86" outlineLevel="2" collapsed="1" customWidth="1"/>
    <col min="51" max="52" width="10.86" outlineLevel="1" customWidth="1"/>
    <col min="53" max="54" width="10.86" outlineLevel="2" collapsed="1" customWidth="1"/>
    <col min="55" max="56" width="10.86" outlineLevel="1" customWidth="1"/>
    <col min="57" max="58" width="10.86" customWidth="1"/>
    <col min="59" max="59" width="9.86" customWidth="1"/>
    <col min="60" max="60" width="9.57" customWidth="1"/>
    <col min="61" max="61" width="9.43" outlineLevel="1" customWidth="1"/>
    <col min="62" max="62" width="8.14" outlineLevel="1" customWidth="1"/>
    <col min="63" max="63" width="8.86" outlineLevel="1" customWidth="1"/>
  </cols>
  <sheetData>
    <row r="1" spans="2:29" x14ac:dyDescent="0.25">
      <c r="B1" s="1" t="s">
        <v>0</v>
      </c>
      <c r="F1" s="2" t="s">
        <v>483</v>
      </c>
      <c r="AC1" s="154" t="s">
        <v>484</v>
      </c>
    </row>
    <row r="2" spans="2:29" x14ac:dyDescent="0.25">
      <c r="B2" s="1"/>
      <c r="AC2" s="2" t="s">
        <v>485</v>
      </c>
    </row>
    <row r="3" spans="1:63" x14ac:dyDescent="0.25">
      <c r="A3" s="3" t="s">
        <v>2</v>
      </c>
      <c r="B3" s="4" t="s">
        <v>3</v>
      </c>
      <c r="C3" s="5" t="s">
        <v>4</v>
      </c>
      <c r="D3" s="4" t="s">
        <v>5</v>
      </c>
      <c r="E3" s="5" t="s">
        <v>6</v>
      </c>
      <c r="F3" s="6" t="s">
        <v>7</v>
      </c>
      <c r="G3" s="7"/>
      <c r="H3" s="128" t="s">
        <v>8</v>
      </c>
      <c r="I3" s="8" t="s">
        <v>9</v>
      </c>
      <c r="J3" s="9"/>
      <c r="K3" s="9"/>
      <c r="L3" s="7"/>
      <c r="M3" s="10" t="s">
        <v>10</v>
      </c>
      <c r="N3" s="9"/>
      <c r="O3" s="9"/>
      <c r="P3" s="9"/>
      <c r="Q3" s="8" t="s">
        <v>11</v>
      </c>
      <c r="R3" s="9"/>
      <c r="S3" s="9"/>
      <c r="T3" s="7"/>
      <c r="U3" s="10" t="s">
        <v>12</v>
      </c>
      <c r="V3" s="9"/>
      <c r="W3" s="9"/>
      <c r="X3" s="9"/>
      <c r="Y3" s="129" t="s">
        <v>13</v>
      </c>
      <c r="Z3" s="9"/>
      <c r="AA3" s="9"/>
      <c r="AB3" s="7"/>
      <c r="AC3" s="130" t="s">
        <v>14</v>
      </c>
      <c r="AD3" s="9"/>
      <c r="AE3" s="9"/>
      <c r="AF3" s="9"/>
      <c r="AG3" s="8" t="s">
        <v>15</v>
      </c>
      <c r="AH3" s="9"/>
      <c r="AI3" s="9"/>
      <c r="AJ3" s="7"/>
      <c r="AK3" s="8" t="s">
        <v>16</v>
      </c>
      <c r="AL3" s="9"/>
      <c r="AM3" s="9"/>
      <c r="AN3" s="7"/>
      <c r="AO3" s="173" t="s">
        <v>17</v>
      </c>
      <c r="AP3" s="9"/>
      <c r="AQ3" s="9"/>
      <c r="AR3" s="7"/>
      <c r="AS3" s="10" t="s">
        <v>18</v>
      </c>
      <c r="AT3" s="9"/>
      <c r="AU3" s="9"/>
      <c r="AV3" s="9"/>
      <c r="AW3" s="8" t="s">
        <v>19</v>
      </c>
      <c r="AX3" s="9"/>
      <c r="AY3" s="9"/>
      <c r="AZ3" s="7"/>
      <c r="BA3" s="10" t="s">
        <v>20</v>
      </c>
      <c r="BB3" s="9"/>
      <c r="BC3" s="9"/>
      <c r="BD3" s="9"/>
      <c r="BE3" s="8" t="s">
        <v>21</v>
      </c>
      <c r="BF3" s="9"/>
      <c r="BG3" s="9"/>
      <c r="BH3" s="7"/>
      <c r="BI3" s="11" t="s">
        <v>22</v>
      </c>
      <c r="BJ3" s="157"/>
      <c r="BK3" s="12"/>
    </row>
    <row r="4" spans="1:63" x14ac:dyDescent="0.25">
      <c r="A4" s="13" t="s">
        <v>23</v>
      </c>
      <c r="B4" s="14" t="s">
        <v>24</v>
      </c>
      <c r="C4" s="15" t="s">
        <v>25</v>
      </c>
      <c r="D4" s="14" t="s">
        <v>26</v>
      </c>
      <c r="E4" s="15"/>
      <c r="F4" s="14" t="s">
        <v>27</v>
      </c>
      <c r="G4" s="14" t="s">
        <v>377</v>
      </c>
      <c r="H4" s="81" t="s">
        <v>29</v>
      </c>
      <c r="I4" s="4" t="s">
        <v>30</v>
      </c>
      <c r="J4" s="4" t="s">
        <v>3</v>
      </c>
      <c r="K4" s="4" t="s">
        <v>31</v>
      </c>
      <c r="L4" s="4" t="s">
        <v>32</v>
      </c>
      <c r="M4" s="5" t="s">
        <v>30</v>
      </c>
      <c r="N4" s="4" t="s">
        <v>3</v>
      </c>
      <c r="O4" s="16" t="s">
        <v>31</v>
      </c>
      <c r="P4" s="3" t="s">
        <v>32</v>
      </c>
      <c r="Q4" s="4" t="s">
        <v>30</v>
      </c>
      <c r="R4" s="4" t="s">
        <v>3</v>
      </c>
      <c r="S4" s="4" t="s">
        <v>31</v>
      </c>
      <c r="T4" s="4" t="s">
        <v>32</v>
      </c>
      <c r="U4" s="16" t="s">
        <v>30</v>
      </c>
      <c r="V4" s="4" t="s">
        <v>3</v>
      </c>
      <c r="W4" s="4" t="s">
        <v>31</v>
      </c>
      <c r="X4" s="3" t="s">
        <v>32</v>
      </c>
      <c r="Y4" s="4" t="s">
        <v>30</v>
      </c>
      <c r="Z4" s="4" t="s">
        <v>3</v>
      </c>
      <c r="AA4" s="4" t="s">
        <v>31</v>
      </c>
      <c r="AB4" s="4" t="s">
        <v>32</v>
      </c>
      <c r="AC4" s="16" t="s">
        <v>30</v>
      </c>
      <c r="AD4" s="4" t="s">
        <v>3</v>
      </c>
      <c r="AE4" s="4" t="s">
        <v>31</v>
      </c>
      <c r="AF4" s="3" t="s">
        <v>32</v>
      </c>
      <c r="AG4" s="4" t="s">
        <v>30</v>
      </c>
      <c r="AH4" s="4" t="s">
        <v>3</v>
      </c>
      <c r="AI4" s="4" t="s">
        <v>31</v>
      </c>
      <c r="AJ4" s="4" t="s">
        <v>32</v>
      </c>
      <c r="AK4" s="4" t="s">
        <v>30</v>
      </c>
      <c r="AL4" s="4" t="s">
        <v>3</v>
      </c>
      <c r="AM4" s="4" t="s">
        <v>31</v>
      </c>
      <c r="AN4" s="4" t="s">
        <v>32</v>
      </c>
      <c r="AO4" s="4" t="s">
        <v>30</v>
      </c>
      <c r="AP4" s="4" t="s">
        <v>3</v>
      </c>
      <c r="AQ4" s="4" t="s">
        <v>31</v>
      </c>
      <c r="AR4" s="4" t="s">
        <v>32</v>
      </c>
      <c r="AS4" s="16" t="s">
        <v>30</v>
      </c>
      <c r="AT4" s="4" t="s">
        <v>3</v>
      </c>
      <c r="AU4" s="4" t="s">
        <v>31</v>
      </c>
      <c r="AV4" s="3" t="s">
        <v>32</v>
      </c>
      <c r="AW4" s="4" t="s">
        <v>30</v>
      </c>
      <c r="AX4" s="4" t="s">
        <v>3</v>
      </c>
      <c r="AY4" s="4" t="s">
        <v>31</v>
      </c>
      <c r="AZ4" s="4" t="s">
        <v>32</v>
      </c>
      <c r="BA4" s="16" t="s">
        <v>30</v>
      </c>
      <c r="BB4" s="4" t="s">
        <v>3</v>
      </c>
      <c r="BC4" s="4" t="s">
        <v>31</v>
      </c>
      <c r="BD4" s="3" t="s">
        <v>32</v>
      </c>
      <c r="BE4" s="4" t="s">
        <v>3</v>
      </c>
      <c r="BF4" s="17" t="s">
        <v>33</v>
      </c>
      <c r="BG4" s="17" t="s">
        <v>34</v>
      </c>
      <c r="BH4" s="17" t="s">
        <v>35</v>
      </c>
      <c r="BI4" s="18"/>
      <c r="BJ4"/>
      <c r="BK4" s="19"/>
    </row>
    <row r="5" spans="1:63" x14ac:dyDescent="0.25">
      <c r="A5" s="20"/>
      <c r="B5" s="21" t="s">
        <v>36</v>
      </c>
      <c r="C5" s="22"/>
      <c r="D5" s="21"/>
      <c r="E5" s="22"/>
      <c r="F5" s="21" t="s">
        <v>378</v>
      </c>
      <c r="G5" s="21" t="s">
        <v>378</v>
      </c>
      <c r="H5" s="131" t="s">
        <v>38</v>
      </c>
      <c r="I5" s="21"/>
      <c r="J5" s="21"/>
      <c r="K5" s="21" t="s">
        <v>39</v>
      </c>
      <c r="L5" s="21"/>
      <c r="M5" s="22"/>
      <c r="N5" s="21"/>
      <c r="O5" s="23" t="s">
        <v>39</v>
      </c>
      <c r="P5" s="20"/>
      <c r="Q5" s="21"/>
      <c r="R5" s="21"/>
      <c r="S5" s="21" t="s">
        <v>39</v>
      </c>
      <c r="T5" s="21"/>
      <c r="U5" s="23"/>
      <c r="V5" s="21"/>
      <c r="W5" s="21" t="s">
        <v>39</v>
      </c>
      <c r="X5" s="20"/>
      <c r="Y5" s="21"/>
      <c r="Z5" s="21"/>
      <c r="AA5" s="21" t="s">
        <v>39</v>
      </c>
      <c r="AB5" s="21"/>
      <c r="AC5" s="23"/>
      <c r="AD5" s="21"/>
      <c r="AE5" s="21" t="s">
        <v>39</v>
      </c>
      <c r="AF5" s="20"/>
      <c r="AG5" s="21"/>
      <c r="AH5" s="21"/>
      <c r="AI5" s="21" t="s">
        <v>39</v>
      </c>
      <c r="AJ5" s="21"/>
      <c r="AK5" s="21"/>
      <c r="AL5" s="21"/>
      <c r="AM5" s="21" t="s">
        <v>39</v>
      </c>
      <c r="AN5" s="21"/>
      <c r="AO5" s="21"/>
      <c r="AP5" s="21"/>
      <c r="AQ5" s="21" t="s">
        <v>39</v>
      </c>
      <c r="AR5" s="21"/>
      <c r="AS5" s="23"/>
      <c r="AT5" s="21"/>
      <c r="AU5" s="21" t="s">
        <v>39</v>
      </c>
      <c r="AV5" s="20"/>
      <c r="AW5" s="21"/>
      <c r="AX5" s="21"/>
      <c r="AY5" s="21" t="s">
        <v>39</v>
      </c>
      <c r="AZ5" s="21"/>
      <c r="BA5" s="23"/>
      <c r="BB5" s="21"/>
      <c r="BC5" s="21" t="s">
        <v>39</v>
      </c>
      <c r="BD5" s="20"/>
      <c r="BE5" s="21"/>
      <c r="BF5" s="21"/>
      <c r="BG5" s="21"/>
      <c r="BH5" s="24" t="s">
        <v>40</v>
      </c>
      <c r="BI5" s="25"/>
      <c r="BJ5" s="174"/>
      <c r="BK5" s="26"/>
    </row>
    <row r="6" spans="1:60" x14ac:dyDescent="0.25">
      <c r="A6" s="1" t="s">
        <v>41</v>
      </c>
      <c r="B6" s="27"/>
      <c r="C6" s="15"/>
      <c r="D6" s="14"/>
      <c r="E6" s="15"/>
      <c r="F6" s="13"/>
      <c r="G6" s="28"/>
      <c r="H6" s="15"/>
      <c r="I6" s="13"/>
      <c r="J6" s="15"/>
      <c r="K6" s="15"/>
      <c r="L6" s="28"/>
      <c r="M6" s="15"/>
      <c r="N6" s="15"/>
      <c r="O6" s="15"/>
      <c r="P6" s="15"/>
      <c r="Q6" s="13"/>
      <c r="R6" s="15"/>
      <c r="S6" s="15"/>
      <c r="T6" s="28"/>
      <c r="U6" s="15"/>
      <c r="V6" s="15"/>
      <c r="W6" s="15"/>
      <c r="X6" s="15"/>
      <c r="Y6" s="13"/>
      <c r="Z6" s="15"/>
      <c r="AA6" s="15"/>
      <c r="AB6" s="28"/>
      <c r="AC6" s="15"/>
      <c r="AD6" s="15"/>
      <c r="AE6" s="15"/>
      <c r="AF6" s="15"/>
      <c r="AG6" s="13"/>
      <c r="AH6" s="15"/>
      <c r="AI6" s="15"/>
      <c r="AJ6" s="15"/>
      <c r="AK6" s="3"/>
      <c r="AL6" s="15"/>
      <c r="AM6" s="3"/>
      <c r="AN6" s="28"/>
      <c r="AO6" s="13"/>
      <c r="AP6" s="15"/>
      <c r="AQ6" s="15"/>
      <c r="AR6" s="15"/>
      <c r="AS6" s="3"/>
      <c r="AT6" s="15"/>
      <c r="AU6" s="15"/>
      <c r="AV6" s="15"/>
      <c r="AW6" s="13"/>
      <c r="AX6" s="15"/>
      <c r="AY6" s="15"/>
      <c r="AZ6" s="28"/>
      <c r="BA6" s="15"/>
      <c r="BB6" s="15"/>
      <c r="BC6" s="15"/>
      <c r="BD6" s="15"/>
      <c r="BE6" s="14"/>
      <c r="BF6" s="13"/>
      <c r="BG6" s="15"/>
      <c r="BH6" s="28"/>
    </row>
    <row r="7" ht="14.25" customHeight="1" hidden="1" spans="1:63" x14ac:dyDescent="0.25">
      <c r="A7" s="175">
        <v>1</v>
      </c>
      <c r="B7" s="27"/>
      <c r="C7" s="15"/>
      <c r="D7" s="14" t="s">
        <v>379</v>
      </c>
      <c r="E7" s="15"/>
      <c r="F7" s="13"/>
      <c r="G7" s="28"/>
      <c r="H7" s="34">
        <f>'2019'!BH7</f>
        <v>0</v>
      </c>
      <c r="I7" s="15"/>
      <c r="J7" s="15"/>
      <c r="K7" s="15"/>
      <c r="L7" s="28"/>
      <c r="M7" s="15"/>
      <c r="N7" s="15"/>
      <c r="O7" s="15"/>
      <c r="P7" s="15"/>
      <c r="Q7" s="13"/>
      <c r="R7" s="15"/>
      <c r="S7" s="15"/>
      <c r="T7" s="28"/>
      <c r="U7" s="15"/>
      <c r="V7" s="15"/>
      <c r="W7" s="15"/>
      <c r="X7" s="15"/>
      <c r="Y7" s="13"/>
      <c r="Z7" s="15"/>
      <c r="AA7" s="15"/>
      <c r="AB7" s="28"/>
      <c r="AC7" s="15"/>
      <c r="AD7" s="15"/>
      <c r="AE7" s="15"/>
      <c r="AF7" s="15"/>
      <c r="AG7" s="13"/>
      <c r="AH7" s="15"/>
      <c r="AI7" s="15"/>
      <c r="AJ7" s="15"/>
      <c r="AK7" s="13"/>
      <c r="AL7" s="15"/>
      <c r="AM7" s="15"/>
      <c r="AN7" s="15"/>
      <c r="AO7" s="13"/>
      <c r="AP7" s="15"/>
      <c r="AQ7" s="15"/>
      <c r="AR7" s="15"/>
      <c r="AS7" s="13"/>
      <c r="AT7" s="15"/>
      <c r="AU7" s="15"/>
      <c r="AV7" s="15"/>
      <c r="AW7" s="13"/>
      <c r="AZ7" s="28"/>
      <c r="BA7" s="13"/>
      <c r="BB7" s="15"/>
      <c r="BC7" s="15"/>
      <c r="BD7" s="15"/>
      <c r="BE7" s="14"/>
      <c r="BF7" s="41">
        <f t="shared" ref="BF7:BG7" si="0">K7+O7+S7+W7+AA7+AE7+AI7+AM7+AQ7+AU7+AY7+BC7</f>
        <v>0</v>
      </c>
      <c r="BG7" s="34">
        <f t="shared" si="0"/>
        <v>0</v>
      </c>
      <c r="BH7" s="35">
        <f t="shared" ref="BH7:BH15" si="1">H7+BF7-BG7</f>
        <v>0</v>
      </c>
      <c r="BK7" s="2" t="b">
        <f>H7='2019'!BH7</f>
        <v>1</v>
      </c>
    </row>
    <row r="8" ht="14.25" customHeight="1" hidden="1" spans="1:63" x14ac:dyDescent="0.25">
      <c r="A8" s="176">
        <v>1</v>
      </c>
      <c r="B8" s="30">
        <v>4</v>
      </c>
      <c r="C8" s="2" t="s">
        <v>43</v>
      </c>
      <c r="D8" s="14" t="s">
        <v>44</v>
      </c>
      <c r="E8" s="2" t="s">
        <v>45</v>
      </c>
      <c r="F8" s="46">
        <v>2.5</v>
      </c>
      <c r="G8" s="38">
        <v>2.6</v>
      </c>
      <c r="H8" s="34">
        <f>'2019'!BH8</f>
        <v>2091.01</v>
      </c>
      <c r="I8" s="15">
        <v>5040</v>
      </c>
      <c r="J8" s="15">
        <f>I8-'2019'!BA8</f>
        <v>358</v>
      </c>
      <c r="K8" s="34">
        <f t="shared" ref="K8:K9" si="2">J8*$F$8</f>
        <v>895</v>
      </c>
      <c r="L8" s="28"/>
      <c r="M8" s="15">
        <v>5070</v>
      </c>
      <c r="N8" s="15">
        <f>M8-I8</f>
        <v>30</v>
      </c>
      <c r="O8" s="34">
        <f t="shared" ref="O8:O9" si="3">N8*$F$8</f>
        <v>75</v>
      </c>
      <c r="P8" s="39">
        <v>1500</v>
      </c>
      <c r="Q8" s="13">
        <v>5107</v>
      </c>
      <c r="R8" s="15">
        <f>Q8-M8</f>
        <v>37</v>
      </c>
      <c r="S8" s="34">
        <f t="shared" ref="S8:S9" si="4">R8*$F$8</f>
        <v>92.5</v>
      </c>
      <c r="T8" s="35"/>
      <c r="U8" s="15">
        <v>5135</v>
      </c>
      <c r="V8" s="15">
        <f>U8-Q8</f>
        <v>28</v>
      </c>
      <c r="W8" s="34">
        <f t="shared" ref="W8:W9" si="5">V8*$F$8</f>
        <v>70</v>
      </c>
      <c r="X8" s="34">
        <v>177.5</v>
      </c>
      <c r="Y8" s="13">
        <v>5166</v>
      </c>
      <c r="Z8" s="15">
        <f>Y8-U8</f>
        <v>31</v>
      </c>
      <c r="AA8" s="34">
        <f t="shared" ref="AA8:AA9" si="6">Z8*$F$8</f>
        <v>77.5</v>
      </c>
      <c r="AB8" s="35"/>
      <c r="AC8" s="13">
        <v>5207</v>
      </c>
      <c r="AD8" s="15">
        <f>AC8-Y8</f>
        <v>41</v>
      </c>
      <c r="AE8" s="45">
        <f t="shared" ref="AE8:AE9" si="7">AD8*$G$8</f>
        <v>106.6</v>
      </c>
      <c r="AF8" s="133">
        <v>650</v>
      </c>
      <c r="AG8" s="13">
        <v>5242</v>
      </c>
      <c r="AH8" s="15">
        <f>AG8-AC8</f>
        <v>35</v>
      </c>
      <c r="AI8" s="45">
        <f t="shared" ref="AI8:AI9" si="8">AH8*$G$8</f>
        <v>91</v>
      </c>
      <c r="AJ8" s="39"/>
      <c r="AK8" s="13">
        <v>5295</v>
      </c>
      <c r="AL8" s="15">
        <f>AK8-AG8</f>
        <v>53</v>
      </c>
      <c r="AM8" s="45">
        <f t="shared" ref="AM8:AM9" si="9">AL8*$G$8</f>
        <v>137.8</v>
      </c>
      <c r="AN8" s="34"/>
      <c r="AO8" s="13">
        <v>5365</v>
      </c>
      <c r="AP8" s="15">
        <f>AO8-AK8</f>
        <v>70</v>
      </c>
      <c r="AQ8" s="45">
        <f t="shared" ref="AQ8:AQ9" si="10">AP8*$G$8</f>
        <v>182</v>
      </c>
      <c r="AR8" s="34"/>
      <c r="AS8" s="13">
        <v>5442</v>
      </c>
      <c r="AT8" s="15">
        <f>AS8-AO8</f>
        <v>77</v>
      </c>
      <c r="AU8" s="45">
        <f t="shared" ref="AU8:AU9" si="11">AT8*$G$8</f>
        <v>200.2</v>
      </c>
      <c r="AV8" s="34"/>
      <c r="AW8" s="13">
        <v>5508</v>
      </c>
      <c r="AX8" s="2">
        <f>AW8-AS8</f>
        <v>66</v>
      </c>
      <c r="AY8" s="45">
        <f t="shared" ref="AY8:AY9" si="12">AX8*$G$8</f>
        <v>171.6</v>
      </c>
      <c r="AZ8" s="35"/>
      <c r="BA8" s="13">
        <v>5552</v>
      </c>
      <c r="BB8" s="15">
        <f>BA8-AW8</f>
        <v>44</v>
      </c>
      <c r="BC8" s="45">
        <f t="shared" ref="BC8:BC9" si="13">BB8*$G$8</f>
        <v>114.4</v>
      </c>
      <c r="BD8" s="34"/>
      <c r="BE8" s="40">
        <f t="shared" ref="BE8:BG8" si="14">J8+N8+R8+V8+Z8+AD8+AH8+AL8+AP8+AT8+AX8+BB8</f>
        <v>870</v>
      </c>
      <c r="BF8" s="41">
        <f t="shared" si="14"/>
        <v>2213.6</v>
      </c>
      <c r="BG8" s="34">
        <f t="shared" si="14"/>
        <v>2327.5</v>
      </c>
      <c r="BH8" s="35">
        <f t="shared" si="1"/>
        <v>1977.11</v>
      </c>
      <c r="BK8" s="2" t="b">
        <f>H8='2019'!BH8</f>
        <v>1</v>
      </c>
    </row>
    <row r="9" ht="14.25" customHeight="1" hidden="1" spans="1:63" x14ac:dyDescent="0.25">
      <c r="A9" s="176">
        <v>1</v>
      </c>
      <c r="B9" s="42"/>
      <c r="D9" s="43" t="s">
        <v>46</v>
      </c>
      <c r="E9" s="2" t="s">
        <v>45</v>
      </c>
      <c r="F9" s="46">
        <v>2.5</v>
      </c>
      <c r="G9" s="38">
        <v>2.6</v>
      </c>
      <c r="H9" s="34">
        <f>'2019'!BH9</f>
        <v>-78.39</v>
      </c>
      <c r="I9" s="15"/>
      <c r="J9" s="81"/>
      <c r="K9" s="34">
        <f t="shared" si="2"/>
        <v>0</v>
      </c>
      <c r="L9" s="28"/>
      <c r="M9" s="15"/>
      <c r="N9" s="15"/>
      <c r="O9" s="34">
        <f t="shared" si="3"/>
        <v>0</v>
      </c>
      <c r="P9" s="15"/>
      <c r="Q9" s="13"/>
      <c r="R9" s="15"/>
      <c r="S9" s="34">
        <f t="shared" si="4"/>
        <v>0</v>
      </c>
      <c r="T9" s="28"/>
      <c r="U9" s="15"/>
      <c r="V9" s="15"/>
      <c r="W9" s="34">
        <f t="shared" si="5"/>
        <v>0</v>
      </c>
      <c r="X9" s="34">
        <v>177.5</v>
      </c>
      <c r="Y9" s="13"/>
      <c r="Z9" s="15"/>
      <c r="AA9" s="34">
        <f t="shared" si="6"/>
        <v>0</v>
      </c>
      <c r="AB9" s="35"/>
      <c r="AC9" s="15"/>
      <c r="AD9" s="15"/>
      <c r="AE9" s="45">
        <f t="shared" si="7"/>
        <v>0</v>
      </c>
      <c r="AF9" s="34"/>
      <c r="AG9" s="13"/>
      <c r="AH9" s="15"/>
      <c r="AI9" s="45">
        <f t="shared" si="8"/>
        <v>0</v>
      </c>
      <c r="AJ9" s="39"/>
      <c r="AK9" s="13"/>
      <c r="AL9" s="15"/>
      <c r="AM9" s="45">
        <f t="shared" si="9"/>
        <v>0</v>
      </c>
      <c r="AN9" s="34"/>
      <c r="AO9" s="13"/>
      <c r="AP9" s="15"/>
      <c r="AQ9" s="45">
        <f t="shared" si="10"/>
        <v>0</v>
      </c>
      <c r="AR9" s="34"/>
      <c r="AS9" s="13"/>
      <c r="AT9" s="15"/>
      <c r="AU9" s="45">
        <f t="shared" si="11"/>
        <v>0</v>
      </c>
      <c r="AV9" s="34"/>
      <c r="AW9" s="13"/>
      <c r="AY9" s="45">
        <f t="shared" si="12"/>
        <v>0</v>
      </c>
      <c r="AZ9" s="35"/>
      <c r="BA9" s="13"/>
      <c r="BB9" s="15"/>
      <c r="BC9" s="45">
        <f t="shared" si="13"/>
        <v>0</v>
      </c>
      <c r="BD9" s="34"/>
      <c r="BE9" s="44">
        <f t="shared" ref="BE9:BG9" si="15">J9+N9+R9+V9+Z9+AD9+AH9+AL9+AP9+AT9+AX9+BB9</f>
        <v>0</v>
      </c>
      <c r="BF9" s="41">
        <f t="shared" si="15"/>
        <v>0</v>
      </c>
      <c r="BG9" s="34">
        <f t="shared" si="15"/>
        <v>177.5</v>
      </c>
      <c r="BH9" s="35">
        <f t="shared" si="1"/>
        <v>-255.89</v>
      </c>
      <c r="BK9" s="2" t="b">
        <f>H9='2019'!BH9</f>
        <v>1</v>
      </c>
    </row>
    <row r="10" ht="14.25" customHeight="1" hidden="1" spans="1:63" x14ac:dyDescent="0.25">
      <c r="A10" s="176">
        <v>1</v>
      </c>
      <c r="B10" s="14"/>
      <c r="D10" s="14" t="s">
        <v>47</v>
      </c>
      <c r="E10" s="2" t="s">
        <v>48</v>
      </c>
      <c r="F10" s="31">
        <v>18.56</v>
      </c>
      <c r="G10" s="32">
        <v>19.46</v>
      </c>
      <c r="H10" s="34">
        <f>'2019'!BH10</f>
        <v>0</v>
      </c>
      <c r="I10" s="15"/>
      <c r="J10" s="15"/>
      <c r="K10" s="34"/>
      <c r="L10" s="28"/>
      <c r="M10" s="15"/>
      <c r="N10" s="15"/>
      <c r="O10" s="34"/>
      <c r="P10" s="15"/>
      <c r="Q10" s="13"/>
      <c r="R10" s="15"/>
      <c r="S10" s="34"/>
      <c r="T10" s="28"/>
      <c r="U10" s="15"/>
      <c r="V10" s="15"/>
      <c r="W10" s="34"/>
      <c r="X10" s="15"/>
      <c r="Y10" s="13"/>
      <c r="Z10" s="15"/>
      <c r="AA10" s="34">
        <f>Z10*$F$10</f>
        <v>0</v>
      </c>
      <c r="AB10" s="28"/>
      <c r="AC10" s="15"/>
      <c r="AD10" s="15"/>
      <c r="AE10" s="34">
        <f>AD10*$F$10</f>
        <v>0</v>
      </c>
      <c r="AF10" s="15"/>
      <c r="AG10" s="13"/>
      <c r="AH10" s="15"/>
      <c r="AI10" s="45">
        <f>AH10*$G$10</f>
        <v>0</v>
      </c>
      <c r="AJ10" s="15"/>
      <c r="AK10" s="13"/>
      <c r="AL10" s="15"/>
      <c r="AM10" s="45">
        <f>AL10*$G$10</f>
        <v>0</v>
      </c>
      <c r="AN10" s="15"/>
      <c r="AO10" s="13"/>
      <c r="AP10" s="15"/>
      <c r="AQ10" s="45">
        <f>AP10*$G$10</f>
        <v>0</v>
      </c>
      <c r="AR10" s="15"/>
      <c r="AS10" s="13"/>
      <c r="AT10" s="15"/>
      <c r="AU10" s="45">
        <f>AT10*$G$10</f>
        <v>0</v>
      </c>
      <c r="AV10" s="15"/>
      <c r="AW10" s="13"/>
      <c r="AY10" s="34"/>
      <c r="AZ10" s="28"/>
      <c r="BA10" s="13"/>
      <c r="BB10" s="15"/>
      <c r="BC10" s="34"/>
      <c r="BD10" s="15"/>
      <c r="BE10" s="40">
        <f t="shared" ref="BE10:BG10" si="16">J10+N10+R10+V10+Z10+AD10+AH10+AL10+AP10+AT10+AX10+BB10</f>
        <v>0</v>
      </c>
      <c r="BF10" s="41">
        <f t="shared" si="16"/>
        <v>0</v>
      </c>
      <c r="BG10" s="34">
        <f t="shared" si="16"/>
        <v>0</v>
      </c>
      <c r="BH10" s="35">
        <f t="shared" si="1"/>
        <v>0</v>
      </c>
      <c r="BK10" s="2" t="b">
        <f>H10='2019'!BH10</f>
        <v>1</v>
      </c>
    </row>
    <row r="11" ht="14.25" customHeight="1" hidden="1" spans="1:63" x14ac:dyDescent="0.25">
      <c r="A11" s="176">
        <v>1</v>
      </c>
      <c r="B11" s="14"/>
      <c r="D11" s="14" t="s">
        <v>47</v>
      </c>
      <c r="E11" s="2" t="s">
        <v>49</v>
      </c>
      <c r="F11" s="46">
        <v>500</v>
      </c>
      <c r="G11" s="38"/>
      <c r="H11" s="34">
        <f>'2019'!BH11</f>
        <v>0</v>
      </c>
      <c r="I11" s="15"/>
      <c r="J11" s="15"/>
      <c r="K11" s="34"/>
      <c r="L11" s="28"/>
      <c r="M11" s="15"/>
      <c r="N11" s="15"/>
      <c r="O11" s="34"/>
      <c r="P11" s="15"/>
      <c r="Q11" s="13"/>
      <c r="R11" s="15"/>
      <c r="S11" s="34"/>
      <c r="T11" s="28"/>
      <c r="U11" s="15"/>
      <c r="V11" s="15"/>
      <c r="W11" s="34"/>
      <c r="X11" s="15"/>
      <c r="Y11" s="13"/>
      <c r="Z11" s="15"/>
      <c r="AA11" s="34"/>
      <c r="AB11" s="28"/>
      <c r="AC11" s="15"/>
      <c r="AD11" s="15"/>
      <c r="AE11" s="34"/>
      <c r="AF11" s="15"/>
      <c r="AG11" s="13"/>
      <c r="AH11" s="15"/>
      <c r="AI11" s="34"/>
      <c r="AJ11" s="15"/>
      <c r="AK11" s="13"/>
      <c r="AL11" s="15"/>
      <c r="AM11" s="34"/>
      <c r="AN11" s="15"/>
      <c r="AO11" s="13"/>
      <c r="AP11" s="15"/>
      <c r="AQ11" s="34"/>
      <c r="AR11" s="15"/>
      <c r="AS11" s="13"/>
      <c r="AT11" s="15"/>
      <c r="AU11" s="34"/>
      <c r="AV11" s="15"/>
      <c r="AW11" s="13"/>
      <c r="AY11" s="34"/>
      <c r="AZ11" s="28"/>
      <c r="BA11" s="13"/>
      <c r="BB11" s="15"/>
      <c r="BC11" s="34"/>
      <c r="BD11" s="15"/>
      <c r="BE11" s="14"/>
      <c r="BF11" s="41">
        <f t="shared" ref="BF11:BG11" si="17">K11+O11+S11+W11+AA11+AE11+AI11+AM11+AQ11+AU11+AY11+BC11</f>
        <v>0</v>
      </c>
      <c r="BG11" s="34">
        <f t="shared" si="17"/>
        <v>0</v>
      </c>
      <c r="BH11" s="35">
        <f t="shared" si="1"/>
        <v>0</v>
      </c>
      <c r="BK11" s="2" t="b">
        <f>H11='2019'!BH11</f>
        <v>1</v>
      </c>
    </row>
    <row r="12" ht="14.25" customHeight="1" hidden="1" spans="1:63" x14ac:dyDescent="0.25">
      <c r="A12" s="176">
        <v>1</v>
      </c>
      <c r="B12" s="14"/>
      <c r="D12" s="14" t="s">
        <v>50</v>
      </c>
      <c r="E12" s="2" t="s">
        <v>49</v>
      </c>
      <c r="F12" s="46">
        <v>1100</v>
      </c>
      <c r="G12" s="38"/>
      <c r="H12" s="34">
        <v>0</v>
      </c>
      <c r="I12" s="15"/>
      <c r="J12" s="15"/>
      <c r="K12" s="15"/>
      <c r="L12" s="28"/>
      <c r="M12" s="15"/>
      <c r="N12" s="15"/>
      <c r="O12" s="15"/>
      <c r="P12" s="15"/>
      <c r="Q12" s="13"/>
      <c r="R12" s="15"/>
      <c r="S12" s="15"/>
      <c r="T12" s="28"/>
      <c r="U12" s="15"/>
      <c r="V12" s="15"/>
      <c r="W12" s="15"/>
      <c r="X12" s="15"/>
      <c r="Y12" s="13"/>
      <c r="Z12" s="15"/>
      <c r="AA12" s="15"/>
      <c r="AB12" s="28"/>
      <c r="AC12" s="15"/>
      <c r="AD12" s="15"/>
      <c r="AE12" s="34">
        <v>4500</v>
      </c>
      <c r="AF12" s="133">
        <v>4500</v>
      </c>
      <c r="AG12" s="13"/>
      <c r="AH12" s="15"/>
      <c r="AI12" s="15"/>
      <c r="AJ12" s="15"/>
      <c r="AK12" s="13"/>
      <c r="AL12" s="15"/>
      <c r="AM12" s="15"/>
      <c r="AN12" s="15"/>
      <c r="AO12" s="13"/>
      <c r="AP12" s="15"/>
      <c r="AQ12" s="15"/>
      <c r="AR12" s="15"/>
      <c r="AS12" s="13"/>
      <c r="AT12" s="15"/>
      <c r="AU12" s="15"/>
      <c r="AV12" s="15"/>
      <c r="AW12" s="13"/>
      <c r="AZ12" s="28"/>
      <c r="BA12" s="13"/>
      <c r="BB12" s="15"/>
      <c r="BC12" s="15"/>
      <c r="BD12" s="15"/>
      <c r="BE12" s="14"/>
      <c r="BF12" s="41">
        <f t="shared" ref="BF12:BG12" si="18">K12+O12+S12+W12+AA12+AE12+AI12+AM12+AQ12+AU12+AY12+BC12</f>
        <v>4500</v>
      </c>
      <c r="BG12" s="34">
        <f t="shared" si="18"/>
        <v>4500</v>
      </c>
      <c r="BH12" s="35">
        <f t="shared" si="1"/>
        <v>0</v>
      </c>
      <c r="BK12" s="2" t="b">
        <f>H12='2019'!BH12</f>
        <v>0</v>
      </c>
    </row>
    <row r="13" hidden="1" spans="1:63" x14ac:dyDescent="0.25">
      <c r="A13" s="176">
        <v>1</v>
      </c>
      <c r="B13" s="14"/>
      <c r="D13" s="14" t="s">
        <v>51</v>
      </c>
      <c r="E13" s="2" t="s">
        <v>39</v>
      </c>
      <c r="F13" s="46">
        <v>500</v>
      </c>
      <c r="G13" s="38"/>
      <c r="H13" s="34">
        <f>'2019'!BH13</f>
        <v>0</v>
      </c>
      <c r="I13" s="15"/>
      <c r="J13" s="15"/>
      <c r="K13" s="34"/>
      <c r="L13" s="28"/>
      <c r="M13" s="15"/>
      <c r="N13" s="15"/>
      <c r="O13" s="34"/>
      <c r="P13" s="34"/>
      <c r="Q13" s="13"/>
      <c r="R13" s="15"/>
      <c r="S13" s="34"/>
      <c r="T13" s="35"/>
      <c r="U13" s="15"/>
      <c r="V13" s="15"/>
      <c r="W13" s="15"/>
      <c r="X13" s="34"/>
      <c r="Y13" s="13"/>
      <c r="Z13" s="15"/>
      <c r="AA13" s="15"/>
      <c r="AB13" s="28"/>
      <c r="AC13" s="15"/>
      <c r="AD13" s="15"/>
      <c r="AE13" s="15"/>
      <c r="AF13" s="15"/>
      <c r="AG13" s="13"/>
      <c r="AH13" s="15"/>
      <c r="AI13" s="15"/>
      <c r="AJ13" s="15"/>
      <c r="AK13" s="13"/>
      <c r="AL13" s="15"/>
      <c r="AM13" s="15"/>
      <c r="AN13" s="15"/>
      <c r="AO13" s="13"/>
      <c r="AP13" s="15"/>
      <c r="AQ13" s="15"/>
      <c r="AR13" s="15"/>
      <c r="AS13" s="13"/>
      <c r="AT13" s="15"/>
      <c r="AU13" s="15"/>
      <c r="AV13" s="15"/>
      <c r="AW13" s="13"/>
      <c r="AZ13" s="28"/>
      <c r="BA13" s="13"/>
      <c r="BB13" s="15"/>
      <c r="BC13" s="34"/>
      <c r="BD13" s="34"/>
      <c r="BE13" s="14"/>
      <c r="BF13" s="82">
        <f t="shared" ref="BF13:BG13" si="19">K13+O13+S13+W13+AA13+AE13+AI13+AM13+AQ13+AU13+AY13+BC13</f>
        <v>0</v>
      </c>
      <c r="BG13" s="34">
        <f t="shared" si="19"/>
        <v>0</v>
      </c>
      <c r="BH13" s="35">
        <f t="shared" si="1"/>
        <v>0</v>
      </c>
      <c r="BK13" s="2" t="b">
        <f>H13='2019'!BH13</f>
        <v>1</v>
      </c>
    </row>
    <row r="14" hidden="1" spans="1:60" x14ac:dyDescent="0.25">
      <c r="A14" s="176">
        <v>1</v>
      </c>
      <c r="B14" s="14"/>
      <c r="D14" s="14" t="s">
        <v>51</v>
      </c>
      <c r="E14" s="2" t="s">
        <v>49</v>
      </c>
      <c r="F14" s="46">
        <v>500</v>
      </c>
      <c r="G14" s="38"/>
      <c r="H14" s="34"/>
      <c r="I14" s="15"/>
      <c r="J14" s="15"/>
      <c r="K14" s="34"/>
      <c r="L14" s="28"/>
      <c r="M14" s="15"/>
      <c r="N14" s="15"/>
      <c r="O14" s="34"/>
      <c r="P14" s="34"/>
      <c r="Q14" s="13"/>
      <c r="R14" s="15"/>
      <c r="S14" s="34"/>
      <c r="T14" s="35"/>
      <c r="U14" s="15"/>
      <c r="V14" s="15"/>
      <c r="W14" s="15"/>
      <c r="X14" s="34"/>
      <c r="Y14" s="13"/>
      <c r="Z14" s="15"/>
      <c r="AA14" s="15"/>
      <c r="AB14" s="28"/>
      <c r="AC14" s="15"/>
      <c r="AD14" s="15"/>
      <c r="AE14" s="15"/>
      <c r="AF14" s="15"/>
      <c r="AG14" s="13"/>
      <c r="AH14" s="15"/>
      <c r="AI14" s="15"/>
      <c r="AJ14" s="15"/>
      <c r="AK14" s="13"/>
      <c r="AL14" s="15"/>
      <c r="AM14" s="15"/>
      <c r="AN14" s="15"/>
      <c r="AO14" s="13"/>
      <c r="AP14" s="15"/>
      <c r="AQ14" s="34"/>
      <c r="AR14" s="15"/>
      <c r="AS14" s="13"/>
      <c r="AT14" s="15"/>
      <c r="AU14" s="15"/>
      <c r="AV14" s="15"/>
      <c r="AW14" s="13"/>
      <c r="AZ14" s="28"/>
      <c r="BA14" s="13"/>
      <c r="BB14" s="15"/>
      <c r="BC14" s="34"/>
      <c r="BD14" s="34"/>
      <c r="BE14" s="14"/>
      <c r="BF14" s="82">
        <f t="shared" ref="BF14:BG14" si="20">K14+O14+S14+W14+AA14+AE14+AI14+AM14+AQ14+AU14+AY14+BC14</f>
        <v>0</v>
      </c>
      <c r="BG14" s="34">
        <f t="shared" si="20"/>
        <v>0</v>
      </c>
      <c r="BH14" s="35">
        <f t="shared" si="1"/>
        <v>0</v>
      </c>
    </row>
    <row r="15" ht="14.25" customHeight="1" hidden="1" spans="1:63" x14ac:dyDescent="0.25">
      <c r="A15" s="176">
        <v>1</v>
      </c>
      <c r="B15" s="14"/>
      <c r="D15" s="14" t="s">
        <v>52</v>
      </c>
      <c r="E15" s="2" t="s">
        <v>39</v>
      </c>
      <c r="F15" s="46">
        <v>500</v>
      </c>
      <c r="G15" s="38"/>
      <c r="H15" s="34">
        <f>'2019'!BH14</f>
        <v>0</v>
      </c>
      <c r="I15" s="15"/>
      <c r="J15" s="15"/>
      <c r="K15" s="15"/>
      <c r="L15" s="28"/>
      <c r="M15" s="15"/>
      <c r="N15" s="15"/>
      <c r="O15" s="15"/>
      <c r="P15" s="15"/>
      <c r="Q15" s="13"/>
      <c r="R15" s="15"/>
      <c r="S15" s="15"/>
      <c r="T15" s="28"/>
      <c r="U15" s="15"/>
      <c r="V15" s="15"/>
      <c r="W15" s="15"/>
      <c r="X15" s="15"/>
      <c r="Y15" s="13"/>
      <c r="Z15" s="15"/>
      <c r="AA15" s="15"/>
      <c r="AB15" s="28"/>
      <c r="AC15" s="15"/>
      <c r="AD15" s="15"/>
      <c r="AE15" s="15"/>
      <c r="AF15" s="15"/>
      <c r="AG15" s="13"/>
      <c r="AH15" s="15"/>
      <c r="AI15" s="15"/>
      <c r="AJ15" s="15"/>
      <c r="AK15" s="13"/>
      <c r="AL15" s="15"/>
      <c r="AM15" s="15"/>
      <c r="AN15" s="15"/>
      <c r="AO15" s="13"/>
      <c r="AP15" s="15"/>
      <c r="AQ15" s="15"/>
      <c r="AR15" s="15"/>
      <c r="AS15" s="13"/>
      <c r="AT15" s="15"/>
      <c r="AU15" s="15"/>
      <c r="AV15" s="15"/>
      <c r="AW15" s="13"/>
      <c r="AZ15" s="28"/>
      <c r="BA15" s="13"/>
      <c r="BB15" s="15"/>
      <c r="BC15" s="15"/>
      <c r="BD15" s="15"/>
      <c r="BE15" s="14"/>
      <c r="BF15" s="82">
        <f t="shared" ref="BF15:BG15" si="21">K15+O15+S15+W15+AA15+AE15+AI15+AM15+AQ15+AU15+AY15+BC15</f>
        <v>0</v>
      </c>
      <c r="BG15" s="34">
        <f t="shared" si="21"/>
        <v>0</v>
      </c>
      <c r="BH15" s="35">
        <f t="shared" si="1"/>
        <v>0</v>
      </c>
      <c r="BK15" s="2" t="b">
        <f>H15='2019'!BH14</f>
        <v>1</v>
      </c>
    </row>
    <row r="16" hidden="1" spans="1:63" x14ac:dyDescent="0.25">
      <c r="A16" s="177">
        <v>1</v>
      </c>
      <c r="B16" s="21"/>
      <c r="C16" s="22" t="s">
        <v>53</v>
      </c>
      <c r="D16" s="21"/>
      <c r="E16" s="22"/>
      <c r="F16" s="20"/>
      <c r="G16" s="23"/>
      <c r="H16" s="51">
        <f>SUM(H6:H15)-H9</f>
        <v>2091.01</v>
      </c>
      <c r="I16" s="53"/>
      <c r="J16" s="53"/>
      <c r="K16" s="54">
        <f t="shared" ref="K16:L16" si="22">SUM(K8:K15)-K9</f>
        <v>895</v>
      </c>
      <c r="L16" s="55">
        <f t="shared" si="22"/>
        <v>0</v>
      </c>
      <c r="M16" s="53"/>
      <c r="N16" s="53"/>
      <c r="O16" s="54">
        <f t="shared" ref="O16:P16" si="23">SUM(O8:O15)-O9</f>
        <v>75</v>
      </c>
      <c r="P16" s="54">
        <f t="shared" si="23"/>
        <v>1500</v>
      </c>
      <c r="Q16" s="52"/>
      <c r="R16" s="53"/>
      <c r="S16" s="54">
        <f t="shared" ref="S16:T16" si="24">SUM(S8:S15)-S9</f>
        <v>92.5</v>
      </c>
      <c r="T16" s="55">
        <f t="shared" si="24"/>
        <v>0</v>
      </c>
      <c r="U16" s="53"/>
      <c r="V16" s="53"/>
      <c r="W16" s="54">
        <f t="shared" ref="W16:X16" si="25">SUM(W8:W15)-W9</f>
        <v>70</v>
      </c>
      <c r="X16" s="54">
        <f t="shared" si="25"/>
        <v>177.5</v>
      </c>
      <c r="Y16" s="52"/>
      <c r="Z16" s="53"/>
      <c r="AA16" s="54">
        <f t="shared" ref="AA16:AB16" si="26">SUM(AA8:AA15)-AA9</f>
        <v>77.5</v>
      </c>
      <c r="AB16" s="55">
        <f t="shared" si="26"/>
        <v>0</v>
      </c>
      <c r="AC16" s="53"/>
      <c r="AD16" s="53"/>
      <c r="AE16" s="54">
        <f t="shared" ref="AE16:AF16" si="27">SUM(AE8:AE15)-AE9</f>
        <v>4606.6</v>
      </c>
      <c r="AF16" s="54">
        <f t="shared" si="27"/>
        <v>5150</v>
      </c>
      <c r="AG16" s="52"/>
      <c r="AH16" s="53"/>
      <c r="AI16" s="54">
        <f t="shared" ref="AI16:AJ16" si="28">SUM(AI8:AI15)-AI9</f>
        <v>91</v>
      </c>
      <c r="AJ16" s="54">
        <f t="shared" si="28"/>
        <v>0</v>
      </c>
      <c r="AK16" s="52"/>
      <c r="AL16" s="53"/>
      <c r="AM16" s="54">
        <f t="shared" ref="AM16:AN16" si="29">SUM(AM8:AM15)-AM9</f>
        <v>137.8</v>
      </c>
      <c r="AN16" s="54">
        <f t="shared" si="29"/>
        <v>0</v>
      </c>
      <c r="AO16" s="52"/>
      <c r="AP16" s="53"/>
      <c r="AQ16" s="54">
        <f t="shared" ref="AQ16:AR16" si="30">SUM(AQ7:AQ15)-AQ9</f>
        <v>182</v>
      </c>
      <c r="AR16" s="54">
        <f t="shared" si="30"/>
        <v>0</v>
      </c>
      <c r="AS16" s="52"/>
      <c r="AT16" s="53"/>
      <c r="AU16" s="54">
        <f t="shared" ref="AU16:AV16" si="31">SUM(AU7:AU15)-AU9</f>
        <v>200.2</v>
      </c>
      <c r="AV16" s="55">
        <f t="shared" si="31"/>
        <v>0</v>
      </c>
      <c r="AW16" s="52"/>
      <c r="AX16" s="53"/>
      <c r="AY16" s="54">
        <f t="shared" ref="AY16:AZ16" si="32">SUM(AY7:AY15)-AY9</f>
        <v>171.6</v>
      </c>
      <c r="AZ16" s="55">
        <f t="shared" si="32"/>
        <v>0</v>
      </c>
      <c r="BA16" s="52"/>
      <c r="BB16" s="53"/>
      <c r="BC16" s="54">
        <f t="shared" ref="BC16:BD16" si="33">SUM(BC7:BC15)-BC9</f>
        <v>114.4</v>
      </c>
      <c r="BD16" s="55">
        <f t="shared" si="33"/>
        <v>0</v>
      </c>
      <c r="BE16" s="56"/>
      <c r="BF16" s="57">
        <f t="shared" ref="BF16:BG16" si="34">SUM(BF7:BF15)-BF9</f>
        <v>6713.6</v>
      </c>
      <c r="BG16" s="58">
        <f t="shared" si="34"/>
        <v>6827.5</v>
      </c>
      <c r="BH16" s="59">
        <f>SUM(BH8:BH15)-BH9</f>
        <v>1977.11</v>
      </c>
      <c r="BI16" s="34">
        <f>H16+BF16-BG16</f>
        <v>1977.11</v>
      </c>
      <c r="BJ16" s="34">
        <f>BH16-BI16</f>
        <v>0</v>
      </c>
      <c r="BK16" s="2" t="b">
        <f>H16='2019'!BH15</f>
        <v>0</v>
      </c>
    </row>
    <row r="17" ht="14.25" customHeight="1" hidden="1" spans="1:63" x14ac:dyDescent="0.25">
      <c r="A17" s="2">
        <v>2</v>
      </c>
      <c r="B17" s="14"/>
      <c r="D17" s="178" t="s">
        <v>486</v>
      </c>
      <c r="F17" s="31"/>
      <c r="G17" s="28"/>
      <c r="H17" s="34">
        <f>'2019'!BH16</f>
        <v>0</v>
      </c>
      <c r="I17" s="60"/>
      <c r="J17" s="60"/>
      <c r="K17" s="62"/>
      <c r="L17" s="28"/>
      <c r="M17" s="60"/>
      <c r="N17" s="60"/>
      <c r="O17" s="62"/>
      <c r="P17" s="62"/>
      <c r="Q17" s="61"/>
      <c r="R17" s="60"/>
      <c r="S17" s="62"/>
      <c r="T17" s="63"/>
      <c r="U17" s="60"/>
      <c r="V17" s="60"/>
      <c r="W17" s="152">
        <v>65.5</v>
      </c>
      <c r="X17" s="39">
        <v>65.5</v>
      </c>
      <c r="Y17" s="61"/>
      <c r="Z17" s="60"/>
      <c r="AA17" s="64"/>
      <c r="AB17" s="179"/>
      <c r="AC17" s="60"/>
      <c r="AD17" s="60"/>
      <c r="AE17" s="64"/>
      <c r="AF17" s="62"/>
      <c r="AG17" s="61"/>
      <c r="AH17" s="60"/>
      <c r="AI17" s="64"/>
      <c r="AJ17" s="62"/>
      <c r="AK17" s="61"/>
      <c r="AL17" s="60"/>
      <c r="AM17" s="64"/>
      <c r="AN17" s="62"/>
      <c r="AO17" s="61"/>
      <c r="AP17" s="60"/>
      <c r="AQ17" s="64"/>
      <c r="AR17" s="62"/>
      <c r="AS17" s="61"/>
      <c r="AT17" s="60"/>
      <c r="AU17" s="64"/>
      <c r="AV17" s="62"/>
      <c r="AW17" s="61"/>
      <c r="AX17" s="60"/>
      <c r="AY17" s="64"/>
      <c r="AZ17" s="63"/>
      <c r="BA17" s="61"/>
      <c r="BB17" s="60"/>
      <c r="BC17" s="64"/>
      <c r="BD17" s="62"/>
      <c r="BE17" s="65"/>
      <c r="BF17" s="41">
        <f t="shared" ref="BF17:BG17" si="35">K17+O17+S17+W17+AA17+AE17+AI17+AM17+AQ17+AU17+AY17+BC17</f>
        <v>65.5</v>
      </c>
      <c r="BG17" s="34">
        <f t="shared" si="35"/>
        <v>65.5</v>
      </c>
      <c r="BH17" s="35">
        <f t="shared" ref="BH17:BH24" si="36">H17+BF17-BG17</f>
        <v>0</v>
      </c>
      <c r="BK17" s="2" t="b">
        <f>H17='2019'!BH16</f>
        <v>1</v>
      </c>
    </row>
    <row r="18" ht="14.25" customHeight="1" hidden="1" spans="1:63" x14ac:dyDescent="0.25">
      <c r="A18" s="147">
        <v>2</v>
      </c>
      <c r="B18" s="14">
        <v>4.12</v>
      </c>
      <c r="C18" s="2" t="s">
        <v>359</v>
      </c>
      <c r="D18" s="14" t="s">
        <v>44</v>
      </c>
      <c r="E18" s="2" t="s">
        <v>45</v>
      </c>
      <c r="F18" s="41">
        <v>2.5</v>
      </c>
      <c r="G18" s="35">
        <v>2.6</v>
      </c>
      <c r="H18" s="180">
        <f>'2019'!BH17</f>
        <v>-282.5</v>
      </c>
      <c r="I18" s="15">
        <v>21981</v>
      </c>
      <c r="J18" s="15">
        <f>I18-'2019'!BA17</f>
        <v>654</v>
      </c>
      <c r="K18" s="34">
        <f>J18*$F$8</f>
        <v>1635</v>
      </c>
      <c r="L18" s="38">
        <v>2000</v>
      </c>
      <c r="M18" s="15">
        <v>22617</v>
      </c>
      <c r="N18" s="15">
        <f>M18-I18</f>
        <v>636</v>
      </c>
      <c r="O18" s="34">
        <f>N18*$F$8</f>
        <v>1590</v>
      </c>
      <c r="P18" s="39">
        <v>1291.79</v>
      </c>
      <c r="Q18" s="13">
        <v>23434</v>
      </c>
      <c r="R18" s="15">
        <f>Q18-M18</f>
        <v>817</v>
      </c>
      <c r="S18" s="34">
        <f>R18*$F$8</f>
        <v>2042.5</v>
      </c>
      <c r="T18" s="38">
        <v>1693.21</v>
      </c>
      <c r="U18" s="15">
        <v>24107</v>
      </c>
      <c r="V18" s="15">
        <f>U18-Q18</f>
        <v>673</v>
      </c>
      <c r="W18" s="34">
        <f>V18*$F$8</f>
        <v>1682.5</v>
      </c>
      <c r="X18" s="39">
        <v>1682.5</v>
      </c>
      <c r="Y18" s="13">
        <v>24661</v>
      </c>
      <c r="Z18" s="15">
        <f t="shared" ref="Z18:Z19" si="37">Y18-U18</f>
        <v>554</v>
      </c>
      <c r="AA18" s="34">
        <f>Z18*$F$8</f>
        <v>1385</v>
      </c>
      <c r="AB18" s="179">
        <v>1385</v>
      </c>
      <c r="AC18" s="13">
        <v>25160</v>
      </c>
      <c r="AD18" s="15">
        <f t="shared" ref="AD18:AD19" si="38">AC18-Y18</f>
        <v>499</v>
      </c>
      <c r="AE18" s="45">
        <f>AD18*$G$8</f>
        <v>1297.4</v>
      </c>
      <c r="AF18" s="39">
        <v>1297.4</v>
      </c>
      <c r="AG18" s="13">
        <v>25682</v>
      </c>
      <c r="AH18" s="15">
        <f t="shared" ref="AH18:AH19" si="39">AG18-AC18</f>
        <v>522</v>
      </c>
      <c r="AI18" s="45">
        <f>AH18*$G$8</f>
        <v>1357.2</v>
      </c>
      <c r="AJ18" s="181">
        <v>1357.2</v>
      </c>
      <c r="AK18" s="13">
        <v>26158</v>
      </c>
      <c r="AL18" s="15">
        <f t="shared" ref="AL18:AL19" si="40">AK18-AG18</f>
        <v>476</v>
      </c>
      <c r="AM18" s="45">
        <f>AL18*$G$8</f>
        <v>1237.6</v>
      </c>
      <c r="AN18" s="1">
        <v>1291.79</v>
      </c>
      <c r="AO18" s="13">
        <v>26698</v>
      </c>
      <c r="AP18" s="15">
        <f t="shared" ref="AP18:AP19" si="41">AO18-AK18</f>
        <v>540</v>
      </c>
      <c r="AQ18" s="45">
        <f>AP18*$G$8</f>
        <v>1404</v>
      </c>
      <c r="AR18" s="1">
        <v>1349.81</v>
      </c>
      <c r="AS18" s="13">
        <v>27278</v>
      </c>
      <c r="AT18" s="15">
        <f t="shared" ref="AT18:AT19" si="42">AS18-AO18</f>
        <v>580</v>
      </c>
      <c r="AU18" s="45">
        <f>AT18*$G$8</f>
        <v>1508</v>
      </c>
      <c r="AV18" s="15"/>
      <c r="AW18" s="13">
        <v>27836</v>
      </c>
      <c r="AX18" s="2">
        <f t="shared" ref="AX18:AX19" si="43">AW18-AS18</f>
        <v>558</v>
      </c>
      <c r="AY18" s="45">
        <f>AX18*$G$8</f>
        <v>1450.8</v>
      </c>
      <c r="AZ18" s="38">
        <f>1508+1450.8</f>
        <v>2958.8</v>
      </c>
      <c r="BA18" s="13">
        <v>28520</v>
      </c>
      <c r="BB18" s="15">
        <f t="shared" ref="BB18:BB19" si="44">BA18-AW18</f>
        <v>684</v>
      </c>
      <c r="BC18" s="45">
        <f>BB18*$G$8</f>
        <v>1778.4</v>
      </c>
      <c r="BD18" s="39">
        <v>1778.4</v>
      </c>
      <c r="BE18" s="40">
        <f t="shared" ref="BE18:BG18" si="45">J18+N18+R18+V18+Z18+AD18+AH18+AL18+AP18+AT18+AX18+BB18</f>
        <v>7193</v>
      </c>
      <c r="BF18" s="41">
        <f t="shared" si="45"/>
        <v>18368.4</v>
      </c>
      <c r="BG18" s="34">
        <f t="shared" si="45"/>
        <v>18085.9</v>
      </c>
      <c r="BH18" s="35">
        <f t="shared" si="36"/>
        <v>0</v>
      </c>
      <c r="BK18" s="2" t="b">
        <f>H18='2019'!BH17</f>
        <v>1</v>
      </c>
    </row>
    <row r="19" ht="14.25" customHeight="1" hidden="1" spans="1:63" x14ac:dyDescent="0.25">
      <c r="A19" s="2">
        <v>2</v>
      </c>
      <c r="B19" s="14"/>
      <c r="C19" s="2" t="s">
        <v>487</v>
      </c>
      <c r="D19" s="14" t="s">
        <v>47</v>
      </c>
      <c r="E19" s="2" t="s">
        <v>48</v>
      </c>
      <c r="F19" s="13">
        <v>18.56</v>
      </c>
      <c r="G19" s="35">
        <v>19.46</v>
      </c>
      <c r="H19" s="34">
        <f>'2019'!BH18</f>
        <v>0</v>
      </c>
      <c r="I19" s="13">
        <v>145</v>
      </c>
      <c r="J19" s="15"/>
      <c r="K19" s="15"/>
      <c r="L19" s="28"/>
      <c r="M19" s="13">
        <v>145</v>
      </c>
      <c r="N19" s="15"/>
      <c r="O19" s="15"/>
      <c r="P19" s="15"/>
      <c r="Q19" s="13">
        <v>145</v>
      </c>
      <c r="R19" s="15"/>
      <c r="S19" s="15"/>
      <c r="T19" s="28"/>
      <c r="U19" s="15">
        <v>2</v>
      </c>
      <c r="V19" s="154"/>
      <c r="W19" s="34">
        <f>V19*$F$10</f>
        <v>0</v>
      </c>
      <c r="X19" s="15"/>
      <c r="Y19" s="13">
        <v>2</v>
      </c>
      <c r="Z19" s="15">
        <f t="shared" si="37"/>
        <v>0</v>
      </c>
      <c r="AA19" s="34">
        <f>Z19*$F$10</f>
        <v>0</v>
      </c>
      <c r="AB19" s="179">
        <v>100</v>
      </c>
      <c r="AC19" s="15">
        <v>4</v>
      </c>
      <c r="AD19" s="15">
        <f t="shared" si="38"/>
        <v>2</v>
      </c>
      <c r="AE19" s="34">
        <f>AD19*$F$10</f>
        <v>37.12</v>
      </c>
      <c r="AF19" s="34"/>
      <c r="AG19" s="13">
        <v>11</v>
      </c>
      <c r="AH19" s="15">
        <f t="shared" si="39"/>
        <v>7</v>
      </c>
      <c r="AI19" s="45">
        <f>AH19*$G$10</f>
        <v>136.22</v>
      </c>
      <c r="AJ19" s="15"/>
      <c r="AK19" s="13">
        <v>13</v>
      </c>
      <c r="AL19" s="15">
        <f t="shared" si="40"/>
        <v>2</v>
      </c>
      <c r="AM19" s="45">
        <f>AL19*$G$10</f>
        <v>38.92</v>
      </c>
      <c r="AN19" s="1">
        <v>110.46</v>
      </c>
      <c r="AO19" s="13">
        <v>14</v>
      </c>
      <c r="AP19" s="15">
        <f t="shared" si="41"/>
        <v>1</v>
      </c>
      <c r="AQ19" s="45">
        <f>AP19*$G$10</f>
        <v>19.46</v>
      </c>
      <c r="AR19" s="1">
        <v>38.92</v>
      </c>
      <c r="AS19" s="13">
        <v>14</v>
      </c>
      <c r="AT19" s="15">
        <f t="shared" si="42"/>
        <v>0</v>
      </c>
      <c r="AU19" s="45">
        <f>AT19*$G$10</f>
        <v>0</v>
      </c>
      <c r="AV19" s="15"/>
      <c r="AW19" s="13">
        <v>14</v>
      </c>
      <c r="AX19" s="2">
        <f t="shared" si="43"/>
        <v>0</v>
      </c>
      <c r="AY19" s="45"/>
      <c r="AZ19" s="28"/>
      <c r="BA19" s="13">
        <v>14</v>
      </c>
      <c r="BB19" s="15">
        <f t="shared" si="44"/>
        <v>0</v>
      </c>
      <c r="BC19" s="45"/>
      <c r="BD19" s="15"/>
      <c r="BE19" s="40">
        <f t="shared" ref="BE19:BG19" si="46">J19+N19+R19+V19+Z19+AD19+AH19+AL19+AP19+AT19+AX19+BB19</f>
        <v>12</v>
      </c>
      <c r="BF19" s="41">
        <f t="shared" si="46"/>
        <v>231.72</v>
      </c>
      <c r="BG19" s="34">
        <f t="shared" si="46"/>
        <v>249.38</v>
      </c>
      <c r="BH19" s="35">
        <f t="shared" si="36"/>
        <v>-17.66</v>
      </c>
      <c r="BK19" s="2" t="b">
        <f>H19='2019'!BH18</f>
        <v>1</v>
      </c>
    </row>
    <row r="20" ht="14.25" customHeight="1" hidden="1" spans="1:63" x14ac:dyDescent="0.25">
      <c r="A20" s="2">
        <v>2</v>
      </c>
      <c r="B20" s="14"/>
      <c r="C20" s="2" t="s">
        <v>56</v>
      </c>
      <c r="D20" s="14" t="s">
        <v>47</v>
      </c>
      <c r="E20" s="2" t="s">
        <v>49</v>
      </c>
      <c r="F20" s="41">
        <v>500</v>
      </c>
      <c r="G20" s="38"/>
      <c r="H20" s="34">
        <f>'2019'!BH19</f>
        <v>0</v>
      </c>
      <c r="I20" s="15"/>
      <c r="J20" s="15"/>
      <c r="K20" s="15"/>
      <c r="L20" s="28"/>
      <c r="M20" s="15"/>
      <c r="N20" s="15"/>
      <c r="O20" s="15"/>
      <c r="P20" s="15"/>
      <c r="Q20" s="13"/>
      <c r="R20" s="15"/>
      <c r="S20" s="15"/>
      <c r="T20" s="28"/>
      <c r="U20" s="15"/>
      <c r="V20" s="15"/>
      <c r="W20" s="15"/>
      <c r="X20" s="15"/>
      <c r="Y20" s="13"/>
      <c r="Z20" s="15"/>
      <c r="AA20" s="15"/>
      <c r="AB20" s="179"/>
      <c r="AC20" s="15"/>
      <c r="AD20" s="15"/>
      <c r="AE20" s="34"/>
      <c r="AF20" s="15"/>
      <c r="AG20" s="13"/>
      <c r="AH20" s="15"/>
      <c r="AI20" s="45"/>
      <c r="AJ20" s="15"/>
      <c r="AK20" s="13"/>
      <c r="AL20" s="15"/>
      <c r="AM20" s="45"/>
      <c r="AN20" s="15"/>
      <c r="AO20" s="13"/>
      <c r="AP20" s="15"/>
      <c r="AQ20" s="45"/>
      <c r="AR20" s="15"/>
      <c r="AS20" s="13"/>
      <c r="AT20" s="15"/>
      <c r="AU20" s="45"/>
      <c r="AV20" s="15"/>
      <c r="AW20" s="13"/>
      <c r="AY20" s="45"/>
      <c r="AZ20" s="28"/>
      <c r="BA20" s="13"/>
      <c r="BB20" s="15"/>
      <c r="BC20" s="45"/>
      <c r="BD20" s="15"/>
      <c r="BE20" s="14"/>
      <c r="BF20" s="41">
        <f t="shared" ref="BF20:BG20" si="47">K20+O20+S20+W20+AA20+AE20+AI20+AM20+AQ20+AU20+AY20+BC20</f>
        <v>0</v>
      </c>
      <c r="BG20" s="34">
        <f t="shared" si="47"/>
        <v>0</v>
      </c>
      <c r="BH20" s="35">
        <f t="shared" si="36"/>
        <v>0</v>
      </c>
      <c r="BK20" s="2" t="b">
        <f>H20='2019'!BH19</f>
        <v>1</v>
      </c>
    </row>
    <row r="21" ht="14.25" customHeight="1" hidden="1" spans="1:63" x14ac:dyDescent="0.25">
      <c r="A21" s="2">
        <v>2</v>
      </c>
      <c r="B21" s="14"/>
      <c r="C21" s="2" t="s">
        <v>57</v>
      </c>
      <c r="D21" s="14" t="s">
        <v>50</v>
      </c>
      <c r="E21" s="2" t="s">
        <v>49</v>
      </c>
      <c r="F21" s="41">
        <v>1100</v>
      </c>
      <c r="G21" s="38"/>
      <c r="H21" s="182">
        <f>'2019'!BH20-0.0056</f>
        <v>0</v>
      </c>
      <c r="I21" s="15"/>
      <c r="J21" s="15"/>
      <c r="K21" s="15"/>
      <c r="L21" s="28"/>
      <c r="M21" s="15"/>
      <c r="N21" s="15"/>
      <c r="O21" s="15"/>
      <c r="P21" s="15"/>
      <c r="Q21" s="13"/>
      <c r="R21" s="15"/>
      <c r="S21" s="15"/>
      <c r="T21" s="32">
        <v>0.01</v>
      </c>
      <c r="U21" s="15"/>
      <c r="V21" s="15"/>
      <c r="W21" s="15"/>
      <c r="X21" s="15"/>
      <c r="Y21" s="13"/>
      <c r="Z21" s="15"/>
      <c r="AA21" s="15"/>
      <c r="AB21" s="179">
        <v>4532</v>
      </c>
      <c r="AC21" s="15"/>
      <c r="AD21" s="15"/>
      <c r="AE21" s="34">
        <f>B18*$F$12</f>
        <v>4532</v>
      </c>
      <c r="AF21" s="15"/>
      <c r="AG21" s="13"/>
      <c r="AH21" s="15"/>
      <c r="AI21" s="45"/>
      <c r="AJ21" s="15"/>
      <c r="AK21" s="13"/>
      <c r="AL21" s="15"/>
      <c r="AM21" s="45"/>
      <c r="AN21" s="15"/>
      <c r="AO21" s="13"/>
      <c r="AP21" s="15"/>
      <c r="AQ21" s="34"/>
      <c r="AR21" s="15"/>
      <c r="AS21" s="13"/>
      <c r="AT21" s="15"/>
      <c r="AU21" s="45"/>
      <c r="AV21" s="15"/>
      <c r="AW21" s="13"/>
      <c r="AY21" s="45"/>
      <c r="AZ21" s="28"/>
      <c r="BA21" s="13"/>
      <c r="BB21" s="15"/>
      <c r="BC21" s="45"/>
      <c r="BD21" s="15"/>
      <c r="BE21" s="14"/>
      <c r="BF21" s="41">
        <f t="shared" ref="BF21:BG21" si="48">K21+O21+S21+W21+AA21+AE21+AI21+AM21+AQ21+AU21+AY21+BC21</f>
        <v>4532</v>
      </c>
      <c r="BG21" s="34">
        <f t="shared" si="48"/>
        <v>4532.01</v>
      </c>
      <c r="BH21" s="35">
        <f t="shared" si="36"/>
        <v>-0.01</v>
      </c>
      <c r="BK21" s="2" t="b">
        <f>H21='2019'!BH20</f>
        <v>0</v>
      </c>
    </row>
    <row r="22" ht="14.25" customHeight="1" hidden="1" spans="1:63" x14ac:dyDescent="0.25">
      <c r="A22" s="2">
        <v>2</v>
      </c>
      <c r="B22" s="14"/>
      <c r="C22" s="2" t="s">
        <v>58</v>
      </c>
      <c r="D22" s="14" t="s">
        <v>51</v>
      </c>
      <c r="E22" s="2" t="s">
        <v>39</v>
      </c>
      <c r="F22" s="41">
        <v>500</v>
      </c>
      <c r="G22" s="38"/>
      <c r="H22" s="34">
        <f>'2019'!BH21</f>
        <v>0</v>
      </c>
      <c r="I22" s="15"/>
      <c r="J22" s="15"/>
      <c r="K22" s="15"/>
      <c r="L22" s="28"/>
      <c r="M22" s="15"/>
      <c r="N22" s="15"/>
      <c r="O22" s="15"/>
      <c r="P22" s="15"/>
      <c r="Q22" s="13"/>
      <c r="R22" s="15"/>
      <c r="S22" s="15"/>
      <c r="T22" s="28"/>
      <c r="U22" s="15"/>
      <c r="V22" s="15"/>
      <c r="W22" s="15"/>
      <c r="X22" s="15"/>
      <c r="Y22" s="13"/>
      <c r="Z22" s="15"/>
      <c r="AA22" s="15"/>
      <c r="AB22" s="179"/>
      <c r="AC22" s="15"/>
      <c r="AD22" s="15"/>
      <c r="AE22" s="34"/>
      <c r="AF22" s="15"/>
      <c r="AG22" s="13"/>
      <c r="AH22" s="15"/>
      <c r="AI22" s="45"/>
      <c r="AJ22" s="15"/>
      <c r="AK22" s="13"/>
      <c r="AL22" s="15"/>
      <c r="AM22" s="45"/>
      <c r="AN22" s="15"/>
      <c r="AO22" s="13"/>
      <c r="AP22" s="15"/>
      <c r="AQ22" s="45">
        <f>$F$13</f>
        <v>500</v>
      </c>
      <c r="AR22" s="39">
        <v>500</v>
      </c>
      <c r="AS22" s="13"/>
      <c r="AT22" s="15"/>
      <c r="AU22" s="45"/>
      <c r="AV22" s="15"/>
      <c r="AW22" s="13"/>
      <c r="AY22" s="45"/>
      <c r="AZ22" s="28"/>
      <c r="BA22" s="13"/>
      <c r="BB22" s="15"/>
      <c r="BC22" s="45"/>
      <c r="BD22" s="15"/>
      <c r="BE22" s="14"/>
      <c r="BF22" s="41">
        <f t="shared" ref="BF22:BG22" si="49">K22+O22+S22+W22+AA22+AE22+AI22+AM22+AQ22+AU22+AY22+BC22</f>
        <v>500</v>
      </c>
      <c r="BG22" s="34">
        <f t="shared" si="49"/>
        <v>500</v>
      </c>
      <c r="BH22" s="35">
        <f t="shared" si="36"/>
        <v>0</v>
      </c>
      <c r="BK22" s="2" t="b">
        <f>H22='2019'!BH21</f>
        <v>1</v>
      </c>
    </row>
    <row r="23" ht="14.25" customHeight="1" hidden="1" spans="1:60" x14ac:dyDescent="0.25">
      <c r="A23" s="2">
        <v>2</v>
      </c>
      <c r="B23" s="14"/>
      <c r="D23" s="14" t="s">
        <v>51</v>
      </c>
      <c r="E23" s="2" t="s">
        <v>49</v>
      </c>
      <c r="F23" s="41">
        <v>500</v>
      </c>
      <c r="G23" s="38"/>
      <c r="H23" s="34"/>
      <c r="I23" s="15"/>
      <c r="J23" s="15"/>
      <c r="K23" s="15"/>
      <c r="L23" s="28"/>
      <c r="M23" s="15"/>
      <c r="N23" s="15"/>
      <c r="O23" s="15"/>
      <c r="P23" s="15"/>
      <c r="Q23" s="13"/>
      <c r="R23" s="15"/>
      <c r="S23" s="15"/>
      <c r="T23" s="28"/>
      <c r="U23" s="15"/>
      <c r="V23" s="15"/>
      <c r="W23" s="15"/>
      <c r="X23" s="15"/>
      <c r="Y23" s="13"/>
      <c r="Z23" s="15"/>
      <c r="AA23" s="15"/>
      <c r="AB23" s="179"/>
      <c r="AC23" s="15"/>
      <c r="AD23" s="15"/>
      <c r="AE23" s="34"/>
      <c r="AF23" s="15"/>
      <c r="AG23" s="13"/>
      <c r="AH23" s="15"/>
      <c r="AI23" s="45"/>
      <c r="AJ23" s="15"/>
      <c r="AK23" s="13"/>
      <c r="AL23" s="15"/>
      <c r="AM23" s="45"/>
      <c r="AN23" s="15"/>
      <c r="AO23" s="13"/>
      <c r="AP23" s="15"/>
      <c r="AQ23" s="34">
        <f>B18*$F$14</f>
        <v>2060</v>
      </c>
      <c r="AR23" s="39">
        <v>2060</v>
      </c>
      <c r="AS23" s="13"/>
      <c r="AT23" s="15"/>
      <c r="AU23" s="45"/>
      <c r="AV23" s="15"/>
      <c r="AW23" s="13"/>
      <c r="AY23" s="45"/>
      <c r="AZ23" s="28"/>
      <c r="BA23" s="13"/>
      <c r="BB23" s="15"/>
      <c r="BC23" s="45"/>
      <c r="BD23" s="15"/>
      <c r="BE23" s="14"/>
      <c r="BF23" s="41">
        <f t="shared" ref="BF23:BG23" si="50">K23+O23+S23+W23+AA23+AE23+AI23+AM23+AQ23+AU23+AY23+BC23</f>
        <v>2060</v>
      </c>
      <c r="BG23" s="34">
        <f t="shared" si="50"/>
        <v>2060</v>
      </c>
      <c r="BH23" s="35">
        <f t="shared" si="36"/>
        <v>0</v>
      </c>
    </row>
    <row r="24" ht="14.25" customHeight="1" hidden="1" spans="1:63" x14ac:dyDescent="0.25">
      <c r="A24" s="2">
        <v>2</v>
      </c>
      <c r="B24" s="14"/>
      <c r="C24" s="2" t="s">
        <v>59</v>
      </c>
      <c r="D24" s="14" t="s">
        <v>52</v>
      </c>
      <c r="E24" s="2" t="s">
        <v>39</v>
      </c>
      <c r="F24" s="41">
        <v>500</v>
      </c>
      <c r="G24" s="38"/>
      <c r="H24" s="34">
        <f>'2019'!BH22</f>
        <v>0</v>
      </c>
      <c r="I24" s="15"/>
      <c r="J24" s="15"/>
      <c r="K24" s="15"/>
      <c r="L24" s="28"/>
      <c r="M24" s="15"/>
      <c r="N24" s="15"/>
      <c r="O24" s="15"/>
      <c r="P24" s="15"/>
      <c r="Q24" s="13"/>
      <c r="R24" s="15"/>
      <c r="S24" s="15"/>
      <c r="T24" s="28"/>
      <c r="U24" s="15"/>
      <c r="V24" s="15"/>
      <c r="W24" s="15"/>
      <c r="X24" s="15"/>
      <c r="Y24" s="13"/>
      <c r="Z24" s="15"/>
      <c r="AA24" s="77"/>
      <c r="AB24" s="35"/>
      <c r="AC24" s="15"/>
      <c r="AD24" s="15"/>
      <c r="AE24" s="15"/>
      <c r="AF24" s="15"/>
      <c r="AG24" s="13"/>
      <c r="AH24" s="15"/>
      <c r="AI24" s="45"/>
      <c r="AJ24" s="15"/>
      <c r="AK24" s="13"/>
      <c r="AL24" s="15"/>
      <c r="AM24" s="45"/>
      <c r="AN24" s="15"/>
      <c r="AO24" s="13"/>
      <c r="AP24" s="15"/>
      <c r="AQ24" s="45"/>
      <c r="AR24" s="15"/>
      <c r="AS24" s="13"/>
      <c r="AT24" s="15"/>
      <c r="AU24" s="45"/>
      <c r="AV24" s="15"/>
      <c r="AW24" s="13"/>
      <c r="AY24" s="45"/>
      <c r="AZ24" s="28"/>
      <c r="BA24" s="13"/>
      <c r="BB24" s="15"/>
      <c r="BC24" s="45"/>
      <c r="BD24" s="15"/>
      <c r="BE24" s="14"/>
      <c r="BF24" s="41">
        <f t="shared" ref="BF24:BG24" si="51">K24+O24+S24+W24+AA24+AE24+AI24+AM24+AQ24+AU24+AY24+BC24</f>
        <v>0</v>
      </c>
      <c r="BG24" s="34">
        <f t="shared" si="51"/>
        <v>0</v>
      </c>
      <c r="BH24" s="35">
        <f t="shared" si="36"/>
        <v>0</v>
      </c>
      <c r="BK24" s="2" t="b">
        <f>H24='2019'!BH22</f>
        <v>1</v>
      </c>
    </row>
    <row r="25" ht="14.25" customHeight="1" hidden="1" spans="1:63" x14ac:dyDescent="0.25">
      <c r="A25" s="2">
        <v>2</v>
      </c>
      <c r="B25" s="21"/>
      <c r="C25" s="22" t="s">
        <v>53</v>
      </c>
      <c r="D25" s="21"/>
      <c r="E25" s="22"/>
      <c r="F25" s="20"/>
      <c r="G25" s="23"/>
      <c r="H25" s="51">
        <f>SUM(H17:H24)</f>
        <v>-282.5</v>
      </c>
      <c r="I25" s="53"/>
      <c r="J25" s="53"/>
      <c r="K25" s="51">
        <f t="shared" ref="K25:L25" si="52">SUM(K17:K24)</f>
        <v>1635</v>
      </c>
      <c r="L25" s="68">
        <f t="shared" si="52"/>
        <v>2000</v>
      </c>
      <c r="M25" s="53"/>
      <c r="N25" s="53"/>
      <c r="O25" s="51">
        <f t="shared" ref="O25:P25" si="53">SUM(O17:O24)</f>
        <v>1590</v>
      </c>
      <c r="P25" s="68">
        <f t="shared" si="53"/>
        <v>1291.79</v>
      </c>
      <c r="Q25" s="52"/>
      <c r="R25" s="53"/>
      <c r="S25" s="51">
        <f t="shared" ref="S25:T25" si="54">SUM(S17:S24)</f>
        <v>2042.5</v>
      </c>
      <c r="T25" s="68">
        <f t="shared" si="54"/>
        <v>1693.22</v>
      </c>
      <c r="U25" s="53"/>
      <c r="V25" s="53"/>
      <c r="W25" s="51">
        <f t="shared" ref="W25:X25" si="55">SUM(W17:W24)</f>
        <v>1748</v>
      </c>
      <c r="X25" s="68">
        <f t="shared" si="55"/>
        <v>1748</v>
      </c>
      <c r="Y25" s="52"/>
      <c r="Z25" s="53"/>
      <c r="AA25" s="51">
        <f t="shared" ref="AA25:AB25" si="56">SUM(AA17:AA24)</f>
        <v>1385</v>
      </c>
      <c r="AB25" s="68">
        <f t="shared" si="56"/>
        <v>6017</v>
      </c>
      <c r="AC25" s="53"/>
      <c r="AD25" s="53"/>
      <c r="AE25" s="51">
        <f t="shared" ref="AE25:AF25" si="57">SUM(AE17:AE24)</f>
        <v>5866.52</v>
      </c>
      <c r="AF25" s="68">
        <f t="shared" si="57"/>
        <v>1297.4</v>
      </c>
      <c r="AG25" s="52"/>
      <c r="AH25" s="53"/>
      <c r="AI25" s="183">
        <f t="shared" ref="AI25:AJ25" si="58">SUM(AI17:AI24)</f>
        <v>1493.42</v>
      </c>
      <c r="AJ25" s="51">
        <f t="shared" si="58"/>
        <v>1357.2</v>
      </c>
      <c r="AK25" s="52"/>
      <c r="AL25" s="53"/>
      <c r="AM25" s="183">
        <f t="shared" ref="AM25:AN25" si="59">SUM(AM17:AM24)</f>
        <v>1276.52</v>
      </c>
      <c r="AN25" s="51">
        <f t="shared" si="59"/>
        <v>1402.25</v>
      </c>
      <c r="AO25" s="52"/>
      <c r="AP25" s="53"/>
      <c r="AQ25" s="183">
        <f t="shared" ref="AQ25:AR25" si="60">SUM(AQ17:AQ24)</f>
        <v>3983.46</v>
      </c>
      <c r="AR25" s="51">
        <f t="shared" si="60"/>
        <v>3948.73</v>
      </c>
      <c r="AS25" s="52"/>
      <c r="AT25" s="53"/>
      <c r="AU25" s="183">
        <f t="shared" ref="AU25:AV25" si="61">SUM(AU17:AU24)</f>
        <v>1508</v>
      </c>
      <c r="AV25" s="68">
        <f t="shared" si="61"/>
        <v>0</v>
      </c>
      <c r="AW25" s="52"/>
      <c r="AX25" s="53"/>
      <c r="AY25" s="183">
        <f t="shared" ref="AY25:AZ25" si="62">SUM(AY17:AY24)</f>
        <v>1450.8</v>
      </c>
      <c r="AZ25" s="68">
        <f t="shared" si="62"/>
        <v>2958.8</v>
      </c>
      <c r="BA25" s="52"/>
      <c r="BB25" s="53"/>
      <c r="BC25" s="183">
        <f t="shared" ref="BC25:BD25" si="63">SUM(BC17:BC24)</f>
        <v>1778.4</v>
      </c>
      <c r="BD25" s="68">
        <f t="shared" si="63"/>
        <v>1778.4</v>
      </c>
      <c r="BE25" s="69"/>
      <c r="BF25" s="70">
        <f t="shared" ref="BF25:BH25" si="64">SUM(BF17:BF24)</f>
        <v>25757.62</v>
      </c>
      <c r="BG25" s="71">
        <f t="shared" si="64"/>
        <v>25492.79</v>
      </c>
      <c r="BH25" s="72">
        <f t="shared" si="64"/>
        <v>-17.67</v>
      </c>
      <c r="BI25" s="34">
        <f>H25+BF25-BG25</f>
        <v>-17.67</v>
      </c>
      <c r="BJ25" s="34">
        <f>BH25-BI25</f>
        <v>0</v>
      </c>
      <c r="BK25" s="2" t="b">
        <f>H25='2019'!BH23</f>
        <v>0</v>
      </c>
    </row>
    <row r="26" ht="14.25" customHeight="1" hidden="1" spans="1:63" x14ac:dyDescent="0.25">
      <c r="A26" s="175">
        <v>3</v>
      </c>
      <c r="B26" s="14"/>
      <c r="D26" s="14" t="s">
        <v>379</v>
      </c>
      <c r="F26" s="13"/>
      <c r="G26" s="28"/>
      <c r="H26" s="34">
        <f>'2019'!BH24</f>
        <v>0</v>
      </c>
      <c r="I26" s="60"/>
      <c r="J26" s="60"/>
      <c r="K26" s="60"/>
      <c r="L26" s="63"/>
      <c r="M26" s="60"/>
      <c r="N26" s="60"/>
      <c r="O26" s="60"/>
      <c r="P26" s="62"/>
      <c r="Q26" s="61"/>
      <c r="R26" s="60"/>
      <c r="S26" s="62"/>
      <c r="T26" s="63"/>
      <c r="U26" s="60"/>
      <c r="V26" s="60"/>
      <c r="W26" s="62"/>
      <c r="X26" s="62"/>
      <c r="Y26" s="61"/>
      <c r="Z26" s="60"/>
      <c r="AA26" s="62"/>
      <c r="AB26" s="63"/>
      <c r="AC26" s="60"/>
      <c r="AD26" s="60"/>
      <c r="AE26" s="62"/>
      <c r="AF26" s="62"/>
      <c r="AG26" s="61"/>
      <c r="AH26" s="60"/>
      <c r="AI26" s="45"/>
      <c r="AJ26" s="62"/>
      <c r="AK26" s="61"/>
      <c r="AL26" s="60"/>
      <c r="AM26" s="45"/>
      <c r="AN26" s="62"/>
      <c r="AO26" s="61"/>
      <c r="AP26" s="60"/>
      <c r="AQ26" s="45"/>
      <c r="AR26" s="62"/>
      <c r="AS26" s="61"/>
      <c r="AT26" s="60"/>
      <c r="AU26" s="45"/>
      <c r="AV26" s="62"/>
      <c r="AW26" s="61"/>
      <c r="AX26" s="60"/>
      <c r="AY26" s="45"/>
      <c r="AZ26" s="63"/>
      <c r="BA26" s="61"/>
      <c r="BB26" s="60"/>
      <c r="BC26" s="45"/>
      <c r="BD26" s="62"/>
      <c r="BE26" s="65"/>
      <c r="BF26" s="41">
        <f t="shared" ref="BF26:BG26" si="65">K26+O26+S26+W26+AA26+AE26+AI26+AM26+AQ26+AU26+AY26+BC26</f>
        <v>0</v>
      </c>
      <c r="BG26" s="34">
        <f t="shared" si="65"/>
        <v>0</v>
      </c>
      <c r="BH26" s="35">
        <f t="shared" ref="BH26:BH33" si="66">H26+BF26-BG26</f>
        <v>0</v>
      </c>
      <c r="BK26" s="2" t="b">
        <f>H26='2019'!BH24</f>
        <v>1</v>
      </c>
    </row>
    <row r="27" ht="14.25" customHeight="1" hidden="1" spans="1:63" x14ac:dyDescent="0.25">
      <c r="A27" s="176">
        <v>3</v>
      </c>
      <c r="B27" s="42">
        <v>4</v>
      </c>
      <c r="C27" s="2" t="s">
        <v>60</v>
      </c>
      <c r="D27" s="14" t="s">
        <v>44</v>
      </c>
      <c r="E27" s="2" t="s">
        <v>45</v>
      </c>
      <c r="F27" s="41">
        <v>2.5</v>
      </c>
      <c r="G27" s="35">
        <v>2.6</v>
      </c>
      <c r="H27" s="34">
        <f>'2019'!BH25</f>
        <v>-12.92</v>
      </c>
      <c r="I27" s="13">
        <v>37</v>
      </c>
      <c r="J27" s="15">
        <f>I27-'2019'!BA25</f>
        <v>0</v>
      </c>
      <c r="K27" s="34">
        <f>J27*$F$8</f>
        <v>0</v>
      </c>
      <c r="L27" s="28"/>
      <c r="M27" s="15">
        <v>37</v>
      </c>
      <c r="N27" s="15">
        <f>M27-I27</f>
        <v>0</v>
      </c>
      <c r="O27" s="34">
        <f>N27*$F$8</f>
        <v>0</v>
      </c>
      <c r="P27" s="15"/>
      <c r="Q27" s="13">
        <v>37</v>
      </c>
      <c r="R27" s="15">
        <f>Q27-M27</f>
        <v>0</v>
      </c>
      <c r="S27" s="34">
        <f>R27*$F$8</f>
        <v>0</v>
      </c>
      <c r="T27" s="28"/>
      <c r="U27" s="15">
        <v>38</v>
      </c>
      <c r="V27" s="15">
        <f t="shared" ref="V27:V28" si="67">U27-Q27</f>
        <v>1</v>
      </c>
      <c r="W27" s="34">
        <f>V27*$F$8</f>
        <v>2.5</v>
      </c>
      <c r="X27" s="15"/>
      <c r="Y27" s="13">
        <v>45</v>
      </c>
      <c r="Z27" s="15">
        <f t="shared" ref="Z27:Z28" si="68">Y27-U27</f>
        <v>7</v>
      </c>
      <c r="AA27" s="34">
        <f>Z27*$F$8</f>
        <v>17.5</v>
      </c>
      <c r="AB27" s="28"/>
      <c r="AC27" s="13">
        <v>47</v>
      </c>
      <c r="AD27" s="15">
        <f t="shared" ref="AD27:AD28" si="69">AC27-Y27</f>
        <v>2</v>
      </c>
      <c r="AE27" s="45">
        <f>AD27*$G$8</f>
        <v>5.2</v>
      </c>
      <c r="AF27" s="133">
        <v>7.08</v>
      </c>
      <c r="AG27" s="13">
        <v>50</v>
      </c>
      <c r="AH27" s="15">
        <f t="shared" ref="AH27:AH28" si="70">AG27-AC27</f>
        <v>3</v>
      </c>
      <c r="AI27" s="45">
        <f>AH27*$G$8</f>
        <v>7.8</v>
      </c>
      <c r="AJ27" s="15"/>
      <c r="AK27" s="13">
        <v>54</v>
      </c>
      <c r="AL27" s="15">
        <f t="shared" ref="AL27:AL28" si="71">AK27-AG27</f>
        <v>4</v>
      </c>
      <c r="AM27" s="45">
        <f>AL27*$G$8</f>
        <v>10.4</v>
      </c>
      <c r="AN27" s="138">
        <f>20.8+13.32</f>
        <v>34.12</v>
      </c>
      <c r="AO27" s="13">
        <v>56</v>
      </c>
      <c r="AP27" s="15">
        <f t="shared" ref="AP27:AP28" si="72">AO27-AK27</f>
        <v>2</v>
      </c>
      <c r="AQ27" s="45">
        <f>AP27*$G$8</f>
        <v>5.2</v>
      </c>
      <c r="AR27" s="15"/>
      <c r="AS27" s="13">
        <v>56</v>
      </c>
      <c r="AT27" s="15">
        <f t="shared" ref="AT27:AT28" si="73">AS27-AO27</f>
        <v>0</v>
      </c>
      <c r="AU27" s="45">
        <f>AT27*$G$8</f>
        <v>0</v>
      </c>
      <c r="AV27" s="15"/>
      <c r="AW27" s="13">
        <v>56</v>
      </c>
      <c r="AX27" s="2">
        <f t="shared" ref="AX27:AX28" si="74">AW27-AS27</f>
        <v>0</v>
      </c>
      <c r="AY27" s="45">
        <f>AX27*$G$8</f>
        <v>0</v>
      </c>
      <c r="AZ27" s="28"/>
      <c r="BA27" s="13">
        <v>56</v>
      </c>
      <c r="BB27" s="15">
        <f t="shared" ref="BB27:BB28" si="75">BA27-AW27</f>
        <v>0</v>
      </c>
      <c r="BC27" s="45">
        <f>BB27*$G$8</f>
        <v>0</v>
      </c>
      <c r="BD27" s="15"/>
      <c r="BE27" s="40">
        <f t="shared" ref="BE27:BG27" si="76">J27+N27+R27+V27+Z27+AD27+AH27+AL27+AP27+AT27+AX27+BB27</f>
        <v>19</v>
      </c>
      <c r="BF27" s="41">
        <f t="shared" si="76"/>
        <v>48.6</v>
      </c>
      <c r="BG27" s="34">
        <f t="shared" si="76"/>
        <v>41.2</v>
      </c>
      <c r="BH27" s="35">
        <f t="shared" si="66"/>
        <v>-5.52</v>
      </c>
      <c r="BK27" s="2" t="b">
        <f>H27='2019'!BH25</f>
        <v>1</v>
      </c>
    </row>
    <row r="28" ht="14.25" customHeight="1" hidden="1" spans="1:63" x14ac:dyDescent="0.25">
      <c r="A28" s="176">
        <v>3</v>
      </c>
      <c r="B28" s="14"/>
      <c r="C28" s="2" t="s">
        <v>61</v>
      </c>
      <c r="D28" s="14" t="s">
        <v>47</v>
      </c>
      <c r="E28" s="2" t="s">
        <v>48</v>
      </c>
      <c r="F28" s="13">
        <v>18.56</v>
      </c>
      <c r="G28" s="35">
        <v>19.46</v>
      </c>
      <c r="H28" s="34">
        <f>'2019'!BH26</f>
        <v>73.44</v>
      </c>
      <c r="I28" s="15">
        <v>229</v>
      </c>
      <c r="J28" s="15"/>
      <c r="K28" s="15"/>
      <c r="L28" s="28"/>
      <c r="M28" s="15">
        <v>229</v>
      </c>
      <c r="N28" s="15"/>
      <c r="O28" s="15"/>
      <c r="P28" s="15"/>
      <c r="Q28" s="13">
        <v>229</v>
      </c>
      <c r="R28" s="15"/>
      <c r="S28" s="15"/>
      <c r="T28" s="28"/>
      <c r="U28" s="15">
        <v>235</v>
      </c>
      <c r="V28" s="15">
        <f t="shared" si="67"/>
        <v>6</v>
      </c>
      <c r="W28" s="15">
        <f>V28*$F$10</f>
        <v>111.36</v>
      </c>
      <c r="X28" s="15"/>
      <c r="Y28" s="13">
        <v>235</v>
      </c>
      <c r="Z28" s="15">
        <f t="shared" si="68"/>
        <v>0</v>
      </c>
      <c r="AA28" s="34">
        <f>Z28*$F$10</f>
        <v>0</v>
      </c>
      <c r="AB28" s="28"/>
      <c r="AC28" s="13">
        <v>248</v>
      </c>
      <c r="AD28" s="15">
        <f t="shared" si="69"/>
        <v>13</v>
      </c>
      <c r="AE28" s="34">
        <f>AD28*$F$10</f>
        <v>241.28</v>
      </c>
      <c r="AF28" s="133">
        <f>426.08+6.84</f>
        <v>432.92</v>
      </c>
      <c r="AG28" s="13">
        <v>248</v>
      </c>
      <c r="AH28" s="15">
        <f t="shared" si="70"/>
        <v>0</v>
      </c>
      <c r="AI28" s="45">
        <f>AH28*$G$10</f>
        <v>0</v>
      </c>
      <c r="AJ28" s="34"/>
      <c r="AK28" s="13">
        <v>280</v>
      </c>
      <c r="AL28" s="15">
        <f t="shared" si="71"/>
        <v>32</v>
      </c>
      <c r="AM28" s="45">
        <f>AL28*$G$10</f>
        <v>622.72</v>
      </c>
      <c r="AN28" s="138">
        <v>615.88</v>
      </c>
      <c r="AO28" s="13">
        <v>280</v>
      </c>
      <c r="AP28" s="15">
        <f t="shared" si="72"/>
        <v>0</v>
      </c>
      <c r="AQ28" s="45">
        <f>AP28*$G$10</f>
        <v>0</v>
      </c>
      <c r="AR28" s="15"/>
      <c r="AS28" s="13">
        <v>280</v>
      </c>
      <c r="AT28" s="15">
        <f t="shared" si="73"/>
        <v>0</v>
      </c>
      <c r="AU28" s="45">
        <f>AT28*$G$10</f>
        <v>0</v>
      </c>
      <c r="AV28" s="15"/>
      <c r="AW28" s="13">
        <v>280</v>
      </c>
      <c r="AX28" s="2">
        <f t="shared" si="74"/>
        <v>0</v>
      </c>
      <c r="AY28" s="45"/>
      <c r="AZ28" s="28"/>
      <c r="BA28" s="13">
        <v>280</v>
      </c>
      <c r="BB28" s="15">
        <f t="shared" si="75"/>
        <v>0</v>
      </c>
      <c r="BC28" s="45"/>
      <c r="BD28" s="15"/>
      <c r="BE28" s="40">
        <f t="shared" ref="BE28:BG28" si="77">J28+N28+R28+V28+Z28+AD28+AH28+AL28+AP28+AT28+AX28+BB28</f>
        <v>51</v>
      </c>
      <c r="BF28" s="41">
        <f t="shared" si="77"/>
        <v>975.36</v>
      </c>
      <c r="BG28" s="34">
        <f t="shared" si="77"/>
        <v>1048.8</v>
      </c>
      <c r="BH28" s="35">
        <f t="shared" si="66"/>
        <v>0</v>
      </c>
      <c r="BK28" s="2" t="b">
        <f>H28='2019'!BH26</f>
        <v>1</v>
      </c>
    </row>
    <row r="29" ht="14.25" customHeight="1" hidden="1" spans="1:63" x14ac:dyDescent="0.25">
      <c r="A29" s="176">
        <v>3</v>
      </c>
      <c r="B29" s="14"/>
      <c r="C29" s="2" t="s">
        <v>62</v>
      </c>
      <c r="D29" s="14" t="s">
        <v>47</v>
      </c>
      <c r="E29" s="2" t="s">
        <v>49</v>
      </c>
      <c r="F29" s="41">
        <v>500</v>
      </c>
      <c r="G29" s="35"/>
      <c r="H29" s="34">
        <f>'2019'!BH27</f>
        <v>0</v>
      </c>
      <c r="I29" s="15"/>
      <c r="J29" s="15"/>
      <c r="K29" s="15"/>
      <c r="L29" s="28"/>
      <c r="M29" s="15"/>
      <c r="N29" s="15"/>
      <c r="O29" s="15"/>
      <c r="P29" s="15"/>
      <c r="Q29" s="13"/>
      <c r="R29" s="15"/>
      <c r="S29" s="15"/>
      <c r="T29" s="28"/>
      <c r="U29" s="15"/>
      <c r="V29" s="15"/>
      <c r="W29" s="15"/>
      <c r="X29" s="15"/>
      <c r="Y29" s="13"/>
      <c r="Z29" s="15"/>
      <c r="AA29" s="15"/>
      <c r="AB29" s="28"/>
      <c r="AC29" s="15"/>
      <c r="AD29" s="15"/>
      <c r="AE29" s="34"/>
      <c r="AF29" s="15"/>
      <c r="AG29" s="13"/>
      <c r="AH29" s="15"/>
      <c r="AI29" s="45"/>
      <c r="AJ29" s="15"/>
      <c r="AK29" s="13"/>
      <c r="AL29" s="15"/>
      <c r="AM29" s="45"/>
      <c r="AN29" s="15"/>
      <c r="AO29" s="13"/>
      <c r="AP29" s="15"/>
      <c r="AQ29" s="45"/>
      <c r="AR29" s="15"/>
      <c r="AS29" s="13"/>
      <c r="AT29" s="15"/>
      <c r="AU29" s="45"/>
      <c r="AV29" s="15"/>
      <c r="AW29" s="13"/>
      <c r="AY29" s="45"/>
      <c r="AZ29" s="28"/>
      <c r="BA29" s="13"/>
      <c r="BB29" s="15"/>
      <c r="BC29" s="45"/>
      <c r="BD29" s="15"/>
      <c r="BE29" s="14"/>
      <c r="BF29" s="41">
        <f t="shared" ref="BF29:BG29" si="78">K29+O29+S29+W29+AA29+AE29+AI29+AM29+AQ29+AU29+AY29+BC29</f>
        <v>0</v>
      </c>
      <c r="BG29" s="34">
        <f t="shared" si="78"/>
        <v>0</v>
      </c>
      <c r="BH29" s="35">
        <f t="shared" si="66"/>
        <v>0</v>
      </c>
      <c r="BK29" s="2" t="b">
        <f>H29='2019'!BH27</f>
        <v>1</v>
      </c>
    </row>
    <row r="30" ht="14.25" customHeight="1" hidden="1" spans="1:63" x14ac:dyDescent="0.25">
      <c r="A30" s="176">
        <v>3</v>
      </c>
      <c r="B30" s="14"/>
      <c r="C30" s="2" t="s">
        <v>63</v>
      </c>
      <c r="D30" s="14" t="s">
        <v>50</v>
      </c>
      <c r="E30" s="2" t="s">
        <v>49</v>
      </c>
      <c r="F30" s="41">
        <v>1100</v>
      </c>
      <c r="G30" s="35"/>
      <c r="H30" s="34">
        <f>'2019'!BH28</f>
        <v>0</v>
      </c>
      <c r="I30" s="15"/>
      <c r="J30" s="15"/>
      <c r="K30" s="15"/>
      <c r="L30" s="28"/>
      <c r="M30" s="15"/>
      <c r="N30" s="15"/>
      <c r="O30" s="15"/>
      <c r="P30" s="15"/>
      <c r="Q30" s="13"/>
      <c r="R30" s="15"/>
      <c r="S30" s="15"/>
      <c r="T30" s="28"/>
      <c r="U30" s="15"/>
      <c r="V30" s="15"/>
      <c r="W30" s="15"/>
      <c r="X30" s="15"/>
      <c r="Y30" s="13"/>
      <c r="Z30" s="15"/>
      <c r="AA30" s="15"/>
      <c r="AB30" s="28"/>
      <c r="AC30" s="15"/>
      <c r="AD30" s="15"/>
      <c r="AE30" s="34">
        <f>B27*$F$12</f>
        <v>4400</v>
      </c>
      <c r="AF30" s="133">
        <v>4400</v>
      </c>
      <c r="AG30" s="13"/>
      <c r="AH30" s="15"/>
      <c r="AI30" s="45"/>
      <c r="AJ30" s="15"/>
      <c r="AK30" s="13"/>
      <c r="AL30" s="15"/>
      <c r="AM30" s="45"/>
      <c r="AN30" s="15"/>
      <c r="AO30" s="13"/>
      <c r="AP30" s="15"/>
      <c r="AQ30" s="45"/>
      <c r="AR30" s="15"/>
      <c r="AS30" s="13"/>
      <c r="AT30" s="15"/>
      <c r="AU30" s="45"/>
      <c r="AV30" s="15"/>
      <c r="AW30" s="13"/>
      <c r="AY30" s="45"/>
      <c r="AZ30" s="28"/>
      <c r="BA30" s="13"/>
      <c r="BB30" s="15"/>
      <c r="BC30" s="45"/>
      <c r="BD30" s="15"/>
      <c r="BE30" s="14"/>
      <c r="BF30" s="41">
        <f t="shared" ref="BF30:BG30" si="79">K30+O30+S30+W30+AA30+AE30+AI30+AM30+AQ30+AU30+AY30+BC30</f>
        <v>4400</v>
      </c>
      <c r="BG30" s="34">
        <f t="shared" si="79"/>
        <v>4400</v>
      </c>
      <c r="BH30" s="35">
        <f t="shared" si="66"/>
        <v>0</v>
      </c>
      <c r="BK30" s="2" t="b">
        <f>H30='2019'!BH28</f>
        <v>1</v>
      </c>
    </row>
    <row r="31" ht="14.25" customHeight="1" hidden="1" spans="1:63" x14ac:dyDescent="0.25">
      <c r="A31" s="176">
        <v>3</v>
      </c>
      <c r="B31" s="14"/>
      <c r="D31" s="14" t="s">
        <v>51</v>
      </c>
      <c r="E31" s="2" t="s">
        <v>39</v>
      </c>
      <c r="F31" s="41">
        <v>500</v>
      </c>
      <c r="G31" s="35"/>
      <c r="H31" s="34">
        <f>'2019'!BH29</f>
        <v>0</v>
      </c>
      <c r="I31" s="15"/>
      <c r="J31" s="15"/>
      <c r="K31" s="15"/>
      <c r="L31" s="28"/>
      <c r="M31" s="15"/>
      <c r="N31" s="15"/>
      <c r="O31" s="15"/>
      <c r="P31" s="15"/>
      <c r="Q31" s="13"/>
      <c r="R31" s="15"/>
      <c r="S31" s="15"/>
      <c r="T31" s="28"/>
      <c r="U31" s="15"/>
      <c r="V31" s="15"/>
      <c r="W31" s="15"/>
      <c r="X31" s="15"/>
      <c r="Y31" s="13"/>
      <c r="Z31" s="15"/>
      <c r="AA31" s="15"/>
      <c r="AB31" s="28"/>
      <c r="AC31" s="15"/>
      <c r="AD31" s="15"/>
      <c r="AE31" s="34"/>
      <c r="AF31" s="34"/>
      <c r="AG31" s="13"/>
      <c r="AH31" s="15"/>
      <c r="AI31" s="45"/>
      <c r="AJ31" s="15"/>
      <c r="AK31" s="13"/>
      <c r="AL31" s="15"/>
      <c r="AM31" s="45"/>
      <c r="AN31" s="15"/>
      <c r="AO31" s="13"/>
      <c r="AP31" s="15"/>
      <c r="AQ31" s="45">
        <f>$F$13</f>
        <v>500</v>
      </c>
      <c r="AR31" s="15"/>
      <c r="AS31" s="13"/>
      <c r="AT31" s="15"/>
      <c r="AU31" s="45"/>
      <c r="AV31" s="15"/>
      <c r="AW31" s="13"/>
      <c r="AY31" s="45"/>
      <c r="AZ31" s="28"/>
      <c r="BA31" s="13"/>
      <c r="BB31" s="15"/>
      <c r="BC31" s="45"/>
      <c r="BD31" s="15"/>
      <c r="BE31" s="14"/>
      <c r="BF31" s="41">
        <f t="shared" ref="BF31:BG31" si="80">K31+O31+S31+W31+AA31+AE31+AI31+AM31+AQ31+AU31+AY31+BC31</f>
        <v>500</v>
      </c>
      <c r="BG31" s="34">
        <f t="shared" si="80"/>
        <v>0</v>
      </c>
      <c r="BH31" s="35">
        <f t="shared" si="66"/>
        <v>500</v>
      </c>
      <c r="BK31" s="2" t="b">
        <f>H31='2019'!BH29</f>
        <v>1</v>
      </c>
    </row>
    <row r="32" ht="14.25" customHeight="1" hidden="1" spans="1:60" x14ac:dyDescent="0.25">
      <c r="A32" s="176">
        <v>3</v>
      </c>
      <c r="B32" s="14"/>
      <c r="D32" s="14" t="s">
        <v>51</v>
      </c>
      <c r="E32" s="2" t="s">
        <v>49</v>
      </c>
      <c r="F32" s="41">
        <v>500</v>
      </c>
      <c r="G32" s="35"/>
      <c r="H32" s="34"/>
      <c r="I32" s="15"/>
      <c r="J32" s="15"/>
      <c r="K32" s="15"/>
      <c r="L32" s="28"/>
      <c r="M32" s="15"/>
      <c r="N32" s="15"/>
      <c r="O32" s="15"/>
      <c r="P32" s="15"/>
      <c r="Q32" s="13"/>
      <c r="R32" s="15"/>
      <c r="S32" s="15"/>
      <c r="T32" s="28"/>
      <c r="U32" s="15"/>
      <c r="V32" s="15"/>
      <c r="W32" s="15"/>
      <c r="X32" s="15"/>
      <c r="Y32" s="13"/>
      <c r="Z32" s="15"/>
      <c r="AA32" s="15"/>
      <c r="AB32" s="28"/>
      <c r="AC32" s="15"/>
      <c r="AD32" s="15"/>
      <c r="AE32" s="34"/>
      <c r="AF32" s="34"/>
      <c r="AG32" s="13"/>
      <c r="AH32" s="15"/>
      <c r="AI32" s="45"/>
      <c r="AJ32" s="15"/>
      <c r="AK32" s="13"/>
      <c r="AL32" s="15"/>
      <c r="AM32" s="45"/>
      <c r="AN32" s="15"/>
      <c r="AO32" s="13"/>
      <c r="AP32" s="15"/>
      <c r="AQ32" s="34">
        <f>B27*$F$14</f>
        <v>2000</v>
      </c>
      <c r="AR32" s="15"/>
      <c r="AS32" s="13"/>
      <c r="AT32" s="15"/>
      <c r="AU32" s="45"/>
      <c r="AV32" s="15"/>
      <c r="AW32" s="13"/>
      <c r="AY32" s="45"/>
      <c r="AZ32" s="28"/>
      <c r="BA32" s="13"/>
      <c r="BB32" s="15"/>
      <c r="BC32" s="45"/>
      <c r="BD32" s="15"/>
      <c r="BE32" s="14"/>
      <c r="BF32" s="41">
        <f t="shared" ref="BF32:BG32" si="81">K32+O32+S32+W32+AA32+AE32+AI32+AM32+AQ32+AU32+AY32+BC32</f>
        <v>2000</v>
      </c>
      <c r="BG32" s="34">
        <f t="shared" si="81"/>
        <v>0</v>
      </c>
      <c r="BH32" s="35">
        <f t="shared" si="66"/>
        <v>2000</v>
      </c>
    </row>
    <row r="33" ht="14.25" customHeight="1" hidden="1" spans="1:63" x14ac:dyDescent="0.25">
      <c r="A33" s="176">
        <v>3</v>
      </c>
      <c r="B33" s="14"/>
      <c r="D33" s="14" t="s">
        <v>52</v>
      </c>
      <c r="E33" s="2" t="s">
        <v>39</v>
      </c>
      <c r="F33" s="41">
        <v>500</v>
      </c>
      <c r="G33" s="35"/>
      <c r="H33" s="34">
        <f>'2019'!BH30</f>
        <v>0</v>
      </c>
      <c r="I33" s="15"/>
      <c r="J33" s="15"/>
      <c r="K33" s="15"/>
      <c r="L33" s="28"/>
      <c r="M33" s="15"/>
      <c r="N33" s="15"/>
      <c r="O33" s="15"/>
      <c r="P33" s="15"/>
      <c r="Q33" s="13"/>
      <c r="R33" s="15"/>
      <c r="S33" s="15"/>
      <c r="T33" s="28"/>
      <c r="U33" s="15"/>
      <c r="V33" s="15"/>
      <c r="W33" s="15"/>
      <c r="X33" s="15"/>
      <c r="Y33" s="13"/>
      <c r="Z33" s="15"/>
      <c r="AA33" s="77"/>
      <c r="AB33" s="35"/>
      <c r="AC33" s="15"/>
      <c r="AD33" s="15"/>
      <c r="AE33" s="15"/>
      <c r="AF33" s="34"/>
      <c r="AG33" s="13"/>
      <c r="AH33" s="15"/>
      <c r="AI33" s="45"/>
      <c r="AJ33" s="15"/>
      <c r="AK33" s="13"/>
      <c r="AL33" s="15"/>
      <c r="AM33" s="45"/>
      <c r="AN33" s="15"/>
      <c r="AO33" s="13"/>
      <c r="AP33" s="15"/>
      <c r="AQ33" s="45"/>
      <c r="AR33" s="15"/>
      <c r="AS33" s="13"/>
      <c r="AT33" s="15"/>
      <c r="AU33" s="45"/>
      <c r="AV33" s="15"/>
      <c r="AW33" s="13"/>
      <c r="AY33" s="45"/>
      <c r="AZ33" s="28"/>
      <c r="BA33" s="13"/>
      <c r="BB33" s="15"/>
      <c r="BC33" s="45"/>
      <c r="BD33" s="15"/>
      <c r="BE33" s="14"/>
      <c r="BF33" s="41">
        <f t="shared" ref="BF33:BG33" si="82">K33+O33+S33+W33+AA33+AE33+AI33+AM33+AQ33+AU33+AY33+BC33</f>
        <v>0</v>
      </c>
      <c r="BG33" s="34">
        <f t="shared" si="82"/>
        <v>0</v>
      </c>
      <c r="BH33" s="35">
        <f t="shared" si="66"/>
        <v>0</v>
      </c>
      <c r="BK33" s="2" t="b">
        <f>H33='2019'!BH30</f>
        <v>1</v>
      </c>
    </row>
    <row r="34" ht="14.25" customHeight="1" hidden="1" spans="1:63" x14ac:dyDescent="0.25">
      <c r="A34" s="177">
        <v>3</v>
      </c>
      <c r="B34" s="21"/>
      <c r="C34" s="22" t="s">
        <v>53</v>
      </c>
      <c r="D34" s="21"/>
      <c r="E34" s="22"/>
      <c r="F34" s="20"/>
      <c r="G34" s="23"/>
      <c r="H34" s="51">
        <f>SUM(H26:H33)</f>
        <v>60.52</v>
      </c>
      <c r="I34" s="53"/>
      <c r="J34" s="53"/>
      <c r="K34" s="51">
        <f t="shared" ref="K34:L34" si="83">SUM(K26:K33)</f>
        <v>0</v>
      </c>
      <c r="L34" s="68">
        <f t="shared" si="83"/>
        <v>0</v>
      </c>
      <c r="M34" s="53"/>
      <c r="N34" s="53"/>
      <c r="O34" s="51">
        <f t="shared" ref="O34:P34" si="84">SUM(O26:O33)</f>
        <v>0</v>
      </c>
      <c r="P34" s="68">
        <f t="shared" si="84"/>
        <v>0</v>
      </c>
      <c r="Q34" s="52"/>
      <c r="R34" s="53"/>
      <c r="S34" s="51">
        <f t="shared" ref="S34:T34" si="85">SUM(S26:S33)</f>
        <v>0</v>
      </c>
      <c r="T34" s="68">
        <f t="shared" si="85"/>
        <v>0</v>
      </c>
      <c r="U34" s="53"/>
      <c r="V34" s="53"/>
      <c r="W34" s="51">
        <f t="shared" ref="W34:X34" si="86">SUM(W26:W33)</f>
        <v>113.86</v>
      </c>
      <c r="X34" s="68">
        <f t="shared" si="86"/>
        <v>0</v>
      </c>
      <c r="Y34" s="52"/>
      <c r="Z34" s="53"/>
      <c r="AA34" s="51">
        <f t="shared" ref="AA34:AB34" si="87">SUM(AA26:AA33)</f>
        <v>17.5</v>
      </c>
      <c r="AB34" s="68">
        <f t="shared" si="87"/>
        <v>0</v>
      </c>
      <c r="AC34" s="53"/>
      <c r="AD34" s="53"/>
      <c r="AE34" s="51">
        <f t="shared" ref="AE34:AF34" si="88">SUM(AE26:AE33)</f>
        <v>4646.48</v>
      </c>
      <c r="AF34" s="68">
        <f t="shared" si="88"/>
        <v>4840</v>
      </c>
      <c r="AG34" s="52"/>
      <c r="AH34" s="53"/>
      <c r="AI34" s="183">
        <f t="shared" ref="AI34:AJ34" si="89">SUM(AI26:AI33)</f>
        <v>7.8</v>
      </c>
      <c r="AJ34" s="51">
        <f t="shared" si="89"/>
        <v>0</v>
      </c>
      <c r="AK34" s="52"/>
      <c r="AL34" s="53"/>
      <c r="AM34" s="183">
        <f t="shared" ref="AM34:AN34" si="90">SUM(AM26:AM33)</f>
        <v>633.12</v>
      </c>
      <c r="AN34" s="51">
        <f t="shared" si="90"/>
        <v>650</v>
      </c>
      <c r="AO34" s="52"/>
      <c r="AP34" s="53"/>
      <c r="AQ34" s="183">
        <f t="shared" ref="AQ34:AR34" si="91">SUM(AQ26:AQ33)</f>
        <v>2505.2</v>
      </c>
      <c r="AR34" s="51">
        <f t="shared" si="91"/>
        <v>0</v>
      </c>
      <c r="AS34" s="52"/>
      <c r="AT34" s="53"/>
      <c r="AU34" s="183">
        <f t="shared" ref="AU34:AV34" si="92">SUM(AU26:AU33)</f>
        <v>0</v>
      </c>
      <c r="AV34" s="68">
        <f t="shared" si="92"/>
        <v>0</v>
      </c>
      <c r="AW34" s="52"/>
      <c r="AX34" s="53"/>
      <c r="AY34" s="183">
        <f t="shared" ref="AY34:AZ34" si="93">SUM(AY26:AY33)</f>
        <v>0</v>
      </c>
      <c r="AZ34" s="68">
        <f t="shared" si="93"/>
        <v>0</v>
      </c>
      <c r="BA34" s="52"/>
      <c r="BB34" s="53"/>
      <c r="BC34" s="183">
        <f t="shared" ref="BC34:BD34" si="94">SUM(BC26:BC33)</f>
        <v>0</v>
      </c>
      <c r="BD34" s="68">
        <f t="shared" si="94"/>
        <v>0</v>
      </c>
      <c r="BE34" s="69"/>
      <c r="BF34" s="70">
        <f t="shared" ref="BF34:BH34" si="95">SUM(BF26:BF33)</f>
        <v>7923.96</v>
      </c>
      <c r="BG34" s="71">
        <f t="shared" si="95"/>
        <v>5490</v>
      </c>
      <c r="BH34" s="72">
        <f t="shared" si="95"/>
        <v>2494.48</v>
      </c>
      <c r="BI34" s="34">
        <f>H34+BF34-BG34</f>
        <v>2494.48</v>
      </c>
      <c r="BJ34" s="34">
        <f>BH34-BI34</f>
        <v>0</v>
      </c>
      <c r="BK34" s="2" t="b">
        <f>H34='2019'!BH31</f>
        <v>1</v>
      </c>
    </row>
    <row r="35" ht="14.25" customHeight="1" hidden="1" spans="1:63" x14ac:dyDescent="0.25">
      <c r="A35" s="175">
        <v>4</v>
      </c>
      <c r="B35" s="14"/>
      <c r="D35" s="14" t="s">
        <v>379</v>
      </c>
      <c r="F35" s="13"/>
      <c r="G35" s="28"/>
      <c r="H35" s="34">
        <f>'2019'!BH32</f>
        <v>0</v>
      </c>
      <c r="I35" s="15"/>
      <c r="J35" s="15"/>
      <c r="K35" s="15"/>
      <c r="L35" s="28"/>
      <c r="M35" s="15"/>
      <c r="N35" s="15"/>
      <c r="O35" s="15"/>
      <c r="P35" s="15"/>
      <c r="Q35" s="13"/>
      <c r="R35" s="15"/>
      <c r="S35" s="15"/>
      <c r="T35" s="28"/>
      <c r="U35" s="15"/>
      <c r="V35" s="15"/>
      <c r="W35" s="15"/>
      <c r="X35" s="15"/>
      <c r="Y35" s="13"/>
      <c r="Z35" s="15"/>
      <c r="AA35" s="15"/>
      <c r="AB35" s="28"/>
      <c r="AC35" s="15"/>
      <c r="AD35" s="15"/>
      <c r="AE35" s="15"/>
      <c r="AF35" s="15"/>
      <c r="AG35" s="13"/>
      <c r="AH35" s="15"/>
      <c r="AI35" s="45"/>
      <c r="AJ35" s="15"/>
      <c r="AK35" s="13"/>
      <c r="AL35" s="15"/>
      <c r="AM35" s="45"/>
      <c r="AN35" s="15"/>
      <c r="AO35" s="13"/>
      <c r="AP35" s="15"/>
      <c r="AQ35" s="45"/>
      <c r="AR35" s="15"/>
      <c r="AS35" s="13"/>
      <c r="AT35" s="15"/>
      <c r="AU35" s="45"/>
      <c r="AV35" s="15"/>
      <c r="AW35" s="13"/>
      <c r="AY35" s="45"/>
      <c r="AZ35" s="28"/>
      <c r="BA35" s="13"/>
      <c r="BB35" s="15"/>
      <c r="BC35" s="45"/>
      <c r="BD35" s="15"/>
      <c r="BE35" s="14"/>
      <c r="BF35" s="41">
        <f t="shared" ref="BF35:BG35" si="96">K35+O35+S35+W35+AA35+AE35+AI35+AM35+AQ35+AU35+AY35+BC35</f>
        <v>0</v>
      </c>
      <c r="BG35" s="34">
        <f t="shared" si="96"/>
        <v>0</v>
      </c>
      <c r="BH35" s="35">
        <f t="shared" ref="BH35:BH42" si="97">H35+BF35-BG35</f>
        <v>0</v>
      </c>
      <c r="BK35" s="2" t="b">
        <f>H35='2019'!BH32</f>
        <v>1</v>
      </c>
    </row>
    <row r="36" ht="14.25" customHeight="1" hidden="1" spans="1:63" x14ac:dyDescent="0.25">
      <c r="A36" s="176">
        <v>4</v>
      </c>
      <c r="B36" s="14">
        <v>3.95</v>
      </c>
      <c r="C36" s="2" t="s">
        <v>64</v>
      </c>
      <c r="D36" s="14" t="s">
        <v>44</v>
      </c>
      <c r="E36" s="2" t="s">
        <v>45</v>
      </c>
      <c r="F36" s="41">
        <v>2.5</v>
      </c>
      <c r="G36" s="35">
        <v>2.6</v>
      </c>
      <c r="H36" s="104">
        <f>'2019'!BH33</f>
        <v>0</v>
      </c>
      <c r="I36" s="15"/>
      <c r="J36" s="15"/>
      <c r="K36" s="34">
        <f>J36*$F$8</f>
        <v>0</v>
      </c>
      <c r="L36" s="28"/>
      <c r="M36" s="15"/>
      <c r="N36" s="15"/>
      <c r="O36" s="34">
        <f>N36*$F$8</f>
        <v>0</v>
      </c>
      <c r="P36" s="15"/>
      <c r="Q36" s="13"/>
      <c r="R36" s="15">
        <f>Q36-M36</f>
        <v>0</v>
      </c>
      <c r="S36" s="34">
        <f>R36*$F$8</f>
        <v>0</v>
      </c>
      <c r="T36" s="28"/>
      <c r="U36" s="15"/>
      <c r="V36" s="15">
        <f t="shared" ref="V36:V37" si="98">U36-Q36</f>
        <v>0</v>
      </c>
      <c r="W36" s="34">
        <f>V36*$F$8</f>
        <v>0</v>
      </c>
      <c r="X36" s="15"/>
      <c r="Y36" s="13"/>
      <c r="Z36" s="15">
        <f t="shared" ref="Z36:Z37" si="99">Y36-U36</f>
        <v>0</v>
      </c>
      <c r="AA36" s="34">
        <f>Z36*$F$8</f>
        <v>0</v>
      </c>
      <c r="AB36" s="28"/>
      <c r="AC36" s="13"/>
      <c r="AD36" s="15">
        <f t="shared" ref="AD36:AD37" si="100">AC36-Y36</f>
        <v>0</v>
      </c>
      <c r="AE36" s="45">
        <f>AD36*$G$8</f>
        <v>0</v>
      </c>
      <c r="AF36" s="15"/>
      <c r="AG36" s="13">
        <v>0</v>
      </c>
      <c r="AH36" s="15">
        <f t="shared" ref="AH36:AH37" si="101">AG36-AC36</f>
        <v>0</v>
      </c>
      <c r="AI36" s="45">
        <f>AH36*$G$8</f>
        <v>0</v>
      </c>
      <c r="AJ36" s="15"/>
      <c r="AK36" s="13">
        <v>0</v>
      </c>
      <c r="AL36" s="37">
        <f t="shared" ref="AL36:AL37" si="102">AK36-AG36</f>
        <v>0</v>
      </c>
      <c r="AM36" s="45">
        <f>AL36*$G$8</f>
        <v>0</v>
      </c>
      <c r="AN36" s="15"/>
      <c r="AO36" s="13">
        <v>0</v>
      </c>
      <c r="AP36" s="37">
        <f t="shared" ref="AP36:AP37" si="103">AO36-AK36</f>
        <v>0</v>
      </c>
      <c r="AQ36" s="45">
        <f>AP36*$G$8</f>
        <v>0</v>
      </c>
      <c r="AR36" s="15"/>
      <c r="AS36" s="13">
        <v>0</v>
      </c>
      <c r="AT36" s="37">
        <f t="shared" ref="AT36:AT37" si="104">AS36-AO36</f>
        <v>0</v>
      </c>
      <c r="AU36" s="45">
        <f t="shared" ref="AU36:AU37" si="105">AT36*$G$8</f>
        <v>0</v>
      </c>
      <c r="AV36" s="15"/>
      <c r="AW36" s="13">
        <v>0</v>
      </c>
      <c r="AX36" s="37">
        <f t="shared" ref="AX36:AX37" si="106">AW36-AS36</f>
        <v>0</v>
      </c>
      <c r="AY36" s="45">
        <f>AX36*$G$8</f>
        <v>0</v>
      </c>
      <c r="AZ36" s="28"/>
      <c r="BA36" s="13">
        <v>0</v>
      </c>
      <c r="BB36" s="37">
        <f t="shared" ref="BB36:BB37" si="107">BA36-AW36</f>
        <v>0</v>
      </c>
      <c r="BC36" s="45">
        <f>BB36*$G$8</f>
        <v>0</v>
      </c>
      <c r="BD36" s="15"/>
      <c r="BE36" s="40">
        <f t="shared" ref="BE36:BG36" si="108">J36+N36+R36+V36+Z36+AD36+AH36+AL36+AP36+AT36+AX36+BB36</f>
        <v>0</v>
      </c>
      <c r="BF36" s="41">
        <f t="shared" si="108"/>
        <v>0</v>
      </c>
      <c r="BG36" s="34">
        <f t="shared" si="108"/>
        <v>0</v>
      </c>
      <c r="BH36" s="35">
        <f t="shared" si="97"/>
        <v>0</v>
      </c>
      <c r="BK36" s="2" t="b">
        <f>H36='2019'!BH33</f>
        <v>1</v>
      </c>
    </row>
    <row r="37" ht="14.25" customHeight="1" hidden="1" spans="1:63" x14ac:dyDescent="0.25">
      <c r="A37" s="176">
        <v>4</v>
      </c>
      <c r="B37" s="14"/>
      <c r="C37" s="2" t="s">
        <v>65</v>
      </c>
      <c r="D37" s="14" t="s">
        <v>47</v>
      </c>
      <c r="E37" s="2" t="s">
        <v>48</v>
      </c>
      <c r="F37" s="13">
        <v>18.56</v>
      </c>
      <c r="G37" s="35">
        <v>19.46</v>
      </c>
      <c r="H37" s="34">
        <f>'2019'!BH34</f>
        <v>160.51</v>
      </c>
      <c r="I37" s="15">
        <v>18</v>
      </c>
      <c r="J37" s="15"/>
      <c r="K37" s="15"/>
      <c r="L37" s="28"/>
      <c r="M37" s="15">
        <v>18</v>
      </c>
      <c r="N37" s="15"/>
      <c r="O37" s="15"/>
      <c r="P37" s="15"/>
      <c r="Q37" s="13">
        <v>18</v>
      </c>
      <c r="R37" s="15"/>
      <c r="S37" s="15"/>
      <c r="T37" s="28"/>
      <c r="U37" s="154">
        <v>20</v>
      </c>
      <c r="V37" s="15">
        <f t="shared" si="98"/>
        <v>2</v>
      </c>
      <c r="W37" s="15">
        <f>V37*$F$10</f>
        <v>37.12</v>
      </c>
      <c r="X37" s="15"/>
      <c r="Y37" s="184">
        <v>21</v>
      </c>
      <c r="Z37" s="15">
        <f t="shared" si="99"/>
        <v>1</v>
      </c>
      <c r="AA37" s="34">
        <f>Z37*$F$10</f>
        <v>18.56</v>
      </c>
      <c r="AB37" s="28"/>
      <c r="AC37" s="15">
        <v>21</v>
      </c>
      <c r="AD37" s="15">
        <f t="shared" si="100"/>
        <v>0</v>
      </c>
      <c r="AE37" s="34">
        <f>AD37*$F$10</f>
        <v>0</v>
      </c>
      <c r="AF37" s="133">
        <f>216.19+38.81</f>
        <v>255</v>
      </c>
      <c r="AG37" s="13">
        <v>21</v>
      </c>
      <c r="AH37" s="15">
        <f t="shared" si="101"/>
        <v>0</v>
      </c>
      <c r="AI37" s="45">
        <f>AH37*$G$10</f>
        <v>0</v>
      </c>
      <c r="AJ37" s="39"/>
      <c r="AK37" s="13">
        <v>21</v>
      </c>
      <c r="AL37" s="37">
        <f t="shared" si="102"/>
        <v>0</v>
      </c>
      <c r="AM37" s="45">
        <f>AL37*$G$10</f>
        <v>0</v>
      </c>
      <c r="AN37" s="15"/>
      <c r="AO37" s="13">
        <v>21</v>
      </c>
      <c r="AP37" s="37">
        <f t="shared" si="103"/>
        <v>0</v>
      </c>
      <c r="AQ37" s="45">
        <f>AP37*$G$10</f>
        <v>0</v>
      </c>
      <c r="AR37" s="15"/>
      <c r="AS37" s="13">
        <v>21</v>
      </c>
      <c r="AT37" s="37">
        <f t="shared" si="104"/>
        <v>0</v>
      </c>
      <c r="AU37" s="45">
        <f t="shared" si="105"/>
        <v>0</v>
      </c>
      <c r="AV37" s="15"/>
      <c r="AW37" s="13">
        <v>21</v>
      </c>
      <c r="AX37" s="37">
        <f t="shared" si="106"/>
        <v>0</v>
      </c>
      <c r="AY37" s="45"/>
      <c r="AZ37" s="28"/>
      <c r="BA37" s="13">
        <v>21</v>
      </c>
      <c r="BB37" s="15">
        <f t="shared" si="107"/>
        <v>0</v>
      </c>
      <c r="BC37" s="45"/>
      <c r="BD37" s="15"/>
      <c r="BE37" s="40">
        <f t="shared" ref="BE37:BG37" si="109">J37+N37+R37+V37+Z37+AD37+AH37+AL37+AP37+AT37+AX37+BB37</f>
        <v>3</v>
      </c>
      <c r="BF37" s="41">
        <f t="shared" si="109"/>
        <v>55.68</v>
      </c>
      <c r="BG37" s="34">
        <f t="shared" si="109"/>
        <v>255</v>
      </c>
      <c r="BH37" s="35">
        <f t="shared" si="97"/>
        <v>-38.81</v>
      </c>
      <c r="BK37" s="2" t="b">
        <f>H37='2019'!BH34</f>
        <v>1</v>
      </c>
    </row>
    <row r="38" ht="14.25" customHeight="1" hidden="1" spans="1:63" x14ac:dyDescent="0.25">
      <c r="A38" s="176">
        <v>4</v>
      </c>
      <c r="B38" s="14"/>
      <c r="C38" s="2" t="s">
        <v>58</v>
      </c>
      <c r="D38" s="14" t="s">
        <v>47</v>
      </c>
      <c r="E38" s="2" t="s">
        <v>49</v>
      </c>
      <c r="F38" s="41">
        <v>500</v>
      </c>
      <c r="G38" s="35"/>
      <c r="H38" s="34">
        <f>'2019'!BH35</f>
        <v>0</v>
      </c>
      <c r="I38" s="15"/>
      <c r="J38" s="15"/>
      <c r="K38" s="15"/>
      <c r="L38" s="28"/>
      <c r="M38" s="15"/>
      <c r="N38" s="15"/>
      <c r="O38" s="15"/>
      <c r="P38" s="15"/>
      <c r="Q38" s="13"/>
      <c r="R38" s="15"/>
      <c r="S38" s="15"/>
      <c r="T38" s="28"/>
      <c r="U38" s="15"/>
      <c r="V38" s="15"/>
      <c r="W38" s="15"/>
      <c r="X38" s="15"/>
      <c r="Y38" s="13"/>
      <c r="Z38" s="15"/>
      <c r="AA38" s="15"/>
      <c r="AB38" s="28"/>
      <c r="AC38" s="15"/>
      <c r="AD38" s="15"/>
      <c r="AE38" s="34"/>
      <c r="AF38" s="15"/>
      <c r="AG38" s="13"/>
      <c r="AH38" s="15"/>
      <c r="AI38" s="45"/>
      <c r="AJ38" s="15"/>
      <c r="AK38" s="13"/>
      <c r="AL38" s="15"/>
      <c r="AM38" s="45"/>
      <c r="AN38" s="15"/>
      <c r="AO38" s="13"/>
      <c r="AP38" s="15"/>
      <c r="AQ38" s="45"/>
      <c r="AR38" s="15"/>
      <c r="AS38" s="13"/>
      <c r="AT38" s="15"/>
      <c r="AU38" s="45"/>
      <c r="AV38" s="15"/>
      <c r="AW38" s="13"/>
      <c r="AY38" s="45"/>
      <c r="AZ38" s="28"/>
      <c r="BA38" s="13"/>
      <c r="BB38" s="15"/>
      <c r="BC38" s="45"/>
      <c r="BD38" s="15"/>
      <c r="BE38" s="14"/>
      <c r="BF38" s="41">
        <f t="shared" ref="BF38:BG38" si="110">K38+O38+S38+W38+AA38+AE38+AI38+AM38+AQ38+AU38+AY38+BC38</f>
        <v>0</v>
      </c>
      <c r="BG38" s="34">
        <f t="shared" si="110"/>
        <v>0</v>
      </c>
      <c r="BH38" s="35">
        <f t="shared" si="97"/>
        <v>0</v>
      </c>
      <c r="BK38" s="2" t="b">
        <f>H38='2019'!BH35</f>
        <v>1</v>
      </c>
    </row>
    <row r="39" ht="14.25" customHeight="1" hidden="1" spans="1:63" x14ac:dyDescent="0.25">
      <c r="A39" s="176">
        <v>4</v>
      </c>
      <c r="B39" s="14"/>
      <c r="C39" s="15" t="s">
        <v>380</v>
      </c>
      <c r="D39" s="14" t="s">
        <v>50</v>
      </c>
      <c r="E39" s="2" t="s">
        <v>49</v>
      </c>
      <c r="F39" s="41">
        <v>1100</v>
      </c>
      <c r="G39" s="35"/>
      <c r="H39" s="182">
        <f>'2019'!BH36+0.004</f>
        <v>0</v>
      </c>
      <c r="I39" s="15"/>
      <c r="J39" s="15"/>
      <c r="K39" s="15"/>
      <c r="L39" s="28"/>
      <c r="M39" s="15"/>
      <c r="N39" s="15"/>
      <c r="O39" s="15"/>
      <c r="P39" s="15"/>
      <c r="Q39" s="13"/>
      <c r="R39" s="15"/>
      <c r="S39" s="15"/>
      <c r="T39" s="28"/>
      <c r="U39" s="15"/>
      <c r="V39" s="15"/>
      <c r="W39" s="15"/>
      <c r="X39" s="15"/>
      <c r="Y39" s="13"/>
      <c r="Z39" s="15"/>
      <c r="AA39" s="15"/>
      <c r="AB39" s="28"/>
      <c r="AC39" s="15"/>
      <c r="AD39" s="15"/>
      <c r="AE39" s="34">
        <f>B36*$F$12</f>
        <v>4345</v>
      </c>
      <c r="AF39" s="133">
        <v>4345</v>
      </c>
      <c r="AG39" s="13"/>
      <c r="AH39" s="15"/>
      <c r="AI39" s="45"/>
      <c r="AJ39" s="15"/>
      <c r="AK39" s="13"/>
      <c r="AL39" s="15"/>
      <c r="AM39" s="45"/>
      <c r="AN39" s="15"/>
      <c r="AO39" s="13"/>
      <c r="AP39" s="15"/>
      <c r="AQ39" s="45"/>
      <c r="AR39" s="15"/>
      <c r="AS39" s="13"/>
      <c r="AT39" s="15"/>
      <c r="AU39" s="45"/>
      <c r="AV39" s="15"/>
      <c r="AW39" s="13"/>
      <c r="AY39" s="45"/>
      <c r="AZ39" s="28"/>
      <c r="BA39" s="13"/>
      <c r="BB39" s="15"/>
      <c r="BC39" s="45"/>
      <c r="BD39" s="15"/>
      <c r="BE39" s="14"/>
      <c r="BF39" s="41">
        <f t="shared" ref="BF39:BG39" si="111">K39+O39+S39+W39+AA39+AE39+AI39+AM39+AQ39+AU39+AY39+BC39</f>
        <v>4345</v>
      </c>
      <c r="BG39" s="34">
        <f t="shared" si="111"/>
        <v>4345</v>
      </c>
      <c r="BH39" s="35">
        <f t="shared" si="97"/>
        <v>0</v>
      </c>
      <c r="BK39" s="2" t="b">
        <f>H39='2019'!BH36</f>
        <v>0</v>
      </c>
    </row>
    <row r="40" ht="14.25" customHeight="1" hidden="1" spans="1:63" x14ac:dyDescent="0.25">
      <c r="A40" s="176">
        <v>4</v>
      </c>
      <c r="B40" s="14"/>
      <c r="C40" s="73" t="s">
        <v>381</v>
      </c>
      <c r="D40" s="14" t="s">
        <v>51</v>
      </c>
      <c r="E40" s="2" t="s">
        <v>39</v>
      </c>
      <c r="F40" s="41">
        <v>500</v>
      </c>
      <c r="G40" s="35"/>
      <c r="H40" s="34">
        <f>'2019'!BH37</f>
        <v>0</v>
      </c>
      <c r="I40" s="15"/>
      <c r="J40" s="15"/>
      <c r="K40" s="15"/>
      <c r="L40" s="28"/>
      <c r="M40" s="15"/>
      <c r="N40" s="15"/>
      <c r="O40" s="15"/>
      <c r="P40" s="15"/>
      <c r="Q40" s="13"/>
      <c r="R40" s="15"/>
      <c r="S40" s="15"/>
      <c r="T40" s="28"/>
      <c r="U40" s="15"/>
      <c r="V40" s="15"/>
      <c r="W40" s="15"/>
      <c r="X40" s="15"/>
      <c r="Y40" s="13"/>
      <c r="Z40" s="15"/>
      <c r="AA40" s="15"/>
      <c r="AB40" s="28"/>
      <c r="AC40" s="15"/>
      <c r="AD40" s="15"/>
      <c r="AE40" s="34"/>
      <c r="AF40" s="34"/>
      <c r="AG40" s="13"/>
      <c r="AH40" s="15"/>
      <c r="AI40" s="45"/>
      <c r="AJ40" s="15"/>
      <c r="AK40" s="13"/>
      <c r="AL40" s="15"/>
      <c r="AM40" s="45"/>
      <c r="AN40" s="15"/>
      <c r="AO40" s="13"/>
      <c r="AP40" s="15"/>
      <c r="AQ40" s="45">
        <f>$F$13</f>
        <v>500</v>
      </c>
      <c r="AR40" s="15"/>
      <c r="AS40" s="13"/>
      <c r="AT40" s="15"/>
      <c r="AU40" s="45"/>
      <c r="AV40" s="15"/>
      <c r="AW40" s="13"/>
      <c r="AY40" s="45"/>
      <c r="AZ40" s="28"/>
      <c r="BA40" s="13"/>
      <c r="BB40" s="15"/>
      <c r="BC40" s="45"/>
      <c r="BD40" s="15"/>
      <c r="BE40" s="14"/>
      <c r="BF40" s="41">
        <f t="shared" ref="BF40:BG40" si="112">K40+O40+S40+W40+AA40+AE40+AI40+AM40+AQ40+AU40+AY40+BC40</f>
        <v>500</v>
      </c>
      <c r="BG40" s="34">
        <f t="shared" si="112"/>
        <v>0</v>
      </c>
      <c r="BH40" s="35">
        <f t="shared" si="97"/>
        <v>500</v>
      </c>
      <c r="BK40" s="2" t="b">
        <f>H40='2019'!BH37</f>
        <v>1</v>
      </c>
    </row>
    <row r="41" ht="14.25" customHeight="1" hidden="1" spans="1:60" x14ac:dyDescent="0.25">
      <c r="A41" s="176">
        <v>4</v>
      </c>
      <c r="B41" s="14"/>
      <c r="C41" s="15"/>
      <c r="D41" s="14" t="s">
        <v>51</v>
      </c>
      <c r="E41" s="2" t="s">
        <v>49</v>
      </c>
      <c r="F41" s="41">
        <v>500</v>
      </c>
      <c r="G41" s="35"/>
      <c r="H41" s="34"/>
      <c r="I41" s="15"/>
      <c r="J41" s="15"/>
      <c r="K41" s="15"/>
      <c r="L41" s="28"/>
      <c r="M41" s="15"/>
      <c r="N41" s="15"/>
      <c r="O41" s="15"/>
      <c r="P41" s="15"/>
      <c r="Q41" s="13"/>
      <c r="R41" s="15"/>
      <c r="S41" s="15"/>
      <c r="T41" s="28"/>
      <c r="U41" s="15"/>
      <c r="V41" s="15"/>
      <c r="W41" s="15"/>
      <c r="X41" s="15"/>
      <c r="Y41" s="13"/>
      <c r="Z41" s="15"/>
      <c r="AA41" s="15"/>
      <c r="AB41" s="28"/>
      <c r="AC41" s="15"/>
      <c r="AD41" s="15"/>
      <c r="AE41" s="34"/>
      <c r="AF41" s="34"/>
      <c r="AG41" s="13"/>
      <c r="AH41" s="15"/>
      <c r="AI41" s="45"/>
      <c r="AJ41" s="15"/>
      <c r="AK41" s="13"/>
      <c r="AL41" s="15"/>
      <c r="AM41" s="45"/>
      <c r="AN41" s="15"/>
      <c r="AO41" s="13"/>
      <c r="AP41" s="15"/>
      <c r="AQ41" s="34">
        <f>B36*$F$14</f>
        <v>1975</v>
      </c>
      <c r="AR41" s="15"/>
      <c r="AS41" s="13"/>
      <c r="AT41" s="15"/>
      <c r="AU41" s="45"/>
      <c r="AV41" s="15"/>
      <c r="AW41" s="13"/>
      <c r="AY41" s="45"/>
      <c r="AZ41" s="28"/>
      <c r="BA41" s="13"/>
      <c r="BB41" s="15"/>
      <c r="BC41" s="45"/>
      <c r="BD41" s="15"/>
      <c r="BE41" s="14"/>
      <c r="BF41" s="41">
        <f t="shared" ref="BF41:BG41" si="113">K41+O41+S41+W41+AA41+AE41+AI41+AM41+AQ41+AU41+AY41+BC41</f>
        <v>1975</v>
      </c>
      <c r="BG41" s="34">
        <f t="shared" si="113"/>
        <v>0</v>
      </c>
      <c r="BH41" s="35">
        <f t="shared" si="97"/>
        <v>1975</v>
      </c>
    </row>
    <row r="42" ht="14.25" customHeight="1" hidden="1" spans="1:63" x14ac:dyDescent="0.25">
      <c r="A42" s="176">
        <v>4</v>
      </c>
      <c r="B42" s="14"/>
      <c r="C42" s="2" t="s">
        <v>382</v>
      </c>
      <c r="D42" s="14" t="s">
        <v>52</v>
      </c>
      <c r="E42" s="2" t="s">
        <v>39</v>
      </c>
      <c r="F42" s="41">
        <v>500</v>
      </c>
      <c r="G42" s="35"/>
      <c r="H42" s="34">
        <f>'2019'!BH38</f>
        <v>0</v>
      </c>
      <c r="I42" s="15"/>
      <c r="J42" s="15"/>
      <c r="K42" s="15"/>
      <c r="L42" s="28"/>
      <c r="M42" s="15"/>
      <c r="N42" s="15"/>
      <c r="O42" s="15"/>
      <c r="P42" s="15"/>
      <c r="Q42" s="13"/>
      <c r="R42" s="15"/>
      <c r="S42" s="15"/>
      <c r="T42" s="28"/>
      <c r="U42" s="15"/>
      <c r="V42" s="15"/>
      <c r="W42" s="15"/>
      <c r="X42" s="15"/>
      <c r="Y42" s="13"/>
      <c r="Z42" s="15"/>
      <c r="AA42" s="34">
        <f>$F$11</f>
        <v>500</v>
      </c>
      <c r="AB42" s="35"/>
      <c r="AC42" s="15"/>
      <c r="AD42" s="15"/>
      <c r="AE42" s="15"/>
      <c r="AF42" s="133">
        <v>500</v>
      </c>
      <c r="AG42" s="13"/>
      <c r="AH42" s="15"/>
      <c r="AI42" s="45"/>
      <c r="AJ42" s="15"/>
      <c r="AK42" s="13"/>
      <c r="AL42" s="15"/>
      <c r="AM42" s="45"/>
      <c r="AN42" s="15"/>
      <c r="AO42" s="13"/>
      <c r="AP42" s="15"/>
      <c r="AQ42" s="45"/>
      <c r="AR42" s="15"/>
      <c r="AS42" s="13"/>
      <c r="AT42" s="15"/>
      <c r="AU42" s="45"/>
      <c r="AV42" s="15"/>
      <c r="AW42" s="13"/>
      <c r="AY42" s="45"/>
      <c r="AZ42" s="28"/>
      <c r="BA42" s="13"/>
      <c r="BB42" s="15"/>
      <c r="BC42" s="45"/>
      <c r="BD42" s="15"/>
      <c r="BE42" s="14"/>
      <c r="BF42" s="41">
        <f t="shared" ref="BF42:BG42" si="114">K42+O42+S42+W42+AA42+AE42+AI42+AM42+AQ42+AU42+AY42+BC42</f>
        <v>500</v>
      </c>
      <c r="BG42" s="34">
        <f t="shared" si="114"/>
        <v>500</v>
      </c>
      <c r="BH42" s="35">
        <f t="shared" si="97"/>
        <v>0</v>
      </c>
      <c r="BK42" s="2" t="b">
        <f>H42='2019'!BH38</f>
        <v>1</v>
      </c>
    </row>
    <row r="43" ht="14.25" customHeight="1" hidden="1" spans="1:63" x14ac:dyDescent="0.25">
      <c r="A43" s="177">
        <v>4</v>
      </c>
      <c r="B43" s="21"/>
      <c r="C43" s="22" t="s">
        <v>53</v>
      </c>
      <c r="D43" s="21"/>
      <c r="E43" s="22"/>
      <c r="F43" s="20"/>
      <c r="G43" s="23"/>
      <c r="H43" s="51">
        <f>SUM(H35:H42)</f>
        <v>160.51</v>
      </c>
      <c r="I43" s="53"/>
      <c r="J43" s="53"/>
      <c r="K43" s="51">
        <f t="shared" ref="K43:L43" si="115">SUM(K35:K42)</f>
        <v>0</v>
      </c>
      <c r="L43" s="68">
        <f t="shared" si="115"/>
        <v>0</v>
      </c>
      <c r="M43" s="53"/>
      <c r="N43" s="53"/>
      <c r="O43" s="51">
        <f t="shared" ref="O43:P43" si="116">SUM(O35:O42)</f>
        <v>0</v>
      </c>
      <c r="P43" s="68">
        <f t="shared" si="116"/>
        <v>0</v>
      </c>
      <c r="Q43" s="52"/>
      <c r="R43" s="53"/>
      <c r="S43" s="51">
        <f t="shared" ref="S43:T43" si="117">SUM(S35:S42)</f>
        <v>0</v>
      </c>
      <c r="T43" s="68">
        <f t="shared" si="117"/>
        <v>0</v>
      </c>
      <c r="U43" s="53"/>
      <c r="V43" s="53"/>
      <c r="W43" s="51">
        <f t="shared" ref="W43:X43" si="118">SUM(W35:W42)</f>
        <v>37.12</v>
      </c>
      <c r="X43" s="68">
        <f t="shared" si="118"/>
        <v>0</v>
      </c>
      <c r="Y43" s="52"/>
      <c r="Z43" s="53"/>
      <c r="AA43" s="51">
        <f t="shared" ref="AA43:AB43" si="119">SUM(AA35:AA42)</f>
        <v>518.56</v>
      </c>
      <c r="AB43" s="68">
        <f t="shared" si="119"/>
        <v>0</v>
      </c>
      <c r="AC43" s="53"/>
      <c r="AD43" s="53"/>
      <c r="AE43" s="51">
        <f t="shared" ref="AE43:AF43" si="120">SUM(AE35:AE42)</f>
        <v>4345</v>
      </c>
      <c r="AF43" s="68">
        <f t="shared" si="120"/>
        <v>5100</v>
      </c>
      <c r="AG43" s="52"/>
      <c r="AH43" s="53"/>
      <c r="AI43" s="183">
        <f t="shared" ref="AI43:AJ43" si="121">SUM(AI35:AI42)</f>
        <v>0</v>
      </c>
      <c r="AJ43" s="51">
        <f t="shared" si="121"/>
        <v>0</v>
      </c>
      <c r="AK43" s="52"/>
      <c r="AL43" s="53"/>
      <c r="AM43" s="183">
        <f t="shared" ref="AM43:AN43" si="122">SUM(AM35:AM42)</f>
        <v>0</v>
      </c>
      <c r="AN43" s="51">
        <f t="shared" si="122"/>
        <v>0</v>
      </c>
      <c r="AO43" s="52"/>
      <c r="AP43" s="53"/>
      <c r="AQ43" s="183">
        <f t="shared" ref="AQ43:AR43" si="123">SUM(AQ35:AQ42)</f>
        <v>2475</v>
      </c>
      <c r="AR43" s="51">
        <f t="shared" si="123"/>
        <v>0</v>
      </c>
      <c r="AS43" s="52"/>
      <c r="AT43" s="53"/>
      <c r="AU43" s="183">
        <f t="shared" ref="AU43:AV43" si="124">SUM(AU35:AU42)</f>
        <v>0</v>
      </c>
      <c r="AV43" s="68">
        <f t="shared" si="124"/>
        <v>0</v>
      </c>
      <c r="AW43" s="52"/>
      <c r="AX43" s="53"/>
      <c r="AY43" s="183">
        <f t="shared" ref="AY43:AZ43" si="125">SUM(AY35:AY42)</f>
        <v>0</v>
      </c>
      <c r="AZ43" s="68">
        <f t="shared" si="125"/>
        <v>0</v>
      </c>
      <c r="BA43" s="52"/>
      <c r="BB43" s="53"/>
      <c r="BC43" s="183">
        <f t="shared" ref="BC43:BD43" si="126">SUM(BC35:BC42)</f>
        <v>0</v>
      </c>
      <c r="BD43" s="68">
        <f t="shared" si="126"/>
        <v>0</v>
      </c>
      <c r="BE43" s="69"/>
      <c r="BF43" s="70">
        <f t="shared" ref="BF43:BH43" si="127">SUM(BF35:BF42)</f>
        <v>7375.68</v>
      </c>
      <c r="BG43" s="71">
        <f t="shared" si="127"/>
        <v>5100</v>
      </c>
      <c r="BH43" s="72">
        <f t="shared" si="127"/>
        <v>2436.19</v>
      </c>
      <c r="BI43" s="34">
        <f>H43+BF43-BG43</f>
        <v>2436.19</v>
      </c>
      <c r="BJ43" s="34">
        <f>BH43-BI43</f>
        <v>0</v>
      </c>
      <c r="BK43" s="2" t="b">
        <f>H43='2019'!BH39</f>
        <v>0</v>
      </c>
    </row>
    <row r="44" ht="14.25" customHeight="1" hidden="1" spans="1:63" x14ac:dyDescent="0.25">
      <c r="A44" s="175">
        <v>5</v>
      </c>
      <c r="B44" s="14"/>
      <c r="D44" s="14" t="s">
        <v>379</v>
      </c>
      <c r="F44" s="13"/>
      <c r="G44" s="28"/>
      <c r="H44" s="34">
        <f>'2019'!BH40</f>
        <v>0</v>
      </c>
      <c r="I44" s="15"/>
      <c r="J44" s="15"/>
      <c r="K44" s="15"/>
      <c r="L44" s="28"/>
      <c r="M44" s="15"/>
      <c r="N44" s="15"/>
      <c r="O44" s="15"/>
      <c r="P44" s="15"/>
      <c r="Q44" s="13"/>
      <c r="R44" s="15"/>
      <c r="S44" s="15"/>
      <c r="T44" s="28"/>
      <c r="U44" s="15"/>
      <c r="V44" s="15"/>
      <c r="W44" s="15"/>
      <c r="X44" s="15"/>
      <c r="Y44" s="13"/>
      <c r="Z44" s="15"/>
      <c r="AA44" s="15"/>
      <c r="AB44" s="28"/>
      <c r="AC44" s="15"/>
      <c r="AD44" s="15"/>
      <c r="AE44" s="15"/>
      <c r="AF44" s="15"/>
      <c r="AG44" s="13"/>
      <c r="AH44" s="15"/>
      <c r="AI44" s="45"/>
      <c r="AJ44" s="15"/>
      <c r="AK44" s="13"/>
      <c r="AL44" s="15"/>
      <c r="AM44" s="45"/>
      <c r="AN44" s="15"/>
      <c r="AO44" s="13"/>
      <c r="AP44" s="15"/>
      <c r="AQ44" s="45"/>
      <c r="AR44" s="15"/>
      <c r="AS44" s="13"/>
      <c r="AT44" s="15"/>
      <c r="AU44" s="45"/>
      <c r="AV44" s="15"/>
      <c r="AW44" s="13"/>
      <c r="AY44" s="45"/>
      <c r="AZ44" s="28"/>
      <c r="BA44" s="13"/>
      <c r="BB44" s="15"/>
      <c r="BC44" s="45"/>
      <c r="BD44" s="15"/>
      <c r="BE44" s="14"/>
      <c r="BF44" s="41">
        <f t="shared" ref="BF44:BG44" si="128">K44+O44+S44+W44+AA44+AE44+AI44+AM44+AQ44+AU44+AY44+BC44</f>
        <v>0</v>
      </c>
      <c r="BG44" s="34">
        <f t="shared" si="128"/>
        <v>0</v>
      </c>
      <c r="BH44" s="35">
        <f t="shared" ref="BH44:BH51" si="129">H44+BF44-BG44</f>
        <v>0</v>
      </c>
      <c r="BK44" s="2" t="b">
        <f>H44='2019'!BH40</f>
        <v>1</v>
      </c>
    </row>
    <row r="45" ht="14.25" customHeight="1" hidden="1" spans="1:63" x14ac:dyDescent="0.25">
      <c r="A45" s="176">
        <v>5</v>
      </c>
      <c r="B45" s="14">
        <v>5.08</v>
      </c>
      <c r="C45" s="2" t="s">
        <v>488</v>
      </c>
      <c r="D45" s="14" t="s">
        <v>44</v>
      </c>
      <c r="E45" s="2" t="s">
        <v>45</v>
      </c>
      <c r="F45" s="41">
        <v>2.5</v>
      </c>
      <c r="G45" s="35">
        <v>2.6</v>
      </c>
      <c r="H45" s="34">
        <f>'2019'!BH41</f>
        <v>-197.51</v>
      </c>
      <c r="I45" s="13">
        <v>93</v>
      </c>
      <c r="J45" s="15">
        <f>I45-'2019'!BA41</f>
        <v>0</v>
      </c>
      <c r="K45" s="34">
        <f>J45*$F$8</f>
        <v>0</v>
      </c>
      <c r="L45" s="28"/>
      <c r="M45" s="15">
        <v>93</v>
      </c>
      <c r="N45" s="15">
        <f>M45-I45</f>
        <v>0</v>
      </c>
      <c r="O45" s="34">
        <f>N45*$F$8</f>
        <v>0</v>
      </c>
      <c r="P45" s="15"/>
      <c r="Q45" s="13">
        <v>93</v>
      </c>
      <c r="R45" s="15">
        <f>Q45-M45</f>
        <v>0</v>
      </c>
      <c r="S45" s="34">
        <f>R45*$F$8</f>
        <v>0</v>
      </c>
      <c r="T45" s="28"/>
      <c r="U45" s="15">
        <v>93</v>
      </c>
      <c r="V45" s="15">
        <f t="shared" ref="V45:V46" si="130">U45-Q45</f>
        <v>0</v>
      </c>
      <c r="W45" s="34">
        <f>V45*$F$8</f>
        <v>0</v>
      </c>
      <c r="X45" s="15"/>
      <c r="Y45" s="13">
        <v>93</v>
      </c>
      <c r="Z45" s="15">
        <f t="shared" ref="Z45:Z46" si="131">Y45-U45</f>
        <v>0</v>
      </c>
      <c r="AA45" s="34">
        <f>Z45*$F$8</f>
        <v>0</v>
      </c>
      <c r="AB45" s="28"/>
      <c r="AC45" s="13">
        <v>93</v>
      </c>
      <c r="AD45" s="15">
        <f t="shared" ref="AD45:AD46" si="132">AC45-Y45</f>
        <v>0</v>
      </c>
      <c r="AE45" s="45">
        <f>AD45*$G$8</f>
        <v>0</v>
      </c>
      <c r="AF45" s="15"/>
      <c r="AG45" s="13">
        <v>93</v>
      </c>
      <c r="AH45" s="15">
        <f t="shared" ref="AH45:AH46" si="133">AG45-AC45</f>
        <v>0</v>
      </c>
      <c r="AI45" s="45"/>
      <c r="AJ45" s="180"/>
      <c r="AK45" s="13">
        <v>93</v>
      </c>
      <c r="AL45" s="15">
        <f t="shared" ref="AL45:AL46" si="134">AK45-AG45</f>
        <v>0</v>
      </c>
      <c r="AM45" s="45">
        <f>AL45*$G$8</f>
        <v>0</v>
      </c>
      <c r="AN45" s="15"/>
      <c r="AO45" s="13">
        <v>93</v>
      </c>
      <c r="AP45" s="15">
        <f t="shared" ref="AP45:AP46" si="135">AO45-AK45</f>
        <v>0</v>
      </c>
      <c r="AQ45" s="45">
        <f>AP45*$G$8</f>
        <v>0</v>
      </c>
      <c r="AR45" s="15"/>
      <c r="AS45" s="13">
        <v>93</v>
      </c>
      <c r="AT45" s="15">
        <f t="shared" ref="AT45:AT46" si="136">AS45-AO45</f>
        <v>0</v>
      </c>
      <c r="AU45" s="45">
        <f>AT45*$G$8</f>
        <v>0</v>
      </c>
      <c r="AV45" s="15"/>
      <c r="AW45" s="13">
        <v>6</v>
      </c>
      <c r="AX45" s="2">
        <v>6</v>
      </c>
      <c r="AY45" s="45">
        <f>AX45*$G$8</f>
        <v>15.6</v>
      </c>
      <c r="AZ45" s="32">
        <v>52.72</v>
      </c>
      <c r="BA45" s="13">
        <v>6</v>
      </c>
      <c r="BB45" s="15">
        <f t="shared" ref="BB45:BB46" si="137">BA45-AW45</f>
        <v>0</v>
      </c>
      <c r="BC45" s="45">
        <f>BB45*$G$8</f>
        <v>0</v>
      </c>
      <c r="BD45" s="15"/>
      <c r="BE45" s="40">
        <f t="shared" ref="BE45:BG45" si="138">J45+N45+R45+V45+Z45+AD45+AH45+AL45+AP45+AT45+AX45+BB45</f>
        <v>6</v>
      </c>
      <c r="BF45" s="41">
        <f t="shared" si="138"/>
        <v>15.6</v>
      </c>
      <c r="BG45" s="34">
        <f t="shared" si="138"/>
        <v>52.72</v>
      </c>
      <c r="BH45" s="35">
        <f t="shared" si="129"/>
        <v>-234.63</v>
      </c>
      <c r="BK45" s="2" t="b">
        <f>H45='2019'!BH41</f>
        <v>1</v>
      </c>
    </row>
    <row r="46" ht="14.25" customHeight="1" hidden="1" spans="1:63" x14ac:dyDescent="0.25">
      <c r="A46" s="176">
        <v>5</v>
      </c>
      <c r="B46" s="14"/>
      <c r="C46" s="2" t="s">
        <v>61</v>
      </c>
      <c r="D46" s="14" t="s">
        <v>47</v>
      </c>
      <c r="E46" s="2" t="s">
        <v>48</v>
      </c>
      <c r="F46" s="13">
        <v>18.56</v>
      </c>
      <c r="G46" s="35">
        <v>19.46</v>
      </c>
      <c r="H46" s="34">
        <f>'2019'!BH42</f>
        <v>11.24</v>
      </c>
      <c r="I46" s="15">
        <v>152</v>
      </c>
      <c r="J46" s="15"/>
      <c r="K46" s="15"/>
      <c r="L46" s="28"/>
      <c r="M46" s="15">
        <v>152</v>
      </c>
      <c r="N46" s="15"/>
      <c r="O46" s="15"/>
      <c r="P46" s="15"/>
      <c r="Q46" s="13">
        <v>152</v>
      </c>
      <c r="R46" s="15"/>
      <c r="S46" s="15"/>
      <c r="T46" s="28"/>
      <c r="U46" s="15">
        <v>154</v>
      </c>
      <c r="V46" s="15">
        <f t="shared" si="130"/>
        <v>2</v>
      </c>
      <c r="W46" s="15">
        <f>V46*$F$10</f>
        <v>37.12</v>
      </c>
      <c r="X46" s="15"/>
      <c r="Y46" s="13">
        <v>156</v>
      </c>
      <c r="Z46" s="15">
        <f t="shared" si="131"/>
        <v>2</v>
      </c>
      <c r="AA46" s="34">
        <f>Z46*$F$10</f>
        <v>37.12</v>
      </c>
      <c r="AB46" s="28"/>
      <c r="AC46" s="15">
        <v>159</v>
      </c>
      <c r="AD46" s="15">
        <f t="shared" si="132"/>
        <v>3</v>
      </c>
      <c r="AE46" s="34">
        <f>AD46*$F$10</f>
        <v>55.68</v>
      </c>
      <c r="AF46" s="15"/>
      <c r="AG46" s="13">
        <v>165</v>
      </c>
      <c r="AH46" s="15">
        <f t="shared" si="133"/>
        <v>6</v>
      </c>
      <c r="AI46" s="45">
        <f>AH46*$G$10</f>
        <v>116.76</v>
      </c>
      <c r="AJ46" s="185">
        <f>199.54+12.46</f>
        <v>212</v>
      </c>
      <c r="AK46" s="13">
        <v>168</v>
      </c>
      <c r="AL46" s="15">
        <f t="shared" si="134"/>
        <v>3</v>
      </c>
      <c r="AM46" s="45">
        <f>AL46*$G$10</f>
        <v>58.38</v>
      </c>
      <c r="AN46" s="15"/>
      <c r="AO46" s="13">
        <v>176</v>
      </c>
      <c r="AP46" s="15">
        <f t="shared" si="135"/>
        <v>8</v>
      </c>
      <c r="AQ46" s="45">
        <f>AP46*$G$10</f>
        <v>155.68</v>
      </c>
      <c r="AR46" s="15"/>
      <c r="AS46" s="13">
        <v>181</v>
      </c>
      <c r="AT46" s="15">
        <f t="shared" si="136"/>
        <v>5</v>
      </c>
      <c r="AU46" s="45">
        <f>AT46*$G$10</f>
        <v>97.3</v>
      </c>
      <c r="AV46" s="15"/>
      <c r="AW46" s="13">
        <v>181</v>
      </c>
      <c r="AX46" s="2">
        <f>AW46-AS46</f>
        <v>0</v>
      </c>
      <c r="AY46" s="45"/>
      <c r="AZ46" s="32">
        <v>357.28</v>
      </c>
      <c r="BA46" s="13">
        <v>181</v>
      </c>
      <c r="BB46" s="15">
        <f t="shared" si="137"/>
        <v>0</v>
      </c>
      <c r="BC46" s="45"/>
      <c r="BD46" s="15"/>
      <c r="BE46" s="40">
        <f t="shared" ref="BE46:BG46" si="139">J46+N46+R46+V46+Z46+AD46+AH46+AL46+AP46+AT46+AX46+BB46</f>
        <v>29</v>
      </c>
      <c r="BF46" s="41">
        <f t="shared" si="139"/>
        <v>558.04</v>
      </c>
      <c r="BG46" s="34">
        <f t="shared" si="139"/>
        <v>569.28</v>
      </c>
      <c r="BH46" s="35">
        <f t="shared" si="129"/>
        <v>0</v>
      </c>
      <c r="BK46" s="2" t="b">
        <f>H46='2019'!BH42</f>
        <v>1</v>
      </c>
    </row>
    <row r="47" ht="14.25" customHeight="1" hidden="1" spans="1:63" x14ac:dyDescent="0.25">
      <c r="A47" s="176">
        <v>5</v>
      </c>
      <c r="B47" s="14"/>
      <c r="C47" s="2" t="s">
        <v>102</v>
      </c>
      <c r="D47" s="14" t="s">
        <v>47</v>
      </c>
      <c r="E47" s="2" t="s">
        <v>49</v>
      </c>
      <c r="F47" s="41">
        <v>500</v>
      </c>
      <c r="G47" s="35"/>
      <c r="H47" s="34">
        <f>'2019'!BH43</f>
        <v>0</v>
      </c>
      <c r="I47" s="15"/>
      <c r="J47" s="15"/>
      <c r="K47" s="15"/>
      <c r="L47" s="28"/>
      <c r="M47" s="15"/>
      <c r="N47" s="15"/>
      <c r="O47" s="15"/>
      <c r="P47" s="15"/>
      <c r="Q47" s="13"/>
      <c r="R47" s="15"/>
      <c r="S47" s="15"/>
      <c r="T47" s="28"/>
      <c r="U47" s="15"/>
      <c r="V47" s="15"/>
      <c r="W47" s="15"/>
      <c r="X47" s="15"/>
      <c r="Y47" s="13"/>
      <c r="Z47" s="15"/>
      <c r="AA47" s="15"/>
      <c r="AB47" s="28"/>
      <c r="AC47" s="15"/>
      <c r="AD47" s="15"/>
      <c r="AE47" s="34"/>
      <c r="AF47" s="15"/>
      <c r="AG47" s="13"/>
      <c r="AH47" s="15"/>
      <c r="AI47" s="45"/>
      <c r="AJ47" s="15"/>
      <c r="AK47" s="13"/>
      <c r="AL47" s="15"/>
      <c r="AM47" s="45"/>
      <c r="AN47" s="15"/>
      <c r="AO47" s="13"/>
      <c r="AP47" s="15"/>
      <c r="AQ47" s="45"/>
      <c r="AR47" s="15"/>
      <c r="AS47" s="13"/>
      <c r="AT47" s="15"/>
      <c r="AU47" s="45"/>
      <c r="AV47" s="15"/>
      <c r="AW47" s="13"/>
      <c r="AY47" s="45"/>
      <c r="AZ47" s="32"/>
      <c r="BA47" s="13"/>
      <c r="BB47" s="15"/>
      <c r="BC47" s="45"/>
      <c r="BD47" s="15"/>
      <c r="BE47" s="14"/>
      <c r="BF47" s="41">
        <f t="shared" ref="BF47:BG47" si="140">K47+O47+S47+W47+AA47+AE47+AI47+AM47+AQ47+AU47+AY47+BC47</f>
        <v>0</v>
      </c>
      <c r="BG47" s="34">
        <f t="shared" si="140"/>
        <v>0</v>
      </c>
      <c r="BH47" s="35">
        <f t="shared" si="129"/>
        <v>0</v>
      </c>
      <c r="BK47" s="2" t="b">
        <f>H47='2019'!BH43</f>
        <v>1</v>
      </c>
    </row>
    <row r="48" ht="14.25" customHeight="1" hidden="1" spans="1:63" x14ac:dyDescent="0.25">
      <c r="A48" s="176">
        <v>5</v>
      </c>
      <c r="B48" s="14"/>
      <c r="C48" s="2" t="s">
        <v>489</v>
      </c>
      <c r="D48" s="14" t="s">
        <v>50</v>
      </c>
      <c r="E48" s="2" t="s">
        <v>49</v>
      </c>
      <c r="F48" s="41">
        <v>1100</v>
      </c>
      <c r="G48" s="35"/>
      <c r="H48" s="182">
        <f>'2019'!BH44-0.0004</f>
        <v>0</v>
      </c>
      <c r="I48" s="15"/>
      <c r="J48" s="15"/>
      <c r="K48" s="15"/>
      <c r="L48" s="28"/>
      <c r="M48" s="15"/>
      <c r="N48" s="15"/>
      <c r="O48" s="15"/>
      <c r="P48" s="15"/>
      <c r="Q48" s="13"/>
      <c r="R48" s="15"/>
      <c r="S48" s="15"/>
      <c r="T48" s="28"/>
      <c r="U48" s="15"/>
      <c r="V48" s="15"/>
      <c r="W48" s="15"/>
      <c r="X48" s="15"/>
      <c r="Y48" s="13"/>
      <c r="Z48" s="15"/>
      <c r="AA48" s="15"/>
      <c r="AB48" s="28"/>
      <c r="AC48" s="15"/>
      <c r="AD48" s="15"/>
      <c r="AE48" s="34">
        <f>B45*$F$12</f>
        <v>5588</v>
      </c>
      <c r="AF48" s="15"/>
      <c r="AG48" s="13"/>
      <c r="AH48" s="15"/>
      <c r="AI48" s="45"/>
      <c r="AJ48" s="185">
        <v>5588</v>
      </c>
      <c r="AK48" s="13"/>
      <c r="AL48" s="15"/>
      <c r="AM48" s="45"/>
      <c r="AN48" s="15"/>
      <c r="AO48" s="13"/>
      <c r="AP48" s="15"/>
      <c r="AQ48" s="45"/>
      <c r="AR48" s="15"/>
      <c r="AS48" s="13"/>
      <c r="AT48" s="15"/>
      <c r="AU48" s="45"/>
      <c r="AV48" s="15"/>
      <c r="AW48" s="13"/>
      <c r="AY48" s="45"/>
      <c r="AZ48" s="32"/>
      <c r="BA48" s="13"/>
      <c r="BB48" s="15"/>
      <c r="BC48" s="45"/>
      <c r="BD48" s="15"/>
      <c r="BE48" s="14"/>
      <c r="BF48" s="41">
        <f t="shared" ref="BF48:BG48" si="141">K48+O48+S48+W48+AA48+AE48+AI48+AM48+AQ48+AU48+AY48+BC48</f>
        <v>5588</v>
      </c>
      <c r="BG48" s="34">
        <f t="shared" si="141"/>
        <v>5588</v>
      </c>
      <c r="BH48" s="35">
        <f t="shared" si="129"/>
        <v>0</v>
      </c>
      <c r="BK48" s="2" t="b">
        <f>H48='2019'!BH44</f>
        <v>0</v>
      </c>
    </row>
    <row r="49" ht="14.25" customHeight="1" hidden="1" spans="1:63" x14ac:dyDescent="0.25">
      <c r="A49" s="176">
        <v>5</v>
      </c>
      <c r="B49" s="14"/>
      <c r="D49" s="14" t="s">
        <v>51</v>
      </c>
      <c r="E49" s="2" t="s">
        <v>39</v>
      </c>
      <c r="F49" s="41">
        <v>500</v>
      </c>
      <c r="G49" s="35"/>
      <c r="H49" s="34">
        <f>'2019'!BH45</f>
        <v>0</v>
      </c>
      <c r="I49" s="15"/>
      <c r="J49" s="15"/>
      <c r="K49" s="15"/>
      <c r="L49" s="28"/>
      <c r="M49" s="15"/>
      <c r="N49" s="15"/>
      <c r="O49" s="15"/>
      <c r="P49" s="15"/>
      <c r="Q49" s="13"/>
      <c r="R49" s="15"/>
      <c r="S49" s="15"/>
      <c r="T49" s="28"/>
      <c r="U49" s="15"/>
      <c r="V49" s="15"/>
      <c r="W49" s="15"/>
      <c r="X49" s="15"/>
      <c r="Y49" s="13"/>
      <c r="Z49" s="15"/>
      <c r="AA49" s="15"/>
      <c r="AB49" s="28"/>
      <c r="AC49" s="15"/>
      <c r="AD49" s="15"/>
      <c r="AE49" s="34"/>
      <c r="AF49" s="15"/>
      <c r="AG49" s="13"/>
      <c r="AH49" s="15"/>
      <c r="AI49" s="45"/>
      <c r="AJ49" s="180"/>
      <c r="AK49" s="13"/>
      <c r="AL49" s="15"/>
      <c r="AM49" s="45"/>
      <c r="AN49" s="15"/>
      <c r="AO49" s="13"/>
      <c r="AP49" s="15"/>
      <c r="AQ49" s="45">
        <f>$F$13</f>
        <v>500</v>
      </c>
      <c r="AR49" s="15"/>
      <c r="AS49" s="13"/>
      <c r="AT49" s="15"/>
      <c r="AU49" s="45"/>
      <c r="AV49" s="15"/>
      <c r="AW49" s="13"/>
      <c r="AY49" s="45"/>
      <c r="AZ49" s="32"/>
      <c r="BA49" s="13"/>
      <c r="BB49" s="15"/>
      <c r="BC49" s="45"/>
      <c r="BD49" s="15"/>
      <c r="BE49" s="14"/>
      <c r="BF49" s="41">
        <f t="shared" ref="BF49:BG49" si="142">K49+O49+S49+W49+AA49+AE49+AI49+AM49+AQ49+AU49+AY49+BC49</f>
        <v>500</v>
      </c>
      <c r="BG49" s="34">
        <f t="shared" si="142"/>
        <v>0</v>
      </c>
      <c r="BH49" s="35">
        <f t="shared" si="129"/>
        <v>500</v>
      </c>
      <c r="BK49" s="2" t="b">
        <f>H49='2019'!BH45</f>
        <v>1</v>
      </c>
    </row>
    <row r="50" ht="14.25" customHeight="1" hidden="1" spans="1:60" x14ac:dyDescent="0.25">
      <c r="A50" s="176">
        <v>5</v>
      </c>
      <c r="B50" s="14"/>
      <c r="D50" s="14" t="s">
        <v>51</v>
      </c>
      <c r="E50" s="2" t="s">
        <v>49</v>
      </c>
      <c r="F50" s="41">
        <v>500</v>
      </c>
      <c r="G50" s="35"/>
      <c r="H50" s="34"/>
      <c r="I50" s="15"/>
      <c r="J50" s="15"/>
      <c r="K50" s="15"/>
      <c r="L50" s="28"/>
      <c r="M50" s="15"/>
      <c r="N50" s="15"/>
      <c r="O50" s="15"/>
      <c r="P50" s="15"/>
      <c r="Q50" s="13"/>
      <c r="R50" s="15"/>
      <c r="S50" s="15"/>
      <c r="T50" s="28"/>
      <c r="U50" s="15"/>
      <c r="V50" s="15"/>
      <c r="W50" s="15"/>
      <c r="X50" s="15"/>
      <c r="Y50" s="13"/>
      <c r="Z50" s="15"/>
      <c r="AA50" s="15"/>
      <c r="AB50" s="28"/>
      <c r="AC50" s="15"/>
      <c r="AD50" s="15"/>
      <c r="AE50" s="34"/>
      <c r="AF50" s="15"/>
      <c r="AG50" s="13"/>
      <c r="AH50" s="15"/>
      <c r="AI50" s="45"/>
      <c r="AJ50" s="180"/>
      <c r="AK50" s="13"/>
      <c r="AL50" s="15"/>
      <c r="AM50" s="45"/>
      <c r="AN50" s="15"/>
      <c r="AO50" s="13"/>
      <c r="AP50" s="15"/>
      <c r="AQ50" s="34">
        <f>B45*$F$14</f>
        <v>2540</v>
      </c>
      <c r="AR50" s="15"/>
      <c r="AS50" s="13"/>
      <c r="AT50" s="15"/>
      <c r="AU50" s="45"/>
      <c r="AV50" s="15"/>
      <c r="AW50" s="13"/>
      <c r="AY50" s="45"/>
      <c r="AZ50" s="38">
        <v>2540</v>
      </c>
      <c r="BA50" s="13"/>
      <c r="BB50" s="15"/>
      <c r="BC50" s="45"/>
      <c r="BD50" s="15"/>
      <c r="BE50" s="14"/>
      <c r="BF50" s="41">
        <f t="shared" ref="BF50:BG50" si="143">K50+O50+S50+W50+AA50+AE50+AI50+AM50+AQ50+AU50+AY50+BC50</f>
        <v>2540</v>
      </c>
      <c r="BG50" s="34">
        <f t="shared" si="143"/>
        <v>2540</v>
      </c>
      <c r="BH50" s="35">
        <f t="shared" si="129"/>
        <v>0</v>
      </c>
    </row>
    <row r="51" ht="14.25" customHeight="1" hidden="1" spans="1:63" x14ac:dyDescent="0.25">
      <c r="A51" s="176">
        <v>5</v>
      </c>
      <c r="B51" s="14"/>
      <c r="D51" s="14" t="s">
        <v>52</v>
      </c>
      <c r="E51" s="2" t="s">
        <v>39</v>
      </c>
      <c r="F51" s="41">
        <v>500</v>
      </c>
      <c r="G51" s="35"/>
      <c r="H51" s="34">
        <f>'2019'!BH46</f>
        <v>0</v>
      </c>
      <c r="I51" s="15"/>
      <c r="J51" s="15"/>
      <c r="K51" s="15"/>
      <c r="L51" s="28"/>
      <c r="M51" s="15"/>
      <c r="N51" s="15"/>
      <c r="O51" s="15"/>
      <c r="P51" s="15"/>
      <c r="Q51" s="13"/>
      <c r="R51" s="15"/>
      <c r="S51" s="15"/>
      <c r="T51" s="28"/>
      <c r="U51" s="15"/>
      <c r="V51" s="15"/>
      <c r="W51" s="15"/>
      <c r="X51" s="15"/>
      <c r="Y51" s="13"/>
      <c r="Z51" s="15"/>
      <c r="AA51" s="34">
        <f>$F$11</f>
        <v>500</v>
      </c>
      <c r="AB51" s="28"/>
      <c r="AC51" s="15"/>
      <c r="AD51" s="15"/>
      <c r="AE51" s="15"/>
      <c r="AF51" s="15"/>
      <c r="AG51" s="13"/>
      <c r="AH51" s="15"/>
      <c r="AI51" s="45"/>
      <c r="AJ51" s="185">
        <v>500</v>
      </c>
      <c r="AK51" s="13"/>
      <c r="AL51" s="15"/>
      <c r="AM51" s="45"/>
      <c r="AN51" s="15"/>
      <c r="AO51" s="13"/>
      <c r="AP51" s="15"/>
      <c r="AQ51" s="45"/>
      <c r="AR51" s="15"/>
      <c r="AS51" s="13"/>
      <c r="AT51" s="15"/>
      <c r="AU51" s="45"/>
      <c r="AV51" s="15"/>
      <c r="AW51" s="13"/>
      <c r="AY51" s="45"/>
      <c r="AZ51" s="28"/>
      <c r="BA51" s="13"/>
      <c r="BB51" s="15"/>
      <c r="BC51" s="45"/>
      <c r="BD51" s="15"/>
      <c r="BE51" s="14"/>
      <c r="BF51" s="41">
        <f t="shared" ref="BF51:BG51" si="144">K51+O51+S51+W51+AA51+AE51+AI51+AM51+AQ51+AU51+AY51+BC51</f>
        <v>500</v>
      </c>
      <c r="BG51" s="34">
        <f t="shared" si="144"/>
        <v>500</v>
      </c>
      <c r="BH51" s="35">
        <f t="shared" si="129"/>
        <v>0</v>
      </c>
      <c r="BK51" s="2" t="b">
        <f>H51='2019'!BH46</f>
        <v>1</v>
      </c>
    </row>
    <row r="52" ht="14.25" customHeight="1" hidden="1" spans="1:63" x14ac:dyDescent="0.25">
      <c r="A52" s="177">
        <v>5</v>
      </c>
      <c r="B52" s="21"/>
      <c r="C52" s="22" t="s">
        <v>53</v>
      </c>
      <c r="D52" s="21"/>
      <c r="E52" s="22"/>
      <c r="F52" s="20"/>
      <c r="G52" s="23"/>
      <c r="H52" s="51">
        <f>SUM(H44:H51)</f>
        <v>-186.27</v>
      </c>
      <c r="I52" s="53"/>
      <c r="J52" s="53"/>
      <c r="K52" s="51">
        <f t="shared" ref="K52:L52" si="145">SUM(K44:K51)</f>
        <v>0</v>
      </c>
      <c r="L52" s="68">
        <f t="shared" si="145"/>
        <v>0</v>
      </c>
      <c r="M52" s="53"/>
      <c r="N52" s="53"/>
      <c r="O52" s="51">
        <f t="shared" ref="O52:P52" si="146">SUM(O44:O51)</f>
        <v>0</v>
      </c>
      <c r="P52" s="68">
        <f t="shared" si="146"/>
        <v>0</v>
      </c>
      <c r="Q52" s="52"/>
      <c r="R52" s="53"/>
      <c r="S52" s="51">
        <f t="shared" ref="S52:T52" si="147">SUM(S44:S51)</f>
        <v>0</v>
      </c>
      <c r="T52" s="68">
        <f t="shared" si="147"/>
        <v>0</v>
      </c>
      <c r="U52" s="53"/>
      <c r="V52" s="53"/>
      <c r="W52" s="51">
        <f t="shared" ref="W52:X52" si="148">SUM(W44:W51)</f>
        <v>37.12</v>
      </c>
      <c r="X52" s="68">
        <f t="shared" si="148"/>
        <v>0</v>
      </c>
      <c r="Y52" s="52"/>
      <c r="Z52" s="53"/>
      <c r="AA52" s="51">
        <f t="shared" ref="AA52:AB52" si="149">SUM(AA44:AA51)</f>
        <v>537.12</v>
      </c>
      <c r="AB52" s="68">
        <f t="shared" si="149"/>
        <v>0</v>
      </c>
      <c r="AC52" s="53"/>
      <c r="AD52" s="53"/>
      <c r="AE52" s="51">
        <f t="shared" ref="AE52:AF52" si="150">SUM(AE44:AE51)</f>
        <v>5643.68</v>
      </c>
      <c r="AF52" s="68">
        <f t="shared" si="150"/>
        <v>0</v>
      </c>
      <c r="AG52" s="52"/>
      <c r="AH52" s="53"/>
      <c r="AI52" s="183">
        <f t="shared" ref="AI52:AJ52" si="151">SUM(AI44:AI51)</f>
        <v>116.76</v>
      </c>
      <c r="AJ52" s="51">
        <f t="shared" si="151"/>
        <v>6300</v>
      </c>
      <c r="AK52" s="52"/>
      <c r="AL52" s="53"/>
      <c r="AM52" s="183">
        <f t="shared" ref="AM52:AN52" si="152">SUM(AM44:AM51)</f>
        <v>58.38</v>
      </c>
      <c r="AN52" s="51">
        <f t="shared" si="152"/>
        <v>0</v>
      </c>
      <c r="AO52" s="52"/>
      <c r="AP52" s="53"/>
      <c r="AQ52" s="183">
        <f t="shared" ref="AQ52:AR52" si="153">SUM(AQ44:AQ51)</f>
        <v>3195.68</v>
      </c>
      <c r="AR52" s="51">
        <f t="shared" si="153"/>
        <v>0</v>
      </c>
      <c r="AS52" s="52"/>
      <c r="AT52" s="53"/>
      <c r="AU52" s="183">
        <f t="shared" ref="AU52:AV52" si="154">SUM(AU44:AU51)</f>
        <v>97.3</v>
      </c>
      <c r="AV52" s="68">
        <f t="shared" si="154"/>
        <v>0</v>
      </c>
      <c r="AW52" s="52"/>
      <c r="AX52" s="53"/>
      <c r="AY52" s="183">
        <f t="shared" ref="AY52:AZ52" si="155">SUM(AY44:AY51)</f>
        <v>15.6</v>
      </c>
      <c r="AZ52" s="68">
        <f t="shared" si="155"/>
        <v>2950</v>
      </c>
      <c r="BA52" s="52"/>
      <c r="BB52" s="53"/>
      <c r="BC52" s="183">
        <f t="shared" ref="BC52:BD52" si="156">SUM(BC44:BC51)</f>
        <v>0</v>
      </c>
      <c r="BD52" s="68">
        <f t="shared" si="156"/>
        <v>0</v>
      </c>
      <c r="BE52" s="69"/>
      <c r="BF52" s="70">
        <f t="shared" ref="BF52:BH52" si="157">SUM(BF44:BF51)</f>
        <v>9701.64</v>
      </c>
      <c r="BG52" s="71">
        <f t="shared" si="157"/>
        <v>9250</v>
      </c>
      <c r="BH52" s="72">
        <f t="shared" si="157"/>
        <v>265.37</v>
      </c>
      <c r="BI52" s="34">
        <f>H52+BF52-BG52</f>
        <v>265.37</v>
      </c>
      <c r="BJ52" s="34">
        <f>BH52-BI52</f>
        <v>0</v>
      </c>
      <c r="BK52" s="2" t="b">
        <f>H52='2019'!BH47</f>
        <v>0</v>
      </c>
    </row>
    <row r="53" ht="14.25" customHeight="1" hidden="1" spans="1:63" x14ac:dyDescent="0.25">
      <c r="A53" s="175">
        <v>6</v>
      </c>
      <c r="B53" s="14"/>
      <c r="C53" s="2"/>
      <c r="D53" s="14" t="s">
        <v>379</v>
      </c>
      <c r="F53" s="13"/>
      <c r="G53" s="28"/>
      <c r="H53" s="34">
        <f>'2019'!BH48</f>
        <v>2.1</v>
      </c>
      <c r="I53" s="15"/>
      <c r="J53" s="15"/>
      <c r="K53" s="15"/>
      <c r="L53" s="28"/>
      <c r="M53" s="15"/>
      <c r="N53" s="15"/>
      <c r="O53" s="15"/>
      <c r="P53" s="15"/>
      <c r="Q53" s="13"/>
      <c r="R53" s="15"/>
      <c r="S53" s="15"/>
      <c r="T53" s="28"/>
      <c r="U53" s="15"/>
      <c r="V53" s="15"/>
      <c r="W53" s="15"/>
      <c r="X53" s="15"/>
      <c r="Y53" s="13"/>
      <c r="Z53" s="15"/>
      <c r="AA53" s="15"/>
      <c r="AB53" s="28"/>
      <c r="AC53" s="15"/>
      <c r="AD53" s="15"/>
      <c r="AE53" s="15"/>
      <c r="AF53" s="15"/>
      <c r="AG53" s="13"/>
      <c r="AH53" s="15"/>
      <c r="AI53" s="45"/>
      <c r="AJ53" s="15"/>
      <c r="AK53" s="13"/>
      <c r="AL53" s="15"/>
      <c r="AM53" s="45"/>
      <c r="AN53" s="15"/>
      <c r="AO53" s="13"/>
      <c r="AP53" s="15"/>
      <c r="AQ53" s="45">
        <v>13.23</v>
      </c>
      <c r="AR53" s="15"/>
      <c r="AS53" s="13"/>
      <c r="AT53" s="15"/>
      <c r="AU53" s="45">
        <v>13.67</v>
      </c>
      <c r="AV53" s="15"/>
      <c r="AW53" s="13"/>
      <c r="AY53" s="45">
        <v>4.41</v>
      </c>
      <c r="AZ53" s="38">
        <v>29</v>
      </c>
      <c r="BA53" s="13"/>
      <c r="BB53" s="15"/>
      <c r="BC53" s="45"/>
      <c r="BD53" s="15"/>
      <c r="BE53" s="14"/>
      <c r="BF53" s="41">
        <f t="shared" ref="BF53:BG53" si="158">K53+O53+S53+W53+AA53+AE53+AI53+AM53+AQ53+AU53+AY53+BC53</f>
        <v>31.31</v>
      </c>
      <c r="BG53" s="34">
        <f t="shared" si="158"/>
        <v>29</v>
      </c>
      <c r="BH53" s="35">
        <f t="shared" ref="BH53:BH60" si="159">H53+BF53-BG53</f>
        <v>4.41</v>
      </c>
      <c r="BK53" s="2" t="b">
        <f>H53='2019'!BH48</f>
        <v>1</v>
      </c>
    </row>
    <row r="54" ht="14.25" customHeight="1" hidden="1" spans="1:63" x14ac:dyDescent="0.25">
      <c r="A54" s="176">
        <v>6</v>
      </c>
      <c r="B54" s="14">
        <v>4.01</v>
      </c>
      <c r="C54" s="2" t="s">
        <v>70</v>
      </c>
      <c r="D54" s="14" t="s">
        <v>44</v>
      </c>
      <c r="E54" s="2" t="s">
        <v>45</v>
      </c>
      <c r="F54" s="41">
        <v>2.5</v>
      </c>
      <c r="G54" s="35">
        <v>2.6</v>
      </c>
      <c r="H54" s="34">
        <f>'2019'!BH49</f>
        <v>17.5</v>
      </c>
      <c r="I54" s="13">
        <v>13</v>
      </c>
      <c r="J54" s="15">
        <f>I54-'2019'!BA49</f>
        <v>0</v>
      </c>
      <c r="K54" s="34">
        <f>J54*$F$8</f>
        <v>0</v>
      </c>
      <c r="L54" s="28"/>
      <c r="M54" s="15">
        <v>13</v>
      </c>
      <c r="N54" s="15">
        <f>M54-I54</f>
        <v>0</v>
      </c>
      <c r="O54" s="34">
        <f>N54*$F$8</f>
        <v>0</v>
      </c>
      <c r="P54" s="15"/>
      <c r="Q54" s="13">
        <v>13</v>
      </c>
      <c r="R54" s="15">
        <f>Q54-M54</f>
        <v>0</v>
      </c>
      <c r="S54" s="34">
        <f>R54*$F$8</f>
        <v>0</v>
      </c>
      <c r="T54" s="28"/>
      <c r="U54" s="15">
        <v>13</v>
      </c>
      <c r="V54" s="15">
        <f t="shared" ref="V54:V55" si="160">U54-Q54</f>
        <v>0</v>
      </c>
      <c r="W54" s="34">
        <f>V54*$F$8</f>
        <v>0</v>
      </c>
      <c r="X54" s="15"/>
      <c r="Y54" s="13">
        <v>14</v>
      </c>
      <c r="Z54" s="15">
        <f t="shared" ref="Z54:Z55" si="161">Y54-U54</f>
        <v>1</v>
      </c>
      <c r="AA54" s="34">
        <f>Z54*$F$8</f>
        <v>2.5</v>
      </c>
      <c r="AB54" s="28"/>
      <c r="AC54" s="13">
        <v>14</v>
      </c>
      <c r="AD54" s="15">
        <f t="shared" ref="AD54:AD55" si="162">AC54-Y54</f>
        <v>0</v>
      </c>
      <c r="AE54" s="45">
        <f>AD54*$G$8</f>
        <v>0</v>
      </c>
      <c r="AF54" s="15"/>
      <c r="AG54" s="13">
        <v>14</v>
      </c>
      <c r="AH54" s="15">
        <f t="shared" ref="AH54:AH55" si="163">AG54-AC54</f>
        <v>0</v>
      </c>
      <c r="AI54" s="45"/>
      <c r="AJ54" s="15"/>
      <c r="AK54" s="13">
        <v>14</v>
      </c>
      <c r="AL54" s="15">
        <f t="shared" ref="AL54:AL55" si="164">AK54-AG54</f>
        <v>0</v>
      </c>
      <c r="AM54" s="45">
        <f>AL54*$G$8</f>
        <v>0</v>
      </c>
      <c r="AN54" s="15"/>
      <c r="AO54" s="13">
        <v>14</v>
      </c>
      <c r="AP54" s="15">
        <f t="shared" ref="AP54:AP55" si="165">AO54-AK54</f>
        <v>0</v>
      </c>
      <c r="AQ54" s="45">
        <f>AP54*$G$8</f>
        <v>0</v>
      </c>
      <c r="AR54" s="15"/>
      <c r="AS54" s="13">
        <v>14</v>
      </c>
      <c r="AT54" s="15">
        <f t="shared" ref="AT54:AT55" si="166">AS54-AO54</f>
        <v>0</v>
      </c>
      <c r="AU54" s="45">
        <f>AT54*$G$8</f>
        <v>0</v>
      </c>
      <c r="AV54" s="15"/>
      <c r="AW54" s="13">
        <v>14</v>
      </c>
      <c r="AX54" s="2">
        <f t="shared" ref="AX54:AX55" si="167">AW54-AS54</f>
        <v>0</v>
      </c>
      <c r="AY54" s="45">
        <f>AX54*$G$8</f>
        <v>0</v>
      </c>
      <c r="AZ54" s="38">
        <v>20</v>
      </c>
      <c r="BA54" s="13">
        <v>14</v>
      </c>
      <c r="BB54" s="15">
        <f t="shared" ref="BB54:BB55" si="168">BA54-AW54</f>
        <v>0</v>
      </c>
      <c r="BC54" s="45">
        <f>BB54*$G$8</f>
        <v>0</v>
      </c>
      <c r="BD54" s="15"/>
      <c r="BE54" s="40">
        <f t="shared" ref="BE54:BG54" si="169">J54+N54+R54+V54+Z54+AD54+AH54+AL54+AP54+AT54+AX54+BB54</f>
        <v>1</v>
      </c>
      <c r="BF54" s="41">
        <f t="shared" si="169"/>
        <v>2.5</v>
      </c>
      <c r="BG54" s="34">
        <f t="shared" si="169"/>
        <v>20</v>
      </c>
      <c r="BH54" s="35">
        <f t="shared" si="159"/>
        <v>0</v>
      </c>
      <c r="BK54" s="2" t="b">
        <f>H54='2019'!BH49</f>
        <v>1</v>
      </c>
    </row>
    <row r="55" ht="14.25" customHeight="1" hidden="1" spans="1:63" x14ac:dyDescent="0.25">
      <c r="A55" s="176">
        <v>6</v>
      </c>
      <c r="B55" s="14"/>
      <c r="C55" s="2" t="s">
        <v>71</v>
      </c>
      <c r="D55" s="14" t="s">
        <v>47</v>
      </c>
      <c r="E55" s="2" t="s">
        <v>48</v>
      </c>
      <c r="F55" s="13">
        <v>18.56</v>
      </c>
      <c r="G55" s="35">
        <v>19.46</v>
      </c>
      <c r="H55" s="34">
        <f>'2019'!BH50</f>
        <v>0</v>
      </c>
      <c r="I55" s="186">
        <v>250</v>
      </c>
      <c r="J55" s="15"/>
      <c r="K55" s="15"/>
      <c r="L55" s="28"/>
      <c r="M55" s="186">
        <v>250</v>
      </c>
      <c r="N55" s="15"/>
      <c r="O55" s="15"/>
      <c r="P55" s="15"/>
      <c r="Q55" s="184">
        <v>250</v>
      </c>
      <c r="R55" s="15"/>
      <c r="S55" s="15"/>
      <c r="T55" s="28"/>
      <c r="U55" s="15">
        <v>252</v>
      </c>
      <c r="V55" s="15">
        <f t="shared" si="160"/>
        <v>2</v>
      </c>
      <c r="W55" s="34">
        <f>V55*$F$10</f>
        <v>37.12</v>
      </c>
      <c r="X55" s="15"/>
      <c r="Y55" s="13">
        <v>252</v>
      </c>
      <c r="Z55" s="15">
        <f t="shared" si="161"/>
        <v>0</v>
      </c>
      <c r="AA55" s="34">
        <f>Z55*$F$10</f>
        <v>0</v>
      </c>
      <c r="AB55" s="28"/>
      <c r="AC55" s="13">
        <v>252</v>
      </c>
      <c r="AD55" s="15">
        <f t="shared" si="162"/>
        <v>0</v>
      </c>
      <c r="AE55" s="34">
        <f>AD55*$F$10</f>
        <v>0</v>
      </c>
      <c r="AF55" s="15"/>
      <c r="AG55" s="13">
        <v>252</v>
      </c>
      <c r="AH55" s="15">
        <f t="shared" si="163"/>
        <v>0</v>
      </c>
      <c r="AI55" s="45">
        <f>AH55*$G$10</f>
        <v>0</v>
      </c>
      <c r="AJ55" s="15"/>
      <c r="AK55" s="13">
        <v>268</v>
      </c>
      <c r="AL55" s="15">
        <f t="shared" si="164"/>
        <v>16</v>
      </c>
      <c r="AM55" s="45">
        <f>AL55*$G$10</f>
        <v>311.36</v>
      </c>
      <c r="AN55" s="15"/>
      <c r="AO55" s="13">
        <v>268</v>
      </c>
      <c r="AP55" s="15">
        <f t="shared" si="165"/>
        <v>0</v>
      </c>
      <c r="AQ55" s="45">
        <f>AP55*$G$10</f>
        <v>0</v>
      </c>
      <c r="AR55" s="15"/>
      <c r="AS55" s="13">
        <v>268</v>
      </c>
      <c r="AT55" s="15">
        <f t="shared" si="166"/>
        <v>0</v>
      </c>
      <c r="AU55" s="45">
        <f>AT55*$G$10</f>
        <v>0</v>
      </c>
      <c r="AV55" s="15"/>
      <c r="AW55" s="13">
        <v>268</v>
      </c>
      <c r="AX55" s="2">
        <f t="shared" si="167"/>
        <v>0</v>
      </c>
      <c r="AY55" s="45"/>
      <c r="AZ55" s="32">
        <v>348.48</v>
      </c>
      <c r="BA55" s="13">
        <v>268</v>
      </c>
      <c r="BB55" s="15">
        <f t="shared" si="168"/>
        <v>0</v>
      </c>
      <c r="BC55" s="45"/>
      <c r="BD55" s="15"/>
      <c r="BE55" s="40">
        <f t="shared" ref="BE55:BG55" si="170">J55+N55+R55+V55+Z55+AD55+AH55+AL55+AP55+AT55+AX55+BB55</f>
        <v>18</v>
      </c>
      <c r="BF55" s="41">
        <f t="shared" si="170"/>
        <v>348.48</v>
      </c>
      <c r="BG55" s="34">
        <f t="shared" si="170"/>
        <v>348.48</v>
      </c>
      <c r="BH55" s="35">
        <f t="shared" si="159"/>
        <v>0</v>
      </c>
      <c r="BK55" s="2" t="b">
        <f>H55='2019'!BH50</f>
        <v>1</v>
      </c>
    </row>
    <row r="56" ht="14.25" customHeight="1" hidden="1" spans="1:63" x14ac:dyDescent="0.25">
      <c r="A56" s="176">
        <v>6</v>
      </c>
      <c r="B56" s="14"/>
      <c r="C56" s="2" t="s">
        <v>72</v>
      </c>
      <c r="D56" s="14" t="s">
        <v>47</v>
      </c>
      <c r="E56" s="2" t="s">
        <v>49</v>
      </c>
      <c r="F56" s="41">
        <v>500</v>
      </c>
      <c r="G56" s="35"/>
      <c r="H56" s="34">
        <f>'2019'!BH51</f>
        <v>0</v>
      </c>
      <c r="I56" s="15"/>
      <c r="J56" s="15"/>
      <c r="K56" s="15"/>
      <c r="L56" s="28"/>
      <c r="M56" s="15"/>
      <c r="N56" s="15"/>
      <c r="O56" s="15"/>
      <c r="P56" s="15"/>
      <c r="Q56" s="13"/>
      <c r="R56" s="15"/>
      <c r="S56" s="15"/>
      <c r="T56" s="28"/>
      <c r="U56" s="15"/>
      <c r="V56" s="15"/>
      <c r="W56" s="15"/>
      <c r="X56" s="15"/>
      <c r="Y56" s="13"/>
      <c r="Z56" s="15"/>
      <c r="AA56" s="15"/>
      <c r="AB56" s="28"/>
      <c r="AC56" s="15"/>
      <c r="AD56" s="15"/>
      <c r="AE56" s="34"/>
      <c r="AF56" s="15"/>
      <c r="AG56" s="13"/>
      <c r="AH56" s="15"/>
      <c r="AI56" s="45"/>
      <c r="AJ56" s="15"/>
      <c r="AK56" s="13"/>
      <c r="AL56" s="15"/>
      <c r="AM56" s="45"/>
      <c r="AN56" s="15"/>
      <c r="AO56" s="13"/>
      <c r="AP56" s="15"/>
      <c r="AQ56" s="45"/>
      <c r="AR56" s="15"/>
      <c r="AS56" s="13"/>
      <c r="AT56" s="15"/>
      <c r="AU56" s="45"/>
      <c r="AV56" s="15"/>
      <c r="AW56" s="13"/>
      <c r="AY56" s="45"/>
      <c r="AZ56" s="32"/>
      <c r="BA56" s="13"/>
      <c r="BB56" s="15"/>
      <c r="BC56" s="45"/>
      <c r="BD56" s="15"/>
      <c r="BE56" s="14"/>
      <c r="BF56" s="41">
        <f t="shared" ref="BF56:BG56" si="171">K56+O56+S56+W56+AA56+AE56+AI56+AM56+AQ56+AU56+AY56+BC56</f>
        <v>0</v>
      </c>
      <c r="BG56" s="34">
        <f t="shared" si="171"/>
        <v>0</v>
      </c>
      <c r="BH56" s="35">
        <f t="shared" si="159"/>
        <v>0</v>
      </c>
      <c r="BK56" s="2" t="b">
        <f>H56='2019'!BH51</f>
        <v>1</v>
      </c>
    </row>
    <row r="57" ht="14.25" customHeight="1" hidden="1" spans="1:63" x14ac:dyDescent="0.25">
      <c r="A57" s="176">
        <v>6</v>
      </c>
      <c r="B57" s="14"/>
      <c r="C57" s="15" t="s">
        <v>73</v>
      </c>
      <c r="D57" s="14" t="s">
        <v>50</v>
      </c>
      <c r="E57" s="2" t="s">
        <v>49</v>
      </c>
      <c r="F57" s="41">
        <v>1100</v>
      </c>
      <c r="G57" s="35"/>
      <c r="H57" s="182">
        <f>'2019'!BH52+0.0012</f>
        <v>0</v>
      </c>
      <c r="I57" s="15"/>
      <c r="J57" s="15"/>
      <c r="K57" s="15"/>
      <c r="L57" s="28"/>
      <c r="M57" s="15"/>
      <c r="N57" s="15"/>
      <c r="O57" s="15"/>
      <c r="P57" s="15"/>
      <c r="Q57" s="13"/>
      <c r="R57" s="15"/>
      <c r="S57" s="15"/>
      <c r="T57" s="28"/>
      <c r="U57" s="15"/>
      <c r="V57" s="15"/>
      <c r="W57" s="15"/>
      <c r="X57" s="15"/>
      <c r="Y57" s="13"/>
      <c r="Z57" s="15"/>
      <c r="AA57" s="15"/>
      <c r="AB57" s="28"/>
      <c r="AC57" s="15"/>
      <c r="AD57" s="15"/>
      <c r="AE57" s="34">
        <f>B54*$F$12</f>
        <v>4411</v>
      </c>
      <c r="AF57" s="34"/>
      <c r="AG57" s="13"/>
      <c r="AH57" s="15"/>
      <c r="AI57" s="45"/>
      <c r="AJ57" s="15"/>
      <c r="AK57" s="13"/>
      <c r="AL57" s="15"/>
      <c r="AM57" s="45"/>
      <c r="AN57" s="15"/>
      <c r="AO57" s="13"/>
      <c r="AP57" s="15"/>
      <c r="AQ57" s="45"/>
      <c r="AR57" s="15"/>
      <c r="AS57" s="13"/>
      <c r="AT57" s="15"/>
      <c r="AU57" s="45"/>
      <c r="AV57" s="15"/>
      <c r="AW57" s="13"/>
      <c r="AY57" s="45"/>
      <c r="AZ57" s="38">
        <v>4411</v>
      </c>
      <c r="BA57" s="13"/>
      <c r="BB57" s="15"/>
      <c r="BC57" s="45"/>
      <c r="BD57" s="15"/>
      <c r="BE57" s="14"/>
      <c r="BF57" s="41">
        <f t="shared" ref="BF57:BG57" si="172">K57+O57+S57+W57+AA57+AE57+AI57+AM57+AQ57+AU57+AY57+BC57</f>
        <v>4411</v>
      </c>
      <c r="BG57" s="34">
        <f t="shared" si="172"/>
        <v>4411</v>
      </c>
      <c r="BH57" s="35">
        <f t="shared" si="159"/>
        <v>0</v>
      </c>
      <c r="BK57" s="2" t="b">
        <f>H57='2019'!BH52</f>
        <v>0</v>
      </c>
    </row>
    <row r="58" ht="14.25" customHeight="1" hidden="1" spans="1:63" x14ac:dyDescent="0.25">
      <c r="A58" s="176">
        <v>6</v>
      </c>
      <c r="B58" s="14"/>
      <c r="D58" s="14" t="s">
        <v>51</v>
      </c>
      <c r="E58" s="2" t="s">
        <v>39</v>
      </c>
      <c r="F58" s="41">
        <v>500</v>
      </c>
      <c r="G58" s="35"/>
      <c r="H58" s="34">
        <f>'2019'!BH53</f>
        <v>0</v>
      </c>
      <c r="I58" s="15"/>
      <c r="J58" s="15"/>
      <c r="K58" s="15"/>
      <c r="L58" s="28"/>
      <c r="M58" s="15"/>
      <c r="N58" s="15"/>
      <c r="O58" s="15"/>
      <c r="P58" s="15"/>
      <c r="Q58" s="13"/>
      <c r="R58" s="15"/>
      <c r="S58" s="15"/>
      <c r="T58" s="28"/>
      <c r="U58" s="15"/>
      <c r="V58" s="15"/>
      <c r="W58" s="15"/>
      <c r="X58" s="15"/>
      <c r="Y58" s="13"/>
      <c r="Z58" s="15"/>
      <c r="AA58" s="15"/>
      <c r="AB58" s="28"/>
      <c r="AC58" s="15"/>
      <c r="AD58" s="15"/>
      <c r="AE58" s="34"/>
      <c r="AF58" s="15"/>
      <c r="AG58" s="13"/>
      <c r="AH58" s="15"/>
      <c r="AI58" s="45"/>
      <c r="AJ58" s="15"/>
      <c r="AK58" s="13"/>
      <c r="AL58" s="15"/>
      <c r="AM58" s="45"/>
      <c r="AN58" s="15"/>
      <c r="AO58" s="13"/>
      <c r="AP58" s="15"/>
      <c r="AQ58" s="45">
        <f>$F$13</f>
        <v>500</v>
      </c>
      <c r="AR58" s="15"/>
      <c r="AS58" s="13"/>
      <c r="AT58" s="15"/>
      <c r="AU58" s="45"/>
      <c r="AV58" s="15"/>
      <c r="AW58" s="13"/>
      <c r="AY58" s="45"/>
      <c r="AZ58" s="38">
        <v>500</v>
      </c>
      <c r="BA58" s="13"/>
      <c r="BB58" s="15"/>
      <c r="BC58" s="45"/>
      <c r="BD58" s="15"/>
      <c r="BE58" s="14"/>
      <c r="BF58" s="41">
        <f t="shared" ref="BF58:BG58" si="173">K58+O58+S58+W58+AA58+AE58+AI58+AM58+AQ58+AU58+AY58+BC58</f>
        <v>500</v>
      </c>
      <c r="BG58" s="34">
        <f t="shared" si="173"/>
        <v>500</v>
      </c>
      <c r="BH58" s="35">
        <f t="shared" si="159"/>
        <v>0</v>
      </c>
      <c r="BK58" s="2" t="b">
        <f>H58='2019'!BH53</f>
        <v>1</v>
      </c>
    </row>
    <row r="59" ht="14.25" customHeight="1" hidden="1" spans="1:60" x14ac:dyDescent="0.25">
      <c r="A59" s="176">
        <v>6</v>
      </c>
      <c r="B59" s="14"/>
      <c r="D59" s="14" t="s">
        <v>51</v>
      </c>
      <c r="E59" s="2" t="s">
        <v>49</v>
      </c>
      <c r="F59" s="41">
        <v>500</v>
      </c>
      <c r="G59" s="35"/>
      <c r="H59" s="34"/>
      <c r="I59" s="15"/>
      <c r="J59" s="15"/>
      <c r="K59" s="15"/>
      <c r="L59" s="28"/>
      <c r="M59" s="15"/>
      <c r="N59" s="15"/>
      <c r="O59" s="15"/>
      <c r="P59" s="15"/>
      <c r="Q59" s="13"/>
      <c r="R59" s="15"/>
      <c r="S59" s="15"/>
      <c r="T59" s="28"/>
      <c r="U59" s="15"/>
      <c r="V59" s="15"/>
      <c r="W59" s="15"/>
      <c r="X59" s="15"/>
      <c r="Y59" s="13"/>
      <c r="Z59" s="15"/>
      <c r="AA59" s="15"/>
      <c r="AB59" s="28"/>
      <c r="AC59" s="15"/>
      <c r="AD59" s="15"/>
      <c r="AE59" s="34"/>
      <c r="AF59" s="15"/>
      <c r="AG59" s="13"/>
      <c r="AH59" s="15"/>
      <c r="AI59" s="45"/>
      <c r="AJ59" s="15"/>
      <c r="AK59" s="13"/>
      <c r="AL59" s="15"/>
      <c r="AM59" s="45"/>
      <c r="AN59" s="15"/>
      <c r="AO59" s="13"/>
      <c r="AP59" s="15"/>
      <c r="AQ59" s="34">
        <f>B54*$F$14</f>
        <v>2005</v>
      </c>
      <c r="AR59" s="15"/>
      <c r="AS59" s="13"/>
      <c r="AT59" s="15"/>
      <c r="AU59" s="45"/>
      <c r="AV59" s="15"/>
      <c r="AW59" s="13"/>
      <c r="AY59" s="45"/>
      <c r="AZ59" s="38">
        <v>2005</v>
      </c>
      <c r="BA59" s="13"/>
      <c r="BB59" s="15"/>
      <c r="BC59" s="45"/>
      <c r="BD59" s="15"/>
      <c r="BE59" s="14"/>
      <c r="BF59" s="41">
        <f t="shared" ref="BF59:BG59" si="174">K59+O59+S59+W59+AA59+AE59+AI59+AM59+AQ59+AU59+AY59+BC59</f>
        <v>2005</v>
      </c>
      <c r="BG59" s="34">
        <f t="shared" si="174"/>
        <v>2005</v>
      </c>
      <c r="BH59" s="35">
        <f t="shared" si="159"/>
        <v>0</v>
      </c>
    </row>
    <row r="60" ht="14.25" customHeight="1" hidden="1" spans="1:63" x14ac:dyDescent="0.25">
      <c r="A60" s="176">
        <v>6</v>
      </c>
      <c r="B60" s="14"/>
      <c r="D60" s="14" t="s">
        <v>52</v>
      </c>
      <c r="E60" s="2" t="s">
        <v>39</v>
      </c>
      <c r="F60" s="41">
        <v>500</v>
      </c>
      <c r="G60" s="35"/>
      <c r="H60" s="34">
        <f>'2019'!BH54</f>
        <v>0</v>
      </c>
      <c r="I60" s="15"/>
      <c r="J60" s="15"/>
      <c r="K60" s="15"/>
      <c r="L60" s="28"/>
      <c r="M60" s="15"/>
      <c r="N60" s="15"/>
      <c r="O60" s="15"/>
      <c r="P60" s="15"/>
      <c r="Q60" s="13"/>
      <c r="R60" s="15"/>
      <c r="S60" s="15"/>
      <c r="T60" s="28"/>
      <c r="U60" s="15"/>
      <c r="V60" s="15"/>
      <c r="W60" s="15"/>
      <c r="X60" s="15"/>
      <c r="Y60" s="13"/>
      <c r="Z60" s="15"/>
      <c r="AA60" s="34">
        <f>$F$11</f>
        <v>500</v>
      </c>
      <c r="AB60" s="35"/>
      <c r="AC60" s="15"/>
      <c r="AD60" s="15"/>
      <c r="AE60" s="15"/>
      <c r="AF60" s="34"/>
      <c r="AG60" s="13"/>
      <c r="AH60" s="15"/>
      <c r="AI60" s="45"/>
      <c r="AJ60" s="15"/>
      <c r="AK60" s="13"/>
      <c r="AL60" s="15"/>
      <c r="AM60" s="45"/>
      <c r="AN60" s="15"/>
      <c r="AO60" s="13"/>
      <c r="AP60" s="15"/>
      <c r="AQ60" s="45"/>
      <c r="AR60" s="15"/>
      <c r="AS60" s="13"/>
      <c r="AT60" s="15"/>
      <c r="AU60" s="45"/>
      <c r="AV60" s="15"/>
      <c r="AW60" s="13"/>
      <c r="AY60" s="45"/>
      <c r="AZ60" s="38">
        <v>500</v>
      </c>
      <c r="BA60" s="13"/>
      <c r="BB60" s="15"/>
      <c r="BC60" s="45"/>
      <c r="BD60" s="15"/>
      <c r="BE60" s="14"/>
      <c r="BF60" s="41">
        <f t="shared" ref="BF60:BG60" si="175">K60+O60+S60+W60+AA60+AE60+AI60+AM60+AQ60+AU60+AY60+BC60</f>
        <v>500</v>
      </c>
      <c r="BG60" s="34">
        <f t="shared" si="175"/>
        <v>500</v>
      </c>
      <c r="BH60" s="35">
        <f t="shared" si="159"/>
        <v>0</v>
      </c>
      <c r="BK60" s="2" t="b">
        <f>H60='2019'!BH54</f>
        <v>1</v>
      </c>
    </row>
    <row r="61" ht="14.25" customHeight="1" hidden="1" spans="1:63" x14ac:dyDescent="0.25">
      <c r="A61" s="177">
        <v>6</v>
      </c>
      <c r="B61" s="21"/>
      <c r="C61" s="22" t="s">
        <v>53</v>
      </c>
      <c r="D61" s="21"/>
      <c r="E61" s="22"/>
      <c r="F61" s="20"/>
      <c r="G61" s="23"/>
      <c r="H61" s="51">
        <f>SUM(H53:H60)</f>
        <v>19.6</v>
      </c>
      <c r="I61" s="53"/>
      <c r="J61" s="53"/>
      <c r="K61" s="51">
        <f t="shared" ref="K61:L61" si="176">SUM(K53:K60)</f>
        <v>0</v>
      </c>
      <c r="L61" s="68">
        <f t="shared" si="176"/>
        <v>0</v>
      </c>
      <c r="M61" s="53"/>
      <c r="N61" s="53"/>
      <c r="O61" s="51">
        <f t="shared" ref="O61:P61" si="177">SUM(O53:O60)</f>
        <v>0</v>
      </c>
      <c r="P61" s="68">
        <f t="shared" si="177"/>
        <v>0</v>
      </c>
      <c r="Q61" s="52"/>
      <c r="R61" s="53"/>
      <c r="S61" s="51">
        <f t="shared" ref="S61:T61" si="178">SUM(S53:S60)</f>
        <v>0</v>
      </c>
      <c r="T61" s="68">
        <f t="shared" si="178"/>
        <v>0</v>
      </c>
      <c r="U61" s="53"/>
      <c r="V61" s="53"/>
      <c r="W61" s="51">
        <f t="shared" ref="W61:X61" si="179">SUM(W53:W60)</f>
        <v>37.12</v>
      </c>
      <c r="X61" s="68">
        <f t="shared" si="179"/>
        <v>0</v>
      </c>
      <c r="Y61" s="52"/>
      <c r="Z61" s="53"/>
      <c r="AA61" s="51">
        <f t="shared" ref="AA61:AB61" si="180">SUM(AA53:AA60)</f>
        <v>502.5</v>
      </c>
      <c r="AB61" s="68">
        <f t="shared" si="180"/>
        <v>0</v>
      </c>
      <c r="AC61" s="53"/>
      <c r="AD61" s="53"/>
      <c r="AE61" s="51">
        <f t="shared" ref="AE61:AF61" si="181">SUM(AE53:AE60)</f>
        <v>4411</v>
      </c>
      <c r="AF61" s="68">
        <f t="shared" si="181"/>
        <v>0</v>
      </c>
      <c r="AG61" s="52"/>
      <c r="AH61" s="53"/>
      <c r="AI61" s="183">
        <f t="shared" ref="AI61:AJ61" si="182">SUM(AI53:AI60)</f>
        <v>0</v>
      </c>
      <c r="AJ61" s="51">
        <f t="shared" si="182"/>
        <v>0</v>
      </c>
      <c r="AK61" s="52"/>
      <c r="AL61" s="53"/>
      <c r="AM61" s="183">
        <f t="shared" ref="AM61:AN61" si="183">SUM(AM53:AM60)</f>
        <v>311.36</v>
      </c>
      <c r="AN61" s="51">
        <f t="shared" si="183"/>
        <v>0</v>
      </c>
      <c r="AO61" s="52"/>
      <c r="AP61" s="53"/>
      <c r="AQ61" s="183">
        <f t="shared" ref="AQ61:AR61" si="184">SUM(AQ53:AQ60)</f>
        <v>2518.23</v>
      </c>
      <c r="AR61" s="51">
        <f t="shared" si="184"/>
        <v>0</v>
      </c>
      <c r="AS61" s="52"/>
      <c r="AT61" s="53"/>
      <c r="AU61" s="183">
        <f t="shared" ref="AU61:AV61" si="185">SUM(AU53:AU60)</f>
        <v>13.67</v>
      </c>
      <c r="AV61" s="68">
        <f t="shared" si="185"/>
        <v>0</v>
      </c>
      <c r="AW61" s="52"/>
      <c r="AX61" s="53"/>
      <c r="AY61" s="183">
        <f t="shared" ref="AY61:AZ61" si="186">SUM(AY53:AY60)</f>
        <v>4.41</v>
      </c>
      <c r="AZ61" s="68">
        <f t="shared" si="186"/>
        <v>7813.48</v>
      </c>
      <c r="BA61" s="52"/>
      <c r="BB61" s="53"/>
      <c r="BC61" s="183">
        <f t="shared" ref="BC61:BD61" si="187">SUM(BC53:BC60)</f>
        <v>0</v>
      </c>
      <c r="BD61" s="68">
        <f t="shared" si="187"/>
        <v>0</v>
      </c>
      <c r="BE61" s="69"/>
      <c r="BF61" s="70">
        <f t="shared" ref="BF61:BH61" si="188">SUM(BF53:BF60)</f>
        <v>7798.29</v>
      </c>
      <c r="BG61" s="71">
        <f t="shared" si="188"/>
        <v>7813.48</v>
      </c>
      <c r="BH61" s="72">
        <f t="shared" si="188"/>
        <v>4.41</v>
      </c>
      <c r="BI61" s="34">
        <f>H61+BF61-BG61</f>
        <v>4.41</v>
      </c>
      <c r="BJ61" s="34">
        <f>BH61-BI61</f>
        <v>0</v>
      </c>
      <c r="BK61" s="2" t="b">
        <f>H61='2019'!BH55</f>
        <v>0</v>
      </c>
    </row>
    <row r="62" ht="14.25" customHeight="1" hidden="1" spans="1:63" x14ac:dyDescent="0.25">
      <c r="A62" s="175">
        <v>7</v>
      </c>
      <c r="B62" s="14"/>
      <c r="D62" s="14" t="s">
        <v>379</v>
      </c>
      <c r="F62" s="13"/>
      <c r="G62" s="28"/>
      <c r="H62" s="34">
        <f>'2019'!BH56</f>
        <v>8.18</v>
      </c>
      <c r="I62" s="15"/>
      <c r="J62" s="15"/>
      <c r="K62" s="15"/>
      <c r="L62" s="28"/>
      <c r="M62" s="15"/>
      <c r="N62" s="15"/>
      <c r="O62" s="15"/>
      <c r="P62" s="15"/>
      <c r="Q62" s="13"/>
      <c r="R62" s="15"/>
      <c r="S62" s="15"/>
      <c r="T62" s="28"/>
      <c r="U62" s="15"/>
      <c r="V62" s="15"/>
      <c r="W62" s="15"/>
      <c r="X62" s="15"/>
      <c r="Y62" s="13"/>
      <c r="Z62" s="15"/>
      <c r="AA62" s="15"/>
      <c r="AB62" s="28"/>
      <c r="AC62" s="15"/>
      <c r="AD62" s="15"/>
      <c r="AE62" s="15"/>
      <c r="AF62" s="15"/>
      <c r="AG62" s="13"/>
      <c r="AH62" s="15"/>
      <c r="AI62" s="45"/>
      <c r="AJ62" s="15"/>
      <c r="AK62" s="13"/>
      <c r="AL62" s="15"/>
      <c r="AM62" s="45"/>
      <c r="AN62" s="15"/>
      <c r="AO62" s="13"/>
      <c r="AP62" s="15"/>
      <c r="AQ62" s="45"/>
      <c r="AR62" s="15"/>
      <c r="AS62" s="13"/>
      <c r="AT62" s="15"/>
      <c r="AU62" s="45"/>
      <c r="AV62" s="15"/>
      <c r="AW62" s="13"/>
      <c r="AY62" s="45"/>
      <c r="AZ62" s="28"/>
      <c r="BA62" s="13"/>
      <c r="BB62" s="15"/>
      <c r="BC62" s="45"/>
      <c r="BD62" s="15"/>
      <c r="BE62" s="14"/>
      <c r="BF62" s="41">
        <f t="shared" ref="BF62:BG62" si="189">K62+O62+S62+W62+AA62+AE62+AI62+AM62+AQ62+AU62+AY62+BC62</f>
        <v>0</v>
      </c>
      <c r="BG62" s="34">
        <f t="shared" si="189"/>
        <v>0</v>
      </c>
      <c r="BH62" s="35">
        <f t="shared" ref="BH62:BH69" si="190">H62+BF62-BG62</f>
        <v>8.18</v>
      </c>
      <c r="BK62" s="2" t="b">
        <f>H62='2019'!BH56</f>
        <v>1</v>
      </c>
    </row>
    <row r="63" ht="14.25" customHeight="1" hidden="1" spans="1:63" x14ac:dyDescent="0.25">
      <c r="A63" s="176">
        <v>7</v>
      </c>
      <c r="B63" s="14">
        <v>4.85</v>
      </c>
      <c r="C63" s="2" t="s">
        <v>74</v>
      </c>
      <c r="D63" s="14" t="s">
        <v>44</v>
      </c>
      <c r="E63" s="2" t="s">
        <v>45</v>
      </c>
      <c r="F63" s="41">
        <v>2.5</v>
      </c>
      <c r="G63" s="35">
        <v>2.6</v>
      </c>
      <c r="H63" s="34">
        <f>'2019'!BH57</f>
        <v>69.87</v>
      </c>
      <c r="I63" s="13">
        <v>315</v>
      </c>
      <c r="J63" s="15">
        <f>I63-'2019'!BA57</f>
        <v>0</v>
      </c>
      <c r="K63" s="34">
        <f>J63*$F$8</f>
        <v>0</v>
      </c>
      <c r="L63" s="28"/>
      <c r="M63" s="15">
        <v>315</v>
      </c>
      <c r="N63" s="15">
        <f>M63-I63</f>
        <v>0</v>
      </c>
      <c r="O63" s="34">
        <f>N63*$F$8</f>
        <v>0</v>
      </c>
      <c r="P63" s="15"/>
      <c r="Q63" s="13">
        <v>315</v>
      </c>
      <c r="R63" s="15">
        <f>Q63-M63</f>
        <v>0</v>
      </c>
      <c r="S63" s="34">
        <f>R63*$F$8</f>
        <v>0</v>
      </c>
      <c r="T63" s="28"/>
      <c r="U63" s="15">
        <v>315</v>
      </c>
      <c r="V63" s="15">
        <f t="shared" ref="V63:V64" si="191">U63-Q63</f>
        <v>0</v>
      </c>
      <c r="W63" s="34">
        <f>V63*$F$8</f>
        <v>0</v>
      </c>
      <c r="X63" s="15"/>
      <c r="Y63" s="13">
        <v>339</v>
      </c>
      <c r="Z63" s="15">
        <f t="shared" ref="Z63:Z64" si="192">Y63-U63</f>
        <v>24</v>
      </c>
      <c r="AA63" s="34">
        <f>Z63*$F$8</f>
        <v>60</v>
      </c>
      <c r="AB63" s="28"/>
      <c r="AC63" s="13">
        <v>345</v>
      </c>
      <c r="AD63" s="15">
        <f t="shared" ref="AD63:AD64" si="193">AC63-Y63</f>
        <v>6</v>
      </c>
      <c r="AE63" s="45">
        <f>AD63*$G$8</f>
        <v>15.6</v>
      </c>
      <c r="AF63" s="39">
        <v>480</v>
      </c>
      <c r="AG63" s="13">
        <v>390</v>
      </c>
      <c r="AH63" s="15">
        <f t="shared" ref="AH63:AH64" si="194">AG63-AC63</f>
        <v>45</v>
      </c>
      <c r="AI63" s="45">
        <f>AH63*$G$8</f>
        <v>117</v>
      </c>
      <c r="AJ63" s="1"/>
      <c r="AK63" s="13">
        <v>425</v>
      </c>
      <c r="AL63" s="15">
        <f t="shared" ref="AL63:AL64" si="195">AK63-AG63</f>
        <v>35</v>
      </c>
      <c r="AM63" s="45">
        <f>AL63*$G$8</f>
        <v>91</v>
      </c>
      <c r="AN63" s="15"/>
      <c r="AO63" s="13">
        <v>440</v>
      </c>
      <c r="AP63" s="15">
        <f t="shared" ref="AP63:AP64" si="196">AO63-AK63</f>
        <v>15</v>
      </c>
      <c r="AQ63" s="45">
        <f>AP63*$G$8</f>
        <v>39</v>
      </c>
      <c r="AR63" s="15"/>
      <c r="AS63" s="13">
        <v>448</v>
      </c>
      <c r="AT63" s="15">
        <f t="shared" ref="AT63:AT64" si="197">AS63-AO63</f>
        <v>8</v>
      </c>
      <c r="AU63" s="45">
        <f>AT63*$G$8</f>
        <v>20.8</v>
      </c>
      <c r="AV63" s="15"/>
      <c r="AW63" s="13">
        <v>448</v>
      </c>
      <c r="AX63" s="2">
        <f t="shared" ref="AX63:AX64" si="198">AW63-AS63</f>
        <v>0</v>
      </c>
      <c r="AY63" s="45">
        <f>AX63*$G$8</f>
        <v>0</v>
      </c>
      <c r="AZ63" s="28"/>
      <c r="BA63" s="13">
        <v>448</v>
      </c>
      <c r="BB63" s="15">
        <f t="shared" ref="BB63:BB64" si="199">BA63-AW63</f>
        <v>0</v>
      </c>
      <c r="BC63" s="45">
        <f>BB63*$G$8</f>
        <v>0</v>
      </c>
      <c r="BD63" s="15"/>
      <c r="BE63" s="40">
        <f t="shared" ref="BE63:BG63" si="200">J63+N63+R63+V63+Z63+AD63+AH63+AL63+AP63+AT63+AX63+BB63</f>
        <v>133</v>
      </c>
      <c r="BF63" s="41">
        <f t="shared" si="200"/>
        <v>343.4</v>
      </c>
      <c r="BG63" s="34">
        <f t="shared" si="200"/>
        <v>480</v>
      </c>
      <c r="BH63" s="35">
        <f t="shared" si="190"/>
        <v>-66.73</v>
      </c>
      <c r="BK63" s="2" t="b">
        <f>H63='2019'!BH57</f>
        <v>1</v>
      </c>
    </row>
    <row r="64" ht="14.25" customHeight="1" hidden="1" spans="1:63" x14ac:dyDescent="0.25">
      <c r="A64" s="176">
        <v>7</v>
      </c>
      <c r="B64" s="14"/>
      <c r="C64" s="2" t="s">
        <v>75</v>
      </c>
      <c r="D64" s="14" t="s">
        <v>47</v>
      </c>
      <c r="E64" s="2" t="s">
        <v>48</v>
      </c>
      <c r="F64" s="13">
        <v>18.56</v>
      </c>
      <c r="G64" s="35">
        <v>19.46</v>
      </c>
      <c r="H64" s="34">
        <f>'2019'!BH58</f>
        <v>-388.64</v>
      </c>
      <c r="I64" s="15">
        <v>56</v>
      </c>
      <c r="J64" s="15"/>
      <c r="K64" s="15"/>
      <c r="L64" s="28"/>
      <c r="M64" s="15">
        <v>56</v>
      </c>
      <c r="N64" s="15"/>
      <c r="O64" s="15"/>
      <c r="P64" s="15"/>
      <c r="Q64" s="184">
        <v>56</v>
      </c>
      <c r="R64" s="15"/>
      <c r="S64" s="15"/>
      <c r="T64" s="28"/>
      <c r="U64" s="15">
        <v>58</v>
      </c>
      <c r="V64" s="15">
        <f t="shared" si="191"/>
        <v>2</v>
      </c>
      <c r="W64" s="34">
        <f>V64*$F$10</f>
        <v>37.12</v>
      </c>
      <c r="X64" s="15"/>
      <c r="Y64" s="13">
        <v>58</v>
      </c>
      <c r="Z64" s="15">
        <f t="shared" si="192"/>
        <v>0</v>
      </c>
      <c r="AA64" s="34">
        <f>Z64*$F$10</f>
        <v>0</v>
      </c>
      <c r="AB64" s="28"/>
      <c r="AC64" s="15">
        <v>58</v>
      </c>
      <c r="AD64" s="15">
        <f t="shared" si="193"/>
        <v>0</v>
      </c>
      <c r="AE64" s="34">
        <f>AD64*$F$10</f>
        <v>0</v>
      </c>
      <c r="AF64" s="39">
        <v>300</v>
      </c>
      <c r="AG64" s="13">
        <v>58</v>
      </c>
      <c r="AH64" s="15">
        <f t="shared" si="194"/>
        <v>0</v>
      </c>
      <c r="AI64" s="45">
        <f>AH64*$G$10</f>
        <v>0</v>
      </c>
      <c r="AJ64" s="39"/>
      <c r="AK64" s="13">
        <v>58</v>
      </c>
      <c r="AL64" s="15">
        <f t="shared" si="195"/>
        <v>0</v>
      </c>
      <c r="AM64" s="45">
        <f>AL64*$G$10</f>
        <v>0</v>
      </c>
      <c r="AN64" s="15"/>
      <c r="AO64" s="13">
        <v>58</v>
      </c>
      <c r="AP64" s="15">
        <f t="shared" si="196"/>
        <v>0</v>
      </c>
      <c r="AQ64" s="45">
        <f>AP64*$G$10</f>
        <v>0</v>
      </c>
      <c r="AR64" s="15"/>
      <c r="AS64" s="13">
        <v>60</v>
      </c>
      <c r="AT64" s="15">
        <f t="shared" si="197"/>
        <v>2</v>
      </c>
      <c r="AU64" s="45">
        <f>AT64*$G$10</f>
        <v>38.92</v>
      </c>
      <c r="AV64" s="15"/>
      <c r="AW64" s="13">
        <v>60</v>
      </c>
      <c r="AX64" s="2">
        <f t="shared" si="198"/>
        <v>0</v>
      </c>
      <c r="AY64" s="45"/>
      <c r="AZ64" s="28"/>
      <c r="BA64" s="13">
        <v>60</v>
      </c>
      <c r="BB64" s="15">
        <f t="shared" si="199"/>
        <v>0</v>
      </c>
      <c r="BC64" s="45"/>
      <c r="BD64" s="15"/>
      <c r="BE64" s="40">
        <f t="shared" ref="BE64:BG64" si="201">J64+N64+R64+V64+Z64+AD64+AH64+AL64+AP64+AT64+AX64+BB64</f>
        <v>4</v>
      </c>
      <c r="BF64" s="41">
        <f t="shared" si="201"/>
        <v>76.04</v>
      </c>
      <c r="BG64" s="34">
        <f t="shared" si="201"/>
        <v>300</v>
      </c>
      <c r="BH64" s="35">
        <f t="shared" si="190"/>
        <v>-612.6</v>
      </c>
      <c r="BK64" s="2" t="b">
        <f>H64='2019'!BH58</f>
        <v>1</v>
      </c>
    </row>
    <row r="65" ht="14.25" customHeight="1" hidden="1" spans="1:63" x14ac:dyDescent="0.25">
      <c r="A65" s="176">
        <v>7</v>
      </c>
      <c r="B65" s="14"/>
      <c r="C65" s="2" t="s">
        <v>76</v>
      </c>
      <c r="D65" s="14" t="s">
        <v>47</v>
      </c>
      <c r="E65" s="2" t="s">
        <v>49</v>
      </c>
      <c r="F65" s="41">
        <v>500</v>
      </c>
      <c r="G65" s="35"/>
      <c r="H65" s="34">
        <f>'2019'!BH59</f>
        <v>0</v>
      </c>
      <c r="I65" s="15"/>
      <c r="J65" s="15"/>
      <c r="K65" s="15"/>
      <c r="L65" s="28"/>
      <c r="M65" s="15"/>
      <c r="N65" s="15"/>
      <c r="O65" s="15"/>
      <c r="P65" s="15"/>
      <c r="Q65" s="13"/>
      <c r="R65" s="15"/>
      <c r="S65" s="15"/>
      <c r="T65" s="28"/>
      <c r="U65" s="15"/>
      <c r="V65" s="15"/>
      <c r="W65" s="15"/>
      <c r="X65" s="15"/>
      <c r="Y65" s="13"/>
      <c r="Z65" s="15"/>
      <c r="AA65" s="15"/>
      <c r="AB65" s="28"/>
      <c r="AC65" s="15"/>
      <c r="AD65" s="15"/>
      <c r="AE65" s="34"/>
      <c r="AF65" s="39"/>
      <c r="AG65" s="13"/>
      <c r="AH65" s="15"/>
      <c r="AI65" s="45"/>
      <c r="AJ65" s="15"/>
      <c r="AK65" s="13"/>
      <c r="AL65" s="15"/>
      <c r="AM65" s="45"/>
      <c r="AN65" s="15"/>
      <c r="AO65" s="13"/>
      <c r="AP65" s="15"/>
      <c r="AQ65" s="45"/>
      <c r="AR65" s="15"/>
      <c r="AS65" s="13"/>
      <c r="AT65" s="15"/>
      <c r="AU65" s="45"/>
      <c r="AV65" s="15"/>
      <c r="AW65" s="13"/>
      <c r="AY65" s="45"/>
      <c r="AZ65" s="28"/>
      <c r="BA65" s="13"/>
      <c r="BB65" s="15"/>
      <c r="BC65" s="45"/>
      <c r="BD65" s="15"/>
      <c r="BE65" s="14"/>
      <c r="BF65" s="41">
        <f t="shared" ref="BF65:BG65" si="202">K65+O65+S65+W65+AA65+AE65+AI65+AM65+AQ65+AU65+AY65+BC65</f>
        <v>0</v>
      </c>
      <c r="BG65" s="34">
        <f t="shared" si="202"/>
        <v>0</v>
      </c>
      <c r="BH65" s="35">
        <f t="shared" si="190"/>
        <v>0</v>
      </c>
      <c r="BK65" s="2" t="b">
        <f>H65='2019'!BH59</f>
        <v>1</v>
      </c>
    </row>
    <row r="66" ht="14.25" customHeight="1" hidden="1" spans="1:63" x14ac:dyDescent="0.25">
      <c r="A66" s="176">
        <v>7</v>
      </c>
      <c r="B66" s="14"/>
      <c r="C66" s="15" t="s">
        <v>77</v>
      </c>
      <c r="D66" s="14" t="s">
        <v>50</v>
      </c>
      <c r="E66" s="2" t="s">
        <v>49</v>
      </c>
      <c r="F66" s="41">
        <v>1100</v>
      </c>
      <c r="G66" s="35"/>
      <c r="H66" s="182">
        <f>'2019'!BH60+0.002</f>
        <v>0</v>
      </c>
      <c r="I66" s="15"/>
      <c r="J66" s="15"/>
      <c r="K66" s="15"/>
      <c r="L66" s="28"/>
      <c r="M66" s="15"/>
      <c r="N66" s="15"/>
      <c r="O66" s="15"/>
      <c r="P66" s="15"/>
      <c r="Q66" s="13"/>
      <c r="R66" s="15"/>
      <c r="S66" s="15"/>
      <c r="T66" s="28"/>
      <c r="U66" s="15"/>
      <c r="V66" s="15"/>
      <c r="W66" s="15"/>
      <c r="X66" s="15"/>
      <c r="Y66" s="13"/>
      <c r="Z66" s="15"/>
      <c r="AA66" s="15"/>
      <c r="AB66" s="28"/>
      <c r="AC66" s="15"/>
      <c r="AD66" s="15"/>
      <c r="AE66" s="34">
        <f>B63*$F$12</f>
        <v>5335</v>
      </c>
      <c r="AF66" s="187">
        <f>3720+1000</f>
        <v>4720</v>
      </c>
      <c r="AG66" s="13"/>
      <c r="AH66" s="15"/>
      <c r="AI66" s="45"/>
      <c r="AJ66" s="133">
        <v>615</v>
      </c>
      <c r="AK66" s="13"/>
      <c r="AL66" s="15"/>
      <c r="AM66" s="45"/>
      <c r="AN66" s="15"/>
      <c r="AO66" s="13"/>
      <c r="AP66" s="15"/>
      <c r="AQ66" s="45"/>
      <c r="AR66" s="15"/>
      <c r="AS66" s="13"/>
      <c r="AT66" s="15"/>
      <c r="AU66" s="45"/>
      <c r="AV66" s="15"/>
      <c r="AW66" s="13"/>
      <c r="AY66" s="45"/>
      <c r="AZ66" s="28"/>
      <c r="BA66" s="13"/>
      <c r="BB66" s="15"/>
      <c r="BC66" s="45"/>
      <c r="BD66" s="15"/>
      <c r="BE66" s="14"/>
      <c r="BF66" s="41">
        <f t="shared" ref="BF66:BG66" si="203">K66+O66+S66+W66+AA66+AE66+AI66+AM66+AQ66+AU66+AY66+BC66</f>
        <v>5335</v>
      </c>
      <c r="BG66" s="34">
        <f t="shared" si="203"/>
        <v>5335</v>
      </c>
      <c r="BH66" s="35">
        <f t="shared" si="190"/>
        <v>0</v>
      </c>
      <c r="BK66" s="2" t="b">
        <f>H66='2019'!BH60</f>
        <v>0</v>
      </c>
    </row>
    <row r="67" ht="14.25" customHeight="1" hidden="1" spans="1:63" x14ac:dyDescent="0.25">
      <c r="A67" s="176">
        <v>7</v>
      </c>
      <c r="B67" s="14"/>
      <c r="D67" s="14" t="s">
        <v>51</v>
      </c>
      <c r="E67" s="2" t="s">
        <v>39</v>
      </c>
      <c r="F67" s="41">
        <v>500</v>
      </c>
      <c r="G67" s="35"/>
      <c r="H67" s="34">
        <f>'2019'!BH61</f>
        <v>0</v>
      </c>
      <c r="I67" s="15"/>
      <c r="J67" s="15"/>
      <c r="K67" s="15"/>
      <c r="L67" s="28"/>
      <c r="M67" s="15"/>
      <c r="N67" s="15"/>
      <c r="O67" s="15"/>
      <c r="P67" s="15"/>
      <c r="Q67" s="13"/>
      <c r="R67" s="15"/>
      <c r="S67" s="15"/>
      <c r="T67" s="28"/>
      <c r="U67" s="15"/>
      <c r="V67" s="15"/>
      <c r="W67" s="15"/>
      <c r="X67" s="15"/>
      <c r="Y67" s="13"/>
      <c r="Z67" s="15"/>
      <c r="AA67" s="15"/>
      <c r="AB67" s="28"/>
      <c r="AC67" s="15"/>
      <c r="AD67" s="15"/>
      <c r="AE67" s="34"/>
      <c r="AF67" s="187">
        <f>1000-1000</f>
        <v>0</v>
      </c>
      <c r="AG67" s="13"/>
      <c r="AH67" s="15"/>
      <c r="AI67" s="45"/>
      <c r="AJ67" s="15"/>
      <c r="AK67" s="13"/>
      <c r="AL67" s="15"/>
      <c r="AM67" s="45"/>
      <c r="AN67" s="15"/>
      <c r="AO67" s="13"/>
      <c r="AP67" s="15"/>
      <c r="AQ67" s="45">
        <f>$F$13</f>
        <v>500</v>
      </c>
      <c r="AR67" s="15"/>
      <c r="AS67" s="13"/>
      <c r="AT67" s="15"/>
      <c r="AU67" s="45"/>
      <c r="AV67" s="15"/>
      <c r="AW67" s="13"/>
      <c r="AY67" s="45"/>
      <c r="AZ67" s="28"/>
      <c r="BA67" s="13"/>
      <c r="BB67" s="15"/>
      <c r="BC67" s="45"/>
      <c r="BD67" s="15"/>
      <c r="BE67" s="14"/>
      <c r="BF67" s="41">
        <f t="shared" ref="BF67:BG67" si="204">K67+O67+S67+W67+AA67+AE67+AI67+AM67+AQ67+AU67+AY67+BC67</f>
        <v>500</v>
      </c>
      <c r="BG67" s="34">
        <f t="shared" si="204"/>
        <v>0</v>
      </c>
      <c r="BH67" s="35">
        <f t="shared" si="190"/>
        <v>500</v>
      </c>
      <c r="BK67" s="2" t="b">
        <f>H67='2019'!BH61</f>
        <v>1</v>
      </c>
    </row>
    <row r="68" ht="14.25" customHeight="1" hidden="1" spans="1:60" x14ac:dyDescent="0.25">
      <c r="A68" s="176">
        <v>7</v>
      </c>
      <c r="B68" s="14"/>
      <c r="D68" s="14" t="s">
        <v>51</v>
      </c>
      <c r="E68" s="2" t="s">
        <v>49</v>
      </c>
      <c r="F68" s="41">
        <v>500</v>
      </c>
      <c r="G68" s="35"/>
      <c r="H68" s="34"/>
      <c r="I68" s="15"/>
      <c r="J68" s="15"/>
      <c r="K68" s="15"/>
      <c r="L68" s="28"/>
      <c r="M68" s="15"/>
      <c r="N68" s="15"/>
      <c r="O68" s="15"/>
      <c r="P68" s="15"/>
      <c r="Q68" s="13"/>
      <c r="R68" s="15"/>
      <c r="S68" s="15"/>
      <c r="T68" s="28"/>
      <c r="U68" s="15"/>
      <c r="V68" s="15"/>
      <c r="W68" s="15"/>
      <c r="X68" s="15"/>
      <c r="Y68" s="13"/>
      <c r="Z68" s="15"/>
      <c r="AA68" s="15"/>
      <c r="AB68" s="28"/>
      <c r="AC68" s="15"/>
      <c r="AD68" s="15"/>
      <c r="AE68" s="34"/>
      <c r="AF68" s="187"/>
      <c r="AG68" s="13"/>
      <c r="AH68" s="15"/>
      <c r="AI68" s="45"/>
      <c r="AJ68" s="15"/>
      <c r="AK68" s="13"/>
      <c r="AL68" s="15"/>
      <c r="AM68" s="45"/>
      <c r="AN68" s="15"/>
      <c r="AO68" s="13"/>
      <c r="AP68" s="15"/>
      <c r="AQ68" s="34">
        <f>B63*$F$14</f>
        <v>2425</v>
      </c>
      <c r="AR68" s="15"/>
      <c r="AS68" s="13"/>
      <c r="AT68" s="15"/>
      <c r="AU68" s="45"/>
      <c r="AV68" s="15"/>
      <c r="AW68" s="13"/>
      <c r="AY68" s="45"/>
      <c r="AZ68" s="28"/>
      <c r="BA68" s="13"/>
      <c r="BB68" s="15"/>
      <c r="BC68" s="45"/>
      <c r="BD68" s="15"/>
      <c r="BE68" s="14"/>
      <c r="BF68" s="41">
        <f t="shared" ref="BF68:BG68" si="205">K68+O68+S68+W68+AA68+AE68+AI68+AM68+AQ68+AU68+AY68+BC68</f>
        <v>2425</v>
      </c>
      <c r="BG68" s="34">
        <f t="shared" si="205"/>
        <v>0</v>
      </c>
      <c r="BH68" s="35">
        <f t="shared" si="190"/>
        <v>2425</v>
      </c>
    </row>
    <row r="69" ht="14.25" customHeight="1" hidden="1" spans="1:63" x14ac:dyDescent="0.25">
      <c r="A69" s="176">
        <v>7</v>
      </c>
      <c r="B69" s="14"/>
      <c r="D69" s="14" t="s">
        <v>52</v>
      </c>
      <c r="E69" s="2" t="s">
        <v>39</v>
      </c>
      <c r="F69" s="41">
        <v>500</v>
      </c>
      <c r="G69" s="35"/>
      <c r="H69" s="34">
        <f>'2019'!BH62</f>
        <v>0</v>
      </c>
      <c r="I69" s="15"/>
      <c r="J69" s="15"/>
      <c r="K69" s="15"/>
      <c r="L69" s="28"/>
      <c r="M69" s="15"/>
      <c r="N69" s="15"/>
      <c r="O69" s="15"/>
      <c r="P69" s="15"/>
      <c r="Q69" s="13"/>
      <c r="R69" s="15"/>
      <c r="S69" s="15"/>
      <c r="T69" s="28"/>
      <c r="U69" s="15"/>
      <c r="V69" s="15"/>
      <c r="W69" s="15"/>
      <c r="X69" s="15"/>
      <c r="Y69" s="13"/>
      <c r="Z69" s="15"/>
      <c r="AA69" s="34">
        <f>$F$11</f>
        <v>500</v>
      </c>
      <c r="AB69" s="28"/>
      <c r="AC69" s="15"/>
      <c r="AD69" s="15"/>
      <c r="AE69" s="15"/>
      <c r="AF69" s="39">
        <v>500</v>
      </c>
      <c r="AG69" s="13"/>
      <c r="AH69" s="15"/>
      <c r="AI69" s="45"/>
      <c r="AJ69" s="39"/>
      <c r="AK69" s="13"/>
      <c r="AL69" s="15"/>
      <c r="AM69" s="45"/>
      <c r="AN69" s="15"/>
      <c r="AO69" s="13"/>
      <c r="AP69" s="15"/>
      <c r="AQ69" s="45"/>
      <c r="AR69" s="15"/>
      <c r="AS69" s="13"/>
      <c r="AT69" s="15"/>
      <c r="AU69" s="45"/>
      <c r="AV69" s="15"/>
      <c r="AW69" s="13"/>
      <c r="AY69" s="45"/>
      <c r="AZ69" s="28"/>
      <c r="BA69" s="13"/>
      <c r="BB69" s="15"/>
      <c r="BC69" s="45"/>
      <c r="BD69" s="15"/>
      <c r="BE69" s="14"/>
      <c r="BF69" s="41">
        <f t="shared" ref="BF69:BG69" si="206">K69+O69+S69+W69+AA69+AE69+AI69+AM69+AQ69+AU69+AY69+BC69</f>
        <v>500</v>
      </c>
      <c r="BG69" s="34">
        <f t="shared" si="206"/>
        <v>500</v>
      </c>
      <c r="BH69" s="35">
        <f t="shared" si="190"/>
        <v>0</v>
      </c>
      <c r="BK69" s="2" t="b">
        <f>H69='2019'!BH62</f>
        <v>1</v>
      </c>
    </row>
    <row r="70" ht="14.25" customHeight="1" hidden="1" spans="1:63" x14ac:dyDescent="0.25">
      <c r="A70" s="177">
        <v>7</v>
      </c>
      <c r="B70" s="21"/>
      <c r="C70" s="22" t="s">
        <v>53</v>
      </c>
      <c r="D70" s="21"/>
      <c r="E70" s="22"/>
      <c r="F70" s="20"/>
      <c r="G70" s="23"/>
      <c r="H70" s="51">
        <f>SUM(H62:H69)</f>
        <v>-310.59</v>
      </c>
      <c r="I70" s="53"/>
      <c r="J70" s="53"/>
      <c r="K70" s="51">
        <f t="shared" ref="K70:L70" si="207">SUM(K62:K69)</f>
        <v>0</v>
      </c>
      <c r="L70" s="68">
        <f t="shared" si="207"/>
        <v>0</v>
      </c>
      <c r="M70" s="53"/>
      <c r="N70" s="53"/>
      <c r="O70" s="51">
        <f t="shared" ref="O70:P70" si="208">SUM(O62:O69)</f>
        <v>0</v>
      </c>
      <c r="P70" s="68">
        <f t="shared" si="208"/>
        <v>0</v>
      </c>
      <c r="Q70" s="52"/>
      <c r="R70" s="53"/>
      <c r="S70" s="51">
        <f t="shared" ref="S70:T70" si="209">SUM(S62:S69)</f>
        <v>0</v>
      </c>
      <c r="T70" s="68">
        <f t="shared" si="209"/>
        <v>0</v>
      </c>
      <c r="U70" s="53"/>
      <c r="V70" s="53"/>
      <c r="W70" s="51">
        <f t="shared" ref="W70:X70" si="210">SUM(W62:W69)</f>
        <v>37.12</v>
      </c>
      <c r="X70" s="68">
        <f t="shared" si="210"/>
        <v>0</v>
      </c>
      <c r="Y70" s="52"/>
      <c r="Z70" s="53"/>
      <c r="AA70" s="51">
        <f t="shared" ref="AA70:AB70" si="211">SUM(AA62:AA69)</f>
        <v>560</v>
      </c>
      <c r="AB70" s="68">
        <f t="shared" si="211"/>
        <v>0</v>
      </c>
      <c r="AC70" s="53"/>
      <c r="AD70" s="53"/>
      <c r="AE70" s="51">
        <f t="shared" ref="AE70:AF70" si="212">SUM(AE62:AE69)</f>
        <v>5350.6</v>
      </c>
      <c r="AF70" s="68">
        <f t="shared" si="212"/>
        <v>6000</v>
      </c>
      <c r="AG70" s="52"/>
      <c r="AH70" s="53"/>
      <c r="AI70" s="183">
        <f t="shared" ref="AI70:AJ70" si="213">SUM(AI62:AI69)</f>
        <v>117</v>
      </c>
      <c r="AJ70" s="51">
        <f t="shared" si="213"/>
        <v>615</v>
      </c>
      <c r="AK70" s="52"/>
      <c r="AL70" s="53"/>
      <c r="AM70" s="183">
        <f t="shared" ref="AM70:AN70" si="214">SUM(AM62:AM69)</f>
        <v>91</v>
      </c>
      <c r="AN70" s="51">
        <f t="shared" si="214"/>
        <v>0</v>
      </c>
      <c r="AO70" s="52"/>
      <c r="AP70" s="53"/>
      <c r="AQ70" s="183">
        <f t="shared" ref="AQ70:AR70" si="215">SUM(AQ62:AQ69)</f>
        <v>2964</v>
      </c>
      <c r="AR70" s="51">
        <f t="shared" si="215"/>
        <v>0</v>
      </c>
      <c r="AS70" s="52"/>
      <c r="AT70" s="53"/>
      <c r="AU70" s="183">
        <f t="shared" ref="AU70:AV70" si="216">SUM(AU62:AU69)</f>
        <v>59.72</v>
      </c>
      <c r="AV70" s="68">
        <f t="shared" si="216"/>
        <v>0</v>
      </c>
      <c r="AW70" s="52"/>
      <c r="AX70" s="53"/>
      <c r="AY70" s="183">
        <f t="shared" ref="AY70:AZ70" si="217">SUM(AY62:AY69)</f>
        <v>0</v>
      </c>
      <c r="AZ70" s="68">
        <f t="shared" si="217"/>
        <v>0</v>
      </c>
      <c r="BA70" s="52"/>
      <c r="BB70" s="53"/>
      <c r="BC70" s="183">
        <f t="shared" ref="BC70:BD70" si="218">SUM(BC62:BC69)</f>
        <v>0</v>
      </c>
      <c r="BD70" s="68">
        <f t="shared" si="218"/>
        <v>0</v>
      </c>
      <c r="BE70" s="69"/>
      <c r="BF70" s="70">
        <f t="shared" ref="BF70:BH70" si="219">SUM(BF62:BF69)</f>
        <v>9179.44</v>
      </c>
      <c r="BG70" s="71">
        <f t="shared" si="219"/>
        <v>6615</v>
      </c>
      <c r="BH70" s="72">
        <f t="shared" si="219"/>
        <v>2253.85</v>
      </c>
      <c r="BI70" s="34">
        <f>H70+BF70-BG70</f>
        <v>2253.85</v>
      </c>
      <c r="BJ70" s="34">
        <f>BH70-BI70</f>
        <v>0</v>
      </c>
      <c r="BK70" s="2" t="b">
        <f>H70='2019'!BH63</f>
        <v>0</v>
      </c>
    </row>
    <row r="71" ht="14.25" customHeight="1" hidden="1" spans="1:63" x14ac:dyDescent="0.25">
      <c r="A71" s="2">
        <v>8</v>
      </c>
      <c r="B71" s="14"/>
      <c r="D71" s="14" t="s">
        <v>379</v>
      </c>
      <c r="F71" s="13"/>
      <c r="G71" s="28"/>
      <c r="H71" s="34">
        <f>'2019'!BH64</f>
        <v>0</v>
      </c>
      <c r="I71" s="15"/>
      <c r="J71" s="15"/>
      <c r="K71" s="15"/>
      <c r="L71" s="28"/>
      <c r="M71" s="15"/>
      <c r="N71" s="15"/>
      <c r="O71" s="15"/>
      <c r="P71" s="15"/>
      <c r="Q71" s="13"/>
      <c r="R71" s="15"/>
      <c r="S71" s="15"/>
      <c r="T71" s="28"/>
      <c r="U71" s="15"/>
      <c r="V71" s="15"/>
      <c r="W71" s="15"/>
      <c r="X71" s="15"/>
      <c r="Y71" s="13"/>
      <c r="Z71" s="15"/>
      <c r="AA71" s="15"/>
      <c r="AB71" s="28"/>
      <c r="AC71" s="15"/>
      <c r="AD71" s="15"/>
      <c r="AE71" s="15"/>
      <c r="AF71" s="15"/>
      <c r="AG71" s="13"/>
      <c r="AH71" s="15"/>
      <c r="AI71" s="45"/>
      <c r="AJ71" s="15"/>
      <c r="AK71" s="13"/>
      <c r="AL71" s="15"/>
      <c r="AM71" s="45"/>
      <c r="AN71" s="15"/>
      <c r="AO71" s="13"/>
      <c r="AP71" s="15"/>
      <c r="AQ71" s="45"/>
      <c r="AR71" s="15"/>
      <c r="AS71" s="13"/>
      <c r="AT71" s="15"/>
      <c r="AU71" s="45"/>
      <c r="AV71" s="15"/>
      <c r="AW71" s="13"/>
      <c r="AY71" s="45"/>
      <c r="AZ71" s="28"/>
      <c r="BA71" s="13"/>
      <c r="BB71" s="15"/>
      <c r="BC71" s="45"/>
      <c r="BD71" s="15"/>
      <c r="BE71" s="14"/>
      <c r="BF71" s="41">
        <f t="shared" ref="BF71:BG71" si="220">K71+O71+S71+W71+AA71+AE71+AI71+AM71+AQ71+AU71+AY71+BC71</f>
        <v>0</v>
      </c>
      <c r="BG71" s="34">
        <f t="shared" si="220"/>
        <v>0</v>
      </c>
      <c r="BH71" s="35">
        <f t="shared" ref="BH71:BH78" si="221">H71+BF71-BG71</f>
        <v>0</v>
      </c>
      <c r="BK71" s="2" t="b">
        <f>H71='2019'!BH64</f>
        <v>1</v>
      </c>
    </row>
    <row r="72" ht="14.25" customHeight="1" hidden="1" spans="1:63" x14ac:dyDescent="0.25">
      <c r="A72" s="2">
        <v>8</v>
      </c>
      <c r="B72" s="42">
        <v>4</v>
      </c>
      <c r="C72" s="2" t="s">
        <v>383</v>
      </c>
      <c r="D72" s="14" t="s">
        <v>44</v>
      </c>
      <c r="E72" s="2" t="s">
        <v>45</v>
      </c>
      <c r="F72" s="41">
        <v>2.5</v>
      </c>
      <c r="G72" s="35">
        <v>2.6</v>
      </c>
      <c r="H72" s="34">
        <f>'2019'!BH65</f>
        <v>114.7</v>
      </c>
      <c r="I72" s="13">
        <v>352</v>
      </c>
      <c r="J72" s="15">
        <f>I72-'2019'!BA65</f>
        <v>0</v>
      </c>
      <c r="K72" s="34">
        <f>J72*$F$8</f>
        <v>0</v>
      </c>
      <c r="L72" s="35"/>
      <c r="M72" s="15">
        <v>352</v>
      </c>
      <c r="N72" s="15">
        <f>M72-I72</f>
        <v>0</v>
      </c>
      <c r="O72" s="34">
        <f>N72*$F$8</f>
        <v>0</v>
      </c>
      <c r="P72" s="15"/>
      <c r="Q72" s="13">
        <v>352</v>
      </c>
      <c r="R72" s="15">
        <f>Q72-M72</f>
        <v>0</v>
      </c>
      <c r="S72" s="34">
        <f>R72*$F$8</f>
        <v>0</v>
      </c>
      <c r="T72" s="28"/>
      <c r="U72" s="15">
        <v>357</v>
      </c>
      <c r="V72" s="15">
        <f t="shared" ref="V72:V73" si="222">U72-Q72</f>
        <v>5</v>
      </c>
      <c r="W72" s="34">
        <f>V72*$F$8</f>
        <v>12.5</v>
      </c>
      <c r="X72" s="39">
        <v>114.7</v>
      </c>
      <c r="Y72" s="13">
        <v>383</v>
      </c>
      <c r="Z72" s="15">
        <f t="shared" ref="Z72:Z73" si="223">Y72-U72</f>
        <v>26</v>
      </c>
      <c r="AA72" s="34">
        <f>Z72*$F$8</f>
        <v>65</v>
      </c>
      <c r="AB72" s="28"/>
      <c r="AC72" s="15">
        <v>413</v>
      </c>
      <c r="AD72" s="15">
        <f t="shared" ref="AD72:AD73" si="224">AC72-Y72</f>
        <v>30</v>
      </c>
      <c r="AE72" s="45">
        <f>AD72*$G$8</f>
        <v>78</v>
      </c>
      <c r="AF72" s="39">
        <v>500</v>
      </c>
      <c r="AG72" s="13">
        <v>440</v>
      </c>
      <c r="AH72" s="15">
        <f t="shared" ref="AH72:AH73" si="225">AG72-AC72</f>
        <v>27</v>
      </c>
      <c r="AI72" s="45">
        <f>AH72*$G$8</f>
        <v>70.2</v>
      </c>
      <c r="AJ72" s="2"/>
      <c r="AK72" s="13">
        <v>464</v>
      </c>
      <c r="AL72" s="15">
        <f t="shared" ref="AL72:AL73" si="226">AK72-AG72</f>
        <v>24</v>
      </c>
      <c r="AM72" s="45">
        <f>AL72*$G$8</f>
        <v>62.4</v>
      </c>
      <c r="AN72" s="15"/>
      <c r="AO72" s="13">
        <v>489</v>
      </c>
      <c r="AP72" s="15">
        <f t="shared" ref="AP72:AP73" si="227">AO72-AK72</f>
        <v>25</v>
      </c>
      <c r="AQ72" s="45">
        <f>AP72*$G$8</f>
        <v>65</v>
      </c>
      <c r="AR72" s="15"/>
      <c r="AS72" s="13">
        <v>509</v>
      </c>
      <c r="AT72" s="15">
        <f t="shared" ref="AT72:AT73" si="228">AS72-AO72</f>
        <v>20</v>
      </c>
      <c r="AU72" s="45">
        <f>AT72*$G$8</f>
        <v>52</v>
      </c>
      <c r="AV72" s="15"/>
      <c r="AW72" s="13">
        <v>509</v>
      </c>
      <c r="AX72" s="2">
        <f t="shared" ref="AX72:AX73" si="229">AW72-AS72</f>
        <v>0</v>
      </c>
      <c r="AY72" s="45">
        <f>AX72*$G$8</f>
        <v>0</v>
      </c>
      <c r="AZ72" s="28"/>
      <c r="BA72" s="13">
        <v>509</v>
      </c>
      <c r="BB72" s="15">
        <f t="shared" ref="BB72:BB73" si="230">BA72-AW72</f>
        <v>0</v>
      </c>
      <c r="BC72" s="45">
        <f>BB72*$G$8</f>
        <v>0</v>
      </c>
      <c r="BD72" s="15"/>
      <c r="BE72" s="40">
        <f t="shared" ref="BE72:BG72" si="231">J72+N72+R72+V72+Z72+AD72+AH72+AL72+AP72+AT72+AX72+BB72</f>
        <v>157</v>
      </c>
      <c r="BF72" s="41">
        <f t="shared" si="231"/>
        <v>405.1</v>
      </c>
      <c r="BG72" s="34">
        <f t="shared" si="231"/>
        <v>614.7</v>
      </c>
      <c r="BH72" s="35">
        <f t="shared" si="221"/>
        <v>-94.9</v>
      </c>
      <c r="BK72" s="2" t="b">
        <f>H72='2019'!BH65</f>
        <v>1</v>
      </c>
    </row>
    <row r="73" ht="14.25" customHeight="1" hidden="1" spans="1:63" x14ac:dyDescent="0.25">
      <c r="A73" s="2">
        <v>8</v>
      </c>
      <c r="B73" s="14"/>
      <c r="C73" s="2" t="s">
        <v>71</v>
      </c>
      <c r="D73" s="14" t="s">
        <v>47</v>
      </c>
      <c r="E73" s="2" t="s">
        <v>48</v>
      </c>
      <c r="F73" s="13">
        <v>18.56</v>
      </c>
      <c r="G73" s="35">
        <v>19.46</v>
      </c>
      <c r="H73" s="34">
        <f>'2019'!BH66</f>
        <v>0</v>
      </c>
      <c r="I73" s="15">
        <v>12</v>
      </c>
      <c r="J73" s="15"/>
      <c r="K73" s="15"/>
      <c r="L73" s="28"/>
      <c r="M73" s="15">
        <v>12</v>
      </c>
      <c r="N73" s="15"/>
      <c r="O73" s="15"/>
      <c r="P73" s="15"/>
      <c r="Q73" s="184">
        <v>12</v>
      </c>
      <c r="R73" s="15"/>
      <c r="S73" s="15"/>
      <c r="T73" s="28"/>
      <c r="U73" s="15">
        <v>13</v>
      </c>
      <c r="V73" s="15">
        <f t="shared" si="222"/>
        <v>1</v>
      </c>
      <c r="W73" s="34">
        <f>V73*$F$10</f>
        <v>18.56</v>
      </c>
      <c r="X73" s="15"/>
      <c r="Y73" s="13">
        <v>13</v>
      </c>
      <c r="Z73" s="15">
        <f t="shared" si="223"/>
        <v>0</v>
      </c>
      <c r="AA73" s="34">
        <f>Z73*$F$10</f>
        <v>0</v>
      </c>
      <c r="AB73" s="38">
        <v>500</v>
      </c>
      <c r="AC73" s="15">
        <v>20</v>
      </c>
      <c r="AD73" s="15">
        <f t="shared" si="224"/>
        <v>7</v>
      </c>
      <c r="AE73" s="34">
        <f>AD73*$F$10</f>
        <v>129.92</v>
      </c>
      <c r="AF73" s="1"/>
      <c r="AG73" s="13">
        <v>29</v>
      </c>
      <c r="AH73" s="15">
        <f t="shared" si="225"/>
        <v>9</v>
      </c>
      <c r="AI73" s="45">
        <f>AH73*$G$10</f>
        <v>175.14</v>
      </c>
      <c r="AJ73" s="2"/>
      <c r="AK73" s="13">
        <v>29</v>
      </c>
      <c r="AL73" s="15">
        <f t="shared" si="226"/>
        <v>0</v>
      </c>
      <c r="AM73" s="45">
        <f>AL73*$G$10</f>
        <v>0</v>
      </c>
      <c r="AN73" s="15"/>
      <c r="AO73" s="13">
        <v>32</v>
      </c>
      <c r="AP73" s="15">
        <f t="shared" si="227"/>
        <v>3</v>
      </c>
      <c r="AQ73" s="45">
        <f>AP73*$G$10</f>
        <v>58.38</v>
      </c>
      <c r="AR73" s="15"/>
      <c r="AS73" s="13">
        <v>32</v>
      </c>
      <c r="AT73" s="15">
        <f t="shared" si="228"/>
        <v>0</v>
      </c>
      <c r="AU73" s="45">
        <f>AT73*$G$10</f>
        <v>0</v>
      </c>
      <c r="AV73" s="15"/>
      <c r="AW73" s="13">
        <v>32</v>
      </c>
      <c r="AX73" s="2">
        <f t="shared" si="229"/>
        <v>0</v>
      </c>
      <c r="AY73" s="45"/>
      <c r="AZ73" s="28"/>
      <c r="BA73" s="13">
        <v>32</v>
      </c>
      <c r="BB73" s="15">
        <f t="shared" si="230"/>
        <v>0</v>
      </c>
      <c r="BC73" s="45"/>
      <c r="BD73" s="15"/>
      <c r="BE73" s="40">
        <f t="shared" ref="BE73:BG73" si="232">J73+N73+R73+V73+Z73+AD73+AH73+AL73+AP73+AT73+AX73+BB73</f>
        <v>20</v>
      </c>
      <c r="BF73" s="41">
        <f t="shared" si="232"/>
        <v>382</v>
      </c>
      <c r="BG73" s="34">
        <f t="shared" si="232"/>
        <v>500</v>
      </c>
      <c r="BH73" s="35">
        <f t="shared" si="221"/>
        <v>-118</v>
      </c>
      <c r="BK73" s="2" t="b">
        <f>H73='2019'!BH66</f>
        <v>1</v>
      </c>
    </row>
    <row r="74" ht="14.25" customHeight="1" hidden="1" spans="1:63" x14ac:dyDescent="0.25">
      <c r="A74" s="2">
        <v>8</v>
      </c>
      <c r="B74" s="14"/>
      <c r="C74" s="2" t="s">
        <v>164</v>
      </c>
      <c r="D74" s="14" t="s">
        <v>47</v>
      </c>
      <c r="E74" s="2" t="s">
        <v>49</v>
      </c>
      <c r="F74" s="41">
        <v>500</v>
      </c>
      <c r="G74" s="35"/>
      <c r="H74" s="34">
        <f>'2019'!BH67</f>
        <v>0</v>
      </c>
      <c r="I74" s="15"/>
      <c r="J74" s="15"/>
      <c r="K74" s="15"/>
      <c r="L74" s="28"/>
      <c r="M74" s="15"/>
      <c r="N74" s="15"/>
      <c r="O74" s="15"/>
      <c r="P74" s="15"/>
      <c r="Q74" s="13"/>
      <c r="R74" s="15"/>
      <c r="S74" s="15"/>
      <c r="T74" s="28"/>
      <c r="U74" s="15"/>
      <c r="V74" s="15"/>
      <c r="W74" s="15"/>
      <c r="X74" s="15"/>
      <c r="Y74" s="13"/>
      <c r="Z74" s="15"/>
      <c r="AA74" s="15"/>
      <c r="AB74" s="28"/>
      <c r="AC74" s="15"/>
      <c r="AD74" s="15"/>
      <c r="AE74" s="34"/>
      <c r="AF74" s="1"/>
      <c r="AG74" s="13"/>
      <c r="AH74" s="15"/>
      <c r="AI74" s="45"/>
      <c r="AJ74" s="15"/>
      <c r="AK74" s="13"/>
      <c r="AL74" s="15"/>
      <c r="AM74" s="45"/>
      <c r="AN74" s="15"/>
      <c r="AO74" s="13"/>
      <c r="AP74" s="15"/>
      <c r="AQ74" s="45"/>
      <c r="AR74" s="15"/>
      <c r="AS74" s="13"/>
      <c r="AT74" s="15"/>
      <c r="AU74" s="45"/>
      <c r="AV74" s="15"/>
      <c r="AW74" s="13"/>
      <c r="AY74" s="45"/>
      <c r="AZ74" s="28"/>
      <c r="BA74" s="13"/>
      <c r="BB74" s="15"/>
      <c r="BC74" s="45"/>
      <c r="BD74" s="15"/>
      <c r="BE74" s="14"/>
      <c r="BF74" s="41">
        <f t="shared" ref="BF74:BG74" si="233">K74+O74+S74+W74+AA74+AE74+AI74+AM74+AQ74+AU74+AY74+BC74</f>
        <v>0</v>
      </c>
      <c r="BG74" s="34">
        <f t="shared" si="233"/>
        <v>0</v>
      </c>
      <c r="BH74" s="35">
        <f t="shared" si="221"/>
        <v>0</v>
      </c>
      <c r="BK74" s="2" t="b">
        <f>H74='2019'!BH67</f>
        <v>1</v>
      </c>
    </row>
    <row r="75" ht="14.25" customHeight="1" hidden="1" spans="1:63" x14ac:dyDescent="0.25">
      <c r="A75" s="2">
        <v>8</v>
      </c>
      <c r="B75" s="14"/>
      <c r="C75" s="15" t="s">
        <v>384</v>
      </c>
      <c r="D75" s="14" t="s">
        <v>50</v>
      </c>
      <c r="E75" s="2" t="s">
        <v>49</v>
      </c>
      <c r="F75" s="41">
        <v>1100</v>
      </c>
      <c r="G75" s="35"/>
      <c r="H75" s="34">
        <f>'2019'!BH68</f>
        <v>0</v>
      </c>
      <c r="I75" s="15"/>
      <c r="J75" s="15"/>
      <c r="K75" s="15"/>
      <c r="L75" s="28"/>
      <c r="M75" s="15"/>
      <c r="N75" s="15"/>
      <c r="O75" s="15"/>
      <c r="P75" s="15"/>
      <c r="Q75" s="13"/>
      <c r="R75" s="15"/>
      <c r="S75" s="15"/>
      <c r="T75" s="28"/>
      <c r="U75" s="15"/>
      <c r="V75" s="15"/>
      <c r="W75" s="15"/>
      <c r="X75" s="15"/>
      <c r="Y75" s="13"/>
      <c r="Z75" s="15"/>
      <c r="AA75" s="15"/>
      <c r="AB75" s="28"/>
      <c r="AC75" s="15"/>
      <c r="AD75" s="15"/>
      <c r="AE75" s="34">
        <f>B72*$F$12</f>
        <v>4400</v>
      </c>
      <c r="AF75" s="39">
        <v>4400</v>
      </c>
      <c r="AG75" s="13"/>
      <c r="AH75" s="15"/>
      <c r="AI75" s="45"/>
      <c r="AJ75" s="15"/>
      <c r="AK75" s="13"/>
      <c r="AL75" s="15"/>
      <c r="AM75" s="45"/>
      <c r="AN75" s="15"/>
      <c r="AO75" s="13"/>
      <c r="AP75" s="15"/>
      <c r="AQ75" s="45"/>
      <c r="AR75" s="15"/>
      <c r="AS75" s="13"/>
      <c r="AT75" s="15"/>
      <c r="AU75" s="45"/>
      <c r="AV75" s="15"/>
      <c r="AW75" s="13"/>
      <c r="AY75" s="45"/>
      <c r="AZ75" s="28"/>
      <c r="BA75" s="13"/>
      <c r="BB75" s="15"/>
      <c r="BC75" s="45"/>
      <c r="BD75" s="15"/>
      <c r="BE75" s="14"/>
      <c r="BF75" s="41">
        <f t="shared" ref="BF75:BG75" si="234">K75+O75+S75+W75+AA75+AE75+AI75+AM75+AQ75+AU75+AY75+BC75</f>
        <v>4400</v>
      </c>
      <c r="BG75" s="34">
        <f t="shared" si="234"/>
        <v>4400</v>
      </c>
      <c r="BH75" s="35">
        <f t="shared" si="221"/>
        <v>0</v>
      </c>
      <c r="BK75" s="2" t="b">
        <f>H75='2019'!BH68</f>
        <v>1</v>
      </c>
    </row>
    <row r="76" ht="14.25" customHeight="1" hidden="1" spans="1:63" x14ac:dyDescent="0.25">
      <c r="A76" s="2">
        <v>8</v>
      </c>
      <c r="B76" s="14"/>
      <c r="C76" s="2"/>
      <c r="D76" s="14" t="s">
        <v>51</v>
      </c>
      <c r="E76" s="2" t="s">
        <v>39</v>
      </c>
      <c r="F76" s="41">
        <v>500</v>
      </c>
      <c r="G76" s="35"/>
      <c r="H76" s="34">
        <f>'2019'!BH69</f>
        <v>0</v>
      </c>
      <c r="I76" s="15"/>
      <c r="J76" s="15"/>
      <c r="K76" s="15"/>
      <c r="L76" s="28"/>
      <c r="M76" s="15"/>
      <c r="N76" s="15"/>
      <c r="O76" s="15"/>
      <c r="P76" s="15"/>
      <c r="Q76" s="13"/>
      <c r="R76" s="15"/>
      <c r="S76" s="15"/>
      <c r="T76" s="28"/>
      <c r="U76" s="15"/>
      <c r="V76" s="15"/>
      <c r="W76" s="15"/>
      <c r="X76" s="15"/>
      <c r="Y76" s="13"/>
      <c r="Z76" s="15"/>
      <c r="AA76" s="15"/>
      <c r="AB76" s="28"/>
      <c r="AC76" s="15"/>
      <c r="AD76" s="15"/>
      <c r="AE76" s="34"/>
      <c r="AF76" s="39"/>
      <c r="AG76" s="13"/>
      <c r="AH76" s="15"/>
      <c r="AI76" s="45"/>
      <c r="AJ76" s="15"/>
      <c r="AK76" s="13"/>
      <c r="AL76" s="15"/>
      <c r="AM76" s="45"/>
      <c r="AN76" s="15"/>
      <c r="AO76" s="13"/>
      <c r="AP76" s="15"/>
      <c r="AQ76" s="45">
        <f>$F$13</f>
        <v>500</v>
      </c>
      <c r="AR76" s="15"/>
      <c r="AS76" s="13"/>
      <c r="AT76" s="15"/>
      <c r="AU76" s="45"/>
      <c r="AV76" s="15"/>
      <c r="AW76" s="13"/>
      <c r="AY76" s="45"/>
      <c r="AZ76" s="28"/>
      <c r="BA76" s="13"/>
      <c r="BB76" s="15"/>
      <c r="BC76" s="45"/>
      <c r="BD76" s="15"/>
      <c r="BE76" s="14"/>
      <c r="BF76" s="41">
        <f t="shared" ref="BF76:BG76" si="235">K76+O76+S76+W76+AA76+AE76+AI76+AM76+AQ76+AU76+AY76+BC76</f>
        <v>500</v>
      </c>
      <c r="BG76" s="34">
        <f t="shared" si="235"/>
        <v>0</v>
      </c>
      <c r="BH76" s="35">
        <f t="shared" si="221"/>
        <v>500</v>
      </c>
      <c r="BK76" s="2" t="b">
        <f>H76='2019'!BH69</f>
        <v>1</v>
      </c>
    </row>
    <row r="77" ht="14.25" customHeight="1" hidden="1" spans="1:60" x14ac:dyDescent="0.25">
      <c r="A77" s="2">
        <v>8</v>
      </c>
      <c r="B77" s="14"/>
      <c r="C77" s="2"/>
      <c r="D77" s="14" t="s">
        <v>51</v>
      </c>
      <c r="E77" s="2" t="s">
        <v>49</v>
      </c>
      <c r="F77" s="41">
        <v>500</v>
      </c>
      <c r="G77" s="35"/>
      <c r="H77" s="34"/>
      <c r="I77" s="15"/>
      <c r="J77" s="15"/>
      <c r="K77" s="15"/>
      <c r="L77" s="28"/>
      <c r="M77" s="15"/>
      <c r="N77" s="15"/>
      <c r="O77" s="15"/>
      <c r="P77" s="15"/>
      <c r="Q77" s="13"/>
      <c r="R77" s="15"/>
      <c r="S77" s="15"/>
      <c r="T77" s="28"/>
      <c r="U77" s="15"/>
      <c r="V77" s="15"/>
      <c r="W77" s="15"/>
      <c r="X77" s="15"/>
      <c r="Y77" s="13"/>
      <c r="Z77" s="15"/>
      <c r="AA77" s="15"/>
      <c r="AB77" s="28"/>
      <c r="AC77" s="15"/>
      <c r="AD77" s="15"/>
      <c r="AE77" s="34"/>
      <c r="AF77" s="39"/>
      <c r="AG77" s="13"/>
      <c r="AH77" s="15"/>
      <c r="AI77" s="45"/>
      <c r="AJ77" s="15"/>
      <c r="AK77" s="13"/>
      <c r="AL77" s="15"/>
      <c r="AM77" s="45"/>
      <c r="AN77" s="15"/>
      <c r="AO77" s="13"/>
      <c r="AP77" s="15"/>
      <c r="AQ77" s="34">
        <f>B72*$F$14</f>
        <v>2000</v>
      </c>
      <c r="AR77" s="15"/>
      <c r="AS77" s="13"/>
      <c r="AT77" s="15"/>
      <c r="AU77" s="45"/>
      <c r="AV77" s="15"/>
      <c r="AW77" s="13"/>
      <c r="AY77" s="45"/>
      <c r="AZ77" s="28"/>
      <c r="BA77" s="13"/>
      <c r="BB77" s="15"/>
      <c r="BC77" s="45"/>
      <c r="BD77" s="15"/>
      <c r="BE77" s="14"/>
      <c r="BF77" s="41">
        <f t="shared" ref="BF77:BG77" si="236">K77+O77+S77+W77+AA77+AE77+AI77+AM77+AQ77+AU77+AY77+BC77</f>
        <v>2000</v>
      </c>
      <c r="BG77" s="34">
        <f t="shared" si="236"/>
        <v>0</v>
      </c>
      <c r="BH77" s="35">
        <f t="shared" si="221"/>
        <v>2000</v>
      </c>
    </row>
    <row r="78" ht="14.25" customHeight="1" hidden="1" spans="1:63" x14ac:dyDescent="0.25">
      <c r="A78" s="2">
        <v>8</v>
      </c>
      <c r="B78" s="14"/>
      <c r="C78" s="15"/>
      <c r="D78" s="14" t="s">
        <v>52</v>
      </c>
      <c r="E78" s="2" t="s">
        <v>39</v>
      </c>
      <c r="F78" s="41">
        <v>500</v>
      </c>
      <c r="G78" s="35"/>
      <c r="H78" s="34">
        <f>'2019'!BH70</f>
        <v>0</v>
      </c>
      <c r="I78" s="15"/>
      <c r="J78" s="15"/>
      <c r="K78" s="15"/>
      <c r="L78" s="28"/>
      <c r="M78" s="15"/>
      <c r="N78" s="15"/>
      <c r="O78" s="15"/>
      <c r="P78" s="15"/>
      <c r="Q78" s="13"/>
      <c r="R78" s="15"/>
      <c r="S78" s="15"/>
      <c r="T78" s="28"/>
      <c r="U78" s="15"/>
      <c r="V78" s="15"/>
      <c r="W78" s="15"/>
      <c r="X78" s="15"/>
      <c r="Y78" s="13"/>
      <c r="Z78" s="15"/>
      <c r="AA78" s="34">
        <f>$F$11</f>
        <v>500</v>
      </c>
      <c r="AB78" s="28"/>
      <c r="AC78" s="15"/>
      <c r="AD78" s="15"/>
      <c r="AE78" s="15"/>
      <c r="AF78" s="39">
        <v>500</v>
      </c>
      <c r="AG78" s="13"/>
      <c r="AH78" s="15"/>
      <c r="AI78" s="45"/>
      <c r="AJ78" s="15"/>
      <c r="AK78" s="13"/>
      <c r="AL78" s="15"/>
      <c r="AM78" s="45"/>
      <c r="AN78" s="15"/>
      <c r="AO78" s="13"/>
      <c r="AP78" s="15"/>
      <c r="AQ78" s="45"/>
      <c r="AR78" s="15"/>
      <c r="AS78" s="13"/>
      <c r="AT78" s="15"/>
      <c r="AU78" s="45"/>
      <c r="AV78" s="15"/>
      <c r="AW78" s="13"/>
      <c r="AY78" s="45"/>
      <c r="AZ78" s="28"/>
      <c r="BA78" s="13"/>
      <c r="BB78" s="15"/>
      <c r="BC78" s="45"/>
      <c r="BD78" s="15"/>
      <c r="BE78" s="14"/>
      <c r="BF78" s="41">
        <f t="shared" ref="BF78:BG78" si="237">K78+O78+S78+W78+AA78+AE78+AI78+AM78+AQ78+AU78+AY78+BC78</f>
        <v>500</v>
      </c>
      <c r="BG78" s="34">
        <f t="shared" si="237"/>
        <v>500</v>
      </c>
      <c r="BH78" s="35">
        <f t="shared" si="221"/>
        <v>0</v>
      </c>
      <c r="BK78" s="2" t="b">
        <f>H78='2019'!BH70</f>
        <v>1</v>
      </c>
    </row>
    <row r="79" ht="14.25" customHeight="1" hidden="1" spans="1:63" x14ac:dyDescent="0.25">
      <c r="A79" s="2">
        <v>8</v>
      </c>
      <c r="B79" s="21"/>
      <c r="C79" s="22" t="s">
        <v>53</v>
      </c>
      <c r="D79" s="21"/>
      <c r="E79" s="22"/>
      <c r="F79" s="20"/>
      <c r="G79" s="23"/>
      <c r="H79" s="51">
        <f>SUM(H71:H78)</f>
        <v>114.7</v>
      </c>
      <c r="I79" s="53"/>
      <c r="J79" s="53"/>
      <c r="K79" s="51">
        <f t="shared" ref="K79:L79" si="238">SUM(K71:K78)</f>
        <v>0</v>
      </c>
      <c r="L79" s="68">
        <f t="shared" si="238"/>
        <v>0</v>
      </c>
      <c r="M79" s="53"/>
      <c r="N79" s="53"/>
      <c r="O79" s="51">
        <f t="shared" ref="O79:P79" si="239">SUM(O71:O78)</f>
        <v>0</v>
      </c>
      <c r="P79" s="68">
        <f t="shared" si="239"/>
        <v>0</v>
      </c>
      <c r="Q79" s="52"/>
      <c r="R79" s="53"/>
      <c r="S79" s="51">
        <f t="shared" ref="S79:T79" si="240">SUM(S71:S78)</f>
        <v>0</v>
      </c>
      <c r="T79" s="68">
        <f t="shared" si="240"/>
        <v>0</v>
      </c>
      <c r="U79" s="53"/>
      <c r="V79" s="53"/>
      <c r="W79" s="51">
        <f t="shared" ref="W79:X79" si="241">SUM(W71:W78)</f>
        <v>31.06</v>
      </c>
      <c r="X79" s="68">
        <f t="shared" si="241"/>
        <v>114.7</v>
      </c>
      <c r="Y79" s="52"/>
      <c r="Z79" s="53"/>
      <c r="AA79" s="51">
        <f t="shared" ref="AA79:AB79" si="242">SUM(AA71:AA78)</f>
        <v>565</v>
      </c>
      <c r="AB79" s="68">
        <f t="shared" si="242"/>
        <v>500</v>
      </c>
      <c r="AC79" s="53"/>
      <c r="AD79" s="53"/>
      <c r="AE79" s="51">
        <f t="shared" ref="AE79:AF79" si="243">SUM(AE71:AE78)</f>
        <v>4607.92</v>
      </c>
      <c r="AF79" s="68">
        <f t="shared" si="243"/>
        <v>5400</v>
      </c>
      <c r="AG79" s="52"/>
      <c r="AH79" s="53"/>
      <c r="AI79" s="183">
        <f t="shared" ref="AI79:AJ79" si="244">SUM(AI71:AI78)</f>
        <v>245.34</v>
      </c>
      <c r="AJ79" s="51">
        <f t="shared" si="244"/>
        <v>0</v>
      </c>
      <c r="AK79" s="52"/>
      <c r="AL79" s="53"/>
      <c r="AM79" s="183">
        <f t="shared" ref="AM79:AN79" si="245">SUM(AM71:AM78)</f>
        <v>62.4</v>
      </c>
      <c r="AN79" s="51">
        <f t="shared" si="245"/>
        <v>0</v>
      </c>
      <c r="AO79" s="52"/>
      <c r="AP79" s="53"/>
      <c r="AQ79" s="183">
        <f t="shared" ref="AQ79:AR79" si="246">SUM(AQ71:AQ78)</f>
        <v>2623.38</v>
      </c>
      <c r="AR79" s="51">
        <f t="shared" si="246"/>
        <v>0</v>
      </c>
      <c r="AS79" s="52"/>
      <c r="AT79" s="53"/>
      <c r="AU79" s="183">
        <f t="shared" ref="AU79:AV79" si="247">SUM(AU71:AU78)</f>
        <v>52</v>
      </c>
      <c r="AV79" s="68">
        <f t="shared" si="247"/>
        <v>0</v>
      </c>
      <c r="AW79" s="52"/>
      <c r="AX79" s="53"/>
      <c r="AY79" s="183">
        <f t="shared" ref="AY79:AZ79" si="248">SUM(AY71:AY78)</f>
        <v>0</v>
      </c>
      <c r="AZ79" s="68">
        <f t="shared" si="248"/>
        <v>0</v>
      </c>
      <c r="BA79" s="52"/>
      <c r="BB79" s="53"/>
      <c r="BC79" s="183">
        <f t="shared" ref="BC79:BD79" si="249">SUM(BC71:BC78)</f>
        <v>0</v>
      </c>
      <c r="BD79" s="68">
        <f t="shared" si="249"/>
        <v>0</v>
      </c>
      <c r="BE79" s="69"/>
      <c r="BF79" s="70">
        <f t="shared" ref="BF79:BH79" si="250">SUM(BF71:BF78)</f>
        <v>8187.1</v>
      </c>
      <c r="BG79" s="71">
        <f t="shared" si="250"/>
        <v>6014.7</v>
      </c>
      <c r="BH79" s="72">
        <f t="shared" si="250"/>
        <v>2287.1</v>
      </c>
      <c r="BI79" s="34">
        <f>H79+BF79-BG79</f>
        <v>2287.1</v>
      </c>
      <c r="BJ79" s="34">
        <f>BH79-BI79</f>
        <v>0</v>
      </c>
      <c r="BK79" s="2" t="b">
        <f>H79='2019'!BH71</f>
        <v>1</v>
      </c>
    </row>
    <row r="80" ht="14.25" customHeight="1" hidden="1" spans="1:63" x14ac:dyDescent="0.25">
      <c r="A80" s="188">
        <v>9</v>
      </c>
      <c r="B80" s="189"/>
      <c r="C80" s="189"/>
      <c r="D80" s="189" t="s">
        <v>379</v>
      </c>
      <c r="E80" s="189"/>
      <c r="F80" s="13"/>
      <c r="G80" s="28"/>
      <c r="H80" s="190">
        <f>'2019'!BH72</f>
        <v>0</v>
      </c>
      <c r="I80" s="191"/>
      <c r="J80" s="192"/>
      <c r="K80" s="192"/>
      <c r="L80" s="193"/>
      <c r="M80" s="191"/>
      <c r="N80" s="192"/>
      <c r="O80" s="192"/>
      <c r="P80" s="193"/>
      <c r="Q80" s="191"/>
      <c r="R80" s="192"/>
      <c r="S80" s="194"/>
      <c r="T80" s="193"/>
      <c r="U80" s="191"/>
      <c r="V80" s="192"/>
      <c r="W80" s="194"/>
      <c r="X80" s="193"/>
      <c r="Y80" s="191"/>
      <c r="Z80" s="192"/>
      <c r="AA80" s="194"/>
      <c r="AB80" s="193"/>
      <c r="AC80" s="191"/>
      <c r="AD80" s="192"/>
      <c r="AE80" s="194"/>
      <c r="AF80" s="193"/>
      <c r="AG80" s="13"/>
      <c r="AH80" s="15"/>
      <c r="AI80" s="45"/>
      <c r="AJ80" s="15"/>
      <c r="AK80" s="13"/>
      <c r="AL80" s="15"/>
      <c r="AM80" s="45"/>
      <c r="AN80" s="15"/>
      <c r="AO80" s="13"/>
      <c r="AP80" s="15"/>
      <c r="AQ80" s="45"/>
      <c r="AR80" s="15"/>
      <c r="AS80" s="13"/>
      <c r="AT80" s="15"/>
      <c r="AU80" s="45"/>
      <c r="AV80" s="28"/>
      <c r="AW80" s="13"/>
      <c r="AX80" s="195"/>
      <c r="AY80" s="45"/>
      <c r="AZ80" s="28"/>
      <c r="BA80" s="13"/>
      <c r="BB80" s="15"/>
      <c r="BC80" s="45"/>
      <c r="BD80" s="28"/>
      <c r="BE80" s="189"/>
      <c r="BF80" s="196">
        <f t="shared" ref="BF80:BG80" si="251">K80+O80+S80+W80+AA80+AE80+AI80+AM80+AQ80+AU80+AY80+BC80</f>
        <v>0</v>
      </c>
      <c r="BG80" s="197">
        <f t="shared" si="251"/>
        <v>0</v>
      </c>
      <c r="BH80" s="198">
        <f t="shared" ref="BH80:BH87" si="252">H80+BF80-BG80</f>
        <v>0</v>
      </c>
      <c r="BI80" s="195"/>
      <c r="BJ80" s="195"/>
      <c r="BK80" s="195" t="b">
        <f>H80='2019'!BH72</f>
        <v>1</v>
      </c>
    </row>
    <row r="81" ht="14.25" customHeight="1" hidden="1" spans="1:63" x14ac:dyDescent="0.25">
      <c r="A81" s="199">
        <v>9</v>
      </c>
      <c r="B81" s="200">
        <v>4.03</v>
      </c>
      <c r="C81" s="200" t="s">
        <v>82</v>
      </c>
      <c r="D81" s="200" t="s">
        <v>44</v>
      </c>
      <c r="E81" s="200" t="s">
        <v>45</v>
      </c>
      <c r="F81" s="41">
        <v>2.5</v>
      </c>
      <c r="G81" s="35">
        <v>2.6</v>
      </c>
      <c r="H81" s="201">
        <f>'2019'!BH73</f>
        <v>-85.03</v>
      </c>
      <c r="I81" s="202">
        <v>46</v>
      </c>
      <c r="J81" s="203">
        <f>I81-'2019'!BA73</f>
        <v>0</v>
      </c>
      <c r="K81" s="204">
        <f>J81*$F$8</f>
        <v>0</v>
      </c>
      <c r="L81" s="205"/>
      <c r="M81" s="202">
        <v>46</v>
      </c>
      <c r="N81" s="203">
        <f>M81-I81</f>
        <v>0</v>
      </c>
      <c r="O81" s="204">
        <f>N81*$F$8</f>
        <v>0</v>
      </c>
      <c r="P81" s="205"/>
      <c r="Q81" s="202">
        <v>46</v>
      </c>
      <c r="R81" s="203">
        <f>Q81-M81</f>
        <v>0</v>
      </c>
      <c r="S81" s="204">
        <f>R81*$F$8</f>
        <v>0</v>
      </c>
      <c r="T81" s="205"/>
      <c r="U81" s="202">
        <v>46</v>
      </c>
      <c r="V81" s="203">
        <f t="shared" ref="V81:V82" si="253">U81-Q81</f>
        <v>0</v>
      </c>
      <c r="W81" s="204">
        <f>V81*$F$8</f>
        <v>0</v>
      </c>
      <c r="X81" s="205"/>
      <c r="Y81" s="202">
        <v>46</v>
      </c>
      <c r="Z81" s="203">
        <f t="shared" ref="Z81:Z82" si="254">Y81-U81</f>
        <v>0</v>
      </c>
      <c r="AA81" s="204">
        <f>Z81*$F$8</f>
        <v>0</v>
      </c>
      <c r="AB81" s="205"/>
      <c r="AC81" s="202">
        <v>46</v>
      </c>
      <c r="AD81" s="203">
        <f t="shared" ref="AD81:AD82" si="255">AC81-Y81</f>
        <v>0</v>
      </c>
      <c r="AE81" s="206">
        <f>AD81*$G$8</f>
        <v>0</v>
      </c>
      <c r="AF81" s="207">
        <v>200</v>
      </c>
      <c r="AG81" s="13">
        <v>46</v>
      </c>
      <c r="AH81" s="15">
        <f t="shared" ref="AH81:AH82" si="256">AG81-AC81</f>
        <v>0</v>
      </c>
      <c r="AI81" s="45">
        <f>AH81*$G$8</f>
        <v>0</v>
      </c>
      <c r="AJ81" s="2"/>
      <c r="AK81" s="13">
        <v>46</v>
      </c>
      <c r="AL81" s="15">
        <f t="shared" ref="AL81:AL82" si="257">AK81-AG81</f>
        <v>0</v>
      </c>
      <c r="AM81" s="45">
        <f>AL81*$G$8</f>
        <v>0</v>
      </c>
      <c r="AN81" s="2"/>
      <c r="AO81" s="13">
        <v>46</v>
      </c>
      <c r="AP81" s="15">
        <f t="shared" ref="AP81:AP82" si="258">AO81-AK81</f>
        <v>0</v>
      </c>
      <c r="AQ81" s="45">
        <f>AP81*$G$8</f>
        <v>0</v>
      </c>
      <c r="AR81" s="2"/>
      <c r="AS81" s="13">
        <v>46</v>
      </c>
      <c r="AT81" s="15">
        <f t="shared" ref="AT81:AT82" si="259">AS81-AO81</f>
        <v>0</v>
      </c>
      <c r="AU81" s="45">
        <f t="shared" ref="AU81:AU82" si="260">AT81*$G$8</f>
        <v>0</v>
      </c>
      <c r="AV81" s="208"/>
      <c r="AW81" s="13">
        <v>46</v>
      </c>
      <c r="AX81" s="203">
        <f t="shared" ref="AX81:AX82" si="261">AW81-AS81</f>
        <v>0</v>
      </c>
      <c r="AY81" s="45">
        <f>AX81*$G$8</f>
        <v>0</v>
      </c>
      <c r="AZ81" s="208"/>
      <c r="BA81" s="13">
        <v>46</v>
      </c>
      <c r="BB81" s="15">
        <f t="shared" ref="BB81:BB82" si="262">BA81-AW81</f>
        <v>0</v>
      </c>
      <c r="BC81" s="45">
        <f>BB81*$G$8</f>
        <v>0</v>
      </c>
      <c r="BD81" s="208"/>
      <c r="BE81" s="209">
        <f t="shared" ref="BE81:BG81" si="263">J81+N81+R81+V81+Z81+AD81+AH81+AL81+AP81+AT81+AX81+BB81</f>
        <v>0</v>
      </c>
      <c r="BF81" s="210">
        <f t="shared" si="263"/>
        <v>0</v>
      </c>
      <c r="BG81" s="204">
        <f t="shared" si="263"/>
        <v>200</v>
      </c>
      <c r="BH81" s="211">
        <f t="shared" si="252"/>
        <v>-285.03</v>
      </c>
      <c r="BI81" s="212"/>
      <c r="BJ81" s="203"/>
      <c r="BK81" s="203" t="b">
        <f>H81='2019'!BH73</f>
        <v>1</v>
      </c>
    </row>
    <row r="82" ht="14.25" customHeight="1" hidden="1" spans="1:63" x14ac:dyDescent="0.25">
      <c r="A82" s="199">
        <v>9</v>
      </c>
      <c r="B82" s="200"/>
      <c r="C82" s="200" t="s">
        <v>83</v>
      </c>
      <c r="D82" s="200" t="s">
        <v>47</v>
      </c>
      <c r="E82" s="200" t="s">
        <v>48</v>
      </c>
      <c r="F82" s="13">
        <v>18.56</v>
      </c>
      <c r="G82" s="35">
        <v>19.46</v>
      </c>
      <c r="H82" s="201">
        <f>'2019'!BH74</f>
        <v>1.78</v>
      </c>
      <c r="I82" s="202">
        <v>120</v>
      </c>
      <c r="J82" s="203"/>
      <c r="K82" s="203"/>
      <c r="L82" s="205"/>
      <c r="M82" s="202">
        <v>120</v>
      </c>
      <c r="N82" s="203"/>
      <c r="O82" s="203"/>
      <c r="P82" s="205"/>
      <c r="Q82" s="213">
        <v>120</v>
      </c>
      <c r="R82" s="203"/>
      <c r="S82" s="203"/>
      <c r="T82" s="205"/>
      <c r="U82" s="202">
        <v>121</v>
      </c>
      <c r="V82" s="203">
        <f t="shared" si="253"/>
        <v>1</v>
      </c>
      <c r="W82" s="204">
        <f>V82*$F$10</f>
        <v>18.56</v>
      </c>
      <c r="X82" s="205"/>
      <c r="Y82" s="202">
        <v>121</v>
      </c>
      <c r="Z82" s="203">
        <f t="shared" si="254"/>
        <v>0</v>
      </c>
      <c r="AA82" s="204">
        <f>Z82*$F$10</f>
        <v>0</v>
      </c>
      <c r="AB82" s="205"/>
      <c r="AC82" s="202">
        <v>132</v>
      </c>
      <c r="AD82" s="203">
        <f t="shared" si="255"/>
        <v>11</v>
      </c>
      <c r="AE82" s="204">
        <f>AD82*$F$10</f>
        <v>204.16</v>
      </c>
      <c r="AF82" s="207">
        <v>300</v>
      </c>
      <c r="AG82" s="202">
        <v>143</v>
      </c>
      <c r="AH82" s="203">
        <f t="shared" si="256"/>
        <v>11</v>
      </c>
      <c r="AI82" s="45">
        <f>AH82*$G$10</f>
        <v>214.06</v>
      </c>
      <c r="AJ82" s="2"/>
      <c r="AK82" s="13">
        <v>147</v>
      </c>
      <c r="AL82" s="15">
        <f t="shared" si="257"/>
        <v>4</v>
      </c>
      <c r="AM82" s="45">
        <f>AL82*$G$10</f>
        <v>77.84</v>
      </c>
      <c r="AN82" s="2"/>
      <c r="AO82" s="13">
        <v>148</v>
      </c>
      <c r="AP82" s="15">
        <f t="shared" si="258"/>
        <v>1</v>
      </c>
      <c r="AQ82" s="45">
        <f>AP82*$G$10</f>
        <v>19.46</v>
      </c>
      <c r="AR82" s="2"/>
      <c r="AS82" s="13">
        <v>148</v>
      </c>
      <c r="AT82" s="15">
        <f t="shared" si="259"/>
        <v>0</v>
      </c>
      <c r="AU82" s="45">
        <f t="shared" si="260"/>
        <v>0</v>
      </c>
      <c r="AV82" s="208"/>
      <c r="AW82" s="13">
        <v>148</v>
      </c>
      <c r="AX82" s="203">
        <f t="shared" si="261"/>
        <v>0</v>
      </c>
      <c r="AY82" s="45"/>
      <c r="AZ82" s="208"/>
      <c r="BA82" s="13">
        <v>148</v>
      </c>
      <c r="BB82" s="15">
        <f t="shared" si="262"/>
        <v>0</v>
      </c>
      <c r="BC82" s="45"/>
      <c r="BD82" s="208"/>
      <c r="BE82" s="209">
        <f t="shared" ref="BE82:BG82" si="264">J82+N82+R82+V82+Z82+AD82+AH82+AL82+AP82+AT82+AX82+BB82</f>
        <v>28</v>
      </c>
      <c r="BF82" s="210">
        <f t="shared" si="264"/>
        <v>534.08</v>
      </c>
      <c r="BG82" s="204">
        <f t="shared" si="264"/>
        <v>300</v>
      </c>
      <c r="BH82" s="211">
        <f t="shared" si="252"/>
        <v>235.86</v>
      </c>
      <c r="BI82" s="212"/>
      <c r="BJ82" s="203"/>
      <c r="BK82" s="203" t="b">
        <f>H82='2019'!BH74</f>
        <v>1</v>
      </c>
    </row>
    <row r="83" ht="14.25" customHeight="1" hidden="1" spans="1:63" x14ac:dyDescent="0.25">
      <c r="A83" s="199">
        <v>9</v>
      </c>
      <c r="B83" s="200"/>
      <c r="C83" s="200" t="s">
        <v>84</v>
      </c>
      <c r="D83" s="200" t="s">
        <v>47</v>
      </c>
      <c r="E83" s="200" t="s">
        <v>49</v>
      </c>
      <c r="F83" s="41">
        <v>500</v>
      </c>
      <c r="G83" s="35"/>
      <c r="H83" s="201">
        <f>'2019'!BH75</f>
        <v>0</v>
      </c>
      <c r="I83" s="202"/>
      <c r="J83" s="203"/>
      <c r="K83" s="203"/>
      <c r="L83" s="205"/>
      <c r="M83" s="202"/>
      <c r="N83" s="203"/>
      <c r="O83" s="203"/>
      <c r="P83" s="205"/>
      <c r="Q83" s="202"/>
      <c r="R83" s="203"/>
      <c r="S83" s="203"/>
      <c r="T83" s="205"/>
      <c r="U83" s="202"/>
      <c r="V83" s="203"/>
      <c r="W83" s="203"/>
      <c r="X83" s="205"/>
      <c r="Y83" s="202"/>
      <c r="Z83" s="203"/>
      <c r="AA83" s="203"/>
      <c r="AB83" s="205"/>
      <c r="AC83" s="202"/>
      <c r="AD83" s="203"/>
      <c r="AE83" s="204"/>
      <c r="AF83" s="214"/>
      <c r="AG83" s="13"/>
      <c r="AH83" s="15"/>
      <c r="AI83" s="45"/>
      <c r="AJ83" s="15"/>
      <c r="AK83" s="13"/>
      <c r="AL83" s="15"/>
      <c r="AM83" s="45"/>
      <c r="AN83" s="15"/>
      <c r="AO83" s="13"/>
      <c r="AP83" s="15"/>
      <c r="AQ83" s="45"/>
      <c r="AR83" s="15"/>
      <c r="AS83" s="13"/>
      <c r="AT83" s="15"/>
      <c r="AU83" s="45"/>
      <c r="AV83" s="28"/>
      <c r="AW83" s="13"/>
      <c r="AX83" s="203"/>
      <c r="AY83" s="45"/>
      <c r="AZ83" s="28"/>
      <c r="BA83" s="13"/>
      <c r="BB83" s="15"/>
      <c r="BC83" s="45"/>
      <c r="BD83" s="28"/>
      <c r="BE83" s="200"/>
      <c r="BF83" s="210">
        <f t="shared" ref="BF83:BG83" si="265">K83+O83+S83+W83+AA83+AE83+AI83+AM83+AQ83+AU83+AY83+BC83</f>
        <v>0</v>
      </c>
      <c r="BG83" s="204">
        <f t="shared" si="265"/>
        <v>0</v>
      </c>
      <c r="BH83" s="211">
        <f t="shared" si="252"/>
        <v>0</v>
      </c>
      <c r="BI83" s="212"/>
      <c r="BJ83" s="203"/>
      <c r="BK83" s="203" t="b">
        <f>H83='2019'!BH75</f>
        <v>1</v>
      </c>
    </row>
    <row r="84" ht="14.25" customHeight="1" hidden="1" spans="1:63" x14ac:dyDescent="0.25">
      <c r="A84" s="199">
        <v>9</v>
      </c>
      <c r="B84" s="200"/>
      <c r="C84" s="200" t="s">
        <v>85</v>
      </c>
      <c r="D84" s="200" t="s">
        <v>50</v>
      </c>
      <c r="E84" s="200" t="s">
        <v>49</v>
      </c>
      <c r="F84" s="41">
        <v>1100</v>
      </c>
      <c r="G84" s="35"/>
      <c r="H84" s="215">
        <f>'2019'!BH76+0.0036</f>
        <v>0</v>
      </c>
      <c r="I84" s="202"/>
      <c r="J84" s="203"/>
      <c r="K84" s="203"/>
      <c r="L84" s="205"/>
      <c r="M84" s="202"/>
      <c r="N84" s="203"/>
      <c r="O84" s="203"/>
      <c r="P84" s="205"/>
      <c r="Q84" s="202"/>
      <c r="R84" s="203"/>
      <c r="S84" s="203"/>
      <c r="T84" s="205"/>
      <c r="U84" s="202"/>
      <c r="V84" s="203"/>
      <c r="W84" s="203"/>
      <c r="X84" s="205"/>
      <c r="Y84" s="202"/>
      <c r="Z84" s="203"/>
      <c r="AA84" s="203"/>
      <c r="AB84" s="205"/>
      <c r="AC84" s="202"/>
      <c r="AD84" s="203"/>
      <c r="AE84" s="204">
        <f>B81*$F$12</f>
        <v>4433</v>
      </c>
      <c r="AF84" s="207">
        <v>3000</v>
      </c>
      <c r="AG84" s="13"/>
      <c r="AH84" s="15"/>
      <c r="AI84" s="45"/>
      <c r="AJ84" s="140">
        <v>1480</v>
      </c>
      <c r="AK84" s="13"/>
      <c r="AL84" s="15"/>
      <c r="AM84" s="45"/>
      <c r="AN84" s="15"/>
      <c r="AO84" s="13"/>
      <c r="AP84" s="15"/>
      <c r="AQ84" s="45"/>
      <c r="AR84" s="15"/>
      <c r="AS84" s="13"/>
      <c r="AT84" s="15"/>
      <c r="AU84" s="45"/>
      <c r="AV84" s="28"/>
      <c r="AW84" s="13"/>
      <c r="AX84" s="203"/>
      <c r="AY84" s="45"/>
      <c r="AZ84" s="28"/>
      <c r="BA84" s="13"/>
      <c r="BB84" s="15"/>
      <c r="BC84" s="45"/>
      <c r="BD84" s="28"/>
      <c r="BE84" s="200"/>
      <c r="BF84" s="210">
        <f t="shared" ref="BF84:BG84" si="266">K84+O84+S84+W84+AA84+AE84+AI84+AM84+AQ84+AU84+AY84+BC84</f>
        <v>4433</v>
      </c>
      <c r="BG84" s="204">
        <f t="shared" si="266"/>
        <v>4480</v>
      </c>
      <c r="BH84" s="211">
        <f t="shared" si="252"/>
        <v>-47</v>
      </c>
      <c r="BI84" s="212"/>
      <c r="BJ84" s="203"/>
      <c r="BK84" s="203" t="b">
        <f>H84='2019'!BH76</f>
        <v>0</v>
      </c>
    </row>
    <row r="85" ht="14.25" customHeight="1" hidden="1" spans="1:63" x14ac:dyDescent="0.25">
      <c r="A85" s="199">
        <v>9</v>
      </c>
      <c r="B85" s="200"/>
      <c r="C85" s="200" t="s">
        <v>490</v>
      </c>
      <c r="D85" s="200" t="s">
        <v>51</v>
      </c>
      <c r="E85" s="203" t="s">
        <v>39</v>
      </c>
      <c r="F85" s="41">
        <v>500</v>
      </c>
      <c r="G85" s="35"/>
      <c r="H85" s="201">
        <f>'2019'!BH77</f>
        <v>0</v>
      </c>
      <c r="I85" s="202"/>
      <c r="J85" s="203"/>
      <c r="K85" s="203"/>
      <c r="L85" s="205"/>
      <c r="M85" s="202"/>
      <c r="N85" s="203"/>
      <c r="O85" s="203"/>
      <c r="P85" s="205"/>
      <c r="Q85" s="202"/>
      <c r="R85" s="203"/>
      <c r="S85" s="203"/>
      <c r="T85" s="205"/>
      <c r="U85" s="202"/>
      <c r="V85" s="203"/>
      <c r="W85" s="203"/>
      <c r="X85" s="205"/>
      <c r="Y85" s="202"/>
      <c r="Z85" s="203"/>
      <c r="AA85" s="203"/>
      <c r="AB85" s="205"/>
      <c r="AC85" s="202"/>
      <c r="AD85" s="203"/>
      <c r="AE85" s="204"/>
      <c r="AF85" s="39"/>
      <c r="AG85" s="13"/>
      <c r="AH85" s="15"/>
      <c r="AI85" s="45"/>
      <c r="AJ85" s="15"/>
      <c r="AK85" s="13"/>
      <c r="AL85" s="15"/>
      <c r="AM85" s="45"/>
      <c r="AN85" s="15"/>
      <c r="AO85" s="13"/>
      <c r="AP85" s="15"/>
      <c r="AQ85" s="45">
        <f>$F$13</f>
        <v>500</v>
      </c>
      <c r="AR85" s="15"/>
      <c r="AS85" s="13"/>
      <c r="AT85" s="15"/>
      <c r="AU85" s="45"/>
      <c r="AV85" s="28"/>
      <c r="AW85" s="13"/>
      <c r="AX85" s="203"/>
      <c r="AY85" s="45"/>
      <c r="AZ85" s="28"/>
      <c r="BA85" s="13"/>
      <c r="BB85" s="15"/>
      <c r="BC85" s="45"/>
      <c r="BD85" s="38">
        <v>500</v>
      </c>
      <c r="BE85" s="200"/>
      <c r="BF85" s="210">
        <f t="shared" ref="BF85:BG85" si="267">K85+O85+S85+W85+AA85+AE85+AI85+AM85+AQ85+AU85+AY85+BC85</f>
        <v>500</v>
      </c>
      <c r="BG85" s="204">
        <f t="shared" si="267"/>
        <v>500</v>
      </c>
      <c r="BH85" s="211">
        <f t="shared" si="252"/>
        <v>0</v>
      </c>
      <c r="BI85" s="212"/>
      <c r="BJ85" s="203"/>
      <c r="BK85" s="203" t="b">
        <f>H85='2019'!BH77</f>
        <v>1</v>
      </c>
    </row>
    <row r="86" ht="14.25" customHeight="1" hidden="1" spans="1:63" x14ac:dyDescent="0.25">
      <c r="A86" s="199">
        <v>9</v>
      </c>
      <c r="B86" s="200"/>
      <c r="C86" s="200"/>
      <c r="D86" s="200" t="s">
        <v>51</v>
      </c>
      <c r="E86" s="200" t="s">
        <v>49</v>
      </c>
      <c r="F86" s="41">
        <v>500</v>
      </c>
      <c r="G86" s="35"/>
      <c r="H86" s="201"/>
      <c r="I86" s="202"/>
      <c r="J86" s="203"/>
      <c r="K86" s="203"/>
      <c r="L86" s="205"/>
      <c r="M86" s="202"/>
      <c r="N86" s="203"/>
      <c r="O86" s="203"/>
      <c r="P86" s="205"/>
      <c r="Q86" s="202"/>
      <c r="R86" s="203"/>
      <c r="S86" s="203"/>
      <c r="T86" s="205"/>
      <c r="U86" s="202"/>
      <c r="V86" s="203"/>
      <c r="W86" s="203"/>
      <c r="X86" s="205"/>
      <c r="Y86" s="202"/>
      <c r="Z86" s="203"/>
      <c r="AA86" s="203"/>
      <c r="AB86" s="205"/>
      <c r="AC86" s="202"/>
      <c r="AD86" s="203"/>
      <c r="AE86" s="204"/>
      <c r="AF86" s="39"/>
      <c r="AG86" s="13"/>
      <c r="AH86" s="15"/>
      <c r="AI86" s="45"/>
      <c r="AJ86" s="15"/>
      <c r="AK86" s="13"/>
      <c r="AL86" s="15"/>
      <c r="AM86" s="45"/>
      <c r="AN86" s="15"/>
      <c r="AO86" s="13"/>
      <c r="AP86" s="15"/>
      <c r="AQ86" s="34">
        <f>B81*$F$14</f>
        <v>2015</v>
      </c>
      <c r="AR86" s="15"/>
      <c r="AS86" s="13"/>
      <c r="AT86" s="15"/>
      <c r="AU86" s="45"/>
      <c r="AV86" s="28"/>
      <c r="AW86" s="13"/>
      <c r="AX86" s="203"/>
      <c r="AY86" s="45"/>
      <c r="AZ86" s="28"/>
      <c r="BA86" s="13"/>
      <c r="BB86" s="15"/>
      <c r="BC86" s="45"/>
      <c r="BD86" s="38">
        <v>2015</v>
      </c>
      <c r="BE86" s="200"/>
      <c r="BF86" s="210">
        <f t="shared" ref="BF86:BG86" si="268">K86+O86+S86+W86+AA86+AE86+AI86+AM86+AQ86+AU86+AY86+BC86</f>
        <v>2015</v>
      </c>
      <c r="BG86" s="204">
        <f t="shared" si="268"/>
        <v>2015</v>
      </c>
      <c r="BH86" s="211">
        <f t="shared" si="252"/>
        <v>0</v>
      </c>
      <c r="BI86" s="212"/>
      <c r="BJ86" s="203"/>
      <c r="BK86" s="203"/>
    </row>
    <row r="87" ht="14.25" customHeight="1" hidden="1" spans="1:63" x14ac:dyDescent="0.25">
      <c r="A87" s="199">
        <v>9</v>
      </c>
      <c r="B87" s="200"/>
      <c r="C87" s="200"/>
      <c r="D87" s="200" t="s">
        <v>52</v>
      </c>
      <c r="E87" s="200" t="s">
        <v>39</v>
      </c>
      <c r="F87" s="41">
        <v>500</v>
      </c>
      <c r="G87" s="35"/>
      <c r="H87" s="201">
        <f>'2019'!BH78</f>
        <v>0</v>
      </c>
      <c r="I87" s="202"/>
      <c r="J87" s="203"/>
      <c r="K87" s="203"/>
      <c r="L87" s="205"/>
      <c r="M87" s="202"/>
      <c r="N87" s="203"/>
      <c r="O87" s="203"/>
      <c r="P87" s="205"/>
      <c r="Q87" s="202"/>
      <c r="R87" s="203"/>
      <c r="S87" s="203"/>
      <c r="T87" s="205"/>
      <c r="U87" s="202"/>
      <c r="V87" s="203"/>
      <c r="W87" s="203"/>
      <c r="X87" s="205"/>
      <c r="Y87" s="202"/>
      <c r="Z87" s="203"/>
      <c r="AA87" s="204">
        <f>$F$11</f>
        <v>500</v>
      </c>
      <c r="AB87" s="211"/>
      <c r="AC87" s="202"/>
      <c r="AD87" s="203"/>
      <c r="AE87" s="203"/>
      <c r="AF87" s="207">
        <v>500</v>
      </c>
      <c r="AG87" s="13"/>
      <c r="AH87" s="15"/>
      <c r="AI87" s="45"/>
      <c r="AJ87" s="15"/>
      <c r="AK87" s="13"/>
      <c r="AL87" s="15"/>
      <c r="AM87" s="45"/>
      <c r="AN87" s="34"/>
      <c r="AO87" s="13"/>
      <c r="AP87" s="15"/>
      <c r="AQ87" s="45"/>
      <c r="AR87" s="34"/>
      <c r="AS87" s="13"/>
      <c r="AT87" s="15"/>
      <c r="AU87" s="45"/>
      <c r="AV87" s="35"/>
      <c r="AW87" s="13"/>
      <c r="AX87" s="203"/>
      <c r="AY87" s="45"/>
      <c r="AZ87" s="35"/>
      <c r="BA87" s="13"/>
      <c r="BB87" s="15"/>
      <c r="BC87" s="45"/>
      <c r="BD87" s="35"/>
      <c r="BE87" s="200"/>
      <c r="BF87" s="210">
        <f t="shared" ref="BF87:BG87" si="269">K87+O87+S87+W87+AA87+AE87+AI87+AM87+AQ87+AU87+AY87+BC87</f>
        <v>500</v>
      </c>
      <c r="BG87" s="204">
        <f t="shared" si="269"/>
        <v>500</v>
      </c>
      <c r="BH87" s="211">
        <f t="shared" si="252"/>
        <v>0</v>
      </c>
      <c r="BI87" s="212"/>
      <c r="BJ87" s="203"/>
      <c r="BK87" s="203" t="b">
        <f>H87='2019'!BH78</f>
        <v>1</v>
      </c>
    </row>
    <row r="88" ht="14.25" customHeight="1" hidden="1" spans="1:63" x14ac:dyDescent="0.25">
      <c r="A88" s="216">
        <v>9</v>
      </c>
      <c r="B88" s="217"/>
      <c r="C88" s="217" t="s">
        <v>53</v>
      </c>
      <c r="D88" s="217"/>
      <c r="E88" s="217"/>
      <c r="F88" s="20"/>
      <c r="G88" s="23"/>
      <c r="H88" s="218">
        <f>SUM(H80:H87)</f>
        <v>-83.25</v>
      </c>
      <c r="I88" s="219"/>
      <c r="J88" s="220"/>
      <c r="K88" s="221">
        <f t="shared" ref="K88:L88" si="270">SUM(K80:K87)</f>
        <v>0</v>
      </c>
      <c r="L88" s="222">
        <f t="shared" si="270"/>
        <v>0</v>
      </c>
      <c r="M88" s="219"/>
      <c r="N88" s="220"/>
      <c r="O88" s="221">
        <f t="shared" ref="O88:P88" si="271">SUM(O80:O87)</f>
        <v>0</v>
      </c>
      <c r="P88" s="222">
        <f t="shared" si="271"/>
        <v>0</v>
      </c>
      <c r="Q88" s="219"/>
      <c r="R88" s="220"/>
      <c r="S88" s="221">
        <f t="shared" ref="S88:T88" si="272">SUM(S80:S87)</f>
        <v>0</v>
      </c>
      <c r="T88" s="222">
        <f t="shared" si="272"/>
        <v>0</v>
      </c>
      <c r="U88" s="219"/>
      <c r="V88" s="220"/>
      <c r="W88" s="221">
        <f t="shared" ref="W88:X88" si="273">SUM(W80:W87)</f>
        <v>18.56</v>
      </c>
      <c r="X88" s="222">
        <f t="shared" si="273"/>
        <v>0</v>
      </c>
      <c r="Y88" s="219"/>
      <c r="Z88" s="220"/>
      <c r="AA88" s="221">
        <f t="shared" ref="AA88:AB88" si="274">SUM(AA80:AA87)</f>
        <v>500</v>
      </c>
      <c r="AB88" s="222">
        <f t="shared" si="274"/>
        <v>0</v>
      </c>
      <c r="AC88" s="219"/>
      <c r="AD88" s="220"/>
      <c r="AE88" s="221">
        <f t="shared" ref="AE88:AF88" si="275">SUM(AE80:AE87)</f>
        <v>4637.16</v>
      </c>
      <c r="AF88" s="222">
        <f t="shared" si="275"/>
        <v>4000</v>
      </c>
      <c r="AG88" s="52"/>
      <c r="AH88" s="53"/>
      <c r="AI88" s="183">
        <f t="shared" ref="AI88:AJ88" si="276">SUM(AI80:AI87)</f>
        <v>214.06</v>
      </c>
      <c r="AJ88" s="51">
        <f t="shared" si="276"/>
        <v>1480</v>
      </c>
      <c r="AK88" s="52"/>
      <c r="AL88" s="53"/>
      <c r="AM88" s="183">
        <f t="shared" ref="AM88:AN88" si="277">SUM(AM80:AM87)</f>
        <v>77.84</v>
      </c>
      <c r="AN88" s="51">
        <f t="shared" si="277"/>
        <v>0</v>
      </c>
      <c r="AO88" s="52"/>
      <c r="AP88" s="53"/>
      <c r="AQ88" s="183">
        <f t="shared" ref="AQ88:AR88" si="278">SUM(AQ80:AQ87)</f>
        <v>2534.46</v>
      </c>
      <c r="AR88" s="51">
        <f t="shared" si="278"/>
        <v>0</v>
      </c>
      <c r="AS88" s="52"/>
      <c r="AT88" s="53"/>
      <c r="AU88" s="183">
        <f t="shared" ref="AU88:AV88" si="279">SUM(AU80:AU87)</f>
        <v>0</v>
      </c>
      <c r="AV88" s="68">
        <f t="shared" si="279"/>
        <v>0</v>
      </c>
      <c r="AW88" s="52"/>
      <c r="AX88" s="53"/>
      <c r="AY88" s="183">
        <f t="shared" ref="AY88:AZ88" si="280">SUM(AY80:AY87)</f>
        <v>0</v>
      </c>
      <c r="AZ88" s="68">
        <f t="shared" si="280"/>
        <v>0</v>
      </c>
      <c r="BA88" s="52"/>
      <c r="BB88" s="53"/>
      <c r="BC88" s="183">
        <f t="shared" ref="BC88:BD88" si="281">SUM(BC80:BC87)</f>
        <v>0</v>
      </c>
      <c r="BD88" s="68">
        <f t="shared" si="281"/>
        <v>2515</v>
      </c>
      <c r="BE88" s="223"/>
      <c r="BF88" s="224">
        <f t="shared" ref="BF88:BH88" si="282">SUM(BF80:BF87)</f>
        <v>7982.08</v>
      </c>
      <c r="BG88" s="225">
        <f t="shared" si="282"/>
        <v>7995</v>
      </c>
      <c r="BH88" s="226">
        <f t="shared" si="282"/>
        <v>-96.17</v>
      </c>
      <c r="BI88" s="227">
        <f>H88+BF88-BG88</f>
        <v>-96.17</v>
      </c>
      <c r="BJ88" s="204">
        <f>BH88-BI88</f>
        <v>0</v>
      </c>
      <c r="BK88" s="203" t="b">
        <f>H88='2019'!BH79</f>
        <v>0</v>
      </c>
    </row>
    <row r="89" ht="14.25" customHeight="1" hidden="1" spans="1:63" x14ac:dyDescent="0.25">
      <c r="A89" s="228">
        <v>10</v>
      </c>
      <c r="B89" s="229"/>
      <c r="C89" s="229"/>
      <c r="D89" s="229" t="s">
        <v>379</v>
      </c>
      <c r="E89" s="228"/>
      <c r="F89" s="230"/>
      <c r="G89" s="231"/>
      <c r="H89" s="232">
        <f>'2019'!BH80</f>
        <v>0</v>
      </c>
      <c r="I89" s="191"/>
      <c r="J89" s="192"/>
      <c r="K89" s="192"/>
      <c r="L89" s="193"/>
      <c r="M89" s="191"/>
      <c r="N89" s="192"/>
      <c r="O89" s="192"/>
      <c r="P89" s="193"/>
      <c r="Q89" s="191"/>
      <c r="R89" s="192"/>
      <c r="S89" s="194"/>
      <c r="T89" s="193"/>
      <c r="U89" s="191"/>
      <c r="V89" s="192"/>
      <c r="W89" s="194"/>
      <c r="X89" s="193"/>
      <c r="Y89" s="191"/>
      <c r="Z89" s="192"/>
      <c r="AA89" s="194"/>
      <c r="AB89" s="193"/>
      <c r="AC89" s="191"/>
      <c r="AD89" s="192"/>
      <c r="AE89" s="194"/>
      <c r="AF89" s="193"/>
      <c r="AG89" s="13"/>
      <c r="AH89" s="15"/>
      <c r="AI89" s="45"/>
      <c r="AJ89" s="15"/>
      <c r="AK89" s="13"/>
      <c r="AL89" s="15"/>
      <c r="AM89" s="45"/>
      <c r="AN89" s="15"/>
      <c r="AO89" s="13"/>
      <c r="AP89" s="15"/>
      <c r="AQ89" s="45"/>
      <c r="AR89" s="15"/>
      <c r="AS89" s="13"/>
      <c r="AT89" s="15"/>
      <c r="AU89" s="45"/>
      <c r="AV89" s="28"/>
      <c r="AW89" s="13"/>
      <c r="AX89" s="203"/>
      <c r="AY89" s="45"/>
      <c r="AZ89" s="28"/>
      <c r="BA89" s="13"/>
      <c r="BB89" s="15"/>
      <c r="BC89" s="45"/>
      <c r="BD89" s="28"/>
      <c r="BE89" s="233"/>
      <c r="BF89" s="234">
        <f t="shared" ref="BF89:BG89" si="283">K89+O89+S89+W89+AA89+AE89+AI89+AM89+AQ89+AU89+AY89+BC89</f>
        <v>0</v>
      </c>
      <c r="BG89" s="235">
        <f t="shared" si="283"/>
        <v>0</v>
      </c>
      <c r="BH89" s="236">
        <f t="shared" ref="BH89:BH96" si="284">H89+BF89-BG89</f>
        <v>0</v>
      </c>
      <c r="BI89" s="212"/>
      <c r="BJ89" s="203"/>
      <c r="BK89" s="203" t="b">
        <f>H89='2019'!BH80</f>
        <v>1</v>
      </c>
    </row>
    <row r="90" ht="14.25" customHeight="1" hidden="1" spans="1:63" x14ac:dyDescent="0.25">
      <c r="A90" s="199">
        <v>10</v>
      </c>
      <c r="B90" s="200">
        <v>4.01</v>
      </c>
      <c r="C90" s="200" t="s">
        <v>86</v>
      </c>
      <c r="D90" s="200" t="s">
        <v>44</v>
      </c>
      <c r="E90" s="199" t="s">
        <v>45</v>
      </c>
      <c r="F90" s="41">
        <v>2.5</v>
      </c>
      <c r="G90" s="35">
        <v>2.6</v>
      </c>
      <c r="H90" s="237">
        <f>'2019'!BH81</f>
        <v>0</v>
      </c>
      <c r="I90" s="202"/>
      <c r="J90" s="203"/>
      <c r="K90" s="204">
        <f>J90*$F$8</f>
        <v>0</v>
      </c>
      <c r="L90" s="205"/>
      <c r="M90" s="202"/>
      <c r="N90" s="203"/>
      <c r="O90" s="204">
        <f>N90*$F$8</f>
        <v>0</v>
      </c>
      <c r="P90" s="205"/>
      <c r="Q90" s="202"/>
      <c r="R90" s="203">
        <f>Q90-M90</f>
        <v>0</v>
      </c>
      <c r="S90" s="204">
        <f>R90*$F$8</f>
        <v>0</v>
      </c>
      <c r="T90" s="205"/>
      <c r="U90" s="202"/>
      <c r="V90" s="203">
        <f t="shared" ref="V90:V91" si="285">U90-Q90</f>
        <v>0</v>
      </c>
      <c r="W90" s="204">
        <f>V90*$F$8</f>
        <v>0</v>
      </c>
      <c r="X90" s="205"/>
      <c r="Y90" s="202"/>
      <c r="Z90" s="203">
        <f t="shared" ref="Z90:Z91" si="286">Y90-U90</f>
        <v>0</v>
      </c>
      <c r="AA90" s="204">
        <f>Z90*$F$8</f>
        <v>0</v>
      </c>
      <c r="AB90" s="205"/>
      <c r="AC90" s="202"/>
      <c r="AD90" s="203">
        <f t="shared" ref="AD90:AD91" si="287">AC90-Y90</f>
        <v>0</v>
      </c>
      <c r="AE90" s="206">
        <f>AD90*$G$8</f>
        <v>0</v>
      </c>
      <c r="AF90" s="205"/>
      <c r="AG90" s="13"/>
      <c r="AH90" s="15">
        <f t="shared" ref="AH90:AH91" si="288">AG90-AC90</f>
        <v>0</v>
      </c>
      <c r="AI90" s="45">
        <f>AH90*$G$8</f>
        <v>0</v>
      </c>
      <c r="AJ90" s="2"/>
      <c r="AK90" s="13">
        <v>0</v>
      </c>
      <c r="AL90" s="15">
        <f t="shared" ref="AL90:AL91" si="289">AK90-AG90</f>
        <v>0</v>
      </c>
      <c r="AM90" s="45">
        <f>AL90*$G$8</f>
        <v>0</v>
      </c>
      <c r="AN90" s="2"/>
      <c r="AO90" s="13">
        <v>0</v>
      </c>
      <c r="AP90" s="15">
        <f t="shared" ref="AP90:AP91" si="290">AO90-AK90</f>
        <v>0</v>
      </c>
      <c r="AQ90" s="45">
        <f>AP90*$G$8</f>
        <v>0</v>
      </c>
      <c r="AR90" s="2"/>
      <c r="AS90" s="13">
        <v>0</v>
      </c>
      <c r="AT90" s="15">
        <f t="shared" ref="AT90:AT91" si="291">AS90-AO90</f>
        <v>0</v>
      </c>
      <c r="AU90" s="45">
        <f>AT90*$G$8</f>
        <v>0</v>
      </c>
      <c r="AV90" s="208"/>
      <c r="AW90" s="13">
        <v>0</v>
      </c>
      <c r="AX90" s="203">
        <f t="shared" ref="AX90:AX91" si="292">AW90-AS90</f>
        <v>0</v>
      </c>
      <c r="AY90" s="45">
        <f>AX90*$G$8</f>
        <v>0</v>
      </c>
      <c r="AZ90" s="208"/>
      <c r="BA90" s="13">
        <v>0</v>
      </c>
      <c r="BB90" s="15">
        <f t="shared" ref="BB90:BB91" si="293">BA90-AW90</f>
        <v>0</v>
      </c>
      <c r="BC90" s="45">
        <f>BB90*$G$8</f>
        <v>0</v>
      </c>
      <c r="BD90" s="208"/>
      <c r="BE90" s="209">
        <f t="shared" ref="BE90:BG90" si="294">J90+N90+R90+V90+Z90+AD90+AH90+AL90+AP90+AT90+AX90+BB90</f>
        <v>0</v>
      </c>
      <c r="BF90" s="210">
        <f t="shared" si="294"/>
        <v>0</v>
      </c>
      <c r="BG90" s="204">
        <f t="shared" si="294"/>
        <v>0</v>
      </c>
      <c r="BH90" s="211">
        <f t="shared" si="284"/>
        <v>0</v>
      </c>
      <c r="BI90" s="212"/>
      <c r="BJ90" s="203"/>
      <c r="BK90" s="203" t="b">
        <f>H90='2019'!BH81</f>
        <v>1</v>
      </c>
    </row>
    <row r="91" ht="14.25" customHeight="1" hidden="1" spans="1:63" x14ac:dyDescent="0.25">
      <c r="A91" s="199">
        <v>10</v>
      </c>
      <c r="B91" s="200"/>
      <c r="C91" s="200" t="s">
        <v>87</v>
      </c>
      <c r="D91" s="200" t="s">
        <v>47</v>
      </c>
      <c r="E91" s="199" t="s">
        <v>48</v>
      </c>
      <c r="F91" s="13">
        <v>18.56</v>
      </c>
      <c r="G91" s="35">
        <v>19.46</v>
      </c>
      <c r="H91" s="238">
        <f>'2019'!BH82</f>
        <v>52.45</v>
      </c>
      <c r="I91" s="202">
        <v>24</v>
      </c>
      <c r="J91" s="203"/>
      <c r="K91" s="203"/>
      <c r="L91" s="205"/>
      <c r="M91" s="202">
        <v>24</v>
      </c>
      <c r="N91" s="203"/>
      <c r="O91" s="203"/>
      <c r="P91" s="205"/>
      <c r="Q91" s="202">
        <v>24</v>
      </c>
      <c r="R91" s="203"/>
      <c r="S91" s="203"/>
      <c r="T91" s="205"/>
      <c r="U91" s="202">
        <v>26</v>
      </c>
      <c r="V91" s="203">
        <f t="shared" si="285"/>
        <v>2</v>
      </c>
      <c r="W91" s="203">
        <f>V91*$F$10</f>
        <v>37.12</v>
      </c>
      <c r="X91" s="205"/>
      <c r="Y91" s="202">
        <v>26</v>
      </c>
      <c r="Z91" s="203">
        <f t="shared" si="286"/>
        <v>0</v>
      </c>
      <c r="AA91" s="204">
        <f>Z91*$F$10</f>
        <v>0</v>
      </c>
      <c r="AB91" s="205"/>
      <c r="AC91" s="202">
        <v>26</v>
      </c>
      <c r="AD91" s="203">
        <f t="shared" si="287"/>
        <v>0</v>
      </c>
      <c r="AE91" s="204">
        <f>AD91*$F$10</f>
        <v>0</v>
      </c>
      <c r="AF91" s="211"/>
      <c r="AG91" s="202">
        <v>42</v>
      </c>
      <c r="AH91" s="203">
        <f t="shared" si="288"/>
        <v>16</v>
      </c>
      <c r="AI91" s="45">
        <f>AH91*$G$10</f>
        <v>311.36</v>
      </c>
      <c r="AJ91" s="185">
        <f>400.93+0.07</f>
        <v>401</v>
      </c>
      <c r="AK91" s="13">
        <v>50</v>
      </c>
      <c r="AL91" s="15">
        <f t="shared" si="289"/>
        <v>8</v>
      </c>
      <c r="AM91" s="45">
        <f>AL91*$G$10</f>
        <v>155.68</v>
      </c>
      <c r="AN91" s="185">
        <v>156</v>
      </c>
      <c r="AO91" s="13">
        <v>50</v>
      </c>
      <c r="AP91" s="15">
        <f t="shared" si="290"/>
        <v>0</v>
      </c>
      <c r="AQ91" s="45">
        <f>AP91*$G$10</f>
        <v>0</v>
      </c>
      <c r="AR91" s="2"/>
      <c r="AS91" s="13">
        <v>50</v>
      </c>
      <c r="AT91" s="15">
        <f t="shared" si="291"/>
        <v>0</v>
      </c>
      <c r="AU91" s="45">
        <f>AT91*$G$10</f>
        <v>0</v>
      </c>
      <c r="AV91" s="208"/>
      <c r="AW91" s="13">
        <v>50</v>
      </c>
      <c r="AX91" s="203">
        <f t="shared" si="292"/>
        <v>0</v>
      </c>
      <c r="AY91" s="45"/>
      <c r="AZ91" s="208"/>
      <c r="BA91" s="13">
        <v>50</v>
      </c>
      <c r="BB91" s="15">
        <f t="shared" si="293"/>
        <v>0</v>
      </c>
      <c r="BC91" s="45"/>
      <c r="BD91" s="208"/>
      <c r="BE91" s="209">
        <f t="shared" ref="BE91:BG91" si="295">J91+N91+R91+V91+Z91+AD91+AH91+AL91+AP91+AT91+AX91+BB91</f>
        <v>26</v>
      </c>
      <c r="BF91" s="210">
        <f t="shared" si="295"/>
        <v>504.16</v>
      </c>
      <c r="BG91" s="204">
        <f t="shared" si="295"/>
        <v>557</v>
      </c>
      <c r="BH91" s="211">
        <f t="shared" si="284"/>
        <v>-0.39</v>
      </c>
      <c r="BI91" s="212"/>
      <c r="BJ91" s="203"/>
      <c r="BK91" s="203" t="b">
        <f>H91='2019'!BH82</f>
        <v>1</v>
      </c>
    </row>
    <row r="92" ht="14.25" customHeight="1" hidden="1" spans="1:63" x14ac:dyDescent="0.25">
      <c r="A92" s="199">
        <v>10</v>
      </c>
      <c r="B92" s="200"/>
      <c r="C92" s="200" t="s">
        <v>68</v>
      </c>
      <c r="D92" s="200" t="s">
        <v>47</v>
      </c>
      <c r="E92" s="199" t="s">
        <v>49</v>
      </c>
      <c r="F92" s="210">
        <v>500</v>
      </c>
      <c r="G92" s="211"/>
      <c r="H92" s="238">
        <f>'2019'!BH83</f>
        <v>0</v>
      </c>
      <c r="I92" s="202"/>
      <c r="J92" s="203"/>
      <c r="K92" s="203"/>
      <c r="L92" s="205"/>
      <c r="M92" s="202"/>
      <c r="N92" s="203"/>
      <c r="O92" s="203"/>
      <c r="P92" s="205"/>
      <c r="Q92" s="202"/>
      <c r="R92" s="203"/>
      <c r="S92" s="203"/>
      <c r="T92" s="205"/>
      <c r="U92" s="202"/>
      <c r="V92" s="203"/>
      <c r="W92" s="203"/>
      <c r="X92" s="205"/>
      <c r="Y92" s="202"/>
      <c r="Z92" s="203"/>
      <c r="AA92" s="203"/>
      <c r="AB92" s="205"/>
      <c r="AC92" s="202"/>
      <c r="AD92" s="203"/>
      <c r="AE92" s="204"/>
      <c r="AF92" s="205"/>
      <c r="AG92" s="13"/>
      <c r="AH92" s="15"/>
      <c r="AI92" s="45"/>
      <c r="AJ92" s="15"/>
      <c r="AK92" s="13"/>
      <c r="AL92" s="15"/>
      <c r="AM92" s="45"/>
      <c r="AN92" s="15"/>
      <c r="AO92" s="13"/>
      <c r="AP92" s="15"/>
      <c r="AQ92" s="45"/>
      <c r="AR92" s="15"/>
      <c r="AS92" s="13"/>
      <c r="AT92" s="15"/>
      <c r="AU92" s="45"/>
      <c r="AV92" s="28"/>
      <c r="AW92" s="13"/>
      <c r="AX92" s="203"/>
      <c r="AY92" s="45"/>
      <c r="AZ92" s="28"/>
      <c r="BA92" s="13"/>
      <c r="BB92" s="15"/>
      <c r="BC92" s="45"/>
      <c r="BD92" s="28"/>
      <c r="BE92" s="200"/>
      <c r="BF92" s="210">
        <f t="shared" ref="BF92:BG92" si="296">K92+O92+S92+W92+AA92+AE92+AI92+AM92+AQ92+AU92+AY92+BC92</f>
        <v>0</v>
      </c>
      <c r="BG92" s="204">
        <f t="shared" si="296"/>
        <v>0</v>
      </c>
      <c r="BH92" s="211">
        <f t="shared" si="284"/>
        <v>0</v>
      </c>
      <c r="BI92" s="212"/>
      <c r="BJ92" s="203"/>
      <c r="BK92" s="203" t="b">
        <f>H92='2019'!BH83</f>
        <v>1</v>
      </c>
    </row>
    <row r="93" ht="14.25" customHeight="1" hidden="1" spans="1:63" x14ac:dyDescent="0.25">
      <c r="A93" s="199">
        <v>10</v>
      </c>
      <c r="B93" s="200"/>
      <c r="C93" s="200" t="s">
        <v>88</v>
      </c>
      <c r="D93" s="200" t="s">
        <v>50</v>
      </c>
      <c r="E93" s="199" t="s">
        <v>49</v>
      </c>
      <c r="F93" s="41">
        <v>1100</v>
      </c>
      <c r="G93" s="211"/>
      <c r="H93" s="239">
        <f>'2019'!BH84+0.0012</f>
        <v>0</v>
      </c>
      <c r="I93" s="202"/>
      <c r="J93" s="203"/>
      <c r="K93" s="203"/>
      <c r="L93" s="205"/>
      <c r="M93" s="202"/>
      <c r="N93" s="203"/>
      <c r="O93" s="203"/>
      <c r="P93" s="205"/>
      <c r="Q93" s="202"/>
      <c r="R93" s="203"/>
      <c r="S93" s="203"/>
      <c r="T93" s="205"/>
      <c r="U93" s="202"/>
      <c r="V93" s="203"/>
      <c r="W93" s="203"/>
      <c r="X93" s="205"/>
      <c r="Y93" s="202"/>
      <c r="Z93" s="203"/>
      <c r="AA93" s="203"/>
      <c r="AB93" s="205"/>
      <c r="AC93" s="202"/>
      <c r="AD93" s="203"/>
      <c r="AE93" s="204">
        <f>B90*$F$12</f>
        <v>4411</v>
      </c>
      <c r="AF93" s="205"/>
      <c r="AG93" s="13"/>
      <c r="AH93" s="15"/>
      <c r="AI93" s="45"/>
      <c r="AJ93" s="133">
        <v>4411</v>
      </c>
      <c r="AK93" s="13"/>
      <c r="AL93" s="15"/>
      <c r="AM93" s="45"/>
      <c r="AN93" s="15"/>
      <c r="AO93" s="13"/>
      <c r="AP93" s="15"/>
      <c r="AQ93" s="45"/>
      <c r="AR93" s="15"/>
      <c r="AS93" s="13"/>
      <c r="AT93" s="15"/>
      <c r="AU93" s="45"/>
      <c r="AV93" s="28"/>
      <c r="AW93" s="13"/>
      <c r="AX93" s="203"/>
      <c r="AY93" s="45"/>
      <c r="AZ93" s="28"/>
      <c r="BA93" s="13"/>
      <c r="BB93" s="15"/>
      <c r="BC93" s="45"/>
      <c r="BD93" s="28"/>
      <c r="BE93" s="200"/>
      <c r="BF93" s="210">
        <f t="shared" ref="BF93:BG93" si="297">K93+O93+S93+W93+AA93+AE93+AI93+AM93+AQ93+AU93+AY93+BC93</f>
        <v>4411</v>
      </c>
      <c r="BG93" s="204">
        <f t="shared" si="297"/>
        <v>4411</v>
      </c>
      <c r="BH93" s="211">
        <f t="shared" si="284"/>
        <v>0</v>
      </c>
      <c r="BI93" s="212"/>
      <c r="BJ93" s="203"/>
      <c r="BK93" s="203" t="b">
        <f>H93='2019'!BH84</f>
        <v>0</v>
      </c>
    </row>
    <row r="94" ht="14.25" customHeight="1" hidden="1" spans="1:63" x14ac:dyDescent="0.25">
      <c r="A94" s="199">
        <v>10</v>
      </c>
      <c r="B94" s="200"/>
      <c r="C94" s="200"/>
      <c r="D94" s="200" t="s">
        <v>51</v>
      </c>
      <c r="E94" s="203" t="s">
        <v>39</v>
      </c>
      <c r="F94" s="210">
        <v>500</v>
      </c>
      <c r="G94" s="211"/>
      <c r="H94" s="238">
        <f>'2019'!BH85</f>
        <v>0</v>
      </c>
      <c r="I94" s="202"/>
      <c r="J94" s="203"/>
      <c r="K94" s="203"/>
      <c r="L94" s="205"/>
      <c r="M94" s="202"/>
      <c r="N94" s="203"/>
      <c r="O94" s="203"/>
      <c r="P94" s="205"/>
      <c r="Q94" s="202"/>
      <c r="R94" s="203"/>
      <c r="S94" s="203"/>
      <c r="T94" s="205"/>
      <c r="U94" s="202"/>
      <c r="V94" s="203"/>
      <c r="W94" s="203"/>
      <c r="X94" s="205"/>
      <c r="Y94" s="202"/>
      <c r="Z94" s="203"/>
      <c r="AA94" s="203"/>
      <c r="AB94" s="205"/>
      <c r="AC94" s="202"/>
      <c r="AD94" s="203"/>
      <c r="AE94" s="204"/>
      <c r="AF94" s="39"/>
      <c r="AG94" s="13"/>
      <c r="AH94" s="15"/>
      <c r="AI94" s="45"/>
      <c r="AJ94" s="15"/>
      <c r="AK94" s="13"/>
      <c r="AL94" s="15"/>
      <c r="AM94" s="45"/>
      <c r="AN94" s="15"/>
      <c r="AO94" s="13"/>
      <c r="AP94" s="15"/>
      <c r="AQ94" s="45">
        <f>$F$13</f>
        <v>500</v>
      </c>
      <c r="AR94" s="15"/>
      <c r="AS94" s="13"/>
      <c r="AT94" s="15"/>
      <c r="AU94" s="45"/>
      <c r="AV94" s="28"/>
      <c r="AW94" s="13"/>
      <c r="AX94" s="203"/>
      <c r="AY94" s="45"/>
      <c r="AZ94" s="28"/>
      <c r="BA94" s="13"/>
      <c r="BB94" s="15"/>
      <c r="BC94" s="45"/>
      <c r="BD94" s="28"/>
      <c r="BE94" s="200"/>
      <c r="BF94" s="210">
        <f t="shared" ref="BF94:BG94" si="298">K94+O94+S94+W94+AA94+AE94+AI94+AM94+AQ94+AU94+AY94+BC94</f>
        <v>500</v>
      </c>
      <c r="BG94" s="204">
        <f t="shared" si="298"/>
        <v>0</v>
      </c>
      <c r="BH94" s="211">
        <f t="shared" si="284"/>
        <v>500</v>
      </c>
      <c r="BI94" s="212"/>
      <c r="BJ94" s="203"/>
      <c r="BK94" s="203" t="b">
        <f>H94='2019'!BH85</f>
        <v>1</v>
      </c>
    </row>
    <row r="95" ht="14.25" customHeight="1" hidden="1" spans="1:63" x14ac:dyDescent="0.25">
      <c r="A95" s="199">
        <v>10</v>
      </c>
      <c r="B95" s="200"/>
      <c r="C95" s="200"/>
      <c r="D95" s="200" t="s">
        <v>51</v>
      </c>
      <c r="E95" s="199" t="s">
        <v>49</v>
      </c>
      <c r="F95" s="210">
        <v>500</v>
      </c>
      <c r="G95" s="211"/>
      <c r="H95" s="238"/>
      <c r="I95" s="202"/>
      <c r="J95" s="203"/>
      <c r="K95" s="203"/>
      <c r="L95" s="205"/>
      <c r="M95" s="202"/>
      <c r="N95" s="203"/>
      <c r="O95" s="203"/>
      <c r="P95" s="205"/>
      <c r="Q95" s="202"/>
      <c r="R95" s="203"/>
      <c r="S95" s="203"/>
      <c r="T95" s="205"/>
      <c r="U95" s="202"/>
      <c r="V95" s="203"/>
      <c r="W95" s="203"/>
      <c r="X95" s="205"/>
      <c r="Y95" s="202"/>
      <c r="Z95" s="203"/>
      <c r="AA95" s="203"/>
      <c r="AB95" s="205"/>
      <c r="AC95" s="202"/>
      <c r="AD95" s="203"/>
      <c r="AE95" s="204"/>
      <c r="AF95" s="39"/>
      <c r="AG95" s="13"/>
      <c r="AH95" s="15"/>
      <c r="AI95" s="45"/>
      <c r="AJ95" s="15"/>
      <c r="AK95" s="13"/>
      <c r="AL95" s="15"/>
      <c r="AM95" s="45"/>
      <c r="AN95" s="15"/>
      <c r="AO95" s="13"/>
      <c r="AP95" s="15"/>
      <c r="AQ95" s="34">
        <f>B90*$F$14</f>
        <v>2005</v>
      </c>
      <c r="AR95" s="15"/>
      <c r="AS95" s="13"/>
      <c r="AT95" s="15"/>
      <c r="AU95" s="45"/>
      <c r="AV95" s="28"/>
      <c r="AW95" s="13"/>
      <c r="AX95" s="203"/>
      <c r="AY95" s="45"/>
      <c r="AZ95" s="28"/>
      <c r="BA95" s="13"/>
      <c r="BB95" s="15"/>
      <c r="BC95" s="45"/>
      <c r="BD95" s="28"/>
      <c r="BE95" s="200"/>
      <c r="BF95" s="210">
        <f t="shared" ref="BF95:BG95" si="299">K95+O95+S95+W95+AA95+AE95+AI95+AM95+AQ95+AU95+AY95+BC95</f>
        <v>2005</v>
      </c>
      <c r="BG95" s="204">
        <f t="shared" si="299"/>
        <v>0</v>
      </c>
      <c r="BH95" s="211">
        <f t="shared" si="284"/>
        <v>2005</v>
      </c>
      <c r="BI95" s="212"/>
      <c r="BJ95" s="203"/>
      <c r="BK95" s="203"/>
    </row>
    <row r="96" ht="14.25" customHeight="1" hidden="1" spans="1:63" x14ac:dyDescent="0.25">
      <c r="A96" s="199">
        <v>10</v>
      </c>
      <c r="B96" s="200"/>
      <c r="C96" s="200"/>
      <c r="D96" s="200" t="s">
        <v>52</v>
      </c>
      <c r="E96" s="199" t="s">
        <v>39</v>
      </c>
      <c r="F96" s="210">
        <v>500</v>
      </c>
      <c r="G96" s="211"/>
      <c r="H96" s="238">
        <f>'2019'!BH86</f>
        <v>0</v>
      </c>
      <c r="I96" s="202"/>
      <c r="J96" s="203"/>
      <c r="K96" s="203"/>
      <c r="L96" s="205"/>
      <c r="M96" s="202"/>
      <c r="N96" s="203"/>
      <c r="O96" s="203"/>
      <c r="P96" s="205"/>
      <c r="Q96" s="202"/>
      <c r="R96" s="203"/>
      <c r="S96" s="203"/>
      <c r="T96" s="205"/>
      <c r="U96" s="202"/>
      <c r="V96" s="203"/>
      <c r="W96" s="203"/>
      <c r="X96" s="205"/>
      <c r="Y96" s="202"/>
      <c r="Z96" s="203"/>
      <c r="AA96" s="204">
        <f>$F$11</f>
        <v>500</v>
      </c>
      <c r="AB96" s="211"/>
      <c r="AC96" s="202"/>
      <c r="AD96" s="203"/>
      <c r="AE96" s="203"/>
      <c r="AF96" s="211"/>
      <c r="AG96" s="13"/>
      <c r="AH96" s="15"/>
      <c r="AI96" s="45"/>
      <c r="AJ96" s="133">
        <v>500</v>
      </c>
      <c r="AK96" s="13"/>
      <c r="AL96" s="15"/>
      <c r="AM96" s="45"/>
      <c r="AN96" s="34"/>
      <c r="AO96" s="13"/>
      <c r="AP96" s="15"/>
      <c r="AQ96" s="45"/>
      <c r="AR96" s="34"/>
      <c r="AS96" s="13"/>
      <c r="AT96" s="15"/>
      <c r="AU96" s="45"/>
      <c r="AV96" s="35"/>
      <c r="AW96" s="13"/>
      <c r="AX96" s="203"/>
      <c r="AY96" s="45"/>
      <c r="AZ96" s="35"/>
      <c r="BA96" s="13"/>
      <c r="BB96" s="15"/>
      <c r="BC96" s="45"/>
      <c r="BD96" s="35"/>
      <c r="BE96" s="200"/>
      <c r="BF96" s="210">
        <f t="shared" ref="BF96:BG96" si="300">K96+O96+S96+W96+AA96+AE96+AI96+AM96+AQ96+AU96+AY96+BC96</f>
        <v>500</v>
      </c>
      <c r="BG96" s="204">
        <f t="shared" si="300"/>
        <v>500</v>
      </c>
      <c r="BH96" s="211">
        <f t="shared" si="284"/>
        <v>0</v>
      </c>
      <c r="BI96" s="212"/>
      <c r="BJ96" s="203"/>
      <c r="BK96" s="203" t="b">
        <f>H96='2019'!BH86</f>
        <v>1</v>
      </c>
    </row>
    <row r="97" ht="14.25" customHeight="1" hidden="1" spans="1:63" x14ac:dyDescent="0.25">
      <c r="A97" s="216">
        <v>10</v>
      </c>
      <c r="B97" s="217"/>
      <c r="C97" s="217" t="s">
        <v>53</v>
      </c>
      <c r="D97" s="217"/>
      <c r="E97" s="216"/>
      <c r="F97" s="240"/>
      <c r="G97" s="241"/>
      <c r="H97" s="223">
        <f>SUM(H89:H96)</f>
        <v>52.45</v>
      </c>
      <c r="I97" s="219"/>
      <c r="J97" s="220"/>
      <c r="K97" s="221">
        <f t="shared" ref="K97:L97" si="301">SUM(K89:K96)</f>
        <v>0</v>
      </c>
      <c r="L97" s="222">
        <f t="shared" si="301"/>
        <v>0</v>
      </c>
      <c r="M97" s="219"/>
      <c r="N97" s="220"/>
      <c r="O97" s="221">
        <f t="shared" ref="O97:P97" si="302">SUM(O89:O96)</f>
        <v>0</v>
      </c>
      <c r="P97" s="222">
        <f t="shared" si="302"/>
        <v>0</v>
      </c>
      <c r="Q97" s="219"/>
      <c r="R97" s="220"/>
      <c r="S97" s="221">
        <f t="shared" ref="S97:T97" si="303">SUM(S89:S96)</f>
        <v>0</v>
      </c>
      <c r="T97" s="222">
        <f t="shared" si="303"/>
        <v>0</v>
      </c>
      <c r="U97" s="219"/>
      <c r="V97" s="220"/>
      <c r="W97" s="221">
        <f t="shared" ref="W97:X97" si="304">SUM(W89:W96)</f>
        <v>37.12</v>
      </c>
      <c r="X97" s="222">
        <f t="shared" si="304"/>
        <v>0</v>
      </c>
      <c r="Y97" s="219"/>
      <c r="Z97" s="220"/>
      <c r="AA97" s="221">
        <f t="shared" ref="AA97:AB97" si="305">SUM(AA89:AA96)</f>
        <v>500</v>
      </c>
      <c r="AB97" s="222">
        <f t="shared" si="305"/>
        <v>0</v>
      </c>
      <c r="AC97" s="219"/>
      <c r="AD97" s="220"/>
      <c r="AE97" s="221">
        <f t="shared" ref="AE97:AF97" si="306">SUM(AE89:AE96)</f>
        <v>4411</v>
      </c>
      <c r="AF97" s="222">
        <f t="shared" si="306"/>
        <v>0</v>
      </c>
      <c r="AG97" s="52"/>
      <c r="AH97" s="53"/>
      <c r="AI97" s="183">
        <f t="shared" ref="AI97:AJ97" si="307">SUM(AI89:AI96)</f>
        <v>311.36</v>
      </c>
      <c r="AJ97" s="51">
        <f t="shared" si="307"/>
        <v>5312</v>
      </c>
      <c r="AK97" s="52"/>
      <c r="AL97" s="53"/>
      <c r="AM97" s="183">
        <f t="shared" ref="AM97:AN97" si="308">SUM(AM89:AM96)</f>
        <v>155.68</v>
      </c>
      <c r="AN97" s="51">
        <f t="shared" si="308"/>
        <v>156</v>
      </c>
      <c r="AO97" s="52"/>
      <c r="AP97" s="53"/>
      <c r="AQ97" s="183">
        <f t="shared" ref="AQ97:AR97" si="309">SUM(AQ89:AQ96)</f>
        <v>2505</v>
      </c>
      <c r="AR97" s="51">
        <f t="shared" si="309"/>
        <v>0</v>
      </c>
      <c r="AS97" s="52"/>
      <c r="AT97" s="53"/>
      <c r="AU97" s="183">
        <f t="shared" ref="AU97:AV97" si="310">SUM(AU89:AU96)</f>
        <v>0</v>
      </c>
      <c r="AV97" s="68">
        <f t="shared" si="310"/>
        <v>0</v>
      </c>
      <c r="AW97" s="52"/>
      <c r="AX97" s="53"/>
      <c r="AY97" s="183">
        <f t="shared" ref="AY97:AZ97" si="311">SUM(AY89:AY96)</f>
        <v>0</v>
      </c>
      <c r="AZ97" s="68">
        <f t="shared" si="311"/>
        <v>0</v>
      </c>
      <c r="BA97" s="52"/>
      <c r="BB97" s="53"/>
      <c r="BC97" s="183">
        <f t="shared" ref="BC97:BD97" si="312">SUM(BC89:BC96)</f>
        <v>0</v>
      </c>
      <c r="BD97" s="68">
        <f t="shared" si="312"/>
        <v>0</v>
      </c>
      <c r="BE97" s="223"/>
      <c r="BF97" s="224">
        <f t="shared" ref="BF97:BH97" si="313">SUM(BF89:BF96)</f>
        <v>7920.16</v>
      </c>
      <c r="BG97" s="225">
        <f t="shared" si="313"/>
        <v>5468</v>
      </c>
      <c r="BH97" s="226">
        <f t="shared" si="313"/>
        <v>2504.61</v>
      </c>
      <c r="BI97" s="227">
        <f>H97+BF97-BG97</f>
        <v>2504.61</v>
      </c>
      <c r="BJ97" s="204">
        <f>BH97-BI97</f>
        <v>0</v>
      </c>
      <c r="BK97" s="203" t="b">
        <f>H97='2019'!BH87</f>
        <v>0</v>
      </c>
    </row>
    <row r="98" ht="14.25" customHeight="1" hidden="1" spans="1:63" x14ac:dyDescent="0.25">
      <c r="A98" s="175">
        <v>11</v>
      </c>
      <c r="B98" s="14"/>
      <c r="D98" s="14" t="s">
        <v>379</v>
      </c>
      <c r="F98" s="13"/>
      <c r="G98" s="28"/>
      <c r="H98" s="34">
        <f>'2019'!BH88</f>
        <v>13.71</v>
      </c>
      <c r="I98" s="15"/>
      <c r="J98" s="15"/>
      <c r="K98" s="15"/>
      <c r="L98" s="28"/>
      <c r="M98" s="15"/>
      <c r="N98" s="15"/>
      <c r="O98" s="15"/>
      <c r="P98" s="15"/>
      <c r="Q98" s="13"/>
      <c r="R98" s="15"/>
      <c r="S98" s="15"/>
      <c r="T98" s="28"/>
      <c r="U98" s="15"/>
      <c r="V98" s="15"/>
      <c r="W98" s="15"/>
      <c r="X98" s="15"/>
      <c r="Y98" s="13"/>
      <c r="Z98" s="15"/>
      <c r="AA98" s="15"/>
      <c r="AB98" s="28"/>
      <c r="AC98" s="15"/>
      <c r="AD98" s="15"/>
      <c r="AE98" s="15"/>
      <c r="AF98" s="15"/>
      <c r="AG98" s="13"/>
      <c r="AH98" s="15"/>
      <c r="AI98" s="45"/>
      <c r="AJ98" s="15"/>
      <c r="AK98" s="13"/>
      <c r="AL98" s="15"/>
      <c r="AM98" s="45"/>
      <c r="AN98" s="15"/>
      <c r="AO98" s="13"/>
      <c r="AP98" s="15"/>
      <c r="AQ98" s="45">
        <v>13.27</v>
      </c>
      <c r="AR98" s="15"/>
      <c r="AS98" s="13"/>
      <c r="AT98" s="15"/>
      <c r="AU98" s="45">
        <v>13.71</v>
      </c>
      <c r="AV98" s="15"/>
      <c r="AW98" s="13"/>
      <c r="AY98" s="45">
        <v>13.27</v>
      </c>
      <c r="AZ98" s="28"/>
      <c r="BA98" s="13"/>
      <c r="BB98" s="15"/>
      <c r="BC98" s="45">
        <v>13.71</v>
      </c>
      <c r="BD98" s="28"/>
      <c r="BE98" s="14"/>
      <c r="BF98" s="41">
        <f t="shared" ref="BF98:BG98" si="314">K98+O98+S98+W98+AA98+AE98+AI98+AM98+AQ98+AU98+AY98+BC98</f>
        <v>53.96</v>
      </c>
      <c r="BG98" s="34">
        <f t="shared" si="314"/>
        <v>0</v>
      </c>
      <c r="BH98" s="35">
        <f t="shared" ref="BH98:BH105" si="315">H98+BF98-BG98</f>
        <v>67.67</v>
      </c>
      <c r="BK98" s="2" t="b">
        <f>H98='2019'!BH88</f>
        <v>1</v>
      </c>
    </row>
    <row r="99" ht="14.25" customHeight="1" hidden="1" spans="1:63" x14ac:dyDescent="0.25">
      <c r="A99" s="176">
        <v>11</v>
      </c>
      <c r="B99" s="14">
        <v>4.02</v>
      </c>
      <c r="C99" s="2" t="s">
        <v>89</v>
      </c>
      <c r="D99" s="14" t="s">
        <v>44</v>
      </c>
      <c r="E99" s="2" t="s">
        <v>45</v>
      </c>
      <c r="F99" s="41">
        <v>2.5</v>
      </c>
      <c r="G99" s="35">
        <v>2.6</v>
      </c>
      <c r="H99" s="34">
        <f>'2019'!BH89</f>
        <v>-80.6</v>
      </c>
      <c r="I99" s="13">
        <v>35</v>
      </c>
      <c r="J99" s="15">
        <f>I99-'2019'!BA89</f>
        <v>0</v>
      </c>
      <c r="K99" s="34">
        <f>J99*$F$8</f>
        <v>0</v>
      </c>
      <c r="L99" s="28"/>
      <c r="M99" s="15">
        <v>35</v>
      </c>
      <c r="N99" s="15">
        <f>M99-I99</f>
        <v>0</v>
      </c>
      <c r="O99" s="34">
        <f>N99*$F$8</f>
        <v>0</v>
      </c>
      <c r="P99" s="15"/>
      <c r="Q99" s="13">
        <v>35</v>
      </c>
      <c r="R99" s="15">
        <f>Q99-M99</f>
        <v>0</v>
      </c>
      <c r="S99" s="34">
        <f>R99*$F$8</f>
        <v>0</v>
      </c>
      <c r="T99" s="28"/>
      <c r="U99" s="15">
        <v>35</v>
      </c>
      <c r="V99" s="15">
        <f t="shared" ref="V99:V100" si="316">U99-Q99</f>
        <v>0</v>
      </c>
      <c r="W99" s="34">
        <f>V99*$F$8</f>
        <v>0</v>
      </c>
      <c r="X99" s="15"/>
      <c r="Y99" s="13">
        <v>35</v>
      </c>
      <c r="Z99" s="15">
        <f t="shared" ref="Z99:Z100" si="317">Y99-U99</f>
        <v>0</v>
      </c>
      <c r="AA99" s="34">
        <f>Z99*$F$8</f>
        <v>0</v>
      </c>
      <c r="AB99" s="35"/>
      <c r="AC99" s="13">
        <v>35</v>
      </c>
      <c r="AD99" s="15">
        <f t="shared" ref="AD99:AD100" si="318">AC99-Y99</f>
        <v>0</v>
      </c>
      <c r="AE99" s="45">
        <f>AD99*$G$8</f>
        <v>0</v>
      </c>
      <c r="AF99" s="15"/>
      <c r="AG99" s="13">
        <v>35</v>
      </c>
      <c r="AH99" s="15">
        <f t="shared" ref="AH99:AH100" si="319">AG99-AC99</f>
        <v>0</v>
      </c>
      <c r="AI99" s="45">
        <f>AH99*$G$8</f>
        <v>0</v>
      </c>
      <c r="AJ99" s="15"/>
      <c r="AK99" s="13">
        <v>36</v>
      </c>
      <c r="AL99" s="15">
        <f t="shared" ref="AL99:AL100" si="320">AK99-AG99</f>
        <v>1</v>
      </c>
      <c r="AM99" s="45">
        <f>AL99*$G$8</f>
        <v>2.6</v>
      </c>
      <c r="AN99" s="15"/>
      <c r="AO99" s="13">
        <v>36</v>
      </c>
      <c r="AP99" s="15">
        <f t="shared" ref="AP99:AP100" si="321">AO99-AK99</f>
        <v>0</v>
      </c>
      <c r="AQ99" s="45">
        <f>AP99*$G$8</f>
        <v>0</v>
      </c>
      <c r="AR99" s="15"/>
      <c r="AS99" s="13">
        <v>36</v>
      </c>
      <c r="AT99" s="15">
        <f t="shared" ref="AT99:AT100" si="322">AS99-AO99</f>
        <v>0</v>
      </c>
      <c r="AU99" s="45">
        <f>AT99*$G$8</f>
        <v>0</v>
      </c>
      <c r="AV99" s="15"/>
      <c r="AW99" s="13">
        <v>36</v>
      </c>
      <c r="AX99" s="2">
        <f t="shared" ref="AX99:AX100" si="323">AW99-AS99</f>
        <v>0</v>
      </c>
      <c r="AY99" s="45">
        <f>AX99*$G$8</f>
        <v>0</v>
      </c>
      <c r="AZ99" s="208"/>
      <c r="BA99" s="13">
        <v>36</v>
      </c>
      <c r="BB99" s="15">
        <f t="shared" ref="BB99:BB100" si="324">BA99-AW99</f>
        <v>0</v>
      </c>
      <c r="BC99" s="45">
        <f>BB99*$G$8</f>
        <v>0</v>
      </c>
      <c r="BD99" s="208"/>
      <c r="BE99" s="40">
        <f t="shared" ref="BE99:BG99" si="325">J99+N99+R99+V99+Z99+AD99+AH99+AL99+AP99+AT99+AX99+BB99</f>
        <v>1</v>
      </c>
      <c r="BF99" s="41">
        <f t="shared" si="325"/>
        <v>2.6</v>
      </c>
      <c r="BG99" s="34">
        <f t="shared" si="325"/>
        <v>0</v>
      </c>
      <c r="BH99" s="35">
        <f t="shared" si="315"/>
        <v>-78</v>
      </c>
      <c r="BK99" s="2" t="b">
        <f>H99='2019'!BH89</f>
        <v>1</v>
      </c>
    </row>
    <row r="100" ht="14.25" customHeight="1" hidden="1" spans="1:63" x14ac:dyDescent="0.25">
      <c r="A100" s="176">
        <v>11</v>
      </c>
      <c r="B100" s="14"/>
      <c r="C100" s="2" t="s">
        <v>90</v>
      </c>
      <c r="D100" s="14" t="s">
        <v>47</v>
      </c>
      <c r="E100" s="2" t="s">
        <v>48</v>
      </c>
      <c r="F100" s="13">
        <v>18.56</v>
      </c>
      <c r="G100" s="35">
        <v>19.46</v>
      </c>
      <c r="H100" s="34">
        <f>'2019'!BH90</f>
        <v>0</v>
      </c>
      <c r="I100" s="73">
        <v>10</v>
      </c>
      <c r="J100" s="15"/>
      <c r="K100" s="15"/>
      <c r="L100" s="28"/>
      <c r="M100" s="73">
        <v>10</v>
      </c>
      <c r="N100" s="15"/>
      <c r="O100" s="15"/>
      <c r="P100" s="15"/>
      <c r="Q100" s="75">
        <v>10</v>
      </c>
      <c r="R100" s="15"/>
      <c r="S100" s="15"/>
      <c r="T100" s="28"/>
      <c r="U100" s="73">
        <v>10</v>
      </c>
      <c r="V100" s="15">
        <f t="shared" si="316"/>
        <v>0</v>
      </c>
      <c r="W100" s="34">
        <f>V100*$F$10</f>
        <v>0</v>
      </c>
      <c r="X100" s="15"/>
      <c r="Y100" s="75">
        <v>10</v>
      </c>
      <c r="Z100" s="15">
        <f t="shared" si="317"/>
        <v>0</v>
      </c>
      <c r="AA100" s="34">
        <f>Z100*$F$10</f>
        <v>0</v>
      </c>
      <c r="AB100" s="28"/>
      <c r="AC100" s="15">
        <v>10</v>
      </c>
      <c r="AD100" s="15">
        <f t="shared" si="318"/>
        <v>0</v>
      </c>
      <c r="AE100" s="34">
        <f>AD100*$F$10</f>
        <v>0</v>
      </c>
      <c r="AF100" s="15"/>
      <c r="AG100" s="13">
        <v>10</v>
      </c>
      <c r="AH100" s="15">
        <f t="shared" si="319"/>
        <v>0</v>
      </c>
      <c r="AI100" s="45">
        <f>AH100*$G$10</f>
        <v>0</v>
      </c>
      <c r="AJ100" s="15"/>
      <c r="AK100" s="13">
        <v>10</v>
      </c>
      <c r="AL100" s="15">
        <f t="shared" si="320"/>
        <v>0</v>
      </c>
      <c r="AM100" s="45">
        <f>AL100*$G$10</f>
        <v>0</v>
      </c>
      <c r="AN100" s="15"/>
      <c r="AO100" s="13">
        <v>10</v>
      </c>
      <c r="AP100" s="15">
        <f t="shared" si="321"/>
        <v>0</v>
      </c>
      <c r="AQ100" s="45">
        <f>AP100*$G$10</f>
        <v>0</v>
      </c>
      <c r="AR100" s="15"/>
      <c r="AS100" s="13">
        <v>10</v>
      </c>
      <c r="AT100" s="15">
        <f t="shared" si="322"/>
        <v>0</v>
      </c>
      <c r="AU100" s="45">
        <f>AT100*$G$10</f>
        <v>0</v>
      </c>
      <c r="AV100" s="15"/>
      <c r="AW100" s="13">
        <v>10</v>
      </c>
      <c r="AX100" s="2">
        <f t="shared" si="323"/>
        <v>0</v>
      </c>
      <c r="AY100" s="45"/>
      <c r="AZ100" s="208"/>
      <c r="BA100" s="13">
        <v>10</v>
      </c>
      <c r="BB100" s="15">
        <f t="shared" si="324"/>
        <v>0</v>
      </c>
      <c r="BC100" s="45"/>
      <c r="BD100" s="208"/>
      <c r="BE100" s="40">
        <f t="shared" ref="BE100:BG100" si="326">J100+N100+R100+V100+Z100+AD100+AH100+AL100+AP100+AT100+AX100+BB100</f>
        <v>0</v>
      </c>
      <c r="BF100" s="41">
        <f t="shared" si="326"/>
        <v>0</v>
      </c>
      <c r="BG100" s="34">
        <f t="shared" si="326"/>
        <v>0</v>
      </c>
      <c r="BH100" s="35">
        <f t="shared" si="315"/>
        <v>0</v>
      </c>
      <c r="BK100" s="2" t="b">
        <f>H100='2019'!BH90</f>
        <v>1</v>
      </c>
    </row>
    <row r="101" ht="14.25" customHeight="1" hidden="1" spans="1:63" x14ac:dyDescent="0.25">
      <c r="A101" s="176">
        <v>11</v>
      </c>
      <c r="B101" s="14"/>
      <c r="C101" s="2" t="s">
        <v>91</v>
      </c>
      <c r="D101" s="14" t="s">
        <v>47</v>
      </c>
      <c r="E101" s="2" t="s">
        <v>49</v>
      </c>
      <c r="F101" s="41">
        <v>500</v>
      </c>
      <c r="G101" s="35"/>
      <c r="H101" s="34">
        <f>'2019'!BH91</f>
        <v>0</v>
      </c>
      <c r="I101" s="15"/>
      <c r="J101" s="15"/>
      <c r="K101" s="15"/>
      <c r="L101" s="28"/>
      <c r="M101" s="15"/>
      <c r="N101" s="15"/>
      <c r="O101" s="15"/>
      <c r="P101" s="15"/>
      <c r="Q101" s="13"/>
      <c r="R101" s="15"/>
      <c r="S101" s="15"/>
      <c r="T101" s="28"/>
      <c r="U101" s="15"/>
      <c r="V101" s="15"/>
      <c r="W101" s="15"/>
      <c r="X101" s="15"/>
      <c r="Y101" s="13"/>
      <c r="Z101" s="15"/>
      <c r="AA101" s="15"/>
      <c r="AB101" s="28"/>
      <c r="AC101" s="15"/>
      <c r="AD101" s="15"/>
      <c r="AE101" s="34"/>
      <c r="AF101" s="15"/>
      <c r="AG101" s="13"/>
      <c r="AH101" s="15"/>
      <c r="AI101" s="45"/>
      <c r="AJ101" s="15"/>
      <c r="AK101" s="13"/>
      <c r="AL101" s="15"/>
      <c r="AM101" s="45"/>
      <c r="AN101" s="15"/>
      <c r="AO101" s="13"/>
      <c r="AP101" s="15"/>
      <c r="AQ101" s="45"/>
      <c r="AR101" s="15"/>
      <c r="AS101" s="13"/>
      <c r="AT101" s="15"/>
      <c r="AU101" s="45"/>
      <c r="AV101" s="15"/>
      <c r="AW101" s="13"/>
      <c r="AY101" s="45"/>
      <c r="AZ101" s="28"/>
      <c r="BA101" s="13"/>
      <c r="BB101" s="15"/>
      <c r="BC101" s="45"/>
      <c r="BD101" s="28"/>
      <c r="BE101" s="14"/>
      <c r="BF101" s="41">
        <f t="shared" ref="BF101:BG101" si="327">K101+O101+S101+W101+AA101+AE101+AI101+AM101+AQ101+AU101+AY101+BC101</f>
        <v>0</v>
      </c>
      <c r="BG101" s="34">
        <f t="shared" si="327"/>
        <v>0</v>
      </c>
      <c r="BH101" s="35">
        <f t="shared" si="315"/>
        <v>0</v>
      </c>
      <c r="BK101" s="2" t="b">
        <f>H101='2019'!BH91</f>
        <v>1</v>
      </c>
    </row>
    <row r="102" ht="14.25" customHeight="1" hidden="1" spans="1:63" x14ac:dyDescent="0.25">
      <c r="A102" s="176">
        <v>11</v>
      </c>
      <c r="B102" s="14"/>
      <c r="C102" s="73" t="s">
        <v>491</v>
      </c>
      <c r="D102" s="14" t="s">
        <v>50</v>
      </c>
      <c r="E102" s="2" t="s">
        <v>49</v>
      </c>
      <c r="F102" s="41">
        <v>1100</v>
      </c>
      <c r="G102" s="35"/>
      <c r="H102" s="182">
        <f>'2019'!BH92+0.0024</f>
        <v>0</v>
      </c>
      <c r="I102" s="15"/>
      <c r="J102" s="15"/>
      <c r="K102" s="15"/>
      <c r="L102" s="28"/>
      <c r="M102" s="15"/>
      <c r="N102" s="15"/>
      <c r="O102" s="15"/>
      <c r="P102" s="15"/>
      <c r="Q102" s="13"/>
      <c r="R102" s="15"/>
      <c r="S102" s="15"/>
      <c r="T102" s="28"/>
      <c r="U102" s="15"/>
      <c r="V102" s="15"/>
      <c r="W102" s="15"/>
      <c r="X102" s="15"/>
      <c r="Y102" s="13"/>
      <c r="Z102" s="15"/>
      <c r="AA102" s="15"/>
      <c r="AB102" s="28"/>
      <c r="AC102" s="15"/>
      <c r="AD102" s="15"/>
      <c r="AE102" s="34">
        <f>B99*$F$12</f>
        <v>4422</v>
      </c>
      <c r="AF102" s="15"/>
      <c r="AG102" s="13"/>
      <c r="AH102" s="15"/>
      <c r="AI102" s="45"/>
      <c r="AJ102" s="15"/>
      <c r="AK102" s="13"/>
      <c r="AL102" s="15"/>
      <c r="AM102" s="45"/>
      <c r="AN102" s="15"/>
      <c r="AO102" s="13"/>
      <c r="AP102" s="15"/>
      <c r="AQ102" s="45"/>
      <c r="AR102" s="15"/>
      <c r="AS102" s="13"/>
      <c r="AT102" s="15"/>
      <c r="AU102" s="45"/>
      <c r="AV102" s="15"/>
      <c r="AW102" s="13"/>
      <c r="AY102" s="45"/>
      <c r="AZ102" s="28"/>
      <c r="BA102" s="13"/>
      <c r="BB102" s="15"/>
      <c r="BC102" s="45"/>
      <c r="BD102" s="28"/>
      <c r="BE102" s="14"/>
      <c r="BF102" s="41">
        <f t="shared" ref="BF102:BG102" si="328">K102+O102+S102+W102+AA102+AE102+AI102+AM102+AQ102+AU102+AY102+BC102</f>
        <v>4422</v>
      </c>
      <c r="BG102" s="34">
        <f t="shared" si="328"/>
        <v>0</v>
      </c>
      <c r="BH102" s="35">
        <f t="shared" si="315"/>
        <v>4422</v>
      </c>
      <c r="BK102" s="2" t="b">
        <f>H102='2019'!BH92</f>
        <v>0</v>
      </c>
    </row>
    <row r="103" ht="14.25" customHeight="1" hidden="1" spans="1:63" x14ac:dyDescent="0.25">
      <c r="A103" s="176">
        <v>11</v>
      </c>
      <c r="B103" s="14"/>
      <c r="D103" s="14" t="s">
        <v>51</v>
      </c>
      <c r="E103" s="2" t="s">
        <v>39</v>
      </c>
      <c r="F103" s="41">
        <v>500</v>
      </c>
      <c r="G103" s="35"/>
      <c r="H103" s="34">
        <f>'2019'!BH93</f>
        <v>0</v>
      </c>
      <c r="I103" s="15"/>
      <c r="J103" s="15"/>
      <c r="K103" s="15"/>
      <c r="L103" s="28"/>
      <c r="M103" s="15"/>
      <c r="N103" s="15"/>
      <c r="O103" s="15"/>
      <c r="P103" s="15"/>
      <c r="Q103" s="13"/>
      <c r="R103" s="15"/>
      <c r="S103" s="15"/>
      <c r="T103" s="28"/>
      <c r="U103" s="15"/>
      <c r="V103" s="15"/>
      <c r="W103" s="15"/>
      <c r="X103" s="15"/>
      <c r="Y103" s="13"/>
      <c r="Z103" s="15"/>
      <c r="AA103" s="15"/>
      <c r="AB103" s="28"/>
      <c r="AC103" s="15"/>
      <c r="AD103" s="15"/>
      <c r="AE103" s="34"/>
      <c r="AF103" s="15"/>
      <c r="AG103" s="13"/>
      <c r="AH103" s="15"/>
      <c r="AI103" s="45"/>
      <c r="AJ103" s="15"/>
      <c r="AK103" s="13"/>
      <c r="AL103" s="15"/>
      <c r="AM103" s="45"/>
      <c r="AN103" s="15"/>
      <c r="AO103" s="13"/>
      <c r="AP103" s="15"/>
      <c r="AQ103" s="45">
        <f>$F$13</f>
        <v>500</v>
      </c>
      <c r="AR103" s="15"/>
      <c r="AS103" s="13"/>
      <c r="AT103" s="15"/>
      <c r="AU103" s="45"/>
      <c r="AV103" s="15"/>
      <c r="AW103" s="13"/>
      <c r="AY103" s="45"/>
      <c r="AZ103" s="28"/>
      <c r="BA103" s="13"/>
      <c r="BB103" s="15"/>
      <c r="BC103" s="45"/>
      <c r="BD103" s="28"/>
      <c r="BE103" s="14"/>
      <c r="BF103" s="41">
        <f t="shared" ref="BF103:BG103" si="329">K103+O103+S103+W103+AA103+AE103+AI103+AM103+AQ103+AU103+AY103+BC103</f>
        <v>500</v>
      </c>
      <c r="BG103" s="34">
        <f t="shared" si="329"/>
        <v>0</v>
      </c>
      <c r="BH103" s="35">
        <f t="shared" si="315"/>
        <v>500</v>
      </c>
      <c r="BK103" s="2" t="b">
        <f>H103='2019'!BH93</f>
        <v>1</v>
      </c>
    </row>
    <row r="104" ht="14.25" customHeight="1" hidden="1" spans="1:60" x14ac:dyDescent="0.25">
      <c r="A104" s="176">
        <v>11</v>
      </c>
      <c r="B104" s="14"/>
      <c r="D104" s="14" t="s">
        <v>51</v>
      </c>
      <c r="E104" s="2" t="s">
        <v>49</v>
      </c>
      <c r="F104" s="41">
        <v>500</v>
      </c>
      <c r="G104" s="35"/>
      <c r="H104" s="34"/>
      <c r="I104" s="15"/>
      <c r="J104" s="15"/>
      <c r="K104" s="15"/>
      <c r="L104" s="28"/>
      <c r="M104" s="15"/>
      <c r="N104" s="15"/>
      <c r="O104" s="15"/>
      <c r="P104" s="15"/>
      <c r="Q104" s="13"/>
      <c r="R104" s="15"/>
      <c r="S104" s="15"/>
      <c r="T104" s="28"/>
      <c r="U104" s="15"/>
      <c r="V104" s="15"/>
      <c r="W104" s="15"/>
      <c r="X104" s="15"/>
      <c r="Y104" s="13"/>
      <c r="Z104" s="15"/>
      <c r="AA104" s="15"/>
      <c r="AB104" s="28"/>
      <c r="AC104" s="15"/>
      <c r="AD104" s="15"/>
      <c r="AE104" s="34"/>
      <c r="AF104" s="15"/>
      <c r="AG104" s="13"/>
      <c r="AH104" s="15"/>
      <c r="AI104" s="45"/>
      <c r="AJ104" s="15"/>
      <c r="AK104" s="13"/>
      <c r="AL104" s="15"/>
      <c r="AM104" s="45"/>
      <c r="AN104" s="15"/>
      <c r="AO104" s="13"/>
      <c r="AP104" s="15"/>
      <c r="AQ104" s="34">
        <f>B99*$F$14</f>
        <v>2010</v>
      </c>
      <c r="AR104" s="15"/>
      <c r="AS104" s="13"/>
      <c r="AT104" s="15"/>
      <c r="AU104" s="45"/>
      <c r="AV104" s="15"/>
      <c r="AW104" s="13"/>
      <c r="AY104" s="45"/>
      <c r="AZ104" s="28"/>
      <c r="BA104" s="13"/>
      <c r="BB104" s="15"/>
      <c r="BC104" s="45"/>
      <c r="BD104" s="28"/>
      <c r="BE104" s="14"/>
      <c r="BF104" s="41">
        <f t="shared" ref="BF104:BG104" si="330">K104+O104+S104+W104+AA104+AE104+AI104+AM104+AQ104+AU104+AY104+BC104</f>
        <v>2010</v>
      </c>
      <c r="BG104" s="34">
        <f t="shared" si="330"/>
        <v>0</v>
      </c>
      <c r="BH104" s="35">
        <f t="shared" si="315"/>
        <v>2010</v>
      </c>
    </row>
    <row r="105" ht="14.25" customHeight="1" hidden="1" spans="1:63" x14ac:dyDescent="0.25">
      <c r="A105" s="176">
        <v>11</v>
      </c>
      <c r="B105" s="14"/>
      <c r="D105" s="14" t="s">
        <v>52</v>
      </c>
      <c r="E105" s="2" t="s">
        <v>39</v>
      </c>
      <c r="F105" s="41">
        <v>500</v>
      </c>
      <c r="G105" s="35"/>
      <c r="H105" s="34">
        <f>'2019'!BH94</f>
        <v>0</v>
      </c>
      <c r="I105" s="15"/>
      <c r="J105" s="15"/>
      <c r="K105" s="15"/>
      <c r="L105" s="28"/>
      <c r="M105" s="15"/>
      <c r="N105" s="15"/>
      <c r="O105" s="15"/>
      <c r="P105" s="15"/>
      <c r="Q105" s="13"/>
      <c r="R105" s="15"/>
      <c r="S105" s="15"/>
      <c r="T105" s="28"/>
      <c r="U105" s="15"/>
      <c r="V105" s="15"/>
      <c r="W105" s="15"/>
      <c r="X105" s="15"/>
      <c r="Y105" s="13"/>
      <c r="Z105" s="15"/>
      <c r="AA105" s="34">
        <f>$F$11</f>
        <v>500</v>
      </c>
      <c r="AB105" s="35"/>
      <c r="AC105" s="15"/>
      <c r="AD105" s="15"/>
      <c r="AE105" s="15"/>
      <c r="AF105" s="15"/>
      <c r="AG105" s="13"/>
      <c r="AH105" s="15"/>
      <c r="AI105" s="45"/>
      <c r="AJ105" s="15"/>
      <c r="AK105" s="13"/>
      <c r="AL105" s="15"/>
      <c r="AM105" s="45"/>
      <c r="AN105" s="15"/>
      <c r="AO105" s="13"/>
      <c r="AP105" s="15"/>
      <c r="AQ105" s="45"/>
      <c r="AR105" s="15"/>
      <c r="AS105" s="13"/>
      <c r="AT105" s="15"/>
      <c r="AU105" s="45"/>
      <c r="AV105" s="15"/>
      <c r="AW105" s="13"/>
      <c r="AY105" s="45"/>
      <c r="AZ105" s="35"/>
      <c r="BA105" s="13"/>
      <c r="BB105" s="15"/>
      <c r="BC105" s="45"/>
      <c r="BD105" s="35"/>
      <c r="BE105" s="14"/>
      <c r="BF105" s="41">
        <f t="shared" ref="BF105:BG105" si="331">K105+O105+S105+W105+AA105+AE105+AI105+AM105+AQ105+AU105+AY105+BC105</f>
        <v>500</v>
      </c>
      <c r="BG105" s="34">
        <f t="shared" si="331"/>
        <v>0</v>
      </c>
      <c r="BH105" s="35">
        <f t="shared" si="315"/>
        <v>500</v>
      </c>
      <c r="BK105" s="2" t="b">
        <f>H105='2019'!BH94</f>
        <v>1</v>
      </c>
    </row>
    <row r="106" ht="14.25" customHeight="1" hidden="1" spans="1:63" x14ac:dyDescent="0.25">
      <c r="A106" s="177">
        <v>11</v>
      </c>
      <c r="B106" s="21"/>
      <c r="C106" s="22" t="s">
        <v>53</v>
      </c>
      <c r="D106" s="21"/>
      <c r="E106" s="22"/>
      <c r="F106" s="20"/>
      <c r="G106" s="23"/>
      <c r="H106" s="51">
        <f>SUM(H98:H105)</f>
        <v>-66.89</v>
      </c>
      <c r="I106" s="53"/>
      <c r="J106" s="53"/>
      <c r="K106" s="51">
        <f t="shared" ref="K106:L106" si="332">SUM(K98:K105)</f>
        <v>0</v>
      </c>
      <c r="L106" s="68">
        <f t="shared" si="332"/>
        <v>0</v>
      </c>
      <c r="M106" s="53"/>
      <c r="N106" s="53"/>
      <c r="O106" s="51">
        <f t="shared" ref="O106:P106" si="333">SUM(O98:O105)</f>
        <v>0</v>
      </c>
      <c r="P106" s="68">
        <f t="shared" si="333"/>
        <v>0</v>
      </c>
      <c r="Q106" s="52"/>
      <c r="R106" s="53"/>
      <c r="S106" s="51">
        <f t="shared" ref="S106:T106" si="334">SUM(S98:S105)</f>
        <v>0</v>
      </c>
      <c r="T106" s="68">
        <f t="shared" si="334"/>
        <v>0</v>
      </c>
      <c r="U106" s="53"/>
      <c r="V106" s="53"/>
      <c r="W106" s="51">
        <f t="shared" ref="W106:X106" si="335">SUM(W98:W105)</f>
        <v>0</v>
      </c>
      <c r="X106" s="68">
        <f t="shared" si="335"/>
        <v>0</v>
      </c>
      <c r="Y106" s="52"/>
      <c r="Z106" s="53"/>
      <c r="AA106" s="51">
        <f t="shared" ref="AA106:AB106" si="336">SUM(AA98:AA105)</f>
        <v>500</v>
      </c>
      <c r="AB106" s="68">
        <f t="shared" si="336"/>
        <v>0</v>
      </c>
      <c r="AC106" s="53"/>
      <c r="AD106" s="53"/>
      <c r="AE106" s="51">
        <f t="shared" ref="AE106:AF106" si="337">SUM(AE98:AE105)</f>
        <v>4422</v>
      </c>
      <c r="AF106" s="68">
        <f t="shared" si="337"/>
        <v>0</v>
      </c>
      <c r="AG106" s="52"/>
      <c r="AH106" s="53"/>
      <c r="AI106" s="183">
        <f t="shared" ref="AI106:AJ106" si="338">SUM(AI98:AI105)</f>
        <v>0</v>
      </c>
      <c r="AJ106" s="51">
        <f t="shared" si="338"/>
        <v>0</v>
      </c>
      <c r="AK106" s="52"/>
      <c r="AL106" s="53"/>
      <c r="AM106" s="183">
        <f t="shared" ref="AM106:AN106" si="339">SUM(AM98:AM105)</f>
        <v>2.6</v>
      </c>
      <c r="AN106" s="51">
        <f t="shared" si="339"/>
        <v>0</v>
      </c>
      <c r="AO106" s="52"/>
      <c r="AP106" s="53"/>
      <c r="AQ106" s="183">
        <f t="shared" ref="AQ106:AR106" si="340">SUM(AQ98:AQ105)</f>
        <v>2523.27</v>
      </c>
      <c r="AR106" s="51">
        <f t="shared" si="340"/>
        <v>0</v>
      </c>
      <c r="AS106" s="52"/>
      <c r="AT106" s="53"/>
      <c r="AU106" s="183">
        <f t="shared" ref="AU106:AV106" si="341">SUM(AU98:AU105)</f>
        <v>13.71</v>
      </c>
      <c r="AV106" s="68">
        <f t="shared" si="341"/>
        <v>0</v>
      </c>
      <c r="AW106" s="52"/>
      <c r="AX106" s="53"/>
      <c r="AY106" s="183">
        <f t="shared" ref="AY106:AZ106" si="342">SUM(AY98:AY105)</f>
        <v>13.27</v>
      </c>
      <c r="AZ106" s="68">
        <f t="shared" si="342"/>
        <v>0</v>
      </c>
      <c r="BA106" s="52"/>
      <c r="BB106" s="53"/>
      <c r="BC106" s="183">
        <f t="shared" ref="BC106:BD106" si="343">SUM(BC98:BC105)</f>
        <v>13.71</v>
      </c>
      <c r="BD106" s="68">
        <f t="shared" si="343"/>
        <v>0</v>
      </c>
      <c r="BE106" s="69"/>
      <c r="BF106" s="70">
        <f t="shared" ref="BF106:BH106" si="344">SUM(BF98:BF105)</f>
        <v>7488.56</v>
      </c>
      <c r="BG106" s="71">
        <f t="shared" si="344"/>
        <v>0</v>
      </c>
      <c r="BH106" s="72">
        <f t="shared" si="344"/>
        <v>7421.67</v>
      </c>
      <c r="BI106" s="34">
        <f>H106+BF106-BG106</f>
        <v>7421.67</v>
      </c>
      <c r="BJ106" s="34">
        <f>BH106-BI106</f>
        <v>0</v>
      </c>
      <c r="BK106" s="2" t="b">
        <f>H106='2019'!BH95</f>
        <v>0</v>
      </c>
    </row>
    <row r="107" ht="14.25" customHeight="1" hidden="1" spans="1:63" x14ac:dyDescent="0.25">
      <c r="A107" s="175">
        <v>12</v>
      </c>
      <c r="B107" s="14"/>
      <c r="D107" s="14" t="s">
        <v>379</v>
      </c>
      <c r="F107" s="13"/>
      <c r="G107" s="28"/>
      <c r="H107" s="34">
        <f>'2019'!BH96</f>
        <v>0</v>
      </c>
      <c r="I107" s="15"/>
      <c r="J107" s="15"/>
      <c r="K107" s="15"/>
      <c r="L107" s="28"/>
      <c r="M107" s="15"/>
      <c r="N107" s="15"/>
      <c r="O107" s="15"/>
      <c r="P107" s="15"/>
      <c r="Q107" s="13"/>
      <c r="R107" s="15"/>
      <c r="S107" s="15"/>
      <c r="T107" s="28"/>
      <c r="U107" s="15"/>
      <c r="V107" s="15"/>
      <c r="W107" s="15"/>
      <c r="X107" s="15"/>
      <c r="Y107" s="13"/>
      <c r="Z107" s="15"/>
      <c r="AA107" s="15"/>
      <c r="AB107" s="28"/>
      <c r="AC107" s="15"/>
      <c r="AD107" s="15"/>
      <c r="AE107" s="15"/>
      <c r="AF107" s="15"/>
      <c r="AG107" s="13"/>
      <c r="AH107" s="15"/>
      <c r="AI107" s="45"/>
      <c r="AJ107" s="15"/>
      <c r="AK107" s="13"/>
      <c r="AL107" s="15"/>
      <c r="AM107" s="45"/>
      <c r="AN107" s="15"/>
      <c r="AO107" s="13"/>
      <c r="AP107" s="15"/>
      <c r="AQ107" s="45"/>
      <c r="AR107" s="15"/>
      <c r="AS107" s="13"/>
      <c r="AT107" s="15"/>
      <c r="AU107" s="45"/>
      <c r="AV107" s="15"/>
      <c r="AW107" s="13"/>
      <c r="AY107" s="45"/>
      <c r="AZ107" s="28"/>
      <c r="BA107" s="13"/>
      <c r="BB107" s="15"/>
      <c r="BC107" s="45"/>
      <c r="BD107" s="28"/>
      <c r="BE107" s="14"/>
      <c r="BF107" s="41">
        <f t="shared" ref="BF107:BG107" si="345">K107+O107+S107+W107+AA107+AE107+AI107+AM107+AQ107+AU107+AY107+BC107</f>
        <v>0</v>
      </c>
      <c r="BG107" s="34">
        <f t="shared" si="345"/>
        <v>0</v>
      </c>
      <c r="BH107" s="35">
        <f t="shared" ref="BH107:BH114" si="346">H107+BF107-BG107</f>
        <v>0</v>
      </c>
      <c r="BK107" s="2" t="b">
        <f>H107='2019'!BH96</f>
        <v>1</v>
      </c>
    </row>
    <row r="108" ht="14.25" customHeight="1" hidden="1" spans="1:63" x14ac:dyDescent="0.25">
      <c r="A108" s="176">
        <v>12</v>
      </c>
      <c r="B108" s="14">
        <v>4.02</v>
      </c>
      <c r="C108" s="15" t="s">
        <v>92</v>
      </c>
      <c r="D108" s="14" t="s">
        <v>44</v>
      </c>
      <c r="E108" s="2" t="s">
        <v>45</v>
      </c>
      <c r="F108" s="41">
        <v>2.5</v>
      </c>
      <c r="G108" s="35">
        <v>2.6</v>
      </c>
      <c r="H108" s="104">
        <f>'2019'!BH97</f>
        <v>0</v>
      </c>
      <c r="I108" s="15"/>
      <c r="J108" s="15"/>
      <c r="K108" s="34">
        <f>J108*$F$8</f>
        <v>0</v>
      </c>
      <c r="L108" s="28"/>
      <c r="M108" s="15"/>
      <c r="N108" s="15"/>
      <c r="O108" s="34">
        <f>N108*$F$8</f>
        <v>0</v>
      </c>
      <c r="P108" s="15"/>
      <c r="Q108" s="13"/>
      <c r="R108" s="15">
        <f>Q108-M108</f>
        <v>0</v>
      </c>
      <c r="S108" s="34">
        <f>R108*$F$8</f>
        <v>0</v>
      </c>
      <c r="T108" s="28"/>
      <c r="U108" s="15"/>
      <c r="V108" s="15">
        <f>U108-Q108</f>
        <v>0</v>
      </c>
      <c r="W108" s="34">
        <f>V108*$F$8</f>
        <v>0</v>
      </c>
      <c r="X108" s="15"/>
      <c r="Y108" s="13"/>
      <c r="Z108" s="15">
        <f>Y108-U108</f>
        <v>0</v>
      </c>
      <c r="AA108" s="34">
        <f>Z108*$F$8</f>
        <v>0</v>
      </c>
      <c r="AB108" s="28"/>
      <c r="AC108" s="15"/>
      <c r="AD108" s="15">
        <f>AC108-Y108</f>
        <v>0</v>
      </c>
      <c r="AE108" s="45">
        <f>AD108*$G$8</f>
        <v>0</v>
      </c>
      <c r="AF108" s="15"/>
      <c r="AG108" s="13"/>
      <c r="AH108" s="15">
        <f>AG108-AC108</f>
        <v>0</v>
      </c>
      <c r="AI108" s="45">
        <f>AH108*$G$8</f>
        <v>0</v>
      </c>
      <c r="AJ108" s="15"/>
      <c r="AK108" s="13">
        <v>0</v>
      </c>
      <c r="AL108" s="15">
        <f>AK108-AG108</f>
        <v>0</v>
      </c>
      <c r="AM108" s="45">
        <f>AL108*$G$8</f>
        <v>0</v>
      </c>
      <c r="AN108" s="15"/>
      <c r="AO108" s="13">
        <v>0</v>
      </c>
      <c r="AP108" s="15">
        <f t="shared" ref="AP108:AP109" si="347">AO108-AK108</f>
        <v>0</v>
      </c>
      <c r="AQ108" s="45">
        <f>AP108*$G$8</f>
        <v>0</v>
      </c>
      <c r="AR108" s="15"/>
      <c r="AS108" s="13">
        <v>0</v>
      </c>
      <c r="AT108" s="15">
        <f t="shared" ref="AT108:AT109" si="348">AS108-AO108</f>
        <v>0</v>
      </c>
      <c r="AU108" s="45">
        <f>AT108*$G$8</f>
        <v>0</v>
      </c>
      <c r="AV108" s="15"/>
      <c r="AW108" s="13">
        <v>0</v>
      </c>
      <c r="AX108" s="2">
        <f t="shared" ref="AX108:AX109" si="349">AW108-AS108</f>
        <v>0</v>
      </c>
      <c r="AY108" s="45">
        <f>AX108*$G$8</f>
        <v>0</v>
      </c>
      <c r="AZ108" s="208"/>
      <c r="BA108" s="13">
        <v>0</v>
      </c>
      <c r="BB108" s="15">
        <f t="shared" ref="BB108:BB109" si="350">BA108-AW108</f>
        <v>0</v>
      </c>
      <c r="BC108" s="45">
        <f>BB108*$G$8</f>
        <v>0</v>
      </c>
      <c r="BD108" s="208"/>
      <c r="BE108" s="40">
        <f t="shared" ref="BE108:BG108" si="351">J108+N108+R108+V108+Z108+AD108+AH108+AL108+AP108+AT108+AX108+BB108</f>
        <v>0</v>
      </c>
      <c r="BF108" s="41">
        <f t="shared" si="351"/>
        <v>0</v>
      </c>
      <c r="BG108" s="34">
        <f t="shared" si="351"/>
        <v>0</v>
      </c>
      <c r="BH108" s="35">
        <f t="shared" si="346"/>
        <v>0</v>
      </c>
      <c r="BK108" s="2" t="b">
        <f>H108='2019'!BH97</f>
        <v>1</v>
      </c>
    </row>
    <row r="109" ht="14.25" customHeight="1" hidden="1" spans="1:63" x14ac:dyDescent="0.25">
      <c r="A109" s="176">
        <v>12</v>
      </c>
      <c r="B109" s="14"/>
      <c r="C109" s="15" t="s">
        <v>93</v>
      </c>
      <c r="D109" s="14" t="s">
        <v>47</v>
      </c>
      <c r="E109" s="2" t="s">
        <v>48</v>
      </c>
      <c r="F109" s="13">
        <v>18.56</v>
      </c>
      <c r="G109" s="35">
        <v>19.46</v>
      </c>
      <c r="H109" s="34">
        <f>'2019'!BH98</f>
        <v>0</v>
      </c>
      <c r="I109" s="15"/>
      <c r="J109" s="15"/>
      <c r="K109" s="15"/>
      <c r="L109" s="28"/>
      <c r="M109" s="15"/>
      <c r="N109" s="15"/>
      <c r="O109" s="15"/>
      <c r="P109" s="15"/>
      <c r="Q109" s="13"/>
      <c r="R109" s="15"/>
      <c r="S109" s="15"/>
      <c r="T109" s="28"/>
      <c r="U109" s="15"/>
      <c r="V109" s="15"/>
      <c r="W109" s="34">
        <f>V109*$F$10</f>
        <v>0</v>
      </c>
      <c r="X109" s="15"/>
      <c r="Y109" s="13"/>
      <c r="Z109" s="15"/>
      <c r="AA109" s="34">
        <f>Z109*$F$10</f>
        <v>0</v>
      </c>
      <c r="AB109" s="28"/>
      <c r="AC109" s="15"/>
      <c r="AD109" s="15"/>
      <c r="AE109" s="34">
        <f>AD109*$F$10</f>
        <v>0</v>
      </c>
      <c r="AF109" s="15"/>
      <c r="AG109" s="13"/>
      <c r="AH109" s="15"/>
      <c r="AI109" s="45">
        <f>AH109*$G$10</f>
        <v>0</v>
      </c>
      <c r="AJ109" s="15"/>
      <c r="AK109" s="13"/>
      <c r="AL109" s="15"/>
      <c r="AM109" s="45">
        <f>AL109*$G$10</f>
        <v>0</v>
      </c>
      <c r="AN109" s="15"/>
      <c r="AO109" s="13"/>
      <c r="AP109" s="15">
        <f t="shared" si="347"/>
        <v>0</v>
      </c>
      <c r="AQ109" s="45">
        <f>AP109*$G$10</f>
        <v>0</v>
      </c>
      <c r="AR109" s="15"/>
      <c r="AS109" s="13"/>
      <c r="AT109" s="15">
        <f t="shared" si="348"/>
        <v>0</v>
      </c>
      <c r="AU109" s="45">
        <f>AT109*$G$10</f>
        <v>0</v>
      </c>
      <c r="AV109" s="15"/>
      <c r="AW109" s="13"/>
      <c r="AX109" s="2">
        <f t="shared" si="349"/>
        <v>0</v>
      </c>
      <c r="AY109" s="45"/>
      <c r="AZ109" s="208"/>
      <c r="BA109" s="13"/>
      <c r="BB109" s="15">
        <f t="shared" si="350"/>
        <v>0</v>
      </c>
      <c r="BC109" s="45"/>
      <c r="BD109" s="208"/>
      <c r="BE109" s="40">
        <f t="shared" ref="BE109:BG109" si="352">J109+N109+R109+V109+Z109+AD109+AH109+AL109+AP109+AT109+AX109+BB109</f>
        <v>0</v>
      </c>
      <c r="BF109" s="41">
        <f t="shared" si="352"/>
        <v>0</v>
      </c>
      <c r="BG109" s="34">
        <f t="shared" si="352"/>
        <v>0</v>
      </c>
      <c r="BH109" s="35">
        <f t="shared" si="346"/>
        <v>0</v>
      </c>
      <c r="BK109" s="2" t="b">
        <f>H109='2019'!BH98</f>
        <v>1</v>
      </c>
    </row>
    <row r="110" ht="14.25" customHeight="1" hidden="1" spans="1:63" x14ac:dyDescent="0.25">
      <c r="A110" s="176">
        <v>12</v>
      </c>
      <c r="B110" s="14"/>
      <c r="C110" s="15" t="s">
        <v>94</v>
      </c>
      <c r="D110" s="14" t="s">
        <v>47</v>
      </c>
      <c r="E110" s="2" t="s">
        <v>49</v>
      </c>
      <c r="F110" s="41">
        <v>500</v>
      </c>
      <c r="G110" s="35"/>
      <c r="H110" s="77">
        <f>'2019'!BH99</f>
        <v>0</v>
      </c>
      <c r="I110" s="15"/>
      <c r="J110" s="15"/>
      <c r="K110" s="15"/>
      <c r="L110" s="28"/>
      <c r="M110" s="15"/>
      <c r="N110" s="15"/>
      <c r="O110" s="15"/>
      <c r="P110" s="15"/>
      <c r="Q110" s="13"/>
      <c r="R110" s="15"/>
      <c r="S110" s="15"/>
      <c r="T110" s="28"/>
      <c r="U110" s="15"/>
      <c r="V110" s="15"/>
      <c r="W110" s="15"/>
      <c r="X110" s="15"/>
      <c r="Y110" s="13"/>
      <c r="Z110" s="15"/>
      <c r="AA110" s="34">
        <f>B108*$F$11</f>
        <v>2010</v>
      </c>
      <c r="AB110" s="28"/>
      <c r="AC110" s="15"/>
      <c r="AD110" s="15"/>
      <c r="AE110" s="34"/>
      <c r="AF110" s="15"/>
      <c r="AG110" s="13"/>
      <c r="AH110" s="15"/>
      <c r="AI110" s="45"/>
      <c r="AJ110" s="15"/>
      <c r="AK110" s="13"/>
      <c r="AL110" s="15"/>
      <c r="AM110" s="45"/>
      <c r="AN110" s="15"/>
      <c r="AO110" s="13"/>
      <c r="AP110" s="15"/>
      <c r="AQ110" s="45"/>
      <c r="AR110" s="39">
        <v>2010</v>
      </c>
      <c r="AS110" s="13"/>
      <c r="AT110" s="15"/>
      <c r="AU110" s="45"/>
      <c r="AV110" s="15"/>
      <c r="AW110" s="13"/>
      <c r="AY110" s="45"/>
      <c r="AZ110" s="28"/>
      <c r="BA110" s="13"/>
      <c r="BB110" s="15"/>
      <c r="BC110" s="45"/>
      <c r="BD110" s="28"/>
      <c r="BE110" s="14"/>
      <c r="BF110" s="41">
        <f t="shared" ref="BF110:BG110" si="353">K110+O110+S110+W110+AA110+AE110+AI110+AM110+AQ110+AU110+AY110+BC110</f>
        <v>2010</v>
      </c>
      <c r="BG110" s="34">
        <f t="shared" si="353"/>
        <v>2010</v>
      </c>
      <c r="BH110" s="35">
        <f t="shared" si="346"/>
        <v>0</v>
      </c>
      <c r="BK110" s="2" t="b">
        <f>H110='2019'!BH99</f>
        <v>1</v>
      </c>
    </row>
    <row r="111" ht="14.25" customHeight="1" hidden="1" spans="1:63" x14ac:dyDescent="0.25">
      <c r="A111" s="176">
        <v>12</v>
      </c>
      <c r="B111" s="14"/>
      <c r="C111" s="15" t="s">
        <v>95</v>
      </c>
      <c r="D111" s="14" t="s">
        <v>50</v>
      </c>
      <c r="E111" s="2" t="s">
        <v>49</v>
      </c>
      <c r="F111" s="41">
        <v>1100</v>
      </c>
      <c r="G111" s="35"/>
      <c r="H111" s="182">
        <f>'2019'!BH100+0.0024</f>
        <v>0</v>
      </c>
      <c r="I111" s="15"/>
      <c r="J111" s="15"/>
      <c r="K111" s="15"/>
      <c r="L111" s="28"/>
      <c r="M111" s="15"/>
      <c r="N111" s="15"/>
      <c r="O111" s="15"/>
      <c r="P111" s="15"/>
      <c r="Q111" s="13"/>
      <c r="R111" s="15"/>
      <c r="S111" s="15"/>
      <c r="T111" s="28"/>
      <c r="U111" s="15"/>
      <c r="V111" s="15"/>
      <c r="W111" s="15"/>
      <c r="X111" s="15"/>
      <c r="Y111" s="13"/>
      <c r="Z111" s="15"/>
      <c r="AA111" s="15"/>
      <c r="AB111" s="28"/>
      <c r="AC111" s="15"/>
      <c r="AD111" s="15"/>
      <c r="AE111" s="34">
        <f>B108*$F$12</f>
        <v>4422</v>
      </c>
      <c r="AF111" s="15"/>
      <c r="AG111" s="13"/>
      <c r="AH111" s="15"/>
      <c r="AI111" s="45"/>
      <c r="AJ111" s="15"/>
      <c r="AK111" s="13"/>
      <c r="AL111" s="15"/>
      <c r="AM111" s="45"/>
      <c r="AN111" s="15"/>
      <c r="AO111" s="13"/>
      <c r="AP111" s="15"/>
      <c r="AQ111" s="45"/>
      <c r="AR111" s="39">
        <v>4422</v>
      </c>
      <c r="AS111" s="13"/>
      <c r="AT111" s="15"/>
      <c r="AU111" s="45"/>
      <c r="AV111" s="15"/>
      <c r="AW111" s="13"/>
      <c r="AY111" s="45"/>
      <c r="AZ111" s="28"/>
      <c r="BA111" s="13"/>
      <c r="BB111" s="15"/>
      <c r="BC111" s="45"/>
      <c r="BD111" s="28"/>
      <c r="BE111" s="14"/>
      <c r="BF111" s="41">
        <f t="shared" ref="BF111:BG111" si="354">K111+O111+S111+W111+AA111+AE111+AI111+AM111+AQ111+AU111+AY111+BC111</f>
        <v>4422</v>
      </c>
      <c r="BG111" s="34">
        <f t="shared" si="354"/>
        <v>4422</v>
      </c>
      <c r="BH111" s="35">
        <f t="shared" si="346"/>
        <v>0</v>
      </c>
      <c r="BK111" s="2" t="b">
        <f>H111='2019'!BH100</f>
        <v>0</v>
      </c>
    </row>
    <row r="112" ht="14.25" customHeight="1" hidden="1" spans="1:63" x14ac:dyDescent="0.25">
      <c r="A112" s="176">
        <v>12</v>
      </c>
      <c r="B112" s="14"/>
      <c r="C112" s="15" t="s">
        <v>385</v>
      </c>
      <c r="D112" s="14" t="s">
        <v>51</v>
      </c>
      <c r="E112" s="2" t="s">
        <v>39</v>
      </c>
      <c r="F112" s="41">
        <v>500</v>
      </c>
      <c r="G112" s="35"/>
      <c r="H112" s="34">
        <f>'2019'!BH101</f>
        <v>0</v>
      </c>
      <c r="I112" s="15"/>
      <c r="J112" s="15"/>
      <c r="K112" s="15"/>
      <c r="L112" s="28"/>
      <c r="M112" s="15"/>
      <c r="N112" s="15"/>
      <c r="O112" s="15"/>
      <c r="P112" s="15"/>
      <c r="Q112" s="13"/>
      <c r="R112" s="15"/>
      <c r="S112" s="15"/>
      <c r="T112" s="28"/>
      <c r="U112" s="15"/>
      <c r="V112" s="15"/>
      <c r="W112" s="15"/>
      <c r="X112" s="15"/>
      <c r="Y112" s="13"/>
      <c r="Z112" s="15"/>
      <c r="AA112" s="15"/>
      <c r="AB112" s="28"/>
      <c r="AC112" s="15"/>
      <c r="AD112" s="15"/>
      <c r="AE112" s="34"/>
      <c r="AF112" s="15"/>
      <c r="AG112" s="13"/>
      <c r="AH112" s="15"/>
      <c r="AI112" s="45"/>
      <c r="AJ112" s="15"/>
      <c r="AK112" s="13"/>
      <c r="AL112" s="15"/>
      <c r="AM112" s="45"/>
      <c r="AN112" s="15"/>
      <c r="AO112" s="13"/>
      <c r="AP112" s="15"/>
      <c r="AQ112" s="45">
        <f>$F$13</f>
        <v>500</v>
      </c>
      <c r="AR112" s="39">
        <v>500</v>
      </c>
      <c r="AS112" s="13"/>
      <c r="AT112" s="15"/>
      <c r="AU112" s="45"/>
      <c r="AV112" s="15"/>
      <c r="AW112" s="13"/>
      <c r="AY112" s="45"/>
      <c r="AZ112" s="28"/>
      <c r="BA112" s="13"/>
      <c r="BB112" s="15"/>
      <c r="BC112" s="45"/>
      <c r="BD112" s="28"/>
      <c r="BE112" s="14"/>
      <c r="BF112" s="41">
        <f t="shared" ref="BF112:BG112" si="355">K112+O112+S112+W112+AA112+AE112+AI112+AM112+AQ112+AU112+AY112+BC112</f>
        <v>500</v>
      </c>
      <c r="BG112" s="34">
        <f t="shared" si="355"/>
        <v>500</v>
      </c>
      <c r="BH112" s="35">
        <f t="shared" si="346"/>
        <v>0</v>
      </c>
      <c r="BK112" s="2" t="b">
        <f>H112='2019'!BH101</f>
        <v>1</v>
      </c>
    </row>
    <row r="113" ht="14.25" customHeight="1" hidden="1" spans="1:60" x14ac:dyDescent="0.25">
      <c r="A113" s="176">
        <v>12</v>
      </c>
      <c r="B113" s="14"/>
      <c r="C113" s="15"/>
      <c r="D113" s="14" t="s">
        <v>51</v>
      </c>
      <c r="E113" s="2" t="s">
        <v>49</v>
      </c>
      <c r="F113" s="41">
        <v>500</v>
      </c>
      <c r="G113" s="35"/>
      <c r="H113" s="34"/>
      <c r="I113" s="15"/>
      <c r="J113" s="15"/>
      <c r="K113" s="15"/>
      <c r="L113" s="28"/>
      <c r="M113" s="15"/>
      <c r="N113" s="15"/>
      <c r="O113" s="15"/>
      <c r="P113" s="15"/>
      <c r="Q113" s="13"/>
      <c r="R113" s="15"/>
      <c r="S113" s="15"/>
      <c r="T113" s="28"/>
      <c r="U113" s="15"/>
      <c r="V113" s="15"/>
      <c r="W113" s="15"/>
      <c r="X113" s="15"/>
      <c r="Y113" s="13"/>
      <c r="Z113" s="15"/>
      <c r="AA113" s="15"/>
      <c r="AB113" s="28"/>
      <c r="AC113" s="15"/>
      <c r="AD113" s="15"/>
      <c r="AE113" s="34"/>
      <c r="AF113" s="15"/>
      <c r="AG113" s="13"/>
      <c r="AH113" s="15"/>
      <c r="AI113" s="45"/>
      <c r="AJ113" s="15"/>
      <c r="AK113" s="13"/>
      <c r="AL113" s="15"/>
      <c r="AM113" s="45"/>
      <c r="AN113" s="15"/>
      <c r="AO113" s="13"/>
      <c r="AP113" s="15"/>
      <c r="AQ113" s="34">
        <f>B108*$F$14</f>
        <v>2010</v>
      </c>
      <c r="AR113" s="39">
        <v>2010</v>
      </c>
      <c r="AS113" s="13"/>
      <c r="AT113" s="15"/>
      <c r="AU113" s="45"/>
      <c r="AV113" s="15"/>
      <c r="AW113" s="13"/>
      <c r="AY113" s="45"/>
      <c r="AZ113" s="28"/>
      <c r="BA113" s="13"/>
      <c r="BB113" s="15"/>
      <c r="BC113" s="45"/>
      <c r="BD113" s="28"/>
      <c r="BE113" s="14"/>
      <c r="BF113" s="41">
        <f t="shared" ref="BF113:BG113" si="356">K113+O113+S113+W113+AA113+AE113+AI113+AM113+AQ113+AU113+AY113+BC113</f>
        <v>2010</v>
      </c>
      <c r="BG113" s="34">
        <f t="shared" si="356"/>
        <v>2010</v>
      </c>
      <c r="BH113" s="35">
        <f t="shared" si="346"/>
        <v>0</v>
      </c>
    </row>
    <row r="114" ht="14.25" customHeight="1" hidden="1" spans="1:63" x14ac:dyDescent="0.25">
      <c r="A114" s="176">
        <v>12</v>
      </c>
      <c r="B114" s="14"/>
      <c r="D114" s="14" t="s">
        <v>52</v>
      </c>
      <c r="E114" s="2" t="s">
        <v>39</v>
      </c>
      <c r="F114" s="41">
        <v>500</v>
      </c>
      <c r="G114" s="35"/>
      <c r="H114" s="34">
        <f>'2019'!BH102</f>
        <v>0</v>
      </c>
      <c r="I114" s="15"/>
      <c r="J114" s="15"/>
      <c r="K114" s="15"/>
      <c r="L114" s="28"/>
      <c r="M114" s="15"/>
      <c r="N114" s="15"/>
      <c r="O114" s="15"/>
      <c r="P114" s="15"/>
      <c r="Q114" s="13"/>
      <c r="R114" s="15"/>
      <c r="S114" s="15"/>
      <c r="T114" s="28"/>
      <c r="U114" s="15"/>
      <c r="V114" s="15"/>
      <c r="W114" s="15"/>
      <c r="X114" s="15"/>
      <c r="Y114" s="13"/>
      <c r="Z114" s="15"/>
      <c r="AA114" s="34">
        <f>$F$11</f>
        <v>500</v>
      </c>
      <c r="AB114" s="28"/>
      <c r="AC114" s="15"/>
      <c r="AD114" s="15"/>
      <c r="AE114" s="15"/>
      <c r="AF114" s="15"/>
      <c r="AG114" s="13"/>
      <c r="AH114" s="15"/>
      <c r="AI114" s="45"/>
      <c r="AJ114" s="15"/>
      <c r="AK114" s="13"/>
      <c r="AL114" s="15"/>
      <c r="AM114" s="45"/>
      <c r="AN114" s="15"/>
      <c r="AO114" s="13"/>
      <c r="AP114" s="15"/>
      <c r="AQ114" s="45"/>
      <c r="AR114" s="39">
        <v>500</v>
      </c>
      <c r="AS114" s="13"/>
      <c r="AT114" s="15"/>
      <c r="AU114" s="45"/>
      <c r="AV114" s="15"/>
      <c r="AW114" s="13"/>
      <c r="AY114" s="45"/>
      <c r="AZ114" s="35"/>
      <c r="BA114" s="13"/>
      <c r="BB114" s="15"/>
      <c r="BC114" s="45"/>
      <c r="BD114" s="35"/>
      <c r="BE114" s="14"/>
      <c r="BF114" s="41">
        <f t="shared" ref="BF114:BG114" si="357">K114+O114+S114+W114+AA114+AE114+AI114+AM114+AQ114+AU114+AY114+BC114</f>
        <v>500</v>
      </c>
      <c r="BG114" s="34">
        <f t="shared" si="357"/>
        <v>500</v>
      </c>
      <c r="BH114" s="35">
        <f t="shared" si="346"/>
        <v>0</v>
      </c>
      <c r="BK114" s="2" t="b">
        <f>H114='2019'!BH102</f>
        <v>1</v>
      </c>
    </row>
    <row r="115" ht="14.25" customHeight="1" hidden="1" spans="1:63" x14ac:dyDescent="0.25">
      <c r="A115" s="177">
        <v>12</v>
      </c>
      <c r="B115" s="21"/>
      <c r="C115" s="22" t="s">
        <v>53</v>
      </c>
      <c r="D115" s="21"/>
      <c r="E115" s="22"/>
      <c r="F115" s="20"/>
      <c r="G115" s="23"/>
      <c r="H115" s="51">
        <f>SUM(H107:H114)</f>
        <v>0</v>
      </c>
      <c r="I115" s="53"/>
      <c r="J115" s="53"/>
      <c r="K115" s="51">
        <f t="shared" ref="K115:L115" si="358">SUM(K107:K114)</f>
        <v>0</v>
      </c>
      <c r="L115" s="68">
        <f t="shared" si="358"/>
        <v>0</v>
      </c>
      <c r="M115" s="53"/>
      <c r="N115" s="53"/>
      <c r="O115" s="51">
        <f t="shared" ref="O115:P115" si="359">SUM(O107:O114)</f>
        <v>0</v>
      </c>
      <c r="P115" s="68">
        <f t="shared" si="359"/>
        <v>0</v>
      </c>
      <c r="Q115" s="52"/>
      <c r="R115" s="53"/>
      <c r="S115" s="51">
        <f t="shared" ref="S115:T115" si="360">SUM(S107:S114)</f>
        <v>0</v>
      </c>
      <c r="T115" s="68">
        <f t="shared" si="360"/>
        <v>0</v>
      </c>
      <c r="U115" s="53"/>
      <c r="V115" s="53"/>
      <c r="W115" s="51">
        <f t="shared" ref="W115:X115" si="361">SUM(W107:W114)</f>
        <v>0</v>
      </c>
      <c r="X115" s="68">
        <f t="shared" si="361"/>
        <v>0</v>
      </c>
      <c r="Y115" s="52"/>
      <c r="Z115" s="53"/>
      <c r="AA115" s="51">
        <f t="shared" ref="AA115:AB115" si="362">SUM(AA107:AA114)</f>
        <v>2510</v>
      </c>
      <c r="AB115" s="68">
        <f t="shared" si="362"/>
        <v>0</v>
      </c>
      <c r="AC115" s="53"/>
      <c r="AD115" s="53"/>
      <c r="AE115" s="51">
        <f t="shared" ref="AE115:AF115" si="363">SUM(AE107:AE114)</f>
        <v>4422</v>
      </c>
      <c r="AF115" s="68">
        <f t="shared" si="363"/>
        <v>0</v>
      </c>
      <c r="AG115" s="52"/>
      <c r="AH115" s="53"/>
      <c r="AI115" s="183">
        <f t="shared" ref="AI115:AJ115" si="364">SUM(AI107:AI114)</f>
        <v>0</v>
      </c>
      <c r="AJ115" s="51">
        <f t="shared" si="364"/>
        <v>0</v>
      </c>
      <c r="AK115" s="52"/>
      <c r="AL115" s="53"/>
      <c r="AM115" s="183">
        <f t="shared" ref="AM115:AN115" si="365">SUM(AM107:AM114)</f>
        <v>0</v>
      </c>
      <c r="AN115" s="51">
        <f t="shared" si="365"/>
        <v>0</v>
      </c>
      <c r="AO115" s="52"/>
      <c r="AP115" s="53"/>
      <c r="AQ115" s="183">
        <f t="shared" ref="AQ115:AR115" si="366">SUM(AQ107:AQ114)</f>
        <v>2510</v>
      </c>
      <c r="AR115" s="51">
        <f t="shared" si="366"/>
        <v>9442</v>
      </c>
      <c r="AS115" s="52"/>
      <c r="AT115" s="53"/>
      <c r="AU115" s="183">
        <f t="shared" ref="AU115:AV115" si="367">SUM(AU107:AU114)</f>
        <v>0</v>
      </c>
      <c r="AV115" s="68">
        <f t="shared" si="367"/>
        <v>0</v>
      </c>
      <c r="AW115" s="52"/>
      <c r="AX115" s="53"/>
      <c r="AY115" s="183">
        <f t="shared" ref="AY115:AZ115" si="368">SUM(AY107:AY114)</f>
        <v>0</v>
      </c>
      <c r="AZ115" s="68">
        <f t="shared" si="368"/>
        <v>0</v>
      </c>
      <c r="BA115" s="52"/>
      <c r="BB115" s="53"/>
      <c r="BC115" s="183">
        <f t="shared" ref="BC115:BD115" si="369">SUM(BC107:BC114)</f>
        <v>0</v>
      </c>
      <c r="BD115" s="68">
        <f t="shared" si="369"/>
        <v>0</v>
      </c>
      <c r="BE115" s="69"/>
      <c r="BF115" s="70">
        <f t="shared" ref="BF115:BH115" si="370">SUM(BF107:BF114)</f>
        <v>9442</v>
      </c>
      <c r="BG115" s="71">
        <f t="shared" si="370"/>
        <v>9442</v>
      </c>
      <c r="BH115" s="72">
        <f t="shared" si="370"/>
        <v>0</v>
      </c>
      <c r="BI115" s="34">
        <f>H115+BF115-BG115</f>
        <v>0</v>
      </c>
      <c r="BJ115" s="34">
        <f>BH115-BI115</f>
        <v>0</v>
      </c>
      <c r="BK115" s="2" t="b">
        <f>H115='2019'!BH103</f>
        <v>0</v>
      </c>
    </row>
    <row r="116" ht="14.25" customHeight="1" hidden="1" spans="1:63" x14ac:dyDescent="0.25">
      <c r="A116" s="89" t="s">
        <v>96</v>
      </c>
      <c r="B116" s="14"/>
      <c r="D116" s="14" t="s">
        <v>379</v>
      </c>
      <c r="F116" s="13"/>
      <c r="G116" s="28"/>
      <c r="H116" s="34">
        <f>'2019'!BH104</f>
        <v>18.66</v>
      </c>
      <c r="I116" s="15"/>
      <c r="J116" s="15"/>
      <c r="K116" s="15"/>
      <c r="L116" s="28"/>
      <c r="M116" s="15"/>
      <c r="N116" s="15"/>
      <c r="O116" s="15"/>
      <c r="P116" s="15"/>
      <c r="Q116" s="13"/>
      <c r="R116" s="15"/>
      <c r="S116" s="15"/>
      <c r="T116" s="28"/>
      <c r="U116" s="15"/>
      <c r="V116" s="15"/>
      <c r="W116" s="15"/>
      <c r="X116" s="15"/>
      <c r="Y116" s="13"/>
      <c r="Z116" s="15"/>
      <c r="AA116" s="15"/>
      <c r="AB116" s="28"/>
      <c r="AC116" s="15"/>
      <c r="AD116" s="15"/>
      <c r="AE116" s="15"/>
      <c r="AF116" s="15"/>
      <c r="AG116" s="13"/>
      <c r="AH116" s="15"/>
      <c r="AI116" s="45"/>
      <c r="AJ116" s="1">
        <v>18.66</v>
      </c>
      <c r="AK116" s="13"/>
      <c r="AL116" s="15"/>
      <c r="AM116" s="45"/>
      <c r="AN116" s="15"/>
      <c r="AO116" s="13"/>
      <c r="AP116" s="15"/>
      <c r="AQ116" s="45"/>
      <c r="AR116" s="15"/>
      <c r="AS116" s="13"/>
      <c r="AT116" s="15"/>
      <c r="AU116" s="45"/>
      <c r="AV116" s="15"/>
      <c r="AW116" s="13"/>
      <c r="AY116" s="45"/>
      <c r="AZ116" s="28"/>
      <c r="BA116" s="13"/>
      <c r="BB116" s="15"/>
      <c r="BC116" s="45"/>
      <c r="BD116" s="28"/>
      <c r="BE116" s="14"/>
      <c r="BF116" s="41">
        <f t="shared" ref="BF116:BG116" si="371">K116+O116+S116+W116+AA116+AE116+AI116+AM116+AQ116+AU116+AY116+BC116</f>
        <v>0</v>
      </c>
      <c r="BG116" s="34">
        <f t="shared" si="371"/>
        <v>18.66</v>
      </c>
      <c r="BH116" s="35">
        <f t="shared" ref="BH116:BH123" si="372">H116+BF116-BG116</f>
        <v>0</v>
      </c>
      <c r="BK116" s="2" t="b">
        <f>H116='2019'!BH104</f>
        <v>1</v>
      </c>
    </row>
    <row r="117" ht="14.25" customHeight="1" hidden="1" spans="1:63" x14ac:dyDescent="0.25">
      <c r="A117" s="89" t="s">
        <v>96</v>
      </c>
      <c r="B117" s="14">
        <v>3.94</v>
      </c>
      <c r="C117" s="2" t="s">
        <v>492</v>
      </c>
      <c r="D117" s="14" t="s">
        <v>44</v>
      </c>
      <c r="E117" s="2" t="s">
        <v>45</v>
      </c>
      <c r="F117" s="41">
        <v>2.5</v>
      </c>
      <c r="G117" s="35">
        <v>2.6</v>
      </c>
      <c r="H117" s="34">
        <f>'2019'!BH105</f>
        <v>0</v>
      </c>
      <c r="I117" s="13">
        <v>5523</v>
      </c>
      <c r="J117" s="15">
        <f>I117-'2019'!BA105</f>
        <v>0</v>
      </c>
      <c r="K117" s="34">
        <f>J117*$F$8</f>
        <v>0</v>
      </c>
      <c r="L117" s="28"/>
      <c r="M117" s="15">
        <v>5523</v>
      </c>
      <c r="N117" s="15">
        <f>M117-I117</f>
        <v>0</v>
      </c>
      <c r="O117" s="34">
        <f>N117*$F$8</f>
        <v>0</v>
      </c>
      <c r="P117" s="15"/>
      <c r="Q117" s="13">
        <v>5523</v>
      </c>
      <c r="R117" s="15">
        <f>Q117-M117</f>
        <v>0</v>
      </c>
      <c r="S117" s="34">
        <f>R117*$F$8</f>
        <v>0</v>
      </c>
      <c r="T117" s="28"/>
      <c r="U117" s="13">
        <v>5529</v>
      </c>
      <c r="V117" s="15">
        <f t="shared" ref="V117:V118" si="373">U117-Q117</f>
        <v>6</v>
      </c>
      <c r="W117" s="34">
        <f>V117*$F$8</f>
        <v>15</v>
      </c>
      <c r="X117" s="15"/>
      <c r="Y117" s="13">
        <v>5560</v>
      </c>
      <c r="Z117" s="15">
        <f t="shared" ref="Z117:Z118" si="374">Y117-U117</f>
        <v>31</v>
      </c>
      <c r="AA117" s="34">
        <f>Z117*$F$8</f>
        <v>77.5</v>
      </c>
      <c r="AB117" s="28"/>
      <c r="AC117" s="15">
        <v>5644</v>
      </c>
      <c r="AD117" s="15">
        <f t="shared" ref="AD117:AD118" si="375">AC117-Y117</f>
        <v>84</v>
      </c>
      <c r="AE117" s="45">
        <f>AD117*$G$8</f>
        <v>218.4</v>
      </c>
      <c r="AF117" s="15"/>
      <c r="AG117" s="13">
        <v>5760</v>
      </c>
      <c r="AH117" s="15">
        <f t="shared" ref="AH117:AH118" si="376">AG117-AC117</f>
        <v>116</v>
      </c>
      <c r="AI117" s="45">
        <f>AH117*$G$8</f>
        <v>301.6</v>
      </c>
      <c r="AJ117" s="39">
        <v>612.5</v>
      </c>
      <c r="AK117" s="13">
        <v>5892</v>
      </c>
      <c r="AL117" s="15">
        <f t="shared" ref="AL117:AL118" si="377">AK117-AG117</f>
        <v>132</v>
      </c>
      <c r="AM117" s="45">
        <f>AL117*$G$8</f>
        <v>343.2</v>
      </c>
      <c r="AN117" s="15"/>
      <c r="AO117" s="13">
        <v>6009</v>
      </c>
      <c r="AP117" s="15">
        <f t="shared" ref="AP117:AP118" si="378">AO117-AK117</f>
        <v>117</v>
      </c>
      <c r="AQ117" s="45">
        <f>AP117*$G$8</f>
        <v>304.2</v>
      </c>
      <c r="AR117" s="15"/>
      <c r="AS117" s="13">
        <v>6258</v>
      </c>
      <c r="AT117" s="15">
        <f t="shared" ref="AT117:AT118" si="379">AS117-AO117</f>
        <v>249</v>
      </c>
      <c r="AU117" s="45">
        <f>AT117*$G$8</f>
        <v>647.4</v>
      </c>
      <c r="AV117" s="15"/>
      <c r="AW117" s="13">
        <v>6466</v>
      </c>
      <c r="AX117" s="2">
        <f t="shared" ref="AX117:AX118" si="380">AW117-AS117</f>
        <v>208</v>
      </c>
      <c r="AY117" s="45">
        <f>AX117*$G$8</f>
        <v>540.8</v>
      </c>
      <c r="AZ117" s="242">
        <v>2000</v>
      </c>
      <c r="BA117" s="13">
        <v>6473</v>
      </c>
      <c r="BB117" s="15">
        <f t="shared" ref="BB117:BB118" si="381">BA117-AW117</f>
        <v>7</v>
      </c>
      <c r="BC117" s="45">
        <f>BB117*$G$8</f>
        <v>18.2</v>
      </c>
      <c r="BD117" s="208"/>
      <c r="BE117" s="40">
        <f t="shared" ref="BE117:BG117" si="382">J117+N117+R117+V117+Z117+AD117+AH117+AL117+AP117+AT117+AX117+BB117</f>
        <v>950</v>
      </c>
      <c r="BF117" s="41">
        <f t="shared" si="382"/>
        <v>2466.3</v>
      </c>
      <c r="BG117" s="34">
        <f t="shared" si="382"/>
        <v>2612.5</v>
      </c>
      <c r="BH117" s="35">
        <f t="shared" si="372"/>
        <v>-146.2</v>
      </c>
      <c r="BK117" s="2" t="b">
        <f>H117='2019'!BH105</f>
        <v>1</v>
      </c>
    </row>
    <row r="118" ht="14.25" customHeight="1" hidden="1" spans="1:63" x14ac:dyDescent="0.25">
      <c r="A118" s="89" t="s">
        <v>96</v>
      </c>
      <c r="B118" s="14"/>
      <c r="C118" s="2" t="s">
        <v>65</v>
      </c>
      <c r="D118" s="14" t="s">
        <v>47</v>
      </c>
      <c r="E118" s="2" t="s">
        <v>48</v>
      </c>
      <c r="F118" s="13">
        <v>18.56</v>
      </c>
      <c r="G118" s="35">
        <v>19.46</v>
      </c>
      <c r="H118" s="34">
        <f>'2019'!BH106</f>
        <v>0</v>
      </c>
      <c r="I118" s="13">
        <v>30</v>
      </c>
      <c r="J118" s="15"/>
      <c r="K118" s="15"/>
      <c r="L118" s="28"/>
      <c r="M118" s="15">
        <v>30</v>
      </c>
      <c r="N118" s="15"/>
      <c r="O118" s="15"/>
      <c r="P118" s="15"/>
      <c r="Q118" s="13">
        <v>30</v>
      </c>
      <c r="R118" s="15"/>
      <c r="S118" s="15"/>
      <c r="T118" s="28"/>
      <c r="U118" s="15">
        <v>30</v>
      </c>
      <c r="V118" s="15">
        <f t="shared" si="373"/>
        <v>0</v>
      </c>
      <c r="W118" s="34">
        <f>V118*$F$10</f>
        <v>0</v>
      </c>
      <c r="X118" s="15"/>
      <c r="Y118" s="13">
        <v>30</v>
      </c>
      <c r="Z118" s="15">
        <f t="shared" si="374"/>
        <v>0</v>
      </c>
      <c r="AA118" s="34">
        <f>Z118*$F$10</f>
        <v>0</v>
      </c>
      <c r="AB118" s="28"/>
      <c r="AC118" s="13">
        <v>37</v>
      </c>
      <c r="AD118" s="15">
        <f t="shared" si="375"/>
        <v>7</v>
      </c>
      <c r="AE118" s="34">
        <f>AD118*$F$10</f>
        <v>129.92</v>
      </c>
      <c r="AF118" s="15"/>
      <c r="AG118" s="13">
        <v>47</v>
      </c>
      <c r="AH118" s="15">
        <f t="shared" si="376"/>
        <v>10</v>
      </c>
      <c r="AI118" s="45">
        <f>AH118*$G$10</f>
        <v>194.6</v>
      </c>
      <c r="AJ118" s="1"/>
      <c r="AK118" s="13">
        <v>51</v>
      </c>
      <c r="AL118" s="15">
        <f t="shared" si="377"/>
        <v>4</v>
      </c>
      <c r="AM118" s="45">
        <f>AL118*$G$10</f>
        <v>77.84</v>
      </c>
      <c r="AN118" s="15"/>
      <c r="AO118" s="13">
        <v>54</v>
      </c>
      <c r="AP118" s="15">
        <f t="shared" si="378"/>
        <v>3</v>
      </c>
      <c r="AQ118" s="45">
        <f>AP118*$G$10</f>
        <v>58.38</v>
      </c>
      <c r="AR118" s="15"/>
      <c r="AS118" s="13">
        <v>55</v>
      </c>
      <c r="AT118" s="15">
        <f t="shared" si="379"/>
        <v>1</v>
      </c>
      <c r="AU118" s="45">
        <f>AT118*$G$10</f>
        <v>19.46</v>
      </c>
      <c r="AV118" s="15"/>
      <c r="AW118" s="13">
        <v>55</v>
      </c>
      <c r="AX118" s="2">
        <f t="shared" si="380"/>
        <v>0</v>
      </c>
      <c r="AY118" s="45"/>
      <c r="AZ118" s="242">
        <v>500</v>
      </c>
      <c r="BA118" s="13">
        <v>55</v>
      </c>
      <c r="BB118" s="15">
        <f t="shared" si="381"/>
        <v>0</v>
      </c>
      <c r="BC118" s="45"/>
      <c r="BD118" s="208"/>
      <c r="BE118" s="40">
        <f t="shared" ref="BE118:BG118" si="383">J118+N118+R118+V118+Z118+AD118+AH118+AL118+AP118+AT118+AX118+BB118</f>
        <v>25</v>
      </c>
      <c r="BF118" s="41">
        <f t="shared" si="383"/>
        <v>480.2</v>
      </c>
      <c r="BG118" s="34">
        <f t="shared" si="383"/>
        <v>500</v>
      </c>
      <c r="BH118" s="35">
        <f t="shared" si="372"/>
        <v>-19.8</v>
      </c>
      <c r="BK118" s="2" t="b">
        <f>H118='2019'!BH106</f>
        <v>1</v>
      </c>
    </row>
    <row r="119" ht="14.25" customHeight="1" hidden="1" spans="1:63" x14ac:dyDescent="0.25">
      <c r="A119" s="89" t="s">
        <v>96</v>
      </c>
      <c r="B119" s="14"/>
      <c r="C119" s="2" t="s">
        <v>115</v>
      </c>
      <c r="D119" s="14" t="s">
        <v>47</v>
      </c>
      <c r="E119" s="2" t="s">
        <v>49</v>
      </c>
      <c r="F119" s="41">
        <v>500</v>
      </c>
      <c r="G119" s="35"/>
      <c r="H119" s="34">
        <f>'2019'!BH107</f>
        <v>0</v>
      </c>
      <c r="I119" s="15"/>
      <c r="J119" s="15"/>
      <c r="K119" s="15"/>
      <c r="L119" s="28"/>
      <c r="M119" s="15"/>
      <c r="N119" s="15"/>
      <c r="O119" s="15"/>
      <c r="P119" s="15"/>
      <c r="Q119" s="13"/>
      <c r="R119" s="15"/>
      <c r="S119" s="15"/>
      <c r="T119" s="28"/>
      <c r="U119" s="15"/>
      <c r="V119" s="15"/>
      <c r="W119" s="15"/>
      <c r="X119" s="15"/>
      <c r="Y119" s="13"/>
      <c r="Z119" s="15"/>
      <c r="AA119" s="15"/>
      <c r="AB119" s="28"/>
      <c r="AC119" s="15"/>
      <c r="AD119" s="15"/>
      <c r="AE119" s="34"/>
      <c r="AF119" s="15"/>
      <c r="AG119" s="13"/>
      <c r="AH119" s="15"/>
      <c r="AI119" s="45"/>
      <c r="AJ119" s="1"/>
      <c r="AK119" s="13"/>
      <c r="AL119" s="15"/>
      <c r="AM119" s="45"/>
      <c r="AN119" s="15"/>
      <c r="AO119" s="13"/>
      <c r="AP119" s="15"/>
      <c r="AQ119" s="45"/>
      <c r="AR119" s="15"/>
      <c r="AS119" s="13"/>
      <c r="AT119" s="15"/>
      <c r="AU119" s="45"/>
      <c r="AV119" s="15"/>
      <c r="AW119" s="13"/>
      <c r="AY119" s="45"/>
      <c r="AZ119" s="28"/>
      <c r="BA119" s="13"/>
      <c r="BB119" s="15"/>
      <c r="BC119" s="45"/>
      <c r="BD119" s="28"/>
      <c r="BE119" s="14"/>
      <c r="BF119" s="41">
        <f t="shared" ref="BF119:BG119" si="384">K119+O119+S119+W119+AA119+AE119+AI119+AM119+AQ119+AU119+AY119+BC119</f>
        <v>0</v>
      </c>
      <c r="BG119" s="34">
        <f t="shared" si="384"/>
        <v>0</v>
      </c>
      <c r="BH119" s="35">
        <f t="shared" si="372"/>
        <v>0</v>
      </c>
      <c r="BK119" s="2" t="b">
        <f>H119='2019'!BH107</f>
        <v>1</v>
      </c>
    </row>
    <row r="120" ht="14.25" customHeight="1" hidden="1" spans="1:63" x14ac:dyDescent="0.25">
      <c r="A120" s="89" t="s">
        <v>96</v>
      </c>
      <c r="B120" s="14"/>
      <c r="C120" s="73" t="s">
        <v>493</v>
      </c>
      <c r="D120" s="14" t="s">
        <v>50</v>
      </c>
      <c r="E120" s="2" t="s">
        <v>49</v>
      </c>
      <c r="F120" s="41">
        <v>1100</v>
      </c>
      <c r="G120" s="35"/>
      <c r="H120" s="182">
        <f>'2019'!BH108+0.0028</f>
        <v>0</v>
      </c>
      <c r="I120" s="15"/>
      <c r="J120" s="15"/>
      <c r="K120" s="15"/>
      <c r="L120" s="28"/>
      <c r="M120" s="15"/>
      <c r="N120" s="15"/>
      <c r="O120" s="15"/>
      <c r="P120" s="15"/>
      <c r="Q120" s="13"/>
      <c r="R120" s="15"/>
      <c r="S120" s="15"/>
      <c r="T120" s="28"/>
      <c r="U120" s="15"/>
      <c r="V120" s="15"/>
      <c r="W120" s="15"/>
      <c r="X120" s="15"/>
      <c r="Y120" s="13"/>
      <c r="Z120" s="15"/>
      <c r="AA120" s="15"/>
      <c r="AB120" s="28"/>
      <c r="AC120" s="15"/>
      <c r="AD120" s="15"/>
      <c r="AE120" s="34">
        <f>B117*$F$12</f>
        <v>4334</v>
      </c>
      <c r="AF120" s="15"/>
      <c r="AG120" s="13"/>
      <c r="AH120" s="15"/>
      <c r="AI120" s="45"/>
      <c r="AJ120" s="39">
        <v>4334</v>
      </c>
      <c r="AK120" s="13"/>
      <c r="AL120" s="15"/>
      <c r="AM120" s="45"/>
      <c r="AN120" s="15"/>
      <c r="AO120" s="13"/>
      <c r="AP120" s="15"/>
      <c r="AQ120" s="45"/>
      <c r="AR120" s="15"/>
      <c r="AS120" s="13"/>
      <c r="AT120" s="15"/>
      <c r="AU120" s="45"/>
      <c r="AV120" s="15"/>
      <c r="AW120" s="13"/>
      <c r="AY120" s="45"/>
      <c r="AZ120" s="28"/>
      <c r="BA120" s="13"/>
      <c r="BB120" s="15"/>
      <c r="BC120" s="45"/>
      <c r="BD120" s="28"/>
      <c r="BE120" s="14"/>
      <c r="BF120" s="41">
        <f t="shared" ref="BF120:BG120" si="385">K120+O120+S120+W120+AA120+AE120+AI120+AM120+AQ120+AU120+AY120+BC120</f>
        <v>4334</v>
      </c>
      <c r="BG120" s="34">
        <f t="shared" si="385"/>
        <v>4334</v>
      </c>
      <c r="BH120" s="35">
        <f t="shared" si="372"/>
        <v>0</v>
      </c>
      <c r="BK120" s="2" t="b">
        <f>H120='2019'!BH108</f>
        <v>0</v>
      </c>
    </row>
    <row r="121" ht="14.25" customHeight="1" hidden="1" spans="1:63" x14ac:dyDescent="0.25">
      <c r="A121" s="89" t="s">
        <v>96</v>
      </c>
      <c r="B121" s="14"/>
      <c r="D121" s="14" t="s">
        <v>51</v>
      </c>
      <c r="E121" s="2" t="s">
        <v>39</v>
      </c>
      <c r="F121" s="41">
        <v>500</v>
      </c>
      <c r="G121" s="35"/>
      <c r="H121" s="34">
        <f>'2019'!BH109</f>
        <v>0</v>
      </c>
      <c r="I121" s="15"/>
      <c r="J121" s="15"/>
      <c r="K121" s="15"/>
      <c r="L121" s="28"/>
      <c r="M121" s="15"/>
      <c r="N121" s="15"/>
      <c r="O121" s="15"/>
      <c r="P121" s="15"/>
      <c r="Q121" s="13"/>
      <c r="R121" s="15"/>
      <c r="S121" s="15"/>
      <c r="T121" s="28"/>
      <c r="U121" s="15"/>
      <c r="V121" s="15"/>
      <c r="W121" s="15"/>
      <c r="X121" s="15"/>
      <c r="Y121" s="13"/>
      <c r="Z121" s="15"/>
      <c r="AA121" s="15"/>
      <c r="AB121" s="28"/>
      <c r="AC121" s="15"/>
      <c r="AD121" s="15"/>
      <c r="AE121" s="34"/>
      <c r="AF121" s="15"/>
      <c r="AG121" s="13"/>
      <c r="AH121" s="15"/>
      <c r="AI121" s="45"/>
      <c r="AJ121" s="15"/>
      <c r="AK121" s="13"/>
      <c r="AL121" s="15"/>
      <c r="AM121" s="45"/>
      <c r="AN121" s="15"/>
      <c r="AO121" s="13"/>
      <c r="AP121" s="15"/>
      <c r="AQ121" s="45">
        <f>$F$13</f>
        <v>500</v>
      </c>
      <c r="AR121" s="15"/>
      <c r="AS121" s="13"/>
      <c r="AT121" s="15"/>
      <c r="AU121" s="45"/>
      <c r="AV121" s="15"/>
      <c r="AW121" s="13"/>
      <c r="AY121" s="45"/>
      <c r="AZ121" s="28"/>
      <c r="BA121" s="13"/>
      <c r="BB121" s="15"/>
      <c r="BC121" s="45"/>
      <c r="BD121" s="28"/>
      <c r="BE121" s="14"/>
      <c r="BF121" s="41">
        <f t="shared" ref="BF121:BG121" si="386">K121+O121+S121+W121+AA121+AE121+AI121+AM121+AQ121+AU121+AY121+BC121</f>
        <v>500</v>
      </c>
      <c r="BG121" s="34">
        <f t="shared" si="386"/>
        <v>0</v>
      </c>
      <c r="BH121" s="35">
        <f t="shared" si="372"/>
        <v>500</v>
      </c>
      <c r="BK121" s="2" t="b">
        <f>H121='2019'!BH109</f>
        <v>1</v>
      </c>
    </row>
    <row r="122" ht="14.25" customHeight="1" hidden="1" spans="1:60" x14ac:dyDescent="0.25">
      <c r="A122" s="89" t="s">
        <v>96</v>
      </c>
      <c r="B122" s="14"/>
      <c r="D122" s="14" t="s">
        <v>51</v>
      </c>
      <c r="E122" s="2" t="s">
        <v>49</v>
      </c>
      <c r="F122" s="41">
        <v>500</v>
      </c>
      <c r="G122" s="35"/>
      <c r="H122" s="34"/>
      <c r="I122" s="15"/>
      <c r="J122" s="15"/>
      <c r="K122" s="15"/>
      <c r="L122" s="28"/>
      <c r="M122" s="15"/>
      <c r="N122" s="15"/>
      <c r="O122" s="15"/>
      <c r="P122" s="15"/>
      <c r="Q122" s="13"/>
      <c r="R122" s="15"/>
      <c r="S122" s="15"/>
      <c r="T122" s="28"/>
      <c r="U122" s="15"/>
      <c r="V122" s="15"/>
      <c r="W122" s="15"/>
      <c r="X122" s="15"/>
      <c r="Y122" s="13"/>
      <c r="Z122" s="15"/>
      <c r="AA122" s="15"/>
      <c r="AB122" s="28"/>
      <c r="AC122" s="15"/>
      <c r="AD122" s="15"/>
      <c r="AE122" s="34"/>
      <c r="AF122" s="15"/>
      <c r="AG122" s="13"/>
      <c r="AH122" s="15"/>
      <c r="AI122" s="45"/>
      <c r="AJ122" s="15"/>
      <c r="AK122" s="13"/>
      <c r="AL122" s="15"/>
      <c r="AM122" s="45"/>
      <c r="AN122" s="15"/>
      <c r="AO122" s="13"/>
      <c r="AP122" s="15"/>
      <c r="AQ122" s="34">
        <f>B117*$F$14</f>
        <v>1970</v>
      </c>
      <c r="AR122" s="15"/>
      <c r="AS122" s="13"/>
      <c r="AT122" s="15"/>
      <c r="AU122" s="45"/>
      <c r="AV122" s="15"/>
      <c r="AW122" s="13"/>
      <c r="AY122" s="45"/>
      <c r="AZ122" s="28"/>
      <c r="BA122" s="13"/>
      <c r="BB122" s="15"/>
      <c r="BC122" s="45"/>
      <c r="BD122" s="28"/>
      <c r="BE122" s="14"/>
      <c r="BF122" s="41">
        <f t="shared" ref="BF122:BG122" si="387">K122+O122+S122+W122+AA122+AE122+AI122+AM122+AQ122+AU122+AY122+BC122</f>
        <v>1970</v>
      </c>
      <c r="BG122" s="34">
        <f t="shared" si="387"/>
        <v>0</v>
      </c>
      <c r="BH122" s="35">
        <f t="shared" si="372"/>
        <v>1970</v>
      </c>
    </row>
    <row r="123" ht="14.25" customHeight="1" hidden="1" spans="1:63" x14ac:dyDescent="0.25">
      <c r="A123" s="89" t="s">
        <v>96</v>
      </c>
      <c r="B123" s="14"/>
      <c r="D123" s="14" t="s">
        <v>52</v>
      </c>
      <c r="E123" s="2" t="s">
        <v>39</v>
      </c>
      <c r="F123" s="41">
        <v>500</v>
      </c>
      <c r="G123" s="35"/>
      <c r="H123" s="34">
        <f>'2019'!BH110</f>
        <v>0</v>
      </c>
      <c r="I123" s="15"/>
      <c r="J123" s="15"/>
      <c r="K123" s="15"/>
      <c r="L123" s="28"/>
      <c r="M123" s="15"/>
      <c r="N123" s="15"/>
      <c r="O123" s="15"/>
      <c r="P123" s="15"/>
      <c r="Q123" s="13"/>
      <c r="R123" s="15"/>
      <c r="S123" s="15"/>
      <c r="T123" s="28"/>
      <c r="U123" s="15"/>
      <c r="V123" s="15"/>
      <c r="W123" s="15"/>
      <c r="X123" s="15"/>
      <c r="Y123" s="13"/>
      <c r="Z123" s="15"/>
      <c r="AA123" s="77"/>
      <c r="AB123" s="28"/>
      <c r="AC123" s="15"/>
      <c r="AD123" s="15"/>
      <c r="AE123" s="15"/>
      <c r="AF123" s="34"/>
      <c r="AG123" s="13"/>
      <c r="AH123" s="15"/>
      <c r="AI123" s="45"/>
      <c r="AJ123" s="15"/>
      <c r="AK123" s="13"/>
      <c r="AL123" s="15"/>
      <c r="AM123" s="45"/>
      <c r="AN123" s="15"/>
      <c r="AO123" s="13"/>
      <c r="AP123" s="15"/>
      <c r="AQ123" s="45"/>
      <c r="AR123" s="15"/>
      <c r="AS123" s="13"/>
      <c r="AT123" s="15"/>
      <c r="AU123" s="45"/>
      <c r="AV123" s="15"/>
      <c r="AW123" s="13"/>
      <c r="AY123" s="45"/>
      <c r="AZ123" s="35"/>
      <c r="BA123" s="13"/>
      <c r="BB123" s="15"/>
      <c r="BC123" s="45"/>
      <c r="BD123" s="35"/>
      <c r="BE123" s="14"/>
      <c r="BF123" s="41">
        <f t="shared" ref="BF123:BG123" si="388">K123+O123+S123+W123+AA123+AE123+AI123+AM123+AQ123+AU123+AY123+BC123</f>
        <v>0</v>
      </c>
      <c r="BG123" s="34">
        <f t="shared" si="388"/>
        <v>0</v>
      </c>
      <c r="BH123" s="35">
        <f t="shared" si="372"/>
        <v>0</v>
      </c>
      <c r="BK123" s="2" t="b">
        <f>H123='2019'!BH110</f>
        <v>1</v>
      </c>
    </row>
    <row r="124" ht="14.25" customHeight="1" hidden="1" spans="1:63" x14ac:dyDescent="0.25">
      <c r="A124" s="243" t="s">
        <v>96</v>
      </c>
      <c r="B124" s="21"/>
      <c r="C124" s="22" t="s">
        <v>53</v>
      </c>
      <c r="D124" s="21"/>
      <c r="E124" s="22"/>
      <c r="F124" s="20"/>
      <c r="G124" s="23"/>
      <c r="H124" s="51">
        <f>SUM(H116:H123)</f>
        <v>18.66</v>
      </c>
      <c r="I124" s="53"/>
      <c r="J124" s="53"/>
      <c r="K124" s="51">
        <f t="shared" ref="K124:L124" si="389">SUM(K116:K123)</f>
        <v>0</v>
      </c>
      <c r="L124" s="68">
        <f t="shared" si="389"/>
        <v>0</v>
      </c>
      <c r="M124" s="53"/>
      <c r="N124" s="53"/>
      <c r="O124" s="51">
        <f t="shared" ref="O124:P124" si="390">SUM(O116:O123)</f>
        <v>0</v>
      </c>
      <c r="P124" s="68">
        <f t="shared" si="390"/>
        <v>0</v>
      </c>
      <c r="Q124" s="52"/>
      <c r="R124" s="53"/>
      <c r="S124" s="51">
        <f t="shared" ref="S124:T124" si="391">SUM(S116:S123)</f>
        <v>0</v>
      </c>
      <c r="T124" s="68">
        <f t="shared" si="391"/>
        <v>0</v>
      </c>
      <c r="U124" s="53"/>
      <c r="V124" s="53"/>
      <c r="W124" s="51">
        <f t="shared" ref="W124:X124" si="392">SUM(W116:W123)</f>
        <v>15</v>
      </c>
      <c r="X124" s="68">
        <f t="shared" si="392"/>
        <v>0</v>
      </c>
      <c r="Y124" s="52"/>
      <c r="Z124" s="53"/>
      <c r="AA124" s="51">
        <f t="shared" ref="AA124:AB124" si="393">SUM(AA116:AA123)</f>
        <v>77.5</v>
      </c>
      <c r="AB124" s="68">
        <f t="shared" si="393"/>
        <v>0</v>
      </c>
      <c r="AC124" s="53"/>
      <c r="AD124" s="53"/>
      <c r="AE124" s="51">
        <f t="shared" ref="AE124:AF124" si="394">SUM(AE116:AE123)</f>
        <v>4682.32</v>
      </c>
      <c r="AF124" s="68">
        <f t="shared" si="394"/>
        <v>0</v>
      </c>
      <c r="AG124" s="52"/>
      <c r="AH124" s="53"/>
      <c r="AI124" s="183">
        <f t="shared" ref="AI124:AJ124" si="395">SUM(AI116:AI123)</f>
        <v>496.2</v>
      </c>
      <c r="AJ124" s="51">
        <f t="shared" si="395"/>
        <v>4965.16</v>
      </c>
      <c r="AK124" s="52"/>
      <c r="AL124" s="53"/>
      <c r="AM124" s="183">
        <f t="shared" ref="AM124:AN124" si="396">SUM(AM116:AM123)</f>
        <v>421.04</v>
      </c>
      <c r="AN124" s="51">
        <f t="shared" si="396"/>
        <v>0</v>
      </c>
      <c r="AO124" s="52"/>
      <c r="AP124" s="53"/>
      <c r="AQ124" s="183">
        <f t="shared" ref="AQ124:AR124" si="397">SUM(AQ116:AQ123)</f>
        <v>2832.58</v>
      </c>
      <c r="AR124" s="51">
        <f t="shared" si="397"/>
        <v>0</v>
      </c>
      <c r="AS124" s="52"/>
      <c r="AT124" s="53"/>
      <c r="AU124" s="183">
        <f t="shared" ref="AU124:AV124" si="398">SUM(AU116:AU123)</f>
        <v>666.86</v>
      </c>
      <c r="AV124" s="68">
        <f t="shared" si="398"/>
        <v>0</v>
      </c>
      <c r="AW124" s="52"/>
      <c r="AX124" s="53"/>
      <c r="AY124" s="183">
        <f t="shared" ref="AY124:AZ124" si="399">SUM(AY116:AY123)</f>
        <v>540.8</v>
      </c>
      <c r="AZ124" s="68">
        <f t="shared" si="399"/>
        <v>2500</v>
      </c>
      <c r="BA124" s="52"/>
      <c r="BB124" s="53"/>
      <c r="BC124" s="183">
        <f t="shared" ref="BC124:BD124" si="400">SUM(BC116:BC123)</f>
        <v>18.2</v>
      </c>
      <c r="BD124" s="68">
        <f t="shared" si="400"/>
        <v>0</v>
      </c>
      <c r="BE124" s="69"/>
      <c r="BF124" s="70">
        <f t="shared" ref="BF124:BH124" si="401">SUM(BF116:BF123)</f>
        <v>9750.5</v>
      </c>
      <c r="BG124" s="71">
        <f t="shared" si="401"/>
        <v>7465.16</v>
      </c>
      <c r="BH124" s="72">
        <f t="shared" si="401"/>
        <v>2304</v>
      </c>
      <c r="BI124" s="34">
        <f>H124+BF124-BG124</f>
        <v>2304</v>
      </c>
      <c r="BJ124" s="34">
        <f>BH124-BI124</f>
        <v>0</v>
      </c>
      <c r="BK124" s="2" t="b">
        <f>H124='2019'!BH111</f>
        <v>0</v>
      </c>
    </row>
    <row r="125" ht="14.25" customHeight="1" hidden="1" spans="1:60" x14ac:dyDescent="0.25">
      <c r="A125" s="89" t="s">
        <v>96</v>
      </c>
      <c r="B125" s="14"/>
      <c r="D125" s="14" t="s">
        <v>379</v>
      </c>
      <c r="F125" s="13"/>
      <c r="G125" s="28"/>
      <c r="H125" s="182">
        <v>0</v>
      </c>
      <c r="I125" s="15"/>
      <c r="J125" s="15"/>
      <c r="K125" s="15"/>
      <c r="L125" s="28"/>
      <c r="M125" s="15"/>
      <c r="N125" s="15"/>
      <c r="O125" s="15"/>
      <c r="P125" s="15"/>
      <c r="Q125" s="13"/>
      <c r="R125" s="15"/>
      <c r="S125" s="15"/>
      <c r="T125" s="28"/>
      <c r="U125" s="15"/>
      <c r="V125" s="15"/>
      <c r="W125" s="15"/>
      <c r="X125" s="15"/>
      <c r="Y125" s="13"/>
      <c r="Z125" s="15"/>
      <c r="AA125" s="15"/>
      <c r="AB125" s="28"/>
      <c r="AC125" s="15"/>
      <c r="AD125" s="15"/>
      <c r="AE125" s="15"/>
      <c r="AF125" s="15"/>
      <c r="AG125" s="13"/>
      <c r="AH125" s="15"/>
      <c r="AI125" s="45"/>
      <c r="AJ125" s="15"/>
      <c r="AK125" s="13"/>
      <c r="AL125" s="15"/>
      <c r="AM125" s="45"/>
      <c r="AN125" s="15"/>
      <c r="AO125" s="13"/>
      <c r="AP125" s="15"/>
      <c r="AQ125" s="45"/>
      <c r="AR125" s="15"/>
      <c r="AS125" s="13"/>
      <c r="AT125" s="15"/>
      <c r="AU125" s="45"/>
      <c r="AV125" s="15"/>
      <c r="AW125" s="13"/>
      <c r="AY125" s="45"/>
      <c r="AZ125" s="28"/>
      <c r="BA125" s="13"/>
      <c r="BB125" s="15"/>
      <c r="BC125" s="45"/>
      <c r="BD125" s="28"/>
      <c r="BE125" s="14"/>
      <c r="BF125" s="41">
        <f t="shared" ref="BF125:BG125" si="402">K125+O125+S125+W125+AA125+AE125+AI125+AM125+AQ125+AU125+AY125+BC125</f>
        <v>0</v>
      </c>
      <c r="BG125" s="34">
        <f t="shared" si="402"/>
        <v>0</v>
      </c>
      <c r="BH125" s="35">
        <f t="shared" ref="BH125:BH132" si="403">H125+BF125-BG125</f>
        <v>0</v>
      </c>
    </row>
    <row r="126" ht="14.25" customHeight="1" hidden="1" spans="1:60" x14ac:dyDescent="0.25">
      <c r="A126" s="89" t="s">
        <v>96</v>
      </c>
      <c r="B126" s="42">
        <v>4</v>
      </c>
      <c r="C126" s="2" t="s">
        <v>492</v>
      </c>
      <c r="D126" s="14" t="s">
        <v>44</v>
      </c>
      <c r="E126" s="2" t="s">
        <v>45</v>
      </c>
      <c r="F126" s="41">
        <v>2.5</v>
      </c>
      <c r="G126" s="35">
        <v>2.6</v>
      </c>
      <c r="H126" s="182">
        <v>0</v>
      </c>
      <c r="I126" s="13"/>
      <c r="J126" s="15"/>
      <c r="K126" s="34">
        <f>J126*$F$8</f>
        <v>0</v>
      </c>
      <c r="L126" s="28"/>
      <c r="M126" s="15"/>
      <c r="N126" s="15"/>
      <c r="O126" s="34">
        <f>N126*$F$8</f>
        <v>0</v>
      </c>
      <c r="P126" s="15"/>
      <c r="Q126" s="13"/>
      <c r="R126" s="15">
        <f>Q126-M126</f>
        <v>0</v>
      </c>
      <c r="S126" s="34">
        <f>R126*$F$8</f>
        <v>0</v>
      </c>
      <c r="T126" s="28"/>
      <c r="U126" s="13"/>
      <c r="V126" s="15">
        <f t="shared" ref="V126:V127" si="404">U126-Q126</f>
        <v>0</v>
      </c>
      <c r="W126" s="34">
        <f>V126*$F$8</f>
        <v>0</v>
      </c>
      <c r="X126" s="15"/>
      <c r="Y126" s="13"/>
      <c r="Z126" s="15">
        <f t="shared" ref="Z126:Z127" si="405">Y126-U126</f>
        <v>0</v>
      </c>
      <c r="AA126" s="34">
        <f>Z126*$F$8</f>
        <v>0</v>
      </c>
      <c r="AB126" s="28"/>
      <c r="AC126" s="15"/>
      <c r="AD126" s="15">
        <f t="shared" ref="AD126:AD127" si="406">AC126-Y126</f>
        <v>0</v>
      </c>
      <c r="AE126" s="45">
        <f>AD126*$G$8</f>
        <v>0</v>
      </c>
      <c r="AF126" s="15"/>
      <c r="AG126" s="13"/>
      <c r="AH126" s="15">
        <f t="shared" ref="AH126:AH127" si="407">AG126-AC126</f>
        <v>0</v>
      </c>
      <c r="AI126" s="45">
        <f>AH126*$G$8</f>
        <v>0</v>
      </c>
      <c r="AJ126" s="15"/>
      <c r="AK126" s="13">
        <v>0</v>
      </c>
      <c r="AL126" s="15">
        <f t="shared" ref="AL126:AL127" si="408">AK126-AG126</f>
        <v>0</v>
      </c>
      <c r="AM126" s="45">
        <f>AL126*$G$8</f>
        <v>0</v>
      </c>
      <c r="AN126" s="15"/>
      <c r="AO126" s="13">
        <v>0</v>
      </c>
      <c r="AP126" s="15">
        <f t="shared" ref="AP126:AP127" si="409">AO126-AK126</f>
        <v>0</v>
      </c>
      <c r="AQ126" s="45">
        <f>AP126*$G$8</f>
        <v>0</v>
      </c>
      <c r="AR126" s="15"/>
      <c r="AS126" s="13">
        <v>0</v>
      </c>
      <c r="AT126" s="15">
        <f t="shared" ref="AT126:AT127" si="410">AS126-AO126</f>
        <v>0</v>
      </c>
      <c r="AU126" s="45">
        <f t="shared" ref="AU126:AU127" si="411">AT126*$G$8</f>
        <v>0</v>
      </c>
      <c r="AV126" s="15"/>
      <c r="AW126" s="13">
        <v>0</v>
      </c>
      <c r="AX126" s="2">
        <f t="shared" ref="AX126:AX127" si="412">AW126-AS126</f>
        <v>0</v>
      </c>
      <c r="AY126" s="45">
        <f>AX126*$G$8</f>
        <v>0</v>
      </c>
      <c r="AZ126" s="208"/>
      <c r="BA126" s="13">
        <v>0</v>
      </c>
      <c r="BB126" s="15">
        <f t="shared" ref="BB126:BB127" si="413">BA126-AW126</f>
        <v>0</v>
      </c>
      <c r="BC126" s="45">
        <f>BB126*$G$8</f>
        <v>0</v>
      </c>
      <c r="BD126" s="208"/>
      <c r="BE126" s="40">
        <f t="shared" ref="BE126:BG126" si="414">J126+N126+R126+V126+Z126+AD126+AH126+AL126+AP126+AT126+AX126+BB126</f>
        <v>0</v>
      </c>
      <c r="BF126" s="41">
        <f t="shared" si="414"/>
        <v>0</v>
      </c>
      <c r="BG126" s="34">
        <f t="shared" si="414"/>
        <v>0</v>
      </c>
      <c r="BH126" s="35">
        <f t="shared" si="403"/>
        <v>0</v>
      </c>
    </row>
    <row r="127" ht="14.25" customHeight="1" hidden="1" spans="1:60" x14ac:dyDescent="0.25">
      <c r="A127" s="89" t="s">
        <v>96</v>
      </c>
      <c r="B127" s="14"/>
      <c r="C127" s="2" t="s">
        <v>65</v>
      </c>
      <c r="D127" s="14" t="s">
        <v>47</v>
      </c>
      <c r="E127" s="2" t="s">
        <v>48</v>
      </c>
      <c r="F127" s="13">
        <v>18.56</v>
      </c>
      <c r="G127" s="35">
        <v>19.46</v>
      </c>
      <c r="H127" s="182">
        <v>0</v>
      </c>
      <c r="I127" s="13">
        <v>38</v>
      </c>
      <c r="J127" s="15"/>
      <c r="K127" s="15"/>
      <c r="L127" s="28"/>
      <c r="M127" s="15">
        <v>38</v>
      </c>
      <c r="N127" s="15"/>
      <c r="O127" s="15"/>
      <c r="P127" s="15"/>
      <c r="Q127" s="13">
        <v>38</v>
      </c>
      <c r="R127" s="15"/>
      <c r="S127" s="15"/>
      <c r="T127" s="28"/>
      <c r="U127" s="15">
        <v>38</v>
      </c>
      <c r="V127" s="15">
        <f t="shared" si="404"/>
        <v>0</v>
      </c>
      <c r="W127" s="34">
        <f>V127*$F$10</f>
        <v>0</v>
      </c>
      <c r="X127" s="15"/>
      <c r="Y127" s="13">
        <v>38</v>
      </c>
      <c r="Z127" s="15">
        <f t="shared" si="405"/>
        <v>0</v>
      </c>
      <c r="AA127" s="34">
        <f>Z127*$F$10</f>
        <v>0</v>
      </c>
      <c r="AB127" s="28"/>
      <c r="AC127" s="13">
        <v>38</v>
      </c>
      <c r="AD127" s="15">
        <f t="shared" si="406"/>
        <v>0</v>
      </c>
      <c r="AE127" s="34">
        <f>AD127*$F$10</f>
        <v>0</v>
      </c>
      <c r="AF127" s="15"/>
      <c r="AG127" s="13">
        <v>38</v>
      </c>
      <c r="AH127" s="15">
        <f t="shared" si="407"/>
        <v>0</v>
      </c>
      <c r="AI127" s="45">
        <f>AH127*$G$10</f>
        <v>0</v>
      </c>
      <c r="AJ127" s="15"/>
      <c r="AK127" s="13">
        <v>38</v>
      </c>
      <c r="AL127" s="15">
        <f t="shared" si="408"/>
        <v>0</v>
      </c>
      <c r="AM127" s="45">
        <f>AL127*$G$10</f>
        <v>0</v>
      </c>
      <c r="AN127" s="15"/>
      <c r="AO127" s="13">
        <v>38</v>
      </c>
      <c r="AP127" s="15">
        <f t="shared" si="409"/>
        <v>0</v>
      </c>
      <c r="AQ127" s="45">
        <f>AP127*$G$10</f>
        <v>0</v>
      </c>
      <c r="AR127" s="15"/>
      <c r="AS127" s="13">
        <v>38</v>
      </c>
      <c r="AT127" s="15">
        <f t="shared" si="410"/>
        <v>0</v>
      </c>
      <c r="AU127" s="45">
        <f t="shared" si="411"/>
        <v>0</v>
      </c>
      <c r="AV127" s="15"/>
      <c r="AW127" s="13">
        <v>38</v>
      </c>
      <c r="AX127" s="2">
        <f t="shared" si="412"/>
        <v>0</v>
      </c>
      <c r="AY127" s="45"/>
      <c r="AZ127" s="208"/>
      <c r="BA127" s="13">
        <v>38</v>
      </c>
      <c r="BB127" s="15">
        <f t="shared" si="413"/>
        <v>0</v>
      </c>
      <c r="BC127" s="45"/>
      <c r="BD127" s="208"/>
      <c r="BE127" s="40">
        <f t="shared" ref="BE127:BG127" si="415">J127+N127+R127+V127+Z127+AD127+AH127+AL127+AP127+AT127+AX127+BB127</f>
        <v>0</v>
      </c>
      <c r="BF127" s="41">
        <f t="shared" si="415"/>
        <v>0</v>
      </c>
      <c r="BG127" s="34">
        <f t="shared" si="415"/>
        <v>0</v>
      </c>
      <c r="BH127" s="35">
        <f t="shared" si="403"/>
        <v>0</v>
      </c>
    </row>
    <row r="128" ht="14.25" customHeight="1" hidden="1" spans="1:60" x14ac:dyDescent="0.25">
      <c r="A128" s="89" t="s">
        <v>96</v>
      </c>
      <c r="B128" s="14"/>
      <c r="C128" s="2" t="s">
        <v>115</v>
      </c>
      <c r="D128" s="14" t="s">
        <v>47</v>
      </c>
      <c r="E128" s="2" t="s">
        <v>49</v>
      </c>
      <c r="F128" s="41">
        <v>500</v>
      </c>
      <c r="G128" s="35"/>
      <c r="H128" s="182">
        <v>0</v>
      </c>
      <c r="I128" s="15"/>
      <c r="J128" s="15"/>
      <c r="K128" s="15"/>
      <c r="L128" s="28"/>
      <c r="M128" s="15"/>
      <c r="N128" s="15"/>
      <c r="O128" s="15"/>
      <c r="P128" s="15"/>
      <c r="Q128" s="13"/>
      <c r="R128" s="15"/>
      <c r="S128" s="15"/>
      <c r="T128" s="28"/>
      <c r="U128" s="15"/>
      <c r="V128" s="15"/>
      <c r="W128" s="15"/>
      <c r="X128" s="15"/>
      <c r="Y128" s="13"/>
      <c r="Z128" s="15"/>
      <c r="AA128" s="15"/>
      <c r="AB128" s="28"/>
      <c r="AC128" s="15"/>
      <c r="AD128" s="15"/>
      <c r="AE128" s="34"/>
      <c r="AF128" s="15"/>
      <c r="AG128" s="13"/>
      <c r="AH128" s="15"/>
      <c r="AI128" s="45"/>
      <c r="AJ128" s="15"/>
      <c r="AK128" s="13"/>
      <c r="AL128" s="15"/>
      <c r="AM128" s="45"/>
      <c r="AN128" s="15"/>
      <c r="AO128" s="13"/>
      <c r="AP128" s="15"/>
      <c r="AQ128" s="45"/>
      <c r="AR128" s="15"/>
      <c r="AS128" s="13"/>
      <c r="AT128" s="15"/>
      <c r="AU128" s="45"/>
      <c r="AV128" s="15"/>
      <c r="AW128" s="13"/>
      <c r="AY128" s="45"/>
      <c r="AZ128" s="28"/>
      <c r="BA128" s="13"/>
      <c r="BB128" s="15"/>
      <c r="BC128" s="45"/>
      <c r="BD128" s="28"/>
      <c r="BE128" s="14"/>
      <c r="BF128" s="41">
        <f t="shared" ref="BF128:BG128" si="416">K128+O128+S128+W128+AA128+AE128+AI128+AM128+AQ128+AU128+AY128+BC128</f>
        <v>0</v>
      </c>
      <c r="BG128" s="34">
        <f t="shared" si="416"/>
        <v>0</v>
      </c>
      <c r="BH128" s="35">
        <f t="shared" si="403"/>
        <v>0</v>
      </c>
    </row>
    <row r="129" ht="14.25" customHeight="1" hidden="1" spans="1:60" x14ac:dyDescent="0.25">
      <c r="A129" s="89" t="s">
        <v>96</v>
      </c>
      <c r="B129" s="14"/>
      <c r="C129" s="73" t="s">
        <v>493</v>
      </c>
      <c r="D129" s="14" t="s">
        <v>50</v>
      </c>
      <c r="E129" s="2" t="s">
        <v>49</v>
      </c>
      <c r="F129" s="41">
        <v>1100</v>
      </c>
      <c r="G129" s="35"/>
      <c r="H129" s="182">
        <v>0</v>
      </c>
      <c r="I129" s="15"/>
      <c r="J129" s="15"/>
      <c r="K129" s="15"/>
      <c r="L129" s="28"/>
      <c r="M129" s="15"/>
      <c r="N129" s="15"/>
      <c r="O129" s="15"/>
      <c r="P129" s="15"/>
      <c r="Q129" s="13"/>
      <c r="R129" s="15"/>
      <c r="S129" s="15"/>
      <c r="T129" s="28"/>
      <c r="U129" s="15"/>
      <c r="V129" s="15"/>
      <c r="W129" s="15"/>
      <c r="X129" s="15"/>
      <c r="Y129" s="13"/>
      <c r="Z129" s="15"/>
      <c r="AA129" s="15"/>
      <c r="AB129" s="28"/>
      <c r="AC129" s="15"/>
      <c r="AD129" s="15"/>
      <c r="AE129" s="34">
        <f>B126*$F$12</f>
        <v>4400</v>
      </c>
      <c r="AF129" s="15"/>
      <c r="AG129" s="13"/>
      <c r="AH129" s="15"/>
      <c r="AI129" s="45"/>
      <c r="AJ129" s="39">
        <v>4400</v>
      </c>
      <c r="AK129" s="13"/>
      <c r="AL129" s="15"/>
      <c r="AM129" s="45"/>
      <c r="AN129" s="15"/>
      <c r="AO129" s="13"/>
      <c r="AP129" s="15"/>
      <c r="AQ129" s="45"/>
      <c r="AR129" s="15"/>
      <c r="AS129" s="13"/>
      <c r="AT129" s="15"/>
      <c r="AU129" s="45"/>
      <c r="AV129" s="15"/>
      <c r="AW129" s="13"/>
      <c r="AY129" s="45"/>
      <c r="AZ129" s="28"/>
      <c r="BA129" s="13"/>
      <c r="BB129" s="15"/>
      <c r="BC129" s="45"/>
      <c r="BD129" s="28"/>
      <c r="BE129" s="14"/>
      <c r="BF129" s="41">
        <f t="shared" ref="BF129:BG129" si="417">K129+O129+S129+W129+AA129+AE129+AI129+AM129+AQ129+AU129+AY129+BC129</f>
        <v>4400</v>
      </c>
      <c r="BG129" s="34">
        <f t="shared" si="417"/>
        <v>4400</v>
      </c>
      <c r="BH129" s="35">
        <f t="shared" si="403"/>
        <v>0</v>
      </c>
    </row>
    <row r="130" ht="14.25" customHeight="1" hidden="1" spans="1:60" x14ac:dyDescent="0.25">
      <c r="A130" s="89" t="s">
        <v>96</v>
      </c>
      <c r="B130" s="14"/>
      <c r="D130" s="14" t="s">
        <v>51</v>
      </c>
      <c r="E130" s="2" t="s">
        <v>39</v>
      </c>
      <c r="F130" s="41">
        <v>500</v>
      </c>
      <c r="G130" s="35"/>
      <c r="H130" s="182">
        <v>0</v>
      </c>
      <c r="I130" s="15"/>
      <c r="J130" s="15"/>
      <c r="K130" s="15"/>
      <c r="L130" s="28"/>
      <c r="M130" s="15"/>
      <c r="N130" s="15"/>
      <c r="O130" s="15"/>
      <c r="P130" s="15"/>
      <c r="Q130" s="13"/>
      <c r="R130" s="15"/>
      <c r="S130" s="15"/>
      <c r="T130" s="28"/>
      <c r="U130" s="15"/>
      <c r="V130" s="15"/>
      <c r="W130" s="15"/>
      <c r="X130" s="15"/>
      <c r="Y130" s="13"/>
      <c r="Z130" s="15"/>
      <c r="AA130" s="15"/>
      <c r="AB130" s="28"/>
      <c r="AC130" s="15"/>
      <c r="AD130" s="15"/>
      <c r="AE130" s="34"/>
      <c r="AF130" s="15"/>
      <c r="AG130" s="13"/>
      <c r="AH130" s="15"/>
      <c r="AI130" s="45"/>
      <c r="AJ130" s="15"/>
      <c r="AK130" s="13"/>
      <c r="AL130" s="15"/>
      <c r="AM130" s="45"/>
      <c r="AN130" s="15"/>
      <c r="AO130" s="13"/>
      <c r="AP130" s="15"/>
      <c r="AQ130" s="45">
        <f>$F$13</f>
        <v>500</v>
      </c>
      <c r="AR130" s="15"/>
      <c r="AS130" s="13"/>
      <c r="AT130" s="15"/>
      <c r="AU130" s="45"/>
      <c r="AV130" s="15"/>
      <c r="AW130" s="13"/>
      <c r="AY130" s="45"/>
      <c r="AZ130" s="28"/>
      <c r="BA130" s="13"/>
      <c r="BB130" s="15"/>
      <c r="BC130" s="45"/>
      <c r="BD130" s="28"/>
      <c r="BE130" s="14"/>
      <c r="BF130" s="41">
        <f t="shared" ref="BF130:BG130" si="418">K130+O130+S130+W130+AA130+AE130+AI130+AM130+AQ130+AU130+AY130+BC130</f>
        <v>500</v>
      </c>
      <c r="BG130" s="34">
        <f t="shared" si="418"/>
        <v>0</v>
      </c>
      <c r="BH130" s="35">
        <f t="shared" si="403"/>
        <v>500</v>
      </c>
    </row>
    <row r="131" ht="14.25" customHeight="1" hidden="1" spans="1:60" x14ac:dyDescent="0.25">
      <c r="A131" s="89" t="s">
        <v>96</v>
      </c>
      <c r="B131" s="14"/>
      <c r="D131" s="14" t="s">
        <v>51</v>
      </c>
      <c r="E131" s="2" t="s">
        <v>49</v>
      </c>
      <c r="F131" s="41">
        <v>500</v>
      </c>
      <c r="G131" s="35"/>
      <c r="H131" s="182"/>
      <c r="I131" s="15"/>
      <c r="J131" s="15"/>
      <c r="K131" s="15"/>
      <c r="L131" s="28"/>
      <c r="M131" s="15"/>
      <c r="N131" s="15"/>
      <c r="O131" s="15"/>
      <c r="P131" s="15"/>
      <c r="Q131" s="13"/>
      <c r="R131" s="15"/>
      <c r="S131" s="15"/>
      <c r="T131" s="28"/>
      <c r="U131" s="15"/>
      <c r="V131" s="15"/>
      <c r="W131" s="15"/>
      <c r="X131" s="15"/>
      <c r="Y131" s="13"/>
      <c r="Z131" s="15"/>
      <c r="AA131" s="15"/>
      <c r="AB131" s="28"/>
      <c r="AC131" s="15"/>
      <c r="AD131" s="15"/>
      <c r="AE131" s="34"/>
      <c r="AF131" s="15"/>
      <c r="AG131" s="13"/>
      <c r="AH131" s="15"/>
      <c r="AI131" s="45"/>
      <c r="AJ131" s="15"/>
      <c r="AK131" s="13"/>
      <c r="AL131" s="15"/>
      <c r="AM131" s="45"/>
      <c r="AN131" s="15"/>
      <c r="AO131" s="13"/>
      <c r="AP131" s="15"/>
      <c r="AQ131" s="34">
        <f>B126*$F$14</f>
        <v>2000</v>
      </c>
      <c r="AR131" s="15"/>
      <c r="AS131" s="13"/>
      <c r="AT131" s="15"/>
      <c r="AU131" s="45"/>
      <c r="AV131" s="15"/>
      <c r="AW131" s="13"/>
      <c r="AY131" s="45"/>
      <c r="AZ131" s="28"/>
      <c r="BA131" s="13"/>
      <c r="BB131" s="15"/>
      <c r="BC131" s="45"/>
      <c r="BD131" s="28"/>
      <c r="BE131" s="14"/>
      <c r="BF131" s="41">
        <f t="shared" ref="BF131:BG131" si="419">K131+O131+S131+W131+AA131+AE131+AI131+AM131+AQ131+AU131+AY131+BC131</f>
        <v>2000</v>
      </c>
      <c r="BG131" s="34">
        <f t="shared" si="419"/>
        <v>0</v>
      </c>
      <c r="BH131" s="35">
        <f t="shared" si="403"/>
        <v>2000</v>
      </c>
    </row>
    <row r="132" ht="14.25" customHeight="1" hidden="1" spans="1:60" x14ac:dyDescent="0.25">
      <c r="A132" s="89" t="s">
        <v>96</v>
      </c>
      <c r="B132" s="14"/>
      <c r="D132" s="14" t="s">
        <v>52</v>
      </c>
      <c r="E132" s="2" t="s">
        <v>39</v>
      </c>
      <c r="F132" s="41">
        <v>500</v>
      </c>
      <c r="G132" s="35"/>
      <c r="H132" s="182">
        <v>0</v>
      </c>
      <c r="I132" s="15"/>
      <c r="J132" s="15"/>
      <c r="K132" s="15"/>
      <c r="L132" s="28"/>
      <c r="M132" s="15"/>
      <c r="N132" s="15"/>
      <c r="O132" s="15"/>
      <c r="P132" s="15"/>
      <c r="Q132" s="13"/>
      <c r="R132" s="15"/>
      <c r="S132" s="15"/>
      <c r="T132" s="28"/>
      <c r="U132" s="15"/>
      <c r="V132" s="15"/>
      <c r="W132" s="15"/>
      <c r="X132" s="15"/>
      <c r="Y132" s="13"/>
      <c r="Z132" s="15"/>
      <c r="AA132" s="77"/>
      <c r="AB132" s="28"/>
      <c r="AC132" s="15"/>
      <c r="AD132" s="15"/>
      <c r="AE132" s="15"/>
      <c r="AF132" s="34"/>
      <c r="AG132" s="13"/>
      <c r="AH132" s="15"/>
      <c r="AI132" s="45"/>
      <c r="AJ132" s="15"/>
      <c r="AK132" s="13"/>
      <c r="AL132" s="15"/>
      <c r="AM132" s="45"/>
      <c r="AN132" s="15"/>
      <c r="AO132" s="13"/>
      <c r="AP132" s="15"/>
      <c r="AQ132" s="45"/>
      <c r="AR132" s="15"/>
      <c r="AS132" s="13"/>
      <c r="AT132" s="15"/>
      <c r="AU132" s="45"/>
      <c r="AV132" s="15"/>
      <c r="AW132" s="13"/>
      <c r="AY132" s="45"/>
      <c r="AZ132" s="35"/>
      <c r="BA132" s="13"/>
      <c r="BB132" s="15"/>
      <c r="BC132" s="45"/>
      <c r="BD132" s="35"/>
      <c r="BE132" s="14"/>
      <c r="BF132" s="41">
        <f t="shared" ref="BF132:BG132" si="420">K132+O132+S132+W132+AA132+AE132+AI132+AM132+AQ132+AU132+AY132+BC132</f>
        <v>0</v>
      </c>
      <c r="BG132" s="34">
        <f t="shared" si="420"/>
        <v>0</v>
      </c>
      <c r="BH132" s="35">
        <f t="shared" si="403"/>
        <v>0</v>
      </c>
    </row>
    <row r="133" ht="14.25" customHeight="1" hidden="1" spans="1:62" x14ac:dyDescent="0.25">
      <c r="A133" s="89" t="s">
        <v>96</v>
      </c>
      <c r="B133" s="21"/>
      <c r="C133" s="22" t="s">
        <v>53</v>
      </c>
      <c r="D133" s="21"/>
      <c r="E133" s="22"/>
      <c r="F133" s="20"/>
      <c r="G133" s="23"/>
      <c r="H133" s="51">
        <f>SUM(H125:H132)</f>
        <v>0</v>
      </c>
      <c r="I133" s="53"/>
      <c r="J133" s="53"/>
      <c r="K133" s="51">
        <f t="shared" ref="K133:L133" si="421">SUM(K125:K132)</f>
        <v>0</v>
      </c>
      <c r="L133" s="68">
        <f t="shared" si="421"/>
        <v>0</v>
      </c>
      <c r="M133" s="53"/>
      <c r="N133" s="53"/>
      <c r="O133" s="51">
        <f t="shared" ref="O133:P133" si="422">SUM(O125:O132)</f>
        <v>0</v>
      </c>
      <c r="P133" s="68">
        <f t="shared" si="422"/>
        <v>0</v>
      </c>
      <c r="Q133" s="52"/>
      <c r="R133" s="53"/>
      <c r="S133" s="51">
        <f t="shared" ref="S133:T133" si="423">SUM(S125:S132)</f>
        <v>0</v>
      </c>
      <c r="T133" s="68">
        <f t="shared" si="423"/>
        <v>0</v>
      </c>
      <c r="U133" s="53"/>
      <c r="V133" s="53"/>
      <c r="W133" s="51">
        <f t="shared" ref="W133:X133" si="424">SUM(W125:W132)</f>
        <v>0</v>
      </c>
      <c r="X133" s="68">
        <f t="shared" si="424"/>
        <v>0</v>
      </c>
      <c r="Y133" s="52"/>
      <c r="Z133" s="53"/>
      <c r="AA133" s="51">
        <f t="shared" ref="AA133:AB133" si="425">SUM(AA125:AA132)</f>
        <v>0</v>
      </c>
      <c r="AB133" s="68">
        <f t="shared" si="425"/>
        <v>0</v>
      </c>
      <c r="AC133" s="53"/>
      <c r="AD133" s="53"/>
      <c r="AE133" s="51">
        <f t="shared" ref="AE133:AF133" si="426">SUM(AE125:AE132)</f>
        <v>4400</v>
      </c>
      <c r="AF133" s="68">
        <f t="shared" si="426"/>
        <v>0</v>
      </c>
      <c r="AG133" s="52"/>
      <c r="AH133" s="53"/>
      <c r="AI133" s="183">
        <f t="shared" ref="AI133:AJ133" si="427">SUM(AI125:AI132)</f>
        <v>0</v>
      </c>
      <c r="AJ133" s="51">
        <f t="shared" si="427"/>
        <v>4400</v>
      </c>
      <c r="AK133" s="52"/>
      <c r="AL133" s="53"/>
      <c r="AM133" s="183">
        <f t="shared" ref="AM133:AN133" si="428">SUM(AM125:AM132)</f>
        <v>0</v>
      </c>
      <c r="AN133" s="51">
        <f t="shared" si="428"/>
        <v>0</v>
      </c>
      <c r="AO133" s="52"/>
      <c r="AP133" s="53"/>
      <c r="AQ133" s="183">
        <f t="shared" ref="AQ133:AR133" si="429">SUM(AQ125:AQ132)</f>
        <v>2500</v>
      </c>
      <c r="AR133" s="51">
        <f t="shared" si="429"/>
        <v>0</v>
      </c>
      <c r="AS133" s="52"/>
      <c r="AT133" s="53"/>
      <c r="AU133" s="183">
        <f t="shared" ref="AU133:AV133" si="430">SUM(AU125:AU132)</f>
        <v>0</v>
      </c>
      <c r="AV133" s="68">
        <f t="shared" si="430"/>
        <v>0</v>
      </c>
      <c r="AW133" s="52"/>
      <c r="AX133" s="53"/>
      <c r="AY133" s="183">
        <f t="shared" ref="AY133:AZ133" si="431">SUM(AY125:AY132)</f>
        <v>0</v>
      </c>
      <c r="AZ133" s="68">
        <f t="shared" si="431"/>
        <v>0</v>
      </c>
      <c r="BA133" s="52"/>
      <c r="BB133" s="53"/>
      <c r="BC133" s="183">
        <f t="shared" ref="BC133:BD133" si="432">SUM(BC125:BC132)</f>
        <v>0</v>
      </c>
      <c r="BD133" s="68">
        <f t="shared" si="432"/>
        <v>0</v>
      </c>
      <c r="BE133" s="69"/>
      <c r="BF133" s="70">
        <f t="shared" ref="BF133:BH133" si="433">SUM(BF125:BF132)</f>
        <v>6900</v>
      </c>
      <c r="BG133" s="71">
        <f t="shared" si="433"/>
        <v>4400</v>
      </c>
      <c r="BH133" s="72">
        <f t="shared" si="433"/>
        <v>2500</v>
      </c>
      <c r="BI133" s="34">
        <f>H133+BF133-BG133</f>
        <v>2500</v>
      </c>
      <c r="BJ133" s="34">
        <f>BH133-BI133</f>
        <v>0</v>
      </c>
    </row>
    <row r="134" ht="14.25" customHeight="1" hidden="1" spans="1:63" x14ac:dyDescent="0.25">
      <c r="A134" s="175">
        <v>14</v>
      </c>
      <c r="B134" s="14"/>
      <c r="D134" s="14" t="s">
        <v>379</v>
      </c>
      <c r="F134" s="13"/>
      <c r="G134" s="28"/>
      <c r="H134" s="34">
        <f>'2019'!BH112</f>
        <v>0</v>
      </c>
      <c r="I134" s="15"/>
      <c r="J134" s="15"/>
      <c r="K134" s="15"/>
      <c r="L134" s="28"/>
      <c r="M134" s="15"/>
      <c r="N134" s="15"/>
      <c r="O134" s="15"/>
      <c r="P134" s="15"/>
      <c r="Q134" s="13"/>
      <c r="R134" s="15"/>
      <c r="S134" s="15"/>
      <c r="T134" s="28"/>
      <c r="U134" s="15"/>
      <c r="V134" s="15"/>
      <c r="W134" s="15"/>
      <c r="X134" s="15"/>
      <c r="Y134" s="13"/>
      <c r="Z134" s="15"/>
      <c r="AA134" s="15"/>
      <c r="AB134" s="28"/>
      <c r="AC134" s="15"/>
      <c r="AD134" s="15"/>
      <c r="AE134" s="15"/>
      <c r="AF134" s="15"/>
      <c r="AG134" s="13"/>
      <c r="AH134" s="15"/>
      <c r="AI134" s="45"/>
      <c r="AJ134" s="15"/>
      <c r="AK134" s="13"/>
      <c r="AL134" s="15"/>
      <c r="AM134" s="45"/>
      <c r="AN134" s="15"/>
      <c r="AO134" s="13"/>
      <c r="AP134" s="15"/>
      <c r="AQ134" s="45"/>
      <c r="AR134" s="15"/>
      <c r="AS134" s="13"/>
      <c r="AT134" s="15"/>
      <c r="AU134" s="45"/>
      <c r="AV134" s="15"/>
      <c r="AW134" s="13"/>
      <c r="AY134" s="45"/>
      <c r="AZ134" s="28"/>
      <c r="BA134" s="13"/>
      <c r="BB134" s="15"/>
      <c r="BC134" s="45"/>
      <c r="BD134" s="28"/>
      <c r="BE134" s="14"/>
      <c r="BF134" s="41">
        <f t="shared" ref="BF134:BG134" si="434">K134+O134+S134+W134+AA134+AE134+AI134+AM134+AQ134+AU134+AY134+BC134</f>
        <v>0</v>
      </c>
      <c r="BG134" s="34">
        <f t="shared" si="434"/>
        <v>0</v>
      </c>
      <c r="BH134" s="35">
        <f t="shared" ref="BH134:BH141" si="435">H134+BF134-BG134</f>
        <v>0</v>
      </c>
      <c r="BK134" s="2" t="b">
        <f>H134='2019'!BH112</f>
        <v>1</v>
      </c>
    </row>
    <row r="135" ht="14.25" customHeight="1" hidden="1" spans="1:63" x14ac:dyDescent="0.25">
      <c r="A135" s="176">
        <v>14</v>
      </c>
      <c r="B135" s="14">
        <v>4.02</v>
      </c>
      <c r="C135" s="15" t="s">
        <v>100</v>
      </c>
      <c r="D135" s="14" t="s">
        <v>44</v>
      </c>
      <c r="E135" s="2" t="s">
        <v>45</v>
      </c>
      <c r="F135" s="41">
        <v>2.5</v>
      </c>
      <c r="G135" s="35">
        <v>2.6</v>
      </c>
      <c r="H135" s="104">
        <f>'2019'!BH113</f>
        <v>0</v>
      </c>
      <c r="I135" s="15"/>
      <c r="J135" s="15"/>
      <c r="K135" s="34">
        <f>J135*$F$8</f>
        <v>0</v>
      </c>
      <c r="L135" s="28"/>
      <c r="M135" s="15"/>
      <c r="N135" s="15"/>
      <c r="O135" s="34">
        <f>N135*$F$8</f>
        <v>0</v>
      </c>
      <c r="P135" s="15"/>
      <c r="Q135" s="13"/>
      <c r="R135" s="15">
        <f>Q135-M135</f>
        <v>0</v>
      </c>
      <c r="S135" s="34">
        <f>R135*$F$8</f>
        <v>0</v>
      </c>
      <c r="T135" s="28"/>
      <c r="U135" s="15"/>
      <c r="V135" s="15">
        <f>U135-Q135</f>
        <v>0</v>
      </c>
      <c r="W135" s="34">
        <f>V135*$F$8</f>
        <v>0</v>
      </c>
      <c r="X135" s="15"/>
      <c r="Y135" s="13"/>
      <c r="Z135" s="15">
        <f>Y135-U135</f>
        <v>0</v>
      </c>
      <c r="AA135" s="34">
        <f>Z135*$F$8</f>
        <v>0</v>
      </c>
      <c r="AB135" s="28"/>
      <c r="AC135" s="15"/>
      <c r="AD135" s="15">
        <f>AC135-Y135</f>
        <v>0</v>
      </c>
      <c r="AE135" s="45">
        <f>AD135*$G$8</f>
        <v>0</v>
      </c>
      <c r="AF135" s="15"/>
      <c r="AG135" s="13"/>
      <c r="AH135" s="15">
        <f>AG135-AC135</f>
        <v>0</v>
      </c>
      <c r="AI135" s="45">
        <f>AH135*$G$8</f>
        <v>0</v>
      </c>
      <c r="AJ135" s="15"/>
      <c r="AK135" s="13">
        <v>0</v>
      </c>
      <c r="AL135" s="15">
        <f t="shared" ref="AL135:AL136" si="436">AK135-AG135</f>
        <v>0</v>
      </c>
      <c r="AM135" s="45">
        <f>AL135*$G$8</f>
        <v>0</v>
      </c>
      <c r="AN135" s="15"/>
      <c r="AO135" s="13">
        <v>0</v>
      </c>
      <c r="AP135" s="15">
        <f t="shared" ref="AP135:AP136" si="437">AO135-AK135</f>
        <v>0</v>
      </c>
      <c r="AQ135" s="45">
        <f>AP135*$G$8</f>
        <v>0</v>
      </c>
      <c r="AR135" s="15"/>
      <c r="AS135" s="13">
        <v>0</v>
      </c>
      <c r="AT135" s="15">
        <f t="shared" ref="AT135:AT136" si="438">AS135-AO135</f>
        <v>0</v>
      </c>
      <c r="AU135" s="45">
        <f>AT135*$G$8</f>
        <v>0</v>
      </c>
      <c r="AV135" s="15"/>
      <c r="AW135" s="13">
        <v>0</v>
      </c>
      <c r="AX135" s="2">
        <f t="shared" ref="AX135:AX136" si="439">AW135-AS135</f>
        <v>0</v>
      </c>
      <c r="AY135" s="45">
        <f>AX135*$G$8</f>
        <v>0</v>
      </c>
      <c r="AZ135" s="208"/>
      <c r="BA135" s="13">
        <v>0</v>
      </c>
      <c r="BB135" s="15">
        <f t="shared" ref="BB135:BB136" si="440">BA135-AW135</f>
        <v>0</v>
      </c>
      <c r="BC135" s="45">
        <f>BB135*$G$8</f>
        <v>0</v>
      </c>
      <c r="BD135" s="208"/>
      <c r="BE135" s="40">
        <f t="shared" ref="BE135:BG135" si="441">J135+N135+R135+V135+Z135+AD135+AH135+AL135+AP135+AT135+AX135+BB135</f>
        <v>0</v>
      </c>
      <c r="BF135" s="41">
        <f t="shared" si="441"/>
        <v>0</v>
      </c>
      <c r="BG135" s="34">
        <f t="shared" si="441"/>
        <v>0</v>
      </c>
      <c r="BH135" s="35">
        <f t="shared" si="435"/>
        <v>0</v>
      </c>
      <c r="BK135" s="2" t="b">
        <f>H135='2019'!BH113</f>
        <v>1</v>
      </c>
    </row>
    <row r="136" ht="14.25" customHeight="1" hidden="1" spans="1:63" x14ac:dyDescent="0.25">
      <c r="A136" s="176">
        <v>14</v>
      </c>
      <c r="B136" s="14"/>
      <c r="C136" s="2" t="s">
        <v>101</v>
      </c>
      <c r="D136" s="14" t="s">
        <v>47</v>
      </c>
      <c r="E136" s="2" t="s">
        <v>48</v>
      </c>
      <c r="F136" s="13">
        <v>18.56</v>
      </c>
      <c r="G136" s="35">
        <v>19.46</v>
      </c>
      <c r="H136" s="34">
        <f>'2019'!BH114</f>
        <v>0</v>
      </c>
      <c r="I136" s="15"/>
      <c r="J136" s="15"/>
      <c r="K136" s="15"/>
      <c r="L136" s="28"/>
      <c r="M136" s="15"/>
      <c r="N136" s="15"/>
      <c r="O136" s="15"/>
      <c r="P136" s="15"/>
      <c r="Q136" s="13"/>
      <c r="R136" s="15"/>
      <c r="S136" s="15"/>
      <c r="T136" s="28"/>
      <c r="U136" s="81">
        <v>466</v>
      </c>
      <c r="V136" s="15">
        <v>0</v>
      </c>
      <c r="W136" s="34">
        <f>V136*$F$10</f>
        <v>0</v>
      </c>
      <c r="X136" s="15"/>
      <c r="Y136" s="95">
        <v>468</v>
      </c>
      <c r="Z136" s="15">
        <v>2</v>
      </c>
      <c r="AA136" s="34">
        <f>Z136*$F$10</f>
        <v>37.12</v>
      </c>
      <c r="AB136" s="28"/>
      <c r="AC136" s="15">
        <v>470</v>
      </c>
      <c r="AD136" s="15">
        <v>2</v>
      </c>
      <c r="AE136" s="34">
        <f>AD136*$F$10</f>
        <v>37.12</v>
      </c>
      <c r="AF136" s="133">
        <f>74.24+103.76</f>
        <v>178</v>
      </c>
      <c r="AG136" s="13">
        <v>475</v>
      </c>
      <c r="AH136" s="15">
        <v>2</v>
      </c>
      <c r="AI136" s="45">
        <f>AH136*$G$10</f>
        <v>38.92</v>
      </c>
      <c r="AJ136" s="15"/>
      <c r="AK136" s="13">
        <v>477</v>
      </c>
      <c r="AL136" s="15">
        <f t="shared" si="436"/>
        <v>2</v>
      </c>
      <c r="AM136" s="45">
        <f>AL136*$G$10</f>
        <v>38.92</v>
      </c>
      <c r="AN136" s="15"/>
      <c r="AO136" s="13">
        <v>477</v>
      </c>
      <c r="AP136" s="15">
        <f t="shared" si="437"/>
        <v>0</v>
      </c>
      <c r="AQ136" s="45">
        <f>AP136*$G$10</f>
        <v>0</v>
      </c>
      <c r="AR136" s="15"/>
      <c r="AS136" s="13">
        <v>477</v>
      </c>
      <c r="AT136" s="15">
        <f t="shared" si="438"/>
        <v>0</v>
      </c>
      <c r="AU136" s="45">
        <f>AT136*$G$10</f>
        <v>0</v>
      </c>
      <c r="AV136" s="15"/>
      <c r="AW136" s="13">
        <v>477</v>
      </c>
      <c r="AX136" s="2">
        <f t="shared" si="439"/>
        <v>0</v>
      </c>
      <c r="AY136" s="45"/>
      <c r="AZ136" s="208"/>
      <c r="BA136" s="13">
        <v>477</v>
      </c>
      <c r="BB136" s="15">
        <f t="shared" si="440"/>
        <v>0</v>
      </c>
      <c r="BC136" s="45"/>
      <c r="BD136" s="208"/>
      <c r="BE136" s="40">
        <f t="shared" ref="BE136:BG136" si="442">J136+N136+R136+V136+Z136+AD136+AH136+AL136+AP136+AT136+AX136+BB136</f>
        <v>8</v>
      </c>
      <c r="BF136" s="41">
        <f t="shared" si="442"/>
        <v>152.08</v>
      </c>
      <c r="BG136" s="34">
        <f t="shared" si="442"/>
        <v>178</v>
      </c>
      <c r="BH136" s="35">
        <f t="shared" si="435"/>
        <v>-25.92</v>
      </c>
      <c r="BK136" s="2" t="b">
        <f>H136='2019'!BH114</f>
        <v>1</v>
      </c>
    </row>
    <row r="137" ht="14.25" customHeight="1" hidden="1" spans="1:63" x14ac:dyDescent="0.25">
      <c r="A137" s="176">
        <v>14</v>
      </c>
      <c r="B137" s="14"/>
      <c r="C137" s="2" t="s">
        <v>102</v>
      </c>
      <c r="D137" s="14" t="s">
        <v>47</v>
      </c>
      <c r="E137" s="2" t="s">
        <v>49</v>
      </c>
      <c r="F137" s="41">
        <v>500</v>
      </c>
      <c r="G137" s="35"/>
      <c r="H137" s="34">
        <f>'2019'!BH115</f>
        <v>0</v>
      </c>
      <c r="I137" s="15"/>
      <c r="J137" s="15"/>
      <c r="K137" s="15"/>
      <c r="L137" s="28"/>
      <c r="M137" s="15"/>
      <c r="N137" s="15"/>
      <c r="O137" s="15"/>
      <c r="P137" s="15"/>
      <c r="Q137" s="13"/>
      <c r="R137" s="15"/>
      <c r="S137" s="15"/>
      <c r="T137" s="28"/>
      <c r="U137" s="15"/>
      <c r="V137" s="15"/>
      <c r="W137" s="15"/>
      <c r="X137" s="15"/>
      <c r="Y137" s="13"/>
      <c r="Z137" s="15"/>
      <c r="AA137" s="34"/>
      <c r="AB137" s="28"/>
      <c r="AC137" s="15"/>
      <c r="AD137" s="15"/>
      <c r="AE137" s="34"/>
      <c r="AF137" s="34"/>
      <c r="AG137" s="13"/>
      <c r="AH137" s="15"/>
      <c r="AI137" s="45"/>
      <c r="AJ137" s="39"/>
      <c r="AK137" s="13"/>
      <c r="AL137" s="15"/>
      <c r="AM137" s="45"/>
      <c r="AN137" s="15"/>
      <c r="AO137" s="13"/>
      <c r="AP137" s="15"/>
      <c r="AQ137" s="45"/>
      <c r="AR137" s="15"/>
      <c r="AS137" s="13"/>
      <c r="AT137" s="15"/>
      <c r="AU137" s="45"/>
      <c r="AV137" s="15"/>
      <c r="AW137" s="13"/>
      <c r="AY137" s="45"/>
      <c r="AZ137" s="28"/>
      <c r="BA137" s="13"/>
      <c r="BB137" s="15"/>
      <c r="BC137" s="45"/>
      <c r="BD137" s="28"/>
      <c r="BE137" s="14"/>
      <c r="BF137" s="41">
        <f t="shared" ref="BF137:BG137" si="443">K137+O137+S137+W137+AA137+AE137+AI137+AM137+AQ137+AU137+AY137+BC137</f>
        <v>0</v>
      </c>
      <c r="BG137" s="34">
        <f t="shared" si="443"/>
        <v>0</v>
      </c>
      <c r="BH137" s="35">
        <f t="shared" si="435"/>
        <v>0</v>
      </c>
      <c r="BK137" s="2" t="b">
        <f>H137='2019'!BH115</f>
        <v>1</v>
      </c>
    </row>
    <row r="138" ht="14.25" customHeight="1" hidden="1" spans="1:63" x14ac:dyDescent="0.25">
      <c r="A138" s="176">
        <v>14</v>
      </c>
      <c r="B138" s="14"/>
      <c r="C138" s="15" t="s">
        <v>387</v>
      </c>
      <c r="D138" s="14" t="s">
        <v>50</v>
      </c>
      <c r="E138" s="2" t="s">
        <v>49</v>
      </c>
      <c r="F138" s="41">
        <v>1100</v>
      </c>
      <c r="G138" s="35"/>
      <c r="H138" s="182">
        <f>'2019'!BH116+0.0024</f>
        <v>0</v>
      </c>
      <c r="I138" s="15"/>
      <c r="J138" s="15"/>
      <c r="K138" s="15"/>
      <c r="L138" s="28"/>
      <c r="M138" s="15"/>
      <c r="N138" s="15"/>
      <c r="O138" s="15"/>
      <c r="P138" s="15"/>
      <c r="Q138" s="13"/>
      <c r="R138" s="15"/>
      <c r="S138" s="15"/>
      <c r="T138" s="28"/>
      <c r="U138" s="15"/>
      <c r="V138" s="15"/>
      <c r="W138" s="15"/>
      <c r="X138" s="15"/>
      <c r="Y138" s="13"/>
      <c r="Z138" s="15"/>
      <c r="AA138" s="15"/>
      <c r="AB138" s="28"/>
      <c r="AC138" s="15"/>
      <c r="AD138" s="15"/>
      <c r="AE138" s="34">
        <f>B135*$F$12</f>
        <v>4422</v>
      </c>
      <c r="AF138" s="133">
        <v>4422</v>
      </c>
      <c r="AG138" s="13"/>
      <c r="AH138" s="15"/>
      <c r="AI138" s="45"/>
      <c r="AJ138" s="15"/>
      <c r="AK138" s="13"/>
      <c r="AL138" s="15"/>
      <c r="AM138" s="45"/>
      <c r="AN138" s="15"/>
      <c r="AO138" s="13"/>
      <c r="AP138" s="15"/>
      <c r="AQ138" s="45"/>
      <c r="AR138" s="15"/>
      <c r="AS138" s="13"/>
      <c r="AT138" s="15"/>
      <c r="AU138" s="45"/>
      <c r="AV138" s="15"/>
      <c r="AW138" s="13"/>
      <c r="AY138" s="45"/>
      <c r="AZ138" s="28"/>
      <c r="BA138" s="13"/>
      <c r="BB138" s="15"/>
      <c r="BC138" s="45"/>
      <c r="BD138" s="28"/>
      <c r="BE138" s="14"/>
      <c r="BF138" s="41">
        <f t="shared" ref="BF138:BG138" si="444">K138+O138+S138+W138+AA138+AE138+AI138+AM138+AQ138+AU138+AY138+BC138</f>
        <v>4422</v>
      </c>
      <c r="BG138" s="34">
        <f t="shared" si="444"/>
        <v>4422</v>
      </c>
      <c r="BH138" s="35">
        <f t="shared" si="435"/>
        <v>0</v>
      </c>
      <c r="BK138" s="2" t="b">
        <f>H138='2019'!BH116</f>
        <v>0</v>
      </c>
    </row>
    <row r="139" ht="14.25" customHeight="1" hidden="1" spans="1:63" x14ac:dyDescent="0.25">
      <c r="A139" s="176">
        <v>14</v>
      </c>
      <c r="B139" s="14"/>
      <c r="C139" s="15" t="s">
        <v>388</v>
      </c>
      <c r="D139" s="14" t="s">
        <v>51</v>
      </c>
      <c r="E139" s="2" t="s">
        <v>39</v>
      </c>
      <c r="F139" s="41">
        <v>500</v>
      </c>
      <c r="G139" s="35"/>
      <c r="H139" s="34">
        <f>'2019'!BH117</f>
        <v>0</v>
      </c>
      <c r="I139" s="15"/>
      <c r="J139" s="15"/>
      <c r="K139" s="15"/>
      <c r="L139" s="28"/>
      <c r="M139" s="15"/>
      <c r="N139" s="15"/>
      <c r="O139" s="15"/>
      <c r="P139" s="15"/>
      <c r="Q139" s="13"/>
      <c r="R139" s="15"/>
      <c r="S139" s="15"/>
      <c r="T139" s="28"/>
      <c r="U139" s="15"/>
      <c r="V139" s="15"/>
      <c r="W139" s="15"/>
      <c r="X139" s="15"/>
      <c r="Y139" s="13"/>
      <c r="Z139" s="15"/>
      <c r="AA139" s="15"/>
      <c r="AB139" s="28"/>
      <c r="AC139" s="15"/>
      <c r="AD139" s="15"/>
      <c r="AE139" s="34"/>
      <c r="AF139" s="34"/>
      <c r="AG139" s="13"/>
      <c r="AH139" s="15"/>
      <c r="AI139" s="45"/>
      <c r="AJ139" s="15"/>
      <c r="AK139" s="13"/>
      <c r="AL139" s="15"/>
      <c r="AM139" s="45"/>
      <c r="AN139" s="15"/>
      <c r="AO139" s="13"/>
      <c r="AP139" s="15"/>
      <c r="AQ139" s="45">
        <f>$F$13</f>
        <v>500</v>
      </c>
      <c r="AR139" s="15"/>
      <c r="AS139" s="13"/>
      <c r="AT139" s="15"/>
      <c r="AU139" s="45"/>
      <c r="AV139" s="15"/>
      <c r="AW139" s="13"/>
      <c r="AY139" s="45"/>
      <c r="AZ139" s="38">
        <v>500</v>
      </c>
      <c r="BA139" s="13"/>
      <c r="BB139" s="15"/>
      <c r="BC139" s="45"/>
      <c r="BD139" s="28"/>
      <c r="BE139" s="14"/>
      <c r="BF139" s="41">
        <f t="shared" ref="BF139:BG139" si="445">K139+O139+S139+W139+AA139+AE139+AI139+AM139+AQ139+AU139+AY139+BC139</f>
        <v>500</v>
      </c>
      <c r="BG139" s="34">
        <f t="shared" si="445"/>
        <v>500</v>
      </c>
      <c r="BH139" s="35">
        <f t="shared" si="435"/>
        <v>0</v>
      </c>
      <c r="BK139" s="2" t="b">
        <f>H139='2019'!BH117</f>
        <v>1</v>
      </c>
    </row>
    <row r="140" ht="14.25" customHeight="1" hidden="1" spans="1:60" x14ac:dyDescent="0.25">
      <c r="A140" s="176">
        <v>14</v>
      </c>
      <c r="B140" s="14"/>
      <c r="C140" s="15"/>
      <c r="D140" s="14" t="s">
        <v>51</v>
      </c>
      <c r="E140" s="2" t="s">
        <v>49</v>
      </c>
      <c r="F140" s="41">
        <v>500</v>
      </c>
      <c r="G140" s="35"/>
      <c r="H140" s="34"/>
      <c r="I140" s="15"/>
      <c r="J140" s="15"/>
      <c r="K140" s="15"/>
      <c r="L140" s="28"/>
      <c r="M140" s="15"/>
      <c r="N140" s="15"/>
      <c r="O140" s="15"/>
      <c r="P140" s="15"/>
      <c r="Q140" s="13"/>
      <c r="R140" s="15"/>
      <c r="S140" s="15"/>
      <c r="T140" s="28"/>
      <c r="U140" s="15"/>
      <c r="V140" s="15"/>
      <c r="W140" s="15"/>
      <c r="X140" s="15"/>
      <c r="Y140" s="13"/>
      <c r="Z140" s="15"/>
      <c r="AA140" s="15"/>
      <c r="AB140" s="28"/>
      <c r="AC140" s="15"/>
      <c r="AD140" s="15"/>
      <c r="AE140" s="34"/>
      <c r="AF140" s="34"/>
      <c r="AG140" s="13"/>
      <c r="AH140" s="15"/>
      <c r="AI140" s="45"/>
      <c r="AJ140" s="15"/>
      <c r="AK140" s="13"/>
      <c r="AL140" s="15"/>
      <c r="AM140" s="45"/>
      <c r="AN140" s="15"/>
      <c r="AO140" s="13"/>
      <c r="AP140" s="15"/>
      <c r="AQ140" s="34">
        <f>B135*$F$14</f>
        <v>2010</v>
      </c>
      <c r="AR140" s="15"/>
      <c r="AS140" s="13"/>
      <c r="AT140" s="15"/>
      <c r="AU140" s="45"/>
      <c r="AV140" s="15"/>
      <c r="AW140" s="13"/>
      <c r="AY140" s="45"/>
      <c r="AZ140" s="38">
        <v>2010</v>
      </c>
      <c r="BA140" s="13"/>
      <c r="BB140" s="15"/>
      <c r="BC140" s="45"/>
      <c r="BD140" s="28"/>
      <c r="BE140" s="14"/>
      <c r="BF140" s="41">
        <f t="shared" ref="BF140:BG140" si="446">K140+O140+S140+W140+AA140+AE140+AI140+AM140+AQ140+AU140+AY140+BC140</f>
        <v>2010</v>
      </c>
      <c r="BG140" s="34">
        <f t="shared" si="446"/>
        <v>2010</v>
      </c>
      <c r="BH140" s="35">
        <f t="shared" si="435"/>
        <v>0</v>
      </c>
    </row>
    <row r="141" ht="14.25" customHeight="1" hidden="1" spans="1:63" x14ac:dyDescent="0.25">
      <c r="A141" s="176">
        <v>14</v>
      </c>
      <c r="B141" s="14"/>
      <c r="C141" s="15" t="s">
        <v>389</v>
      </c>
      <c r="D141" s="14" t="s">
        <v>52</v>
      </c>
      <c r="E141" s="2" t="s">
        <v>39</v>
      </c>
      <c r="F141" s="41">
        <v>500</v>
      </c>
      <c r="G141" s="35"/>
      <c r="H141" s="34">
        <f>'2019'!BH118</f>
        <v>0</v>
      </c>
      <c r="I141" s="15"/>
      <c r="J141" s="15"/>
      <c r="K141" s="15"/>
      <c r="L141" s="28"/>
      <c r="M141" s="15"/>
      <c r="N141" s="15"/>
      <c r="O141" s="15"/>
      <c r="P141" s="15"/>
      <c r="Q141" s="13"/>
      <c r="R141" s="15"/>
      <c r="S141" s="15"/>
      <c r="T141" s="28"/>
      <c r="U141" s="15"/>
      <c r="V141" s="15"/>
      <c r="W141" s="15"/>
      <c r="X141" s="15"/>
      <c r="Y141" s="13"/>
      <c r="Z141" s="15"/>
      <c r="AA141" s="34">
        <f>$F$11</f>
        <v>500</v>
      </c>
      <c r="AB141" s="35"/>
      <c r="AC141" s="15"/>
      <c r="AD141" s="15"/>
      <c r="AE141" s="15"/>
      <c r="AF141" s="133">
        <v>500</v>
      </c>
      <c r="AG141" s="13"/>
      <c r="AH141" s="15"/>
      <c r="AI141" s="45"/>
      <c r="AJ141" s="15"/>
      <c r="AK141" s="13"/>
      <c r="AL141" s="15"/>
      <c r="AM141" s="45"/>
      <c r="AN141" s="15"/>
      <c r="AO141" s="13"/>
      <c r="AP141" s="15"/>
      <c r="AQ141" s="45"/>
      <c r="AR141" s="15"/>
      <c r="AS141" s="13"/>
      <c r="AT141" s="15"/>
      <c r="AU141" s="45"/>
      <c r="AV141" s="15"/>
      <c r="AW141" s="13"/>
      <c r="AY141" s="45"/>
      <c r="AZ141" s="35"/>
      <c r="BA141" s="13"/>
      <c r="BB141" s="15"/>
      <c r="BC141" s="45"/>
      <c r="BD141" s="35"/>
      <c r="BE141" s="14"/>
      <c r="BF141" s="41">
        <f t="shared" ref="BF141:BG141" si="447">K141+O141+S141+W141+AA141+AE141+AI141+AM141+AQ141+AU141+AY141+BC141</f>
        <v>500</v>
      </c>
      <c r="BG141" s="34">
        <f t="shared" si="447"/>
        <v>500</v>
      </c>
      <c r="BH141" s="35">
        <f t="shared" si="435"/>
        <v>0</v>
      </c>
      <c r="BK141" s="2" t="b">
        <f>H141='2019'!BH118</f>
        <v>1</v>
      </c>
    </row>
    <row r="142" ht="14.25" customHeight="1" hidden="1" spans="1:63" x14ac:dyDescent="0.25">
      <c r="A142" s="177">
        <v>14</v>
      </c>
      <c r="B142" s="21"/>
      <c r="C142" s="22" t="s">
        <v>53</v>
      </c>
      <c r="D142" s="21"/>
      <c r="E142" s="22"/>
      <c r="F142" s="20"/>
      <c r="G142" s="23"/>
      <c r="H142" s="51">
        <f>SUM(H134:H141)</f>
        <v>0</v>
      </c>
      <c r="I142" s="53"/>
      <c r="J142" s="53"/>
      <c r="K142" s="51">
        <f t="shared" ref="K142:L142" si="448">SUM(K134:K141)</f>
        <v>0</v>
      </c>
      <c r="L142" s="68">
        <f t="shared" si="448"/>
        <v>0</v>
      </c>
      <c r="M142" s="53"/>
      <c r="N142" s="53"/>
      <c r="O142" s="51">
        <f t="shared" ref="O142:P142" si="449">SUM(O134:O141)</f>
        <v>0</v>
      </c>
      <c r="P142" s="68">
        <f t="shared" si="449"/>
        <v>0</v>
      </c>
      <c r="Q142" s="52"/>
      <c r="R142" s="53"/>
      <c r="S142" s="51">
        <f t="shared" ref="S142:T142" si="450">SUM(S134:S141)</f>
        <v>0</v>
      </c>
      <c r="T142" s="68">
        <f t="shared" si="450"/>
        <v>0</v>
      </c>
      <c r="U142" s="53"/>
      <c r="V142" s="53"/>
      <c r="W142" s="51">
        <f t="shared" ref="W142:X142" si="451">SUM(W134:W141)</f>
        <v>0</v>
      </c>
      <c r="X142" s="68">
        <f t="shared" si="451"/>
        <v>0</v>
      </c>
      <c r="Y142" s="52"/>
      <c r="Z142" s="53"/>
      <c r="AA142" s="51">
        <f t="shared" ref="AA142:AB142" si="452">SUM(AA134:AA141)</f>
        <v>537.12</v>
      </c>
      <c r="AB142" s="68">
        <f t="shared" si="452"/>
        <v>0</v>
      </c>
      <c r="AC142" s="53"/>
      <c r="AD142" s="53"/>
      <c r="AE142" s="51">
        <f t="shared" ref="AE142:AF142" si="453">SUM(AE134:AE141)</f>
        <v>4459.12</v>
      </c>
      <c r="AF142" s="68">
        <f t="shared" si="453"/>
        <v>5100</v>
      </c>
      <c r="AG142" s="52"/>
      <c r="AH142" s="53"/>
      <c r="AI142" s="183">
        <f t="shared" ref="AI142:AJ142" si="454">SUM(AI134:AI141)</f>
        <v>38.92</v>
      </c>
      <c r="AJ142" s="51">
        <f t="shared" si="454"/>
        <v>0</v>
      </c>
      <c r="AK142" s="52"/>
      <c r="AL142" s="53"/>
      <c r="AM142" s="183">
        <f t="shared" ref="AM142:AN142" si="455">SUM(AM134:AM141)</f>
        <v>38.92</v>
      </c>
      <c r="AN142" s="51">
        <f t="shared" si="455"/>
        <v>0</v>
      </c>
      <c r="AO142" s="52"/>
      <c r="AP142" s="53"/>
      <c r="AQ142" s="183">
        <f t="shared" ref="AQ142:AR142" si="456">SUM(AQ134:AQ141)</f>
        <v>2510</v>
      </c>
      <c r="AR142" s="51">
        <f t="shared" si="456"/>
        <v>0</v>
      </c>
      <c r="AS142" s="52"/>
      <c r="AT142" s="53"/>
      <c r="AU142" s="183">
        <f t="shared" ref="AU142:AV142" si="457">SUM(AU134:AU141)</f>
        <v>0</v>
      </c>
      <c r="AV142" s="68">
        <f t="shared" si="457"/>
        <v>0</v>
      </c>
      <c r="AW142" s="52"/>
      <c r="AX142" s="53"/>
      <c r="AY142" s="183">
        <f t="shared" ref="AY142:AZ142" si="458">SUM(AY134:AY141)</f>
        <v>0</v>
      </c>
      <c r="AZ142" s="68">
        <f t="shared" si="458"/>
        <v>2510</v>
      </c>
      <c r="BA142" s="52"/>
      <c r="BB142" s="53"/>
      <c r="BC142" s="183">
        <f t="shared" ref="BC142:BD142" si="459">SUM(BC134:BC141)</f>
        <v>0</v>
      </c>
      <c r="BD142" s="68">
        <f t="shared" si="459"/>
        <v>0</v>
      </c>
      <c r="BE142" s="69"/>
      <c r="BF142" s="70">
        <f t="shared" ref="BF142:BH142" si="460">SUM(BF134:BF141)</f>
        <v>7584.08</v>
      </c>
      <c r="BG142" s="71">
        <f t="shared" si="460"/>
        <v>7610</v>
      </c>
      <c r="BH142" s="72">
        <f t="shared" si="460"/>
        <v>-25.92</v>
      </c>
      <c r="BI142" s="34">
        <f>H142+BF142-BG142</f>
        <v>-25.92</v>
      </c>
      <c r="BJ142" s="34">
        <f>BH142-BI142</f>
        <v>0</v>
      </c>
      <c r="BK142" s="2" t="b">
        <f>H142='2019'!BH119</f>
        <v>0</v>
      </c>
    </row>
    <row r="143" ht="14.25" customHeight="1" hidden="1" spans="1:63" x14ac:dyDescent="0.25">
      <c r="A143" s="175">
        <v>16</v>
      </c>
      <c r="B143" s="14"/>
      <c r="D143" s="14" t="s">
        <v>379</v>
      </c>
      <c r="F143" s="41"/>
      <c r="G143" s="28"/>
      <c r="H143" s="34">
        <f>'2019'!BH120</f>
        <v>0</v>
      </c>
      <c r="I143" s="15"/>
      <c r="J143" s="15"/>
      <c r="K143" s="34"/>
      <c r="L143" s="35"/>
      <c r="M143" s="15"/>
      <c r="N143" s="15"/>
      <c r="O143" s="15"/>
      <c r="P143" s="15"/>
      <c r="Q143" s="13"/>
      <c r="R143" s="15"/>
      <c r="S143" s="15"/>
      <c r="T143" s="28"/>
      <c r="U143" s="15"/>
      <c r="V143" s="15"/>
      <c r="W143" s="15"/>
      <c r="X143" s="15"/>
      <c r="Y143" s="13"/>
      <c r="Z143" s="15"/>
      <c r="AA143" s="15"/>
      <c r="AB143" s="28"/>
      <c r="AC143" s="15"/>
      <c r="AD143" s="15"/>
      <c r="AE143" s="15"/>
      <c r="AF143" s="15"/>
      <c r="AG143" s="13"/>
      <c r="AH143" s="15"/>
      <c r="AI143" s="45"/>
      <c r="AJ143" s="39"/>
      <c r="AK143" s="13"/>
      <c r="AL143" s="15"/>
      <c r="AM143" s="45"/>
      <c r="AN143" s="15"/>
      <c r="AO143" s="13"/>
      <c r="AP143" s="15"/>
      <c r="AQ143" s="45"/>
      <c r="AR143" s="15"/>
      <c r="AS143" s="13"/>
      <c r="AT143" s="15"/>
      <c r="AU143" s="45"/>
      <c r="AV143" s="15"/>
      <c r="AW143" s="13"/>
      <c r="AY143" s="45"/>
      <c r="AZ143" s="28"/>
      <c r="BA143" s="13"/>
      <c r="BB143" s="15"/>
      <c r="BC143" s="45"/>
      <c r="BD143" s="28"/>
      <c r="BE143" s="14"/>
      <c r="BF143" s="41">
        <f t="shared" ref="BF143:BG143" si="461">K143+O143+S143+W143+AA143+AE143+AI143+AM143+AQ143+AU143+AY143+BC143</f>
        <v>0</v>
      </c>
      <c r="BG143" s="34">
        <f t="shared" si="461"/>
        <v>0</v>
      </c>
      <c r="BH143" s="35">
        <f t="shared" ref="BH143:BH150" si="462">H143+BF143-BG143</f>
        <v>0</v>
      </c>
      <c r="BK143" s="2" t="b">
        <f>H143='2019'!BH120</f>
        <v>1</v>
      </c>
    </row>
    <row r="144" ht="14.25" customHeight="1" hidden="1" spans="1:63" x14ac:dyDescent="0.25">
      <c r="A144" s="176">
        <v>16</v>
      </c>
      <c r="B144" s="14">
        <v>3.98</v>
      </c>
      <c r="C144" s="2" t="s">
        <v>103</v>
      </c>
      <c r="D144" s="14" t="s">
        <v>44</v>
      </c>
      <c r="E144" s="2" t="s">
        <v>45</v>
      </c>
      <c r="F144" s="41">
        <v>2.5</v>
      </c>
      <c r="G144" s="35">
        <v>2.6</v>
      </c>
      <c r="H144" s="34">
        <f>'2019'!BH121</f>
        <v>238.83</v>
      </c>
      <c r="I144" s="13">
        <v>761</v>
      </c>
      <c r="J144" s="15">
        <f>I144-'2019'!BA121</f>
        <v>0</v>
      </c>
      <c r="K144" s="34">
        <f>J144*$F$8</f>
        <v>0</v>
      </c>
      <c r="L144" s="28"/>
      <c r="M144" s="15">
        <v>761</v>
      </c>
      <c r="N144" s="15">
        <f>M144-I144</f>
        <v>0</v>
      </c>
      <c r="O144" s="34">
        <f>N144*$F$8</f>
        <v>0</v>
      </c>
      <c r="P144" s="15"/>
      <c r="Q144" s="13">
        <v>761</v>
      </c>
      <c r="R144" s="15">
        <f>Q144-M144</f>
        <v>0</v>
      </c>
      <c r="S144" s="34">
        <f>R144*$F$8</f>
        <v>0</v>
      </c>
      <c r="T144" s="28"/>
      <c r="U144" s="15">
        <v>809</v>
      </c>
      <c r="V144" s="15">
        <f t="shared" ref="V144:V145" si="463">U144-Q144</f>
        <v>48</v>
      </c>
      <c r="W144" s="34">
        <f>V144*$F$8</f>
        <v>120</v>
      </c>
      <c r="X144" s="15"/>
      <c r="Y144" s="13">
        <v>939</v>
      </c>
      <c r="Z144" s="15">
        <f t="shared" ref="Z144:Z145" si="464">Y144-U144</f>
        <v>130</v>
      </c>
      <c r="AA144" s="34">
        <f>Z144*$F$8</f>
        <v>325</v>
      </c>
      <c r="AB144" s="38">
        <v>500</v>
      </c>
      <c r="AC144" s="15">
        <v>975</v>
      </c>
      <c r="AD144" s="15">
        <f t="shared" ref="AD144:AD145" si="465">AC144-Y144</f>
        <v>36</v>
      </c>
      <c r="AE144" s="34">
        <f>AD144*$F$8</f>
        <v>90</v>
      </c>
      <c r="AF144" s="15"/>
      <c r="AG144" s="13">
        <v>1012</v>
      </c>
      <c r="AH144" s="15">
        <f t="shared" ref="AH144:AH145" si="466">AG144-AC144</f>
        <v>37</v>
      </c>
      <c r="AI144" s="45">
        <f>AH144*$G$8</f>
        <v>96.2</v>
      </c>
      <c r="AJ144" s="140">
        <v>1100</v>
      </c>
      <c r="AK144" s="13">
        <v>1055</v>
      </c>
      <c r="AL144" s="15">
        <f t="shared" ref="AL144:AL145" si="467">AK144-AG144</f>
        <v>43</v>
      </c>
      <c r="AM144" s="45">
        <f>AL144*$G$8</f>
        <v>111.8</v>
      </c>
      <c r="AN144" s="15"/>
      <c r="AO144" s="13">
        <v>1128</v>
      </c>
      <c r="AP144" s="15">
        <f t="shared" ref="AP144:AP145" si="468">AO144-AK144</f>
        <v>73</v>
      </c>
      <c r="AQ144" s="45">
        <f>AP144*$G$8</f>
        <v>189.8</v>
      </c>
      <c r="AR144" s="15"/>
      <c r="AS144" s="13">
        <v>1249</v>
      </c>
      <c r="AT144" s="15">
        <f t="shared" ref="AT144:AT145" si="469">AS144-AO144</f>
        <v>121</v>
      </c>
      <c r="AU144" s="45">
        <f>AT144*$G$8</f>
        <v>314.6</v>
      </c>
      <c r="AV144" s="15"/>
      <c r="AW144" s="13">
        <v>1249</v>
      </c>
      <c r="AX144" s="2">
        <f t="shared" ref="AX144:AX145" si="470">AW144-AS144</f>
        <v>0</v>
      </c>
      <c r="AY144" s="45">
        <f>AX144*$G$8</f>
        <v>0</v>
      </c>
      <c r="AZ144" s="208"/>
      <c r="BA144" s="13">
        <v>1249</v>
      </c>
      <c r="BB144" s="15">
        <f t="shared" ref="BB144:BB145" si="471">BA144-AW144</f>
        <v>0</v>
      </c>
      <c r="BC144" s="45">
        <f>BB144*$G$8</f>
        <v>0</v>
      </c>
      <c r="BD144" s="208"/>
      <c r="BE144" s="40">
        <f t="shared" ref="BE144:BG144" si="472">J144+N144+R144+V144+Z144+AD144+AH144+AL144+AP144+AT144+AX144+BB144</f>
        <v>488</v>
      </c>
      <c r="BF144" s="41">
        <f t="shared" si="472"/>
        <v>1247.4</v>
      </c>
      <c r="BG144" s="34">
        <f t="shared" si="472"/>
        <v>1600</v>
      </c>
      <c r="BH144" s="35">
        <f t="shared" si="462"/>
        <v>-113.77</v>
      </c>
      <c r="BK144" s="2" t="b">
        <f>H144='2019'!BH121</f>
        <v>1</v>
      </c>
    </row>
    <row r="145" ht="14.25" customHeight="1" hidden="1" spans="1:63" x14ac:dyDescent="0.25">
      <c r="A145" s="176">
        <v>16</v>
      </c>
      <c r="B145" s="14"/>
      <c r="C145" s="2" t="s">
        <v>104</v>
      </c>
      <c r="D145" s="14" t="s">
        <v>47</v>
      </c>
      <c r="E145" s="2" t="s">
        <v>48</v>
      </c>
      <c r="F145" s="13">
        <v>18.56</v>
      </c>
      <c r="G145" s="35">
        <v>19.46</v>
      </c>
      <c r="H145" s="34">
        <f>'2019'!BH122</f>
        <v>37.12</v>
      </c>
      <c r="I145" s="15">
        <v>110</v>
      </c>
      <c r="J145" s="15"/>
      <c r="K145" s="15"/>
      <c r="L145" s="28"/>
      <c r="M145" s="15">
        <v>110</v>
      </c>
      <c r="N145" s="15"/>
      <c r="O145" s="15"/>
      <c r="P145" s="15"/>
      <c r="Q145" s="13">
        <v>110</v>
      </c>
      <c r="R145" s="15"/>
      <c r="S145" s="15"/>
      <c r="T145" s="28"/>
      <c r="U145" s="15">
        <v>110</v>
      </c>
      <c r="V145" s="15">
        <f t="shared" si="463"/>
        <v>0</v>
      </c>
      <c r="W145" s="34">
        <f>V145*$F$10</f>
        <v>0</v>
      </c>
      <c r="X145" s="15"/>
      <c r="Y145" s="13">
        <v>112</v>
      </c>
      <c r="Z145" s="15">
        <f t="shared" si="464"/>
        <v>2</v>
      </c>
      <c r="AA145" s="34">
        <f>Z145*$F$10</f>
        <v>37.12</v>
      </c>
      <c r="AB145" s="38">
        <v>500</v>
      </c>
      <c r="AC145" s="15">
        <v>116</v>
      </c>
      <c r="AD145" s="15">
        <f t="shared" si="465"/>
        <v>4</v>
      </c>
      <c r="AE145" s="34">
        <f>AD145*$F$10</f>
        <v>74.24</v>
      </c>
      <c r="AF145" s="34"/>
      <c r="AG145" s="13">
        <v>122</v>
      </c>
      <c r="AH145" s="15">
        <f t="shared" si="466"/>
        <v>6</v>
      </c>
      <c r="AI145" s="45">
        <f>AH145*$G$10</f>
        <v>116.76</v>
      </c>
      <c r="AJ145" s="140">
        <v>100</v>
      </c>
      <c r="AK145" s="13">
        <v>125</v>
      </c>
      <c r="AL145" s="15">
        <f t="shared" si="467"/>
        <v>3</v>
      </c>
      <c r="AM145" s="45">
        <f>AL145*$G$10</f>
        <v>58.38</v>
      </c>
      <c r="AN145" s="15"/>
      <c r="AO145" s="13">
        <v>126</v>
      </c>
      <c r="AP145" s="15">
        <f t="shared" si="468"/>
        <v>1</v>
      </c>
      <c r="AQ145" s="45">
        <f>AP145*$G$10</f>
        <v>19.46</v>
      </c>
      <c r="AR145" s="15"/>
      <c r="AS145" s="13">
        <v>126</v>
      </c>
      <c r="AT145" s="15">
        <f t="shared" si="469"/>
        <v>0</v>
      </c>
      <c r="AU145" s="45">
        <f>AT145*$G$10</f>
        <v>0</v>
      </c>
      <c r="AV145" s="15"/>
      <c r="AW145" s="13">
        <v>126</v>
      </c>
      <c r="AX145" s="2">
        <f t="shared" si="470"/>
        <v>0</v>
      </c>
      <c r="AY145" s="45"/>
      <c r="AZ145" s="208"/>
      <c r="BA145" s="13">
        <v>126</v>
      </c>
      <c r="BB145" s="15">
        <f t="shared" si="471"/>
        <v>0</v>
      </c>
      <c r="BC145" s="45"/>
      <c r="BD145" s="208"/>
      <c r="BE145" s="40">
        <f t="shared" ref="BE145:BG145" si="473">J145+N145+R145+V145+Z145+AD145+AH145+AL145+AP145+AT145+AX145+BB145</f>
        <v>16</v>
      </c>
      <c r="BF145" s="41">
        <f t="shared" si="473"/>
        <v>305.96</v>
      </c>
      <c r="BG145" s="34">
        <f t="shared" si="473"/>
        <v>600</v>
      </c>
      <c r="BH145" s="35">
        <f t="shared" si="462"/>
        <v>-256.92</v>
      </c>
      <c r="BK145" s="2" t="b">
        <f>H145='2019'!BH122</f>
        <v>1</v>
      </c>
    </row>
    <row r="146" ht="14.25" customHeight="1" hidden="1" spans="1:63" x14ac:dyDescent="0.25">
      <c r="A146" s="176">
        <v>16</v>
      </c>
      <c r="B146" s="14"/>
      <c r="C146" s="2" t="s">
        <v>91</v>
      </c>
      <c r="D146" s="14" t="s">
        <v>47</v>
      </c>
      <c r="E146" s="2" t="s">
        <v>49</v>
      </c>
      <c r="F146" s="41">
        <v>500</v>
      </c>
      <c r="G146" s="35"/>
      <c r="H146" s="34">
        <f>'2019'!BH123</f>
        <v>0</v>
      </c>
      <c r="I146" s="15"/>
      <c r="J146" s="15"/>
      <c r="K146" s="15"/>
      <c r="L146" s="28"/>
      <c r="M146" s="15"/>
      <c r="N146" s="15"/>
      <c r="O146" s="15"/>
      <c r="P146" s="15"/>
      <c r="Q146" s="13"/>
      <c r="R146" s="15"/>
      <c r="S146" s="15"/>
      <c r="T146" s="28"/>
      <c r="U146" s="15"/>
      <c r="V146" s="15"/>
      <c r="W146" s="15"/>
      <c r="X146" s="15"/>
      <c r="Y146" s="13"/>
      <c r="Z146" s="15"/>
      <c r="AA146" s="15"/>
      <c r="AB146" s="28"/>
      <c r="AC146" s="15"/>
      <c r="AD146" s="15"/>
      <c r="AE146" s="15"/>
      <c r="AF146" s="15"/>
      <c r="AG146" s="13"/>
      <c r="AH146" s="15"/>
      <c r="AI146" s="45"/>
      <c r="AJ146" s="15"/>
      <c r="AK146" s="13"/>
      <c r="AL146" s="15"/>
      <c r="AM146" s="45"/>
      <c r="AN146" s="15"/>
      <c r="AO146" s="13"/>
      <c r="AP146" s="15"/>
      <c r="AQ146" s="45"/>
      <c r="AR146" s="15"/>
      <c r="AS146" s="13"/>
      <c r="AT146" s="15"/>
      <c r="AU146" s="45"/>
      <c r="AV146" s="15"/>
      <c r="AW146" s="13"/>
      <c r="AY146" s="45"/>
      <c r="AZ146" s="28"/>
      <c r="BA146" s="13"/>
      <c r="BB146" s="15"/>
      <c r="BC146" s="45"/>
      <c r="BD146" s="28"/>
      <c r="BE146" s="14"/>
      <c r="BF146" s="41">
        <f t="shared" ref="BF146:BG146" si="474">K146+O146+S146+W146+AA146+AE146+AI146+AM146+AQ146+AU146+AY146+BC146</f>
        <v>0</v>
      </c>
      <c r="BG146" s="34">
        <f t="shared" si="474"/>
        <v>0</v>
      </c>
      <c r="BH146" s="35">
        <f t="shared" si="462"/>
        <v>0</v>
      </c>
      <c r="BK146" s="2" t="b">
        <f>H146='2019'!BH123</f>
        <v>1</v>
      </c>
    </row>
    <row r="147" ht="14.25" customHeight="1" hidden="1" spans="1:63" x14ac:dyDescent="0.25">
      <c r="A147" s="176">
        <v>16</v>
      </c>
      <c r="B147" s="14"/>
      <c r="C147" s="2" t="s">
        <v>105</v>
      </c>
      <c r="D147" s="14" t="s">
        <v>50</v>
      </c>
      <c r="E147" s="2" t="s">
        <v>49</v>
      </c>
      <c r="F147" s="41">
        <v>1100</v>
      </c>
      <c r="G147" s="35"/>
      <c r="H147" s="182">
        <f>'2019'!BH124-0.0024</f>
        <v>0</v>
      </c>
      <c r="I147" s="15"/>
      <c r="J147" s="15"/>
      <c r="K147" s="15"/>
      <c r="L147" s="28"/>
      <c r="M147" s="15"/>
      <c r="N147" s="15"/>
      <c r="O147" s="15"/>
      <c r="P147" s="15"/>
      <c r="Q147" s="13"/>
      <c r="R147" s="15"/>
      <c r="S147" s="15"/>
      <c r="T147" s="28"/>
      <c r="U147" s="15"/>
      <c r="V147" s="15"/>
      <c r="W147" s="15"/>
      <c r="X147" s="15"/>
      <c r="Y147" s="13"/>
      <c r="Z147" s="15"/>
      <c r="AA147" s="15"/>
      <c r="AB147" s="28"/>
      <c r="AC147" s="15"/>
      <c r="AD147" s="15"/>
      <c r="AE147" s="34">
        <f>B144*$F$12</f>
        <v>4378</v>
      </c>
      <c r="AF147" s="34"/>
      <c r="AG147" s="13"/>
      <c r="AH147" s="15"/>
      <c r="AI147" s="45"/>
      <c r="AJ147" s="39"/>
      <c r="AK147" s="13"/>
      <c r="AL147" s="15"/>
      <c r="AM147" s="45"/>
      <c r="AN147" s="133">
        <v>4378</v>
      </c>
      <c r="AO147" s="13"/>
      <c r="AP147" s="15"/>
      <c r="AQ147" s="45"/>
      <c r="AR147" s="15"/>
      <c r="AS147" s="13"/>
      <c r="AT147" s="15"/>
      <c r="AU147" s="45"/>
      <c r="AV147" s="15"/>
      <c r="AW147" s="13"/>
      <c r="AY147" s="45"/>
      <c r="AZ147" s="28"/>
      <c r="BA147" s="13"/>
      <c r="BB147" s="15"/>
      <c r="BC147" s="45"/>
      <c r="BD147" s="28"/>
      <c r="BE147" s="14"/>
      <c r="BF147" s="41">
        <f t="shared" ref="BF147:BG147" si="475">K147+O147+S147+W147+AA147+AE147+AI147+AM147+AQ147+AU147+AY147+BC147</f>
        <v>4378</v>
      </c>
      <c r="BG147" s="34">
        <f t="shared" si="475"/>
        <v>4378</v>
      </c>
      <c r="BH147" s="35">
        <f t="shared" si="462"/>
        <v>0</v>
      </c>
      <c r="BK147" s="2" t="b">
        <f>H147='2019'!BH124</f>
        <v>0</v>
      </c>
    </row>
    <row r="148" ht="14.25" customHeight="1" hidden="1" spans="1:63" x14ac:dyDescent="0.25">
      <c r="A148" s="176">
        <v>16</v>
      </c>
      <c r="B148" s="14"/>
      <c r="C148" s="2" t="s">
        <v>93</v>
      </c>
      <c r="D148" s="14" t="s">
        <v>51</v>
      </c>
      <c r="E148" s="2" t="s">
        <v>39</v>
      </c>
      <c r="F148" s="41">
        <v>500</v>
      </c>
      <c r="G148" s="35"/>
      <c r="H148" s="34">
        <f>'2019'!BH125</f>
        <v>0</v>
      </c>
      <c r="I148" s="15"/>
      <c r="J148" s="15"/>
      <c r="K148" s="15"/>
      <c r="L148" s="28"/>
      <c r="M148" s="15"/>
      <c r="N148" s="15"/>
      <c r="O148" s="15"/>
      <c r="P148" s="15"/>
      <c r="Q148" s="13"/>
      <c r="R148" s="15"/>
      <c r="S148" s="15"/>
      <c r="T148" s="28"/>
      <c r="U148" s="15"/>
      <c r="V148" s="15"/>
      <c r="W148" s="15"/>
      <c r="X148" s="15"/>
      <c r="Y148" s="13"/>
      <c r="Z148" s="15"/>
      <c r="AA148" s="15"/>
      <c r="AB148" s="28"/>
      <c r="AC148" s="15"/>
      <c r="AD148" s="15"/>
      <c r="AE148" s="34"/>
      <c r="AF148" s="34"/>
      <c r="AG148" s="13"/>
      <c r="AH148" s="15"/>
      <c r="AI148" s="45"/>
      <c r="AJ148" s="15"/>
      <c r="AK148" s="13"/>
      <c r="AL148" s="15"/>
      <c r="AM148" s="45"/>
      <c r="AN148" s="15"/>
      <c r="AO148" s="13"/>
      <c r="AP148" s="15"/>
      <c r="AQ148" s="45">
        <f>$F$13</f>
        <v>500</v>
      </c>
      <c r="AR148" s="15"/>
      <c r="AS148" s="13"/>
      <c r="AT148" s="15"/>
      <c r="AU148" s="45"/>
      <c r="AV148" s="15"/>
      <c r="AW148" s="13"/>
      <c r="AY148" s="45"/>
      <c r="AZ148" s="28"/>
      <c r="BA148" s="13"/>
      <c r="BB148" s="15"/>
      <c r="BC148" s="45"/>
      <c r="BD148" s="28"/>
      <c r="BE148" s="14"/>
      <c r="BF148" s="41">
        <f t="shared" ref="BF148:BG148" si="476">K148+O148+S148+W148+AA148+AE148+AI148+AM148+AQ148+AU148+AY148+BC148</f>
        <v>500</v>
      </c>
      <c r="BG148" s="34">
        <f t="shared" si="476"/>
        <v>0</v>
      </c>
      <c r="BH148" s="35">
        <f t="shared" si="462"/>
        <v>500</v>
      </c>
      <c r="BK148" s="2" t="b">
        <f>H148='2019'!BH125</f>
        <v>1</v>
      </c>
    </row>
    <row r="149" ht="14.25" customHeight="1" hidden="1" spans="1:60" x14ac:dyDescent="0.25">
      <c r="A149" s="176">
        <v>16</v>
      </c>
      <c r="B149" s="14"/>
      <c r="D149" s="14" t="s">
        <v>51</v>
      </c>
      <c r="E149" s="2" t="s">
        <v>49</v>
      </c>
      <c r="F149" s="41">
        <v>500</v>
      </c>
      <c r="G149" s="35"/>
      <c r="H149" s="34"/>
      <c r="I149" s="15"/>
      <c r="J149" s="15"/>
      <c r="K149" s="15"/>
      <c r="L149" s="28"/>
      <c r="M149" s="15"/>
      <c r="N149" s="15"/>
      <c r="O149" s="15"/>
      <c r="P149" s="15"/>
      <c r="Q149" s="13"/>
      <c r="R149" s="15"/>
      <c r="S149" s="15"/>
      <c r="T149" s="28"/>
      <c r="U149" s="15"/>
      <c r="V149" s="15"/>
      <c r="W149" s="15"/>
      <c r="X149" s="15"/>
      <c r="Y149" s="13"/>
      <c r="Z149" s="15"/>
      <c r="AA149" s="15"/>
      <c r="AB149" s="28"/>
      <c r="AC149" s="15"/>
      <c r="AD149" s="15"/>
      <c r="AE149" s="34"/>
      <c r="AF149" s="34"/>
      <c r="AG149" s="13"/>
      <c r="AH149" s="15"/>
      <c r="AI149" s="45"/>
      <c r="AJ149" s="15"/>
      <c r="AK149" s="13"/>
      <c r="AL149" s="15"/>
      <c r="AM149" s="45"/>
      <c r="AN149" s="15"/>
      <c r="AO149" s="13"/>
      <c r="AP149" s="15"/>
      <c r="AQ149" s="34">
        <f>B144*$F$14</f>
        <v>1990</v>
      </c>
      <c r="AR149" s="15"/>
      <c r="AS149" s="13"/>
      <c r="AT149" s="15"/>
      <c r="AU149" s="45"/>
      <c r="AV149" s="15"/>
      <c r="AW149" s="13"/>
      <c r="AY149" s="45"/>
      <c r="AZ149" s="28"/>
      <c r="BA149" s="13"/>
      <c r="BB149" s="15"/>
      <c r="BC149" s="45"/>
      <c r="BD149" s="28"/>
      <c r="BE149" s="14"/>
      <c r="BF149" s="41">
        <f t="shared" ref="BF149:BG149" si="477">K149+O149+S149+W149+AA149+AE149+AI149+AM149+AQ149+AU149+AY149+BC149</f>
        <v>1990</v>
      </c>
      <c r="BG149" s="34">
        <f t="shared" si="477"/>
        <v>0</v>
      </c>
      <c r="BH149" s="35">
        <f t="shared" si="462"/>
        <v>1990</v>
      </c>
    </row>
    <row r="150" ht="14.25" customHeight="1" hidden="1" spans="1:63" x14ac:dyDescent="0.25">
      <c r="A150" s="176">
        <v>16</v>
      </c>
      <c r="B150" s="14"/>
      <c r="C150" s="2" t="s">
        <v>390</v>
      </c>
      <c r="D150" s="14" t="s">
        <v>52</v>
      </c>
      <c r="E150" s="2" t="s">
        <v>39</v>
      </c>
      <c r="F150" s="41">
        <v>500</v>
      </c>
      <c r="G150" s="35"/>
      <c r="H150" s="34">
        <f>'2019'!BH126</f>
        <v>0</v>
      </c>
      <c r="I150" s="15"/>
      <c r="J150" s="15"/>
      <c r="K150" s="15"/>
      <c r="L150" s="28"/>
      <c r="M150" s="15"/>
      <c r="N150" s="15"/>
      <c r="O150" s="15"/>
      <c r="P150" s="15"/>
      <c r="Q150" s="13"/>
      <c r="R150" s="15"/>
      <c r="S150" s="15"/>
      <c r="T150" s="28"/>
      <c r="U150" s="15"/>
      <c r="V150" s="15"/>
      <c r="W150" s="15"/>
      <c r="X150" s="15"/>
      <c r="Y150" s="13"/>
      <c r="Z150" s="15"/>
      <c r="AA150" s="34">
        <f>$F$11</f>
        <v>500</v>
      </c>
      <c r="AB150" s="35"/>
      <c r="AC150" s="15"/>
      <c r="AD150" s="15"/>
      <c r="AE150" s="15"/>
      <c r="AF150" s="34"/>
      <c r="AG150" s="13"/>
      <c r="AH150" s="15"/>
      <c r="AI150" s="45"/>
      <c r="AJ150" s="15"/>
      <c r="AK150" s="13"/>
      <c r="AL150" s="15"/>
      <c r="AM150" s="45"/>
      <c r="AN150" s="133">
        <v>500</v>
      </c>
      <c r="AO150" s="13"/>
      <c r="AP150" s="15"/>
      <c r="AQ150" s="45"/>
      <c r="AR150" s="15"/>
      <c r="AS150" s="13"/>
      <c r="AT150" s="15"/>
      <c r="AU150" s="45"/>
      <c r="AV150" s="15"/>
      <c r="AW150" s="13"/>
      <c r="AY150" s="45"/>
      <c r="AZ150" s="35"/>
      <c r="BA150" s="13"/>
      <c r="BB150" s="15"/>
      <c r="BC150" s="45"/>
      <c r="BD150" s="35"/>
      <c r="BE150" s="14"/>
      <c r="BF150" s="41">
        <f t="shared" ref="BF150:BG150" si="478">K150+O150+S150+W150+AA150+AE150+AI150+AM150+AQ150+AU150+AY150+BC150</f>
        <v>500</v>
      </c>
      <c r="BG150" s="34">
        <f t="shared" si="478"/>
        <v>500</v>
      </c>
      <c r="BH150" s="35">
        <f t="shared" si="462"/>
        <v>0</v>
      </c>
      <c r="BK150" s="2" t="b">
        <f>H150='2019'!BH126</f>
        <v>1</v>
      </c>
    </row>
    <row r="151" ht="14.25" customHeight="1" hidden="1" spans="1:63" x14ac:dyDescent="0.25">
      <c r="A151" s="177">
        <v>16</v>
      </c>
      <c r="B151" s="21"/>
      <c r="C151" s="22" t="s">
        <v>53</v>
      </c>
      <c r="D151" s="21"/>
      <c r="E151" s="22"/>
      <c r="F151" s="20"/>
      <c r="G151" s="23"/>
      <c r="H151" s="51">
        <f>SUM(H143:H150)</f>
        <v>275.95</v>
      </c>
      <c r="I151" s="53"/>
      <c r="J151" s="53"/>
      <c r="K151" s="51">
        <f t="shared" ref="K151:L151" si="479">SUM(K143:K150)</f>
        <v>0</v>
      </c>
      <c r="L151" s="68">
        <f t="shared" si="479"/>
        <v>0</v>
      </c>
      <c r="M151" s="53"/>
      <c r="N151" s="53"/>
      <c r="O151" s="51">
        <f t="shared" ref="O151:P151" si="480">SUM(O143:O150)</f>
        <v>0</v>
      </c>
      <c r="P151" s="68">
        <f t="shared" si="480"/>
        <v>0</v>
      </c>
      <c r="Q151" s="52"/>
      <c r="R151" s="53"/>
      <c r="S151" s="51">
        <f t="shared" ref="S151:T151" si="481">SUM(S143:S150)</f>
        <v>0</v>
      </c>
      <c r="T151" s="68">
        <f t="shared" si="481"/>
        <v>0</v>
      </c>
      <c r="U151" s="53"/>
      <c r="V151" s="53"/>
      <c r="W151" s="51">
        <f t="shared" ref="W151:X151" si="482">SUM(W143:W150)</f>
        <v>120</v>
      </c>
      <c r="X151" s="68">
        <f t="shared" si="482"/>
        <v>0</v>
      </c>
      <c r="Y151" s="52"/>
      <c r="Z151" s="53"/>
      <c r="AA151" s="51">
        <f t="shared" ref="AA151:AB151" si="483">SUM(AA143:AA150)</f>
        <v>862.12</v>
      </c>
      <c r="AB151" s="68">
        <f t="shared" si="483"/>
        <v>1000</v>
      </c>
      <c r="AC151" s="53"/>
      <c r="AD151" s="53"/>
      <c r="AE151" s="51">
        <f t="shared" ref="AE151:AF151" si="484">SUM(AE143:AE150)</f>
        <v>4542.24</v>
      </c>
      <c r="AF151" s="68">
        <f t="shared" si="484"/>
        <v>0</v>
      </c>
      <c r="AG151" s="52"/>
      <c r="AH151" s="53"/>
      <c r="AI151" s="183">
        <f t="shared" ref="AI151:AJ151" si="485">SUM(AI143:AI150)</f>
        <v>212.96</v>
      </c>
      <c r="AJ151" s="51">
        <f t="shared" si="485"/>
        <v>1200</v>
      </c>
      <c r="AK151" s="52"/>
      <c r="AL151" s="53"/>
      <c r="AM151" s="183">
        <f t="shared" ref="AM151:AN151" si="486">SUM(AM143:AM150)</f>
        <v>170.18</v>
      </c>
      <c r="AN151" s="51">
        <f t="shared" si="486"/>
        <v>4878</v>
      </c>
      <c r="AO151" s="52"/>
      <c r="AP151" s="53"/>
      <c r="AQ151" s="183">
        <f t="shared" ref="AQ151:AR151" si="487">SUM(AQ143:AQ150)</f>
        <v>2699.26</v>
      </c>
      <c r="AR151" s="51">
        <f t="shared" si="487"/>
        <v>0</v>
      </c>
      <c r="AS151" s="52"/>
      <c r="AT151" s="53"/>
      <c r="AU151" s="183">
        <f t="shared" ref="AU151:AV151" si="488">SUM(AU143:AU150)</f>
        <v>314.6</v>
      </c>
      <c r="AV151" s="68">
        <f t="shared" si="488"/>
        <v>0</v>
      </c>
      <c r="AW151" s="52"/>
      <c r="AX151" s="53"/>
      <c r="AY151" s="183">
        <f t="shared" ref="AY151:AZ151" si="489">SUM(AY143:AY150)</f>
        <v>0</v>
      </c>
      <c r="AZ151" s="68">
        <f t="shared" si="489"/>
        <v>0</v>
      </c>
      <c r="BA151" s="52"/>
      <c r="BB151" s="53"/>
      <c r="BC151" s="183">
        <f t="shared" ref="BC151:BD151" si="490">SUM(BC143:BC150)</f>
        <v>0</v>
      </c>
      <c r="BD151" s="68">
        <f t="shared" si="490"/>
        <v>0</v>
      </c>
      <c r="BE151" s="69"/>
      <c r="BF151" s="70">
        <f t="shared" ref="BF151:BH151" si="491">SUM(BF143:BF150)</f>
        <v>8921.36</v>
      </c>
      <c r="BG151" s="71">
        <f t="shared" si="491"/>
        <v>7078</v>
      </c>
      <c r="BH151" s="72">
        <f t="shared" si="491"/>
        <v>2119.31</v>
      </c>
      <c r="BI151" s="34">
        <f>H151+BF151-BG151</f>
        <v>2119.31</v>
      </c>
      <c r="BJ151" s="34">
        <f>BH151-BI151</f>
        <v>0</v>
      </c>
      <c r="BK151" s="2" t="b">
        <f>H151='2019'!BH127</f>
        <v>0</v>
      </c>
    </row>
    <row r="152" ht="14.25" customHeight="1" hidden="1" spans="1:63" x14ac:dyDescent="0.25">
      <c r="A152" s="175">
        <v>17</v>
      </c>
      <c r="B152" s="14"/>
      <c r="D152" s="14" t="s">
        <v>379</v>
      </c>
      <c r="F152" s="13"/>
      <c r="G152" s="28"/>
      <c r="H152" s="34">
        <f>'2019'!BH128</f>
        <v>0</v>
      </c>
      <c r="J152" s="15"/>
      <c r="K152" s="15"/>
      <c r="L152" s="28"/>
      <c r="Q152" s="13"/>
      <c r="R152" s="15"/>
      <c r="S152" s="15"/>
      <c r="T152" s="28"/>
      <c r="Y152" s="13"/>
      <c r="Z152" s="15"/>
      <c r="AA152" s="15"/>
      <c r="AB152" s="28"/>
      <c r="AG152" s="13"/>
      <c r="AH152" s="15"/>
      <c r="AI152" s="45"/>
      <c r="AJ152" s="15"/>
      <c r="AK152" s="13"/>
      <c r="AM152" s="45"/>
      <c r="AO152" s="13"/>
      <c r="AQ152" s="45"/>
      <c r="AS152" s="13"/>
      <c r="AU152" s="45"/>
      <c r="AW152" s="13"/>
      <c r="AY152" s="45"/>
      <c r="AZ152" s="28"/>
      <c r="BA152" s="13"/>
      <c r="BB152" s="15"/>
      <c r="BC152" s="45"/>
      <c r="BD152" s="28"/>
      <c r="BE152" s="14"/>
      <c r="BF152" s="41">
        <f t="shared" ref="BF152:BG152" si="492">K152+O152+S152+W152+AA152+AE152+AI152+AM152+AQ152+AU152+AY152+BC152</f>
        <v>0</v>
      </c>
      <c r="BG152" s="34">
        <f t="shared" si="492"/>
        <v>0</v>
      </c>
      <c r="BH152" s="35">
        <f t="shared" ref="BH152:BH159" si="493">H152+BF152-BG152</f>
        <v>0</v>
      </c>
      <c r="BK152" s="2" t="b">
        <f>H152='2019'!BH128</f>
        <v>1</v>
      </c>
    </row>
    <row r="153" ht="14.25" customHeight="1" hidden="1" spans="1:63" x14ac:dyDescent="0.25">
      <c r="A153" s="176">
        <v>17</v>
      </c>
      <c r="B153" s="86">
        <v>4</v>
      </c>
      <c r="C153" s="2" t="s">
        <v>106</v>
      </c>
      <c r="D153" s="14" t="s">
        <v>44</v>
      </c>
      <c r="E153" s="2" t="s">
        <v>45</v>
      </c>
      <c r="F153" s="41">
        <v>2.5</v>
      </c>
      <c r="G153" s="35">
        <v>2.6</v>
      </c>
      <c r="H153" s="34">
        <f>'2019'!BH129</f>
        <v>-17.39</v>
      </c>
      <c r="I153" s="13">
        <v>18</v>
      </c>
      <c r="J153" s="15">
        <f>I153-'2019'!BA129</f>
        <v>0</v>
      </c>
      <c r="K153" s="34">
        <f>J153*$F$8</f>
        <v>0</v>
      </c>
      <c r="L153" s="28"/>
      <c r="M153" s="2">
        <v>18</v>
      </c>
      <c r="N153" s="15">
        <f>M153-I153</f>
        <v>0</v>
      </c>
      <c r="O153" s="34">
        <f>N153*$F$8</f>
        <v>0</v>
      </c>
      <c r="Q153" s="13">
        <v>18</v>
      </c>
      <c r="R153" s="15">
        <f>Q153-M153</f>
        <v>0</v>
      </c>
      <c r="S153" s="34">
        <f>R153*$F$8</f>
        <v>0</v>
      </c>
      <c r="T153" s="28"/>
      <c r="U153" s="15">
        <v>18</v>
      </c>
      <c r="V153" s="15">
        <f t="shared" ref="V153:V154" si="494">U153-Q153</f>
        <v>0</v>
      </c>
      <c r="W153" s="34">
        <f>V153*$F$8</f>
        <v>0</v>
      </c>
      <c r="Y153" s="13">
        <v>39</v>
      </c>
      <c r="Z153" s="15">
        <f t="shared" ref="Z153:Z154" si="495">Y153-U153</f>
        <v>21</v>
      </c>
      <c r="AA153" s="34">
        <f>Z153*$F$8</f>
        <v>52.5</v>
      </c>
      <c r="AB153" s="28"/>
      <c r="AC153" s="13">
        <v>55</v>
      </c>
      <c r="AD153" s="15">
        <f t="shared" ref="AD153:AD154" si="496">AC153-Y153</f>
        <v>16</v>
      </c>
      <c r="AE153" s="34">
        <f>AD153*$F$8</f>
        <v>40</v>
      </c>
      <c r="AF153" s="39">
        <v>200</v>
      </c>
      <c r="AG153" s="13">
        <v>76</v>
      </c>
      <c r="AH153" s="15">
        <f t="shared" ref="AH153:AH154" si="497">AG153-AC153</f>
        <v>21</v>
      </c>
      <c r="AI153" s="45">
        <f>AH153*$G$8</f>
        <v>54.6</v>
      </c>
      <c r="AJ153" s="15"/>
      <c r="AK153" s="13">
        <v>95</v>
      </c>
      <c r="AL153" s="15">
        <f t="shared" ref="AL153:AL154" si="498">AK153-AG153</f>
        <v>19</v>
      </c>
      <c r="AM153" s="45">
        <f>AL153*$G$8</f>
        <v>49.4</v>
      </c>
      <c r="AN153" s="15"/>
      <c r="AO153" s="13">
        <v>95</v>
      </c>
      <c r="AP153" s="15">
        <f t="shared" ref="AP153:AP154" si="499">AO153-AK153</f>
        <v>0</v>
      </c>
      <c r="AQ153" s="45">
        <f>AP153*$G$8</f>
        <v>0</v>
      </c>
      <c r="AR153" s="39">
        <v>50</v>
      </c>
      <c r="AS153" s="13">
        <v>95</v>
      </c>
      <c r="AT153" s="15">
        <f t="shared" ref="AT153:AT154" si="500">AS153-AO153</f>
        <v>0</v>
      </c>
      <c r="AU153" s="45">
        <f>AT153*$G$8</f>
        <v>0</v>
      </c>
      <c r="AV153" s="15"/>
      <c r="AW153" s="13">
        <v>95</v>
      </c>
      <c r="AX153" s="2">
        <f t="shared" ref="AX153:AX154" si="501">AW153-AS153</f>
        <v>0</v>
      </c>
      <c r="AY153" s="45">
        <f>AX153*$G$8</f>
        <v>0</v>
      </c>
      <c r="AZ153" s="208"/>
      <c r="BA153" s="13">
        <v>95</v>
      </c>
      <c r="BB153" s="15">
        <f t="shared" ref="BB153:BB154" si="502">BA153-AW153</f>
        <v>0</v>
      </c>
      <c r="BC153" s="45">
        <f>BB153*$G$8</f>
        <v>0</v>
      </c>
      <c r="BD153" s="208"/>
      <c r="BE153" s="40">
        <f t="shared" ref="BE153:BG153" si="503">J153+N153+R153+V153+Z153+AD153+AH153+AL153+AP153+AT153+AX153+BB153</f>
        <v>77</v>
      </c>
      <c r="BF153" s="41">
        <f t="shared" si="503"/>
        <v>196.5</v>
      </c>
      <c r="BG153" s="34">
        <f t="shared" si="503"/>
        <v>250</v>
      </c>
      <c r="BH153" s="35">
        <f t="shared" si="493"/>
        <v>-70.89</v>
      </c>
      <c r="BK153" s="2" t="b">
        <f>H153='2019'!BH129</f>
        <v>1</v>
      </c>
    </row>
    <row r="154" ht="14.25" customHeight="1" hidden="1" spans="1:63" x14ac:dyDescent="0.25">
      <c r="A154" s="176">
        <v>17</v>
      </c>
      <c r="B154" s="14"/>
      <c r="C154" s="2" t="s">
        <v>83</v>
      </c>
      <c r="D154" s="14" t="s">
        <v>47</v>
      </c>
      <c r="E154" s="2" t="s">
        <v>48</v>
      </c>
      <c r="F154" s="13">
        <v>18.56</v>
      </c>
      <c r="G154" s="35">
        <v>19.46</v>
      </c>
      <c r="H154" s="34">
        <f>'2019'!BH130</f>
        <v>-18.56</v>
      </c>
      <c r="I154" s="15">
        <v>69</v>
      </c>
      <c r="J154" s="15"/>
      <c r="K154" s="15"/>
      <c r="L154" s="28"/>
      <c r="M154" s="2">
        <v>69</v>
      </c>
      <c r="Q154" s="13">
        <v>69</v>
      </c>
      <c r="R154" s="15"/>
      <c r="S154" s="15"/>
      <c r="T154" s="28"/>
      <c r="U154" s="2">
        <v>69</v>
      </c>
      <c r="V154" s="2">
        <f t="shared" si="494"/>
        <v>0</v>
      </c>
      <c r="W154" s="34">
        <f>V154*$F$10</f>
        <v>0</v>
      </c>
      <c r="Y154" s="13">
        <v>70</v>
      </c>
      <c r="Z154" s="15">
        <f t="shared" si="495"/>
        <v>1</v>
      </c>
      <c r="AA154" s="34">
        <f>Z154*$F$10</f>
        <v>18.56</v>
      </c>
      <c r="AB154" s="28"/>
      <c r="AC154" s="15">
        <v>71</v>
      </c>
      <c r="AD154" s="15">
        <f t="shared" si="496"/>
        <v>1</v>
      </c>
      <c r="AE154" s="34">
        <f>AD154*$F$10</f>
        <v>18.56</v>
      </c>
      <c r="AF154" s="1"/>
      <c r="AG154" s="13">
        <v>72</v>
      </c>
      <c r="AH154" s="15">
        <f t="shared" si="497"/>
        <v>1</v>
      </c>
      <c r="AI154" s="45">
        <f>AH154*$G$10</f>
        <v>19.46</v>
      </c>
      <c r="AJ154" s="2"/>
      <c r="AK154" s="13">
        <v>72</v>
      </c>
      <c r="AL154" s="15">
        <f t="shared" si="498"/>
        <v>0</v>
      </c>
      <c r="AM154" s="45">
        <f>AL154*$G$10</f>
        <v>0</v>
      </c>
      <c r="AN154" s="15"/>
      <c r="AO154" s="13">
        <v>72</v>
      </c>
      <c r="AP154" s="15">
        <f t="shared" si="499"/>
        <v>0</v>
      </c>
      <c r="AQ154" s="45">
        <f>AP154*$G$10</f>
        <v>0</v>
      </c>
      <c r="AR154" s="1"/>
      <c r="AS154" s="13">
        <v>72</v>
      </c>
      <c r="AT154" s="15">
        <f t="shared" si="500"/>
        <v>0</v>
      </c>
      <c r="AU154" s="45">
        <f>AT154*$G$10</f>
        <v>0</v>
      </c>
      <c r="AV154" s="15"/>
      <c r="AW154" s="13">
        <v>72</v>
      </c>
      <c r="AX154" s="2">
        <f t="shared" si="501"/>
        <v>0</v>
      </c>
      <c r="AY154" s="45"/>
      <c r="AZ154" s="208"/>
      <c r="BA154" s="13">
        <v>72</v>
      </c>
      <c r="BB154" s="15">
        <f t="shared" si="502"/>
        <v>0</v>
      </c>
      <c r="BC154" s="45"/>
      <c r="BD154" s="208"/>
      <c r="BE154" s="40">
        <f t="shared" ref="BE154:BG154" si="504">J154+N154+R154+V154+Z154+AD154+AH154+AL154+AP154+AT154+AX154+BB154</f>
        <v>3</v>
      </c>
      <c r="BF154" s="41">
        <f t="shared" si="504"/>
        <v>56.58</v>
      </c>
      <c r="BG154" s="34">
        <f t="shared" si="504"/>
        <v>0</v>
      </c>
      <c r="BH154" s="35">
        <f t="shared" si="493"/>
        <v>38.02</v>
      </c>
      <c r="BK154" s="2" t="b">
        <f>H154='2019'!BH130</f>
        <v>1</v>
      </c>
    </row>
    <row r="155" ht="14.25" customHeight="1" hidden="1" spans="1:63" x14ac:dyDescent="0.25">
      <c r="A155" s="176">
        <v>17</v>
      </c>
      <c r="B155" s="14"/>
      <c r="C155" s="2" t="s">
        <v>107</v>
      </c>
      <c r="D155" s="14" t="s">
        <v>47</v>
      </c>
      <c r="E155" s="2" t="s">
        <v>49</v>
      </c>
      <c r="F155" s="41">
        <v>500</v>
      </c>
      <c r="G155" s="35"/>
      <c r="H155" s="34">
        <f>'2019'!BH131</f>
        <v>0</v>
      </c>
      <c r="I155" s="15"/>
      <c r="J155" s="15"/>
      <c r="K155" s="15"/>
      <c r="L155" s="28"/>
      <c r="Q155" s="13"/>
      <c r="R155" s="15"/>
      <c r="S155" s="15"/>
      <c r="T155" s="28"/>
      <c r="Y155" s="13"/>
      <c r="Z155" s="15"/>
      <c r="AA155" s="15"/>
      <c r="AB155" s="28"/>
      <c r="AF155" s="1"/>
      <c r="AG155" s="13"/>
      <c r="AH155" s="15"/>
      <c r="AI155" s="45"/>
      <c r="AJ155" s="15"/>
      <c r="AK155" s="13"/>
      <c r="AL155" s="15"/>
      <c r="AM155" s="45"/>
      <c r="AN155" s="15"/>
      <c r="AO155" s="13"/>
      <c r="AP155" s="15"/>
      <c r="AQ155" s="45"/>
      <c r="AR155" s="1"/>
      <c r="AS155" s="13"/>
      <c r="AT155" s="15"/>
      <c r="AU155" s="45"/>
      <c r="AV155" s="15"/>
      <c r="AW155" s="13"/>
      <c r="AY155" s="45"/>
      <c r="AZ155" s="28"/>
      <c r="BA155" s="13"/>
      <c r="BB155" s="15"/>
      <c r="BC155" s="45"/>
      <c r="BD155" s="28"/>
      <c r="BE155" s="14"/>
      <c r="BF155" s="41">
        <f t="shared" ref="BF155:BG155" si="505">K155+O155+S155+W155+AA155+AE155+AI155+AM155+AQ155+AU155+AY155+BC155</f>
        <v>0</v>
      </c>
      <c r="BG155" s="34">
        <f t="shared" si="505"/>
        <v>0</v>
      </c>
      <c r="BH155" s="35">
        <f t="shared" si="493"/>
        <v>0</v>
      </c>
      <c r="BK155" s="2" t="b">
        <f>H155='2019'!BH131</f>
        <v>1</v>
      </c>
    </row>
    <row r="156" ht="14.25" customHeight="1" hidden="1" spans="1:63" x14ac:dyDescent="0.25">
      <c r="A156" s="176">
        <v>17</v>
      </c>
      <c r="B156" s="14"/>
      <c r="C156" s="15" t="s">
        <v>108</v>
      </c>
      <c r="D156" s="14" t="s">
        <v>50</v>
      </c>
      <c r="E156" s="2" t="s">
        <v>49</v>
      </c>
      <c r="F156" s="41">
        <v>1100</v>
      </c>
      <c r="G156" s="35"/>
      <c r="H156" s="34">
        <f>'2019'!BH132</f>
        <v>0</v>
      </c>
      <c r="I156" s="15"/>
      <c r="J156" s="15"/>
      <c r="K156" s="15"/>
      <c r="L156" s="28"/>
      <c r="Q156" s="13"/>
      <c r="R156" s="15"/>
      <c r="S156" s="15"/>
      <c r="T156" s="28"/>
      <c r="Y156" s="13"/>
      <c r="Z156" s="15"/>
      <c r="AA156" s="15"/>
      <c r="AB156" s="28"/>
      <c r="AE156" s="34">
        <f>B153*$F$12</f>
        <v>4400</v>
      </c>
      <c r="AF156" s="39">
        <v>4400</v>
      </c>
      <c r="AG156" s="13"/>
      <c r="AH156" s="15"/>
      <c r="AI156" s="45"/>
      <c r="AJ156" s="15"/>
      <c r="AK156" s="13"/>
      <c r="AL156" s="15"/>
      <c r="AM156" s="45"/>
      <c r="AN156" s="15"/>
      <c r="AO156" s="13"/>
      <c r="AP156" s="15"/>
      <c r="AQ156" s="45"/>
      <c r="AR156" s="1"/>
      <c r="AS156" s="13"/>
      <c r="AT156" s="15"/>
      <c r="AU156" s="45"/>
      <c r="AV156" s="15"/>
      <c r="AW156" s="13"/>
      <c r="AY156" s="45"/>
      <c r="AZ156" s="28"/>
      <c r="BA156" s="13"/>
      <c r="BB156" s="15"/>
      <c r="BC156" s="45"/>
      <c r="BD156" s="28"/>
      <c r="BE156" s="14"/>
      <c r="BF156" s="41">
        <f t="shared" ref="BF156:BG156" si="506">K156+O156+S156+W156+AA156+AE156+AI156+AM156+AQ156+AU156+AY156+BC156</f>
        <v>4400</v>
      </c>
      <c r="BG156" s="34">
        <f t="shared" si="506"/>
        <v>4400</v>
      </c>
      <c r="BH156" s="35">
        <f t="shared" si="493"/>
        <v>0</v>
      </c>
      <c r="BK156" s="2" t="b">
        <f>H156='2019'!BH132</f>
        <v>1</v>
      </c>
    </row>
    <row r="157" ht="14.25" customHeight="1" hidden="1" spans="1:63" x14ac:dyDescent="0.25">
      <c r="A157" s="176">
        <v>17</v>
      </c>
      <c r="B157" s="14"/>
      <c r="D157" s="14" t="s">
        <v>51</v>
      </c>
      <c r="E157" s="2" t="s">
        <v>39</v>
      </c>
      <c r="F157" s="41">
        <v>500</v>
      </c>
      <c r="G157" s="35"/>
      <c r="H157" s="34">
        <f>'2019'!BH133</f>
        <v>0</v>
      </c>
      <c r="I157" s="15"/>
      <c r="J157" s="15"/>
      <c r="K157" s="15"/>
      <c r="L157" s="28"/>
      <c r="Q157" s="13"/>
      <c r="R157" s="15"/>
      <c r="S157" s="15"/>
      <c r="T157" s="28"/>
      <c r="Y157" s="13"/>
      <c r="Z157" s="15"/>
      <c r="AA157" s="15"/>
      <c r="AB157" s="28"/>
      <c r="AE157" s="34"/>
      <c r="AF157" s="39"/>
      <c r="AG157" s="13"/>
      <c r="AH157" s="15"/>
      <c r="AI157" s="45"/>
      <c r="AJ157" s="15"/>
      <c r="AK157" s="13"/>
      <c r="AL157" s="15"/>
      <c r="AM157" s="45"/>
      <c r="AN157" s="15"/>
      <c r="AO157" s="13"/>
      <c r="AP157" s="15"/>
      <c r="AQ157" s="45">
        <f>$F$13</f>
        <v>500</v>
      </c>
      <c r="AR157" s="39">
        <v>500</v>
      </c>
      <c r="AS157" s="13"/>
      <c r="AT157" s="15"/>
      <c r="AU157" s="45"/>
      <c r="AV157" s="15"/>
      <c r="AW157" s="13"/>
      <c r="AY157" s="45"/>
      <c r="AZ157" s="28"/>
      <c r="BA157" s="13"/>
      <c r="BB157" s="15"/>
      <c r="BC157" s="45"/>
      <c r="BD157" s="28"/>
      <c r="BE157" s="14"/>
      <c r="BF157" s="41">
        <f t="shared" ref="BF157:BG157" si="507">K157+O157+S157+W157+AA157+AE157+AI157+AM157+AQ157+AU157+AY157+BC157</f>
        <v>500</v>
      </c>
      <c r="BG157" s="34">
        <f t="shared" si="507"/>
        <v>500</v>
      </c>
      <c r="BH157" s="35">
        <f t="shared" si="493"/>
        <v>0</v>
      </c>
      <c r="BK157" s="2" t="b">
        <f>H157='2019'!BH133</f>
        <v>1</v>
      </c>
    </row>
    <row r="158" ht="14.25" customHeight="1" hidden="1" spans="1:60" x14ac:dyDescent="0.25">
      <c r="A158" s="176">
        <v>17</v>
      </c>
      <c r="B158" s="14"/>
      <c r="D158" s="14" t="s">
        <v>51</v>
      </c>
      <c r="E158" s="2" t="s">
        <v>49</v>
      </c>
      <c r="F158" s="41">
        <v>500</v>
      </c>
      <c r="G158" s="35"/>
      <c r="H158" s="34"/>
      <c r="I158" s="15"/>
      <c r="J158" s="15"/>
      <c r="K158" s="15"/>
      <c r="L158" s="28"/>
      <c r="Q158" s="13"/>
      <c r="R158" s="15"/>
      <c r="S158" s="15"/>
      <c r="T158" s="28"/>
      <c r="Y158" s="13"/>
      <c r="Z158" s="15"/>
      <c r="AA158" s="15"/>
      <c r="AB158" s="28"/>
      <c r="AE158" s="34"/>
      <c r="AF158" s="39"/>
      <c r="AG158" s="13"/>
      <c r="AH158" s="15"/>
      <c r="AI158" s="45"/>
      <c r="AJ158" s="15"/>
      <c r="AK158" s="13"/>
      <c r="AL158" s="15"/>
      <c r="AM158" s="45"/>
      <c r="AN158" s="15"/>
      <c r="AO158" s="13"/>
      <c r="AP158" s="15"/>
      <c r="AQ158" s="34">
        <f>B153*$F$14</f>
        <v>2000</v>
      </c>
      <c r="AR158" s="39">
        <v>2000</v>
      </c>
      <c r="AS158" s="13"/>
      <c r="AT158" s="15"/>
      <c r="AU158" s="45"/>
      <c r="AV158" s="15"/>
      <c r="AW158" s="13"/>
      <c r="AY158" s="45"/>
      <c r="AZ158" s="28"/>
      <c r="BA158" s="13"/>
      <c r="BB158" s="15"/>
      <c r="BC158" s="45"/>
      <c r="BD158" s="28"/>
      <c r="BE158" s="14"/>
      <c r="BF158" s="41">
        <f t="shared" ref="BF158:BG158" si="508">K158+O158+S158+W158+AA158+AE158+AI158+AM158+AQ158+AU158+AY158+BC158</f>
        <v>2000</v>
      </c>
      <c r="BG158" s="34">
        <f t="shared" si="508"/>
        <v>2000</v>
      </c>
      <c r="BH158" s="35">
        <f t="shared" si="493"/>
        <v>0</v>
      </c>
    </row>
    <row r="159" ht="14.25" customHeight="1" hidden="1" spans="1:63" x14ac:dyDescent="0.25">
      <c r="A159" s="176">
        <v>17</v>
      </c>
      <c r="B159" s="14"/>
      <c r="D159" s="14" t="s">
        <v>52</v>
      </c>
      <c r="E159" s="2" t="s">
        <v>39</v>
      </c>
      <c r="F159" s="41">
        <v>500</v>
      </c>
      <c r="G159" s="35"/>
      <c r="H159" s="34">
        <f>'2019'!BH134</f>
        <v>0</v>
      </c>
      <c r="I159" s="15"/>
      <c r="J159" s="15"/>
      <c r="K159" s="15"/>
      <c r="L159" s="28"/>
      <c r="Q159" s="13"/>
      <c r="R159" s="15"/>
      <c r="S159" s="15"/>
      <c r="T159" s="28"/>
      <c r="Y159" s="13"/>
      <c r="Z159" s="15"/>
      <c r="AA159" s="34">
        <f>$F$11</f>
        <v>500</v>
      </c>
      <c r="AB159" s="35"/>
      <c r="AF159" s="39">
        <v>500</v>
      </c>
      <c r="AG159" s="13"/>
      <c r="AH159" s="15"/>
      <c r="AI159" s="45"/>
      <c r="AJ159" s="15"/>
      <c r="AK159" s="13"/>
      <c r="AL159" s="15"/>
      <c r="AM159" s="45"/>
      <c r="AN159" s="15"/>
      <c r="AO159" s="13"/>
      <c r="AP159" s="15"/>
      <c r="AQ159" s="45"/>
      <c r="AR159" s="15"/>
      <c r="AS159" s="13"/>
      <c r="AT159" s="15"/>
      <c r="AU159" s="45"/>
      <c r="AV159" s="15"/>
      <c r="AW159" s="13"/>
      <c r="AY159" s="45"/>
      <c r="AZ159" s="35"/>
      <c r="BA159" s="13"/>
      <c r="BB159" s="15"/>
      <c r="BC159" s="45"/>
      <c r="BD159" s="35"/>
      <c r="BE159" s="14"/>
      <c r="BF159" s="41">
        <f t="shared" ref="BF159:BG159" si="509">K159+O159+S159+W159+AA159+AE159+AI159+AM159+AQ159+AU159+AY159+BC159</f>
        <v>500</v>
      </c>
      <c r="BG159" s="34">
        <f t="shared" si="509"/>
        <v>500</v>
      </c>
      <c r="BH159" s="35">
        <f t="shared" si="493"/>
        <v>0</v>
      </c>
      <c r="BK159" s="2" t="b">
        <f>H159='2019'!BH134</f>
        <v>1</v>
      </c>
    </row>
    <row r="160" ht="14.25" customHeight="1" hidden="1" spans="1:63" x14ac:dyDescent="0.25">
      <c r="A160" s="177">
        <v>17</v>
      </c>
      <c r="B160" s="21"/>
      <c r="C160" s="22" t="s">
        <v>53</v>
      </c>
      <c r="D160" s="21"/>
      <c r="E160" s="22"/>
      <c r="F160" s="20"/>
      <c r="G160" s="23"/>
      <c r="H160" s="51">
        <f>SUM(H152:H159)</f>
        <v>-35.95</v>
      </c>
      <c r="I160" s="53"/>
      <c r="J160" s="53"/>
      <c r="K160" s="51">
        <f t="shared" ref="K160:L160" si="510">SUM(K152:K159)</f>
        <v>0</v>
      </c>
      <c r="L160" s="68">
        <f t="shared" si="510"/>
        <v>0</v>
      </c>
      <c r="M160" s="53"/>
      <c r="N160" s="53"/>
      <c r="O160" s="51">
        <f t="shared" ref="O160:P160" si="511">SUM(O152:O159)</f>
        <v>0</v>
      </c>
      <c r="P160" s="68">
        <f t="shared" si="511"/>
        <v>0</v>
      </c>
      <c r="Q160" s="52"/>
      <c r="R160" s="53"/>
      <c r="S160" s="51">
        <f t="shared" ref="S160:T160" si="512">SUM(S152:S159)</f>
        <v>0</v>
      </c>
      <c r="T160" s="68">
        <f t="shared" si="512"/>
        <v>0</v>
      </c>
      <c r="U160" s="53"/>
      <c r="V160" s="53"/>
      <c r="W160" s="51">
        <f t="shared" ref="W160:X160" si="513">SUM(W152:W159)</f>
        <v>0</v>
      </c>
      <c r="X160" s="68">
        <f t="shared" si="513"/>
        <v>0</v>
      </c>
      <c r="Y160" s="52"/>
      <c r="Z160" s="53"/>
      <c r="AA160" s="51">
        <f t="shared" ref="AA160:AB160" si="514">SUM(AA152:AA159)</f>
        <v>571.06</v>
      </c>
      <c r="AB160" s="68">
        <f t="shared" si="514"/>
        <v>0</v>
      </c>
      <c r="AC160" s="53"/>
      <c r="AD160" s="53"/>
      <c r="AE160" s="51">
        <f t="shared" ref="AE160:AF160" si="515">SUM(AE152:AE159)</f>
        <v>4458.56</v>
      </c>
      <c r="AF160" s="68">
        <f t="shared" si="515"/>
        <v>5100</v>
      </c>
      <c r="AG160" s="52"/>
      <c r="AH160" s="53"/>
      <c r="AI160" s="183">
        <f t="shared" ref="AI160:AJ160" si="516">SUM(AI152:AI159)</f>
        <v>74.06</v>
      </c>
      <c r="AJ160" s="51">
        <f t="shared" si="516"/>
        <v>0</v>
      </c>
      <c r="AK160" s="52"/>
      <c r="AL160" s="53"/>
      <c r="AM160" s="183">
        <f t="shared" ref="AM160:AN160" si="517">SUM(AM152:AM159)</f>
        <v>49.4</v>
      </c>
      <c r="AN160" s="51">
        <f t="shared" si="517"/>
        <v>0</v>
      </c>
      <c r="AO160" s="52"/>
      <c r="AP160" s="53"/>
      <c r="AQ160" s="183">
        <f t="shared" ref="AQ160:AR160" si="518">SUM(AQ152:AQ159)</f>
        <v>2500</v>
      </c>
      <c r="AR160" s="51">
        <f t="shared" si="518"/>
        <v>2550</v>
      </c>
      <c r="AS160" s="52"/>
      <c r="AT160" s="53"/>
      <c r="AU160" s="183">
        <f t="shared" ref="AU160:AV160" si="519">SUM(AU152:AU159)</f>
        <v>0</v>
      </c>
      <c r="AV160" s="68">
        <f t="shared" si="519"/>
        <v>0</v>
      </c>
      <c r="AW160" s="52"/>
      <c r="AX160" s="53"/>
      <c r="AY160" s="183">
        <f t="shared" ref="AY160:AZ160" si="520">SUM(AY152:AY159)</f>
        <v>0</v>
      </c>
      <c r="AZ160" s="68">
        <f t="shared" si="520"/>
        <v>0</v>
      </c>
      <c r="BA160" s="52"/>
      <c r="BB160" s="53"/>
      <c r="BC160" s="183">
        <f t="shared" ref="BC160:BD160" si="521">SUM(BC152:BC159)</f>
        <v>0</v>
      </c>
      <c r="BD160" s="68">
        <f t="shared" si="521"/>
        <v>0</v>
      </c>
      <c r="BE160" s="69"/>
      <c r="BF160" s="70">
        <f t="shared" ref="BF160:BH160" si="522">SUM(BF152:BF159)</f>
        <v>7653.08</v>
      </c>
      <c r="BG160" s="71">
        <f t="shared" si="522"/>
        <v>7650</v>
      </c>
      <c r="BH160" s="72">
        <f t="shared" si="522"/>
        <v>-32.87</v>
      </c>
      <c r="BI160" s="34">
        <f>H160+BF160-BG160</f>
        <v>-32.87</v>
      </c>
      <c r="BJ160" s="34">
        <f>BH160-BI160</f>
        <v>0</v>
      </c>
      <c r="BK160" s="2" t="b">
        <f>H160='2019'!BH135</f>
        <v>1</v>
      </c>
    </row>
    <row r="161" ht="14.25" customHeight="1" hidden="1" spans="1:63" x14ac:dyDescent="0.25">
      <c r="A161" s="175">
        <v>18</v>
      </c>
      <c r="B161" s="14"/>
      <c r="D161" s="14" t="s">
        <v>379</v>
      </c>
      <c r="F161" s="13"/>
      <c r="G161" s="28"/>
      <c r="H161" s="34">
        <f>'2019'!BH136</f>
        <v>0</v>
      </c>
      <c r="J161" s="15"/>
      <c r="K161" s="15"/>
      <c r="L161" s="28"/>
      <c r="Q161" s="13"/>
      <c r="R161" s="15"/>
      <c r="S161" s="15"/>
      <c r="T161" s="28"/>
      <c r="Y161" s="13"/>
      <c r="Z161" s="15"/>
      <c r="AA161" s="15"/>
      <c r="AB161" s="28"/>
      <c r="AG161" s="13"/>
      <c r="AH161" s="15"/>
      <c r="AI161" s="45"/>
      <c r="AJ161" s="15"/>
      <c r="AK161" s="13"/>
      <c r="AM161" s="45"/>
      <c r="AO161" s="13"/>
      <c r="AQ161" s="45"/>
      <c r="AS161" s="13"/>
      <c r="AU161" s="45"/>
      <c r="AW161" s="13"/>
      <c r="AY161" s="45"/>
      <c r="AZ161" s="28"/>
      <c r="BA161" s="13"/>
      <c r="BB161" s="15"/>
      <c r="BC161" s="45"/>
      <c r="BD161" s="28"/>
      <c r="BE161" s="14"/>
      <c r="BF161" s="41">
        <f t="shared" ref="BF161:BG161" si="523">K161+O161+S161+W161+AA161+AE161+AI161+AM161+AQ161+AU161+AY161+BC161</f>
        <v>0</v>
      </c>
      <c r="BG161" s="34">
        <f t="shared" si="523"/>
        <v>0</v>
      </c>
      <c r="BH161" s="35">
        <f t="shared" ref="BH161:BH168" si="524">H161+BF161-BG161</f>
        <v>0</v>
      </c>
      <c r="BK161" s="2" t="b">
        <f>H161='2019'!BH136</f>
        <v>1</v>
      </c>
    </row>
    <row r="162" ht="14.25" customHeight="1" hidden="1" spans="1:63" x14ac:dyDescent="0.25">
      <c r="A162" s="176">
        <v>18</v>
      </c>
      <c r="B162" s="14">
        <v>4.03</v>
      </c>
      <c r="C162" s="2" t="s">
        <v>109</v>
      </c>
      <c r="D162" s="14" t="s">
        <v>44</v>
      </c>
      <c r="E162" s="2" t="s">
        <v>45</v>
      </c>
      <c r="F162" s="41">
        <v>2.5</v>
      </c>
      <c r="G162" s="35">
        <v>2.6</v>
      </c>
      <c r="H162" s="34">
        <f>'2019'!BH137</f>
        <v>40</v>
      </c>
      <c r="I162" s="13">
        <v>258</v>
      </c>
      <c r="J162" s="15">
        <f>I162-'2019'!BA137</f>
        <v>0</v>
      </c>
      <c r="K162" s="34">
        <f>J162*$F$8</f>
        <v>0</v>
      </c>
      <c r="L162" s="28"/>
      <c r="M162" s="2">
        <v>258</v>
      </c>
      <c r="N162" s="15">
        <f>M162-I162</f>
        <v>0</v>
      </c>
      <c r="O162" s="34">
        <f>N162*$F$8</f>
        <v>0</v>
      </c>
      <c r="Q162" s="13">
        <v>258</v>
      </c>
      <c r="R162" s="15">
        <f>Q162-M162</f>
        <v>0</v>
      </c>
      <c r="S162" s="34">
        <f>R162*$F$8</f>
        <v>0</v>
      </c>
      <c r="T162" s="28"/>
      <c r="U162" s="15">
        <v>261</v>
      </c>
      <c r="V162" s="15">
        <f t="shared" ref="V162:V163" si="525">U162-Q162</f>
        <v>3</v>
      </c>
      <c r="W162" s="34">
        <f>V162*$F$8</f>
        <v>7.5</v>
      </c>
      <c r="Y162" s="13">
        <v>279</v>
      </c>
      <c r="Z162" s="15">
        <f t="shared" ref="Z162:Z163" si="526">Y162-U162</f>
        <v>18</v>
      </c>
      <c r="AA162" s="34">
        <f>Z162*$F$8</f>
        <v>45</v>
      </c>
      <c r="AB162" s="28"/>
      <c r="AC162" s="15">
        <v>293</v>
      </c>
      <c r="AD162" s="15">
        <f t="shared" ref="AD162:AD163" si="527">AC162-Y162</f>
        <v>14</v>
      </c>
      <c r="AE162" s="34">
        <f>AD162*$F$8</f>
        <v>35</v>
      </c>
      <c r="AF162" s="15"/>
      <c r="AG162" s="13">
        <v>317</v>
      </c>
      <c r="AH162" s="15">
        <f t="shared" ref="AH162:AH163" si="528">AG162-AC162</f>
        <v>24</v>
      </c>
      <c r="AI162" s="45">
        <f>AH162*$G$8</f>
        <v>62.4</v>
      </c>
      <c r="AJ162" s="133">
        <v>127.5</v>
      </c>
      <c r="AK162" s="13">
        <v>340</v>
      </c>
      <c r="AL162" s="15">
        <f t="shared" ref="AL162:AL163" si="529">AK162-AG162</f>
        <v>23</v>
      </c>
      <c r="AM162" s="45">
        <f>AL162*$G$8</f>
        <v>59.8</v>
      </c>
      <c r="AN162" s="133">
        <v>114.4</v>
      </c>
      <c r="AO162" s="13">
        <v>353</v>
      </c>
      <c r="AP162" s="15">
        <f t="shared" ref="AP162:AP163" si="530">AO162-AK162</f>
        <v>13</v>
      </c>
      <c r="AQ162" s="45">
        <f>AP162*$G$8</f>
        <v>33.8</v>
      </c>
      <c r="AR162" s="15"/>
      <c r="AS162" s="13">
        <v>359</v>
      </c>
      <c r="AT162" s="15">
        <f t="shared" ref="AT162:AT163" si="531">AS162-AO162</f>
        <v>6</v>
      </c>
      <c r="AU162" s="45">
        <f>AT162*$G$8</f>
        <v>15.6</v>
      </c>
      <c r="AV162" s="15"/>
      <c r="AW162" s="13">
        <v>359</v>
      </c>
      <c r="AX162" s="2">
        <f t="shared" ref="AX162:AX163" si="532">AW162-AS162</f>
        <v>0</v>
      </c>
      <c r="AY162" s="45">
        <f>AX162*$G$8</f>
        <v>0</v>
      </c>
      <c r="AZ162" s="208"/>
      <c r="BA162" s="13">
        <v>359</v>
      </c>
      <c r="BB162" s="15">
        <f t="shared" ref="BB162:BB163" si="533">BA162-AW162</f>
        <v>0</v>
      </c>
      <c r="BC162" s="45">
        <f>BB162*$G$8</f>
        <v>0</v>
      </c>
      <c r="BD162" s="208"/>
      <c r="BE162" s="40">
        <f t="shared" ref="BE162:BG162" si="534">J162+N162+R162+V162+Z162+AD162+AH162+AL162+AP162+AT162+AX162+BB162</f>
        <v>101</v>
      </c>
      <c r="BF162" s="41">
        <f t="shared" si="534"/>
        <v>259.1</v>
      </c>
      <c r="BG162" s="34">
        <f t="shared" si="534"/>
        <v>241.9</v>
      </c>
      <c r="BH162" s="35">
        <f t="shared" si="524"/>
        <v>57.2</v>
      </c>
      <c r="BK162" s="2" t="b">
        <f>H162='2019'!BH137</f>
        <v>1</v>
      </c>
    </row>
    <row r="163" ht="14.25" customHeight="1" hidden="1" spans="1:63" x14ac:dyDescent="0.25">
      <c r="A163" s="176">
        <v>18</v>
      </c>
      <c r="B163" s="14"/>
      <c r="C163" s="2" t="s">
        <v>110</v>
      </c>
      <c r="D163" s="14" t="s">
        <v>47</v>
      </c>
      <c r="E163" s="2" t="s">
        <v>48</v>
      </c>
      <c r="F163" s="13">
        <v>18.56</v>
      </c>
      <c r="G163" s="35">
        <v>19.46</v>
      </c>
      <c r="H163" s="34">
        <f>'2019'!BH138</f>
        <v>-1.07</v>
      </c>
      <c r="I163" s="15">
        <v>219</v>
      </c>
      <c r="J163" s="15"/>
      <c r="K163" s="15"/>
      <c r="L163" s="28"/>
      <c r="M163" s="2">
        <v>219</v>
      </c>
      <c r="Q163" s="13">
        <v>219</v>
      </c>
      <c r="R163" s="15"/>
      <c r="S163" s="15"/>
      <c r="T163" s="28"/>
      <c r="U163" s="2">
        <v>224</v>
      </c>
      <c r="V163" s="2">
        <f t="shared" si="525"/>
        <v>5</v>
      </c>
      <c r="W163" s="34">
        <f>V163*$F$10</f>
        <v>92.8</v>
      </c>
      <c r="Y163" s="13">
        <v>224</v>
      </c>
      <c r="Z163" s="15">
        <f t="shared" si="526"/>
        <v>0</v>
      </c>
      <c r="AA163" s="34">
        <f>Z163*$F$10</f>
        <v>0</v>
      </c>
      <c r="AB163" s="28"/>
      <c r="AC163" s="15">
        <v>224</v>
      </c>
      <c r="AD163" s="15">
        <f t="shared" si="527"/>
        <v>0</v>
      </c>
      <c r="AE163" s="34">
        <f>AD163*$F$10</f>
        <v>0</v>
      </c>
      <c r="AF163" s="15"/>
      <c r="AG163" s="13">
        <v>235</v>
      </c>
      <c r="AH163" s="15">
        <f t="shared" si="528"/>
        <v>11</v>
      </c>
      <c r="AI163" s="45">
        <f>AH163*$G$10</f>
        <v>214.06</v>
      </c>
      <c r="AJ163" s="133">
        <f>305.79+33.71</f>
        <v>339.5</v>
      </c>
      <c r="AK163" s="13">
        <v>239</v>
      </c>
      <c r="AL163" s="15">
        <f t="shared" si="529"/>
        <v>4</v>
      </c>
      <c r="AM163" s="45">
        <f>AL163*$G$10</f>
        <v>77.84</v>
      </c>
      <c r="AN163" s="133">
        <f>44.13+1.47</f>
        <v>45.6</v>
      </c>
      <c r="AO163" s="13">
        <v>239</v>
      </c>
      <c r="AP163" s="15">
        <f t="shared" si="530"/>
        <v>0</v>
      </c>
      <c r="AQ163" s="45">
        <f>AP163*$G$10</f>
        <v>0</v>
      </c>
      <c r="AR163" s="15"/>
      <c r="AS163" s="13">
        <v>239</v>
      </c>
      <c r="AT163" s="15">
        <f t="shared" si="531"/>
        <v>0</v>
      </c>
      <c r="AU163" s="45">
        <f>AT163*$G$10</f>
        <v>0</v>
      </c>
      <c r="AV163" s="15"/>
      <c r="AW163" s="13">
        <v>239</v>
      </c>
      <c r="AX163" s="2">
        <f t="shared" si="532"/>
        <v>0</v>
      </c>
      <c r="AY163" s="45"/>
      <c r="AZ163" s="208"/>
      <c r="BA163" s="13">
        <v>239</v>
      </c>
      <c r="BB163" s="15">
        <f t="shared" si="533"/>
        <v>0</v>
      </c>
      <c r="BC163" s="45"/>
      <c r="BD163" s="208"/>
      <c r="BE163" s="40">
        <f t="shared" ref="BE163:BG163" si="535">J163+N163+R163+V163+Z163+AD163+AH163+AL163+AP163+AT163+AX163+BB163</f>
        <v>20</v>
      </c>
      <c r="BF163" s="41">
        <f t="shared" si="535"/>
        <v>384.7</v>
      </c>
      <c r="BG163" s="34">
        <f t="shared" si="535"/>
        <v>385.1</v>
      </c>
      <c r="BH163" s="35">
        <f t="shared" si="524"/>
        <v>-1.47</v>
      </c>
      <c r="BK163" s="2" t="b">
        <f>H163='2019'!BH138</f>
        <v>1</v>
      </c>
    </row>
    <row r="164" ht="14.25" customHeight="1" hidden="1" spans="1:63" x14ac:dyDescent="0.25">
      <c r="A164" s="176">
        <v>18</v>
      </c>
      <c r="B164" s="14"/>
      <c r="C164" s="2" t="s">
        <v>111</v>
      </c>
      <c r="D164" s="14" t="s">
        <v>47</v>
      </c>
      <c r="E164" s="2" t="s">
        <v>49</v>
      </c>
      <c r="F164" s="41">
        <v>500</v>
      </c>
      <c r="G164" s="35"/>
      <c r="H164" s="34">
        <f>'2019'!BH139</f>
        <v>0</v>
      </c>
      <c r="I164" s="15"/>
      <c r="J164" s="15"/>
      <c r="K164" s="15"/>
      <c r="L164" s="28"/>
      <c r="Q164" s="13"/>
      <c r="R164" s="15"/>
      <c r="S164" s="15"/>
      <c r="T164" s="28"/>
      <c r="Y164" s="13"/>
      <c r="Z164" s="15"/>
      <c r="AA164" s="15"/>
      <c r="AB164" s="28"/>
      <c r="AG164" s="13"/>
      <c r="AH164" s="15"/>
      <c r="AI164" s="45"/>
      <c r="AJ164" s="15"/>
      <c r="AK164" s="13"/>
      <c r="AL164" s="15"/>
      <c r="AM164" s="45"/>
      <c r="AN164" s="15"/>
      <c r="AO164" s="13"/>
      <c r="AP164" s="15"/>
      <c r="AQ164" s="45"/>
      <c r="AR164" s="15"/>
      <c r="AS164" s="13"/>
      <c r="AT164" s="15"/>
      <c r="AU164" s="45"/>
      <c r="AV164" s="15"/>
      <c r="AW164" s="13"/>
      <c r="AY164" s="45"/>
      <c r="AZ164" s="28"/>
      <c r="BA164" s="13"/>
      <c r="BB164" s="15"/>
      <c r="BC164" s="45"/>
      <c r="BD164" s="28"/>
      <c r="BE164" s="14"/>
      <c r="BF164" s="41">
        <f t="shared" ref="BF164:BG164" si="536">K164+O164+S164+W164+AA164+AE164+AI164+AM164+AQ164+AU164+AY164+BC164</f>
        <v>0</v>
      </c>
      <c r="BG164" s="34">
        <f t="shared" si="536"/>
        <v>0</v>
      </c>
      <c r="BH164" s="35">
        <f t="shared" si="524"/>
        <v>0</v>
      </c>
      <c r="BK164" s="2" t="b">
        <f>H164='2019'!BH139</f>
        <v>1</v>
      </c>
    </row>
    <row r="165" ht="14.25" customHeight="1" hidden="1" spans="1:63" x14ac:dyDescent="0.25">
      <c r="A165" s="176">
        <v>18</v>
      </c>
      <c r="B165" s="14"/>
      <c r="C165" s="15" t="s">
        <v>112</v>
      </c>
      <c r="D165" s="14" t="s">
        <v>50</v>
      </c>
      <c r="E165" s="2" t="s">
        <v>49</v>
      </c>
      <c r="F165" s="41">
        <v>1100</v>
      </c>
      <c r="G165" s="35"/>
      <c r="H165" s="182">
        <f>'2019'!BH140+0.0036</f>
        <v>0</v>
      </c>
      <c r="I165" s="15"/>
      <c r="J165" s="15"/>
      <c r="K165" s="15"/>
      <c r="L165" s="28"/>
      <c r="Q165" s="13"/>
      <c r="R165" s="15"/>
      <c r="S165" s="15"/>
      <c r="T165" s="28"/>
      <c r="Y165" s="13"/>
      <c r="Z165" s="15"/>
      <c r="AA165" s="15"/>
      <c r="AB165" s="28"/>
      <c r="AE165" s="34">
        <f>B162*$F$12</f>
        <v>4433</v>
      </c>
      <c r="AF165" s="34"/>
      <c r="AG165" s="13"/>
      <c r="AH165" s="15"/>
      <c r="AI165" s="45"/>
      <c r="AJ165" s="133">
        <v>4433</v>
      </c>
      <c r="AK165" s="13"/>
      <c r="AL165" s="15"/>
      <c r="AM165" s="45"/>
      <c r="AN165" s="15"/>
      <c r="AO165" s="13"/>
      <c r="AP165" s="15"/>
      <c r="AQ165" s="45"/>
      <c r="AR165" s="15"/>
      <c r="AS165" s="13"/>
      <c r="AT165" s="15"/>
      <c r="AU165" s="45"/>
      <c r="AV165" s="15"/>
      <c r="AW165" s="13"/>
      <c r="AY165" s="45"/>
      <c r="AZ165" s="28"/>
      <c r="BA165" s="13"/>
      <c r="BB165" s="15"/>
      <c r="BC165" s="45"/>
      <c r="BD165" s="28"/>
      <c r="BE165" s="14"/>
      <c r="BF165" s="41">
        <f t="shared" ref="BF165:BG165" si="537">K165+O165+S165+W165+AA165+AE165+AI165+AM165+AQ165+AU165+AY165+BC165</f>
        <v>4433</v>
      </c>
      <c r="BG165" s="34">
        <f t="shared" si="537"/>
        <v>4433</v>
      </c>
      <c r="BH165" s="35">
        <f t="shared" si="524"/>
        <v>0</v>
      </c>
      <c r="BK165" s="2" t="b">
        <f>H165='2019'!BH140</f>
        <v>0</v>
      </c>
    </row>
    <row r="166" ht="14.25" customHeight="1" hidden="1" spans="1:63" x14ac:dyDescent="0.25">
      <c r="A166" s="176">
        <v>18</v>
      </c>
      <c r="B166" s="14"/>
      <c r="D166" s="14" t="s">
        <v>51</v>
      </c>
      <c r="E166" s="2" t="s">
        <v>39</v>
      </c>
      <c r="F166" s="41">
        <v>500</v>
      </c>
      <c r="G166" s="35"/>
      <c r="H166" s="34">
        <f>'2019'!BH141</f>
        <v>0</v>
      </c>
      <c r="I166" s="15"/>
      <c r="J166" s="15"/>
      <c r="K166" s="15"/>
      <c r="L166" s="28"/>
      <c r="Q166" s="13"/>
      <c r="R166" s="15"/>
      <c r="S166" s="15"/>
      <c r="T166" s="28"/>
      <c r="Y166" s="13"/>
      <c r="Z166" s="15"/>
      <c r="AA166" s="15"/>
      <c r="AB166" s="28"/>
      <c r="AE166" s="34"/>
      <c r="AF166" s="34"/>
      <c r="AG166" s="13"/>
      <c r="AH166" s="15"/>
      <c r="AI166" s="45"/>
      <c r="AJ166" s="15"/>
      <c r="AK166" s="13"/>
      <c r="AL166" s="15"/>
      <c r="AM166" s="45"/>
      <c r="AN166" s="15"/>
      <c r="AO166" s="13"/>
      <c r="AP166" s="15"/>
      <c r="AQ166" s="45">
        <f>$F$13</f>
        <v>500</v>
      </c>
      <c r="AR166" s="15"/>
      <c r="AS166" s="13"/>
      <c r="AT166" s="15"/>
      <c r="AU166" s="45"/>
      <c r="AV166" s="15"/>
      <c r="AW166" s="13"/>
      <c r="AY166" s="45"/>
      <c r="AZ166" s="28"/>
      <c r="BA166" s="13"/>
      <c r="BB166" s="15"/>
      <c r="BC166" s="45"/>
      <c r="BD166" s="28"/>
      <c r="BE166" s="14"/>
      <c r="BF166" s="41">
        <f t="shared" ref="BF166:BG166" si="538">K166+O166+S166+W166+AA166+AE166+AI166+AM166+AQ166+AU166+AY166+BC166</f>
        <v>500</v>
      </c>
      <c r="BG166" s="34">
        <f t="shared" si="538"/>
        <v>0</v>
      </c>
      <c r="BH166" s="35">
        <f t="shared" si="524"/>
        <v>500</v>
      </c>
      <c r="BK166" s="2" t="b">
        <f>H166='2019'!BH141</f>
        <v>1</v>
      </c>
    </row>
    <row r="167" ht="14.25" customHeight="1" hidden="1" spans="1:60" x14ac:dyDescent="0.25">
      <c r="A167" s="176">
        <v>18</v>
      </c>
      <c r="B167" s="14"/>
      <c r="D167" s="14" t="s">
        <v>51</v>
      </c>
      <c r="E167" s="2" t="s">
        <v>49</v>
      </c>
      <c r="F167" s="41">
        <v>500</v>
      </c>
      <c r="G167" s="35"/>
      <c r="H167" s="34"/>
      <c r="I167" s="15"/>
      <c r="J167" s="15"/>
      <c r="K167" s="15"/>
      <c r="L167" s="28"/>
      <c r="Q167" s="13"/>
      <c r="R167" s="15"/>
      <c r="S167" s="15"/>
      <c r="T167" s="28"/>
      <c r="Y167" s="13"/>
      <c r="Z167" s="15"/>
      <c r="AA167" s="15"/>
      <c r="AB167" s="28"/>
      <c r="AE167" s="34"/>
      <c r="AF167" s="34"/>
      <c r="AG167" s="13"/>
      <c r="AH167" s="15"/>
      <c r="AI167" s="45"/>
      <c r="AJ167" s="15"/>
      <c r="AK167" s="13"/>
      <c r="AL167" s="15"/>
      <c r="AM167" s="45"/>
      <c r="AN167" s="15"/>
      <c r="AO167" s="13"/>
      <c r="AP167" s="15"/>
      <c r="AQ167" s="34">
        <f>B162*$F$14</f>
        <v>2015</v>
      </c>
      <c r="AR167" s="15"/>
      <c r="AS167" s="13"/>
      <c r="AT167" s="15"/>
      <c r="AU167" s="45"/>
      <c r="AV167" s="15"/>
      <c r="AW167" s="13"/>
      <c r="AY167" s="45"/>
      <c r="AZ167" s="28"/>
      <c r="BA167" s="13"/>
      <c r="BB167" s="15"/>
      <c r="BC167" s="45"/>
      <c r="BD167" s="28"/>
      <c r="BE167" s="14"/>
      <c r="BF167" s="41">
        <f t="shared" ref="BF167:BG167" si="539">K167+O167+S167+W167+AA167+AE167+AI167+AM167+AQ167+AU167+AY167+BC167</f>
        <v>2015</v>
      </c>
      <c r="BG167" s="34">
        <f t="shared" si="539"/>
        <v>0</v>
      </c>
      <c r="BH167" s="35">
        <f t="shared" si="524"/>
        <v>2015</v>
      </c>
    </row>
    <row r="168" ht="14.25" customHeight="1" hidden="1" spans="1:63" x14ac:dyDescent="0.25">
      <c r="A168" s="176">
        <v>18</v>
      </c>
      <c r="B168" s="14"/>
      <c r="D168" s="14" t="s">
        <v>52</v>
      </c>
      <c r="E168" s="2" t="s">
        <v>39</v>
      </c>
      <c r="F168" s="41">
        <v>500</v>
      </c>
      <c r="G168" s="35"/>
      <c r="H168" s="34">
        <f>'2019'!BH142</f>
        <v>0</v>
      </c>
      <c r="I168" s="15"/>
      <c r="J168" s="15"/>
      <c r="K168" s="15"/>
      <c r="L168" s="28"/>
      <c r="Q168" s="13"/>
      <c r="R168" s="15"/>
      <c r="S168" s="15"/>
      <c r="T168" s="28"/>
      <c r="Y168" s="13"/>
      <c r="Z168" s="15"/>
      <c r="AA168" s="34">
        <f>$F$11</f>
        <v>500</v>
      </c>
      <c r="AB168" s="28"/>
      <c r="AF168" s="34"/>
      <c r="AG168" s="13"/>
      <c r="AH168" s="15"/>
      <c r="AI168" s="45"/>
      <c r="AJ168" s="133">
        <v>500</v>
      </c>
      <c r="AK168" s="13"/>
      <c r="AL168" s="15"/>
      <c r="AM168" s="45"/>
      <c r="AN168" s="15"/>
      <c r="AO168" s="13"/>
      <c r="AP168" s="15"/>
      <c r="AQ168" s="45"/>
      <c r="AR168" s="15"/>
      <c r="AS168" s="13"/>
      <c r="AT168" s="15"/>
      <c r="AU168" s="45"/>
      <c r="AV168" s="15"/>
      <c r="AW168" s="13"/>
      <c r="AY168" s="45"/>
      <c r="AZ168" s="35"/>
      <c r="BA168" s="13"/>
      <c r="BB168" s="15"/>
      <c r="BC168" s="45"/>
      <c r="BD168" s="35"/>
      <c r="BE168" s="14"/>
      <c r="BF168" s="41">
        <f t="shared" ref="BF168:BG168" si="540">K168+O168+S168+W168+AA168+AE168+AI168+AM168+AQ168+AU168+AY168+BC168</f>
        <v>500</v>
      </c>
      <c r="BG168" s="34">
        <f t="shared" si="540"/>
        <v>500</v>
      </c>
      <c r="BH168" s="35">
        <f t="shared" si="524"/>
        <v>0</v>
      </c>
      <c r="BK168" s="2" t="b">
        <f>H168='2019'!BH142</f>
        <v>1</v>
      </c>
    </row>
    <row r="169" ht="14.25" customHeight="1" hidden="1" spans="1:63" x14ac:dyDescent="0.25">
      <c r="A169" s="177">
        <v>18</v>
      </c>
      <c r="B169" s="21"/>
      <c r="C169" s="22" t="s">
        <v>53</v>
      </c>
      <c r="D169" s="21"/>
      <c r="E169" s="22"/>
      <c r="F169" s="20"/>
      <c r="G169" s="23"/>
      <c r="H169" s="51">
        <f>SUM(H161:H168)</f>
        <v>38.93</v>
      </c>
      <c r="I169" s="53"/>
      <c r="J169" s="53"/>
      <c r="K169" s="51">
        <f t="shared" ref="K169:L169" si="541">SUM(K161:K168)</f>
        <v>0</v>
      </c>
      <c r="L169" s="68">
        <f t="shared" si="541"/>
        <v>0</v>
      </c>
      <c r="M169" s="53"/>
      <c r="N169" s="53"/>
      <c r="O169" s="51">
        <f t="shared" ref="O169:P169" si="542">SUM(O161:O168)</f>
        <v>0</v>
      </c>
      <c r="P169" s="68">
        <f t="shared" si="542"/>
        <v>0</v>
      </c>
      <c r="Q169" s="52"/>
      <c r="R169" s="53"/>
      <c r="S169" s="51">
        <f t="shared" ref="S169:T169" si="543">SUM(S161:S168)</f>
        <v>0</v>
      </c>
      <c r="T169" s="68">
        <f t="shared" si="543"/>
        <v>0</v>
      </c>
      <c r="U169" s="53"/>
      <c r="V169" s="53"/>
      <c r="W169" s="51">
        <f t="shared" ref="W169:X169" si="544">SUM(W161:W168)</f>
        <v>100.3</v>
      </c>
      <c r="X169" s="68">
        <f t="shared" si="544"/>
        <v>0</v>
      </c>
      <c r="Y169" s="52"/>
      <c r="Z169" s="53"/>
      <c r="AA169" s="51">
        <f t="shared" ref="AA169:AB169" si="545">SUM(AA161:AA168)</f>
        <v>545</v>
      </c>
      <c r="AB169" s="68">
        <f t="shared" si="545"/>
        <v>0</v>
      </c>
      <c r="AC169" s="53"/>
      <c r="AD169" s="53"/>
      <c r="AE169" s="51">
        <f t="shared" ref="AE169:AF169" si="546">SUM(AE161:AE168)</f>
        <v>4468</v>
      </c>
      <c r="AF169" s="68">
        <f t="shared" si="546"/>
        <v>0</v>
      </c>
      <c r="AG169" s="52"/>
      <c r="AH169" s="53"/>
      <c r="AI169" s="183">
        <f t="shared" ref="AI169:AJ169" si="547">SUM(AI161:AI168)</f>
        <v>276.46</v>
      </c>
      <c r="AJ169" s="51">
        <f t="shared" si="547"/>
        <v>5400</v>
      </c>
      <c r="AK169" s="52"/>
      <c r="AL169" s="53"/>
      <c r="AM169" s="183">
        <f t="shared" ref="AM169:AN169" si="548">SUM(AM161:AM168)</f>
        <v>137.64</v>
      </c>
      <c r="AN169" s="51">
        <f t="shared" si="548"/>
        <v>160</v>
      </c>
      <c r="AO169" s="52"/>
      <c r="AP169" s="53"/>
      <c r="AQ169" s="183">
        <f t="shared" ref="AQ169:AR169" si="549">SUM(AQ161:AQ168)</f>
        <v>2548.8</v>
      </c>
      <c r="AR169" s="51">
        <f t="shared" si="549"/>
        <v>0</v>
      </c>
      <c r="AS169" s="52"/>
      <c r="AT169" s="53"/>
      <c r="AU169" s="183">
        <f t="shared" ref="AU169:AV169" si="550">SUM(AU161:AU168)</f>
        <v>15.6</v>
      </c>
      <c r="AV169" s="68">
        <f t="shared" si="550"/>
        <v>0</v>
      </c>
      <c r="AW169" s="52"/>
      <c r="AX169" s="53"/>
      <c r="AY169" s="183">
        <f t="shared" ref="AY169:AZ169" si="551">SUM(AY161:AY168)</f>
        <v>0</v>
      </c>
      <c r="AZ169" s="68">
        <f t="shared" si="551"/>
        <v>0</v>
      </c>
      <c r="BA169" s="52"/>
      <c r="BB169" s="53"/>
      <c r="BC169" s="183">
        <f t="shared" ref="BC169:BD169" si="552">SUM(BC161:BC168)</f>
        <v>0</v>
      </c>
      <c r="BD169" s="68">
        <f t="shared" si="552"/>
        <v>0</v>
      </c>
      <c r="BE169" s="69"/>
      <c r="BF169" s="70">
        <f t="shared" ref="BF169:BH169" si="553">SUM(BF161:BF168)</f>
        <v>8091.8</v>
      </c>
      <c r="BG169" s="71">
        <f t="shared" si="553"/>
        <v>5560</v>
      </c>
      <c r="BH169" s="72">
        <f t="shared" si="553"/>
        <v>2570.73</v>
      </c>
      <c r="BI169" s="34">
        <f>H169+BF169-BG169</f>
        <v>2570.73</v>
      </c>
      <c r="BJ169" s="34">
        <f>BH169-BI169</f>
        <v>0</v>
      </c>
      <c r="BK169" s="2" t="b">
        <f>H169='2019'!BH143</f>
        <v>0</v>
      </c>
    </row>
    <row r="170" ht="14.25" customHeight="1" hidden="1" spans="1:63" x14ac:dyDescent="0.25">
      <c r="A170" s="2">
        <v>19</v>
      </c>
      <c r="B170" s="14"/>
      <c r="D170" s="14" t="s">
        <v>379</v>
      </c>
      <c r="F170" s="13"/>
      <c r="G170" s="28"/>
      <c r="H170" s="34">
        <f>'2019'!BH144</f>
        <v>16.71</v>
      </c>
      <c r="J170" s="15"/>
      <c r="K170" s="15"/>
      <c r="L170" s="28"/>
      <c r="Q170" s="13"/>
      <c r="R170" s="15"/>
      <c r="S170" s="15"/>
      <c r="T170" s="28"/>
      <c r="Y170" s="13"/>
      <c r="Z170" s="15"/>
      <c r="AA170" s="15"/>
      <c r="AB170" s="28"/>
      <c r="AG170" s="13"/>
      <c r="AH170" s="15"/>
      <c r="AI170" s="45"/>
      <c r="AJ170" s="138">
        <v>16.71</v>
      </c>
      <c r="AK170" s="13"/>
      <c r="AM170" s="45"/>
      <c r="AO170" s="13"/>
      <c r="AQ170" s="45">
        <v>0.88</v>
      </c>
      <c r="AS170" s="13"/>
      <c r="AU170" s="45">
        <v>0.91</v>
      </c>
      <c r="AW170" s="13"/>
      <c r="AY170" s="45">
        <v>0.88</v>
      </c>
      <c r="AZ170" s="28"/>
      <c r="BA170" s="13"/>
      <c r="BB170" s="15"/>
      <c r="BC170" s="45">
        <v>0.91</v>
      </c>
      <c r="BD170" s="28"/>
      <c r="BE170" s="14"/>
      <c r="BF170" s="41">
        <f t="shared" ref="BF170:BG170" si="554">K170+O170+S170+W170+AA170+AE170+AI170+AM170+AQ170+AU170+AY170+BC170</f>
        <v>3.58</v>
      </c>
      <c r="BG170" s="34">
        <f t="shared" si="554"/>
        <v>16.71</v>
      </c>
      <c r="BH170" s="35">
        <f t="shared" ref="BH170:BH177" si="555">H170+BF170-BG170</f>
        <v>3.58</v>
      </c>
      <c r="BK170" s="2" t="b">
        <f>H170='2019'!BH144</f>
        <v>1</v>
      </c>
    </row>
    <row r="171" ht="14.25" customHeight="1" hidden="1" spans="1:63" x14ac:dyDescent="0.25">
      <c r="A171" s="2">
        <v>19</v>
      </c>
      <c r="B171" s="42">
        <v>4.1</v>
      </c>
      <c r="C171" s="2" t="s">
        <v>113</v>
      </c>
      <c r="D171" s="14" t="s">
        <v>44</v>
      </c>
      <c r="E171" s="2" t="s">
        <v>45</v>
      </c>
      <c r="F171" s="41">
        <v>2.5</v>
      </c>
      <c r="G171" s="35">
        <v>2.6</v>
      </c>
      <c r="H171" s="34">
        <f>'2019'!BH145</f>
        <v>0</v>
      </c>
      <c r="I171" s="13">
        <v>1</v>
      </c>
      <c r="J171" s="15">
        <f>I171-'2019'!BA145</f>
        <v>0</v>
      </c>
      <c r="K171" s="34">
        <f>J171*$F$8</f>
        <v>0</v>
      </c>
      <c r="L171" s="28"/>
      <c r="M171" s="2">
        <v>1</v>
      </c>
      <c r="N171" s="15">
        <f>M171-I171</f>
        <v>0</v>
      </c>
      <c r="O171" s="34">
        <f>N171*$F$8</f>
        <v>0</v>
      </c>
      <c r="Q171" s="13">
        <v>1</v>
      </c>
      <c r="R171" s="15">
        <f>Q171-M171</f>
        <v>0</v>
      </c>
      <c r="S171" s="34">
        <f>R171*$F$8</f>
        <v>0</v>
      </c>
      <c r="T171" s="28"/>
      <c r="U171" s="15">
        <v>1</v>
      </c>
      <c r="V171" s="15">
        <f t="shared" ref="V171:V172" si="556">U171-Q171</f>
        <v>0</v>
      </c>
      <c r="W171" s="34">
        <f>V171*$F$8</f>
        <v>0</v>
      </c>
      <c r="Y171" s="13">
        <v>1</v>
      </c>
      <c r="Z171" s="15">
        <f t="shared" ref="Z171:Z172" si="557">Y171-U171</f>
        <v>0</v>
      </c>
      <c r="AA171" s="34">
        <f>Z171*$F$8</f>
        <v>0</v>
      </c>
      <c r="AB171" s="28"/>
      <c r="AC171" s="15">
        <v>1</v>
      </c>
      <c r="AD171" s="15">
        <f t="shared" ref="AD171:AD172" si="558">AC171-Y171</f>
        <v>0</v>
      </c>
      <c r="AE171" s="34">
        <f>AD171*$F$8</f>
        <v>0</v>
      </c>
      <c r="AG171" s="13">
        <v>1</v>
      </c>
      <c r="AH171" s="15">
        <f t="shared" ref="AH171:AH172" si="559">AG171-AC171</f>
        <v>0</v>
      </c>
      <c r="AI171" s="45">
        <f>AH171*$G$8</f>
        <v>0</v>
      </c>
      <c r="AJ171" s="15"/>
      <c r="AK171" s="13">
        <v>1</v>
      </c>
      <c r="AL171" s="15">
        <f t="shared" ref="AL171:AL172" si="560">AK171-AG171</f>
        <v>0</v>
      </c>
      <c r="AM171" s="45">
        <f>AL171*$G$8</f>
        <v>0</v>
      </c>
      <c r="AN171" s="15"/>
      <c r="AO171" s="13">
        <v>1</v>
      </c>
      <c r="AP171" s="15">
        <f t="shared" ref="AP171:AP172" si="561">AO171-AK171</f>
        <v>0</v>
      </c>
      <c r="AQ171" s="45">
        <f>AP171*$G$8</f>
        <v>0</v>
      </c>
      <c r="AR171" s="15"/>
      <c r="AS171" s="13">
        <v>1</v>
      </c>
      <c r="AT171" s="15">
        <f t="shared" ref="AT171:AT172" si="562">AS171-AO171</f>
        <v>0</v>
      </c>
      <c r="AU171" s="45">
        <f>AT171*$G$8</f>
        <v>0</v>
      </c>
      <c r="AV171" s="15"/>
      <c r="AW171" s="13">
        <v>1</v>
      </c>
      <c r="AX171" s="2">
        <f t="shared" ref="AX171:AX172" si="563">AW171-AS171</f>
        <v>0</v>
      </c>
      <c r="AY171" s="45">
        <f>AX171*$G$8</f>
        <v>0</v>
      </c>
      <c r="AZ171" s="208"/>
      <c r="BA171" s="13">
        <v>1</v>
      </c>
      <c r="BB171" s="15">
        <f t="shared" ref="BB171:BB172" si="564">BA171-AW171</f>
        <v>0</v>
      </c>
      <c r="BC171" s="45">
        <f>BB171*$G$8</f>
        <v>0</v>
      </c>
      <c r="BD171" s="208"/>
      <c r="BE171" s="40">
        <f t="shared" ref="BE171:BG171" si="565">J171+N171+R171+V171+Z171+AD171+AH171+AL171+AP171+AT171+AX171+BB171</f>
        <v>0</v>
      </c>
      <c r="BF171" s="41">
        <f t="shared" si="565"/>
        <v>0</v>
      </c>
      <c r="BG171" s="34">
        <f t="shared" si="565"/>
        <v>0</v>
      </c>
      <c r="BH171" s="35">
        <f t="shared" si="555"/>
        <v>0</v>
      </c>
      <c r="BK171" s="2" t="b">
        <f>H171='2019'!BH145</f>
        <v>1</v>
      </c>
    </row>
    <row r="172" ht="14.25" customHeight="1" hidden="1" spans="1:63" x14ac:dyDescent="0.25">
      <c r="A172" s="2">
        <v>19</v>
      </c>
      <c r="B172" s="14"/>
      <c r="C172" s="2" t="s">
        <v>114</v>
      </c>
      <c r="D172" s="14" t="s">
        <v>47</v>
      </c>
      <c r="E172" s="2" t="s">
        <v>48</v>
      </c>
      <c r="F172" s="13">
        <v>18.56</v>
      </c>
      <c r="G172" s="35">
        <v>19.46</v>
      </c>
      <c r="H172" s="34">
        <f>'2019'!BH146</f>
        <v>0</v>
      </c>
      <c r="I172" s="15">
        <v>78</v>
      </c>
      <c r="J172" s="15"/>
      <c r="K172" s="15"/>
      <c r="L172" s="28"/>
      <c r="M172" s="2">
        <v>78</v>
      </c>
      <c r="Q172" s="13">
        <v>78</v>
      </c>
      <c r="R172" s="15"/>
      <c r="S172" s="15"/>
      <c r="T172" s="28"/>
      <c r="U172" s="73">
        <v>78</v>
      </c>
      <c r="V172" s="2">
        <f t="shared" si="556"/>
        <v>0</v>
      </c>
      <c r="W172" s="34">
        <f>V172*$F$10</f>
        <v>0</v>
      </c>
      <c r="Y172" s="75">
        <v>78</v>
      </c>
      <c r="Z172" s="15">
        <f t="shared" si="557"/>
        <v>0</v>
      </c>
      <c r="AA172" s="34">
        <f>Z172*$F$10</f>
        <v>0</v>
      </c>
      <c r="AB172" s="28"/>
      <c r="AC172" s="15">
        <v>78</v>
      </c>
      <c r="AD172" s="15">
        <f t="shared" si="558"/>
        <v>0</v>
      </c>
      <c r="AE172" s="34">
        <f>B169*$F$21</f>
        <v>0</v>
      </c>
      <c r="AG172" s="13">
        <v>93</v>
      </c>
      <c r="AH172" s="15">
        <f t="shared" si="559"/>
        <v>15</v>
      </c>
      <c r="AI172" s="45">
        <f>AH172*$G$10</f>
        <v>291.9</v>
      </c>
      <c r="AJ172" s="133">
        <v>291.9</v>
      </c>
      <c r="AK172" s="13">
        <v>93</v>
      </c>
      <c r="AL172" s="15">
        <f t="shared" si="560"/>
        <v>0</v>
      </c>
      <c r="AM172" s="45">
        <f>AL172*$G$10</f>
        <v>0</v>
      </c>
      <c r="AN172" s="15"/>
      <c r="AO172" s="13">
        <v>93</v>
      </c>
      <c r="AP172" s="15">
        <f t="shared" si="561"/>
        <v>0</v>
      </c>
      <c r="AQ172" s="45">
        <f>AP172*$G$10</f>
        <v>0</v>
      </c>
      <c r="AR172" s="15"/>
      <c r="AS172" s="13">
        <v>93</v>
      </c>
      <c r="AT172" s="15">
        <f t="shared" si="562"/>
        <v>0</v>
      </c>
      <c r="AU172" s="45">
        <f>AT172*$G$10</f>
        <v>0</v>
      </c>
      <c r="AV172" s="15"/>
      <c r="AW172" s="13">
        <v>93</v>
      </c>
      <c r="AX172" s="2">
        <f t="shared" si="563"/>
        <v>0</v>
      </c>
      <c r="AY172" s="45"/>
      <c r="AZ172" s="208"/>
      <c r="BA172" s="13">
        <v>93</v>
      </c>
      <c r="BB172" s="15">
        <f t="shared" si="564"/>
        <v>0</v>
      </c>
      <c r="BC172" s="45"/>
      <c r="BD172" s="208"/>
      <c r="BE172" s="40">
        <f t="shared" ref="BE172:BG172" si="566">J172+N172+R172+V172+Z172+AD172+AH172+AL172+AP172+AT172+AX172+BB172</f>
        <v>15</v>
      </c>
      <c r="BF172" s="41">
        <f t="shared" si="566"/>
        <v>291.9</v>
      </c>
      <c r="BG172" s="34">
        <f t="shared" si="566"/>
        <v>291.9</v>
      </c>
      <c r="BH172" s="35">
        <f t="shared" si="555"/>
        <v>0</v>
      </c>
      <c r="BK172" s="2" t="b">
        <f>H172='2019'!BH146</f>
        <v>1</v>
      </c>
    </row>
    <row r="173" ht="14.25" customHeight="1" hidden="1" spans="1:63" x14ac:dyDescent="0.25">
      <c r="A173" s="2">
        <v>19</v>
      </c>
      <c r="B173" s="14"/>
      <c r="C173" s="2" t="s">
        <v>115</v>
      </c>
      <c r="D173" s="14" t="s">
        <v>47</v>
      </c>
      <c r="E173" s="2" t="s">
        <v>49</v>
      </c>
      <c r="F173" s="41">
        <v>500</v>
      </c>
      <c r="G173" s="35"/>
      <c r="H173" s="34">
        <f>'2019'!BH147</f>
        <v>0</v>
      </c>
      <c r="I173" s="15"/>
      <c r="J173" s="15"/>
      <c r="K173" s="15"/>
      <c r="L173" s="28"/>
      <c r="Q173" s="13"/>
      <c r="R173" s="15"/>
      <c r="S173" s="15"/>
      <c r="T173" s="28"/>
      <c r="Y173" s="13"/>
      <c r="Z173" s="15"/>
      <c r="AA173" s="15"/>
      <c r="AB173" s="28"/>
      <c r="AG173" s="13"/>
      <c r="AH173" s="15"/>
      <c r="AI173" s="45"/>
      <c r="AJ173" s="15"/>
      <c r="AK173" s="13"/>
      <c r="AL173" s="15"/>
      <c r="AM173" s="45"/>
      <c r="AN173" s="15"/>
      <c r="AO173" s="13"/>
      <c r="AP173" s="15"/>
      <c r="AQ173" s="45"/>
      <c r="AR173" s="15"/>
      <c r="AS173" s="13"/>
      <c r="AT173" s="15"/>
      <c r="AU173" s="45"/>
      <c r="AV173" s="15"/>
      <c r="AW173" s="13"/>
      <c r="AY173" s="45"/>
      <c r="AZ173" s="28"/>
      <c r="BA173" s="13"/>
      <c r="BB173" s="15"/>
      <c r="BC173" s="45"/>
      <c r="BD173" s="28"/>
      <c r="BE173" s="14"/>
      <c r="BF173" s="41">
        <f t="shared" ref="BF173:BG173" si="567">K173+O173+S173+W173+AA173+AE173+AI173+AM173+AQ173+AU173+AY173+BC173</f>
        <v>0</v>
      </c>
      <c r="BG173" s="34">
        <f t="shared" si="567"/>
        <v>0</v>
      </c>
      <c r="BH173" s="35">
        <f t="shared" si="555"/>
        <v>0</v>
      </c>
      <c r="BK173" s="2" t="b">
        <f>H173='2019'!BH147</f>
        <v>1</v>
      </c>
    </row>
    <row r="174" ht="14.25" customHeight="1" hidden="1" spans="1:63" x14ac:dyDescent="0.25">
      <c r="A174" s="2">
        <v>19</v>
      </c>
      <c r="B174" s="14"/>
      <c r="C174" s="73"/>
      <c r="D174" s="14" t="s">
        <v>50</v>
      </c>
      <c r="E174" s="2" t="s">
        <v>49</v>
      </c>
      <c r="F174" s="41">
        <v>1100</v>
      </c>
      <c r="G174" s="35"/>
      <c r="H174" s="182">
        <f>'2019'!BH148+0.002</f>
        <v>0</v>
      </c>
      <c r="I174" s="15"/>
      <c r="J174" s="15"/>
      <c r="K174" s="15"/>
      <c r="L174" s="28"/>
      <c r="Q174" s="13"/>
      <c r="R174" s="15"/>
      <c r="S174" s="15"/>
      <c r="T174" s="28"/>
      <c r="Y174" s="13"/>
      <c r="Z174" s="15"/>
      <c r="AA174" s="15"/>
      <c r="AB174" s="28"/>
      <c r="AE174" s="34">
        <f>B171*$F$12</f>
        <v>4510</v>
      </c>
      <c r="AF174" s="34"/>
      <c r="AG174" s="13"/>
      <c r="AH174" s="15"/>
      <c r="AI174" s="45"/>
      <c r="AJ174" s="138">
        <v>4217.14</v>
      </c>
      <c r="AK174" s="13"/>
      <c r="AL174" s="15"/>
      <c r="AM174" s="45"/>
      <c r="AN174" s="15"/>
      <c r="AO174" s="13"/>
      <c r="AP174" s="15"/>
      <c r="AQ174" s="45"/>
      <c r="AR174" s="15"/>
      <c r="AS174" s="13"/>
      <c r="AT174" s="15"/>
      <c r="AU174" s="45"/>
      <c r="AV174" s="15"/>
      <c r="AW174" s="13"/>
      <c r="AY174" s="45"/>
      <c r="AZ174" s="28"/>
      <c r="BA174" s="13"/>
      <c r="BB174" s="15"/>
      <c r="BC174" s="45"/>
      <c r="BD174" s="28"/>
      <c r="BE174" s="14"/>
      <c r="BF174" s="41">
        <f t="shared" ref="BF174:BG174" si="568">K174+O174+S174+W174+AA174+AE174+AI174+AM174+AQ174+AU174+AY174+BC174</f>
        <v>4510</v>
      </c>
      <c r="BG174" s="34">
        <f t="shared" si="568"/>
        <v>4217.14</v>
      </c>
      <c r="BH174" s="35">
        <f t="shared" si="555"/>
        <v>292.86</v>
      </c>
      <c r="BK174" s="2" t="b">
        <f>H174='2019'!BH148</f>
        <v>0</v>
      </c>
    </row>
    <row r="175" ht="14.25" customHeight="1" hidden="1" spans="1:63" x14ac:dyDescent="0.25">
      <c r="A175" s="2">
        <v>19</v>
      </c>
      <c r="B175" s="14"/>
      <c r="C175" s="2" t="s">
        <v>494</v>
      </c>
      <c r="D175" s="14" t="s">
        <v>51</v>
      </c>
      <c r="E175" s="2" t="s">
        <v>39</v>
      </c>
      <c r="F175" s="41">
        <v>500</v>
      </c>
      <c r="G175" s="35"/>
      <c r="H175" s="34">
        <f>'2019'!BH149</f>
        <v>0</v>
      </c>
      <c r="I175" s="15"/>
      <c r="J175" s="15"/>
      <c r="K175" s="15"/>
      <c r="L175" s="28"/>
      <c r="Q175" s="13"/>
      <c r="R175" s="15"/>
      <c r="S175" s="15"/>
      <c r="T175" s="28"/>
      <c r="Y175" s="13"/>
      <c r="Z175" s="15"/>
      <c r="AA175" s="15"/>
      <c r="AB175" s="28"/>
      <c r="AE175" s="34"/>
      <c r="AG175" s="13"/>
      <c r="AH175" s="15"/>
      <c r="AI175" s="45"/>
      <c r="AJ175" s="15"/>
      <c r="AK175" s="13"/>
      <c r="AL175" s="15"/>
      <c r="AM175" s="45"/>
      <c r="AN175" s="15"/>
      <c r="AO175" s="13"/>
      <c r="AP175" s="15"/>
      <c r="AQ175" s="45">
        <f>$F$13</f>
        <v>500</v>
      </c>
      <c r="AR175" s="15"/>
      <c r="AS175" s="13"/>
      <c r="AT175" s="15"/>
      <c r="AU175" s="45"/>
      <c r="AV175" s="15"/>
      <c r="AW175" s="13"/>
      <c r="AY175" s="45"/>
      <c r="AZ175" s="28"/>
      <c r="BA175" s="13"/>
      <c r="BB175" s="15"/>
      <c r="BC175" s="45"/>
      <c r="BD175" s="28"/>
      <c r="BE175" s="14"/>
      <c r="BF175" s="41">
        <f t="shared" ref="BF175:BG175" si="569">K175+O175+S175+W175+AA175+AE175+AI175+AM175+AQ175+AU175+AY175+BC175</f>
        <v>500</v>
      </c>
      <c r="BG175" s="34">
        <f t="shared" si="569"/>
        <v>0</v>
      </c>
      <c r="BH175" s="35">
        <f t="shared" si="555"/>
        <v>500</v>
      </c>
      <c r="BK175" s="2" t="b">
        <f>H175='2019'!BH149</f>
        <v>1</v>
      </c>
    </row>
    <row r="176" ht="14.25" customHeight="1" hidden="1" spans="1:60" x14ac:dyDescent="0.25">
      <c r="A176" s="2">
        <v>19</v>
      </c>
      <c r="B176" s="14"/>
      <c r="D176" s="14" t="s">
        <v>51</v>
      </c>
      <c r="E176" s="2" t="s">
        <v>49</v>
      </c>
      <c r="F176" s="41">
        <v>500</v>
      </c>
      <c r="G176" s="35"/>
      <c r="H176" s="34"/>
      <c r="I176" s="15"/>
      <c r="J176" s="15"/>
      <c r="K176" s="15"/>
      <c r="L176" s="28"/>
      <c r="Q176" s="13"/>
      <c r="R176" s="15"/>
      <c r="S176" s="15"/>
      <c r="T176" s="28"/>
      <c r="Y176" s="13"/>
      <c r="Z176" s="15"/>
      <c r="AA176" s="15"/>
      <c r="AB176" s="28"/>
      <c r="AE176" s="34"/>
      <c r="AG176" s="13"/>
      <c r="AH176" s="15"/>
      <c r="AI176" s="45"/>
      <c r="AJ176" s="15"/>
      <c r="AK176" s="13"/>
      <c r="AL176" s="15"/>
      <c r="AM176" s="45"/>
      <c r="AN176" s="15"/>
      <c r="AO176" s="13"/>
      <c r="AP176" s="15"/>
      <c r="AQ176" s="34">
        <f>B171*$F$14</f>
        <v>2050</v>
      </c>
      <c r="AR176" s="15"/>
      <c r="AS176" s="13"/>
      <c r="AT176" s="15"/>
      <c r="AU176" s="45"/>
      <c r="AV176" s="15"/>
      <c r="AW176" s="13"/>
      <c r="AY176" s="45"/>
      <c r="AZ176" s="28"/>
      <c r="BA176" s="13"/>
      <c r="BB176" s="15"/>
      <c r="BC176" s="45"/>
      <c r="BD176" s="28"/>
      <c r="BE176" s="14"/>
      <c r="BF176" s="41">
        <f t="shared" ref="BF176:BG176" si="570">K176+O176+S176+W176+AA176+AE176+AI176+AM176+AQ176+AU176+AY176+BC176</f>
        <v>2050</v>
      </c>
      <c r="BG176" s="34">
        <f t="shared" si="570"/>
        <v>0</v>
      </c>
      <c r="BH176" s="35">
        <f t="shared" si="555"/>
        <v>2050</v>
      </c>
    </row>
    <row r="177" ht="14.25" customHeight="1" hidden="1" spans="1:63" x14ac:dyDescent="0.25">
      <c r="A177" s="2">
        <v>19</v>
      </c>
      <c r="B177" s="14"/>
      <c r="C177" s="15" t="s">
        <v>495</v>
      </c>
      <c r="D177" s="14" t="s">
        <v>52</v>
      </c>
      <c r="E177" s="2" t="s">
        <v>39</v>
      </c>
      <c r="F177" s="41">
        <v>500</v>
      </c>
      <c r="G177" s="35"/>
      <c r="H177" s="34">
        <f>'2019'!BH150</f>
        <v>474.25</v>
      </c>
      <c r="I177" s="15"/>
      <c r="J177" s="15"/>
      <c r="K177" s="15"/>
      <c r="L177" s="28"/>
      <c r="Q177" s="13"/>
      <c r="R177" s="15"/>
      <c r="S177" s="15"/>
      <c r="T177" s="28"/>
      <c r="Y177" s="13"/>
      <c r="Z177" s="15"/>
      <c r="AA177" s="77"/>
      <c r="AB177" s="28"/>
      <c r="AG177" s="13"/>
      <c r="AH177" s="15"/>
      <c r="AI177" s="45"/>
      <c r="AJ177" s="138">
        <v>474.25</v>
      </c>
      <c r="AK177" s="13"/>
      <c r="AL177" s="15"/>
      <c r="AM177" s="45"/>
      <c r="AN177" s="15"/>
      <c r="AO177" s="13"/>
      <c r="AP177" s="15"/>
      <c r="AQ177" s="45"/>
      <c r="AR177" s="15"/>
      <c r="AS177" s="13"/>
      <c r="AT177" s="15"/>
      <c r="AU177" s="45"/>
      <c r="AV177" s="15"/>
      <c r="AW177" s="13"/>
      <c r="AY177" s="45"/>
      <c r="AZ177" s="35"/>
      <c r="BA177" s="13"/>
      <c r="BB177" s="15"/>
      <c r="BC177" s="45"/>
      <c r="BD177" s="35"/>
      <c r="BE177" s="14"/>
      <c r="BF177" s="41">
        <f t="shared" ref="BF177:BG177" si="571">K177+O177+S177+W177+AA177+AE177+AI177+AM177+AQ177+AU177+AY177+BC177</f>
        <v>0</v>
      </c>
      <c r="BG177" s="34">
        <f t="shared" si="571"/>
        <v>474.25</v>
      </c>
      <c r="BH177" s="35">
        <f t="shared" si="555"/>
        <v>0</v>
      </c>
      <c r="BK177" s="2" t="b">
        <f>H177='2019'!BH150</f>
        <v>1</v>
      </c>
    </row>
    <row r="178" ht="14.25" customHeight="1" hidden="1" spans="1:63" x14ac:dyDescent="0.25">
      <c r="A178" s="244" t="s">
        <v>116</v>
      </c>
      <c r="B178" s="21"/>
      <c r="C178" s="22" t="s">
        <v>53</v>
      </c>
      <c r="D178" s="21"/>
      <c r="E178" s="22"/>
      <c r="F178" s="20"/>
      <c r="G178" s="23"/>
      <c r="H178" s="51">
        <f>SUM(H170:H177)</f>
        <v>490.96</v>
      </c>
      <c r="I178" s="53"/>
      <c r="J178" s="53"/>
      <c r="K178" s="51">
        <f t="shared" ref="K178:L178" si="572">SUM(K170:K177)</f>
        <v>0</v>
      </c>
      <c r="L178" s="68">
        <f t="shared" si="572"/>
        <v>0</v>
      </c>
      <c r="M178" s="53"/>
      <c r="N178" s="53"/>
      <c r="O178" s="51">
        <f t="shared" ref="O178:P178" si="573">SUM(O170:O177)</f>
        <v>0</v>
      </c>
      <c r="P178" s="68">
        <f t="shared" si="573"/>
        <v>0</v>
      </c>
      <c r="Q178" s="52"/>
      <c r="R178" s="53"/>
      <c r="S178" s="51">
        <f t="shared" ref="S178:T178" si="574">SUM(S170:S177)</f>
        <v>0</v>
      </c>
      <c r="T178" s="68">
        <f t="shared" si="574"/>
        <v>0</v>
      </c>
      <c r="U178" s="53"/>
      <c r="V178" s="53"/>
      <c r="W178" s="51">
        <f t="shared" ref="W178:X178" si="575">SUM(W170:W177)</f>
        <v>0</v>
      </c>
      <c r="X178" s="68">
        <f t="shared" si="575"/>
        <v>0</v>
      </c>
      <c r="Y178" s="52"/>
      <c r="Z178" s="53"/>
      <c r="AA178" s="51">
        <f t="shared" ref="AA178:AB178" si="576">SUM(AA170:AA177)</f>
        <v>0</v>
      </c>
      <c r="AB178" s="68">
        <f t="shared" si="576"/>
        <v>0</v>
      </c>
      <c r="AC178" s="53"/>
      <c r="AD178" s="53"/>
      <c r="AE178" s="51">
        <f t="shared" ref="AE178:AF178" si="577">SUM(AE170:AE177)</f>
        <v>4510</v>
      </c>
      <c r="AF178" s="68">
        <f t="shared" si="577"/>
        <v>0</v>
      </c>
      <c r="AG178" s="52"/>
      <c r="AH178" s="53"/>
      <c r="AI178" s="183">
        <f t="shared" ref="AI178:AJ178" si="578">SUM(AI170:AI177)</f>
        <v>291.9</v>
      </c>
      <c r="AJ178" s="51">
        <f t="shared" si="578"/>
        <v>5000</v>
      </c>
      <c r="AK178" s="52"/>
      <c r="AL178" s="53"/>
      <c r="AM178" s="183">
        <f t="shared" ref="AM178:AN178" si="579">SUM(AM170:AM177)</f>
        <v>0</v>
      </c>
      <c r="AN178" s="51">
        <f t="shared" si="579"/>
        <v>0</v>
      </c>
      <c r="AO178" s="52"/>
      <c r="AP178" s="53"/>
      <c r="AQ178" s="183">
        <f t="shared" ref="AQ178:AR178" si="580">SUM(AQ170:AQ177)</f>
        <v>2550.88</v>
      </c>
      <c r="AR178" s="51">
        <f t="shared" si="580"/>
        <v>0</v>
      </c>
      <c r="AS178" s="52"/>
      <c r="AT178" s="53"/>
      <c r="AU178" s="183">
        <f t="shared" ref="AU178:AV178" si="581">SUM(AU170:AU177)</f>
        <v>0.91</v>
      </c>
      <c r="AV178" s="68">
        <f t="shared" si="581"/>
        <v>0</v>
      </c>
      <c r="AW178" s="52"/>
      <c r="AX178" s="53"/>
      <c r="AY178" s="183">
        <f t="shared" ref="AY178:AZ178" si="582">SUM(AY170:AY177)</f>
        <v>0.88</v>
      </c>
      <c r="AZ178" s="68">
        <f t="shared" si="582"/>
        <v>0</v>
      </c>
      <c r="BA178" s="52"/>
      <c r="BB178" s="53"/>
      <c r="BC178" s="183">
        <f t="shared" ref="BC178:BD178" si="583">SUM(BC170:BC177)</f>
        <v>0.91</v>
      </c>
      <c r="BD178" s="68">
        <f t="shared" si="583"/>
        <v>0</v>
      </c>
      <c r="BE178" s="69"/>
      <c r="BF178" s="70">
        <f t="shared" ref="BF178:BH178" si="584">SUM(BF170:BF177)</f>
        <v>7355.48</v>
      </c>
      <c r="BG178" s="71">
        <f t="shared" si="584"/>
        <v>5000</v>
      </c>
      <c r="BH178" s="72">
        <f t="shared" si="584"/>
        <v>2846.44</v>
      </c>
      <c r="BI178" s="34">
        <f>H178+BF178-BG178</f>
        <v>2846.44</v>
      </c>
      <c r="BJ178" s="34">
        <f>BH178-BI178</f>
        <v>0</v>
      </c>
      <c r="BK178" s="2" t="b">
        <f>H178='2019'!BH151</f>
        <v>0</v>
      </c>
    </row>
    <row r="179" ht="14.25" customHeight="1" hidden="1" spans="1:63" x14ac:dyDescent="0.25">
      <c r="A179" s="89" t="s">
        <v>117</v>
      </c>
      <c r="B179" s="14"/>
      <c r="D179" s="14" t="s">
        <v>379</v>
      </c>
      <c r="F179" s="13"/>
      <c r="G179" s="28"/>
      <c r="H179" s="34">
        <f>'2019'!BH152</f>
        <v>0</v>
      </c>
      <c r="J179" s="15"/>
      <c r="K179" s="15"/>
      <c r="L179" s="28"/>
      <c r="Q179" s="13"/>
      <c r="R179" s="15"/>
      <c r="S179" s="15"/>
      <c r="T179" s="28"/>
      <c r="Y179" s="13"/>
      <c r="Z179" s="15"/>
      <c r="AA179" s="15"/>
      <c r="AB179" s="28"/>
      <c r="AG179" s="13"/>
      <c r="AH179" s="15"/>
      <c r="AI179" s="45"/>
      <c r="AJ179" s="15"/>
      <c r="AK179" s="13"/>
      <c r="AM179" s="45"/>
      <c r="AO179" s="13"/>
      <c r="AQ179" s="45"/>
      <c r="AS179" s="13"/>
      <c r="AU179" s="45"/>
      <c r="AW179" s="13"/>
      <c r="AY179" s="45"/>
      <c r="AZ179" s="28"/>
      <c r="BA179" s="13"/>
      <c r="BB179" s="15"/>
      <c r="BC179" s="45"/>
      <c r="BD179" s="28"/>
      <c r="BE179" s="14"/>
      <c r="BF179" s="41">
        <f t="shared" ref="BF179:BG179" si="585">K179+O179+S179+W179+AA179+AE179+AI179+AM179+AQ179+AU179+AY179+BC179</f>
        <v>0</v>
      </c>
      <c r="BG179" s="34">
        <f t="shared" si="585"/>
        <v>0</v>
      </c>
      <c r="BH179" s="35">
        <f t="shared" ref="BH179:BH186" si="586">H179+BF179-BG179</f>
        <v>0</v>
      </c>
      <c r="BK179" s="2" t="b">
        <f>H179='2019'!BH152</f>
        <v>1</v>
      </c>
    </row>
    <row r="180" ht="14.25" customHeight="1" hidden="1" spans="1:63" x14ac:dyDescent="0.25">
      <c r="A180" s="89" t="s">
        <v>117</v>
      </c>
      <c r="B180" s="30">
        <v>4</v>
      </c>
      <c r="C180" s="2" t="s">
        <v>118</v>
      </c>
      <c r="D180" s="14" t="s">
        <v>44</v>
      </c>
      <c r="E180" s="2" t="s">
        <v>45</v>
      </c>
      <c r="F180" s="41">
        <v>2.5</v>
      </c>
      <c r="G180" s="35">
        <v>2.6</v>
      </c>
      <c r="H180" s="34">
        <f>'2019'!BH153</f>
        <v>188.88</v>
      </c>
      <c r="I180" s="13">
        <v>2985</v>
      </c>
      <c r="J180" s="15">
        <f>I180-'2019'!BA153</f>
        <v>0</v>
      </c>
      <c r="K180" s="34">
        <f>J180*$F$8</f>
        <v>0</v>
      </c>
      <c r="L180" s="28"/>
      <c r="M180" s="2">
        <v>2985</v>
      </c>
      <c r="N180" s="15">
        <f>M180-I180</f>
        <v>0</v>
      </c>
      <c r="O180" s="34">
        <f>N180*$F$8</f>
        <v>0</v>
      </c>
      <c r="Q180" s="13">
        <v>2985</v>
      </c>
      <c r="R180" s="15">
        <f>Q180-M180</f>
        <v>0</v>
      </c>
      <c r="S180" s="34">
        <f>R180*$F$8</f>
        <v>0</v>
      </c>
      <c r="T180" s="28"/>
      <c r="U180" s="15">
        <v>2990</v>
      </c>
      <c r="V180" s="15">
        <f t="shared" ref="V180:V181" si="587">U180-Q180</f>
        <v>5</v>
      </c>
      <c r="W180" s="34">
        <f>V180*$F$8</f>
        <v>12.5</v>
      </c>
      <c r="X180" s="34"/>
      <c r="Y180" s="13">
        <v>3063</v>
      </c>
      <c r="Z180" s="15">
        <f t="shared" ref="Z180:Z181" si="588">Y180-U180</f>
        <v>73</v>
      </c>
      <c r="AA180" s="34">
        <f>Z180*$F$8</f>
        <v>182.5</v>
      </c>
      <c r="AB180" s="28"/>
      <c r="AC180" s="15">
        <v>3106</v>
      </c>
      <c r="AD180" s="15">
        <f t="shared" ref="AD180:AD181" si="589">AC180-Y180</f>
        <v>43</v>
      </c>
      <c r="AE180" s="34">
        <f>AD180*$F$8</f>
        <v>107.5</v>
      </c>
      <c r="AF180" s="133">
        <v>383.88</v>
      </c>
      <c r="AG180" s="13">
        <v>3166</v>
      </c>
      <c r="AH180" s="15">
        <f t="shared" ref="AH180:AH181" si="590">AG180-AC180</f>
        <v>60</v>
      </c>
      <c r="AI180" s="45">
        <f>AH180*$G$8</f>
        <v>156</v>
      </c>
      <c r="AJ180" s="185">
        <f>107.5+8.34</f>
        <v>115.84</v>
      </c>
      <c r="AK180" s="13">
        <v>3215</v>
      </c>
      <c r="AL180" s="15">
        <f t="shared" ref="AL180:AL181" si="591">AK180-AG180</f>
        <v>49</v>
      </c>
      <c r="AM180" s="45">
        <f>AL180*$G$8</f>
        <v>127.4</v>
      </c>
      <c r="AN180" s="138">
        <f>303.66+0.5</f>
        <v>304.16</v>
      </c>
      <c r="AO180" s="13">
        <v>3262</v>
      </c>
      <c r="AP180" s="15">
        <f t="shared" ref="AP180:AP181" si="592">AO180-AK180</f>
        <v>47</v>
      </c>
      <c r="AQ180" s="45">
        <f>AP180*$G$8</f>
        <v>122.2</v>
      </c>
      <c r="AR180" s="15"/>
      <c r="AS180" s="13">
        <v>3265</v>
      </c>
      <c r="AT180" s="15">
        <f t="shared" ref="AT180:AT181" si="593">AS180-AO180</f>
        <v>3</v>
      </c>
      <c r="AU180" s="45">
        <f t="shared" ref="AU180:AU181" si="594">AT180*$G$8</f>
        <v>7.8</v>
      </c>
      <c r="AV180" s="15"/>
      <c r="AW180" s="13">
        <v>3265</v>
      </c>
      <c r="AX180" s="2">
        <f t="shared" ref="AX180:AX181" si="595">AW180-AS180</f>
        <v>0</v>
      </c>
      <c r="AY180" s="45">
        <f>AX180*$G$8</f>
        <v>0</v>
      </c>
      <c r="AZ180" s="208"/>
      <c r="BA180" s="13">
        <v>3265</v>
      </c>
      <c r="BB180" s="15">
        <f t="shared" ref="BB180:BB181" si="596">BA180-AW180</f>
        <v>0</v>
      </c>
      <c r="BC180" s="45">
        <f>BB180*$G$8</f>
        <v>0</v>
      </c>
      <c r="BD180" s="208"/>
      <c r="BE180" s="40">
        <f t="shared" ref="BE180:BG180" si="597">J180+N180+R180+V180+Z180+AD180+AH180+AL180+AP180+AT180+AX180+BB180</f>
        <v>280</v>
      </c>
      <c r="BF180" s="41">
        <f t="shared" si="597"/>
        <v>715.9</v>
      </c>
      <c r="BG180" s="34">
        <f t="shared" si="597"/>
        <v>803.88</v>
      </c>
      <c r="BH180" s="35">
        <f t="shared" si="586"/>
        <v>100.9</v>
      </c>
      <c r="BK180" s="2" t="b">
        <f>H180='2019'!BH153</f>
        <v>1</v>
      </c>
    </row>
    <row r="181" ht="14.25" customHeight="1" hidden="1" spans="1:63" x14ac:dyDescent="0.25">
      <c r="A181" s="89" t="s">
        <v>117</v>
      </c>
      <c r="B181" s="14"/>
      <c r="C181" s="2" t="s">
        <v>75</v>
      </c>
      <c r="D181" s="14" t="s">
        <v>47</v>
      </c>
      <c r="E181" s="2" t="s">
        <v>48</v>
      </c>
      <c r="F181" s="13">
        <v>18.56</v>
      </c>
      <c r="G181" s="35">
        <v>19.46</v>
      </c>
      <c r="H181" s="34">
        <f>'2019'!BH154</f>
        <v>-383.64</v>
      </c>
      <c r="I181" s="15">
        <v>73</v>
      </c>
      <c r="J181" s="15"/>
      <c r="K181" s="15"/>
      <c r="L181" s="28"/>
      <c r="M181" s="2">
        <v>73</v>
      </c>
      <c r="Q181" s="13">
        <v>73</v>
      </c>
      <c r="R181" s="15"/>
      <c r="S181" s="15"/>
      <c r="T181" s="28"/>
      <c r="U181" s="73">
        <v>73</v>
      </c>
      <c r="V181" s="2">
        <f t="shared" si="587"/>
        <v>0</v>
      </c>
      <c r="W181" s="34">
        <f>V181*$F$10</f>
        <v>0</v>
      </c>
      <c r="Y181" s="75">
        <v>73</v>
      </c>
      <c r="Z181" s="15">
        <f t="shared" si="588"/>
        <v>0</v>
      </c>
      <c r="AA181" s="34">
        <f>Z181*$F$10</f>
        <v>0</v>
      </c>
      <c r="AB181" s="28"/>
      <c r="AC181" s="13">
        <v>80</v>
      </c>
      <c r="AD181" s="15">
        <f t="shared" si="589"/>
        <v>7</v>
      </c>
      <c r="AE181" s="34">
        <f>AD181*$F$10</f>
        <v>129.92</v>
      </c>
      <c r="AF181" s="34"/>
      <c r="AG181" s="13">
        <v>80</v>
      </c>
      <c r="AH181" s="15">
        <f t="shared" si="590"/>
        <v>0</v>
      </c>
      <c r="AI181" s="45">
        <f>AH181*$G$10</f>
        <v>0</v>
      </c>
      <c r="AJ181" s="2"/>
      <c r="AK181" s="13">
        <v>82</v>
      </c>
      <c r="AL181" s="15">
        <f t="shared" si="591"/>
        <v>2</v>
      </c>
      <c r="AM181" s="45">
        <f>AL181*$G$10</f>
        <v>38.92</v>
      </c>
      <c r="AN181" s="15"/>
      <c r="AO181" s="13">
        <v>82</v>
      </c>
      <c r="AP181" s="15">
        <f t="shared" si="592"/>
        <v>0</v>
      </c>
      <c r="AQ181" s="45">
        <f>AP181*$G$10</f>
        <v>0</v>
      </c>
      <c r="AR181" s="15"/>
      <c r="AS181" s="13">
        <v>82</v>
      </c>
      <c r="AT181" s="15">
        <f t="shared" si="593"/>
        <v>0</v>
      </c>
      <c r="AU181" s="45">
        <f t="shared" si="594"/>
        <v>0</v>
      </c>
      <c r="AV181" s="15"/>
      <c r="AW181" s="13">
        <v>82</v>
      </c>
      <c r="AX181" s="2">
        <f t="shared" si="595"/>
        <v>0</v>
      </c>
      <c r="AY181" s="45"/>
      <c r="AZ181" s="208"/>
      <c r="BA181" s="13">
        <v>82</v>
      </c>
      <c r="BB181" s="15">
        <f t="shared" si="596"/>
        <v>0</v>
      </c>
      <c r="BC181" s="45"/>
      <c r="BD181" s="208"/>
      <c r="BE181" s="40">
        <f t="shared" ref="BE181:BG181" si="598">J181+N181+R181+V181+Z181+AD181+AH181+AL181+AP181+AT181+AX181+BB181</f>
        <v>9</v>
      </c>
      <c r="BF181" s="41">
        <f t="shared" si="598"/>
        <v>168.84</v>
      </c>
      <c r="BG181" s="34">
        <f t="shared" si="598"/>
        <v>0</v>
      </c>
      <c r="BH181" s="35">
        <f t="shared" si="586"/>
        <v>-214.8</v>
      </c>
      <c r="BK181" s="2" t="b">
        <f>H181='2019'!BH154</f>
        <v>1</v>
      </c>
    </row>
    <row r="182" ht="14.25" customHeight="1" hidden="1" spans="1:63" x14ac:dyDescent="0.25">
      <c r="A182" s="89" t="s">
        <v>117</v>
      </c>
      <c r="B182" s="14"/>
      <c r="C182" s="2" t="s">
        <v>119</v>
      </c>
      <c r="D182" s="14" t="s">
        <v>47</v>
      </c>
      <c r="E182" s="2" t="s">
        <v>49</v>
      </c>
      <c r="F182" s="41">
        <v>500</v>
      </c>
      <c r="G182" s="35"/>
      <c r="H182" s="34">
        <f>'2019'!BH155</f>
        <v>0</v>
      </c>
      <c r="I182" s="15"/>
      <c r="J182" s="15"/>
      <c r="K182" s="15"/>
      <c r="L182" s="28"/>
      <c r="Q182" s="13"/>
      <c r="R182" s="15"/>
      <c r="S182" s="15"/>
      <c r="T182" s="28"/>
      <c r="Y182" s="13"/>
      <c r="Z182" s="15"/>
      <c r="AA182" s="15"/>
      <c r="AB182" s="28"/>
      <c r="AG182" s="13"/>
      <c r="AH182" s="15"/>
      <c r="AI182" s="45"/>
      <c r="AJ182" s="15"/>
      <c r="AK182" s="13"/>
      <c r="AL182" s="15"/>
      <c r="AM182" s="45"/>
      <c r="AN182" s="15"/>
      <c r="AO182" s="13"/>
      <c r="AP182" s="15"/>
      <c r="AQ182" s="45"/>
      <c r="AR182" s="15"/>
      <c r="AS182" s="13"/>
      <c r="AT182" s="15"/>
      <c r="AU182" s="45"/>
      <c r="AV182" s="15"/>
      <c r="AW182" s="13"/>
      <c r="AY182" s="45"/>
      <c r="AZ182" s="28"/>
      <c r="BA182" s="13"/>
      <c r="BB182" s="15"/>
      <c r="BC182" s="45"/>
      <c r="BD182" s="28"/>
      <c r="BE182" s="14"/>
      <c r="BF182" s="41">
        <f t="shared" ref="BF182:BG182" si="599">K182+O182+S182+W182+AA182+AE182+AI182+AM182+AQ182+AU182+AY182+BC182</f>
        <v>0</v>
      </c>
      <c r="BG182" s="34">
        <f t="shared" si="599"/>
        <v>0</v>
      </c>
      <c r="BH182" s="35">
        <f t="shared" si="586"/>
        <v>0</v>
      </c>
      <c r="BK182" s="2" t="b">
        <f>H182='2019'!BH155</f>
        <v>1</v>
      </c>
    </row>
    <row r="183" ht="14.25" customHeight="1" hidden="1" spans="1:63" x14ac:dyDescent="0.25">
      <c r="A183" s="89" t="s">
        <v>117</v>
      </c>
      <c r="B183" s="14"/>
      <c r="C183" s="2" t="s">
        <v>391</v>
      </c>
      <c r="D183" s="14" t="s">
        <v>50</v>
      </c>
      <c r="E183" s="2" t="s">
        <v>49</v>
      </c>
      <c r="F183" s="41">
        <v>1100</v>
      </c>
      <c r="G183" s="35"/>
      <c r="H183" s="34">
        <f>'2019'!BH156</f>
        <v>0</v>
      </c>
      <c r="I183" s="15"/>
      <c r="J183" s="15"/>
      <c r="K183" s="15"/>
      <c r="L183" s="28"/>
      <c r="Q183" s="13"/>
      <c r="R183" s="15"/>
      <c r="S183" s="15"/>
      <c r="T183" s="28"/>
      <c r="Y183" s="13"/>
      <c r="Z183" s="15"/>
      <c r="AA183" s="15"/>
      <c r="AB183" s="28"/>
      <c r="AE183" s="34">
        <f>B180*$F$12</f>
        <v>4400</v>
      </c>
      <c r="AF183" s="133">
        <v>4400</v>
      </c>
      <c r="AG183" s="13"/>
      <c r="AH183" s="15"/>
      <c r="AI183" s="45"/>
      <c r="AJ183" s="1"/>
      <c r="AK183" s="13"/>
      <c r="AL183" s="15"/>
      <c r="AM183" s="45"/>
      <c r="AN183" s="15"/>
      <c r="AO183" s="13"/>
      <c r="AP183" s="15"/>
      <c r="AQ183" s="45"/>
      <c r="AR183" s="15"/>
      <c r="AS183" s="13"/>
      <c r="AT183" s="15"/>
      <c r="AU183" s="45"/>
      <c r="AV183" s="15"/>
      <c r="AW183" s="13"/>
      <c r="AY183" s="45"/>
      <c r="AZ183" s="28"/>
      <c r="BA183" s="13"/>
      <c r="BB183" s="15"/>
      <c r="BC183" s="45"/>
      <c r="BD183" s="28"/>
      <c r="BE183" s="14"/>
      <c r="BF183" s="41">
        <f t="shared" ref="BF183:BG183" si="600">K183+O183+S183+W183+AA183+AE183+AI183+AM183+AQ183+AU183+AY183+BC183</f>
        <v>4400</v>
      </c>
      <c r="BG183" s="34">
        <f t="shared" si="600"/>
        <v>4400</v>
      </c>
      <c r="BH183" s="35">
        <f t="shared" si="586"/>
        <v>0</v>
      </c>
      <c r="BK183" s="2" t="b">
        <f>H183='2019'!BH156</f>
        <v>1</v>
      </c>
    </row>
    <row r="184" ht="14.25" customHeight="1" hidden="1" spans="1:63" x14ac:dyDescent="0.25">
      <c r="A184" s="89" t="s">
        <v>117</v>
      </c>
      <c r="B184" s="14"/>
      <c r="C184" s="2" t="s">
        <v>392</v>
      </c>
      <c r="D184" s="14" t="s">
        <v>51</v>
      </c>
      <c r="E184" s="2" t="s">
        <v>39</v>
      </c>
      <c r="F184" s="41">
        <v>500</v>
      </c>
      <c r="G184" s="35"/>
      <c r="H184" s="34">
        <f>'2019'!BH157</f>
        <v>0</v>
      </c>
      <c r="I184" s="15"/>
      <c r="J184" s="15"/>
      <c r="K184" s="15"/>
      <c r="L184" s="28"/>
      <c r="Q184" s="13"/>
      <c r="R184" s="15"/>
      <c r="S184" s="15"/>
      <c r="T184" s="28"/>
      <c r="Y184" s="13"/>
      <c r="Z184" s="15"/>
      <c r="AA184" s="15"/>
      <c r="AB184" s="28"/>
      <c r="AE184" s="34"/>
      <c r="AF184" s="34"/>
      <c r="AG184" s="13"/>
      <c r="AH184" s="15"/>
      <c r="AI184" s="45"/>
      <c r="AJ184" s="15"/>
      <c r="AK184" s="13"/>
      <c r="AL184" s="15"/>
      <c r="AM184" s="45"/>
      <c r="AN184" s="15"/>
      <c r="AO184" s="13"/>
      <c r="AP184" s="15"/>
      <c r="AQ184" s="45">
        <f>$F$13</f>
        <v>500</v>
      </c>
      <c r="AR184" s="15"/>
      <c r="AS184" s="13"/>
      <c r="AT184" s="15"/>
      <c r="AU184" s="45"/>
      <c r="AV184" s="15"/>
      <c r="AW184" s="13"/>
      <c r="AY184" s="45"/>
      <c r="AZ184" s="28"/>
      <c r="BA184" s="13"/>
      <c r="BB184" s="15"/>
      <c r="BC184" s="45"/>
      <c r="BD184" s="28"/>
      <c r="BE184" s="14"/>
      <c r="BF184" s="41">
        <f t="shared" ref="BF184:BG184" si="601">K184+O184+S184+W184+AA184+AE184+AI184+AM184+AQ184+AU184+AY184+BC184</f>
        <v>500</v>
      </c>
      <c r="BG184" s="34">
        <f t="shared" si="601"/>
        <v>0</v>
      </c>
      <c r="BH184" s="35">
        <f t="shared" si="586"/>
        <v>500</v>
      </c>
      <c r="BK184" s="2" t="b">
        <f>H184='2019'!BH157</f>
        <v>1</v>
      </c>
    </row>
    <row r="185" ht="14.25" customHeight="1" hidden="1" spans="1:60" x14ac:dyDescent="0.25">
      <c r="A185" s="89" t="s">
        <v>117</v>
      </c>
      <c r="B185" s="14"/>
      <c r="D185" s="14" t="s">
        <v>51</v>
      </c>
      <c r="E185" s="2" t="s">
        <v>49</v>
      </c>
      <c r="F185" s="41">
        <v>500</v>
      </c>
      <c r="G185" s="35"/>
      <c r="H185" s="34"/>
      <c r="I185" s="15"/>
      <c r="J185" s="15"/>
      <c r="K185" s="15"/>
      <c r="L185" s="28"/>
      <c r="Q185" s="13"/>
      <c r="R185" s="15"/>
      <c r="S185" s="15"/>
      <c r="T185" s="28"/>
      <c r="Y185" s="13"/>
      <c r="Z185" s="15"/>
      <c r="AA185" s="15"/>
      <c r="AB185" s="28"/>
      <c r="AE185" s="34"/>
      <c r="AF185" s="34"/>
      <c r="AG185" s="13"/>
      <c r="AH185" s="15"/>
      <c r="AI185" s="45"/>
      <c r="AJ185" s="15"/>
      <c r="AK185" s="13"/>
      <c r="AL185" s="15"/>
      <c r="AM185" s="45"/>
      <c r="AN185" s="15"/>
      <c r="AO185" s="13"/>
      <c r="AP185" s="15"/>
      <c r="AQ185" s="34">
        <f>B180*$F$14</f>
        <v>2000</v>
      </c>
      <c r="AR185" s="15"/>
      <c r="AS185" s="13"/>
      <c r="AT185" s="15"/>
      <c r="AU185" s="45"/>
      <c r="AV185" s="15"/>
      <c r="AW185" s="13"/>
      <c r="AY185" s="45"/>
      <c r="AZ185" s="28"/>
      <c r="BA185" s="13"/>
      <c r="BB185" s="15"/>
      <c r="BC185" s="45"/>
      <c r="BD185" s="28"/>
      <c r="BE185" s="14"/>
      <c r="BF185" s="41">
        <f t="shared" ref="BF185:BG185" si="602">K185+O185+S185+W185+AA185+AE185+AI185+AM185+AQ185+AU185+AY185+BC185</f>
        <v>2000</v>
      </c>
      <c r="BG185" s="34">
        <f t="shared" si="602"/>
        <v>0</v>
      </c>
      <c r="BH185" s="35">
        <f t="shared" si="586"/>
        <v>2000</v>
      </c>
    </row>
    <row r="186" ht="14.25" customHeight="1" hidden="1" spans="1:63" x14ac:dyDescent="0.25">
      <c r="A186" s="89" t="s">
        <v>117</v>
      </c>
      <c r="B186" s="14"/>
      <c r="D186" s="14" t="s">
        <v>52</v>
      </c>
      <c r="E186" s="2" t="s">
        <v>39</v>
      </c>
      <c r="F186" s="41">
        <v>500</v>
      </c>
      <c r="G186" s="35"/>
      <c r="H186" s="34">
        <f>'2019'!BH158</f>
        <v>0</v>
      </c>
      <c r="I186" s="15"/>
      <c r="J186" s="15"/>
      <c r="K186" s="15"/>
      <c r="L186" s="28"/>
      <c r="Q186" s="13"/>
      <c r="R186" s="15"/>
      <c r="S186" s="15"/>
      <c r="T186" s="28"/>
      <c r="Y186" s="13"/>
      <c r="Z186" s="15"/>
      <c r="AA186" s="34">
        <f>$F$11</f>
        <v>500</v>
      </c>
      <c r="AB186" s="28"/>
      <c r="AF186" s="133">
        <v>500</v>
      </c>
      <c r="AG186" s="13"/>
      <c r="AH186" s="15"/>
      <c r="AI186" s="45"/>
      <c r="AJ186" s="39"/>
      <c r="AK186" s="13"/>
      <c r="AL186" s="15"/>
      <c r="AM186" s="45"/>
      <c r="AN186" s="15"/>
      <c r="AO186" s="13"/>
      <c r="AP186" s="15"/>
      <c r="AQ186" s="45"/>
      <c r="AR186" s="15"/>
      <c r="AS186" s="13"/>
      <c r="AT186" s="15"/>
      <c r="AU186" s="45"/>
      <c r="AV186" s="15"/>
      <c r="AW186" s="13"/>
      <c r="AY186" s="45"/>
      <c r="AZ186" s="35"/>
      <c r="BA186" s="13"/>
      <c r="BB186" s="15"/>
      <c r="BC186" s="45"/>
      <c r="BD186" s="35"/>
      <c r="BE186" s="14"/>
      <c r="BF186" s="41">
        <f t="shared" ref="BF186:BG186" si="603">K186+O186+S186+W186+AA186+AE186+AI186+AM186+AQ186+AU186+AY186+BC186</f>
        <v>500</v>
      </c>
      <c r="BG186" s="34">
        <f t="shared" si="603"/>
        <v>500</v>
      </c>
      <c r="BH186" s="35">
        <f t="shared" si="586"/>
        <v>0</v>
      </c>
      <c r="BK186" s="2" t="b">
        <f>H186='2019'!BH158</f>
        <v>1</v>
      </c>
    </row>
    <row r="187" ht="14.25" customHeight="1" hidden="1" spans="1:63" x14ac:dyDescent="0.25">
      <c r="A187" s="243" t="s">
        <v>117</v>
      </c>
      <c r="B187" s="21"/>
      <c r="C187" s="22" t="s">
        <v>53</v>
      </c>
      <c r="D187" s="21"/>
      <c r="E187" s="22"/>
      <c r="F187" s="20"/>
      <c r="G187" s="23"/>
      <c r="H187" s="51">
        <f>SUM(H179:H186)</f>
        <v>-194.76</v>
      </c>
      <c r="I187" s="53"/>
      <c r="J187" s="53"/>
      <c r="K187" s="51">
        <f t="shared" ref="K187:L187" si="604">SUM(K179:K186)</f>
        <v>0</v>
      </c>
      <c r="L187" s="68">
        <f t="shared" si="604"/>
        <v>0</v>
      </c>
      <c r="M187" s="53"/>
      <c r="N187" s="53"/>
      <c r="O187" s="51">
        <f t="shared" ref="O187:P187" si="605">SUM(O179:O186)</f>
        <v>0</v>
      </c>
      <c r="P187" s="68">
        <f t="shared" si="605"/>
        <v>0</v>
      </c>
      <c r="Q187" s="52"/>
      <c r="R187" s="53"/>
      <c r="S187" s="51">
        <f t="shared" ref="S187:T187" si="606">SUM(S179:S186)</f>
        <v>0</v>
      </c>
      <c r="T187" s="68">
        <f t="shared" si="606"/>
        <v>0</v>
      </c>
      <c r="U187" s="53"/>
      <c r="V187" s="53"/>
      <c r="W187" s="51">
        <f t="shared" ref="W187:X187" si="607">SUM(W179:W186)</f>
        <v>12.5</v>
      </c>
      <c r="X187" s="68">
        <f t="shared" si="607"/>
        <v>0</v>
      </c>
      <c r="Y187" s="52"/>
      <c r="Z187" s="53"/>
      <c r="AA187" s="51">
        <f t="shared" ref="AA187:AB187" si="608">SUM(AA179:AA186)</f>
        <v>682.5</v>
      </c>
      <c r="AB187" s="68">
        <f t="shared" si="608"/>
        <v>0</v>
      </c>
      <c r="AC187" s="53"/>
      <c r="AD187" s="53"/>
      <c r="AE187" s="51">
        <f t="shared" ref="AE187:AF187" si="609">SUM(AE179:AE186)</f>
        <v>4637.42</v>
      </c>
      <c r="AF187" s="68">
        <f t="shared" si="609"/>
        <v>5283.88</v>
      </c>
      <c r="AG187" s="52"/>
      <c r="AH187" s="53"/>
      <c r="AI187" s="183">
        <f t="shared" ref="AI187:AJ187" si="610">SUM(AI179:AI186)</f>
        <v>156</v>
      </c>
      <c r="AJ187" s="51">
        <f t="shared" si="610"/>
        <v>115.84</v>
      </c>
      <c r="AK187" s="52"/>
      <c r="AL187" s="53"/>
      <c r="AM187" s="183">
        <f t="shared" ref="AM187:AN187" si="611">SUM(AM179:AM186)</f>
        <v>166.32</v>
      </c>
      <c r="AN187" s="51">
        <f t="shared" si="611"/>
        <v>304.16</v>
      </c>
      <c r="AO187" s="52"/>
      <c r="AP187" s="53"/>
      <c r="AQ187" s="183">
        <f t="shared" ref="AQ187:AR187" si="612">SUM(AQ179:AQ186)</f>
        <v>2622.2</v>
      </c>
      <c r="AR187" s="51">
        <f t="shared" si="612"/>
        <v>0</v>
      </c>
      <c r="AS187" s="52"/>
      <c r="AT187" s="53"/>
      <c r="AU187" s="183">
        <f t="shared" ref="AU187:AV187" si="613">SUM(AU179:AU186)</f>
        <v>7.8</v>
      </c>
      <c r="AV187" s="68">
        <f t="shared" si="613"/>
        <v>0</v>
      </c>
      <c r="AW187" s="52"/>
      <c r="AX187" s="53"/>
      <c r="AY187" s="183">
        <f t="shared" ref="AY187:AZ187" si="614">SUM(AY179:AY186)</f>
        <v>0</v>
      </c>
      <c r="AZ187" s="68">
        <f t="shared" si="614"/>
        <v>0</v>
      </c>
      <c r="BA187" s="52"/>
      <c r="BB187" s="53"/>
      <c r="BC187" s="183">
        <f t="shared" ref="BC187:BD187" si="615">SUM(BC179:BC186)</f>
        <v>0</v>
      </c>
      <c r="BD187" s="68">
        <f t="shared" si="615"/>
        <v>0</v>
      </c>
      <c r="BE187" s="69"/>
      <c r="BF187" s="70">
        <f t="shared" ref="BF187:BH187" si="616">SUM(BF179:BF186)</f>
        <v>8284.74</v>
      </c>
      <c r="BG187" s="71">
        <f t="shared" si="616"/>
        <v>5703.88</v>
      </c>
      <c r="BH187" s="72">
        <f t="shared" si="616"/>
        <v>2386.1</v>
      </c>
      <c r="BI187" s="34">
        <f>H187+BF187-BG187</f>
        <v>2386.1</v>
      </c>
      <c r="BJ187" s="34">
        <f>BH187-BI187</f>
        <v>0</v>
      </c>
      <c r="BK187" s="2" t="b">
        <f>H187='2019'!BH159</f>
        <v>1</v>
      </c>
    </row>
    <row r="188" ht="14.25" customHeight="1" hidden="1" spans="1:60" x14ac:dyDescent="0.25">
      <c r="A188" s="89" t="s">
        <v>117</v>
      </c>
      <c r="B188" s="14"/>
      <c r="D188" s="14" t="s">
        <v>379</v>
      </c>
      <c r="F188" s="13"/>
      <c r="G188" s="28"/>
      <c r="H188" s="182">
        <v>0</v>
      </c>
      <c r="J188" s="15"/>
      <c r="K188" s="15"/>
      <c r="L188" s="28"/>
      <c r="Q188" s="13"/>
      <c r="R188" s="15"/>
      <c r="S188" s="15"/>
      <c r="T188" s="28"/>
      <c r="Y188" s="13"/>
      <c r="Z188" s="15"/>
      <c r="AA188" s="15"/>
      <c r="AB188" s="28"/>
      <c r="AG188" s="13"/>
      <c r="AH188" s="15"/>
      <c r="AI188" s="45"/>
      <c r="AJ188" s="15"/>
      <c r="AK188" s="13"/>
      <c r="AM188" s="45"/>
      <c r="AO188" s="13"/>
      <c r="AQ188" s="45"/>
      <c r="AS188" s="13"/>
      <c r="AU188" s="45"/>
      <c r="AW188" s="13"/>
      <c r="AY188" s="45"/>
      <c r="AZ188" s="28"/>
      <c r="BA188" s="13"/>
      <c r="BB188" s="15"/>
      <c r="BC188" s="45"/>
      <c r="BD188" s="28"/>
      <c r="BE188" s="14"/>
      <c r="BF188" s="41">
        <f t="shared" ref="BF188:BG188" si="617">K188+O188+S188+W188+AA188+AE188+AI188+AM188+AQ188+AU188+AY188+BC188</f>
        <v>0</v>
      </c>
      <c r="BG188" s="34">
        <f t="shared" si="617"/>
        <v>0</v>
      </c>
      <c r="BH188" s="35">
        <f t="shared" ref="BH188:BH195" si="618">H188+BF188-BG188</f>
        <v>0</v>
      </c>
    </row>
    <row r="189" ht="14.25" customHeight="1" hidden="1" spans="1:60" x14ac:dyDescent="0.25">
      <c r="A189" s="89" t="s">
        <v>117</v>
      </c>
      <c r="B189" s="30">
        <v>4</v>
      </c>
      <c r="C189" s="2" t="s">
        <v>118</v>
      </c>
      <c r="D189" s="14" t="s">
        <v>44</v>
      </c>
      <c r="E189" s="2" t="s">
        <v>45</v>
      </c>
      <c r="F189" s="41">
        <v>2.5</v>
      </c>
      <c r="G189" s="35">
        <v>2.6</v>
      </c>
      <c r="H189" s="182">
        <v>0</v>
      </c>
      <c r="I189" s="13"/>
      <c r="J189" s="15"/>
      <c r="K189" s="34">
        <f>J189*$F$8</f>
        <v>0</v>
      </c>
      <c r="L189" s="28"/>
      <c r="N189" s="15"/>
      <c r="O189" s="34">
        <f>N189*$F$8</f>
        <v>0</v>
      </c>
      <c r="Q189" s="13"/>
      <c r="R189" s="15">
        <f>Q189-M189</f>
        <v>0</v>
      </c>
      <c r="S189" s="34">
        <f>R189*$F$8</f>
        <v>0</v>
      </c>
      <c r="T189" s="28"/>
      <c r="U189" s="15"/>
      <c r="V189" s="15">
        <f t="shared" ref="V189:V190" si="619">U189-Q189</f>
        <v>0</v>
      </c>
      <c r="W189" s="34">
        <f>V189*$F$8</f>
        <v>0</v>
      </c>
      <c r="X189" s="34"/>
      <c r="Y189" s="13"/>
      <c r="Z189" s="15">
        <f t="shared" ref="Z189:Z190" si="620">Y189-U189</f>
        <v>0</v>
      </c>
      <c r="AA189" s="34">
        <f>Z189*$F$8</f>
        <v>0</v>
      </c>
      <c r="AB189" s="28"/>
      <c r="AC189" s="15"/>
      <c r="AD189" s="15">
        <f t="shared" ref="AD189:AD190" si="621">AC189-Y189</f>
        <v>0</v>
      </c>
      <c r="AE189" s="34">
        <f>AD189*$F$8</f>
        <v>0</v>
      </c>
      <c r="AF189" s="34"/>
      <c r="AG189" s="13"/>
      <c r="AH189" s="15">
        <f t="shared" ref="AH189:AH190" si="622">AG189-AC189</f>
        <v>0</v>
      </c>
      <c r="AI189" s="45">
        <f>AH189*$G$8</f>
        <v>0</v>
      </c>
      <c r="AJ189" s="2"/>
      <c r="AK189" s="13">
        <v>0</v>
      </c>
      <c r="AL189" s="15">
        <f t="shared" ref="AL189:AL190" si="623">AK189-AG189</f>
        <v>0</v>
      </c>
      <c r="AM189" s="45">
        <f>AL189*$G$8</f>
        <v>0</v>
      </c>
      <c r="AN189" s="15"/>
      <c r="AO189" s="13">
        <v>0</v>
      </c>
      <c r="AP189" s="15">
        <f t="shared" ref="AP189:AP190" si="624">AO189-AK189</f>
        <v>0</v>
      </c>
      <c r="AQ189" s="45">
        <f>AP189*$G$8</f>
        <v>0</v>
      </c>
      <c r="AR189" s="15"/>
      <c r="AS189" s="13">
        <v>0</v>
      </c>
      <c r="AT189" s="15">
        <f t="shared" ref="AT189:AT190" si="625">AS189-AO189</f>
        <v>0</v>
      </c>
      <c r="AU189" s="45">
        <f t="shared" ref="AU189:AU190" si="626">AT189*$G$8</f>
        <v>0</v>
      </c>
      <c r="AV189" s="15"/>
      <c r="AW189" s="13">
        <v>0</v>
      </c>
      <c r="AX189" s="2">
        <f t="shared" ref="AX189:AX190" si="627">AW189-AS189</f>
        <v>0</v>
      </c>
      <c r="AY189" s="45">
        <f>AX189*$G$8</f>
        <v>0</v>
      </c>
      <c r="AZ189" s="208"/>
      <c r="BA189" s="13">
        <v>0</v>
      </c>
      <c r="BB189" s="15">
        <f t="shared" ref="BB189:BB190" si="628">BA189-AW189</f>
        <v>0</v>
      </c>
      <c r="BC189" s="45">
        <f>BB189*$G$8</f>
        <v>0</v>
      </c>
      <c r="BD189" s="208"/>
      <c r="BE189" s="40">
        <f t="shared" ref="BE189:BG189" si="629">J189+N189+R189+V189+Z189+AD189+AH189+AL189+AP189+AT189+AX189+BB189</f>
        <v>0</v>
      </c>
      <c r="BF189" s="41">
        <f t="shared" si="629"/>
        <v>0</v>
      </c>
      <c r="BG189" s="34">
        <f t="shared" si="629"/>
        <v>0</v>
      </c>
      <c r="BH189" s="35">
        <f t="shared" si="618"/>
        <v>0</v>
      </c>
    </row>
    <row r="190" ht="14.25" customHeight="1" hidden="1" spans="1:60" x14ac:dyDescent="0.25">
      <c r="A190" s="89" t="s">
        <v>117</v>
      </c>
      <c r="B190" s="14"/>
      <c r="C190" s="2" t="s">
        <v>75</v>
      </c>
      <c r="D190" s="14" t="s">
        <v>47</v>
      </c>
      <c r="E190" s="2" t="s">
        <v>48</v>
      </c>
      <c r="F190" s="13">
        <v>18.56</v>
      </c>
      <c r="G190" s="35">
        <v>19.46</v>
      </c>
      <c r="H190" s="182">
        <v>0</v>
      </c>
      <c r="I190" s="15">
        <v>89</v>
      </c>
      <c r="J190" s="15"/>
      <c r="K190" s="15"/>
      <c r="L190" s="28"/>
      <c r="M190" s="2">
        <v>89</v>
      </c>
      <c r="Q190" s="13">
        <v>89</v>
      </c>
      <c r="R190" s="15"/>
      <c r="S190" s="15"/>
      <c r="T190" s="28"/>
      <c r="U190" s="73">
        <v>89</v>
      </c>
      <c r="V190" s="2">
        <f t="shared" si="619"/>
        <v>0</v>
      </c>
      <c r="W190" s="34">
        <f>V190*$F$10</f>
        <v>0</v>
      </c>
      <c r="Y190" s="75">
        <v>89</v>
      </c>
      <c r="Z190" s="15">
        <f t="shared" si="620"/>
        <v>0</v>
      </c>
      <c r="AA190" s="34">
        <f>Z190*$F$10</f>
        <v>0</v>
      </c>
      <c r="AB190" s="28"/>
      <c r="AC190" s="13">
        <v>95</v>
      </c>
      <c r="AD190" s="15">
        <f t="shared" si="621"/>
        <v>6</v>
      </c>
      <c r="AE190" s="34">
        <f>AD190*$F$10</f>
        <v>111.36</v>
      </c>
      <c r="AF190" s="133">
        <f>204.16-88.04</f>
        <v>116.12</v>
      </c>
      <c r="AG190" s="13">
        <v>98</v>
      </c>
      <c r="AH190" s="15">
        <f t="shared" si="622"/>
        <v>3</v>
      </c>
      <c r="AI190" s="45">
        <f>AH190*$G$10</f>
        <v>58.38</v>
      </c>
      <c r="AJ190" s="245">
        <v>34.16</v>
      </c>
      <c r="AK190" s="13">
        <v>101</v>
      </c>
      <c r="AL190" s="15">
        <f t="shared" si="623"/>
        <v>3</v>
      </c>
      <c r="AM190" s="45">
        <f>AL190*$G$10</f>
        <v>58.38</v>
      </c>
      <c r="AN190" s="138">
        <v>77.84</v>
      </c>
      <c r="AO190" s="13">
        <v>101</v>
      </c>
      <c r="AP190" s="15">
        <f t="shared" si="624"/>
        <v>0</v>
      </c>
      <c r="AQ190" s="45">
        <f>AP190*$G$10</f>
        <v>0</v>
      </c>
      <c r="AR190" s="15"/>
      <c r="AS190" s="13">
        <v>101</v>
      </c>
      <c r="AT190" s="15">
        <f t="shared" si="625"/>
        <v>0</v>
      </c>
      <c r="AU190" s="45">
        <f t="shared" si="626"/>
        <v>0</v>
      </c>
      <c r="AV190" s="15"/>
      <c r="AW190" s="13">
        <v>101</v>
      </c>
      <c r="AX190" s="2">
        <f t="shared" si="627"/>
        <v>0</v>
      </c>
      <c r="AY190" s="45"/>
      <c r="AZ190" s="208"/>
      <c r="BA190" s="13">
        <v>101</v>
      </c>
      <c r="BB190" s="15">
        <f t="shared" si="628"/>
        <v>0</v>
      </c>
      <c r="BC190" s="45"/>
      <c r="BD190" s="208"/>
      <c r="BE190" s="40">
        <f t="shared" ref="BE190:BG190" si="630">J190+N190+R190+V190+Z190+AD190+AH190+AL190+AP190+AT190+AX190+BB190</f>
        <v>12</v>
      </c>
      <c r="BF190" s="41">
        <f t="shared" si="630"/>
        <v>228.12</v>
      </c>
      <c r="BG190" s="34">
        <f t="shared" si="630"/>
        <v>228.12</v>
      </c>
      <c r="BH190" s="35">
        <f t="shared" si="618"/>
        <v>0</v>
      </c>
    </row>
    <row r="191" ht="14.25" customHeight="1" hidden="1" spans="1:60" x14ac:dyDescent="0.25">
      <c r="A191" s="89" t="s">
        <v>117</v>
      </c>
      <c r="B191" s="14"/>
      <c r="C191" s="2" t="s">
        <v>119</v>
      </c>
      <c r="D191" s="14" t="s">
        <v>47</v>
      </c>
      <c r="E191" s="2" t="s">
        <v>49</v>
      </c>
      <c r="F191" s="41">
        <v>500</v>
      </c>
      <c r="G191" s="35"/>
      <c r="H191" s="182">
        <v>0</v>
      </c>
      <c r="I191" s="15"/>
      <c r="J191" s="15"/>
      <c r="K191" s="15"/>
      <c r="L191" s="28"/>
      <c r="Q191" s="13"/>
      <c r="R191" s="15"/>
      <c r="S191" s="15"/>
      <c r="T191" s="28"/>
      <c r="Y191" s="13"/>
      <c r="Z191" s="15"/>
      <c r="AA191" s="15"/>
      <c r="AB191" s="28"/>
      <c r="AG191" s="13"/>
      <c r="AH191" s="15"/>
      <c r="AI191" s="45"/>
      <c r="AJ191" s="15"/>
      <c r="AK191" s="13"/>
      <c r="AL191" s="15"/>
      <c r="AM191" s="45"/>
      <c r="AN191" s="15"/>
      <c r="AO191" s="13"/>
      <c r="AP191" s="15"/>
      <c r="AQ191" s="45"/>
      <c r="AR191" s="15"/>
      <c r="AS191" s="13"/>
      <c r="AT191" s="15"/>
      <c r="AU191" s="45"/>
      <c r="AV191" s="15"/>
      <c r="AW191" s="13"/>
      <c r="AY191" s="45"/>
      <c r="AZ191" s="28"/>
      <c r="BA191" s="13"/>
      <c r="BB191" s="15"/>
      <c r="BC191" s="45"/>
      <c r="BD191" s="28"/>
      <c r="BE191" s="14"/>
      <c r="BF191" s="41">
        <f t="shared" ref="BF191:BG191" si="631">K191+O191+S191+W191+AA191+AE191+AI191+AM191+AQ191+AU191+AY191+BC191</f>
        <v>0</v>
      </c>
      <c r="BG191" s="34">
        <f t="shared" si="631"/>
        <v>0</v>
      </c>
      <c r="BH191" s="35">
        <f t="shared" si="618"/>
        <v>0</v>
      </c>
    </row>
    <row r="192" ht="14.25" customHeight="1" hidden="1" spans="1:60" x14ac:dyDescent="0.25">
      <c r="A192" s="89" t="s">
        <v>117</v>
      </c>
      <c r="B192" s="14"/>
      <c r="C192" s="2" t="s">
        <v>391</v>
      </c>
      <c r="D192" s="14" t="s">
        <v>50</v>
      </c>
      <c r="E192" s="2" t="s">
        <v>49</v>
      </c>
      <c r="F192" s="41">
        <v>1100</v>
      </c>
      <c r="G192" s="35"/>
      <c r="H192" s="182">
        <v>0</v>
      </c>
      <c r="I192" s="15"/>
      <c r="J192" s="15"/>
      <c r="K192" s="15"/>
      <c r="L192" s="28"/>
      <c r="Q192" s="13"/>
      <c r="R192" s="15"/>
      <c r="S192" s="15"/>
      <c r="T192" s="28"/>
      <c r="Y192" s="13"/>
      <c r="Z192" s="15"/>
      <c r="AA192" s="15"/>
      <c r="AB192" s="28"/>
      <c r="AE192" s="34">
        <f>B189*$F$12</f>
        <v>4400</v>
      </c>
      <c r="AF192" s="133">
        <v>4400</v>
      </c>
      <c r="AG192" s="13"/>
      <c r="AH192" s="15"/>
      <c r="AI192" s="45"/>
      <c r="AJ192" s="1"/>
      <c r="AK192" s="13"/>
      <c r="AL192" s="15"/>
      <c r="AM192" s="45"/>
      <c r="AN192" s="15"/>
      <c r="AO192" s="13"/>
      <c r="AP192" s="15"/>
      <c r="AQ192" s="45"/>
      <c r="AR192" s="15"/>
      <c r="AS192" s="13"/>
      <c r="AT192" s="15"/>
      <c r="AU192" s="45"/>
      <c r="AV192" s="15"/>
      <c r="AW192" s="13"/>
      <c r="AY192" s="45"/>
      <c r="AZ192" s="28"/>
      <c r="BA192" s="13"/>
      <c r="BB192" s="15"/>
      <c r="BC192" s="45"/>
      <c r="BD192" s="28"/>
      <c r="BE192" s="14"/>
      <c r="BF192" s="41">
        <f t="shared" ref="BF192:BG192" si="632">K192+O192+S192+W192+AA192+AE192+AI192+AM192+AQ192+AU192+AY192+BC192</f>
        <v>4400</v>
      </c>
      <c r="BG192" s="34">
        <f t="shared" si="632"/>
        <v>4400</v>
      </c>
      <c r="BH192" s="35">
        <f t="shared" si="618"/>
        <v>0</v>
      </c>
    </row>
    <row r="193" ht="14.25" customHeight="1" hidden="1" spans="1:60" x14ac:dyDescent="0.25">
      <c r="A193" s="89" t="s">
        <v>117</v>
      </c>
      <c r="B193" s="14"/>
      <c r="C193" s="2" t="s">
        <v>392</v>
      </c>
      <c r="D193" s="14" t="s">
        <v>51</v>
      </c>
      <c r="E193" s="2" t="s">
        <v>39</v>
      </c>
      <c r="F193" s="41">
        <v>500</v>
      </c>
      <c r="G193" s="35"/>
      <c r="H193" s="182">
        <v>0</v>
      </c>
      <c r="I193" s="15"/>
      <c r="J193" s="15"/>
      <c r="K193" s="15"/>
      <c r="L193" s="28"/>
      <c r="Q193" s="13"/>
      <c r="R193" s="15"/>
      <c r="S193" s="15"/>
      <c r="T193" s="28"/>
      <c r="Y193" s="13"/>
      <c r="Z193" s="15"/>
      <c r="AA193" s="15"/>
      <c r="AB193" s="28"/>
      <c r="AE193" s="34"/>
      <c r="AF193" s="34"/>
      <c r="AG193" s="13"/>
      <c r="AH193" s="15"/>
      <c r="AI193" s="45"/>
      <c r="AJ193" s="15"/>
      <c r="AK193" s="13"/>
      <c r="AL193" s="15"/>
      <c r="AM193" s="45"/>
      <c r="AN193" s="15"/>
      <c r="AO193" s="13"/>
      <c r="AP193" s="15"/>
      <c r="AQ193" s="45">
        <f>$F$13</f>
        <v>500</v>
      </c>
      <c r="AR193" s="15"/>
      <c r="AS193" s="13"/>
      <c r="AT193" s="15"/>
      <c r="AU193" s="45"/>
      <c r="AV193" s="15"/>
      <c r="AW193" s="13"/>
      <c r="AY193" s="45"/>
      <c r="AZ193" s="28"/>
      <c r="BA193" s="13"/>
      <c r="BB193" s="15"/>
      <c r="BC193" s="45"/>
      <c r="BD193" s="28"/>
      <c r="BE193" s="14"/>
      <c r="BF193" s="41">
        <f t="shared" ref="BF193:BG193" si="633">K193+O193+S193+W193+AA193+AE193+AI193+AM193+AQ193+AU193+AY193+BC193</f>
        <v>500</v>
      </c>
      <c r="BG193" s="34">
        <f t="shared" si="633"/>
        <v>0</v>
      </c>
      <c r="BH193" s="35">
        <f t="shared" si="618"/>
        <v>500</v>
      </c>
    </row>
    <row r="194" ht="14.25" customHeight="1" hidden="1" spans="1:60" x14ac:dyDescent="0.25">
      <c r="A194" s="89" t="s">
        <v>117</v>
      </c>
      <c r="B194" s="14"/>
      <c r="D194" s="14" t="s">
        <v>51</v>
      </c>
      <c r="E194" s="2" t="s">
        <v>49</v>
      </c>
      <c r="F194" s="41">
        <v>500</v>
      </c>
      <c r="G194" s="35"/>
      <c r="H194" s="182"/>
      <c r="I194" s="15"/>
      <c r="J194" s="15"/>
      <c r="K194" s="15"/>
      <c r="L194" s="28"/>
      <c r="Q194" s="13"/>
      <c r="R194" s="15"/>
      <c r="S194" s="15"/>
      <c r="T194" s="28"/>
      <c r="Y194" s="13"/>
      <c r="Z194" s="15"/>
      <c r="AA194" s="15"/>
      <c r="AB194" s="28"/>
      <c r="AE194" s="34"/>
      <c r="AF194" s="34"/>
      <c r="AG194" s="13"/>
      <c r="AH194" s="15"/>
      <c r="AI194" s="45"/>
      <c r="AJ194" s="15"/>
      <c r="AK194" s="13"/>
      <c r="AL194" s="15"/>
      <c r="AM194" s="45"/>
      <c r="AN194" s="15"/>
      <c r="AO194" s="13"/>
      <c r="AP194" s="15"/>
      <c r="AQ194" s="34">
        <f>B189*$F$14</f>
        <v>2000</v>
      </c>
      <c r="AR194" s="15"/>
      <c r="AS194" s="13"/>
      <c r="AT194" s="15"/>
      <c r="AU194" s="45"/>
      <c r="AV194" s="15"/>
      <c r="AW194" s="13"/>
      <c r="AY194" s="45"/>
      <c r="AZ194" s="28"/>
      <c r="BA194" s="13"/>
      <c r="BB194" s="15"/>
      <c r="BC194" s="45"/>
      <c r="BD194" s="28"/>
      <c r="BE194" s="14"/>
      <c r="BF194" s="41">
        <f t="shared" ref="BF194:BG194" si="634">K194+O194+S194+W194+AA194+AE194+AI194+AM194+AQ194+AU194+AY194+BC194</f>
        <v>2000</v>
      </c>
      <c r="BG194" s="34">
        <f t="shared" si="634"/>
        <v>0</v>
      </c>
      <c r="BH194" s="35">
        <f t="shared" si="618"/>
        <v>2000</v>
      </c>
    </row>
    <row r="195" ht="14.25" customHeight="1" hidden="1" spans="1:60" x14ac:dyDescent="0.25">
      <c r="A195" s="89" t="s">
        <v>117</v>
      </c>
      <c r="B195" s="14"/>
      <c r="D195" s="14" t="s">
        <v>52</v>
      </c>
      <c r="E195" s="2" t="s">
        <v>39</v>
      </c>
      <c r="F195" s="41">
        <v>500</v>
      </c>
      <c r="G195" s="35"/>
      <c r="H195" s="182">
        <v>0</v>
      </c>
      <c r="I195" s="15"/>
      <c r="J195" s="15"/>
      <c r="K195" s="15"/>
      <c r="L195" s="28"/>
      <c r="Q195" s="13"/>
      <c r="R195" s="15"/>
      <c r="S195" s="15"/>
      <c r="T195" s="28"/>
      <c r="Y195" s="13"/>
      <c r="Z195" s="15"/>
      <c r="AA195" s="34">
        <f>$F$11</f>
        <v>500</v>
      </c>
      <c r="AB195" s="28"/>
      <c r="AF195" s="133">
        <v>500</v>
      </c>
      <c r="AG195" s="13"/>
      <c r="AH195" s="15"/>
      <c r="AI195" s="45"/>
      <c r="AJ195" s="39"/>
      <c r="AK195" s="13"/>
      <c r="AL195" s="15"/>
      <c r="AM195" s="45"/>
      <c r="AN195" s="15"/>
      <c r="AO195" s="13"/>
      <c r="AP195" s="15"/>
      <c r="AQ195" s="45"/>
      <c r="AR195" s="15"/>
      <c r="AS195" s="13"/>
      <c r="AT195" s="15"/>
      <c r="AU195" s="45"/>
      <c r="AV195" s="15"/>
      <c r="AW195" s="13"/>
      <c r="AY195" s="45"/>
      <c r="AZ195" s="35"/>
      <c r="BA195" s="13"/>
      <c r="BB195" s="15"/>
      <c r="BC195" s="45"/>
      <c r="BD195" s="35"/>
      <c r="BE195" s="14"/>
      <c r="BF195" s="41">
        <f t="shared" ref="BF195:BG195" si="635">K195+O195+S195+W195+AA195+AE195+AI195+AM195+AQ195+AU195+AY195+BC195</f>
        <v>500</v>
      </c>
      <c r="BG195" s="34">
        <f t="shared" si="635"/>
        <v>500</v>
      </c>
      <c r="BH195" s="35">
        <f t="shared" si="618"/>
        <v>0</v>
      </c>
    </row>
    <row r="196" ht="14.25" customHeight="1" hidden="1" spans="1:62" x14ac:dyDescent="0.25">
      <c r="A196" s="243" t="s">
        <v>117</v>
      </c>
      <c r="B196" s="21"/>
      <c r="C196" s="22" t="s">
        <v>53</v>
      </c>
      <c r="D196" s="21"/>
      <c r="E196" s="22"/>
      <c r="F196" s="20"/>
      <c r="G196" s="23"/>
      <c r="H196" s="51">
        <f>SUM(H188:H195)</f>
        <v>0</v>
      </c>
      <c r="I196" s="53"/>
      <c r="J196" s="53"/>
      <c r="K196" s="51">
        <f t="shared" ref="K196:L196" si="636">SUM(K188:K195)</f>
        <v>0</v>
      </c>
      <c r="L196" s="68">
        <f t="shared" si="636"/>
        <v>0</v>
      </c>
      <c r="M196" s="53"/>
      <c r="N196" s="53"/>
      <c r="O196" s="51">
        <f t="shared" ref="O196:P196" si="637">SUM(O188:O195)</f>
        <v>0</v>
      </c>
      <c r="P196" s="68">
        <f t="shared" si="637"/>
        <v>0</v>
      </c>
      <c r="Q196" s="52"/>
      <c r="R196" s="53"/>
      <c r="S196" s="51">
        <f t="shared" ref="S196:T196" si="638">SUM(S188:S195)</f>
        <v>0</v>
      </c>
      <c r="T196" s="68">
        <f t="shared" si="638"/>
        <v>0</v>
      </c>
      <c r="U196" s="53"/>
      <c r="V196" s="53"/>
      <c r="W196" s="51">
        <f t="shared" ref="W196:X196" si="639">SUM(W188:W195)</f>
        <v>0</v>
      </c>
      <c r="X196" s="68">
        <f t="shared" si="639"/>
        <v>0</v>
      </c>
      <c r="Y196" s="52"/>
      <c r="Z196" s="53"/>
      <c r="AA196" s="51">
        <f t="shared" ref="AA196:AB196" si="640">SUM(AA188:AA195)</f>
        <v>500</v>
      </c>
      <c r="AB196" s="68">
        <f t="shared" si="640"/>
        <v>0</v>
      </c>
      <c r="AC196" s="53"/>
      <c r="AD196" s="53"/>
      <c r="AE196" s="51">
        <f t="shared" ref="AE196:AF196" si="641">SUM(AE188:AE195)</f>
        <v>4511.36</v>
      </c>
      <c r="AF196" s="68">
        <f t="shared" si="641"/>
        <v>5016.12</v>
      </c>
      <c r="AG196" s="52"/>
      <c r="AH196" s="53"/>
      <c r="AI196" s="183">
        <f t="shared" ref="AI196:AJ196" si="642">SUM(AI188:AI195)</f>
        <v>58.38</v>
      </c>
      <c r="AJ196" s="51">
        <f t="shared" si="642"/>
        <v>34.16</v>
      </c>
      <c r="AK196" s="52"/>
      <c r="AL196" s="53"/>
      <c r="AM196" s="183">
        <f t="shared" ref="AM196:AN196" si="643">SUM(AM188:AM195)</f>
        <v>58.38</v>
      </c>
      <c r="AN196" s="51">
        <f t="shared" si="643"/>
        <v>77.84</v>
      </c>
      <c r="AO196" s="52"/>
      <c r="AP196" s="53"/>
      <c r="AQ196" s="183">
        <f t="shared" ref="AQ196:AR196" si="644">SUM(AQ188:AQ195)</f>
        <v>2500</v>
      </c>
      <c r="AR196" s="51">
        <f t="shared" si="644"/>
        <v>0</v>
      </c>
      <c r="AS196" s="52"/>
      <c r="AT196" s="53"/>
      <c r="AU196" s="183">
        <f t="shared" ref="AU196:AV196" si="645">SUM(AU188:AU195)</f>
        <v>0</v>
      </c>
      <c r="AV196" s="68">
        <f t="shared" si="645"/>
        <v>0</v>
      </c>
      <c r="AW196" s="52"/>
      <c r="AX196" s="53"/>
      <c r="AY196" s="183">
        <f t="shared" ref="AY196:AZ196" si="646">SUM(AY188:AY195)</f>
        <v>0</v>
      </c>
      <c r="AZ196" s="68">
        <f t="shared" si="646"/>
        <v>0</v>
      </c>
      <c r="BA196" s="52"/>
      <c r="BB196" s="53"/>
      <c r="BC196" s="183">
        <f t="shared" ref="BC196:BD196" si="647">SUM(BC188:BC195)</f>
        <v>0</v>
      </c>
      <c r="BD196" s="68">
        <f t="shared" si="647"/>
        <v>0</v>
      </c>
      <c r="BE196" s="69"/>
      <c r="BF196" s="70">
        <f t="shared" ref="BF196:BH196" si="648">SUM(BF188:BF195)</f>
        <v>7628.12</v>
      </c>
      <c r="BG196" s="71">
        <f t="shared" si="648"/>
        <v>5128.12</v>
      </c>
      <c r="BH196" s="72">
        <f t="shared" si="648"/>
        <v>2500</v>
      </c>
      <c r="BI196" s="34">
        <f>H196+BF196-BG196</f>
        <v>2500</v>
      </c>
      <c r="BJ196" s="34">
        <f>BH196-BI196</f>
        <v>0</v>
      </c>
    </row>
    <row r="197" ht="14.25" customHeight="1" hidden="1" spans="1:63" x14ac:dyDescent="0.25">
      <c r="A197" s="2">
        <v>21</v>
      </c>
      <c r="B197" s="14"/>
      <c r="C197" s="15"/>
      <c r="D197" s="178" t="s">
        <v>486</v>
      </c>
      <c r="E197" s="15"/>
      <c r="F197" s="13"/>
      <c r="G197" s="28"/>
      <c r="H197" s="34">
        <f>'2019'!BH160</f>
        <v>0</v>
      </c>
      <c r="I197" s="60"/>
      <c r="J197" s="60"/>
      <c r="K197" s="60"/>
      <c r="L197" s="63"/>
      <c r="M197" s="60"/>
      <c r="N197" s="60"/>
      <c r="O197" s="60"/>
      <c r="P197" s="62"/>
      <c r="Q197" s="61"/>
      <c r="R197" s="60"/>
      <c r="S197" s="62"/>
      <c r="T197" s="63"/>
      <c r="U197" s="60"/>
      <c r="V197" s="60"/>
      <c r="W197" s="152">
        <v>65.5</v>
      </c>
      <c r="X197" s="39">
        <v>65.6</v>
      </c>
      <c r="Y197" s="61"/>
      <c r="Z197" s="60"/>
      <c r="AA197" s="62"/>
      <c r="AB197" s="63"/>
      <c r="AC197" s="60"/>
      <c r="AD197" s="60"/>
      <c r="AE197" s="62"/>
      <c r="AF197" s="62"/>
      <c r="AG197" s="61"/>
      <c r="AH197" s="60"/>
      <c r="AI197" s="45"/>
      <c r="AJ197" s="62"/>
      <c r="AK197" s="61"/>
      <c r="AL197" s="60"/>
      <c r="AM197" s="45"/>
      <c r="AN197" s="15"/>
      <c r="AO197" s="61"/>
      <c r="AP197" s="60"/>
      <c r="AQ197" s="45"/>
      <c r="AR197" s="15"/>
      <c r="AS197" s="61"/>
      <c r="AT197" s="60"/>
      <c r="AU197" s="45"/>
      <c r="AV197" s="15"/>
      <c r="AW197" s="61"/>
      <c r="AX197" s="60"/>
      <c r="AY197" s="45"/>
      <c r="AZ197" s="28"/>
      <c r="BA197" s="61"/>
      <c r="BB197" s="15"/>
      <c r="BC197" s="45"/>
      <c r="BD197" s="28"/>
      <c r="BE197" s="65"/>
      <c r="BF197" s="41">
        <f t="shared" ref="BF197:BG197" si="649">K197+O197+S197+W197+AA197+AE197+AI197+AM197+AQ197+AU197+AY197+BC197</f>
        <v>65.5</v>
      </c>
      <c r="BG197" s="34">
        <f t="shared" si="649"/>
        <v>65.6</v>
      </c>
      <c r="BH197" s="35">
        <f t="shared" ref="BH197:BH204" si="650">H197+BF197-BG197</f>
        <v>-0.1</v>
      </c>
      <c r="BK197" s="2" t="b">
        <f>H197='2019'!BH160</f>
        <v>1</v>
      </c>
    </row>
    <row r="198" ht="15.75" customHeight="1" hidden="1" spans="1:63" x14ac:dyDescent="0.25">
      <c r="A198" s="147">
        <v>21</v>
      </c>
      <c r="B198" s="14">
        <v>3.96</v>
      </c>
      <c r="C198" s="15" t="s">
        <v>120</v>
      </c>
      <c r="D198" s="14" t="s">
        <v>44</v>
      </c>
      <c r="E198" s="2" t="s">
        <v>45</v>
      </c>
      <c r="F198" s="41">
        <v>2.5</v>
      </c>
      <c r="G198" s="35">
        <v>2.6</v>
      </c>
      <c r="H198" s="180">
        <f>'2019'!BH161</f>
        <v>-238.5</v>
      </c>
      <c r="I198" s="15">
        <v>1560</v>
      </c>
      <c r="J198" s="15">
        <f>I198-'2019'!BA161</f>
        <v>41</v>
      </c>
      <c r="K198" s="34">
        <f>J198*$F$8</f>
        <v>102.5</v>
      </c>
      <c r="L198" s="28"/>
      <c r="M198" s="15">
        <v>1586</v>
      </c>
      <c r="N198" s="15">
        <f>M198-I198</f>
        <v>26</v>
      </c>
      <c r="O198" s="34">
        <f>N198*$F$8</f>
        <v>65</v>
      </c>
      <c r="P198" s="39">
        <v>102.5</v>
      </c>
      <c r="Q198" s="13">
        <v>1612</v>
      </c>
      <c r="R198" s="15">
        <f>Q198-M198</f>
        <v>26</v>
      </c>
      <c r="S198" s="34">
        <f>R198*$F$8</f>
        <v>65</v>
      </c>
      <c r="T198" s="35"/>
      <c r="U198" s="15">
        <v>1642</v>
      </c>
      <c r="V198" s="15">
        <f t="shared" ref="V198:V199" si="651">U198-Q198</f>
        <v>30</v>
      </c>
      <c r="W198" s="34">
        <f>V198*$F$8</f>
        <v>75</v>
      </c>
      <c r="X198" s="34"/>
      <c r="Y198" s="13">
        <v>1732</v>
      </c>
      <c r="Z198" s="15">
        <f t="shared" ref="Z198:Z199" si="652">Y198-U198</f>
        <v>90</v>
      </c>
      <c r="AA198" s="34">
        <f>Z198*$F$8</f>
        <v>225</v>
      </c>
      <c r="AB198" s="28"/>
      <c r="AC198" s="15">
        <v>1838</v>
      </c>
      <c r="AD198" s="15">
        <f t="shared" ref="AD198:AD199" si="653">AC198-Y198</f>
        <v>106</v>
      </c>
      <c r="AE198" s="34">
        <f>AD198*$F$8</f>
        <v>265</v>
      </c>
      <c r="AF198" s="39">
        <v>192</v>
      </c>
      <c r="AG198" s="13">
        <v>1938</v>
      </c>
      <c r="AH198" s="15">
        <f t="shared" ref="AH198:AH199" si="654">AG198-AC198</f>
        <v>100</v>
      </c>
      <c r="AI198" s="45">
        <f>AH198*$G$8</f>
        <v>260</v>
      </c>
      <c r="AJ198" s="181">
        <f>265+259.5</f>
        <v>524.5</v>
      </c>
      <c r="AK198" s="13">
        <v>2040</v>
      </c>
      <c r="AL198" s="15">
        <f t="shared" ref="AL198:AL199" si="655">AK198-AG198</f>
        <v>102</v>
      </c>
      <c r="AM198" s="45">
        <f>AL198*$G$8</f>
        <v>265.2</v>
      </c>
      <c r="AN198" s="15"/>
      <c r="AO198" s="13">
        <v>2087</v>
      </c>
      <c r="AP198" s="15">
        <f t="shared" ref="AP198:AP199" si="656">AO198-AK198</f>
        <v>47</v>
      </c>
      <c r="AQ198" s="45">
        <f>AP198*$G$8</f>
        <v>122.2</v>
      </c>
      <c r="AR198" s="39">
        <v>265.2</v>
      </c>
      <c r="AS198" s="13">
        <v>2149</v>
      </c>
      <c r="AT198" s="15">
        <f t="shared" ref="AT198:AT199" si="657">AS198-AO198</f>
        <v>62</v>
      </c>
      <c r="AU198" s="45">
        <f t="shared" ref="AU198:AU199" si="658">AT198*$G$8</f>
        <v>161.2</v>
      </c>
      <c r="AV198" s="39">
        <v>123</v>
      </c>
      <c r="AW198" s="13">
        <v>2173</v>
      </c>
      <c r="AX198" s="2">
        <f t="shared" ref="AX198:AX199" si="659">AW198-AS198</f>
        <v>24</v>
      </c>
      <c r="AY198" s="45">
        <f>AX198*$G$8</f>
        <v>62.4</v>
      </c>
      <c r="AZ198" s="246">
        <v>161</v>
      </c>
      <c r="BA198" s="13">
        <v>2193</v>
      </c>
      <c r="BB198" s="15">
        <f t="shared" ref="BB198:BB199" si="660">BA198-AW198</f>
        <v>20</v>
      </c>
      <c r="BC198" s="45">
        <f>BB198*$G$8</f>
        <v>52</v>
      </c>
      <c r="BD198" s="242">
        <f>100+13.8</f>
        <v>113.8</v>
      </c>
      <c r="BE198" s="40">
        <f t="shared" ref="BE198:BG198" si="661">J198+N198+R198+V198+Z198+AD198+AH198+AL198+AP198+AT198+AX198+BB198</f>
        <v>674</v>
      </c>
      <c r="BF198" s="41">
        <f t="shared" si="661"/>
        <v>1720.5</v>
      </c>
      <c r="BG198" s="34">
        <f t="shared" si="661"/>
        <v>1482</v>
      </c>
      <c r="BH198" s="35">
        <f t="shared" si="650"/>
        <v>0</v>
      </c>
      <c r="BK198" s="2" t="b">
        <f>H198='2019'!BH161</f>
        <v>1</v>
      </c>
    </row>
    <row r="199" ht="14.25" customHeight="1" hidden="1" spans="1:63" x14ac:dyDescent="0.25">
      <c r="A199" s="2">
        <v>21</v>
      </c>
      <c r="B199" s="14"/>
      <c r="C199" s="15" t="s">
        <v>121</v>
      </c>
      <c r="D199" s="14" t="s">
        <v>47</v>
      </c>
      <c r="E199" s="2" t="s">
        <v>48</v>
      </c>
      <c r="F199" s="13">
        <v>18.56</v>
      </c>
      <c r="G199" s="35">
        <v>19.46</v>
      </c>
      <c r="H199" s="34">
        <f>'2019'!BH162</f>
        <v>-269.08</v>
      </c>
      <c r="I199" s="15">
        <v>36</v>
      </c>
      <c r="J199" s="15"/>
      <c r="K199" s="15"/>
      <c r="L199" s="28"/>
      <c r="M199" s="2">
        <v>36</v>
      </c>
      <c r="Q199" s="13">
        <v>36</v>
      </c>
      <c r="R199" s="15"/>
      <c r="S199" s="15"/>
      <c r="T199" s="28"/>
      <c r="U199" s="2">
        <v>39</v>
      </c>
      <c r="V199" s="2">
        <f t="shared" si="651"/>
        <v>3</v>
      </c>
      <c r="W199" s="2">
        <f>V199*$F$10</f>
        <v>55.68</v>
      </c>
      <c r="Y199" s="13">
        <v>40</v>
      </c>
      <c r="Z199" s="15">
        <f t="shared" si="652"/>
        <v>1</v>
      </c>
      <c r="AA199" s="34">
        <f>Z199*$F$10</f>
        <v>18.56</v>
      </c>
      <c r="AB199" s="28"/>
      <c r="AC199" s="15">
        <v>42</v>
      </c>
      <c r="AD199" s="15">
        <f t="shared" si="653"/>
        <v>2</v>
      </c>
      <c r="AE199" s="34">
        <f>AD199*$F$10</f>
        <v>37.12</v>
      </c>
      <c r="AG199" s="13">
        <v>49</v>
      </c>
      <c r="AH199" s="15">
        <f t="shared" si="654"/>
        <v>7</v>
      </c>
      <c r="AI199" s="45">
        <f>AH199*$G$10</f>
        <v>136.22</v>
      </c>
      <c r="AJ199" s="15"/>
      <c r="AK199" s="13">
        <v>51</v>
      </c>
      <c r="AL199" s="15">
        <f t="shared" si="655"/>
        <v>2</v>
      </c>
      <c r="AM199" s="45">
        <f>AL199*$G$10</f>
        <v>38.92</v>
      </c>
      <c r="AN199" s="15"/>
      <c r="AO199" s="13">
        <v>52</v>
      </c>
      <c r="AP199" s="15">
        <f t="shared" si="656"/>
        <v>1</v>
      </c>
      <c r="AQ199" s="45">
        <f>AP199*$G$10</f>
        <v>19.46</v>
      </c>
      <c r="AR199" s="39">
        <v>18</v>
      </c>
      <c r="AS199" s="13">
        <v>52</v>
      </c>
      <c r="AT199" s="15">
        <f t="shared" si="657"/>
        <v>0</v>
      </c>
      <c r="AU199" s="45">
        <f t="shared" si="658"/>
        <v>0</v>
      </c>
      <c r="AV199" s="15"/>
      <c r="AW199" s="13">
        <v>52</v>
      </c>
      <c r="AX199" s="2">
        <f t="shared" si="659"/>
        <v>0</v>
      </c>
      <c r="AY199" s="45"/>
      <c r="AZ199" s="208"/>
      <c r="BA199" s="13">
        <v>52</v>
      </c>
      <c r="BB199" s="15">
        <f t="shared" si="660"/>
        <v>0</v>
      </c>
      <c r="BC199" s="45"/>
      <c r="BD199" s="208"/>
      <c r="BE199" s="40">
        <f t="shared" ref="BE199:BG199" si="662">J199+N199+R199+V199+Z199+AD199+AH199+AL199+AP199+AT199+AX199+BB199</f>
        <v>16</v>
      </c>
      <c r="BF199" s="41">
        <f t="shared" si="662"/>
        <v>305.96</v>
      </c>
      <c r="BG199" s="34">
        <f t="shared" si="662"/>
        <v>18</v>
      </c>
      <c r="BH199" s="35">
        <f t="shared" si="650"/>
        <v>18.88</v>
      </c>
      <c r="BK199" s="2" t="b">
        <f>H199='2019'!BH162</f>
        <v>1</v>
      </c>
    </row>
    <row r="200" ht="14.25" customHeight="1" hidden="1" spans="1:63" x14ac:dyDescent="0.25">
      <c r="A200" s="2">
        <v>21</v>
      </c>
      <c r="B200" s="14"/>
      <c r="C200" s="15" t="s">
        <v>122</v>
      </c>
      <c r="D200" s="14" t="s">
        <v>47</v>
      </c>
      <c r="E200" s="2" t="s">
        <v>49</v>
      </c>
      <c r="F200" s="41">
        <v>500</v>
      </c>
      <c r="G200" s="28"/>
      <c r="H200" s="34">
        <f>'2019'!BH163</f>
        <v>0</v>
      </c>
      <c r="I200" s="15"/>
      <c r="J200" s="15"/>
      <c r="K200" s="15"/>
      <c r="L200" s="28"/>
      <c r="Q200" s="13"/>
      <c r="R200" s="15"/>
      <c r="S200" s="15"/>
      <c r="T200" s="28"/>
      <c r="Y200" s="13"/>
      <c r="Z200" s="15"/>
      <c r="AA200" s="15"/>
      <c r="AB200" s="28"/>
      <c r="AG200" s="13"/>
      <c r="AH200" s="15"/>
      <c r="AI200" s="45"/>
      <c r="AJ200" s="15"/>
      <c r="AK200" s="13"/>
      <c r="AL200" s="15"/>
      <c r="AM200" s="45"/>
      <c r="AN200" s="15"/>
      <c r="AO200" s="13"/>
      <c r="AP200" s="15"/>
      <c r="AQ200" s="45"/>
      <c r="AR200" s="15"/>
      <c r="AS200" s="13"/>
      <c r="AT200" s="15"/>
      <c r="AU200" s="45"/>
      <c r="AV200" s="15"/>
      <c r="AW200" s="13"/>
      <c r="AY200" s="45"/>
      <c r="AZ200" s="28"/>
      <c r="BA200" s="13"/>
      <c r="BB200" s="15"/>
      <c r="BC200" s="45"/>
      <c r="BD200" s="28"/>
      <c r="BE200" s="14"/>
      <c r="BF200" s="41">
        <f t="shared" ref="BF200:BG200" si="663">K200+O200+S200+W200+AA200+AE200+AI200+AM200+AQ200+AU200+AY200+BC200</f>
        <v>0</v>
      </c>
      <c r="BG200" s="34">
        <f t="shared" si="663"/>
        <v>0</v>
      </c>
      <c r="BH200" s="35">
        <f t="shared" si="650"/>
        <v>0</v>
      </c>
      <c r="BK200" s="2" t="b">
        <f>H200='2019'!BH163</f>
        <v>1</v>
      </c>
    </row>
    <row r="201" ht="14.25" customHeight="1" hidden="1" spans="1:63" x14ac:dyDescent="0.25">
      <c r="A201" s="2">
        <v>21</v>
      </c>
      <c r="B201" s="14"/>
      <c r="C201" s="15" t="s">
        <v>123</v>
      </c>
      <c r="D201" s="14" t="s">
        <v>50</v>
      </c>
      <c r="E201" s="2" t="s">
        <v>49</v>
      </c>
      <c r="F201" s="41">
        <v>1100</v>
      </c>
      <c r="G201" s="28"/>
      <c r="H201" s="182">
        <f>'2019'!BH164-0.0048</f>
        <v>0</v>
      </c>
      <c r="I201" s="15"/>
      <c r="J201" s="15"/>
      <c r="K201" s="15"/>
      <c r="L201" s="28"/>
      <c r="Q201" s="13"/>
      <c r="R201" s="15"/>
      <c r="S201" s="15"/>
      <c r="T201" s="28"/>
      <c r="Y201" s="13"/>
      <c r="Z201" s="15"/>
      <c r="AA201" s="15"/>
      <c r="AB201" s="28"/>
      <c r="AE201" s="34">
        <f>B198*$F$12</f>
        <v>4356</v>
      </c>
      <c r="AF201" s="34"/>
      <c r="AG201" s="13"/>
      <c r="AH201" s="15"/>
      <c r="AI201" s="45"/>
      <c r="AJ201" s="15"/>
      <c r="AK201" s="13"/>
      <c r="AL201" s="15"/>
      <c r="AM201" s="45"/>
      <c r="AN201" s="39">
        <v>4356</v>
      </c>
      <c r="AO201" s="13"/>
      <c r="AP201" s="15"/>
      <c r="AQ201" s="45"/>
      <c r="AR201" s="15"/>
      <c r="AS201" s="13"/>
      <c r="AT201" s="15"/>
      <c r="AU201" s="45"/>
      <c r="AV201" s="15"/>
      <c r="AW201" s="13"/>
      <c r="AY201" s="45"/>
      <c r="AZ201" s="28"/>
      <c r="BA201" s="13"/>
      <c r="BB201" s="15"/>
      <c r="BC201" s="45"/>
      <c r="BD201" s="28"/>
      <c r="BE201" s="14"/>
      <c r="BF201" s="41">
        <f t="shared" ref="BF201:BG201" si="664">K201+O201+S201+W201+AA201+AE201+AI201+AM201+AQ201+AU201+AY201+BC201</f>
        <v>4356</v>
      </c>
      <c r="BG201" s="34">
        <f t="shared" si="664"/>
        <v>4356</v>
      </c>
      <c r="BH201" s="35">
        <f t="shared" si="650"/>
        <v>0</v>
      </c>
      <c r="BK201" s="2" t="b">
        <f>H201='2019'!BH164</f>
        <v>0</v>
      </c>
    </row>
    <row r="202" ht="14.25" customHeight="1" hidden="1" spans="1:63" x14ac:dyDescent="0.25">
      <c r="A202" s="2">
        <v>21</v>
      </c>
      <c r="B202" s="14"/>
      <c r="D202" s="14" t="s">
        <v>51</v>
      </c>
      <c r="E202" s="2" t="s">
        <v>39</v>
      </c>
      <c r="F202" s="41">
        <v>500</v>
      </c>
      <c r="G202" s="28"/>
      <c r="H202" s="34">
        <f>'2019'!BH165</f>
        <v>0</v>
      </c>
      <c r="I202" s="15"/>
      <c r="J202" s="15"/>
      <c r="K202" s="15"/>
      <c r="L202" s="28"/>
      <c r="Q202" s="13"/>
      <c r="R202" s="15"/>
      <c r="S202" s="15"/>
      <c r="T202" s="28"/>
      <c r="Y202" s="13"/>
      <c r="Z202" s="15"/>
      <c r="AA202" s="15"/>
      <c r="AB202" s="28"/>
      <c r="AE202" s="34"/>
      <c r="AF202" s="34"/>
      <c r="AG202" s="13"/>
      <c r="AH202" s="15"/>
      <c r="AI202" s="45"/>
      <c r="AJ202" s="15"/>
      <c r="AK202" s="13"/>
      <c r="AL202" s="15"/>
      <c r="AM202" s="45"/>
      <c r="AN202" s="15"/>
      <c r="AO202" s="13"/>
      <c r="AP202" s="15"/>
      <c r="AQ202" s="45">
        <f>$F$13</f>
        <v>500</v>
      </c>
      <c r="AR202" s="15"/>
      <c r="AS202" s="13"/>
      <c r="AT202" s="15"/>
      <c r="AU202" s="45"/>
      <c r="AV202" s="15"/>
      <c r="AW202" s="13"/>
      <c r="AY202" s="45"/>
      <c r="AZ202" s="28"/>
      <c r="BA202" s="13"/>
      <c r="BB202" s="15"/>
      <c r="BC202" s="45"/>
      <c r="BD202" s="28"/>
      <c r="BE202" s="14"/>
      <c r="BF202" s="41">
        <f t="shared" ref="BF202:BG202" si="665">K202+O202+S202+W202+AA202+AE202+AI202+AM202+AQ202+AU202+AY202+BC202</f>
        <v>500</v>
      </c>
      <c r="BG202" s="34">
        <f t="shared" si="665"/>
        <v>0</v>
      </c>
      <c r="BH202" s="35">
        <f t="shared" si="650"/>
        <v>500</v>
      </c>
      <c r="BK202" s="2" t="b">
        <f>H202='2019'!BH165</f>
        <v>1</v>
      </c>
    </row>
    <row r="203" ht="14.25" customHeight="1" hidden="1" spans="1:60" x14ac:dyDescent="0.25">
      <c r="A203" s="2">
        <v>21</v>
      </c>
      <c r="B203" s="14"/>
      <c r="D203" s="14" t="s">
        <v>51</v>
      </c>
      <c r="E203" s="2" t="s">
        <v>49</v>
      </c>
      <c r="F203" s="41">
        <v>500</v>
      </c>
      <c r="G203" s="28"/>
      <c r="H203" s="34"/>
      <c r="I203" s="15"/>
      <c r="J203" s="15"/>
      <c r="K203" s="15"/>
      <c r="L203" s="28"/>
      <c r="Q203" s="13"/>
      <c r="R203" s="15"/>
      <c r="S203" s="15"/>
      <c r="T203" s="28"/>
      <c r="Y203" s="13"/>
      <c r="Z203" s="15"/>
      <c r="AA203" s="15"/>
      <c r="AB203" s="28"/>
      <c r="AE203" s="34"/>
      <c r="AF203" s="34"/>
      <c r="AG203" s="13"/>
      <c r="AH203" s="15"/>
      <c r="AI203" s="45"/>
      <c r="AJ203" s="15"/>
      <c r="AK203" s="13"/>
      <c r="AL203" s="15"/>
      <c r="AM203" s="45"/>
      <c r="AN203" s="15"/>
      <c r="AO203" s="13"/>
      <c r="AP203" s="15"/>
      <c r="AQ203" s="34">
        <f>B198*$F$14</f>
        <v>1980</v>
      </c>
      <c r="AR203" s="15"/>
      <c r="AS203" s="13"/>
      <c r="AT203" s="15"/>
      <c r="AU203" s="45"/>
      <c r="AV203" s="15"/>
      <c r="AW203" s="13"/>
      <c r="AY203" s="45"/>
      <c r="AZ203" s="28"/>
      <c r="BA203" s="13"/>
      <c r="BB203" s="15"/>
      <c r="BC203" s="45"/>
      <c r="BD203" s="28"/>
      <c r="BE203" s="14"/>
      <c r="BF203" s="41">
        <f t="shared" ref="BF203:BG203" si="666">K203+O203+S203+W203+AA203+AE203+AI203+AM203+AQ203+AU203+AY203+BC203</f>
        <v>1980</v>
      </c>
      <c r="BG203" s="34">
        <f t="shared" si="666"/>
        <v>0</v>
      </c>
      <c r="BH203" s="35">
        <f t="shared" si="650"/>
        <v>1980</v>
      </c>
    </row>
    <row r="204" ht="14.25" customHeight="1" hidden="1" spans="1:63" x14ac:dyDescent="0.25">
      <c r="A204" s="2">
        <v>21</v>
      </c>
      <c r="B204" s="14"/>
      <c r="D204" s="14" t="s">
        <v>52</v>
      </c>
      <c r="E204" s="2" t="s">
        <v>39</v>
      </c>
      <c r="F204" s="41">
        <v>500</v>
      </c>
      <c r="G204" s="28"/>
      <c r="H204" s="34">
        <f>'2019'!BH166</f>
        <v>0</v>
      </c>
      <c r="I204" s="15"/>
      <c r="J204" s="15"/>
      <c r="K204" s="15"/>
      <c r="L204" s="28"/>
      <c r="Q204" s="13"/>
      <c r="R204" s="15"/>
      <c r="S204" s="15"/>
      <c r="T204" s="28"/>
      <c r="Y204" s="13"/>
      <c r="Z204" s="15"/>
      <c r="AA204" s="77"/>
      <c r="AB204" s="35"/>
      <c r="AF204" s="34"/>
      <c r="AG204" s="13"/>
      <c r="AH204" s="15"/>
      <c r="AI204" s="45"/>
      <c r="AJ204" s="15"/>
      <c r="AK204" s="13"/>
      <c r="AL204" s="15"/>
      <c r="AM204" s="45"/>
      <c r="AN204" s="15"/>
      <c r="AO204" s="13"/>
      <c r="AP204" s="15"/>
      <c r="AQ204" s="45"/>
      <c r="AR204" s="15"/>
      <c r="AS204" s="13"/>
      <c r="AT204" s="15"/>
      <c r="AU204" s="45"/>
      <c r="AV204" s="15"/>
      <c r="AW204" s="13"/>
      <c r="AY204" s="45"/>
      <c r="AZ204" s="35"/>
      <c r="BA204" s="13"/>
      <c r="BB204" s="15"/>
      <c r="BC204" s="45"/>
      <c r="BD204" s="35"/>
      <c r="BE204" s="14"/>
      <c r="BF204" s="41">
        <f t="shared" ref="BF204:BG204" si="667">K204+O204+S204+W204+AA204+AE204+AI204+AM204+AQ204+AU204+AY204+BC204</f>
        <v>0</v>
      </c>
      <c r="BG204" s="34">
        <f t="shared" si="667"/>
        <v>0</v>
      </c>
      <c r="BH204" s="35">
        <f t="shared" si="650"/>
        <v>0</v>
      </c>
      <c r="BK204" s="2" t="b">
        <f>H204='2019'!BH166</f>
        <v>1</v>
      </c>
    </row>
    <row r="205" ht="15.75" customHeight="1" hidden="1" spans="1:63" x14ac:dyDescent="0.25">
      <c r="A205" s="247">
        <v>21</v>
      </c>
      <c r="B205" s="21"/>
      <c r="C205" s="22" t="s">
        <v>53</v>
      </c>
      <c r="D205" s="21"/>
      <c r="E205" s="22"/>
      <c r="F205" s="20"/>
      <c r="G205" s="23"/>
      <c r="H205" s="51">
        <f>SUM(H197:H204)</f>
        <v>-507.58</v>
      </c>
      <c r="I205" s="53"/>
      <c r="J205" s="53"/>
      <c r="K205" s="51">
        <f t="shared" ref="K205:L205" si="668">SUM(K197:K204)</f>
        <v>102.5</v>
      </c>
      <c r="L205" s="68">
        <f t="shared" si="668"/>
        <v>0</v>
      </c>
      <c r="M205" s="53"/>
      <c r="N205" s="53"/>
      <c r="O205" s="51">
        <f t="shared" ref="O205:P205" si="669">SUM(O197:O204)</f>
        <v>65</v>
      </c>
      <c r="P205" s="68">
        <f t="shared" si="669"/>
        <v>102.5</v>
      </c>
      <c r="Q205" s="52"/>
      <c r="R205" s="53"/>
      <c r="S205" s="51">
        <f t="shared" ref="S205:T205" si="670">SUM(S197:S204)</f>
        <v>65</v>
      </c>
      <c r="T205" s="68">
        <f t="shared" si="670"/>
        <v>0</v>
      </c>
      <c r="U205" s="53"/>
      <c r="V205" s="53"/>
      <c r="W205" s="51">
        <f t="shared" ref="W205:X205" si="671">SUM(W197:W204)</f>
        <v>196.18</v>
      </c>
      <c r="X205" s="68">
        <f t="shared" si="671"/>
        <v>65.6</v>
      </c>
      <c r="Y205" s="52"/>
      <c r="Z205" s="53"/>
      <c r="AA205" s="51">
        <f t="shared" ref="AA205:AB205" si="672">SUM(AA197:AA204)</f>
        <v>243.56</v>
      </c>
      <c r="AB205" s="68">
        <f t="shared" si="672"/>
        <v>0</v>
      </c>
      <c r="AC205" s="53"/>
      <c r="AD205" s="53"/>
      <c r="AE205" s="51">
        <f t="shared" ref="AE205:AF205" si="673">SUM(AE197:AE204)</f>
        <v>4658.12</v>
      </c>
      <c r="AF205" s="68">
        <f t="shared" si="673"/>
        <v>192</v>
      </c>
      <c r="AG205" s="52"/>
      <c r="AH205" s="53"/>
      <c r="AI205" s="183">
        <f t="shared" ref="AI205:AJ205" si="674">SUM(AI197:AI204)</f>
        <v>396.22</v>
      </c>
      <c r="AJ205" s="51">
        <f t="shared" si="674"/>
        <v>524.5</v>
      </c>
      <c r="AK205" s="52"/>
      <c r="AL205" s="53"/>
      <c r="AM205" s="183">
        <f t="shared" ref="AM205:AN205" si="675">SUM(AM197:AM204)</f>
        <v>304.12</v>
      </c>
      <c r="AN205" s="51">
        <f t="shared" si="675"/>
        <v>4356</v>
      </c>
      <c r="AO205" s="52"/>
      <c r="AP205" s="53"/>
      <c r="AQ205" s="183">
        <f t="shared" ref="AQ205:AR205" si="676">SUM(AQ197:AQ204)</f>
        <v>2621.66</v>
      </c>
      <c r="AR205" s="51">
        <f t="shared" si="676"/>
        <v>283.2</v>
      </c>
      <c r="AS205" s="52"/>
      <c r="AT205" s="53"/>
      <c r="AU205" s="183">
        <f t="shared" ref="AU205:AV205" si="677">SUM(AU197:AU204)</f>
        <v>161.2</v>
      </c>
      <c r="AV205" s="68">
        <f t="shared" si="677"/>
        <v>123</v>
      </c>
      <c r="AW205" s="52"/>
      <c r="AX205" s="53"/>
      <c r="AY205" s="183">
        <f t="shared" ref="AY205:AZ205" si="678">SUM(AY197:AY204)</f>
        <v>62.4</v>
      </c>
      <c r="AZ205" s="68">
        <f t="shared" si="678"/>
        <v>161</v>
      </c>
      <c r="BA205" s="52"/>
      <c r="BB205" s="53"/>
      <c r="BC205" s="183">
        <f t="shared" ref="BC205:BD205" si="679">SUM(BC197:BC204)</f>
        <v>52</v>
      </c>
      <c r="BD205" s="68">
        <f t="shared" si="679"/>
        <v>113.8</v>
      </c>
      <c r="BE205" s="69"/>
      <c r="BF205" s="70">
        <f t="shared" ref="BF205:BH205" si="680">SUM(BF197:BF204)</f>
        <v>8927.96</v>
      </c>
      <c r="BG205" s="71">
        <f t="shared" si="680"/>
        <v>5921.6</v>
      </c>
      <c r="BH205" s="72">
        <f t="shared" si="680"/>
        <v>2498.78</v>
      </c>
      <c r="BI205" s="34">
        <f>H205+BF205-BG205</f>
        <v>2498.78</v>
      </c>
      <c r="BJ205" s="34">
        <f>BH205-BI205</f>
        <v>0</v>
      </c>
      <c r="BK205" s="2" t="b">
        <f>H205='2019'!BH167</f>
        <v>0</v>
      </c>
    </row>
    <row r="206" ht="14.25" customHeight="1" hidden="1" spans="1:63" x14ac:dyDescent="0.25">
      <c r="A206" s="2">
        <v>23</v>
      </c>
      <c r="B206" s="14"/>
      <c r="D206" s="14" t="s">
        <v>379</v>
      </c>
      <c r="F206" s="13"/>
      <c r="G206" s="28"/>
      <c r="H206" s="34">
        <f>'2019'!BH168</f>
        <v>0</v>
      </c>
      <c r="J206" s="15"/>
      <c r="K206" s="15"/>
      <c r="L206" s="28"/>
      <c r="Q206" s="13"/>
      <c r="R206" s="15"/>
      <c r="S206" s="15"/>
      <c r="T206" s="28"/>
      <c r="Y206" s="13"/>
      <c r="Z206" s="15"/>
      <c r="AA206" s="15"/>
      <c r="AB206" s="28"/>
      <c r="AG206" s="13"/>
      <c r="AH206" s="15"/>
      <c r="AI206" s="45"/>
      <c r="AJ206" s="15"/>
      <c r="AK206" s="13"/>
      <c r="AM206" s="45"/>
      <c r="AO206" s="13"/>
      <c r="AQ206" s="45"/>
      <c r="AS206" s="13"/>
      <c r="AU206" s="45"/>
      <c r="AW206" s="13"/>
      <c r="AY206" s="45"/>
      <c r="AZ206" s="28"/>
      <c r="BA206" s="13"/>
      <c r="BB206" s="15"/>
      <c r="BC206" s="45"/>
      <c r="BD206" s="28"/>
      <c r="BE206" s="14"/>
      <c r="BF206" s="41">
        <f t="shared" ref="BF206:BG206" si="681">K206+O206+S206+W206+AA206+AE206+AI206+AM206+AQ206+AU206+AY206+BC206</f>
        <v>0</v>
      </c>
      <c r="BG206" s="34">
        <f t="shared" si="681"/>
        <v>0</v>
      </c>
      <c r="BH206" s="35">
        <f t="shared" ref="BH206:BH213" si="682">H206+BF206-BG206</f>
        <v>0</v>
      </c>
      <c r="BK206" s="2" t="b">
        <f>H206='2019'!BH168</f>
        <v>1</v>
      </c>
    </row>
    <row r="207" ht="15.75" customHeight="1" hidden="1" spans="1:63" x14ac:dyDescent="0.25">
      <c r="A207" s="2">
        <v>23</v>
      </c>
      <c r="B207" s="14">
        <v>3.98</v>
      </c>
      <c r="C207" s="2" t="s">
        <v>124</v>
      </c>
      <c r="D207" s="14" t="s">
        <v>44</v>
      </c>
      <c r="E207" s="2" t="s">
        <v>45</v>
      </c>
      <c r="F207" s="41">
        <v>2.5</v>
      </c>
      <c r="G207" s="35">
        <v>2.6</v>
      </c>
      <c r="H207" s="34">
        <f>'2019'!BH169</f>
        <v>104.04</v>
      </c>
      <c r="I207" s="13">
        <v>3353</v>
      </c>
      <c r="J207" s="15">
        <f>I207-'2019'!BA169</f>
        <v>0</v>
      </c>
      <c r="K207" s="34">
        <f>J207*$F$8</f>
        <v>0</v>
      </c>
      <c r="L207" s="28"/>
      <c r="M207" s="2">
        <v>3353</v>
      </c>
      <c r="N207" s="15">
        <f>M207-I207</f>
        <v>0</v>
      </c>
      <c r="O207" s="34">
        <f>N207*$F$8</f>
        <v>0</v>
      </c>
      <c r="P207" s="34"/>
      <c r="Q207" s="13">
        <v>3353</v>
      </c>
      <c r="R207" s="15">
        <f>Q207-M207</f>
        <v>0</v>
      </c>
      <c r="S207" s="34">
        <f>R207*$F$8</f>
        <v>0</v>
      </c>
      <c r="T207" s="28"/>
      <c r="U207" s="15">
        <v>3414</v>
      </c>
      <c r="V207" s="15">
        <f t="shared" ref="V207:V208" si="683">U207-Q207</f>
        <v>61</v>
      </c>
      <c r="W207" s="34">
        <f>V207*$F$8</f>
        <v>152.5</v>
      </c>
      <c r="Y207" s="13">
        <v>3845</v>
      </c>
      <c r="Z207" s="15">
        <f t="shared" ref="Z207:Z208" si="684">Y207-U207</f>
        <v>431</v>
      </c>
      <c r="AA207" s="34">
        <f>Z207*$F$8</f>
        <v>1077.5</v>
      </c>
      <c r="AB207" s="38">
        <v>260</v>
      </c>
      <c r="AC207" s="15">
        <v>4165</v>
      </c>
      <c r="AD207" s="15">
        <f t="shared" ref="AD207:AD208" si="685">AC207-Y207</f>
        <v>320</v>
      </c>
      <c r="AE207" s="34">
        <f>AD207*$F$8</f>
        <v>800</v>
      </c>
      <c r="AF207" s="138">
        <f>1074.04+73.72</f>
        <v>1147.76</v>
      </c>
      <c r="AG207" s="13">
        <v>4259</v>
      </c>
      <c r="AH207" s="15">
        <f t="shared" ref="AH207:AH208" si="686">AG207-AC207</f>
        <v>94</v>
      </c>
      <c r="AI207" s="45">
        <f>AH207*$G$8</f>
        <v>244.4</v>
      </c>
      <c r="AJ207" s="245">
        <f>726.28+23.44</f>
        <v>749.72</v>
      </c>
      <c r="AK207" s="13">
        <v>4556</v>
      </c>
      <c r="AL207" s="15">
        <f t="shared" ref="AL207:AL208" si="687">AK207-AG207</f>
        <v>297</v>
      </c>
      <c r="AM207" s="45">
        <f>AL207*$G$8</f>
        <v>772.2</v>
      </c>
      <c r="AN207" s="138">
        <f>480.96+85.52</f>
        <v>566.48</v>
      </c>
      <c r="AO207" s="13">
        <v>5352</v>
      </c>
      <c r="AP207" s="15">
        <f t="shared" ref="AP207:AP208" si="688">AO207-AK207</f>
        <v>796</v>
      </c>
      <c r="AQ207" s="45">
        <f>AP207*$G$8</f>
        <v>2069.6</v>
      </c>
      <c r="AR207" s="15"/>
      <c r="AS207" s="13">
        <v>5766</v>
      </c>
      <c r="AT207" s="15">
        <f t="shared" ref="AT207:AT208" si="689">AS207-AO207</f>
        <v>414</v>
      </c>
      <c r="AU207" s="45">
        <f>AT207*$G$8</f>
        <v>1076.4</v>
      </c>
      <c r="AV207" s="15"/>
      <c r="AW207" s="13">
        <v>5766</v>
      </c>
      <c r="AX207" s="2">
        <f t="shared" ref="AX207:AX208" si="690">AW207-AS207</f>
        <v>0</v>
      </c>
      <c r="AY207" s="45">
        <f>AX207*$G$8</f>
        <v>0</v>
      </c>
      <c r="AZ207" s="208"/>
      <c r="BA207" s="13">
        <v>5766</v>
      </c>
      <c r="BB207" s="15">
        <f t="shared" ref="BB207:BB208" si="691">BA207-AW207</f>
        <v>0</v>
      </c>
      <c r="BC207" s="45">
        <f>BB207*$G$8</f>
        <v>0</v>
      </c>
      <c r="BD207" s="208"/>
      <c r="BE207" s="40">
        <f t="shared" ref="BE207:BG207" si="692">J207+N207+R207+V207+Z207+AD207+AH207+AL207+AP207+AT207+AX207+BB207</f>
        <v>2413</v>
      </c>
      <c r="BF207" s="41">
        <f t="shared" si="692"/>
        <v>6192.6</v>
      </c>
      <c r="BG207" s="34">
        <f t="shared" si="692"/>
        <v>2723.96</v>
      </c>
      <c r="BH207" s="35">
        <f t="shared" si="682"/>
        <v>3572.68</v>
      </c>
      <c r="BK207" s="2" t="b">
        <f>H207='2019'!BH169</f>
        <v>1</v>
      </c>
    </row>
    <row r="208" ht="14.25" customHeight="1" hidden="1" spans="1:63" x14ac:dyDescent="0.25">
      <c r="A208" s="2">
        <v>23</v>
      </c>
      <c r="B208" s="14"/>
      <c r="C208" s="2" t="s">
        <v>93</v>
      </c>
      <c r="D208" s="14" t="s">
        <v>47</v>
      </c>
      <c r="E208" s="2" t="s">
        <v>48</v>
      </c>
      <c r="F208" s="13">
        <v>18.56</v>
      </c>
      <c r="G208" s="35">
        <v>19.46</v>
      </c>
      <c r="H208" s="34">
        <f>'2019'!BH170</f>
        <v>0</v>
      </c>
      <c r="I208" s="15">
        <v>45</v>
      </c>
      <c r="J208" s="15"/>
      <c r="K208" s="15"/>
      <c r="L208" s="28"/>
      <c r="M208" s="2">
        <v>45</v>
      </c>
      <c r="Q208" s="13">
        <v>45</v>
      </c>
      <c r="R208" s="15"/>
      <c r="S208" s="15"/>
      <c r="T208" s="28"/>
      <c r="U208" s="2">
        <v>47</v>
      </c>
      <c r="V208" s="2">
        <f t="shared" si="683"/>
        <v>2</v>
      </c>
      <c r="W208" s="2">
        <f>V208*$F$10</f>
        <v>37.12</v>
      </c>
      <c r="Y208" s="13">
        <v>49</v>
      </c>
      <c r="Z208" s="15">
        <f t="shared" si="684"/>
        <v>2</v>
      </c>
      <c r="AA208" s="34">
        <f>Z208*$F$10</f>
        <v>37.12</v>
      </c>
      <c r="AB208" s="28"/>
      <c r="AC208" s="15">
        <v>49</v>
      </c>
      <c r="AD208" s="15">
        <f t="shared" si="685"/>
        <v>0</v>
      </c>
      <c r="AE208" s="34">
        <f>AD208*$F$10</f>
        <v>0</v>
      </c>
      <c r="AF208" s="138">
        <v>74.24</v>
      </c>
      <c r="AG208" s="13">
        <v>67</v>
      </c>
      <c r="AH208" s="15">
        <f t="shared" si="686"/>
        <v>18</v>
      </c>
      <c r="AI208" s="45">
        <f>AH208*$G$10</f>
        <v>350.28</v>
      </c>
      <c r="AJ208" s="245">
        <v>350.28</v>
      </c>
      <c r="AK208" s="13">
        <v>79</v>
      </c>
      <c r="AL208" s="15">
        <f t="shared" si="687"/>
        <v>12</v>
      </c>
      <c r="AM208" s="45">
        <f>AL208*$G$10</f>
        <v>233.52</v>
      </c>
      <c r="AN208" s="138">
        <v>233.52</v>
      </c>
      <c r="AO208" s="13">
        <v>81</v>
      </c>
      <c r="AP208" s="15">
        <f t="shared" si="688"/>
        <v>2</v>
      </c>
      <c r="AQ208" s="45">
        <f>AP208*$G$10</f>
        <v>38.92</v>
      </c>
      <c r="AR208" s="15"/>
      <c r="AS208" s="13">
        <v>81</v>
      </c>
      <c r="AT208" s="15">
        <f t="shared" si="689"/>
        <v>0</v>
      </c>
      <c r="AU208" s="45">
        <f>AT208*$G$10</f>
        <v>0</v>
      </c>
      <c r="AV208" s="15"/>
      <c r="AW208" s="13">
        <v>81</v>
      </c>
      <c r="AX208" s="2">
        <f t="shared" si="690"/>
        <v>0</v>
      </c>
      <c r="AY208" s="45"/>
      <c r="AZ208" s="208"/>
      <c r="BA208" s="13">
        <v>81</v>
      </c>
      <c r="BB208" s="15">
        <f t="shared" si="691"/>
        <v>0</v>
      </c>
      <c r="BC208" s="45"/>
      <c r="BD208" s="208"/>
      <c r="BE208" s="40">
        <f t="shared" ref="BE208:BG208" si="693">J208+N208+R208+V208+Z208+AD208+AH208+AL208+AP208+AT208+AX208+BB208</f>
        <v>36</v>
      </c>
      <c r="BF208" s="41">
        <f t="shared" si="693"/>
        <v>696.96</v>
      </c>
      <c r="BG208" s="34">
        <f t="shared" si="693"/>
        <v>658.04</v>
      </c>
      <c r="BH208" s="35">
        <f t="shared" si="682"/>
        <v>38.92</v>
      </c>
      <c r="BK208" s="2" t="b">
        <f>H208='2019'!BH170</f>
        <v>1</v>
      </c>
    </row>
    <row r="209" ht="14.25" customHeight="1" hidden="1" spans="1:63" x14ac:dyDescent="0.25">
      <c r="A209" s="2">
        <v>23</v>
      </c>
      <c r="B209" s="14"/>
      <c r="C209" s="2" t="s">
        <v>125</v>
      </c>
      <c r="D209" s="14" t="s">
        <v>47</v>
      </c>
      <c r="E209" s="2" t="s">
        <v>49</v>
      </c>
      <c r="F209" s="41">
        <v>500</v>
      </c>
      <c r="G209" s="28"/>
      <c r="H209" s="34">
        <f>'2019'!BH171</f>
        <v>0</v>
      </c>
      <c r="I209" s="15"/>
      <c r="J209" s="15"/>
      <c r="K209" s="15"/>
      <c r="L209" s="28"/>
      <c r="Q209" s="13"/>
      <c r="R209" s="15"/>
      <c r="S209" s="15"/>
      <c r="T209" s="28"/>
      <c r="Y209" s="13"/>
      <c r="Z209" s="15"/>
      <c r="AA209" s="15"/>
      <c r="AB209" s="28"/>
      <c r="AG209" s="13"/>
      <c r="AH209" s="15"/>
      <c r="AI209" s="45"/>
      <c r="AJ209" s="15"/>
      <c r="AK209" s="13"/>
      <c r="AL209" s="15"/>
      <c r="AM209" s="45"/>
      <c r="AN209" s="15"/>
      <c r="AO209" s="13"/>
      <c r="AP209" s="15"/>
      <c r="AQ209" s="45"/>
      <c r="AR209" s="15"/>
      <c r="AS209" s="13"/>
      <c r="AT209" s="15"/>
      <c r="AU209" s="45"/>
      <c r="AV209" s="15"/>
      <c r="AW209" s="13"/>
      <c r="AY209" s="45"/>
      <c r="AZ209" s="28"/>
      <c r="BA209" s="13"/>
      <c r="BB209" s="15"/>
      <c r="BC209" s="45"/>
      <c r="BD209" s="28"/>
      <c r="BE209" s="14"/>
      <c r="BF209" s="41">
        <f t="shared" ref="BF209:BG209" si="694">K209+O209+S209+W209+AA209+AE209+AI209+AM209+AQ209+AU209+AY209+BC209</f>
        <v>0</v>
      </c>
      <c r="BG209" s="34">
        <f t="shared" si="694"/>
        <v>0</v>
      </c>
      <c r="BH209" s="35">
        <f t="shared" si="682"/>
        <v>0</v>
      </c>
      <c r="BK209" s="2" t="b">
        <f>H209='2019'!BH171</f>
        <v>1</v>
      </c>
    </row>
    <row r="210" ht="14.25" customHeight="1" hidden="1" spans="1:63" x14ac:dyDescent="0.25">
      <c r="A210" s="2">
        <v>23</v>
      </c>
      <c r="B210" s="14"/>
      <c r="C210" s="15" t="s">
        <v>126</v>
      </c>
      <c r="D210" s="14" t="s">
        <v>50</v>
      </c>
      <c r="E210" s="2" t="s">
        <v>49</v>
      </c>
      <c r="F210" s="41">
        <v>1100</v>
      </c>
      <c r="G210" s="28"/>
      <c r="H210" s="182">
        <f>'2019'!BH172-0.0024</f>
        <v>0</v>
      </c>
      <c r="I210" s="15"/>
      <c r="J210" s="15"/>
      <c r="K210" s="15"/>
      <c r="L210" s="28"/>
      <c r="Q210" s="13"/>
      <c r="R210" s="15"/>
      <c r="S210" s="15"/>
      <c r="T210" s="28"/>
      <c r="Y210" s="13"/>
      <c r="Z210" s="15"/>
      <c r="AA210" s="15"/>
      <c r="AB210" s="28"/>
      <c r="AE210" s="34">
        <f>B207*$F$12</f>
        <v>4378</v>
      </c>
      <c r="AF210" s="133">
        <v>4378</v>
      </c>
      <c r="AG210" s="13"/>
      <c r="AH210" s="15"/>
      <c r="AI210" s="45"/>
      <c r="AJ210" s="2"/>
      <c r="AK210" s="13"/>
      <c r="AL210" s="15"/>
      <c r="AM210" s="45"/>
      <c r="AN210" s="15"/>
      <c r="AO210" s="13"/>
      <c r="AP210" s="15"/>
      <c r="AQ210" s="45"/>
      <c r="AR210" s="15"/>
      <c r="AS210" s="13"/>
      <c r="AT210" s="15"/>
      <c r="AU210" s="45"/>
      <c r="AV210" s="15"/>
      <c r="AW210" s="13"/>
      <c r="AY210" s="45"/>
      <c r="AZ210" s="28"/>
      <c r="BA210" s="13"/>
      <c r="BB210" s="15"/>
      <c r="BC210" s="45"/>
      <c r="BD210" s="28"/>
      <c r="BE210" s="14"/>
      <c r="BF210" s="41">
        <f t="shared" ref="BF210:BG210" si="695">K210+O210+S210+W210+AA210+AE210+AI210+AM210+AQ210+AU210+AY210+BC210</f>
        <v>4378</v>
      </c>
      <c r="BG210" s="34">
        <f t="shared" si="695"/>
        <v>4378</v>
      </c>
      <c r="BH210" s="35">
        <f t="shared" si="682"/>
        <v>0</v>
      </c>
      <c r="BK210" s="2" t="b">
        <f>H210='2019'!BH172</f>
        <v>0</v>
      </c>
    </row>
    <row r="211" ht="14.25" customHeight="1" hidden="1" spans="1:63" x14ac:dyDescent="0.25">
      <c r="A211" s="2">
        <v>23</v>
      </c>
      <c r="B211" s="14"/>
      <c r="D211" s="14" t="s">
        <v>51</v>
      </c>
      <c r="E211" s="2" t="s">
        <v>39</v>
      </c>
      <c r="F211" s="41">
        <v>500</v>
      </c>
      <c r="G211" s="28"/>
      <c r="H211" s="34">
        <f>'2019'!BH173</f>
        <v>0</v>
      </c>
      <c r="I211" s="15"/>
      <c r="J211" s="15"/>
      <c r="K211" s="15"/>
      <c r="L211" s="28"/>
      <c r="Q211" s="13"/>
      <c r="R211" s="15"/>
      <c r="S211" s="15"/>
      <c r="T211" s="28"/>
      <c r="Y211" s="13"/>
      <c r="Z211" s="15"/>
      <c r="AA211" s="15"/>
      <c r="AB211" s="28"/>
      <c r="AE211" s="34"/>
      <c r="AF211" s="34"/>
      <c r="AG211" s="13"/>
      <c r="AH211" s="15"/>
      <c r="AI211" s="45"/>
      <c r="AJ211" s="15"/>
      <c r="AK211" s="13"/>
      <c r="AL211" s="15"/>
      <c r="AM211" s="45"/>
      <c r="AN211" s="15"/>
      <c r="AO211" s="13"/>
      <c r="AP211" s="15"/>
      <c r="AQ211" s="45">
        <f>$F$13</f>
        <v>500</v>
      </c>
      <c r="AR211" s="15"/>
      <c r="AS211" s="13"/>
      <c r="AT211" s="15"/>
      <c r="AU211" s="45"/>
      <c r="AV211" s="15"/>
      <c r="AW211" s="13"/>
      <c r="AY211" s="45"/>
      <c r="AZ211" s="28"/>
      <c r="BA211" s="13"/>
      <c r="BB211" s="15"/>
      <c r="BC211" s="45"/>
      <c r="BD211" s="28"/>
      <c r="BE211" s="14"/>
      <c r="BF211" s="41">
        <f t="shared" ref="BF211:BG211" si="696">K211+O211+S211+W211+AA211+AE211+AI211+AM211+AQ211+AU211+AY211+BC211</f>
        <v>500</v>
      </c>
      <c r="BG211" s="34">
        <f t="shared" si="696"/>
        <v>0</v>
      </c>
      <c r="BH211" s="35">
        <f t="shared" si="682"/>
        <v>500</v>
      </c>
      <c r="BK211" s="2" t="b">
        <f>H211='2019'!BH173</f>
        <v>1</v>
      </c>
    </row>
    <row r="212" ht="14.25" customHeight="1" hidden="1" spans="1:60" x14ac:dyDescent="0.25">
      <c r="A212" s="2">
        <v>23</v>
      </c>
      <c r="B212" s="14"/>
      <c r="D212" s="14" t="s">
        <v>51</v>
      </c>
      <c r="E212" s="2" t="s">
        <v>49</v>
      </c>
      <c r="F212" s="41">
        <v>500</v>
      </c>
      <c r="G212" s="28"/>
      <c r="H212" s="34"/>
      <c r="I212" s="15"/>
      <c r="J212" s="15"/>
      <c r="K212" s="15"/>
      <c r="L212" s="28"/>
      <c r="Q212" s="13"/>
      <c r="R212" s="15"/>
      <c r="S212" s="15"/>
      <c r="T212" s="28"/>
      <c r="Y212" s="13"/>
      <c r="Z212" s="15"/>
      <c r="AA212" s="15"/>
      <c r="AB212" s="28"/>
      <c r="AE212" s="34"/>
      <c r="AF212" s="34"/>
      <c r="AG212" s="13"/>
      <c r="AH212" s="15"/>
      <c r="AI212" s="45"/>
      <c r="AJ212" s="15"/>
      <c r="AK212" s="13"/>
      <c r="AL212" s="15"/>
      <c r="AM212" s="45"/>
      <c r="AN212" s="15"/>
      <c r="AO212" s="13"/>
      <c r="AP212" s="15"/>
      <c r="AQ212" s="34">
        <f>B207*$F$14</f>
        <v>1990</v>
      </c>
      <c r="AR212" s="15"/>
      <c r="AS212" s="13"/>
      <c r="AT212" s="15"/>
      <c r="AU212" s="45"/>
      <c r="AV212" s="15"/>
      <c r="AW212" s="13"/>
      <c r="AY212" s="45"/>
      <c r="AZ212" s="28"/>
      <c r="BA212" s="13"/>
      <c r="BB212" s="15"/>
      <c r="BC212" s="45"/>
      <c r="BD212" s="28"/>
      <c r="BE212" s="14"/>
      <c r="BF212" s="41">
        <f t="shared" ref="BF212:BG212" si="697">K212+O212+S212+W212+AA212+AE212+AI212+AM212+AQ212+AU212+AY212+BC212</f>
        <v>1990</v>
      </c>
      <c r="BG212" s="34">
        <f t="shared" si="697"/>
        <v>0</v>
      </c>
      <c r="BH212" s="35">
        <f t="shared" si="682"/>
        <v>1990</v>
      </c>
    </row>
    <row r="213" ht="14.25" customHeight="1" hidden="1" spans="1:63" x14ac:dyDescent="0.25">
      <c r="A213" s="2">
        <v>23</v>
      </c>
      <c r="B213" s="14"/>
      <c r="D213" s="14" t="s">
        <v>52</v>
      </c>
      <c r="E213" s="2" t="s">
        <v>39</v>
      </c>
      <c r="F213" s="41">
        <v>500</v>
      </c>
      <c r="G213" s="28"/>
      <c r="H213" s="34">
        <f>'2019'!BH174</f>
        <v>0</v>
      </c>
      <c r="I213" s="15"/>
      <c r="J213" s="15"/>
      <c r="K213" s="15"/>
      <c r="L213" s="28"/>
      <c r="Q213" s="13"/>
      <c r="R213" s="15"/>
      <c r="S213" s="15"/>
      <c r="T213" s="28"/>
      <c r="Y213" s="13"/>
      <c r="Z213" s="15"/>
      <c r="AA213" s="34">
        <f>$F$11</f>
        <v>500</v>
      </c>
      <c r="AB213" s="35"/>
      <c r="AF213" s="133">
        <v>500</v>
      </c>
      <c r="AG213" s="13"/>
      <c r="AH213" s="15"/>
      <c r="AI213" s="45"/>
      <c r="AJ213" s="15"/>
      <c r="AK213" s="13"/>
      <c r="AL213" s="15"/>
      <c r="AM213" s="45"/>
      <c r="AN213" s="15"/>
      <c r="AO213" s="13"/>
      <c r="AP213" s="15"/>
      <c r="AQ213" s="45"/>
      <c r="AR213" s="15"/>
      <c r="AS213" s="13"/>
      <c r="AT213" s="15"/>
      <c r="AU213" s="45"/>
      <c r="AV213" s="15"/>
      <c r="AW213" s="13"/>
      <c r="AY213" s="45"/>
      <c r="AZ213" s="35"/>
      <c r="BA213" s="13"/>
      <c r="BB213" s="15"/>
      <c r="BC213" s="45"/>
      <c r="BD213" s="35"/>
      <c r="BE213" s="14"/>
      <c r="BF213" s="41">
        <f t="shared" ref="BF213:BG213" si="698">K213+O213+S213+W213+AA213+AE213+AI213+AM213+AQ213+AU213+AY213+BC213</f>
        <v>500</v>
      </c>
      <c r="BG213" s="34">
        <f t="shared" si="698"/>
        <v>500</v>
      </c>
      <c r="BH213" s="35">
        <f t="shared" si="682"/>
        <v>0</v>
      </c>
      <c r="BK213" s="2" t="b">
        <f>H213='2019'!BH174</f>
        <v>1</v>
      </c>
    </row>
    <row r="214" ht="15.75" customHeight="1" hidden="1" spans="1:63" x14ac:dyDescent="0.25">
      <c r="A214" s="247">
        <v>23</v>
      </c>
      <c r="B214" s="21"/>
      <c r="C214" s="22" t="s">
        <v>53</v>
      </c>
      <c r="D214" s="21"/>
      <c r="E214" s="22"/>
      <c r="F214" s="20"/>
      <c r="G214" s="23"/>
      <c r="H214" s="51">
        <f>SUM(H206:H213)</f>
        <v>104.04</v>
      </c>
      <c r="I214" s="53"/>
      <c r="J214" s="53"/>
      <c r="K214" s="51">
        <f t="shared" ref="K214:L214" si="699">SUM(K206:K213)</f>
        <v>0</v>
      </c>
      <c r="L214" s="68">
        <f t="shared" si="699"/>
        <v>0</v>
      </c>
      <c r="M214" s="53"/>
      <c r="N214" s="53"/>
      <c r="O214" s="51">
        <f t="shared" ref="O214:P214" si="700">SUM(O206:O213)</f>
        <v>0</v>
      </c>
      <c r="P214" s="68">
        <f t="shared" si="700"/>
        <v>0</v>
      </c>
      <c r="Q214" s="52"/>
      <c r="R214" s="53"/>
      <c r="S214" s="51">
        <f t="shared" ref="S214:T214" si="701">SUM(S206:S213)</f>
        <v>0</v>
      </c>
      <c r="T214" s="68">
        <f t="shared" si="701"/>
        <v>0</v>
      </c>
      <c r="U214" s="53"/>
      <c r="V214" s="53"/>
      <c r="W214" s="51">
        <f t="shared" ref="W214:X214" si="702">SUM(W206:W213)</f>
        <v>189.62</v>
      </c>
      <c r="X214" s="68">
        <f t="shared" si="702"/>
        <v>0</v>
      </c>
      <c r="Y214" s="52"/>
      <c r="Z214" s="53"/>
      <c r="AA214" s="51">
        <f t="shared" ref="AA214:AB214" si="703">SUM(AA206:AA213)</f>
        <v>1614.62</v>
      </c>
      <c r="AB214" s="68">
        <f t="shared" si="703"/>
        <v>260</v>
      </c>
      <c r="AC214" s="53"/>
      <c r="AD214" s="53"/>
      <c r="AE214" s="51">
        <f t="shared" ref="AE214:AF214" si="704">SUM(AE206:AE213)</f>
        <v>5178</v>
      </c>
      <c r="AF214" s="68">
        <f t="shared" si="704"/>
        <v>6100</v>
      </c>
      <c r="AG214" s="52"/>
      <c r="AH214" s="53"/>
      <c r="AI214" s="183">
        <f t="shared" ref="AI214:AJ214" si="705">SUM(AI206:AI213)</f>
        <v>594.68</v>
      </c>
      <c r="AJ214" s="51">
        <f t="shared" si="705"/>
        <v>1100</v>
      </c>
      <c r="AK214" s="52"/>
      <c r="AL214" s="53"/>
      <c r="AM214" s="183">
        <f t="shared" ref="AM214:AN214" si="706">SUM(AM206:AM213)</f>
        <v>1005.72</v>
      </c>
      <c r="AN214" s="51">
        <f t="shared" si="706"/>
        <v>800</v>
      </c>
      <c r="AO214" s="52"/>
      <c r="AP214" s="53"/>
      <c r="AQ214" s="183">
        <f t="shared" ref="AQ214:AR214" si="707">SUM(AQ206:AQ213)</f>
        <v>4598.52</v>
      </c>
      <c r="AR214" s="51">
        <f t="shared" si="707"/>
        <v>0</v>
      </c>
      <c r="AS214" s="52"/>
      <c r="AT214" s="53"/>
      <c r="AU214" s="183">
        <f t="shared" ref="AU214:AV214" si="708">SUM(AU206:AU213)</f>
        <v>1076.4</v>
      </c>
      <c r="AV214" s="68">
        <f t="shared" si="708"/>
        <v>0</v>
      </c>
      <c r="AW214" s="52"/>
      <c r="AX214" s="53"/>
      <c r="AY214" s="183">
        <f t="shared" ref="AY214:AZ214" si="709">SUM(AY206:AY213)</f>
        <v>0</v>
      </c>
      <c r="AZ214" s="68">
        <f t="shared" si="709"/>
        <v>0</v>
      </c>
      <c r="BA214" s="52"/>
      <c r="BB214" s="53"/>
      <c r="BC214" s="183">
        <f t="shared" ref="BC214:BD214" si="710">SUM(BC206:BC213)</f>
        <v>0</v>
      </c>
      <c r="BD214" s="68">
        <f t="shared" si="710"/>
        <v>0</v>
      </c>
      <c r="BE214" s="69"/>
      <c r="BF214" s="70">
        <f t="shared" ref="BF214:BH214" si="711">SUM(BF206:BF213)</f>
        <v>14257.56</v>
      </c>
      <c r="BG214" s="71">
        <f t="shared" si="711"/>
        <v>8260</v>
      </c>
      <c r="BH214" s="72">
        <f t="shared" si="711"/>
        <v>6101.6</v>
      </c>
      <c r="BI214" s="34">
        <f>H214+BF214-BG214</f>
        <v>6101.6</v>
      </c>
      <c r="BJ214" s="34">
        <f>BH214-BI214</f>
        <v>0</v>
      </c>
      <c r="BK214" s="2" t="b">
        <f>H214='2019'!BH175</f>
        <v>0</v>
      </c>
    </row>
    <row r="215" ht="14.25" customHeight="1" hidden="1" spans="1:63" x14ac:dyDescent="0.25">
      <c r="A215" s="2">
        <v>24</v>
      </c>
      <c r="B215" s="14"/>
      <c r="D215" s="14" t="s">
        <v>379</v>
      </c>
      <c r="F215" s="13"/>
      <c r="G215" s="28"/>
      <c r="H215" s="34">
        <f>'2019'!BH176</f>
        <v>0</v>
      </c>
      <c r="J215" s="15"/>
      <c r="K215" s="15"/>
      <c r="L215" s="28"/>
      <c r="Q215" s="13"/>
      <c r="R215" s="15"/>
      <c r="S215" s="15"/>
      <c r="T215" s="28"/>
      <c r="Y215" s="13"/>
      <c r="Z215" s="15"/>
      <c r="AA215" s="15"/>
      <c r="AB215" s="28"/>
      <c r="AG215" s="13"/>
      <c r="AH215" s="15"/>
      <c r="AI215" s="45"/>
      <c r="AJ215" s="15"/>
      <c r="AK215" s="13"/>
      <c r="AM215" s="45"/>
      <c r="AO215" s="13"/>
      <c r="AQ215" s="45"/>
      <c r="AR215" s="1"/>
      <c r="AS215" s="13"/>
      <c r="AU215" s="45"/>
      <c r="AW215" s="13"/>
      <c r="AY215" s="45"/>
      <c r="AZ215" s="28"/>
      <c r="BA215" s="13"/>
      <c r="BB215" s="15"/>
      <c r="BC215" s="45"/>
      <c r="BD215" s="28"/>
      <c r="BE215" s="14"/>
      <c r="BF215" s="41">
        <f t="shared" ref="BF215:BG215" si="712">K215+O215+S215+W215+AA215+AE215+AI215+AM215+AQ215+AU215+AY215+BC215</f>
        <v>0</v>
      </c>
      <c r="BG215" s="34">
        <f t="shared" si="712"/>
        <v>0</v>
      </c>
      <c r="BH215" s="35">
        <f t="shared" ref="BH215:BH222" si="713">H215+BF215-BG215</f>
        <v>0</v>
      </c>
      <c r="BK215" s="2" t="b">
        <f>H215='2019'!BH176</f>
        <v>1</v>
      </c>
    </row>
    <row r="216" ht="14.25" customHeight="1" hidden="1" spans="1:63" x14ac:dyDescent="0.25">
      <c r="A216" s="2">
        <v>24</v>
      </c>
      <c r="B216" s="14">
        <v>4.01</v>
      </c>
      <c r="C216" s="2" t="s">
        <v>127</v>
      </c>
      <c r="D216" s="14" t="s">
        <v>44</v>
      </c>
      <c r="E216" s="2" t="s">
        <v>45</v>
      </c>
      <c r="F216" s="41">
        <v>2.5</v>
      </c>
      <c r="G216" s="35">
        <v>2.6</v>
      </c>
      <c r="H216" s="34">
        <f>'2019'!BH177</f>
        <v>-39.64</v>
      </c>
      <c r="I216" s="13">
        <v>76</v>
      </c>
      <c r="J216" s="15">
        <f>I216-'2019'!BA177</f>
        <v>0</v>
      </c>
      <c r="K216" s="34">
        <f>J216*$F$8</f>
        <v>0</v>
      </c>
      <c r="L216" s="28"/>
      <c r="M216" s="2">
        <v>76</v>
      </c>
      <c r="N216" s="15">
        <f>M216-I216</f>
        <v>0</v>
      </c>
      <c r="O216" s="34">
        <f>N216*$F$8</f>
        <v>0</v>
      </c>
      <c r="Q216" s="13">
        <v>76</v>
      </c>
      <c r="R216" s="15">
        <f>Q216-M216</f>
        <v>0</v>
      </c>
      <c r="S216" s="34">
        <f>R216*$F$8</f>
        <v>0</v>
      </c>
      <c r="T216" s="28"/>
      <c r="U216" s="15">
        <v>76</v>
      </c>
      <c r="V216" s="15">
        <f t="shared" ref="V216:V217" si="714">U216-Q216</f>
        <v>0</v>
      </c>
      <c r="W216" s="34">
        <f>V216*$F$8</f>
        <v>0</v>
      </c>
      <c r="Y216" s="13">
        <v>84</v>
      </c>
      <c r="Z216" s="15">
        <f t="shared" ref="Z216:Z217" si="715">Y216-U216</f>
        <v>8</v>
      </c>
      <c r="AA216" s="34">
        <f>Z216*$F$8</f>
        <v>20</v>
      </c>
      <c r="AB216" s="28"/>
      <c r="AC216" s="15">
        <v>120</v>
      </c>
      <c r="AD216" s="15">
        <f t="shared" ref="AD216:AD217" si="716">AC216-Y216</f>
        <v>36</v>
      </c>
      <c r="AE216" s="34">
        <f>AD216*$F$8</f>
        <v>90</v>
      </c>
      <c r="AG216" s="13">
        <v>161</v>
      </c>
      <c r="AH216" s="15">
        <f t="shared" ref="AH216:AH217" si="717">AG216-AC216</f>
        <v>41</v>
      </c>
      <c r="AI216" s="45">
        <f>AH216*$G$8</f>
        <v>106.6</v>
      </c>
      <c r="AJ216" s="1">
        <v>70.36</v>
      </c>
      <c r="AK216" s="13">
        <v>247</v>
      </c>
      <c r="AL216" s="15">
        <f t="shared" ref="AL216:AL217" si="718">AK216-AG216</f>
        <v>86</v>
      </c>
      <c r="AM216" s="45">
        <f>AL216*$G$8</f>
        <v>223.6</v>
      </c>
      <c r="AN216" s="39">
        <v>106.6</v>
      </c>
      <c r="AO216" s="13">
        <v>257</v>
      </c>
      <c r="AP216" s="15">
        <f t="shared" ref="AP216:AP217" si="719">AO216-AK216</f>
        <v>10</v>
      </c>
      <c r="AQ216" s="45">
        <f>AP216*$G$8</f>
        <v>26</v>
      </c>
      <c r="AR216" s="39">
        <v>223.6</v>
      </c>
      <c r="AS216" s="13">
        <v>257</v>
      </c>
      <c r="AT216" s="15">
        <f t="shared" ref="AT216:AT217" si="720">AS216-AO216</f>
        <v>0</v>
      </c>
      <c r="AU216" s="45">
        <f>AT216*$G$8</f>
        <v>0</v>
      </c>
      <c r="AV216" s="15"/>
      <c r="AW216" s="13">
        <v>257</v>
      </c>
      <c r="AX216" s="2">
        <f t="shared" ref="AX216:AX217" si="721">AW216-AS216</f>
        <v>0</v>
      </c>
      <c r="AY216" s="45">
        <f>AX216*$G$8</f>
        <v>0</v>
      </c>
      <c r="AZ216" s="242">
        <v>26</v>
      </c>
      <c r="BA216" s="13">
        <v>257</v>
      </c>
      <c r="BB216" s="15">
        <f t="shared" ref="BB216:BB217" si="722">BA216-AW216</f>
        <v>0</v>
      </c>
      <c r="BC216" s="45">
        <f>BB216*$G$8</f>
        <v>0</v>
      </c>
      <c r="BD216" s="208"/>
      <c r="BE216" s="40">
        <f t="shared" ref="BE216:BG216" si="723">J216+N216+R216+V216+Z216+AD216+AH216+AL216+AP216+AT216+AX216+BB216</f>
        <v>181</v>
      </c>
      <c r="BF216" s="41">
        <f t="shared" si="723"/>
        <v>466.2</v>
      </c>
      <c r="BG216" s="34">
        <f t="shared" si="723"/>
        <v>426.56</v>
      </c>
      <c r="BH216" s="35">
        <f t="shared" si="713"/>
        <v>0</v>
      </c>
      <c r="BK216" s="2" t="b">
        <f>H216='2019'!BH177</f>
        <v>1</v>
      </c>
    </row>
    <row r="217" ht="14.25" customHeight="1" hidden="1" spans="1:63" x14ac:dyDescent="0.25">
      <c r="A217" s="2">
        <v>24</v>
      </c>
      <c r="B217" s="14"/>
      <c r="C217" s="2" t="s">
        <v>128</v>
      </c>
      <c r="D217" s="14" t="s">
        <v>47</v>
      </c>
      <c r="E217" s="2" t="s">
        <v>48</v>
      </c>
      <c r="F217" s="13">
        <v>18.56</v>
      </c>
      <c r="G217" s="35">
        <v>19.46</v>
      </c>
      <c r="H217" s="34">
        <f>'2019'!BH178</f>
        <v>-37.12</v>
      </c>
      <c r="I217" s="15">
        <v>79</v>
      </c>
      <c r="J217" s="15"/>
      <c r="K217" s="15"/>
      <c r="L217" s="28"/>
      <c r="M217" s="2">
        <v>79</v>
      </c>
      <c r="Q217" s="13">
        <v>79</v>
      </c>
      <c r="R217" s="15"/>
      <c r="S217" s="15"/>
      <c r="T217" s="28"/>
      <c r="U217" s="2">
        <v>79</v>
      </c>
      <c r="V217" s="2">
        <f t="shared" si="714"/>
        <v>0</v>
      </c>
      <c r="W217" s="34">
        <f>V217*$F$10</f>
        <v>0</v>
      </c>
      <c r="Y217" s="13">
        <v>80</v>
      </c>
      <c r="Z217" s="15">
        <f t="shared" si="715"/>
        <v>1</v>
      </c>
      <c r="AA217" s="34">
        <f>Z217*$F$10</f>
        <v>18.56</v>
      </c>
      <c r="AB217" s="28"/>
      <c r="AC217" s="15">
        <v>84</v>
      </c>
      <c r="AD217" s="15">
        <f t="shared" si="716"/>
        <v>4</v>
      </c>
      <c r="AE217" s="34">
        <f>AD217*$F$10</f>
        <v>74.24</v>
      </c>
      <c r="AF217" s="34"/>
      <c r="AG217" s="13">
        <v>90</v>
      </c>
      <c r="AH217" s="15">
        <f t="shared" si="717"/>
        <v>6</v>
      </c>
      <c r="AI217" s="45">
        <f>AH217*$G$10</f>
        <v>116.76</v>
      </c>
      <c r="AJ217" s="248">
        <v>55.68</v>
      </c>
      <c r="AK217" s="13">
        <v>95</v>
      </c>
      <c r="AL217" s="15">
        <f t="shared" si="718"/>
        <v>5</v>
      </c>
      <c r="AM217" s="45">
        <f>AL217*$G$10</f>
        <v>97.3</v>
      </c>
      <c r="AN217" s="1">
        <v>116.76</v>
      </c>
      <c r="AO217" s="13">
        <v>97</v>
      </c>
      <c r="AP217" s="15">
        <f t="shared" si="719"/>
        <v>2</v>
      </c>
      <c r="AQ217" s="45">
        <f>AP217*$G$10</f>
        <v>38.92</v>
      </c>
      <c r="AR217" s="39">
        <v>97.3</v>
      </c>
      <c r="AS217" s="13">
        <v>97</v>
      </c>
      <c r="AT217" s="15">
        <f t="shared" si="720"/>
        <v>0</v>
      </c>
      <c r="AU217" s="45">
        <f>AT217*$G$10</f>
        <v>0</v>
      </c>
      <c r="AV217" s="15"/>
      <c r="AW217" s="13">
        <v>97</v>
      </c>
      <c r="AX217" s="2">
        <f t="shared" si="721"/>
        <v>0</v>
      </c>
      <c r="AY217" s="45"/>
      <c r="AZ217" s="249">
        <v>38.92</v>
      </c>
      <c r="BA217" s="13">
        <v>97</v>
      </c>
      <c r="BB217" s="15">
        <f t="shared" si="722"/>
        <v>0</v>
      </c>
      <c r="BC217" s="45"/>
      <c r="BD217" s="208"/>
      <c r="BE217" s="40">
        <f t="shared" ref="BE217:BG217" si="724">J217+N217+R217+V217+Z217+AD217+AH217+AL217+AP217+AT217+AX217+BB217</f>
        <v>18</v>
      </c>
      <c r="BF217" s="41">
        <f t="shared" si="724"/>
        <v>345.78</v>
      </c>
      <c r="BG217" s="34">
        <f t="shared" si="724"/>
        <v>308.66</v>
      </c>
      <c r="BH217" s="35">
        <f t="shared" si="713"/>
        <v>0</v>
      </c>
      <c r="BK217" s="2" t="b">
        <f>H217='2019'!BH178</f>
        <v>1</v>
      </c>
    </row>
    <row r="218" ht="14.25" customHeight="1" hidden="1" spans="1:63" x14ac:dyDescent="0.25">
      <c r="A218" s="2">
        <v>24</v>
      </c>
      <c r="B218" s="14"/>
      <c r="C218" s="2" t="s">
        <v>129</v>
      </c>
      <c r="D218" s="14" t="s">
        <v>47</v>
      </c>
      <c r="E218" s="2" t="s">
        <v>49</v>
      </c>
      <c r="F218" s="41">
        <v>500</v>
      </c>
      <c r="G218" s="28"/>
      <c r="H218" s="34">
        <f>'2019'!BH179</f>
        <v>0</v>
      </c>
      <c r="I218" s="15"/>
      <c r="J218" s="15"/>
      <c r="K218" s="15"/>
      <c r="L218" s="28"/>
      <c r="Q218" s="13"/>
      <c r="R218" s="15"/>
      <c r="S218" s="15"/>
      <c r="T218" s="28"/>
      <c r="Y218" s="13"/>
      <c r="Z218" s="15"/>
      <c r="AA218" s="15"/>
      <c r="AB218" s="28"/>
      <c r="AG218" s="13"/>
      <c r="AH218" s="15"/>
      <c r="AI218" s="45"/>
      <c r="AJ218" s="15"/>
      <c r="AK218" s="13"/>
      <c r="AL218" s="15"/>
      <c r="AM218" s="45"/>
      <c r="AN218" s="15"/>
      <c r="AO218" s="13"/>
      <c r="AP218" s="15"/>
      <c r="AQ218" s="45"/>
      <c r="AR218" s="15"/>
      <c r="AS218" s="13"/>
      <c r="AT218" s="15"/>
      <c r="AU218" s="45"/>
      <c r="AV218" s="15"/>
      <c r="AW218" s="13"/>
      <c r="AY218" s="45"/>
      <c r="AZ218" s="32"/>
      <c r="BA218" s="13"/>
      <c r="BB218" s="15"/>
      <c r="BC218" s="45"/>
      <c r="BD218" s="28"/>
      <c r="BE218" s="14"/>
      <c r="BF218" s="41">
        <f t="shared" ref="BF218:BG218" si="725">K218+O218+S218+W218+AA218+AE218+AI218+AM218+AQ218+AU218+AY218+BC218</f>
        <v>0</v>
      </c>
      <c r="BG218" s="34">
        <f t="shared" si="725"/>
        <v>0</v>
      </c>
      <c r="BH218" s="35">
        <f t="shared" si="713"/>
        <v>0</v>
      </c>
      <c r="BK218" s="2" t="b">
        <f>H218='2019'!BH179</f>
        <v>1</v>
      </c>
    </row>
    <row r="219" ht="14.25" customHeight="1" hidden="1" spans="1:63" x14ac:dyDescent="0.25">
      <c r="A219" s="2">
        <v>24</v>
      </c>
      <c r="B219" s="14"/>
      <c r="C219" s="2" t="s">
        <v>393</v>
      </c>
      <c r="D219" s="14" t="s">
        <v>50</v>
      </c>
      <c r="E219" s="2" t="s">
        <v>49</v>
      </c>
      <c r="F219" s="41">
        <v>1100</v>
      </c>
      <c r="G219" s="28"/>
      <c r="H219" s="182">
        <f>'2019'!BH180+0.0012</f>
        <v>0</v>
      </c>
      <c r="I219" s="15"/>
      <c r="J219" s="15"/>
      <c r="K219" s="15"/>
      <c r="L219" s="28"/>
      <c r="Q219" s="13"/>
      <c r="R219" s="15"/>
      <c r="S219" s="15"/>
      <c r="T219" s="28"/>
      <c r="Y219" s="13"/>
      <c r="Z219" s="15"/>
      <c r="AA219" s="15"/>
      <c r="AB219" s="38">
        <v>500</v>
      </c>
      <c r="AE219" s="34">
        <f>B216*$F$12</f>
        <v>4411</v>
      </c>
      <c r="AF219" s="39">
        <v>3911</v>
      </c>
      <c r="AG219" s="13"/>
      <c r="AH219" s="15"/>
      <c r="AI219" s="45"/>
      <c r="AJ219" s="180"/>
      <c r="AK219" s="13"/>
      <c r="AL219" s="15"/>
      <c r="AM219" s="45"/>
      <c r="AN219" s="15"/>
      <c r="AO219" s="13"/>
      <c r="AP219" s="15"/>
      <c r="AQ219" s="45"/>
      <c r="AR219" s="15"/>
      <c r="AS219" s="13"/>
      <c r="AT219" s="15"/>
      <c r="AU219" s="45"/>
      <c r="AV219" s="15"/>
      <c r="AW219" s="13"/>
      <c r="AY219" s="45"/>
      <c r="AZ219" s="32"/>
      <c r="BA219" s="13"/>
      <c r="BB219" s="15"/>
      <c r="BC219" s="45"/>
      <c r="BD219" s="28"/>
      <c r="BE219" s="14"/>
      <c r="BF219" s="41">
        <f t="shared" ref="BF219:BG219" si="726">K219+O219+S219+W219+AA219+AE219+AI219+AM219+AQ219+AU219+AY219+BC219</f>
        <v>4411</v>
      </c>
      <c r="BG219" s="34">
        <f t="shared" si="726"/>
        <v>4411</v>
      </c>
      <c r="BH219" s="35">
        <f t="shared" si="713"/>
        <v>0</v>
      </c>
      <c r="BK219" s="2" t="b">
        <f>H219='2019'!BH180</f>
        <v>0</v>
      </c>
    </row>
    <row r="220" ht="14.25" customHeight="1" hidden="1" spans="1:63" x14ac:dyDescent="0.25">
      <c r="A220" s="2">
        <v>24</v>
      </c>
      <c r="B220" s="14"/>
      <c r="C220" s="73" t="s">
        <v>130</v>
      </c>
      <c r="D220" s="14" t="s">
        <v>51</v>
      </c>
      <c r="E220" s="2" t="s">
        <v>39</v>
      </c>
      <c r="F220" s="41">
        <v>500</v>
      </c>
      <c r="G220" s="28"/>
      <c r="H220" s="34">
        <f>'2019'!BH181</f>
        <v>0</v>
      </c>
      <c r="I220" s="15"/>
      <c r="J220" s="15"/>
      <c r="K220" s="15"/>
      <c r="L220" s="28"/>
      <c r="Q220" s="13"/>
      <c r="R220" s="15"/>
      <c r="S220" s="15"/>
      <c r="T220" s="28"/>
      <c r="Y220" s="13"/>
      <c r="Z220" s="15"/>
      <c r="AA220" s="15"/>
      <c r="AB220" s="28"/>
      <c r="AE220" s="34"/>
      <c r="AF220" s="34"/>
      <c r="AG220" s="13"/>
      <c r="AH220" s="15"/>
      <c r="AI220" s="45"/>
      <c r="AJ220" s="180"/>
      <c r="AK220" s="13"/>
      <c r="AL220" s="15"/>
      <c r="AM220" s="45"/>
      <c r="AN220" s="15"/>
      <c r="AO220" s="13"/>
      <c r="AP220" s="15"/>
      <c r="AQ220" s="45">
        <f>$F$13</f>
        <v>500</v>
      </c>
      <c r="AR220" s="15"/>
      <c r="AS220" s="13"/>
      <c r="AT220" s="15"/>
      <c r="AU220" s="45"/>
      <c r="AV220" s="15"/>
      <c r="AW220" s="13"/>
      <c r="AY220" s="45"/>
      <c r="AZ220" s="38">
        <v>500</v>
      </c>
      <c r="BA220" s="13"/>
      <c r="BB220" s="15"/>
      <c r="BC220" s="45"/>
      <c r="BD220" s="28"/>
      <c r="BE220" s="14"/>
      <c r="BF220" s="41">
        <f t="shared" ref="BF220:BG220" si="727">K220+O220+S220+W220+AA220+AE220+AI220+AM220+AQ220+AU220+AY220+BC220</f>
        <v>500</v>
      </c>
      <c r="BG220" s="34">
        <f t="shared" si="727"/>
        <v>500</v>
      </c>
      <c r="BH220" s="35">
        <f t="shared" si="713"/>
        <v>0</v>
      </c>
      <c r="BK220" s="2" t="b">
        <f>H220='2019'!BH181</f>
        <v>1</v>
      </c>
    </row>
    <row r="221" ht="14.25" customHeight="1" hidden="1" spans="1:60" x14ac:dyDescent="0.25">
      <c r="A221" s="2">
        <v>24</v>
      </c>
      <c r="B221" s="14"/>
      <c r="C221" s="73"/>
      <c r="D221" s="14" t="s">
        <v>51</v>
      </c>
      <c r="E221" s="2" t="s">
        <v>49</v>
      </c>
      <c r="F221" s="41">
        <v>500</v>
      </c>
      <c r="G221" s="28"/>
      <c r="H221" s="34"/>
      <c r="I221" s="15"/>
      <c r="J221" s="15"/>
      <c r="K221" s="15"/>
      <c r="L221" s="28"/>
      <c r="Q221" s="13"/>
      <c r="R221" s="15"/>
      <c r="S221" s="15"/>
      <c r="T221" s="28"/>
      <c r="Y221" s="13"/>
      <c r="Z221" s="15"/>
      <c r="AA221" s="15"/>
      <c r="AB221" s="28"/>
      <c r="AE221" s="34"/>
      <c r="AF221" s="34"/>
      <c r="AG221" s="13"/>
      <c r="AH221" s="15"/>
      <c r="AI221" s="45"/>
      <c r="AJ221" s="180"/>
      <c r="AK221" s="13"/>
      <c r="AL221" s="15"/>
      <c r="AM221" s="45"/>
      <c r="AN221" s="15"/>
      <c r="AO221" s="13"/>
      <c r="AP221" s="15"/>
      <c r="AQ221" s="34">
        <f>B216*$F$14</f>
        <v>2005</v>
      </c>
      <c r="AR221" s="15"/>
      <c r="AS221" s="13"/>
      <c r="AT221" s="15"/>
      <c r="AU221" s="45"/>
      <c r="AV221" s="15"/>
      <c r="AW221" s="13"/>
      <c r="AY221" s="45"/>
      <c r="AZ221" s="38">
        <v>2005</v>
      </c>
      <c r="BA221" s="13"/>
      <c r="BB221" s="15"/>
      <c r="BC221" s="45"/>
      <c r="BD221" s="28"/>
      <c r="BE221" s="14"/>
      <c r="BF221" s="41">
        <f t="shared" ref="BF221:BG221" si="728">K221+O221+S221+W221+AA221+AE221+AI221+AM221+AQ221+AU221+AY221+BC221</f>
        <v>2005</v>
      </c>
      <c r="BG221" s="34">
        <f t="shared" si="728"/>
        <v>2005</v>
      </c>
      <c r="BH221" s="35">
        <f t="shared" si="713"/>
        <v>0</v>
      </c>
    </row>
    <row r="222" ht="14.25" customHeight="1" hidden="1" spans="1:63" x14ac:dyDescent="0.25">
      <c r="A222" s="2">
        <v>24</v>
      </c>
      <c r="B222" s="14"/>
      <c r="D222" s="14" t="s">
        <v>52</v>
      </c>
      <c r="E222" s="2" t="s">
        <v>39</v>
      </c>
      <c r="F222" s="41">
        <v>500</v>
      </c>
      <c r="G222" s="28"/>
      <c r="H222" s="34">
        <f>'2019'!BH182</f>
        <v>0</v>
      </c>
      <c r="I222" s="15"/>
      <c r="J222" s="15"/>
      <c r="K222" s="15"/>
      <c r="L222" s="28"/>
      <c r="Q222" s="13"/>
      <c r="R222" s="15"/>
      <c r="S222" s="15"/>
      <c r="T222" s="28"/>
      <c r="Y222" s="13"/>
      <c r="Z222" s="15"/>
      <c r="AA222" s="34">
        <f>$F$11</f>
        <v>500</v>
      </c>
      <c r="AB222" s="35"/>
      <c r="AG222" s="13"/>
      <c r="AH222" s="15"/>
      <c r="AI222" s="45"/>
      <c r="AJ222" s="248">
        <v>500</v>
      </c>
      <c r="AK222" s="13"/>
      <c r="AL222" s="15"/>
      <c r="AM222" s="45"/>
      <c r="AN222" s="15"/>
      <c r="AO222" s="13"/>
      <c r="AP222" s="15"/>
      <c r="AQ222" s="45"/>
      <c r="AR222" s="15"/>
      <c r="AS222" s="13"/>
      <c r="AT222" s="15"/>
      <c r="AU222" s="45"/>
      <c r="AV222" s="15"/>
      <c r="AW222" s="13"/>
      <c r="AY222" s="45"/>
      <c r="AZ222" s="38"/>
      <c r="BA222" s="13"/>
      <c r="BB222" s="15"/>
      <c r="BC222" s="45"/>
      <c r="BD222" s="35"/>
      <c r="BE222" s="14"/>
      <c r="BF222" s="41">
        <f t="shared" ref="BF222:BG222" si="729">K222+O222+S222+W222+AA222+AE222+AI222+AM222+AQ222+AU222+AY222+BC222</f>
        <v>500</v>
      </c>
      <c r="BG222" s="34">
        <f t="shared" si="729"/>
        <v>500</v>
      </c>
      <c r="BH222" s="35">
        <f t="shared" si="713"/>
        <v>0</v>
      </c>
      <c r="BK222" s="2" t="b">
        <f>H222='2019'!BH182</f>
        <v>1</v>
      </c>
    </row>
    <row r="223" ht="14.25" customHeight="1" hidden="1" spans="1:63" x14ac:dyDescent="0.25">
      <c r="A223" s="247">
        <v>24</v>
      </c>
      <c r="B223" s="21"/>
      <c r="C223" s="22" t="s">
        <v>53</v>
      </c>
      <c r="D223" s="21"/>
      <c r="E223" s="22"/>
      <c r="F223" s="20"/>
      <c r="G223" s="23"/>
      <c r="H223" s="51">
        <f>SUM(H215:H222)</f>
        <v>-76.76</v>
      </c>
      <c r="I223" s="53"/>
      <c r="J223" s="53"/>
      <c r="K223" s="51">
        <f t="shared" ref="K223:L223" si="730">SUM(K215:K222)</f>
        <v>0</v>
      </c>
      <c r="L223" s="68">
        <f t="shared" si="730"/>
        <v>0</v>
      </c>
      <c r="M223" s="53"/>
      <c r="N223" s="53"/>
      <c r="O223" s="51">
        <f t="shared" ref="O223:P223" si="731">SUM(O215:O222)</f>
        <v>0</v>
      </c>
      <c r="P223" s="68">
        <f t="shared" si="731"/>
        <v>0</v>
      </c>
      <c r="Q223" s="52"/>
      <c r="R223" s="53"/>
      <c r="S223" s="51">
        <f t="shared" ref="S223:T223" si="732">SUM(S215:S222)</f>
        <v>0</v>
      </c>
      <c r="T223" s="68">
        <f t="shared" si="732"/>
        <v>0</v>
      </c>
      <c r="U223" s="53"/>
      <c r="V223" s="53"/>
      <c r="W223" s="51">
        <f t="shared" ref="W223:X223" si="733">SUM(W215:W222)</f>
        <v>0</v>
      </c>
      <c r="X223" s="68">
        <f t="shared" si="733"/>
        <v>0</v>
      </c>
      <c r="Y223" s="52"/>
      <c r="Z223" s="53"/>
      <c r="AA223" s="51">
        <f t="shared" ref="AA223:AB223" si="734">SUM(AA215:AA222)</f>
        <v>538.56</v>
      </c>
      <c r="AB223" s="68">
        <f t="shared" si="734"/>
        <v>500</v>
      </c>
      <c r="AC223" s="53"/>
      <c r="AD223" s="53"/>
      <c r="AE223" s="51">
        <f t="shared" ref="AE223:AF223" si="735">SUM(AE215:AE222)</f>
        <v>4575.24</v>
      </c>
      <c r="AF223" s="68">
        <f t="shared" si="735"/>
        <v>3911</v>
      </c>
      <c r="AG223" s="52"/>
      <c r="AH223" s="53"/>
      <c r="AI223" s="183">
        <f t="shared" ref="AI223:AJ223" si="736">SUM(AI215:AI222)</f>
        <v>223.36</v>
      </c>
      <c r="AJ223" s="51">
        <f t="shared" si="736"/>
        <v>626.04</v>
      </c>
      <c r="AK223" s="52"/>
      <c r="AL223" s="53"/>
      <c r="AM223" s="183">
        <f t="shared" ref="AM223:AN223" si="737">SUM(AM215:AM222)</f>
        <v>320.9</v>
      </c>
      <c r="AN223" s="51">
        <f t="shared" si="737"/>
        <v>223.36</v>
      </c>
      <c r="AO223" s="52"/>
      <c r="AP223" s="53"/>
      <c r="AQ223" s="183">
        <f t="shared" ref="AQ223:AR223" si="738">SUM(AQ215:AQ222)</f>
        <v>2569.92</v>
      </c>
      <c r="AR223" s="51">
        <f t="shared" si="738"/>
        <v>320.9</v>
      </c>
      <c r="AS223" s="52"/>
      <c r="AT223" s="53"/>
      <c r="AU223" s="183">
        <f t="shared" ref="AU223:AV223" si="739">SUM(AU215:AU222)</f>
        <v>0</v>
      </c>
      <c r="AV223" s="68">
        <f t="shared" si="739"/>
        <v>0</v>
      </c>
      <c r="AW223" s="52"/>
      <c r="AX223" s="53"/>
      <c r="AY223" s="183">
        <f t="shared" ref="AY223:AZ223" si="740">SUM(AY215:AY222)</f>
        <v>0</v>
      </c>
      <c r="AZ223" s="68">
        <f t="shared" si="740"/>
        <v>2569.92</v>
      </c>
      <c r="BA223" s="52"/>
      <c r="BB223" s="53"/>
      <c r="BC223" s="183">
        <f t="shared" ref="BC223:BD223" si="741">SUM(BC215:BC222)</f>
        <v>0</v>
      </c>
      <c r="BD223" s="68">
        <f t="shared" si="741"/>
        <v>0</v>
      </c>
      <c r="BE223" s="69"/>
      <c r="BF223" s="70">
        <f t="shared" ref="BF223:BH223" si="742">SUM(BF215:BF222)</f>
        <v>8227.98</v>
      </c>
      <c r="BG223" s="71">
        <f t="shared" si="742"/>
        <v>8151.22</v>
      </c>
      <c r="BH223" s="72">
        <f t="shared" si="742"/>
        <v>0</v>
      </c>
      <c r="BI223" s="34">
        <f>H223+BF223-BG223</f>
        <v>0</v>
      </c>
      <c r="BJ223" s="34">
        <f>BH223-BI223</f>
        <v>0</v>
      </c>
      <c r="BK223" s="2" t="b">
        <f>H223='2019'!BH183</f>
        <v>0</v>
      </c>
    </row>
    <row r="224" ht="14.25" customHeight="1" hidden="1" spans="1:63" x14ac:dyDescent="0.25">
      <c r="A224" s="2">
        <v>25</v>
      </c>
      <c r="B224" s="14"/>
      <c r="D224" s="14" t="s">
        <v>379</v>
      </c>
      <c r="F224" s="41"/>
      <c r="G224" s="28"/>
      <c r="H224" s="34">
        <f>'2019'!BH184</f>
        <v>3.02</v>
      </c>
      <c r="J224" s="15"/>
      <c r="K224" s="34"/>
      <c r="L224" s="35"/>
      <c r="Q224" s="13"/>
      <c r="R224" s="15"/>
      <c r="S224" s="15"/>
      <c r="T224" s="28"/>
      <c r="Y224" s="13"/>
      <c r="Z224" s="15"/>
      <c r="AA224" s="15"/>
      <c r="AB224" s="28"/>
      <c r="AG224" s="13"/>
      <c r="AH224" s="15"/>
      <c r="AI224" s="45"/>
      <c r="AJ224" s="15"/>
      <c r="AK224" s="13"/>
      <c r="AM224" s="45"/>
      <c r="AO224" s="13"/>
      <c r="AQ224" s="45">
        <v>13.2</v>
      </c>
      <c r="AS224" s="13"/>
      <c r="AU224" s="45">
        <v>13.64</v>
      </c>
      <c r="AW224" s="13"/>
      <c r="AY224" s="45">
        <v>13.2</v>
      </c>
      <c r="AZ224" s="28"/>
      <c r="BA224" s="13"/>
      <c r="BB224" s="15"/>
      <c r="BC224" s="45">
        <v>13.64</v>
      </c>
      <c r="BD224" s="28"/>
      <c r="BE224" s="14"/>
      <c r="BF224" s="41">
        <f t="shared" ref="BF224:BG224" si="743">K224+O224+S224+W224+AA224+AE224+AI224+AM224+AQ224+AU224+AY224+BC224</f>
        <v>53.68</v>
      </c>
      <c r="BG224" s="34">
        <f t="shared" si="743"/>
        <v>0</v>
      </c>
      <c r="BH224" s="35">
        <f t="shared" ref="BH224:BH231" si="744">H224+BF224-BG224</f>
        <v>56.7</v>
      </c>
      <c r="BK224" s="2" t="b">
        <f>H224='2019'!BH184</f>
        <v>1</v>
      </c>
    </row>
    <row r="225" ht="14.25" customHeight="1" hidden="1" spans="1:63" x14ac:dyDescent="0.25">
      <c r="A225" s="2">
        <v>25</v>
      </c>
      <c r="B225" s="30">
        <v>4</v>
      </c>
      <c r="C225" s="2" t="s">
        <v>131</v>
      </c>
      <c r="D225" s="14" t="s">
        <v>44</v>
      </c>
      <c r="E225" s="2" t="s">
        <v>45</v>
      </c>
      <c r="F225" s="41">
        <v>2.5</v>
      </c>
      <c r="G225" s="35">
        <v>2.6</v>
      </c>
      <c r="H225" s="33">
        <f>'2019'!BH185</f>
        <v>-66.11</v>
      </c>
      <c r="I225" s="75">
        <v>13</v>
      </c>
      <c r="J225" s="15"/>
      <c r="K225" s="34">
        <f>J225*$F$8</f>
        <v>0</v>
      </c>
      <c r="L225" s="28"/>
      <c r="M225" s="2">
        <v>13</v>
      </c>
      <c r="N225" s="15">
        <f>M225-I225</f>
        <v>0</v>
      </c>
      <c r="O225" s="34">
        <f>N225*$F$8</f>
        <v>0</v>
      </c>
      <c r="Q225" s="13">
        <v>13</v>
      </c>
      <c r="R225" s="15">
        <f>Q225-M225</f>
        <v>0</v>
      </c>
      <c r="S225" s="34">
        <f>R225*$F$8</f>
        <v>0</v>
      </c>
      <c r="T225" s="28"/>
      <c r="U225" s="15">
        <v>13</v>
      </c>
      <c r="V225" s="15">
        <f>U225-Q225</f>
        <v>0</v>
      </c>
      <c r="W225" s="34">
        <f>V225*$F$8</f>
        <v>0</v>
      </c>
      <c r="Y225" s="13">
        <v>13</v>
      </c>
      <c r="Z225" s="15">
        <f t="shared" ref="Z225:Z226" si="745">Y225-U225</f>
        <v>0</v>
      </c>
      <c r="AA225" s="34">
        <f>Z225*$F$8</f>
        <v>0</v>
      </c>
      <c r="AB225" s="28"/>
      <c r="AC225" s="13">
        <v>20</v>
      </c>
      <c r="AD225" s="15">
        <f t="shared" ref="AD225:AD226" si="746">AC225-Y225</f>
        <v>7</v>
      </c>
      <c r="AE225" s="34">
        <f>AD225*$F$8</f>
        <v>17.5</v>
      </c>
      <c r="AG225" s="13">
        <v>24</v>
      </c>
      <c r="AH225" s="15">
        <f t="shared" ref="AH225:AH226" si="747">AG225-AC225</f>
        <v>4</v>
      </c>
      <c r="AI225" s="45">
        <f>AH225*$G$8</f>
        <v>10.4</v>
      </c>
      <c r="AJ225" s="15"/>
      <c r="AK225" s="13">
        <v>26</v>
      </c>
      <c r="AL225" s="15">
        <f t="shared" ref="AL225:AL226" si="748">AK225-AG225</f>
        <v>2</v>
      </c>
      <c r="AM225" s="45">
        <f>AL225*$G$8</f>
        <v>5.2</v>
      </c>
      <c r="AN225" s="15"/>
      <c r="AO225" s="13">
        <v>26</v>
      </c>
      <c r="AP225" s="15">
        <f t="shared" ref="AP225:AP226" si="749">AO225-AK225</f>
        <v>0</v>
      </c>
      <c r="AQ225" s="45">
        <f>AP225*$G$8</f>
        <v>0</v>
      </c>
      <c r="AR225" s="15"/>
      <c r="AS225" s="13">
        <v>26</v>
      </c>
      <c r="AT225" s="15">
        <f t="shared" ref="AT225:AT226" si="750">AS225-AO225</f>
        <v>0</v>
      </c>
      <c r="AU225" s="45">
        <f>AT225*$G$8</f>
        <v>0</v>
      </c>
      <c r="AV225" s="15"/>
      <c r="AW225" s="13">
        <v>26</v>
      </c>
      <c r="AX225" s="2">
        <f t="shared" ref="AX225:AX226" si="751">AW225-AS225</f>
        <v>0</v>
      </c>
      <c r="AY225" s="45">
        <f>AX225*$G$8</f>
        <v>0</v>
      </c>
      <c r="AZ225" s="208"/>
      <c r="BA225" s="13">
        <v>26</v>
      </c>
      <c r="BB225" s="15">
        <f t="shared" ref="BB225:BB226" si="752">BA225-AW225</f>
        <v>0</v>
      </c>
      <c r="BC225" s="45">
        <f>BB225*$G$8</f>
        <v>0</v>
      </c>
      <c r="BD225" s="208"/>
      <c r="BE225" s="40">
        <f t="shared" ref="BE225:BG225" si="753">J225+N225+R225+V225+Z225+AD225+AH225+AL225+AP225+AT225+AX225+BB225</f>
        <v>13</v>
      </c>
      <c r="BF225" s="41">
        <f t="shared" si="753"/>
        <v>33.1</v>
      </c>
      <c r="BG225" s="34">
        <f t="shared" si="753"/>
        <v>0</v>
      </c>
      <c r="BH225" s="35">
        <f t="shared" si="744"/>
        <v>-33.01</v>
      </c>
      <c r="BK225" s="2" t="b">
        <f>H225='2019'!BH185</f>
        <v>1</v>
      </c>
    </row>
    <row r="226" ht="14.25" customHeight="1" hidden="1" spans="1:63" x14ac:dyDescent="0.25">
      <c r="A226" s="2">
        <v>25</v>
      </c>
      <c r="B226" s="14"/>
      <c r="C226" s="15" t="s">
        <v>394</v>
      </c>
      <c r="D226" s="14" t="s">
        <v>47</v>
      </c>
      <c r="E226" s="2" t="s">
        <v>48</v>
      </c>
      <c r="F226" s="13">
        <v>18.56</v>
      </c>
      <c r="G226" s="35">
        <v>19.46</v>
      </c>
      <c r="H226" s="34">
        <f>'2019'!BH186</f>
        <v>0</v>
      </c>
      <c r="I226" s="15"/>
      <c r="J226" s="15"/>
      <c r="K226" s="15"/>
      <c r="L226" s="28"/>
      <c r="Q226" s="13"/>
      <c r="R226" s="15"/>
      <c r="S226" s="15"/>
      <c r="T226" s="28"/>
      <c r="U226" s="81">
        <v>2</v>
      </c>
      <c r="W226" s="34">
        <f>V226*$F$10</f>
        <v>0</v>
      </c>
      <c r="Y226" s="95">
        <v>2</v>
      </c>
      <c r="Z226" s="15">
        <f t="shared" si="745"/>
        <v>0</v>
      </c>
      <c r="AA226" s="34">
        <f>Z226*$F$10</f>
        <v>0</v>
      </c>
      <c r="AB226" s="28"/>
      <c r="AC226" s="95">
        <v>2</v>
      </c>
      <c r="AD226" s="15">
        <f t="shared" si="746"/>
        <v>0</v>
      </c>
      <c r="AE226" s="34">
        <f>AD226*$F$10</f>
        <v>0</v>
      </c>
      <c r="AG226" s="95">
        <v>2</v>
      </c>
      <c r="AH226" s="15">
        <f t="shared" si="747"/>
        <v>0</v>
      </c>
      <c r="AI226" s="45">
        <f>AH226*$G$10</f>
        <v>0</v>
      </c>
      <c r="AJ226" s="15"/>
      <c r="AK226" s="13">
        <v>2</v>
      </c>
      <c r="AL226" s="15">
        <f t="shared" si="748"/>
        <v>0</v>
      </c>
      <c r="AM226" s="45">
        <f>AL226*$G$10</f>
        <v>0</v>
      </c>
      <c r="AN226" s="15"/>
      <c r="AO226" s="13">
        <v>2</v>
      </c>
      <c r="AP226" s="15">
        <f t="shared" si="749"/>
        <v>0</v>
      </c>
      <c r="AQ226" s="45">
        <f>AP226*$G$10</f>
        <v>0</v>
      </c>
      <c r="AR226" s="15"/>
      <c r="AS226" s="13">
        <v>2</v>
      </c>
      <c r="AT226" s="15">
        <f t="shared" si="750"/>
        <v>0</v>
      </c>
      <c r="AU226" s="45">
        <f>AT226*$G$10</f>
        <v>0</v>
      </c>
      <c r="AV226" s="15"/>
      <c r="AW226" s="13">
        <v>2</v>
      </c>
      <c r="AX226" s="2">
        <f t="shared" si="751"/>
        <v>0</v>
      </c>
      <c r="AY226" s="45"/>
      <c r="AZ226" s="208"/>
      <c r="BA226" s="13">
        <v>2</v>
      </c>
      <c r="BB226" s="15">
        <f t="shared" si="752"/>
        <v>0</v>
      </c>
      <c r="BC226" s="45"/>
      <c r="BD226" s="208"/>
      <c r="BE226" s="40">
        <f t="shared" ref="BE226:BG226" si="754">J226+N226+R226+V226+Z226+AD226+AH226+AL226+AP226+AT226+AX226+BB226</f>
        <v>0</v>
      </c>
      <c r="BF226" s="41">
        <f t="shared" si="754"/>
        <v>0</v>
      </c>
      <c r="BG226" s="34">
        <f t="shared" si="754"/>
        <v>0</v>
      </c>
      <c r="BH226" s="35">
        <f t="shared" si="744"/>
        <v>0</v>
      </c>
      <c r="BK226" s="2" t="b">
        <f>H226='2019'!BH186</f>
        <v>1</v>
      </c>
    </row>
    <row r="227" ht="14.25" customHeight="1" hidden="1" spans="1:63" x14ac:dyDescent="0.25">
      <c r="A227" s="2">
        <v>25</v>
      </c>
      <c r="B227" s="14"/>
      <c r="C227" s="15" t="s">
        <v>151</v>
      </c>
      <c r="D227" s="14" t="s">
        <v>47</v>
      </c>
      <c r="E227" s="2" t="s">
        <v>49</v>
      </c>
      <c r="F227" s="41">
        <v>500</v>
      </c>
      <c r="G227" s="28"/>
      <c r="H227" s="144">
        <f>'2019'!BH187</f>
        <v>0</v>
      </c>
      <c r="I227" s="15"/>
      <c r="J227" s="15"/>
      <c r="K227" s="15"/>
      <c r="L227" s="28"/>
      <c r="Q227" s="13"/>
      <c r="R227" s="15"/>
      <c r="S227" s="15"/>
      <c r="T227" s="28"/>
      <c r="Y227" s="13"/>
      <c r="Z227" s="15"/>
      <c r="AA227" s="34"/>
      <c r="AB227" s="28"/>
      <c r="AC227" s="15"/>
      <c r="AG227" s="13"/>
      <c r="AH227" s="15"/>
      <c r="AI227" s="45"/>
      <c r="AJ227" s="15"/>
      <c r="AK227" s="13"/>
      <c r="AL227" s="15"/>
      <c r="AM227" s="45"/>
      <c r="AN227" s="15"/>
      <c r="AO227" s="13"/>
      <c r="AP227" s="15"/>
      <c r="AQ227" s="45"/>
      <c r="AR227" s="15"/>
      <c r="AS227" s="13"/>
      <c r="AT227" s="15"/>
      <c r="AU227" s="45"/>
      <c r="AV227" s="15"/>
      <c r="AW227" s="13"/>
      <c r="AY227" s="45"/>
      <c r="AZ227" s="28"/>
      <c r="BA227" s="13"/>
      <c r="BB227" s="15"/>
      <c r="BC227" s="45"/>
      <c r="BD227" s="28"/>
      <c r="BE227" s="40">
        <f t="shared" ref="BE227:BG227" si="755">J227+N227+R227+V227+Z227+AD227+AH227+AL227+AP227+AT227+AX227+BB227</f>
        <v>0</v>
      </c>
      <c r="BF227" s="41">
        <f t="shared" si="755"/>
        <v>0</v>
      </c>
      <c r="BG227" s="34">
        <f t="shared" si="755"/>
        <v>0</v>
      </c>
      <c r="BH227" s="35">
        <f t="shared" si="744"/>
        <v>0</v>
      </c>
      <c r="BK227" s="2" t="b">
        <f>H227='2019'!BH187</f>
        <v>1</v>
      </c>
    </row>
    <row r="228" ht="14.25" customHeight="1" hidden="1" spans="1:63" x14ac:dyDescent="0.25">
      <c r="A228" s="2">
        <v>25</v>
      </c>
      <c r="B228" s="14"/>
      <c r="C228" s="73"/>
      <c r="D228" s="14" t="s">
        <v>50</v>
      </c>
      <c r="E228" s="2" t="s">
        <v>49</v>
      </c>
      <c r="F228" s="41">
        <v>1100</v>
      </c>
      <c r="G228" s="28"/>
      <c r="H228" s="34">
        <f>'2019'!BH188</f>
        <v>0</v>
      </c>
      <c r="I228" s="15"/>
      <c r="J228" s="15"/>
      <c r="K228" s="15"/>
      <c r="L228" s="28"/>
      <c r="Q228" s="13"/>
      <c r="R228" s="15"/>
      <c r="S228" s="15"/>
      <c r="T228" s="28"/>
      <c r="Y228" s="13"/>
      <c r="Z228" s="15"/>
      <c r="AA228" s="15"/>
      <c r="AB228" s="28"/>
      <c r="AE228" s="34">
        <f>B225*$F$12</f>
        <v>4400</v>
      </c>
      <c r="AG228" s="13"/>
      <c r="AH228" s="15"/>
      <c r="AI228" s="45"/>
      <c r="AJ228" s="15"/>
      <c r="AK228" s="13"/>
      <c r="AL228" s="15"/>
      <c r="AM228" s="45"/>
      <c r="AN228" s="15"/>
      <c r="AO228" s="13"/>
      <c r="AP228" s="15"/>
      <c r="AQ228" s="45"/>
      <c r="AR228" s="15"/>
      <c r="AS228" s="13"/>
      <c r="AT228" s="15"/>
      <c r="AU228" s="45"/>
      <c r="AV228" s="15"/>
      <c r="AW228" s="13"/>
      <c r="AY228" s="45"/>
      <c r="AZ228" s="28"/>
      <c r="BA228" s="13"/>
      <c r="BB228" s="15"/>
      <c r="BC228" s="45"/>
      <c r="BD228" s="28"/>
      <c r="BE228" s="14"/>
      <c r="BF228" s="41">
        <f t="shared" ref="BF228:BG228" si="756">K228+O228+S228+W228+AA228+AE228+AI228+AM228+AQ228+AU228+AY228+BC228</f>
        <v>4400</v>
      </c>
      <c r="BG228" s="34">
        <f t="shared" si="756"/>
        <v>0</v>
      </c>
      <c r="BH228" s="35">
        <f t="shared" si="744"/>
        <v>4400</v>
      </c>
      <c r="BK228" s="2" t="b">
        <f>H228='2019'!BH188</f>
        <v>1</v>
      </c>
    </row>
    <row r="229" ht="14.25" customHeight="1" hidden="1" spans="1:63" x14ac:dyDescent="0.25">
      <c r="A229" s="2">
        <v>25</v>
      </c>
      <c r="B229" s="14"/>
      <c r="C229" s="15" t="s">
        <v>250</v>
      </c>
      <c r="D229" s="14" t="s">
        <v>51</v>
      </c>
      <c r="E229" s="2" t="s">
        <v>39</v>
      </c>
      <c r="F229" s="41">
        <v>500</v>
      </c>
      <c r="G229" s="28"/>
      <c r="H229" s="34">
        <f>'2019'!BH189</f>
        <v>0</v>
      </c>
      <c r="I229" s="15"/>
      <c r="J229" s="15"/>
      <c r="K229" s="15"/>
      <c r="L229" s="28"/>
      <c r="Q229" s="13"/>
      <c r="R229" s="15"/>
      <c r="S229" s="15"/>
      <c r="T229" s="28"/>
      <c r="Y229" s="13"/>
      <c r="Z229" s="15"/>
      <c r="AA229" s="15"/>
      <c r="AB229" s="28"/>
      <c r="AE229" s="34"/>
      <c r="AG229" s="13"/>
      <c r="AH229" s="15"/>
      <c r="AI229" s="45"/>
      <c r="AJ229" s="15"/>
      <c r="AK229" s="13"/>
      <c r="AL229" s="15"/>
      <c r="AM229" s="45"/>
      <c r="AN229" s="15"/>
      <c r="AO229" s="13"/>
      <c r="AP229" s="15"/>
      <c r="AQ229" s="45">
        <f>$F$13</f>
        <v>500</v>
      </c>
      <c r="AR229" s="15"/>
      <c r="AS229" s="13"/>
      <c r="AT229" s="15"/>
      <c r="AU229" s="45"/>
      <c r="AV229" s="15"/>
      <c r="AW229" s="13"/>
      <c r="AY229" s="45"/>
      <c r="AZ229" s="28"/>
      <c r="BA229" s="13"/>
      <c r="BB229" s="15"/>
      <c r="BC229" s="45"/>
      <c r="BD229" s="28"/>
      <c r="BE229" s="14"/>
      <c r="BF229" s="41">
        <f t="shared" ref="BF229:BG229" si="757">K229+O229+S229+W229+AA229+AE229+AI229+AM229+AQ229+AU229+AY229+BC229</f>
        <v>500</v>
      </c>
      <c r="BG229" s="34">
        <f t="shared" si="757"/>
        <v>0</v>
      </c>
      <c r="BH229" s="35">
        <f t="shared" si="744"/>
        <v>500</v>
      </c>
      <c r="BK229" s="2" t="b">
        <f>H229='2019'!BH189</f>
        <v>1</v>
      </c>
    </row>
    <row r="230" ht="14.25" customHeight="1" hidden="1" spans="1:60" x14ac:dyDescent="0.25">
      <c r="A230" s="2">
        <v>25</v>
      </c>
      <c r="B230" s="14"/>
      <c r="C230" s="15"/>
      <c r="D230" s="14" t="s">
        <v>51</v>
      </c>
      <c r="E230" s="2" t="s">
        <v>49</v>
      </c>
      <c r="F230" s="41">
        <v>500</v>
      </c>
      <c r="G230" s="28"/>
      <c r="H230" s="34"/>
      <c r="I230" s="15"/>
      <c r="J230" s="15"/>
      <c r="K230" s="15"/>
      <c r="L230" s="28"/>
      <c r="Q230" s="13"/>
      <c r="R230" s="15"/>
      <c r="S230" s="15"/>
      <c r="T230" s="28"/>
      <c r="Y230" s="13"/>
      <c r="Z230" s="15"/>
      <c r="AA230" s="15"/>
      <c r="AB230" s="28"/>
      <c r="AE230" s="34"/>
      <c r="AG230" s="13"/>
      <c r="AH230" s="15"/>
      <c r="AI230" s="45"/>
      <c r="AJ230" s="15"/>
      <c r="AK230" s="13"/>
      <c r="AL230" s="15"/>
      <c r="AM230" s="45"/>
      <c r="AN230" s="15"/>
      <c r="AO230" s="13"/>
      <c r="AP230" s="15"/>
      <c r="AQ230" s="34">
        <f>B225*$F$14</f>
        <v>2000</v>
      </c>
      <c r="AR230" s="15"/>
      <c r="AS230" s="13"/>
      <c r="AT230" s="15"/>
      <c r="AU230" s="45"/>
      <c r="AV230" s="15"/>
      <c r="AW230" s="13"/>
      <c r="AY230" s="45"/>
      <c r="AZ230" s="28"/>
      <c r="BA230" s="13"/>
      <c r="BB230" s="15"/>
      <c r="BC230" s="45"/>
      <c r="BD230" s="28"/>
      <c r="BE230" s="14"/>
      <c r="BF230" s="41">
        <f t="shared" ref="BF230:BG230" si="758">K230+O230+S230+W230+AA230+AE230+AI230+AM230+AQ230+AU230+AY230+BC230</f>
        <v>2000</v>
      </c>
      <c r="BG230" s="34">
        <f t="shared" si="758"/>
        <v>0</v>
      </c>
      <c r="BH230" s="35">
        <f t="shared" si="744"/>
        <v>2000</v>
      </c>
    </row>
    <row r="231" ht="14.25" customHeight="1" hidden="1" spans="1:63" x14ac:dyDescent="0.25">
      <c r="A231" s="2">
        <v>25</v>
      </c>
      <c r="B231" s="14"/>
      <c r="C231" s="15" t="s">
        <v>395</v>
      </c>
      <c r="D231" s="14" t="s">
        <v>52</v>
      </c>
      <c r="E231" s="2" t="s">
        <v>39</v>
      </c>
      <c r="F231" s="41">
        <v>500</v>
      </c>
      <c r="G231" s="28"/>
      <c r="H231" s="34">
        <f>'2019'!BH190</f>
        <v>0</v>
      </c>
      <c r="I231" s="15"/>
      <c r="J231" s="15"/>
      <c r="K231" s="15"/>
      <c r="L231" s="28"/>
      <c r="Q231" s="13"/>
      <c r="R231" s="15"/>
      <c r="S231" s="15"/>
      <c r="T231" s="28"/>
      <c r="Y231" s="13"/>
      <c r="Z231" s="15"/>
      <c r="AA231" s="34">
        <f>$F$11</f>
        <v>500</v>
      </c>
      <c r="AB231" s="28"/>
      <c r="AG231" s="13"/>
      <c r="AH231" s="15"/>
      <c r="AI231" s="45"/>
      <c r="AJ231" s="15"/>
      <c r="AK231" s="13"/>
      <c r="AL231" s="15"/>
      <c r="AM231" s="45"/>
      <c r="AN231" s="15"/>
      <c r="AO231" s="13"/>
      <c r="AP231" s="15"/>
      <c r="AQ231" s="45"/>
      <c r="AR231" s="15"/>
      <c r="AS231" s="13"/>
      <c r="AT231" s="15"/>
      <c r="AU231" s="45"/>
      <c r="AV231" s="15"/>
      <c r="AW231" s="13"/>
      <c r="AY231" s="45"/>
      <c r="AZ231" s="35"/>
      <c r="BA231" s="13"/>
      <c r="BB231" s="15"/>
      <c r="BC231" s="45"/>
      <c r="BD231" s="35"/>
      <c r="BE231" s="14"/>
      <c r="BF231" s="41">
        <f t="shared" ref="BF231:BG231" si="759">K231+O231+S231+W231+AA231+AE231+AI231+AM231+AQ231+AU231+AY231+BC231</f>
        <v>500</v>
      </c>
      <c r="BG231" s="34">
        <f t="shared" si="759"/>
        <v>0</v>
      </c>
      <c r="BH231" s="35">
        <f t="shared" si="744"/>
        <v>500</v>
      </c>
      <c r="BK231" s="2" t="b">
        <f>H231='2019'!BH190</f>
        <v>1</v>
      </c>
    </row>
    <row r="232" ht="14.25" customHeight="1" hidden="1" spans="1:63" x14ac:dyDescent="0.25">
      <c r="A232" s="247">
        <v>25</v>
      </c>
      <c r="B232" s="21"/>
      <c r="C232" s="22" t="s">
        <v>53</v>
      </c>
      <c r="D232" s="21"/>
      <c r="E232" s="22"/>
      <c r="F232" s="20"/>
      <c r="G232" s="23"/>
      <c r="H232" s="51">
        <f>SUM(H224:H231)</f>
        <v>-63.09</v>
      </c>
      <c r="I232" s="53"/>
      <c r="J232" s="53"/>
      <c r="K232" s="51">
        <f t="shared" ref="K232:L232" si="760">SUM(K224:K231)</f>
        <v>0</v>
      </c>
      <c r="L232" s="68">
        <f t="shared" si="760"/>
        <v>0</v>
      </c>
      <c r="M232" s="53"/>
      <c r="N232" s="53"/>
      <c r="O232" s="51">
        <f t="shared" ref="O232:P232" si="761">SUM(O224:O231)</f>
        <v>0</v>
      </c>
      <c r="P232" s="51">
        <f t="shared" si="761"/>
        <v>0</v>
      </c>
      <c r="Q232" s="52"/>
      <c r="R232" s="53"/>
      <c r="S232" s="51">
        <f t="shared" ref="S232:T232" si="762">SUM(S224:S231)</f>
        <v>0</v>
      </c>
      <c r="T232" s="51">
        <f t="shared" si="762"/>
        <v>0</v>
      </c>
      <c r="U232" s="52"/>
      <c r="V232" s="53"/>
      <c r="W232" s="51">
        <f t="shared" ref="W232:X232" si="763">SUM(W224:W231)</f>
        <v>0</v>
      </c>
      <c r="X232" s="51">
        <f t="shared" si="763"/>
        <v>0</v>
      </c>
      <c r="Y232" s="52"/>
      <c r="Z232" s="53"/>
      <c r="AA232" s="51">
        <f t="shared" ref="AA232:AB232" si="764">SUM(AA224:AA231)</f>
        <v>500</v>
      </c>
      <c r="AB232" s="51">
        <f t="shared" si="764"/>
        <v>0</v>
      </c>
      <c r="AC232" s="52"/>
      <c r="AD232" s="53"/>
      <c r="AE232" s="51">
        <f t="shared" ref="AE232:AF232" si="765">SUM(AE224:AE231)</f>
        <v>4417.5</v>
      </c>
      <c r="AF232" s="51">
        <f t="shared" si="765"/>
        <v>0</v>
      </c>
      <c r="AG232" s="52"/>
      <c r="AH232" s="53"/>
      <c r="AI232" s="183">
        <f t="shared" ref="AI232:AJ232" si="766">SUM(AI224:AI231)</f>
        <v>10.4</v>
      </c>
      <c r="AJ232" s="51">
        <f t="shared" si="766"/>
        <v>0</v>
      </c>
      <c r="AK232" s="52"/>
      <c r="AL232" s="53"/>
      <c r="AM232" s="183">
        <f t="shared" ref="AM232:AN232" si="767">SUM(AM224:AM231)</f>
        <v>5.2</v>
      </c>
      <c r="AN232" s="51">
        <f t="shared" si="767"/>
        <v>0</v>
      </c>
      <c r="AO232" s="52"/>
      <c r="AP232" s="53"/>
      <c r="AQ232" s="183">
        <f t="shared" ref="AQ232:AR232" si="768">SUM(AQ224:AQ231)</f>
        <v>2513.2</v>
      </c>
      <c r="AR232" s="51">
        <f t="shared" si="768"/>
        <v>0</v>
      </c>
      <c r="AS232" s="52"/>
      <c r="AT232" s="53"/>
      <c r="AU232" s="183">
        <f t="shared" ref="AU232:AV232" si="769">SUM(AU224:AU231)</f>
        <v>13.64</v>
      </c>
      <c r="AV232" s="68">
        <f t="shared" si="769"/>
        <v>0</v>
      </c>
      <c r="AW232" s="52"/>
      <c r="AX232" s="53"/>
      <c r="AY232" s="183">
        <f t="shared" ref="AY232:AZ232" si="770">SUM(AY224:AY231)</f>
        <v>13.2</v>
      </c>
      <c r="AZ232" s="68">
        <f t="shared" si="770"/>
        <v>0</v>
      </c>
      <c r="BA232" s="52"/>
      <c r="BB232" s="53"/>
      <c r="BC232" s="183">
        <f t="shared" ref="BC232:BD232" si="771">SUM(BC224:BC231)</f>
        <v>13.64</v>
      </c>
      <c r="BD232" s="68">
        <f t="shared" si="771"/>
        <v>0</v>
      </c>
      <c r="BE232" s="69"/>
      <c r="BF232" s="70">
        <f t="shared" ref="BF232:BH232" si="772">SUM(BF224:BF231)</f>
        <v>7486.78</v>
      </c>
      <c r="BG232" s="71">
        <f t="shared" si="772"/>
        <v>0</v>
      </c>
      <c r="BH232" s="72">
        <f t="shared" si="772"/>
        <v>7423.69</v>
      </c>
      <c r="BI232" s="34">
        <f>H232+BF232-BG232</f>
        <v>7423.69</v>
      </c>
      <c r="BJ232" s="34">
        <f>BH232-BI232</f>
        <v>0</v>
      </c>
      <c r="BK232" s="2" t="b">
        <f>H232='2019'!BH191</f>
        <v>1</v>
      </c>
    </row>
    <row r="233" ht="14.25" customHeight="1" hidden="1" spans="1:63" x14ac:dyDescent="0.25">
      <c r="A233" s="2">
        <v>26</v>
      </c>
      <c r="B233" s="14"/>
      <c r="D233" s="14" t="s">
        <v>132</v>
      </c>
      <c r="F233" s="13"/>
      <c r="G233" s="28"/>
      <c r="H233" s="34">
        <f>'2019'!BH192</f>
        <v>5277.46</v>
      </c>
      <c r="J233" s="15"/>
      <c r="K233" s="34">
        <v>113.7</v>
      </c>
      <c r="L233" s="28"/>
      <c r="O233" s="2">
        <v>106.36</v>
      </c>
      <c r="Q233" s="13"/>
      <c r="R233" s="15"/>
      <c r="S233" s="34">
        <v>113.7</v>
      </c>
      <c r="T233" s="28"/>
      <c r="W233" s="2">
        <v>110.03</v>
      </c>
      <c r="Y233" s="13"/>
      <c r="Z233" s="15"/>
      <c r="AA233" s="34">
        <v>113.7</v>
      </c>
      <c r="AB233" s="28"/>
      <c r="AE233" s="2">
        <v>110.03</v>
      </c>
      <c r="AG233" s="13"/>
      <c r="AH233" s="15"/>
      <c r="AI233" s="45">
        <v>113.7</v>
      </c>
      <c r="AJ233" s="15"/>
      <c r="AK233" s="13"/>
      <c r="AM233" s="45">
        <v>113.7</v>
      </c>
      <c r="AO233" s="13"/>
      <c r="AQ233" s="45">
        <v>123.17</v>
      </c>
      <c r="AS233" s="13"/>
      <c r="AU233" s="45">
        <v>127.27</v>
      </c>
      <c r="AW233" s="13"/>
      <c r="AY233" s="45">
        <v>123.17</v>
      </c>
      <c r="AZ233" s="28"/>
      <c r="BA233" s="13"/>
      <c r="BB233" s="15"/>
      <c r="BC233" s="45">
        <v>127.27</v>
      </c>
      <c r="BD233" s="28"/>
      <c r="BE233" s="14"/>
      <c r="BF233" s="41">
        <f t="shared" ref="BF233:BG233" si="773">K233+O233+S233+W233+AA233+AE233+AI233+AM233+AQ233+AU233+AY233+BC233</f>
        <v>1395.8</v>
      </c>
      <c r="BG233" s="34">
        <f t="shared" si="773"/>
        <v>0</v>
      </c>
      <c r="BH233" s="35">
        <f t="shared" ref="BH233:BH240" si="774">H233+BF233-BG233</f>
        <v>6673.26</v>
      </c>
      <c r="BK233" s="2" t="b">
        <f>H233='2019'!BH192</f>
        <v>1</v>
      </c>
    </row>
    <row r="234" ht="14.25" customHeight="1" hidden="1" spans="1:63" x14ac:dyDescent="0.25">
      <c r="A234" s="2">
        <v>26</v>
      </c>
      <c r="B234" s="14">
        <v>3.98</v>
      </c>
      <c r="C234" s="154" t="s">
        <v>133</v>
      </c>
      <c r="D234" s="14" t="s">
        <v>44</v>
      </c>
      <c r="E234" s="2" t="s">
        <v>45</v>
      </c>
      <c r="F234" s="41">
        <v>2.5</v>
      </c>
      <c r="G234" s="35">
        <v>2.6</v>
      </c>
      <c r="H234" s="104">
        <f>'2019'!BH193</f>
        <v>0</v>
      </c>
      <c r="I234" s="15"/>
      <c r="J234" s="15"/>
      <c r="K234" s="34">
        <f>J234*$F$8</f>
        <v>0</v>
      </c>
      <c r="L234" s="28"/>
      <c r="N234" s="15"/>
      <c r="O234" s="34">
        <f>N234*$F$8</f>
        <v>0</v>
      </c>
      <c r="Q234" s="13"/>
      <c r="R234" s="15">
        <f>Q234-M234</f>
        <v>0</v>
      </c>
      <c r="S234" s="34">
        <f>R234*$F$8</f>
        <v>0</v>
      </c>
      <c r="T234" s="28"/>
      <c r="V234" s="15">
        <f>U234-Q234</f>
        <v>0</v>
      </c>
      <c r="W234" s="34">
        <f>V234*$F$8</f>
        <v>0</v>
      </c>
      <c r="Y234" s="13"/>
      <c r="Z234" s="15">
        <f>Y234-U234</f>
        <v>0</v>
      </c>
      <c r="AA234" s="34">
        <f>Z234*$F$8</f>
        <v>0</v>
      </c>
      <c r="AB234" s="28"/>
      <c r="AC234" s="15"/>
      <c r="AD234" s="15">
        <f>AC234-Y234</f>
        <v>0</v>
      </c>
      <c r="AE234" s="34">
        <f>AD234*$F$8</f>
        <v>0</v>
      </c>
      <c r="AG234" s="13"/>
      <c r="AH234" s="15">
        <f>AG234-AC234</f>
        <v>0</v>
      </c>
      <c r="AI234" s="45">
        <f>AH234*$G$8</f>
        <v>0</v>
      </c>
      <c r="AJ234" s="15"/>
      <c r="AK234" s="13">
        <v>0</v>
      </c>
      <c r="AL234" s="15">
        <f>AK234-AG234</f>
        <v>0</v>
      </c>
      <c r="AM234" s="45">
        <f>AL234*$G$8</f>
        <v>0</v>
      </c>
      <c r="AN234" s="15"/>
      <c r="AO234" s="13">
        <v>0</v>
      </c>
      <c r="AP234" s="15">
        <f t="shared" ref="AP234:AP235" si="775">AO234-AK234</f>
        <v>0</v>
      </c>
      <c r="AQ234" s="45">
        <f>AP234*$G$8</f>
        <v>0</v>
      </c>
      <c r="AR234" s="15"/>
      <c r="AS234" s="13">
        <v>0</v>
      </c>
      <c r="AT234" s="15">
        <f t="shared" ref="AT234:AT235" si="776">AS234-AO234</f>
        <v>0</v>
      </c>
      <c r="AU234" s="45">
        <f>AT234*$G$8</f>
        <v>0</v>
      </c>
      <c r="AV234" s="15"/>
      <c r="AW234" s="13">
        <v>0</v>
      </c>
      <c r="AX234" s="2">
        <f t="shared" ref="AX234:AX235" si="777">AW234-AS234</f>
        <v>0</v>
      </c>
      <c r="AY234" s="45">
        <f>AX234*$G$8</f>
        <v>0</v>
      </c>
      <c r="AZ234" s="208"/>
      <c r="BA234" s="13">
        <v>0</v>
      </c>
      <c r="BB234" s="15">
        <f t="shared" ref="BB234:BB235" si="778">BA234-AW234</f>
        <v>0</v>
      </c>
      <c r="BC234" s="45">
        <f>BB234*$G$8</f>
        <v>0</v>
      </c>
      <c r="BD234" s="208"/>
      <c r="BE234" s="40">
        <f t="shared" ref="BE234:BG234" si="779">J234+N234+R234+V234+Z234+AD234+AH234+AL234+AP234+AT234+AX234+BB234</f>
        <v>0</v>
      </c>
      <c r="BF234" s="41">
        <f t="shared" si="779"/>
        <v>0</v>
      </c>
      <c r="BG234" s="34">
        <f t="shared" si="779"/>
        <v>0</v>
      </c>
      <c r="BH234" s="35">
        <f t="shared" si="774"/>
        <v>0</v>
      </c>
      <c r="BK234" s="2" t="b">
        <f>H234='2019'!BH193</f>
        <v>1</v>
      </c>
    </row>
    <row r="235" ht="14.25" customHeight="1" hidden="1" spans="1:63" x14ac:dyDescent="0.25">
      <c r="A235" s="2">
        <v>26</v>
      </c>
      <c r="B235" s="14"/>
      <c r="C235" s="154" t="s">
        <v>134</v>
      </c>
      <c r="D235" s="14" t="s">
        <v>47</v>
      </c>
      <c r="E235" s="2" t="s">
        <v>48</v>
      </c>
      <c r="F235" s="13">
        <v>18.56</v>
      </c>
      <c r="G235" s="35">
        <v>19.46</v>
      </c>
      <c r="H235" s="34">
        <f>'2019'!BH194</f>
        <v>0</v>
      </c>
      <c r="I235" s="15"/>
      <c r="J235" s="15"/>
      <c r="K235" s="15"/>
      <c r="L235" s="28"/>
      <c r="Q235" s="13"/>
      <c r="R235" s="15"/>
      <c r="S235" s="15"/>
      <c r="T235" s="28"/>
      <c r="W235" s="34">
        <f>V235*$F$10</f>
        <v>0</v>
      </c>
      <c r="Y235" s="13"/>
      <c r="Z235" s="15"/>
      <c r="AA235" s="34">
        <f>Z235*$F$10</f>
        <v>0</v>
      </c>
      <c r="AB235" s="28"/>
      <c r="AC235" s="15"/>
      <c r="AD235" s="15"/>
      <c r="AE235" s="34">
        <f>AD235*$F$10</f>
        <v>0</v>
      </c>
      <c r="AG235" s="13"/>
      <c r="AH235" s="15"/>
      <c r="AI235" s="45">
        <f>AH235*$G$10</f>
        <v>0</v>
      </c>
      <c r="AJ235" s="15"/>
      <c r="AK235" s="13"/>
      <c r="AL235" s="15"/>
      <c r="AM235" s="45">
        <f>AL235*$G$10</f>
        <v>0</v>
      </c>
      <c r="AN235" s="15"/>
      <c r="AO235" s="13"/>
      <c r="AP235" s="15">
        <f t="shared" si="775"/>
        <v>0</v>
      </c>
      <c r="AQ235" s="45">
        <f>AP235*$G$10</f>
        <v>0</v>
      </c>
      <c r="AR235" s="15"/>
      <c r="AS235" s="13"/>
      <c r="AT235" s="15">
        <f t="shared" si="776"/>
        <v>0</v>
      </c>
      <c r="AU235" s="45">
        <f>AT235*$G$10</f>
        <v>0</v>
      </c>
      <c r="AV235" s="15"/>
      <c r="AW235" s="13"/>
      <c r="AX235" s="2">
        <f t="shared" si="777"/>
        <v>0</v>
      </c>
      <c r="AY235" s="45"/>
      <c r="AZ235" s="208"/>
      <c r="BA235" s="13"/>
      <c r="BB235" s="15">
        <f t="shared" si="778"/>
        <v>0</v>
      </c>
      <c r="BC235" s="45"/>
      <c r="BD235" s="208"/>
      <c r="BE235" s="40">
        <f t="shared" ref="BE235:BG235" si="780">J235+N235+R235+V235+Z235+AD235+AH235+AL235+AP235+AT235+AX235+BB235</f>
        <v>0</v>
      </c>
      <c r="BF235" s="41">
        <f t="shared" si="780"/>
        <v>0</v>
      </c>
      <c r="BG235" s="34">
        <f t="shared" si="780"/>
        <v>0</v>
      </c>
      <c r="BH235" s="35">
        <f t="shared" si="774"/>
        <v>0</v>
      </c>
      <c r="BK235" s="2" t="b">
        <f>H235='2019'!BH194</f>
        <v>1</v>
      </c>
    </row>
    <row r="236" ht="14.25" customHeight="1" hidden="1" spans="1:63" x14ac:dyDescent="0.25">
      <c r="A236" s="2">
        <v>26</v>
      </c>
      <c r="B236" s="14"/>
      <c r="C236" s="154" t="s">
        <v>135</v>
      </c>
      <c r="D236" s="14" t="s">
        <v>47</v>
      </c>
      <c r="E236" s="2" t="s">
        <v>49</v>
      </c>
      <c r="F236" s="41">
        <v>500</v>
      </c>
      <c r="G236" s="28"/>
      <c r="H236" s="144">
        <f>'2019'!BH195</f>
        <v>0</v>
      </c>
      <c r="I236" s="15"/>
      <c r="J236" s="15"/>
      <c r="K236" s="15"/>
      <c r="L236" s="28"/>
      <c r="Q236" s="13"/>
      <c r="R236" s="15"/>
      <c r="S236" s="15"/>
      <c r="T236" s="28"/>
      <c r="Y236" s="13"/>
      <c r="Z236" s="15"/>
      <c r="AA236" s="34"/>
      <c r="AB236" s="28"/>
      <c r="AC236" s="15"/>
      <c r="AG236" s="13"/>
      <c r="AH236" s="15"/>
      <c r="AI236" s="45"/>
      <c r="AJ236" s="15"/>
      <c r="AK236" s="13"/>
      <c r="AL236" s="15"/>
      <c r="AM236" s="45"/>
      <c r="AN236" s="15"/>
      <c r="AO236" s="13"/>
      <c r="AP236" s="15"/>
      <c r="AQ236" s="45"/>
      <c r="AR236" s="15"/>
      <c r="AS236" s="13"/>
      <c r="AT236" s="15"/>
      <c r="AU236" s="45"/>
      <c r="AV236" s="15"/>
      <c r="AW236" s="13"/>
      <c r="AY236" s="45"/>
      <c r="AZ236" s="28"/>
      <c r="BA236" s="13"/>
      <c r="BB236" s="15"/>
      <c r="BC236" s="45"/>
      <c r="BD236" s="28"/>
      <c r="BE236" s="40">
        <f t="shared" ref="BE236:BG236" si="781">J236+N236+R236+V236+Z236+AD236+AH236+AL236+AP236+AT236+AX236+BB236</f>
        <v>0</v>
      </c>
      <c r="BF236" s="41">
        <f t="shared" si="781"/>
        <v>0</v>
      </c>
      <c r="BG236" s="34">
        <f t="shared" si="781"/>
        <v>0</v>
      </c>
      <c r="BH236" s="35">
        <f t="shared" si="774"/>
        <v>0</v>
      </c>
      <c r="BK236" s="2" t="b">
        <f>H236='2019'!BH195</f>
        <v>1</v>
      </c>
    </row>
    <row r="237" ht="14.25" customHeight="1" hidden="1" spans="1:63" x14ac:dyDescent="0.25">
      <c r="A237" s="2">
        <v>26</v>
      </c>
      <c r="B237" s="14"/>
      <c r="C237" s="154"/>
      <c r="D237" s="14" t="s">
        <v>50</v>
      </c>
      <c r="E237" s="2" t="s">
        <v>49</v>
      </c>
      <c r="F237" s="41">
        <v>1100</v>
      </c>
      <c r="G237" s="28"/>
      <c r="H237" s="182">
        <f>'2019'!BH196-0.0024</f>
        <v>20150.26</v>
      </c>
      <c r="I237" s="15"/>
      <c r="J237" s="15"/>
      <c r="K237" s="15"/>
      <c r="L237" s="28"/>
      <c r="Q237" s="13"/>
      <c r="R237" s="15"/>
      <c r="S237" s="15"/>
      <c r="T237" s="28"/>
      <c r="Y237" s="13"/>
      <c r="Z237" s="15"/>
      <c r="AA237" s="15"/>
      <c r="AB237" s="28"/>
      <c r="AE237" s="34">
        <f>B234*$F$12</f>
        <v>4378</v>
      </c>
      <c r="AG237" s="13"/>
      <c r="AH237" s="15"/>
      <c r="AI237" s="45"/>
      <c r="AJ237" s="15"/>
      <c r="AK237" s="13"/>
      <c r="AL237" s="15"/>
      <c r="AM237" s="45"/>
      <c r="AN237" s="15"/>
      <c r="AO237" s="13"/>
      <c r="AP237" s="15"/>
      <c r="AQ237" s="45"/>
      <c r="AR237" s="15"/>
      <c r="AS237" s="13"/>
      <c r="AT237" s="15"/>
      <c r="AU237" s="45"/>
      <c r="AV237" s="15"/>
      <c r="AW237" s="13"/>
      <c r="AY237" s="45"/>
      <c r="AZ237" s="28"/>
      <c r="BA237" s="13"/>
      <c r="BB237" s="15"/>
      <c r="BC237" s="45"/>
      <c r="BD237" s="28"/>
      <c r="BE237" s="14"/>
      <c r="BF237" s="41">
        <f t="shared" ref="BF237:BG237" si="782">K237+O237+S237+W237+AA237+AE237+AI237+AM237+AQ237+AU237+AY237+BC237</f>
        <v>4378</v>
      </c>
      <c r="BG237" s="34">
        <f t="shared" si="782"/>
        <v>0</v>
      </c>
      <c r="BH237" s="35">
        <f t="shared" si="774"/>
        <v>24528.26</v>
      </c>
      <c r="BK237" s="2" t="b">
        <f>H237='2019'!BH196</f>
        <v>0</v>
      </c>
    </row>
    <row r="238" ht="14.25" customHeight="1" hidden="1" spans="1:63" x14ac:dyDescent="0.25">
      <c r="A238" s="2">
        <v>26</v>
      </c>
      <c r="B238" s="14"/>
      <c r="D238" s="14" t="s">
        <v>51</v>
      </c>
      <c r="E238" s="2" t="s">
        <v>39</v>
      </c>
      <c r="F238" s="41">
        <v>500</v>
      </c>
      <c r="G238" s="28"/>
      <c r="H238" s="34">
        <f>'2019'!BH197</f>
        <v>16527</v>
      </c>
      <c r="I238" s="15"/>
      <c r="J238" s="15"/>
      <c r="K238" s="15"/>
      <c r="L238" s="28"/>
      <c r="Q238" s="13"/>
      <c r="R238" s="15"/>
      <c r="S238" s="15"/>
      <c r="T238" s="28"/>
      <c r="Y238" s="13"/>
      <c r="Z238" s="15"/>
      <c r="AA238" s="15"/>
      <c r="AB238" s="28"/>
      <c r="AE238" s="34"/>
      <c r="AG238" s="13"/>
      <c r="AH238" s="15"/>
      <c r="AI238" s="45"/>
      <c r="AJ238" s="15"/>
      <c r="AK238" s="13"/>
      <c r="AL238" s="15"/>
      <c r="AM238" s="45"/>
      <c r="AN238" s="15"/>
      <c r="AO238" s="13"/>
      <c r="AP238" s="15"/>
      <c r="AQ238" s="45">
        <f>$F$13</f>
        <v>500</v>
      </c>
      <c r="AR238" s="15"/>
      <c r="AS238" s="13"/>
      <c r="AT238" s="15"/>
      <c r="AU238" s="45"/>
      <c r="AV238" s="15"/>
      <c r="AW238" s="13"/>
      <c r="AY238" s="45"/>
      <c r="AZ238" s="28"/>
      <c r="BA238" s="13"/>
      <c r="BB238" s="15"/>
      <c r="BC238" s="45"/>
      <c r="BD238" s="28"/>
      <c r="BE238" s="14"/>
      <c r="BF238" s="41">
        <f t="shared" ref="BF238:BG238" si="783">K238+O238+S238+W238+AA238+AE238+AI238+AM238+AQ238+AU238+AY238+BC238</f>
        <v>500</v>
      </c>
      <c r="BG238" s="34">
        <f t="shared" si="783"/>
        <v>0</v>
      </c>
      <c r="BH238" s="35">
        <f t="shared" si="774"/>
        <v>17027</v>
      </c>
      <c r="BK238" s="2" t="b">
        <f>H238='2019'!BH197</f>
        <v>1</v>
      </c>
    </row>
    <row r="239" ht="14.25" customHeight="1" hidden="1" spans="1:60" x14ac:dyDescent="0.25">
      <c r="A239" s="2">
        <v>26</v>
      </c>
      <c r="B239" s="14"/>
      <c r="D239" s="14" t="s">
        <v>51</v>
      </c>
      <c r="E239" s="2" t="s">
        <v>49</v>
      </c>
      <c r="F239" s="41">
        <v>500</v>
      </c>
      <c r="G239" s="28"/>
      <c r="H239" s="34"/>
      <c r="I239" s="15"/>
      <c r="J239" s="15"/>
      <c r="K239" s="15"/>
      <c r="L239" s="28"/>
      <c r="Q239" s="13"/>
      <c r="R239" s="15"/>
      <c r="S239" s="15"/>
      <c r="T239" s="28"/>
      <c r="Y239" s="13"/>
      <c r="Z239" s="15"/>
      <c r="AA239" s="15"/>
      <c r="AB239" s="28"/>
      <c r="AE239" s="34"/>
      <c r="AG239" s="13"/>
      <c r="AH239" s="15"/>
      <c r="AI239" s="45"/>
      <c r="AJ239" s="15"/>
      <c r="AK239" s="13"/>
      <c r="AL239" s="15"/>
      <c r="AM239" s="45"/>
      <c r="AN239" s="15"/>
      <c r="AO239" s="13"/>
      <c r="AP239" s="15"/>
      <c r="AQ239" s="34">
        <f>B234*$F$14</f>
        <v>1990</v>
      </c>
      <c r="AR239" s="15"/>
      <c r="AS239" s="13"/>
      <c r="AT239" s="15"/>
      <c r="AU239" s="45"/>
      <c r="AV239" s="15"/>
      <c r="AW239" s="13"/>
      <c r="AY239" s="45"/>
      <c r="AZ239" s="28"/>
      <c r="BA239" s="13"/>
      <c r="BB239" s="15"/>
      <c r="BC239" s="45"/>
      <c r="BD239" s="28"/>
      <c r="BE239" s="14"/>
      <c r="BF239" s="41">
        <f t="shared" ref="BF239:BG239" si="784">K239+O239+S239+W239+AA239+AE239+AI239+AM239+AQ239+AU239+AY239+BC239</f>
        <v>1990</v>
      </c>
      <c r="BG239" s="34">
        <f t="shared" si="784"/>
        <v>0</v>
      </c>
      <c r="BH239" s="35">
        <f t="shared" si="774"/>
        <v>1990</v>
      </c>
    </row>
    <row r="240" ht="14.25" customHeight="1" hidden="1" spans="1:63" x14ac:dyDescent="0.25">
      <c r="A240" s="2">
        <v>26</v>
      </c>
      <c r="B240" s="14"/>
      <c r="D240" s="14" t="s">
        <v>52</v>
      </c>
      <c r="E240" s="2" t="s">
        <v>39</v>
      </c>
      <c r="F240" s="41">
        <v>500</v>
      </c>
      <c r="G240" s="28"/>
      <c r="H240" s="34">
        <f>'2019'!BH198</f>
        <v>1950</v>
      </c>
      <c r="I240" s="15"/>
      <c r="J240" s="15"/>
      <c r="K240" s="15"/>
      <c r="L240" s="28"/>
      <c r="Q240" s="13"/>
      <c r="R240" s="15"/>
      <c r="S240" s="15"/>
      <c r="T240" s="28"/>
      <c r="Y240" s="13"/>
      <c r="Z240" s="15"/>
      <c r="AA240" s="34">
        <f>$F$11</f>
        <v>500</v>
      </c>
      <c r="AB240" s="28"/>
      <c r="AG240" s="13"/>
      <c r="AH240" s="15"/>
      <c r="AI240" s="45"/>
      <c r="AJ240" s="15"/>
      <c r="AK240" s="13"/>
      <c r="AL240" s="15"/>
      <c r="AM240" s="45"/>
      <c r="AN240" s="15"/>
      <c r="AO240" s="13"/>
      <c r="AP240" s="15"/>
      <c r="AQ240" s="45"/>
      <c r="AR240" s="15"/>
      <c r="AS240" s="13"/>
      <c r="AT240" s="15"/>
      <c r="AU240" s="45"/>
      <c r="AV240" s="15"/>
      <c r="AW240" s="13"/>
      <c r="AY240" s="45"/>
      <c r="AZ240" s="35"/>
      <c r="BA240" s="13"/>
      <c r="BB240" s="15"/>
      <c r="BC240" s="45"/>
      <c r="BD240" s="35"/>
      <c r="BE240" s="14"/>
      <c r="BF240" s="41">
        <f t="shared" ref="BF240:BG240" si="785">K240+O240+S240+W240+AA240+AE240+AI240+AM240+AQ240+AU240+AY240+BC240</f>
        <v>500</v>
      </c>
      <c r="BG240" s="34">
        <f t="shared" si="785"/>
        <v>0</v>
      </c>
      <c r="BH240" s="35">
        <f t="shared" si="774"/>
        <v>2450</v>
      </c>
      <c r="BK240" s="2" t="b">
        <f>H240='2019'!BH198</f>
        <v>1</v>
      </c>
    </row>
    <row r="241" ht="14.25" customHeight="1" hidden="1" spans="1:63" x14ac:dyDescent="0.25">
      <c r="A241" s="247">
        <v>26</v>
      </c>
      <c r="B241" s="21"/>
      <c r="C241" s="22" t="s">
        <v>53</v>
      </c>
      <c r="D241" s="21"/>
      <c r="E241" s="22"/>
      <c r="F241" s="20"/>
      <c r="G241" s="23"/>
      <c r="H241" s="51">
        <f>SUM(H233:H240)</f>
        <v>43904.72</v>
      </c>
      <c r="I241" s="53"/>
      <c r="J241" s="53"/>
      <c r="K241" s="51">
        <f t="shared" ref="K241:L241" si="786">SUM(K233:K240)</f>
        <v>113.7</v>
      </c>
      <c r="L241" s="68">
        <f t="shared" si="786"/>
        <v>0</v>
      </c>
      <c r="M241" s="53"/>
      <c r="N241" s="53"/>
      <c r="O241" s="51">
        <f t="shared" ref="O241:P241" si="787">SUM(O233:O240)</f>
        <v>106.36</v>
      </c>
      <c r="P241" s="51">
        <f t="shared" si="787"/>
        <v>0</v>
      </c>
      <c r="Q241" s="52"/>
      <c r="R241" s="53"/>
      <c r="S241" s="51">
        <f t="shared" ref="S241:T241" si="788">SUM(S233:S240)</f>
        <v>113.7</v>
      </c>
      <c r="T241" s="51">
        <f t="shared" si="788"/>
        <v>0</v>
      </c>
      <c r="U241" s="52"/>
      <c r="V241" s="53"/>
      <c r="W241" s="51">
        <f t="shared" ref="W241:X241" si="789">SUM(W233:W240)</f>
        <v>110.03</v>
      </c>
      <c r="X241" s="51">
        <f t="shared" si="789"/>
        <v>0</v>
      </c>
      <c r="Y241" s="52"/>
      <c r="Z241" s="53"/>
      <c r="AA241" s="51">
        <f t="shared" ref="AA241:AB241" si="790">SUM(AA233:AA240)</f>
        <v>613.7</v>
      </c>
      <c r="AB241" s="51">
        <f t="shared" si="790"/>
        <v>0</v>
      </c>
      <c r="AC241" s="52"/>
      <c r="AD241" s="53"/>
      <c r="AE241" s="51">
        <f t="shared" ref="AE241:AF241" si="791">SUM(AE233:AE240)</f>
        <v>4488.03</v>
      </c>
      <c r="AF241" s="51">
        <f t="shared" si="791"/>
        <v>0</v>
      </c>
      <c r="AG241" s="52"/>
      <c r="AH241" s="53"/>
      <c r="AI241" s="183">
        <f t="shared" ref="AI241:AJ241" si="792">SUM(AI233:AI240)</f>
        <v>113.7</v>
      </c>
      <c r="AJ241" s="51">
        <f t="shared" si="792"/>
        <v>0</v>
      </c>
      <c r="AK241" s="52"/>
      <c r="AL241" s="53"/>
      <c r="AM241" s="183">
        <f t="shared" ref="AM241:AN241" si="793">SUM(AM233:AM240)</f>
        <v>113.7</v>
      </c>
      <c r="AN241" s="51">
        <f t="shared" si="793"/>
        <v>0</v>
      </c>
      <c r="AO241" s="52"/>
      <c r="AP241" s="53"/>
      <c r="AQ241" s="183">
        <f t="shared" ref="AQ241:AR241" si="794">SUM(AQ233:AQ240)</f>
        <v>2613.17</v>
      </c>
      <c r="AR241" s="51">
        <f t="shared" si="794"/>
        <v>0</v>
      </c>
      <c r="AS241" s="52"/>
      <c r="AT241" s="53"/>
      <c r="AU241" s="183">
        <f t="shared" ref="AU241:AV241" si="795">SUM(AU233:AU240)</f>
        <v>127.27</v>
      </c>
      <c r="AV241" s="68">
        <f t="shared" si="795"/>
        <v>0</v>
      </c>
      <c r="AW241" s="52"/>
      <c r="AX241" s="53"/>
      <c r="AY241" s="183">
        <f t="shared" ref="AY241:AZ241" si="796">SUM(AY233:AY240)</f>
        <v>123.17</v>
      </c>
      <c r="AZ241" s="68">
        <f t="shared" si="796"/>
        <v>0</v>
      </c>
      <c r="BA241" s="52"/>
      <c r="BB241" s="53"/>
      <c r="BC241" s="183">
        <f t="shared" ref="BC241:BD241" si="797">SUM(BC233:BC240)</f>
        <v>127.27</v>
      </c>
      <c r="BD241" s="68">
        <f t="shared" si="797"/>
        <v>0</v>
      </c>
      <c r="BE241" s="69"/>
      <c r="BF241" s="70">
        <f t="shared" ref="BF241:BH241" si="798">SUM(BF233:BF240)</f>
        <v>8763.8</v>
      </c>
      <c r="BG241" s="71">
        <f t="shared" si="798"/>
        <v>0</v>
      </c>
      <c r="BH241" s="72">
        <f t="shared" si="798"/>
        <v>52668.52</v>
      </c>
      <c r="BI241" s="34">
        <f>H241+BF241-BG241</f>
        <v>52668.52</v>
      </c>
      <c r="BJ241" s="34">
        <f>BH241-BI241</f>
        <v>0</v>
      </c>
      <c r="BK241" s="2" t="b">
        <f>H241='2019'!BH199</f>
        <v>0</v>
      </c>
    </row>
    <row r="242" ht="14.25" customHeight="1" hidden="1" spans="1:63" x14ac:dyDescent="0.25">
      <c r="A242" s="2">
        <v>27</v>
      </c>
      <c r="B242" s="14"/>
      <c r="D242" s="14" t="s">
        <v>379</v>
      </c>
      <c r="F242" s="13"/>
      <c r="G242" s="28"/>
      <c r="H242" s="34">
        <f>'2019'!BH200</f>
        <v>253.06</v>
      </c>
      <c r="J242" s="15"/>
      <c r="K242" s="34">
        <v>64.3</v>
      </c>
      <c r="L242" s="28"/>
      <c r="O242" s="2">
        <v>60.15</v>
      </c>
      <c r="Q242" s="13"/>
      <c r="R242" s="15"/>
      <c r="S242" s="34">
        <v>64.3</v>
      </c>
      <c r="T242" s="28"/>
      <c r="W242" s="2">
        <v>62.23</v>
      </c>
      <c r="Y242" s="13"/>
      <c r="Z242" s="15"/>
      <c r="AA242" s="34">
        <v>64.3</v>
      </c>
      <c r="AB242" s="28"/>
      <c r="AE242" s="2">
        <v>62.23</v>
      </c>
      <c r="AG242" s="13"/>
      <c r="AH242" s="15"/>
      <c r="AI242" s="45">
        <v>64.3</v>
      </c>
      <c r="AJ242" s="15"/>
      <c r="AK242" s="13"/>
      <c r="AM242" s="45">
        <v>64.3</v>
      </c>
      <c r="AO242" s="13"/>
      <c r="AQ242" s="45">
        <v>75.56</v>
      </c>
      <c r="AS242" s="13"/>
      <c r="AU242" s="45">
        <v>78.08</v>
      </c>
      <c r="AW242" s="13"/>
      <c r="AY242" s="45">
        <v>75.56</v>
      </c>
      <c r="AZ242" s="28"/>
      <c r="BA242" s="13"/>
      <c r="BB242" s="15"/>
      <c r="BC242" s="45">
        <v>78.08</v>
      </c>
      <c r="BD242" s="28"/>
      <c r="BE242" s="14"/>
      <c r="BF242" s="41">
        <f t="shared" ref="BF242:BG242" si="799">K242+O242+S242+W242+AA242+AE242+AI242+AM242+AQ242+AU242+AY242+BC242</f>
        <v>813.39</v>
      </c>
      <c r="BG242" s="34">
        <f t="shared" si="799"/>
        <v>0</v>
      </c>
      <c r="BH242" s="35">
        <f t="shared" ref="BH242:BH249" si="800">H242+BF242-BG242</f>
        <v>1066.45</v>
      </c>
      <c r="BK242" s="2" t="b">
        <f>H242='2019'!BH200</f>
        <v>1</v>
      </c>
    </row>
    <row r="243" ht="14.25" customHeight="1" hidden="1" spans="1:63" x14ac:dyDescent="0.25">
      <c r="A243" s="2">
        <v>27</v>
      </c>
      <c r="B243" s="14">
        <v>4.04</v>
      </c>
      <c r="C243" s="154" t="s">
        <v>136</v>
      </c>
      <c r="D243" s="14" t="s">
        <v>44</v>
      </c>
      <c r="E243" s="2" t="s">
        <v>45</v>
      </c>
      <c r="F243" s="41">
        <v>2.5</v>
      </c>
      <c r="G243" s="35">
        <v>2.6</v>
      </c>
      <c r="H243" s="104">
        <f>'2019'!BH201</f>
        <v>0</v>
      </c>
      <c r="I243" s="15"/>
      <c r="J243" s="15"/>
      <c r="K243" s="34">
        <f>J243*$F$8</f>
        <v>0</v>
      </c>
      <c r="L243" s="28"/>
      <c r="N243" s="15"/>
      <c r="O243" s="34">
        <f>N243*$F$8</f>
        <v>0</v>
      </c>
      <c r="Q243" s="13"/>
      <c r="R243" s="15">
        <f>Q243-M243</f>
        <v>0</v>
      </c>
      <c r="S243" s="34">
        <f>R243*$F$8</f>
        <v>0</v>
      </c>
      <c r="T243" s="28"/>
      <c r="V243" s="15">
        <f>U243-Q243</f>
        <v>0</v>
      </c>
      <c r="W243" s="34">
        <f>V243*$F$8</f>
        <v>0</v>
      </c>
      <c r="Y243" s="13"/>
      <c r="Z243" s="15">
        <f>Y243-U243</f>
        <v>0</v>
      </c>
      <c r="AA243" s="34">
        <f>Z243*$F$8</f>
        <v>0</v>
      </c>
      <c r="AB243" s="28"/>
      <c r="AC243" s="15"/>
      <c r="AD243" s="15">
        <f>AC243-Y243</f>
        <v>0</v>
      </c>
      <c r="AE243" s="34">
        <f>AD243*$F$8</f>
        <v>0</v>
      </c>
      <c r="AG243" s="13"/>
      <c r="AH243" s="15">
        <f>AG243-AC243</f>
        <v>0</v>
      </c>
      <c r="AI243" s="45">
        <f>AH243*$G$8</f>
        <v>0</v>
      </c>
      <c r="AJ243" s="15"/>
      <c r="AK243" s="13">
        <v>0</v>
      </c>
      <c r="AL243" s="15">
        <f>AK243-AG243</f>
        <v>0</v>
      </c>
      <c r="AM243" s="45">
        <f>AL243*$G$8</f>
        <v>0</v>
      </c>
      <c r="AN243" s="15"/>
      <c r="AO243" s="13">
        <v>0</v>
      </c>
      <c r="AP243" s="15">
        <f t="shared" ref="AP243:AP244" si="801">AO243-AK243</f>
        <v>0</v>
      </c>
      <c r="AQ243" s="45">
        <f>AP243*$G$8</f>
        <v>0</v>
      </c>
      <c r="AR243" s="15"/>
      <c r="AS243" s="13">
        <v>0</v>
      </c>
      <c r="AT243" s="15">
        <f t="shared" ref="AT243:AT244" si="802">AS243-AO243</f>
        <v>0</v>
      </c>
      <c r="AU243" s="45">
        <f>AT243*$G$8</f>
        <v>0</v>
      </c>
      <c r="AV243" s="15"/>
      <c r="AW243" s="13">
        <v>0</v>
      </c>
      <c r="AX243" s="2">
        <f t="shared" ref="AX243:AX244" si="803">AW243-AS243</f>
        <v>0</v>
      </c>
      <c r="AY243" s="45">
        <f>AX243*$G$8</f>
        <v>0</v>
      </c>
      <c r="AZ243" s="208"/>
      <c r="BA243" s="13">
        <v>0</v>
      </c>
      <c r="BB243" s="15">
        <f t="shared" ref="BB243:BB244" si="804">BA243-AW243</f>
        <v>0</v>
      </c>
      <c r="BC243" s="45">
        <f>BB243*$G$8</f>
        <v>0</v>
      </c>
      <c r="BD243" s="208"/>
      <c r="BE243" s="40">
        <f t="shared" ref="BE243:BG243" si="805">J243+N243+R243+V243+Z243+AD243+AH243+AL243+AP243+AT243+AX243+BB243</f>
        <v>0</v>
      </c>
      <c r="BF243" s="41">
        <f t="shared" si="805"/>
        <v>0</v>
      </c>
      <c r="BG243" s="34">
        <f t="shared" si="805"/>
        <v>0</v>
      </c>
      <c r="BH243" s="35">
        <f t="shared" si="800"/>
        <v>0</v>
      </c>
      <c r="BK243" s="2" t="b">
        <f>H243='2019'!BH201</f>
        <v>1</v>
      </c>
    </row>
    <row r="244" ht="14.25" customHeight="1" hidden="1" spans="1:63" x14ac:dyDescent="0.25">
      <c r="A244" s="2">
        <v>27</v>
      </c>
      <c r="B244" s="14"/>
      <c r="C244" s="154" t="s">
        <v>137</v>
      </c>
      <c r="D244" s="14" t="s">
        <v>47</v>
      </c>
      <c r="E244" s="2" t="s">
        <v>48</v>
      </c>
      <c r="F244" s="13">
        <v>18.56</v>
      </c>
      <c r="G244" s="35">
        <v>19.46</v>
      </c>
      <c r="H244" s="34">
        <f>'2019'!BH202</f>
        <v>0</v>
      </c>
      <c r="I244" s="15"/>
      <c r="J244" s="15"/>
      <c r="K244" s="15"/>
      <c r="L244" s="28"/>
      <c r="Q244" s="13"/>
      <c r="R244" s="15"/>
      <c r="S244" s="15"/>
      <c r="T244" s="28"/>
      <c r="W244" s="34">
        <f>V244*$F$10</f>
        <v>0</v>
      </c>
      <c r="Y244" s="13"/>
      <c r="Z244" s="15"/>
      <c r="AA244" s="34">
        <f>Z244*$F$10</f>
        <v>0</v>
      </c>
      <c r="AB244" s="28"/>
      <c r="AC244" s="15"/>
      <c r="AD244" s="15"/>
      <c r="AE244" s="34">
        <f>AD244*$F$10</f>
        <v>0</v>
      </c>
      <c r="AG244" s="13"/>
      <c r="AH244" s="15"/>
      <c r="AI244" s="45">
        <f>AH244*$G$10</f>
        <v>0</v>
      </c>
      <c r="AJ244" s="15"/>
      <c r="AK244" s="13"/>
      <c r="AL244" s="15"/>
      <c r="AM244" s="45">
        <f>AL244*$G$10</f>
        <v>0</v>
      </c>
      <c r="AN244" s="15"/>
      <c r="AO244" s="13"/>
      <c r="AP244" s="15">
        <f t="shared" si="801"/>
        <v>0</v>
      </c>
      <c r="AQ244" s="45">
        <f>AP244*$G$10</f>
        <v>0</v>
      </c>
      <c r="AR244" s="15"/>
      <c r="AS244" s="13"/>
      <c r="AT244" s="15">
        <f t="shared" si="802"/>
        <v>0</v>
      </c>
      <c r="AU244" s="45">
        <f>AT244*$G$10</f>
        <v>0</v>
      </c>
      <c r="AV244" s="15"/>
      <c r="AW244" s="13"/>
      <c r="AX244" s="2">
        <f t="shared" si="803"/>
        <v>0</v>
      </c>
      <c r="AY244" s="45"/>
      <c r="AZ244" s="208"/>
      <c r="BA244" s="13"/>
      <c r="BB244" s="15">
        <f t="shared" si="804"/>
        <v>0</v>
      </c>
      <c r="BC244" s="45"/>
      <c r="BD244" s="208"/>
      <c r="BE244" s="40">
        <f t="shared" ref="BE244:BG244" si="806">J244+N244+R244+V244+Z244+AD244+AH244+AL244+AP244+AT244+AX244+BB244</f>
        <v>0</v>
      </c>
      <c r="BF244" s="41">
        <f t="shared" si="806"/>
        <v>0</v>
      </c>
      <c r="BG244" s="34">
        <f t="shared" si="806"/>
        <v>0</v>
      </c>
      <c r="BH244" s="35">
        <f t="shared" si="800"/>
        <v>0</v>
      </c>
      <c r="BK244" s="2" t="b">
        <f>H244='2019'!BH202</f>
        <v>1</v>
      </c>
    </row>
    <row r="245" ht="14.25" customHeight="1" hidden="1" spans="1:63" x14ac:dyDescent="0.25">
      <c r="A245" s="2">
        <v>27</v>
      </c>
      <c r="B245" s="14"/>
      <c r="C245" s="154" t="s">
        <v>138</v>
      </c>
      <c r="D245" s="14" t="s">
        <v>47</v>
      </c>
      <c r="E245" s="2" t="s">
        <v>49</v>
      </c>
      <c r="F245" s="41">
        <v>500</v>
      </c>
      <c r="G245" s="28"/>
      <c r="H245" s="144">
        <f>'2019'!BH203</f>
        <v>0</v>
      </c>
      <c r="I245" s="15"/>
      <c r="J245" s="15"/>
      <c r="K245" s="15"/>
      <c r="L245" s="28"/>
      <c r="Q245" s="13"/>
      <c r="R245" s="15"/>
      <c r="S245" s="15"/>
      <c r="T245" s="28"/>
      <c r="Y245" s="13"/>
      <c r="Z245" s="15"/>
      <c r="AA245" s="34"/>
      <c r="AB245" s="28"/>
      <c r="AC245" s="15"/>
      <c r="AG245" s="13"/>
      <c r="AH245" s="15"/>
      <c r="AI245" s="45"/>
      <c r="AJ245" s="15"/>
      <c r="AK245" s="13"/>
      <c r="AL245" s="15"/>
      <c r="AM245" s="45"/>
      <c r="AN245" s="15"/>
      <c r="AO245" s="13"/>
      <c r="AP245" s="15"/>
      <c r="AQ245" s="45"/>
      <c r="AR245" s="15"/>
      <c r="AS245" s="13"/>
      <c r="AT245" s="15"/>
      <c r="AU245" s="45"/>
      <c r="AV245" s="15"/>
      <c r="AW245" s="13"/>
      <c r="AY245" s="45"/>
      <c r="AZ245" s="28"/>
      <c r="BA245" s="13"/>
      <c r="BB245" s="15"/>
      <c r="BC245" s="45"/>
      <c r="BD245" s="28"/>
      <c r="BE245" s="40">
        <f t="shared" ref="BE245:BG245" si="807">J245+N245+R245+V245+Z245+AD245+AH245+AL245+AP245+AT245+AX245+BB245</f>
        <v>0</v>
      </c>
      <c r="BF245" s="41">
        <f t="shared" si="807"/>
        <v>0</v>
      </c>
      <c r="BG245" s="34">
        <f t="shared" si="807"/>
        <v>0</v>
      </c>
      <c r="BH245" s="35">
        <f t="shared" si="800"/>
        <v>0</v>
      </c>
      <c r="BK245" s="2" t="b">
        <f>H245='2019'!BH203</f>
        <v>1</v>
      </c>
    </row>
    <row r="246" ht="14.25" customHeight="1" hidden="1" spans="1:63" x14ac:dyDescent="0.25">
      <c r="A246" s="2">
        <v>27</v>
      </c>
      <c r="B246" s="14"/>
      <c r="C246" s="154"/>
      <c r="D246" s="14" t="s">
        <v>50</v>
      </c>
      <c r="E246" s="2" t="s">
        <v>49</v>
      </c>
      <c r="F246" s="41">
        <v>1100</v>
      </c>
      <c r="G246" s="28"/>
      <c r="H246" s="182">
        <f>'2019'!BH204-0.0052</f>
        <v>17934.03</v>
      </c>
      <c r="I246" s="15"/>
      <c r="J246" s="15"/>
      <c r="K246" s="15"/>
      <c r="L246" s="28"/>
      <c r="Q246" s="13"/>
      <c r="R246" s="15"/>
      <c r="S246" s="15"/>
      <c r="T246" s="28"/>
      <c r="Y246" s="13"/>
      <c r="Z246" s="15"/>
      <c r="AA246" s="15"/>
      <c r="AB246" s="28"/>
      <c r="AE246" s="34">
        <f>B243*$F$12</f>
        <v>4444</v>
      </c>
      <c r="AG246" s="13"/>
      <c r="AH246" s="15"/>
      <c r="AI246" s="45"/>
      <c r="AJ246" s="15"/>
      <c r="AK246" s="13"/>
      <c r="AL246" s="15"/>
      <c r="AM246" s="45"/>
      <c r="AN246" s="15"/>
      <c r="AO246" s="13"/>
      <c r="AP246" s="15"/>
      <c r="AQ246" s="45"/>
      <c r="AR246" s="15"/>
      <c r="AS246" s="13"/>
      <c r="AT246" s="15"/>
      <c r="AU246" s="45"/>
      <c r="AV246" s="15"/>
      <c r="AW246" s="13"/>
      <c r="AY246" s="45"/>
      <c r="AZ246" s="28"/>
      <c r="BA246" s="13"/>
      <c r="BB246" s="15"/>
      <c r="BC246" s="45"/>
      <c r="BD246" s="28"/>
      <c r="BE246" s="14"/>
      <c r="BF246" s="41">
        <f t="shared" ref="BF246:BG246" si="808">K246+O246+S246+W246+AA246+AE246+AI246+AM246+AQ246+AU246+AY246+BC246</f>
        <v>4444</v>
      </c>
      <c r="BG246" s="34">
        <f t="shared" si="808"/>
        <v>0</v>
      </c>
      <c r="BH246" s="35">
        <f t="shared" si="800"/>
        <v>22378.03</v>
      </c>
      <c r="BK246" s="2" t="b">
        <f>H246='2019'!BH204</f>
        <v>0</v>
      </c>
    </row>
    <row r="247" ht="14.25" customHeight="1" hidden="1" spans="1:63" x14ac:dyDescent="0.25">
      <c r="A247" s="2">
        <v>27</v>
      </c>
      <c r="B247" s="14"/>
      <c r="D247" s="14" t="s">
        <v>51</v>
      </c>
      <c r="E247" s="2" t="s">
        <v>39</v>
      </c>
      <c r="F247" s="41">
        <v>500</v>
      </c>
      <c r="G247" s="28"/>
      <c r="H247" s="34">
        <f>'2019'!BH205</f>
        <v>2808</v>
      </c>
      <c r="I247" s="15"/>
      <c r="J247" s="15"/>
      <c r="K247" s="15"/>
      <c r="L247" s="28"/>
      <c r="Q247" s="13"/>
      <c r="R247" s="15"/>
      <c r="S247" s="15"/>
      <c r="T247" s="28"/>
      <c r="Y247" s="13"/>
      <c r="Z247" s="15"/>
      <c r="AA247" s="15"/>
      <c r="AB247" s="28"/>
      <c r="AE247" s="34"/>
      <c r="AG247" s="13"/>
      <c r="AH247" s="15"/>
      <c r="AI247" s="45"/>
      <c r="AJ247" s="15"/>
      <c r="AK247" s="13"/>
      <c r="AL247" s="15"/>
      <c r="AM247" s="45"/>
      <c r="AN247" s="15"/>
      <c r="AO247" s="13"/>
      <c r="AP247" s="15"/>
      <c r="AQ247" s="45">
        <f>$F$13</f>
        <v>500</v>
      </c>
      <c r="AR247" s="15"/>
      <c r="AS247" s="13"/>
      <c r="AT247" s="15"/>
      <c r="AU247" s="45"/>
      <c r="AV247" s="15"/>
      <c r="AW247" s="13"/>
      <c r="AY247" s="45"/>
      <c r="AZ247" s="28"/>
      <c r="BA247" s="13"/>
      <c r="BB247" s="15"/>
      <c r="BC247" s="45"/>
      <c r="BD247" s="28"/>
      <c r="BE247" s="14"/>
      <c r="BF247" s="41">
        <f t="shared" ref="BF247:BG247" si="809">K247+O247+S247+W247+AA247+AE247+AI247+AM247+AQ247+AU247+AY247+BC247</f>
        <v>500</v>
      </c>
      <c r="BG247" s="34">
        <f t="shared" si="809"/>
        <v>0</v>
      </c>
      <c r="BH247" s="35">
        <f t="shared" si="800"/>
        <v>3308</v>
      </c>
      <c r="BK247" s="2" t="b">
        <f>H247='2019'!BH205</f>
        <v>1</v>
      </c>
    </row>
    <row r="248" ht="14.25" customHeight="1" hidden="1" spans="1:60" x14ac:dyDescent="0.25">
      <c r="A248" s="2">
        <v>27</v>
      </c>
      <c r="B248" s="14"/>
      <c r="D248" s="14" t="s">
        <v>51</v>
      </c>
      <c r="E248" s="2" t="s">
        <v>49</v>
      </c>
      <c r="F248" s="41">
        <v>500</v>
      </c>
      <c r="G248" s="28"/>
      <c r="H248" s="34"/>
      <c r="I248" s="15"/>
      <c r="J248" s="15"/>
      <c r="K248" s="15"/>
      <c r="L248" s="28"/>
      <c r="Q248" s="13"/>
      <c r="R248" s="15"/>
      <c r="S248" s="15"/>
      <c r="T248" s="28"/>
      <c r="Y248" s="13"/>
      <c r="Z248" s="15"/>
      <c r="AA248" s="15"/>
      <c r="AB248" s="28"/>
      <c r="AE248" s="34"/>
      <c r="AG248" s="13"/>
      <c r="AH248" s="15"/>
      <c r="AI248" s="45"/>
      <c r="AJ248" s="15"/>
      <c r="AK248" s="13"/>
      <c r="AL248" s="15"/>
      <c r="AM248" s="45"/>
      <c r="AN248" s="15"/>
      <c r="AO248" s="13"/>
      <c r="AP248" s="15"/>
      <c r="AQ248" s="34">
        <f>B243*$F$14</f>
        <v>2020</v>
      </c>
      <c r="AR248" s="15"/>
      <c r="AS248" s="13"/>
      <c r="AT248" s="15"/>
      <c r="AU248" s="45"/>
      <c r="AV248" s="15"/>
      <c r="AW248" s="13"/>
      <c r="AY248" s="45"/>
      <c r="AZ248" s="28"/>
      <c r="BA248" s="13"/>
      <c r="BB248" s="15"/>
      <c r="BC248" s="45"/>
      <c r="BD248" s="28"/>
      <c r="BE248" s="14"/>
      <c r="BF248" s="41">
        <f t="shared" ref="BF248:BG248" si="810">K248+O248+S248+W248+AA248+AE248+AI248+AM248+AQ248+AU248+AY248+BC248</f>
        <v>2020</v>
      </c>
      <c r="BG248" s="34">
        <f t="shared" si="810"/>
        <v>0</v>
      </c>
      <c r="BH248" s="35">
        <f t="shared" si="800"/>
        <v>2020</v>
      </c>
    </row>
    <row r="249" ht="14.25" customHeight="1" hidden="1" spans="1:63" x14ac:dyDescent="0.25">
      <c r="A249" s="2">
        <v>27</v>
      </c>
      <c r="B249" s="14"/>
      <c r="D249" s="14" t="s">
        <v>52</v>
      </c>
      <c r="E249" s="2" t="s">
        <v>39</v>
      </c>
      <c r="F249" s="41">
        <v>500</v>
      </c>
      <c r="G249" s="28"/>
      <c r="H249" s="34">
        <f>'2019'!BH206</f>
        <v>1700</v>
      </c>
      <c r="I249" s="15"/>
      <c r="J249" s="15"/>
      <c r="K249" s="15"/>
      <c r="L249" s="28"/>
      <c r="Q249" s="13"/>
      <c r="R249" s="15"/>
      <c r="S249" s="15"/>
      <c r="T249" s="28"/>
      <c r="Y249" s="13"/>
      <c r="Z249" s="15"/>
      <c r="AA249" s="34">
        <f>$F$11</f>
        <v>500</v>
      </c>
      <c r="AB249" s="28"/>
      <c r="AG249" s="13"/>
      <c r="AH249" s="15"/>
      <c r="AI249" s="45"/>
      <c r="AJ249" s="15"/>
      <c r="AK249" s="13"/>
      <c r="AL249" s="15"/>
      <c r="AM249" s="45"/>
      <c r="AN249" s="15"/>
      <c r="AO249" s="13"/>
      <c r="AP249" s="15"/>
      <c r="AQ249" s="45"/>
      <c r="AR249" s="15"/>
      <c r="AS249" s="13"/>
      <c r="AT249" s="15"/>
      <c r="AU249" s="45"/>
      <c r="AV249" s="15"/>
      <c r="AW249" s="13"/>
      <c r="AY249" s="45"/>
      <c r="AZ249" s="35"/>
      <c r="BA249" s="13"/>
      <c r="BB249" s="15"/>
      <c r="BC249" s="45"/>
      <c r="BD249" s="35"/>
      <c r="BE249" s="14"/>
      <c r="BF249" s="41">
        <f t="shared" ref="BF249:BG249" si="811">K249+O249+S249+W249+AA249+AE249+AI249+AM249+AQ249+AU249+AY249+BC249</f>
        <v>500</v>
      </c>
      <c r="BG249" s="34">
        <f t="shared" si="811"/>
        <v>0</v>
      </c>
      <c r="BH249" s="35">
        <f t="shared" si="800"/>
        <v>2200</v>
      </c>
      <c r="BK249" s="2" t="b">
        <f>H249='2019'!BH206</f>
        <v>1</v>
      </c>
    </row>
    <row r="250" ht="14.25" customHeight="1" hidden="1" spans="1:63" x14ac:dyDescent="0.25">
      <c r="A250" s="247">
        <v>27</v>
      </c>
      <c r="B250" s="21"/>
      <c r="C250" s="22" t="s">
        <v>53</v>
      </c>
      <c r="D250" s="21"/>
      <c r="E250" s="22"/>
      <c r="F250" s="20"/>
      <c r="G250" s="23"/>
      <c r="H250" s="51">
        <f>SUM(H242:H249)</f>
        <v>22695.09</v>
      </c>
      <c r="I250" s="53"/>
      <c r="J250" s="53"/>
      <c r="K250" s="51">
        <f t="shared" ref="K250:L250" si="812">SUM(K242:K249)</f>
        <v>64.3</v>
      </c>
      <c r="L250" s="68">
        <f t="shared" si="812"/>
        <v>0</v>
      </c>
      <c r="M250" s="53"/>
      <c r="N250" s="53"/>
      <c r="O250" s="51">
        <f t="shared" ref="O250:P250" si="813">SUM(O242:O249)</f>
        <v>60.15</v>
      </c>
      <c r="P250" s="51">
        <f t="shared" si="813"/>
        <v>0</v>
      </c>
      <c r="Q250" s="52"/>
      <c r="R250" s="53"/>
      <c r="S250" s="51">
        <f t="shared" ref="S250:T250" si="814">SUM(S242:S249)</f>
        <v>64.3</v>
      </c>
      <c r="T250" s="51">
        <f t="shared" si="814"/>
        <v>0</v>
      </c>
      <c r="U250" s="52"/>
      <c r="V250" s="53"/>
      <c r="W250" s="51">
        <f t="shared" ref="W250:X250" si="815">SUM(W242:W249)</f>
        <v>62.23</v>
      </c>
      <c r="X250" s="51">
        <f t="shared" si="815"/>
        <v>0</v>
      </c>
      <c r="Y250" s="52"/>
      <c r="Z250" s="53"/>
      <c r="AA250" s="51">
        <f t="shared" ref="AA250:AB250" si="816">SUM(AA242:AA249)</f>
        <v>564.3</v>
      </c>
      <c r="AB250" s="51">
        <f t="shared" si="816"/>
        <v>0</v>
      </c>
      <c r="AC250" s="52"/>
      <c r="AD250" s="53"/>
      <c r="AE250" s="51">
        <f t="shared" ref="AE250:AF250" si="817">SUM(AE242:AE249)</f>
        <v>4506.23</v>
      </c>
      <c r="AF250" s="51">
        <f t="shared" si="817"/>
        <v>0</v>
      </c>
      <c r="AG250" s="52"/>
      <c r="AH250" s="53"/>
      <c r="AI250" s="183">
        <f t="shared" ref="AI250:AJ250" si="818">SUM(AI242:AI249)</f>
        <v>64.3</v>
      </c>
      <c r="AJ250" s="51">
        <f t="shared" si="818"/>
        <v>0</v>
      </c>
      <c r="AK250" s="52"/>
      <c r="AL250" s="53"/>
      <c r="AM250" s="183">
        <f t="shared" ref="AM250:AN250" si="819">SUM(AM242:AM249)</f>
        <v>64.3</v>
      </c>
      <c r="AN250" s="51">
        <f t="shared" si="819"/>
        <v>0</v>
      </c>
      <c r="AO250" s="52"/>
      <c r="AP250" s="53"/>
      <c r="AQ250" s="183">
        <f t="shared" ref="AQ250:AR250" si="820">SUM(AQ242:AQ249)</f>
        <v>2595.56</v>
      </c>
      <c r="AR250" s="51">
        <f t="shared" si="820"/>
        <v>0</v>
      </c>
      <c r="AS250" s="52"/>
      <c r="AT250" s="53"/>
      <c r="AU250" s="183">
        <f t="shared" ref="AU250:AV250" si="821">SUM(AU242:AU249)</f>
        <v>78.08</v>
      </c>
      <c r="AV250" s="68">
        <f t="shared" si="821"/>
        <v>0</v>
      </c>
      <c r="AW250" s="52"/>
      <c r="AX250" s="53"/>
      <c r="AY250" s="183">
        <f t="shared" ref="AY250:AZ250" si="822">SUM(AY242:AY249)</f>
        <v>75.56</v>
      </c>
      <c r="AZ250" s="68">
        <f t="shared" si="822"/>
        <v>0</v>
      </c>
      <c r="BA250" s="52"/>
      <c r="BB250" s="53"/>
      <c r="BC250" s="183">
        <f t="shared" ref="BC250:BD250" si="823">SUM(BC242:BC249)</f>
        <v>78.08</v>
      </c>
      <c r="BD250" s="68">
        <f t="shared" si="823"/>
        <v>0</v>
      </c>
      <c r="BE250" s="69"/>
      <c r="BF250" s="70">
        <f t="shared" ref="BF250:BH250" si="824">SUM(BF242:BF249)</f>
        <v>8277.39</v>
      </c>
      <c r="BG250" s="71">
        <f t="shared" si="824"/>
        <v>0</v>
      </c>
      <c r="BH250" s="72">
        <f t="shared" si="824"/>
        <v>30972.48</v>
      </c>
      <c r="BI250" s="34">
        <f>H250+BF250-BG250</f>
        <v>30972.48</v>
      </c>
      <c r="BJ250" s="34">
        <f>BH250-BI250</f>
        <v>0</v>
      </c>
      <c r="BK250" s="2" t="b">
        <f>H250='2019'!BH207</f>
        <v>0</v>
      </c>
    </row>
    <row r="251" ht="14.25" customHeight="1" hidden="1" spans="1:63" x14ac:dyDescent="0.25">
      <c r="A251" s="89">
        <v>28</v>
      </c>
      <c r="B251" s="14"/>
      <c r="D251" s="178" t="s">
        <v>486</v>
      </c>
      <c r="F251" s="13"/>
      <c r="G251" s="28"/>
      <c r="H251" s="34">
        <f>'2019'!BH208</f>
        <v>0</v>
      </c>
      <c r="J251" s="15"/>
      <c r="K251" s="15"/>
      <c r="L251" s="28"/>
      <c r="Q251" s="13"/>
      <c r="R251" s="15"/>
      <c r="S251" s="15"/>
      <c r="T251" s="28"/>
      <c r="W251" s="152">
        <v>65.5</v>
      </c>
      <c r="X251" s="39">
        <v>65.5</v>
      </c>
      <c r="Y251" s="13"/>
      <c r="Z251" s="15"/>
      <c r="AA251" s="15"/>
      <c r="AB251" s="28"/>
      <c r="AG251" s="13"/>
      <c r="AH251" s="15"/>
      <c r="AI251" s="45"/>
      <c r="AJ251" s="15"/>
      <c r="AK251" s="13"/>
      <c r="AM251" s="45"/>
      <c r="AO251" s="13"/>
      <c r="AQ251" s="45"/>
      <c r="AS251" s="13"/>
      <c r="AU251" s="45"/>
      <c r="AW251" s="13"/>
      <c r="AY251" s="45"/>
      <c r="AZ251" s="28"/>
      <c r="BA251" s="13"/>
      <c r="BB251" s="15"/>
      <c r="BC251" s="45"/>
      <c r="BD251" s="28"/>
      <c r="BE251" s="14"/>
      <c r="BF251" s="41">
        <f t="shared" ref="BF251:BG251" si="825">K251+O251+S251+W251+AA251+AE251+AI251+AM251+AQ251+AU251+AY251+BC251</f>
        <v>65.5</v>
      </c>
      <c r="BG251" s="34">
        <f t="shared" si="825"/>
        <v>65.5</v>
      </c>
      <c r="BH251" s="35">
        <f t="shared" ref="BH251:BH258" si="826">H251+BF251-BG251</f>
        <v>0</v>
      </c>
      <c r="BK251" s="2" t="b">
        <f>H251='2019'!BH208</f>
        <v>1</v>
      </c>
    </row>
    <row r="252" ht="15.75" customHeight="1" hidden="1" spans="1:63" x14ac:dyDescent="0.25">
      <c r="A252" s="250">
        <v>28</v>
      </c>
      <c r="B252" s="14">
        <v>3.96</v>
      </c>
      <c r="C252" s="2" t="s">
        <v>140</v>
      </c>
      <c r="D252" s="14" t="s">
        <v>44</v>
      </c>
      <c r="E252" s="2" t="s">
        <v>45</v>
      </c>
      <c r="F252" s="41">
        <v>2.5</v>
      </c>
      <c r="G252" s="35">
        <v>2.6</v>
      </c>
      <c r="H252" s="180">
        <f>'2019'!BH209</f>
        <v>1982.5</v>
      </c>
      <c r="I252" s="15">
        <v>18482</v>
      </c>
      <c r="J252" s="15">
        <f>I252-'2019'!BA209</f>
        <v>882</v>
      </c>
      <c r="K252" s="34">
        <f>J252*$F$8</f>
        <v>2205</v>
      </c>
      <c r="L252" s="38">
        <v>1982.5</v>
      </c>
      <c r="M252" s="37">
        <v>19176</v>
      </c>
      <c r="N252" s="37">
        <f>M252-I252</f>
        <v>694</v>
      </c>
      <c r="O252" s="34">
        <f>N252*$F$8</f>
        <v>1735</v>
      </c>
      <c r="P252" s="38">
        <v>2205</v>
      </c>
      <c r="Q252" s="13">
        <v>19681</v>
      </c>
      <c r="R252" s="37">
        <f>Q252-M252</f>
        <v>505</v>
      </c>
      <c r="S252" s="34">
        <f>R252*$F$8</f>
        <v>1262.5</v>
      </c>
      <c r="T252" s="38">
        <v>1735</v>
      </c>
      <c r="U252" s="15">
        <v>20030</v>
      </c>
      <c r="V252" s="37">
        <f t="shared" ref="V252:V253" si="827">U252-Q252</f>
        <v>349</v>
      </c>
      <c r="W252" s="34">
        <f>V252*$F$8</f>
        <v>872.5</v>
      </c>
      <c r="X252" s="39">
        <v>1262.5</v>
      </c>
      <c r="Y252" s="36">
        <v>20192</v>
      </c>
      <c r="Z252" s="37">
        <f>Y252-U252</f>
        <v>162</v>
      </c>
      <c r="AA252" s="34">
        <f>Z252*$F$8</f>
        <v>405</v>
      </c>
      <c r="AB252" s="38">
        <v>872.5</v>
      </c>
      <c r="AC252" s="37">
        <v>20292</v>
      </c>
      <c r="AD252" s="37">
        <f t="shared" ref="AD252:AD253" si="828">AC252-Y252</f>
        <v>100</v>
      </c>
      <c r="AE252" s="34">
        <f>AD252*$F$8</f>
        <v>250</v>
      </c>
      <c r="AF252" s="15"/>
      <c r="AG252" s="13">
        <v>20354</v>
      </c>
      <c r="AH252" s="37">
        <f t="shared" ref="AH252:AH253" si="829">AG252-AC252</f>
        <v>62</v>
      </c>
      <c r="AI252" s="45">
        <f>AH252*$G$8</f>
        <v>161.2</v>
      </c>
      <c r="AJ252" s="181">
        <v>816.2</v>
      </c>
      <c r="AK252" s="13">
        <v>20380</v>
      </c>
      <c r="AL252" s="15">
        <f t="shared" ref="AL252:AL253" si="830">AK252-AG252</f>
        <v>26</v>
      </c>
      <c r="AM252" s="45">
        <f>AL252*$G$8</f>
        <v>67.6</v>
      </c>
      <c r="AN252" s="15"/>
      <c r="AO252" s="13">
        <v>20396</v>
      </c>
      <c r="AP252" s="15">
        <f t="shared" ref="AP252:AP253" si="831">AO252-AK252</f>
        <v>16</v>
      </c>
      <c r="AQ252" s="45">
        <f>AP252*$G$8</f>
        <v>41.6</v>
      </c>
      <c r="AR252" s="39">
        <v>67.6</v>
      </c>
      <c r="AS252" s="13">
        <v>20412</v>
      </c>
      <c r="AT252" s="15">
        <f t="shared" ref="AT252:AT253" si="832">AS252-AO252</f>
        <v>16</v>
      </c>
      <c r="AU252" s="45">
        <f t="shared" ref="AU252:AU253" si="833">AT252*$G$8</f>
        <v>41.6</v>
      </c>
      <c r="AV252" s="39">
        <v>41.6</v>
      </c>
      <c r="AW252" s="13">
        <v>261</v>
      </c>
      <c r="AX252" s="2">
        <v>261</v>
      </c>
      <c r="AY252" s="45">
        <f>AX252*$G$8</f>
        <v>678.6</v>
      </c>
      <c r="AZ252" s="242">
        <f>41.6+1300</f>
        <v>1341.6</v>
      </c>
      <c r="BA252" s="13">
        <v>1031</v>
      </c>
      <c r="BB252" s="15">
        <f t="shared" ref="BB252:BB253" si="834">BA252-AW252</f>
        <v>770</v>
      </c>
      <c r="BC252" s="45">
        <f>BB252*$G$8</f>
        <v>2002</v>
      </c>
      <c r="BD252" s="242">
        <v>418.6</v>
      </c>
      <c r="BE252" s="40">
        <f t="shared" ref="BE252:BG252" si="835">J252+N252+R252+V252+Z252+AD252+AH252+AL252+AP252+AT252+AX252+BB252</f>
        <v>3843</v>
      </c>
      <c r="BF252" s="41">
        <f t="shared" si="835"/>
        <v>9722.6</v>
      </c>
      <c r="BG252" s="34">
        <f t="shared" si="835"/>
        <v>10743.1</v>
      </c>
      <c r="BH252" s="35">
        <f t="shared" si="826"/>
        <v>962</v>
      </c>
      <c r="BK252" s="2" t="b">
        <f>H252='2019'!BH209</f>
        <v>1</v>
      </c>
    </row>
    <row r="253" ht="14.25" customHeight="1" hidden="1" spans="1:63" x14ac:dyDescent="0.25">
      <c r="A253" s="89">
        <v>28</v>
      </c>
      <c r="B253" s="14"/>
      <c r="C253" s="2" t="s">
        <v>141</v>
      </c>
      <c r="D253" s="14" t="s">
        <v>47</v>
      </c>
      <c r="E253" s="2" t="s">
        <v>48</v>
      </c>
      <c r="F253" s="13">
        <v>18.56</v>
      </c>
      <c r="G253" s="35">
        <v>19.46</v>
      </c>
      <c r="H253" s="34">
        <f>'2019'!BH210</f>
        <v>0</v>
      </c>
      <c r="I253" s="15">
        <v>19</v>
      </c>
      <c r="J253" s="15"/>
      <c r="K253" s="15"/>
      <c r="L253" s="28"/>
      <c r="M253" s="2">
        <v>19</v>
      </c>
      <c r="Q253" s="13">
        <v>19</v>
      </c>
      <c r="R253" s="15"/>
      <c r="S253" s="15"/>
      <c r="T253" s="28"/>
      <c r="U253" s="2">
        <v>19</v>
      </c>
      <c r="V253" s="2">
        <f t="shared" si="827"/>
        <v>0</v>
      </c>
      <c r="W253" s="34">
        <f>V253*$F$10</f>
        <v>0</v>
      </c>
      <c r="Y253" s="13">
        <v>0.8</v>
      </c>
      <c r="Z253" s="15">
        <v>0.8</v>
      </c>
      <c r="AA253" s="34">
        <f>Z253*$F$10</f>
        <v>14.848</v>
      </c>
      <c r="AB253" s="28"/>
      <c r="AC253" s="13">
        <v>1.3</v>
      </c>
      <c r="AD253" s="15">
        <f t="shared" si="828"/>
        <v>0.5</v>
      </c>
      <c r="AE253" s="34">
        <f>AD253*$F$10</f>
        <v>9.28</v>
      </c>
      <c r="AG253" s="13">
        <v>5</v>
      </c>
      <c r="AH253" s="15">
        <f t="shared" si="829"/>
        <v>3.7</v>
      </c>
      <c r="AI253" s="45">
        <f>AH253*$G$10</f>
        <v>72.002</v>
      </c>
      <c r="AJ253" s="91">
        <v>96.13</v>
      </c>
      <c r="AK253" s="13">
        <v>7</v>
      </c>
      <c r="AL253" s="15">
        <f t="shared" si="830"/>
        <v>2</v>
      </c>
      <c r="AM253" s="45">
        <f>AL253*$G$10</f>
        <v>38.92</v>
      </c>
      <c r="AN253" s="15"/>
      <c r="AO253" s="13">
        <v>7</v>
      </c>
      <c r="AP253" s="15">
        <f t="shared" si="831"/>
        <v>0</v>
      </c>
      <c r="AQ253" s="45">
        <f>AP253*$G$10</f>
        <v>0</v>
      </c>
      <c r="AR253" s="1">
        <v>38.92</v>
      </c>
      <c r="AS253" s="13">
        <v>7</v>
      </c>
      <c r="AT253" s="15">
        <f t="shared" si="832"/>
        <v>0</v>
      </c>
      <c r="AU253" s="45">
        <f t="shared" si="833"/>
        <v>0</v>
      </c>
      <c r="AV253" s="15"/>
      <c r="AW253" s="13">
        <v>7</v>
      </c>
      <c r="AX253" s="2">
        <f>AW253-AS253</f>
        <v>0</v>
      </c>
      <c r="AY253" s="45"/>
      <c r="AZ253" s="208"/>
      <c r="BA253" s="13">
        <v>7</v>
      </c>
      <c r="BB253" s="15">
        <f t="shared" si="834"/>
        <v>0</v>
      </c>
      <c r="BC253" s="45"/>
      <c r="BD253" s="208"/>
      <c r="BE253" s="40">
        <f t="shared" ref="BE253:BG253" si="836">J253+N253+R253+V253+Z253+AD253+AH253+AL253+AP253+AT253+AX253+BB253</f>
        <v>7</v>
      </c>
      <c r="BF253" s="41">
        <f t="shared" si="836"/>
        <v>135.05</v>
      </c>
      <c r="BG253" s="34">
        <f t="shared" si="836"/>
        <v>135.05</v>
      </c>
      <c r="BH253" s="35">
        <f t="shared" si="826"/>
        <v>0</v>
      </c>
      <c r="BK253" s="2" t="b">
        <f>H253='2019'!BH210</f>
        <v>1</v>
      </c>
    </row>
    <row r="254" ht="14.25" customHeight="1" hidden="1" spans="1:63" x14ac:dyDescent="0.25">
      <c r="A254" s="89">
        <v>28</v>
      </c>
      <c r="B254" s="14"/>
      <c r="C254" s="2" t="s">
        <v>142</v>
      </c>
      <c r="D254" s="14" t="s">
        <v>47</v>
      </c>
      <c r="E254" s="2" t="s">
        <v>49</v>
      </c>
      <c r="F254" s="41">
        <v>500</v>
      </c>
      <c r="G254" s="28"/>
      <c r="H254" s="34">
        <f>'2019'!BH211</f>
        <v>0</v>
      </c>
      <c r="I254" s="15"/>
      <c r="J254" s="15"/>
      <c r="K254" s="15"/>
      <c r="L254" s="28"/>
      <c r="Q254" s="13"/>
      <c r="R254" s="15"/>
      <c r="S254" s="15"/>
      <c r="T254" s="28"/>
      <c r="Y254" s="13"/>
      <c r="Z254" s="15"/>
      <c r="AA254" s="15"/>
      <c r="AB254" s="28"/>
      <c r="AG254" s="13"/>
      <c r="AH254" s="15"/>
      <c r="AI254" s="45"/>
      <c r="AJ254" s="73"/>
      <c r="AK254" s="13"/>
      <c r="AL254" s="15"/>
      <c r="AM254" s="45"/>
      <c r="AN254" s="15"/>
      <c r="AO254" s="13"/>
      <c r="AP254" s="15"/>
      <c r="AQ254" s="45"/>
      <c r="AR254" s="15"/>
      <c r="AS254" s="13"/>
      <c r="AT254" s="15"/>
      <c r="AU254" s="45"/>
      <c r="AV254" s="15"/>
      <c r="AW254" s="13"/>
      <c r="AY254" s="45"/>
      <c r="AZ254" s="28"/>
      <c r="BA254" s="13"/>
      <c r="BB254" s="15"/>
      <c r="BC254" s="45"/>
      <c r="BD254" s="28"/>
      <c r="BE254" s="14"/>
      <c r="BF254" s="41">
        <f t="shared" ref="BF254:BG254" si="837">K254+O254+S254+W254+AA254+AE254+AI254+AM254+AQ254+AU254+AY254+BC254</f>
        <v>0</v>
      </c>
      <c r="BG254" s="34">
        <f t="shared" si="837"/>
        <v>0</v>
      </c>
      <c r="BH254" s="35">
        <f t="shared" si="826"/>
        <v>0</v>
      </c>
      <c r="BK254" s="2" t="b">
        <f>H254='2019'!BH211</f>
        <v>1</v>
      </c>
    </row>
    <row r="255" ht="14.25" customHeight="1" hidden="1" spans="1:63" x14ac:dyDescent="0.25">
      <c r="A255" s="89">
        <v>28</v>
      </c>
      <c r="B255" s="14"/>
      <c r="C255" s="2" t="s">
        <v>143</v>
      </c>
      <c r="D255" s="14" t="s">
        <v>50</v>
      </c>
      <c r="E255" s="2" t="s">
        <v>49</v>
      </c>
      <c r="F255" s="41">
        <v>1100</v>
      </c>
      <c r="G255" s="28"/>
      <c r="H255" s="182">
        <f>'2019'!BH212+0.0012</f>
        <v>0</v>
      </c>
      <c r="I255" s="15"/>
      <c r="J255" s="15"/>
      <c r="K255" s="15"/>
      <c r="L255" s="28"/>
      <c r="Q255" s="13"/>
      <c r="R255" s="15"/>
      <c r="S255" s="15"/>
      <c r="T255" s="28"/>
      <c r="Y255" s="13"/>
      <c r="Z255" s="15"/>
      <c r="AA255" s="15"/>
      <c r="AB255" s="28"/>
      <c r="AE255" s="34">
        <f>B252*$F$12</f>
        <v>4356</v>
      </c>
      <c r="AG255" s="13"/>
      <c r="AH255" s="15"/>
      <c r="AI255" s="45"/>
      <c r="AJ255" s="181">
        <v>4356</v>
      </c>
      <c r="AK255" s="13"/>
      <c r="AL255" s="15"/>
      <c r="AM255" s="45"/>
      <c r="AN255" s="15"/>
      <c r="AO255" s="13"/>
      <c r="AP255" s="15"/>
      <c r="AQ255" s="45"/>
      <c r="AR255" s="15"/>
      <c r="AS255" s="13"/>
      <c r="AT255" s="15"/>
      <c r="AU255" s="45"/>
      <c r="AV255" s="15"/>
      <c r="AW255" s="13"/>
      <c r="AY255" s="45"/>
      <c r="AZ255" s="28"/>
      <c r="BA255" s="13"/>
      <c r="BB255" s="15"/>
      <c r="BC255" s="45"/>
      <c r="BD255" s="28"/>
      <c r="BE255" s="14"/>
      <c r="BF255" s="41">
        <f t="shared" ref="BF255:BG255" si="838">K255+O255+S255+W255+AA255+AE255+AI255+AM255+AQ255+AU255+AY255+BC255</f>
        <v>4356</v>
      </c>
      <c r="BG255" s="34">
        <f t="shared" si="838"/>
        <v>4356</v>
      </c>
      <c r="BH255" s="35">
        <f t="shared" si="826"/>
        <v>0</v>
      </c>
      <c r="BK255" s="2" t="b">
        <f>H255='2019'!BH212</f>
        <v>0</v>
      </c>
    </row>
    <row r="256" ht="14.25" customHeight="1" hidden="1" spans="1:63" x14ac:dyDescent="0.25">
      <c r="A256" s="89">
        <v>28</v>
      </c>
      <c r="B256" s="14"/>
      <c r="C256" s="2" t="s">
        <v>144</v>
      </c>
      <c r="D256" s="14" t="s">
        <v>51</v>
      </c>
      <c r="E256" s="2" t="s">
        <v>39</v>
      </c>
      <c r="F256" s="41">
        <v>500</v>
      </c>
      <c r="G256" s="28"/>
      <c r="H256" s="34">
        <f>'2019'!BH213</f>
        <v>0</v>
      </c>
      <c r="I256" s="15"/>
      <c r="J256" s="15"/>
      <c r="K256" s="15"/>
      <c r="L256" s="28"/>
      <c r="Q256" s="13"/>
      <c r="R256" s="15"/>
      <c r="S256" s="15"/>
      <c r="T256" s="28"/>
      <c r="Y256" s="13"/>
      <c r="Z256" s="15"/>
      <c r="AA256" s="15"/>
      <c r="AB256" s="28"/>
      <c r="AE256" s="34"/>
      <c r="AG256" s="13"/>
      <c r="AH256" s="15"/>
      <c r="AI256" s="45"/>
      <c r="AJ256" s="180"/>
      <c r="AK256" s="13"/>
      <c r="AL256" s="15"/>
      <c r="AM256" s="45"/>
      <c r="AN256" s="15"/>
      <c r="AO256" s="13"/>
      <c r="AP256" s="15"/>
      <c r="AQ256" s="45">
        <f>$F$13</f>
        <v>500</v>
      </c>
      <c r="AR256" s="15"/>
      <c r="AS256" s="13"/>
      <c r="AT256" s="15"/>
      <c r="AU256" s="45"/>
      <c r="AV256" s="15"/>
      <c r="AW256" s="13"/>
      <c r="AY256" s="45"/>
      <c r="AZ256" s="28"/>
      <c r="BA256" s="13"/>
      <c r="BB256" s="15"/>
      <c r="BC256" s="45"/>
      <c r="BD256" s="28"/>
      <c r="BE256" s="14"/>
      <c r="BF256" s="41">
        <f t="shared" ref="BF256:BG256" si="839">K256+O256+S256+W256+AA256+AE256+AI256+AM256+AQ256+AU256+AY256+BC256</f>
        <v>500</v>
      </c>
      <c r="BG256" s="34">
        <f t="shared" si="839"/>
        <v>0</v>
      </c>
      <c r="BH256" s="35">
        <f t="shared" si="826"/>
        <v>500</v>
      </c>
      <c r="BK256" s="2" t="b">
        <f>H256='2019'!BH213</f>
        <v>1</v>
      </c>
    </row>
    <row r="257" ht="14.25" customHeight="1" hidden="1" spans="1:60" x14ac:dyDescent="0.25">
      <c r="A257" s="89">
        <v>28</v>
      </c>
      <c r="B257" s="14"/>
      <c r="C257" s="2" t="s">
        <v>145</v>
      </c>
      <c r="D257" s="14" t="s">
        <v>51</v>
      </c>
      <c r="E257" s="2" t="s">
        <v>49</v>
      </c>
      <c r="F257" s="41">
        <v>500</v>
      </c>
      <c r="G257" s="28"/>
      <c r="H257" s="34"/>
      <c r="I257" s="15"/>
      <c r="J257" s="15"/>
      <c r="K257" s="15"/>
      <c r="L257" s="28"/>
      <c r="Q257" s="13"/>
      <c r="R257" s="15"/>
      <c r="S257" s="15"/>
      <c r="T257" s="28"/>
      <c r="Y257" s="13"/>
      <c r="Z257" s="15"/>
      <c r="AA257" s="15"/>
      <c r="AB257" s="28"/>
      <c r="AE257" s="34"/>
      <c r="AG257" s="13"/>
      <c r="AH257" s="15"/>
      <c r="AI257" s="45"/>
      <c r="AJ257" s="180"/>
      <c r="AK257" s="13"/>
      <c r="AL257" s="15"/>
      <c r="AM257" s="45"/>
      <c r="AN257" s="15"/>
      <c r="AO257" s="13"/>
      <c r="AP257" s="15"/>
      <c r="AQ257" s="34">
        <f>B252*$F$14</f>
        <v>1980</v>
      </c>
      <c r="AR257" s="15"/>
      <c r="AS257" s="13"/>
      <c r="AT257" s="15"/>
      <c r="AU257" s="45"/>
      <c r="AV257" s="15"/>
      <c r="AW257" s="13"/>
      <c r="AY257" s="45"/>
      <c r="AZ257" s="28"/>
      <c r="BA257" s="13"/>
      <c r="BB257" s="15"/>
      <c r="BC257" s="45"/>
      <c r="BD257" s="28"/>
      <c r="BE257" s="14"/>
      <c r="BF257" s="41">
        <f t="shared" ref="BF257:BG257" si="840">K257+O257+S257+W257+AA257+AE257+AI257+AM257+AQ257+AU257+AY257+BC257</f>
        <v>1980</v>
      </c>
      <c r="BG257" s="34">
        <f t="shared" si="840"/>
        <v>0</v>
      </c>
      <c r="BH257" s="35">
        <f t="shared" si="826"/>
        <v>1980</v>
      </c>
    </row>
    <row r="258" ht="14.25" customHeight="1" hidden="1" spans="1:63" x14ac:dyDescent="0.25">
      <c r="A258" s="89">
        <v>28</v>
      </c>
      <c r="B258" s="14"/>
      <c r="D258" s="14" t="s">
        <v>52</v>
      </c>
      <c r="E258" s="2" t="s">
        <v>39</v>
      </c>
      <c r="F258" s="41">
        <v>500</v>
      </c>
      <c r="G258" s="28"/>
      <c r="H258" s="34">
        <f>'2019'!BH214</f>
        <v>0</v>
      </c>
      <c r="I258" s="15"/>
      <c r="J258" s="15"/>
      <c r="K258" s="15"/>
      <c r="L258" s="28"/>
      <c r="Q258" s="13"/>
      <c r="R258" s="15"/>
      <c r="S258" s="15"/>
      <c r="T258" s="28"/>
      <c r="Y258" s="13"/>
      <c r="Z258" s="15"/>
      <c r="AA258" s="77"/>
      <c r="AB258" s="28"/>
      <c r="AG258" s="13"/>
      <c r="AH258" s="15"/>
      <c r="AI258" s="45"/>
      <c r="AJ258" s="15"/>
      <c r="AK258" s="13"/>
      <c r="AL258" s="15"/>
      <c r="AM258" s="45"/>
      <c r="AN258" s="15"/>
      <c r="AO258" s="13"/>
      <c r="AP258" s="15"/>
      <c r="AQ258" s="45"/>
      <c r="AR258" s="15"/>
      <c r="AS258" s="13"/>
      <c r="AT258" s="15"/>
      <c r="AU258" s="45"/>
      <c r="AV258" s="15"/>
      <c r="AW258" s="13"/>
      <c r="AY258" s="45"/>
      <c r="AZ258" s="35"/>
      <c r="BA258" s="13"/>
      <c r="BB258" s="15"/>
      <c r="BC258" s="45"/>
      <c r="BD258" s="35"/>
      <c r="BE258" s="14"/>
      <c r="BF258" s="41">
        <f t="shared" ref="BF258:BG258" si="841">K258+O258+S258+W258+AA258+AE258+AI258+AM258+AQ258+AU258+AY258+BC258</f>
        <v>0</v>
      </c>
      <c r="BG258" s="34">
        <f t="shared" si="841"/>
        <v>0</v>
      </c>
      <c r="BH258" s="35">
        <f t="shared" si="826"/>
        <v>0</v>
      </c>
      <c r="BK258" s="2" t="b">
        <f>H258='2019'!BH214</f>
        <v>1</v>
      </c>
    </row>
    <row r="259" ht="15.75" customHeight="1" hidden="1" spans="1:63" x14ac:dyDescent="0.25">
      <c r="A259" s="243">
        <v>28</v>
      </c>
      <c r="B259" s="21"/>
      <c r="C259" s="22" t="s">
        <v>53</v>
      </c>
      <c r="D259" s="21"/>
      <c r="E259" s="22"/>
      <c r="F259" s="20"/>
      <c r="G259" s="23"/>
      <c r="H259" s="51">
        <f>SUM(H251:H258)</f>
        <v>1982.5</v>
      </c>
      <c r="I259" s="53"/>
      <c r="J259" s="53"/>
      <c r="K259" s="51">
        <f t="shared" ref="K259:L259" si="842">SUM(K251:K258)</f>
        <v>2205</v>
      </c>
      <c r="L259" s="68">
        <f t="shared" si="842"/>
        <v>1982.5</v>
      </c>
      <c r="M259" s="53"/>
      <c r="N259" s="53"/>
      <c r="O259" s="51">
        <f t="shared" ref="O259:P259" si="843">SUM(O251:O258)</f>
        <v>1735</v>
      </c>
      <c r="P259" s="51">
        <f t="shared" si="843"/>
        <v>2205</v>
      </c>
      <c r="Q259" s="52"/>
      <c r="R259" s="53"/>
      <c r="S259" s="51">
        <f t="shared" ref="S259:T259" si="844">SUM(S251:S258)</f>
        <v>1262.5</v>
      </c>
      <c r="T259" s="51">
        <f t="shared" si="844"/>
        <v>1735</v>
      </c>
      <c r="U259" s="52"/>
      <c r="V259" s="53"/>
      <c r="W259" s="51">
        <f t="shared" ref="W259:X259" si="845">SUM(W251:W258)</f>
        <v>938</v>
      </c>
      <c r="X259" s="51">
        <f t="shared" si="845"/>
        <v>1328</v>
      </c>
      <c r="Y259" s="52"/>
      <c r="Z259" s="53"/>
      <c r="AA259" s="51">
        <f t="shared" ref="AA259:AB259" si="846">SUM(AA251:AA258)</f>
        <v>419.848</v>
      </c>
      <c r="AB259" s="51">
        <f t="shared" si="846"/>
        <v>872.5</v>
      </c>
      <c r="AC259" s="52"/>
      <c r="AD259" s="53"/>
      <c r="AE259" s="51">
        <f t="shared" ref="AE259:AF259" si="847">SUM(AE251:AE258)</f>
        <v>4615.28</v>
      </c>
      <c r="AF259" s="51">
        <f t="shared" si="847"/>
        <v>0</v>
      </c>
      <c r="AG259" s="52"/>
      <c r="AH259" s="53"/>
      <c r="AI259" s="183">
        <f t="shared" ref="AI259:AJ259" si="848">SUM(AI251:AI258)</f>
        <v>233.202</v>
      </c>
      <c r="AJ259" s="51">
        <f t="shared" si="848"/>
        <v>5268.33</v>
      </c>
      <c r="AK259" s="52"/>
      <c r="AL259" s="53"/>
      <c r="AM259" s="183">
        <f t="shared" ref="AM259:AN259" si="849">SUM(AM251:AM258)</f>
        <v>106.52</v>
      </c>
      <c r="AN259" s="51">
        <f t="shared" si="849"/>
        <v>0</v>
      </c>
      <c r="AO259" s="52"/>
      <c r="AP259" s="53"/>
      <c r="AQ259" s="183">
        <f t="shared" ref="AQ259:AR259" si="850">SUM(AQ251:AQ258)</f>
        <v>2521.6</v>
      </c>
      <c r="AR259" s="51">
        <f t="shared" si="850"/>
        <v>106.52</v>
      </c>
      <c r="AS259" s="52"/>
      <c r="AT259" s="53"/>
      <c r="AU259" s="183">
        <f t="shared" ref="AU259:AV259" si="851">SUM(AU251:AU258)</f>
        <v>41.6</v>
      </c>
      <c r="AV259" s="68">
        <f t="shared" si="851"/>
        <v>41.6</v>
      </c>
      <c r="AW259" s="52"/>
      <c r="AX259" s="53"/>
      <c r="AY259" s="183">
        <f t="shared" ref="AY259:AZ259" si="852">SUM(AY251:AY258)</f>
        <v>678.6</v>
      </c>
      <c r="AZ259" s="68">
        <f t="shared" si="852"/>
        <v>1341.6</v>
      </c>
      <c r="BA259" s="52"/>
      <c r="BB259" s="53"/>
      <c r="BC259" s="183">
        <f t="shared" ref="BC259:BD259" si="853">SUM(BC251:BC258)</f>
        <v>2002</v>
      </c>
      <c r="BD259" s="68">
        <f t="shared" si="853"/>
        <v>418.6</v>
      </c>
      <c r="BE259" s="69"/>
      <c r="BF259" s="70">
        <f t="shared" ref="BF259:BH259" si="854">SUM(BF251:BF258)</f>
        <v>16759.15</v>
      </c>
      <c r="BG259" s="71">
        <f t="shared" si="854"/>
        <v>15299.65</v>
      </c>
      <c r="BH259" s="72">
        <f t="shared" si="854"/>
        <v>3442</v>
      </c>
      <c r="BI259" s="34">
        <f>H259+BF259-BG259</f>
        <v>3442</v>
      </c>
      <c r="BJ259" s="34">
        <f>BH259-BI259</f>
        <v>0</v>
      </c>
      <c r="BK259" s="2" t="b">
        <f>H259='2019'!BH215</f>
        <v>0</v>
      </c>
    </row>
    <row r="260" ht="14.25" customHeight="1" hidden="1" spans="1:60" x14ac:dyDescent="0.25">
      <c r="A260" s="89">
        <v>30</v>
      </c>
      <c r="B260" s="14"/>
      <c r="D260" s="14" t="s">
        <v>379</v>
      </c>
      <c r="F260" s="13"/>
      <c r="G260" s="28"/>
      <c r="H260" s="182">
        <v>0</v>
      </c>
      <c r="J260" s="15"/>
      <c r="K260" s="15"/>
      <c r="L260" s="28"/>
      <c r="Q260" s="13"/>
      <c r="R260" s="15"/>
      <c r="S260" s="15"/>
      <c r="T260" s="28"/>
      <c r="Y260" s="13"/>
      <c r="Z260" s="15"/>
      <c r="AA260" s="15"/>
      <c r="AB260" s="28"/>
      <c r="AG260" s="13"/>
      <c r="AH260" s="15"/>
      <c r="AI260" s="45"/>
      <c r="AJ260" s="15"/>
      <c r="AK260" s="13"/>
      <c r="AM260" s="45"/>
      <c r="AO260" s="13"/>
      <c r="AQ260" s="45"/>
      <c r="AS260" s="13"/>
      <c r="AU260" s="45"/>
      <c r="AW260" s="13"/>
      <c r="AY260" s="45"/>
      <c r="AZ260" s="28"/>
      <c r="BA260" s="13"/>
      <c r="BB260" s="15"/>
      <c r="BC260" s="45"/>
      <c r="BD260" s="28"/>
      <c r="BE260" s="14"/>
      <c r="BF260" s="41">
        <f t="shared" ref="BF260:BG260" si="855">K260+O260+S260+W260+AA260+AE260+AI260+AM260+AQ260+AU260+AY260+BC260</f>
        <v>0</v>
      </c>
      <c r="BG260" s="34">
        <f t="shared" si="855"/>
        <v>0</v>
      </c>
      <c r="BH260" s="35">
        <f t="shared" ref="BH260:BH267" si="856">H260+BF260-BG260</f>
        <v>0</v>
      </c>
    </row>
    <row r="261" ht="15.75" customHeight="1" hidden="1" spans="1:60" x14ac:dyDescent="0.25">
      <c r="A261" s="89">
        <v>30</v>
      </c>
      <c r="B261" s="14">
        <v>4.05</v>
      </c>
      <c r="C261" s="2" t="s">
        <v>496</v>
      </c>
      <c r="D261" s="14" t="s">
        <v>44</v>
      </c>
      <c r="E261" s="2" t="s">
        <v>45</v>
      </c>
      <c r="F261" s="41">
        <v>2.5</v>
      </c>
      <c r="G261" s="35">
        <v>2.6</v>
      </c>
      <c r="H261" s="182">
        <v>0</v>
      </c>
      <c r="I261" s="15"/>
      <c r="J261" s="15"/>
      <c r="K261" s="34">
        <f>J261*$F$8</f>
        <v>0</v>
      </c>
      <c r="L261" s="35"/>
      <c r="M261" s="37"/>
      <c r="N261" s="37"/>
      <c r="O261" s="34">
        <f>N261*$F$8</f>
        <v>0</v>
      </c>
      <c r="P261" s="35"/>
      <c r="Q261" s="13"/>
      <c r="R261" s="37">
        <f>Q261-M261</f>
        <v>0</v>
      </c>
      <c r="S261" s="34">
        <f>R261*$F$8</f>
        <v>0</v>
      </c>
      <c r="T261" s="35"/>
      <c r="U261" s="15"/>
      <c r="V261" s="37">
        <f t="shared" ref="V261:V262" si="857">U261-Q261</f>
        <v>0</v>
      </c>
      <c r="W261" s="34">
        <f>V261*$F$8</f>
        <v>0</v>
      </c>
      <c r="X261" s="34"/>
      <c r="Y261" s="36"/>
      <c r="Z261" s="37">
        <f>Y261-U261</f>
        <v>0</v>
      </c>
      <c r="AA261" s="34">
        <f>Z261*$F$8</f>
        <v>0</v>
      </c>
      <c r="AB261" s="28"/>
      <c r="AC261" s="37"/>
      <c r="AD261" s="37">
        <f t="shared" ref="AD261:AD262" si="858">AC261-Y261</f>
        <v>0</v>
      </c>
      <c r="AE261" s="34">
        <f>AD261*$F$8</f>
        <v>0</v>
      </c>
      <c r="AF261" s="15"/>
      <c r="AG261" s="13"/>
      <c r="AH261" s="37">
        <f t="shared" ref="AH261:AH262" si="859">AG261-AC261</f>
        <v>0</v>
      </c>
      <c r="AI261" s="45">
        <f>AH261*$G$8</f>
        <v>0</v>
      </c>
      <c r="AJ261" s="180"/>
      <c r="AK261" s="13">
        <v>0</v>
      </c>
      <c r="AL261" s="15">
        <f t="shared" ref="AL261:AL262" si="860">AK261-AG261</f>
        <v>0</v>
      </c>
      <c r="AM261" s="45">
        <f>AL261*$G$8</f>
        <v>0</v>
      </c>
      <c r="AN261" s="15"/>
      <c r="AO261" s="13">
        <v>5</v>
      </c>
      <c r="AP261" s="15">
        <f t="shared" ref="AP261:AP262" si="861">AO261-AK261</f>
        <v>5</v>
      </c>
      <c r="AQ261" s="45">
        <f>AP261*$G$8</f>
        <v>13</v>
      </c>
      <c r="AR261" s="15"/>
      <c r="AS261" s="13">
        <v>7</v>
      </c>
      <c r="AT261" s="15">
        <f t="shared" ref="AT261:AT262" si="862">AS261-AO261</f>
        <v>2</v>
      </c>
      <c r="AU261" s="45">
        <f t="shared" ref="AU261:AU262" si="863">AT261*$G$8</f>
        <v>5.2</v>
      </c>
      <c r="AV261" s="39">
        <v>13</v>
      </c>
      <c r="AW261" s="13">
        <v>7</v>
      </c>
      <c r="AX261" s="2">
        <f t="shared" ref="AX261:AX262" si="864">AW261-AS261</f>
        <v>0</v>
      </c>
      <c r="AY261" s="45">
        <f>AX261*$G$8</f>
        <v>0</v>
      </c>
      <c r="AZ261" s="208"/>
      <c r="BA261" s="13">
        <v>7</v>
      </c>
      <c r="BB261" s="15">
        <f t="shared" ref="BB261:BB262" si="865">BA261-AW261</f>
        <v>0</v>
      </c>
      <c r="BC261" s="45">
        <f>BB261*$G$8</f>
        <v>0</v>
      </c>
      <c r="BD261" s="208"/>
      <c r="BE261" s="40">
        <f t="shared" ref="BE261:BG261" si="866">J261+N261+R261+V261+Z261+AD261+AH261+AL261+AP261+AT261+AX261+BB261</f>
        <v>7</v>
      </c>
      <c r="BF261" s="41">
        <f t="shared" si="866"/>
        <v>18.2</v>
      </c>
      <c r="BG261" s="34">
        <f t="shared" si="866"/>
        <v>13</v>
      </c>
      <c r="BH261" s="35">
        <f t="shared" si="856"/>
        <v>5.2</v>
      </c>
    </row>
    <row r="262" ht="14.25" customHeight="1" hidden="1" spans="1:60" x14ac:dyDescent="0.25">
      <c r="A262" s="89">
        <v>30</v>
      </c>
      <c r="B262" s="14"/>
      <c r="C262" s="2" t="s">
        <v>235</v>
      </c>
      <c r="D262" s="14" t="s">
        <v>47</v>
      </c>
      <c r="E262" s="2" t="s">
        <v>48</v>
      </c>
      <c r="F262" s="13">
        <v>18.56</v>
      </c>
      <c r="G262" s="35">
        <v>19.46</v>
      </c>
      <c r="H262" s="182">
        <v>0</v>
      </c>
      <c r="I262" s="15">
        <v>67</v>
      </c>
      <c r="J262" s="15"/>
      <c r="K262" s="15"/>
      <c r="L262" s="28"/>
      <c r="M262" s="2">
        <v>67</v>
      </c>
      <c r="Q262" s="13">
        <v>67</v>
      </c>
      <c r="R262" s="15"/>
      <c r="S262" s="15"/>
      <c r="T262" s="28"/>
      <c r="U262" s="2">
        <v>67</v>
      </c>
      <c r="V262" s="2">
        <f t="shared" si="857"/>
        <v>0</v>
      </c>
      <c r="W262" s="34">
        <f>V262*$F$10</f>
        <v>0</v>
      </c>
      <c r="Y262" s="13">
        <v>0.8</v>
      </c>
      <c r="Z262" s="15">
        <v>0.8</v>
      </c>
      <c r="AA262" s="34">
        <f>Z262*$F$10</f>
        <v>14.848</v>
      </c>
      <c r="AB262" s="28"/>
      <c r="AC262" s="13">
        <v>3</v>
      </c>
      <c r="AD262" s="15">
        <f t="shared" si="858"/>
        <v>2.2</v>
      </c>
      <c r="AE262" s="34">
        <f>AD262*$F$10</f>
        <v>40.832</v>
      </c>
      <c r="AG262" s="13">
        <v>7</v>
      </c>
      <c r="AH262" s="15">
        <f t="shared" si="859"/>
        <v>4</v>
      </c>
      <c r="AI262" s="45">
        <f>AH262*$G$10</f>
        <v>77.84</v>
      </c>
      <c r="AJ262" s="91">
        <v>133.52</v>
      </c>
      <c r="AK262" s="13">
        <v>9</v>
      </c>
      <c r="AL262" s="15">
        <f t="shared" si="860"/>
        <v>2</v>
      </c>
      <c r="AM262" s="45">
        <f>AL262*$G$10</f>
        <v>38.92</v>
      </c>
      <c r="AN262" s="15"/>
      <c r="AO262" s="13">
        <v>9</v>
      </c>
      <c r="AP262" s="15">
        <f t="shared" si="861"/>
        <v>0</v>
      </c>
      <c r="AQ262" s="45">
        <f>AP262*$G$10</f>
        <v>0</v>
      </c>
      <c r="AR262" s="1">
        <v>38.92</v>
      </c>
      <c r="AS262" s="13">
        <v>9</v>
      </c>
      <c r="AT262" s="15">
        <f t="shared" si="862"/>
        <v>0</v>
      </c>
      <c r="AU262" s="45">
        <f t="shared" si="863"/>
        <v>0</v>
      </c>
      <c r="AV262" s="15"/>
      <c r="AW262" s="13">
        <v>9</v>
      </c>
      <c r="AX262" s="2">
        <f t="shared" si="864"/>
        <v>0</v>
      </c>
      <c r="AY262" s="45"/>
      <c r="AZ262" s="208"/>
      <c r="BA262" s="13">
        <v>9</v>
      </c>
      <c r="BB262" s="15">
        <f t="shared" si="865"/>
        <v>0</v>
      </c>
      <c r="BC262" s="45"/>
      <c r="BD262" s="208"/>
      <c r="BE262" s="40">
        <f t="shared" ref="BE262:BG262" si="867">J262+N262+R262+V262+Z262+AD262+AH262+AL262+AP262+AT262+AX262+BB262</f>
        <v>9</v>
      </c>
      <c r="BF262" s="41">
        <f t="shared" si="867"/>
        <v>172.44</v>
      </c>
      <c r="BG262" s="34">
        <f t="shared" si="867"/>
        <v>172.44</v>
      </c>
      <c r="BH262" s="35">
        <f t="shared" si="856"/>
        <v>0</v>
      </c>
    </row>
    <row r="263" ht="14.25" customHeight="1" hidden="1" spans="1:60" x14ac:dyDescent="0.25">
      <c r="A263" s="89">
        <v>30</v>
      </c>
      <c r="B263" s="14"/>
      <c r="C263" s="2" t="s">
        <v>497</v>
      </c>
      <c r="D263" s="14" t="s">
        <v>47</v>
      </c>
      <c r="E263" s="2" t="s">
        <v>49</v>
      </c>
      <c r="F263" s="41">
        <v>500</v>
      </c>
      <c r="G263" s="28"/>
      <c r="H263" s="182">
        <v>0</v>
      </c>
      <c r="I263" s="15"/>
      <c r="J263" s="15"/>
      <c r="K263" s="15"/>
      <c r="L263" s="28"/>
      <c r="Q263" s="13"/>
      <c r="R263" s="15"/>
      <c r="S263" s="15"/>
      <c r="T263" s="28"/>
      <c r="Y263" s="13"/>
      <c r="Z263" s="15"/>
      <c r="AA263" s="15"/>
      <c r="AB263" s="28"/>
      <c r="AG263" s="13"/>
      <c r="AH263" s="15"/>
      <c r="AI263" s="45"/>
      <c r="AJ263" s="15"/>
      <c r="AK263" s="13"/>
      <c r="AL263" s="15"/>
      <c r="AM263" s="45"/>
      <c r="AN263" s="15"/>
      <c r="AO263" s="13"/>
      <c r="AP263" s="15"/>
      <c r="AQ263" s="45"/>
      <c r="AR263" s="15"/>
      <c r="AS263" s="13"/>
      <c r="AT263" s="15"/>
      <c r="AU263" s="45"/>
      <c r="AV263" s="15"/>
      <c r="AW263" s="13"/>
      <c r="AY263" s="45"/>
      <c r="AZ263" s="28"/>
      <c r="BA263" s="13"/>
      <c r="BB263" s="15"/>
      <c r="BC263" s="45"/>
      <c r="BD263" s="28"/>
      <c r="BE263" s="14"/>
      <c r="BF263" s="41">
        <f t="shared" ref="BF263:BG263" si="868">K263+O263+S263+W263+AA263+AE263+AI263+AM263+AQ263+AU263+AY263+BC263</f>
        <v>0</v>
      </c>
      <c r="BG263" s="34">
        <f t="shared" si="868"/>
        <v>0</v>
      </c>
      <c r="BH263" s="35">
        <f t="shared" si="856"/>
        <v>0</v>
      </c>
    </row>
    <row r="264" ht="14.25" customHeight="1" hidden="1" spans="1:60" x14ac:dyDescent="0.25">
      <c r="A264" s="89">
        <v>30</v>
      </c>
      <c r="B264" s="14"/>
      <c r="C264" s="2" t="s">
        <v>498</v>
      </c>
      <c r="D264" s="14" t="s">
        <v>50</v>
      </c>
      <c r="E264" s="2" t="s">
        <v>49</v>
      </c>
      <c r="F264" s="41">
        <v>1100</v>
      </c>
      <c r="G264" s="28"/>
      <c r="H264" s="182">
        <v>0</v>
      </c>
      <c r="I264" s="15"/>
      <c r="J264" s="15"/>
      <c r="K264" s="15"/>
      <c r="L264" s="28"/>
      <c r="Q264" s="13"/>
      <c r="R264" s="15"/>
      <c r="S264" s="15"/>
      <c r="T264" s="28"/>
      <c r="Y264" s="13"/>
      <c r="Z264" s="15"/>
      <c r="AA264" s="15"/>
      <c r="AB264" s="28"/>
      <c r="AE264" s="34">
        <f>B261*$F$12</f>
        <v>4455</v>
      </c>
      <c r="AG264" s="13"/>
      <c r="AH264" s="15"/>
      <c r="AI264" s="45"/>
      <c r="AJ264" s="180"/>
      <c r="AK264" s="13"/>
      <c r="AL264" s="15"/>
      <c r="AM264" s="45"/>
      <c r="AN264" s="39">
        <v>4455</v>
      </c>
      <c r="AO264" s="13"/>
      <c r="AP264" s="15"/>
      <c r="AQ264" s="45"/>
      <c r="AR264" s="15"/>
      <c r="AS264" s="13"/>
      <c r="AT264" s="15"/>
      <c r="AU264" s="45"/>
      <c r="AV264" s="15"/>
      <c r="AW264" s="13"/>
      <c r="AY264" s="45"/>
      <c r="AZ264" s="28"/>
      <c r="BA264" s="13"/>
      <c r="BB264" s="15"/>
      <c r="BC264" s="45"/>
      <c r="BD264" s="28"/>
      <c r="BE264" s="14"/>
      <c r="BF264" s="41">
        <f t="shared" ref="BF264:BG264" si="869">K264+O264+S264+W264+AA264+AE264+AI264+AM264+AQ264+AU264+AY264+BC264</f>
        <v>4455</v>
      </c>
      <c r="BG264" s="34">
        <f t="shared" si="869"/>
        <v>4455</v>
      </c>
      <c r="BH264" s="35">
        <f t="shared" si="856"/>
        <v>0</v>
      </c>
    </row>
    <row r="265" ht="14.25" customHeight="1" hidden="1" spans="1:60" x14ac:dyDescent="0.25">
      <c r="A265" s="89">
        <v>30</v>
      </c>
      <c r="B265" s="14"/>
      <c r="D265" s="14" t="s">
        <v>51</v>
      </c>
      <c r="E265" s="2" t="s">
        <v>39</v>
      </c>
      <c r="F265" s="41">
        <v>500</v>
      </c>
      <c r="G265" s="28"/>
      <c r="H265" s="182">
        <v>0</v>
      </c>
      <c r="I265" s="15"/>
      <c r="J265" s="15"/>
      <c r="K265" s="15"/>
      <c r="L265" s="28"/>
      <c r="Q265" s="13"/>
      <c r="R265" s="15"/>
      <c r="S265" s="15"/>
      <c r="T265" s="28"/>
      <c r="Y265" s="13"/>
      <c r="Z265" s="15"/>
      <c r="AA265" s="15"/>
      <c r="AB265" s="28"/>
      <c r="AE265" s="34"/>
      <c r="AG265" s="13"/>
      <c r="AH265" s="15"/>
      <c r="AI265" s="45"/>
      <c r="AJ265" s="180"/>
      <c r="AK265" s="13"/>
      <c r="AL265" s="15"/>
      <c r="AM265" s="45"/>
      <c r="AN265" s="15"/>
      <c r="AO265" s="13"/>
      <c r="AP265" s="15"/>
      <c r="AQ265" s="45">
        <f>$F$13</f>
        <v>500</v>
      </c>
      <c r="AR265" s="15"/>
      <c r="AS265" s="13"/>
      <c r="AT265" s="15"/>
      <c r="AU265" s="45"/>
      <c r="AV265" s="39">
        <v>500</v>
      </c>
      <c r="AW265" s="13"/>
      <c r="AY265" s="45"/>
      <c r="AZ265" s="28"/>
      <c r="BA265" s="13"/>
      <c r="BB265" s="15"/>
      <c r="BC265" s="45"/>
      <c r="BD265" s="28"/>
      <c r="BE265" s="14"/>
      <c r="BF265" s="41">
        <f t="shared" ref="BF265:BG265" si="870">K265+O265+S265+W265+AA265+AE265+AI265+AM265+AQ265+AU265+AY265+BC265</f>
        <v>500</v>
      </c>
      <c r="BG265" s="34">
        <f t="shared" si="870"/>
        <v>500</v>
      </c>
      <c r="BH265" s="35">
        <f t="shared" si="856"/>
        <v>0</v>
      </c>
    </row>
    <row r="266" ht="14.25" customHeight="1" hidden="1" spans="1:60" x14ac:dyDescent="0.25">
      <c r="A266" s="89">
        <v>30</v>
      </c>
      <c r="B266" s="14"/>
      <c r="D266" s="14" t="s">
        <v>51</v>
      </c>
      <c r="E266" s="2" t="s">
        <v>49</v>
      </c>
      <c r="F266" s="41">
        <v>500</v>
      </c>
      <c r="G266" s="28"/>
      <c r="H266" s="182"/>
      <c r="I266" s="15"/>
      <c r="J266" s="15"/>
      <c r="K266" s="15"/>
      <c r="L266" s="28"/>
      <c r="Q266" s="13"/>
      <c r="R266" s="15"/>
      <c r="S266" s="15"/>
      <c r="T266" s="28"/>
      <c r="Y266" s="13"/>
      <c r="Z266" s="15"/>
      <c r="AA266" s="15"/>
      <c r="AB266" s="28"/>
      <c r="AE266" s="34"/>
      <c r="AG266" s="13"/>
      <c r="AH266" s="15"/>
      <c r="AI266" s="45"/>
      <c r="AJ266" s="180"/>
      <c r="AK266" s="13"/>
      <c r="AL266" s="15"/>
      <c r="AM266" s="45"/>
      <c r="AN266" s="15"/>
      <c r="AO266" s="13"/>
      <c r="AP266" s="15"/>
      <c r="AQ266" s="34">
        <f>B261*$F$14</f>
        <v>2025</v>
      </c>
      <c r="AR266" s="15"/>
      <c r="AS266" s="13"/>
      <c r="AT266" s="15"/>
      <c r="AU266" s="45"/>
      <c r="AV266" s="15"/>
      <c r="AW266" s="13"/>
      <c r="AY266" s="45"/>
      <c r="AZ266" s="28"/>
      <c r="BA266" s="13"/>
      <c r="BB266" s="15"/>
      <c r="BC266" s="45"/>
      <c r="BD266" s="28"/>
      <c r="BE266" s="14"/>
      <c r="BF266" s="41">
        <f t="shared" ref="BF266:BG266" si="871">K266+O266+S266+W266+AA266+AE266+AI266+AM266+AQ266+AU266+AY266+BC266</f>
        <v>2025</v>
      </c>
      <c r="BG266" s="34">
        <f t="shared" si="871"/>
        <v>0</v>
      </c>
      <c r="BH266" s="35">
        <f t="shared" si="856"/>
        <v>2025</v>
      </c>
    </row>
    <row r="267" ht="14.25" customHeight="1" hidden="1" spans="1:60" x14ac:dyDescent="0.25">
      <c r="A267" s="89">
        <v>30</v>
      </c>
      <c r="B267" s="14"/>
      <c r="D267" s="14" t="s">
        <v>52</v>
      </c>
      <c r="E267" s="2" t="s">
        <v>39</v>
      </c>
      <c r="F267" s="41">
        <v>500</v>
      </c>
      <c r="G267" s="28"/>
      <c r="H267" s="182">
        <v>0</v>
      </c>
      <c r="I267" s="15"/>
      <c r="J267" s="15"/>
      <c r="K267" s="15"/>
      <c r="L267" s="28"/>
      <c r="Q267" s="13"/>
      <c r="R267" s="15"/>
      <c r="S267" s="15"/>
      <c r="T267" s="28"/>
      <c r="Y267" s="13"/>
      <c r="Z267" s="15"/>
      <c r="AA267" s="77"/>
      <c r="AB267" s="28"/>
      <c r="AG267" s="13"/>
      <c r="AH267" s="15"/>
      <c r="AI267" s="45"/>
      <c r="AJ267" s="15"/>
      <c r="AK267" s="13"/>
      <c r="AL267" s="15"/>
      <c r="AM267" s="45"/>
      <c r="AN267" s="15"/>
      <c r="AO267" s="13"/>
      <c r="AP267" s="15"/>
      <c r="AQ267" s="45"/>
      <c r="AR267" s="15"/>
      <c r="AS267" s="13"/>
      <c r="AT267" s="15"/>
      <c r="AU267" s="45"/>
      <c r="AV267" s="15"/>
      <c r="AW267" s="13"/>
      <c r="AY267" s="45"/>
      <c r="AZ267" s="35"/>
      <c r="BA267" s="13"/>
      <c r="BB267" s="15"/>
      <c r="BC267" s="45"/>
      <c r="BD267" s="35"/>
      <c r="BE267" s="14"/>
      <c r="BF267" s="41">
        <f t="shared" ref="BF267:BG267" si="872">K267+O267+S267+W267+AA267+AE267+AI267+AM267+AQ267+AU267+AY267+BC267</f>
        <v>0</v>
      </c>
      <c r="BG267" s="34">
        <f t="shared" si="872"/>
        <v>0</v>
      </c>
      <c r="BH267" s="35">
        <f t="shared" si="856"/>
        <v>0</v>
      </c>
    </row>
    <row r="268" ht="15.75" customHeight="1" hidden="1" spans="1:62" x14ac:dyDescent="0.25">
      <c r="A268" s="243">
        <v>30</v>
      </c>
      <c r="B268" s="21"/>
      <c r="C268" s="22" t="s">
        <v>53</v>
      </c>
      <c r="D268" s="21"/>
      <c r="E268" s="22"/>
      <c r="F268" s="20"/>
      <c r="G268" s="23"/>
      <c r="H268" s="51">
        <f>SUM(H260:H267)</f>
        <v>0</v>
      </c>
      <c r="I268" s="53"/>
      <c r="J268" s="53"/>
      <c r="K268" s="51">
        <f t="shared" ref="K268:L268" si="873">SUM(K260:K267)</f>
        <v>0</v>
      </c>
      <c r="L268" s="68">
        <f t="shared" si="873"/>
        <v>0</v>
      </c>
      <c r="M268" s="53"/>
      <c r="N268" s="53"/>
      <c r="O268" s="51">
        <f t="shared" ref="O268:P268" si="874">SUM(O260:O267)</f>
        <v>0</v>
      </c>
      <c r="P268" s="51">
        <f t="shared" si="874"/>
        <v>0</v>
      </c>
      <c r="Q268" s="52"/>
      <c r="R268" s="53"/>
      <c r="S268" s="51">
        <f t="shared" ref="S268:T268" si="875">SUM(S260:S267)</f>
        <v>0</v>
      </c>
      <c r="T268" s="51">
        <f t="shared" si="875"/>
        <v>0</v>
      </c>
      <c r="U268" s="52"/>
      <c r="V268" s="53"/>
      <c r="W268" s="51">
        <f t="shared" ref="W268:X268" si="876">SUM(W260:W267)</f>
        <v>0</v>
      </c>
      <c r="X268" s="51">
        <f t="shared" si="876"/>
        <v>0</v>
      </c>
      <c r="Y268" s="52"/>
      <c r="Z268" s="53"/>
      <c r="AA268" s="51">
        <f t="shared" ref="AA268:AB268" si="877">SUM(AA260:AA267)</f>
        <v>14.848</v>
      </c>
      <c r="AB268" s="51">
        <f t="shared" si="877"/>
        <v>0</v>
      </c>
      <c r="AC268" s="52"/>
      <c r="AD268" s="53"/>
      <c r="AE268" s="51">
        <f t="shared" ref="AE268:AF268" si="878">SUM(AE260:AE267)</f>
        <v>4495.832</v>
      </c>
      <c r="AF268" s="51">
        <f t="shared" si="878"/>
        <v>0</v>
      </c>
      <c r="AG268" s="52"/>
      <c r="AH268" s="53"/>
      <c r="AI268" s="183">
        <f t="shared" ref="AI268:AJ268" si="879">SUM(AI260:AI267)</f>
        <v>77.84</v>
      </c>
      <c r="AJ268" s="51">
        <f t="shared" si="879"/>
        <v>133.52</v>
      </c>
      <c r="AK268" s="52"/>
      <c r="AL268" s="53"/>
      <c r="AM268" s="183">
        <f t="shared" ref="AM268:AN268" si="880">SUM(AM260:AM267)</f>
        <v>38.92</v>
      </c>
      <c r="AN268" s="51">
        <f t="shared" si="880"/>
        <v>4455</v>
      </c>
      <c r="AO268" s="52"/>
      <c r="AP268" s="53"/>
      <c r="AQ268" s="183">
        <f t="shared" ref="AQ268:AR268" si="881">SUM(AQ260:AQ267)</f>
        <v>2538</v>
      </c>
      <c r="AR268" s="51">
        <f t="shared" si="881"/>
        <v>38.92</v>
      </c>
      <c r="AS268" s="52"/>
      <c r="AT268" s="53"/>
      <c r="AU268" s="183">
        <f t="shared" ref="AU268:AV268" si="882">SUM(AU260:AU267)</f>
        <v>5.2</v>
      </c>
      <c r="AV268" s="68">
        <f t="shared" si="882"/>
        <v>513</v>
      </c>
      <c r="AW268" s="52"/>
      <c r="AX268" s="53"/>
      <c r="AY268" s="183">
        <f t="shared" ref="AY268:AZ268" si="883">SUM(AY260:AY267)</f>
        <v>0</v>
      </c>
      <c r="AZ268" s="68">
        <f t="shared" si="883"/>
        <v>0</v>
      </c>
      <c r="BA268" s="52"/>
      <c r="BB268" s="53"/>
      <c r="BC268" s="183">
        <f t="shared" ref="BC268:BD268" si="884">SUM(BC260:BC267)</f>
        <v>0</v>
      </c>
      <c r="BD268" s="68">
        <f t="shared" si="884"/>
        <v>0</v>
      </c>
      <c r="BE268" s="69"/>
      <c r="BF268" s="70">
        <f t="shared" ref="BF268:BH268" si="885">SUM(BF260:BF267)</f>
        <v>7170.64</v>
      </c>
      <c r="BG268" s="71">
        <f t="shared" si="885"/>
        <v>5140.44</v>
      </c>
      <c r="BH268" s="72">
        <f t="shared" si="885"/>
        <v>2030.2</v>
      </c>
      <c r="BI268" s="34">
        <f>H268+BF268-BG268</f>
        <v>2030.2</v>
      </c>
      <c r="BJ268" s="34">
        <f>BH268-BI268</f>
        <v>0</v>
      </c>
    </row>
    <row r="269" ht="15.75" customHeight="1" hidden="1" spans="1:63" x14ac:dyDescent="0.25">
      <c r="A269" s="89">
        <v>29</v>
      </c>
      <c r="B269" s="14"/>
      <c r="C269" s="15"/>
      <c r="D269" s="14" t="s">
        <v>379</v>
      </c>
      <c r="E269" s="15"/>
      <c r="F269" s="13"/>
      <c r="G269" s="28"/>
      <c r="H269" s="34">
        <f>'2019'!BH216</f>
        <v>0</v>
      </c>
      <c r="I269" s="60"/>
      <c r="J269" s="60"/>
      <c r="K269" s="62"/>
      <c r="L269" s="63"/>
      <c r="M269" s="60"/>
      <c r="N269" s="60"/>
      <c r="O269" s="62"/>
      <c r="P269" s="62"/>
      <c r="Q269" s="61"/>
      <c r="R269" s="60"/>
      <c r="S269" s="62"/>
      <c r="T269" s="62"/>
      <c r="U269" s="251"/>
      <c r="V269" s="60"/>
      <c r="W269" s="62"/>
      <c r="X269" s="62"/>
      <c r="Y269" s="61"/>
      <c r="Z269" s="60"/>
      <c r="AA269" s="62"/>
      <c r="AB269" s="62"/>
      <c r="AC269" s="251"/>
      <c r="AD269" s="60"/>
      <c r="AE269" s="62"/>
      <c r="AF269" s="62"/>
      <c r="AG269" s="61"/>
      <c r="AH269" s="60"/>
      <c r="AI269" s="45"/>
      <c r="AJ269" s="62"/>
      <c r="AK269" s="61"/>
      <c r="AL269" s="60"/>
      <c r="AM269" s="45"/>
      <c r="AN269" s="62"/>
      <c r="AO269" s="61"/>
      <c r="AP269" s="60"/>
      <c r="AQ269" s="45"/>
      <c r="AR269" s="62"/>
      <c r="AS269" s="61"/>
      <c r="AT269" s="60"/>
      <c r="AU269" s="45"/>
      <c r="AV269" s="62"/>
      <c r="AW269" s="61"/>
      <c r="AX269" s="60"/>
      <c r="AY269" s="45"/>
      <c r="AZ269" s="28"/>
      <c r="BA269" s="61"/>
      <c r="BB269" s="15"/>
      <c r="BC269" s="45"/>
      <c r="BD269" s="28"/>
      <c r="BE269" s="65"/>
      <c r="BF269" s="41">
        <f t="shared" ref="BF269:BG269" si="886">K269+O269+S269+W269+AA269+AE269+AI269+AM269+AQ269+AU269+AY269+BC269</f>
        <v>0</v>
      </c>
      <c r="BG269" s="34">
        <f t="shared" si="886"/>
        <v>0</v>
      </c>
      <c r="BH269" s="35">
        <f t="shared" ref="BH269:BH276" si="887">H269+BF269-BG269</f>
        <v>0</v>
      </c>
      <c r="BI269" s="34"/>
      <c r="BJ269" s="34"/>
      <c r="BK269" s="2" t="b">
        <f>H269='2019'!BH216</f>
        <v>1</v>
      </c>
    </row>
    <row r="270" ht="14.25" customHeight="1" hidden="1" spans="1:63" x14ac:dyDescent="0.25">
      <c r="A270" s="2">
        <v>29</v>
      </c>
      <c r="B270" s="14">
        <v>4.02</v>
      </c>
      <c r="C270" s="2" t="s">
        <v>146</v>
      </c>
      <c r="D270" s="14" t="s">
        <v>44</v>
      </c>
      <c r="E270" s="2" t="s">
        <v>45</v>
      </c>
      <c r="F270" s="41">
        <v>2.5</v>
      </c>
      <c r="G270" s="35">
        <v>2.6</v>
      </c>
      <c r="H270" s="104">
        <f>'2019'!BH217</f>
        <v>0</v>
      </c>
      <c r="I270" s="15"/>
      <c r="J270" s="15"/>
      <c r="K270" s="34">
        <f>J270*$F$8</f>
        <v>0</v>
      </c>
      <c r="L270" s="28"/>
      <c r="N270" s="15"/>
      <c r="O270" s="34">
        <f>N270*$F$8</f>
        <v>0</v>
      </c>
      <c r="Q270" s="13"/>
      <c r="R270" s="15">
        <f>Q270-M270</f>
        <v>0</v>
      </c>
      <c r="S270" s="34">
        <f>R270*$F$8</f>
        <v>0</v>
      </c>
      <c r="T270" s="28"/>
      <c r="U270" s="81">
        <v>0</v>
      </c>
      <c r="V270" s="15">
        <f t="shared" ref="V270:V271" si="888">U270-Q270</f>
        <v>0</v>
      </c>
      <c r="W270" s="34">
        <f>V270*$F$8</f>
        <v>0</v>
      </c>
      <c r="Y270" s="95">
        <v>0</v>
      </c>
      <c r="Z270" s="15">
        <f t="shared" ref="Z270:Z271" si="889">Y270-U270</f>
        <v>0</v>
      </c>
      <c r="AA270" s="34">
        <f>Z270*$F$8</f>
        <v>0</v>
      </c>
      <c r="AB270" s="28"/>
      <c r="AC270" s="81">
        <v>0</v>
      </c>
      <c r="AD270" s="15">
        <f t="shared" ref="AD270:AD271" si="890">AC270-Y270</f>
        <v>0</v>
      </c>
      <c r="AE270" s="34">
        <f>AD270*$F$8</f>
        <v>0</v>
      </c>
      <c r="AG270" s="95">
        <v>0</v>
      </c>
      <c r="AH270" s="15">
        <f t="shared" ref="AH270:AH271" si="891">AG270-AC270</f>
        <v>0</v>
      </c>
      <c r="AI270" s="45">
        <f>AH270*$G$8</f>
        <v>0</v>
      </c>
      <c r="AJ270" s="252">
        <f>2.5-2.5</f>
        <v>0</v>
      </c>
      <c r="AK270" s="13">
        <v>0</v>
      </c>
      <c r="AL270" s="15">
        <f t="shared" ref="AL270:AL271" si="892">AK270-AG270</f>
        <v>0</v>
      </c>
      <c r="AM270" s="45">
        <f>AL270*$G$8</f>
        <v>0</v>
      </c>
      <c r="AN270" s="15"/>
      <c r="AO270" s="13">
        <v>0</v>
      </c>
      <c r="AP270" s="15">
        <f t="shared" ref="AP270:AP271" si="893">AO270-AK270</f>
        <v>0</v>
      </c>
      <c r="AQ270" s="45">
        <f>AP270*$G$8</f>
        <v>0</v>
      </c>
      <c r="AR270" s="15"/>
      <c r="AS270" s="13">
        <v>0</v>
      </c>
      <c r="AT270" s="15">
        <f t="shared" ref="AT270:AT271" si="894">AS270-AO270</f>
        <v>0</v>
      </c>
      <c r="AU270" s="45">
        <f>AT270*$G$8</f>
        <v>0</v>
      </c>
      <c r="AV270" s="15"/>
      <c r="AW270" s="13">
        <v>0</v>
      </c>
      <c r="AX270" s="2">
        <f t="shared" ref="AX270:AX271" si="895">AW270-AS270</f>
        <v>0</v>
      </c>
      <c r="AY270" s="45">
        <f>AX270*$G$8</f>
        <v>0</v>
      </c>
      <c r="AZ270" s="208"/>
      <c r="BA270" s="13">
        <v>0</v>
      </c>
      <c r="BB270" s="15">
        <f t="shared" ref="BB270:BB271" si="896">BA270-AW270</f>
        <v>0</v>
      </c>
      <c r="BC270" s="45">
        <f>BB270*$G$8</f>
        <v>0</v>
      </c>
      <c r="BD270" s="208"/>
      <c r="BE270" s="40">
        <f t="shared" ref="BE270:BG270" si="897">J270+N270+R270+V270+Z270+AD270+AH270+AL270+AP270+AT270+AX270+BB270</f>
        <v>0</v>
      </c>
      <c r="BF270" s="41">
        <f t="shared" si="897"/>
        <v>0</v>
      </c>
      <c r="BG270" s="34">
        <f t="shared" si="897"/>
        <v>0</v>
      </c>
      <c r="BH270" s="35">
        <f t="shared" si="887"/>
        <v>0</v>
      </c>
      <c r="BK270" s="2" t="b">
        <f>H270='2019'!BH217</f>
        <v>1</v>
      </c>
    </row>
    <row r="271" ht="14.25" customHeight="1" hidden="1" spans="1:63" x14ac:dyDescent="0.25">
      <c r="A271" s="2">
        <v>29</v>
      </c>
      <c r="B271" s="14"/>
      <c r="C271" s="2" t="s">
        <v>87</v>
      </c>
      <c r="D271" s="14" t="s">
        <v>47</v>
      </c>
      <c r="E271" s="2" t="s">
        <v>48</v>
      </c>
      <c r="F271" s="13">
        <v>18.56</v>
      </c>
      <c r="G271" s="35">
        <v>19.46</v>
      </c>
      <c r="H271" s="34">
        <f>'2019'!BH218</f>
        <v>-1.76</v>
      </c>
      <c r="I271" s="75">
        <v>23</v>
      </c>
      <c r="J271" s="15"/>
      <c r="K271" s="15"/>
      <c r="L271" s="28"/>
      <c r="M271" s="75">
        <v>23</v>
      </c>
      <c r="Q271" s="75">
        <v>23</v>
      </c>
      <c r="R271" s="15"/>
      <c r="S271" s="15"/>
      <c r="T271" s="28"/>
      <c r="U271" s="75">
        <v>23</v>
      </c>
      <c r="V271" s="2">
        <f t="shared" si="888"/>
        <v>0</v>
      </c>
      <c r="W271" s="34">
        <f>V271*$F$10</f>
        <v>0</v>
      </c>
      <c r="Y271" s="75">
        <v>23</v>
      </c>
      <c r="Z271" s="15">
        <f t="shared" si="889"/>
        <v>0</v>
      </c>
      <c r="AA271" s="34">
        <f>Z271*$F$10</f>
        <v>0</v>
      </c>
      <c r="AB271" s="28"/>
      <c r="AC271" s="15">
        <v>23</v>
      </c>
      <c r="AD271" s="15">
        <f t="shared" si="890"/>
        <v>0</v>
      </c>
      <c r="AE271" s="34">
        <f>AD271*$F$10</f>
        <v>0</v>
      </c>
      <c r="AG271" s="13">
        <v>25</v>
      </c>
      <c r="AH271" s="15">
        <f t="shared" si="891"/>
        <v>2</v>
      </c>
      <c r="AI271" s="45">
        <f>AH271*$G$10</f>
        <v>38.92</v>
      </c>
      <c r="AJ271" s="252">
        <f>37.16+0.34+2.5</f>
        <v>40</v>
      </c>
      <c r="AK271" s="13">
        <v>25</v>
      </c>
      <c r="AL271" s="15">
        <f t="shared" si="892"/>
        <v>0</v>
      </c>
      <c r="AM271" s="45">
        <f>AL271*$G$10</f>
        <v>0</v>
      </c>
      <c r="AN271" s="15"/>
      <c r="AO271" s="13">
        <v>25</v>
      </c>
      <c r="AP271" s="15">
        <f t="shared" si="893"/>
        <v>0</v>
      </c>
      <c r="AQ271" s="45">
        <f>AP271*$G$10</f>
        <v>0</v>
      </c>
      <c r="AR271" s="15"/>
      <c r="AS271" s="13">
        <v>25</v>
      </c>
      <c r="AT271" s="15">
        <f t="shared" si="894"/>
        <v>0</v>
      </c>
      <c r="AU271" s="45">
        <f>AT271*$G$10</f>
        <v>0</v>
      </c>
      <c r="AV271" s="15"/>
      <c r="AW271" s="13">
        <v>25</v>
      </c>
      <c r="AX271" s="2">
        <f t="shared" si="895"/>
        <v>0</v>
      </c>
      <c r="AY271" s="45"/>
      <c r="AZ271" s="208"/>
      <c r="BA271" s="13">
        <v>25</v>
      </c>
      <c r="BB271" s="15">
        <f t="shared" si="896"/>
        <v>0</v>
      </c>
      <c r="BC271" s="45"/>
      <c r="BD271" s="208"/>
      <c r="BE271" s="40">
        <f t="shared" ref="BE271:BG271" si="898">J271+N271+R271+V271+Z271+AD271+AH271+AL271+AP271+AT271+AX271+BB271</f>
        <v>2</v>
      </c>
      <c r="BF271" s="41">
        <f t="shared" si="898"/>
        <v>38.92</v>
      </c>
      <c r="BG271" s="34">
        <f t="shared" si="898"/>
        <v>40</v>
      </c>
      <c r="BH271" s="35">
        <f t="shared" si="887"/>
        <v>-2.84</v>
      </c>
      <c r="BK271" s="2" t="b">
        <f>H271='2019'!BH218</f>
        <v>1</v>
      </c>
    </row>
    <row r="272" ht="14.25" customHeight="1" hidden="1" spans="1:63" x14ac:dyDescent="0.25">
      <c r="A272" s="2">
        <v>29</v>
      </c>
      <c r="B272" s="14"/>
      <c r="C272" s="15" t="s">
        <v>147</v>
      </c>
      <c r="D272" s="14" t="s">
        <v>47</v>
      </c>
      <c r="E272" s="2" t="s">
        <v>49</v>
      </c>
      <c r="F272" s="41">
        <v>500</v>
      </c>
      <c r="G272" s="28"/>
      <c r="H272" s="34">
        <f>'2019'!BH219</f>
        <v>0</v>
      </c>
      <c r="I272" s="15"/>
      <c r="J272" s="15"/>
      <c r="K272" s="15"/>
      <c r="L272" s="28"/>
      <c r="Q272" s="13"/>
      <c r="R272" s="15"/>
      <c r="S272" s="15"/>
      <c r="T272" s="28"/>
      <c r="Y272" s="13"/>
      <c r="Z272" s="15"/>
      <c r="AA272" s="15"/>
      <c r="AB272" s="28"/>
      <c r="AG272" s="13"/>
      <c r="AH272" s="15"/>
      <c r="AI272" s="45"/>
      <c r="AJ272" s="15"/>
      <c r="AK272" s="13"/>
      <c r="AL272" s="15"/>
      <c r="AM272" s="45"/>
      <c r="AN272" s="15"/>
      <c r="AO272" s="13"/>
      <c r="AP272" s="15"/>
      <c r="AQ272" s="45"/>
      <c r="AR272" s="15"/>
      <c r="AS272" s="13"/>
      <c r="AT272" s="15"/>
      <c r="AU272" s="45"/>
      <c r="AV272" s="15"/>
      <c r="AW272" s="13"/>
      <c r="AY272" s="45"/>
      <c r="AZ272" s="28"/>
      <c r="BA272" s="13"/>
      <c r="BB272" s="15"/>
      <c r="BC272" s="45"/>
      <c r="BD272" s="28"/>
      <c r="BE272" s="14"/>
      <c r="BF272" s="41">
        <f t="shared" ref="BF272:BG272" si="899">K272+O272+S272+W272+AA272+AE272+AI272+AM272+AQ272+AU272+AY272+BC272</f>
        <v>0</v>
      </c>
      <c r="BG272" s="34">
        <f t="shared" si="899"/>
        <v>0</v>
      </c>
      <c r="BH272" s="35">
        <f t="shared" si="887"/>
        <v>0</v>
      </c>
      <c r="BK272" s="2" t="b">
        <f>H272='2019'!BH219</f>
        <v>1</v>
      </c>
    </row>
    <row r="273" ht="14.25" customHeight="1" hidden="1" spans="1:63" x14ac:dyDescent="0.25">
      <c r="A273" s="2">
        <v>29</v>
      </c>
      <c r="B273" s="14"/>
      <c r="C273" s="2" t="s">
        <v>148</v>
      </c>
      <c r="D273" s="14" t="s">
        <v>50</v>
      </c>
      <c r="E273" s="2" t="s">
        <v>49</v>
      </c>
      <c r="F273" s="41">
        <v>1100</v>
      </c>
      <c r="G273" s="28"/>
      <c r="H273" s="182">
        <f>'2019'!BH220+0.0024</f>
        <v>0</v>
      </c>
      <c r="I273" s="15"/>
      <c r="J273" s="15"/>
      <c r="K273" s="15"/>
      <c r="L273" s="28"/>
      <c r="Q273" s="13"/>
      <c r="R273" s="15"/>
      <c r="S273" s="15"/>
      <c r="T273" s="28"/>
      <c r="Y273" s="13"/>
      <c r="Z273" s="15"/>
      <c r="AA273" s="15"/>
      <c r="AB273" s="28"/>
      <c r="AE273" s="34">
        <f>B270*$F$12</f>
        <v>4422</v>
      </c>
      <c r="AG273" s="13"/>
      <c r="AH273" s="15"/>
      <c r="AI273" s="45"/>
      <c r="AJ273" s="185">
        <v>4422</v>
      </c>
      <c r="AK273" s="13"/>
      <c r="AL273" s="15"/>
      <c r="AM273" s="45"/>
      <c r="AN273" s="15"/>
      <c r="AO273" s="13"/>
      <c r="AP273" s="15"/>
      <c r="AQ273" s="45"/>
      <c r="AR273" s="15"/>
      <c r="AS273" s="13"/>
      <c r="AT273" s="15"/>
      <c r="AU273" s="45"/>
      <c r="AV273" s="15"/>
      <c r="AW273" s="13"/>
      <c r="AY273" s="45"/>
      <c r="AZ273" s="28"/>
      <c r="BA273" s="13"/>
      <c r="BB273" s="15"/>
      <c r="BC273" s="45"/>
      <c r="BD273" s="28"/>
      <c r="BE273" s="14"/>
      <c r="BF273" s="41">
        <f t="shared" ref="BF273:BG273" si="900">K273+O273+S273+W273+AA273+AE273+AI273+AM273+AQ273+AU273+AY273+BC273</f>
        <v>4422</v>
      </c>
      <c r="BG273" s="34">
        <f t="shared" si="900"/>
        <v>4422</v>
      </c>
      <c r="BH273" s="35">
        <f t="shared" si="887"/>
        <v>0</v>
      </c>
      <c r="BK273" s="2" t="b">
        <f>H273='2019'!BH220</f>
        <v>0</v>
      </c>
    </row>
    <row r="274" ht="14.25" customHeight="1" hidden="1" spans="1:63" x14ac:dyDescent="0.25">
      <c r="A274" s="2">
        <v>29</v>
      </c>
      <c r="B274" s="14"/>
      <c r="D274" s="14" t="s">
        <v>51</v>
      </c>
      <c r="E274" s="2" t="s">
        <v>39</v>
      </c>
      <c r="F274" s="41">
        <v>500</v>
      </c>
      <c r="G274" s="28"/>
      <c r="H274" s="34">
        <f>'2019'!BH221</f>
        <v>0</v>
      </c>
      <c r="I274" s="15"/>
      <c r="J274" s="15"/>
      <c r="K274" s="15"/>
      <c r="L274" s="28"/>
      <c r="Q274" s="13"/>
      <c r="R274" s="15"/>
      <c r="S274" s="15"/>
      <c r="T274" s="28"/>
      <c r="Y274" s="13"/>
      <c r="Z274" s="15"/>
      <c r="AA274" s="15"/>
      <c r="AB274" s="28"/>
      <c r="AE274" s="34"/>
      <c r="AG274" s="13"/>
      <c r="AH274" s="15"/>
      <c r="AI274" s="45"/>
      <c r="AJ274" s="180"/>
      <c r="AK274" s="13"/>
      <c r="AL274" s="15"/>
      <c r="AM274" s="45"/>
      <c r="AN274" s="15"/>
      <c r="AO274" s="13"/>
      <c r="AP274" s="15"/>
      <c r="AQ274" s="45">
        <f>$F$13</f>
        <v>500</v>
      </c>
      <c r="AR274" s="15"/>
      <c r="AS274" s="13"/>
      <c r="AT274" s="15"/>
      <c r="AU274" s="45"/>
      <c r="AV274" s="15"/>
      <c r="AW274" s="13"/>
      <c r="AY274" s="45"/>
      <c r="AZ274" s="28"/>
      <c r="BA274" s="13"/>
      <c r="BB274" s="15"/>
      <c r="BC274" s="45"/>
      <c r="BD274" s="28"/>
      <c r="BE274" s="14"/>
      <c r="BF274" s="41">
        <f t="shared" ref="BF274:BG274" si="901">K274+O274+S274+W274+AA274+AE274+AI274+AM274+AQ274+AU274+AY274+BC274</f>
        <v>500</v>
      </c>
      <c r="BG274" s="34">
        <f t="shared" si="901"/>
        <v>0</v>
      </c>
      <c r="BH274" s="35">
        <f t="shared" si="887"/>
        <v>500</v>
      </c>
      <c r="BK274" s="2" t="b">
        <f>H274='2019'!BH221</f>
        <v>1</v>
      </c>
    </row>
    <row r="275" ht="14.25" customHeight="1" hidden="1" spans="1:60" x14ac:dyDescent="0.25">
      <c r="A275" s="2">
        <v>29</v>
      </c>
      <c r="B275" s="14"/>
      <c r="D275" s="14" t="s">
        <v>51</v>
      </c>
      <c r="E275" s="2" t="s">
        <v>49</v>
      </c>
      <c r="F275" s="41">
        <v>500</v>
      </c>
      <c r="G275" s="28"/>
      <c r="H275" s="34"/>
      <c r="I275" s="15"/>
      <c r="J275" s="15"/>
      <c r="K275" s="15"/>
      <c r="L275" s="28"/>
      <c r="Q275" s="13"/>
      <c r="R275" s="15"/>
      <c r="S275" s="15"/>
      <c r="T275" s="28"/>
      <c r="Y275" s="13"/>
      <c r="Z275" s="15"/>
      <c r="AA275" s="15"/>
      <c r="AB275" s="28"/>
      <c r="AE275" s="34"/>
      <c r="AG275" s="13"/>
      <c r="AH275" s="15"/>
      <c r="AI275" s="45"/>
      <c r="AJ275" s="180"/>
      <c r="AK275" s="13"/>
      <c r="AL275" s="15"/>
      <c r="AM275" s="45"/>
      <c r="AN275" s="15"/>
      <c r="AO275" s="13"/>
      <c r="AP275" s="15"/>
      <c r="AQ275" s="34">
        <f>B270*$F$14</f>
        <v>2010</v>
      </c>
      <c r="AR275" s="15"/>
      <c r="AS275" s="13"/>
      <c r="AT275" s="15"/>
      <c r="AU275" s="45"/>
      <c r="AV275" s="15"/>
      <c r="AW275" s="13"/>
      <c r="AY275" s="45"/>
      <c r="AZ275" s="28"/>
      <c r="BA275" s="13"/>
      <c r="BB275" s="15"/>
      <c r="BC275" s="45"/>
      <c r="BD275" s="28"/>
      <c r="BE275" s="14"/>
      <c r="BF275" s="41">
        <f t="shared" ref="BF275:BG275" si="902">K275+O275+S275+W275+AA275+AE275+AI275+AM275+AQ275+AU275+AY275+BC275</f>
        <v>2010</v>
      </c>
      <c r="BG275" s="34">
        <f t="shared" si="902"/>
        <v>0</v>
      </c>
      <c r="BH275" s="35">
        <f t="shared" si="887"/>
        <v>2010</v>
      </c>
    </row>
    <row r="276" ht="14.25" customHeight="1" hidden="1" spans="1:63" x14ac:dyDescent="0.25">
      <c r="A276" s="2">
        <v>29</v>
      </c>
      <c r="B276" s="14"/>
      <c r="D276" s="14" t="s">
        <v>52</v>
      </c>
      <c r="E276" s="2" t="s">
        <v>39</v>
      </c>
      <c r="F276" s="41">
        <v>500</v>
      </c>
      <c r="G276" s="28"/>
      <c r="H276" s="34">
        <f>'2019'!BH222</f>
        <v>0</v>
      </c>
      <c r="I276" s="15"/>
      <c r="J276" s="15"/>
      <c r="K276" s="15"/>
      <c r="L276" s="28"/>
      <c r="Q276" s="13"/>
      <c r="R276" s="15"/>
      <c r="S276" s="15"/>
      <c r="T276" s="28"/>
      <c r="Y276" s="13"/>
      <c r="Z276" s="15"/>
      <c r="AA276" s="34">
        <f>$F$11</f>
        <v>500</v>
      </c>
      <c r="AB276" s="28"/>
      <c r="AG276" s="13"/>
      <c r="AH276" s="15"/>
      <c r="AI276" s="45"/>
      <c r="AJ276" s="185">
        <v>500</v>
      </c>
      <c r="AK276" s="13"/>
      <c r="AL276" s="15"/>
      <c r="AM276" s="45"/>
      <c r="AN276" s="15"/>
      <c r="AO276" s="13"/>
      <c r="AP276" s="15"/>
      <c r="AQ276" s="45"/>
      <c r="AR276" s="15"/>
      <c r="AS276" s="13"/>
      <c r="AT276" s="15"/>
      <c r="AU276" s="45"/>
      <c r="AV276" s="15"/>
      <c r="AW276" s="13"/>
      <c r="AY276" s="45"/>
      <c r="AZ276" s="35"/>
      <c r="BA276" s="13"/>
      <c r="BB276" s="15"/>
      <c r="BC276" s="45"/>
      <c r="BD276" s="35"/>
      <c r="BE276" s="14"/>
      <c r="BF276" s="41">
        <f t="shared" ref="BF276:BG276" si="903">K276+O276+S276+W276+AA276+AE276+AI276+AM276+AQ276+AU276+AY276+BC276</f>
        <v>500</v>
      </c>
      <c r="BG276" s="34">
        <f t="shared" si="903"/>
        <v>500</v>
      </c>
      <c r="BH276" s="35">
        <f t="shared" si="887"/>
        <v>0</v>
      </c>
      <c r="BK276" s="2" t="b">
        <f>H276='2019'!BH222</f>
        <v>1</v>
      </c>
    </row>
    <row r="277" ht="14.25" customHeight="1" hidden="1" spans="1:63" x14ac:dyDescent="0.25">
      <c r="A277" s="247">
        <v>29</v>
      </c>
      <c r="B277" s="21"/>
      <c r="C277" s="22" t="s">
        <v>53</v>
      </c>
      <c r="D277" s="21"/>
      <c r="E277" s="22"/>
      <c r="F277" s="20"/>
      <c r="G277" s="23"/>
      <c r="H277" s="51">
        <f>SUM(H269:H276)</f>
        <v>-1.76</v>
      </c>
      <c r="I277" s="53"/>
      <c r="J277" s="53"/>
      <c r="K277" s="51">
        <f t="shared" ref="K277:L277" si="904">SUM(K269:K276)</f>
        <v>0</v>
      </c>
      <c r="L277" s="68">
        <f t="shared" si="904"/>
        <v>0</v>
      </c>
      <c r="M277" s="53"/>
      <c r="N277" s="53"/>
      <c r="O277" s="51">
        <f t="shared" ref="O277:P277" si="905">SUM(O269:O276)</f>
        <v>0</v>
      </c>
      <c r="P277" s="51">
        <f t="shared" si="905"/>
        <v>0</v>
      </c>
      <c r="Q277" s="52"/>
      <c r="R277" s="53"/>
      <c r="S277" s="51">
        <f t="shared" ref="S277:T277" si="906">SUM(S269:S276)</f>
        <v>0</v>
      </c>
      <c r="T277" s="51">
        <f t="shared" si="906"/>
        <v>0</v>
      </c>
      <c r="U277" s="52"/>
      <c r="V277" s="53"/>
      <c r="W277" s="51">
        <f t="shared" ref="W277:X277" si="907">SUM(W269:W276)</f>
        <v>0</v>
      </c>
      <c r="X277" s="51">
        <f t="shared" si="907"/>
        <v>0</v>
      </c>
      <c r="Y277" s="52"/>
      <c r="Z277" s="53"/>
      <c r="AA277" s="51">
        <f t="shared" ref="AA277:AB277" si="908">SUM(AA269:AA276)</f>
        <v>500</v>
      </c>
      <c r="AB277" s="51">
        <f t="shared" si="908"/>
        <v>0</v>
      </c>
      <c r="AC277" s="52"/>
      <c r="AD277" s="53"/>
      <c r="AE277" s="51">
        <f t="shared" ref="AE277:AF277" si="909">SUM(AE269:AE276)</f>
        <v>4422</v>
      </c>
      <c r="AF277" s="51">
        <f t="shared" si="909"/>
        <v>0</v>
      </c>
      <c r="AG277" s="52"/>
      <c r="AH277" s="53"/>
      <c r="AI277" s="183">
        <f t="shared" ref="AI277:AJ277" si="910">SUM(AI269:AI276)</f>
        <v>38.92</v>
      </c>
      <c r="AJ277" s="51">
        <f t="shared" si="910"/>
        <v>4962</v>
      </c>
      <c r="AK277" s="52"/>
      <c r="AL277" s="53"/>
      <c r="AM277" s="183">
        <f t="shared" ref="AM277:AN277" si="911">SUM(AM269:AM276)</f>
        <v>0</v>
      </c>
      <c r="AN277" s="51">
        <f t="shared" si="911"/>
        <v>0</v>
      </c>
      <c r="AO277" s="52"/>
      <c r="AP277" s="53"/>
      <c r="AQ277" s="183">
        <f t="shared" ref="AQ277:AR277" si="912">SUM(AQ269:AQ276)</f>
        <v>2510</v>
      </c>
      <c r="AR277" s="51">
        <f t="shared" si="912"/>
        <v>0</v>
      </c>
      <c r="AS277" s="52"/>
      <c r="AT277" s="53"/>
      <c r="AU277" s="183">
        <f t="shared" ref="AU277:AV277" si="913">SUM(AU269:AU276)</f>
        <v>0</v>
      </c>
      <c r="AV277" s="68">
        <f t="shared" si="913"/>
        <v>0</v>
      </c>
      <c r="AW277" s="52"/>
      <c r="AX277" s="53"/>
      <c r="AY277" s="183">
        <f t="shared" ref="AY277:AZ277" si="914">SUM(AY269:AY276)</f>
        <v>0</v>
      </c>
      <c r="AZ277" s="68">
        <f t="shared" si="914"/>
        <v>0</v>
      </c>
      <c r="BA277" s="52"/>
      <c r="BB277" s="53"/>
      <c r="BC277" s="183">
        <f t="shared" ref="BC277:BD277" si="915">SUM(BC269:BC276)</f>
        <v>0</v>
      </c>
      <c r="BD277" s="68">
        <f t="shared" si="915"/>
        <v>0</v>
      </c>
      <c r="BE277" s="69"/>
      <c r="BF277" s="70">
        <f t="shared" ref="BF277:BH277" si="916">SUM(BF269:BF276)</f>
        <v>7470.92</v>
      </c>
      <c r="BG277" s="71">
        <f t="shared" si="916"/>
        <v>4962</v>
      </c>
      <c r="BH277" s="72">
        <f t="shared" si="916"/>
        <v>2507.16</v>
      </c>
      <c r="BI277" s="34">
        <f>H277+BF277-BG277</f>
        <v>2507.16</v>
      </c>
      <c r="BJ277" s="34">
        <f>BH277-BI277</f>
        <v>0</v>
      </c>
      <c r="BK277" s="2" t="b">
        <f>H277='2019'!BH223</f>
        <v>0</v>
      </c>
    </row>
    <row r="278" ht="14.25" customHeight="1" hidden="1" spans="1:63" x14ac:dyDescent="0.25">
      <c r="A278" s="2">
        <v>31</v>
      </c>
      <c r="B278" s="14"/>
      <c r="D278" s="14" t="s">
        <v>379</v>
      </c>
      <c r="F278" s="13"/>
      <c r="G278" s="28"/>
      <c r="H278" s="34">
        <f>'2019'!BH224</f>
        <v>0</v>
      </c>
      <c r="J278" s="15"/>
      <c r="K278" s="15"/>
      <c r="L278" s="28"/>
      <c r="Q278" s="13"/>
      <c r="R278" s="15"/>
      <c r="S278" s="15"/>
      <c r="T278" s="28"/>
      <c r="Y278" s="13"/>
      <c r="Z278" s="15"/>
      <c r="AA278" s="15"/>
      <c r="AB278" s="28"/>
      <c r="AG278" s="13"/>
      <c r="AH278" s="15"/>
      <c r="AI278" s="45"/>
      <c r="AJ278" s="15"/>
      <c r="AK278" s="13"/>
      <c r="AM278" s="45"/>
      <c r="AO278" s="13"/>
      <c r="AQ278" s="45"/>
      <c r="AS278" s="13"/>
      <c r="AU278" s="45"/>
      <c r="AW278" s="13"/>
      <c r="AY278" s="45"/>
      <c r="AZ278" s="28"/>
      <c r="BA278" s="13"/>
      <c r="BB278" s="15"/>
      <c r="BC278" s="45"/>
      <c r="BD278" s="28"/>
      <c r="BE278" s="14"/>
      <c r="BF278" s="41">
        <f t="shared" ref="BF278:BG278" si="917">K278+O278+S278+W278+AA278+AE278+AI278+AM278+AQ278+AU278+AY278+BC278</f>
        <v>0</v>
      </c>
      <c r="BG278" s="34">
        <f t="shared" si="917"/>
        <v>0</v>
      </c>
      <c r="BH278" s="35">
        <f t="shared" ref="BH278:BH285" si="918">H278+BF278-BG278</f>
        <v>0</v>
      </c>
      <c r="BK278" s="2" t="b">
        <f>H278='2019'!BH224</f>
        <v>1</v>
      </c>
    </row>
    <row r="279" ht="14.25" customHeight="1" hidden="1" spans="1:63" x14ac:dyDescent="0.25">
      <c r="A279" s="2">
        <v>31</v>
      </c>
      <c r="B279" s="42">
        <v>4</v>
      </c>
      <c r="C279" s="2" t="s">
        <v>149</v>
      </c>
      <c r="D279" s="14" t="s">
        <v>44</v>
      </c>
      <c r="E279" s="2" t="s">
        <v>45</v>
      </c>
      <c r="F279" s="41">
        <v>2.5</v>
      </c>
      <c r="G279" s="35">
        <v>2.6</v>
      </c>
      <c r="H279" s="34">
        <f>'2019'!BH225</f>
        <v>12.5</v>
      </c>
      <c r="I279" s="13">
        <v>5</v>
      </c>
      <c r="J279" s="15"/>
      <c r="K279" s="34">
        <f>J279*$F$8</f>
        <v>0</v>
      </c>
      <c r="L279" s="28"/>
      <c r="M279" s="2">
        <v>5</v>
      </c>
      <c r="N279" s="15">
        <f>M279-I279</f>
        <v>0</v>
      </c>
      <c r="O279" s="34">
        <f>N279*$F$8</f>
        <v>0</v>
      </c>
      <c r="Q279" s="13">
        <v>5</v>
      </c>
      <c r="R279" s="15">
        <f>Q279-M279</f>
        <v>0</v>
      </c>
      <c r="S279" s="34">
        <f>R279*$F$8</f>
        <v>0</v>
      </c>
      <c r="T279" s="28"/>
      <c r="U279" s="2">
        <v>5</v>
      </c>
      <c r="V279" s="15">
        <f>U279-Q279</f>
        <v>0</v>
      </c>
      <c r="W279" s="34">
        <f>V279*$F$8</f>
        <v>0</v>
      </c>
      <c r="Y279" s="13">
        <v>5</v>
      </c>
      <c r="Z279" s="15">
        <f t="shared" ref="Z279:Z280" si="919">Y279-U279</f>
        <v>0</v>
      </c>
      <c r="AA279" s="34">
        <f>Z279*$F$8</f>
        <v>0</v>
      </c>
      <c r="AB279" s="35"/>
      <c r="AC279" s="15">
        <v>5</v>
      </c>
      <c r="AD279" s="15">
        <f t="shared" ref="AD279:AD280" si="920">AC279-Y279</f>
        <v>0</v>
      </c>
      <c r="AE279" s="34">
        <f>AD279*$F$8</f>
        <v>0</v>
      </c>
      <c r="AF279" s="134">
        <v>12.5</v>
      </c>
      <c r="AG279" s="13">
        <v>5</v>
      </c>
      <c r="AH279" s="15">
        <f t="shared" ref="AH279:AH280" si="921">AG279-AC279</f>
        <v>0</v>
      </c>
      <c r="AI279" s="45">
        <f>AH279*$G$8</f>
        <v>0</v>
      </c>
      <c r="AJ279" s="15"/>
      <c r="AK279" s="13">
        <v>5</v>
      </c>
      <c r="AL279" s="15">
        <f t="shared" ref="AL279:AL280" si="922">AK279-AG279</f>
        <v>0</v>
      </c>
      <c r="AM279" s="45">
        <f>AL279*$G$8</f>
        <v>0</v>
      </c>
      <c r="AN279" s="15"/>
      <c r="AO279" s="13">
        <v>5</v>
      </c>
      <c r="AP279" s="15">
        <f t="shared" ref="AP279:AP280" si="923">AO279-AK279</f>
        <v>0</v>
      </c>
      <c r="AQ279" s="45">
        <f>AP279*$G$8</f>
        <v>0</v>
      </c>
      <c r="AR279" s="15"/>
      <c r="AS279" s="13">
        <v>5</v>
      </c>
      <c r="AT279" s="15">
        <f t="shared" ref="AT279:AT280" si="924">AS279-AO279</f>
        <v>0</v>
      </c>
      <c r="AU279" s="45">
        <f>AT279*$G$8</f>
        <v>0</v>
      </c>
      <c r="AV279" s="15"/>
      <c r="AW279" s="13">
        <v>5</v>
      </c>
      <c r="AX279" s="2">
        <f t="shared" ref="AX279:AX280" si="925">AW279-AS279</f>
        <v>0</v>
      </c>
      <c r="AY279" s="45">
        <f>AX279*$G$8</f>
        <v>0</v>
      </c>
      <c r="AZ279" s="208"/>
      <c r="BA279" s="13">
        <v>5</v>
      </c>
      <c r="BB279" s="15">
        <f t="shared" ref="BB279:BB280" si="926">BA279-AW279</f>
        <v>0</v>
      </c>
      <c r="BC279" s="45">
        <f>BB279*$G$8</f>
        <v>0</v>
      </c>
      <c r="BD279" s="208"/>
      <c r="BE279" s="40">
        <f t="shared" ref="BE279:BG279" si="927">J279+N279+R279+V279+Z279+AD279+AH279+AL279+AP279+AT279+AX279+BB279</f>
        <v>0</v>
      </c>
      <c r="BF279" s="41">
        <f t="shared" si="927"/>
        <v>0</v>
      </c>
      <c r="BG279" s="34">
        <f t="shared" si="927"/>
        <v>12.5</v>
      </c>
      <c r="BH279" s="35">
        <f t="shared" si="918"/>
        <v>0</v>
      </c>
      <c r="BK279" s="2" t="b">
        <f>H279='2019'!BH225</f>
        <v>1</v>
      </c>
    </row>
    <row r="280" ht="14.25" customHeight="1" hidden="1" spans="1:63" x14ac:dyDescent="0.25">
      <c r="A280" s="2">
        <v>31</v>
      </c>
      <c r="B280" s="14"/>
      <c r="C280" s="2" t="s">
        <v>150</v>
      </c>
      <c r="D280" s="14" t="s">
        <v>47</v>
      </c>
      <c r="E280" s="2" t="s">
        <v>48</v>
      </c>
      <c r="F280" s="13">
        <v>18.56</v>
      </c>
      <c r="G280" s="35">
        <v>19.46</v>
      </c>
      <c r="H280" s="34">
        <f>'2019'!BH226</f>
        <v>0</v>
      </c>
      <c r="I280" s="15"/>
      <c r="J280" s="15"/>
      <c r="K280" s="15"/>
      <c r="L280" s="28"/>
      <c r="Q280" s="13"/>
      <c r="R280" s="15"/>
      <c r="S280" s="15"/>
      <c r="T280" s="28"/>
      <c r="U280" s="15">
        <v>513</v>
      </c>
      <c r="W280" s="34">
        <f>V280*$F$10</f>
        <v>0</v>
      </c>
      <c r="Y280" s="13">
        <v>515</v>
      </c>
      <c r="Z280" s="15">
        <f t="shared" si="919"/>
        <v>2</v>
      </c>
      <c r="AA280" s="34">
        <f>Z280*$F$10</f>
        <v>37.12</v>
      </c>
      <c r="AB280" s="35"/>
      <c r="AC280" s="15">
        <v>515</v>
      </c>
      <c r="AD280" s="15">
        <f t="shared" si="920"/>
        <v>0</v>
      </c>
      <c r="AE280" s="34">
        <f>AD280*$F$10</f>
        <v>0</v>
      </c>
      <c r="AF280" s="134">
        <f>37.12+0.38</f>
        <v>37.5</v>
      </c>
      <c r="AG280" s="15">
        <v>515</v>
      </c>
      <c r="AH280" s="15">
        <f t="shared" si="921"/>
        <v>0</v>
      </c>
      <c r="AI280" s="45">
        <f>AH280*$G$10</f>
        <v>0</v>
      </c>
      <c r="AJ280" s="15"/>
      <c r="AK280" s="13">
        <v>530</v>
      </c>
      <c r="AL280" s="15">
        <f t="shared" si="922"/>
        <v>15</v>
      </c>
      <c r="AM280" s="45">
        <f>AL280*$G$10</f>
        <v>291.9</v>
      </c>
      <c r="AN280" s="133">
        <v>300</v>
      </c>
      <c r="AO280" s="13">
        <v>530</v>
      </c>
      <c r="AP280" s="15">
        <f t="shared" si="923"/>
        <v>0</v>
      </c>
      <c r="AQ280" s="45">
        <f>AP280*$G$10</f>
        <v>0</v>
      </c>
      <c r="AR280" s="15"/>
      <c r="AS280" s="13">
        <v>530</v>
      </c>
      <c r="AT280" s="15">
        <f t="shared" si="924"/>
        <v>0</v>
      </c>
      <c r="AU280" s="45">
        <f>AT280*$G$10</f>
        <v>0</v>
      </c>
      <c r="AV280" s="15"/>
      <c r="AW280" s="13">
        <v>530</v>
      </c>
      <c r="AX280" s="2">
        <f t="shared" si="925"/>
        <v>0</v>
      </c>
      <c r="AY280" s="45"/>
      <c r="AZ280" s="208"/>
      <c r="BA280" s="13">
        <v>530</v>
      </c>
      <c r="BB280" s="15">
        <f t="shared" si="926"/>
        <v>0</v>
      </c>
      <c r="BC280" s="45"/>
      <c r="BD280" s="208"/>
      <c r="BE280" s="40">
        <f t="shared" ref="BE280:BG280" si="928">J280+N280+R280+V280+Z280+AD280+AH280+AL280+AP280+AT280+AX280+BB280</f>
        <v>17</v>
      </c>
      <c r="BF280" s="41">
        <f t="shared" si="928"/>
        <v>329.02</v>
      </c>
      <c r="BG280" s="34">
        <f t="shared" si="928"/>
        <v>337.5</v>
      </c>
      <c r="BH280" s="35">
        <f t="shared" si="918"/>
        <v>-8.48</v>
      </c>
      <c r="BK280" s="2" t="b">
        <f>H280='2019'!BH226</f>
        <v>1</v>
      </c>
    </row>
    <row r="281" ht="14.25" customHeight="1" hidden="1" spans="1:63" x14ac:dyDescent="0.25">
      <c r="A281" s="2">
        <v>31</v>
      </c>
      <c r="B281" s="14"/>
      <c r="C281" s="2" t="s">
        <v>151</v>
      </c>
      <c r="D281" s="14" t="s">
        <v>47</v>
      </c>
      <c r="E281" s="2" t="s">
        <v>49</v>
      </c>
      <c r="F281" s="41">
        <v>500</v>
      </c>
      <c r="G281" s="28"/>
      <c r="H281" s="34">
        <f>'2019'!BH227</f>
        <v>0</v>
      </c>
      <c r="I281" s="15"/>
      <c r="J281" s="15"/>
      <c r="K281" s="15"/>
      <c r="L281" s="28"/>
      <c r="Q281" s="13"/>
      <c r="R281" s="15"/>
      <c r="S281" s="15"/>
      <c r="T281" s="28"/>
      <c r="Y281" s="13"/>
      <c r="Z281" s="15"/>
      <c r="AA281" s="34"/>
      <c r="AB281" s="28"/>
      <c r="AC281" s="15"/>
      <c r="AF281" s="28"/>
      <c r="AG281" s="13"/>
      <c r="AH281" s="15"/>
      <c r="AI281" s="45"/>
      <c r="AJ281" s="180"/>
      <c r="AK281" s="13"/>
      <c r="AL281" s="15"/>
      <c r="AM281" s="45"/>
      <c r="AN281" s="15"/>
      <c r="AO281" s="13"/>
      <c r="AP281" s="15"/>
      <c r="AQ281" s="45"/>
      <c r="AR281" s="15"/>
      <c r="AS281" s="13"/>
      <c r="AT281" s="15"/>
      <c r="AU281" s="45"/>
      <c r="AV281" s="15"/>
      <c r="AW281" s="13"/>
      <c r="AY281" s="45"/>
      <c r="AZ281" s="28"/>
      <c r="BA281" s="13"/>
      <c r="BB281" s="15"/>
      <c r="BC281" s="45"/>
      <c r="BD281" s="28"/>
      <c r="BE281" s="14"/>
      <c r="BF281" s="41">
        <f t="shared" ref="BF281:BG281" si="929">K281+O281+S281+W281+AA281+AE281+AI281+AM281+AQ281+AU281+AY281+BC281</f>
        <v>0</v>
      </c>
      <c r="BG281" s="34">
        <f t="shared" si="929"/>
        <v>0</v>
      </c>
      <c r="BH281" s="35">
        <f t="shared" si="918"/>
        <v>0</v>
      </c>
      <c r="BK281" s="2" t="b">
        <f>H281='2019'!BH227</f>
        <v>1</v>
      </c>
    </row>
    <row r="282" ht="14.25" customHeight="1" hidden="1" spans="1:63" x14ac:dyDescent="0.25">
      <c r="A282" s="2">
        <v>31</v>
      </c>
      <c r="B282" s="14"/>
      <c r="C282" s="2" t="s">
        <v>396</v>
      </c>
      <c r="D282" s="14" t="s">
        <v>50</v>
      </c>
      <c r="E282" s="2" t="s">
        <v>49</v>
      </c>
      <c r="F282" s="41">
        <v>1100</v>
      </c>
      <c r="G282" s="28"/>
      <c r="H282" s="34">
        <f>'2019'!BH228</f>
        <v>0</v>
      </c>
      <c r="I282" s="15"/>
      <c r="J282" s="15"/>
      <c r="K282" s="15"/>
      <c r="L282" s="28"/>
      <c r="Q282" s="13"/>
      <c r="R282" s="15"/>
      <c r="S282" s="15"/>
      <c r="T282" s="28"/>
      <c r="Y282" s="13"/>
      <c r="Z282" s="15"/>
      <c r="AA282" s="15"/>
      <c r="AB282" s="35"/>
      <c r="AE282" s="34">
        <f>B279*$F$12</f>
        <v>4400</v>
      </c>
      <c r="AF282" s="134">
        <v>4400</v>
      </c>
      <c r="AG282" s="13"/>
      <c r="AH282" s="15"/>
      <c r="AI282" s="45"/>
      <c r="AJ282" s="180"/>
      <c r="AK282" s="13"/>
      <c r="AL282" s="15"/>
      <c r="AM282" s="45"/>
      <c r="AN282" s="15"/>
      <c r="AO282" s="13"/>
      <c r="AP282" s="15"/>
      <c r="AQ282" s="45"/>
      <c r="AR282" s="15"/>
      <c r="AS282" s="13"/>
      <c r="AT282" s="15"/>
      <c r="AU282" s="45"/>
      <c r="AV282" s="15"/>
      <c r="AW282" s="13"/>
      <c r="AY282" s="45"/>
      <c r="AZ282" s="28"/>
      <c r="BA282" s="13"/>
      <c r="BB282" s="15"/>
      <c r="BC282" s="45"/>
      <c r="BD282" s="28"/>
      <c r="BE282" s="14"/>
      <c r="BF282" s="41">
        <f t="shared" ref="BF282:BG282" si="930">K282+O282+S282+W282+AA282+AE282+AI282+AM282+AQ282+AU282+AY282+BC282</f>
        <v>4400</v>
      </c>
      <c r="BG282" s="34">
        <f t="shared" si="930"/>
        <v>4400</v>
      </c>
      <c r="BH282" s="35">
        <f t="shared" si="918"/>
        <v>0</v>
      </c>
      <c r="BK282" s="2" t="b">
        <f>H282='2019'!BH228</f>
        <v>1</v>
      </c>
    </row>
    <row r="283" ht="14.25" customHeight="1" hidden="1" spans="1:63" x14ac:dyDescent="0.25">
      <c r="A283" s="2">
        <v>31</v>
      </c>
      <c r="B283" s="14"/>
      <c r="D283" s="14" t="s">
        <v>51</v>
      </c>
      <c r="E283" s="2" t="s">
        <v>39</v>
      </c>
      <c r="F283" s="41">
        <v>500</v>
      </c>
      <c r="G283" s="28"/>
      <c r="H283" s="34">
        <f>'2019'!BH229</f>
        <v>0</v>
      </c>
      <c r="I283" s="15"/>
      <c r="J283" s="15"/>
      <c r="K283" s="15"/>
      <c r="L283" s="28"/>
      <c r="Q283" s="13"/>
      <c r="R283" s="15"/>
      <c r="S283" s="15"/>
      <c r="T283" s="28"/>
      <c r="Y283" s="13"/>
      <c r="Z283" s="15"/>
      <c r="AA283" s="15"/>
      <c r="AB283" s="28"/>
      <c r="AE283" s="34"/>
      <c r="AG283" s="13"/>
      <c r="AH283" s="15"/>
      <c r="AI283" s="45"/>
      <c r="AJ283" s="180"/>
      <c r="AK283" s="13"/>
      <c r="AL283" s="15"/>
      <c r="AM283" s="45"/>
      <c r="AN283" s="15"/>
      <c r="AO283" s="13"/>
      <c r="AP283" s="15"/>
      <c r="AQ283" s="45">
        <f>$F$13</f>
        <v>500</v>
      </c>
      <c r="AR283" s="15"/>
      <c r="AS283" s="13"/>
      <c r="AT283" s="15"/>
      <c r="AU283" s="45"/>
      <c r="AV283" s="15"/>
      <c r="AW283" s="13"/>
      <c r="AY283" s="45"/>
      <c r="AZ283" s="28"/>
      <c r="BA283" s="13"/>
      <c r="BB283" s="15"/>
      <c r="BC283" s="45"/>
      <c r="BD283" s="28"/>
      <c r="BE283" s="14"/>
      <c r="BF283" s="41">
        <f t="shared" ref="BF283:BG283" si="931">K283+O283+S283+W283+AA283+AE283+AI283+AM283+AQ283+AU283+AY283+BC283</f>
        <v>500</v>
      </c>
      <c r="BG283" s="34">
        <f t="shared" si="931"/>
        <v>0</v>
      </c>
      <c r="BH283" s="35">
        <f t="shared" si="918"/>
        <v>500</v>
      </c>
      <c r="BK283" s="2" t="b">
        <f>H283='2019'!BH229</f>
        <v>1</v>
      </c>
    </row>
    <row r="284" ht="14.25" customHeight="1" hidden="1" spans="1:60" x14ac:dyDescent="0.25">
      <c r="A284" s="2">
        <v>31</v>
      </c>
      <c r="B284" s="14"/>
      <c r="D284" s="14" t="s">
        <v>51</v>
      </c>
      <c r="E284" s="2" t="s">
        <v>49</v>
      </c>
      <c r="F284" s="41">
        <v>500</v>
      </c>
      <c r="G284" s="28"/>
      <c r="H284" s="34"/>
      <c r="I284" s="15"/>
      <c r="J284" s="15"/>
      <c r="K284" s="15"/>
      <c r="L284" s="28"/>
      <c r="Q284" s="13"/>
      <c r="R284" s="15"/>
      <c r="S284" s="15"/>
      <c r="T284" s="28"/>
      <c r="Y284" s="13"/>
      <c r="Z284" s="15"/>
      <c r="AA284" s="15"/>
      <c r="AB284" s="28"/>
      <c r="AE284" s="34"/>
      <c r="AG284" s="13"/>
      <c r="AH284" s="15"/>
      <c r="AI284" s="45"/>
      <c r="AJ284" s="180"/>
      <c r="AK284" s="13"/>
      <c r="AL284" s="15"/>
      <c r="AM284" s="45"/>
      <c r="AN284" s="15"/>
      <c r="AO284" s="13"/>
      <c r="AP284" s="15"/>
      <c r="AQ284" s="34">
        <f>B279*$F$14</f>
        <v>2000</v>
      </c>
      <c r="AR284" s="15"/>
      <c r="AS284" s="13"/>
      <c r="AT284" s="15"/>
      <c r="AU284" s="45"/>
      <c r="AV284" s="15"/>
      <c r="AW284" s="13"/>
      <c r="AY284" s="45"/>
      <c r="AZ284" s="28"/>
      <c r="BA284" s="13"/>
      <c r="BB284" s="15"/>
      <c r="BC284" s="45"/>
      <c r="BD284" s="28"/>
      <c r="BE284" s="14"/>
      <c r="BF284" s="41">
        <f t="shared" ref="BF284:BG284" si="932">K284+O284+S284+W284+AA284+AE284+AI284+AM284+AQ284+AU284+AY284+BC284</f>
        <v>2000</v>
      </c>
      <c r="BG284" s="34">
        <f t="shared" si="932"/>
        <v>0</v>
      </c>
      <c r="BH284" s="35">
        <f t="shared" si="918"/>
        <v>2000</v>
      </c>
    </row>
    <row r="285" ht="14.25" customHeight="1" hidden="1" spans="1:63" x14ac:dyDescent="0.25">
      <c r="A285" s="2">
        <v>31</v>
      </c>
      <c r="B285" s="14"/>
      <c r="D285" s="14" t="s">
        <v>52</v>
      </c>
      <c r="E285" s="2" t="s">
        <v>39</v>
      </c>
      <c r="F285" s="41">
        <v>500</v>
      </c>
      <c r="G285" s="28"/>
      <c r="H285" s="34">
        <f>'2019'!BH230</f>
        <v>0</v>
      </c>
      <c r="I285" s="15"/>
      <c r="J285" s="15"/>
      <c r="K285" s="15"/>
      <c r="L285" s="28"/>
      <c r="Q285" s="13"/>
      <c r="R285" s="15"/>
      <c r="S285" s="15"/>
      <c r="T285" s="28"/>
      <c r="Y285" s="13"/>
      <c r="Z285" s="15"/>
      <c r="AA285" s="34">
        <f>$F$11</f>
        <v>500</v>
      </c>
      <c r="AB285" s="35"/>
      <c r="AF285" s="134">
        <v>500</v>
      </c>
      <c r="AG285" s="13"/>
      <c r="AH285" s="15"/>
      <c r="AI285" s="45"/>
      <c r="AJ285" s="180"/>
      <c r="AK285" s="13"/>
      <c r="AL285" s="15"/>
      <c r="AM285" s="45"/>
      <c r="AN285" s="15"/>
      <c r="AO285" s="13"/>
      <c r="AP285" s="15"/>
      <c r="AQ285" s="45"/>
      <c r="AR285" s="15"/>
      <c r="AS285" s="13"/>
      <c r="AT285" s="15"/>
      <c r="AU285" s="45"/>
      <c r="AV285" s="15"/>
      <c r="AW285" s="13"/>
      <c r="AY285" s="45"/>
      <c r="AZ285" s="35"/>
      <c r="BA285" s="13"/>
      <c r="BB285" s="15"/>
      <c r="BC285" s="45"/>
      <c r="BD285" s="35"/>
      <c r="BE285" s="14"/>
      <c r="BF285" s="41">
        <f t="shared" ref="BF285:BG285" si="933">K285+O285+S285+W285+AA285+AE285+AI285+AM285+AQ285+AU285+AY285+BC285</f>
        <v>500</v>
      </c>
      <c r="BG285" s="34">
        <f t="shared" si="933"/>
        <v>500</v>
      </c>
      <c r="BH285" s="35">
        <f t="shared" si="918"/>
        <v>0</v>
      </c>
      <c r="BK285" s="2" t="b">
        <f>H285='2019'!BH230</f>
        <v>1</v>
      </c>
    </row>
    <row r="286" ht="14.25" customHeight="1" hidden="1" spans="1:63" x14ac:dyDescent="0.25">
      <c r="A286" s="247">
        <v>31</v>
      </c>
      <c r="B286" s="21"/>
      <c r="C286" s="22" t="s">
        <v>53</v>
      </c>
      <c r="D286" s="21"/>
      <c r="E286" s="22"/>
      <c r="F286" s="20"/>
      <c r="G286" s="23"/>
      <c r="H286" s="51">
        <f>SUM(H278:H285)</f>
        <v>12.5</v>
      </c>
      <c r="I286" s="53"/>
      <c r="J286" s="53"/>
      <c r="K286" s="51">
        <f t="shared" ref="K286:L286" si="934">SUM(K278:K285)</f>
        <v>0</v>
      </c>
      <c r="L286" s="68">
        <f t="shared" si="934"/>
        <v>0</v>
      </c>
      <c r="M286" s="53"/>
      <c r="N286" s="53"/>
      <c r="O286" s="51">
        <f t="shared" ref="O286:P286" si="935">SUM(O278:O285)</f>
        <v>0</v>
      </c>
      <c r="P286" s="51">
        <f t="shared" si="935"/>
        <v>0</v>
      </c>
      <c r="Q286" s="52"/>
      <c r="R286" s="53"/>
      <c r="S286" s="51">
        <f t="shared" ref="S286:T286" si="936">SUM(S278:S285)</f>
        <v>0</v>
      </c>
      <c r="T286" s="51">
        <f t="shared" si="936"/>
        <v>0</v>
      </c>
      <c r="U286" s="52"/>
      <c r="V286" s="53"/>
      <c r="W286" s="51">
        <f t="shared" ref="W286:X286" si="937">SUM(W278:W285)</f>
        <v>0</v>
      </c>
      <c r="X286" s="51">
        <f t="shared" si="937"/>
        <v>0</v>
      </c>
      <c r="Y286" s="52"/>
      <c r="Z286" s="53"/>
      <c r="AA286" s="51">
        <f t="shared" ref="AA286:AB286" si="938">SUM(AA278:AA285)</f>
        <v>537.12</v>
      </c>
      <c r="AB286" s="51">
        <f t="shared" si="938"/>
        <v>0</v>
      </c>
      <c r="AC286" s="52"/>
      <c r="AD286" s="53"/>
      <c r="AE286" s="51">
        <f t="shared" ref="AE286:AF286" si="939">SUM(AE278:AE285)</f>
        <v>4400</v>
      </c>
      <c r="AF286" s="51">
        <f t="shared" si="939"/>
        <v>4950</v>
      </c>
      <c r="AG286" s="52"/>
      <c r="AH286" s="53"/>
      <c r="AI286" s="183">
        <f t="shared" ref="AI286:AJ286" si="940">SUM(AI278:AI285)</f>
        <v>0</v>
      </c>
      <c r="AJ286" s="51">
        <f t="shared" si="940"/>
        <v>0</v>
      </c>
      <c r="AK286" s="52"/>
      <c r="AL286" s="53"/>
      <c r="AM286" s="183">
        <f t="shared" ref="AM286:AN286" si="941">SUM(AM278:AM285)</f>
        <v>291.9</v>
      </c>
      <c r="AN286" s="51">
        <f t="shared" si="941"/>
        <v>300</v>
      </c>
      <c r="AO286" s="52"/>
      <c r="AP286" s="53"/>
      <c r="AQ286" s="183">
        <f t="shared" ref="AQ286:AR286" si="942">SUM(AQ278:AQ285)</f>
        <v>2500</v>
      </c>
      <c r="AR286" s="51">
        <f t="shared" si="942"/>
        <v>0</v>
      </c>
      <c r="AS286" s="52"/>
      <c r="AT286" s="53"/>
      <c r="AU286" s="183">
        <f t="shared" ref="AU286:AV286" si="943">SUM(AU278:AU285)</f>
        <v>0</v>
      </c>
      <c r="AV286" s="68">
        <f t="shared" si="943"/>
        <v>0</v>
      </c>
      <c r="AW286" s="52"/>
      <c r="AX286" s="53"/>
      <c r="AY286" s="183">
        <f t="shared" ref="AY286:AZ286" si="944">SUM(AY278:AY285)</f>
        <v>0</v>
      </c>
      <c r="AZ286" s="68">
        <f t="shared" si="944"/>
        <v>0</v>
      </c>
      <c r="BA286" s="52"/>
      <c r="BB286" s="53"/>
      <c r="BC286" s="183">
        <f t="shared" ref="BC286:BD286" si="945">SUM(BC278:BC285)</f>
        <v>0</v>
      </c>
      <c r="BD286" s="68">
        <f t="shared" si="945"/>
        <v>0</v>
      </c>
      <c r="BE286" s="69"/>
      <c r="BF286" s="70">
        <f t="shared" ref="BF286:BH286" si="946">SUM(BF278:BF285)</f>
        <v>7729.02</v>
      </c>
      <c r="BG286" s="71">
        <f t="shared" si="946"/>
        <v>5250</v>
      </c>
      <c r="BH286" s="72">
        <f t="shared" si="946"/>
        <v>2491.52</v>
      </c>
      <c r="BI286" s="34">
        <f>H286+BF286-BG286</f>
        <v>2491.52</v>
      </c>
      <c r="BJ286" s="34">
        <f>BH286-BI286</f>
        <v>0</v>
      </c>
      <c r="BK286" s="2" t="b">
        <f>H286='2019'!BH231</f>
        <v>1</v>
      </c>
    </row>
    <row r="287" ht="14.25" customHeight="1" hidden="1" spans="1:63" x14ac:dyDescent="0.25">
      <c r="A287" s="2">
        <v>32</v>
      </c>
      <c r="B287" s="14"/>
      <c r="D287" s="14" t="s">
        <v>379</v>
      </c>
      <c r="F287" s="13"/>
      <c r="G287" s="28"/>
      <c r="H287" s="34">
        <f>'2019'!BH232</f>
        <v>14.05</v>
      </c>
      <c r="J287" s="15"/>
      <c r="K287" s="15"/>
      <c r="L287" s="28"/>
      <c r="Q287" s="13"/>
      <c r="R287" s="15"/>
      <c r="S287" s="15"/>
      <c r="T287" s="28"/>
      <c r="Y287" s="13"/>
      <c r="Z287" s="15"/>
      <c r="AA287" s="15"/>
      <c r="AB287" s="28"/>
      <c r="AG287" s="13"/>
      <c r="AH287" s="15"/>
      <c r="AI287" s="45"/>
      <c r="AJ287" s="15"/>
      <c r="AK287" s="13"/>
      <c r="AM287" s="45"/>
      <c r="AN287" s="138">
        <v>14.05</v>
      </c>
      <c r="AO287" s="13"/>
      <c r="AQ287" s="45"/>
      <c r="AS287" s="13"/>
      <c r="AU287" s="45"/>
      <c r="AW287" s="13"/>
      <c r="AY287" s="45"/>
      <c r="AZ287" s="28"/>
      <c r="BA287" s="13"/>
      <c r="BB287" s="15"/>
      <c r="BC287" s="45"/>
      <c r="BD287" s="28"/>
      <c r="BE287" s="14"/>
      <c r="BF287" s="41">
        <f t="shared" ref="BF287:BG287" si="947">K287+O287+S287+W287+AA287+AE287+AI287+AM287+AQ287+AU287+AY287+BC287</f>
        <v>0</v>
      </c>
      <c r="BG287" s="34">
        <f t="shared" si="947"/>
        <v>14.05</v>
      </c>
      <c r="BH287" s="35">
        <f t="shared" ref="BH287:BH294" si="948">H287+BF287-BG287</f>
        <v>0</v>
      </c>
      <c r="BK287" s="2" t="b">
        <f>H287='2019'!BH232</f>
        <v>1</v>
      </c>
    </row>
    <row r="288" ht="14.25" customHeight="1" hidden="1" spans="1:63" x14ac:dyDescent="0.25">
      <c r="A288" s="2">
        <v>32</v>
      </c>
      <c r="B288" s="14">
        <v>3.96</v>
      </c>
      <c r="C288" s="2" t="s">
        <v>152</v>
      </c>
      <c r="D288" s="14" t="s">
        <v>44</v>
      </c>
      <c r="E288" s="2" t="s">
        <v>45</v>
      </c>
      <c r="F288" s="41">
        <v>2.5</v>
      </c>
      <c r="G288" s="35">
        <v>2.6</v>
      </c>
      <c r="H288" s="34">
        <f>'2019'!BH233</f>
        <v>37.5</v>
      </c>
      <c r="I288" s="13">
        <v>677</v>
      </c>
      <c r="J288" s="15">
        <f>I288-'2019'!BA233</f>
        <v>0</v>
      </c>
      <c r="K288" s="34">
        <f>J288*$F$8</f>
        <v>0</v>
      </c>
      <c r="L288" s="28"/>
      <c r="M288" s="2">
        <v>677</v>
      </c>
      <c r="N288" s="15">
        <f>M288-I288</f>
        <v>0</v>
      </c>
      <c r="O288" s="34">
        <f>N288*$F$8</f>
        <v>0</v>
      </c>
      <c r="Q288" s="13">
        <v>677</v>
      </c>
      <c r="R288" s="15">
        <f>Q288-M288</f>
        <v>0</v>
      </c>
      <c r="S288" s="34">
        <f>R288*$F$8</f>
        <v>0</v>
      </c>
      <c r="T288" s="28"/>
      <c r="U288" s="15">
        <v>689</v>
      </c>
      <c r="V288" s="15">
        <f>U288-Q288</f>
        <v>12</v>
      </c>
      <c r="W288" s="34">
        <f>V288*$F$8</f>
        <v>30</v>
      </c>
      <c r="X288" s="133">
        <v>100</v>
      </c>
      <c r="Y288" s="13">
        <v>741</v>
      </c>
      <c r="Z288" s="15">
        <f t="shared" ref="Z288:Z289" si="949">Y288-U288</f>
        <v>52</v>
      </c>
      <c r="AA288" s="34">
        <f>Z288*$F$8</f>
        <v>130</v>
      </c>
      <c r="AB288" s="28"/>
      <c r="AC288" s="15">
        <v>793</v>
      </c>
      <c r="AD288" s="15">
        <f t="shared" ref="AD288:AD289" si="950">AC288-Y288</f>
        <v>52</v>
      </c>
      <c r="AE288" s="34">
        <f>AD288*$F$8</f>
        <v>130</v>
      </c>
      <c r="AF288" s="133">
        <f>97.5+66.5</f>
        <v>164</v>
      </c>
      <c r="AG288" s="13">
        <v>865</v>
      </c>
      <c r="AH288" s="15">
        <f t="shared" ref="AH288:AH289" si="951">AG288-AC288</f>
        <v>72</v>
      </c>
      <c r="AI288" s="45">
        <f>AH288*$G$8</f>
        <v>187.2</v>
      </c>
      <c r="AJ288" s="2"/>
      <c r="AK288" s="13">
        <v>932</v>
      </c>
      <c r="AL288" s="15">
        <f t="shared" ref="AL288:AL289" si="952">AK288-AG288</f>
        <v>67</v>
      </c>
      <c r="AM288" s="45">
        <f>AL288*$G$8</f>
        <v>174.2</v>
      </c>
      <c r="AN288" s="138">
        <f>250.7+0.25</f>
        <v>250.95</v>
      </c>
      <c r="AO288" s="13">
        <v>981</v>
      </c>
      <c r="AP288" s="15">
        <f t="shared" ref="AP288:AP289" si="953">AO288-AK288</f>
        <v>49</v>
      </c>
      <c r="AQ288" s="45">
        <f>AP288*$G$8</f>
        <v>127.4</v>
      </c>
      <c r="AR288" s="15"/>
      <c r="AS288" s="13">
        <v>991</v>
      </c>
      <c r="AT288" s="15">
        <f t="shared" ref="AT288:AT289" si="954">AS288-AO288</f>
        <v>10</v>
      </c>
      <c r="AU288" s="45">
        <f>AT288*$G$8</f>
        <v>26</v>
      </c>
      <c r="AV288" s="15"/>
      <c r="AW288" s="13">
        <v>991</v>
      </c>
      <c r="AX288" s="2">
        <f t="shared" ref="AX288:AX289" si="955">AW288-AS288</f>
        <v>0</v>
      </c>
      <c r="AY288" s="45">
        <f>AX288*$G$8</f>
        <v>0</v>
      </c>
      <c r="AZ288" s="208"/>
      <c r="BA288" s="13">
        <v>991</v>
      </c>
      <c r="BB288" s="15">
        <f t="shared" ref="BB288:BB289" si="956">BA288-AW288</f>
        <v>0</v>
      </c>
      <c r="BC288" s="45">
        <f>BB288*$G$8</f>
        <v>0</v>
      </c>
      <c r="BD288" s="208"/>
      <c r="BE288" s="40">
        <f t="shared" ref="BE288:BG288" si="957">J288+N288+R288+V288+Z288+AD288+AH288+AL288+AP288+AT288+AX288+BB288</f>
        <v>314</v>
      </c>
      <c r="BF288" s="41">
        <f t="shared" si="957"/>
        <v>804.8</v>
      </c>
      <c r="BG288" s="34">
        <f t="shared" si="957"/>
        <v>514.95</v>
      </c>
      <c r="BH288" s="35">
        <f t="shared" si="948"/>
        <v>327.35</v>
      </c>
      <c r="BK288" s="2" t="b">
        <f>H288='2019'!BH233</f>
        <v>1</v>
      </c>
    </row>
    <row r="289" ht="14.25" customHeight="1" hidden="1" spans="1:63" x14ac:dyDescent="0.25">
      <c r="A289" s="2">
        <v>32</v>
      </c>
      <c r="B289" s="14"/>
      <c r="C289" s="2" t="s">
        <v>153</v>
      </c>
      <c r="D289" s="14" t="s">
        <v>47</v>
      </c>
      <c r="E289" s="2" t="s">
        <v>48</v>
      </c>
      <c r="F289" s="13">
        <v>18.56</v>
      </c>
      <c r="G289" s="35">
        <v>19.46</v>
      </c>
      <c r="H289" s="34">
        <f>'2019'!BH234</f>
        <v>0</v>
      </c>
      <c r="I289" s="15"/>
      <c r="J289" s="15"/>
      <c r="K289" s="15"/>
      <c r="L289" s="28"/>
      <c r="Q289" s="13"/>
      <c r="R289" s="15"/>
      <c r="S289" s="15"/>
      <c r="T289" s="28"/>
      <c r="W289" s="34">
        <f>V289*$F$10</f>
        <v>0</v>
      </c>
      <c r="Y289" s="13"/>
      <c r="Z289" s="15">
        <f t="shared" si="949"/>
        <v>0</v>
      </c>
      <c r="AA289" s="34">
        <f>Z289*$F$10</f>
        <v>0</v>
      </c>
      <c r="AB289" s="28"/>
      <c r="AC289" s="15"/>
      <c r="AD289" s="15">
        <f t="shared" si="950"/>
        <v>0</v>
      </c>
      <c r="AE289" s="34">
        <f>AD289*$F$10</f>
        <v>0</v>
      </c>
      <c r="AG289" s="13"/>
      <c r="AH289" s="15">
        <f t="shared" si="951"/>
        <v>0</v>
      </c>
      <c r="AI289" s="45">
        <f>AH289*$G$10</f>
        <v>0</v>
      </c>
      <c r="AJ289" s="15"/>
      <c r="AK289" s="13"/>
      <c r="AL289" s="15">
        <f t="shared" si="952"/>
        <v>0</v>
      </c>
      <c r="AM289" s="45">
        <f>AL289*$G$10</f>
        <v>0</v>
      </c>
      <c r="AN289" s="15"/>
      <c r="AO289" s="13"/>
      <c r="AP289" s="15">
        <f t="shared" si="953"/>
        <v>0</v>
      </c>
      <c r="AQ289" s="45">
        <f>AP289*$G$10</f>
        <v>0</v>
      </c>
      <c r="AR289" s="15"/>
      <c r="AS289" s="13"/>
      <c r="AT289" s="15">
        <f t="shared" si="954"/>
        <v>0</v>
      </c>
      <c r="AU289" s="45">
        <f>AT289*$G$10</f>
        <v>0</v>
      </c>
      <c r="AV289" s="15"/>
      <c r="AW289" s="13"/>
      <c r="AX289" s="2">
        <f t="shared" si="955"/>
        <v>0</v>
      </c>
      <c r="AY289" s="45"/>
      <c r="AZ289" s="208"/>
      <c r="BA289" s="13"/>
      <c r="BB289" s="15">
        <f t="shared" si="956"/>
        <v>0</v>
      </c>
      <c r="BC289" s="45"/>
      <c r="BD289" s="208"/>
      <c r="BE289" s="40">
        <f t="shared" ref="BE289:BG289" si="958">J289+N289+R289+V289+Z289+AD289+AH289+AL289+AP289+AT289+AX289+BB289</f>
        <v>0</v>
      </c>
      <c r="BF289" s="41">
        <f t="shared" si="958"/>
        <v>0</v>
      </c>
      <c r="BG289" s="34">
        <f t="shared" si="958"/>
        <v>0</v>
      </c>
      <c r="BH289" s="35">
        <f t="shared" si="948"/>
        <v>0</v>
      </c>
      <c r="BK289" s="2" t="b">
        <f>H289='2019'!BH234</f>
        <v>1</v>
      </c>
    </row>
    <row r="290" ht="14.25" customHeight="1" hidden="1" spans="1:63" x14ac:dyDescent="0.25">
      <c r="A290" s="2">
        <v>32</v>
      </c>
      <c r="B290" s="14"/>
      <c r="C290" s="15" t="s">
        <v>122</v>
      </c>
      <c r="D290" s="14" t="s">
        <v>47</v>
      </c>
      <c r="E290" s="2" t="s">
        <v>49</v>
      </c>
      <c r="F290" s="41">
        <v>500</v>
      </c>
      <c r="G290" s="28"/>
      <c r="H290" s="77">
        <f>'2019'!BH235</f>
        <v>0</v>
      </c>
      <c r="I290" s="15"/>
      <c r="J290" s="15"/>
      <c r="K290" s="15"/>
      <c r="L290" s="28"/>
      <c r="Q290" s="13"/>
      <c r="R290" s="15"/>
      <c r="S290" s="15"/>
      <c r="T290" s="28"/>
      <c r="Y290" s="13"/>
      <c r="Z290" s="15"/>
      <c r="AA290" s="34">
        <f>B288*$F$11</f>
        <v>1980</v>
      </c>
      <c r="AB290" s="28"/>
      <c r="AC290" s="15"/>
      <c r="AF290" s="133">
        <v>1980</v>
      </c>
      <c r="AG290" s="13"/>
      <c r="AH290" s="15"/>
      <c r="AI290" s="45"/>
      <c r="AJ290" s="180"/>
      <c r="AK290" s="13"/>
      <c r="AL290" s="15"/>
      <c r="AM290" s="45"/>
      <c r="AN290" s="15"/>
      <c r="AO290" s="13"/>
      <c r="AP290" s="15"/>
      <c r="AQ290" s="45"/>
      <c r="AR290" s="15"/>
      <c r="AS290" s="13"/>
      <c r="AT290" s="15"/>
      <c r="AU290" s="45"/>
      <c r="AV290" s="15"/>
      <c r="AW290" s="13"/>
      <c r="AY290" s="45"/>
      <c r="AZ290" s="28"/>
      <c r="BA290" s="13"/>
      <c r="BB290" s="15"/>
      <c r="BC290" s="45"/>
      <c r="BD290" s="28"/>
      <c r="BE290" s="14"/>
      <c r="BF290" s="41">
        <f t="shared" ref="BF290:BG290" si="959">K290+O290+S290+W290+AA290+AE290+AI290+AM290+AQ290+AU290+AY290+BC290</f>
        <v>1980</v>
      </c>
      <c r="BG290" s="34">
        <f t="shared" si="959"/>
        <v>1980</v>
      </c>
      <c r="BH290" s="35">
        <f t="shared" si="948"/>
        <v>0</v>
      </c>
      <c r="BK290" s="2" t="b">
        <f>H290='2019'!BH235</f>
        <v>1</v>
      </c>
    </row>
    <row r="291" ht="14.25" customHeight="1" hidden="1" spans="1:63" x14ac:dyDescent="0.25">
      <c r="A291" s="2">
        <v>32</v>
      </c>
      <c r="B291" s="14"/>
      <c r="C291" s="15" t="s">
        <v>397</v>
      </c>
      <c r="D291" s="14" t="s">
        <v>50</v>
      </c>
      <c r="E291" s="2" t="s">
        <v>49</v>
      </c>
      <c r="F291" s="41">
        <v>1100</v>
      </c>
      <c r="G291" s="28"/>
      <c r="H291" s="182">
        <f>'2019'!BH236-0.0048</f>
        <v>0</v>
      </c>
      <c r="I291" s="15"/>
      <c r="J291" s="15"/>
      <c r="K291" s="15"/>
      <c r="L291" s="28"/>
      <c r="Q291" s="13"/>
      <c r="R291" s="15"/>
      <c r="S291" s="15"/>
      <c r="T291" s="28"/>
      <c r="Y291" s="13"/>
      <c r="Z291" s="15"/>
      <c r="AA291" s="15"/>
      <c r="AB291" s="28"/>
      <c r="AE291" s="34">
        <f>B288*$F$12</f>
        <v>4356</v>
      </c>
      <c r="AF291" s="133">
        <v>4356</v>
      </c>
      <c r="AG291" s="13"/>
      <c r="AH291" s="15"/>
      <c r="AI291" s="45"/>
      <c r="AJ291" s="39"/>
      <c r="AK291" s="13"/>
      <c r="AL291" s="15"/>
      <c r="AM291" s="45"/>
      <c r="AN291" s="15"/>
      <c r="AO291" s="13"/>
      <c r="AP291" s="15"/>
      <c r="AQ291" s="45"/>
      <c r="AR291" s="15"/>
      <c r="AS291" s="13"/>
      <c r="AT291" s="15"/>
      <c r="AU291" s="45"/>
      <c r="AV291" s="15"/>
      <c r="AW291" s="13"/>
      <c r="AY291" s="45"/>
      <c r="AZ291" s="28"/>
      <c r="BA291" s="13"/>
      <c r="BB291" s="15"/>
      <c r="BC291" s="45"/>
      <c r="BD291" s="28"/>
      <c r="BE291" s="14"/>
      <c r="BF291" s="41">
        <f t="shared" ref="BF291:BG291" si="960">K291+O291+S291+W291+AA291+AE291+AI291+AM291+AQ291+AU291+AY291+BC291</f>
        <v>4356</v>
      </c>
      <c r="BG291" s="34">
        <f t="shared" si="960"/>
        <v>4356</v>
      </c>
      <c r="BH291" s="35">
        <f t="shared" si="948"/>
        <v>0</v>
      </c>
      <c r="BK291" s="2" t="b">
        <f>H291='2019'!BH236</f>
        <v>0</v>
      </c>
    </row>
    <row r="292" ht="14.25" customHeight="1" hidden="1" spans="1:63" x14ac:dyDescent="0.25">
      <c r="A292" s="2">
        <v>32</v>
      </c>
      <c r="B292" s="14"/>
      <c r="D292" s="14" t="s">
        <v>51</v>
      </c>
      <c r="E292" s="2" t="s">
        <v>39</v>
      </c>
      <c r="F292" s="41">
        <v>500</v>
      </c>
      <c r="G292" s="28"/>
      <c r="H292" s="34">
        <f>'2019'!BH237</f>
        <v>0</v>
      </c>
      <c r="I292" s="15"/>
      <c r="J292" s="15"/>
      <c r="K292" s="15"/>
      <c r="L292" s="28"/>
      <c r="Q292" s="13"/>
      <c r="R292" s="15"/>
      <c r="S292" s="15"/>
      <c r="T292" s="28"/>
      <c r="Y292" s="13"/>
      <c r="Z292" s="15"/>
      <c r="AA292" s="15"/>
      <c r="AB292" s="28"/>
      <c r="AE292" s="34"/>
      <c r="AG292" s="13"/>
      <c r="AH292" s="15"/>
      <c r="AI292" s="45"/>
      <c r="AJ292" s="15"/>
      <c r="AK292" s="13"/>
      <c r="AL292" s="15"/>
      <c r="AM292" s="45"/>
      <c r="AN292" s="15"/>
      <c r="AO292" s="13"/>
      <c r="AP292" s="15"/>
      <c r="AQ292" s="45">
        <f>$F$13</f>
        <v>500</v>
      </c>
      <c r="AR292" s="15"/>
      <c r="AS292" s="13"/>
      <c r="AT292" s="15"/>
      <c r="AU292" s="45"/>
      <c r="AV292" s="15"/>
      <c r="AW292" s="13"/>
      <c r="AY292" s="45"/>
      <c r="AZ292" s="28"/>
      <c r="BA292" s="13"/>
      <c r="BB292" s="15"/>
      <c r="BC292" s="45"/>
      <c r="BD292" s="28"/>
      <c r="BE292" s="14"/>
      <c r="BF292" s="41">
        <f t="shared" ref="BF292:BG292" si="961">K292+O292+S292+W292+AA292+AE292+AI292+AM292+AQ292+AU292+AY292+BC292</f>
        <v>500</v>
      </c>
      <c r="BG292" s="34">
        <f t="shared" si="961"/>
        <v>0</v>
      </c>
      <c r="BH292" s="35">
        <f t="shared" si="948"/>
        <v>500</v>
      </c>
      <c r="BK292" s="2" t="b">
        <f>H292='2019'!BH237</f>
        <v>1</v>
      </c>
    </row>
    <row r="293" ht="14.25" customHeight="1" hidden="1" spans="1:60" x14ac:dyDescent="0.25">
      <c r="A293" s="2">
        <v>32</v>
      </c>
      <c r="B293" s="14"/>
      <c r="D293" s="14" t="s">
        <v>51</v>
      </c>
      <c r="E293" s="2" t="s">
        <v>49</v>
      </c>
      <c r="F293" s="41">
        <v>500</v>
      </c>
      <c r="G293" s="28"/>
      <c r="H293" s="34"/>
      <c r="I293" s="15"/>
      <c r="J293" s="15"/>
      <c r="K293" s="15"/>
      <c r="L293" s="28"/>
      <c r="Q293" s="13"/>
      <c r="R293" s="15"/>
      <c r="S293" s="15"/>
      <c r="T293" s="28"/>
      <c r="Y293" s="13"/>
      <c r="Z293" s="15"/>
      <c r="AA293" s="15"/>
      <c r="AB293" s="28"/>
      <c r="AE293" s="34"/>
      <c r="AG293" s="13"/>
      <c r="AH293" s="15"/>
      <c r="AI293" s="45"/>
      <c r="AJ293" s="15"/>
      <c r="AK293" s="13"/>
      <c r="AL293" s="15"/>
      <c r="AM293" s="45"/>
      <c r="AN293" s="15"/>
      <c r="AO293" s="13"/>
      <c r="AP293" s="15"/>
      <c r="AQ293" s="34">
        <f>B288*$F$14</f>
        <v>1980</v>
      </c>
      <c r="AR293" s="15"/>
      <c r="AS293" s="13"/>
      <c r="AT293" s="15"/>
      <c r="AU293" s="45"/>
      <c r="AV293" s="15"/>
      <c r="AW293" s="13"/>
      <c r="AY293" s="45"/>
      <c r="AZ293" s="28"/>
      <c r="BA293" s="13"/>
      <c r="BB293" s="15"/>
      <c r="BC293" s="45"/>
      <c r="BD293" s="28"/>
      <c r="BE293" s="14"/>
      <c r="BF293" s="41">
        <f t="shared" ref="BF293:BG293" si="962">K293+O293+S293+W293+AA293+AE293+AI293+AM293+AQ293+AU293+AY293+BC293</f>
        <v>1980</v>
      </c>
      <c r="BG293" s="34">
        <f t="shared" si="962"/>
        <v>0</v>
      </c>
      <c r="BH293" s="35">
        <f t="shared" si="948"/>
        <v>1980</v>
      </c>
    </row>
    <row r="294" ht="14.25" customHeight="1" hidden="1" spans="1:63" x14ac:dyDescent="0.25">
      <c r="A294" s="2">
        <v>32</v>
      </c>
      <c r="B294" s="14"/>
      <c r="D294" s="14" t="s">
        <v>52</v>
      </c>
      <c r="E294" s="2" t="s">
        <v>39</v>
      </c>
      <c r="F294" s="41">
        <v>500</v>
      </c>
      <c r="G294" s="28"/>
      <c r="H294" s="34">
        <f>'2019'!BH238</f>
        <v>0</v>
      </c>
      <c r="I294" s="15"/>
      <c r="J294" s="15"/>
      <c r="K294" s="15"/>
      <c r="L294" s="28"/>
      <c r="Q294" s="13"/>
      <c r="R294" s="15"/>
      <c r="S294" s="15"/>
      <c r="T294" s="28"/>
      <c r="Y294" s="13"/>
      <c r="Z294" s="15"/>
      <c r="AA294" s="34"/>
      <c r="AB294" s="28"/>
      <c r="AG294" s="13"/>
      <c r="AH294" s="15"/>
      <c r="AI294" s="45"/>
      <c r="AJ294" s="15"/>
      <c r="AK294" s="13"/>
      <c r="AL294" s="15"/>
      <c r="AM294" s="45"/>
      <c r="AN294" s="15"/>
      <c r="AO294" s="13"/>
      <c r="AP294" s="15"/>
      <c r="AQ294" s="45"/>
      <c r="AR294" s="15"/>
      <c r="AS294" s="13"/>
      <c r="AT294" s="15"/>
      <c r="AU294" s="45"/>
      <c r="AV294" s="15"/>
      <c r="AW294" s="13"/>
      <c r="AY294" s="45"/>
      <c r="AZ294" s="35"/>
      <c r="BA294" s="13"/>
      <c r="BB294" s="15"/>
      <c r="BC294" s="45"/>
      <c r="BD294" s="35"/>
      <c r="BE294" s="14"/>
      <c r="BF294" s="41">
        <f t="shared" ref="BF294:BG294" si="963">K294+O294+S294+W294+AA294+AE294+AI294+AM294+AQ294+AU294+AY294+BC294</f>
        <v>0</v>
      </c>
      <c r="BG294" s="34">
        <f t="shared" si="963"/>
        <v>0</v>
      </c>
      <c r="BH294" s="35">
        <f t="shared" si="948"/>
        <v>0</v>
      </c>
      <c r="BK294" s="2" t="b">
        <f>H294='2019'!BH238</f>
        <v>1</v>
      </c>
    </row>
    <row r="295" ht="14.25" customHeight="1" hidden="1" spans="1:63" x14ac:dyDescent="0.25">
      <c r="A295" s="253">
        <v>32</v>
      </c>
      <c r="B295" s="21"/>
      <c r="C295" s="22" t="s">
        <v>53</v>
      </c>
      <c r="D295" s="21"/>
      <c r="E295" s="22"/>
      <c r="F295" s="20"/>
      <c r="G295" s="23"/>
      <c r="H295" s="51">
        <f>SUM(H287:H294)</f>
        <v>51.55</v>
      </c>
      <c r="I295" s="53"/>
      <c r="J295" s="53"/>
      <c r="K295" s="51">
        <f t="shared" ref="K295:L295" si="964">SUM(K287:K294)</f>
        <v>0</v>
      </c>
      <c r="L295" s="68">
        <f t="shared" si="964"/>
        <v>0</v>
      </c>
      <c r="M295" s="53"/>
      <c r="N295" s="53"/>
      <c r="O295" s="51">
        <f t="shared" ref="O295:P295" si="965">SUM(O287:O294)</f>
        <v>0</v>
      </c>
      <c r="P295" s="51">
        <f t="shared" si="965"/>
        <v>0</v>
      </c>
      <c r="Q295" s="52"/>
      <c r="R295" s="53"/>
      <c r="S295" s="51">
        <f t="shared" ref="S295:T295" si="966">SUM(S287:S294)</f>
        <v>0</v>
      </c>
      <c r="T295" s="51">
        <f t="shared" si="966"/>
        <v>0</v>
      </c>
      <c r="U295" s="52"/>
      <c r="V295" s="53"/>
      <c r="W295" s="51">
        <f t="shared" ref="W295:X295" si="967">SUM(W287:W294)</f>
        <v>30</v>
      </c>
      <c r="X295" s="51">
        <f t="shared" si="967"/>
        <v>100</v>
      </c>
      <c r="Y295" s="52"/>
      <c r="Z295" s="53"/>
      <c r="AA295" s="51">
        <f t="shared" ref="AA295:AB295" si="968">SUM(AA287:AA294)</f>
        <v>2110</v>
      </c>
      <c r="AB295" s="51">
        <f t="shared" si="968"/>
        <v>0</v>
      </c>
      <c r="AC295" s="52"/>
      <c r="AD295" s="53"/>
      <c r="AE295" s="51">
        <f t="shared" ref="AE295:AF295" si="969">SUM(AE287:AE294)</f>
        <v>4486</v>
      </c>
      <c r="AF295" s="51">
        <f t="shared" si="969"/>
        <v>6500</v>
      </c>
      <c r="AG295" s="52"/>
      <c r="AH295" s="53"/>
      <c r="AI295" s="183">
        <f t="shared" ref="AI295:AJ295" si="970">SUM(AI287:AI294)</f>
        <v>187.2</v>
      </c>
      <c r="AJ295" s="51">
        <f t="shared" si="970"/>
        <v>0</v>
      </c>
      <c r="AK295" s="52"/>
      <c r="AL295" s="53"/>
      <c r="AM295" s="183">
        <f t="shared" ref="AM295:AN295" si="971">SUM(AM287:AM294)</f>
        <v>174.2</v>
      </c>
      <c r="AN295" s="51">
        <f t="shared" si="971"/>
        <v>265</v>
      </c>
      <c r="AO295" s="52"/>
      <c r="AP295" s="53"/>
      <c r="AQ295" s="183">
        <f t="shared" ref="AQ295:AR295" si="972">SUM(AQ287:AQ294)</f>
        <v>2607.4</v>
      </c>
      <c r="AR295" s="51">
        <f t="shared" si="972"/>
        <v>0</v>
      </c>
      <c r="AS295" s="52"/>
      <c r="AT295" s="53"/>
      <c r="AU295" s="183">
        <f t="shared" ref="AU295:AV295" si="973">SUM(AU287:AU294)</f>
        <v>26</v>
      </c>
      <c r="AV295" s="68">
        <f t="shared" si="973"/>
        <v>0</v>
      </c>
      <c r="AW295" s="52"/>
      <c r="AX295" s="53"/>
      <c r="AY295" s="183">
        <f t="shared" ref="AY295:AZ295" si="974">SUM(AY287:AY294)</f>
        <v>0</v>
      </c>
      <c r="AZ295" s="68">
        <f t="shared" si="974"/>
        <v>0</v>
      </c>
      <c r="BA295" s="52"/>
      <c r="BB295" s="53"/>
      <c r="BC295" s="183">
        <f t="shared" ref="BC295:BD295" si="975">SUM(BC287:BC294)</f>
        <v>0</v>
      </c>
      <c r="BD295" s="68">
        <f t="shared" si="975"/>
        <v>0</v>
      </c>
      <c r="BE295" s="69"/>
      <c r="BF295" s="70">
        <f t="shared" ref="BF295:BH295" si="976">SUM(BF287:BF294)</f>
        <v>9620.8</v>
      </c>
      <c r="BG295" s="71">
        <f t="shared" si="976"/>
        <v>6865</v>
      </c>
      <c r="BH295" s="72">
        <f t="shared" si="976"/>
        <v>2807.35</v>
      </c>
      <c r="BI295" s="34">
        <f>H295+BF295-BG295</f>
        <v>2807.35</v>
      </c>
      <c r="BJ295" s="34">
        <f>BH295-BI295</f>
        <v>0</v>
      </c>
      <c r="BK295" s="2" t="b">
        <f>H295='2019'!BH239</f>
        <v>0</v>
      </c>
    </row>
    <row r="296" ht="14.25" customHeight="1" hidden="1" spans="1:63" x14ac:dyDescent="0.25">
      <c r="A296" s="2">
        <v>33</v>
      </c>
      <c r="B296" s="14"/>
      <c r="D296" s="14" t="s">
        <v>379</v>
      </c>
      <c r="F296" s="13"/>
      <c r="G296" s="28"/>
      <c r="H296" s="34">
        <f>'2019'!BH240</f>
        <v>51.37</v>
      </c>
      <c r="J296" s="15"/>
      <c r="K296" s="34">
        <v>2.8</v>
      </c>
      <c r="L296" s="28"/>
      <c r="O296" s="2">
        <v>2.62</v>
      </c>
      <c r="Q296" s="13"/>
      <c r="R296" s="15"/>
      <c r="S296" s="34">
        <v>2.8</v>
      </c>
      <c r="T296" s="28"/>
      <c r="W296" s="2">
        <v>2.71</v>
      </c>
      <c r="Y296" s="13"/>
      <c r="Z296" s="15"/>
      <c r="AA296" s="34">
        <v>2.8</v>
      </c>
      <c r="AB296" s="28"/>
      <c r="AE296" s="2">
        <v>2.71</v>
      </c>
      <c r="AG296" s="13"/>
      <c r="AH296" s="15"/>
      <c r="AI296" s="45">
        <v>2.8</v>
      </c>
      <c r="AJ296" s="15"/>
      <c r="AK296" s="13"/>
      <c r="AM296" s="45">
        <v>2.8</v>
      </c>
      <c r="AO296" s="13"/>
      <c r="AQ296" s="45">
        <v>15.95</v>
      </c>
      <c r="AS296" s="13"/>
      <c r="AU296" s="45">
        <v>16.48</v>
      </c>
      <c r="AW296" s="13"/>
      <c r="AY296" s="45">
        <v>15.95</v>
      </c>
      <c r="AZ296" s="28"/>
      <c r="BA296" s="13"/>
      <c r="BB296" s="15"/>
      <c r="BC296" s="45">
        <v>16.48</v>
      </c>
      <c r="BD296" s="28"/>
      <c r="BE296" s="14"/>
      <c r="BF296" s="41">
        <f t="shared" ref="BF296:BG296" si="977">K296+O296+S296+W296+AA296+AE296+AI296+AM296+AQ296+AU296+AY296+BC296</f>
        <v>86.9</v>
      </c>
      <c r="BG296" s="34">
        <f t="shared" si="977"/>
        <v>0</v>
      </c>
      <c r="BH296" s="35">
        <f t="shared" ref="BH296:BH303" si="978">H296+BF296-BG296</f>
        <v>138.27</v>
      </c>
      <c r="BK296" s="2" t="b">
        <f>H296='2019'!BH240</f>
        <v>1</v>
      </c>
    </row>
    <row r="297" ht="14.25" customHeight="1" hidden="1" spans="1:63" x14ac:dyDescent="0.25">
      <c r="A297" s="2">
        <v>33</v>
      </c>
      <c r="B297" s="14">
        <v>4.01</v>
      </c>
      <c r="C297" s="2" t="s">
        <v>154</v>
      </c>
      <c r="D297" s="14" t="s">
        <v>44</v>
      </c>
      <c r="E297" s="2" t="s">
        <v>45</v>
      </c>
      <c r="F297" s="41">
        <v>2.5</v>
      </c>
      <c r="G297" s="35">
        <v>2.6</v>
      </c>
      <c r="H297" s="34">
        <f>'2019'!BH241</f>
        <v>82.49</v>
      </c>
      <c r="I297" s="13">
        <v>33</v>
      </c>
      <c r="J297" s="15">
        <f>I297-'2019'!BA241</f>
        <v>0</v>
      </c>
      <c r="K297" s="34">
        <f>J297*$F$8</f>
        <v>0</v>
      </c>
      <c r="L297" s="28"/>
      <c r="M297" s="2">
        <v>33</v>
      </c>
      <c r="N297" s="15">
        <f>M297-I297</f>
        <v>0</v>
      </c>
      <c r="O297" s="34">
        <f>N297*$F$8</f>
        <v>0</v>
      </c>
      <c r="Q297" s="13">
        <v>33</v>
      </c>
      <c r="R297" s="15">
        <f>Q297-M297</f>
        <v>0</v>
      </c>
      <c r="S297" s="34">
        <f>R297*$F$8</f>
        <v>0</v>
      </c>
      <c r="T297" s="28"/>
      <c r="U297" s="15">
        <v>33</v>
      </c>
      <c r="V297" s="15">
        <f t="shared" ref="V297:V298" si="979">U297-Q297</f>
        <v>0</v>
      </c>
      <c r="W297" s="34">
        <f>V297*$F$8</f>
        <v>0</v>
      </c>
      <c r="Y297" s="13">
        <v>33</v>
      </c>
      <c r="Z297" s="15">
        <f t="shared" ref="Z297:Z298" si="980">Y297-U297</f>
        <v>0</v>
      </c>
      <c r="AA297" s="34">
        <f>Z297*$F$8</f>
        <v>0</v>
      </c>
      <c r="AB297" s="28"/>
      <c r="AC297" s="13">
        <v>33</v>
      </c>
      <c r="AD297" s="15">
        <f t="shared" ref="AD297:AD298" si="981">AC297-Y297</f>
        <v>0</v>
      </c>
      <c r="AE297" s="34">
        <f>AD297*$F$8</f>
        <v>0</v>
      </c>
      <c r="AG297" s="13">
        <v>33</v>
      </c>
      <c r="AH297" s="15">
        <f t="shared" ref="AH297:AH298" si="982">AG297-AC297</f>
        <v>0</v>
      </c>
      <c r="AI297" s="45">
        <f>AH297*$G$8</f>
        <v>0</v>
      </c>
      <c r="AJ297" s="15"/>
      <c r="AK297" s="13">
        <v>33</v>
      </c>
      <c r="AL297" s="15">
        <f t="shared" ref="AL297:AL298" si="983">AK297-AG297</f>
        <v>0</v>
      </c>
      <c r="AM297" s="45">
        <f>AL297*$G$8</f>
        <v>0</v>
      </c>
      <c r="AN297" s="15"/>
      <c r="AO297" s="13">
        <v>33</v>
      </c>
      <c r="AP297" s="15">
        <f t="shared" ref="AP297:AP298" si="984">AO297-AK297</f>
        <v>0</v>
      </c>
      <c r="AQ297" s="45">
        <f>AP297*$G$8</f>
        <v>0</v>
      </c>
      <c r="AR297" s="15"/>
      <c r="AS297" s="13">
        <v>33</v>
      </c>
      <c r="AT297" s="15">
        <f t="shared" ref="AT297:AT298" si="985">AS297-AO297</f>
        <v>0</v>
      </c>
      <c r="AU297" s="45">
        <f>AT297*$G$8</f>
        <v>0</v>
      </c>
      <c r="AV297" s="15"/>
      <c r="AW297" s="13">
        <v>33</v>
      </c>
      <c r="AX297" s="2">
        <f t="shared" ref="AX297:AX298" si="986">AW297-AS297</f>
        <v>0</v>
      </c>
      <c r="AY297" s="45">
        <f>AX297*$G$8</f>
        <v>0</v>
      </c>
      <c r="AZ297" s="208"/>
      <c r="BA297" s="13">
        <v>33</v>
      </c>
      <c r="BB297" s="15">
        <f t="shared" ref="BB297:BB298" si="987">BA297-AW297</f>
        <v>0</v>
      </c>
      <c r="BC297" s="45">
        <f>BB297*$G$8</f>
        <v>0</v>
      </c>
      <c r="BD297" s="208"/>
      <c r="BE297" s="40">
        <f t="shared" ref="BE297:BG297" si="988">J297+N297+R297+V297+Z297+AD297+AH297+AL297+AP297+AT297+AX297+BB297</f>
        <v>0</v>
      </c>
      <c r="BF297" s="41">
        <f t="shared" si="988"/>
        <v>0</v>
      </c>
      <c r="BG297" s="34">
        <f t="shared" si="988"/>
        <v>0</v>
      </c>
      <c r="BH297" s="35">
        <f t="shared" si="978"/>
        <v>82.49</v>
      </c>
      <c r="BK297" s="2" t="b">
        <f>H297='2019'!BH241</f>
        <v>1</v>
      </c>
    </row>
    <row r="298" ht="14.25" customHeight="1" hidden="1" spans="1:63" x14ac:dyDescent="0.25">
      <c r="A298" s="2">
        <v>33</v>
      </c>
      <c r="B298" s="14"/>
      <c r="C298" s="2" t="s">
        <v>93</v>
      </c>
      <c r="D298" s="14" t="s">
        <v>47</v>
      </c>
      <c r="E298" s="2" t="s">
        <v>48</v>
      </c>
      <c r="F298" s="13">
        <v>18.56</v>
      </c>
      <c r="G298" s="35">
        <v>19.46</v>
      </c>
      <c r="H298" s="34">
        <f>'2019'!BH242</f>
        <v>71.92</v>
      </c>
      <c r="I298" s="75">
        <v>16</v>
      </c>
      <c r="J298" s="15"/>
      <c r="K298" s="15"/>
      <c r="L298" s="28"/>
      <c r="M298" s="75">
        <v>16</v>
      </c>
      <c r="Q298" s="75">
        <v>16</v>
      </c>
      <c r="R298" s="15"/>
      <c r="S298" s="15"/>
      <c r="T298" s="28"/>
      <c r="U298" s="2">
        <v>21</v>
      </c>
      <c r="V298" s="2">
        <f t="shared" si="979"/>
        <v>5</v>
      </c>
      <c r="W298" s="34">
        <f>V298*$F$10</f>
        <v>92.8</v>
      </c>
      <c r="Y298" s="13">
        <v>21</v>
      </c>
      <c r="Z298" s="15">
        <f t="shared" si="980"/>
        <v>0</v>
      </c>
      <c r="AA298" s="34">
        <f>Z298*$F$10</f>
        <v>0</v>
      </c>
      <c r="AB298" s="28"/>
      <c r="AC298" s="13">
        <v>21</v>
      </c>
      <c r="AD298" s="15">
        <f t="shared" si="981"/>
        <v>0</v>
      </c>
      <c r="AE298" s="34">
        <f>AD298*$F$10</f>
        <v>0</v>
      </c>
      <c r="AG298" s="13">
        <v>22</v>
      </c>
      <c r="AH298" s="15">
        <f t="shared" si="982"/>
        <v>1</v>
      </c>
      <c r="AI298" s="45">
        <f>AH298*$G$10</f>
        <v>19.46</v>
      </c>
      <c r="AJ298" s="15"/>
      <c r="AK298" s="13">
        <v>22</v>
      </c>
      <c r="AL298" s="15">
        <f t="shared" si="983"/>
        <v>0</v>
      </c>
      <c r="AM298" s="45">
        <f>AL298*$G$10</f>
        <v>0</v>
      </c>
      <c r="AN298" s="15"/>
      <c r="AO298" s="13">
        <v>22</v>
      </c>
      <c r="AP298" s="15">
        <f t="shared" si="984"/>
        <v>0</v>
      </c>
      <c r="AQ298" s="45">
        <f>AP298*$G$10</f>
        <v>0</v>
      </c>
      <c r="AR298" s="15"/>
      <c r="AS298" s="13">
        <v>22</v>
      </c>
      <c r="AT298" s="15">
        <f t="shared" si="985"/>
        <v>0</v>
      </c>
      <c r="AU298" s="45">
        <f>AT298*$G$10</f>
        <v>0</v>
      </c>
      <c r="AV298" s="15"/>
      <c r="AW298" s="13">
        <v>22</v>
      </c>
      <c r="AX298" s="2">
        <f t="shared" si="986"/>
        <v>0</v>
      </c>
      <c r="AY298" s="45"/>
      <c r="AZ298" s="208"/>
      <c r="BA298" s="13">
        <v>22</v>
      </c>
      <c r="BB298" s="15">
        <f t="shared" si="987"/>
        <v>0</v>
      </c>
      <c r="BC298" s="45"/>
      <c r="BD298" s="208"/>
      <c r="BE298" s="40">
        <f t="shared" ref="BE298:BG298" si="989">J298+N298+R298+V298+Z298+AD298+AH298+AL298+AP298+AT298+AX298+BB298</f>
        <v>6</v>
      </c>
      <c r="BF298" s="41">
        <f t="shared" si="989"/>
        <v>112.26</v>
      </c>
      <c r="BG298" s="34">
        <f t="shared" si="989"/>
        <v>0</v>
      </c>
      <c r="BH298" s="35">
        <f t="shared" si="978"/>
        <v>184.18</v>
      </c>
      <c r="BK298" s="2" t="b">
        <f>H298='2019'!BH242</f>
        <v>1</v>
      </c>
    </row>
    <row r="299" ht="14.25" customHeight="1" hidden="1" spans="1:63" x14ac:dyDescent="0.25">
      <c r="A299" s="2">
        <v>33</v>
      </c>
      <c r="B299" s="14"/>
      <c r="C299" s="2" t="s">
        <v>68</v>
      </c>
      <c r="D299" s="14" t="s">
        <v>47</v>
      </c>
      <c r="E299" s="2" t="s">
        <v>49</v>
      </c>
      <c r="F299" s="41">
        <v>500</v>
      </c>
      <c r="G299" s="28"/>
      <c r="H299" s="34">
        <f>'2019'!BH243</f>
        <v>1203</v>
      </c>
      <c r="I299" s="15"/>
      <c r="J299" s="15"/>
      <c r="K299" s="15"/>
      <c r="L299" s="28"/>
      <c r="Q299" s="13"/>
      <c r="R299" s="15"/>
      <c r="S299" s="15"/>
      <c r="T299" s="28"/>
      <c r="Y299" s="13"/>
      <c r="Z299" s="15"/>
      <c r="AA299" s="34"/>
      <c r="AB299" s="28"/>
      <c r="AC299" s="15"/>
      <c r="AG299" s="13"/>
      <c r="AH299" s="15"/>
      <c r="AI299" s="45"/>
      <c r="AJ299" s="15"/>
      <c r="AK299" s="13"/>
      <c r="AL299" s="15"/>
      <c r="AM299" s="45"/>
      <c r="AN299" s="15"/>
      <c r="AO299" s="13"/>
      <c r="AP299" s="15"/>
      <c r="AQ299" s="45"/>
      <c r="AR299" s="15"/>
      <c r="AS299" s="13"/>
      <c r="AT299" s="15"/>
      <c r="AU299" s="45"/>
      <c r="AV299" s="15"/>
      <c r="AW299" s="13"/>
      <c r="AY299" s="45"/>
      <c r="AZ299" s="28"/>
      <c r="BA299" s="13"/>
      <c r="BB299" s="15"/>
      <c r="BC299" s="45"/>
      <c r="BD299" s="28"/>
      <c r="BE299" s="14"/>
      <c r="BF299" s="41">
        <f t="shared" ref="BF299:BG299" si="990">K299+O299+S299+W299+AA299+AE299+AI299+AM299+AQ299+AU299+AY299+BC299</f>
        <v>0</v>
      </c>
      <c r="BG299" s="34">
        <f t="shared" si="990"/>
        <v>0</v>
      </c>
      <c r="BH299" s="35">
        <f t="shared" si="978"/>
        <v>1203</v>
      </c>
      <c r="BK299" s="2" t="b">
        <f>H299='2019'!BH243</f>
        <v>1</v>
      </c>
    </row>
    <row r="300" ht="14.25" customHeight="1" hidden="1" spans="1:63" x14ac:dyDescent="0.25">
      <c r="A300" s="2">
        <v>33</v>
      </c>
      <c r="B300" s="14"/>
      <c r="C300" s="73" t="s">
        <v>398</v>
      </c>
      <c r="D300" s="14" t="s">
        <v>50</v>
      </c>
      <c r="E300" s="2" t="s">
        <v>49</v>
      </c>
      <c r="F300" s="41">
        <v>1100</v>
      </c>
      <c r="G300" s="28"/>
      <c r="H300" s="182">
        <f>'2019'!BH244+0.0012</f>
        <v>-95.57</v>
      </c>
      <c r="I300" s="15"/>
      <c r="J300" s="15"/>
      <c r="K300" s="15"/>
      <c r="L300" s="28"/>
      <c r="Q300" s="13"/>
      <c r="R300" s="15"/>
      <c r="S300" s="15"/>
      <c r="T300" s="28"/>
      <c r="Y300" s="13"/>
      <c r="Z300" s="15"/>
      <c r="AA300" s="15"/>
      <c r="AB300" s="28"/>
      <c r="AE300" s="34">
        <f>B297*$F$12</f>
        <v>4411</v>
      </c>
      <c r="AG300" s="13"/>
      <c r="AH300" s="15"/>
      <c r="AI300" s="45"/>
      <c r="AJ300" s="15"/>
      <c r="AK300" s="13"/>
      <c r="AL300" s="15"/>
      <c r="AM300" s="45"/>
      <c r="AN300" s="15"/>
      <c r="AO300" s="13"/>
      <c r="AP300" s="15"/>
      <c r="AQ300" s="45"/>
      <c r="AR300" s="15"/>
      <c r="AS300" s="13"/>
      <c r="AT300" s="15"/>
      <c r="AU300" s="45"/>
      <c r="AV300" s="15"/>
      <c r="AW300" s="13"/>
      <c r="AY300" s="45"/>
      <c r="AZ300" s="28"/>
      <c r="BA300" s="13"/>
      <c r="BB300" s="15"/>
      <c r="BC300" s="45"/>
      <c r="BD300" s="28"/>
      <c r="BE300" s="14"/>
      <c r="BF300" s="41">
        <f t="shared" ref="BF300:BG300" si="991">K300+O300+S300+W300+AA300+AE300+AI300+AM300+AQ300+AU300+AY300+BC300</f>
        <v>4411</v>
      </c>
      <c r="BG300" s="34">
        <f t="shared" si="991"/>
        <v>0</v>
      </c>
      <c r="BH300" s="35">
        <f t="shared" si="978"/>
        <v>4315.43</v>
      </c>
      <c r="BK300" s="2" t="b">
        <f>H300='2019'!BH244</f>
        <v>0</v>
      </c>
    </row>
    <row r="301" ht="14.25" customHeight="1" hidden="1" spans="1:63" x14ac:dyDescent="0.25">
      <c r="A301" s="2">
        <v>33</v>
      </c>
      <c r="B301" s="14"/>
      <c r="D301" s="14" t="s">
        <v>51</v>
      </c>
      <c r="E301" s="2" t="s">
        <v>39</v>
      </c>
      <c r="F301" s="41">
        <v>500</v>
      </c>
      <c r="G301" s="28"/>
      <c r="H301" s="34">
        <f>'2019'!BH245</f>
        <v>1000</v>
      </c>
      <c r="I301" s="15"/>
      <c r="J301" s="15"/>
      <c r="K301" s="15"/>
      <c r="L301" s="28"/>
      <c r="Q301" s="13"/>
      <c r="R301" s="15"/>
      <c r="S301" s="15"/>
      <c r="T301" s="28"/>
      <c r="Y301" s="13"/>
      <c r="Z301" s="15"/>
      <c r="AA301" s="15"/>
      <c r="AB301" s="28"/>
      <c r="AE301" s="34"/>
      <c r="AG301" s="13"/>
      <c r="AH301" s="15"/>
      <c r="AI301" s="45"/>
      <c r="AJ301" s="15"/>
      <c r="AK301" s="13"/>
      <c r="AL301" s="15"/>
      <c r="AM301" s="45"/>
      <c r="AN301" s="15"/>
      <c r="AO301" s="13"/>
      <c r="AP301" s="15"/>
      <c r="AQ301" s="45">
        <f>$F$13</f>
        <v>500</v>
      </c>
      <c r="AR301" s="15"/>
      <c r="AS301" s="13"/>
      <c r="AT301" s="15"/>
      <c r="AU301" s="45"/>
      <c r="AV301" s="15"/>
      <c r="AW301" s="13"/>
      <c r="AY301" s="45"/>
      <c r="AZ301" s="28"/>
      <c r="BA301" s="13"/>
      <c r="BB301" s="15"/>
      <c r="BC301" s="45"/>
      <c r="BD301" s="28"/>
      <c r="BE301" s="14"/>
      <c r="BF301" s="41">
        <f t="shared" ref="BF301:BG301" si="992">K301+O301+S301+W301+AA301+AE301+AI301+AM301+AQ301+AU301+AY301+BC301</f>
        <v>500</v>
      </c>
      <c r="BG301" s="34">
        <f t="shared" si="992"/>
        <v>0</v>
      </c>
      <c r="BH301" s="35">
        <f t="shared" si="978"/>
        <v>1500</v>
      </c>
      <c r="BK301" s="2" t="b">
        <f>H301='2019'!BH245</f>
        <v>1</v>
      </c>
    </row>
    <row r="302" ht="14.25" customHeight="1" hidden="1" spans="1:60" x14ac:dyDescent="0.25">
      <c r="A302" s="2">
        <v>33</v>
      </c>
      <c r="B302" s="14"/>
      <c r="D302" s="14" t="s">
        <v>51</v>
      </c>
      <c r="E302" s="2" t="s">
        <v>49</v>
      </c>
      <c r="F302" s="41">
        <v>500</v>
      </c>
      <c r="G302" s="28"/>
      <c r="H302" s="34"/>
      <c r="I302" s="15"/>
      <c r="J302" s="15"/>
      <c r="K302" s="15"/>
      <c r="L302" s="28"/>
      <c r="Q302" s="13"/>
      <c r="R302" s="15"/>
      <c r="S302" s="15"/>
      <c r="T302" s="28"/>
      <c r="Y302" s="13"/>
      <c r="Z302" s="15"/>
      <c r="AA302" s="15"/>
      <c r="AB302" s="28"/>
      <c r="AE302" s="34"/>
      <c r="AG302" s="13"/>
      <c r="AH302" s="15"/>
      <c r="AI302" s="45"/>
      <c r="AJ302" s="15"/>
      <c r="AK302" s="13"/>
      <c r="AL302" s="15"/>
      <c r="AM302" s="45"/>
      <c r="AN302" s="15"/>
      <c r="AO302" s="13"/>
      <c r="AP302" s="15"/>
      <c r="AQ302" s="34">
        <f>B297*$F$14</f>
        <v>2005</v>
      </c>
      <c r="AR302" s="15"/>
      <c r="AS302" s="13"/>
      <c r="AT302" s="15"/>
      <c r="AU302" s="45"/>
      <c r="AV302" s="15"/>
      <c r="AW302" s="13"/>
      <c r="AY302" s="45"/>
      <c r="AZ302" s="28"/>
      <c r="BA302" s="13"/>
      <c r="BB302" s="15"/>
      <c r="BC302" s="45"/>
      <c r="BD302" s="28"/>
      <c r="BE302" s="14"/>
      <c r="BF302" s="41">
        <f t="shared" ref="BF302:BG302" si="993">K302+O302+S302+W302+AA302+AE302+AI302+AM302+AQ302+AU302+AY302+BC302</f>
        <v>2005</v>
      </c>
      <c r="BG302" s="34">
        <f t="shared" si="993"/>
        <v>0</v>
      </c>
      <c r="BH302" s="35">
        <f t="shared" si="978"/>
        <v>2005</v>
      </c>
    </row>
    <row r="303" ht="14.25" customHeight="1" hidden="1" spans="1:63" x14ac:dyDescent="0.25">
      <c r="A303" s="2">
        <v>33</v>
      </c>
      <c r="B303" s="14"/>
      <c r="D303" s="14" t="s">
        <v>52</v>
      </c>
      <c r="E303" s="2" t="s">
        <v>39</v>
      </c>
      <c r="F303" s="41">
        <v>500</v>
      </c>
      <c r="G303" s="28"/>
      <c r="H303" s="34">
        <f>'2019'!BH246</f>
        <v>850</v>
      </c>
      <c r="I303" s="15"/>
      <c r="J303" s="15"/>
      <c r="K303" s="15"/>
      <c r="L303" s="28"/>
      <c r="Q303" s="13"/>
      <c r="R303" s="15"/>
      <c r="S303" s="15"/>
      <c r="T303" s="28"/>
      <c r="Y303" s="13"/>
      <c r="Z303" s="15"/>
      <c r="AA303" s="34">
        <f>$F$11</f>
        <v>500</v>
      </c>
      <c r="AB303" s="28"/>
      <c r="AG303" s="13"/>
      <c r="AH303" s="15"/>
      <c r="AI303" s="45"/>
      <c r="AJ303" s="15"/>
      <c r="AK303" s="13"/>
      <c r="AL303" s="15"/>
      <c r="AM303" s="45"/>
      <c r="AN303" s="15"/>
      <c r="AO303" s="13"/>
      <c r="AP303" s="15"/>
      <c r="AQ303" s="45"/>
      <c r="AR303" s="15"/>
      <c r="AS303" s="13"/>
      <c r="AT303" s="15"/>
      <c r="AU303" s="45"/>
      <c r="AV303" s="15"/>
      <c r="AW303" s="13"/>
      <c r="AY303" s="45"/>
      <c r="AZ303" s="35"/>
      <c r="BA303" s="13"/>
      <c r="BB303" s="15"/>
      <c r="BC303" s="45"/>
      <c r="BD303" s="35"/>
      <c r="BE303" s="14"/>
      <c r="BF303" s="41">
        <f t="shared" ref="BF303:BG303" si="994">K303+O303+S303+W303+AA303+AE303+AI303+AM303+AQ303+AU303+AY303+BC303</f>
        <v>500</v>
      </c>
      <c r="BG303" s="34">
        <f t="shared" si="994"/>
        <v>0</v>
      </c>
      <c r="BH303" s="35">
        <f t="shared" si="978"/>
        <v>1350</v>
      </c>
      <c r="BK303" s="2" t="b">
        <f>H303='2019'!BH246</f>
        <v>1</v>
      </c>
    </row>
    <row r="304" ht="14.25" customHeight="1" hidden="1" spans="1:63" x14ac:dyDescent="0.25">
      <c r="A304" s="247">
        <v>33</v>
      </c>
      <c r="B304" s="21"/>
      <c r="C304" s="22" t="s">
        <v>53</v>
      </c>
      <c r="D304" s="21"/>
      <c r="E304" s="22"/>
      <c r="F304" s="20"/>
      <c r="G304" s="23"/>
      <c r="H304" s="51">
        <f>SUM(H296:H303)</f>
        <v>3163.21</v>
      </c>
      <c r="I304" s="53"/>
      <c r="J304" s="53"/>
      <c r="K304" s="51">
        <f t="shared" ref="K304:L304" si="995">SUM(K296:K303)</f>
        <v>2.8</v>
      </c>
      <c r="L304" s="68">
        <f t="shared" si="995"/>
        <v>0</v>
      </c>
      <c r="M304" s="53"/>
      <c r="N304" s="53"/>
      <c r="O304" s="51">
        <f t="shared" ref="O304:P304" si="996">SUM(O296:O303)</f>
        <v>2.62</v>
      </c>
      <c r="P304" s="51">
        <f t="shared" si="996"/>
        <v>0</v>
      </c>
      <c r="Q304" s="52"/>
      <c r="R304" s="53"/>
      <c r="S304" s="51">
        <f t="shared" ref="S304:T304" si="997">SUM(S296:S303)</f>
        <v>2.8</v>
      </c>
      <c r="T304" s="51">
        <f t="shared" si="997"/>
        <v>0</v>
      </c>
      <c r="U304" s="52"/>
      <c r="V304" s="53"/>
      <c r="W304" s="51">
        <f t="shared" ref="W304:X304" si="998">SUM(W296:W303)</f>
        <v>95.51</v>
      </c>
      <c r="X304" s="51">
        <f t="shared" si="998"/>
        <v>0</v>
      </c>
      <c r="Y304" s="52"/>
      <c r="Z304" s="53"/>
      <c r="AA304" s="51">
        <f t="shared" ref="AA304:AB304" si="999">SUM(AA296:AA303)</f>
        <v>502.8</v>
      </c>
      <c r="AB304" s="51">
        <f t="shared" si="999"/>
        <v>0</v>
      </c>
      <c r="AC304" s="52"/>
      <c r="AD304" s="53"/>
      <c r="AE304" s="51">
        <f t="shared" ref="AE304:AF304" si="1000">SUM(AE296:AE303)</f>
        <v>4413.71</v>
      </c>
      <c r="AF304" s="51">
        <f t="shared" si="1000"/>
        <v>0</v>
      </c>
      <c r="AG304" s="52"/>
      <c r="AH304" s="53"/>
      <c r="AI304" s="183">
        <f t="shared" ref="AI304:AJ304" si="1001">SUM(AI296:AI303)</f>
        <v>22.26</v>
      </c>
      <c r="AJ304" s="51">
        <f t="shared" si="1001"/>
        <v>0</v>
      </c>
      <c r="AK304" s="52"/>
      <c r="AL304" s="53"/>
      <c r="AM304" s="183">
        <f t="shared" ref="AM304:AN304" si="1002">SUM(AM296:AM303)</f>
        <v>2.8</v>
      </c>
      <c r="AN304" s="51">
        <f t="shared" si="1002"/>
        <v>0</v>
      </c>
      <c r="AO304" s="52"/>
      <c r="AP304" s="53"/>
      <c r="AQ304" s="183">
        <f t="shared" ref="AQ304:AR304" si="1003">SUM(AQ296:AQ303)</f>
        <v>2520.95</v>
      </c>
      <c r="AR304" s="51">
        <f t="shared" si="1003"/>
        <v>0</v>
      </c>
      <c r="AS304" s="52"/>
      <c r="AT304" s="53"/>
      <c r="AU304" s="183">
        <f t="shared" ref="AU304:AV304" si="1004">SUM(AU296:AU303)</f>
        <v>16.48</v>
      </c>
      <c r="AV304" s="68">
        <f t="shared" si="1004"/>
        <v>0</v>
      </c>
      <c r="AW304" s="52"/>
      <c r="AX304" s="53"/>
      <c r="AY304" s="183">
        <f t="shared" ref="AY304:AZ304" si="1005">SUM(AY296:AY303)</f>
        <v>15.95</v>
      </c>
      <c r="AZ304" s="68">
        <f t="shared" si="1005"/>
        <v>0</v>
      </c>
      <c r="BA304" s="52"/>
      <c r="BB304" s="53"/>
      <c r="BC304" s="183">
        <f t="shared" ref="BC304:BD304" si="1006">SUM(BC296:BC303)</f>
        <v>16.48</v>
      </c>
      <c r="BD304" s="68">
        <f t="shared" si="1006"/>
        <v>0</v>
      </c>
      <c r="BE304" s="69"/>
      <c r="BF304" s="70">
        <f t="shared" ref="BF304:BH304" si="1007">SUM(BF296:BF303)</f>
        <v>7615.16</v>
      </c>
      <c r="BG304" s="71">
        <f t="shared" si="1007"/>
        <v>0</v>
      </c>
      <c r="BH304" s="72">
        <f t="shared" si="1007"/>
        <v>10778.37</v>
      </c>
      <c r="BI304" s="34">
        <f>H304+BF304-BG304</f>
        <v>10778.37</v>
      </c>
      <c r="BJ304" s="34">
        <f>BH304-BI304</f>
        <v>0</v>
      </c>
      <c r="BK304" s="2" t="b">
        <f>H304='2019'!BH247</f>
        <v>0</v>
      </c>
    </row>
    <row r="305" ht="14.25" customHeight="1" hidden="1" spans="1:63" x14ac:dyDescent="0.25">
      <c r="A305" s="2">
        <v>34</v>
      </c>
      <c r="B305" s="14"/>
      <c r="D305" s="178" t="s">
        <v>486</v>
      </c>
      <c r="F305" s="13"/>
      <c r="G305" s="28"/>
      <c r="H305" s="34">
        <f>'2019'!BH248</f>
        <v>70.92</v>
      </c>
      <c r="J305" s="15"/>
      <c r="K305" s="15">
        <v>18.02</v>
      </c>
      <c r="L305" s="28"/>
      <c r="O305" s="2">
        <v>16.85</v>
      </c>
      <c r="Q305" s="13"/>
      <c r="R305" s="15"/>
      <c r="S305" s="15">
        <v>18.02</v>
      </c>
      <c r="T305" s="28"/>
      <c r="W305" s="138">
        <v>77.12</v>
      </c>
      <c r="X305" s="1">
        <v>88</v>
      </c>
      <c r="Y305" s="13"/>
      <c r="Z305" s="15"/>
      <c r="AA305" s="15"/>
      <c r="AB305" s="28"/>
      <c r="AG305" s="13"/>
      <c r="AH305" s="15"/>
      <c r="AI305" s="45"/>
      <c r="AJ305" s="15"/>
      <c r="AK305" s="13"/>
      <c r="AM305" s="45"/>
      <c r="AO305" s="13"/>
      <c r="AQ305" s="45">
        <v>7.23</v>
      </c>
      <c r="AS305" s="13"/>
      <c r="AU305" s="45">
        <v>7.47</v>
      </c>
      <c r="AW305" s="13"/>
      <c r="AY305" s="45">
        <v>7.23</v>
      </c>
      <c r="AZ305" s="28"/>
      <c r="BA305" s="13"/>
      <c r="BB305" s="15"/>
      <c r="BC305" s="45">
        <v>7.47</v>
      </c>
      <c r="BD305" s="28"/>
      <c r="BE305" s="14"/>
      <c r="BF305" s="41">
        <f t="shared" ref="BF305:BG305" si="1008">K305+O305+S305+W305+AA305+AE305+AI305+AM305+AQ305+AU305+AY305+BC305</f>
        <v>159.41</v>
      </c>
      <c r="BG305" s="34">
        <f t="shared" si="1008"/>
        <v>88</v>
      </c>
      <c r="BH305" s="35">
        <f t="shared" ref="BH305:BH312" si="1009">H305+BF305-BG305</f>
        <v>142.33</v>
      </c>
      <c r="BK305" s="2" t="b">
        <f>H305='2019'!BH248</f>
        <v>1</v>
      </c>
    </row>
    <row r="306" ht="15.75" customHeight="1" hidden="1" spans="1:63" x14ac:dyDescent="0.25">
      <c r="A306" s="2">
        <v>34</v>
      </c>
      <c r="B306" s="14">
        <v>4.01</v>
      </c>
      <c r="C306" s="15" t="s">
        <v>155</v>
      </c>
      <c r="D306" s="14" t="s">
        <v>44</v>
      </c>
      <c r="E306" s="2" t="s">
        <v>45</v>
      </c>
      <c r="F306" s="41">
        <v>2.5</v>
      </c>
      <c r="G306" s="35">
        <v>2.6</v>
      </c>
      <c r="H306" s="34">
        <f>'2019'!BH249</f>
        <v>-205.1</v>
      </c>
      <c r="I306" s="13">
        <v>2306</v>
      </c>
      <c r="J306" s="15">
        <f>I306-'2019'!BA249</f>
        <v>0</v>
      </c>
      <c r="K306" s="34">
        <f>J306*$F$8</f>
        <v>0</v>
      </c>
      <c r="L306" s="28"/>
      <c r="M306" s="15">
        <v>2354</v>
      </c>
      <c r="N306" s="15">
        <f>M306-I306</f>
        <v>48</v>
      </c>
      <c r="O306" s="34">
        <f>N306*$F$8</f>
        <v>120</v>
      </c>
      <c r="Q306" s="13">
        <v>2354</v>
      </c>
      <c r="R306" s="15">
        <f>Q306-M306</f>
        <v>0</v>
      </c>
      <c r="S306" s="34">
        <f>R306*$F$8</f>
        <v>0</v>
      </c>
      <c r="T306" s="28"/>
      <c r="U306" s="15">
        <v>2373</v>
      </c>
      <c r="V306" s="15">
        <f t="shared" ref="V306:V307" si="1010">U306-Q306</f>
        <v>19</v>
      </c>
      <c r="W306" s="34">
        <f>V306*$F$8</f>
        <v>47.5</v>
      </c>
      <c r="Y306" s="13">
        <v>2809</v>
      </c>
      <c r="Z306" s="15">
        <f t="shared" ref="Z306:Z307" si="1011">Y306-U306</f>
        <v>436</v>
      </c>
      <c r="AA306" s="34">
        <f>Z306*$F$8</f>
        <v>1090</v>
      </c>
      <c r="AB306" s="28"/>
      <c r="AC306" s="13">
        <v>3132</v>
      </c>
      <c r="AD306" s="15">
        <f t="shared" ref="AD306:AD307" si="1012">AC306-Y306</f>
        <v>323</v>
      </c>
      <c r="AE306" s="34">
        <f>AD306*$F$8</f>
        <v>807.5</v>
      </c>
      <c r="AG306" s="13">
        <v>3374</v>
      </c>
      <c r="AH306" s="15">
        <f t="shared" ref="AH306:AH307" si="1013">AG306-AC306</f>
        <v>242</v>
      </c>
      <c r="AI306" s="45">
        <f>AH306*$G$8</f>
        <v>629.2</v>
      </c>
      <c r="AJ306" s="140">
        <v>3600</v>
      </c>
      <c r="AK306" s="13">
        <v>3766</v>
      </c>
      <c r="AL306" s="15">
        <f t="shared" ref="AL306:AL307" si="1014">AK306-AG306</f>
        <v>392</v>
      </c>
      <c r="AM306" s="45">
        <f>AL306*$G$8</f>
        <v>1019.2</v>
      </c>
      <c r="AN306" s="15"/>
      <c r="AO306" s="13">
        <v>3815</v>
      </c>
      <c r="AP306" s="15">
        <f t="shared" ref="AP306:AP307" si="1015">AO306-AK306</f>
        <v>49</v>
      </c>
      <c r="AQ306" s="45">
        <f>AP306*$G$8</f>
        <v>127.4</v>
      </c>
      <c r="AR306" s="15"/>
      <c r="AS306" s="13">
        <v>3947</v>
      </c>
      <c r="AT306" s="15">
        <f t="shared" ref="AT306:AT307" si="1016">AS306-AO306</f>
        <v>132</v>
      </c>
      <c r="AU306" s="45">
        <f>AT306*$G$8</f>
        <v>343.2</v>
      </c>
      <c r="AV306" s="15"/>
      <c r="AW306" s="13">
        <v>4151</v>
      </c>
      <c r="AX306" s="2">
        <f t="shared" ref="AX306:AX307" si="1017">AW306-AS306</f>
        <v>204</v>
      </c>
      <c r="AY306" s="45">
        <f>AX306*$G$8</f>
        <v>530.4</v>
      </c>
      <c r="AZ306" s="208"/>
      <c r="BA306" s="13">
        <v>4151</v>
      </c>
      <c r="BB306" s="15">
        <f t="shared" ref="BB306:BB307" si="1018">BA306-AW306</f>
        <v>0</v>
      </c>
      <c r="BC306" s="45">
        <f>BB306*$G$8</f>
        <v>0</v>
      </c>
      <c r="BD306" s="208"/>
      <c r="BE306" s="40">
        <f t="shared" ref="BE306:BG306" si="1019">J306+N306+R306+V306+Z306+AD306+AH306+AL306+AP306+AT306+AX306+BB306</f>
        <v>1845</v>
      </c>
      <c r="BF306" s="41">
        <f t="shared" si="1019"/>
        <v>4714.4</v>
      </c>
      <c r="BG306" s="34">
        <f t="shared" si="1019"/>
        <v>3600</v>
      </c>
      <c r="BH306" s="35">
        <f t="shared" si="1009"/>
        <v>909.3</v>
      </c>
      <c r="BK306" s="2" t="b">
        <f>H306='2019'!BH249</f>
        <v>1</v>
      </c>
    </row>
    <row r="307" ht="14.25" customHeight="1" hidden="1" spans="1:63" x14ac:dyDescent="0.25">
      <c r="A307" s="2">
        <v>34</v>
      </c>
      <c r="B307" s="14"/>
      <c r="C307" s="2" t="s">
        <v>114</v>
      </c>
      <c r="D307" s="14" t="s">
        <v>47</v>
      </c>
      <c r="E307" s="2" t="s">
        <v>48</v>
      </c>
      <c r="F307" s="13">
        <v>18.56</v>
      </c>
      <c r="G307" s="35">
        <v>19.46</v>
      </c>
      <c r="H307" s="34">
        <f>'2019'!BH250</f>
        <v>30.58</v>
      </c>
      <c r="I307" s="15">
        <v>67</v>
      </c>
      <c r="J307" s="15"/>
      <c r="K307" s="15"/>
      <c r="L307" s="28"/>
      <c r="M307" s="2">
        <v>67</v>
      </c>
      <c r="Q307" s="13">
        <v>67</v>
      </c>
      <c r="R307" s="15"/>
      <c r="S307" s="15"/>
      <c r="T307" s="28"/>
      <c r="U307" s="2">
        <v>67</v>
      </c>
      <c r="V307" s="2">
        <f t="shared" si="1010"/>
        <v>0</v>
      </c>
      <c r="W307" s="34">
        <f>V307*$F$10</f>
        <v>0</v>
      </c>
      <c r="X307" s="39"/>
      <c r="Y307" s="13">
        <v>67</v>
      </c>
      <c r="Z307" s="15">
        <f t="shared" si="1011"/>
        <v>0</v>
      </c>
      <c r="AA307" s="34">
        <f>Z307*$F$10</f>
        <v>0</v>
      </c>
      <c r="AB307" s="28"/>
      <c r="AC307" s="15">
        <v>67</v>
      </c>
      <c r="AD307" s="15">
        <f t="shared" si="1012"/>
        <v>0</v>
      </c>
      <c r="AE307" s="34">
        <f>AD307*$F$10</f>
        <v>0</v>
      </c>
      <c r="AG307" s="13">
        <v>67</v>
      </c>
      <c r="AH307" s="15">
        <f t="shared" si="1013"/>
        <v>0</v>
      </c>
      <c r="AI307" s="45">
        <f>AH307*$G$10</f>
        <v>0</v>
      </c>
      <c r="AJ307" s="140">
        <v>200</v>
      </c>
      <c r="AK307" s="13">
        <v>67</v>
      </c>
      <c r="AL307" s="15">
        <f t="shared" si="1014"/>
        <v>0</v>
      </c>
      <c r="AM307" s="45">
        <f>AL307*$G$10</f>
        <v>0</v>
      </c>
      <c r="AN307" s="15"/>
      <c r="AO307" s="13">
        <v>67</v>
      </c>
      <c r="AP307" s="15">
        <f t="shared" si="1015"/>
        <v>0</v>
      </c>
      <c r="AQ307" s="45">
        <f>AP307*$G$10</f>
        <v>0</v>
      </c>
      <c r="AR307" s="15"/>
      <c r="AS307" s="13">
        <v>67</v>
      </c>
      <c r="AT307" s="15">
        <f t="shared" si="1016"/>
        <v>0</v>
      </c>
      <c r="AU307" s="45">
        <f>AT307*$G$10</f>
        <v>0</v>
      </c>
      <c r="AV307" s="15"/>
      <c r="AW307" s="13">
        <v>67</v>
      </c>
      <c r="AX307" s="2">
        <f t="shared" si="1017"/>
        <v>0</v>
      </c>
      <c r="AY307" s="45"/>
      <c r="AZ307" s="208"/>
      <c r="BA307" s="13">
        <v>67</v>
      </c>
      <c r="BB307" s="15">
        <f t="shared" si="1018"/>
        <v>0</v>
      </c>
      <c r="BC307" s="45"/>
      <c r="BD307" s="208"/>
      <c r="BE307" s="40">
        <f t="shared" ref="BE307:BG307" si="1020">J307+N307+R307+V307+Z307+AD307+AH307+AL307+AP307+AT307+AX307+BB307</f>
        <v>0</v>
      </c>
      <c r="BF307" s="41">
        <f t="shared" si="1020"/>
        <v>0</v>
      </c>
      <c r="BG307" s="34">
        <f t="shared" si="1020"/>
        <v>200</v>
      </c>
      <c r="BH307" s="35">
        <f t="shared" si="1009"/>
        <v>-169.42</v>
      </c>
      <c r="BK307" s="2" t="b">
        <f>H307='2019'!BH250</f>
        <v>1</v>
      </c>
    </row>
    <row r="308" ht="14.25" customHeight="1" hidden="1" spans="1:63" x14ac:dyDescent="0.25">
      <c r="A308" s="2">
        <v>34</v>
      </c>
      <c r="B308" s="14"/>
      <c r="C308" s="2" t="s">
        <v>115</v>
      </c>
      <c r="D308" s="14" t="s">
        <v>47</v>
      </c>
      <c r="E308" s="2" t="s">
        <v>49</v>
      </c>
      <c r="F308" s="41">
        <v>500</v>
      </c>
      <c r="G308" s="28"/>
      <c r="H308" s="34">
        <f>'2019'!BH251</f>
        <v>0</v>
      </c>
      <c r="I308" s="15"/>
      <c r="J308" s="15"/>
      <c r="K308" s="15"/>
      <c r="L308" s="28"/>
      <c r="Q308" s="13"/>
      <c r="R308" s="15"/>
      <c r="S308" s="15"/>
      <c r="T308" s="28"/>
      <c r="X308" s="1"/>
      <c r="Y308" s="13"/>
      <c r="Z308" s="15"/>
      <c r="AA308" s="34"/>
      <c r="AB308" s="28"/>
      <c r="AC308" s="15"/>
      <c r="AG308" s="13"/>
      <c r="AH308" s="15"/>
      <c r="AI308" s="45"/>
      <c r="AJ308" s="15"/>
      <c r="AK308" s="13"/>
      <c r="AL308" s="15"/>
      <c r="AM308" s="45"/>
      <c r="AN308" s="15"/>
      <c r="AO308" s="13"/>
      <c r="AP308" s="15"/>
      <c r="AQ308" s="45"/>
      <c r="AR308" s="15"/>
      <c r="AS308" s="13"/>
      <c r="AT308" s="15"/>
      <c r="AU308" s="45"/>
      <c r="AV308" s="15"/>
      <c r="AW308" s="13"/>
      <c r="AY308" s="45"/>
      <c r="AZ308" s="28"/>
      <c r="BA308" s="13"/>
      <c r="BB308" s="15"/>
      <c r="BC308" s="45"/>
      <c r="BD308" s="28"/>
      <c r="BE308" s="14"/>
      <c r="BF308" s="41">
        <f t="shared" ref="BF308:BG308" si="1021">K308+O308+S308+W308+AA308+AE308+AI308+AM308+AQ308+AU308+AY308+BC308</f>
        <v>0</v>
      </c>
      <c r="BG308" s="34">
        <f t="shared" si="1021"/>
        <v>0</v>
      </c>
      <c r="BH308" s="35">
        <f t="shared" si="1009"/>
        <v>0</v>
      </c>
      <c r="BK308" s="2" t="b">
        <f>H308='2019'!BH251</f>
        <v>1</v>
      </c>
    </row>
    <row r="309" ht="15.75" customHeight="1" hidden="1" spans="1:63" x14ac:dyDescent="0.25">
      <c r="A309" s="2">
        <v>34</v>
      </c>
      <c r="B309" s="14"/>
      <c r="C309" s="2" t="s">
        <v>156</v>
      </c>
      <c r="D309" s="14" t="s">
        <v>50</v>
      </c>
      <c r="E309" s="2" t="s">
        <v>49</v>
      </c>
      <c r="F309" s="41">
        <v>1100</v>
      </c>
      <c r="G309" s="28"/>
      <c r="H309" s="182">
        <f>'2019'!BH252+0.0012</f>
        <v>4812</v>
      </c>
      <c r="I309" s="15"/>
      <c r="J309" s="15"/>
      <c r="K309" s="15"/>
      <c r="L309" s="28"/>
      <c r="Q309" s="13"/>
      <c r="R309" s="15"/>
      <c r="S309" s="15"/>
      <c r="T309" s="28"/>
      <c r="X309" s="39">
        <v>4812</v>
      </c>
      <c r="Y309" s="13"/>
      <c r="Z309" s="15"/>
      <c r="AA309" s="15"/>
      <c r="AB309" s="28"/>
      <c r="AE309" s="34">
        <f>B306*$F$12</f>
        <v>4411</v>
      </c>
      <c r="AG309" s="13"/>
      <c r="AH309" s="15"/>
      <c r="AI309" s="45"/>
      <c r="AJ309" s="15"/>
      <c r="AK309" s="13"/>
      <c r="AL309" s="15"/>
      <c r="AM309" s="45"/>
      <c r="AN309" s="39">
        <v>2000</v>
      </c>
      <c r="AO309" s="13"/>
      <c r="AP309" s="15"/>
      <c r="AQ309" s="45"/>
      <c r="AR309" s="15"/>
      <c r="AS309" s="13"/>
      <c r="AT309" s="15"/>
      <c r="AU309" s="45"/>
      <c r="AV309" s="15"/>
      <c r="AW309" s="13"/>
      <c r="AY309" s="45"/>
      <c r="AZ309" s="28"/>
      <c r="BA309" s="13"/>
      <c r="BB309" s="15"/>
      <c r="BC309" s="45"/>
      <c r="BD309" s="28"/>
      <c r="BE309" s="14"/>
      <c r="BF309" s="41">
        <f t="shared" ref="BF309:BG309" si="1022">K309+O309+S309+W309+AA309+AE309+AI309+AM309+AQ309+AU309+AY309+BC309</f>
        <v>4411</v>
      </c>
      <c r="BG309" s="34">
        <f t="shared" si="1022"/>
        <v>6812</v>
      </c>
      <c r="BH309" s="35">
        <f t="shared" si="1009"/>
        <v>2411</v>
      </c>
      <c r="BK309" s="2" t="b">
        <f>H309='2019'!BH252</f>
        <v>0</v>
      </c>
    </row>
    <row r="310" ht="14.25" customHeight="1" hidden="1" spans="1:63" x14ac:dyDescent="0.25">
      <c r="A310" s="2">
        <v>34</v>
      </c>
      <c r="B310" s="14"/>
      <c r="D310" s="14" t="s">
        <v>51</v>
      </c>
      <c r="E310" s="2" t="s">
        <v>39</v>
      </c>
      <c r="F310" s="41">
        <v>500</v>
      </c>
      <c r="G310" s="28"/>
      <c r="H310" s="34">
        <f>'2019'!BH253</f>
        <v>1000</v>
      </c>
      <c r="I310" s="15"/>
      <c r="J310" s="15"/>
      <c r="K310" s="15"/>
      <c r="L310" s="28"/>
      <c r="Q310" s="13"/>
      <c r="R310" s="15"/>
      <c r="S310" s="15"/>
      <c r="T310" s="28"/>
      <c r="X310" s="39">
        <v>1000</v>
      </c>
      <c r="Y310" s="13"/>
      <c r="Z310" s="15"/>
      <c r="AA310" s="15"/>
      <c r="AB310" s="28"/>
      <c r="AE310" s="34"/>
      <c r="AG310" s="13"/>
      <c r="AH310" s="15"/>
      <c r="AI310" s="45"/>
      <c r="AJ310" s="15"/>
      <c r="AK310" s="13"/>
      <c r="AL310" s="15"/>
      <c r="AM310" s="45"/>
      <c r="AN310" s="15"/>
      <c r="AO310" s="13"/>
      <c r="AP310" s="15"/>
      <c r="AQ310" s="45">
        <f>$F$13</f>
        <v>500</v>
      </c>
      <c r="AR310" s="15"/>
      <c r="AS310" s="13"/>
      <c r="AT310" s="15"/>
      <c r="AU310" s="45"/>
      <c r="AV310" s="15"/>
      <c r="AW310" s="13"/>
      <c r="AY310" s="45"/>
      <c r="AZ310" s="28"/>
      <c r="BA310" s="13"/>
      <c r="BB310" s="15"/>
      <c r="BC310" s="45"/>
      <c r="BD310" s="28"/>
      <c r="BE310" s="14"/>
      <c r="BF310" s="41">
        <f t="shared" ref="BF310:BG310" si="1023">K310+O310+S310+W310+AA310+AE310+AI310+AM310+AQ310+AU310+AY310+BC310</f>
        <v>500</v>
      </c>
      <c r="BG310" s="34">
        <f t="shared" si="1023"/>
        <v>1000</v>
      </c>
      <c r="BH310" s="35">
        <f t="shared" si="1009"/>
        <v>500</v>
      </c>
      <c r="BK310" s="2" t="b">
        <f>H310='2019'!BH253</f>
        <v>1</v>
      </c>
    </row>
    <row r="311" ht="14.25" customHeight="1" hidden="1" spans="1:60" x14ac:dyDescent="0.25">
      <c r="A311" s="2">
        <v>34</v>
      </c>
      <c r="B311" s="14"/>
      <c r="D311" s="14" t="s">
        <v>51</v>
      </c>
      <c r="E311" s="2" t="s">
        <v>49</v>
      </c>
      <c r="F311" s="41">
        <v>500</v>
      </c>
      <c r="G311" s="28"/>
      <c r="H311" s="34"/>
      <c r="I311" s="15"/>
      <c r="J311" s="15"/>
      <c r="K311" s="15"/>
      <c r="L311" s="28"/>
      <c r="Q311" s="13"/>
      <c r="R311" s="15"/>
      <c r="S311" s="15"/>
      <c r="T311" s="28"/>
      <c r="X311" s="39"/>
      <c r="Y311" s="13"/>
      <c r="Z311" s="15"/>
      <c r="AA311" s="15"/>
      <c r="AB311" s="28"/>
      <c r="AE311" s="34"/>
      <c r="AG311" s="13"/>
      <c r="AH311" s="15"/>
      <c r="AI311" s="45"/>
      <c r="AJ311" s="15"/>
      <c r="AK311" s="13"/>
      <c r="AL311" s="15"/>
      <c r="AM311" s="45"/>
      <c r="AN311" s="15"/>
      <c r="AO311" s="13"/>
      <c r="AP311" s="15"/>
      <c r="AQ311" s="34">
        <f>B306*$F$14</f>
        <v>2005</v>
      </c>
      <c r="AR311" s="15"/>
      <c r="AS311" s="13"/>
      <c r="AT311" s="15"/>
      <c r="AU311" s="45"/>
      <c r="AV311" s="15"/>
      <c r="AW311" s="13"/>
      <c r="AY311" s="45"/>
      <c r="AZ311" s="28"/>
      <c r="BA311" s="13"/>
      <c r="BB311" s="15"/>
      <c r="BC311" s="45"/>
      <c r="BD311" s="28"/>
      <c r="BE311" s="14"/>
      <c r="BF311" s="41">
        <f t="shared" ref="BF311:BG311" si="1024">K311+O311+S311+W311+AA311+AE311+AI311+AM311+AQ311+AU311+AY311+BC311</f>
        <v>2005</v>
      </c>
      <c r="BG311" s="34">
        <f t="shared" si="1024"/>
        <v>0</v>
      </c>
      <c r="BH311" s="35">
        <f t="shared" si="1009"/>
        <v>2005</v>
      </c>
    </row>
    <row r="312" ht="14.25" customHeight="1" hidden="1" spans="1:63" x14ac:dyDescent="0.25">
      <c r="A312" s="2">
        <v>34</v>
      </c>
      <c r="B312" s="14"/>
      <c r="D312" s="14" t="s">
        <v>52</v>
      </c>
      <c r="E312" s="2" t="s">
        <v>39</v>
      </c>
      <c r="F312" s="41">
        <v>500</v>
      </c>
      <c r="G312" s="28"/>
      <c r="H312" s="34">
        <f>'2019'!BH254</f>
        <v>0</v>
      </c>
      <c r="I312" s="15"/>
      <c r="J312" s="15"/>
      <c r="K312" s="15"/>
      <c r="L312" s="28"/>
      <c r="Q312" s="13"/>
      <c r="R312" s="15"/>
      <c r="S312" s="15"/>
      <c r="T312" s="28"/>
      <c r="Y312" s="13"/>
      <c r="Z312" s="15"/>
      <c r="AA312" s="34">
        <f>$F$11</f>
        <v>500</v>
      </c>
      <c r="AB312" s="28"/>
      <c r="AG312" s="13"/>
      <c r="AH312" s="15"/>
      <c r="AI312" s="45"/>
      <c r="AJ312" s="15"/>
      <c r="AK312" s="13"/>
      <c r="AL312" s="15"/>
      <c r="AM312" s="45"/>
      <c r="AN312" s="39">
        <v>500</v>
      </c>
      <c r="AO312" s="13"/>
      <c r="AP312" s="15"/>
      <c r="AQ312" s="45"/>
      <c r="AR312" s="15"/>
      <c r="AS312" s="13"/>
      <c r="AT312" s="15"/>
      <c r="AU312" s="45"/>
      <c r="AV312" s="15"/>
      <c r="AW312" s="13"/>
      <c r="AY312" s="45"/>
      <c r="AZ312" s="35"/>
      <c r="BA312" s="13"/>
      <c r="BB312" s="15"/>
      <c r="BC312" s="45"/>
      <c r="BD312" s="35"/>
      <c r="BE312" s="14"/>
      <c r="BF312" s="41">
        <f t="shared" ref="BF312:BG312" si="1025">K312+O312+S312+W312+AA312+AE312+AI312+AM312+AQ312+AU312+AY312+BC312</f>
        <v>500</v>
      </c>
      <c r="BG312" s="34">
        <f t="shared" si="1025"/>
        <v>500</v>
      </c>
      <c r="BH312" s="35">
        <f t="shared" si="1009"/>
        <v>0</v>
      </c>
      <c r="BK312" s="2" t="b">
        <f>H312='2019'!BH254</f>
        <v>1</v>
      </c>
    </row>
    <row r="313" ht="15.75" customHeight="1" hidden="1" spans="1:63" x14ac:dyDescent="0.25">
      <c r="A313" s="247">
        <v>34</v>
      </c>
      <c r="B313" s="21"/>
      <c r="C313" s="22" t="s">
        <v>53</v>
      </c>
      <c r="D313" s="21"/>
      <c r="E313" s="22"/>
      <c r="F313" s="20"/>
      <c r="G313" s="23"/>
      <c r="H313" s="51">
        <f>SUM(H305:H312)</f>
        <v>5708.4</v>
      </c>
      <c r="I313" s="53"/>
      <c r="J313" s="53"/>
      <c r="K313" s="51">
        <f t="shared" ref="K313:L313" si="1026">SUM(K305:K312)</f>
        <v>18.02</v>
      </c>
      <c r="L313" s="68">
        <f t="shared" si="1026"/>
        <v>0</v>
      </c>
      <c r="M313" s="53"/>
      <c r="N313" s="53"/>
      <c r="O313" s="51">
        <f t="shared" ref="O313:P313" si="1027">SUM(O305:O312)</f>
        <v>136.85</v>
      </c>
      <c r="P313" s="51">
        <f t="shared" si="1027"/>
        <v>0</v>
      </c>
      <c r="Q313" s="52"/>
      <c r="R313" s="53"/>
      <c r="S313" s="51">
        <f t="shared" ref="S313:T313" si="1028">SUM(S305:S312)</f>
        <v>18.02</v>
      </c>
      <c r="T313" s="51">
        <f t="shared" si="1028"/>
        <v>0</v>
      </c>
      <c r="U313" s="52"/>
      <c r="V313" s="53"/>
      <c r="W313" s="51">
        <f t="shared" ref="W313:X313" si="1029">SUM(W305:W312)</f>
        <v>124.62</v>
      </c>
      <c r="X313" s="51">
        <f t="shared" si="1029"/>
        <v>5900</v>
      </c>
      <c r="Y313" s="52"/>
      <c r="Z313" s="53"/>
      <c r="AA313" s="51">
        <f t="shared" ref="AA313:AB313" si="1030">SUM(AA305:AA312)</f>
        <v>1590</v>
      </c>
      <c r="AB313" s="51">
        <f t="shared" si="1030"/>
        <v>0</v>
      </c>
      <c r="AC313" s="52"/>
      <c r="AD313" s="53"/>
      <c r="AE313" s="51">
        <f t="shared" ref="AE313:AF313" si="1031">SUM(AE305:AE312)</f>
        <v>5218.5</v>
      </c>
      <c r="AF313" s="51">
        <f t="shared" si="1031"/>
        <v>0</v>
      </c>
      <c r="AG313" s="52"/>
      <c r="AH313" s="53"/>
      <c r="AI313" s="183">
        <f t="shared" ref="AI313:AJ313" si="1032">SUM(AI305:AI312)</f>
        <v>629.2</v>
      </c>
      <c r="AJ313" s="51">
        <f t="shared" si="1032"/>
        <v>3800</v>
      </c>
      <c r="AK313" s="52"/>
      <c r="AL313" s="53"/>
      <c r="AM313" s="183">
        <f t="shared" ref="AM313:AN313" si="1033">SUM(AM305:AM312)</f>
        <v>1019.2</v>
      </c>
      <c r="AN313" s="51">
        <f t="shared" si="1033"/>
        <v>2500</v>
      </c>
      <c r="AO313" s="52"/>
      <c r="AP313" s="53"/>
      <c r="AQ313" s="183">
        <f t="shared" ref="AQ313:AR313" si="1034">SUM(AQ305:AQ312)</f>
        <v>2639.63</v>
      </c>
      <c r="AR313" s="51">
        <f t="shared" si="1034"/>
        <v>0</v>
      </c>
      <c r="AS313" s="52"/>
      <c r="AT313" s="53"/>
      <c r="AU313" s="183">
        <f t="shared" ref="AU313:AV313" si="1035">SUM(AU305:AU312)</f>
        <v>350.67</v>
      </c>
      <c r="AV313" s="68">
        <f t="shared" si="1035"/>
        <v>0</v>
      </c>
      <c r="AW313" s="52"/>
      <c r="AX313" s="53"/>
      <c r="AY313" s="183">
        <f t="shared" ref="AY313:AZ313" si="1036">SUM(AY305:AY312)</f>
        <v>537.63</v>
      </c>
      <c r="AZ313" s="68">
        <f t="shared" si="1036"/>
        <v>0</v>
      </c>
      <c r="BA313" s="52"/>
      <c r="BB313" s="53"/>
      <c r="BC313" s="183">
        <f t="shared" ref="BC313:BD313" si="1037">SUM(BC305:BC312)</f>
        <v>7.47</v>
      </c>
      <c r="BD313" s="68">
        <f t="shared" si="1037"/>
        <v>0</v>
      </c>
      <c r="BE313" s="69"/>
      <c r="BF313" s="70">
        <f t="shared" ref="BF313:BH313" si="1038">SUM(BF305:BF312)</f>
        <v>12289.81</v>
      </c>
      <c r="BG313" s="71">
        <f t="shared" si="1038"/>
        <v>12200</v>
      </c>
      <c r="BH313" s="72">
        <f t="shared" si="1038"/>
        <v>5798.21</v>
      </c>
      <c r="BI313" s="34">
        <f>H313+BF313-BG313</f>
        <v>5798.21</v>
      </c>
      <c r="BJ313" s="34">
        <f>BH313-BI313</f>
        <v>0</v>
      </c>
      <c r="BK313" s="2" t="b">
        <f>H313='2019'!BH255</f>
        <v>0</v>
      </c>
    </row>
    <row r="314" ht="14.25" customHeight="1" hidden="1" spans="1:63" x14ac:dyDescent="0.25">
      <c r="A314" s="2">
        <v>35</v>
      </c>
      <c r="B314" s="14"/>
      <c r="D314" s="14" t="s">
        <v>379</v>
      </c>
      <c r="F314" s="13"/>
      <c r="G314" s="28"/>
      <c r="H314" s="34">
        <f>'2019'!BH256</f>
        <v>0</v>
      </c>
      <c r="J314" s="15"/>
      <c r="K314" s="15"/>
      <c r="L314" s="28"/>
      <c r="Q314" s="13"/>
      <c r="R314" s="15"/>
      <c r="S314" s="15"/>
      <c r="T314" s="28"/>
      <c r="Y314" s="13"/>
      <c r="Z314" s="15"/>
      <c r="AA314" s="15"/>
      <c r="AB314" s="28"/>
      <c r="AG314" s="13"/>
      <c r="AH314" s="15"/>
      <c r="AI314" s="45"/>
      <c r="AJ314" s="15"/>
      <c r="AK314" s="13"/>
      <c r="AM314" s="45"/>
      <c r="AO314" s="13"/>
      <c r="AQ314" s="45"/>
      <c r="AS314" s="13"/>
      <c r="AU314" s="45"/>
      <c r="AW314" s="13"/>
      <c r="AY314" s="45"/>
      <c r="AZ314" s="28"/>
      <c r="BA314" s="13"/>
      <c r="BB314" s="15"/>
      <c r="BC314" s="45"/>
      <c r="BD314" s="28"/>
      <c r="BE314" s="14"/>
      <c r="BF314" s="41">
        <f t="shared" ref="BF314:BG314" si="1039">K314+O314+S314+W314+AA314+AE314+AI314+AM314+AQ314+AU314+AY314+BC314</f>
        <v>0</v>
      </c>
      <c r="BG314" s="34">
        <f t="shared" si="1039"/>
        <v>0</v>
      </c>
      <c r="BH314" s="35">
        <f t="shared" ref="BH314:BH321" si="1040">H314+BF314-BG314</f>
        <v>0</v>
      </c>
      <c r="BK314" s="2" t="b">
        <f>H314='2019'!BH256</f>
        <v>1</v>
      </c>
    </row>
    <row r="315" ht="14.25" customHeight="1" hidden="1" spans="1:63" x14ac:dyDescent="0.25">
      <c r="A315" s="2">
        <v>35</v>
      </c>
      <c r="B315" s="14">
        <v>4.01</v>
      </c>
      <c r="C315" s="2" t="s">
        <v>157</v>
      </c>
      <c r="D315" s="14" t="s">
        <v>44</v>
      </c>
      <c r="E315" s="2" t="s">
        <v>45</v>
      </c>
      <c r="F315" s="41">
        <v>2.5</v>
      </c>
      <c r="G315" s="35">
        <v>2.6</v>
      </c>
      <c r="H315" s="34">
        <f>'2019'!BH257</f>
        <v>0</v>
      </c>
      <c r="I315" s="13">
        <v>33</v>
      </c>
      <c r="J315" s="15">
        <f>I315-'2019'!BA257</f>
        <v>0</v>
      </c>
      <c r="K315" s="34">
        <f>J315*$F$8</f>
        <v>0</v>
      </c>
      <c r="L315" s="28"/>
      <c r="M315" s="2">
        <v>33</v>
      </c>
      <c r="N315" s="15">
        <f>M315-I315</f>
        <v>0</v>
      </c>
      <c r="O315" s="34">
        <f>N315*$F$8</f>
        <v>0</v>
      </c>
      <c r="Q315" s="13">
        <v>33</v>
      </c>
      <c r="R315" s="15">
        <f>Q315-M315</f>
        <v>0</v>
      </c>
      <c r="S315" s="34">
        <f>R315*$F$8</f>
        <v>0</v>
      </c>
      <c r="T315" s="28"/>
      <c r="U315" s="15">
        <v>33</v>
      </c>
      <c r="V315" s="15">
        <f t="shared" ref="V315:V316" si="1041">U315-Q315</f>
        <v>0</v>
      </c>
      <c r="W315" s="34">
        <f>V315*$F$8</f>
        <v>0</v>
      </c>
      <c r="Y315" s="13">
        <v>33</v>
      </c>
      <c r="Z315" s="15">
        <f t="shared" ref="Z315:Z316" si="1042">Y315-U315</f>
        <v>0</v>
      </c>
      <c r="AA315" s="34">
        <f>Z315*$F$8</f>
        <v>0</v>
      </c>
      <c r="AB315" s="28"/>
      <c r="AC315" s="13">
        <v>33</v>
      </c>
      <c r="AD315" s="15">
        <f t="shared" ref="AD315:AD316" si="1043">AC315-Y315</f>
        <v>0</v>
      </c>
      <c r="AE315" s="34">
        <f>AD315*$F$8</f>
        <v>0</v>
      </c>
      <c r="AG315" s="13">
        <v>33</v>
      </c>
      <c r="AH315" s="15">
        <f t="shared" ref="AH315:AH316" si="1044">AG315-AC315</f>
        <v>0</v>
      </c>
      <c r="AI315" s="45">
        <f>AH315*$G$8</f>
        <v>0</v>
      </c>
      <c r="AJ315" s="15"/>
      <c r="AK315" s="13">
        <v>33</v>
      </c>
      <c r="AL315" s="15">
        <f t="shared" ref="AL315:AL316" si="1045">AK315-AG315</f>
        <v>0</v>
      </c>
      <c r="AM315" s="45">
        <f>AL315*$G$8</f>
        <v>0</v>
      </c>
      <c r="AN315" s="15"/>
      <c r="AO315" s="13">
        <v>33</v>
      </c>
      <c r="AP315" s="15">
        <f t="shared" ref="AP315:AP316" si="1046">AO315-AK315</f>
        <v>0</v>
      </c>
      <c r="AQ315" s="45">
        <f>AP315*$G$8</f>
        <v>0</v>
      </c>
      <c r="AR315" s="15"/>
      <c r="AS315" s="13">
        <v>33</v>
      </c>
      <c r="AT315" s="15">
        <f t="shared" ref="AT315:AT316" si="1047">AS315-AO315</f>
        <v>0</v>
      </c>
      <c r="AU315" s="45">
        <f>AT315*$G$8</f>
        <v>0</v>
      </c>
      <c r="AV315" s="15"/>
      <c r="AW315" s="13">
        <v>33</v>
      </c>
      <c r="AX315" s="2">
        <f t="shared" ref="AX315:AX316" si="1048">AW315-AS315</f>
        <v>0</v>
      </c>
      <c r="AY315" s="45">
        <f>AX315*$G$8</f>
        <v>0</v>
      </c>
      <c r="AZ315" s="208"/>
      <c r="BA315" s="13">
        <v>33</v>
      </c>
      <c r="BB315" s="15">
        <f t="shared" ref="BB315:BB316" si="1049">BA315-AW315</f>
        <v>0</v>
      </c>
      <c r="BC315" s="45">
        <f>BB315*$G$8</f>
        <v>0</v>
      </c>
      <c r="BD315" s="208"/>
      <c r="BE315" s="40">
        <f t="shared" ref="BE315:BG315" si="1050">J315+N315+R315+V315+Z315+AD315+AH315+AL315+AP315+AT315+AX315+BB315</f>
        <v>0</v>
      </c>
      <c r="BF315" s="41">
        <f t="shared" si="1050"/>
        <v>0</v>
      </c>
      <c r="BG315" s="34">
        <f t="shared" si="1050"/>
        <v>0</v>
      </c>
      <c r="BH315" s="35">
        <f t="shared" si="1040"/>
        <v>0</v>
      </c>
      <c r="BK315" s="2" t="b">
        <f>H315='2019'!BH257</f>
        <v>1</v>
      </c>
    </row>
    <row r="316" ht="14.25" customHeight="1" hidden="1" spans="1:63" x14ac:dyDescent="0.25">
      <c r="A316" s="2">
        <v>35</v>
      </c>
      <c r="B316" s="14"/>
      <c r="C316" s="2" t="s">
        <v>75</v>
      </c>
      <c r="D316" s="14" t="s">
        <v>47</v>
      </c>
      <c r="E316" s="2" t="s">
        <v>48</v>
      </c>
      <c r="F316" s="13">
        <v>18.56</v>
      </c>
      <c r="G316" s="35">
        <v>19.46</v>
      </c>
      <c r="H316" s="34">
        <f>'2019'!BH258</f>
        <v>-2.36</v>
      </c>
      <c r="I316" s="75">
        <v>131</v>
      </c>
      <c r="J316" s="15"/>
      <c r="K316" s="15"/>
      <c r="L316" s="28"/>
      <c r="M316" s="75">
        <v>131</v>
      </c>
      <c r="Q316" s="75">
        <v>131</v>
      </c>
      <c r="R316" s="15"/>
      <c r="S316" s="15"/>
      <c r="T316" s="28"/>
      <c r="U316" s="2">
        <v>135</v>
      </c>
      <c r="V316" s="2">
        <f t="shared" si="1041"/>
        <v>4</v>
      </c>
      <c r="W316" s="2">
        <f>V316*$F$10</f>
        <v>74.24</v>
      </c>
      <c r="Y316" s="13">
        <v>135</v>
      </c>
      <c r="Z316" s="15">
        <f t="shared" si="1042"/>
        <v>0</v>
      </c>
      <c r="AA316" s="34">
        <f>Z316*$F$10</f>
        <v>0</v>
      </c>
      <c r="AB316" s="28"/>
      <c r="AC316" s="15">
        <v>143</v>
      </c>
      <c r="AD316" s="15">
        <f t="shared" si="1043"/>
        <v>8</v>
      </c>
      <c r="AE316" s="34">
        <f>AD316*$F$10</f>
        <v>148.48</v>
      </c>
      <c r="AF316" s="133">
        <f>220.36+18.64</f>
        <v>239</v>
      </c>
      <c r="AG316" s="13">
        <v>155</v>
      </c>
      <c r="AH316" s="15">
        <f t="shared" si="1044"/>
        <v>12</v>
      </c>
      <c r="AI316" s="45">
        <f>AH316*$G$10</f>
        <v>233.52</v>
      </c>
      <c r="AJ316" s="185">
        <v>215</v>
      </c>
      <c r="AK316" s="13">
        <v>155</v>
      </c>
      <c r="AL316" s="15">
        <f t="shared" si="1045"/>
        <v>0</v>
      </c>
      <c r="AM316" s="45">
        <f>AL316*$G$10</f>
        <v>0</v>
      </c>
      <c r="AN316" s="15"/>
      <c r="AO316" s="13">
        <v>155</v>
      </c>
      <c r="AP316" s="15">
        <f t="shared" si="1046"/>
        <v>0</v>
      </c>
      <c r="AQ316" s="45">
        <f>AP316*$G$10</f>
        <v>0</v>
      </c>
      <c r="AR316" s="15"/>
      <c r="AS316" s="13">
        <v>155</v>
      </c>
      <c r="AT316" s="15">
        <f t="shared" si="1047"/>
        <v>0</v>
      </c>
      <c r="AU316" s="45">
        <f>AT316*$G$10</f>
        <v>0</v>
      </c>
      <c r="AV316" s="15"/>
      <c r="AW316" s="13">
        <v>155</v>
      </c>
      <c r="AX316" s="2">
        <f t="shared" si="1048"/>
        <v>0</v>
      </c>
      <c r="AY316" s="45"/>
      <c r="AZ316" s="208"/>
      <c r="BA316" s="13">
        <v>155</v>
      </c>
      <c r="BB316" s="15">
        <f t="shared" si="1049"/>
        <v>0</v>
      </c>
      <c r="BC316" s="45"/>
      <c r="BD316" s="208"/>
      <c r="BE316" s="40">
        <f t="shared" ref="BE316:BG316" si="1051">J316+N316+R316+V316+Z316+AD316+AH316+AL316+AP316+AT316+AX316+BB316</f>
        <v>24</v>
      </c>
      <c r="BF316" s="41">
        <f t="shared" si="1051"/>
        <v>456.24</v>
      </c>
      <c r="BG316" s="34">
        <f t="shared" si="1051"/>
        <v>454</v>
      </c>
      <c r="BH316" s="35">
        <f t="shared" si="1040"/>
        <v>-0.12</v>
      </c>
      <c r="BK316" s="2" t="b">
        <f>H316='2019'!BH258</f>
        <v>1</v>
      </c>
    </row>
    <row r="317" ht="14.25" customHeight="1" hidden="1" spans="1:63" x14ac:dyDescent="0.25">
      <c r="A317" s="2">
        <v>35</v>
      </c>
      <c r="B317" s="14"/>
      <c r="C317" s="2" t="s">
        <v>158</v>
      </c>
      <c r="D317" s="14" t="s">
        <v>47</v>
      </c>
      <c r="E317" s="2" t="s">
        <v>49</v>
      </c>
      <c r="F317" s="41">
        <v>500</v>
      </c>
      <c r="G317" s="28"/>
      <c r="H317" s="34">
        <f>'2019'!BH259</f>
        <v>0</v>
      </c>
      <c r="I317" s="15"/>
      <c r="J317" s="15"/>
      <c r="K317" s="15"/>
      <c r="L317" s="28"/>
      <c r="Q317" s="13"/>
      <c r="R317" s="15"/>
      <c r="S317" s="15"/>
      <c r="T317" s="28"/>
      <c r="Y317" s="13"/>
      <c r="Z317" s="15"/>
      <c r="AA317" s="15"/>
      <c r="AB317" s="28"/>
      <c r="AG317" s="13"/>
      <c r="AH317" s="15"/>
      <c r="AI317" s="45"/>
      <c r="AJ317" s="15"/>
      <c r="AK317" s="13"/>
      <c r="AL317" s="15"/>
      <c r="AM317" s="45"/>
      <c r="AN317" s="15"/>
      <c r="AO317" s="13"/>
      <c r="AP317" s="15"/>
      <c r="AQ317" s="45"/>
      <c r="AR317" s="15"/>
      <c r="AS317" s="13"/>
      <c r="AT317" s="15"/>
      <c r="AU317" s="45"/>
      <c r="AV317" s="15"/>
      <c r="AW317" s="13"/>
      <c r="AY317" s="45"/>
      <c r="AZ317" s="28"/>
      <c r="BA317" s="13"/>
      <c r="BB317" s="15"/>
      <c r="BC317" s="45"/>
      <c r="BD317" s="28"/>
      <c r="BE317" s="14"/>
      <c r="BF317" s="41">
        <f t="shared" ref="BF317:BG317" si="1052">K317+O317+S317+W317+AA317+AE317+AI317+AM317+AQ317+AU317+AY317+BC317</f>
        <v>0</v>
      </c>
      <c r="BG317" s="34">
        <f t="shared" si="1052"/>
        <v>0</v>
      </c>
      <c r="BH317" s="35">
        <f t="shared" si="1040"/>
        <v>0</v>
      </c>
      <c r="BK317" s="2" t="b">
        <f>H317='2019'!BH259</f>
        <v>1</v>
      </c>
    </row>
    <row r="318" ht="14.25" customHeight="1" hidden="1" spans="1:63" x14ac:dyDescent="0.25">
      <c r="A318" s="2">
        <v>35</v>
      </c>
      <c r="B318" s="14"/>
      <c r="C318" s="2" t="s">
        <v>159</v>
      </c>
      <c r="D318" s="14" t="s">
        <v>50</v>
      </c>
      <c r="E318" s="2" t="s">
        <v>49</v>
      </c>
      <c r="F318" s="41">
        <v>1100</v>
      </c>
      <c r="G318" s="28"/>
      <c r="H318" s="182">
        <f>'2019'!BH260+0.0012</f>
        <v>0</v>
      </c>
      <c r="I318" s="15"/>
      <c r="J318" s="15"/>
      <c r="K318" s="15"/>
      <c r="L318" s="28"/>
      <c r="Q318" s="13"/>
      <c r="R318" s="15"/>
      <c r="S318" s="15"/>
      <c r="T318" s="28"/>
      <c r="Y318" s="13"/>
      <c r="Z318" s="15"/>
      <c r="AA318" s="15"/>
      <c r="AB318" s="28"/>
      <c r="AE318" s="34">
        <f>B315*$F$12</f>
        <v>4411</v>
      </c>
      <c r="AF318" s="133">
        <v>4411</v>
      </c>
      <c r="AG318" s="13"/>
      <c r="AH318" s="15"/>
      <c r="AI318" s="45"/>
      <c r="AJ318" s="15"/>
      <c r="AK318" s="13"/>
      <c r="AL318" s="15"/>
      <c r="AM318" s="45"/>
      <c r="AN318" s="15"/>
      <c r="AO318" s="13"/>
      <c r="AP318" s="15"/>
      <c r="AQ318" s="45"/>
      <c r="AR318" s="15"/>
      <c r="AS318" s="13"/>
      <c r="AT318" s="15"/>
      <c r="AU318" s="45"/>
      <c r="AV318" s="15"/>
      <c r="AW318" s="13"/>
      <c r="AY318" s="45"/>
      <c r="AZ318" s="28"/>
      <c r="BA318" s="13"/>
      <c r="BB318" s="15"/>
      <c r="BC318" s="45"/>
      <c r="BD318" s="28"/>
      <c r="BE318" s="14"/>
      <c r="BF318" s="41">
        <f t="shared" ref="BF318:BG318" si="1053">K318+O318+S318+W318+AA318+AE318+AI318+AM318+AQ318+AU318+AY318+BC318</f>
        <v>4411</v>
      </c>
      <c r="BG318" s="34">
        <f t="shared" si="1053"/>
        <v>4411</v>
      </c>
      <c r="BH318" s="35">
        <f t="shared" si="1040"/>
        <v>0</v>
      </c>
      <c r="BK318" s="2" t="b">
        <f>H318='2019'!BH260</f>
        <v>0</v>
      </c>
    </row>
    <row r="319" ht="14.25" customHeight="1" hidden="1" spans="1:63" x14ac:dyDescent="0.25">
      <c r="A319" s="2">
        <v>35</v>
      </c>
      <c r="B319" s="14"/>
      <c r="D319" s="14" t="s">
        <v>51</v>
      </c>
      <c r="E319" s="2" t="s">
        <v>39</v>
      </c>
      <c r="F319" s="41">
        <v>500</v>
      </c>
      <c r="G319" s="28"/>
      <c r="H319" s="34">
        <f>'2019'!BH261</f>
        <v>0</v>
      </c>
      <c r="I319" s="15"/>
      <c r="J319" s="15"/>
      <c r="K319" s="15"/>
      <c r="L319" s="28"/>
      <c r="Q319" s="13"/>
      <c r="R319" s="15"/>
      <c r="S319" s="15"/>
      <c r="T319" s="28"/>
      <c r="Y319" s="13"/>
      <c r="Z319" s="15"/>
      <c r="AA319" s="15"/>
      <c r="AB319" s="28"/>
      <c r="AE319" s="34"/>
      <c r="AF319" s="34"/>
      <c r="AG319" s="13"/>
      <c r="AH319" s="15"/>
      <c r="AI319" s="45"/>
      <c r="AJ319" s="15"/>
      <c r="AK319" s="13"/>
      <c r="AL319" s="15"/>
      <c r="AM319" s="45"/>
      <c r="AN319" s="15"/>
      <c r="AO319" s="13"/>
      <c r="AP319" s="15"/>
      <c r="AQ319" s="45">
        <f>$F$13</f>
        <v>500</v>
      </c>
      <c r="AR319" s="15"/>
      <c r="AS319" s="13"/>
      <c r="AT319" s="15"/>
      <c r="AU319" s="45"/>
      <c r="AV319" s="15"/>
      <c r="AW319" s="13"/>
      <c r="AY319" s="45"/>
      <c r="AZ319" s="28"/>
      <c r="BA319" s="13"/>
      <c r="BB319" s="15"/>
      <c r="BC319" s="45"/>
      <c r="BD319" s="28"/>
      <c r="BE319" s="14"/>
      <c r="BF319" s="41">
        <f t="shared" ref="BF319:BG319" si="1054">K319+O319+S319+W319+AA319+AE319+AI319+AM319+AQ319+AU319+AY319+BC319</f>
        <v>500</v>
      </c>
      <c r="BG319" s="34">
        <f t="shared" si="1054"/>
        <v>0</v>
      </c>
      <c r="BH319" s="35">
        <f t="shared" si="1040"/>
        <v>500</v>
      </c>
      <c r="BK319" s="2" t="b">
        <f>H319='2019'!BH261</f>
        <v>1</v>
      </c>
    </row>
    <row r="320" ht="14.25" customHeight="1" hidden="1" spans="1:60" x14ac:dyDescent="0.25">
      <c r="A320" s="2">
        <v>35</v>
      </c>
      <c r="B320" s="14"/>
      <c r="D320" s="14" t="s">
        <v>51</v>
      </c>
      <c r="E320" s="2" t="s">
        <v>49</v>
      </c>
      <c r="F320" s="41">
        <v>500</v>
      </c>
      <c r="G320" s="28"/>
      <c r="H320" s="34"/>
      <c r="I320" s="15"/>
      <c r="J320" s="15"/>
      <c r="K320" s="15"/>
      <c r="L320" s="28"/>
      <c r="Q320" s="13"/>
      <c r="R320" s="15"/>
      <c r="S320" s="15"/>
      <c r="T320" s="28"/>
      <c r="Y320" s="13"/>
      <c r="Z320" s="15"/>
      <c r="AA320" s="15"/>
      <c r="AB320" s="28"/>
      <c r="AE320" s="34"/>
      <c r="AF320" s="34"/>
      <c r="AG320" s="13"/>
      <c r="AH320" s="15"/>
      <c r="AI320" s="45"/>
      <c r="AJ320" s="15"/>
      <c r="AK320" s="13"/>
      <c r="AL320" s="15"/>
      <c r="AM320" s="45"/>
      <c r="AN320" s="15"/>
      <c r="AO320" s="13"/>
      <c r="AP320" s="15"/>
      <c r="AQ320" s="34">
        <f>B315*$F$14</f>
        <v>2005</v>
      </c>
      <c r="AR320" s="15"/>
      <c r="AS320" s="13"/>
      <c r="AT320" s="15"/>
      <c r="AU320" s="45"/>
      <c r="AV320" s="15"/>
      <c r="AW320" s="13"/>
      <c r="AY320" s="45"/>
      <c r="AZ320" s="28"/>
      <c r="BA320" s="13"/>
      <c r="BB320" s="15"/>
      <c r="BC320" s="45"/>
      <c r="BD320" s="28"/>
      <c r="BE320" s="14"/>
      <c r="BF320" s="41">
        <f t="shared" ref="BF320:BG320" si="1055">K320+O320+S320+W320+AA320+AE320+AI320+AM320+AQ320+AU320+AY320+BC320</f>
        <v>2005</v>
      </c>
      <c r="BG320" s="34">
        <f t="shared" si="1055"/>
        <v>0</v>
      </c>
      <c r="BH320" s="35">
        <f t="shared" si="1040"/>
        <v>2005</v>
      </c>
    </row>
    <row r="321" ht="14.25" customHeight="1" hidden="1" spans="1:63" x14ac:dyDescent="0.25">
      <c r="A321" s="2">
        <v>35</v>
      </c>
      <c r="B321" s="14"/>
      <c r="D321" s="14" t="s">
        <v>52</v>
      </c>
      <c r="E321" s="2" t="s">
        <v>39</v>
      </c>
      <c r="F321" s="41">
        <v>500</v>
      </c>
      <c r="G321" s="28"/>
      <c r="H321" s="34">
        <f>'2019'!BH262</f>
        <v>0</v>
      </c>
      <c r="I321" s="15"/>
      <c r="J321" s="15"/>
      <c r="K321" s="15"/>
      <c r="L321" s="28"/>
      <c r="Q321" s="13"/>
      <c r="R321" s="15"/>
      <c r="S321" s="15"/>
      <c r="T321" s="28"/>
      <c r="Y321" s="13"/>
      <c r="Z321" s="15"/>
      <c r="AA321" s="34">
        <f>$F$11</f>
        <v>500</v>
      </c>
      <c r="AB321" s="28"/>
      <c r="AF321" s="133">
        <v>500</v>
      </c>
      <c r="AG321" s="13"/>
      <c r="AH321" s="15"/>
      <c r="AI321" s="45"/>
      <c r="AJ321" s="15"/>
      <c r="AK321" s="13"/>
      <c r="AL321" s="15"/>
      <c r="AM321" s="45"/>
      <c r="AN321" s="15"/>
      <c r="AO321" s="13"/>
      <c r="AP321" s="15"/>
      <c r="AQ321" s="45"/>
      <c r="AR321" s="15"/>
      <c r="AS321" s="13"/>
      <c r="AT321" s="15"/>
      <c r="AU321" s="45"/>
      <c r="AV321" s="15"/>
      <c r="AW321" s="13"/>
      <c r="AY321" s="45"/>
      <c r="AZ321" s="35"/>
      <c r="BA321" s="13"/>
      <c r="BB321" s="15"/>
      <c r="BC321" s="45"/>
      <c r="BD321" s="35"/>
      <c r="BE321" s="14"/>
      <c r="BF321" s="41">
        <f t="shared" ref="BF321:BG321" si="1056">K321+O321+S321+W321+AA321+AE321+AI321+AM321+AQ321+AU321+AY321+BC321</f>
        <v>500</v>
      </c>
      <c r="BG321" s="34">
        <f t="shared" si="1056"/>
        <v>500</v>
      </c>
      <c r="BH321" s="35">
        <f t="shared" si="1040"/>
        <v>0</v>
      </c>
      <c r="BK321" s="2" t="b">
        <f>H321='2019'!BH262</f>
        <v>1</v>
      </c>
    </row>
    <row r="322" ht="14.25" customHeight="1" hidden="1" spans="1:63" x14ac:dyDescent="0.25">
      <c r="A322" s="247">
        <v>35</v>
      </c>
      <c r="B322" s="21"/>
      <c r="C322" s="22" t="s">
        <v>53</v>
      </c>
      <c r="D322" s="21"/>
      <c r="E322" s="22"/>
      <c r="F322" s="20"/>
      <c r="G322" s="23"/>
      <c r="H322" s="51">
        <f>SUM(H314:H321)</f>
        <v>-2.36</v>
      </c>
      <c r="I322" s="53"/>
      <c r="J322" s="53"/>
      <c r="K322" s="51">
        <f t="shared" ref="K322:L322" si="1057">SUM(K314:K321)</f>
        <v>0</v>
      </c>
      <c r="L322" s="68">
        <f t="shared" si="1057"/>
        <v>0</v>
      </c>
      <c r="M322" s="53"/>
      <c r="N322" s="53"/>
      <c r="O322" s="51">
        <f t="shared" ref="O322:P322" si="1058">SUM(O314:O321)</f>
        <v>0</v>
      </c>
      <c r="P322" s="51">
        <f t="shared" si="1058"/>
        <v>0</v>
      </c>
      <c r="Q322" s="52"/>
      <c r="R322" s="53"/>
      <c r="S322" s="51">
        <f t="shared" ref="S322:T322" si="1059">SUM(S314:S321)</f>
        <v>0</v>
      </c>
      <c r="T322" s="51">
        <f t="shared" si="1059"/>
        <v>0</v>
      </c>
      <c r="U322" s="52"/>
      <c r="V322" s="53"/>
      <c r="W322" s="51">
        <f t="shared" ref="W322:X322" si="1060">SUM(W314:W321)</f>
        <v>74.24</v>
      </c>
      <c r="X322" s="51">
        <f t="shared" si="1060"/>
        <v>0</v>
      </c>
      <c r="Y322" s="52"/>
      <c r="Z322" s="53"/>
      <c r="AA322" s="51">
        <f t="shared" ref="AA322:AB322" si="1061">SUM(AA314:AA321)</f>
        <v>500</v>
      </c>
      <c r="AB322" s="51">
        <f t="shared" si="1061"/>
        <v>0</v>
      </c>
      <c r="AC322" s="52"/>
      <c r="AD322" s="53"/>
      <c r="AE322" s="51">
        <f t="shared" ref="AE322:AF322" si="1062">SUM(AE314:AE321)</f>
        <v>4559.48</v>
      </c>
      <c r="AF322" s="51">
        <f t="shared" si="1062"/>
        <v>5150</v>
      </c>
      <c r="AG322" s="52"/>
      <c r="AH322" s="53"/>
      <c r="AI322" s="183">
        <f t="shared" ref="AI322:AJ322" si="1063">SUM(AI314:AI321)</f>
        <v>233.52</v>
      </c>
      <c r="AJ322" s="51">
        <f t="shared" si="1063"/>
        <v>215</v>
      </c>
      <c r="AK322" s="52"/>
      <c r="AL322" s="53"/>
      <c r="AM322" s="183">
        <f t="shared" ref="AM322:AN322" si="1064">SUM(AM314:AM321)</f>
        <v>0</v>
      </c>
      <c r="AN322" s="51">
        <f t="shared" si="1064"/>
        <v>0</v>
      </c>
      <c r="AO322" s="52"/>
      <c r="AP322" s="53"/>
      <c r="AQ322" s="183">
        <f t="shared" ref="AQ322:AR322" si="1065">SUM(AQ314:AQ321)</f>
        <v>2505</v>
      </c>
      <c r="AR322" s="51">
        <f t="shared" si="1065"/>
        <v>0</v>
      </c>
      <c r="AS322" s="52"/>
      <c r="AT322" s="53"/>
      <c r="AU322" s="183">
        <f t="shared" ref="AU322:AV322" si="1066">SUM(AU314:AU321)</f>
        <v>0</v>
      </c>
      <c r="AV322" s="68">
        <f t="shared" si="1066"/>
        <v>0</v>
      </c>
      <c r="AW322" s="52"/>
      <c r="AX322" s="53"/>
      <c r="AY322" s="183">
        <f t="shared" ref="AY322:AZ322" si="1067">SUM(AY314:AY321)</f>
        <v>0</v>
      </c>
      <c r="AZ322" s="68">
        <f t="shared" si="1067"/>
        <v>0</v>
      </c>
      <c r="BA322" s="52"/>
      <c r="BB322" s="53"/>
      <c r="BC322" s="183">
        <f t="shared" ref="BC322:BD322" si="1068">SUM(BC314:BC321)</f>
        <v>0</v>
      </c>
      <c r="BD322" s="68">
        <f t="shared" si="1068"/>
        <v>0</v>
      </c>
      <c r="BE322" s="69"/>
      <c r="BF322" s="70">
        <f t="shared" ref="BF322:BH322" si="1069">SUM(BF314:BF321)</f>
        <v>7872.24</v>
      </c>
      <c r="BG322" s="71">
        <f t="shared" si="1069"/>
        <v>5365</v>
      </c>
      <c r="BH322" s="72">
        <f t="shared" si="1069"/>
        <v>2504.88</v>
      </c>
      <c r="BI322" s="34">
        <f>H322+BF322-BG322</f>
        <v>2504.88</v>
      </c>
      <c r="BJ322" s="34">
        <f>BH322-BI322</f>
        <v>0</v>
      </c>
      <c r="BK322" s="2" t="b">
        <f>H322='2019'!BH263</f>
        <v>0</v>
      </c>
    </row>
    <row r="323" ht="14.25" customHeight="1" hidden="1" spans="1:63" x14ac:dyDescent="0.25">
      <c r="A323" s="2">
        <v>36</v>
      </c>
      <c r="B323" s="14"/>
      <c r="D323" s="14" t="s">
        <v>379</v>
      </c>
      <c r="F323" s="13"/>
      <c r="G323" s="28"/>
      <c r="H323" s="34">
        <f>'2019'!BH264</f>
        <v>0</v>
      </c>
      <c r="J323" s="15"/>
      <c r="K323" s="15"/>
      <c r="L323" s="28"/>
      <c r="Q323" s="13"/>
      <c r="R323" s="15"/>
      <c r="S323" s="15"/>
      <c r="T323" s="28"/>
      <c r="Y323" s="13"/>
      <c r="Z323" s="15"/>
      <c r="AA323" s="15"/>
      <c r="AB323" s="28"/>
      <c r="AG323" s="13"/>
      <c r="AH323" s="15"/>
      <c r="AI323" s="45"/>
      <c r="AJ323" s="15"/>
      <c r="AK323" s="13"/>
      <c r="AM323" s="45"/>
      <c r="AO323" s="13"/>
      <c r="AQ323" s="45"/>
      <c r="AS323" s="13"/>
      <c r="AU323" s="45"/>
      <c r="AW323" s="13"/>
      <c r="AY323" s="45"/>
      <c r="AZ323" s="28"/>
      <c r="BA323" s="13"/>
      <c r="BB323" s="15"/>
      <c r="BC323" s="45"/>
      <c r="BD323" s="28"/>
      <c r="BE323" s="14"/>
      <c r="BF323" s="41">
        <f t="shared" ref="BF323:BG323" si="1070">K323+O323+S323+W323+AA323+AE323+AI323+AM323+AQ323+AU323+AY323+BC323</f>
        <v>0</v>
      </c>
      <c r="BG323" s="34">
        <f t="shared" si="1070"/>
        <v>0</v>
      </c>
      <c r="BH323" s="35">
        <f t="shared" ref="BH323:BH330" si="1071">H323+BF323-BG323</f>
        <v>0</v>
      </c>
      <c r="BK323" s="2" t="b">
        <f>H323='2019'!BH264</f>
        <v>1</v>
      </c>
    </row>
    <row r="324" ht="14.25" customHeight="1" hidden="1" spans="1:63" x14ac:dyDescent="0.25">
      <c r="A324" s="2">
        <v>36</v>
      </c>
      <c r="B324" s="14">
        <v>4.03</v>
      </c>
      <c r="C324" s="2" t="s">
        <v>160</v>
      </c>
      <c r="D324" s="14" t="s">
        <v>44</v>
      </c>
      <c r="E324" s="2" t="s">
        <v>45</v>
      </c>
      <c r="F324" s="41">
        <v>2.5</v>
      </c>
      <c r="G324" s="35">
        <v>2.6</v>
      </c>
      <c r="H324" s="34">
        <f>'2019'!BH265</f>
        <v>65.47</v>
      </c>
      <c r="I324" s="13">
        <v>299</v>
      </c>
      <c r="J324" s="15">
        <f>I324-'2019'!BA265</f>
        <v>0</v>
      </c>
      <c r="K324" s="34">
        <f>J324*$F$8</f>
        <v>0</v>
      </c>
      <c r="L324" s="28"/>
      <c r="M324" s="2">
        <v>299</v>
      </c>
      <c r="N324" s="15">
        <f>M324-I324</f>
        <v>0</v>
      </c>
      <c r="O324" s="34">
        <f>N324*$F$8</f>
        <v>0</v>
      </c>
      <c r="Q324" s="13">
        <v>299</v>
      </c>
      <c r="R324" s="15">
        <f>Q324-M324</f>
        <v>0</v>
      </c>
      <c r="S324" s="34">
        <f>R324*$F$8</f>
        <v>0</v>
      </c>
      <c r="T324" s="28"/>
      <c r="U324" s="15">
        <v>302</v>
      </c>
      <c r="V324" s="15">
        <f t="shared" ref="V324:V325" si="1072">U324-Q324</f>
        <v>3</v>
      </c>
      <c r="W324" s="34">
        <f>V324*$F$8</f>
        <v>7.5</v>
      </c>
      <c r="X324" s="34"/>
      <c r="Y324" s="13">
        <v>314</v>
      </c>
      <c r="Z324" s="15">
        <f t="shared" ref="Z324:Z325" si="1073">Y324-U324</f>
        <v>12</v>
      </c>
      <c r="AA324" s="34">
        <f>Z324*$F$8</f>
        <v>30</v>
      </c>
      <c r="AB324" s="28"/>
      <c r="AC324" s="15">
        <v>322</v>
      </c>
      <c r="AD324" s="15">
        <f t="shared" ref="AD324:AD325" si="1074">AC324-Y324</f>
        <v>8</v>
      </c>
      <c r="AE324" s="34">
        <f>AD324*$F$8</f>
        <v>20</v>
      </c>
      <c r="AF324" s="138">
        <f>102.97+28.87</f>
        <v>131.84</v>
      </c>
      <c r="AG324" s="13">
        <v>345</v>
      </c>
      <c r="AH324" s="15">
        <f t="shared" ref="AH324:AH325" si="1075">AG324-AC324</f>
        <v>23</v>
      </c>
      <c r="AI324" s="45">
        <f>AH324*$G$8</f>
        <v>59.8</v>
      </c>
      <c r="AJ324" s="180"/>
      <c r="AK324" s="13">
        <v>383</v>
      </c>
      <c r="AL324" s="15">
        <f t="shared" ref="AL324:AL325" si="1076">AK324-AG324</f>
        <v>38</v>
      </c>
      <c r="AM324" s="45">
        <f>AL324*$G$8</f>
        <v>98.8</v>
      </c>
      <c r="AN324" s="15"/>
      <c r="AO324" s="13">
        <v>402</v>
      </c>
      <c r="AP324" s="15">
        <f t="shared" ref="AP324:AP325" si="1077">AO324-AK324</f>
        <v>19</v>
      </c>
      <c r="AQ324" s="45">
        <f>AP324*$G$8</f>
        <v>49.4</v>
      </c>
      <c r="AR324" s="15"/>
      <c r="AS324" s="13">
        <v>428</v>
      </c>
      <c r="AT324" s="15">
        <f t="shared" ref="AT324:AT325" si="1078">AS324-AO324</f>
        <v>26</v>
      </c>
      <c r="AU324" s="45">
        <f>AT324*$G$8</f>
        <v>67.6</v>
      </c>
      <c r="AV324" s="15"/>
      <c r="AW324" s="13">
        <v>428</v>
      </c>
      <c r="AX324" s="2">
        <f t="shared" ref="AX324:AX325" si="1079">AW324-AS324</f>
        <v>0</v>
      </c>
      <c r="AY324" s="45">
        <f>AX324*$G$8</f>
        <v>0</v>
      </c>
      <c r="AZ324" s="208"/>
      <c r="BA324" s="13">
        <v>428</v>
      </c>
      <c r="BB324" s="15">
        <f t="shared" ref="BB324:BB325" si="1080">BA324-AW324</f>
        <v>0</v>
      </c>
      <c r="BC324" s="45">
        <f>BB324*$G$8</f>
        <v>0</v>
      </c>
      <c r="BD324" s="208"/>
      <c r="BE324" s="40">
        <f t="shared" ref="BE324:BG324" si="1081">J324+N324+R324+V324+Z324+AD324+AH324+AL324+AP324+AT324+AX324+BB324</f>
        <v>129</v>
      </c>
      <c r="BF324" s="41">
        <f t="shared" si="1081"/>
        <v>333.1</v>
      </c>
      <c r="BG324" s="34">
        <f t="shared" si="1081"/>
        <v>131.84</v>
      </c>
      <c r="BH324" s="35">
        <f t="shared" si="1071"/>
        <v>266.73</v>
      </c>
      <c r="BK324" s="2" t="b">
        <f>H324='2019'!BH265</f>
        <v>1</v>
      </c>
    </row>
    <row r="325" ht="14.25" customHeight="1" hidden="1" spans="1:63" x14ac:dyDescent="0.25">
      <c r="A325" s="2">
        <v>36</v>
      </c>
      <c r="B325" s="14"/>
      <c r="C325" s="2" t="s">
        <v>161</v>
      </c>
      <c r="D325" s="14" t="s">
        <v>47</v>
      </c>
      <c r="E325" s="2" t="s">
        <v>48</v>
      </c>
      <c r="F325" s="13">
        <v>18.56</v>
      </c>
      <c r="G325" s="35">
        <v>19.46</v>
      </c>
      <c r="H325" s="34">
        <f>'2019'!BH266</f>
        <v>0</v>
      </c>
      <c r="I325" s="75">
        <v>25</v>
      </c>
      <c r="J325" s="15"/>
      <c r="K325" s="15"/>
      <c r="L325" s="28"/>
      <c r="M325" s="75">
        <v>25</v>
      </c>
      <c r="Q325" s="75">
        <v>25</v>
      </c>
      <c r="R325" s="15"/>
      <c r="S325" s="15"/>
      <c r="T325" s="28"/>
      <c r="U325" s="2">
        <v>50</v>
      </c>
      <c r="V325" s="2">
        <f t="shared" si="1072"/>
        <v>25</v>
      </c>
      <c r="W325" s="34">
        <f>V325*$F$10</f>
        <v>464</v>
      </c>
      <c r="Y325" s="13">
        <v>50</v>
      </c>
      <c r="Z325" s="15">
        <f t="shared" si="1073"/>
        <v>0</v>
      </c>
      <c r="AA325" s="34">
        <f>Z325*$F$10</f>
        <v>0</v>
      </c>
      <c r="AB325" s="28"/>
      <c r="AC325" s="15">
        <v>61</v>
      </c>
      <c r="AD325" s="15">
        <f t="shared" si="1074"/>
        <v>11</v>
      </c>
      <c r="AE325" s="34">
        <f>AD325*$F$10</f>
        <v>204.16</v>
      </c>
      <c r="AF325" s="133">
        <v>668.16</v>
      </c>
      <c r="AG325" s="13">
        <v>71</v>
      </c>
      <c r="AH325" s="15">
        <f t="shared" si="1075"/>
        <v>10</v>
      </c>
      <c r="AI325" s="45">
        <f>AH325*$G$10</f>
        <v>194.6</v>
      </c>
      <c r="AJ325" s="185">
        <f>194.6+322.4</f>
        <v>517</v>
      </c>
      <c r="AK325" s="13">
        <v>71</v>
      </c>
      <c r="AL325" s="15">
        <f t="shared" si="1076"/>
        <v>0</v>
      </c>
      <c r="AM325" s="45">
        <f>AL325*$G$10</f>
        <v>0</v>
      </c>
      <c r="AN325" s="15"/>
      <c r="AO325" s="13">
        <v>71</v>
      </c>
      <c r="AP325" s="15">
        <f t="shared" si="1077"/>
        <v>0</v>
      </c>
      <c r="AQ325" s="45">
        <f>AP325*$G$10</f>
        <v>0</v>
      </c>
      <c r="AR325" s="15"/>
      <c r="AS325" s="13">
        <v>93</v>
      </c>
      <c r="AT325" s="15">
        <f t="shared" si="1078"/>
        <v>22</v>
      </c>
      <c r="AU325" s="45">
        <f>AT325*$G$10</f>
        <v>428.12</v>
      </c>
      <c r="AV325" s="15"/>
      <c r="AW325" s="13">
        <v>93</v>
      </c>
      <c r="AX325" s="2">
        <f t="shared" si="1079"/>
        <v>0</v>
      </c>
      <c r="AY325" s="45"/>
      <c r="AZ325" s="208"/>
      <c r="BA325" s="13">
        <v>93</v>
      </c>
      <c r="BB325" s="15">
        <f t="shared" si="1080"/>
        <v>0</v>
      </c>
      <c r="BC325" s="45"/>
      <c r="BD325" s="208"/>
      <c r="BE325" s="40">
        <f t="shared" ref="BE325:BG325" si="1082">J325+N325+R325+V325+Z325+AD325+AH325+AL325+AP325+AT325+AX325+BB325</f>
        <v>68</v>
      </c>
      <c r="BF325" s="41">
        <f t="shared" si="1082"/>
        <v>1290.88</v>
      </c>
      <c r="BG325" s="34">
        <f t="shared" si="1082"/>
        <v>1185.16</v>
      </c>
      <c r="BH325" s="35">
        <f t="shared" si="1071"/>
        <v>105.72</v>
      </c>
      <c r="BK325" s="2" t="b">
        <f>H325='2019'!BH266</f>
        <v>1</v>
      </c>
    </row>
    <row r="326" ht="14.25" customHeight="1" hidden="1" spans="1:63" x14ac:dyDescent="0.25">
      <c r="A326" s="2">
        <v>36</v>
      </c>
      <c r="B326" s="14"/>
      <c r="C326" s="2" t="s">
        <v>68</v>
      </c>
      <c r="D326" s="14" t="s">
        <v>47</v>
      </c>
      <c r="E326" s="2" t="s">
        <v>49</v>
      </c>
      <c r="F326" s="41">
        <v>500</v>
      </c>
      <c r="G326" s="28"/>
      <c r="H326" s="34">
        <f>'2019'!BH267</f>
        <v>0</v>
      </c>
      <c r="I326" s="15"/>
      <c r="J326" s="15"/>
      <c r="K326" s="15"/>
      <c r="L326" s="28"/>
      <c r="Q326" s="13"/>
      <c r="R326" s="15"/>
      <c r="S326" s="15"/>
      <c r="T326" s="28"/>
      <c r="Y326" s="13"/>
      <c r="Z326" s="15"/>
      <c r="AA326" s="15"/>
      <c r="AB326" s="28"/>
      <c r="AG326" s="13"/>
      <c r="AH326" s="15"/>
      <c r="AI326" s="45"/>
      <c r="AJ326" s="15"/>
      <c r="AK326" s="13"/>
      <c r="AL326" s="15"/>
      <c r="AM326" s="45"/>
      <c r="AN326" s="15"/>
      <c r="AO326" s="13"/>
      <c r="AP326" s="15"/>
      <c r="AQ326" s="45"/>
      <c r="AR326" s="15"/>
      <c r="AS326" s="13"/>
      <c r="AT326" s="15"/>
      <c r="AU326" s="45"/>
      <c r="AV326" s="15"/>
      <c r="AW326" s="13"/>
      <c r="AY326" s="45"/>
      <c r="AZ326" s="28"/>
      <c r="BA326" s="13"/>
      <c r="BB326" s="15"/>
      <c r="BC326" s="45"/>
      <c r="BD326" s="28"/>
      <c r="BE326" s="14"/>
      <c r="BF326" s="41">
        <f t="shared" ref="BF326:BG326" si="1083">K326+O326+S326+W326+AA326+AE326+AI326+AM326+AQ326+AU326+AY326+BC326</f>
        <v>0</v>
      </c>
      <c r="BG326" s="34">
        <f t="shared" si="1083"/>
        <v>0</v>
      </c>
      <c r="BH326" s="35">
        <f t="shared" si="1071"/>
        <v>0</v>
      </c>
      <c r="BK326" s="2" t="b">
        <f>H326='2019'!BH267</f>
        <v>1</v>
      </c>
    </row>
    <row r="327" ht="14.25" customHeight="1" hidden="1" spans="1:63" x14ac:dyDescent="0.25">
      <c r="A327" s="2">
        <v>36</v>
      </c>
      <c r="B327" s="14"/>
      <c r="C327" s="2" t="s">
        <v>399</v>
      </c>
      <c r="D327" s="14" t="s">
        <v>50</v>
      </c>
      <c r="E327" s="2" t="s">
        <v>49</v>
      </c>
      <c r="F327" s="41">
        <v>1100</v>
      </c>
      <c r="G327" s="28"/>
      <c r="H327" s="182">
        <f>'2019'!BH268+0.0036</f>
        <v>0</v>
      </c>
      <c r="I327" s="15"/>
      <c r="J327" s="15"/>
      <c r="K327" s="15"/>
      <c r="L327" s="28"/>
      <c r="Q327" s="13"/>
      <c r="R327" s="15"/>
      <c r="S327" s="15"/>
      <c r="T327" s="28"/>
      <c r="Y327" s="13"/>
      <c r="Z327" s="15"/>
      <c r="AA327" s="15"/>
      <c r="AB327" s="28"/>
      <c r="AE327" s="34">
        <f>B324*$F$12</f>
        <v>4433</v>
      </c>
      <c r="AG327" s="13"/>
      <c r="AH327" s="15"/>
      <c r="AI327" s="45"/>
      <c r="AJ327" s="185">
        <v>4433</v>
      </c>
      <c r="AK327" s="13"/>
      <c r="AL327" s="15"/>
      <c r="AM327" s="45"/>
      <c r="AN327" s="15"/>
      <c r="AO327" s="13"/>
      <c r="AP327" s="15"/>
      <c r="AQ327" s="45"/>
      <c r="AR327" s="15"/>
      <c r="AS327" s="13"/>
      <c r="AT327" s="15"/>
      <c r="AU327" s="45"/>
      <c r="AV327" s="15"/>
      <c r="AW327" s="13"/>
      <c r="AY327" s="45"/>
      <c r="AZ327" s="28"/>
      <c r="BA327" s="13"/>
      <c r="BB327" s="15"/>
      <c r="BC327" s="45"/>
      <c r="BD327" s="28"/>
      <c r="BE327" s="14"/>
      <c r="BF327" s="41">
        <f t="shared" ref="BF327:BG327" si="1084">K327+O327+S327+W327+AA327+AE327+AI327+AM327+AQ327+AU327+AY327+BC327</f>
        <v>4433</v>
      </c>
      <c r="BG327" s="34">
        <f t="shared" si="1084"/>
        <v>4433</v>
      </c>
      <c r="BH327" s="35">
        <f t="shared" si="1071"/>
        <v>0</v>
      </c>
      <c r="BK327" s="2" t="b">
        <f>H327='2019'!BH268</f>
        <v>0</v>
      </c>
    </row>
    <row r="328" ht="14.25" customHeight="1" hidden="1" spans="1:63" x14ac:dyDescent="0.25">
      <c r="A328" s="2">
        <v>36</v>
      </c>
      <c r="B328" s="14"/>
      <c r="D328" s="14" t="s">
        <v>51</v>
      </c>
      <c r="E328" s="2" t="s">
        <v>39</v>
      </c>
      <c r="F328" s="41">
        <v>500</v>
      </c>
      <c r="G328" s="28"/>
      <c r="H328" s="34">
        <f>'2019'!BH269</f>
        <v>0</v>
      </c>
      <c r="I328" s="15"/>
      <c r="J328" s="15"/>
      <c r="K328" s="15"/>
      <c r="L328" s="28"/>
      <c r="Q328" s="13"/>
      <c r="R328" s="15"/>
      <c r="S328" s="15"/>
      <c r="T328" s="28"/>
      <c r="Y328" s="13"/>
      <c r="Z328" s="15"/>
      <c r="AA328" s="15"/>
      <c r="AB328" s="28"/>
      <c r="AE328" s="34"/>
      <c r="AG328" s="13"/>
      <c r="AH328" s="15"/>
      <c r="AI328" s="45"/>
      <c r="AJ328" s="180"/>
      <c r="AK328" s="13"/>
      <c r="AL328" s="15"/>
      <c r="AM328" s="45"/>
      <c r="AN328" s="15"/>
      <c r="AO328" s="13"/>
      <c r="AP328" s="15"/>
      <c r="AQ328" s="45">
        <f>$F$13</f>
        <v>500</v>
      </c>
      <c r="AR328" s="15"/>
      <c r="AS328" s="13"/>
      <c r="AT328" s="15"/>
      <c r="AU328" s="45"/>
      <c r="AV328" s="15"/>
      <c r="AW328" s="13"/>
      <c r="AY328" s="45"/>
      <c r="AZ328" s="28"/>
      <c r="BA328" s="13"/>
      <c r="BB328" s="15"/>
      <c r="BC328" s="45"/>
      <c r="BD328" s="28"/>
      <c r="BE328" s="14"/>
      <c r="BF328" s="41">
        <f t="shared" ref="BF328:BG328" si="1085">K328+O328+S328+W328+AA328+AE328+AI328+AM328+AQ328+AU328+AY328+BC328</f>
        <v>500</v>
      </c>
      <c r="BG328" s="34">
        <f t="shared" si="1085"/>
        <v>0</v>
      </c>
      <c r="BH328" s="35">
        <f t="shared" si="1071"/>
        <v>500</v>
      </c>
      <c r="BK328" s="2" t="b">
        <f>H328='2019'!BH269</f>
        <v>1</v>
      </c>
    </row>
    <row r="329" ht="14.25" customHeight="1" hidden="1" spans="1:60" x14ac:dyDescent="0.25">
      <c r="A329" s="2">
        <v>36</v>
      </c>
      <c r="B329" s="14"/>
      <c r="D329" s="14" t="s">
        <v>51</v>
      </c>
      <c r="E329" s="2" t="s">
        <v>49</v>
      </c>
      <c r="F329" s="41">
        <v>500</v>
      </c>
      <c r="G329" s="28"/>
      <c r="H329" s="34"/>
      <c r="I329" s="15"/>
      <c r="J329" s="15"/>
      <c r="K329" s="15"/>
      <c r="L329" s="28"/>
      <c r="Q329" s="13"/>
      <c r="R329" s="15"/>
      <c r="S329" s="15"/>
      <c r="T329" s="28"/>
      <c r="Y329" s="13"/>
      <c r="Z329" s="15"/>
      <c r="AA329" s="15"/>
      <c r="AB329" s="28"/>
      <c r="AE329" s="34"/>
      <c r="AG329" s="13"/>
      <c r="AH329" s="15"/>
      <c r="AI329" s="45"/>
      <c r="AJ329" s="180"/>
      <c r="AK329" s="13"/>
      <c r="AL329" s="15"/>
      <c r="AM329" s="45"/>
      <c r="AN329" s="15"/>
      <c r="AO329" s="13"/>
      <c r="AP329" s="15"/>
      <c r="AQ329" s="34">
        <f>B324*$F$14</f>
        <v>2015</v>
      </c>
      <c r="AR329" s="15"/>
      <c r="AS329" s="13"/>
      <c r="AT329" s="15"/>
      <c r="AU329" s="45"/>
      <c r="AV329" s="15"/>
      <c r="AW329" s="13"/>
      <c r="AY329" s="45"/>
      <c r="AZ329" s="28"/>
      <c r="BA329" s="13"/>
      <c r="BB329" s="15"/>
      <c r="BC329" s="45"/>
      <c r="BD329" s="28"/>
      <c r="BE329" s="14"/>
      <c r="BF329" s="41">
        <f t="shared" ref="BF329:BG329" si="1086">K329+O329+S329+W329+AA329+AE329+AI329+AM329+AQ329+AU329+AY329+BC329</f>
        <v>2015</v>
      </c>
      <c r="BG329" s="34">
        <f t="shared" si="1086"/>
        <v>0</v>
      </c>
      <c r="BH329" s="35">
        <f t="shared" si="1071"/>
        <v>2015</v>
      </c>
    </row>
    <row r="330" ht="14.25" customHeight="1" hidden="1" spans="1:63" x14ac:dyDescent="0.25">
      <c r="A330" s="2">
        <v>36</v>
      </c>
      <c r="B330" s="14"/>
      <c r="D330" s="14" t="s">
        <v>52</v>
      </c>
      <c r="E330" s="2" t="s">
        <v>39</v>
      </c>
      <c r="F330" s="41">
        <v>500</v>
      </c>
      <c r="G330" s="28"/>
      <c r="H330" s="34">
        <f>'2019'!BH270</f>
        <v>0</v>
      </c>
      <c r="I330" s="15"/>
      <c r="J330" s="15"/>
      <c r="K330" s="15"/>
      <c r="L330" s="28"/>
      <c r="Q330" s="13"/>
      <c r="R330" s="15"/>
      <c r="S330" s="15"/>
      <c r="T330" s="28"/>
      <c r="Y330" s="13"/>
      <c r="Z330" s="15"/>
      <c r="AA330" s="34">
        <f>$F$11</f>
        <v>500</v>
      </c>
      <c r="AB330" s="28"/>
      <c r="AF330" s="133">
        <v>500</v>
      </c>
      <c r="AG330" s="13"/>
      <c r="AH330" s="15"/>
      <c r="AI330" s="45"/>
      <c r="AJ330" s="180"/>
      <c r="AK330" s="13"/>
      <c r="AL330" s="15"/>
      <c r="AM330" s="45"/>
      <c r="AN330" s="15"/>
      <c r="AO330" s="13"/>
      <c r="AP330" s="15"/>
      <c r="AQ330" s="45"/>
      <c r="AR330" s="15"/>
      <c r="AS330" s="13"/>
      <c r="AT330" s="15"/>
      <c r="AU330" s="45"/>
      <c r="AV330" s="15"/>
      <c r="AW330" s="13"/>
      <c r="AY330" s="45"/>
      <c r="AZ330" s="35"/>
      <c r="BA330" s="13"/>
      <c r="BB330" s="15"/>
      <c r="BC330" s="45"/>
      <c r="BD330" s="35"/>
      <c r="BE330" s="14"/>
      <c r="BF330" s="41">
        <f t="shared" ref="BF330:BG330" si="1087">K330+O330+S330+W330+AA330+AE330+AI330+AM330+AQ330+AU330+AY330+BC330</f>
        <v>500</v>
      </c>
      <c r="BG330" s="34">
        <f t="shared" si="1087"/>
        <v>500</v>
      </c>
      <c r="BH330" s="35">
        <f t="shared" si="1071"/>
        <v>0</v>
      </c>
      <c r="BK330" s="2" t="b">
        <f>H330='2019'!BH270</f>
        <v>1</v>
      </c>
    </row>
    <row r="331" ht="14.25" customHeight="1" hidden="1" spans="1:63" x14ac:dyDescent="0.25">
      <c r="A331" s="247">
        <v>36</v>
      </c>
      <c r="B331" s="21"/>
      <c r="C331" s="22" t="s">
        <v>53</v>
      </c>
      <c r="D331" s="21"/>
      <c r="E331" s="22"/>
      <c r="F331" s="20"/>
      <c r="G331" s="23"/>
      <c r="H331" s="51">
        <f>SUM(H323:H330)</f>
        <v>65.47</v>
      </c>
      <c r="I331" s="53"/>
      <c r="J331" s="53"/>
      <c r="K331" s="51">
        <f t="shared" ref="K331:L331" si="1088">SUM(K323:K330)</f>
        <v>0</v>
      </c>
      <c r="L331" s="68">
        <f t="shared" si="1088"/>
        <v>0</v>
      </c>
      <c r="M331" s="53"/>
      <c r="N331" s="53"/>
      <c r="O331" s="51">
        <f t="shared" ref="O331:P331" si="1089">SUM(O323:O330)</f>
        <v>0</v>
      </c>
      <c r="P331" s="51">
        <f t="shared" si="1089"/>
        <v>0</v>
      </c>
      <c r="Q331" s="52"/>
      <c r="R331" s="53"/>
      <c r="S331" s="51">
        <f t="shared" ref="S331:T331" si="1090">SUM(S323:S330)</f>
        <v>0</v>
      </c>
      <c r="T331" s="51">
        <f t="shared" si="1090"/>
        <v>0</v>
      </c>
      <c r="U331" s="52"/>
      <c r="V331" s="53"/>
      <c r="W331" s="51">
        <f t="shared" ref="W331:X331" si="1091">SUM(W323:W330)</f>
        <v>471.5</v>
      </c>
      <c r="X331" s="51">
        <f t="shared" si="1091"/>
        <v>0</v>
      </c>
      <c r="Y331" s="52"/>
      <c r="Z331" s="53"/>
      <c r="AA331" s="51">
        <f t="shared" ref="AA331:AB331" si="1092">SUM(AA323:AA330)</f>
        <v>530</v>
      </c>
      <c r="AB331" s="51">
        <f t="shared" si="1092"/>
        <v>0</v>
      </c>
      <c r="AC331" s="52"/>
      <c r="AD331" s="53"/>
      <c r="AE331" s="51">
        <f t="shared" ref="AE331:AF331" si="1093">SUM(AE323:AE330)</f>
        <v>4657.16</v>
      </c>
      <c r="AF331" s="51">
        <f t="shared" si="1093"/>
        <v>1300</v>
      </c>
      <c r="AG331" s="52"/>
      <c r="AH331" s="53"/>
      <c r="AI331" s="183">
        <f t="shared" ref="AI331:AJ331" si="1094">SUM(AI323:AI330)</f>
        <v>254.4</v>
      </c>
      <c r="AJ331" s="51">
        <f t="shared" si="1094"/>
        <v>4950</v>
      </c>
      <c r="AK331" s="52"/>
      <c r="AL331" s="53"/>
      <c r="AM331" s="183">
        <f t="shared" ref="AM331:AN331" si="1095">SUM(AM323:AM330)</f>
        <v>98.8</v>
      </c>
      <c r="AN331" s="51">
        <f t="shared" si="1095"/>
        <v>0</v>
      </c>
      <c r="AO331" s="52"/>
      <c r="AP331" s="53"/>
      <c r="AQ331" s="183">
        <f t="shared" ref="AQ331:AR331" si="1096">SUM(AQ323:AQ330)</f>
        <v>2564.4</v>
      </c>
      <c r="AR331" s="51">
        <f t="shared" si="1096"/>
        <v>0</v>
      </c>
      <c r="AS331" s="52"/>
      <c r="AT331" s="53"/>
      <c r="AU331" s="183">
        <f t="shared" ref="AU331:AV331" si="1097">SUM(AU323:AU330)</f>
        <v>495.72</v>
      </c>
      <c r="AV331" s="68">
        <f t="shared" si="1097"/>
        <v>0</v>
      </c>
      <c r="AW331" s="52"/>
      <c r="AX331" s="53"/>
      <c r="AY331" s="183">
        <f t="shared" ref="AY331:AZ331" si="1098">SUM(AY323:AY330)</f>
        <v>0</v>
      </c>
      <c r="AZ331" s="68">
        <f t="shared" si="1098"/>
        <v>0</v>
      </c>
      <c r="BA331" s="52"/>
      <c r="BB331" s="53"/>
      <c r="BC331" s="183">
        <f t="shared" ref="BC331:BD331" si="1099">SUM(BC323:BC330)</f>
        <v>0</v>
      </c>
      <c r="BD331" s="68">
        <f t="shared" si="1099"/>
        <v>0</v>
      </c>
      <c r="BE331" s="69"/>
      <c r="BF331" s="70">
        <f t="shared" ref="BF331:BH331" si="1100">SUM(BF323:BF330)</f>
        <v>9071.98</v>
      </c>
      <c r="BG331" s="71">
        <f t="shared" si="1100"/>
        <v>6250</v>
      </c>
      <c r="BH331" s="72">
        <f t="shared" si="1100"/>
        <v>2887.45</v>
      </c>
      <c r="BI331" s="34">
        <f>H331+BF331-BG331</f>
        <v>2887.45</v>
      </c>
      <c r="BJ331" s="34">
        <f>BH331-BI331</f>
        <v>0</v>
      </c>
      <c r="BK331" s="2" t="b">
        <f>H331='2019'!BH271</f>
        <v>0</v>
      </c>
    </row>
    <row r="332" ht="14.25" customHeight="1" hidden="1" spans="1:63" x14ac:dyDescent="0.25">
      <c r="A332" s="2">
        <v>37</v>
      </c>
      <c r="B332" s="14"/>
      <c r="D332" s="14" t="s">
        <v>379</v>
      </c>
      <c r="F332" s="13"/>
      <c r="G332" s="28"/>
      <c r="H332" s="34">
        <f>'2019'!BH272</f>
        <v>0</v>
      </c>
      <c r="J332" s="15"/>
      <c r="K332" s="15"/>
      <c r="L332" s="28"/>
      <c r="Q332" s="13"/>
      <c r="R332" s="15"/>
      <c r="S332" s="15"/>
      <c r="T332" s="28"/>
      <c r="Y332" s="13"/>
      <c r="Z332" s="15"/>
      <c r="AA332" s="15"/>
      <c r="AB332" s="28"/>
      <c r="AG332" s="13"/>
      <c r="AH332" s="15"/>
      <c r="AI332" s="45"/>
      <c r="AJ332" s="15"/>
      <c r="AK332" s="13"/>
      <c r="AM332" s="45"/>
      <c r="AO332" s="13"/>
      <c r="AQ332" s="45"/>
      <c r="AS332" s="13"/>
      <c r="AU332" s="45"/>
      <c r="AW332" s="13"/>
      <c r="AY332" s="45"/>
      <c r="AZ332" s="28"/>
      <c r="BA332" s="13"/>
      <c r="BB332" s="15"/>
      <c r="BC332" s="45"/>
      <c r="BD332" s="28"/>
      <c r="BE332" s="14"/>
      <c r="BF332" s="41">
        <f t="shared" ref="BF332:BG332" si="1101">K332+O332+S332+W332+AA332+AE332+AI332+AM332+AQ332+AU332+AY332+BC332</f>
        <v>0</v>
      </c>
      <c r="BG332" s="34">
        <f t="shared" si="1101"/>
        <v>0</v>
      </c>
      <c r="BH332" s="35">
        <f t="shared" ref="BH332:BH339" si="1102">H332+BF332-BG332</f>
        <v>0</v>
      </c>
      <c r="BK332" s="2" t="b">
        <f>H332='2019'!BH272</f>
        <v>1</v>
      </c>
    </row>
    <row r="333" ht="14.25" customHeight="1" hidden="1" spans="1:63" x14ac:dyDescent="0.25">
      <c r="A333" s="2">
        <v>37</v>
      </c>
      <c r="B333" s="14">
        <v>4.06</v>
      </c>
      <c r="C333" s="2" t="s">
        <v>162</v>
      </c>
      <c r="D333" s="14" t="s">
        <v>44</v>
      </c>
      <c r="E333" s="2" t="s">
        <v>45</v>
      </c>
      <c r="F333" s="41">
        <v>2.5</v>
      </c>
      <c r="G333" s="35">
        <v>2.6</v>
      </c>
      <c r="H333" s="104">
        <f>'2019'!BH273</f>
        <v>0</v>
      </c>
      <c r="I333" s="15"/>
      <c r="J333" s="15"/>
      <c r="K333" s="34">
        <f>J333*$F$8</f>
        <v>0</v>
      </c>
      <c r="L333" s="28"/>
      <c r="N333" s="15"/>
      <c r="O333" s="34">
        <f>N333*$F$8</f>
        <v>0</v>
      </c>
      <c r="Q333" s="13"/>
      <c r="R333" s="15">
        <f>Q333-M333</f>
        <v>0</v>
      </c>
      <c r="S333" s="34">
        <f>R333*$F$8</f>
        <v>0</v>
      </c>
      <c r="T333" s="28"/>
      <c r="V333" s="15">
        <f t="shared" ref="V333:V334" si="1103">U333-Q333</f>
        <v>0</v>
      </c>
      <c r="W333" s="34">
        <f>V333*$F$8</f>
        <v>0</v>
      </c>
      <c r="Y333" s="13"/>
      <c r="Z333" s="15">
        <f>Y333-U333</f>
        <v>0</v>
      </c>
      <c r="AA333" s="34">
        <f>Z333*$F$8</f>
        <v>0</v>
      </c>
      <c r="AB333" s="28"/>
      <c r="AC333" s="15"/>
      <c r="AD333" s="15">
        <f t="shared" ref="AD333:AD334" si="1104">AC333-Y333</f>
        <v>0</v>
      </c>
      <c r="AE333" s="34">
        <f>AD333*$F$8</f>
        <v>0</v>
      </c>
      <c r="AG333" s="13"/>
      <c r="AH333" s="15">
        <f t="shared" ref="AH333:AH334" si="1105">AG333-AC333</f>
        <v>0</v>
      </c>
      <c r="AI333" s="45">
        <f>AH333*$G$8</f>
        <v>0</v>
      </c>
      <c r="AJ333" s="15"/>
      <c r="AK333" s="13">
        <v>0</v>
      </c>
      <c r="AL333" s="15">
        <f t="shared" ref="AL333:AL334" si="1106">AK333-AG333</f>
        <v>0</v>
      </c>
      <c r="AM333" s="45">
        <f>AL333*$G$8</f>
        <v>0</v>
      </c>
      <c r="AN333" s="15"/>
      <c r="AO333" s="13">
        <v>0</v>
      </c>
      <c r="AP333" s="15">
        <f t="shared" ref="AP333:AP334" si="1107">AO333-AK333</f>
        <v>0</v>
      </c>
      <c r="AQ333" s="45">
        <f>AP333*$G$8</f>
        <v>0</v>
      </c>
      <c r="AR333" s="15"/>
      <c r="AS333" s="13">
        <v>0</v>
      </c>
      <c r="AT333" s="15">
        <f t="shared" ref="AT333:AT334" si="1108">AS333-AO333</f>
        <v>0</v>
      </c>
      <c r="AU333" s="45">
        <f>AT333*$G$8</f>
        <v>0</v>
      </c>
      <c r="AV333" s="15"/>
      <c r="AW333" s="13">
        <v>0</v>
      </c>
      <c r="AX333" s="2">
        <f t="shared" ref="AX333:AX334" si="1109">AW333-AS333</f>
        <v>0</v>
      </c>
      <c r="AY333" s="45">
        <f>AX333*$G$8</f>
        <v>0</v>
      </c>
      <c r="AZ333" s="208"/>
      <c r="BA333" s="13">
        <v>0</v>
      </c>
      <c r="BB333" s="15">
        <f t="shared" ref="BB333:BB334" si="1110">BA333-AW333</f>
        <v>0</v>
      </c>
      <c r="BC333" s="45">
        <f>BB333*$G$8</f>
        <v>0</v>
      </c>
      <c r="BD333" s="208"/>
      <c r="BE333" s="40">
        <f t="shared" ref="BE333:BG333" si="1111">J333+N333+R333+V333+Z333+AD333+AH333+AL333+AP333+AT333+AX333+BB333</f>
        <v>0</v>
      </c>
      <c r="BF333" s="41">
        <f t="shared" si="1111"/>
        <v>0</v>
      </c>
      <c r="BG333" s="34">
        <f t="shared" si="1111"/>
        <v>0</v>
      </c>
      <c r="BH333" s="35">
        <f t="shared" si="1102"/>
        <v>0</v>
      </c>
      <c r="BK333" s="2" t="b">
        <f>H333='2019'!BH273</f>
        <v>1</v>
      </c>
    </row>
    <row r="334" ht="14.25" customHeight="1" hidden="1" spans="1:63" x14ac:dyDescent="0.25">
      <c r="A334" s="2">
        <v>37</v>
      </c>
      <c r="B334" s="14"/>
      <c r="C334" s="2" t="s">
        <v>163</v>
      </c>
      <c r="D334" s="14" t="s">
        <v>47</v>
      </c>
      <c r="E334" s="2" t="s">
        <v>48</v>
      </c>
      <c r="F334" s="13">
        <v>18.56</v>
      </c>
      <c r="G334" s="35">
        <v>19.46</v>
      </c>
      <c r="H334" s="34">
        <f>'2019'!BH274</f>
        <v>-4.46</v>
      </c>
      <c r="I334" s="15">
        <v>164</v>
      </c>
      <c r="J334" s="15"/>
      <c r="K334" s="15"/>
      <c r="L334" s="28"/>
      <c r="M334" s="2">
        <v>164</v>
      </c>
      <c r="Q334" s="184">
        <v>164</v>
      </c>
      <c r="R334" s="15"/>
      <c r="S334" s="15"/>
      <c r="T334" s="28"/>
      <c r="U334" s="2">
        <v>165</v>
      </c>
      <c r="V334" s="2">
        <f t="shared" si="1103"/>
        <v>1</v>
      </c>
      <c r="W334" s="34">
        <f>V334*$F$10</f>
        <v>18.56</v>
      </c>
      <c r="Y334" s="95">
        <v>1</v>
      </c>
      <c r="Z334" s="81">
        <v>1</v>
      </c>
      <c r="AA334" s="90">
        <f>Z334*$F$10</f>
        <v>18.56</v>
      </c>
      <c r="AB334" s="28"/>
      <c r="AC334" s="13">
        <v>6</v>
      </c>
      <c r="AD334" s="15">
        <f t="shared" si="1104"/>
        <v>5</v>
      </c>
      <c r="AE334" s="34">
        <f>AD334*$F$10</f>
        <v>92.8</v>
      </c>
      <c r="AF334" s="34"/>
      <c r="AG334" s="13">
        <v>11</v>
      </c>
      <c r="AH334" s="15">
        <f t="shared" si="1105"/>
        <v>5</v>
      </c>
      <c r="AI334" s="45">
        <f>AH334*$G$10</f>
        <v>97.3</v>
      </c>
      <c r="AJ334" s="185">
        <f>222.76+11.24</f>
        <v>234</v>
      </c>
      <c r="AK334" s="13">
        <v>11</v>
      </c>
      <c r="AL334" s="15">
        <f t="shared" si="1106"/>
        <v>0</v>
      </c>
      <c r="AM334" s="45">
        <f>AL334*$G$10</f>
        <v>0</v>
      </c>
      <c r="AN334" s="15"/>
      <c r="AO334" s="13">
        <v>11</v>
      </c>
      <c r="AP334" s="15">
        <f t="shared" si="1107"/>
        <v>0</v>
      </c>
      <c r="AQ334" s="45">
        <f>AP334*$G$10</f>
        <v>0</v>
      </c>
      <c r="AR334" s="15"/>
      <c r="AS334" s="13">
        <v>11</v>
      </c>
      <c r="AT334" s="15">
        <f t="shared" si="1108"/>
        <v>0</v>
      </c>
      <c r="AU334" s="45">
        <f>AT334*$G$10</f>
        <v>0</v>
      </c>
      <c r="AV334" s="15"/>
      <c r="AW334" s="13">
        <v>11</v>
      </c>
      <c r="AX334" s="2">
        <f t="shared" si="1109"/>
        <v>0</v>
      </c>
      <c r="AY334" s="45"/>
      <c r="AZ334" s="208"/>
      <c r="BA334" s="13">
        <v>11</v>
      </c>
      <c r="BB334" s="15">
        <f t="shared" si="1110"/>
        <v>0</v>
      </c>
      <c r="BC334" s="45"/>
      <c r="BD334" s="208"/>
      <c r="BE334" s="40">
        <f t="shared" ref="BE334:BG334" si="1112">J334+N334+R334+V334+Z334+AD334+AH334+AL334+AP334+AT334+AX334+BB334</f>
        <v>12</v>
      </c>
      <c r="BF334" s="41">
        <f t="shared" si="1112"/>
        <v>227.22</v>
      </c>
      <c r="BG334" s="34">
        <f t="shared" si="1112"/>
        <v>234</v>
      </c>
      <c r="BH334" s="35">
        <f t="shared" si="1102"/>
        <v>-11.24</v>
      </c>
      <c r="BK334" s="2" t="b">
        <f>H334='2019'!BH274</f>
        <v>1</v>
      </c>
    </row>
    <row r="335" ht="14.25" customHeight="1" hidden="1" spans="1:63" x14ac:dyDescent="0.25">
      <c r="A335" s="2">
        <v>37</v>
      </c>
      <c r="B335" s="14"/>
      <c r="C335" s="2" t="s">
        <v>164</v>
      </c>
      <c r="D335" s="14" t="s">
        <v>47</v>
      </c>
      <c r="E335" s="2" t="s">
        <v>49</v>
      </c>
      <c r="F335" s="41">
        <v>500</v>
      </c>
      <c r="G335" s="28"/>
      <c r="H335" s="34">
        <f>'2019'!BH275</f>
        <v>0</v>
      </c>
      <c r="I335" s="15"/>
      <c r="J335" s="15"/>
      <c r="K335" s="15"/>
      <c r="L335" s="28"/>
      <c r="Q335" s="13"/>
      <c r="R335" s="15"/>
      <c r="S335" s="15"/>
      <c r="T335" s="28"/>
      <c r="Y335" s="13"/>
      <c r="Z335" s="15"/>
      <c r="AA335" s="15"/>
      <c r="AB335" s="28"/>
      <c r="AG335" s="13"/>
      <c r="AH335" s="15"/>
      <c r="AI335" s="45"/>
      <c r="AJ335" s="15"/>
      <c r="AK335" s="13"/>
      <c r="AL335" s="15"/>
      <c r="AM335" s="45"/>
      <c r="AN335" s="15"/>
      <c r="AO335" s="13"/>
      <c r="AP335" s="15"/>
      <c r="AQ335" s="45"/>
      <c r="AR335" s="15"/>
      <c r="AS335" s="13"/>
      <c r="AT335" s="15"/>
      <c r="AU335" s="45"/>
      <c r="AV335" s="15"/>
      <c r="AW335" s="13"/>
      <c r="AY335" s="45"/>
      <c r="AZ335" s="28"/>
      <c r="BA335" s="13"/>
      <c r="BB335" s="15"/>
      <c r="BC335" s="45"/>
      <c r="BD335" s="28"/>
      <c r="BE335" s="14"/>
      <c r="BF335" s="41">
        <f t="shared" ref="BF335:BG335" si="1113">K335+O335+S335+W335+AA335+AE335+AI335+AM335+AQ335+AU335+AY335+BC335</f>
        <v>0</v>
      </c>
      <c r="BG335" s="34">
        <f t="shared" si="1113"/>
        <v>0</v>
      </c>
      <c r="BH335" s="35">
        <f t="shared" si="1102"/>
        <v>0</v>
      </c>
      <c r="BK335" s="2" t="b">
        <f>H335='2019'!BH275</f>
        <v>1</v>
      </c>
    </row>
    <row r="336" ht="14.25" customHeight="1" hidden="1" spans="1:63" x14ac:dyDescent="0.25">
      <c r="A336" s="2">
        <v>37</v>
      </c>
      <c r="B336" s="14"/>
      <c r="C336" s="15" t="s">
        <v>165</v>
      </c>
      <c r="D336" s="14" t="s">
        <v>50</v>
      </c>
      <c r="E336" s="2" t="s">
        <v>49</v>
      </c>
      <c r="F336" s="41">
        <v>1100</v>
      </c>
      <c r="G336" s="28"/>
      <c r="H336" s="182">
        <f>'2019'!BH276-0.0028</f>
        <v>0</v>
      </c>
      <c r="I336" s="15"/>
      <c r="J336" s="15"/>
      <c r="K336" s="15"/>
      <c r="L336" s="28"/>
      <c r="Q336" s="13"/>
      <c r="R336" s="15"/>
      <c r="S336" s="15"/>
      <c r="T336" s="28"/>
      <c r="Y336" s="13"/>
      <c r="Z336" s="15"/>
      <c r="AA336" s="15"/>
      <c r="AB336" s="28"/>
      <c r="AE336" s="34">
        <f>B333*$F$12</f>
        <v>4466</v>
      </c>
      <c r="AF336" s="34"/>
      <c r="AG336" s="13"/>
      <c r="AH336" s="15"/>
      <c r="AI336" s="45"/>
      <c r="AJ336" s="185">
        <v>4466</v>
      </c>
      <c r="AK336" s="13"/>
      <c r="AL336" s="15"/>
      <c r="AM336" s="45"/>
      <c r="AN336" s="15"/>
      <c r="AO336" s="13"/>
      <c r="AP336" s="15"/>
      <c r="AQ336" s="45"/>
      <c r="AR336" s="15"/>
      <c r="AS336" s="13"/>
      <c r="AT336" s="15"/>
      <c r="AU336" s="45"/>
      <c r="AV336" s="15"/>
      <c r="AW336" s="13"/>
      <c r="AY336" s="45"/>
      <c r="AZ336" s="28"/>
      <c r="BA336" s="13"/>
      <c r="BB336" s="15"/>
      <c r="BC336" s="45"/>
      <c r="BD336" s="28"/>
      <c r="BE336" s="14"/>
      <c r="BF336" s="41">
        <f t="shared" ref="BF336:BG336" si="1114">K336+O336+S336+W336+AA336+AE336+AI336+AM336+AQ336+AU336+AY336+BC336</f>
        <v>4466</v>
      </c>
      <c r="BG336" s="34">
        <f t="shared" si="1114"/>
        <v>4466</v>
      </c>
      <c r="BH336" s="35">
        <f t="shared" si="1102"/>
        <v>0</v>
      </c>
      <c r="BK336" s="2" t="b">
        <f>H336='2019'!BH276</f>
        <v>0</v>
      </c>
    </row>
    <row r="337" ht="14.25" customHeight="1" hidden="1" spans="1:63" x14ac:dyDescent="0.25">
      <c r="A337" s="2">
        <v>37</v>
      </c>
      <c r="B337" s="14"/>
      <c r="C337" s="2" t="s">
        <v>166</v>
      </c>
      <c r="D337" s="14" t="s">
        <v>51</v>
      </c>
      <c r="E337" s="2" t="s">
        <v>39</v>
      </c>
      <c r="F337" s="41">
        <v>500</v>
      </c>
      <c r="G337" s="28"/>
      <c r="H337" s="34">
        <f>'2019'!BH277</f>
        <v>0</v>
      </c>
      <c r="I337" s="15"/>
      <c r="J337" s="15"/>
      <c r="K337" s="15"/>
      <c r="L337" s="28"/>
      <c r="Q337" s="13"/>
      <c r="R337" s="15"/>
      <c r="S337" s="15"/>
      <c r="T337" s="28"/>
      <c r="Y337" s="13"/>
      <c r="Z337" s="15"/>
      <c r="AA337" s="15"/>
      <c r="AB337" s="28"/>
      <c r="AE337" s="34"/>
      <c r="AG337" s="13"/>
      <c r="AH337" s="15"/>
      <c r="AI337" s="45"/>
      <c r="AJ337" s="180"/>
      <c r="AK337" s="13"/>
      <c r="AL337" s="15"/>
      <c r="AM337" s="45"/>
      <c r="AN337" s="15"/>
      <c r="AO337" s="13"/>
      <c r="AP337" s="15"/>
      <c r="AQ337" s="45">
        <f>$F$13</f>
        <v>500</v>
      </c>
      <c r="AR337" s="15"/>
      <c r="AS337" s="13"/>
      <c r="AT337" s="15"/>
      <c r="AU337" s="45"/>
      <c r="AV337" s="15"/>
      <c r="AW337" s="13"/>
      <c r="AY337" s="45"/>
      <c r="AZ337" s="28"/>
      <c r="BA337" s="13"/>
      <c r="BB337" s="15"/>
      <c r="BC337" s="45"/>
      <c r="BD337" s="28"/>
      <c r="BE337" s="14"/>
      <c r="BF337" s="41">
        <f t="shared" ref="BF337:BG337" si="1115">K337+O337+S337+W337+AA337+AE337+AI337+AM337+AQ337+AU337+AY337+BC337</f>
        <v>500</v>
      </c>
      <c r="BG337" s="34">
        <f t="shared" si="1115"/>
        <v>0</v>
      </c>
      <c r="BH337" s="35">
        <f t="shared" si="1102"/>
        <v>500</v>
      </c>
      <c r="BK337" s="2" t="b">
        <f>H337='2019'!BH277</f>
        <v>1</v>
      </c>
    </row>
    <row r="338" ht="14.25" customHeight="1" hidden="1" spans="1:60" x14ac:dyDescent="0.25">
      <c r="A338" s="2">
        <v>37</v>
      </c>
      <c r="B338" s="14"/>
      <c r="D338" s="14" t="s">
        <v>51</v>
      </c>
      <c r="E338" s="2" t="s">
        <v>49</v>
      </c>
      <c r="F338" s="41">
        <v>500</v>
      </c>
      <c r="G338" s="28"/>
      <c r="H338" s="34"/>
      <c r="I338" s="15"/>
      <c r="J338" s="15"/>
      <c r="K338" s="15"/>
      <c r="L338" s="28"/>
      <c r="Q338" s="13"/>
      <c r="R338" s="15"/>
      <c r="S338" s="15"/>
      <c r="T338" s="28"/>
      <c r="Y338" s="13"/>
      <c r="Z338" s="15"/>
      <c r="AA338" s="15"/>
      <c r="AB338" s="28"/>
      <c r="AE338" s="34"/>
      <c r="AG338" s="13"/>
      <c r="AH338" s="15"/>
      <c r="AI338" s="45"/>
      <c r="AJ338" s="180"/>
      <c r="AK338" s="13"/>
      <c r="AL338" s="15"/>
      <c r="AM338" s="45"/>
      <c r="AN338" s="15"/>
      <c r="AO338" s="13"/>
      <c r="AP338" s="15"/>
      <c r="AQ338" s="34">
        <f>B333*$F$14</f>
        <v>2030</v>
      </c>
      <c r="AR338" s="15"/>
      <c r="AS338" s="13"/>
      <c r="AT338" s="15"/>
      <c r="AU338" s="45"/>
      <c r="AV338" s="15"/>
      <c r="AW338" s="13"/>
      <c r="AY338" s="45"/>
      <c r="AZ338" s="28"/>
      <c r="BA338" s="13"/>
      <c r="BB338" s="15"/>
      <c r="BC338" s="45"/>
      <c r="BD338" s="28"/>
      <c r="BE338" s="14"/>
      <c r="BF338" s="41">
        <f t="shared" ref="BF338:BG338" si="1116">K338+O338+S338+W338+AA338+AE338+AI338+AM338+AQ338+AU338+AY338+BC338</f>
        <v>2030</v>
      </c>
      <c r="BG338" s="34">
        <f t="shared" si="1116"/>
        <v>0</v>
      </c>
      <c r="BH338" s="35">
        <f t="shared" si="1102"/>
        <v>2030</v>
      </c>
    </row>
    <row r="339" ht="14.25" customHeight="1" hidden="1" spans="1:63" x14ac:dyDescent="0.25">
      <c r="A339" s="2">
        <v>37</v>
      </c>
      <c r="B339" s="14"/>
      <c r="D339" s="14" t="s">
        <v>52</v>
      </c>
      <c r="E339" s="2" t="s">
        <v>39</v>
      </c>
      <c r="F339" s="41">
        <v>500</v>
      </c>
      <c r="G339" s="28"/>
      <c r="H339" s="34">
        <f>'2019'!BH278</f>
        <v>0</v>
      </c>
      <c r="I339" s="15"/>
      <c r="J339" s="15"/>
      <c r="K339" s="15"/>
      <c r="L339" s="28"/>
      <c r="Q339" s="13"/>
      <c r="R339" s="15"/>
      <c r="S339" s="15"/>
      <c r="T339" s="28"/>
      <c r="Y339" s="13"/>
      <c r="Z339" s="15"/>
      <c r="AA339" s="34">
        <f>$F$11</f>
        <v>500</v>
      </c>
      <c r="AB339" s="35"/>
      <c r="AG339" s="13"/>
      <c r="AH339" s="15"/>
      <c r="AI339" s="45"/>
      <c r="AJ339" s="185">
        <v>500</v>
      </c>
      <c r="AK339" s="13"/>
      <c r="AL339" s="15"/>
      <c r="AM339" s="45"/>
      <c r="AN339" s="15"/>
      <c r="AO339" s="13"/>
      <c r="AP339" s="15"/>
      <c r="AQ339" s="45"/>
      <c r="AR339" s="15"/>
      <c r="AS339" s="13"/>
      <c r="AT339" s="15"/>
      <c r="AU339" s="45"/>
      <c r="AV339" s="15"/>
      <c r="AW339" s="13"/>
      <c r="AY339" s="45"/>
      <c r="AZ339" s="35"/>
      <c r="BA339" s="13"/>
      <c r="BB339" s="15"/>
      <c r="BC339" s="45"/>
      <c r="BD339" s="35"/>
      <c r="BE339" s="14"/>
      <c r="BF339" s="41">
        <f t="shared" ref="BF339:BG339" si="1117">K339+O339+S339+W339+AA339+AE339+AI339+AM339+AQ339+AU339+AY339+BC339</f>
        <v>500</v>
      </c>
      <c r="BG339" s="34">
        <f t="shared" si="1117"/>
        <v>500</v>
      </c>
      <c r="BH339" s="35">
        <f t="shared" si="1102"/>
        <v>0</v>
      </c>
      <c r="BK339" s="2" t="b">
        <f>H339='2019'!BH278</f>
        <v>1</v>
      </c>
    </row>
    <row r="340" ht="14.25" customHeight="1" hidden="1" spans="1:63" x14ac:dyDescent="0.25">
      <c r="A340" s="247">
        <v>37</v>
      </c>
      <c r="B340" s="21"/>
      <c r="C340" s="22" t="s">
        <v>53</v>
      </c>
      <c r="D340" s="21"/>
      <c r="E340" s="22"/>
      <c r="F340" s="20"/>
      <c r="G340" s="23"/>
      <c r="H340" s="51">
        <f>SUM(H332:H339)</f>
        <v>-4.46</v>
      </c>
      <c r="I340" s="53"/>
      <c r="J340" s="53"/>
      <c r="K340" s="51">
        <f t="shared" ref="K340:L340" si="1118">SUM(K332:K339)</f>
        <v>0</v>
      </c>
      <c r="L340" s="68">
        <f t="shared" si="1118"/>
        <v>0</v>
      </c>
      <c r="M340" s="53"/>
      <c r="N340" s="53"/>
      <c r="O340" s="51">
        <f t="shared" ref="O340:P340" si="1119">SUM(O332:O339)</f>
        <v>0</v>
      </c>
      <c r="P340" s="51">
        <f t="shared" si="1119"/>
        <v>0</v>
      </c>
      <c r="Q340" s="52"/>
      <c r="R340" s="53"/>
      <c r="S340" s="51">
        <f t="shared" ref="S340:T340" si="1120">SUM(S332:S339)</f>
        <v>0</v>
      </c>
      <c r="T340" s="51">
        <f t="shared" si="1120"/>
        <v>0</v>
      </c>
      <c r="U340" s="52"/>
      <c r="V340" s="53"/>
      <c r="W340" s="51">
        <f t="shared" ref="W340:X340" si="1121">SUM(W332:W339)</f>
        <v>18.56</v>
      </c>
      <c r="X340" s="51">
        <f t="shared" si="1121"/>
        <v>0</v>
      </c>
      <c r="Y340" s="52"/>
      <c r="Z340" s="53"/>
      <c r="AA340" s="51">
        <f t="shared" ref="AA340:AB340" si="1122">SUM(AA332:AA339)</f>
        <v>518.56</v>
      </c>
      <c r="AB340" s="51">
        <f t="shared" si="1122"/>
        <v>0</v>
      </c>
      <c r="AC340" s="52"/>
      <c r="AD340" s="53"/>
      <c r="AE340" s="51">
        <f t="shared" ref="AE340:AF340" si="1123">SUM(AE332:AE339)</f>
        <v>4558.8</v>
      </c>
      <c r="AF340" s="51">
        <f t="shared" si="1123"/>
        <v>0</v>
      </c>
      <c r="AG340" s="52"/>
      <c r="AH340" s="53"/>
      <c r="AI340" s="183">
        <f t="shared" ref="AI340:AJ340" si="1124">SUM(AI332:AI339)</f>
        <v>97.3</v>
      </c>
      <c r="AJ340" s="51">
        <f t="shared" si="1124"/>
        <v>5200</v>
      </c>
      <c r="AK340" s="52"/>
      <c r="AL340" s="53"/>
      <c r="AM340" s="183">
        <f t="shared" ref="AM340:AN340" si="1125">SUM(AM332:AM339)</f>
        <v>0</v>
      </c>
      <c r="AN340" s="51">
        <f t="shared" si="1125"/>
        <v>0</v>
      </c>
      <c r="AO340" s="52"/>
      <c r="AP340" s="53"/>
      <c r="AQ340" s="183">
        <f t="shared" ref="AQ340:AR340" si="1126">SUM(AQ332:AQ339)</f>
        <v>2530</v>
      </c>
      <c r="AR340" s="51">
        <f t="shared" si="1126"/>
        <v>0</v>
      </c>
      <c r="AS340" s="52"/>
      <c r="AT340" s="53"/>
      <c r="AU340" s="183">
        <f t="shared" ref="AU340:AV340" si="1127">SUM(AU332:AU339)</f>
        <v>0</v>
      </c>
      <c r="AV340" s="68">
        <f t="shared" si="1127"/>
        <v>0</v>
      </c>
      <c r="AW340" s="52"/>
      <c r="AX340" s="53"/>
      <c r="AY340" s="183">
        <f t="shared" ref="AY340:AZ340" si="1128">SUM(AY332:AY339)</f>
        <v>0</v>
      </c>
      <c r="AZ340" s="68">
        <f t="shared" si="1128"/>
        <v>0</v>
      </c>
      <c r="BA340" s="52"/>
      <c r="BB340" s="53"/>
      <c r="BC340" s="183">
        <f t="shared" ref="BC340:BD340" si="1129">SUM(BC332:BC339)</f>
        <v>0</v>
      </c>
      <c r="BD340" s="68">
        <f t="shared" si="1129"/>
        <v>0</v>
      </c>
      <c r="BE340" s="69"/>
      <c r="BF340" s="70">
        <f t="shared" ref="BF340:BH340" si="1130">SUM(BF332:BF339)</f>
        <v>7723.22</v>
      </c>
      <c r="BG340" s="71">
        <f t="shared" si="1130"/>
        <v>5200</v>
      </c>
      <c r="BH340" s="72">
        <f t="shared" si="1130"/>
        <v>2518.76</v>
      </c>
      <c r="BI340" s="34">
        <f>H340+BF340-BG340</f>
        <v>2518.76</v>
      </c>
      <c r="BJ340" s="34">
        <f>BH340-BI340</f>
        <v>0</v>
      </c>
      <c r="BK340" s="2" t="b">
        <f>H340='2019'!BH279</f>
        <v>0</v>
      </c>
    </row>
    <row r="341" ht="14.25" customHeight="1" hidden="1" spans="1:63" x14ac:dyDescent="0.25">
      <c r="A341" s="2">
        <v>38</v>
      </c>
      <c r="B341" s="14"/>
      <c r="D341" s="14" t="s">
        <v>379</v>
      </c>
      <c r="F341" s="13"/>
      <c r="G341" s="28"/>
      <c r="H341" s="34">
        <f>'2019'!BH280</f>
        <v>0</v>
      </c>
      <c r="J341" s="15"/>
      <c r="K341" s="15"/>
      <c r="L341" s="28"/>
      <c r="Q341" s="13"/>
      <c r="R341" s="15"/>
      <c r="S341" s="15"/>
      <c r="T341" s="28"/>
      <c r="Y341" s="13"/>
      <c r="Z341" s="15"/>
      <c r="AA341" s="15"/>
      <c r="AB341" s="28"/>
      <c r="AG341" s="13"/>
      <c r="AH341" s="15"/>
      <c r="AI341" s="45"/>
      <c r="AJ341" s="15"/>
      <c r="AK341" s="13"/>
      <c r="AM341" s="45"/>
      <c r="AO341" s="13"/>
      <c r="AQ341" s="45">
        <v>11.1</v>
      </c>
      <c r="AS341" s="13"/>
      <c r="AU341" s="45">
        <v>11.47</v>
      </c>
      <c r="AW341" s="13"/>
      <c r="AY341" s="45">
        <v>11.1</v>
      </c>
      <c r="AZ341" s="28"/>
      <c r="BA341" s="13"/>
      <c r="BB341" s="15"/>
      <c r="BC341" s="45">
        <v>11.47</v>
      </c>
      <c r="BD341" s="28"/>
      <c r="BE341" s="14"/>
      <c r="BF341" s="41">
        <f t="shared" ref="BF341:BG341" si="1131">K341+O341+S341+W341+AA341+AE341+AI341+AM341+AQ341+AU341+AY341+BC341</f>
        <v>45.14</v>
      </c>
      <c r="BG341" s="34">
        <f t="shared" si="1131"/>
        <v>0</v>
      </c>
      <c r="BH341" s="35">
        <f t="shared" ref="BH341:BH348" si="1132">H341+BF341-BG341</f>
        <v>45.14</v>
      </c>
      <c r="BK341" s="2" t="b">
        <f>H341='2019'!BH280</f>
        <v>1</v>
      </c>
    </row>
    <row r="342" ht="14.25" customHeight="1" hidden="1" spans="1:63" x14ac:dyDescent="0.25">
      <c r="A342" s="2">
        <v>38</v>
      </c>
      <c r="B342" s="14">
        <v>4.34</v>
      </c>
      <c r="C342" s="2" t="s">
        <v>167</v>
      </c>
      <c r="D342" s="14" t="s">
        <v>44</v>
      </c>
      <c r="E342" s="2" t="s">
        <v>45</v>
      </c>
      <c r="F342" s="41">
        <v>2.5</v>
      </c>
      <c r="G342" s="35">
        <v>2.6</v>
      </c>
      <c r="H342" s="34">
        <f>'2019'!BH281</f>
        <v>2.5</v>
      </c>
      <c r="I342" s="13">
        <v>18</v>
      </c>
      <c r="J342" s="15">
        <f>I342-'2019'!BA281</f>
        <v>0</v>
      </c>
      <c r="K342" s="34">
        <f>J342*$F$8</f>
        <v>0</v>
      </c>
      <c r="L342" s="38">
        <v>2.5</v>
      </c>
      <c r="M342" s="2">
        <v>18</v>
      </c>
      <c r="N342" s="15">
        <f>M342-I342</f>
        <v>0</v>
      </c>
      <c r="O342" s="34">
        <f>N342*$F$8</f>
        <v>0</v>
      </c>
      <c r="Q342" s="13">
        <v>18</v>
      </c>
      <c r="R342" s="15">
        <f>Q342-M342</f>
        <v>0</v>
      </c>
      <c r="S342" s="34">
        <f>R342*$F$8</f>
        <v>0</v>
      </c>
      <c r="T342" s="28"/>
      <c r="U342" s="15">
        <v>18</v>
      </c>
      <c r="V342" s="15">
        <f t="shared" ref="V342:V343" si="1133">U342-Q342</f>
        <v>0</v>
      </c>
      <c r="W342" s="34">
        <f>V342*$F$8</f>
        <v>0</v>
      </c>
      <c r="Y342" s="13">
        <v>18</v>
      </c>
      <c r="Z342" s="15">
        <f t="shared" ref="Z342:Z343" si="1134">Y342-U342</f>
        <v>0</v>
      </c>
      <c r="AA342" s="34">
        <f>Z342*$F$8</f>
        <v>0</v>
      </c>
      <c r="AB342" s="28"/>
      <c r="AC342" s="15">
        <v>18</v>
      </c>
      <c r="AD342" s="15">
        <f t="shared" ref="AD342:AD343" si="1135">AC342-Y342</f>
        <v>0</v>
      </c>
      <c r="AE342" s="34">
        <f>AD342*$F$8</f>
        <v>0</v>
      </c>
      <c r="AG342" s="13">
        <v>18</v>
      </c>
      <c r="AH342" s="15">
        <f t="shared" ref="AH342:AH343" si="1136">AG342-AC342</f>
        <v>0</v>
      </c>
      <c r="AI342" s="45">
        <f>AH342*$G$8</f>
        <v>0</v>
      </c>
      <c r="AJ342" s="15"/>
      <c r="AK342" s="13">
        <v>18</v>
      </c>
      <c r="AL342" s="15">
        <f t="shared" ref="AL342:AL343" si="1137">AK342-AG342</f>
        <v>0</v>
      </c>
      <c r="AM342" s="45">
        <f>AL342*$G$8</f>
        <v>0</v>
      </c>
      <c r="AN342" s="15"/>
      <c r="AO342" s="13">
        <v>18</v>
      </c>
      <c r="AP342" s="15">
        <f t="shared" ref="AP342:AP343" si="1138">AO342-AK342</f>
        <v>0</v>
      </c>
      <c r="AQ342" s="45">
        <f>AP342*$G$8</f>
        <v>0</v>
      </c>
      <c r="AR342" s="15"/>
      <c r="AS342" s="13">
        <v>18</v>
      </c>
      <c r="AT342" s="15">
        <f t="shared" ref="AT342:AT343" si="1139">AS342-AO342</f>
        <v>0</v>
      </c>
      <c r="AU342" s="45">
        <f t="shared" ref="AU342:AU343" si="1140">AT342*$G$8</f>
        <v>0</v>
      </c>
      <c r="AV342" s="15"/>
      <c r="AW342" s="13">
        <v>18</v>
      </c>
      <c r="AX342" s="2">
        <f t="shared" ref="AX342:AX343" si="1141">AW342-AS342</f>
        <v>0</v>
      </c>
      <c r="AY342" s="45">
        <f>AX342*$G$8</f>
        <v>0</v>
      </c>
      <c r="AZ342" s="208"/>
      <c r="BA342" s="13">
        <v>18</v>
      </c>
      <c r="BB342" s="15">
        <f t="shared" ref="BB342:BB343" si="1142">BA342-AW342</f>
        <v>0</v>
      </c>
      <c r="BC342" s="45">
        <f>BB342*$G$8</f>
        <v>0</v>
      </c>
      <c r="BD342" s="208"/>
      <c r="BE342" s="40">
        <f t="shared" ref="BE342:BG342" si="1143">J342+N342+R342+V342+Z342+AD342+AH342+AL342+AP342+AT342+AX342+BB342</f>
        <v>0</v>
      </c>
      <c r="BF342" s="41">
        <f t="shared" si="1143"/>
        <v>0</v>
      </c>
      <c r="BG342" s="34">
        <f t="shared" si="1143"/>
        <v>2.5</v>
      </c>
      <c r="BH342" s="35">
        <f t="shared" si="1132"/>
        <v>0</v>
      </c>
      <c r="BK342" s="2" t="b">
        <f>H342='2019'!BH281</f>
        <v>1</v>
      </c>
    </row>
    <row r="343" ht="14.25" customHeight="1" hidden="1" spans="1:63" x14ac:dyDescent="0.25">
      <c r="A343" s="2">
        <v>38</v>
      </c>
      <c r="B343" s="14"/>
      <c r="C343" s="2" t="s">
        <v>83</v>
      </c>
      <c r="D343" s="14" t="s">
        <v>47</v>
      </c>
      <c r="E343" s="2" t="s">
        <v>48</v>
      </c>
      <c r="F343" s="13">
        <v>18.56</v>
      </c>
      <c r="G343" s="35">
        <v>19.46</v>
      </c>
      <c r="H343" s="34">
        <f>'2019'!BH282</f>
        <v>362.49</v>
      </c>
      <c r="I343" s="15">
        <v>112</v>
      </c>
      <c r="J343" s="15"/>
      <c r="K343" s="15"/>
      <c r="L343" s="38">
        <v>362.5</v>
      </c>
      <c r="M343" s="2">
        <v>112</v>
      </c>
      <c r="Q343" s="13">
        <v>112</v>
      </c>
      <c r="R343" s="15"/>
      <c r="S343" s="15"/>
      <c r="T343" s="28"/>
      <c r="U343" s="2">
        <v>112</v>
      </c>
      <c r="V343" s="2">
        <f t="shared" si="1133"/>
        <v>0</v>
      </c>
      <c r="W343" s="34">
        <f>V343*$F$10</f>
        <v>0</v>
      </c>
      <c r="Y343" s="13">
        <v>112</v>
      </c>
      <c r="Z343" s="15">
        <f t="shared" si="1134"/>
        <v>0</v>
      </c>
      <c r="AA343" s="34">
        <f>Z343*$F$10</f>
        <v>0</v>
      </c>
      <c r="AB343" s="28"/>
      <c r="AC343" s="15">
        <v>113</v>
      </c>
      <c r="AD343" s="15">
        <f t="shared" si="1135"/>
        <v>1</v>
      </c>
      <c r="AE343" s="34">
        <f>AD343*$F$10</f>
        <v>18.56</v>
      </c>
      <c r="AG343" s="13">
        <v>125</v>
      </c>
      <c r="AH343" s="15">
        <f t="shared" si="1136"/>
        <v>12</v>
      </c>
      <c r="AI343" s="45">
        <f>AH343*$G$10</f>
        <v>233.52</v>
      </c>
      <c r="AJ343" s="2"/>
      <c r="AK343" s="13">
        <v>125</v>
      </c>
      <c r="AL343" s="15">
        <f t="shared" si="1137"/>
        <v>0</v>
      </c>
      <c r="AM343" s="45">
        <f>AL343*$G$10</f>
        <v>0</v>
      </c>
      <c r="AN343" s="39">
        <v>253</v>
      </c>
      <c r="AO343" s="13">
        <v>129</v>
      </c>
      <c r="AP343" s="15">
        <f t="shared" si="1138"/>
        <v>4</v>
      </c>
      <c r="AQ343" s="45">
        <f>AP343*$G$10</f>
        <v>77.84</v>
      </c>
      <c r="AR343" s="15"/>
      <c r="AS343" s="13">
        <v>129</v>
      </c>
      <c r="AT343" s="15">
        <f t="shared" si="1139"/>
        <v>0</v>
      </c>
      <c r="AU343" s="45">
        <f t="shared" si="1140"/>
        <v>0</v>
      </c>
      <c r="AV343" s="15"/>
      <c r="AW343" s="13">
        <v>129</v>
      </c>
      <c r="AX343" s="2">
        <f t="shared" si="1141"/>
        <v>0</v>
      </c>
      <c r="AY343" s="45"/>
      <c r="AZ343" s="208"/>
      <c r="BA343" s="13">
        <v>129</v>
      </c>
      <c r="BB343" s="15">
        <f t="shared" si="1142"/>
        <v>0</v>
      </c>
      <c r="BC343" s="45"/>
      <c r="BD343" s="208"/>
      <c r="BE343" s="40">
        <f t="shared" ref="BE343:BG343" si="1144">J343+N343+R343+V343+Z343+AD343+AH343+AL343+AP343+AT343+AX343+BB343</f>
        <v>17</v>
      </c>
      <c r="BF343" s="41">
        <f t="shared" si="1144"/>
        <v>329.92</v>
      </c>
      <c r="BG343" s="34">
        <f t="shared" si="1144"/>
        <v>615.5</v>
      </c>
      <c r="BH343" s="35">
        <f t="shared" si="1132"/>
        <v>76.91</v>
      </c>
      <c r="BK343" s="2" t="b">
        <f>H343='2019'!BH282</f>
        <v>1</v>
      </c>
    </row>
    <row r="344" ht="14.25" customHeight="1" hidden="1" spans="1:63" x14ac:dyDescent="0.25">
      <c r="A344" s="2">
        <v>38</v>
      </c>
      <c r="B344" s="14"/>
      <c r="C344" s="2" t="s">
        <v>168</v>
      </c>
      <c r="D344" s="14" t="s">
        <v>47</v>
      </c>
      <c r="E344" s="2" t="s">
        <v>49</v>
      </c>
      <c r="F344" s="41">
        <v>500</v>
      </c>
      <c r="G344" s="28"/>
      <c r="H344" s="34">
        <f>'2019'!BH283</f>
        <v>0</v>
      </c>
      <c r="I344" s="15"/>
      <c r="J344" s="15"/>
      <c r="K344" s="15"/>
      <c r="L344" s="28"/>
      <c r="Q344" s="13"/>
      <c r="R344" s="15"/>
      <c r="S344" s="15"/>
      <c r="T344" s="28"/>
      <c r="Y344" s="13"/>
      <c r="Z344" s="15"/>
      <c r="AA344" s="15"/>
      <c r="AB344" s="28"/>
      <c r="AG344" s="13"/>
      <c r="AH344" s="15"/>
      <c r="AI344" s="45"/>
      <c r="AJ344" s="15"/>
      <c r="AK344" s="13"/>
      <c r="AL344" s="15"/>
      <c r="AM344" s="45"/>
      <c r="AN344" s="15"/>
      <c r="AO344" s="13"/>
      <c r="AP344" s="15"/>
      <c r="AQ344" s="45"/>
      <c r="AR344" s="15"/>
      <c r="AS344" s="13"/>
      <c r="AT344" s="15"/>
      <c r="AU344" s="45"/>
      <c r="AV344" s="15"/>
      <c r="AW344" s="13"/>
      <c r="AY344" s="45"/>
      <c r="AZ344" s="28"/>
      <c r="BA344" s="13"/>
      <c r="BB344" s="15"/>
      <c r="BC344" s="45"/>
      <c r="BD344" s="28"/>
      <c r="BE344" s="14"/>
      <c r="BF344" s="41">
        <f t="shared" ref="BF344:BG344" si="1145">K344+O344+S344+W344+AA344+AE344+AI344+AM344+AQ344+AU344+AY344+BC344</f>
        <v>0</v>
      </c>
      <c r="BG344" s="34">
        <f t="shared" si="1145"/>
        <v>0</v>
      </c>
      <c r="BH344" s="35">
        <f t="shared" si="1132"/>
        <v>0</v>
      </c>
      <c r="BK344" s="2" t="b">
        <f>H344='2019'!BH283</f>
        <v>1</v>
      </c>
    </row>
    <row r="345" ht="14.25" customHeight="1" hidden="1" spans="1:63" x14ac:dyDescent="0.25">
      <c r="A345" s="2">
        <v>38</v>
      </c>
      <c r="B345" s="14"/>
      <c r="C345" s="73"/>
      <c r="D345" s="14" t="s">
        <v>50</v>
      </c>
      <c r="E345" s="2" t="s">
        <v>49</v>
      </c>
      <c r="F345" s="41">
        <v>1100</v>
      </c>
      <c r="G345" s="28"/>
      <c r="H345" s="182">
        <f>'2019'!BH284+0.0008</f>
        <v>0</v>
      </c>
      <c r="I345" s="15"/>
      <c r="J345" s="15"/>
      <c r="K345" s="15"/>
      <c r="L345" s="28"/>
      <c r="Q345" s="13"/>
      <c r="R345" s="15"/>
      <c r="S345" s="15"/>
      <c r="T345" s="28"/>
      <c r="Y345" s="13"/>
      <c r="Z345" s="15"/>
      <c r="AA345" s="15"/>
      <c r="AB345" s="28"/>
      <c r="AE345" s="34">
        <f>B342*$F$12</f>
        <v>4774</v>
      </c>
      <c r="AF345" s="15"/>
      <c r="AG345" s="13"/>
      <c r="AH345" s="15"/>
      <c r="AI345" s="45"/>
      <c r="AJ345" s="248">
        <v>500</v>
      </c>
      <c r="AK345" s="13"/>
      <c r="AL345" s="15"/>
      <c r="AM345" s="45"/>
      <c r="AN345" s="39">
        <v>574</v>
      </c>
      <c r="AO345" s="13"/>
      <c r="AP345" s="15"/>
      <c r="AQ345" s="45"/>
      <c r="AR345" s="15"/>
      <c r="AS345" s="13"/>
      <c r="AT345" s="15"/>
      <c r="AU345" s="45"/>
      <c r="AV345" s="15"/>
      <c r="AW345" s="13"/>
      <c r="AY345" s="45"/>
      <c r="AZ345" s="28"/>
      <c r="BA345" s="13"/>
      <c r="BB345" s="15"/>
      <c r="BC345" s="45"/>
      <c r="BD345" s="28"/>
      <c r="BE345" s="14"/>
      <c r="BF345" s="41">
        <f t="shared" ref="BF345:BG345" si="1146">K345+O345+S345+W345+AA345+AE345+AI345+AM345+AQ345+AU345+AY345+BC345</f>
        <v>4774</v>
      </c>
      <c r="BG345" s="34">
        <f t="shared" si="1146"/>
        <v>1074</v>
      </c>
      <c r="BH345" s="35">
        <f t="shared" si="1132"/>
        <v>3700</v>
      </c>
      <c r="BK345" s="2" t="b">
        <f>H345='2019'!BH284</f>
        <v>0</v>
      </c>
    </row>
    <row r="346" ht="14.25" customHeight="1" hidden="1" spans="1:63" x14ac:dyDescent="0.25">
      <c r="A346" s="2">
        <v>38</v>
      </c>
      <c r="B346" s="14"/>
      <c r="C346" s="2" t="s">
        <v>400</v>
      </c>
      <c r="D346" s="14" t="s">
        <v>51</v>
      </c>
      <c r="E346" s="2" t="s">
        <v>39</v>
      </c>
      <c r="F346" s="41">
        <v>500</v>
      </c>
      <c r="G346" s="28"/>
      <c r="H346" s="34">
        <f>'2019'!BH285</f>
        <v>0</v>
      </c>
      <c r="I346" s="15"/>
      <c r="J346" s="15"/>
      <c r="K346" s="15"/>
      <c r="L346" s="28"/>
      <c r="Q346" s="13"/>
      <c r="R346" s="15"/>
      <c r="S346" s="15"/>
      <c r="T346" s="28"/>
      <c r="Y346" s="13"/>
      <c r="Z346" s="15"/>
      <c r="AA346" s="15"/>
      <c r="AB346" s="28"/>
      <c r="AE346" s="34"/>
      <c r="AG346" s="13"/>
      <c r="AH346" s="15"/>
      <c r="AI346" s="45"/>
      <c r="AJ346" s="248"/>
      <c r="AK346" s="13"/>
      <c r="AL346" s="15"/>
      <c r="AM346" s="45"/>
      <c r="AN346" s="15"/>
      <c r="AO346" s="13"/>
      <c r="AP346" s="15"/>
      <c r="AQ346" s="45">
        <f>$F$13</f>
        <v>500</v>
      </c>
      <c r="AR346" s="15"/>
      <c r="AS346" s="13"/>
      <c r="AT346" s="15"/>
      <c r="AU346" s="45"/>
      <c r="AV346" s="15"/>
      <c r="AW346" s="13"/>
      <c r="AY346" s="45"/>
      <c r="AZ346" s="28"/>
      <c r="BA346" s="13"/>
      <c r="BB346" s="15"/>
      <c r="BC346" s="45"/>
      <c r="BD346" s="28"/>
      <c r="BE346" s="14"/>
      <c r="BF346" s="41">
        <f t="shared" ref="BF346:BG346" si="1147">K346+O346+S346+W346+AA346+AE346+AI346+AM346+AQ346+AU346+AY346+BC346</f>
        <v>500</v>
      </c>
      <c r="BG346" s="34">
        <f t="shared" si="1147"/>
        <v>0</v>
      </c>
      <c r="BH346" s="35">
        <f t="shared" si="1132"/>
        <v>500</v>
      </c>
      <c r="BK346" s="2" t="b">
        <f>H346='2019'!BH285</f>
        <v>1</v>
      </c>
    </row>
    <row r="347" ht="14.25" customHeight="1" hidden="1" spans="1:60" x14ac:dyDescent="0.25">
      <c r="A347" s="2">
        <v>38</v>
      </c>
      <c r="B347" s="14"/>
      <c r="D347" s="14" t="s">
        <v>51</v>
      </c>
      <c r="E347" s="2" t="s">
        <v>49</v>
      </c>
      <c r="F347" s="41">
        <v>500</v>
      </c>
      <c r="G347" s="28"/>
      <c r="H347" s="34"/>
      <c r="I347" s="15"/>
      <c r="J347" s="15"/>
      <c r="K347" s="15"/>
      <c r="L347" s="28"/>
      <c r="Q347" s="13"/>
      <c r="R347" s="15"/>
      <c r="S347" s="15"/>
      <c r="T347" s="28"/>
      <c r="Y347" s="13"/>
      <c r="Z347" s="15"/>
      <c r="AA347" s="15"/>
      <c r="AB347" s="28"/>
      <c r="AE347" s="34"/>
      <c r="AG347" s="13"/>
      <c r="AH347" s="15"/>
      <c r="AI347" s="45"/>
      <c r="AJ347" s="248"/>
      <c r="AK347" s="13"/>
      <c r="AL347" s="15"/>
      <c r="AM347" s="45"/>
      <c r="AN347" s="15"/>
      <c r="AO347" s="13"/>
      <c r="AP347" s="15"/>
      <c r="AQ347" s="34">
        <f>B342*$F$14</f>
        <v>2170</v>
      </c>
      <c r="AR347" s="15"/>
      <c r="AS347" s="13"/>
      <c r="AT347" s="15"/>
      <c r="AU347" s="45"/>
      <c r="AV347" s="15"/>
      <c r="AW347" s="13"/>
      <c r="AY347" s="45"/>
      <c r="AZ347" s="28"/>
      <c r="BA347" s="13"/>
      <c r="BB347" s="15"/>
      <c r="BC347" s="45"/>
      <c r="BD347" s="28"/>
      <c r="BE347" s="14"/>
      <c r="BF347" s="41">
        <f t="shared" ref="BF347:BG347" si="1148">K347+O347+S347+W347+AA347+AE347+AI347+AM347+AQ347+AU347+AY347+BC347</f>
        <v>2170</v>
      </c>
      <c r="BG347" s="34">
        <f t="shared" si="1148"/>
        <v>0</v>
      </c>
      <c r="BH347" s="35">
        <f t="shared" si="1132"/>
        <v>2170</v>
      </c>
    </row>
    <row r="348" ht="14.25" customHeight="1" hidden="1" spans="1:63" x14ac:dyDescent="0.25">
      <c r="A348" s="2">
        <v>38</v>
      </c>
      <c r="B348" s="14"/>
      <c r="C348" s="2" t="s">
        <v>401</v>
      </c>
      <c r="D348" s="14" t="s">
        <v>52</v>
      </c>
      <c r="E348" s="2" t="s">
        <v>39</v>
      </c>
      <c r="F348" s="41">
        <v>500</v>
      </c>
      <c r="G348" s="28"/>
      <c r="H348" s="34">
        <f>'2019'!BH286</f>
        <v>0</v>
      </c>
      <c r="I348" s="15"/>
      <c r="J348" s="15"/>
      <c r="K348" s="15"/>
      <c r="L348" s="28"/>
      <c r="Q348" s="13"/>
      <c r="R348" s="15"/>
      <c r="S348" s="15"/>
      <c r="T348" s="28"/>
      <c r="Y348" s="13"/>
      <c r="Z348" s="15"/>
      <c r="AA348" s="34">
        <f>$F$11</f>
        <v>500</v>
      </c>
      <c r="AB348" s="35"/>
      <c r="AG348" s="13"/>
      <c r="AH348" s="15"/>
      <c r="AI348" s="45"/>
      <c r="AJ348" s="248">
        <v>500</v>
      </c>
      <c r="AK348" s="13"/>
      <c r="AL348" s="15"/>
      <c r="AM348" s="45"/>
      <c r="AN348" s="15"/>
      <c r="AO348" s="13"/>
      <c r="AP348" s="15"/>
      <c r="AQ348" s="45"/>
      <c r="AR348" s="15"/>
      <c r="AS348" s="13"/>
      <c r="AT348" s="15"/>
      <c r="AU348" s="45"/>
      <c r="AV348" s="15"/>
      <c r="AW348" s="13"/>
      <c r="AY348" s="45"/>
      <c r="AZ348" s="35"/>
      <c r="BA348" s="13"/>
      <c r="BB348" s="15"/>
      <c r="BC348" s="45"/>
      <c r="BD348" s="35"/>
      <c r="BE348" s="14"/>
      <c r="BF348" s="41">
        <f t="shared" ref="BF348:BG348" si="1149">K348+O348+S348+W348+AA348+AE348+AI348+AM348+AQ348+AU348+AY348+BC348</f>
        <v>500</v>
      </c>
      <c r="BG348" s="34">
        <f t="shared" si="1149"/>
        <v>500</v>
      </c>
      <c r="BH348" s="35">
        <f t="shared" si="1132"/>
        <v>0</v>
      </c>
      <c r="BK348" s="2" t="b">
        <f>H348='2019'!BH286</f>
        <v>1</v>
      </c>
    </row>
    <row r="349" ht="14.25" customHeight="1" hidden="1" spans="1:63" x14ac:dyDescent="0.25">
      <c r="A349" s="247">
        <v>38</v>
      </c>
      <c r="B349" s="21"/>
      <c r="C349" s="22" t="s">
        <v>53</v>
      </c>
      <c r="D349" s="21"/>
      <c r="E349" s="22"/>
      <c r="F349" s="20"/>
      <c r="G349" s="23"/>
      <c r="H349" s="51">
        <f>SUM(H341:H348)</f>
        <v>364.99</v>
      </c>
      <c r="I349" s="53"/>
      <c r="J349" s="53"/>
      <c r="K349" s="51">
        <f t="shared" ref="K349:L349" si="1150">SUM(K341:K348)</f>
        <v>0</v>
      </c>
      <c r="L349" s="68">
        <f t="shared" si="1150"/>
        <v>365</v>
      </c>
      <c r="M349" s="53"/>
      <c r="N349" s="53"/>
      <c r="O349" s="51">
        <f t="shared" ref="O349:P349" si="1151">SUM(O341:O348)</f>
        <v>0</v>
      </c>
      <c r="P349" s="51">
        <f t="shared" si="1151"/>
        <v>0</v>
      </c>
      <c r="Q349" s="52"/>
      <c r="R349" s="53"/>
      <c r="S349" s="51">
        <f t="shared" ref="S349:T349" si="1152">SUM(S341:S348)</f>
        <v>0</v>
      </c>
      <c r="T349" s="51">
        <f t="shared" si="1152"/>
        <v>0</v>
      </c>
      <c r="U349" s="52"/>
      <c r="V349" s="53"/>
      <c r="W349" s="51">
        <f t="shared" ref="W349:X349" si="1153">SUM(W341:W348)</f>
        <v>0</v>
      </c>
      <c r="X349" s="51">
        <f t="shared" si="1153"/>
        <v>0</v>
      </c>
      <c r="Y349" s="52"/>
      <c r="Z349" s="53"/>
      <c r="AA349" s="51">
        <f t="shared" ref="AA349:AB349" si="1154">SUM(AA341:AA348)</f>
        <v>500</v>
      </c>
      <c r="AB349" s="51">
        <f t="shared" si="1154"/>
        <v>0</v>
      </c>
      <c r="AC349" s="52"/>
      <c r="AD349" s="53"/>
      <c r="AE349" s="51">
        <f t="shared" ref="AE349:AF349" si="1155">SUM(AE341:AE348)</f>
        <v>4792.56</v>
      </c>
      <c r="AF349" s="51">
        <f t="shared" si="1155"/>
        <v>0</v>
      </c>
      <c r="AG349" s="52"/>
      <c r="AH349" s="53"/>
      <c r="AI349" s="183">
        <f t="shared" ref="AI349:AJ349" si="1156">SUM(AI341:AI348)</f>
        <v>233.52</v>
      </c>
      <c r="AJ349" s="51">
        <f t="shared" si="1156"/>
        <v>1000</v>
      </c>
      <c r="AK349" s="52"/>
      <c r="AL349" s="53"/>
      <c r="AM349" s="183">
        <f t="shared" ref="AM349:AN349" si="1157">SUM(AM341:AM348)</f>
        <v>0</v>
      </c>
      <c r="AN349" s="51">
        <f t="shared" si="1157"/>
        <v>827</v>
      </c>
      <c r="AO349" s="52"/>
      <c r="AP349" s="53"/>
      <c r="AQ349" s="183">
        <f t="shared" ref="AQ349:AR349" si="1158">SUM(AQ341:AQ348)</f>
        <v>2758.94</v>
      </c>
      <c r="AR349" s="51">
        <f t="shared" si="1158"/>
        <v>0</v>
      </c>
      <c r="AS349" s="52"/>
      <c r="AT349" s="53"/>
      <c r="AU349" s="183">
        <f t="shared" ref="AU349:AV349" si="1159">SUM(AU341:AU348)</f>
        <v>11.47</v>
      </c>
      <c r="AV349" s="68">
        <f t="shared" si="1159"/>
        <v>0</v>
      </c>
      <c r="AW349" s="52"/>
      <c r="AX349" s="53"/>
      <c r="AY349" s="183">
        <f t="shared" ref="AY349:AZ349" si="1160">SUM(AY341:AY348)</f>
        <v>11.1</v>
      </c>
      <c r="AZ349" s="68">
        <f t="shared" si="1160"/>
        <v>0</v>
      </c>
      <c r="BA349" s="52"/>
      <c r="BB349" s="53"/>
      <c r="BC349" s="183">
        <f t="shared" ref="BC349:BD349" si="1161">SUM(BC341:BC348)</f>
        <v>11.47</v>
      </c>
      <c r="BD349" s="68">
        <f t="shared" si="1161"/>
        <v>0</v>
      </c>
      <c r="BE349" s="69"/>
      <c r="BF349" s="70">
        <f t="shared" ref="BF349:BH349" si="1162">SUM(BF341:BF348)</f>
        <v>8319.06</v>
      </c>
      <c r="BG349" s="71">
        <f t="shared" si="1162"/>
        <v>2192</v>
      </c>
      <c r="BH349" s="72">
        <f t="shared" si="1162"/>
        <v>6492.05</v>
      </c>
      <c r="BI349" s="34">
        <f>H349+BF349-BG349</f>
        <v>6492.05</v>
      </c>
      <c r="BJ349" s="34">
        <f>BH349-BI349</f>
        <v>0</v>
      </c>
      <c r="BK349" s="2" t="b">
        <f>H349='2019'!BH287</f>
        <v>0</v>
      </c>
    </row>
    <row r="350" ht="14.25" customHeight="1" hidden="1" spans="1:63" x14ac:dyDescent="0.25">
      <c r="A350" s="2">
        <v>39</v>
      </c>
      <c r="B350" s="14"/>
      <c r="D350" s="14" t="s">
        <v>379</v>
      </c>
      <c r="F350" s="13"/>
      <c r="G350" s="28"/>
      <c r="H350" s="34">
        <f>'2019'!BH288</f>
        <v>8.7</v>
      </c>
      <c r="J350" s="15"/>
      <c r="K350" s="15"/>
      <c r="L350" s="28"/>
      <c r="Q350" s="13"/>
      <c r="R350" s="15"/>
      <c r="S350" s="15"/>
      <c r="T350" s="28"/>
      <c r="Y350" s="13"/>
      <c r="Z350" s="15"/>
      <c r="AA350" s="15"/>
      <c r="AB350" s="28"/>
      <c r="AG350" s="13"/>
      <c r="AH350" s="15"/>
      <c r="AI350" s="45"/>
      <c r="AJ350" s="15"/>
      <c r="AK350" s="13"/>
      <c r="AM350" s="45"/>
      <c r="AO350" s="13"/>
      <c r="AQ350" s="45"/>
      <c r="AS350" s="13"/>
      <c r="AU350" s="45"/>
      <c r="AW350" s="13"/>
      <c r="AY350" s="45"/>
      <c r="AZ350" s="28"/>
      <c r="BA350" s="13"/>
      <c r="BB350" s="15"/>
      <c r="BC350" s="45"/>
      <c r="BD350" s="28"/>
      <c r="BE350" s="14"/>
      <c r="BF350" s="41">
        <f t="shared" ref="BF350:BG350" si="1163">K350+O350+S350+W350+AA350+AE350+AI350+AM350+AQ350+AU350+AY350+BC350</f>
        <v>0</v>
      </c>
      <c r="BG350" s="34">
        <f t="shared" si="1163"/>
        <v>0</v>
      </c>
      <c r="BH350" s="35">
        <f t="shared" ref="BH350:BH357" si="1164">H350+BF350-BG350</f>
        <v>8.7</v>
      </c>
      <c r="BK350" s="2" t="b">
        <f>H350='2019'!BH288</f>
        <v>1</v>
      </c>
    </row>
    <row r="351" ht="14.25" customHeight="1" hidden="1" spans="1:63" x14ac:dyDescent="0.25">
      <c r="A351" s="2">
        <v>39</v>
      </c>
      <c r="B351" s="42">
        <v>4</v>
      </c>
      <c r="C351" s="2" t="s">
        <v>402</v>
      </c>
      <c r="D351" s="14" t="s">
        <v>44</v>
      </c>
      <c r="E351" s="2" t="s">
        <v>45</v>
      </c>
      <c r="F351" s="41">
        <v>2.5</v>
      </c>
      <c r="G351" s="35">
        <v>2.6</v>
      </c>
      <c r="H351" s="34">
        <f>'2019'!BH289</f>
        <v>-444.05</v>
      </c>
      <c r="I351" s="13">
        <v>48</v>
      </c>
      <c r="J351" s="15"/>
      <c r="K351" s="34">
        <f>J351*$F$8</f>
        <v>0</v>
      </c>
      <c r="L351" s="28"/>
      <c r="M351" s="2">
        <v>48</v>
      </c>
      <c r="N351" s="15">
        <f>M351-I351</f>
        <v>0</v>
      </c>
      <c r="O351" s="34">
        <f>N351*$F$8</f>
        <v>0</v>
      </c>
      <c r="Q351" s="13">
        <v>48</v>
      </c>
      <c r="R351" s="15">
        <f>Q351-M351</f>
        <v>0</v>
      </c>
      <c r="S351" s="34">
        <f>R351*$F$8</f>
        <v>0</v>
      </c>
      <c r="T351" s="28"/>
      <c r="U351" s="2">
        <v>48</v>
      </c>
      <c r="V351" s="15">
        <f t="shared" ref="V351:V352" si="1165">U351-Q351</f>
        <v>0</v>
      </c>
      <c r="W351" s="34">
        <f>V351*$F$8</f>
        <v>0</v>
      </c>
      <c r="X351" s="39">
        <v>1500</v>
      </c>
      <c r="Y351" s="13">
        <v>48</v>
      </c>
      <c r="Z351" s="15">
        <f t="shared" ref="Z351:Z352" si="1166">Y351-U351</f>
        <v>0</v>
      </c>
      <c r="AA351" s="34">
        <f>Z351*$F$8</f>
        <v>0</v>
      </c>
      <c r="AB351" s="28"/>
      <c r="AC351" s="15">
        <v>301</v>
      </c>
      <c r="AD351" s="15">
        <f t="shared" ref="AD351:AD352" si="1167">AC351-Y351</f>
        <v>253</v>
      </c>
      <c r="AE351" s="34">
        <f>AD351*$F$8</f>
        <v>632.5</v>
      </c>
      <c r="AG351" s="13">
        <v>64</v>
      </c>
      <c r="AH351" s="15">
        <v>64</v>
      </c>
      <c r="AI351" s="45">
        <f>AH351*$G$8</f>
        <v>166.4</v>
      </c>
      <c r="AJ351" s="15"/>
      <c r="AK351" s="13">
        <v>131</v>
      </c>
      <c r="AL351" s="15">
        <f t="shared" ref="AL351:AL352" si="1168">AK351-AG351</f>
        <v>67</v>
      </c>
      <c r="AM351" s="45">
        <f>AL351*$G$8</f>
        <v>174.2</v>
      </c>
      <c r="AN351" s="15"/>
      <c r="AO351" s="13">
        <v>191</v>
      </c>
      <c r="AP351" s="15">
        <f t="shared" ref="AP351:AP352" si="1169">AO351-AK351</f>
        <v>60</v>
      </c>
      <c r="AQ351" s="45">
        <f>AP351*$F$8</f>
        <v>150</v>
      </c>
      <c r="AR351" s="15"/>
      <c r="AS351" s="13">
        <v>209</v>
      </c>
      <c r="AT351" s="15">
        <f t="shared" ref="AT351:AT352" si="1170">AS351-AO351</f>
        <v>18</v>
      </c>
      <c r="AU351" s="45">
        <f>AT351*$G$8</f>
        <v>46.8</v>
      </c>
      <c r="AV351" s="15"/>
      <c r="AW351" s="13">
        <v>209</v>
      </c>
      <c r="AX351" s="2">
        <f t="shared" ref="AX351:AX352" si="1171">AW351-AS351</f>
        <v>0</v>
      </c>
      <c r="AY351" s="45">
        <f>AX351*$G$8</f>
        <v>0</v>
      </c>
      <c r="AZ351" s="208"/>
      <c r="BA351" s="13">
        <v>209</v>
      </c>
      <c r="BB351" s="15">
        <f t="shared" ref="BB351:BB352" si="1172">BA351-AW351</f>
        <v>0</v>
      </c>
      <c r="BC351" s="45">
        <f>BB351*$G$8</f>
        <v>0</v>
      </c>
      <c r="BD351" s="208"/>
      <c r="BE351" s="40">
        <f t="shared" ref="BE351:BG351" si="1173">J351+N351+R351+V351+Z351+AD351+AH351+AL351+AP351+AT351+AX351+BB351</f>
        <v>462</v>
      </c>
      <c r="BF351" s="41">
        <f t="shared" si="1173"/>
        <v>1169.9</v>
      </c>
      <c r="BG351" s="34">
        <f t="shared" si="1173"/>
        <v>1500</v>
      </c>
      <c r="BH351" s="35">
        <f t="shared" si="1164"/>
        <v>-774.15</v>
      </c>
      <c r="BK351" s="2" t="b">
        <f>H351='2019'!BH289</f>
        <v>1</v>
      </c>
    </row>
    <row r="352" ht="14.25" customHeight="1" hidden="1" spans="1:63" x14ac:dyDescent="0.25">
      <c r="A352" s="2">
        <v>39</v>
      </c>
      <c r="B352" s="14"/>
      <c r="C352" s="2" t="s">
        <v>499</v>
      </c>
      <c r="D352" s="14" t="s">
        <v>47</v>
      </c>
      <c r="E352" s="2" t="s">
        <v>48</v>
      </c>
      <c r="F352" s="13">
        <v>18.56</v>
      </c>
      <c r="G352" s="35">
        <v>19.46</v>
      </c>
      <c r="H352" s="34">
        <f>'2019'!BH290</f>
        <v>0</v>
      </c>
      <c r="I352" s="15">
        <v>29</v>
      </c>
      <c r="J352" s="15"/>
      <c r="K352" s="15"/>
      <c r="L352" s="28"/>
      <c r="M352" s="2">
        <v>29</v>
      </c>
      <c r="Q352" s="13">
        <v>29</v>
      </c>
      <c r="R352" s="15"/>
      <c r="S352" s="15"/>
      <c r="T352" s="28"/>
      <c r="U352" s="2">
        <v>35</v>
      </c>
      <c r="V352" s="2">
        <f t="shared" si="1165"/>
        <v>6</v>
      </c>
      <c r="W352" s="2">
        <f>V352*$F$10</f>
        <v>111.36</v>
      </c>
      <c r="Y352" s="13">
        <v>39</v>
      </c>
      <c r="Z352" s="15">
        <f t="shared" si="1166"/>
        <v>4</v>
      </c>
      <c r="AA352" s="34">
        <f>Z352*$F$10</f>
        <v>74.24</v>
      </c>
      <c r="AB352" s="28"/>
      <c r="AC352" s="15">
        <v>50</v>
      </c>
      <c r="AD352" s="15">
        <f t="shared" si="1167"/>
        <v>11</v>
      </c>
      <c r="AE352" s="34">
        <f>AD352*$F$10</f>
        <v>204.16</v>
      </c>
      <c r="AF352" s="133">
        <f>389.76+210.24</f>
        <v>600</v>
      </c>
      <c r="AG352" s="15">
        <v>56</v>
      </c>
      <c r="AH352" s="15">
        <f>AG352-AC352</f>
        <v>6</v>
      </c>
      <c r="AI352" s="45">
        <f>AH352*$G$10</f>
        <v>116.76</v>
      </c>
      <c r="AJ352" s="15"/>
      <c r="AK352" s="13">
        <v>60</v>
      </c>
      <c r="AL352" s="15">
        <f t="shared" si="1168"/>
        <v>4</v>
      </c>
      <c r="AM352" s="45">
        <f>AL352*$G$10</f>
        <v>77.84</v>
      </c>
      <c r="AN352" s="15"/>
      <c r="AO352" s="13">
        <v>65</v>
      </c>
      <c r="AP352" s="15">
        <f t="shared" si="1169"/>
        <v>5</v>
      </c>
      <c r="AQ352" s="45">
        <f>AP352*$G$10</f>
        <v>97.3</v>
      </c>
      <c r="AR352" s="15"/>
      <c r="AS352" s="13">
        <v>65</v>
      </c>
      <c r="AT352" s="15">
        <f t="shared" si="1170"/>
        <v>0</v>
      </c>
      <c r="AU352" s="45">
        <f>AT352*$G$10</f>
        <v>0</v>
      </c>
      <c r="AV352" s="15"/>
      <c r="AW352" s="13">
        <v>65</v>
      </c>
      <c r="AX352" s="2">
        <f t="shared" si="1171"/>
        <v>0</v>
      </c>
      <c r="AY352" s="45"/>
      <c r="AZ352" s="208"/>
      <c r="BA352" s="13">
        <v>65</v>
      </c>
      <c r="BB352" s="15">
        <f t="shared" si="1172"/>
        <v>0</v>
      </c>
      <c r="BC352" s="45"/>
      <c r="BD352" s="208"/>
      <c r="BE352" s="40">
        <f t="shared" ref="BE352:BG352" si="1174">J352+N352+R352+V352+Z352+AD352+AH352+AL352+AP352+AT352+AX352+BB352</f>
        <v>36</v>
      </c>
      <c r="BF352" s="41">
        <f t="shared" si="1174"/>
        <v>681.66</v>
      </c>
      <c r="BG352" s="34">
        <f t="shared" si="1174"/>
        <v>600</v>
      </c>
      <c r="BH352" s="35">
        <f t="shared" si="1164"/>
        <v>81.66</v>
      </c>
      <c r="BK352" s="2" t="b">
        <f>H352='2019'!BH290</f>
        <v>1</v>
      </c>
    </row>
    <row r="353" ht="14.25" customHeight="1" hidden="1" spans="1:63" x14ac:dyDescent="0.25">
      <c r="A353" s="2">
        <v>39</v>
      </c>
      <c r="B353" s="14"/>
      <c r="C353" s="2" t="s">
        <v>500</v>
      </c>
      <c r="D353" s="14" t="s">
        <v>47</v>
      </c>
      <c r="E353" s="2" t="s">
        <v>49</v>
      </c>
      <c r="F353" s="41">
        <v>500</v>
      </c>
      <c r="G353" s="28"/>
      <c r="H353" s="34">
        <f>'2019'!BH291</f>
        <v>0</v>
      </c>
      <c r="I353" s="15"/>
      <c r="J353" s="15"/>
      <c r="K353" s="15"/>
      <c r="L353" s="28"/>
      <c r="Q353" s="13"/>
      <c r="R353" s="15"/>
      <c r="S353" s="15"/>
      <c r="T353" s="28"/>
      <c r="Y353" s="13"/>
      <c r="Z353" s="15"/>
      <c r="AA353" s="34"/>
      <c r="AB353" s="28"/>
      <c r="AC353" s="15"/>
      <c r="AG353" s="13"/>
      <c r="AH353" s="15"/>
      <c r="AI353" s="45"/>
      <c r="AJ353" s="15"/>
      <c r="AK353" s="13"/>
      <c r="AL353" s="15"/>
      <c r="AM353" s="45"/>
      <c r="AN353" s="15"/>
      <c r="AO353" s="13"/>
      <c r="AP353" s="15"/>
      <c r="AQ353" s="45"/>
      <c r="AR353" s="15"/>
      <c r="AS353" s="13"/>
      <c r="AT353" s="15"/>
      <c r="AU353" s="45"/>
      <c r="AV353" s="15"/>
      <c r="AW353" s="13"/>
      <c r="AY353" s="45"/>
      <c r="AZ353" s="28"/>
      <c r="BA353" s="13"/>
      <c r="BB353" s="15"/>
      <c r="BC353" s="45"/>
      <c r="BD353" s="28"/>
      <c r="BE353" s="14"/>
      <c r="BF353" s="41">
        <f t="shared" ref="BF353:BG353" si="1175">K353+O353+S353+W353+AA353+AE353+AI353+AM353+AQ353+AU353+AY353+BC353</f>
        <v>0</v>
      </c>
      <c r="BG353" s="34">
        <f t="shared" si="1175"/>
        <v>0</v>
      </c>
      <c r="BH353" s="35">
        <f t="shared" si="1164"/>
        <v>0</v>
      </c>
      <c r="BK353" s="2" t="b">
        <f>H353='2019'!BH291</f>
        <v>1</v>
      </c>
    </row>
    <row r="354" ht="14.25" customHeight="1" hidden="1" spans="1:63" x14ac:dyDescent="0.25">
      <c r="A354" s="2">
        <v>39</v>
      </c>
      <c r="B354" s="14"/>
      <c r="C354" s="15" t="s">
        <v>403</v>
      </c>
      <c r="D354" s="14" t="s">
        <v>50</v>
      </c>
      <c r="E354" s="2" t="s">
        <v>49</v>
      </c>
      <c r="F354" s="41">
        <v>1100</v>
      </c>
      <c r="G354" s="28"/>
      <c r="H354" s="34">
        <f>'2019'!BH292</f>
        <v>0</v>
      </c>
      <c r="I354" s="15"/>
      <c r="J354" s="15"/>
      <c r="K354" s="15"/>
      <c r="L354" s="28"/>
      <c r="Q354" s="13"/>
      <c r="R354" s="15"/>
      <c r="S354" s="15"/>
      <c r="T354" s="28"/>
      <c r="Y354" s="13"/>
      <c r="Z354" s="15"/>
      <c r="AA354" s="15"/>
      <c r="AB354" s="28"/>
      <c r="AE354" s="34">
        <f>B351*$F$12</f>
        <v>4400</v>
      </c>
      <c r="AF354" s="133">
        <v>4400</v>
      </c>
      <c r="AG354" s="13"/>
      <c r="AH354" s="15"/>
      <c r="AI354" s="45"/>
      <c r="AJ354" s="15"/>
      <c r="AK354" s="13"/>
      <c r="AL354" s="15"/>
      <c r="AM354" s="45"/>
      <c r="AN354" s="15"/>
      <c r="AO354" s="13"/>
      <c r="AP354" s="15"/>
      <c r="AQ354" s="45"/>
      <c r="AR354" s="15"/>
      <c r="AS354" s="13"/>
      <c r="AT354" s="15"/>
      <c r="AU354" s="45"/>
      <c r="AV354" s="15"/>
      <c r="AW354" s="13"/>
      <c r="AY354" s="45"/>
      <c r="AZ354" s="28"/>
      <c r="BA354" s="13"/>
      <c r="BB354" s="15"/>
      <c r="BC354" s="45"/>
      <c r="BD354" s="28"/>
      <c r="BE354" s="14"/>
      <c r="BF354" s="41">
        <f t="shared" ref="BF354:BG354" si="1176">K354+O354+S354+W354+AA354+AE354+AI354+AM354+AQ354+AU354+AY354+BC354</f>
        <v>4400</v>
      </c>
      <c r="BG354" s="34">
        <f t="shared" si="1176"/>
        <v>4400</v>
      </c>
      <c r="BH354" s="35">
        <f t="shared" si="1164"/>
        <v>0</v>
      </c>
      <c r="BK354" s="2" t="b">
        <f>H354='2019'!BH292</f>
        <v>1</v>
      </c>
    </row>
    <row r="355" ht="14.25" customHeight="1" hidden="1" spans="1:63" x14ac:dyDescent="0.25">
      <c r="A355" s="2">
        <v>39</v>
      </c>
      <c r="B355" s="14"/>
      <c r="D355" s="14" t="s">
        <v>51</v>
      </c>
      <c r="E355" s="2" t="s">
        <v>39</v>
      </c>
      <c r="F355" s="41">
        <v>500</v>
      </c>
      <c r="G355" s="28"/>
      <c r="H355" s="34">
        <f>'2019'!BH293</f>
        <v>0</v>
      </c>
      <c r="I355" s="15"/>
      <c r="J355" s="15"/>
      <c r="K355" s="15"/>
      <c r="L355" s="28"/>
      <c r="Q355" s="13"/>
      <c r="R355" s="15"/>
      <c r="S355" s="15"/>
      <c r="T355" s="28"/>
      <c r="Y355" s="13"/>
      <c r="Z355" s="15"/>
      <c r="AA355" s="15"/>
      <c r="AB355" s="28"/>
      <c r="AE355" s="34"/>
      <c r="AG355" s="13"/>
      <c r="AH355" s="15"/>
      <c r="AI355" s="45"/>
      <c r="AJ355" s="15"/>
      <c r="AK355" s="13"/>
      <c r="AL355" s="15"/>
      <c r="AM355" s="45"/>
      <c r="AN355" s="15"/>
      <c r="AO355" s="13"/>
      <c r="AP355" s="15"/>
      <c r="AQ355" s="45">
        <f>$F$13</f>
        <v>500</v>
      </c>
      <c r="AR355" s="15"/>
      <c r="AS355" s="13"/>
      <c r="AT355" s="15"/>
      <c r="AU355" s="45"/>
      <c r="AV355" s="15"/>
      <c r="AW355" s="13"/>
      <c r="AY355" s="45"/>
      <c r="AZ355" s="28"/>
      <c r="BA355" s="13"/>
      <c r="BB355" s="15"/>
      <c r="BC355" s="45"/>
      <c r="BD355" s="28"/>
      <c r="BE355" s="14"/>
      <c r="BF355" s="41">
        <f t="shared" ref="BF355:BG355" si="1177">K355+O355+S355+W355+AA355+AE355+AI355+AM355+AQ355+AU355+AY355+BC355</f>
        <v>500</v>
      </c>
      <c r="BG355" s="34">
        <f t="shared" si="1177"/>
        <v>0</v>
      </c>
      <c r="BH355" s="35">
        <f t="shared" si="1164"/>
        <v>500</v>
      </c>
      <c r="BK355" s="2" t="b">
        <f>H355='2019'!BH293</f>
        <v>1</v>
      </c>
    </row>
    <row r="356" ht="14.25" customHeight="1" hidden="1" spans="1:60" x14ac:dyDescent="0.25">
      <c r="A356" s="2">
        <v>39</v>
      </c>
      <c r="B356" s="14"/>
      <c r="D356" s="14" t="s">
        <v>51</v>
      </c>
      <c r="E356" s="2" t="s">
        <v>49</v>
      </c>
      <c r="F356" s="41">
        <v>500</v>
      </c>
      <c r="G356" s="28"/>
      <c r="H356" s="34"/>
      <c r="I356" s="15"/>
      <c r="J356" s="15"/>
      <c r="K356" s="15"/>
      <c r="L356" s="28"/>
      <c r="Q356" s="13"/>
      <c r="R356" s="15"/>
      <c r="S356" s="15"/>
      <c r="T356" s="28"/>
      <c r="Y356" s="13"/>
      <c r="Z356" s="15"/>
      <c r="AA356" s="15"/>
      <c r="AB356" s="28"/>
      <c r="AE356" s="34"/>
      <c r="AG356" s="13"/>
      <c r="AH356" s="15"/>
      <c r="AI356" s="45"/>
      <c r="AJ356" s="15"/>
      <c r="AK356" s="13"/>
      <c r="AL356" s="15"/>
      <c r="AM356" s="45"/>
      <c r="AN356" s="15"/>
      <c r="AO356" s="13"/>
      <c r="AP356" s="15"/>
      <c r="AQ356" s="34">
        <f>B351*$F$14</f>
        <v>2000</v>
      </c>
      <c r="AR356" s="39">
        <v>2000</v>
      </c>
      <c r="AS356" s="13"/>
      <c r="AT356" s="15"/>
      <c r="AU356" s="45"/>
      <c r="AV356" s="15"/>
      <c r="AW356" s="13"/>
      <c r="AY356" s="45"/>
      <c r="AZ356" s="28"/>
      <c r="BA356" s="13"/>
      <c r="BB356" s="15"/>
      <c r="BC356" s="45"/>
      <c r="BD356" s="28"/>
      <c r="BE356" s="14"/>
      <c r="BF356" s="41">
        <f t="shared" ref="BF356:BG356" si="1178">K356+O356+S356+W356+AA356+AE356+AI356+AM356+AQ356+AU356+AY356+BC356</f>
        <v>2000</v>
      </c>
      <c r="BG356" s="34">
        <f t="shared" si="1178"/>
        <v>2000</v>
      </c>
      <c r="BH356" s="35">
        <f t="shared" si="1164"/>
        <v>0</v>
      </c>
    </row>
    <row r="357" ht="14.25" customHeight="1" hidden="1" spans="1:63" x14ac:dyDescent="0.25">
      <c r="A357" s="2">
        <v>39</v>
      </c>
      <c r="B357" s="14"/>
      <c r="C357" s="15"/>
      <c r="D357" s="14" t="s">
        <v>52</v>
      </c>
      <c r="E357" s="2" t="s">
        <v>39</v>
      </c>
      <c r="F357" s="41">
        <v>500</v>
      </c>
      <c r="G357" s="28"/>
      <c r="H357" s="34">
        <f>'2019'!BH294</f>
        <v>0</v>
      </c>
      <c r="I357" s="15"/>
      <c r="J357" s="15"/>
      <c r="K357" s="15"/>
      <c r="L357" s="28"/>
      <c r="Q357" s="13"/>
      <c r="R357" s="15"/>
      <c r="S357" s="15"/>
      <c r="T357" s="28"/>
      <c r="Y357" s="13"/>
      <c r="Z357" s="15"/>
      <c r="AA357" s="77"/>
      <c r="AB357" s="28"/>
      <c r="AG357" s="13"/>
      <c r="AH357" s="15"/>
      <c r="AI357" s="45"/>
      <c r="AJ357" s="15"/>
      <c r="AK357" s="13"/>
      <c r="AL357" s="15"/>
      <c r="AM357" s="45"/>
      <c r="AN357" s="15"/>
      <c r="AO357" s="13"/>
      <c r="AP357" s="15"/>
      <c r="AQ357" s="45"/>
      <c r="AR357" s="15"/>
      <c r="AS357" s="13"/>
      <c r="AT357" s="15"/>
      <c r="AU357" s="45"/>
      <c r="AV357" s="15"/>
      <c r="AW357" s="13"/>
      <c r="AY357" s="45"/>
      <c r="AZ357" s="35"/>
      <c r="BA357" s="13"/>
      <c r="BB357" s="15"/>
      <c r="BC357" s="45"/>
      <c r="BD357" s="35"/>
      <c r="BE357" s="14"/>
      <c r="BF357" s="41">
        <f t="shared" ref="BF357:BG357" si="1179">K357+O357+S357+W357+AA357+AE357+AI357+AM357+AQ357+AU357+AY357+BC357</f>
        <v>0</v>
      </c>
      <c r="BG357" s="34">
        <f t="shared" si="1179"/>
        <v>0</v>
      </c>
      <c r="BH357" s="35">
        <f t="shared" si="1164"/>
        <v>0</v>
      </c>
      <c r="BK357" s="2" t="b">
        <f>H357='2019'!BH294</f>
        <v>1</v>
      </c>
    </row>
    <row r="358" ht="14.25" customHeight="1" hidden="1" spans="1:63" x14ac:dyDescent="0.25">
      <c r="A358" s="244" t="s">
        <v>173</v>
      </c>
      <c r="B358" s="21"/>
      <c r="C358" s="22" t="s">
        <v>53</v>
      </c>
      <c r="D358" s="21"/>
      <c r="E358" s="22"/>
      <c r="F358" s="20"/>
      <c r="G358" s="23"/>
      <c r="H358" s="51">
        <f>SUM(H350:H357)</f>
        <v>-435.35</v>
      </c>
      <c r="I358" s="53"/>
      <c r="J358" s="53"/>
      <c r="K358" s="51">
        <f t="shared" ref="K358:L358" si="1180">SUM(K350:K357)</f>
        <v>0</v>
      </c>
      <c r="L358" s="68">
        <f t="shared" si="1180"/>
        <v>0</v>
      </c>
      <c r="M358" s="53"/>
      <c r="N358" s="53"/>
      <c r="O358" s="51">
        <f t="shared" ref="O358:P358" si="1181">SUM(O350:O357)</f>
        <v>0</v>
      </c>
      <c r="P358" s="51">
        <f t="shared" si="1181"/>
        <v>0</v>
      </c>
      <c r="Q358" s="52"/>
      <c r="R358" s="53"/>
      <c r="S358" s="51">
        <f t="shared" ref="S358:T358" si="1182">SUM(S350:S357)</f>
        <v>0</v>
      </c>
      <c r="T358" s="51">
        <f t="shared" si="1182"/>
        <v>0</v>
      </c>
      <c r="U358" s="52"/>
      <c r="V358" s="53"/>
      <c r="W358" s="51">
        <f t="shared" ref="W358:X358" si="1183">SUM(W350:W357)</f>
        <v>111.36</v>
      </c>
      <c r="X358" s="51">
        <f t="shared" si="1183"/>
        <v>1500</v>
      </c>
      <c r="Y358" s="52"/>
      <c r="Z358" s="53"/>
      <c r="AA358" s="51">
        <f t="shared" ref="AA358:AB358" si="1184">SUM(AA350:AA357)</f>
        <v>74.24</v>
      </c>
      <c r="AB358" s="51">
        <f t="shared" si="1184"/>
        <v>0</v>
      </c>
      <c r="AC358" s="52"/>
      <c r="AD358" s="53"/>
      <c r="AE358" s="51">
        <f t="shared" ref="AE358:AF358" si="1185">SUM(AE350:AE357)</f>
        <v>5236.66</v>
      </c>
      <c r="AF358" s="51">
        <f t="shared" si="1185"/>
        <v>5000</v>
      </c>
      <c r="AG358" s="52"/>
      <c r="AH358" s="53"/>
      <c r="AI358" s="183">
        <f t="shared" ref="AI358:AJ358" si="1186">SUM(AI350:AI357)</f>
        <v>283.16</v>
      </c>
      <c r="AJ358" s="51">
        <f t="shared" si="1186"/>
        <v>0</v>
      </c>
      <c r="AK358" s="52"/>
      <c r="AL358" s="53"/>
      <c r="AM358" s="183">
        <f t="shared" ref="AM358:AN358" si="1187">SUM(AM350:AM357)</f>
        <v>252.04</v>
      </c>
      <c r="AN358" s="51">
        <f t="shared" si="1187"/>
        <v>0</v>
      </c>
      <c r="AO358" s="52"/>
      <c r="AP358" s="53"/>
      <c r="AQ358" s="183">
        <f t="shared" ref="AQ358:AR358" si="1188">SUM(AQ350:AQ357)</f>
        <v>2747.3</v>
      </c>
      <c r="AR358" s="51">
        <f t="shared" si="1188"/>
        <v>2000</v>
      </c>
      <c r="AS358" s="52"/>
      <c r="AT358" s="53"/>
      <c r="AU358" s="183">
        <f t="shared" ref="AU358:AV358" si="1189">SUM(AU350:AU357)</f>
        <v>46.8</v>
      </c>
      <c r="AV358" s="68">
        <f t="shared" si="1189"/>
        <v>0</v>
      </c>
      <c r="AW358" s="52"/>
      <c r="AX358" s="53"/>
      <c r="AY358" s="183">
        <f t="shared" ref="AY358:AZ358" si="1190">SUM(AY350:AY357)</f>
        <v>0</v>
      </c>
      <c r="AZ358" s="68">
        <f t="shared" si="1190"/>
        <v>0</v>
      </c>
      <c r="BA358" s="52"/>
      <c r="BB358" s="53"/>
      <c r="BC358" s="183">
        <f t="shared" ref="BC358:BD358" si="1191">SUM(BC350:BC357)</f>
        <v>0</v>
      </c>
      <c r="BD358" s="68">
        <f t="shared" si="1191"/>
        <v>0</v>
      </c>
      <c r="BE358" s="69"/>
      <c r="BF358" s="70">
        <f t="shared" ref="BF358:BH358" si="1192">SUM(BF350:BF357)</f>
        <v>8751.56</v>
      </c>
      <c r="BG358" s="71">
        <f t="shared" si="1192"/>
        <v>8500</v>
      </c>
      <c r="BH358" s="72">
        <f t="shared" si="1192"/>
        <v>-183.79</v>
      </c>
      <c r="BI358" s="34">
        <f>H358+BF358-BG358</f>
        <v>-183.79</v>
      </c>
      <c r="BJ358" s="34">
        <f>BH358-BI358</f>
        <v>0</v>
      </c>
      <c r="BK358" s="2" t="b">
        <f>H358='2019'!BH295</f>
        <v>1</v>
      </c>
    </row>
    <row r="359" ht="14.25" customHeight="1" hidden="1" spans="1:63" x14ac:dyDescent="0.25">
      <c r="A359" s="2">
        <v>40</v>
      </c>
      <c r="B359" s="14"/>
      <c r="D359" s="178" t="s">
        <v>486</v>
      </c>
      <c r="F359" s="13"/>
      <c r="G359" s="28"/>
      <c r="H359" s="34">
        <f>'2019'!BH296</f>
        <v>0</v>
      </c>
      <c r="J359" s="15"/>
      <c r="K359" s="15"/>
      <c r="L359" s="28"/>
      <c r="Q359" s="13"/>
      <c r="R359" s="15"/>
      <c r="S359" s="15"/>
      <c r="T359" s="28"/>
      <c r="W359" s="152">
        <v>65.5</v>
      </c>
      <c r="Y359" s="13"/>
      <c r="Z359" s="15"/>
      <c r="AA359" s="15"/>
      <c r="AB359" s="38">
        <v>65.5</v>
      </c>
      <c r="AG359" s="13"/>
      <c r="AH359" s="15"/>
      <c r="AI359" s="45"/>
      <c r="AJ359" s="15"/>
      <c r="AK359" s="13"/>
      <c r="AM359" s="45"/>
      <c r="AO359" s="13"/>
      <c r="AQ359" s="45"/>
      <c r="AS359" s="13"/>
      <c r="AU359" s="45"/>
      <c r="AW359" s="13"/>
      <c r="AY359" s="45"/>
      <c r="AZ359" s="28"/>
      <c r="BA359" s="13"/>
      <c r="BB359" s="15"/>
      <c r="BC359" s="45"/>
      <c r="BD359" s="28"/>
      <c r="BE359" s="14"/>
      <c r="BF359" s="41">
        <f t="shared" ref="BF359:BG359" si="1193">K359+O359+S359+W359+AA359+AE359+AI359+AM359+AQ359+AU359+AY359+BC359</f>
        <v>65.5</v>
      </c>
      <c r="BG359" s="34">
        <f t="shared" si="1193"/>
        <v>65.5</v>
      </c>
      <c r="BH359" s="35">
        <f t="shared" ref="BH359:BH366" si="1194">H359+BF359-BG359</f>
        <v>0</v>
      </c>
      <c r="BK359" s="2" t="b">
        <f>H359='2019'!BH296</f>
        <v>1</v>
      </c>
    </row>
    <row r="360" ht="15.75" customHeight="1" hidden="1" spans="1:63" x14ac:dyDescent="0.25">
      <c r="A360" s="2">
        <v>40</v>
      </c>
      <c r="B360" s="14">
        <v>4.92</v>
      </c>
      <c r="C360" s="2" t="s">
        <v>174</v>
      </c>
      <c r="D360" s="14" t="s">
        <v>44</v>
      </c>
      <c r="E360" s="2" t="s">
        <v>45</v>
      </c>
      <c r="F360" s="41">
        <v>2.5</v>
      </c>
      <c r="G360" s="35">
        <v>2.6</v>
      </c>
      <c r="H360" s="180">
        <f>'2019'!BH297</f>
        <v>2612.73</v>
      </c>
      <c r="I360" s="15">
        <v>28639</v>
      </c>
      <c r="J360" s="15">
        <f>I360-'2019'!BA297</f>
        <v>757</v>
      </c>
      <c r="K360" s="34">
        <f>J360*$F$8</f>
        <v>1892.5</v>
      </c>
      <c r="L360" s="38">
        <v>2000</v>
      </c>
      <c r="M360" s="15">
        <v>29248</v>
      </c>
      <c r="N360" s="15">
        <f>M360-I360</f>
        <v>609</v>
      </c>
      <c r="O360" s="34">
        <f>N360*$F$8</f>
        <v>1522.5</v>
      </c>
      <c r="P360" s="39">
        <v>2000</v>
      </c>
      <c r="Q360" s="13">
        <v>29808</v>
      </c>
      <c r="R360" s="15">
        <f>Q360-M360</f>
        <v>560</v>
      </c>
      <c r="S360" s="34">
        <f>R360*$F$8</f>
        <v>1400</v>
      </c>
      <c r="T360" s="38">
        <v>2000</v>
      </c>
      <c r="U360" s="15">
        <v>30270</v>
      </c>
      <c r="V360" s="15">
        <f t="shared" ref="V360:V361" si="1195">U360-Q360</f>
        <v>462</v>
      </c>
      <c r="W360" s="34">
        <f>V360*$F$8</f>
        <v>1155</v>
      </c>
      <c r="X360" s="39">
        <v>1500</v>
      </c>
      <c r="Y360" s="13">
        <v>30626</v>
      </c>
      <c r="Z360" s="15">
        <f t="shared" ref="Z360:Z361" si="1196">Y360-U360</f>
        <v>356</v>
      </c>
      <c r="AA360" s="34">
        <f>Z360*$F$8</f>
        <v>890</v>
      </c>
      <c r="AB360" s="38">
        <v>1134.5</v>
      </c>
      <c r="AC360" s="15">
        <v>30891</v>
      </c>
      <c r="AD360" s="15">
        <f t="shared" ref="AD360:AD361" si="1197">AC360-Y360</f>
        <v>265</v>
      </c>
      <c r="AE360" s="34">
        <f>AD360*$F$8</f>
        <v>662.5</v>
      </c>
      <c r="AF360" s="39">
        <v>900</v>
      </c>
      <c r="AG360" s="13">
        <v>31057</v>
      </c>
      <c r="AH360" s="15">
        <f t="shared" ref="AH360:AH361" si="1198">AG360-AC360</f>
        <v>166</v>
      </c>
      <c r="AI360" s="45">
        <f>AH360*$G$8</f>
        <v>431.6</v>
      </c>
      <c r="AJ360" s="39">
        <v>600</v>
      </c>
      <c r="AK360" s="13">
        <v>31274</v>
      </c>
      <c r="AL360" s="15">
        <f t="shared" ref="AL360:AL361" si="1199">AK360-AG360</f>
        <v>217</v>
      </c>
      <c r="AM360" s="45">
        <f>AL360*$G$8</f>
        <v>564.2</v>
      </c>
      <c r="AN360" s="15"/>
      <c r="AO360" s="13">
        <v>31518</v>
      </c>
      <c r="AP360" s="15">
        <f t="shared" ref="AP360:AP361" si="1200">AO360-AK360</f>
        <v>244</v>
      </c>
      <c r="AQ360" s="45">
        <f>AP360*$G$8</f>
        <v>634.4</v>
      </c>
      <c r="AR360" s="15"/>
      <c r="AS360" s="13">
        <v>32304</v>
      </c>
      <c r="AT360" s="15">
        <f t="shared" ref="AT360:AT361" si="1201">AS360-AO360</f>
        <v>786</v>
      </c>
      <c r="AU360" s="45">
        <f>AT360*$G$8</f>
        <v>2043.6</v>
      </c>
      <c r="AV360" s="39">
        <v>1700</v>
      </c>
      <c r="AW360" s="13">
        <v>33014</v>
      </c>
      <c r="AX360" s="2">
        <f t="shared" ref="AX360:AX361" si="1202">AW360-AS360</f>
        <v>710</v>
      </c>
      <c r="AY360" s="45">
        <f>AX360*$G$8</f>
        <v>1846</v>
      </c>
      <c r="AZ360" s="242">
        <v>2000</v>
      </c>
      <c r="BA360" s="13">
        <v>33505</v>
      </c>
      <c r="BB360" s="15">
        <f t="shared" ref="BB360:BB361" si="1203">BA360-AW360</f>
        <v>491</v>
      </c>
      <c r="BC360" s="45">
        <f>BB360*$G$8</f>
        <v>1276.6</v>
      </c>
      <c r="BD360" s="242">
        <v>1830</v>
      </c>
      <c r="BE360" s="40">
        <f t="shared" ref="BE360:BG360" si="1204">J360+N360+R360+V360+Z360+AD360+AH360+AL360+AP360+AT360+AX360+BB360</f>
        <v>5623</v>
      </c>
      <c r="BF360" s="41">
        <f t="shared" si="1204"/>
        <v>14318.9</v>
      </c>
      <c r="BG360" s="34">
        <f t="shared" si="1204"/>
        <v>15664.5</v>
      </c>
      <c r="BH360" s="35">
        <f t="shared" si="1194"/>
        <v>1267.13</v>
      </c>
      <c r="BK360" s="2" t="b">
        <f>H360='2019'!BH297</f>
        <v>1</v>
      </c>
    </row>
    <row r="361" ht="14.25" customHeight="1" hidden="1" spans="1:63" x14ac:dyDescent="0.25">
      <c r="A361" s="2">
        <v>40</v>
      </c>
      <c r="B361" s="14"/>
      <c r="C361" s="15" t="s">
        <v>175</v>
      </c>
      <c r="D361" s="14" t="s">
        <v>47</v>
      </c>
      <c r="E361" s="2" t="s">
        <v>48</v>
      </c>
      <c r="F361" s="13">
        <v>18.56</v>
      </c>
      <c r="G361" s="35">
        <v>19.46</v>
      </c>
      <c r="H361" s="34">
        <f>'2019'!BH298</f>
        <v>-0.87</v>
      </c>
      <c r="I361" s="15">
        <v>120</v>
      </c>
      <c r="J361" s="15"/>
      <c r="K361" s="15"/>
      <c r="L361" s="28"/>
      <c r="M361" s="2">
        <v>120</v>
      </c>
      <c r="Q361" s="13">
        <v>120</v>
      </c>
      <c r="R361" s="15"/>
      <c r="S361" s="15"/>
      <c r="T361" s="28"/>
      <c r="U361" s="2">
        <v>124</v>
      </c>
      <c r="V361" s="2">
        <f t="shared" si="1195"/>
        <v>4</v>
      </c>
      <c r="W361" s="2">
        <f>V361*$F$10</f>
        <v>74.24</v>
      </c>
      <c r="Y361" s="13">
        <v>127</v>
      </c>
      <c r="Z361" s="15">
        <f t="shared" si="1196"/>
        <v>3</v>
      </c>
      <c r="AA361" s="34">
        <f>Z361*$F$10</f>
        <v>55.68</v>
      </c>
      <c r="AB361" s="32"/>
      <c r="AC361" s="15">
        <v>129</v>
      </c>
      <c r="AD361" s="15">
        <f t="shared" si="1197"/>
        <v>2</v>
      </c>
      <c r="AE361" s="34">
        <f>AD361*$F$10</f>
        <v>37.12</v>
      </c>
      <c r="AG361" s="13">
        <v>138</v>
      </c>
      <c r="AH361" s="15">
        <f t="shared" si="1198"/>
        <v>9</v>
      </c>
      <c r="AI361" s="45">
        <f>AH361*$G$10</f>
        <v>175.14</v>
      </c>
      <c r="AJ361" s="15"/>
      <c r="AK361" s="13">
        <v>142</v>
      </c>
      <c r="AL361" s="15">
        <f t="shared" si="1199"/>
        <v>4</v>
      </c>
      <c r="AM361" s="45">
        <f>AL361*$G$10</f>
        <v>77.84</v>
      </c>
      <c r="AN361" s="15"/>
      <c r="AO361" s="13">
        <v>143</v>
      </c>
      <c r="AP361" s="15">
        <f t="shared" si="1200"/>
        <v>1</v>
      </c>
      <c r="AQ361" s="45">
        <f>AP361*$G$10</f>
        <v>19.46</v>
      </c>
      <c r="AR361" s="15"/>
      <c r="AS361" s="13">
        <v>143</v>
      </c>
      <c r="AT361" s="15">
        <f t="shared" si="1201"/>
        <v>0</v>
      </c>
      <c r="AU361" s="45">
        <f>AT361*$G$10</f>
        <v>0</v>
      </c>
      <c r="AV361" s="15"/>
      <c r="AW361" s="13">
        <v>143</v>
      </c>
      <c r="AX361" s="2">
        <f t="shared" si="1202"/>
        <v>0</v>
      </c>
      <c r="AY361" s="45"/>
      <c r="AZ361" s="208"/>
      <c r="BA361" s="13">
        <v>143</v>
      </c>
      <c r="BB361" s="15">
        <f t="shared" si="1203"/>
        <v>0</v>
      </c>
      <c r="BC361" s="45"/>
      <c r="BD361" s="208"/>
      <c r="BE361" s="40">
        <f t="shared" ref="BE361:BG361" si="1205">J361+N361+R361+V361+Z361+AD361+AH361+AL361+AP361+AT361+AX361+BB361</f>
        <v>23</v>
      </c>
      <c r="BF361" s="41">
        <f t="shared" si="1205"/>
        <v>439.48</v>
      </c>
      <c r="BG361" s="34">
        <f t="shared" si="1205"/>
        <v>0</v>
      </c>
      <c r="BH361" s="35">
        <f t="shared" si="1194"/>
        <v>438.61</v>
      </c>
      <c r="BK361" s="2" t="b">
        <f>H361='2019'!BH298</f>
        <v>1</v>
      </c>
    </row>
    <row r="362" ht="14.25" customHeight="1" hidden="1" spans="1:63" x14ac:dyDescent="0.25">
      <c r="A362" s="2">
        <v>40</v>
      </c>
      <c r="B362" s="14"/>
      <c r="C362" s="15" t="s">
        <v>176</v>
      </c>
      <c r="D362" s="14" t="s">
        <v>47</v>
      </c>
      <c r="E362" s="2" t="s">
        <v>49</v>
      </c>
      <c r="F362" s="41">
        <v>500</v>
      </c>
      <c r="G362" s="28"/>
      <c r="H362" s="34">
        <f>'2019'!BH299</f>
        <v>0</v>
      </c>
      <c r="I362" s="15"/>
      <c r="J362" s="15"/>
      <c r="K362" s="15"/>
      <c r="L362" s="28"/>
      <c r="Q362" s="13"/>
      <c r="R362" s="15"/>
      <c r="S362" s="15"/>
      <c r="T362" s="28"/>
      <c r="Y362" s="13"/>
      <c r="Z362" s="15"/>
      <c r="AA362" s="15"/>
      <c r="AB362" s="28"/>
      <c r="AG362" s="13"/>
      <c r="AH362" s="15"/>
      <c r="AI362" s="45"/>
      <c r="AJ362" s="15"/>
      <c r="AK362" s="13"/>
      <c r="AL362" s="15"/>
      <c r="AM362" s="45"/>
      <c r="AN362" s="15"/>
      <c r="AO362" s="13"/>
      <c r="AP362" s="15"/>
      <c r="AQ362" s="45"/>
      <c r="AR362" s="15"/>
      <c r="AS362" s="13"/>
      <c r="AT362" s="15"/>
      <c r="AU362" s="45"/>
      <c r="AV362" s="15"/>
      <c r="AW362" s="13"/>
      <c r="AY362" s="45"/>
      <c r="AZ362" s="28"/>
      <c r="BA362" s="13"/>
      <c r="BB362" s="15"/>
      <c r="BC362" s="45"/>
      <c r="BD362" s="28"/>
      <c r="BE362" s="14"/>
      <c r="BF362" s="41">
        <f t="shared" ref="BF362:BG362" si="1206">K362+O362+S362+W362+AA362+AE362+AI362+AM362+AQ362+AU362+AY362+BC362</f>
        <v>0</v>
      </c>
      <c r="BG362" s="34">
        <f t="shared" si="1206"/>
        <v>0</v>
      </c>
      <c r="BH362" s="35">
        <f t="shared" si="1194"/>
        <v>0</v>
      </c>
      <c r="BK362" s="2" t="b">
        <f>H362='2019'!BH299</f>
        <v>1</v>
      </c>
    </row>
    <row r="363" ht="14.25" customHeight="1" hidden="1" spans="1:63" x14ac:dyDescent="0.25">
      <c r="A363" s="2">
        <v>40</v>
      </c>
      <c r="B363" s="14"/>
      <c r="C363" s="15" t="s">
        <v>404</v>
      </c>
      <c r="D363" s="14" t="s">
        <v>50</v>
      </c>
      <c r="E363" s="2" t="s">
        <v>49</v>
      </c>
      <c r="F363" s="41">
        <v>1100</v>
      </c>
      <c r="G363" s="28"/>
      <c r="H363" s="182">
        <f>'2019'!BH300+0.0004</f>
        <v>0</v>
      </c>
      <c r="I363" s="15"/>
      <c r="J363" s="15"/>
      <c r="K363" s="15"/>
      <c r="L363" s="28"/>
      <c r="Q363" s="13"/>
      <c r="R363" s="15"/>
      <c r="S363" s="15"/>
      <c r="T363" s="28"/>
      <c r="Y363" s="13"/>
      <c r="Z363" s="15"/>
      <c r="AA363" s="15"/>
      <c r="AB363" s="28"/>
      <c r="AE363" s="34">
        <f>B360*$F$12</f>
        <v>5412</v>
      </c>
      <c r="AF363" s="39">
        <v>5412</v>
      </c>
      <c r="AG363" s="13"/>
      <c r="AH363" s="15"/>
      <c r="AI363" s="45"/>
      <c r="AJ363" s="180"/>
      <c r="AK363" s="13"/>
      <c r="AL363" s="15"/>
      <c r="AM363" s="45"/>
      <c r="AN363" s="15"/>
      <c r="AO363" s="13"/>
      <c r="AP363" s="15"/>
      <c r="AQ363" s="45"/>
      <c r="AR363" s="15"/>
      <c r="AS363" s="13"/>
      <c r="AT363" s="15"/>
      <c r="AU363" s="45"/>
      <c r="AV363" s="15"/>
      <c r="AW363" s="13"/>
      <c r="AY363" s="45"/>
      <c r="AZ363" s="28"/>
      <c r="BA363" s="13"/>
      <c r="BB363" s="15"/>
      <c r="BC363" s="45"/>
      <c r="BD363" s="28"/>
      <c r="BE363" s="14"/>
      <c r="BF363" s="41">
        <f t="shared" ref="BF363:BG363" si="1207">K363+O363+S363+W363+AA363+AE363+AI363+AM363+AQ363+AU363+AY363+BC363</f>
        <v>5412</v>
      </c>
      <c r="BG363" s="34">
        <f t="shared" si="1207"/>
        <v>5412</v>
      </c>
      <c r="BH363" s="35">
        <f t="shared" si="1194"/>
        <v>0</v>
      </c>
      <c r="BK363" s="2" t="b">
        <f>H363='2019'!BH300</f>
        <v>0</v>
      </c>
    </row>
    <row r="364" ht="14.25" customHeight="1" hidden="1" spans="1:63" x14ac:dyDescent="0.25">
      <c r="A364" s="2">
        <v>40</v>
      </c>
      <c r="B364" s="14"/>
      <c r="C364" s="15" t="s">
        <v>405</v>
      </c>
      <c r="D364" s="14" t="s">
        <v>51</v>
      </c>
      <c r="E364" s="2" t="s">
        <v>39</v>
      </c>
      <c r="F364" s="41">
        <v>500</v>
      </c>
      <c r="G364" s="28"/>
      <c r="H364" s="34">
        <f>'2019'!BH301</f>
        <v>0</v>
      </c>
      <c r="I364" s="15"/>
      <c r="J364" s="15"/>
      <c r="K364" s="15"/>
      <c r="L364" s="28"/>
      <c r="Q364" s="13"/>
      <c r="R364" s="15"/>
      <c r="S364" s="15"/>
      <c r="T364" s="28"/>
      <c r="Y364" s="13"/>
      <c r="Z364" s="15"/>
      <c r="AA364" s="15"/>
      <c r="AB364" s="28"/>
      <c r="AE364" s="34"/>
      <c r="AG364" s="13"/>
      <c r="AH364" s="15"/>
      <c r="AI364" s="45"/>
      <c r="AJ364" s="180"/>
      <c r="AK364" s="13"/>
      <c r="AL364" s="15"/>
      <c r="AM364" s="45"/>
      <c r="AN364" s="15"/>
      <c r="AO364" s="13"/>
      <c r="AP364" s="15"/>
      <c r="AQ364" s="45">
        <f>$F$13</f>
        <v>500</v>
      </c>
      <c r="AR364" s="15"/>
      <c r="AS364" s="13"/>
      <c r="AT364" s="15"/>
      <c r="AU364" s="45"/>
      <c r="AV364" s="15"/>
      <c r="AW364" s="13"/>
      <c r="AY364" s="45"/>
      <c r="AZ364" s="28"/>
      <c r="BA364" s="13"/>
      <c r="BB364" s="15"/>
      <c r="BC364" s="45"/>
      <c r="BD364" s="28"/>
      <c r="BE364" s="14"/>
      <c r="BF364" s="41">
        <f t="shared" ref="BF364:BG364" si="1208">K364+O364+S364+W364+AA364+AE364+AI364+AM364+AQ364+AU364+AY364+BC364</f>
        <v>500</v>
      </c>
      <c r="BG364" s="34">
        <f t="shared" si="1208"/>
        <v>0</v>
      </c>
      <c r="BH364" s="35">
        <f t="shared" si="1194"/>
        <v>500</v>
      </c>
      <c r="BK364" s="2" t="b">
        <f>H364='2019'!BH301</f>
        <v>1</v>
      </c>
    </row>
    <row r="365" ht="14.25" customHeight="1" hidden="1" spans="1:60" x14ac:dyDescent="0.25">
      <c r="A365" s="2">
        <v>40</v>
      </c>
      <c r="B365" s="14"/>
      <c r="C365" s="15"/>
      <c r="D365" s="14" t="s">
        <v>51</v>
      </c>
      <c r="E365" s="2" t="s">
        <v>49</v>
      </c>
      <c r="F365" s="41">
        <v>500</v>
      </c>
      <c r="G365" s="28"/>
      <c r="H365" s="34"/>
      <c r="I365" s="15"/>
      <c r="J365" s="15"/>
      <c r="K365" s="15"/>
      <c r="L365" s="28"/>
      <c r="Q365" s="13"/>
      <c r="R365" s="15"/>
      <c r="S365" s="15"/>
      <c r="T365" s="28"/>
      <c r="Y365" s="13"/>
      <c r="Z365" s="15"/>
      <c r="AA365" s="15"/>
      <c r="AB365" s="28"/>
      <c r="AE365" s="34"/>
      <c r="AG365" s="13"/>
      <c r="AH365" s="15"/>
      <c r="AI365" s="45"/>
      <c r="AJ365" s="180"/>
      <c r="AK365" s="13"/>
      <c r="AL365" s="15"/>
      <c r="AM365" s="45"/>
      <c r="AN365" s="15"/>
      <c r="AO365" s="13"/>
      <c r="AP365" s="15"/>
      <c r="AQ365" s="34">
        <f>B360*$F$14</f>
        <v>2460</v>
      </c>
      <c r="AR365" s="15"/>
      <c r="AS365" s="13"/>
      <c r="AT365" s="15"/>
      <c r="AU365" s="45"/>
      <c r="AV365" s="15"/>
      <c r="AW365" s="13"/>
      <c r="AY365" s="45"/>
      <c r="AZ365" s="28"/>
      <c r="BA365" s="13"/>
      <c r="BB365" s="15"/>
      <c r="BC365" s="45"/>
      <c r="BD365" s="28"/>
      <c r="BE365" s="14"/>
      <c r="BF365" s="41">
        <f t="shared" ref="BF365:BG365" si="1209">K365+O365+S365+W365+AA365+AE365+AI365+AM365+AQ365+AU365+AY365+BC365</f>
        <v>2460</v>
      </c>
      <c r="BG365" s="34">
        <f t="shared" si="1209"/>
        <v>0</v>
      </c>
      <c r="BH365" s="35">
        <f t="shared" si="1194"/>
        <v>2460</v>
      </c>
    </row>
    <row r="366" ht="14.25" customHeight="1" hidden="1" spans="1:63" x14ac:dyDescent="0.25">
      <c r="A366" s="2">
        <v>40</v>
      </c>
      <c r="B366" s="14"/>
      <c r="C366" s="73" t="s">
        <v>406</v>
      </c>
      <c r="D366" s="14" t="s">
        <v>52</v>
      </c>
      <c r="E366" s="2" t="s">
        <v>39</v>
      </c>
      <c r="F366" s="41">
        <v>500</v>
      </c>
      <c r="G366" s="28"/>
      <c r="H366" s="34">
        <f>'2019'!BH302</f>
        <v>0</v>
      </c>
      <c r="I366" s="15"/>
      <c r="J366" s="15"/>
      <c r="K366" s="15"/>
      <c r="L366" s="28"/>
      <c r="Q366" s="13"/>
      <c r="R366" s="15"/>
      <c r="S366" s="15"/>
      <c r="T366" s="28"/>
      <c r="Y366" s="13"/>
      <c r="Z366" s="15"/>
      <c r="AA366" s="34">
        <f>$F$11</f>
        <v>500</v>
      </c>
      <c r="AB366" s="35"/>
      <c r="AG366" s="13"/>
      <c r="AH366" s="15"/>
      <c r="AI366" s="45"/>
      <c r="AJ366" s="248">
        <v>500</v>
      </c>
      <c r="AK366" s="13"/>
      <c r="AL366" s="15"/>
      <c r="AM366" s="45"/>
      <c r="AN366" s="15"/>
      <c r="AO366" s="13"/>
      <c r="AP366" s="15"/>
      <c r="AQ366" s="45"/>
      <c r="AR366" s="15"/>
      <c r="AS366" s="13"/>
      <c r="AT366" s="15"/>
      <c r="AU366" s="45"/>
      <c r="AV366" s="15"/>
      <c r="AW366" s="13"/>
      <c r="AY366" s="45"/>
      <c r="AZ366" s="35"/>
      <c r="BA366" s="13"/>
      <c r="BB366" s="15"/>
      <c r="BC366" s="45"/>
      <c r="BD366" s="35"/>
      <c r="BE366" s="14"/>
      <c r="BF366" s="41">
        <f t="shared" ref="BF366:BG366" si="1210">K366+O366+S366+W366+AA366+AE366+AI366+AM366+AQ366+AU366+AY366+BC366</f>
        <v>500</v>
      </c>
      <c r="BG366" s="34">
        <f t="shared" si="1210"/>
        <v>500</v>
      </c>
      <c r="BH366" s="35">
        <f t="shared" si="1194"/>
        <v>0</v>
      </c>
      <c r="BK366" s="2" t="b">
        <f>H366='2019'!BH302</f>
        <v>1</v>
      </c>
    </row>
    <row r="367" ht="15.75" customHeight="1" hidden="1" spans="1:63" x14ac:dyDescent="0.25">
      <c r="A367" s="247">
        <v>40</v>
      </c>
      <c r="B367" s="21"/>
      <c r="C367" s="22" t="s">
        <v>53</v>
      </c>
      <c r="D367" s="21"/>
      <c r="E367" s="22"/>
      <c r="F367" s="20"/>
      <c r="G367" s="23"/>
      <c r="H367" s="51">
        <f>SUM(H359:H366)</f>
        <v>2611.86</v>
      </c>
      <c r="I367" s="53"/>
      <c r="J367" s="53"/>
      <c r="K367" s="51">
        <f t="shared" ref="K367:L367" si="1211">SUM(K359:K366)</f>
        <v>1892.5</v>
      </c>
      <c r="L367" s="68">
        <f t="shared" si="1211"/>
        <v>2000</v>
      </c>
      <c r="M367" s="53"/>
      <c r="N367" s="53"/>
      <c r="O367" s="51">
        <f t="shared" ref="O367:P367" si="1212">SUM(O359:O366)</f>
        <v>1522.5</v>
      </c>
      <c r="P367" s="51">
        <f t="shared" si="1212"/>
        <v>2000</v>
      </c>
      <c r="Q367" s="52"/>
      <c r="R367" s="53"/>
      <c r="S367" s="51">
        <f t="shared" ref="S367:T367" si="1213">SUM(S359:S366)</f>
        <v>1400</v>
      </c>
      <c r="T367" s="51">
        <f t="shared" si="1213"/>
        <v>2000</v>
      </c>
      <c r="U367" s="52"/>
      <c r="V367" s="53"/>
      <c r="W367" s="51">
        <f t="shared" ref="W367:X367" si="1214">SUM(W359:W366)</f>
        <v>1294.74</v>
      </c>
      <c r="X367" s="51">
        <f t="shared" si="1214"/>
        <v>1500</v>
      </c>
      <c r="Y367" s="52"/>
      <c r="Z367" s="53"/>
      <c r="AA367" s="51">
        <f t="shared" ref="AA367:AB367" si="1215">SUM(AA359:AA366)</f>
        <v>1445.68</v>
      </c>
      <c r="AB367" s="51">
        <f t="shared" si="1215"/>
        <v>1200</v>
      </c>
      <c r="AC367" s="52"/>
      <c r="AD367" s="53"/>
      <c r="AE367" s="51">
        <f t="shared" ref="AE367:AF367" si="1216">SUM(AE359:AE366)</f>
        <v>6111.62</v>
      </c>
      <c r="AF367" s="51">
        <f t="shared" si="1216"/>
        <v>6312</v>
      </c>
      <c r="AG367" s="52"/>
      <c r="AH367" s="53"/>
      <c r="AI367" s="183">
        <f t="shared" ref="AI367:AJ367" si="1217">SUM(AI359:AI366)</f>
        <v>606.74</v>
      </c>
      <c r="AJ367" s="51">
        <f t="shared" si="1217"/>
        <v>1100</v>
      </c>
      <c r="AK367" s="52"/>
      <c r="AL367" s="53"/>
      <c r="AM367" s="183">
        <f t="shared" ref="AM367:AN367" si="1218">SUM(AM359:AM366)</f>
        <v>642.04</v>
      </c>
      <c r="AN367" s="51">
        <f t="shared" si="1218"/>
        <v>0</v>
      </c>
      <c r="AO367" s="52"/>
      <c r="AP367" s="53"/>
      <c r="AQ367" s="183">
        <f t="shared" ref="AQ367:AR367" si="1219">SUM(AQ359:AQ366)</f>
        <v>3613.86</v>
      </c>
      <c r="AR367" s="51">
        <f t="shared" si="1219"/>
        <v>0</v>
      </c>
      <c r="AS367" s="52"/>
      <c r="AT367" s="53"/>
      <c r="AU367" s="183">
        <f t="shared" ref="AU367:AV367" si="1220">SUM(AU359:AU366)</f>
        <v>2043.6</v>
      </c>
      <c r="AV367" s="68">
        <f t="shared" si="1220"/>
        <v>1700</v>
      </c>
      <c r="AW367" s="52"/>
      <c r="AX367" s="53"/>
      <c r="AY367" s="183">
        <f t="shared" ref="AY367:AZ367" si="1221">SUM(AY359:AY366)</f>
        <v>1846</v>
      </c>
      <c r="AZ367" s="68">
        <f t="shared" si="1221"/>
        <v>2000</v>
      </c>
      <c r="BA367" s="52"/>
      <c r="BB367" s="53"/>
      <c r="BC367" s="183">
        <f t="shared" ref="BC367:BD367" si="1222">SUM(BC359:BC366)</f>
        <v>1276.6</v>
      </c>
      <c r="BD367" s="68">
        <f t="shared" si="1222"/>
        <v>1830</v>
      </c>
      <c r="BE367" s="69"/>
      <c r="BF367" s="70">
        <f t="shared" ref="BF367:BH367" si="1223">SUM(BF359:BF366)</f>
        <v>23695.88</v>
      </c>
      <c r="BG367" s="71">
        <f t="shared" si="1223"/>
        <v>21642</v>
      </c>
      <c r="BH367" s="72">
        <f t="shared" si="1223"/>
        <v>4665.74</v>
      </c>
      <c r="BI367" s="34">
        <f>H367+BF367-BG367</f>
        <v>4665.74</v>
      </c>
      <c r="BJ367" s="34">
        <f>BH367-BI367</f>
        <v>0</v>
      </c>
      <c r="BK367" s="2" t="b">
        <f>H367='2019'!BH303</f>
        <v>0</v>
      </c>
    </row>
    <row r="368" ht="14.25" customHeight="1" hidden="1" spans="1:63" x14ac:dyDescent="0.25">
      <c r="A368" s="2">
        <v>41</v>
      </c>
      <c r="B368" s="14"/>
      <c r="D368" s="14" t="s">
        <v>379</v>
      </c>
      <c r="F368" s="13"/>
      <c r="G368" s="28"/>
      <c r="H368" s="34">
        <f>'2019'!BH304</f>
        <v>26.67</v>
      </c>
      <c r="J368" s="15"/>
      <c r="K368" s="15"/>
      <c r="L368" s="28"/>
      <c r="Q368" s="13"/>
      <c r="R368" s="15"/>
      <c r="S368" s="15"/>
      <c r="T368" s="28"/>
      <c r="Y368" s="13"/>
      <c r="Z368" s="15"/>
      <c r="AA368" s="15"/>
      <c r="AB368" s="28"/>
      <c r="AG368" s="13"/>
      <c r="AH368" s="15"/>
      <c r="AI368" s="45"/>
      <c r="AJ368" s="15"/>
      <c r="AK368" s="13"/>
      <c r="AM368" s="45"/>
      <c r="AO368" s="13"/>
      <c r="AQ368" s="45">
        <v>16.07</v>
      </c>
      <c r="AS368" s="13"/>
      <c r="AU368" s="45">
        <v>16.61</v>
      </c>
      <c r="AW368" s="13"/>
      <c r="AY368" s="45">
        <v>16.07</v>
      </c>
      <c r="AZ368" s="28"/>
      <c r="BA368" s="13"/>
      <c r="BB368" s="15"/>
      <c r="BC368" s="45">
        <v>16.61</v>
      </c>
      <c r="BD368" s="28"/>
      <c r="BE368" s="14"/>
      <c r="BF368" s="41">
        <f t="shared" ref="BF368:BG368" si="1224">K368+O368+S368+W368+AA368+AE368+AI368+AM368+AQ368+AU368+AY368+BC368</f>
        <v>65.36</v>
      </c>
      <c r="BG368" s="34">
        <f t="shared" si="1224"/>
        <v>0</v>
      </c>
      <c r="BH368" s="35">
        <f t="shared" ref="BH368:BH375" si="1225">H368+BF368-BG368</f>
        <v>92.03</v>
      </c>
      <c r="BK368" s="2" t="b">
        <f>H368='2019'!BH304</f>
        <v>1</v>
      </c>
    </row>
    <row r="369" ht="14.25" customHeight="1" hidden="1" spans="1:63" x14ac:dyDescent="0.25">
      <c r="A369" s="2">
        <v>41</v>
      </c>
      <c r="B369" s="14">
        <v>4.87</v>
      </c>
      <c r="C369" s="2" t="s">
        <v>177</v>
      </c>
      <c r="D369" s="14" t="s">
        <v>44</v>
      </c>
      <c r="E369" s="2" t="s">
        <v>45</v>
      </c>
      <c r="F369" s="41">
        <v>2.5</v>
      </c>
      <c r="G369" s="35">
        <v>2.6</v>
      </c>
      <c r="H369" s="34">
        <f>'2019'!BH305</f>
        <v>-20</v>
      </c>
      <c r="I369" s="13">
        <v>300</v>
      </c>
      <c r="J369" s="15">
        <f>I369-'2019'!BA305</f>
        <v>0</v>
      </c>
      <c r="K369" s="34">
        <f>J369*$F$8</f>
        <v>0</v>
      </c>
      <c r="L369" s="28"/>
      <c r="M369" s="2">
        <v>300</v>
      </c>
      <c r="N369" s="15">
        <f>M369-I369</f>
        <v>0</v>
      </c>
      <c r="O369" s="34">
        <f>N369*$F$8</f>
        <v>0</v>
      </c>
      <c r="Q369" s="13">
        <v>300</v>
      </c>
      <c r="R369" s="15">
        <f>Q369-M369</f>
        <v>0</v>
      </c>
      <c r="S369" s="34">
        <f>R369*$F$8</f>
        <v>0</v>
      </c>
      <c r="T369" s="28"/>
      <c r="U369" s="15">
        <v>300</v>
      </c>
      <c r="V369" s="15">
        <f t="shared" ref="V369:V370" si="1226">U369-Q369</f>
        <v>0</v>
      </c>
      <c r="W369" s="34">
        <f>V369*$F$8</f>
        <v>0</v>
      </c>
      <c r="Y369" s="13">
        <v>300</v>
      </c>
      <c r="Z369" s="15">
        <f t="shared" ref="Z369:Z370" si="1227">Y369-U369</f>
        <v>0</v>
      </c>
      <c r="AA369" s="34">
        <f>Z369*$F$8</f>
        <v>0</v>
      </c>
      <c r="AB369" s="28"/>
      <c r="AC369" s="15">
        <v>300</v>
      </c>
      <c r="AD369" s="15">
        <f t="shared" ref="AD369:AD370" si="1228">AC369-Y369</f>
        <v>0</v>
      </c>
      <c r="AE369" s="34">
        <f>AD369*$F$8</f>
        <v>0</v>
      </c>
      <c r="AG369" s="13">
        <v>300</v>
      </c>
      <c r="AH369" s="15">
        <f t="shared" ref="AH369:AH370" si="1229">AG369-AC369</f>
        <v>0</v>
      </c>
      <c r="AI369" s="45">
        <f>AH369*$G$8</f>
        <v>0</v>
      </c>
      <c r="AJ369" s="2"/>
      <c r="AK369" s="13">
        <v>300</v>
      </c>
      <c r="AL369" s="15">
        <f t="shared" ref="AL369:AL370" si="1230">AK369-AG369</f>
        <v>0</v>
      </c>
      <c r="AM369" s="45">
        <f>AL369*$G$8</f>
        <v>0</v>
      </c>
      <c r="AN369" s="15"/>
      <c r="AO369" s="13">
        <v>300</v>
      </c>
      <c r="AP369" s="15">
        <f t="shared" ref="AP369:AP370" si="1231">AO369-AK369</f>
        <v>0</v>
      </c>
      <c r="AQ369" s="45">
        <f>AP369*$G$8</f>
        <v>0</v>
      </c>
      <c r="AR369" s="15"/>
      <c r="AS369" s="13">
        <v>300</v>
      </c>
      <c r="AT369" s="15">
        <f t="shared" ref="AT369:AT370" si="1232">AS369-AO369</f>
        <v>0</v>
      </c>
      <c r="AU369" s="45">
        <f>AT369*$G$8</f>
        <v>0</v>
      </c>
      <c r="AV369" s="15"/>
      <c r="AW369" s="13">
        <v>300</v>
      </c>
      <c r="AX369" s="2">
        <f t="shared" ref="AX369:AX370" si="1233">AW369-AS369</f>
        <v>0</v>
      </c>
      <c r="AY369" s="45">
        <f>AX369*$G$8</f>
        <v>0</v>
      </c>
      <c r="AZ369" s="208"/>
      <c r="BA369" s="13">
        <v>300</v>
      </c>
      <c r="BB369" s="15">
        <f t="shared" ref="BB369:BB370" si="1234">BA369-AW369</f>
        <v>0</v>
      </c>
      <c r="BC369" s="45">
        <f>BB369*$G$8</f>
        <v>0</v>
      </c>
      <c r="BD369" s="208"/>
      <c r="BE369" s="40">
        <f t="shared" ref="BE369:BG369" si="1235">J369+N369+R369+V369+Z369+AD369+AH369+AL369+AP369+AT369+AX369+BB369</f>
        <v>0</v>
      </c>
      <c r="BF369" s="41">
        <f t="shared" si="1235"/>
        <v>0</v>
      </c>
      <c r="BG369" s="34">
        <f t="shared" si="1235"/>
        <v>0</v>
      </c>
      <c r="BH369" s="35">
        <f t="shared" si="1225"/>
        <v>-20</v>
      </c>
      <c r="BK369" s="2" t="b">
        <f>H369='2019'!BH305</f>
        <v>1</v>
      </c>
    </row>
    <row r="370" ht="14.25" customHeight="1" hidden="1" spans="1:63" x14ac:dyDescent="0.25">
      <c r="A370" s="2">
        <v>41</v>
      </c>
      <c r="B370" s="14"/>
      <c r="C370" s="2" t="s">
        <v>75</v>
      </c>
      <c r="D370" s="14" t="s">
        <v>47</v>
      </c>
      <c r="E370" s="2" t="s">
        <v>48</v>
      </c>
      <c r="F370" s="13">
        <v>18.56</v>
      </c>
      <c r="G370" s="35">
        <v>19.46</v>
      </c>
      <c r="H370" s="34">
        <f>'2019'!BH306</f>
        <v>0</v>
      </c>
      <c r="I370" s="75">
        <v>35</v>
      </c>
      <c r="J370" s="15"/>
      <c r="K370" s="15"/>
      <c r="L370" s="28"/>
      <c r="M370" s="75">
        <v>35</v>
      </c>
      <c r="Q370" s="75">
        <v>35</v>
      </c>
      <c r="R370" s="15"/>
      <c r="S370" s="15"/>
      <c r="T370" s="28"/>
      <c r="U370" s="2">
        <v>38</v>
      </c>
      <c r="V370" s="2">
        <f t="shared" si="1226"/>
        <v>3</v>
      </c>
      <c r="W370" s="2">
        <f>V370*$F$10</f>
        <v>55.68</v>
      </c>
      <c r="Y370" s="13">
        <v>38</v>
      </c>
      <c r="Z370" s="15">
        <f t="shared" si="1227"/>
        <v>0</v>
      </c>
      <c r="AA370" s="34">
        <f>Z370*$F$10</f>
        <v>0</v>
      </c>
      <c r="AB370" s="28"/>
      <c r="AC370" s="15">
        <v>38</v>
      </c>
      <c r="AD370" s="15">
        <f t="shared" si="1228"/>
        <v>0</v>
      </c>
      <c r="AE370" s="34">
        <f>AD370*$F$10</f>
        <v>0</v>
      </c>
      <c r="AG370" s="13">
        <v>38</v>
      </c>
      <c r="AH370" s="15">
        <f t="shared" si="1229"/>
        <v>0</v>
      </c>
      <c r="AI370" s="45">
        <f>AH370*$G$10</f>
        <v>0</v>
      </c>
      <c r="AJ370" s="2"/>
      <c r="AK370" s="13">
        <v>38</v>
      </c>
      <c r="AL370" s="15">
        <f t="shared" si="1230"/>
        <v>0</v>
      </c>
      <c r="AM370" s="45">
        <f>AL370*$G$10</f>
        <v>0</v>
      </c>
      <c r="AN370" s="15"/>
      <c r="AO370" s="13">
        <v>38</v>
      </c>
      <c r="AP370" s="15">
        <f t="shared" si="1231"/>
        <v>0</v>
      </c>
      <c r="AQ370" s="45">
        <f>AP370*$G$10</f>
        <v>0</v>
      </c>
      <c r="AR370" s="15"/>
      <c r="AS370" s="13">
        <v>38</v>
      </c>
      <c r="AT370" s="15">
        <f t="shared" si="1232"/>
        <v>0</v>
      </c>
      <c r="AU370" s="45">
        <f>AT370*$G$10</f>
        <v>0</v>
      </c>
      <c r="AV370" s="15"/>
      <c r="AW370" s="13">
        <v>38</v>
      </c>
      <c r="AX370" s="2">
        <f t="shared" si="1233"/>
        <v>0</v>
      </c>
      <c r="AY370" s="45"/>
      <c r="AZ370" s="208"/>
      <c r="BA370" s="13">
        <v>38</v>
      </c>
      <c r="BB370" s="15">
        <f t="shared" si="1234"/>
        <v>0</v>
      </c>
      <c r="BC370" s="45"/>
      <c r="BD370" s="208"/>
      <c r="BE370" s="40">
        <f t="shared" ref="BE370:BG370" si="1236">J370+N370+R370+V370+Z370+AD370+AH370+AL370+AP370+AT370+AX370+BB370</f>
        <v>3</v>
      </c>
      <c r="BF370" s="41">
        <f t="shared" si="1236"/>
        <v>55.68</v>
      </c>
      <c r="BG370" s="34">
        <f t="shared" si="1236"/>
        <v>0</v>
      </c>
      <c r="BH370" s="35">
        <f t="shared" si="1225"/>
        <v>55.68</v>
      </c>
      <c r="BK370" s="2" t="b">
        <f>H370='2019'!BH306</f>
        <v>1</v>
      </c>
    </row>
    <row r="371" ht="14.25" customHeight="1" hidden="1" spans="1:63" x14ac:dyDescent="0.25">
      <c r="A371" s="2">
        <v>41</v>
      </c>
      <c r="B371" s="14"/>
      <c r="C371" s="2" t="s">
        <v>178</v>
      </c>
      <c r="D371" s="14" t="s">
        <v>47</v>
      </c>
      <c r="E371" s="2" t="s">
        <v>49</v>
      </c>
      <c r="F371" s="41">
        <v>500</v>
      </c>
      <c r="G371" s="28"/>
      <c r="H371" s="34">
        <f>'2019'!BH307</f>
        <v>0</v>
      </c>
      <c r="I371" s="15"/>
      <c r="J371" s="15"/>
      <c r="K371" s="15"/>
      <c r="L371" s="28"/>
      <c r="Q371" s="13"/>
      <c r="R371" s="15"/>
      <c r="S371" s="15"/>
      <c r="T371" s="28"/>
      <c r="Y371" s="13"/>
      <c r="Z371" s="15"/>
      <c r="AA371" s="15"/>
      <c r="AB371" s="28"/>
      <c r="AG371" s="13"/>
      <c r="AH371" s="15"/>
      <c r="AI371" s="45"/>
      <c r="AJ371" s="15"/>
      <c r="AK371" s="13"/>
      <c r="AL371" s="15"/>
      <c r="AM371" s="45"/>
      <c r="AN371" s="15"/>
      <c r="AO371" s="13"/>
      <c r="AP371" s="15"/>
      <c r="AQ371" s="45"/>
      <c r="AR371" s="15"/>
      <c r="AS371" s="13"/>
      <c r="AT371" s="15"/>
      <c r="AU371" s="45"/>
      <c r="AV371" s="15"/>
      <c r="AW371" s="13"/>
      <c r="AY371" s="45"/>
      <c r="AZ371" s="28"/>
      <c r="BA371" s="13"/>
      <c r="BB371" s="15"/>
      <c r="BC371" s="45"/>
      <c r="BD371" s="28"/>
      <c r="BE371" s="14"/>
      <c r="BF371" s="41">
        <f t="shared" ref="BF371:BG371" si="1237">K371+O371+S371+W371+AA371+AE371+AI371+AM371+AQ371+AU371+AY371+BC371</f>
        <v>0</v>
      </c>
      <c r="BG371" s="34">
        <f t="shared" si="1237"/>
        <v>0</v>
      </c>
      <c r="BH371" s="35">
        <f t="shared" si="1225"/>
        <v>0</v>
      </c>
      <c r="BK371" s="2" t="b">
        <f>H371='2019'!BH307</f>
        <v>1</v>
      </c>
    </row>
    <row r="372" ht="14.25" customHeight="1" hidden="1" spans="1:63" x14ac:dyDescent="0.25">
      <c r="A372" s="2">
        <v>41</v>
      </c>
      <c r="B372" s="14"/>
      <c r="C372" s="2" t="s">
        <v>407</v>
      </c>
      <c r="D372" s="14" t="s">
        <v>50</v>
      </c>
      <c r="E372" s="2" t="s">
        <v>49</v>
      </c>
      <c r="F372" s="41">
        <v>1100</v>
      </c>
      <c r="G372" s="28"/>
      <c r="H372" s="182">
        <f>'2019'!BH308+0.0044</f>
        <v>0</v>
      </c>
      <c r="I372" s="15"/>
      <c r="J372" s="15"/>
      <c r="K372" s="15"/>
      <c r="L372" s="28"/>
      <c r="Q372" s="13"/>
      <c r="R372" s="15"/>
      <c r="S372" s="15"/>
      <c r="T372" s="28"/>
      <c r="Y372" s="13"/>
      <c r="Z372" s="15"/>
      <c r="AA372" s="15"/>
      <c r="AB372" s="28"/>
      <c r="AE372" s="34">
        <f>B369*$F$12</f>
        <v>5357</v>
      </c>
      <c r="AG372" s="13"/>
      <c r="AH372" s="15"/>
      <c r="AI372" s="45"/>
      <c r="AJ372" s="2"/>
      <c r="AK372" s="13"/>
      <c r="AL372" s="15"/>
      <c r="AM372" s="45"/>
      <c r="AN372" s="15"/>
      <c r="AO372" s="13"/>
      <c r="AP372" s="15"/>
      <c r="AQ372" s="45"/>
      <c r="AR372" s="15"/>
      <c r="AS372" s="13"/>
      <c r="AT372" s="15"/>
      <c r="AU372" s="45"/>
      <c r="AV372" s="15"/>
      <c r="AW372" s="13"/>
      <c r="AY372" s="45"/>
      <c r="AZ372" s="28"/>
      <c r="BA372" s="13"/>
      <c r="BB372" s="15"/>
      <c r="BC372" s="45"/>
      <c r="BD372" s="28"/>
      <c r="BE372" s="14"/>
      <c r="BF372" s="41">
        <f t="shared" ref="BF372:BG372" si="1238">K372+O372+S372+W372+AA372+AE372+AI372+AM372+AQ372+AU372+AY372+BC372</f>
        <v>5357</v>
      </c>
      <c r="BG372" s="34">
        <f t="shared" si="1238"/>
        <v>0</v>
      </c>
      <c r="BH372" s="35">
        <f t="shared" si="1225"/>
        <v>5357</v>
      </c>
      <c r="BK372" s="2" t="b">
        <f>H372='2019'!BH308</f>
        <v>0</v>
      </c>
    </row>
    <row r="373" ht="14.25" customHeight="1" hidden="1" spans="1:63" x14ac:dyDescent="0.25">
      <c r="A373" s="2">
        <v>41</v>
      </c>
      <c r="B373" s="14"/>
      <c r="C373" s="2" t="s">
        <v>180</v>
      </c>
      <c r="D373" s="14" t="s">
        <v>51</v>
      </c>
      <c r="E373" s="2" t="s">
        <v>39</v>
      </c>
      <c r="F373" s="41">
        <v>500</v>
      </c>
      <c r="G373" s="28"/>
      <c r="H373" s="34">
        <f>'2019'!BH309</f>
        <v>0</v>
      </c>
      <c r="I373" s="15"/>
      <c r="J373" s="15"/>
      <c r="K373" s="15"/>
      <c r="L373" s="28"/>
      <c r="Q373" s="13"/>
      <c r="R373" s="15"/>
      <c r="S373" s="15"/>
      <c r="T373" s="28"/>
      <c r="Y373" s="13"/>
      <c r="Z373" s="15"/>
      <c r="AA373" s="15"/>
      <c r="AB373" s="28"/>
      <c r="AE373" s="34"/>
      <c r="AG373" s="13"/>
      <c r="AH373" s="15"/>
      <c r="AI373" s="45"/>
      <c r="AJ373" s="15"/>
      <c r="AK373" s="13"/>
      <c r="AL373" s="15"/>
      <c r="AM373" s="45"/>
      <c r="AN373" s="15"/>
      <c r="AO373" s="13"/>
      <c r="AP373" s="15"/>
      <c r="AQ373" s="45">
        <f>$F$13</f>
        <v>500</v>
      </c>
      <c r="AR373" s="15"/>
      <c r="AS373" s="13"/>
      <c r="AT373" s="15"/>
      <c r="AU373" s="45"/>
      <c r="AV373" s="15"/>
      <c r="AW373" s="13"/>
      <c r="AY373" s="45"/>
      <c r="AZ373" s="28"/>
      <c r="BA373" s="13"/>
      <c r="BB373" s="15"/>
      <c r="BC373" s="45"/>
      <c r="BD373" s="28"/>
      <c r="BE373" s="14"/>
      <c r="BF373" s="41">
        <f t="shared" ref="BF373:BG373" si="1239">K373+O373+S373+W373+AA373+AE373+AI373+AM373+AQ373+AU373+AY373+BC373</f>
        <v>500</v>
      </c>
      <c r="BG373" s="34">
        <f t="shared" si="1239"/>
        <v>0</v>
      </c>
      <c r="BH373" s="35">
        <f t="shared" si="1225"/>
        <v>500</v>
      </c>
      <c r="BK373" s="2" t="b">
        <f>H373='2019'!BH309</f>
        <v>1</v>
      </c>
    </row>
    <row r="374" ht="14.25" customHeight="1" hidden="1" spans="1:60" x14ac:dyDescent="0.25">
      <c r="A374" s="2">
        <v>41</v>
      </c>
      <c r="B374" s="14"/>
      <c r="D374" s="14" t="s">
        <v>51</v>
      </c>
      <c r="E374" s="2" t="s">
        <v>49</v>
      </c>
      <c r="F374" s="41">
        <v>500</v>
      </c>
      <c r="G374" s="28"/>
      <c r="H374" s="34"/>
      <c r="I374" s="15"/>
      <c r="J374" s="15"/>
      <c r="K374" s="15"/>
      <c r="L374" s="28"/>
      <c r="Q374" s="13"/>
      <c r="R374" s="15"/>
      <c r="S374" s="15"/>
      <c r="T374" s="28"/>
      <c r="Y374" s="13"/>
      <c r="Z374" s="15"/>
      <c r="AA374" s="15"/>
      <c r="AB374" s="28"/>
      <c r="AE374" s="34"/>
      <c r="AG374" s="13"/>
      <c r="AH374" s="15"/>
      <c r="AI374" s="45"/>
      <c r="AJ374" s="15"/>
      <c r="AK374" s="13"/>
      <c r="AL374" s="15"/>
      <c r="AM374" s="45"/>
      <c r="AN374" s="15"/>
      <c r="AO374" s="13"/>
      <c r="AP374" s="15"/>
      <c r="AQ374" s="34">
        <f>B369*$F$14</f>
        <v>2435</v>
      </c>
      <c r="AR374" s="15"/>
      <c r="AS374" s="13"/>
      <c r="AT374" s="15"/>
      <c r="AU374" s="45"/>
      <c r="AV374" s="15"/>
      <c r="AW374" s="13"/>
      <c r="AY374" s="45"/>
      <c r="AZ374" s="28"/>
      <c r="BA374" s="13"/>
      <c r="BB374" s="15"/>
      <c r="BC374" s="45"/>
      <c r="BD374" s="28"/>
      <c r="BE374" s="14"/>
      <c r="BF374" s="41">
        <f t="shared" ref="BF374:BG374" si="1240">K374+O374+S374+W374+AA374+AE374+AI374+AM374+AQ374+AU374+AY374+BC374</f>
        <v>2435</v>
      </c>
      <c r="BG374" s="34">
        <f t="shared" si="1240"/>
        <v>0</v>
      </c>
      <c r="BH374" s="35">
        <f t="shared" si="1225"/>
        <v>2435</v>
      </c>
    </row>
    <row r="375" ht="14.25" customHeight="1" hidden="1" spans="1:63" x14ac:dyDescent="0.25">
      <c r="A375" s="2">
        <v>41</v>
      </c>
      <c r="B375" s="14"/>
      <c r="D375" s="14" t="s">
        <v>52</v>
      </c>
      <c r="E375" s="2" t="s">
        <v>39</v>
      </c>
      <c r="F375" s="41">
        <v>500</v>
      </c>
      <c r="G375" s="28"/>
      <c r="H375" s="34">
        <f>'2019'!BH310</f>
        <v>0</v>
      </c>
      <c r="I375" s="15"/>
      <c r="J375" s="15"/>
      <c r="K375" s="15"/>
      <c r="L375" s="28"/>
      <c r="Q375" s="13"/>
      <c r="R375" s="15"/>
      <c r="S375" s="15"/>
      <c r="T375" s="28"/>
      <c r="Y375" s="13"/>
      <c r="Z375" s="15"/>
      <c r="AA375" s="34">
        <f>$F$11</f>
        <v>500</v>
      </c>
      <c r="AB375" s="28"/>
      <c r="AG375" s="13"/>
      <c r="AH375" s="15"/>
      <c r="AI375" s="45"/>
      <c r="AJ375" s="15"/>
      <c r="AK375" s="13"/>
      <c r="AL375" s="15"/>
      <c r="AM375" s="45"/>
      <c r="AN375" s="15"/>
      <c r="AO375" s="13"/>
      <c r="AP375" s="15"/>
      <c r="AQ375" s="45"/>
      <c r="AR375" s="15"/>
      <c r="AS375" s="13"/>
      <c r="AT375" s="15"/>
      <c r="AU375" s="45"/>
      <c r="AV375" s="15"/>
      <c r="AW375" s="13"/>
      <c r="AY375" s="45"/>
      <c r="AZ375" s="35"/>
      <c r="BA375" s="13"/>
      <c r="BB375" s="15"/>
      <c r="BC375" s="45"/>
      <c r="BD375" s="35"/>
      <c r="BE375" s="14"/>
      <c r="BF375" s="41">
        <f t="shared" ref="BF375:BG375" si="1241">K375+O375+S375+W375+AA375+AE375+AI375+AM375+AQ375+AU375+AY375+BC375</f>
        <v>500</v>
      </c>
      <c r="BG375" s="34">
        <f t="shared" si="1241"/>
        <v>0</v>
      </c>
      <c r="BH375" s="35">
        <f t="shared" si="1225"/>
        <v>500</v>
      </c>
      <c r="BK375" s="2" t="b">
        <f>H375='2019'!BH310</f>
        <v>1</v>
      </c>
    </row>
    <row r="376" ht="14.25" customHeight="1" hidden="1" spans="1:63" x14ac:dyDescent="0.25">
      <c r="A376" s="247">
        <v>41</v>
      </c>
      <c r="B376" s="21"/>
      <c r="C376" s="22" t="s">
        <v>53</v>
      </c>
      <c r="D376" s="21"/>
      <c r="E376" s="22"/>
      <c r="F376" s="20"/>
      <c r="G376" s="23"/>
      <c r="H376" s="51">
        <f>SUM(H368:H375)</f>
        <v>6.67</v>
      </c>
      <c r="I376" s="53"/>
      <c r="J376" s="53"/>
      <c r="K376" s="51">
        <f t="shared" ref="K376:L376" si="1242">SUM(K368:K375)</f>
        <v>0</v>
      </c>
      <c r="L376" s="68">
        <f t="shared" si="1242"/>
        <v>0</v>
      </c>
      <c r="M376" s="53"/>
      <c r="N376" s="53"/>
      <c r="O376" s="51">
        <f t="shared" ref="O376:P376" si="1243">SUM(O368:O375)</f>
        <v>0</v>
      </c>
      <c r="P376" s="51">
        <f t="shared" si="1243"/>
        <v>0</v>
      </c>
      <c r="Q376" s="52"/>
      <c r="R376" s="53"/>
      <c r="S376" s="51">
        <f t="shared" ref="S376:T376" si="1244">SUM(S368:S375)</f>
        <v>0</v>
      </c>
      <c r="T376" s="51">
        <f t="shared" si="1244"/>
        <v>0</v>
      </c>
      <c r="U376" s="52"/>
      <c r="V376" s="53"/>
      <c r="W376" s="51">
        <f t="shared" ref="W376:X376" si="1245">SUM(W368:W375)</f>
        <v>55.68</v>
      </c>
      <c r="X376" s="51">
        <f t="shared" si="1245"/>
        <v>0</v>
      </c>
      <c r="Y376" s="52"/>
      <c r="Z376" s="53"/>
      <c r="AA376" s="51">
        <f t="shared" ref="AA376:AB376" si="1246">SUM(AA368:AA375)</f>
        <v>500</v>
      </c>
      <c r="AB376" s="51">
        <f t="shared" si="1246"/>
        <v>0</v>
      </c>
      <c r="AC376" s="52"/>
      <c r="AD376" s="53"/>
      <c r="AE376" s="51">
        <f t="shared" ref="AE376:AF376" si="1247">SUM(AE368:AE375)</f>
        <v>5357</v>
      </c>
      <c r="AF376" s="51">
        <f t="shared" si="1247"/>
        <v>0</v>
      </c>
      <c r="AG376" s="52"/>
      <c r="AH376" s="53"/>
      <c r="AI376" s="183">
        <f t="shared" ref="AI376:AJ376" si="1248">SUM(AI368:AI375)</f>
        <v>0</v>
      </c>
      <c r="AJ376" s="51">
        <f t="shared" si="1248"/>
        <v>0</v>
      </c>
      <c r="AK376" s="52"/>
      <c r="AL376" s="53"/>
      <c r="AM376" s="183">
        <f t="shared" ref="AM376:AN376" si="1249">SUM(AM368:AM375)</f>
        <v>0</v>
      </c>
      <c r="AN376" s="51">
        <f t="shared" si="1249"/>
        <v>0</v>
      </c>
      <c r="AO376" s="52"/>
      <c r="AP376" s="53"/>
      <c r="AQ376" s="183">
        <f t="shared" ref="AQ376:AR376" si="1250">SUM(AQ368:AQ375)</f>
        <v>2951.07</v>
      </c>
      <c r="AR376" s="51">
        <f t="shared" si="1250"/>
        <v>0</v>
      </c>
      <c r="AS376" s="52"/>
      <c r="AT376" s="53"/>
      <c r="AU376" s="183">
        <f t="shared" ref="AU376:AV376" si="1251">SUM(AU368:AU375)</f>
        <v>16.61</v>
      </c>
      <c r="AV376" s="68">
        <f t="shared" si="1251"/>
        <v>0</v>
      </c>
      <c r="AW376" s="52"/>
      <c r="AX376" s="53"/>
      <c r="AY376" s="183">
        <f t="shared" ref="AY376:AZ376" si="1252">SUM(AY368:AY375)</f>
        <v>16.07</v>
      </c>
      <c r="AZ376" s="68">
        <f t="shared" si="1252"/>
        <v>0</v>
      </c>
      <c r="BA376" s="52"/>
      <c r="BB376" s="53"/>
      <c r="BC376" s="183">
        <f t="shared" ref="BC376:BD376" si="1253">SUM(BC368:BC375)</f>
        <v>16.61</v>
      </c>
      <c r="BD376" s="68">
        <f t="shared" si="1253"/>
        <v>0</v>
      </c>
      <c r="BE376" s="69"/>
      <c r="BF376" s="70">
        <f t="shared" ref="BF376:BH376" si="1254">SUM(BF368:BF375)</f>
        <v>8913.04</v>
      </c>
      <c r="BG376" s="71">
        <f t="shared" si="1254"/>
        <v>0</v>
      </c>
      <c r="BH376" s="72">
        <f t="shared" si="1254"/>
        <v>8919.71</v>
      </c>
      <c r="BI376" s="34">
        <f>H376+BF376-BG376</f>
        <v>8919.71</v>
      </c>
      <c r="BJ376" s="34">
        <f>BH376-BI376</f>
        <v>0</v>
      </c>
      <c r="BK376" s="2" t="b">
        <f>H376='2019'!BH311</f>
        <v>0</v>
      </c>
    </row>
    <row r="377" ht="14.25" customHeight="1" hidden="1" spans="1:63" x14ac:dyDescent="0.25">
      <c r="A377" s="2">
        <v>42</v>
      </c>
      <c r="B377" s="14"/>
      <c r="D377" s="14" t="s">
        <v>379</v>
      </c>
      <c r="F377" s="41"/>
      <c r="G377" s="28"/>
      <c r="H377" s="34">
        <f>'2019'!BH312</f>
        <v>83.94</v>
      </c>
      <c r="J377" s="15"/>
      <c r="K377" s="34">
        <v>21.33</v>
      </c>
      <c r="L377" s="28"/>
      <c r="O377" s="2">
        <v>19.95</v>
      </c>
      <c r="Q377" s="13"/>
      <c r="R377" s="15"/>
      <c r="S377" s="15">
        <v>21.33</v>
      </c>
      <c r="T377" s="28"/>
      <c r="W377" s="2">
        <v>20.64</v>
      </c>
      <c r="Y377" s="13"/>
      <c r="Z377" s="15"/>
      <c r="AA377" s="15">
        <v>21.33</v>
      </c>
      <c r="AB377" s="28"/>
      <c r="AE377" s="34">
        <v>5.5</v>
      </c>
      <c r="AF377" s="1">
        <v>188.52</v>
      </c>
      <c r="AG377" s="13"/>
      <c r="AH377" s="15"/>
      <c r="AI377" s="45"/>
      <c r="AJ377" s="15"/>
      <c r="AK377" s="13"/>
      <c r="AM377" s="45"/>
      <c r="AO377" s="13"/>
      <c r="AQ377" s="45">
        <v>7.01</v>
      </c>
      <c r="AR377" s="39">
        <v>5.5</v>
      </c>
      <c r="AS377" s="13"/>
      <c r="AU377" s="45"/>
      <c r="AW377" s="13"/>
      <c r="AY377" s="45"/>
      <c r="AZ377" s="28"/>
      <c r="BA377" s="13"/>
      <c r="BB377" s="15"/>
      <c r="BC377" s="45"/>
      <c r="BD377" s="28"/>
      <c r="BE377" s="14"/>
      <c r="BF377" s="41">
        <f t="shared" ref="BF377:BG377" si="1255">K377+O377+S377+W377+AA377+AE377+AI377+AM377+AQ377+AU377+AY377+BC377</f>
        <v>117.09</v>
      </c>
      <c r="BG377" s="34">
        <f t="shared" si="1255"/>
        <v>194.02</v>
      </c>
      <c r="BH377" s="35">
        <f t="shared" ref="BH377:BH384" si="1256">H377+BF377-BG377</f>
        <v>7.01</v>
      </c>
      <c r="BK377" s="2" t="b">
        <f>H377='2019'!BH312</f>
        <v>1</v>
      </c>
    </row>
    <row r="378" ht="14.25" customHeight="1" hidden="1" spans="1:63" x14ac:dyDescent="0.25">
      <c r="A378" s="2">
        <v>42</v>
      </c>
      <c r="B378" s="42">
        <v>4.9</v>
      </c>
      <c r="C378" s="15" t="s">
        <v>181</v>
      </c>
      <c r="D378" s="14" t="s">
        <v>44</v>
      </c>
      <c r="E378" s="2" t="s">
        <v>45</v>
      </c>
      <c r="F378" s="41">
        <v>2.5</v>
      </c>
      <c r="G378" s="35">
        <v>2.6</v>
      </c>
      <c r="H378" s="34">
        <f>'2019'!BH313</f>
        <v>0</v>
      </c>
      <c r="I378" s="13">
        <v>0</v>
      </c>
      <c r="J378" s="15"/>
      <c r="K378" s="34">
        <f>J378*$F$8</f>
        <v>0</v>
      </c>
      <c r="L378" s="28"/>
      <c r="M378" s="2">
        <v>0</v>
      </c>
      <c r="N378" s="15">
        <f>M378-I378</f>
        <v>0</v>
      </c>
      <c r="O378" s="34">
        <f>N378*$F$8</f>
        <v>0</v>
      </c>
      <c r="Q378" s="13">
        <v>0</v>
      </c>
      <c r="R378" s="15">
        <f>Q378-M378</f>
        <v>0</v>
      </c>
      <c r="S378" s="34">
        <f>R378*$F$8</f>
        <v>0</v>
      </c>
      <c r="T378" s="28"/>
      <c r="U378" s="2">
        <v>0</v>
      </c>
      <c r="V378" s="15">
        <f t="shared" ref="V378:V379" si="1257">U378-Q378</f>
        <v>0</v>
      </c>
      <c r="W378" s="34">
        <f>V378*$F$8</f>
        <v>0</v>
      </c>
      <c r="Y378" s="13">
        <v>0</v>
      </c>
      <c r="Z378" s="15">
        <f t="shared" ref="Z378:Z379" si="1258">Y378-U378</f>
        <v>0</v>
      </c>
      <c r="AA378" s="34">
        <f>Z378*$F$8</f>
        <v>0</v>
      </c>
      <c r="AB378" s="28"/>
      <c r="AC378" s="15">
        <v>0</v>
      </c>
      <c r="AD378" s="15">
        <f t="shared" ref="AD378:AD379" si="1259">AC378-Y378</f>
        <v>0</v>
      </c>
      <c r="AE378" s="34">
        <f>AD378*$F$8</f>
        <v>0</v>
      </c>
      <c r="AF378" s="1">
        <f>51.56</f>
        <v>51.56</v>
      </c>
      <c r="AG378" s="13">
        <v>8</v>
      </c>
      <c r="AH378" s="15">
        <f t="shared" ref="AH378:AH379" si="1260">AG378-AC378</f>
        <v>8</v>
      </c>
      <c r="AI378" s="45">
        <f>AH378*$G$8</f>
        <v>20.8</v>
      </c>
      <c r="AJ378" s="15"/>
      <c r="AK378" s="13">
        <v>135</v>
      </c>
      <c r="AL378" s="15">
        <f t="shared" ref="AL378:AL379" si="1261">AK378-AG378</f>
        <v>127</v>
      </c>
      <c r="AM378" s="45">
        <f>AL378*$G$8</f>
        <v>330.2</v>
      </c>
      <c r="AN378" s="15"/>
      <c r="AO378" s="13">
        <v>634</v>
      </c>
      <c r="AP378" s="15">
        <f t="shared" ref="AP378:AP379" si="1262">AO378-AK378</f>
        <v>499</v>
      </c>
      <c r="AQ378" s="45">
        <f>AP378*$G$8</f>
        <v>1297.4</v>
      </c>
      <c r="AR378" s="1"/>
      <c r="AS378" s="13">
        <v>2198</v>
      </c>
      <c r="AT378" s="15">
        <f t="shared" ref="AT378:AT379" si="1263">AS378-AO378</f>
        <v>1564</v>
      </c>
      <c r="AU378" s="45">
        <f>AT378*$G$8</f>
        <v>4066.4</v>
      </c>
      <c r="AV378" s="39">
        <v>1600</v>
      </c>
      <c r="AW378" s="13">
        <v>3829</v>
      </c>
      <c r="AX378" s="2">
        <f t="shared" ref="AX378:AX379" si="1264">AW378-AS378</f>
        <v>1631</v>
      </c>
      <c r="AY378" s="45">
        <f>AX378*$G$8</f>
        <v>4240.6</v>
      </c>
      <c r="AZ378" s="242">
        <v>4100</v>
      </c>
      <c r="BA378" s="13">
        <v>6467</v>
      </c>
      <c r="BB378" s="15">
        <f t="shared" ref="BB378:BB379" si="1265">BA378-AW378</f>
        <v>2638</v>
      </c>
      <c r="BC378" s="45">
        <f>BB378*$G$8</f>
        <v>6858.8</v>
      </c>
      <c r="BD378" s="242">
        <v>4200</v>
      </c>
      <c r="BE378" s="40">
        <f t="shared" ref="BE378:BG378" si="1266">J378+N378+R378+V378+Z378+AD378+AH378+AL378+AP378+AT378+AX378+BB378</f>
        <v>6467</v>
      </c>
      <c r="BF378" s="41">
        <f t="shared" si="1266"/>
        <v>16814.2</v>
      </c>
      <c r="BG378" s="34">
        <f t="shared" si="1266"/>
        <v>9951.56</v>
      </c>
      <c r="BH378" s="35">
        <f t="shared" si="1256"/>
        <v>6862.64</v>
      </c>
      <c r="BK378" s="2" t="b">
        <f>H378='2019'!BH313</f>
        <v>1</v>
      </c>
    </row>
    <row r="379" ht="14.25" customHeight="1" hidden="1" spans="1:63" x14ac:dyDescent="0.25">
      <c r="A379" s="2">
        <v>42</v>
      </c>
      <c r="B379" s="14"/>
      <c r="C379" s="15" t="s">
        <v>182</v>
      </c>
      <c r="D379" s="14" t="s">
        <v>47</v>
      </c>
      <c r="E379" s="2" t="s">
        <v>48</v>
      </c>
      <c r="F379" s="13">
        <v>18.56</v>
      </c>
      <c r="G379" s="35">
        <v>19.46</v>
      </c>
      <c r="H379" s="34">
        <f>'2019'!BH314</f>
        <v>129.92</v>
      </c>
      <c r="I379" s="15">
        <v>7</v>
      </c>
      <c r="J379" s="15"/>
      <c r="K379" s="15"/>
      <c r="L379" s="28"/>
      <c r="M379" s="2">
        <v>7</v>
      </c>
      <c r="Q379" s="13">
        <v>7</v>
      </c>
      <c r="R379" s="15"/>
      <c r="S379" s="15"/>
      <c r="T379" s="28"/>
      <c r="U379" s="2">
        <v>7</v>
      </c>
      <c r="V379" s="2">
        <f t="shared" si="1257"/>
        <v>0</v>
      </c>
      <c r="W379" s="34">
        <f>V379*$F$10</f>
        <v>0</v>
      </c>
      <c r="Y379" s="13">
        <v>7</v>
      </c>
      <c r="Z379" s="15">
        <f t="shared" si="1258"/>
        <v>0</v>
      </c>
      <c r="AA379" s="34">
        <f>Z379*$F$10</f>
        <v>0</v>
      </c>
      <c r="AB379" s="28"/>
      <c r="AC379" s="15">
        <v>7</v>
      </c>
      <c r="AD379" s="15">
        <f t="shared" si="1259"/>
        <v>0</v>
      </c>
      <c r="AE379" s="34">
        <f>AD379*$F$10</f>
        <v>0</v>
      </c>
      <c r="AF379" s="1">
        <v>129.92</v>
      </c>
      <c r="AG379" s="13">
        <v>9</v>
      </c>
      <c r="AH379" s="15">
        <f t="shared" si="1260"/>
        <v>2</v>
      </c>
      <c r="AI379" s="45">
        <f>AH379*$G$10</f>
        <v>38.92</v>
      </c>
      <c r="AJ379" s="15"/>
      <c r="AK379" s="13">
        <v>9</v>
      </c>
      <c r="AL379" s="15">
        <f t="shared" si="1261"/>
        <v>0</v>
      </c>
      <c r="AM379" s="45">
        <f>AL379*$G$10</f>
        <v>0</v>
      </c>
      <c r="AN379" s="15"/>
      <c r="AO379" s="13">
        <v>9</v>
      </c>
      <c r="AP379" s="15">
        <f t="shared" si="1262"/>
        <v>0</v>
      </c>
      <c r="AQ379" s="45">
        <f>AP379*$G$10</f>
        <v>0</v>
      </c>
      <c r="AR379" s="1"/>
      <c r="AS379" s="13">
        <v>10</v>
      </c>
      <c r="AT379" s="15">
        <f t="shared" si="1263"/>
        <v>1</v>
      </c>
      <c r="AU379" s="45">
        <f>AT379*$G$10</f>
        <v>19.46</v>
      </c>
      <c r="AV379" s="15"/>
      <c r="AW379" s="13">
        <v>10</v>
      </c>
      <c r="AX379" s="2">
        <f t="shared" si="1264"/>
        <v>0</v>
      </c>
      <c r="AY379" s="45"/>
      <c r="AZ379" s="208"/>
      <c r="BA379" s="13">
        <v>10</v>
      </c>
      <c r="BB379" s="15">
        <f t="shared" si="1265"/>
        <v>0</v>
      </c>
      <c r="BC379" s="45"/>
      <c r="BD379" s="208"/>
      <c r="BE379" s="40">
        <f t="shared" ref="BE379:BG379" si="1267">J379+N379+R379+V379+Z379+AD379+AH379+AL379+AP379+AT379+AX379+BB379</f>
        <v>3</v>
      </c>
      <c r="BF379" s="41">
        <f t="shared" si="1267"/>
        <v>58.38</v>
      </c>
      <c r="BG379" s="34">
        <f t="shared" si="1267"/>
        <v>129.92</v>
      </c>
      <c r="BH379" s="35">
        <f t="shared" si="1256"/>
        <v>58.38</v>
      </c>
      <c r="BK379" s="2" t="b">
        <f>H379='2019'!BH314</f>
        <v>1</v>
      </c>
    </row>
    <row r="380" ht="14.25" customHeight="1" hidden="1" spans="1:63" x14ac:dyDescent="0.25">
      <c r="A380" s="2">
        <v>42</v>
      </c>
      <c r="B380" s="14"/>
      <c r="C380" s="15" t="s">
        <v>183</v>
      </c>
      <c r="D380" s="14" t="s">
        <v>47</v>
      </c>
      <c r="E380" s="2" t="s">
        <v>49</v>
      </c>
      <c r="F380" s="41">
        <v>500</v>
      </c>
      <c r="G380" s="28"/>
      <c r="H380" s="144">
        <f>'2019'!BH315</f>
        <v>0</v>
      </c>
      <c r="I380" s="15"/>
      <c r="J380" s="15"/>
      <c r="K380" s="15"/>
      <c r="L380" s="28"/>
      <c r="Q380" s="13"/>
      <c r="R380" s="15"/>
      <c r="S380" s="15"/>
      <c r="T380" s="28"/>
      <c r="Y380" s="13"/>
      <c r="Z380" s="15"/>
      <c r="AA380" s="34"/>
      <c r="AB380" s="28"/>
      <c r="AC380" s="15"/>
      <c r="AF380" s="1"/>
      <c r="AG380" s="13"/>
      <c r="AH380" s="15"/>
      <c r="AI380" s="45"/>
      <c r="AJ380" s="15"/>
      <c r="AK380" s="13"/>
      <c r="AL380" s="15"/>
      <c r="AM380" s="45"/>
      <c r="AN380" s="15"/>
      <c r="AO380" s="13"/>
      <c r="AP380" s="15"/>
      <c r="AQ380" s="45"/>
      <c r="AR380" s="1"/>
      <c r="AS380" s="13"/>
      <c r="AT380" s="15"/>
      <c r="AU380" s="45"/>
      <c r="AV380" s="15"/>
      <c r="AW380" s="13"/>
      <c r="AY380" s="45"/>
      <c r="AZ380" s="28"/>
      <c r="BA380" s="13"/>
      <c r="BB380" s="15"/>
      <c r="BC380" s="45"/>
      <c r="BD380" s="28"/>
      <c r="BE380" s="40">
        <f t="shared" ref="BE380:BG380" si="1268">J380+N380+R380+V380+Z380+AD380+AH380+AL380+AP380+AT380+AX380+BB380</f>
        <v>0</v>
      </c>
      <c r="BF380" s="41">
        <f t="shared" si="1268"/>
        <v>0</v>
      </c>
      <c r="BG380" s="34">
        <f t="shared" si="1268"/>
        <v>0</v>
      </c>
      <c r="BH380" s="35">
        <f t="shared" si="1256"/>
        <v>0</v>
      </c>
      <c r="BK380" s="2" t="b">
        <f>H380='2019'!BH315</f>
        <v>1</v>
      </c>
    </row>
    <row r="381" ht="14.25" customHeight="1" hidden="1" spans="1:63" x14ac:dyDescent="0.25">
      <c r="A381" s="2">
        <v>42</v>
      </c>
      <c r="B381" s="14"/>
      <c r="C381" s="15" t="s">
        <v>184</v>
      </c>
      <c r="D381" s="14" t="s">
        <v>50</v>
      </c>
      <c r="E381" s="2" t="s">
        <v>49</v>
      </c>
      <c r="F381" s="41">
        <v>1100</v>
      </c>
      <c r="G381" s="28"/>
      <c r="H381" s="182">
        <f>'2019'!BH316-0.002</f>
        <v>5880</v>
      </c>
      <c r="I381" s="15"/>
      <c r="J381" s="15"/>
      <c r="K381" s="15"/>
      <c r="L381" s="28"/>
      <c r="Q381" s="13"/>
      <c r="R381" s="15"/>
      <c r="S381" s="15"/>
      <c r="T381" s="28"/>
      <c r="Y381" s="13"/>
      <c r="Z381" s="15"/>
      <c r="AA381" s="15"/>
      <c r="AB381" s="28"/>
      <c r="AE381" s="34">
        <f>B378*$F$12</f>
        <v>5390</v>
      </c>
      <c r="AF381" s="39">
        <v>5880</v>
      </c>
      <c r="AG381" s="13"/>
      <c r="AH381" s="15"/>
      <c r="AI381" s="45"/>
      <c r="AJ381" s="15"/>
      <c r="AK381" s="13"/>
      <c r="AL381" s="15"/>
      <c r="AM381" s="45"/>
      <c r="AN381" s="15"/>
      <c r="AO381" s="13"/>
      <c r="AP381" s="15"/>
      <c r="AQ381" s="45"/>
      <c r="AR381" s="39">
        <v>5390</v>
      </c>
      <c r="AS381" s="13"/>
      <c r="AT381" s="15"/>
      <c r="AU381" s="45"/>
      <c r="AV381" s="15"/>
      <c r="AW381" s="13"/>
      <c r="AY381" s="45"/>
      <c r="AZ381" s="28"/>
      <c r="BA381" s="13"/>
      <c r="BB381" s="15"/>
      <c r="BC381" s="45"/>
      <c r="BD381" s="28"/>
      <c r="BE381" s="14"/>
      <c r="BF381" s="41">
        <f t="shared" ref="BF381:BG381" si="1269">K381+O381+S381+W381+AA381+AE381+AI381+AM381+AQ381+AU381+AY381+BC381</f>
        <v>5390</v>
      </c>
      <c r="BG381" s="34">
        <f t="shared" si="1269"/>
        <v>11270</v>
      </c>
      <c r="BH381" s="35">
        <f t="shared" si="1256"/>
        <v>0</v>
      </c>
      <c r="BK381" s="2" t="b">
        <f>H381='2019'!BH316</f>
        <v>0</v>
      </c>
    </row>
    <row r="382" ht="14.25" customHeight="1" hidden="1" spans="1:63" x14ac:dyDescent="0.25">
      <c r="A382" s="2">
        <v>42</v>
      </c>
      <c r="B382" s="14"/>
      <c r="C382" s="73" t="s">
        <v>408</v>
      </c>
      <c r="D382" s="14" t="s">
        <v>51</v>
      </c>
      <c r="E382" s="2" t="s">
        <v>39</v>
      </c>
      <c r="F382" s="41">
        <v>500</v>
      </c>
      <c r="G382" s="28"/>
      <c r="H382" s="34">
        <f>'2019'!BH317</f>
        <v>1000</v>
      </c>
      <c r="I382" s="15"/>
      <c r="J382" s="15"/>
      <c r="K382" s="15"/>
      <c r="L382" s="28"/>
      <c r="Q382" s="13"/>
      <c r="R382" s="15"/>
      <c r="S382" s="15"/>
      <c r="T382" s="28"/>
      <c r="Y382" s="13"/>
      <c r="Z382" s="15"/>
      <c r="AA382" s="15"/>
      <c r="AB382" s="28"/>
      <c r="AE382" s="34"/>
      <c r="AF382" s="39">
        <v>1000</v>
      </c>
      <c r="AG382" s="13"/>
      <c r="AH382" s="15"/>
      <c r="AI382" s="45"/>
      <c r="AJ382" s="15"/>
      <c r="AK382" s="13"/>
      <c r="AL382" s="15"/>
      <c r="AM382" s="45"/>
      <c r="AN382" s="15"/>
      <c r="AO382" s="13"/>
      <c r="AP382" s="15"/>
      <c r="AQ382" s="45">
        <f>$F$13</f>
        <v>500</v>
      </c>
      <c r="AR382" s="39">
        <v>500</v>
      </c>
      <c r="AS382" s="13"/>
      <c r="AT382" s="15"/>
      <c r="AU382" s="45"/>
      <c r="AV382" s="15"/>
      <c r="AW382" s="13"/>
      <c r="AY382" s="45"/>
      <c r="AZ382" s="28"/>
      <c r="BA382" s="13"/>
      <c r="BB382" s="15"/>
      <c r="BC382" s="45"/>
      <c r="BD382" s="28"/>
      <c r="BE382" s="14"/>
      <c r="BF382" s="41">
        <f t="shared" ref="BF382:BG382" si="1270">K382+O382+S382+W382+AA382+AE382+AI382+AM382+AQ382+AU382+AY382+BC382</f>
        <v>500</v>
      </c>
      <c r="BG382" s="34">
        <f t="shared" si="1270"/>
        <v>1500</v>
      </c>
      <c r="BH382" s="35">
        <f t="shared" si="1256"/>
        <v>0</v>
      </c>
      <c r="BK382" s="2" t="b">
        <f>H382='2019'!BH317</f>
        <v>1</v>
      </c>
    </row>
    <row r="383" ht="14.25" customHeight="1" hidden="1" spans="1:60" x14ac:dyDescent="0.25">
      <c r="A383" s="2">
        <v>42</v>
      </c>
      <c r="B383" s="14"/>
      <c r="C383" s="15"/>
      <c r="D383" s="14" t="s">
        <v>51</v>
      </c>
      <c r="E383" s="2" t="s">
        <v>49</v>
      </c>
      <c r="F383" s="41">
        <v>500</v>
      </c>
      <c r="G383" s="28"/>
      <c r="H383" s="34"/>
      <c r="I383" s="15"/>
      <c r="J383" s="15"/>
      <c r="K383" s="15"/>
      <c r="L383" s="28"/>
      <c r="Q383" s="13"/>
      <c r="R383" s="15"/>
      <c r="S383" s="15"/>
      <c r="T383" s="28"/>
      <c r="Y383" s="13"/>
      <c r="Z383" s="15"/>
      <c r="AA383" s="15"/>
      <c r="AB383" s="28"/>
      <c r="AE383" s="34"/>
      <c r="AF383" s="39"/>
      <c r="AG383" s="13"/>
      <c r="AH383" s="15"/>
      <c r="AI383" s="45"/>
      <c r="AJ383" s="15"/>
      <c r="AK383" s="13"/>
      <c r="AL383" s="15"/>
      <c r="AM383" s="45"/>
      <c r="AN383" s="15"/>
      <c r="AO383" s="13"/>
      <c r="AP383" s="15"/>
      <c r="AQ383" s="34">
        <f>B378*$F$14</f>
        <v>2450</v>
      </c>
      <c r="AR383" s="39">
        <v>104.5</v>
      </c>
      <c r="AS383" s="13"/>
      <c r="AT383" s="15"/>
      <c r="AU383" s="45"/>
      <c r="AV383" s="15"/>
      <c r="AW383" s="13"/>
      <c r="AY383" s="45"/>
      <c r="AZ383" s="28"/>
      <c r="BA383" s="13"/>
      <c r="BB383" s="15"/>
      <c r="BC383" s="45"/>
      <c r="BD383" s="28"/>
      <c r="BE383" s="14"/>
      <c r="BF383" s="41">
        <f t="shared" ref="BF383:BG383" si="1271">K383+O383+S383+W383+AA383+AE383+AI383+AM383+AQ383+AU383+AY383+BC383</f>
        <v>2450</v>
      </c>
      <c r="BG383" s="34">
        <f t="shared" si="1271"/>
        <v>104.5</v>
      </c>
      <c r="BH383" s="35">
        <f t="shared" si="1256"/>
        <v>2345.5</v>
      </c>
    </row>
    <row r="384" ht="14.25" customHeight="1" hidden="1" spans="1:63" x14ac:dyDescent="0.25">
      <c r="A384" s="2">
        <v>42</v>
      </c>
      <c r="B384" s="14"/>
      <c r="C384" s="15" t="s">
        <v>409</v>
      </c>
      <c r="D384" s="14" t="s">
        <v>52</v>
      </c>
      <c r="E384" s="2" t="s">
        <v>39</v>
      </c>
      <c r="F384" s="41">
        <v>500</v>
      </c>
      <c r="G384" s="28"/>
      <c r="H384" s="34">
        <f>'2019'!BH318</f>
        <v>500</v>
      </c>
      <c r="I384" s="15"/>
      <c r="J384" s="15"/>
      <c r="K384" s="15"/>
      <c r="L384" s="28"/>
      <c r="Q384" s="13"/>
      <c r="R384" s="15"/>
      <c r="S384" s="15"/>
      <c r="T384" s="28"/>
      <c r="Y384" s="13"/>
      <c r="Z384" s="15"/>
      <c r="AA384" s="34">
        <f>$F$11</f>
        <v>500</v>
      </c>
      <c r="AB384" s="28"/>
      <c r="AF384" s="39">
        <v>500</v>
      </c>
      <c r="AG384" s="13"/>
      <c r="AH384" s="15"/>
      <c r="AI384" s="45"/>
      <c r="AJ384" s="15"/>
      <c r="AK384" s="13"/>
      <c r="AL384" s="15"/>
      <c r="AM384" s="45"/>
      <c r="AN384" s="15"/>
      <c r="AO384" s="13"/>
      <c r="AP384" s="15"/>
      <c r="AQ384" s="45"/>
      <c r="AR384" s="39">
        <v>500</v>
      </c>
      <c r="AS384" s="13"/>
      <c r="AT384" s="15"/>
      <c r="AU384" s="45"/>
      <c r="AV384" s="15"/>
      <c r="AW384" s="13"/>
      <c r="AY384" s="45"/>
      <c r="AZ384" s="35"/>
      <c r="BA384" s="13"/>
      <c r="BB384" s="15"/>
      <c r="BC384" s="45"/>
      <c r="BD384" s="35"/>
      <c r="BE384" s="14"/>
      <c r="BF384" s="41">
        <f t="shared" ref="BF384:BG384" si="1272">K384+O384+S384+W384+AA384+AE384+AI384+AM384+AQ384+AU384+AY384+BC384</f>
        <v>500</v>
      </c>
      <c r="BG384" s="34">
        <f t="shared" si="1272"/>
        <v>1000</v>
      </c>
      <c r="BH384" s="35">
        <f t="shared" si="1256"/>
        <v>0</v>
      </c>
      <c r="BK384" s="2" t="b">
        <f>H384='2019'!BH318</f>
        <v>1</v>
      </c>
    </row>
    <row r="385" ht="14.25" customHeight="1" hidden="1" spans="1:63" x14ac:dyDescent="0.25">
      <c r="A385" s="247">
        <v>42</v>
      </c>
      <c r="B385" s="21"/>
      <c r="C385" s="22" t="s">
        <v>53</v>
      </c>
      <c r="D385" s="21"/>
      <c r="E385" s="22"/>
      <c r="F385" s="20"/>
      <c r="G385" s="23"/>
      <c r="H385" s="51">
        <f>SUM(H377:H384)</f>
        <v>7593.86</v>
      </c>
      <c r="I385" s="53"/>
      <c r="J385" s="53"/>
      <c r="K385" s="51">
        <f t="shared" ref="K385:L385" si="1273">SUM(K377:K384)</f>
        <v>21.33</v>
      </c>
      <c r="L385" s="68">
        <f t="shared" si="1273"/>
        <v>0</v>
      </c>
      <c r="M385" s="53"/>
      <c r="N385" s="53"/>
      <c r="O385" s="51">
        <f t="shared" ref="O385:P385" si="1274">SUM(O377:O384)</f>
        <v>19.95</v>
      </c>
      <c r="P385" s="51">
        <f t="shared" si="1274"/>
        <v>0</v>
      </c>
      <c r="Q385" s="52"/>
      <c r="R385" s="53"/>
      <c r="S385" s="51">
        <f t="shared" ref="S385:T385" si="1275">SUM(S377:S384)</f>
        <v>21.33</v>
      </c>
      <c r="T385" s="51">
        <f t="shared" si="1275"/>
        <v>0</v>
      </c>
      <c r="U385" s="52"/>
      <c r="V385" s="53"/>
      <c r="W385" s="51">
        <f t="shared" ref="W385:X385" si="1276">SUM(W377:W384)</f>
        <v>20.64</v>
      </c>
      <c r="X385" s="51">
        <f t="shared" si="1276"/>
        <v>0</v>
      </c>
      <c r="Y385" s="52"/>
      <c r="Z385" s="53"/>
      <c r="AA385" s="51">
        <f t="shared" ref="AA385:AB385" si="1277">SUM(AA377:AA384)</f>
        <v>521.33</v>
      </c>
      <c r="AB385" s="51">
        <f t="shared" si="1277"/>
        <v>0</v>
      </c>
      <c r="AC385" s="52"/>
      <c r="AD385" s="53"/>
      <c r="AE385" s="51">
        <f t="shared" ref="AE385:AF385" si="1278">SUM(AE377:AE384)</f>
        <v>5395.5</v>
      </c>
      <c r="AF385" s="51">
        <f t="shared" si="1278"/>
        <v>7750</v>
      </c>
      <c r="AG385" s="52"/>
      <c r="AH385" s="53"/>
      <c r="AI385" s="183">
        <f t="shared" ref="AI385:AJ385" si="1279">SUM(AI377:AI384)</f>
        <v>59.72</v>
      </c>
      <c r="AJ385" s="51">
        <f t="shared" si="1279"/>
        <v>0</v>
      </c>
      <c r="AK385" s="52"/>
      <c r="AL385" s="53"/>
      <c r="AM385" s="183">
        <f t="shared" ref="AM385:AN385" si="1280">SUM(AM377:AM384)</f>
        <v>330.2</v>
      </c>
      <c r="AN385" s="51">
        <f t="shared" si="1280"/>
        <v>0</v>
      </c>
      <c r="AO385" s="52"/>
      <c r="AP385" s="53"/>
      <c r="AQ385" s="183">
        <f t="shared" ref="AQ385:AR385" si="1281">SUM(AQ377:AQ384)</f>
        <v>4254.41</v>
      </c>
      <c r="AR385" s="51">
        <f t="shared" si="1281"/>
        <v>6500</v>
      </c>
      <c r="AS385" s="52"/>
      <c r="AT385" s="53"/>
      <c r="AU385" s="183">
        <f t="shared" ref="AU385:AV385" si="1282">SUM(AU377:AU384)</f>
        <v>4085.86</v>
      </c>
      <c r="AV385" s="68">
        <f t="shared" si="1282"/>
        <v>1600</v>
      </c>
      <c r="AW385" s="52"/>
      <c r="AX385" s="53"/>
      <c r="AY385" s="183">
        <f t="shared" ref="AY385:AZ385" si="1283">SUM(AY377:AY384)</f>
        <v>4240.6</v>
      </c>
      <c r="AZ385" s="68">
        <f t="shared" si="1283"/>
        <v>4100</v>
      </c>
      <c r="BA385" s="52"/>
      <c r="BB385" s="53"/>
      <c r="BC385" s="183">
        <f t="shared" ref="BC385:BD385" si="1284">SUM(BC377:BC384)</f>
        <v>6858.8</v>
      </c>
      <c r="BD385" s="68">
        <f t="shared" si="1284"/>
        <v>4200</v>
      </c>
      <c r="BE385" s="69"/>
      <c r="BF385" s="70">
        <f t="shared" ref="BF385:BH385" si="1285">SUM(BF377:BF384)</f>
        <v>25829.67</v>
      </c>
      <c r="BG385" s="71">
        <f t="shared" si="1285"/>
        <v>24150</v>
      </c>
      <c r="BH385" s="72">
        <f t="shared" si="1285"/>
        <v>9273.53</v>
      </c>
      <c r="BI385" s="34">
        <f>H385+BF385-BG385</f>
        <v>9273.53</v>
      </c>
      <c r="BJ385" s="34">
        <f>BH385-BI385</f>
        <v>0</v>
      </c>
      <c r="BK385" s="2" t="b">
        <f>H385='2019'!BH319</f>
        <v>0</v>
      </c>
    </row>
    <row r="386" ht="14.25" customHeight="1" hidden="1" spans="1:63" x14ac:dyDescent="0.25">
      <c r="A386" s="2">
        <v>43</v>
      </c>
      <c r="B386" s="14"/>
      <c r="D386" s="14" t="s">
        <v>379</v>
      </c>
      <c r="F386" s="13"/>
      <c r="G386" s="28"/>
      <c r="H386" s="34">
        <f>'2019'!BH320</f>
        <v>0</v>
      </c>
      <c r="J386" s="15"/>
      <c r="K386" s="15"/>
      <c r="L386" s="28"/>
      <c r="Q386" s="13"/>
      <c r="R386" s="15"/>
      <c r="S386" s="15"/>
      <c r="T386" s="28"/>
      <c r="Y386" s="13"/>
      <c r="Z386" s="15"/>
      <c r="AA386" s="15"/>
      <c r="AB386" s="28"/>
      <c r="AG386" s="13"/>
      <c r="AH386" s="15"/>
      <c r="AI386" s="45"/>
      <c r="AJ386" s="15"/>
      <c r="AK386" s="13"/>
      <c r="AM386" s="45"/>
      <c r="AO386" s="13"/>
      <c r="AQ386" s="45">
        <v>5.65</v>
      </c>
      <c r="AS386" s="13"/>
      <c r="AU386" s="45"/>
      <c r="AW386" s="13"/>
      <c r="AY386" s="45"/>
      <c r="AZ386" s="28"/>
      <c r="BA386" s="13"/>
      <c r="BB386" s="15"/>
      <c r="BC386" s="45"/>
      <c r="BD386" s="28"/>
      <c r="BE386" s="14"/>
      <c r="BF386" s="41">
        <f t="shared" ref="BF386:BG386" si="1286">K386+O386+S386+W386+AA386+AE386+AI386+AM386+AQ386+AU386+AY386+BC386</f>
        <v>5.65</v>
      </c>
      <c r="BG386" s="34">
        <f t="shared" si="1286"/>
        <v>0</v>
      </c>
      <c r="BH386" s="35">
        <f t="shared" ref="BH386:BH393" si="1287">H386+BF386-BG386</f>
        <v>5.65</v>
      </c>
      <c r="BK386" s="2" t="b">
        <f>H386='2019'!BH320</f>
        <v>1</v>
      </c>
    </row>
    <row r="387" ht="15.75" customHeight="1" hidden="1" spans="1:63" x14ac:dyDescent="0.25">
      <c r="A387" s="2">
        <v>43</v>
      </c>
      <c r="B387" s="14">
        <v>4.96</v>
      </c>
      <c r="C387" s="2" t="s">
        <v>185</v>
      </c>
      <c r="D387" s="14" t="s">
        <v>44</v>
      </c>
      <c r="E387" s="2" t="s">
        <v>45</v>
      </c>
      <c r="F387" s="41">
        <v>2.5</v>
      </c>
      <c r="G387" s="35">
        <v>2.6</v>
      </c>
      <c r="H387" s="34">
        <f>'2019'!BH321</f>
        <v>-327.87</v>
      </c>
      <c r="I387" s="13">
        <v>924</v>
      </c>
      <c r="J387" s="15">
        <f>I387-'2019'!BA321</f>
        <v>0</v>
      </c>
      <c r="K387" s="34">
        <f>J387*$F$8</f>
        <v>0</v>
      </c>
      <c r="L387" s="28"/>
      <c r="M387" s="15">
        <v>924</v>
      </c>
      <c r="N387" s="15">
        <f>M387-I387</f>
        <v>0</v>
      </c>
      <c r="O387" s="34">
        <f>N387*$F$8</f>
        <v>0</v>
      </c>
      <c r="Q387" s="13">
        <v>924</v>
      </c>
      <c r="R387" s="15">
        <f>Q387-M387</f>
        <v>0</v>
      </c>
      <c r="S387" s="34">
        <f>R387*$F$8</f>
        <v>0</v>
      </c>
      <c r="T387" s="28"/>
      <c r="U387" s="15">
        <v>970</v>
      </c>
      <c r="V387" s="15">
        <f t="shared" ref="V387:V388" si="1288">U387-Q387</f>
        <v>46</v>
      </c>
      <c r="W387" s="34">
        <f>V387*$F$8</f>
        <v>115</v>
      </c>
      <c r="Y387" s="13">
        <v>1074</v>
      </c>
      <c r="Z387" s="15">
        <f t="shared" ref="Z387:Z388" si="1289">Y387-U387</f>
        <v>104</v>
      </c>
      <c r="AA387" s="34">
        <f>Z387*$F$8</f>
        <v>260</v>
      </c>
      <c r="AB387" s="28"/>
      <c r="AC387" s="15">
        <v>1282</v>
      </c>
      <c r="AD387" s="15">
        <f t="shared" ref="AD387:AD388" si="1290">AC387-Y387</f>
        <v>208</v>
      </c>
      <c r="AE387" s="34">
        <f>AD387*$F$8</f>
        <v>520</v>
      </c>
      <c r="AG387" s="13">
        <v>1392</v>
      </c>
      <c r="AH387" s="15">
        <f t="shared" ref="AH387:AH388" si="1291">AG387-AC387</f>
        <v>110</v>
      </c>
      <c r="AI387" s="45">
        <f>AH387*$G$8</f>
        <v>286</v>
      </c>
      <c r="AJ387" s="138">
        <f>567.13+0.01</f>
        <v>567.14</v>
      </c>
      <c r="AK387" s="13">
        <v>1437</v>
      </c>
      <c r="AL387" s="15">
        <f t="shared" ref="AL387:AL388" si="1292">AK387-AG387</f>
        <v>45</v>
      </c>
      <c r="AM387" s="45">
        <f>AL387*$G$8</f>
        <v>117</v>
      </c>
      <c r="AN387" s="15"/>
      <c r="AO387" s="13">
        <v>1458</v>
      </c>
      <c r="AP387" s="15">
        <f t="shared" ref="AP387:AP388" si="1293">AO387-AK387</f>
        <v>21</v>
      </c>
      <c r="AQ387" s="45">
        <f>AP387*$G$8</f>
        <v>54.6</v>
      </c>
      <c r="AR387" s="39">
        <v>500</v>
      </c>
      <c r="AS387" s="13">
        <v>1513</v>
      </c>
      <c r="AT387" s="15">
        <f t="shared" ref="AT387:AT388" si="1294">AS387-AO387</f>
        <v>55</v>
      </c>
      <c r="AU387" s="45">
        <f t="shared" ref="AU387:AU388" si="1295">AT387*$G$8</f>
        <v>143</v>
      </c>
      <c r="AV387" s="15"/>
      <c r="AW387" s="13">
        <v>1788</v>
      </c>
      <c r="AX387" s="2">
        <f t="shared" ref="AX387:AX388" si="1296">AW387-AS387</f>
        <v>275</v>
      </c>
      <c r="AY387" s="45">
        <f>AX387*$G$8</f>
        <v>715</v>
      </c>
      <c r="AZ387" s="208"/>
      <c r="BA387" s="13">
        <v>1928</v>
      </c>
      <c r="BB387" s="15">
        <f t="shared" ref="BB387:BB388" si="1297">BA387-AW387</f>
        <v>140</v>
      </c>
      <c r="BC387" s="45">
        <f>BB387*$G$8</f>
        <v>364</v>
      </c>
      <c r="BD387" s="242">
        <v>1200</v>
      </c>
      <c r="BE387" s="40">
        <f t="shared" ref="BE387:BG387" si="1298">J387+N387+R387+V387+Z387+AD387+AH387+AL387+AP387+AT387+AX387+BB387</f>
        <v>1004</v>
      </c>
      <c r="BF387" s="41">
        <f t="shared" si="1298"/>
        <v>2574.6</v>
      </c>
      <c r="BG387" s="34">
        <f t="shared" si="1298"/>
        <v>2267.14</v>
      </c>
      <c r="BH387" s="35">
        <f t="shared" si="1287"/>
        <v>-20.41</v>
      </c>
      <c r="BK387" s="2" t="b">
        <f>H387='2019'!BH321</f>
        <v>1</v>
      </c>
    </row>
    <row r="388" ht="14.25" customHeight="1" hidden="1" spans="1:63" x14ac:dyDescent="0.25">
      <c r="A388" s="2">
        <v>43</v>
      </c>
      <c r="B388" s="14"/>
      <c r="C388" s="2" t="s">
        <v>186</v>
      </c>
      <c r="D388" s="14" t="s">
        <v>47</v>
      </c>
      <c r="E388" s="2" t="s">
        <v>48</v>
      </c>
      <c r="F388" s="13">
        <v>18.56</v>
      </c>
      <c r="G388" s="35">
        <v>19.46</v>
      </c>
      <c r="H388" s="34">
        <f>'2019'!BH322</f>
        <v>204.14</v>
      </c>
      <c r="I388" s="15">
        <v>68</v>
      </c>
      <c r="J388" s="15"/>
      <c r="K388" s="15"/>
      <c r="L388" s="28"/>
      <c r="M388" s="2">
        <v>68</v>
      </c>
      <c r="Q388" s="13">
        <v>68</v>
      </c>
      <c r="R388" s="15"/>
      <c r="S388" s="15"/>
      <c r="T388" s="28"/>
      <c r="U388" s="2">
        <v>71</v>
      </c>
      <c r="V388" s="2">
        <f t="shared" si="1288"/>
        <v>3</v>
      </c>
      <c r="W388" s="2">
        <f>V388*$F$10</f>
        <v>55.68</v>
      </c>
      <c r="Y388" s="13">
        <v>74</v>
      </c>
      <c r="Z388" s="15">
        <f t="shared" si="1289"/>
        <v>3</v>
      </c>
      <c r="AA388" s="34">
        <f>Z388*$F$10</f>
        <v>55.68</v>
      </c>
      <c r="AB388" s="28"/>
      <c r="AC388" s="15">
        <v>84</v>
      </c>
      <c r="AD388" s="15">
        <f t="shared" si="1290"/>
        <v>10</v>
      </c>
      <c r="AE388" s="34">
        <f>AD388*$F$10</f>
        <v>185.6</v>
      </c>
      <c r="AG388" s="13">
        <v>96</v>
      </c>
      <c r="AH388" s="15">
        <f t="shared" si="1291"/>
        <v>12</v>
      </c>
      <c r="AI388" s="45">
        <f>AH388*$G$10</f>
        <v>233.52</v>
      </c>
      <c r="AJ388" s="185">
        <v>617.86</v>
      </c>
      <c r="AK388" s="13">
        <v>100</v>
      </c>
      <c r="AL388" s="15">
        <f t="shared" si="1292"/>
        <v>4</v>
      </c>
      <c r="AM388" s="45">
        <f>AL388*$G$10</f>
        <v>77.84</v>
      </c>
      <c r="AN388" s="15"/>
      <c r="AO388" s="13">
        <v>101</v>
      </c>
      <c r="AP388" s="15">
        <f t="shared" si="1293"/>
        <v>1</v>
      </c>
      <c r="AQ388" s="45">
        <f>AP388*$G$10</f>
        <v>19.46</v>
      </c>
      <c r="AR388" s="39">
        <v>300</v>
      </c>
      <c r="AS388" s="13">
        <v>101</v>
      </c>
      <c r="AT388" s="15">
        <f t="shared" si="1294"/>
        <v>0</v>
      </c>
      <c r="AU388" s="45">
        <f t="shared" si="1295"/>
        <v>0</v>
      </c>
      <c r="AV388" s="15"/>
      <c r="AW388" s="13">
        <v>101</v>
      </c>
      <c r="AX388" s="2">
        <f t="shared" si="1296"/>
        <v>0</v>
      </c>
      <c r="AY388" s="45"/>
      <c r="AZ388" s="208"/>
      <c r="BA388" s="13">
        <v>101</v>
      </c>
      <c r="BB388" s="15">
        <f t="shared" si="1297"/>
        <v>0</v>
      </c>
      <c r="BC388" s="45"/>
      <c r="BD388" s="208"/>
      <c r="BE388" s="40">
        <f t="shared" ref="BE388:BG388" si="1299">J388+N388+R388+V388+Z388+AD388+AH388+AL388+AP388+AT388+AX388+BB388</f>
        <v>33</v>
      </c>
      <c r="BF388" s="41">
        <f t="shared" si="1299"/>
        <v>627.78</v>
      </c>
      <c r="BG388" s="34">
        <f t="shared" si="1299"/>
        <v>917.86</v>
      </c>
      <c r="BH388" s="35">
        <f t="shared" si="1287"/>
        <v>-85.94</v>
      </c>
      <c r="BK388" s="2" t="b">
        <f>H388='2019'!BH322</f>
        <v>1</v>
      </c>
    </row>
    <row r="389" ht="14.25" customHeight="1" hidden="1" spans="1:63" x14ac:dyDescent="0.25">
      <c r="A389" s="2">
        <v>43</v>
      </c>
      <c r="B389" s="14"/>
      <c r="C389" s="2" t="s">
        <v>187</v>
      </c>
      <c r="D389" s="14" t="s">
        <v>47</v>
      </c>
      <c r="E389" s="2" t="s">
        <v>49</v>
      </c>
      <c r="F389" s="41">
        <v>500</v>
      </c>
      <c r="G389" s="28"/>
      <c r="H389" s="34">
        <f>'2019'!BH323</f>
        <v>0</v>
      </c>
      <c r="I389" s="15"/>
      <c r="J389" s="15"/>
      <c r="K389" s="15"/>
      <c r="L389" s="28"/>
      <c r="Q389" s="13"/>
      <c r="R389" s="15"/>
      <c r="S389" s="15"/>
      <c r="T389" s="28"/>
      <c r="Y389" s="13"/>
      <c r="Z389" s="15"/>
      <c r="AA389" s="15"/>
      <c r="AB389" s="28"/>
      <c r="AD389" s="15"/>
      <c r="AG389" s="13"/>
      <c r="AH389" s="15"/>
      <c r="AI389" s="45"/>
      <c r="AJ389" s="34"/>
      <c r="AK389" s="13"/>
      <c r="AL389" s="15"/>
      <c r="AM389" s="45"/>
      <c r="AN389" s="15"/>
      <c r="AO389" s="13"/>
      <c r="AP389" s="15"/>
      <c r="AQ389" s="45"/>
      <c r="AR389" s="1"/>
      <c r="AS389" s="13"/>
      <c r="AT389" s="15"/>
      <c r="AU389" s="45"/>
      <c r="AV389" s="15"/>
      <c r="AW389" s="13"/>
      <c r="AY389" s="45"/>
      <c r="AZ389" s="28"/>
      <c r="BA389" s="13"/>
      <c r="BB389" s="15"/>
      <c r="BC389" s="45"/>
      <c r="BD389" s="28"/>
      <c r="BE389" s="14"/>
      <c r="BF389" s="41">
        <f t="shared" ref="BF389:BG389" si="1300">K389+O389+S389+W389+AA389+AE389+AI389+AM389+AQ389+AU389+AY389+BC389</f>
        <v>0</v>
      </c>
      <c r="BG389" s="34">
        <f t="shared" si="1300"/>
        <v>0</v>
      </c>
      <c r="BH389" s="35">
        <f t="shared" si="1287"/>
        <v>0</v>
      </c>
      <c r="BK389" s="2" t="b">
        <f>H389='2019'!BH323</f>
        <v>1</v>
      </c>
    </row>
    <row r="390" ht="14.25" customHeight="1" hidden="1" spans="1:63" x14ac:dyDescent="0.25">
      <c r="A390" s="2">
        <v>43</v>
      </c>
      <c r="B390" s="14"/>
      <c r="C390" s="2" t="s">
        <v>410</v>
      </c>
      <c r="D390" s="14" t="s">
        <v>50</v>
      </c>
      <c r="E390" s="2" t="s">
        <v>49</v>
      </c>
      <c r="F390" s="41">
        <v>1100</v>
      </c>
      <c r="G390" s="28"/>
      <c r="H390" s="182">
        <f>'2019'!BH324-0.0048</f>
        <v>-48</v>
      </c>
      <c r="I390" s="15"/>
      <c r="M390" s="13"/>
      <c r="Q390" s="13"/>
      <c r="R390" s="15"/>
      <c r="S390" s="15"/>
      <c r="T390" s="28"/>
      <c r="Y390" s="13"/>
      <c r="Z390" s="15"/>
      <c r="AA390" s="15"/>
      <c r="AB390" s="28"/>
      <c r="AE390" s="34">
        <f>B387*$F$12</f>
        <v>5456</v>
      </c>
      <c r="AF390" s="15"/>
      <c r="AG390" s="13"/>
      <c r="AH390" s="15"/>
      <c r="AI390" s="45"/>
      <c r="AJ390" s="185">
        <v>3315</v>
      </c>
      <c r="AK390" s="13"/>
      <c r="AL390" s="15"/>
      <c r="AM390" s="45"/>
      <c r="AN390" s="15"/>
      <c r="AO390" s="13"/>
      <c r="AP390" s="15"/>
      <c r="AQ390" s="45"/>
      <c r="AR390" s="1"/>
      <c r="AS390" s="13"/>
      <c r="AT390" s="15"/>
      <c r="AU390" s="45"/>
      <c r="AV390" s="15"/>
      <c r="AW390" s="13"/>
      <c r="AY390" s="45"/>
      <c r="AZ390" s="28"/>
      <c r="BA390" s="13"/>
      <c r="BB390" s="15"/>
      <c r="BC390" s="45"/>
      <c r="BD390" s="28"/>
      <c r="BE390" s="14"/>
      <c r="BF390" s="41">
        <f t="shared" ref="BF390:BG390" si="1301">K390+O390+S390+W390+AA390+AE390+AI390+AM390+AQ390+AU390+AY390+BC390</f>
        <v>5456</v>
      </c>
      <c r="BG390" s="34">
        <f t="shared" si="1301"/>
        <v>3315</v>
      </c>
      <c r="BH390" s="35">
        <f t="shared" si="1287"/>
        <v>2093</v>
      </c>
      <c r="BK390" s="2" t="b">
        <f>H390='2019'!BH324</f>
        <v>0</v>
      </c>
    </row>
    <row r="391" ht="14.25" customHeight="1" hidden="1" spans="1:63" x14ac:dyDescent="0.25">
      <c r="A391" s="2">
        <v>43</v>
      </c>
      <c r="B391" s="14"/>
      <c r="D391" s="14" t="s">
        <v>51</v>
      </c>
      <c r="E391" s="2" t="s">
        <v>39</v>
      </c>
      <c r="F391" s="41">
        <v>500</v>
      </c>
      <c r="G391" s="28"/>
      <c r="H391" s="34">
        <f>'2019'!BH325</f>
        <v>0</v>
      </c>
      <c r="I391" s="15"/>
      <c r="J391" s="15"/>
      <c r="K391" s="15"/>
      <c r="L391" s="28"/>
      <c r="Q391" s="13"/>
      <c r="R391" s="15"/>
      <c r="S391" s="15"/>
      <c r="T391" s="28"/>
      <c r="Y391" s="13"/>
      <c r="Z391" s="15"/>
      <c r="AA391" s="15"/>
      <c r="AB391" s="28"/>
      <c r="AE391" s="34"/>
      <c r="AG391" s="13"/>
      <c r="AH391" s="15"/>
      <c r="AI391" s="45"/>
      <c r="AJ391" s="180"/>
      <c r="AK391" s="13"/>
      <c r="AL391" s="15"/>
      <c r="AM391" s="45"/>
      <c r="AN391" s="15"/>
      <c r="AO391" s="13"/>
      <c r="AP391" s="15"/>
      <c r="AQ391" s="45">
        <f>$F$13</f>
        <v>500</v>
      </c>
      <c r="AR391" s="187">
        <f>2100-1600</f>
        <v>500</v>
      </c>
      <c r="AS391" s="13"/>
      <c r="AT391" s="15"/>
      <c r="AU391" s="45"/>
      <c r="AV391" s="15"/>
      <c r="AW391" s="13"/>
      <c r="AY391" s="45"/>
      <c r="AZ391" s="28"/>
      <c r="BA391" s="13"/>
      <c r="BB391" s="15"/>
      <c r="BC391" s="45"/>
      <c r="BD391" s="28"/>
      <c r="BE391" s="14"/>
      <c r="BF391" s="41">
        <f t="shared" ref="BF391:BG391" si="1302">K391+O391+S391+W391+AA391+AE391+AI391+AM391+AQ391+AU391+AY391+BC391</f>
        <v>500</v>
      </c>
      <c r="BG391" s="34">
        <f t="shared" si="1302"/>
        <v>500</v>
      </c>
      <c r="BH391" s="35">
        <f t="shared" si="1287"/>
        <v>0</v>
      </c>
      <c r="BK391" s="2" t="b">
        <f>H391='2019'!BH325</f>
        <v>1</v>
      </c>
    </row>
    <row r="392" ht="14.25" customHeight="1" hidden="1" spans="1:60" x14ac:dyDescent="0.25">
      <c r="A392" s="2">
        <v>43</v>
      </c>
      <c r="B392" s="14"/>
      <c r="D392" s="14" t="s">
        <v>51</v>
      </c>
      <c r="E392" s="2" t="s">
        <v>49</v>
      </c>
      <c r="F392" s="41">
        <v>500</v>
      </c>
      <c r="G392" s="28"/>
      <c r="H392" s="34"/>
      <c r="I392" s="15"/>
      <c r="J392" s="15"/>
      <c r="K392" s="15"/>
      <c r="L392" s="28"/>
      <c r="Q392" s="13"/>
      <c r="R392" s="15"/>
      <c r="S392" s="15"/>
      <c r="T392" s="28"/>
      <c r="Y392" s="13"/>
      <c r="Z392" s="15"/>
      <c r="AA392" s="15"/>
      <c r="AB392" s="28"/>
      <c r="AE392" s="34"/>
      <c r="AG392" s="13"/>
      <c r="AH392" s="15"/>
      <c r="AI392" s="45"/>
      <c r="AJ392" s="180"/>
      <c r="AK392" s="13"/>
      <c r="AL392" s="15"/>
      <c r="AM392" s="45"/>
      <c r="AN392" s="15"/>
      <c r="AO392" s="13"/>
      <c r="AP392" s="15"/>
      <c r="AQ392" s="34">
        <f>B387*$F$14</f>
        <v>2480</v>
      </c>
      <c r="AR392" s="187">
        <f>1600</f>
        <v>1600</v>
      </c>
      <c r="AS392" s="13"/>
      <c r="AT392" s="15"/>
      <c r="AU392" s="45"/>
      <c r="AV392" s="15"/>
      <c r="AW392" s="13"/>
      <c r="AY392" s="45"/>
      <c r="AZ392" s="28"/>
      <c r="BA392" s="13"/>
      <c r="BB392" s="15"/>
      <c r="BC392" s="45"/>
      <c r="BD392" s="28"/>
      <c r="BE392" s="14"/>
      <c r="BF392" s="41">
        <f t="shared" ref="BF392:BG392" si="1303">K392+O392+S392+W392+AA392+AE392+AI392+AM392+AQ392+AU392+AY392+BC392</f>
        <v>2480</v>
      </c>
      <c r="BG392" s="34">
        <f t="shared" si="1303"/>
        <v>1600</v>
      </c>
      <c r="BH392" s="35">
        <f t="shared" si="1287"/>
        <v>880</v>
      </c>
    </row>
    <row r="393" ht="14.25" customHeight="1" hidden="1" spans="1:63" x14ac:dyDescent="0.25">
      <c r="A393" s="2">
        <v>43</v>
      </c>
      <c r="B393" s="14"/>
      <c r="D393" s="14" t="s">
        <v>52</v>
      </c>
      <c r="E393" s="2" t="s">
        <v>39</v>
      </c>
      <c r="F393" s="41">
        <v>500</v>
      </c>
      <c r="G393" s="28"/>
      <c r="H393" s="34">
        <f>'2019'!BH326</f>
        <v>0</v>
      </c>
      <c r="I393" s="15"/>
      <c r="J393" s="15"/>
      <c r="K393" s="15"/>
      <c r="L393" s="28"/>
      <c r="Q393" s="13"/>
      <c r="R393" s="15"/>
      <c r="S393" s="15"/>
      <c r="T393" s="28"/>
      <c r="Y393" s="13"/>
      <c r="Z393" s="15"/>
      <c r="AA393" s="34">
        <f>$F$11</f>
        <v>500</v>
      </c>
      <c r="AB393" s="35"/>
      <c r="AG393" s="13"/>
      <c r="AH393" s="15"/>
      <c r="AI393" s="45"/>
      <c r="AJ393" s="185">
        <v>500</v>
      </c>
      <c r="AK393" s="13"/>
      <c r="AL393" s="15"/>
      <c r="AM393" s="45"/>
      <c r="AN393" s="15"/>
      <c r="AO393" s="13"/>
      <c r="AP393" s="15"/>
      <c r="AQ393" s="45"/>
      <c r="AR393" s="15"/>
      <c r="AS393" s="13"/>
      <c r="AT393" s="15"/>
      <c r="AU393" s="45"/>
      <c r="AV393" s="15"/>
      <c r="AW393" s="13"/>
      <c r="AY393" s="45"/>
      <c r="AZ393" s="35"/>
      <c r="BA393" s="13"/>
      <c r="BB393" s="15"/>
      <c r="BC393" s="45"/>
      <c r="BD393" s="35"/>
      <c r="BE393" s="14"/>
      <c r="BF393" s="41">
        <f t="shared" ref="BF393:BG393" si="1304">K393+O393+S393+W393+AA393+AE393+AI393+AM393+AQ393+AU393+AY393+BC393</f>
        <v>500</v>
      </c>
      <c r="BG393" s="34">
        <f t="shared" si="1304"/>
        <v>500</v>
      </c>
      <c r="BH393" s="35">
        <f t="shared" si="1287"/>
        <v>0</v>
      </c>
      <c r="BK393" s="2" t="b">
        <f>H393='2019'!BH326</f>
        <v>1</v>
      </c>
    </row>
    <row r="394" ht="15.75" customHeight="1" hidden="1" spans="1:63" x14ac:dyDescent="0.25">
      <c r="A394" s="247">
        <v>43</v>
      </c>
      <c r="B394" s="21"/>
      <c r="C394" s="22" t="s">
        <v>53</v>
      </c>
      <c r="D394" s="21"/>
      <c r="E394" s="22"/>
      <c r="F394" s="20"/>
      <c r="G394" s="23"/>
      <c r="H394" s="51">
        <f>SUM(H386:H393)</f>
        <v>-171.73</v>
      </c>
      <c r="I394" s="53"/>
      <c r="J394" s="53"/>
      <c r="K394" s="51">
        <f t="shared" ref="K394:L394" si="1305">SUM(K386:K393)</f>
        <v>0</v>
      </c>
      <c r="L394" s="68">
        <f t="shared" si="1305"/>
        <v>0</v>
      </c>
      <c r="M394" s="53"/>
      <c r="N394" s="53"/>
      <c r="O394" s="51">
        <f t="shared" ref="O394:P394" si="1306">SUM(O386:O393)</f>
        <v>0</v>
      </c>
      <c r="P394" s="51">
        <f t="shared" si="1306"/>
        <v>0</v>
      </c>
      <c r="Q394" s="52"/>
      <c r="R394" s="53"/>
      <c r="S394" s="51">
        <f t="shared" ref="S394:T394" si="1307">SUM(S386:S393)</f>
        <v>0</v>
      </c>
      <c r="T394" s="51">
        <f t="shared" si="1307"/>
        <v>0</v>
      </c>
      <c r="U394" s="52"/>
      <c r="V394" s="53"/>
      <c r="W394" s="51">
        <f t="shared" ref="W394:X394" si="1308">SUM(W386:W393)</f>
        <v>170.68</v>
      </c>
      <c r="X394" s="51">
        <f t="shared" si="1308"/>
        <v>0</v>
      </c>
      <c r="Y394" s="52"/>
      <c r="Z394" s="53"/>
      <c r="AA394" s="51">
        <f t="shared" ref="AA394:AB394" si="1309">SUM(AA386:AA393)</f>
        <v>815.68</v>
      </c>
      <c r="AB394" s="51">
        <f t="shared" si="1309"/>
        <v>0</v>
      </c>
      <c r="AC394" s="52"/>
      <c r="AD394" s="53"/>
      <c r="AE394" s="51">
        <f t="shared" ref="AE394:AF394" si="1310">SUM(AE386:AE393)</f>
        <v>6161.6</v>
      </c>
      <c r="AF394" s="51">
        <f t="shared" si="1310"/>
        <v>0</v>
      </c>
      <c r="AG394" s="52"/>
      <c r="AH394" s="53"/>
      <c r="AI394" s="183">
        <f t="shared" ref="AI394:AJ394" si="1311">SUM(AI386:AI393)</f>
        <v>519.52</v>
      </c>
      <c r="AJ394" s="51">
        <f t="shared" si="1311"/>
        <v>5000</v>
      </c>
      <c r="AK394" s="52"/>
      <c r="AL394" s="53"/>
      <c r="AM394" s="183">
        <f t="shared" ref="AM394:AN394" si="1312">SUM(AM386:AM393)</f>
        <v>194.84</v>
      </c>
      <c r="AN394" s="51">
        <f t="shared" si="1312"/>
        <v>0</v>
      </c>
      <c r="AO394" s="52"/>
      <c r="AP394" s="53"/>
      <c r="AQ394" s="183">
        <f t="shared" ref="AQ394:AR394" si="1313">SUM(AQ386:AQ393)</f>
        <v>3059.71</v>
      </c>
      <c r="AR394" s="51">
        <f t="shared" si="1313"/>
        <v>2900</v>
      </c>
      <c r="AS394" s="52"/>
      <c r="AT394" s="53"/>
      <c r="AU394" s="183">
        <f t="shared" ref="AU394:AV394" si="1314">SUM(AU386:AU393)</f>
        <v>143</v>
      </c>
      <c r="AV394" s="68">
        <f t="shared" si="1314"/>
        <v>0</v>
      </c>
      <c r="AW394" s="52"/>
      <c r="AX394" s="53"/>
      <c r="AY394" s="183">
        <f t="shared" ref="AY394:AZ394" si="1315">SUM(AY386:AY393)</f>
        <v>715</v>
      </c>
      <c r="AZ394" s="68">
        <f t="shared" si="1315"/>
        <v>0</v>
      </c>
      <c r="BA394" s="52"/>
      <c r="BB394" s="53"/>
      <c r="BC394" s="183">
        <f t="shared" ref="BC394:BD394" si="1316">SUM(BC386:BC393)</f>
        <v>364</v>
      </c>
      <c r="BD394" s="68">
        <f t="shared" si="1316"/>
        <v>1200</v>
      </c>
      <c r="BE394" s="69"/>
      <c r="BF394" s="70">
        <f t="shared" ref="BF394:BH394" si="1317">SUM(BF386:BF393)</f>
        <v>12144.03</v>
      </c>
      <c r="BG394" s="71">
        <f t="shared" si="1317"/>
        <v>9100</v>
      </c>
      <c r="BH394" s="72">
        <f t="shared" si="1317"/>
        <v>2872.3</v>
      </c>
      <c r="BI394" s="34">
        <f>H394+BF394-BG394</f>
        <v>2872.3</v>
      </c>
      <c r="BJ394" s="34">
        <f>BH394-BI394</f>
        <v>0</v>
      </c>
      <c r="BK394" s="2" t="b">
        <f>H394='2019'!BH327</f>
        <v>0</v>
      </c>
    </row>
    <row r="395" ht="14.25" customHeight="1" hidden="1" spans="1:63" x14ac:dyDescent="0.25">
      <c r="A395" s="2">
        <v>44</v>
      </c>
      <c r="B395" s="14"/>
      <c r="D395" s="14" t="s">
        <v>411</v>
      </c>
      <c r="E395" s="2" t="s">
        <v>39</v>
      </c>
      <c r="F395" s="41"/>
      <c r="G395" s="28"/>
      <c r="H395" s="34">
        <f>'2019'!BH328</f>
        <v>8.72</v>
      </c>
      <c r="J395" s="15"/>
      <c r="K395" s="34"/>
      <c r="L395" s="28"/>
      <c r="Q395" s="13"/>
      <c r="R395" s="15"/>
      <c r="S395" s="15"/>
      <c r="T395" s="28"/>
      <c r="X395" s="34"/>
      <c r="Y395" s="13"/>
      <c r="Z395" s="15"/>
      <c r="AA395" s="15"/>
      <c r="AB395" s="28"/>
      <c r="AG395" s="13"/>
      <c r="AH395" s="15"/>
      <c r="AI395" s="45"/>
      <c r="AJ395" s="15"/>
      <c r="AK395" s="13"/>
      <c r="AM395" s="45"/>
      <c r="AO395" s="13"/>
      <c r="AQ395" s="45">
        <v>13.23</v>
      </c>
      <c r="AS395" s="13"/>
      <c r="AU395" s="45">
        <v>13.67</v>
      </c>
      <c r="AW395" s="13"/>
      <c r="AY395" s="45">
        <v>13.23</v>
      </c>
      <c r="AZ395" s="28"/>
      <c r="BA395" s="13"/>
      <c r="BB395" s="15"/>
      <c r="BC395" s="45">
        <v>13.67</v>
      </c>
      <c r="BD395" s="28"/>
      <c r="BE395" s="14"/>
      <c r="BF395" s="41">
        <f t="shared" ref="BF395:BG395" si="1318">K395+O395+S395+W395+AA395+AE395+AI395+AM395+AQ395+AU395+AY395+BC395</f>
        <v>53.8</v>
      </c>
      <c r="BG395" s="34">
        <f t="shared" si="1318"/>
        <v>0</v>
      </c>
      <c r="BH395" s="35">
        <f t="shared" ref="BH395:BH402" si="1319">H395+BF395-BG395</f>
        <v>62.52</v>
      </c>
      <c r="BK395" s="2" t="b">
        <f>H395='2019'!BH328</f>
        <v>1</v>
      </c>
    </row>
    <row r="396" ht="14.25" customHeight="1" hidden="1" spans="1:63" x14ac:dyDescent="0.25">
      <c r="A396" s="2">
        <v>44</v>
      </c>
      <c r="B396" s="14">
        <v>4.01</v>
      </c>
      <c r="C396" s="15" t="s">
        <v>412</v>
      </c>
      <c r="D396" s="14" t="s">
        <v>44</v>
      </c>
      <c r="E396" s="2" t="s">
        <v>45</v>
      </c>
      <c r="F396" s="41">
        <v>2.5</v>
      </c>
      <c r="G396" s="35">
        <v>2.6</v>
      </c>
      <c r="H396" s="34">
        <f>'2019'!BH329</f>
        <v>25</v>
      </c>
      <c r="I396" s="15">
        <v>10</v>
      </c>
      <c r="J396" s="15">
        <f>I396-'2019'!BA329</f>
        <v>0</v>
      </c>
      <c r="K396" s="34">
        <f>J396*$F$8</f>
        <v>0</v>
      </c>
      <c r="L396" s="28"/>
      <c r="M396" s="2">
        <v>10</v>
      </c>
      <c r="N396" s="15">
        <f>M396-I396</f>
        <v>0</v>
      </c>
      <c r="O396" s="34">
        <f>N396*$F$8</f>
        <v>0</v>
      </c>
      <c r="Q396" s="13">
        <v>10</v>
      </c>
      <c r="R396" s="15">
        <f>Q396-M396</f>
        <v>0</v>
      </c>
      <c r="S396" s="34">
        <f>R396*$F$8</f>
        <v>0</v>
      </c>
      <c r="T396" s="28"/>
      <c r="U396" s="2">
        <v>14</v>
      </c>
      <c r="V396" s="15">
        <f t="shared" ref="V396:V397" si="1320">U396-Q396</f>
        <v>4</v>
      </c>
      <c r="W396" s="34">
        <f>V396*$F$8</f>
        <v>10</v>
      </c>
      <c r="Y396" s="13">
        <v>17</v>
      </c>
      <c r="Z396" s="15">
        <f t="shared" ref="Z396:Z397" si="1321">Y396-U396</f>
        <v>3</v>
      </c>
      <c r="AA396" s="34">
        <f>Z396*$F$8</f>
        <v>7.5</v>
      </c>
      <c r="AB396" s="28"/>
      <c r="AC396" s="15">
        <v>20</v>
      </c>
      <c r="AD396" s="15">
        <f t="shared" ref="AD396:AD397" si="1322">AC396-Y396</f>
        <v>3</v>
      </c>
      <c r="AE396" s="34">
        <f>AD396*$F$8</f>
        <v>7.5</v>
      </c>
      <c r="AG396" s="13">
        <v>21</v>
      </c>
      <c r="AH396" s="15">
        <f t="shared" ref="AH396:AH397" si="1323">AG396-AC396</f>
        <v>1</v>
      </c>
      <c r="AI396" s="45">
        <f>AH396*$G$8</f>
        <v>2.6</v>
      </c>
      <c r="AJ396" s="15"/>
      <c r="AK396" s="13">
        <v>23</v>
      </c>
      <c r="AL396" s="15">
        <f t="shared" ref="AL396:AL397" si="1324">AK396-AG396</f>
        <v>2</v>
      </c>
      <c r="AM396" s="45">
        <f>AL396*$G$8</f>
        <v>5.2</v>
      </c>
      <c r="AN396" s="15"/>
      <c r="AO396" s="13">
        <v>25</v>
      </c>
      <c r="AP396" s="15">
        <f t="shared" ref="AP396:AP397" si="1325">AO396-AK396</f>
        <v>2</v>
      </c>
      <c r="AQ396" s="45">
        <f>AP396*$G$8</f>
        <v>5.2</v>
      </c>
      <c r="AR396" s="15"/>
      <c r="AS396" s="13">
        <v>25</v>
      </c>
      <c r="AT396" s="15">
        <f t="shared" ref="AT396:AT397" si="1326">AS396-AO396</f>
        <v>0</v>
      </c>
      <c r="AU396" s="45">
        <f>AT396*$G$8</f>
        <v>0</v>
      </c>
      <c r="AV396" s="15"/>
      <c r="AW396" s="13">
        <v>25</v>
      </c>
      <c r="AX396" s="2">
        <f t="shared" ref="AX396:AX397" si="1327">AW396-AS396</f>
        <v>0</v>
      </c>
      <c r="AY396" s="45">
        <f>AX396*$G$8</f>
        <v>0</v>
      </c>
      <c r="AZ396" s="208"/>
      <c r="BA396" s="13">
        <v>25</v>
      </c>
      <c r="BB396" s="15">
        <f t="shared" ref="BB396:BB397" si="1328">BA396-AW396</f>
        <v>0</v>
      </c>
      <c r="BC396" s="45">
        <f>BB396*$G$8</f>
        <v>0</v>
      </c>
      <c r="BD396" s="208"/>
      <c r="BE396" s="40">
        <f t="shared" ref="BE396:BG396" si="1329">J396+N396+R396+V396+Z396+AD396+AH396+AL396+AP396+AT396+AX396+BB396</f>
        <v>15</v>
      </c>
      <c r="BF396" s="41">
        <f t="shared" si="1329"/>
        <v>38</v>
      </c>
      <c r="BG396" s="34">
        <f t="shared" si="1329"/>
        <v>0</v>
      </c>
      <c r="BH396" s="35">
        <f t="shared" si="1319"/>
        <v>63</v>
      </c>
      <c r="BK396" s="2" t="b">
        <f>H396='2019'!BH329</f>
        <v>1</v>
      </c>
    </row>
    <row r="397" ht="14.25" customHeight="1" hidden="1" spans="1:63" x14ac:dyDescent="0.25">
      <c r="A397" s="2">
        <v>44</v>
      </c>
      <c r="B397" s="14"/>
      <c r="C397" s="15" t="s">
        <v>170</v>
      </c>
      <c r="D397" s="14" t="s">
        <v>47</v>
      </c>
      <c r="E397" s="2" t="s">
        <v>48</v>
      </c>
      <c r="F397" s="13">
        <v>18.56</v>
      </c>
      <c r="G397" s="35">
        <v>19.46</v>
      </c>
      <c r="H397" s="34">
        <f>'2019'!BH330</f>
        <v>-0.12</v>
      </c>
      <c r="I397" s="75">
        <v>53</v>
      </c>
      <c r="J397" s="15"/>
      <c r="K397" s="15"/>
      <c r="L397" s="28"/>
      <c r="M397" s="75">
        <v>53</v>
      </c>
      <c r="Q397" s="75">
        <v>0</v>
      </c>
      <c r="R397" s="15"/>
      <c r="S397" s="15"/>
      <c r="T397" s="28"/>
      <c r="U397" s="75">
        <v>0</v>
      </c>
      <c r="V397" s="2">
        <f t="shared" si="1320"/>
        <v>0</v>
      </c>
      <c r="W397" s="34">
        <f>V397*$F$10</f>
        <v>0</v>
      </c>
      <c r="Y397" s="75">
        <v>0</v>
      </c>
      <c r="Z397" s="15">
        <f t="shared" si="1321"/>
        <v>0</v>
      </c>
      <c r="AA397" s="34">
        <f>Z397*$F$10</f>
        <v>0</v>
      </c>
      <c r="AB397" s="28"/>
      <c r="AC397" s="15">
        <v>0</v>
      </c>
      <c r="AD397" s="15">
        <f t="shared" si="1322"/>
        <v>0</v>
      </c>
      <c r="AE397" s="34">
        <f>AD397*$F$10</f>
        <v>0</v>
      </c>
      <c r="AG397" s="13">
        <v>0</v>
      </c>
      <c r="AH397" s="15">
        <f t="shared" si="1323"/>
        <v>0</v>
      </c>
      <c r="AI397" s="45">
        <f>AH397*$G$10</f>
        <v>0</v>
      </c>
      <c r="AJ397" s="15"/>
      <c r="AK397" s="13">
        <v>5</v>
      </c>
      <c r="AL397" s="15">
        <f t="shared" si="1324"/>
        <v>5</v>
      </c>
      <c r="AM397" s="45">
        <f>AL397*$G$10</f>
        <v>97.3</v>
      </c>
      <c r="AN397" s="15"/>
      <c r="AO397" s="13">
        <v>5</v>
      </c>
      <c r="AP397" s="15">
        <f t="shared" si="1325"/>
        <v>0</v>
      </c>
      <c r="AQ397" s="45">
        <f>AP397*$G$10</f>
        <v>0</v>
      </c>
      <c r="AR397" s="15"/>
      <c r="AS397" s="13">
        <v>5</v>
      </c>
      <c r="AT397" s="15">
        <f t="shared" si="1326"/>
        <v>0</v>
      </c>
      <c r="AU397" s="45">
        <f>AT397*$G$10</f>
        <v>0</v>
      </c>
      <c r="AV397" s="15"/>
      <c r="AW397" s="13">
        <v>5</v>
      </c>
      <c r="AX397" s="2">
        <f t="shared" si="1327"/>
        <v>0</v>
      </c>
      <c r="AY397" s="45"/>
      <c r="AZ397" s="208"/>
      <c r="BA397" s="13">
        <v>5</v>
      </c>
      <c r="BB397" s="15">
        <f t="shared" si="1328"/>
        <v>0</v>
      </c>
      <c r="BC397" s="45"/>
      <c r="BD397" s="208"/>
      <c r="BE397" s="40">
        <f t="shared" ref="BE397:BG397" si="1330">J397+N397+R397+V397+Z397+AD397+AH397+AL397+AP397+AT397+AX397+BB397</f>
        <v>5</v>
      </c>
      <c r="BF397" s="41">
        <f t="shared" si="1330"/>
        <v>97.3</v>
      </c>
      <c r="BG397" s="34">
        <f t="shared" si="1330"/>
        <v>0</v>
      </c>
      <c r="BH397" s="35">
        <f t="shared" si="1319"/>
        <v>97.18</v>
      </c>
      <c r="BK397" s="2" t="b">
        <f>H397='2019'!BH330</f>
        <v>1</v>
      </c>
    </row>
    <row r="398" ht="14.25" customHeight="1" hidden="1" spans="1:63" x14ac:dyDescent="0.25">
      <c r="A398" s="2">
        <v>44</v>
      </c>
      <c r="B398" s="14"/>
      <c r="C398" s="15" t="s">
        <v>413</v>
      </c>
      <c r="D398" s="14" t="s">
        <v>47</v>
      </c>
      <c r="E398" s="2" t="s">
        <v>49</v>
      </c>
      <c r="F398" s="41">
        <v>500</v>
      </c>
      <c r="G398" s="28"/>
      <c r="H398" s="34">
        <f>'2019'!BH331</f>
        <v>0</v>
      </c>
      <c r="I398" s="15"/>
      <c r="J398" s="15"/>
      <c r="K398" s="15"/>
      <c r="L398" s="28"/>
      <c r="Q398" s="13"/>
      <c r="R398" s="15"/>
      <c r="S398" s="15"/>
      <c r="T398" s="28"/>
      <c r="Y398" s="13"/>
      <c r="Z398" s="15"/>
      <c r="AA398" s="15"/>
      <c r="AB398" s="28"/>
      <c r="AG398" s="13"/>
      <c r="AH398" s="15"/>
      <c r="AI398" s="45"/>
      <c r="AJ398" s="15"/>
      <c r="AK398" s="13"/>
      <c r="AL398" s="15"/>
      <c r="AM398" s="45"/>
      <c r="AN398" s="15"/>
      <c r="AO398" s="13"/>
      <c r="AP398" s="15"/>
      <c r="AQ398" s="45"/>
      <c r="AR398" s="15"/>
      <c r="AS398" s="13"/>
      <c r="AT398" s="15"/>
      <c r="AU398" s="45"/>
      <c r="AV398" s="15"/>
      <c r="AW398" s="13"/>
      <c r="AY398" s="45"/>
      <c r="AZ398" s="28"/>
      <c r="BA398" s="13"/>
      <c r="BB398" s="15"/>
      <c r="BC398" s="45"/>
      <c r="BD398" s="28"/>
      <c r="BE398" s="14"/>
      <c r="BF398" s="41">
        <f t="shared" ref="BF398:BG398" si="1331">K398+O398+S398+W398+AA398+AE398+AI398+AM398+AQ398+AU398+AY398+BC398</f>
        <v>0</v>
      </c>
      <c r="BG398" s="34">
        <f t="shared" si="1331"/>
        <v>0</v>
      </c>
      <c r="BH398" s="35">
        <f t="shared" si="1319"/>
        <v>0</v>
      </c>
      <c r="BK398" s="2" t="b">
        <f>H398='2019'!BH331</f>
        <v>1</v>
      </c>
    </row>
    <row r="399" ht="14.25" customHeight="1" hidden="1" spans="1:63" x14ac:dyDescent="0.25">
      <c r="A399" s="2">
        <v>44</v>
      </c>
      <c r="B399" s="14"/>
      <c r="C399" s="15" t="s">
        <v>414</v>
      </c>
      <c r="D399" s="14" t="s">
        <v>50</v>
      </c>
      <c r="E399" s="2" t="s">
        <v>49</v>
      </c>
      <c r="F399" s="41">
        <v>1100</v>
      </c>
      <c r="G399" s="28"/>
      <c r="H399" s="182">
        <f>'2019'!BH332+0.0012</f>
        <v>0</v>
      </c>
      <c r="I399" s="15"/>
      <c r="J399" s="15"/>
      <c r="K399" s="15"/>
      <c r="L399" s="28"/>
      <c r="Q399" s="13"/>
      <c r="R399" s="15"/>
      <c r="S399" s="15"/>
      <c r="T399" s="28"/>
      <c r="Y399" s="13"/>
      <c r="Z399" s="15"/>
      <c r="AA399" s="15"/>
      <c r="AB399" s="28"/>
      <c r="AE399" s="34">
        <f>B396*$F$12</f>
        <v>4411</v>
      </c>
      <c r="AG399" s="13"/>
      <c r="AH399" s="15"/>
      <c r="AI399" s="45"/>
      <c r="AJ399" s="15"/>
      <c r="AK399" s="13"/>
      <c r="AL399" s="15"/>
      <c r="AM399" s="45"/>
      <c r="AN399" s="15"/>
      <c r="AO399" s="13"/>
      <c r="AP399" s="15"/>
      <c r="AQ399" s="45"/>
      <c r="AR399" s="15"/>
      <c r="AS399" s="13"/>
      <c r="AT399" s="15"/>
      <c r="AU399" s="45"/>
      <c r="AV399" s="15"/>
      <c r="AW399" s="13"/>
      <c r="AY399" s="45"/>
      <c r="AZ399" s="28"/>
      <c r="BA399" s="13"/>
      <c r="BB399" s="15"/>
      <c r="BC399" s="45"/>
      <c r="BD399" s="28"/>
      <c r="BE399" s="14"/>
      <c r="BF399" s="41">
        <f t="shared" ref="BF399:BG399" si="1332">K399+O399+S399+W399+AA399+AE399+AI399+AM399+AQ399+AU399+AY399+BC399</f>
        <v>4411</v>
      </c>
      <c r="BG399" s="34">
        <f t="shared" si="1332"/>
        <v>0</v>
      </c>
      <c r="BH399" s="35">
        <f t="shared" si="1319"/>
        <v>4411</v>
      </c>
      <c r="BK399" s="2" t="b">
        <f>H399='2019'!BH332</f>
        <v>0</v>
      </c>
    </row>
    <row r="400" ht="14.25" customHeight="1" hidden="1" spans="1:63" x14ac:dyDescent="0.25">
      <c r="A400" s="2">
        <v>44</v>
      </c>
      <c r="B400" s="14"/>
      <c r="C400" s="73" t="s">
        <v>415</v>
      </c>
      <c r="D400" s="14" t="s">
        <v>51</v>
      </c>
      <c r="E400" s="2" t="s">
        <v>39</v>
      </c>
      <c r="F400" s="41">
        <v>500</v>
      </c>
      <c r="G400" s="28"/>
      <c r="H400" s="34">
        <f>'2019'!BH333</f>
        <v>0</v>
      </c>
      <c r="I400" s="15"/>
      <c r="J400" s="15"/>
      <c r="K400" s="15"/>
      <c r="L400" s="28"/>
      <c r="Q400" s="13"/>
      <c r="R400" s="15"/>
      <c r="S400" s="15"/>
      <c r="T400" s="28"/>
      <c r="Y400" s="13"/>
      <c r="Z400" s="15"/>
      <c r="AA400" s="15"/>
      <c r="AB400" s="28"/>
      <c r="AE400" s="34"/>
      <c r="AG400" s="13"/>
      <c r="AH400" s="15"/>
      <c r="AI400" s="45"/>
      <c r="AJ400" s="15"/>
      <c r="AK400" s="13"/>
      <c r="AL400" s="15"/>
      <c r="AM400" s="45"/>
      <c r="AN400" s="15"/>
      <c r="AO400" s="13"/>
      <c r="AP400" s="15"/>
      <c r="AQ400" s="45">
        <f>$F$13</f>
        <v>500</v>
      </c>
      <c r="AR400" s="15"/>
      <c r="AS400" s="13"/>
      <c r="AT400" s="15"/>
      <c r="AU400" s="45"/>
      <c r="AV400" s="15"/>
      <c r="AW400" s="13"/>
      <c r="AY400" s="45"/>
      <c r="AZ400" s="28"/>
      <c r="BA400" s="13"/>
      <c r="BB400" s="15"/>
      <c r="BC400" s="45"/>
      <c r="BD400" s="28"/>
      <c r="BE400" s="14"/>
      <c r="BF400" s="41">
        <f t="shared" ref="BF400:BG400" si="1333">K400+O400+S400+W400+AA400+AE400+AI400+AM400+AQ400+AU400+AY400+BC400</f>
        <v>500</v>
      </c>
      <c r="BG400" s="34">
        <f t="shared" si="1333"/>
        <v>0</v>
      </c>
      <c r="BH400" s="35">
        <f t="shared" si="1319"/>
        <v>500</v>
      </c>
      <c r="BK400" s="2" t="b">
        <f>H400='2019'!BH333</f>
        <v>1</v>
      </c>
    </row>
    <row r="401" ht="14.25" customHeight="1" hidden="1" spans="1:60" x14ac:dyDescent="0.25">
      <c r="A401" s="2">
        <v>44</v>
      </c>
      <c r="B401" s="14"/>
      <c r="C401" s="15"/>
      <c r="D401" s="14" t="s">
        <v>51</v>
      </c>
      <c r="E401" s="2" t="s">
        <v>49</v>
      </c>
      <c r="F401" s="41">
        <v>500</v>
      </c>
      <c r="G401" s="28"/>
      <c r="H401" s="34"/>
      <c r="I401" s="15"/>
      <c r="J401" s="15"/>
      <c r="K401" s="15"/>
      <c r="L401" s="28"/>
      <c r="Q401" s="13"/>
      <c r="R401" s="15"/>
      <c r="S401" s="15"/>
      <c r="T401" s="28"/>
      <c r="Y401" s="13"/>
      <c r="Z401" s="15"/>
      <c r="AA401" s="15"/>
      <c r="AB401" s="28"/>
      <c r="AE401" s="34"/>
      <c r="AG401" s="13"/>
      <c r="AH401" s="15"/>
      <c r="AI401" s="45"/>
      <c r="AJ401" s="15"/>
      <c r="AK401" s="13"/>
      <c r="AL401" s="15"/>
      <c r="AM401" s="45"/>
      <c r="AN401" s="15"/>
      <c r="AO401" s="13"/>
      <c r="AP401" s="15"/>
      <c r="AQ401" s="34">
        <f>B396*$F$14</f>
        <v>2005</v>
      </c>
      <c r="AR401" s="15"/>
      <c r="AS401" s="13"/>
      <c r="AT401" s="15"/>
      <c r="AU401" s="45"/>
      <c r="AV401" s="15"/>
      <c r="AW401" s="13"/>
      <c r="AY401" s="45"/>
      <c r="AZ401" s="28"/>
      <c r="BA401" s="13"/>
      <c r="BB401" s="15"/>
      <c r="BC401" s="45"/>
      <c r="BD401" s="28"/>
      <c r="BE401" s="14"/>
      <c r="BF401" s="41">
        <f t="shared" ref="BF401:BG401" si="1334">K401+O401+S401+W401+AA401+AE401+AI401+AM401+AQ401+AU401+AY401+BC401</f>
        <v>2005</v>
      </c>
      <c r="BG401" s="34">
        <f t="shared" si="1334"/>
        <v>0</v>
      </c>
      <c r="BH401" s="35">
        <f t="shared" si="1319"/>
        <v>2005</v>
      </c>
    </row>
    <row r="402" ht="14.25" customHeight="1" hidden="1" spans="1:63" x14ac:dyDescent="0.25">
      <c r="A402" s="2">
        <v>44</v>
      </c>
      <c r="B402" s="14"/>
      <c r="D402" s="14" t="s">
        <v>52</v>
      </c>
      <c r="E402" s="2" t="s">
        <v>39</v>
      </c>
      <c r="F402" s="41">
        <v>500</v>
      </c>
      <c r="G402" s="28"/>
      <c r="H402" s="34">
        <f>'2019'!BH334</f>
        <v>0</v>
      </c>
      <c r="I402" s="15"/>
      <c r="J402" s="15"/>
      <c r="K402" s="15"/>
      <c r="L402" s="28"/>
      <c r="Q402" s="13"/>
      <c r="R402" s="15"/>
      <c r="S402" s="15"/>
      <c r="T402" s="28"/>
      <c r="X402" s="62"/>
      <c r="Y402" s="13"/>
      <c r="Z402" s="15"/>
      <c r="AA402" s="34">
        <f>$F$11</f>
        <v>500</v>
      </c>
      <c r="AB402" s="28"/>
      <c r="AG402" s="13"/>
      <c r="AH402" s="15"/>
      <c r="AI402" s="45"/>
      <c r="AJ402" s="15"/>
      <c r="AK402" s="13"/>
      <c r="AL402" s="15"/>
      <c r="AM402" s="45"/>
      <c r="AN402" s="15"/>
      <c r="AO402" s="13"/>
      <c r="AP402" s="15"/>
      <c r="AQ402" s="45"/>
      <c r="AR402" s="15"/>
      <c r="AS402" s="13"/>
      <c r="AT402" s="15"/>
      <c r="AU402" s="45"/>
      <c r="AV402" s="15"/>
      <c r="AW402" s="13"/>
      <c r="AY402" s="45"/>
      <c r="AZ402" s="35"/>
      <c r="BA402" s="13"/>
      <c r="BB402" s="15"/>
      <c r="BC402" s="45"/>
      <c r="BD402" s="35"/>
      <c r="BE402" s="14"/>
      <c r="BF402" s="41">
        <f t="shared" ref="BF402:BG402" si="1335">K402+O402+S402+W402+AA402+AE402+AI402+AM402+AQ402+AU402+AY402+BC402</f>
        <v>500</v>
      </c>
      <c r="BG402" s="34">
        <f t="shared" si="1335"/>
        <v>0</v>
      </c>
      <c r="BH402" s="35">
        <f t="shared" si="1319"/>
        <v>500</v>
      </c>
      <c r="BK402" s="2" t="b">
        <f>H402='2019'!BH334</f>
        <v>1</v>
      </c>
    </row>
    <row r="403" ht="14.25" customHeight="1" hidden="1" spans="1:63" x14ac:dyDescent="0.25">
      <c r="A403" s="247">
        <v>44</v>
      </c>
      <c r="B403" s="21"/>
      <c r="C403" s="22" t="s">
        <v>53</v>
      </c>
      <c r="D403" s="21"/>
      <c r="E403" s="22"/>
      <c r="F403" s="20"/>
      <c r="G403" s="23"/>
      <c r="H403" s="51">
        <f>SUM(H395:H402)</f>
        <v>33.6</v>
      </c>
      <c r="I403" s="53"/>
      <c r="J403" s="53"/>
      <c r="K403" s="51">
        <f t="shared" ref="K403:L403" si="1336">SUM(K395:K402)</f>
        <v>0</v>
      </c>
      <c r="L403" s="68">
        <f t="shared" si="1336"/>
        <v>0</v>
      </c>
      <c r="M403" s="53"/>
      <c r="N403" s="53"/>
      <c r="O403" s="51">
        <f t="shared" ref="O403:P403" si="1337">SUM(O395:O402)</f>
        <v>0</v>
      </c>
      <c r="P403" s="51">
        <f t="shared" si="1337"/>
        <v>0</v>
      </c>
      <c r="Q403" s="52"/>
      <c r="R403" s="53"/>
      <c r="S403" s="51">
        <f t="shared" ref="S403:T403" si="1338">SUM(S395:S402)</f>
        <v>0</v>
      </c>
      <c r="T403" s="51">
        <f t="shared" si="1338"/>
        <v>0</v>
      </c>
      <c r="U403" s="52"/>
      <c r="V403" s="53"/>
      <c r="W403" s="51">
        <f t="shared" ref="W403:X403" si="1339">SUM(W395:W402)</f>
        <v>10</v>
      </c>
      <c r="X403" s="51">
        <f t="shared" si="1339"/>
        <v>0</v>
      </c>
      <c r="Y403" s="52"/>
      <c r="Z403" s="53"/>
      <c r="AA403" s="51">
        <f t="shared" ref="AA403:AB403" si="1340">SUM(AA395:AA402)</f>
        <v>507.5</v>
      </c>
      <c r="AB403" s="51">
        <f t="shared" si="1340"/>
        <v>0</v>
      </c>
      <c r="AC403" s="52"/>
      <c r="AD403" s="53"/>
      <c r="AE403" s="51">
        <f t="shared" ref="AE403:AF403" si="1341">SUM(AE395:AE402)</f>
        <v>4418.5</v>
      </c>
      <c r="AF403" s="51">
        <f t="shared" si="1341"/>
        <v>0</v>
      </c>
      <c r="AG403" s="52"/>
      <c r="AH403" s="53"/>
      <c r="AI403" s="183">
        <f t="shared" ref="AI403:AJ403" si="1342">SUM(AI395:AI402)</f>
        <v>2.6</v>
      </c>
      <c r="AJ403" s="51">
        <f t="shared" si="1342"/>
        <v>0</v>
      </c>
      <c r="AK403" s="52"/>
      <c r="AL403" s="53"/>
      <c r="AM403" s="183">
        <f t="shared" ref="AM403:AN403" si="1343">SUM(AM395:AM402)</f>
        <v>102.5</v>
      </c>
      <c r="AN403" s="51">
        <f t="shared" si="1343"/>
        <v>0</v>
      </c>
      <c r="AO403" s="52"/>
      <c r="AP403" s="53"/>
      <c r="AQ403" s="183">
        <f t="shared" ref="AQ403:AR403" si="1344">SUM(AQ395:AQ402)</f>
        <v>2523.43</v>
      </c>
      <c r="AR403" s="51">
        <f t="shared" si="1344"/>
        <v>0</v>
      </c>
      <c r="AS403" s="52"/>
      <c r="AT403" s="53"/>
      <c r="AU403" s="183">
        <f t="shared" ref="AU403:AV403" si="1345">SUM(AU395:AU402)</f>
        <v>13.67</v>
      </c>
      <c r="AV403" s="68">
        <f t="shared" si="1345"/>
        <v>0</v>
      </c>
      <c r="AW403" s="52"/>
      <c r="AX403" s="53"/>
      <c r="AY403" s="183">
        <f t="shared" ref="AY403:AZ403" si="1346">SUM(AY395:AY402)</f>
        <v>13.23</v>
      </c>
      <c r="AZ403" s="68">
        <f t="shared" si="1346"/>
        <v>0</v>
      </c>
      <c r="BA403" s="52"/>
      <c r="BB403" s="53"/>
      <c r="BC403" s="183">
        <f t="shared" ref="BC403:BD403" si="1347">SUM(BC395:BC402)</f>
        <v>13.67</v>
      </c>
      <c r="BD403" s="68">
        <f t="shared" si="1347"/>
        <v>0</v>
      </c>
      <c r="BE403" s="69"/>
      <c r="BF403" s="70">
        <f t="shared" ref="BF403:BH403" si="1348">SUM(BF395:BF402)</f>
        <v>7605.1</v>
      </c>
      <c r="BG403" s="71">
        <f t="shared" si="1348"/>
        <v>0</v>
      </c>
      <c r="BH403" s="72">
        <f t="shared" si="1348"/>
        <v>7638.7</v>
      </c>
      <c r="BI403" s="34">
        <f>H403+BF403-BG403</f>
        <v>7638.7</v>
      </c>
      <c r="BJ403" s="34">
        <f>BH403-BI403</f>
        <v>0</v>
      </c>
      <c r="BK403" s="2" t="b">
        <f>H403='2019'!BH335</f>
        <v>0</v>
      </c>
    </row>
    <row r="404" ht="14.25" customHeight="1" hidden="1" spans="1:63" x14ac:dyDescent="0.25">
      <c r="A404" s="2">
        <v>45</v>
      </c>
      <c r="B404" s="14"/>
      <c r="D404" s="14" t="s">
        <v>379</v>
      </c>
      <c r="F404" s="13"/>
      <c r="G404" s="28"/>
      <c r="H404" s="34">
        <f>'2019'!BH336</f>
        <v>0</v>
      </c>
      <c r="J404" s="15"/>
      <c r="K404" s="15"/>
      <c r="L404" s="28"/>
      <c r="Q404" s="13"/>
      <c r="R404" s="15"/>
      <c r="S404" s="15"/>
      <c r="T404" s="28"/>
      <c r="Y404" s="13"/>
      <c r="Z404" s="15"/>
      <c r="AA404" s="15"/>
      <c r="AB404" s="28"/>
      <c r="AG404" s="13"/>
      <c r="AH404" s="15"/>
      <c r="AI404" s="45"/>
      <c r="AJ404" s="15"/>
      <c r="AK404" s="13"/>
      <c r="AM404" s="45"/>
      <c r="AO404" s="13"/>
      <c r="AQ404" s="45"/>
      <c r="AS404" s="13"/>
      <c r="AU404" s="45"/>
      <c r="AW404" s="13"/>
      <c r="AY404" s="45"/>
      <c r="AZ404" s="28"/>
      <c r="BA404" s="13"/>
      <c r="BB404" s="15"/>
      <c r="BC404" s="45"/>
      <c r="BD404" s="28"/>
      <c r="BE404" s="14"/>
      <c r="BF404" s="41">
        <f t="shared" ref="BF404:BG404" si="1349">K404+O404+S404+W404+AA404+AE404+AI404+AM404+AQ404+AU404+AY404+BC404</f>
        <v>0</v>
      </c>
      <c r="BG404" s="34">
        <f t="shared" si="1349"/>
        <v>0</v>
      </c>
      <c r="BH404" s="35">
        <f t="shared" ref="BH404:BH411" si="1350">H404+BF404-BG404</f>
        <v>0</v>
      </c>
      <c r="BK404" s="2" t="b">
        <f>H404='2019'!BH336</f>
        <v>1</v>
      </c>
    </row>
    <row r="405" ht="14.25" customHeight="1" hidden="1" spans="1:63" x14ac:dyDescent="0.25">
      <c r="A405" s="2">
        <v>45</v>
      </c>
      <c r="B405" s="14">
        <v>5.04</v>
      </c>
      <c r="C405" s="2" t="s">
        <v>189</v>
      </c>
      <c r="D405" s="14" t="s">
        <v>44</v>
      </c>
      <c r="E405" s="2" t="s">
        <v>45</v>
      </c>
      <c r="F405" s="41">
        <v>2.5</v>
      </c>
      <c r="G405" s="35">
        <v>2.6</v>
      </c>
      <c r="H405" s="34">
        <f>'2019'!BH337</f>
        <v>2.5</v>
      </c>
      <c r="I405" s="13">
        <v>13</v>
      </c>
      <c r="J405" s="15">
        <f>I405-'2019'!BA337</f>
        <v>0</v>
      </c>
      <c r="K405" s="34">
        <f>J405*$F$8</f>
        <v>0</v>
      </c>
      <c r="L405" s="28"/>
      <c r="M405" s="2">
        <v>13</v>
      </c>
      <c r="N405" s="15">
        <f>M405-I405</f>
        <v>0</v>
      </c>
      <c r="O405" s="34">
        <f>N405*$F$8</f>
        <v>0</v>
      </c>
      <c r="Q405" s="13">
        <v>13</v>
      </c>
      <c r="R405" s="15">
        <f>Q405-M405</f>
        <v>0</v>
      </c>
      <c r="S405" s="34">
        <f>R405*$F$8</f>
        <v>0</v>
      </c>
      <c r="T405" s="28"/>
      <c r="U405" s="15">
        <v>13</v>
      </c>
      <c r="V405" s="15">
        <f t="shared" ref="V405:V406" si="1351">U405-Q405</f>
        <v>0</v>
      </c>
      <c r="W405" s="34">
        <f>V405*$F$8</f>
        <v>0</v>
      </c>
      <c r="Y405" s="13">
        <v>13</v>
      </c>
      <c r="Z405" s="15">
        <f t="shared" ref="Z405:Z406" si="1352">Y405-U405</f>
        <v>0</v>
      </c>
      <c r="AA405" s="34">
        <f>Z405*$F$8</f>
        <v>0</v>
      </c>
      <c r="AB405" s="28"/>
      <c r="AC405" s="15">
        <v>13</v>
      </c>
      <c r="AD405" s="15">
        <f t="shared" ref="AD405:AD406" si="1353">AC405-Y405</f>
        <v>0</v>
      </c>
      <c r="AE405" s="34">
        <f>AD405*$F$8</f>
        <v>0</v>
      </c>
      <c r="AG405" s="13">
        <v>13</v>
      </c>
      <c r="AH405" s="15">
        <f t="shared" ref="AH405:AH406" si="1354">AG405-AC405</f>
        <v>0</v>
      </c>
      <c r="AI405" s="45">
        <f>AH405*$G$8</f>
        <v>0</v>
      </c>
      <c r="AJ405" s="39">
        <f>56-53.5</f>
        <v>2.5</v>
      </c>
      <c r="AK405" s="13">
        <v>13</v>
      </c>
      <c r="AL405" s="15">
        <f t="shared" ref="AL405:AL406" si="1355">AK405-AG405</f>
        <v>0</v>
      </c>
      <c r="AM405" s="45">
        <f>AL405*$G$8</f>
        <v>0</v>
      </c>
      <c r="AN405" s="15"/>
      <c r="AO405" s="13">
        <v>13</v>
      </c>
      <c r="AP405" s="15">
        <f t="shared" ref="AP405:AP406" si="1356">AO405-AK405</f>
        <v>0</v>
      </c>
      <c r="AQ405" s="45">
        <f>AP405*$G$8</f>
        <v>0</v>
      </c>
      <c r="AR405" s="15"/>
      <c r="AS405" s="13">
        <v>13</v>
      </c>
      <c r="AT405" s="15">
        <f t="shared" ref="AT405:AT406" si="1357">AS405-AO405</f>
        <v>0</v>
      </c>
      <c r="AU405" s="45">
        <f>AT405*$G$8</f>
        <v>0</v>
      </c>
      <c r="AV405" s="15"/>
      <c r="AW405" s="13">
        <v>13</v>
      </c>
      <c r="AX405" s="2">
        <f t="shared" ref="AX405:AX406" si="1358">AW405-AS405</f>
        <v>0</v>
      </c>
      <c r="AY405" s="45">
        <f>AX405*$G$8</f>
        <v>0</v>
      </c>
      <c r="AZ405" s="208"/>
      <c r="BA405" s="13">
        <v>13</v>
      </c>
      <c r="BB405" s="15">
        <f t="shared" ref="BB405:BB406" si="1359">BA405-AW405</f>
        <v>0</v>
      </c>
      <c r="BC405" s="45">
        <f>BB405*$G$8</f>
        <v>0</v>
      </c>
      <c r="BD405" s="208"/>
      <c r="BE405" s="40">
        <f t="shared" ref="BE405:BG405" si="1360">J405+N405+R405+V405+Z405+AD405+AH405+AL405+AP405+AT405+AX405+BB405</f>
        <v>0</v>
      </c>
      <c r="BF405" s="41">
        <f t="shared" si="1360"/>
        <v>0</v>
      </c>
      <c r="BG405" s="34">
        <f t="shared" si="1360"/>
        <v>2.5</v>
      </c>
      <c r="BH405" s="35">
        <f t="shared" si="1350"/>
        <v>0</v>
      </c>
      <c r="BK405" s="2" t="b">
        <f>H405='2019'!BH337</f>
        <v>1</v>
      </c>
    </row>
    <row r="406" ht="14.25" customHeight="1" hidden="1" spans="1:63" x14ac:dyDescent="0.25">
      <c r="A406" s="2">
        <v>45</v>
      </c>
      <c r="B406" s="14"/>
      <c r="C406" s="2" t="s">
        <v>114</v>
      </c>
      <c r="D406" s="14" t="s">
        <v>47</v>
      </c>
      <c r="E406" s="2" t="s">
        <v>48</v>
      </c>
      <c r="F406" s="13">
        <v>18.56</v>
      </c>
      <c r="G406" s="35">
        <v>19.46</v>
      </c>
      <c r="H406" s="34">
        <f>'2019'!BH338</f>
        <v>18.56</v>
      </c>
      <c r="I406" s="75">
        <v>2</v>
      </c>
      <c r="J406" s="15"/>
      <c r="K406" s="15"/>
      <c r="L406" s="28"/>
      <c r="M406" s="75">
        <v>2</v>
      </c>
      <c r="Q406" s="75">
        <v>2</v>
      </c>
      <c r="R406" s="15"/>
      <c r="S406" s="15"/>
      <c r="T406" s="28"/>
      <c r="U406" s="73">
        <v>2</v>
      </c>
      <c r="V406" s="2">
        <f t="shared" si="1351"/>
        <v>0</v>
      </c>
      <c r="W406" s="34">
        <f>V406*$F$10</f>
        <v>0</v>
      </c>
      <c r="Y406" s="75">
        <v>2</v>
      </c>
      <c r="Z406" s="15">
        <f t="shared" si="1352"/>
        <v>0</v>
      </c>
      <c r="AA406" s="34">
        <f>Z406*$F$10</f>
        <v>0</v>
      </c>
      <c r="AB406" s="28"/>
      <c r="AC406" s="15">
        <v>2</v>
      </c>
      <c r="AD406" s="15">
        <f t="shared" si="1353"/>
        <v>0</v>
      </c>
      <c r="AE406" s="34">
        <f>AD406*$F$10</f>
        <v>0</v>
      </c>
      <c r="AF406" s="15"/>
      <c r="AG406" s="13">
        <v>2</v>
      </c>
      <c r="AH406" s="15">
        <f t="shared" si="1354"/>
        <v>0</v>
      </c>
      <c r="AI406" s="45">
        <f>AH406*$G$10</f>
        <v>0</v>
      </c>
      <c r="AJ406" s="39">
        <f>100-81.44</f>
        <v>18.56</v>
      </c>
      <c r="AK406" s="13">
        <v>2</v>
      </c>
      <c r="AL406" s="15">
        <f t="shared" si="1355"/>
        <v>0</v>
      </c>
      <c r="AM406" s="45">
        <f>AL406*$G$10</f>
        <v>0</v>
      </c>
      <c r="AN406" s="15"/>
      <c r="AO406" s="13">
        <v>2</v>
      </c>
      <c r="AP406" s="15">
        <f t="shared" si="1356"/>
        <v>0</v>
      </c>
      <c r="AQ406" s="45">
        <f>AP406*$G$10</f>
        <v>0</v>
      </c>
      <c r="AR406" s="15"/>
      <c r="AS406" s="13">
        <v>2</v>
      </c>
      <c r="AT406" s="15">
        <f t="shared" si="1357"/>
        <v>0</v>
      </c>
      <c r="AU406" s="45">
        <f>AT406*$G$10</f>
        <v>0</v>
      </c>
      <c r="AV406" s="15"/>
      <c r="AW406" s="13">
        <v>2</v>
      </c>
      <c r="AX406" s="2">
        <f t="shared" si="1358"/>
        <v>0</v>
      </c>
      <c r="AY406" s="45"/>
      <c r="AZ406" s="208"/>
      <c r="BA406" s="13">
        <v>2</v>
      </c>
      <c r="BB406" s="15">
        <f t="shared" si="1359"/>
        <v>0</v>
      </c>
      <c r="BC406" s="45"/>
      <c r="BD406" s="208"/>
      <c r="BE406" s="40">
        <f t="shared" ref="BE406:BG406" si="1361">J406+N406+R406+V406+Z406+AD406+AH406+AL406+AP406+AT406+AX406+BB406</f>
        <v>0</v>
      </c>
      <c r="BF406" s="41">
        <f t="shared" si="1361"/>
        <v>0</v>
      </c>
      <c r="BG406" s="34">
        <f t="shared" si="1361"/>
        <v>18.56</v>
      </c>
      <c r="BH406" s="35">
        <f t="shared" si="1350"/>
        <v>0</v>
      </c>
      <c r="BK406" s="2" t="b">
        <f>H406='2019'!BH338</f>
        <v>1</v>
      </c>
    </row>
    <row r="407" ht="14.25" customHeight="1" hidden="1" spans="1:63" x14ac:dyDescent="0.25">
      <c r="A407" s="2">
        <v>45</v>
      </c>
      <c r="B407" s="14"/>
      <c r="C407" s="2" t="s">
        <v>115</v>
      </c>
      <c r="D407" s="14" t="s">
        <v>47</v>
      </c>
      <c r="E407" s="2" t="s">
        <v>49</v>
      </c>
      <c r="F407" s="41">
        <v>500</v>
      </c>
      <c r="G407" s="28"/>
      <c r="H407" s="34">
        <f>'2019'!BH339</f>
        <v>0</v>
      </c>
      <c r="I407" s="15"/>
      <c r="J407" s="15"/>
      <c r="K407" s="15"/>
      <c r="L407" s="28"/>
      <c r="Q407" s="13"/>
      <c r="R407" s="15"/>
      <c r="S407" s="15"/>
      <c r="T407" s="28"/>
      <c r="Y407" s="13"/>
      <c r="Z407" s="15"/>
      <c r="AA407" s="15"/>
      <c r="AB407" s="28"/>
      <c r="AG407" s="13"/>
      <c r="AH407" s="15"/>
      <c r="AI407" s="45"/>
      <c r="AJ407" s="15"/>
      <c r="AK407" s="13"/>
      <c r="AL407" s="15"/>
      <c r="AM407" s="45"/>
      <c r="AN407" s="15"/>
      <c r="AO407" s="13"/>
      <c r="AP407" s="15"/>
      <c r="AQ407" s="45"/>
      <c r="AR407" s="15"/>
      <c r="AS407" s="13"/>
      <c r="AT407" s="15"/>
      <c r="AU407" s="45"/>
      <c r="AV407" s="15"/>
      <c r="AW407" s="13"/>
      <c r="AY407" s="45"/>
      <c r="AZ407" s="28"/>
      <c r="BA407" s="13"/>
      <c r="BB407" s="15"/>
      <c r="BC407" s="45"/>
      <c r="BD407" s="28"/>
      <c r="BE407" s="14"/>
      <c r="BF407" s="41">
        <f t="shared" ref="BF407:BG407" si="1362">K407+O407+S407+W407+AA407+AE407+AI407+AM407+AQ407+AU407+AY407+BC407</f>
        <v>0</v>
      </c>
      <c r="BG407" s="34">
        <f t="shared" si="1362"/>
        <v>0</v>
      </c>
      <c r="BH407" s="35">
        <f t="shared" si="1350"/>
        <v>0</v>
      </c>
      <c r="BK407" s="2" t="b">
        <f>H407='2019'!BH339</f>
        <v>1</v>
      </c>
    </row>
    <row r="408" ht="14.25" customHeight="1" hidden="1" spans="1:63" x14ac:dyDescent="0.25">
      <c r="A408" s="2">
        <v>45</v>
      </c>
      <c r="B408" s="14"/>
      <c r="C408" s="2" t="s">
        <v>416</v>
      </c>
      <c r="D408" s="14" t="s">
        <v>50</v>
      </c>
      <c r="E408" s="2" t="s">
        <v>49</v>
      </c>
      <c r="F408" s="41">
        <v>1100</v>
      </c>
      <c r="G408" s="28"/>
      <c r="H408" s="182">
        <f>'2019'!BH340+0.0048</f>
        <v>0</v>
      </c>
      <c r="I408" s="15"/>
      <c r="J408" s="15"/>
      <c r="K408" s="15"/>
      <c r="L408" s="28"/>
      <c r="Q408" s="13"/>
      <c r="R408" s="15"/>
      <c r="S408" s="15"/>
      <c r="T408" s="28"/>
      <c r="Y408" s="13"/>
      <c r="Z408" s="15"/>
      <c r="AA408" s="15"/>
      <c r="AB408" s="28"/>
      <c r="AE408" s="34">
        <f>B405*$F$12</f>
        <v>5544</v>
      </c>
      <c r="AF408" s="15"/>
      <c r="AG408" s="13"/>
      <c r="AH408" s="15"/>
      <c r="AI408" s="45"/>
      <c r="AJ408" s="39">
        <f>5544+53.5+81.44</f>
        <v>5678.94</v>
      </c>
      <c r="AK408" s="13"/>
      <c r="AL408" s="15"/>
      <c r="AM408" s="45"/>
      <c r="AN408" s="15"/>
      <c r="AO408" s="13"/>
      <c r="AP408" s="15"/>
      <c r="AQ408" s="45"/>
      <c r="AR408" s="15"/>
      <c r="AS408" s="13"/>
      <c r="AT408" s="15"/>
      <c r="AU408" s="45"/>
      <c r="AV408" s="15"/>
      <c r="AW408" s="13"/>
      <c r="AY408" s="45"/>
      <c r="AZ408" s="28"/>
      <c r="BA408" s="13"/>
      <c r="BB408" s="15"/>
      <c r="BC408" s="45"/>
      <c r="BD408" s="28"/>
      <c r="BE408" s="14"/>
      <c r="BF408" s="41">
        <f t="shared" ref="BF408:BG408" si="1363">K408+O408+S408+W408+AA408+AE408+AI408+AM408+AQ408+AU408+AY408+BC408</f>
        <v>5544</v>
      </c>
      <c r="BG408" s="34">
        <f t="shared" si="1363"/>
        <v>5678.94</v>
      </c>
      <c r="BH408" s="35">
        <f t="shared" si="1350"/>
        <v>-134.94</v>
      </c>
      <c r="BK408" s="2" t="b">
        <f>H408='2019'!BH340</f>
        <v>0</v>
      </c>
    </row>
    <row r="409" ht="14.25" customHeight="1" hidden="1" spans="1:63" x14ac:dyDescent="0.25">
      <c r="A409" s="2">
        <v>45</v>
      </c>
      <c r="B409" s="14"/>
      <c r="D409" s="14" t="s">
        <v>51</v>
      </c>
      <c r="E409" s="2" t="s">
        <v>39</v>
      </c>
      <c r="F409" s="41">
        <v>500</v>
      </c>
      <c r="G409" s="28"/>
      <c r="H409" s="34">
        <f>'2019'!BH341</f>
        <v>0</v>
      </c>
      <c r="I409" s="15"/>
      <c r="J409" s="15"/>
      <c r="K409" s="15"/>
      <c r="L409" s="28"/>
      <c r="Q409" s="13"/>
      <c r="R409" s="15"/>
      <c r="S409" s="15"/>
      <c r="T409" s="28"/>
      <c r="Y409" s="13"/>
      <c r="Z409" s="15"/>
      <c r="AA409" s="15"/>
      <c r="AB409" s="28"/>
      <c r="AE409" s="34"/>
      <c r="AG409" s="13"/>
      <c r="AH409" s="15"/>
      <c r="AI409" s="45"/>
      <c r="AJ409" s="15"/>
      <c r="AK409" s="13"/>
      <c r="AL409" s="15"/>
      <c r="AM409" s="45"/>
      <c r="AN409" s="15"/>
      <c r="AO409" s="13"/>
      <c r="AP409" s="15"/>
      <c r="AQ409" s="45">
        <f>$F$13</f>
        <v>500</v>
      </c>
      <c r="AR409" s="15"/>
      <c r="AS409" s="13"/>
      <c r="AT409" s="15"/>
      <c r="AU409" s="45"/>
      <c r="AV409" s="15"/>
      <c r="AW409" s="13"/>
      <c r="AY409" s="45"/>
      <c r="AZ409" s="38">
        <v>500</v>
      </c>
      <c r="BA409" s="13"/>
      <c r="BB409" s="15"/>
      <c r="BC409" s="45"/>
      <c r="BD409" s="28"/>
      <c r="BE409" s="14"/>
      <c r="BF409" s="41">
        <f t="shared" ref="BF409:BG409" si="1364">K409+O409+S409+W409+AA409+AE409+AI409+AM409+AQ409+AU409+AY409+BC409</f>
        <v>500</v>
      </c>
      <c r="BG409" s="34">
        <f t="shared" si="1364"/>
        <v>500</v>
      </c>
      <c r="BH409" s="35">
        <f t="shared" si="1350"/>
        <v>0</v>
      </c>
      <c r="BK409" s="2" t="b">
        <f>H409='2019'!BH341</f>
        <v>1</v>
      </c>
    </row>
    <row r="410" ht="14.25" customHeight="1" hidden="1" spans="1:60" x14ac:dyDescent="0.25">
      <c r="A410" s="2">
        <v>45</v>
      </c>
      <c r="B410" s="14"/>
      <c r="D410" s="14" t="s">
        <v>51</v>
      </c>
      <c r="E410" s="2" t="s">
        <v>49</v>
      </c>
      <c r="F410" s="41">
        <v>500</v>
      </c>
      <c r="G410" s="28"/>
      <c r="H410" s="34"/>
      <c r="I410" s="15"/>
      <c r="J410" s="15"/>
      <c r="K410" s="15"/>
      <c r="L410" s="28"/>
      <c r="Q410" s="13"/>
      <c r="R410" s="15"/>
      <c r="S410" s="15"/>
      <c r="T410" s="28"/>
      <c r="Y410" s="13"/>
      <c r="Z410" s="15"/>
      <c r="AA410" s="15"/>
      <c r="AB410" s="28"/>
      <c r="AE410" s="34"/>
      <c r="AG410" s="13"/>
      <c r="AH410" s="15"/>
      <c r="AI410" s="45"/>
      <c r="AJ410" s="15"/>
      <c r="AK410" s="13"/>
      <c r="AL410" s="15"/>
      <c r="AM410" s="45"/>
      <c r="AN410" s="15"/>
      <c r="AO410" s="13"/>
      <c r="AP410" s="15"/>
      <c r="AQ410" s="34">
        <f>B405*$F$14</f>
        <v>2520</v>
      </c>
      <c r="AR410" s="15"/>
      <c r="AS410" s="13"/>
      <c r="AT410" s="15"/>
      <c r="AU410" s="45"/>
      <c r="AV410" s="15"/>
      <c r="AW410" s="13"/>
      <c r="AY410" s="45"/>
      <c r="AZ410" s="38">
        <v>2520</v>
      </c>
      <c r="BA410" s="13"/>
      <c r="BB410" s="15"/>
      <c r="BC410" s="45"/>
      <c r="BD410" s="28"/>
      <c r="BE410" s="14"/>
      <c r="BF410" s="41">
        <f t="shared" ref="BF410:BG410" si="1365">K410+O410+S410+W410+AA410+AE410+AI410+AM410+AQ410+AU410+AY410+BC410</f>
        <v>2520</v>
      </c>
      <c r="BG410" s="34">
        <f t="shared" si="1365"/>
        <v>2520</v>
      </c>
      <c r="BH410" s="35">
        <f t="shared" si="1350"/>
        <v>0</v>
      </c>
    </row>
    <row r="411" ht="14.25" customHeight="1" hidden="1" spans="1:63" x14ac:dyDescent="0.25">
      <c r="A411" s="2">
        <v>45</v>
      </c>
      <c r="B411" s="14"/>
      <c r="D411" s="14" t="s">
        <v>52</v>
      </c>
      <c r="E411" s="2" t="s">
        <v>39</v>
      </c>
      <c r="F411" s="41">
        <v>500</v>
      </c>
      <c r="G411" s="28"/>
      <c r="H411" s="34">
        <f>'2019'!BH342</f>
        <v>0</v>
      </c>
      <c r="I411" s="15"/>
      <c r="J411" s="15"/>
      <c r="K411" s="15"/>
      <c r="L411" s="28"/>
      <c r="Q411" s="13"/>
      <c r="R411" s="15"/>
      <c r="S411" s="15"/>
      <c r="T411" s="28"/>
      <c r="Y411" s="13"/>
      <c r="Z411" s="15"/>
      <c r="AA411" s="34">
        <f>$F$11</f>
        <v>500</v>
      </c>
      <c r="AB411" s="35"/>
      <c r="AG411" s="13"/>
      <c r="AH411" s="15"/>
      <c r="AI411" s="45"/>
      <c r="AJ411" s="39">
        <v>500</v>
      </c>
      <c r="AK411" s="13"/>
      <c r="AL411" s="15"/>
      <c r="AM411" s="45"/>
      <c r="AN411" s="15"/>
      <c r="AO411" s="13"/>
      <c r="AP411" s="15"/>
      <c r="AQ411" s="45"/>
      <c r="AR411" s="15"/>
      <c r="AS411" s="13"/>
      <c r="AT411" s="15"/>
      <c r="AU411" s="45"/>
      <c r="AV411" s="15"/>
      <c r="AW411" s="13"/>
      <c r="AY411" s="45"/>
      <c r="AZ411" s="35"/>
      <c r="BA411" s="13"/>
      <c r="BB411" s="15"/>
      <c r="BC411" s="45"/>
      <c r="BD411" s="35"/>
      <c r="BE411" s="14"/>
      <c r="BF411" s="41">
        <f t="shared" ref="BF411:BG411" si="1366">K411+O411+S411+W411+AA411+AE411+AI411+AM411+AQ411+AU411+AY411+BC411</f>
        <v>500</v>
      </c>
      <c r="BG411" s="34">
        <f t="shared" si="1366"/>
        <v>500</v>
      </c>
      <c r="BH411" s="35">
        <f t="shared" si="1350"/>
        <v>0</v>
      </c>
      <c r="BK411" s="2" t="b">
        <f>H411='2019'!BH342</f>
        <v>1</v>
      </c>
    </row>
    <row r="412" ht="14.25" customHeight="1" hidden="1" spans="1:63" x14ac:dyDescent="0.25">
      <c r="A412" s="247">
        <v>45</v>
      </c>
      <c r="B412" s="21"/>
      <c r="C412" s="22" t="s">
        <v>53</v>
      </c>
      <c r="D412" s="21"/>
      <c r="E412" s="22"/>
      <c r="F412" s="20"/>
      <c r="G412" s="23"/>
      <c r="H412" s="51">
        <f>SUM(H404:H411)</f>
        <v>21.06</v>
      </c>
      <c r="I412" s="53"/>
      <c r="J412" s="53"/>
      <c r="K412" s="51">
        <f t="shared" ref="K412:L412" si="1367">SUM(K404:K411)</f>
        <v>0</v>
      </c>
      <c r="L412" s="68">
        <f t="shared" si="1367"/>
        <v>0</v>
      </c>
      <c r="M412" s="53"/>
      <c r="N412" s="53"/>
      <c r="O412" s="51">
        <f t="shared" ref="O412:P412" si="1368">SUM(O404:O411)</f>
        <v>0</v>
      </c>
      <c r="P412" s="51">
        <f t="shared" si="1368"/>
        <v>0</v>
      </c>
      <c r="Q412" s="52"/>
      <c r="R412" s="53"/>
      <c r="S412" s="51">
        <f t="shared" ref="S412:T412" si="1369">SUM(S404:S411)</f>
        <v>0</v>
      </c>
      <c r="T412" s="51">
        <f t="shared" si="1369"/>
        <v>0</v>
      </c>
      <c r="U412" s="52"/>
      <c r="V412" s="53"/>
      <c r="W412" s="51">
        <f t="shared" ref="W412:X412" si="1370">SUM(W404:W411)</f>
        <v>0</v>
      </c>
      <c r="X412" s="51">
        <f t="shared" si="1370"/>
        <v>0</v>
      </c>
      <c r="Y412" s="52"/>
      <c r="Z412" s="53"/>
      <c r="AA412" s="51">
        <f t="shared" ref="AA412:AB412" si="1371">SUM(AA404:AA411)</f>
        <v>500</v>
      </c>
      <c r="AB412" s="51">
        <f t="shared" si="1371"/>
        <v>0</v>
      </c>
      <c r="AC412" s="52"/>
      <c r="AD412" s="53"/>
      <c r="AE412" s="51">
        <f t="shared" ref="AE412:AF412" si="1372">SUM(AE404:AE411)</f>
        <v>5544</v>
      </c>
      <c r="AF412" s="51">
        <f t="shared" si="1372"/>
        <v>0</v>
      </c>
      <c r="AG412" s="52"/>
      <c r="AH412" s="53"/>
      <c r="AI412" s="183">
        <f t="shared" ref="AI412:AJ412" si="1373">SUM(AI404:AI411)</f>
        <v>0</v>
      </c>
      <c r="AJ412" s="51">
        <f t="shared" si="1373"/>
        <v>6200</v>
      </c>
      <c r="AK412" s="52"/>
      <c r="AL412" s="53"/>
      <c r="AM412" s="183">
        <f t="shared" ref="AM412:AN412" si="1374">SUM(AM404:AM411)</f>
        <v>0</v>
      </c>
      <c r="AN412" s="51">
        <f t="shared" si="1374"/>
        <v>0</v>
      </c>
      <c r="AO412" s="52"/>
      <c r="AP412" s="53"/>
      <c r="AQ412" s="183">
        <f t="shared" ref="AQ412:AR412" si="1375">SUM(AQ404:AQ411)</f>
        <v>3020</v>
      </c>
      <c r="AR412" s="51">
        <f t="shared" si="1375"/>
        <v>0</v>
      </c>
      <c r="AS412" s="52"/>
      <c r="AT412" s="53"/>
      <c r="AU412" s="183">
        <f t="shared" ref="AU412:AV412" si="1376">SUM(AU404:AU411)</f>
        <v>0</v>
      </c>
      <c r="AV412" s="68">
        <f t="shared" si="1376"/>
        <v>0</v>
      </c>
      <c r="AW412" s="52"/>
      <c r="AX412" s="53"/>
      <c r="AY412" s="183">
        <f t="shared" ref="AY412:AZ412" si="1377">SUM(AY404:AY411)</f>
        <v>0</v>
      </c>
      <c r="AZ412" s="68">
        <f t="shared" si="1377"/>
        <v>3020</v>
      </c>
      <c r="BA412" s="52"/>
      <c r="BB412" s="53"/>
      <c r="BC412" s="183">
        <f t="shared" ref="BC412:BD412" si="1378">SUM(BC404:BC411)</f>
        <v>0</v>
      </c>
      <c r="BD412" s="68">
        <f t="shared" si="1378"/>
        <v>0</v>
      </c>
      <c r="BE412" s="69"/>
      <c r="BF412" s="70">
        <f t="shared" ref="BF412:BH412" si="1379">SUM(BF404:BF411)</f>
        <v>9064</v>
      </c>
      <c r="BG412" s="71">
        <f t="shared" si="1379"/>
        <v>9220</v>
      </c>
      <c r="BH412" s="72">
        <f t="shared" si="1379"/>
        <v>-134.94</v>
      </c>
      <c r="BI412" s="34">
        <f>H412+BF412-BG412</f>
        <v>-134.94</v>
      </c>
      <c r="BJ412" s="34">
        <f>BH412-BI412</f>
        <v>0</v>
      </c>
      <c r="BK412" s="2" t="b">
        <f>H412='2019'!BH343</f>
        <v>0</v>
      </c>
    </row>
    <row r="413" ht="14.25" customHeight="1" hidden="1" spans="1:63" x14ac:dyDescent="0.25">
      <c r="A413" s="2">
        <v>46</v>
      </c>
      <c r="B413" s="14"/>
      <c r="D413" s="14" t="s">
        <v>379</v>
      </c>
      <c r="F413" s="13"/>
      <c r="G413" s="28"/>
      <c r="H413" s="34">
        <f>'2019'!BH344</f>
        <v>0</v>
      </c>
      <c r="J413" s="15"/>
      <c r="K413" s="15"/>
      <c r="L413" s="28"/>
      <c r="Q413" s="13"/>
      <c r="R413" s="15"/>
      <c r="S413" s="15"/>
      <c r="T413" s="28"/>
      <c r="Y413" s="13"/>
      <c r="Z413" s="15"/>
      <c r="AA413" s="15"/>
      <c r="AB413" s="28"/>
      <c r="AG413" s="13"/>
      <c r="AH413" s="15"/>
      <c r="AI413" s="45"/>
      <c r="AJ413" s="15"/>
      <c r="AK413" s="13"/>
      <c r="AM413" s="45"/>
      <c r="AO413" s="13"/>
      <c r="AQ413" s="45"/>
      <c r="AS413" s="13"/>
      <c r="AU413" s="45"/>
      <c r="AW413" s="13"/>
      <c r="AY413" s="45"/>
      <c r="AZ413" s="28"/>
      <c r="BA413" s="13"/>
      <c r="BB413" s="15"/>
      <c r="BC413" s="45"/>
      <c r="BD413" s="28"/>
      <c r="BE413" s="14"/>
      <c r="BF413" s="41">
        <f t="shared" ref="BF413:BG413" si="1380">K413+O413+S413+W413+AA413+AE413+AI413+AM413+AQ413+AU413+AY413+BC413</f>
        <v>0</v>
      </c>
      <c r="BG413" s="34">
        <f t="shared" si="1380"/>
        <v>0</v>
      </c>
      <c r="BH413" s="35">
        <f t="shared" ref="BH413:BH420" si="1381">H413+BF413-BG413</f>
        <v>0</v>
      </c>
      <c r="BK413" s="2" t="b">
        <f>H413='2019'!BH344</f>
        <v>1</v>
      </c>
    </row>
    <row r="414" ht="14.25" customHeight="1" hidden="1" spans="1:63" x14ac:dyDescent="0.25">
      <c r="A414" s="2">
        <v>46</v>
      </c>
      <c r="B414" s="42">
        <v>4</v>
      </c>
      <c r="C414" s="2" t="s">
        <v>188</v>
      </c>
      <c r="D414" s="14" t="s">
        <v>44</v>
      </c>
      <c r="E414" s="2" t="s">
        <v>45</v>
      </c>
      <c r="F414" s="41">
        <v>2.5</v>
      </c>
      <c r="G414" s="35">
        <v>2.6</v>
      </c>
      <c r="H414" s="34">
        <f>'2019'!BH345</f>
        <v>270</v>
      </c>
      <c r="I414" s="13">
        <v>2834</v>
      </c>
      <c r="J414" s="15">
        <f>I414-'2019'!BA345</f>
        <v>0</v>
      </c>
      <c r="K414" s="34">
        <f>J414*$F$8</f>
        <v>0</v>
      </c>
      <c r="L414" s="28"/>
      <c r="M414" s="2">
        <v>2834</v>
      </c>
      <c r="N414" s="15">
        <f>M414-I414</f>
        <v>0</v>
      </c>
      <c r="O414" s="34">
        <f>N414*$F$8</f>
        <v>0</v>
      </c>
      <c r="Q414" s="13">
        <v>2834</v>
      </c>
      <c r="R414" s="15">
        <f>Q414-M414</f>
        <v>0</v>
      </c>
      <c r="S414" s="34">
        <f>R414*$F$8</f>
        <v>0</v>
      </c>
      <c r="T414" s="28"/>
      <c r="U414" s="15">
        <v>2855</v>
      </c>
      <c r="V414" s="15">
        <f t="shared" ref="V414:V415" si="1382">U414-Q414</f>
        <v>21</v>
      </c>
      <c r="W414" s="34">
        <f>V414*$F$8</f>
        <v>52.5</v>
      </c>
      <c r="X414" s="34"/>
      <c r="Y414" s="13">
        <v>2976</v>
      </c>
      <c r="Z414" s="15">
        <f t="shared" ref="Z414:Z415" si="1383">Y414-U414</f>
        <v>121</v>
      </c>
      <c r="AA414" s="34">
        <f>Z414*$F$8</f>
        <v>302.5</v>
      </c>
      <c r="AB414" s="28"/>
      <c r="AC414" s="15">
        <v>3083</v>
      </c>
      <c r="AD414" s="15">
        <f t="shared" ref="AD414:AD415" si="1384">AC414-Y414</f>
        <v>107</v>
      </c>
      <c r="AE414" s="34">
        <f>AD414*$F$8</f>
        <v>267.5</v>
      </c>
      <c r="AF414" s="138">
        <f>625+5.89</f>
        <v>630.89</v>
      </c>
      <c r="AG414" s="13">
        <v>3203</v>
      </c>
      <c r="AH414" s="15">
        <f t="shared" ref="AH414:AH415" si="1385">AG414-AC414</f>
        <v>120</v>
      </c>
      <c r="AI414" s="45">
        <f>AH414*$G$8</f>
        <v>312</v>
      </c>
      <c r="AJ414" s="245">
        <f>261.61+32.71</f>
        <v>294.32</v>
      </c>
      <c r="AK414" s="13">
        <v>3324</v>
      </c>
      <c r="AL414" s="15">
        <f t="shared" ref="AL414:AL415" si="1386">AK414-AG414</f>
        <v>121</v>
      </c>
      <c r="AM414" s="45">
        <f>AL414*$G$8</f>
        <v>314.6</v>
      </c>
      <c r="AN414" s="15"/>
      <c r="AO414" s="13">
        <v>3485</v>
      </c>
      <c r="AP414" s="15">
        <f t="shared" ref="AP414:AP415" si="1387">AO414-AK414</f>
        <v>161</v>
      </c>
      <c r="AQ414" s="45">
        <f>AP414*$G$8</f>
        <v>418.6</v>
      </c>
      <c r="AR414" s="1">
        <v>593.89</v>
      </c>
      <c r="AS414" s="13">
        <v>3525</v>
      </c>
      <c r="AT414" s="15">
        <f t="shared" ref="AT414:AT415" si="1388">AS414-AO414</f>
        <v>40</v>
      </c>
      <c r="AU414" s="45">
        <f>AT414*$G$8</f>
        <v>104</v>
      </c>
      <c r="AV414" s="15"/>
      <c r="AW414" s="13">
        <v>3525</v>
      </c>
      <c r="AX414" s="2">
        <f t="shared" ref="AX414:AX415" si="1389">AW414-AS414</f>
        <v>0</v>
      </c>
      <c r="AY414" s="45">
        <f>AX414*$G$8</f>
        <v>0</v>
      </c>
      <c r="AZ414" s="208"/>
      <c r="BA414" s="13">
        <v>3525</v>
      </c>
      <c r="BB414" s="15">
        <f t="shared" ref="BB414:BB415" si="1390">BA414-AW414</f>
        <v>0</v>
      </c>
      <c r="BC414" s="45">
        <f>BB414*$G$8</f>
        <v>0</v>
      </c>
      <c r="BD414" s="208"/>
      <c r="BE414" s="40">
        <f t="shared" ref="BE414:BG414" si="1391">J414+N414+R414+V414+Z414+AD414+AH414+AL414+AP414+AT414+AX414+BB414</f>
        <v>691</v>
      </c>
      <c r="BF414" s="41">
        <f t="shared" si="1391"/>
        <v>1771.7</v>
      </c>
      <c r="BG414" s="34">
        <f t="shared" si="1391"/>
        <v>1519.1</v>
      </c>
      <c r="BH414" s="35">
        <f t="shared" si="1381"/>
        <v>522.6</v>
      </c>
      <c r="BK414" s="2" t="b">
        <f>H414='2019'!BH345</f>
        <v>1</v>
      </c>
    </row>
    <row r="415" ht="14.25" customHeight="1" hidden="1" spans="1:63" x14ac:dyDescent="0.25">
      <c r="A415" s="2">
        <v>46</v>
      </c>
      <c r="B415" s="14"/>
      <c r="C415" s="2" t="s">
        <v>98</v>
      </c>
      <c r="D415" s="14" t="s">
        <v>47</v>
      </c>
      <c r="E415" s="2" t="s">
        <v>48</v>
      </c>
      <c r="F415" s="13">
        <v>18.56</v>
      </c>
      <c r="G415" s="35">
        <v>19.46</v>
      </c>
      <c r="H415" s="34">
        <f>'2019'!BH346</f>
        <v>-55.13</v>
      </c>
      <c r="I415" s="15">
        <v>117</v>
      </c>
      <c r="J415" s="15"/>
      <c r="K415" s="15"/>
      <c r="L415" s="28"/>
      <c r="M415" s="2">
        <v>117</v>
      </c>
      <c r="Q415" s="13">
        <v>117</v>
      </c>
      <c r="R415" s="15"/>
      <c r="S415" s="15"/>
      <c r="T415" s="28"/>
      <c r="U415" s="2">
        <v>117</v>
      </c>
      <c r="V415" s="2">
        <f t="shared" si="1382"/>
        <v>0</v>
      </c>
      <c r="W415" s="34">
        <f>V415*$F$10</f>
        <v>0</v>
      </c>
      <c r="Y415" s="13">
        <v>117</v>
      </c>
      <c r="Z415" s="15">
        <f t="shared" si="1383"/>
        <v>0</v>
      </c>
      <c r="AA415" s="34">
        <f>Z415*$F$10</f>
        <v>0</v>
      </c>
      <c r="AB415" s="28"/>
      <c r="AC415" s="15">
        <v>121</v>
      </c>
      <c r="AD415" s="15">
        <f t="shared" si="1384"/>
        <v>4</v>
      </c>
      <c r="AE415" s="34">
        <f>AD415*$F$10</f>
        <v>74.24</v>
      </c>
      <c r="AF415" s="138">
        <v>19.11</v>
      </c>
      <c r="AG415" s="13">
        <v>129</v>
      </c>
      <c r="AH415" s="15">
        <f t="shared" si="1385"/>
        <v>8</v>
      </c>
      <c r="AI415" s="45">
        <f>AH415*$G$10</f>
        <v>155.68</v>
      </c>
      <c r="AJ415" s="245">
        <v>155.68</v>
      </c>
      <c r="AK415" s="13">
        <v>137</v>
      </c>
      <c r="AL415" s="15">
        <f t="shared" si="1386"/>
        <v>8</v>
      </c>
      <c r="AM415" s="45">
        <f>AL415*$G$10</f>
        <v>155.68</v>
      </c>
      <c r="AN415" s="15"/>
      <c r="AO415" s="13">
        <v>137</v>
      </c>
      <c r="AP415" s="15">
        <f t="shared" si="1387"/>
        <v>0</v>
      </c>
      <c r="AQ415" s="45">
        <f>AP415*$G$10</f>
        <v>0</v>
      </c>
      <c r="AR415" s="1">
        <v>155.68</v>
      </c>
      <c r="AS415" s="13">
        <v>137</v>
      </c>
      <c r="AT415" s="15">
        <f t="shared" si="1388"/>
        <v>0</v>
      </c>
      <c r="AU415" s="45">
        <f>AT415*$G$10</f>
        <v>0</v>
      </c>
      <c r="AV415" s="15"/>
      <c r="AW415" s="13">
        <v>137</v>
      </c>
      <c r="AX415" s="2">
        <f t="shared" si="1389"/>
        <v>0</v>
      </c>
      <c r="AY415" s="45"/>
      <c r="AZ415" s="208"/>
      <c r="BA415" s="13">
        <v>137</v>
      </c>
      <c r="BB415" s="15">
        <f t="shared" si="1390"/>
        <v>0</v>
      </c>
      <c r="BC415" s="45"/>
      <c r="BD415" s="208"/>
      <c r="BE415" s="40">
        <f t="shared" ref="BE415:BG415" si="1392">J415+N415+R415+V415+Z415+AD415+AH415+AL415+AP415+AT415+AX415+BB415</f>
        <v>20</v>
      </c>
      <c r="BF415" s="41">
        <f t="shared" si="1392"/>
        <v>385.6</v>
      </c>
      <c r="BG415" s="34">
        <f t="shared" si="1392"/>
        <v>330.47</v>
      </c>
      <c r="BH415" s="35">
        <f t="shared" si="1381"/>
        <v>0</v>
      </c>
      <c r="BK415" s="2" t="b">
        <f>H415='2019'!BH346</f>
        <v>1</v>
      </c>
    </row>
    <row r="416" ht="14.25" customHeight="1" hidden="1" spans="1:63" x14ac:dyDescent="0.25">
      <c r="A416" s="2">
        <v>46</v>
      </c>
      <c r="B416" s="14"/>
      <c r="C416" s="2" t="s">
        <v>190</v>
      </c>
      <c r="D416" s="14" t="s">
        <v>47</v>
      </c>
      <c r="E416" s="2" t="s">
        <v>49</v>
      </c>
      <c r="F416" s="41">
        <v>500</v>
      </c>
      <c r="G416" s="28"/>
      <c r="H416" s="34">
        <f>'2019'!BH347</f>
        <v>0</v>
      </c>
      <c r="I416" s="15"/>
      <c r="J416" s="15"/>
      <c r="K416" s="15"/>
      <c r="L416" s="28"/>
      <c r="Q416" s="13"/>
      <c r="R416" s="15"/>
      <c r="S416" s="15"/>
      <c r="T416" s="28"/>
      <c r="Y416" s="13"/>
      <c r="Z416" s="15"/>
      <c r="AA416" s="15"/>
      <c r="AB416" s="28"/>
      <c r="AG416" s="13"/>
      <c r="AH416" s="15"/>
      <c r="AI416" s="45"/>
      <c r="AJ416" s="34"/>
      <c r="AK416" s="13"/>
      <c r="AL416" s="15"/>
      <c r="AM416" s="45"/>
      <c r="AN416" s="15"/>
      <c r="AO416" s="13"/>
      <c r="AP416" s="15"/>
      <c r="AQ416" s="45"/>
      <c r="AR416" s="15"/>
      <c r="AS416" s="13"/>
      <c r="AT416" s="15"/>
      <c r="AU416" s="45"/>
      <c r="AV416" s="15"/>
      <c r="AW416" s="13"/>
      <c r="AY416" s="45"/>
      <c r="AZ416" s="28"/>
      <c r="BA416" s="13"/>
      <c r="BB416" s="15"/>
      <c r="BC416" s="45"/>
      <c r="BD416" s="28"/>
      <c r="BE416" s="14"/>
      <c r="BF416" s="41">
        <f t="shared" ref="BF416:BG416" si="1393">K416+O416+S416+W416+AA416+AE416+AI416+AM416+AQ416+AU416+AY416+BC416</f>
        <v>0</v>
      </c>
      <c r="BG416" s="34">
        <f t="shared" si="1393"/>
        <v>0</v>
      </c>
      <c r="BH416" s="35">
        <f t="shared" si="1381"/>
        <v>0</v>
      </c>
      <c r="BK416" s="2" t="b">
        <f>H416='2019'!BH347</f>
        <v>1</v>
      </c>
    </row>
    <row r="417" ht="14.25" customHeight="1" hidden="1" spans="1:63" x14ac:dyDescent="0.25">
      <c r="A417" s="2">
        <v>46</v>
      </c>
      <c r="B417" s="14"/>
      <c r="C417" s="2" t="s">
        <v>191</v>
      </c>
      <c r="D417" s="14" t="s">
        <v>50</v>
      </c>
      <c r="E417" s="2" t="s">
        <v>49</v>
      </c>
      <c r="F417" s="41">
        <v>1100</v>
      </c>
      <c r="G417" s="28"/>
      <c r="H417" s="34">
        <f>'2019'!BH348</f>
        <v>0</v>
      </c>
      <c r="I417" s="15"/>
      <c r="J417" s="15"/>
      <c r="K417" s="15"/>
      <c r="L417" s="28"/>
      <c r="Q417" s="13"/>
      <c r="R417" s="15"/>
      <c r="S417" s="15"/>
      <c r="T417" s="28"/>
      <c r="Y417" s="13"/>
      <c r="Z417" s="15"/>
      <c r="AA417" s="15"/>
      <c r="AB417" s="28"/>
      <c r="AE417" s="34">
        <f>B414*$F$12</f>
        <v>4400</v>
      </c>
      <c r="AF417" s="133">
        <v>3400</v>
      </c>
      <c r="AG417" s="13"/>
      <c r="AH417" s="15"/>
      <c r="AI417" s="45"/>
      <c r="AJ417" s="185">
        <v>1000</v>
      </c>
      <c r="AK417" s="13"/>
      <c r="AL417" s="15"/>
      <c r="AM417" s="45"/>
      <c r="AN417" s="15"/>
      <c r="AO417" s="13"/>
      <c r="AP417" s="15"/>
      <c r="AQ417" s="45"/>
      <c r="AR417" s="15"/>
      <c r="AS417" s="13"/>
      <c r="AT417" s="15"/>
      <c r="AU417" s="45"/>
      <c r="AV417" s="15"/>
      <c r="AW417" s="13"/>
      <c r="AY417" s="45"/>
      <c r="AZ417" s="28"/>
      <c r="BA417" s="13"/>
      <c r="BB417" s="15"/>
      <c r="BC417" s="45"/>
      <c r="BD417" s="28"/>
      <c r="BE417" s="14"/>
      <c r="BF417" s="41">
        <f t="shared" ref="BF417:BG417" si="1394">K417+O417+S417+W417+AA417+AE417+AI417+AM417+AQ417+AU417+AY417+BC417</f>
        <v>4400</v>
      </c>
      <c r="BG417" s="34">
        <f t="shared" si="1394"/>
        <v>4400</v>
      </c>
      <c r="BH417" s="35">
        <f t="shared" si="1381"/>
        <v>0</v>
      </c>
      <c r="BK417" s="2" t="b">
        <f>H417='2019'!BH348</f>
        <v>1</v>
      </c>
    </row>
    <row r="418" ht="14.25" customHeight="1" hidden="1" spans="1:63" x14ac:dyDescent="0.25">
      <c r="A418" s="2">
        <v>46</v>
      </c>
      <c r="B418" s="14"/>
      <c r="D418" s="14" t="s">
        <v>51</v>
      </c>
      <c r="E418" s="2" t="s">
        <v>39</v>
      </c>
      <c r="F418" s="41">
        <v>500</v>
      </c>
      <c r="G418" s="28"/>
      <c r="H418" s="34">
        <f>'2019'!BH349</f>
        <v>0</v>
      </c>
      <c r="I418" s="15"/>
      <c r="J418" s="15"/>
      <c r="K418" s="15"/>
      <c r="L418" s="28"/>
      <c r="Q418" s="13"/>
      <c r="R418" s="15"/>
      <c r="S418" s="15"/>
      <c r="T418" s="28"/>
      <c r="Y418" s="13"/>
      <c r="Z418" s="15"/>
      <c r="AA418" s="15"/>
      <c r="AB418" s="28"/>
      <c r="AE418" s="34"/>
      <c r="AG418" s="13"/>
      <c r="AH418" s="15"/>
      <c r="AI418" s="45"/>
      <c r="AJ418" s="2"/>
      <c r="AK418" s="13"/>
      <c r="AL418" s="15"/>
      <c r="AM418" s="45"/>
      <c r="AN418" s="15"/>
      <c r="AO418" s="13"/>
      <c r="AP418" s="15"/>
      <c r="AQ418" s="45">
        <f>$F$13</f>
        <v>500</v>
      </c>
      <c r="AR418" s="15"/>
      <c r="AS418" s="13"/>
      <c r="AT418" s="15"/>
      <c r="AU418" s="45"/>
      <c r="AV418" s="15"/>
      <c r="AW418" s="13"/>
      <c r="AY418" s="45"/>
      <c r="AZ418" s="28"/>
      <c r="BA418" s="13"/>
      <c r="BB418" s="15"/>
      <c r="BC418" s="45"/>
      <c r="BD418" s="28"/>
      <c r="BE418" s="14"/>
      <c r="BF418" s="41">
        <f t="shared" ref="BF418:BG418" si="1395">K418+O418+S418+W418+AA418+AE418+AI418+AM418+AQ418+AU418+AY418+BC418</f>
        <v>500</v>
      </c>
      <c r="BG418" s="34">
        <f t="shared" si="1395"/>
        <v>0</v>
      </c>
      <c r="BH418" s="35">
        <f t="shared" si="1381"/>
        <v>500</v>
      </c>
      <c r="BK418" s="2" t="b">
        <f>H418='2019'!BH349</f>
        <v>1</v>
      </c>
    </row>
    <row r="419" ht="14.25" customHeight="1" hidden="1" spans="1:60" x14ac:dyDescent="0.25">
      <c r="A419" s="2">
        <v>46</v>
      </c>
      <c r="B419" s="14"/>
      <c r="D419" s="14" t="s">
        <v>51</v>
      </c>
      <c r="E419" s="2" t="s">
        <v>49</v>
      </c>
      <c r="F419" s="41">
        <v>500</v>
      </c>
      <c r="G419" s="28"/>
      <c r="H419" s="34"/>
      <c r="I419" s="15"/>
      <c r="J419" s="15"/>
      <c r="K419" s="15"/>
      <c r="L419" s="28"/>
      <c r="Q419" s="13"/>
      <c r="R419" s="15"/>
      <c r="S419" s="15"/>
      <c r="T419" s="28"/>
      <c r="Y419" s="13"/>
      <c r="Z419" s="15"/>
      <c r="AA419" s="15"/>
      <c r="AB419" s="28"/>
      <c r="AE419" s="34"/>
      <c r="AG419" s="13"/>
      <c r="AH419" s="15"/>
      <c r="AI419" s="45"/>
      <c r="AJ419" s="2"/>
      <c r="AK419" s="13"/>
      <c r="AL419" s="15"/>
      <c r="AM419" s="45"/>
      <c r="AN419" s="15"/>
      <c r="AO419" s="13"/>
      <c r="AP419" s="15"/>
      <c r="AQ419" s="34">
        <f>B414*$F$14</f>
        <v>2000</v>
      </c>
      <c r="AR419" s="15"/>
      <c r="AS419" s="13"/>
      <c r="AT419" s="15"/>
      <c r="AU419" s="45"/>
      <c r="AV419" s="15"/>
      <c r="AW419" s="13"/>
      <c r="AY419" s="45"/>
      <c r="AZ419" s="28"/>
      <c r="BA419" s="13"/>
      <c r="BB419" s="15"/>
      <c r="BC419" s="45"/>
      <c r="BD419" s="28"/>
      <c r="BE419" s="14"/>
      <c r="BF419" s="41">
        <f t="shared" ref="BF419:BG419" si="1396">K419+O419+S419+W419+AA419+AE419+AI419+AM419+AQ419+AU419+AY419+BC419</f>
        <v>2000</v>
      </c>
      <c r="BG419" s="34">
        <f t="shared" si="1396"/>
        <v>0</v>
      </c>
      <c r="BH419" s="35">
        <f t="shared" si="1381"/>
        <v>2000</v>
      </c>
    </row>
    <row r="420" ht="14.25" customHeight="1" hidden="1" spans="1:63" x14ac:dyDescent="0.25">
      <c r="A420" s="2">
        <v>46</v>
      </c>
      <c r="B420" s="14"/>
      <c r="D420" s="14" t="s">
        <v>52</v>
      </c>
      <c r="E420" s="2" t="s">
        <v>39</v>
      </c>
      <c r="F420" s="41">
        <v>500</v>
      </c>
      <c r="G420" s="28"/>
      <c r="H420" s="34">
        <f>'2019'!BH350</f>
        <v>0</v>
      </c>
      <c r="I420" s="15"/>
      <c r="J420" s="15"/>
      <c r="K420" s="15"/>
      <c r="L420" s="28"/>
      <c r="Q420" s="13"/>
      <c r="R420" s="15"/>
      <c r="S420" s="15"/>
      <c r="T420" s="28"/>
      <c r="Y420" s="13"/>
      <c r="Z420" s="15"/>
      <c r="AA420" s="77"/>
      <c r="AB420" s="28"/>
      <c r="AG420" s="13"/>
      <c r="AH420" s="15"/>
      <c r="AI420" s="45"/>
      <c r="AJ420" s="180"/>
      <c r="AK420" s="13"/>
      <c r="AL420" s="15"/>
      <c r="AM420" s="45"/>
      <c r="AN420" s="15"/>
      <c r="AO420" s="13"/>
      <c r="AP420" s="15"/>
      <c r="AQ420" s="45"/>
      <c r="AR420" s="15"/>
      <c r="AS420" s="13"/>
      <c r="AT420" s="15"/>
      <c r="AU420" s="45"/>
      <c r="AV420" s="15"/>
      <c r="AW420" s="13"/>
      <c r="AY420" s="45"/>
      <c r="AZ420" s="35"/>
      <c r="BA420" s="13"/>
      <c r="BB420" s="15"/>
      <c r="BC420" s="45"/>
      <c r="BD420" s="35"/>
      <c r="BE420" s="14"/>
      <c r="BF420" s="41">
        <f t="shared" ref="BF420:BG420" si="1397">K420+O420+S420+W420+AA420+AE420+AI420+AM420+AQ420+AU420+AY420+BC420</f>
        <v>0</v>
      </c>
      <c r="BG420" s="34">
        <f t="shared" si="1397"/>
        <v>0</v>
      </c>
      <c r="BH420" s="35">
        <f t="shared" si="1381"/>
        <v>0</v>
      </c>
      <c r="BK420" s="2" t="b">
        <f>H420='2019'!BH350</f>
        <v>1</v>
      </c>
    </row>
    <row r="421" ht="14.25" customHeight="1" hidden="1" spans="1:63" x14ac:dyDescent="0.25">
      <c r="A421" s="247">
        <v>46</v>
      </c>
      <c r="B421" s="21"/>
      <c r="C421" s="22" t="s">
        <v>53</v>
      </c>
      <c r="D421" s="21"/>
      <c r="E421" s="22"/>
      <c r="F421" s="20"/>
      <c r="G421" s="23"/>
      <c r="H421" s="51">
        <f>SUM(H413:H420)</f>
        <v>214.87</v>
      </c>
      <c r="I421" s="53"/>
      <c r="J421" s="53"/>
      <c r="K421" s="51">
        <f t="shared" ref="K421:L421" si="1398">SUM(K413:K420)</f>
        <v>0</v>
      </c>
      <c r="L421" s="68">
        <f t="shared" si="1398"/>
        <v>0</v>
      </c>
      <c r="M421" s="53"/>
      <c r="N421" s="53"/>
      <c r="O421" s="51">
        <f t="shared" ref="O421:P421" si="1399">SUM(O413:O420)</f>
        <v>0</v>
      </c>
      <c r="P421" s="51">
        <f t="shared" si="1399"/>
        <v>0</v>
      </c>
      <c r="Q421" s="52"/>
      <c r="R421" s="53"/>
      <c r="S421" s="51">
        <f t="shared" ref="S421:T421" si="1400">SUM(S413:S420)</f>
        <v>0</v>
      </c>
      <c r="T421" s="51">
        <f t="shared" si="1400"/>
        <v>0</v>
      </c>
      <c r="U421" s="52"/>
      <c r="V421" s="53"/>
      <c r="W421" s="51">
        <f t="shared" ref="W421:X421" si="1401">SUM(W413:W420)</f>
        <v>52.5</v>
      </c>
      <c r="X421" s="51">
        <f t="shared" si="1401"/>
        <v>0</v>
      </c>
      <c r="Y421" s="52"/>
      <c r="Z421" s="53"/>
      <c r="AA421" s="51">
        <f t="shared" ref="AA421:AB421" si="1402">SUM(AA413:AA420)</f>
        <v>302.5</v>
      </c>
      <c r="AB421" s="51">
        <f t="shared" si="1402"/>
        <v>0</v>
      </c>
      <c r="AC421" s="52"/>
      <c r="AD421" s="53"/>
      <c r="AE421" s="51">
        <f t="shared" ref="AE421:AF421" si="1403">SUM(AE413:AE420)</f>
        <v>4741.74</v>
      </c>
      <c r="AF421" s="51">
        <f t="shared" si="1403"/>
        <v>4050</v>
      </c>
      <c r="AG421" s="52"/>
      <c r="AH421" s="53"/>
      <c r="AI421" s="183">
        <f t="shared" ref="AI421:AJ421" si="1404">SUM(AI413:AI420)</f>
        <v>467.68</v>
      </c>
      <c r="AJ421" s="51">
        <f t="shared" si="1404"/>
        <v>1450</v>
      </c>
      <c r="AK421" s="52"/>
      <c r="AL421" s="53"/>
      <c r="AM421" s="183">
        <f t="shared" ref="AM421:AN421" si="1405">SUM(AM413:AM420)</f>
        <v>470.28</v>
      </c>
      <c r="AN421" s="51">
        <f t="shared" si="1405"/>
        <v>0</v>
      </c>
      <c r="AO421" s="52"/>
      <c r="AP421" s="53"/>
      <c r="AQ421" s="183">
        <f t="shared" ref="AQ421:AR421" si="1406">SUM(AQ413:AQ420)</f>
        <v>2918.6</v>
      </c>
      <c r="AR421" s="51">
        <f t="shared" si="1406"/>
        <v>749.57</v>
      </c>
      <c r="AS421" s="52"/>
      <c r="AT421" s="53"/>
      <c r="AU421" s="183">
        <f t="shared" ref="AU421:AV421" si="1407">SUM(AU413:AU420)</f>
        <v>104</v>
      </c>
      <c r="AV421" s="68">
        <f t="shared" si="1407"/>
        <v>0</v>
      </c>
      <c r="AW421" s="52"/>
      <c r="AX421" s="53"/>
      <c r="AY421" s="183">
        <f t="shared" ref="AY421:AZ421" si="1408">SUM(AY413:AY420)</f>
        <v>0</v>
      </c>
      <c r="AZ421" s="68">
        <f t="shared" si="1408"/>
        <v>0</v>
      </c>
      <c r="BA421" s="52"/>
      <c r="BB421" s="53"/>
      <c r="BC421" s="183">
        <f t="shared" ref="BC421:BD421" si="1409">SUM(BC413:BC420)</f>
        <v>0</v>
      </c>
      <c r="BD421" s="68">
        <f t="shared" si="1409"/>
        <v>0</v>
      </c>
      <c r="BE421" s="69"/>
      <c r="BF421" s="70">
        <f t="shared" ref="BF421:BH421" si="1410">SUM(BF413:BF420)</f>
        <v>9057.3</v>
      </c>
      <c r="BG421" s="71">
        <f t="shared" si="1410"/>
        <v>6249.57</v>
      </c>
      <c r="BH421" s="72">
        <f t="shared" si="1410"/>
        <v>3022.6</v>
      </c>
      <c r="BI421" s="34">
        <f>H421+BF421-BG421</f>
        <v>3022.6</v>
      </c>
      <c r="BJ421" s="34">
        <f>BH421-BI421</f>
        <v>0</v>
      </c>
      <c r="BK421" s="2" t="b">
        <f>H421='2019'!BH351</f>
        <v>1</v>
      </c>
    </row>
    <row r="422" ht="14.25" customHeight="1" hidden="1" spans="1:63" x14ac:dyDescent="0.25">
      <c r="A422" s="2">
        <v>47</v>
      </c>
      <c r="B422" s="14"/>
      <c r="D422" s="14" t="s">
        <v>379</v>
      </c>
      <c r="F422" s="13"/>
      <c r="G422" s="28"/>
      <c r="H422" s="34">
        <f>'2019'!BH352</f>
        <v>0</v>
      </c>
      <c r="J422" s="15"/>
      <c r="K422" s="15"/>
      <c r="L422" s="28"/>
      <c r="Q422" s="13"/>
      <c r="R422" s="15"/>
      <c r="S422" s="15"/>
      <c r="T422" s="28"/>
      <c r="Y422" s="13"/>
      <c r="Z422" s="15"/>
      <c r="AA422" s="15"/>
      <c r="AB422" s="28"/>
      <c r="AG422" s="13"/>
      <c r="AH422" s="15"/>
      <c r="AI422" s="45"/>
      <c r="AJ422" s="15"/>
      <c r="AK422" s="13"/>
      <c r="AM422" s="45"/>
      <c r="AO422" s="13"/>
      <c r="AQ422" s="45">
        <v>16.5</v>
      </c>
      <c r="AS422" s="13"/>
      <c r="AU422" s="45">
        <v>7.15</v>
      </c>
      <c r="AW422" s="13"/>
      <c r="AY422" s="45"/>
      <c r="AZ422" s="28"/>
      <c r="BA422" s="13"/>
      <c r="BB422" s="15"/>
      <c r="BC422" s="45"/>
      <c r="BD422" s="28"/>
      <c r="BE422" s="14"/>
      <c r="BF422" s="41">
        <f t="shared" ref="BF422:BG422" si="1411">K422+O422+S422+W422+AA422+AE422+AI422+AM422+AQ422+AU422+AY422+BC422</f>
        <v>23.65</v>
      </c>
      <c r="BG422" s="34">
        <f t="shared" si="1411"/>
        <v>0</v>
      </c>
      <c r="BH422" s="35">
        <f t="shared" ref="BH422:BH429" si="1412">H422+BF422-BG422</f>
        <v>23.65</v>
      </c>
      <c r="BK422" s="2" t="b">
        <f>H422='2019'!BH352</f>
        <v>1</v>
      </c>
    </row>
    <row r="423" ht="14.25" customHeight="1" hidden="1" spans="1:63" x14ac:dyDescent="0.25">
      <c r="A423" s="2">
        <v>47</v>
      </c>
      <c r="B423" s="42">
        <v>5</v>
      </c>
      <c r="C423" s="2" t="s">
        <v>192</v>
      </c>
      <c r="D423" s="14" t="s">
        <v>44</v>
      </c>
      <c r="E423" s="2" t="s">
        <v>45</v>
      </c>
      <c r="F423" s="41">
        <v>2.5</v>
      </c>
      <c r="G423" s="35">
        <v>2.6</v>
      </c>
      <c r="H423" s="34">
        <f>'2019'!BH353</f>
        <v>0</v>
      </c>
      <c r="I423" s="13">
        <v>165</v>
      </c>
      <c r="J423" s="15">
        <f>I423-'2019'!BA353</f>
        <v>0</v>
      </c>
      <c r="K423" s="34">
        <f>J423*$F$8</f>
        <v>0</v>
      </c>
      <c r="L423" s="28"/>
      <c r="M423" s="2">
        <v>165</v>
      </c>
      <c r="N423" s="15">
        <f>M423-I423</f>
        <v>0</v>
      </c>
      <c r="O423" s="34">
        <f>N423*$F$8</f>
        <v>0</v>
      </c>
      <c r="Q423" s="13">
        <v>165</v>
      </c>
      <c r="R423" s="15">
        <f>Q423-M423</f>
        <v>0</v>
      </c>
      <c r="S423" s="34">
        <f>R423*$F$8</f>
        <v>0</v>
      </c>
      <c r="T423" s="28"/>
      <c r="U423" s="15">
        <v>165</v>
      </c>
      <c r="V423" s="15">
        <f t="shared" ref="V423:V424" si="1413">U423-Q423</f>
        <v>0</v>
      </c>
      <c r="W423" s="34">
        <f>V423*$F$8</f>
        <v>0</v>
      </c>
      <c r="X423" s="15"/>
      <c r="Y423" s="13">
        <v>165</v>
      </c>
      <c r="Z423" s="15">
        <f t="shared" ref="Z423:Z424" si="1414">Y423-U423</f>
        <v>0</v>
      </c>
      <c r="AA423" s="34">
        <f>Z423*$F$8</f>
        <v>0</v>
      </c>
      <c r="AB423" s="28"/>
      <c r="AC423" s="15">
        <v>165</v>
      </c>
      <c r="AD423" s="15">
        <f t="shared" ref="AD423:AD424" si="1415">AC423-Y423</f>
        <v>0</v>
      </c>
      <c r="AE423" s="34">
        <f>AD423*$F$8</f>
        <v>0</v>
      </c>
      <c r="AG423" s="13">
        <v>165</v>
      </c>
      <c r="AH423" s="15">
        <f t="shared" ref="AH423:AH424" si="1416">AG423-AC423</f>
        <v>0</v>
      </c>
      <c r="AI423" s="45">
        <f>AH423*$G$8</f>
        <v>0</v>
      </c>
      <c r="AJ423" s="15"/>
      <c r="AK423" s="13">
        <v>165</v>
      </c>
      <c r="AL423" s="15">
        <f t="shared" ref="AL423:AL424" si="1417">AK423-AG423</f>
        <v>0</v>
      </c>
      <c r="AM423" s="45">
        <f>AL423*$G$8</f>
        <v>0</v>
      </c>
      <c r="AN423" s="15"/>
      <c r="AO423" s="13">
        <v>165</v>
      </c>
      <c r="AP423" s="15">
        <f t="shared" ref="AP423:AP424" si="1418">AO423-AK423</f>
        <v>0</v>
      </c>
      <c r="AQ423" s="45">
        <f>AP423*$G$8</f>
        <v>0</v>
      </c>
      <c r="AR423" s="15"/>
      <c r="AS423" s="13">
        <v>165</v>
      </c>
      <c r="AT423" s="15">
        <f t="shared" ref="AT423:AT424" si="1419">AS423-AO423</f>
        <v>0</v>
      </c>
      <c r="AU423" s="45">
        <f>AT423*$G$8</f>
        <v>0</v>
      </c>
      <c r="AV423" s="15"/>
      <c r="AW423" s="13">
        <v>165</v>
      </c>
      <c r="AX423" s="2">
        <f t="shared" ref="AX423:AX424" si="1420">AW423-AS423</f>
        <v>0</v>
      </c>
      <c r="AY423" s="45">
        <f>AX423*$G$8</f>
        <v>0</v>
      </c>
      <c r="AZ423" s="208"/>
      <c r="BA423" s="13">
        <v>165</v>
      </c>
      <c r="BB423" s="15">
        <f t="shared" ref="BB423:BB424" si="1421">BA423-AW423</f>
        <v>0</v>
      </c>
      <c r="BC423" s="45">
        <f>BB423*$G$8</f>
        <v>0</v>
      </c>
      <c r="BD423" s="208"/>
      <c r="BE423" s="40">
        <f t="shared" ref="BE423:BG423" si="1422">J423+N423+R423+V423+Z423+AD423+AH423+AL423+AP423+AT423+AX423+BB423</f>
        <v>0</v>
      </c>
      <c r="BF423" s="41">
        <f t="shared" si="1422"/>
        <v>0</v>
      </c>
      <c r="BG423" s="34">
        <f t="shared" si="1422"/>
        <v>0</v>
      </c>
      <c r="BH423" s="35">
        <f t="shared" si="1412"/>
        <v>0</v>
      </c>
      <c r="BK423" s="2" t="b">
        <f>H423='2019'!BH353</f>
        <v>1</v>
      </c>
    </row>
    <row r="424" ht="14.25" customHeight="1" hidden="1" spans="1:63" x14ac:dyDescent="0.25">
      <c r="A424" s="2">
        <v>47</v>
      </c>
      <c r="B424" s="14"/>
      <c r="C424" s="2" t="s">
        <v>193</v>
      </c>
      <c r="D424" s="14" t="s">
        <v>47</v>
      </c>
      <c r="E424" s="2" t="s">
        <v>48</v>
      </c>
      <c r="F424" s="13">
        <v>18.56</v>
      </c>
      <c r="G424" s="35">
        <v>19.46</v>
      </c>
      <c r="H424" s="34">
        <f>'2019'!BH354</f>
        <v>55.1</v>
      </c>
      <c r="I424" s="15">
        <v>12</v>
      </c>
      <c r="J424" s="15"/>
      <c r="K424" s="15"/>
      <c r="L424" s="28"/>
      <c r="M424" s="2">
        <v>12</v>
      </c>
      <c r="Q424" s="13">
        <v>12</v>
      </c>
      <c r="R424" s="15"/>
      <c r="S424" s="15"/>
      <c r="T424" s="28"/>
      <c r="U424" s="2">
        <v>14</v>
      </c>
      <c r="V424" s="2">
        <f t="shared" si="1413"/>
        <v>2</v>
      </c>
      <c r="W424" s="2">
        <f>V424*$F$10</f>
        <v>37.12</v>
      </c>
      <c r="Y424" s="13">
        <v>16</v>
      </c>
      <c r="Z424" s="15">
        <f t="shared" si="1414"/>
        <v>2</v>
      </c>
      <c r="AA424" s="34">
        <f>Z424*$F$10</f>
        <v>37.12</v>
      </c>
      <c r="AB424" s="28"/>
      <c r="AC424" s="15">
        <v>18</v>
      </c>
      <c r="AD424" s="15">
        <f t="shared" si="1415"/>
        <v>2</v>
      </c>
      <c r="AE424" s="34">
        <f>AD424*$F$10</f>
        <v>37.12</v>
      </c>
      <c r="AG424" s="13">
        <v>23</v>
      </c>
      <c r="AH424" s="15">
        <f t="shared" si="1416"/>
        <v>5</v>
      </c>
      <c r="AI424" s="45">
        <f>AH424*$G$10</f>
        <v>97.3</v>
      </c>
      <c r="AJ424" s="15"/>
      <c r="AK424" s="13">
        <v>30</v>
      </c>
      <c r="AL424" s="15">
        <f t="shared" si="1417"/>
        <v>7</v>
      </c>
      <c r="AM424" s="45">
        <f>AL424*$G$10</f>
        <v>136.22</v>
      </c>
      <c r="AN424" s="15"/>
      <c r="AO424" s="13">
        <v>30</v>
      </c>
      <c r="AP424" s="15">
        <f t="shared" si="1418"/>
        <v>0</v>
      </c>
      <c r="AQ424" s="45">
        <f>AP424*$G$10</f>
        <v>0</v>
      </c>
      <c r="AR424" s="15"/>
      <c r="AS424" s="13">
        <v>30</v>
      </c>
      <c r="AT424" s="15">
        <f t="shared" si="1419"/>
        <v>0</v>
      </c>
      <c r="AU424" s="45">
        <f>AT424*$G$10</f>
        <v>0</v>
      </c>
      <c r="AV424" s="39">
        <v>400</v>
      </c>
      <c r="AW424" s="13">
        <v>30</v>
      </c>
      <c r="AX424" s="2">
        <f t="shared" si="1420"/>
        <v>0</v>
      </c>
      <c r="AY424" s="45"/>
      <c r="AZ424" s="208"/>
      <c r="BA424" s="13">
        <v>30</v>
      </c>
      <c r="BB424" s="15">
        <f t="shared" si="1421"/>
        <v>0</v>
      </c>
      <c r="BC424" s="45"/>
      <c r="BD424" s="208"/>
      <c r="BE424" s="40">
        <f t="shared" ref="BE424:BG424" si="1423">J424+N424+R424+V424+Z424+AD424+AH424+AL424+AP424+AT424+AX424+BB424</f>
        <v>18</v>
      </c>
      <c r="BF424" s="41">
        <f t="shared" si="1423"/>
        <v>344.88</v>
      </c>
      <c r="BG424" s="34">
        <f t="shared" si="1423"/>
        <v>400</v>
      </c>
      <c r="BH424" s="35">
        <f t="shared" si="1412"/>
        <v>-0.02</v>
      </c>
      <c r="BK424" s="2" t="b">
        <f>H424='2019'!BH354</f>
        <v>1</v>
      </c>
    </row>
    <row r="425" ht="14.25" customHeight="1" hidden="1" spans="1:63" x14ac:dyDescent="0.25">
      <c r="A425" s="2">
        <v>47</v>
      </c>
      <c r="B425" s="14"/>
      <c r="C425" s="2" t="s">
        <v>194</v>
      </c>
      <c r="D425" s="14" t="s">
        <v>47</v>
      </c>
      <c r="E425" s="2" t="s">
        <v>49</v>
      </c>
      <c r="F425" s="41">
        <v>500</v>
      </c>
      <c r="G425" s="28"/>
      <c r="H425" s="34">
        <f>'2019'!BH355</f>
        <v>0</v>
      </c>
      <c r="I425" s="15"/>
      <c r="J425" s="15"/>
      <c r="K425" s="15"/>
      <c r="L425" s="28"/>
      <c r="Q425" s="13"/>
      <c r="R425" s="15"/>
      <c r="S425" s="15"/>
      <c r="T425" s="28"/>
      <c r="Y425" s="13"/>
      <c r="Z425" s="15"/>
      <c r="AA425" s="15"/>
      <c r="AB425" s="28"/>
      <c r="AG425" s="13"/>
      <c r="AH425" s="15"/>
      <c r="AI425" s="45"/>
      <c r="AJ425" s="15"/>
      <c r="AK425" s="13"/>
      <c r="AL425" s="15"/>
      <c r="AM425" s="45"/>
      <c r="AN425" s="15"/>
      <c r="AO425" s="13"/>
      <c r="AP425" s="15"/>
      <c r="AQ425" s="45"/>
      <c r="AR425" s="15"/>
      <c r="AS425" s="13"/>
      <c r="AT425" s="15"/>
      <c r="AU425" s="45"/>
      <c r="AV425" s="1"/>
      <c r="AW425" s="13"/>
      <c r="AY425" s="45"/>
      <c r="AZ425" s="28"/>
      <c r="BA425" s="13"/>
      <c r="BB425" s="15"/>
      <c r="BC425" s="45"/>
      <c r="BD425" s="28"/>
      <c r="BE425" s="14"/>
      <c r="BF425" s="41">
        <f t="shared" ref="BF425:BG425" si="1424">K425+O425+S425+W425+AA425+AE425+AI425+AM425+AQ425+AU425+AY425+BC425</f>
        <v>0</v>
      </c>
      <c r="BG425" s="34">
        <f t="shared" si="1424"/>
        <v>0</v>
      </c>
      <c r="BH425" s="35">
        <f t="shared" si="1412"/>
        <v>0</v>
      </c>
      <c r="BK425" s="2" t="b">
        <f>H425='2019'!BH355</f>
        <v>1</v>
      </c>
    </row>
    <row r="426" ht="14.25" customHeight="1" hidden="1" spans="1:63" x14ac:dyDescent="0.25">
      <c r="A426" s="2">
        <v>47</v>
      </c>
      <c r="B426" s="14"/>
      <c r="C426" s="2" t="s">
        <v>195</v>
      </c>
      <c r="D426" s="14" t="s">
        <v>50</v>
      </c>
      <c r="E426" s="2" t="s">
        <v>49</v>
      </c>
      <c r="F426" s="41">
        <v>1100</v>
      </c>
      <c r="G426" s="28"/>
      <c r="H426" s="34">
        <f>'2019'!BH356</f>
        <v>0</v>
      </c>
      <c r="I426" s="15"/>
      <c r="J426" s="15"/>
      <c r="K426" s="15"/>
      <c r="L426" s="28"/>
      <c r="Q426" s="13"/>
      <c r="R426" s="15"/>
      <c r="S426" s="15"/>
      <c r="T426" s="28"/>
      <c r="Y426" s="13"/>
      <c r="Z426" s="15"/>
      <c r="AA426" s="15"/>
      <c r="AB426" s="28"/>
      <c r="AE426" s="34">
        <f>B423*$F$12</f>
        <v>5500</v>
      </c>
      <c r="AF426" s="34"/>
      <c r="AG426" s="13"/>
      <c r="AH426" s="15"/>
      <c r="AI426" s="45"/>
      <c r="AJ426" s="180"/>
      <c r="AK426" s="13"/>
      <c r="AL426" s="15"/>
      <c r="AM426" s="45"/>
      <c r="AN426" s="15"/>
      <c r="AO426" s="13"/>
      <c r="AP426" s="15"/>
      <c r="AQ426" s="45"/>
      <c r="AR426" s="15"/>
      <c r="AS426" s="13"/>
      <c r="AT426" s="15"/>
      <c r="AU426" s="45"/>
      <c r="AV426" s="39">
        <v>5500</v>
      </c>
      <c r="AW426" s="13"/>
      <c r="AY426" s="45"/>
      <c r="AZ426" s="28"/>
      <c r="BA426" s="13"/>
      <c r="BB426" s="15"/>
      <c r="BC426" s="45"/>
      <c r="BD426" s="28"/>
      <c r="BE426" s="14"/>
      <c r="BF426" s="41">
        <f t="shared" ref="BF426:BG426" si="1425">K426+O426+S426+W426+AA426+AE426+AI426+AM426+AQ426+AU426+AY426+BC426</f>
        <v>5500</v>
      </c>
      <c r="BG426" s="34">
        <f t="shared" si="1425"/>
        <v>5500</v>
      </c>
      <c r="BH426" s="35">
        <f t="shared" si="1412"/>
        <v>0</v>
      </c>
      <c r="BK426" s="2" t="b">
        <f>H426='2019'!BH356</f>
        <v>1</v>
      </c>
    </row>
    <row r="427" ht="14.25" customHeight="1" hidden="1" spans="1:63" x14ac:dyDescent="0.25">
      <c r="A427" s="2">
        <v>47</v>
      </c>
      <c r="B427" s="14"/>
      <c r="C427" s="2" t="s">
        <v>417</v>
      </c>
      <c r="D427" s="14" t="s">
        <v>51</v>
      </c>
      <c r="E427" s="2" t="s">
        <v>39</v>
      </c>
      <c r="F427" s="41">
        <v>500</v>
      </c>
      <c r="G427" s="28"/>
      <c r="H427" s="34">
        <f>'2019'!BH357</f>
        <v>0</v>
      </c>
      <c r="I427" s="15"/>
      <c r="J427" s="15"/>
      <c r="K427" s="15"/>
      <c r="L427" s="28"/>
      <c r="Q427" s="13"/>
      <c r="R427" s="15"/>
      <c r="S427" s="15"/>
      <c r="T427" s="28"/>
      <c r="Y427" s="13"/>
      <c r="Z427" s="15"/>
      <c r="AA427" s="15"/>
      <c r="AB427" s="28"/>
      <c r="AE427" s="34"/>
      <c r="AG427" s="13"/>
      <c r="AH427" s="15"/>
      <c r="AI427" s="45"/>
      <c r="AJ427" s="180"/>
      <c r="AK427" s="13"/>
      <c r="AL427" s="15"/>
      <c r="AM427" s="45"/>
      <c r="AN427" s="15"/>
      <c r="AO427" s="13"/>
      <c r="AP427" s="15"/>
      <c r="AQ427" s="45">
        <f>$F$13</f>
        <v>500</v>
      </c>
      <c r="AR427" s="15"/>
      <c r="AS427" s="13"/>
      <c r="AT427" s="15"/>
      <c r="AU427" s="45"/>
      <c r="AV427" s="39">
        <v>500</v>
      </c>
      <c r="AW427" s="13"/>
      <c r="AY427" s="45"/>
      <c r="AZ427" s="28"/>
      <c r="BA427" s="13"/>
      <c r="BB427" s="15"/>
      <c r="BC427" s="45"/>
      <c r="BD427" s="28"/>
      <c r="BE427" s="14"/>
      <c r="BF427" s="41">
        <f t="shared" ref="BF427:BG427" si="1426">K427+O427+S427+W427+AA427+AE427+AI427+AM427+AQ427+AU427+AY427+BC427</f>
        <v>500</v>
      </c>
      <c r="BG427" s="34">
        <f t="shared" si="1426"/>
        <v>500</v>
      </c>
      <c r="BH427" s="35">
        <f t="shared" si="1412"/>
        <v>0</v>
      </c>
      <c r="BK427" s="2" t="b">
        <f>H427='2019'!BH357</f>
        <v>1</v>
      </c>
    </row>
    <row r="428" ht="14.25" customHeight="1" hidden="1" spans="1:60" x14ac:dyDescent="0.25">
      <c r="A428" s="2">
        <v>47</v>
      </c>
      <c r="B428" s="14"/>
      <c r="D428" s="14" t="s">
        <v>51</v>
      </c>
      <c r="E428" s="2" t="s">
        <v>49</v>
      </c>
      <c r="F428" s="41">
        <v>500</v>
      </c>
      <c r="G428" s="28"/>
      <c r="H428" s="34"/>
      <c r="I428" s="15"/>
      <c r="J428" s="15"/>
      <c r="K428" s="15"/>
      <c r="L428" s="28"/>
      <c r="Q428" s="13"/>
      <c r="R428" s="15"/>
      <c r="S428" s="15"/>
      <c r="T428" s="28"/>
      <c r="Y428" s="13"/>
      <c r="Z428" s="15"/>
      <c r="AA428" s="15"/>
      <c r="AB428" s="28"/>
      <c r="AE428" s="34"/>
      <c r="AG428" s="13"/>
      <c r="AH428" s="15"/>
      <c r="AI428" s="45"/>
      <c r="AJ428" s="180"/>
      <c r="AK428" s="13"/>
      <c r="AL428" s="15"/>
      <c r="AM428" s="45"/>
      <c r="AN428" s="15"/>
      <c r="AO428" s="13"/>
      <c r="AP428" s="15"/>
      <c r="AQ428" s="34">
        <f>B423*$F$14</f>
        <v>2500</v>
      </c>
      <c r="AR428" s="15"/>
      <c r="AS428" s="13"/>
      <c r="AT428" s="15"/>
      <c r="AU428" s="45"/>
      <c r="AV428" s="1"/>
      <c r="AW428" s="13"/>
      <c r="AY428" s="45"/>
      <c r="AZ428" s="28"/>
      <c r="BA428" s="13"/>
      <c r="BB428" s="15"/>
      <c r="BC428" s="45"/>
      <c r="BD428" s="28"/>
      <c r="BE428" s="14"/>
      <c r="BF428" s="41">
        <f t="shared" ref="BF428:BG428" si="1427">K428+O428+S428+W428+AA428+AE428+AI428+AM428+AQ428+AU428+AY428+BC428</f>
        <v>2500</v>
      </c>
      <c r="BG428" s="34">
        <f t="shared" si="1427"/>
        <v>0</v>
      </c>
      <c r="BH428" s="35">
        <f t="shared" si="1412"/>
        <v>2500</v>
      </c>
    </row>
    <row r="429" ht="14.25" customHeight="1" hidden="1" spans="1:63" x14ac:dyDescent="0.25">
      <c r="A429" s="2">
        <v>47</v>
      </c>
      <c r="B429" s="14"/>
      <c r="C429" s="2" t="s">
        <v>418</v>
      </c>
      <c r="D429" s="14" t="s">
        <v>52</v>
      </c>
      <c r="E429" s="2" t="s">
        <v>39</v>
      </c>
      <c r="F429" s="41">
        <v>500</v>
      </c>
      <c r="G429" s="28"/>
      <c r="H429" s="34">
        <f>'2019'!BH358</f>
        <v>0</v>
      </c>
      <c r="I429" s="15"/>
      <c r="J429" s="15"/>
      <c r="K429" s="15"/>
      <c r="L429" s="28"/>
      <c r="Q429" s="13"/>
      <c r="R429" s="15"/>
      <c r="S429" s="15"/>
      <c r="T429" s="28"/>
      <c r="Y429" s="13"/>
      <c r="Z429" s="15"/>
      <c r="AA429" s="34">
        <f>$F$11</f>
        <v>500</v>
      </c>
      <c r="AB429" s="35"/>
      <c r="AG429" s="13"/>
      <c r="AH429" s="15"/>
      <c r="AI429" s="45"/>
      <c r="AJ429" s="180"/>
      <c r="AK429" s="13"/>
      <c r="AL429" s="15"/>
      <c r="AM429" s="45"/>
      <c r="AN429" s="15"/>
      <c r="AO429" s="13"/>
      <c r="AP429" s="15"/>
      <c r="AQ429" s="45"/>
      <c r="AR429" s="15"/>
      <c r="AS429" s="13"/>
      <c r="AT429" s="15"/>
      <c r="AU429" s="45"/>
      <c r="AV429" s="39">
        <v>500</v>
      </c>
      <c r="AW429" s="13"/>
      <c r="AY429" s="45"/>
      <c r="AZ429" s="35"/>
      <c r="BA429" s="13"/>
      <c r="BB429" s="15"/>
      <c r="BC429" s="45"/>
      <c r="BD429" s="35"/>
      <c r="BE429" s="14"/>
      <c r="BF429" s="41">
        <f t="shared" ref="BF429:BG429" si="1428">K429+O429+S429+W429+AA429+AE429+AI429+AM429+AQ429+AU429+AY429+BC429</f>
        <v>500</v>
      </c>
      <c r="BG429" s="34">
        <f t="shared" si="1428"/>
        <v>500</v>
      </c>
      <c r="BH429" s="35">
        <f t="shared" si="1412"/>
        <v>0</v>
      </c>
      <c r="BK429" s="2" t="b">
        <f>H429='2019'!BH358</f>
        <v>1</v>
      </c>
    </row>
    <row r="430" ht="14.25" customHeight="1" hidden="1" spans="1:63" x14ac:dyDescent="0.25">
      <c r="A430" s="247">
        <v>47</v>
      </c>
      <c r="B430" s="21"/>
      <c r="C430" s="22" t="s">
        <v>53</v>
      </c>
      <c r="D430" s="21"/>
      <c r="E430" s="22"/>
      <c r="F430" s="20"/>
      <c r="G430" s="23"/>
      <c r="H430" s="51">
        <f>SUM(H422:H429)</f>
        <v>55.1</v>
      </c>
      <c r="I430" s="53"/>
      <c r="J430" s="53"/>
      <c r="K430" s="51">
        <f t="shared" ref="K430:L430" si="1429">SUM(K422:K429)</f>
        <v>0</v>
      </c>
      <c r="L430" s="68">
        <f t="shared" si="1429"/>
        <v>0</v>
      </c>
      <c r="M430" s="53"/>
      <c r="N430" s="53"/>
      <c r="O430" s="51">
        <f t="shared" ref="O430:P430" si="1430">SUM(O422:O429)</f>
        <v>0</v>
      </c>
      <c r="P430" s="51">
        <f t="shared" si="1430"/>
        <v>0</v>
      </c>
      <c r="Q430" s="52"/>
      <c r="R430" s="53"/>
      <c r="S430" s="51">
        <f t="shared" ref="S430:T430" si="1431">SUM(S422:S429)</f>
        <v>0</v>
      </c>
      <c r="T430" s="51">
        <f t="shared" si="1431"/>
        <v>0</v>
      </c>
      <c r="U430" s="52"/>
      <c r="V430" s="53"/>
      <c r="W430" s="51">
        <f t="shared" ref="W430:X430" si="1432">SUM(W422:W429)</f>
        <v>37.12</v>
      </c>
      <c r="X430" s="51">
        <f t="shared" si="1432"/>
        <v>0</v>
      </c>
      <c r="Y430" s="52"/>
      <c r="Z430" s="53"/>
      <c r="AA430" s="51">
        <f t="shared" ref="AA430:AB430" si="1433">SUM(AA422:AA429)</f>
        <v>537.12</v>
      </c>
      <c r="AB430" s="51">
        <f t="shared" si="1433"/>
        <v>0</v>
      </c>
      <c r="AC430" s="52"/>
      <c r="AD430" s="53"/>
      <c r="AE430" s="51">
        <f t="shared" ref="AE430:AF430" si="1434">SUM(AE422:AE429)</f>
        <v>5537.12</v>
      </c>
      <c r="AF430" s="51">
        <f t="shared" si="1434"/>
        <v>0</v>
      </c>
      <c r="AG430" s="52"/>
      <c r="AH430" s="53"/>
      <c r="AI430" s="183">
        <f t="shared" ref="AI430:AJ430" si="1435">SUM(AI422:AI429)</f>
        <v>97.3</v>
      </c>
      <c r="AJ430" s="51">
        <f t="shared" si="1435"/>
        <v>0</v>
      </c>
      <c r="AK430" s="52"/>
      <c r="AL430" s="53"/>
      <c r="AM430" s="183">
        <f t="shared" ref="AM430:AN430" si="1436">SUM(AM422:AM429)</f>
        <v>136.22</v>
      </c>
      <c r="AN430" s="51">
        <f t="shared" si="1436"/>
        <v>0</v>
      </c>
      <c r="AO430" s="52"/>
      <c r="AP430" s="53"/>
      <c r="AQ430" s="183">
        <f t="shared" ref="AQ430:AR430" si="1437">SUM(AQ422:AQ429)</f>
        <v>3016.5</v>
      </c>
      <c r="AR430" s="51">
        <f t="shared" si="1437"/>
        <v>0</v>
      </c>
      <c r="AS430" s="52"/>
      <c r="AT430" s="53"/>
      <c r="AU430" s="183">
        <f t="shared" ref="AU430:AV430" si="1438">SUM(AU422:AU429)</f>
        <v>7.15</v>
      </c>
      <c r="AV430" s="68">
        <f t="shared" si="1438"/>
        <v>6900</v>
      </c>
      <c r="AW430" s="52"/>
      <c r="AX430" s="53"/>
      <c r="AY430" s="183">
        <f t="shared" ref="AY430:AZ430" si="1439">SUM(AY422:AY429)</f>
        <v>0</v>
      </c>
      <c r="AZ430" s="68">
        <f t="shared" si="1439"/>
        <v>0</v>
      </c>
      <c r="BA430" s="52"/>
      <c r="BB430" s="53"/>
      <c r="BC430" s="183">
        <f t="shared" ref="BC430:BD430" si="1440">SUM(BC422:BC429)</f>
        <v>0</v>
      </c>
      <c r="BD430" s="68">
        <f t="shared" si="1440"/>
        <v>0</v>
      </c>
      <c r="BE430" s="69"/>
      <c r="BF430" s="70">
        <f t="shared" ref="BF430:BH430" si="1441">SUM(BF422:BF429)</f>
        <v>9368.53</v>
      </c>
      <c r="BG430" s="71">
        <f t="shared" si="1441"/>
        <v>6900</v>
      </c>
      <c r="BH430" s="72">
        <f t="shared" si="1441"/>
        <v>2523.63</v>
      </c>
      <c r="BI430" s="34">
        <f>H430+BF430-BG430</f>
        <v>2523.63</v>
      </c>
      <c r="BJ430" s="34">
        <f>BH430-BI430</f>
        <v>0</v>
      </c>
      <c r="BK430" s="2" t="b">
        <f>H430='2019'!BH359</f>
        <v>1</v>
      </c>
    </row>
    <row r="431" ht="14.25" customHeight="1" hidden="1" spans="1:63" x14ac:dyDescent="0.25">
      <c r="A431" s="2">
        <v>48</v>
      </c>
      <c r="B431" s="14"/>
      <c r="D431" s="14" t="s">
        <v>379</v>
      </c>
      <c r="F431" s="13"/>
      <c r="G431" s="28"/>
      <c r="H431" s="34">
        <f>'2019'!BH360</f>
        <v>17.86</v>
      </c>
      <c r="J431" s="15"/>
      <c r="K431" s="15"/>
      <c r="L431" s="28"/>
      <c r="Q431" s="13"/>
      <c r="R431" s="15"/>
      <c r="S431" s="15"/>
      <c r="T431" s="28"/>
      <c r="Y431" s="13"/>
      <c r="Z431" s="15"/>
      <c r="AA431" s="15"/>
      <c r="AB431" s="28"/>
      <c r="AG431" s="13"/>
      <c r="AH431" s="15"/>
      <c r="AI431" s="45"/>
      <c r="AJ431" s="15"/>
      <c r="AK431" s="13"/>
      <c r="AM431" s="45"/>
      <c r="AN431" s="138">
        <v>17.86</v>
      </c>
      <c r="AO431" s="13"/>
      <c r="AQ431" s="45"/>
      <c r="AS431" s="13"/>
      <c r="AU431" s="45"/>
      <c r="AW431" s="13"/>
      <c r="AY431" s="45"/>
      <c r="AZ431" s="28"/>
      <c r="BA431" s="13"/>
      <c r="BB431" s="15"/>
      <c r="BC431" s="45"/>
      <c r="BD431" s="28"/>
      <c r="BE431" s="14"/>
      <c r="BF431" s="41">
        <f t="shared" ref="BF431:BG431" si="1442">K431+O431+S431+W431+AA431+AE431+AI431+AM431+AQ431+AU431+AY431+BC431</f>
        <v>0</v>
      </c>
      <c r="BG431" s="34">
        <f t="shared" si="1442"/>
        <v>17.86</v>
      </c>
      <c r="BH431" s="35">
        <f t="shared" ref="BH431:BH438" si="1443">H431+BF431-BG431</f>
        <v>0</v>
      </c>
      <c r="BK431" s="2" t="b">
        <f>H431='2019'!BH360</f>
        <v>1</v>
      </c>
    </row>
    <row r="432" ht="14.25" customHeight="1" hidden="1" spans="1:63" x14ac:dyDescent="0.25">
      <c r="A432" s="2">
        <v>48</v>
      </c>
      <c r="B432" s="14">
        <v>5.93</v>
      </c>
      <c r="C432" s="73" t="s">
        <v>97</v>
      </c>
      <c r="D432" s="14" t="s">
        <v>44</v>
      </c>
      <c r="E432" s="2" t="s">
        <v>45</v>
      </c>
      <c r="F432" s="41">
        <v>2.5</v>
      </c>
      <c r="G432" s="35">
        <v>2.6</v>
      </c>
      <c r="H432" s="104">
        <f>'2019'!BH361</f>
        <v>0</v>
      </c>
      <c r="I432" s="15"/>
      <c r="J432" s="15"/>
      <c r="K432" s="34">
        <f>J432*$F$8</f>
        <v>0</v>
      </c>
      <c r="L432" s="28"/>
      <c r="N432" s="15"/>
      <c r="O432" s="34">
        <f>N432*$F$8</f>
        <v>0</v>
      </c>
      <c r="Q432" s="13"/>
      <c r="R432" s="15">
        <f>Q432-M432</f>
        <v>0</v>
      </c>
      <c r="S432" s="34">
        <f>R432*$F$8</f>
        <v>0</v>
      </c>
      <c r="T432" s="28"/>
      <c r="V432" s="15">
        <f>U432-Q432</f>
        <v>0</v>
      </c>
      <c r="W432" s="34">
        <f>V432*$F$8</f>
        <v>0</v>
      </c>
      <c r="Y432" s="13"/>
      <c r="Z432" s="15">
        <f t="shared" ref="Z432:Z433" si="1444">Y432-U432</f>
        <v>0</v>
      </c>
      <c r="AA432" s="34">
        <f>Z432*$F$8</f>
        <v>0</v>
      </c>
      <c r="AB432" s="28"/>
      <c r="AC432" s="15">
        <v>0</v>
      </c>
      <c r="AD432" s="15">
        <f t="shared" ref="AD432:AD433" si="1445">AC432-Y432</f>
        <v>0</v>
      </c>
      <c r="AE432" s="34">
        <f>AD432*$F$8</f>
        <v>0</v>
      </c>
      <c r="AG432" s="13"/>
      <c r="AH432" s="15">
        <f t="shared" ref="AH432:AH433" si="1446">AG432-AC432</f>
        <v>0</v>
      </c>
      <c r="AI432" s="45">
        <f>AH432*$G$8</f>
        <v>0</v>
      </c>
      <c r="AJ432" s="15"/>
      <c r="AK432" s="13">
        <v>0</v>
      </c>
      <c r="AL432" s="15">
        <f t="shared" ref="AL432:AL433" si="1447">AK432-AG432</f>
        <v>0</v>
      </c>
      <c r="AM432" s="45">
        <f>AL432*$G$8</f>
        <v>0</v>
      </c>
      <c r="AN432" s="15"/>
      <c r="AO432" s="13">
        <v>0</v>
      </c>
      <c r="AP432" s="15">
        <f t="shared" ref="AP432:AP433" si="1448">AO432-AK432</f>
        <v>0</v>
      </c>
      <c r="AQ432" s="45">
        <f>AP432*$G$8</f>
        <v>0</v>
      </c>
      <c r="AR432" s="15"/>
      <c r="AS432" s="13">
        <v>0</v>
      </c>
      <c r="AT432" s="15">
        <f t="shared" ref="AT432:AT433" si="1449">AS432-AO432</f>
        <v>0</v>
      </c>
      <c r="AU432" s="45">
        <f t="shared" ref="AU432:AU433" si="1450">AT432*$G$8</f>
        <v>0</v>
      </c>
      <c r="AV432" s="15"/>
      <c r="AW432" s="13">
        <v>0</v>
      </c>
      <c r="AX432" s="2">
        <f t="shared" ref="AX432:AX433" si="1451">AW432-AS432</f>
        <v>0</v>
      </c>
      <c r="AY432" s="45">
        <f>AX432*$G$8</f>
        <v>0</v>
      </c>
      <c r="AZ432" s="208"/>
      <c r="BA432" s="13">
        <v>0</v>
      </c>
      <c r="BB432" s="15">
        <f t="shared" ref="BB432:BB433" si="1452">BA432-AW432</f>
        <v>0</v>
      </c>
      <c r="BC432" s="45">
        <f>BB432*$G$8</f>
        <v>0</v>
      </c>
      <c r="BD432" s="208"/>
      <c r="BE432" s="40">
        <f t="shared" ref="BE432:BG432" si="1453">J432+N432+R432+V432+Z432+AD432+AH432+AL432+AP432+AT432+AX432+BB432</f>
        <v>0</v>
      </c>
      <c r="BF432" s="41">
        <f t="shared" si="1453"/>
        <v>0</v>
      </c>
      <c r="BG432" s="34">
        <f t="shared" si="1453"/>
        <v>0</v>
      </c>
      <c r="BH432" s="35">
        <f t="shared" si="1443"/>
        <v>0</v>
      </c>
      <c r="BK432" s="2" t="b">
        <f>H432='2019'!BH361</f>
        <v>1</v>
      </c>
    </row>
    <row r="433" ht="14.25" customHeight="1" hidden="1" spans="1:63" x14ac:dyDescent="0.25">
      <c r="A433" s="2">
        <v>48</v>
      </c>
      <c r="B433" s="14"/>
      <c r="C433" s="2" t="s">
        <v>196</v>
      </c>
      <c r="D433" s="14" t="s">
        <v>47</v>
      </c>
      <c r="E433" s="2" t="s">
        <v>48</v>
      </c>
      <c r="F433" s="13">
        <v>18.56</v>
      </c>
      <c r="G433" s="35">
        <v>19.46</v>
      </c>
      <c r="H433" s="90">
        <f>'2019'!BH362</f>
        <v>85</v>
      </c>
      <c r="I433" s="95">
        <f>85+34</f>
        <v>119</v>
      </c>
      <c r="J433" s="15"/>
      <c r="K433" s="15"/>
      <c r="L433" s="28"/>
      <c r="M433" s="95">
        <f>85+34</f>
        <v>119</v>
      </c>
      <c r="Q433" s="13">
        <f>85+34</f>
        <v>119</v>
      </c>
      <c r="R433" s="15"/>
      <c r="S433" s="15"/>
      <c r="T433" s="28"/>
      <c r="U433" s="154">
        <f>99+34</f>
        <v>133</v>
      </c>
      <c r="V433" s="154">
        <v>0</v>
      </c>
      <c r="W433" s="2">
        <f>V433*$F$10</f>
        <v>0</v>
      </c>
      <c r="Y433" s="184">
        <f>99+34</f>
        <v>133</v>
      </c>
      <c r="Z433" s="15">
        <f t="shared" si="1444"/>
        <v>0</v>
      </c>
      <c r="AA433" s="34">
        <f>Z433*$F$10</f>
        <v>0</v>
      </c>
      <c r="AB433" s="28"/>
      <c r="AC433" s="13">
        <f>106+34</f>
        <v>140</v>
      </c>
      <c r="AD433" s="15">
        <f t="shared" si="1445"/>
        <v>7</v>
      </c>
      <c r="AE433" s="34">
        <f>AD433*$F$10</f>
        <v>129.92</v>
      </c>
      <c r="AG433" s="13">
        <f>120+34</f>
        <v>154</v>
      </c>
      <c r="AH433" s="15">
        <f t="shared" si="1446"/>
        <v>14</v>
      </c>
      <c r="AI433" s="45">
        <f>AH433*$G$10</f>
        <v>272.44</v>
      </c>
      <c r="AJ433" s="15"/>
      <c r="AK433" s="13">
        <f>126+34</f>
        <v>160</v>
      </c>
      <c r="AL433" s="15">
        <f t="shared" si="1447"/>
        <v>6</v>
      </c>
      <c r="AM433" s="45">
        <f>AL433*$G$10</f>
        <v>116.76</v>
      </c>
      <c r="AN433" s="138">
        <f>604.12+5.02</f>
        <v>609.14</v>
      </c>
      <c r="AO433" s="13">
        <v>160</v>
      </c>
      <c r="AP433" s="15">
        <f t="shared" si="1448"/>
        <v>0</v>
      </c>
      <c r="AQ433" s="45">
        <f>AP433*$G$10</f>
        <v>0</v>
      </c>
      <c r="AR433" s="15"/>
      <c r="AS433" s="13">
        <v>160</v>
      </c>
      <c r="AT433" s="15">
        <f t="shared" si="1449"/>
        <v>0</v>
      </c>
      <c r="AU433" s="45">
        <f t="shared" si="1450"/>
        <v>0</v>
      </c>
      <c r="AV433" s="15"/>
      <c r="AW433" s="13">
        <v>160</v>
      </c>
      <c r="AX433" s="2">
        <f t="shared" si="1451"/>
        <v>0</v>
      </c>
      <c r="AY433" s="45"/>
      <c r="AZ433" s="208"/>
      <c r="BA433" s="13">
        <v>160</v>
      </c>
      <c r="BB433" s="15">
        <f t="shared" si="1452"/>
        <v>0</v>
      </c>
      <c r="BC433" s="45"/>
      <c r="BD433" s="208"/>
      <c r="BE433" s="40">
        <f t="shared" ref="BE433:BG433" si="1454">J433+N433+R433+V433+Z433+AD433+AH433+AL433+AP433+AT433+AX433+BB433</f>
        <v>27</v>
      </c>
      <c r="BF433" s="41">
        <f t="shared" si="1454"/>
        <v>519.12</v>
      </c>
      <c r="BG433" s="34">
        <f t="shared" si="1454"/>
        <v>609.14</v>
      </c>
      <c r="BH433" s="35">
        <f t="shared" si="1443"/>
        <v>-5.02</v>
      </c>
      <c r="BK433" s="2" t="b">
        <f>H433='2019'!BH362</f>
        <v>1</v>
      </c>
    </row>
    <row r="434" ht="14.25" customHeight="1" hidden="1" spans="1:63" x14ac:dyDescent="0.25">
      <c r="A434" s="2">
        <v>48</v>
      </c>
      <c r="B434" s="14"/>
      <c r="D434" s="14" t="s">
        <v>47</v>
      </c>
      <c r="E434" s="2" t="s">
        <v>49</v>
      </c>
      <c r="F434" s="41">
        <v>500</v>
      </c>
      <c r="G434" s="28"/>
      <c r="H434" s="34">
        <f>'2019'!BH363</f>
        <v>0</v>
      </c>
      <c r="I434" s="15"/>
      <c r="J434" s="15"/>
      <c r="K434" s="15"/>
      <c r="L434" s="28"/>
      <c r="Q434" s="13"/>
      <c r="R434" s="15"/>
      <c r="S434" s="15"/>
      <c r="T434" s="28"/>
      <c r="Y434" s="13"/>
      <c r="Z434" s="15"/>
      <c r="AA434" s="15"/>
      <c r="AB434" s="28"/>
      <c r="AG434" s="13"/>
      <c r="AH434" s="15"/>
      <c r="AI434" s="45"/>
      <c r="AJ434" s="15"/>
      <c r="AK434" s="13"/>
      <c r="AL434" s="15"/>
      <c r="AM434" s="45"/>
      <c r="AN434" s="15"/>
      <c r="AO434" s="13"/>
      <c r="AP434" s="15"/>
      <c r="AQ434" s="45"/>
      <c r="AR434" s="15"/>
      <c r="AS434" s="13"/>
      <c r="AT434" s="15"/>
      <c r="AU434" s="45"/>
      <c r="AV434" s="15"/>
      <c r="AW434" s="13"/>
      <c r="AY434" s="45"/>
      <c r="AZ434" s="28"/>
      <c r="BA434" s="13"/>
      <c r="BB434" s="15"/>
      <c r="BC434" s="45"/>
      <c r="BD434" s="28"/>
      <c r="BE434" s="14"/>
      <c r="BF434" s="41">
        <f t="shared" ref="BF434:BG434" si="1455">K434+O434+S434+W434+AA434+AE434+AI434+AM434+AQ434+AU434+AY434+BC434</f>
        <v>0</v>
      </c>
      <c r="BG434" s="34">
        <f t="shared" si="1455"/>
        <v>0</v>
      </c>
      <c r="BH434" s="35">
        <f t="shared" si="1443"/>
        <v>0</v>
      </c>
      <c r="BK434" s="2" t="b">
        <f>H434='2019'!BH363</f>
        <v>1</v>
      </c>
    </row>
    <row r="435" ht="14.25" customHeight="1" hidden="1" spans="1:63" x14ac:dyDescent="0.25">
      <c r="A435" s="2">
        <v>48</v>
      </c>
      <c r="B435" s="14"/>
      <c r="D435" s="14" t="s">
        <v>50</v>
      </c>
      <c r="E435" s="2" t="s">
        <v>49</v>
      </c>
      <c r="F435" s="41">
        <v>1100</v>
      </c>
      <c r="G435" s="28"/>
      <c r="H435" s="182">
        <f>'2019'!BH364+0.0016</f>
        <v>0</v>
      </c>
      <c r="I435" s="15"/>
      <c r="J435" s="15"/>
      <c r="K435" s="15"/>
      <c r="L435" s="28"/>
      <c r="Q435" s="13"/>
      <c r="R435" s="15"/>
      <c r="S435" s="15"/>
      <c r="T435" s="28"/>
      <c r="Y435" s="13"/>
      <c r="Z435" s="15"/>
      <c r="AA435" s="15"/>
      <c r="AB435" s="28"/>
      <c r="AE435" s="34">
        <f>B432*$F$12</f>
        <v>6523</v>
      </c>
      <c r="AG435" s="13"/>
      <c r="AH435" s="15"/>
      <c r="AI435" s="45"/>
      <c r="AJ435" s="15"/>
      <c r="AK435" s="13"/>
      <c r="AL435" s="15"/>
      <c r="AM435" s="45"/>
      <c r="AN435" s="133">
        <v>6523</v>
      </c>
      <c r="AO435" s="13"/>
      <c r="AP435" s="15"/>
      <c r="AQ435" s="45"/>
      <c r="AR435" s="15"/>
      <c r="AS435" s="13"/>
      <c r="AT435" s="15"/>
      <c r="AU435" s="45"/>
      <c r="AV435" s="15"/>
      <c r="AW435" s="13"/>
      <c r="AY435" s="45"/>
      <c r="AZ435" s="28"/>
      <c r="BA435" s="13"/>
      <c r="BB435" s="15"/>
      <c r="BC435" s="45"/>
      <c r="BD435" s="28"/>
      <c r="BE435" s="14"/>
      <c r="BF435" s="41">
        <f t="shared" ref="BF435:BG435" si="1456">K435+O435+S435+W435+AA435+AE435+AI435+AM435+AQ435+AU435+AY435+BC435</f>
        <v>6523</v>
      </c>
      <c r="BG435" s="34">
        <f t="shared" si="1456"/>
        <v>6523</v>
      </c>
      <c r="BH435" s="35">
        <f t="shared" si="1443"/>
        <v>0</v>
      </c>
      <c r="BK435" s="2" t="b">
        <f>H435='2019'!BH364</f>
        <v>0</v>
      </c>
    </row>
    <row r="436" ht="14.25" customHeight="1" hidden="1" spans="1:63" x14ac:dyDescent="0.25">
      <c r="A436" s="2">
        <v>48</v>
      </c>
      <c r="B436" s="14"/>
      <c r="D436" s="14" t="s">
        <v>51</v>
      </c>
      <c r="E436" s="2" t="s">
        <v>39</v>
      </c>
      <c r="F436" s="41">
        <v>500</v>
      </c>
      <c r="G436" s="28"/>
      <c r="H436" s="34">
        <f>'2019'!BH365</f>
        <v>0</v>
      </c>
      <c r="I436" s="15"/>
      <c r="J436" s="15"/>
      <c r="K436" s="15"/>
      <c r="L436" s="28"/>
      <c r="Q436" s="13"/>
      <c r="R436" s="15"/>
      <c r="S436" s="15"/>
      <c r="T436" s="28"/>
      <c r="Y436" s="13"/>
      <c r="Z436" s="15"/>
      <c r="AA436" s="15"/>
      <c r="AB436" s="28"/>
      <c r="AE436" s="34"/>
      <c r="AG436" s="13"/>
      <c r="AH436" s="15"/>
      <c r="AI436" s="45"/>
      <c r="AJ436" s="15"/>
      <c r="AK436" s="13"/>
      <c r="AL436" s="15"/>
      <c r="AM436" s="45"/>
      <c r="AN436" s="15"/>
      <c r="AO436" s="13"/>
      <c r="AP436" s="15"/>
      <c r="AQ436" s="45">
        <f>$F$13</f>
        <v>500</v>
      </c>
      <c r="AR436" s="15"/>
      <c r="AS436" s="13"/>
      <c r="AT436" s="15"/>
      <c r="AU436" s="45"/>
      <c r="AV436" s="15"/>
      <c r="AW436" s="13"/>
      <c r="AY436" s="45"/>
      <c r="AZ436" s="28"/>
      <c r="BA436" s="13"/>
      <c r="BB436" s="15"/>
      <c r="BC436" s="45"/>
      <c r="BD436" s="28"/>
      <c r="BE436" s="14"/>
      <c r="BF436" s="41">
        <f t="shared" ref="BF436:BG436" si="1457">K436+O436+S436+W436+AA436+AE436+AI436+AM436+AQ436+AU436+AY436+BC436</f>
        <v>500</v>
      </c>
      <c r="BG436" s="34">
        <f t="shared" si="1457"/>
        <v>0</v>
      </c>
      <c r="BH436" s="35">
        <f t="shared" si="1443"/>
        <v>500</v>
      </c>
      <c r="BK436" s="2" t="b">
        <f>H436='2019'!BH365</f>
        <v>1</v>
      </c>
    </row>
    <row r="437" ht="14.25" customHeight="1" hidden="1" spans="1:60" x14ac:dyDescent="0.25">
      <c r="A437" s="2">
        <v>48</v>
      </c>
      <c r="B437" s="14"/>
      <c r="D437" s="14" t="s">
        <v>51</v>
      </c>
      <c r="E437" s="2" t="s">
        <v>49</v>
      </c>
      <c r="F437" s="41">
        <v>500</v>
      </c>
      <c r="G437" s="28"/>
      <c r="H437" s="34"/>
      <c r="I437" s="15"/>
      <c r="J437" s="15"/>
      <c r="K437" s="15"/>
      <c r="L437" s="28"/>
      <c r="Q437" s="13"/>
      <c r="R437" s="15"/>
      <c r="S437" s="15"/>
      <c r="T437" s="28"/>
      <c r="Y437" s="13"/>
      <c r="Z437" s="15"/>
      <c r="AA437" s="15"/>
      <c r="AB437" s="28"/>
      <c r="AE437" s="34"/>
      <c r="AG437" s="13"/>
      <c r="AH437" s="15"/>
      <c r="AI437" s="45"/>
      <c r="AJ437" s="15"/>
      <c r="AK437" s="13"/>
      <c r="AL437" s="15"/>
      <c r="AM437" s="45"/>
      <c r="AN437" s="15"/>
      <c r="AO437" s="13"/>
      <c r="AP437" s="15"/>
      <c r="AQ437" s="34">
        <f>B432*$F$14</f>
        <v>2965</v>
      </c>
      <c r="AR437" s="15"/>
      <c r="AS437" s="13"/>
      <c r="AT437" s="15"/>
      <c r="AU437" s="45"/>
      <c r="AV437" s="15"/>
      <c r="AW437" s="13"/>
      <c r="AY437" s="45"/>
      <c r="AZ437" s="28"/>
      <c r="BA437" s="13"/>
      <c r="BB437" s="15"/>
      <c r="BC437" s="45"/>
      <c r="BD437" s="28"/>
      <c r="BE437" s="14"/>
      <c r="BF437" s="41">
        <f t="shared" ref="BF437:BG437" si="1458">K437+O437+S437+W437+AA437+AE437+AI437+AM437+AQ437+AU437+AY437+BC437</f>
        <v>2965</v>
      </c>
      <c r="BG437" s="34">
        <f t="shared" si="1458"/>
        <v>0</v>
      </c>
      <c r="BH437" s="35">
        <f t="shared" si="1443"/>
        <v>2965</v>
      </c>
    </row>
    <row r="438" ht="14.25" customHeight="1" hidden="1" spans="1:63" x14ac:dyDescent="0.25">
      <c r="A438" s="2">
        <v>48</v>
      </c>
      <c r="B438" s="14"/>
      <c r="D438" s="14" t="s">
        <v>52</v>
      </c>
      <c r="E438" s="2" t="s">
        <v>39</v>
      </c>
      <c r="F438" s="41">
        <v>500</v>
      </c>
      <c r="G438" s="28"/>
      <c r="H438" s="34">
        <f>'2019'!BH366</f>
        <v>0</v>
      </c>
      <c r="I438" s="15"/>
      <c r="J438" s="15"/>
      <c r="K438" s="15"/>
      <c r="L438" s="28"/>
      <c r="Q438" s="13"/>
      <c r="R438" s="15"/>
      <c r="S438" s="15"/>
      <c r="T438" s="28"/>
      <c r="Y438" s="13"/>
      <c r="Z438" s="15"/>
      <c r="AA438" s="34">
        <f>$F$11</f>
        <v>500</v>
      </c>
      <c r="AB438" s="28"/>
      <c r="AG438" s="13"/>
      <c r="AH438" s="15"/>
      <c r="AI438" s="45"/>
      <c r="AJ438" s="15"/>
      <c r="AK438" s="13"/>
      <c r="AL438" s="15"/>
      <c r="AM438" s="45"/>
      <c r="AN438" s="133">
        <v>500</v>
      </c>
      <c r="AO438" s="13"/>
      <c r="AP438" s="15"/>
      <c r="AQ438" s="45"/>
      <c r="AR438" s="15"/>
      <c r="AS438" s="13"/>
      <c r="AT438" s="15"/>
      <c r="AU438" s="45"/>
      <c r="AV438" s="15"/>
      <c r="AW438" s="13"/>
      <c r="AY438" s="45"/>
      <c r="AZ438" s="35"/>
      <c r="BA438" s="13"/>
      <c r="BB438" s="15"/>
      <c r="BC438" s="45"/>
      <c r="BD438" s="35"/>
      <c r="BE438" s="14"/>
      <c r="BF438" s="41">
        <f t="shared" ref="BF438:BG438" si="1459">K438+O438+S438+W438+AA438+AE438+AI438+AM438+AQ438+AU438+AY438+BC438</f>
        <v>500</v>
      </c>
      <c r="BG438" s="34">
        <f t="shared" si="1459"/>
        <v>500</v>
      </c>
      <c r="BH438" s="35">
        <f t="shared" si="1443"/>
        <v>0</v>
      </c>
      <c r="BK438" s="2" t="b">
        <f>H438='2019'!BH366</f>
        <v>1</v>
      </c>
    </row>
    <row r="439" ht="14.25" customHeight="1" hidden="1" spans="1:63" x14ac:dyDescent="0.25">
      <c r="A439" s="247">
        <v>48</v>
      </c>
      <c r="B439" s="21"/>
      <c r="C439" s="22" t="s">
        <v>53</v>
      </c>
      <c r="D439" s="21"/>
      <c r="E439" s="22"/>
      <c r="F439" s="20"/>
      <c r="G439" s="23"/>
      <c r="H439" s="51">
        <f>SUM(H431:H438)</f>
        <v>102.86</v>
      </c>
      <c r="I439" s="53"/>
      <c r="J439" s="53"/>
      <c r="K439" s="51">
        <f t="shared" ref="K439:L439" si="1460">SUM(K431:K438)</f>
        <v>0</v>
      </c>
      <c r="L439" s="68">
        <f t="shared" si="1460"/>
        <v>0</v>
      </c>
      <c r="M439" s="53"/>
      <c r="N439" s="53"/>
      <c r="O439" s="51">
        <f t="shared" ref="O439:P439" si="1461">SUM(O431:O438)</f>
        <v>0</v>
      </c>
      <c r="P439" s="51">
        <f t="shared" si="1461"/>
        <v>0</v>
      </c>
      <c r="Q439" s="52"/>
      <c r="R439" s="53"/>
      <c r="S439" s="51">
        <f t="shared" ref="S439:T439" si="1462">SUM(S431:S438)</f>
        <v>0</v>
      </c>
      <c r="T439" s="51">
        <f t="shared" si="1462"/>
        <v>0</v>
      </c>
      <c r="U439" s="52"/>
      <c r="V439" s="53"/>
      <c r="W439" s="51">
        <f t="shared" ref="W439:X439" si="1463">SUM(W431:W438)</f>
        <v>0</v>
      </c>
      <c r="X439" s="51">
        <f t="shared" si="1463"/>
        <v>0</v>
      </c>
      <c r="Y439" s="52"/>
      <c r="Z439" s="53"/>
      <c r="AA439" s="51">
        <f t="shared" ref="AA439:AB439" si="1464">SUM(AA431:AA438)</f>
        <v>500</v>
      </c>
      <c r="AB439" s="51">
        <f t="shared" si="1464"/>
        <v>0</v>
      </c>
      <c r="AC439" s="52"/>
      <c r="AD439" s="53"/>
      <c r="AE439" s="51">
        <f t="shared" ref="AE439:AF439" si="1465">SUM(AE431:AE438)</f>
        <v>6652.92</v>
      </c>
      <c r="AF439" s="51">
        <f t="shared" si="1465"/>
        <v>0</v>
      </c>
      <c r="AG439" s="52"/>
      <c r="AH439" s="53"/>
      <c r="AI439" s="183">
        <f t="shared" ref="AI439:AJ439" si="1466">SUM(AI431:AI438)</f>
        <v>272.44</v>
      </c>
      <c r="AJ439" s="51">
        <f t="shared" si="1466"/>
        <v>0</v>
      </c>
      <c r="AK439" s="52"/>
      <c r="AL439" s="53"/>
      <c r="AM439" s="183">
        <f t="shared" ref="AM439:AN439" si="1467">SUM(AM431:AM438)</f>
        <v>116.76</v>
      </c>
      <c r="AN439" s="51">
        <f t="shared" si="1467"/>
        <v>7650</v>
      </c>
      <c r="AO439" s="52"/>
      <c r="AP439" s="53"/>
      <c r="AQ439" s="183">
        <f t="shared" ref="AQ439:AR439" si="1468">SUM(AQ431:AQ438)</f>
        <v>3465</v>
      </c>
      <c r="AR439" s="51">
        <f t="shared" si="1468"/>
        <v>0</v>
      </c>
      <c r="AS439" s="52"/>
      <c r="AT439" s="53"/>
      <c r="AU439" s="183">
        <f t="shared" ref="AU439:AV439" si="1469">SUM(AU431:AU438)</f>
        <v>0</v>
      </c>
      <c r="AV439" s="68">
        <f t="shared" si="1469"/>
        <v>0</v>
      </c>
      <c r="AW439" s="52"/>
      <c r="AX439" s="53"/>
      <c r="AY439" s="183">
        <f t="shared" ref="AY439:AZ439" si="1470">SUM(AY431:AY438)</f>
        <v>0</v>
      </c>
      <c r="AZ439" s="68">
        <f t="shared" si="1470"/>
        <v>0</v>
      </c>
      <c r="BA439" s="52"/>
      <c r="BB439" s="53"/>
      <c r="BC439" s="183">
        <f t="shared" ref="BC439:BD439" si="1471">SUM(BC431:BC438)</f>
        <v>0</v>
      </c>
      <c r="BD439" s="68">
        <f t="shared" si="1471"/>
        <v>0</v>
      </c>
      <c r="BE439" s="69"/>
      <c r="BF439" s="70">
        <f t="shared" ref="BF439:BH439" si="1472">SUM(BF431:BF438)</f>
        <v>11007.12</v>
      </c>
      <c r="BG439" s="71">
        <f t="shared" si="1472"/>
        <v>7650</v>
      </c>
      <c r="BH439" s="72">
        <f t="shared" si="1472"/>
        <v>3459.98</v>
      </c>
      <c r="BI439" s="34">
        <f>H439+BF439-BG439</f>
        <v>3459.98</v>
      </c>
      <c r="BJ439" s="34">
        <f>BH439-BI439</f>
        <v>0</v>
      </c>
      <c r="BK439" s="2" t="b">
        <f>H439='2019'!BH367</f>
        <v>0</v>
      </c>
    </row>
    <row r="440" ht="14.25" customHeight="1" hidden="1" spans="1:63" x14ac:dyDescent="0.25">
      <c r="A440" s="2">
        <v>49</v>
      </c>
      <c r="B440" s="14"/>
      <c r="D440" s="14" t="s">
        <v>379</v>
      </c>
      <c r="F440" s="13"/>
      <c r="G440" s="28"/>
      <c r="H440" s="34">
        <f>'2019'!BH368</f>
        <v>0</v>
      </c>
      <c r="J440" s="15"/>
      <c r="K440" s="15"/>
      <c r="L440" s="28"/>
      <c r="Q440" s="13"/>
      <c r="R440" s="15"/>
      <c r="S440" s="15"/>
      <c r="T440" s="28"/>
      <c r="Y440" s="13"/>
      <c r="Z440" s="15"/>
      <c r="AA440" s="15"/>
      <c r="AB440" s="28"/>
      <c r="AG440" s="13"/>
      <c r="AH440" s="15"/>
      <c r="AI440" s="45"/>
      <c r="AJ440" s="15"/>
      <c r="AK440" s="13"/>
      <c r="AM440" s="45"/>
      <c r="AO440" s="13"/>
      <c r="AQ440" s="45"/>
      <c r="AS440" s="13"/>
      <c r="AU440" s="45"/>
      <c r="AW440" s="13"/>
      <c r="AY440" s="45"/>
      <c r="AZ440" s="28"/>
      <c r="BA440" s="13"/>
      <c r="BB440" s="15"/>
      <c r="BC440" s="45"/>
      <c r="BD440" s="28"/>
      <c r="BE440" s="14"/>
      <c r="BF440" s="41">
        <f t="shared" ref="BF440:BG440" si="1473">K440+O440+S440+W440+AA440+AE440+AI440+AM440+AQ440+AU440+AY440+BC440</f>
        <v>0</v>
      </c>
      <c r="BG440" s="34">
        <f t="shared" si="1473"/>
        <v>0</v>
      </c>
      <c r="BH440" s="35">
        <f t="shared" ref="BH440:BH447" si="1474">H440+BF440-BG440</f>
        <v>0</v>
      </c>
      <c r="BK440" s="2" t="b">
        <f>H440='2019'!BH368</f>
        <v>1</v>
      </c>
    </row>
    <row r="441" ht="14.25" customHeight="1" hidden="1" spans="1:63" x14ac:dyDescent="0.25">
      <c r="A441" s="2">
        <v>49</v>
      </c>
      <c r="B441" s="14">
        <v>5.03</v>
      </c>
      <c r="C441" s="2" t="s">
        <v>197</v>
      </c>
      <c r="D441" s="14" t="s">
        <v>44</v>
      </c>
      <c r="E441" s="2" t="s">
        <v>45</v>
      </c>
      <c r="F441" s="41">
        <v>2.5</v>
      </c>
      <c r="G441" s="35">
        <v>2.6</v>
      </c>
      <c r="H441" s="104">
        <f>'2019'!BH369</f>
        <v>0</v>
      </c>
      <c r="I441" s="15"/>
      <c r="J441" s="15"/>
      <c r="K441" s="34">
        <f>J441*$F$8</f>
        <v>0</v>
      </c>
      <c r="L441" s="28"/>
      <c r="N441" s="15"/>
      <c r="O441" s="34">
        <f>N441*$F$8</f>
        <v>0</v>
      </c>
      <c r="Q441" s="13"/>
      <c r="R441" s="15">
        <f>Q441-M441</f>
        <v>0</v>
      </c>
      <c r="S441" s="34">
        <f>R441*$F$8</f>
        <v>0</v>
      </c>
      <c r="T441" s="28"/>
      <c r="V441" s="15">
        <f t="shared" ref="V441:V442" si="1475">U441-Q441</f>
        <v>0</v>
      </c>
      <c r="W441" s="34">
        <f>V441*$F$8</f>
        <v>0</v>
      </c>
      <c r="Y441" s="13"/>
      <c r="Z441" s="15">
        <f t="shared" ref="Z441:Z442" si="1476">Y441-U441</f>
        <v>0</v>
      </c>
      <c r="AA441" s="34">
        <f>Z441*$F$8</f>
        <v>0</v>
      </c>
      <c r="AB441" s="28"/>
      <c r="AC441" s="15"/>
      <c r="AD441" s="15">
        <f t="shared" ref="AD441:AD442" si="1477">AC441-Y441</f>
        <v>0</v>
      </c>
      <c r="AE441" s="34">
        <f>AD441*$F$8</f>
        <v>0</v>
      </c>
      <c r="AG441" s="13"/>
      <c r="AH441" s="15">
        <f t="shared" ref="AH441:AH442" si="1478">AG441-AC441</f>
        <v>0</v>
      </c>
      <c r="AI441" s="45">
        <f>AH441*$G$8</f>
        <v>0</v>
      </c>
      <c r="AJ441" s="15"/>
      <c r="AK441" s="13">
        <v>0</v>
      </c>
      <c r="AL441" s="15">
        <f t="shared" ref="AL441:AL442" si="1479">AK441-AG441</f>
        <v>0</v>
      </c>
      <c r="AM441" s="45">
        <f>AL441*$G$8</f>
        <v>0</v>
      </c>
      <c r="AN441" s="15"/>
      <c r="AO441" s="13">
        <v>0</v>
      </c>
      <c r="AP441" s="15">
        <f t="shared" ref="AP441:AP442" si="1480">AO441-AK441</f>
        <v>0</v>
      </c>
      <c r="AQ441" s="45">
        <f>AP441*$G$8</f>
        <v>0</v>
      </c>
      <c r="AR441" s="15"/>
      <c r="AS441" s="13">
        <v>0</v>
      </c>
      <c r="AT441" s="15">
        <f t="shared" ref="AT441:AT442" si="1481">AS441-AO441</f>
        <v>0</v>
      </c>
      <c r="AU441" s="45">
        <f>AT441*$G$8</f>
        <v>0</v>
      </c>
      <c r="AV441" s="15"/>
      <c r="AW441" s="13">
        <v>0</v>
      </c>
      <c r="AX441" s="2">
        <f t="shared" ref="AX441:AX442" si="1482">AW441-AS441</f>
        <v>0</v>
      </c>
      <c r="AY441" s="45">
        <f>AX441*$G$8</f>
        <v>0</v>
      </c>
      <c r="AZ441" s="208"/>
      <c r="BA441" s="13">
        <v>0</v>
      </c>
      <c r="BB441" s="15">
        <f t="shared" ref="BB441:BB442" si="1483">BA441-AW441</f>
        <v>0</v>
      </c>
      <c r="BC441" s="45">
        <f>BB441*$G$8</f>
        <v>0</v>
      </c>
      <c r="BD441" s="208"/>
      <c r="BE441" s="40">
        <f t="shared" ref="BE441:BG441" si="1484">J441+N441+R441+V441+Z441+AD441+AH441+AL441+AP441+AT441+AX441+BB441</f>
        <v>0</v>
      </c>
      <c r="BF441" s="41">
        <f t="shared" si="1484"/>
        <v>0</v>
      </c>
      <c r="BG441" s="34">
        <f t="shared" si="1484"/>
        <v>0</v>
      </c>
      <c r="BH441" s="35">
        <f t="shared" si="1474"/>
        <v>0</v>
      </c>
      <c r="BK441" s="2" t="b">
        <f>H441='2019'!BH369</f>
        <v>1</v>
      </c>
    </row>
    <row r="442" ht="14.25" customHeight="1" hidden="1" spans="1:63" x14ac:dyDescent="0.25">
      <c r="A442" s="2">
        <v>49</v>
      </c>
      <c r="B442" s="14"/>
      <c r="C442" s="2" t="s">
        <v>198</v>
      </c>
      <c r="D442" s="14" t="s">
        <v>47</v>
      </c>
      <c r="E442" s="2" t="s">
        <v>48</v>
      </c>
      <c r="F442" s="13">
        <v>18.56</v>
      </c>
      <c r="G442" s="35">
        <v>19.46</v>
      </c>
      <c r="H442" s="34">
        <f>'2019'!BH370</f>
        <v>-20.7</v>
      </c>
      <c r="I442" s="15">
        <v>167</v>
      </c>
      <c r="J442" s="15"/>
      <c r="K442" s="15"/>
      <c r="L442" s="28"/>
      <c r="M442" s="2">
        <v>167</v>
      </c>
      <c r="Q442" s="13">
        <v>167</v>
      </c>
      <c r="R442" s="15"/>
      <c r="S442" s="15"/>
      <c r="T442" s="28"/>
      <c r="U442" s="2">
        <v>168</v>
      </c>
      <c r="V442" s="2">
        <f t="shared" si="1475"/>
        <v>1</v>
      </c>
      <c r="W442" s="2">
        <f>V442*$F$10</f>
        <v>18.56</v>
      </c>
      <c r="Y442" s="13">
        <v>172</v>
      </c>
      <c r="Z442" s="15">
        <f t="shared" si="1476"/>
        <v>4</v>
      </c>
      <c r="AA442" s="34">
        <f>Z442*$F$10</f>
        <v>74.24</v>
      </c>
      <c r="AB442" s="28"/>
      <c r="AC442" s="15">
        <v>178</v>
      </c>
      <c r="AD442" s="15">
        <f t="shared" si="1477"/>
        <v>6</v>
      </c>
      <c r="AE442" s="34">
        <f>AD442*$F$10</f>
        <v>111.36</v>
      </c>
      <c r="AF442" s="133">
        <f>183.46+3.54</f>
        <v>187</v>
      </c>
      <c r="AG442" s="13">
        <v>193</v>
      </c>
      <c r="AH442" s="15">
        <f t="shared" si="1478"/>
        <v>15</v>
      </c>
      <c r="AI442" s="45">
        <f>AH442*$G$10</f>
        <v>291.9</v>
      </c>
      <c r="AJ442" s="185">
        <v>300</v>
      </c>
      <c r="AK442" s="13">
        <v>200</v>
      </c>
      <c r="AL442" s="15">
        <f t="shared" si="1479"/>
        <v>7</v>
      </c>
      <c r="AM442" s="45">
        <f>AL442*$G$10</f>
        <v>136.22</v>
      </c>
      <c r="AN442" s="133">
        <v>150</v>
      </c>
      <c r="AO442" s="13">
        <v>200</v>
      </c>
      <c r="AP442" s="15">
        <f t="shared" si="1480"/>
        <v>0</v>
      </c>
      <c r="AQ442" s="45">
        <f>AP442*$G$10</f>
        <v>0</v>
      </c>
      <c r="AR442" s="15"/>
      <c r="AS442" s="13">
        <v>200</v>
      </c>
      <c r="AT442" s="15">
        <f t="shared" si="1481"/>
        <v>0</v>
      </c>
      <c r="AU442" s="45">
        <f>AT442*$G$10</f>
        <v>0</v>
      </c>
      <c r="AV442" s="15"/>
      <c r="AW442" s="13">
        <v>200</v>
      </c>
      <c r="AX442" s="2">
        <f t="shared" si="1482"/>
        <v>0</v>
      </c>
      <c r="AY442" s="45"/>
      <c r="AZ442" s="208"/>
      <c r="BA442" s="13">
        <v>200</v>
      </c>
      <c r="BB442" s="15">
        <f t="shared" si="1483"/>
        <v>0</v>
      </c>
      <c r="BC442" s="45"/>
      <c r="BD442" s="208"/>
      <c r="BE442" s="40">
        <f t="shared" ref="BE442:BG442" si="1485">J442+N442+R442+V442+Z442+AD442+AH442+AL442+AP442+AT442+AX442+BB442</f>
        <v>33</v>
      </c>
      <c r="BF442" s="41">
        <f t="shared" si="1485"/>
        <v>632.28</v>
      </c>
      <c r="BG442" s="34">
        <f t="shared" si="1485"/>
        <v>637</v>
      </c>
      <c r="BH442" s="35">
        <f t="shared" si="1474"/>
        <v>-25.42</v>
      </c>
      <c r="BK442" s="2" t="b">
        <f>H442='2019'!BH370</f>
        <v>1</v>
      </c>
    </row>
    <row r="443" ht="14.25" customHeight="1" hidden="1" spans="1:63" x14ac:dyDescent="0.25">
      <c r="A443" s="2">
        <v>49</v>
      </c>
      <c r="B443" s="14"/>
      <c r="C443" s="2" t="s">
        <v>164</v>
      </c>
      <c r="D443" s="14" t="s">
        <v>47</v>
      </c>
      <c r="E443" s="2" t="s">
        <v>49</v>
      </c>
      <c r="F443" s="41">
        <v>500</v>
      </c>
      <c r="G443" s="28"/>
      <c r="H443" s="34">
        <f>'2019'!BH371</f>
        <v>0</v>
      </c>
      <c r="I443" s="15"/>
      <c r="J443" s="15"/>
      <c r="K443" s="15"/>
      <c r="L443" s="28"/>
      <c r="Q443" s="13"/>
      <c r="R443" s="15"/>
      <c r="S443" s="15"/>
      <c r="T443" s="28"/>
      <c r="Y443" s="13"/>
      <c r="Z443" s="15"/>
      <c r="AA443" s="15"/>
      <c r="AB443" s="28"/>
      <c r="AG443" s="13"/>
      <c r="AH443" s="15"/>
      <c r="AI443" s="45"/>
      <c r="AJ443" s="15"/>
      <c r="AK443" s="13"/>
      <c r="AL443" s="15"/>
      <c r="AM443" s="45"/>
      <c r="AN443" s="15"/>
      <c r="AO443" s="13"/>
      <c r="AP443" s="15"/>
      <c r="AQ443" s="45"/>
      <c r="AR443" s="15"/>
      <c r="AS443" s="13"/>
      <c r="AT443" s="15"/>
      <c r="AU443" s="45"/>
      <c r="AV443" s="15"/>
      <c r="AW443" s="13"/>
      <c r="AY443" s="45"/>
      <c r="AZ443" s="28"/>
      <c r="BA443" s="13"/>
      <c r="BB443" s="15"/>
      <c r="BC443" s="45"/>
      <c r="BD443" s="28"/>
      <c r="BE443" s="14"/>
      <c r="BF443" s="41">
        <f t="shared" ref="BF443:BG443" si="1486">K443+O443+S443+W443+AA443+AE443+AI443+AM443+AQ443+AU443+AY443+BC443</f>
        <v>0</v>
      </c>
      <c r="BG443" s="34">
        <f t="shared" si="1486"/>
        <v>0</v>
      </c>
      <c r="BH443" s="35">
        <f t="shared" si="1474"/>
        <v>0</v>
      </c>
      <c r="BK443" s="2" t="b">
        <f>H443='2019'!BH371</f>
        <v>1</v>
      </c>
    </row>
    <row r="444" ht="14.25" customHeight="1" hidden="1" spans="1:63" x14ac:dyDescent="0.25">
      <c r="A444" s="2">
        <v>49</v>
      </c>
      <c r="B444" s="14"/>
      <c r="C444" s="2" t="s">
        <v>199</v>
      </c>
      <c r="D444" s="14" t="s">
        <v>50</v>
      </c>
      <c r="E444" s="2" t="s">
        <v>49</v>
      </c>
      <c r="F444" s="41">
        <v>1100</v>
      </c>
      <c r="G444" s="28"/>
      <c r="H444" s="182">
        <f>'2019'!BH372+0.0036</f>
        <v>0</v>
      </c>
      <c r="I444" s="15"/>
      <c r="J444" s="15"/>
      <c r="K444" s="15"/>
      <c r="L444" s="28"/>
      <c r="Q444" s="13"/>
      <c r="R444" s="15"/>
      <c r="S444" s="15"/>
      <c r="T444" s="28"/>
      <c r="Y444" s="13"/>
      <c r="Z444" s="15"/>
      <c r="AA444" s="15"/>
      <c r="AB444" s="28"/>
      <c r="AE444" s="34">
        <f>B441*$F$12</f>
        <v>5533</v>
      </c>
      <c r="AF444" s="133">
        <v>5533</v>
      </c>
      <c r="AG444" s="13"/>
      <c r="AH444" s="15"/>
      <c r="AI444" s="45"/>
      <c r="AJ444" s="15"/>
      <c r="AK444" s="13"/>
      <c r="AL444" s="15"/>
      <c r="AM444" s="45"/>
      <c r="AN444" s="15"/>
      <c r="AO444" s="13"/>
      <c r="AP444" s="15"/>
      <c r="AQ444" s="45"/>
      <c r="AR444" s="15"/>
      <c r="AS444" s="13"/>
      <c r="AT444" s="15"/>
      <c r="AU444" s="45"/>
      <c r="AV444" s="15"/>
      <c r="AW444" s="13"/>
      <c r="AY444" s="45"/>
      <c r="AZ444" s="28"/>
      <c r="BA444" s="13"/>
      <c r="BB444" s="15"/>
      <c r="BC444" s="45"/>
      <c r="BD444" s="28"/>
      <c r="BE444" s="14"/>
      <c r="BF444" s="41">
        <f t="shared" ref="BF444:BG444" si="1487">K444+O444+S444+W444+AA444+AE444+AI444+AM444+AQ444+AU444+AY444+BC444</f>
        <v>5533</v>
      </c>
      <c r="BG444" s="34">
        <f t="shared" si="1487"/>
        <v>5533</v>
      </c>
      <c r="BH444" s="35">
        <f t="shared" si="1474"/>
        <v>0</v>
      </c>
      <c r="BK444" s="2" t="b">
        <f>H444='2019'!BH372</f>
        <v>0</v>
      </c>
    </row>
    <row r="445" ht="14.25" customHeight="1" hidden="1" spans="1:63" x14ac:dyDescent="0.25">
      <c r="A445" s="2">
        <v>49</v>
      </c>
      <c r="B445" s="14"/>
      <c r="D445" s="14" t="s">
        <v>51</v>
      </c>
      <c r="E445" s="2" t="s">
        <v>39</v>
      </c>
      <c r="F445" s="41">
        <v>500</v>
      </c>
      <c r="G445" s="28"/>
      <c r="H445" s="34">
        <f>'2019'!BH373</f>
        <v>0</v>
      </c>
      <c r="I445" s="15"/>
      <c r="J445" s="15"/>
      <c r="K445" s="15"/>
      <c r="L445" s="28"/>
      <c r="Q445" s="13"/>
      <c r="R445" s="15"/>
      <c r="S445" s="15"/>
      <c r="T445" s="28"/>
      <c r="Y445" s="13"/>
      <c r="Z445" s="15"/>
      <c r="AA445" s="15"/>
      <c r="AB445" s="28"/>
      <c r="AE445" s="34"/>
      <c r="AF445" s="34"/>
      <c r="AG445" s="13"/>
      <c r="AH445" s="15"/>
      <c r="AI445" s="45"/>
      <c r="AJ445" s="15"/>
      <c r="AK445" s="13"/>
      <c r="AL445" s="15"/>
      <c r="AM445" s="45"/>
      <c r="AN445" s="15"/>
      <c r="AO445" s="13"/>
      <c r="AP445" s="15"/>
      <c r="AQ445" s="45">
        <f>$F$13</f>
        <v>500</v>
      </c>
      <c r="AR445" s="15"/>
      <c r="AS445" s="13"/>
      <c r="AT445" s="15"/>
      <c r="AU445" s="45"/>
      <c r="AV445" s="15"/>
      <c r="AW445" s="13"/>
      <c r="AY445" s="45"/>
      <c r="AZ445" s="28"/>
      <c r="BA445" s="13"/>
      <c r="BB445" s="15"/>
      <c r="BC445" s="45"/>
      <c r="BD445" s="28"/>
      <c r="BE445" s="14"/>
      <c r="BF445" s="41">
        <f t="shared" ref="BF445:BG445" si="1488">K445+O445+S445+W445+AA445+AE445+AI445+AM445+AQ445+AU445+AY445+BC445</f>
        <v>500</v>
      </c>
      <c r="BG445" s="34">
        <f t="shared" si="1488"/>
        <v>0</v>
      </c>
      <c r="BH445" s="35">
        <f t="shared" si="1474"/>
        <v>500</v>
      </c>
      <c r="BK445" s="2" t="b">
        <f>H445='2019'!BH373</f>
        <v>1</v>
      </c>
    </row>
    <row r="446" ht="14.25" customHeight="1" hidden="1" spans="1:60" x14ac:dyDescent="0.25">
      <c r="A446" s="2">
        <v>49</v>
      </c>
      <c r="B446" s="14"/>
      <c r="D446" s="14" t="s">
        <v>51</v>
      </c>
      <c r="E446" s="2" t="s">
        <v>49</v>
      </c>
      <c r="F446" s="41">
        <v>500</v>
      </c>
      <c r="G446" s="28"/>
      <c r="H446" s="34"/>
      <c r="I446" s="15"/>
      <c r="J446" s="15"/>
      <c r="K446" s="15"/>
      <c r="L446" s="28"/>
      <c r="Q446" s="13"/>
      <c r="R446" s="15"/>
      <c r="S446" s="15"/>
      <c r="T446" s="28"/>
      <c r="Y446" s="13"/>
      <c r="Z446" s="15"/>
      <c r="AA446" s="15"/>
      <c r="AB446" s="28"/>
      <c r="AE446" s="34"/>
      <c r="AF446" s="34"/>
      <c r="AG446" s="13"/>
      <c r="AH446" s="15"/>
      <c r="AI446" s="45"/>
      <c r="AJ446" s="15"/>
      <c r="AK446" s="13"/>
      <c r="AL446" s="15"/>
      <c r="AM446" s="45"/>
      <c r="AN446" s="15"/>
      <c r="AO446" s="13"/>
      <c r="AP446" s="15"/>
      <c r="AQ446" s="34">
        <f>B441*$F$14</f>
        <v>2515</v>
      </c>
      <c r="AR446" s="15"/>
      <c r="AS446" s="13"/>
      <c r="AT446" s="15"/>
      <c r="AU446" s="45"/>
      <c r="AV446" s="15"/>
      <c r="AW446" s="13"/>
      <c r="AY446" s="45"/>
      <c r="AZ446" s="28"/>
      <c r="BA446" s="13"/>
      <c r="BB446" s="15"/>
      <c r="BC446" s="45"/>
      <c r="BD446" s="28"/>
      <c r="BE446" s="14"/>
      <c r="BF446" s="41">
        <f t="shared" ref="BF446:BG446" si="1489">K446+O446+S446+W446+AA446+AE446+AI446+AM446+AQ446+AU446+AY446+BC446</f>
        <v>2515</v>
      </c>
      <c r="BG446" s="34">
        <f t="shared" si="1489"/>
        <v>0</v>
      </c>
      <c r="BH446" s="35">
        <f t="shared" si="1474"/>
        <v>2515</v>
      </c>
    </row>
    <row r="447" ht="14.25" customHeight="1" hidden="1" spans="1:63" x14ac:dyDescent="0.25">
      <c r="A447" s="2">
        <v>49</v>
      </c>
      <c r="B447" s="14"/>
      <c r="D447" s="14" t="s">
        <v>52</v>
      </c>
      <c r="E447" s="2" t="s">
        <v>39</v>
      </c>
      <c r="F447" s="41">
        <v>500</v>
      </c>
      <c r="G447" s="28"/>
      <c r="H447" s="34">
        <f>'2019'!BH374</f>
        <v>0</v>
      </c>
      <c r="I447" s="15"/>
      <c r="J447" s="15"/>
      <c r="K447" s="15"/>
      <c r="L447" s="28"/>
      <c r="Q447" s="13"/>
      <c r="R447" s="15"/>
      <c r="S447" s="15"/>
      <c r="T447" s="28"/>
      <c r="Y447" s="13"/>
      <c r="Z447" s="15"/>
      <c r="AA447" s="34">
        <f>$F$11</f>
        <v>500</v>
      </c>
      <c r="AB447" s="35"/>
      <c r="AF447" s="133">
        <v>500</v>
      </c>
      <c r="AG447" s="13"/>
      <c r="AH447" s="15"/>
      <c r="AI447" s="45"/>
      <c r="AJ447" s="15"/>
      <c r="AK447" s="13"/>
      <c r="AL447" s="15"/>
      <c r="AM447" s="45"/>
      <c r="AN447" s="15"/>
      <c r="AO447" s="13"/>
      <c r="AP447" s="15"/>
      <c r="AQ447" s="45"/>
      <c r="AR447" s="15"/>
      <c r="AS447" s="13"/>
      <c r="AT447" s="15"/>
      <c r="AU447" s="45"/>
      <c r="AV447" s="15"/>
      <c r="AW447" s="13"/>
      <c r="AY447" s="45"/>
      <c r="AZ447" s="35"/>
      <c r="BA447" s="13"/>
      <c r="BB447" s="15"/>
      <c r="BC447" s="45"/>
      <c r="BD447" s="35"/>
      <c r="BE447" s="14"/>
      <c r="BF447" s="41">
        <f t="shared" ref="BF447:BG447" si="1490">K447+O447+S447+W447+AA447+AE447+AI447+AM447+AQ447+AU447+AY447+BC447</f>
        <v>500</v>
      </c>
      <c r="BG447" s="34">
        <f t="shared" si="1490"/>
        <v>500</v>
      </c>
      <c r="BH447" s="35">
        <f t="shared" si="1474"/>
        <v>0</v>
      </c>
      <c r="BK447" s="2" t="b">
        <f>H447='2019'!BH374</f>
        <v>1</v>
      </c>
    </row>
    <row r="448" ht="14.25" customHeight="1" hidden="1" spans="1:63" x14ac:dyDescent="0.25">
      <c r="A448" s="247">
        <v>49</v>
      </c>
      <c r="B448" s="21"/>
      <c r="C448" s="22" t="s">
        <v>53</v>
      </c>
      <c r="D448" s="21"/>
      <c r="E448" s="22"/>
      <c r="F448" s="20"/>
      <c r="G448" s="23"/>
      <c r="H448" s="51">
        <f>SUM(H440:H447)</f>
        <v>-20.7</v>
      </c>
      <c r="I448" s="53"/>
      <c r="J448" s="53"/>
      <c r="K448" s="51">
        <f t="shared" ref="K448:L448" si="1491">SUM(K440:K447)</f>
        <v>0</v>
      </c>
      <c r="L448" s="68">
        <f t="shared" si="1491"/>
        <v>0</v>
      </c>
      <c r="M448" s="53"/>
      <c r="N448" s="53"/>
      <c r="O448" s="51">
        <f t="shared" ref="O448:P448" si="1492">SUM(O440:O447)</f>
        <v>0</v>
      </c>
      <c r="P448" s="51">
        <f t="shared" si="1492"/>
        <v>0</v>
      </c>
      <c r="Q448" s="52"/>
      <c r="R448" s="53"/>
      <c r="S448" s="51">
        <f t="shared" ref="S448:T448" si="1493">SUM(S440:S447)</f>
        <v>0</v>
      </c>
      <c r="T448" s="51">
        <f t="shared" si="1493"/>
        <v>0</v>
      </c>
      <c r="U448" s="52"/>
      <c r="V448" s="53"/>
      <c r="W448" s="51">
        <f t="shared" ref="W448:X448" si="1494">SUM(W440:W447)</f>
        <v>18.56</v>
      </c>
      <c r="X448" s="51">
        <f t="shared" si="1494"/>
        <v>0</v>
      </c>
      <c r="Y448" s="52"/>
      <c r="Z448" s="53"/>
      <c r="AA448" s="51">
        <f t="shared" ref="AA448:AB448" si="1495">SUM(AA440:AA447)</f>
        <v>574.24</v>
      </c>
      <c r="AB448" s="51">
        <f t="shared" si="1495"/>
        <v>0</v>
      </c>
      <c r="AC448" s="52"/>
      <c r="AD448" s="53"/>
      <c r="AE448" s="51">
        <f t="shared" ref="AE448:AF448" si="1496">SUM(AE440:AE447)</f>
        <v>5644.36</v>
      </c>
      <c r="AF448" s="51">
        <f t="shared" si="1496"/>
        <v>6220</v>
      </c>
      <c r="AG448" s="52"/>
      <c r="AH448" s="53"/>
      <c r="AI448" s="183">
        <f t="shared" ref="AI448:AJ448" si="1497">SUM(AI440:AI447)</f>
        <v>291.9</v>
      </c>
      <c r="AJ448" s="51">
        <f t="shared" si="1497"/>
        <v>300</v>
      </c>
      <c r="AK448" s="52"/>
      <c r="AL448" s="53"/>
      <c r="AM448" s="183">
        <f t="shared" ref="AM448:AN448" si="1498">SUM(AM440:AM447)</f>
        <v>136.22</v>
      </c>
      <c r="AN448" s="51">
        <f t="shared" si="1498"/>
        <v>150</v>
      </c>
      <c r="AO448" s="52"/>
      <c r="AP448" s="53"/>
      <c r="AQ448" s="183">
        <f t="shared" ref="AQ448:AR448" si="1499">SUM(AQ440:AQ447)</f>
        <v>3015</v>
      </c>
      <c r="AR448" s="51">
        <f t="shared" si="1499"/>
        <v>0</v>
      </c>
      <c r="AS448" s="52"/>
      <c r="AT448" s="53"/>
      <c r="AU448" s="183">
        <f t="shared" ref="AU448:AV448" si="1500">SUM(AU440:AU447)</f>
        <v>0</v>
      </c>
      <c r="AV448" s="68">
        <f t="shared" si="1500"/>
        <v>0</v>
      </c>
      <c r="AW448" s="52"/>
      <c r="AX448" s="53"/>
      <c r="AY448" s="183">
        <f t="shared" ref="AY448:AZ448" si="1501">SUM(AY440:AY447)</f>
        <v>0</v>
      </c>
      <c r="AZ448" s="68">
        <f t="shared" si="1501"/>
        <v>0</v>
      </c>
      <c r="BA448" s="52"/>
      <c r="BB448" s="53"/>
      <c r="BC448" s="183">
        <f t="shared" ref="BC448:BD448" si="1502">SUM(BC440:BC447)</f>
        <v>0</v>
      </c>
      <c r="BD448" s="68">
        <f t="shared" si="1502"/>
        <v>0</v>
      </c>
      <c r="BE448" s="69"/>
      <c r="BF448" s="70">
        <f t="shared" ref="BF448:BH448" si="1503">SUM(BF440:BF447)</f>
        <v>9680.28</v>
      </c>
      <c r="BG448" s="71">
        <f t="shared" si="1503"/>
        <v>6670</v>
      </c>
      <c r="BH448" s="72">
        <f t="shared" si="1503"/>
        <v>2989.58</v>
      </c>
      <c r="BI448" s="34">
        <f>H448+BF448-BG448</f>
        <v>2989.58</v>
      </c>
      <c r="BJ448" s="34">
        <f>BH448-BI448</f>
        <v>0</v>
      </c>
      <c r="BK448" s="2" t="b">
        <f>H448='2019'!BH375</f>
        <v>0</v>
      </c>
    </row>
    <row r="449" ht="14.25" customHeight="1" hidden="1" spans="1:63" x14ac:dyDescent="0.25">
      <c r="A449" s="2">
        <v>50</v>
      </c>
      <c r="B449" s="14"/>
      <c r="D449" s="178" t="s">
        <v>486</v>
      </c>
      <c r="F449" s="13"/>
      <c r="G449" s="28"/>
      <c r="H449" s="34">
        <f>'2019'!BH376</f>
        <v>4.02</v>
      </c>
      <c r="J449" s="15"/>
      <c r="K449" s="15"/>
      <c r="L449" s="28"/>
      <c r="Q449" s="13"/>
      <c r="R449" s="15"/>
      <c r="S449" s="15"/>
      <c r="T449" s="28"/>
      <c r="W449" s="152">
        <v>65.5</v>
      </c>
      <c r="Y449" s="13"/>
      <c r="Z449" s="15"/>
      <c r="AA449" s="15"/>
      <c r="AB449" s="35">
        <v>70</v>
      </c>
      <c r="AG449" s="13"/>
      <c r="AH449" s="15"/>
      <c r="AI449" s="45"/>
      <c r="AJ449" s="15"/>
      <c r="AK449" s="13"/>
      <c r="AM449" s="45"/>
      <c r="AN449" s="15"/>
      <c r="AO449" s="13"/>
      <c r="AQ449" s="45"/>
      <c r="AR449" s="15"/>
      <c r="AS449" s="13"/>
      <c r="AU449" s="45"/>
      <c r="AV449" s="15"/>
      <c r="AW449" s="13"/>
      <c r="AY449" s="45"/>
      <c r="AZ449" s="28"/>
      <c r="BA449" s="13"/>
      <c r="BB449" s="15"/>
      <c r="BC449" s="45"/>
      <c r="BD449" s="28"/>
      <c r="BE449" s="14"/>
      <c r="BF449" s="41">
        <f t="shared" ref="BF449:BG449" si="1504">K449+O449+S449+W449+AA449+AE449+AI449+AM449+AQ449+AU449+AY449+BC449</f>
        <v>65.5</v>
      </c>
      <c r="BG449" s="34">
        <f t="shared" si="1504"/>
        <v>70</v>
      </c>
      <c r="BH449" s="35">
        <f t="shared" ref="BH449:BH456" si="1505">H449+BF449-BG449</f>
        <v>-0.48</v>
      </c>
      <c r="BK449" s="2" t="b">
        <f>H449='2019'!BH376</f>
        <v>1</v>
      </c>
    </row>
    <row r="450" ht="14.25" customHeight="1" hidden="1" spans="1:63" x14ac:dyDescent="0.25">
      <c r="A450" s="2">
        <v>50</v>
      </c>
      <c r="B450" s="14">
        <v>6.05</v>
      </c>
      <c r="C450" s="15" t="s">
        <v>200</v>
      </c>
      <c r="D450" s="14" t="s">
        <v>44</v>
      </c>
      <c r="E450" s="2" t="s">
        <v>45</v>
      </c>
      <c r="F450" s="41">
        <v>2.5</v>
      </c>
      <c r="G450" s="35">
        <v>2.6</v>
      </c>
      <c r="H450" s="34">
        <f>'2019'!BH377</f>
        <v>52.5</v>
      </c>
      <c r="I450" s="13">
        <v>2469</v>
      </c>
      <c r="J450" s="15">
        <f>I450-'2019'!BA377</f>
        <v>63</v>
      </c>
      <c r="K450" s="34">
        <f>J450*$F$8</f>
        <v>157.5</v>
      </c>
      <c r="L450" s="28"/>
      <c r="M450" s="15">
        <v>2507</v>
      </c>
      <c r="N450" s="15">
        <f>M450-I450</f>
        <v>38</v>
      </c>
      <c r="O450" s="34">
        <f>N450*$F$8</f>
        <v>95</v>
      </c>
      <c r="P450" s="39">
        <v>160</v>
      </c>
      <c r="Q450" s="13">
        <v>2528</v>
      </c>
      <c r="R450" s="15">
        <f>Q450-M450</f>
        <v>21</v>
      </c>
      <c r="S450" s="34">
        <f>R450*$F$8</f>
        <v>52.5</v>
      </c>
      <c r="T450" s="38">
        <v>150</v>
      </c>
      <c r="U450" s="15">
        <v>2552</v>
      </c>
      <c r="V450" s="15">
        <f t="shared" ref="V450:V451" si="1506">U450-Q450</f>
        <v>24</v>
      </c>
      <c r="W450" s="34">
        <f>V450*$F$8</f>
        <v>60</v>
      </c>
      <c r="X450" s="15"/>
      <c r="Y450" s="13">
        <v>2594</v>
      </c>
      <c r="Z450" s="15">
        <f t="shared" ref="Z450:Z451" si="1507">Y450-U450</f>
        <v>42</v>
      </c>
      <c r="AA450" s="34">
        <f>Z450*$F$8</f>
        <v>105</v>
      </c>
      <c r="AB450" s="35">
        <v>107</v>
      </c>
      <c r="AC450" s="15">
        <v>2609</v>
      </c>
      <c r="AD450" s="15">
        <f t="shared" ref="AD450:AD451" si="1508">AC450-Y450</f>
        <v>15</v>
      </c>
      <c r="AE450" s="34">
        <f>AD450*$F$8</f>
        <v>37.5</v>
      </c>
      <c r="AF450" s="34">
        <v>106</v>
      </c>
      <c r="AG450" s="13">
        <v>2625</v>
      </c>
      <c r="AH450" s="15">
        <f t="shared" ref="AH450:AH451" si="1509">AG450-AC450</f>
        <v>16</v>
      </c>
      <c r="AI450" s="45">
        <f>AH450*$G$8</f>
        <v>41.6</v>
      </c>
      <c r="AJ450" s="140">
        <v>37</v>
      </c>
      <c r="AK450" s="13">
        <v>2633</v>
      </c>
      <c r="AL450" s="15">
        <f t="shared" ref="AL450:AL451" si="1510">AK450-AG450</f>
        <v>8</v>
      </c>
      <c r="AM450" s="45">
        <f>AL450*$G$8</f>
        <v>20.8</v>
      </c>
      <c r="AN450" s="39">
        <v>42</v>
      </c>
      <c r="AO450" s="13">
        <v>2731</v>
      </c>
      <c r="AP450" s="15">
        <f t="shared" ref="AP450:AP451" si="1511">AO450-AK450</f>
        <v>98</v>
      </c>
      <c r="AQ450" s="45">
        <f>AP450*$G$8</f>
        <v>254.8</v>
      </c>
      <c r="AR450" s="15"/>
      <c r="AS450" s="13">
        <v>2775</v>
      </c>
      <c r="AT450" s="15">
        <f t="shared" ref="AT450:AT451" si="1512">AS450-AO450</f>
        <v>44</v>
      </c>
      <c r="AU450" s="45">
        <f>AT450*$G$8</f>
        <v>114.4</v>
      </c>
      <c r="AV450" s="15"/>
      <c r="AW450" s="13">
        <v>2786</v>
      </c>
      <c r="AX450" s="2">
        <f t="shared" ref="AX450:AX451" si="1513">AW450-AS450</f>
        <v>11</v>
      </c>
      <c r="AY450" s="45">
        <f>AX450*$G$8</f>
        <v>28.6</v>
      </c>
      <c r="AZ450" s="242">
        <v>390</v>
      </c>
      <c r="BA450" s="13">
        <v>2813</v>
      </c>
      <c r="BB450" s="15">
        <f t="shared" ref="BB450:BB451" si="1514">BA450-AW450</f>
        <v>27</v>
      </c>
      <c r="BC450" s="45">
        <f>BB450*$G$8</f>
        <v>70.2</v>
      </c>
      <c r="BD450" s="208"/>
      <c r="BE450" s="40">
        <f t="shared" ref="BE450:BG450" si="1515">J450+N450+R450+V450+Z450+AD450+AH450+AL450+AP450+AT450+AX450+BB450</f>
        <v>407</v>
      </c>
      <c r="BF450" s="41">
        <f t="shared" si="1515"/>
        <v>1037.9</v>
      </c>
      <c r="BG450" s="34">
        <f t="shared" si="1515"/>
        <v>992</v>
      </c>
      <c r="BH450" s="35">
        <f t="shared" si="1505"/>
        <v>98.4</v>
      </c>
      <c r="BK450" s="2" t="b">
        <f>H450='2019'!BH377</f>
        <v>1</v>
      </c>
    </row>
    <row r="451" ht="14.25" customHeight="1" hidden="1" spans="1:63" x14ac:dyDescent="0.25">
      <c r="A451" s="2">
        <v>50</v>
      </c>
      <c r="B451" s="14"/>
      <c r="C451" s="15" t="s">
        <v>201</v>
      </c>
      <c r="D451" s="14" t="s">
        <v>47</v>
      </c>
      <c r="E451" s="2" t="s">
        <v>48</v>
      </c>
      <c r="F451" s="13">
        <v>18.56</v>
      </c>
      <c r="G451" s="35">
        <v>19.46</v>
      </c>
      <c r="H451" s="34">
        <f>'2019'!BH378</f>
        <v>-0.32</v>
      </c>
      <c r="I451" s="15">
        <v>219</v>
      </c>
      <c r="J451" s="15"/>
      <c r="K451" s="15"/>
      <c r="L451" s="28"/>
      <c r="M451" s="2">
        <v>219</v>
      </c>
      <c r="Q451" s="13">
        <v>219</v>
      </c>
      <c r="R451" s="15"/>
      <c r="S451" s="15"/>
      <c r="T451" s="28"/>
      <c r="U451" s="2">
        <v>223</v>
      </c>
      <c r="V451" s="2">
        <f t="shared" si="1506"/>
        <v>4</v>
      </c>
      <c r="W451" s="2">
        <f>V451*$F$10</f>
        <v>74.24</v>
      </c>
      <c r="Y451" s="13">
        <v>225</v>
      </c>
      <c r="Z451" s="15">
        <f t="shared" si="1507"/>
        <v>2</v>
      </c>
      <c r="AA451" s="34">
        <f>Z451*$F$10</f>
        <v>37.12</v>
      </c>
      <c r="AB451" s="28"/>
      <c r="AC451" s="15">
        <v>232</v>
      </c>
      <c r="AD451" s="15">
        <f t="shared" si="1508"/>
        <v>7</v>
      </c>
      <c r="AE451" s="34">
        <f>AD451*$F$10</f>
        <v>129.92</v>
      </c>
      <c r="AF451" s="34">
        <v>112</v>
      </c>
      <c r="AG451" s="13">
        <v>244</v>
      </c>
      <c r="AH451" s="15">
        <f t="shared" si="1509"/>
        <v>12</v>
      </c>
      <c r="AI451" s="45">
        <f>AH451*$G$10</f>
        <v>233.52</v>
      </c>
      <c r="AJ451" s="140">
        <v>129</v>
      </c>
      <c r="AK451" s="13">
        <v>249</v>
      </c>
      <c r="AL451" s="15">
        <f t="shared" si="1510"/>
        <v>5</v>
      </c>
      <c r="AM451" s="45">
        <f>AL451*$G$10</f>
        <v>97.3</v>
      </c>
      <c r="AN451" s="39">
        <v>234</v>
      </c>
      <c r="AO451" s="13">
        <v>251</v>
      </c>
      <c r="AP451" s="15">
        <f t="shared" si="1511"/>
        <v>2</v>
      </c>
      <c r="AQ451" s="45">
        <f>AP451*$G$10</f>
        <v>38.92</v>
      </c>
      <c r="AR451" s="15"/>
      <c r="AS451" s="13">
        <v>252</v>
      </c>
      <c r="AT451" s="15">
        <f t="shared" si="1512"/>
        <v>1</v>
      </c>
      <c r="AU451" s="45">
        <f>AT451*$G$10</f>
        <v>19.46</v>
      </c>
      <c r="AV451" s="15"/>
      <c r="AW451" s="13">
        <v>252</v>
      </c>
      <c r="AX451" s="2">
        <f t="shared" si="1513"/>
        <v>0</v>
      </c>
      <c r="AY451" s="45"/>
      <c r="AZ451" s="242">
        <v>156</v>
      </c>
      <c r="BA451" s="13">
        <v>252</v>
      </c>
      <c r="BB451" s="15">
        <f t="shared" si="1514"/>
        <v>0</v>
      </c>
      <c r="BC451" s="45"/>
      <c r="BD451" s="208"/>
      <c r="BE451" s="40">
        <f t="shared" ref="BE451:BG451" si="1516">J451+N451+R451+V451+Z451+AD451+AH451+AL451+AP451+AT451+AX451+BB451</f>
        <v>33</v>
      </c>
      <c r="BF451" s="41">
        <f t="shared" si="1516"/>
        <v>630.48</v>
      </c>
      <c r="BG451" s="34">
        <f t="shared" si="1516"/>
        <v>631</v>
      </c>
      <c r="BH451" s="35">
        <f t="shared" si="1505"/>
        <v>-0.84</v>
      </c>
      <c r="BK451" s="2" t="b">
        <f>H451='2019'!BH378</f>
        <v>1</v>
      </c>
    </row>
    <row r="452" ht="14.25" customHeight="1" hidden="1" spans="1:63" x14ac:dyDescent="0.25">
      <c r="A452" s="2">
        <v>50</v>
      </c>
      <c r="B452" s="14"/>
      <c r="C452" s="15" t="s">
        <v>115</v>
      </c>
      <c r="D452" s="14" t="s">
        <v>47</v>
      </c>
      <c r="E452" s="2" t="s">
        <v>49</v>
      </c>
      <c r="F452" s="41">
        <v>500</v>
      </c>
      <c r="G452" s="28"/>
      <c r="H452" s="34">
        <f>'2019'!BH379</f>
        <v>0</v>
      </c>
      <c r="I452" s="15"/>
      <c r="J452" s="15"/>
      <c r="K452" s="15"/>
      <c r="L452" s="28"/>
      <c r="Q452" s="13"/>
      <c r="R452" s="15"/>
      <c r="S452" s="15"/>
      <c r="T452" s="28"/>
      <c r="Y452" s="13"/>
      <c r="Z452" s="15"/>
      <c r="AA452" s="15"/>
      <c r="AB452" s="28"/>
      <c r="AG452" s="13"/>
      <c r="AH452" s="15"/>
      <c r="AI452" s="45"/>
      <c r="AJ452" s="73"/>
      <c r="AK452" s="13"/>
      <c r="AL452" s="15"/>
      <c r="AM452" s="45"/>
      <c r="AN452" s="15"/>
      <c r="AO452" s="13"/>
      <c r="AP452" s="15"/>
      <c r="AQ452" s="45"/>
      <c r="AR452" s="15"/>
      <c r="AS452" s="13"/>
      <c r="AT452" s="15"/>
      <c r="AU452" s="45"/>
      <c r="AV452" s="15"/>
      <c r="AW452" s="13"/>
      <c r="AY452" s="45"/>
      <c r="AZ452" s="32"/>
      <c r="BA452" s="13"/>
      <c r="BB452" s="15"/>
      <c r="BC452" s="45"/>
      <c r="BD452" s="28"/>
      <c r="BE452" s="14"/>
      <c r="BF452" s="41">
        <f t="shared" ref="BF452:BG452" si="1517">K452+O452+S452+W452+AA452+AE452+AI452+AM452+AQ452+AU452+AY452+BC452</f>
        <v>0</v>
      </c>
      <c r="BG452" s="34">
        <f t="shared" si="1517"/>
        <v>0</v>
      </c>
      <c r="BH452" s="35">
        <f t="shared" si="1505"/>
        <v>0</v>
      </c>
      <c r="BK452" s="2" t="b">
        <f>H452='2019'!BH379</f>
        <v>1</v>
      </c>
    </row>
    <row r="453" ht="14.25" customHeight="1" hidden="1" spans="1:63" x14ac:dyDescent="0.25">
      <c r="A453" s="2">
        <v>50</v>
      </c>
      <c r="B453" s="14"/>
      <c r="C453" s="15" t="s">
        <v>202</v>
      </c>
      <c r="D453" s="14" t="s">
        <v>50</v>
      </c>
      <c r="E453" s="2" t="s">
        <v>49</v>
      </c>
      <c r="F453" s="41">
        <v>1100</v>
      </c>
      <c r="G453" s="28"/>
      <c r="H453" s="182">
        <f>'2019'!BH380-0.004</f>
        <v>0</v>
      </c>
      <c r="I453" s="15"/>
      <c r="J453" s="15"/>
      <c r="K453" s="15"/>
      <c r="L453" s="28"/>
      <c r="Q453" s="13"/>
      <c r="R453" s="15"/>
      <c r="S453" s="15"/>
      <c r="T453" s="28"/>
      <c r="Y453" s="13"/>
      <c r="Z453" s="15"/>
      <c r="AA453" s="15"/>
      <c r="AB453" s="28"/>
      <c r="AE453" s="34">
        <f>B450*$F$12</f>
        <v>6655</v>
      </c>
      <c r="AF453" s="34">
        <v>2200</v>
      </c>
      <c r="AG453" s="13"/>
      <c r="AH453" s="15"/>
      <c r="AI453" s="45"/>
      <c r="AJ453" s="140">
        <v>2200</v>
      </c>
      <c r="AK453" s="13"/>
      <c r="AL453" s="15"/>
      <c r="AM453" s="45"/>
      <c r="AN453" s="39">
        <v>2255</v>
      </c>
      <c r="AO453" s="13"/>
      <c r="AP453" s="15"/>
      <c r="AQ453" s="45"/>
      <c r="AR453" s="15"/>
      <c r="AS453" s="13"/>
      <c r="AT453" s="15"/>
      <c r="AU453" s="45"/>
      <c r="AV453" s="15"/>
      <c r="AW453" s="13"/>
      <c r="AY453" s="45"/>
      <c r="AZ453" s="32"/>
      <c r="BA453" s="13"/>
      <c r="BB453" s="15"/>
      <c r="BC453" s="45"/>
      <c r="BD453" s="28"/>
      <c r="BE453" s="14"/>
      <c r="BF453" s="41">
        <f t="shared" ref="BF453:BG453" si="1518">K453+O453+S453+W453+AA453+AE453+AI453+AM453+AQ453+AU453+AY453+BC453</f>
        <v>6655</v>
      </c>
      <c r="BG453" s="34">
        <f t="shared" si="1518"/>
        <v>6655</v>
      </c>
      <c r="BH453" s="35">
        <f t="shared" si="1505"/>
        <v>0</v>
      </c>
      <c r="BK453" s="2" t="b">
        <f>H453='2019'!BH380</f>
        <v>0</v>
      </c>
    </row>
    <row r="454" ht="14.25" customHeight="1" hidden="1" spans="1:63" x14ac:dyDescent="0.25">
      <c r="A454" s="2">
        <v>50</v>
      </c>
      <c r="B454" s="14"/>
      <c r="C454" s="15" t="s">
        <v>203</v>
      </c>
      <c r="D454" s="14" t="s">
        <v>51</v>
      </c>
      <c r="E454" s="2" t="s">
        <v>39</v>
      </c>
      <c r="F454" s="41">
        <v>500</v>
      </c>
      <c r="G454" s="28"/>
      <c r="H454" s="34">
        <f>'2019'!BH381</f>
        <v>0</v>
      </c>
      <c r="I454" s="15"/>
      <c r="J454" s="15"/>
      <c r="K454" s="15"/>
      <c r="L454" s="28"/>
      <c r="Q454" s="13"/>
      <c r="R454" s="15"/>
      <c r="S454" s="15"/>
      <c r="T454" s="28"/>
      <c r="Y454" s="13"/>
      <c r="Z454" s="15"/>
      <c r="AA454" s="15"/>
      <c r="AB454" s="28"/>
      <c r="AE454" s="34"/>
      <c r="AG454" s="13"/>
      <c r="AH454" s="15"/>
      <c r="AI454" s="45"/>
      <c r="AJ454" s="15"/>
      <c r="AK454" s="13"/>
      <c r="AL454" s="15"/>
      <c r="AM454" s="45"/>
      <c r="AN454" s="15"/>
      <c r="AO454" s="13"/>
      <c r="AP454" s="15"/>
      <c r="AQ454" s="45">
        <f>$F$13</f>
        <v>500</v>
      </c>
      <c r="AR454" s="15"/>
      <c r="AS454" s="13"/>
      <c r="AT454" s="15"/>
      <c r="AU454" s="45"/>
      <c r="AV454" s="15"/>
      <c r="AW454" s="13"/>
      <c r="AY454" s="45"/>
      <c r="AZ454" s="32"/>
      <c r="BA454" s="13"/>
      <c r="BB454" s="15"/>
      <c r="BC454" s="45"/>
      <c r="BD454" s="28"/>
      <c r="BE454" s="14"/>
      <c r="BF454" s="41">
        <f t="shared" ref="BF454:BG454" si="1519">K454+O454+S454+W454+AA454+AE454+AI454+AM454+AQ454+AU454+AY454+BC454</f>
        <v>500</v>
      </c>
      <c r="BG454" s="34">
        <f t="shared" si="1519"/>
        <v>0</v>
      </c>
      <c r="BH454" s="35">
        <f t="shared" si="1505"/>
        <v>500</v>
      </c>
      <c r="BK454" s="2" t="b">
        <f>H454='2019'!BH381</f>
        <v>1</v>
      </c>
    </row>
    <row r="455" ht="14.25" customHeight="1" hidden="1" spans="1:60" x14ac:dyDescent="0.25">
      <c r="A455" s="2">
        <v>50</v>
      </c>
      <c r="B455" s="14"/>
      <c r="C455" s="15"/>
      <c r="D455" s="14" t="s">
        <v>51</v>
      </c>
      <c r="E455" s="2" t="s">
        <v>49</v>
      </c>
      <c r="F455" s="41">
        <v>500</v>
      </c>
      <c r="G455" s="28"/>
      <c r="H455" s="34"/>
      <c r="I455" s="15"/>
      <c r="J455" s="15"/>
      <c r="K455" s="15"/>
      <c r="L455" s="28"/>
      <c r="Q455" s="13"/>
      <c r="R455" s="15"/>
      <c r="S455" s="15"/>
      <c r="T455" s="28"/>
      <c r="Y455" s="13"/>
      <c r="Z455" s="15"/>
      <c r="AA455" s="15"/>
      <c r="AB455" s="28"/>
      <c r="AE455" s="34"/>
      <c r="AG455" s="13"/>
      <c r="AH455" s="15"/>
      <c r="AI455" s="45"/>
      <c r="AJ455" s="15"/>
      <c r="AK455" s="13"/>
      <c r="AL455" s="15"/>
      <c r="AM455" s="45"/>
      <c r="AN455" s="15"/>
      <c r="AO455" s="13"/>
      <c r="AP455" s="15"/>
      <c r="AQ455" s="34">
        <f>B450*$F$14</f>
        <v>3025</v>
      </c>
      <c r="AR455" s="15"/>
      <c r="AS455" s="13"/>
      <c r="AT455" s="15"/>
      <c r="AU455" s="45"/>
      <c r="AV455" s="15"/>
      <c r="AW455" s="13"/>
      <c r="AY455" s="45"/>
      <c r="AZ455" s="32"/>
      <c r="BA455" s="13"/>
      <c r="BB455" s="15"/>
      <c r="BC455" s="45"/>
      <c r="BD455" s="28"/>
      <c r="BE455" s="14"/>
      <c r="BF455" s="41">
        <f t="shared" ref="BF455:BG455" si="1520">K455+O455+S455+W455+AA455+AE455+AI455+AM455+AQ455+AU455+AY455+BC455</f>
        <v>3025</v>
      </c>
      <c r="BG455" s="34">
        <f t="shared" si="1520"/>
        <v>0</v>
      </c>
      <c r="BH455" s="35">
        <f t="shared" si="1505"/>
        <v>3025</v>
      </c>
    </row>
    <row r="456" ht="14.25" customHeight="1" hidden="1" spans="1:63" x14ac:dyDescent="0.25">
      <c r="A456" s="2">
        <v>50</v>
      </c>
      <c r="B456" s="14"/>
      <c r="D456" s="14" t="s">
        <v>52</v>
      </c>
      <c r="E456" s="2" t="s">
        <v>39</v>
      </c>
      <c r="F456" s="41">
        <v>500</v>
      </c>
      <c r="G456" s="28"/>
      <c r="H456" s="34">
        <f>'2019'!BH382</f>
        <v>0</v>
      </c>
      <c r="I456" s="15"/>
      <c r="J456" s="15"/>
      <c r="K456" s="15"/>
      <c r="L456" s="28"/>
      <c r="Q456" s="13"/>
      <c r="R456" s="15"/>
      <c r="S456" s="15"/>
      <c r="T456" s="28"/>
      <c r="Y456" s="13"/>
      <c r="Z456" s="15"/>
      <c r="AA456" s="34">
        <f>$F$11</f>
        <v>500</v>
      </c>
      <c r="AB456" s="35"/>
      <c r="AG456" s="13"/>
      <c r="AH456" s="15"/>
      <c r="AI456" s="45"/>
      <c r="AJ456" s="15"/>
      <c r="AK456" s="13"/>
      <c r="AL456" s="15"/>
      <c r="AM456" s="45"/>
      <c r="AN456" s="15"/>
      <c r="AO456" s="13"/>
      <c r="AP456" s="15"/>
      <c r="AQ456" s="45"/>
      <c r="AR456" s="15"/>
      <c r="AS456" s="13"/>
      <c r="AT456" s="15"/>
      <c r="AU456" s="45"/>
      <c r="AV456" s="15"/>
      <c r="AW456" s="13"/>
      <c r="AY456" s="45"/>
      <c r="AZ456" s="38">
        <v>500</v>
      </c>
      <c r="BA456" s="13"/>
      <c r="BB456" s="15"/>
      <c r="BC456" s="45"/>
      <c r="BD456" s="35"/>
      <c r="BE456" s="14"/>
      <c r="BF456" s="41">
        <f t="shared" ref="BF456:BG456" si="1521">K456+O456+S456+W456+AA456+AE456+AI456+AM456+AQ456+AU456+AY456+BC456</f>
        <v>500</v>
      </c>
      <c r="BG456" s="34">
        <f t="shared" si="1521"/>
        <v>500</v>
      </c>
      <c r="BH456" s="35">
        <f t="shared" si="1505"/>
        <v>0</v>
      </c>
      <c r="BK456" s="2" t="b">
        <f>H456='2019'!BH382</f>
        <v>1</v>
      </c>
    </row>
    <row r="457" ht="14.25" customHeight="1" hidden="1" spans="1:63" x14ac:dyDescent="0.25">
      <c r="A457" s="247">
        <v>50</v>
      </c>
      <c r="B457" s="21"/>
      <c r="C457" s="22" t="s">
        <v>53</v>
      </c>
      <c r="D457" s="21"/>
      <c r="E457" s="22"/>
      <c r="F457" s="20"/>
      <c r="G457" s="23"/>
      <c r="H457" s="51">
        <f>SUM(H449:H456)</f>
        <v>56.2</v>
      </c>
      <c r="I457" s="53"/>
      <c r="J457" s="53"/>
      <c r="K457" s="51">
        <f t="shared" ref="K457:L457" si="1522">SUM(K449:K456)</f>
        <v>157.5</v>
      </c>
      <c r="L457" s="68">
        <f t="shared" si="1522"/>
        <v>0</v>
      </c>
      <c r="M457" s="53"/>
      <c r="N457" s="53"/>
      <c r="O457" s="51">
        <f t="shared" ref="O457:P457" si="1523">SUM(O449:O456)</f>
        <v>95</v>
      </c>
      <c r="P457" s="51">
        <f t="shared" si="1523"/>
        <v>160</v>
      </c>
      <c r="Q457" s="52"/>
      <c r="R457" s="53"/>
      <c r="S457" s="51">
        <f t="shared" ref="S457:T457" si="1524">SUM(S449:S456)</f>
        <v>52.5</v>
      </c>
      <c r="T457" s="51">
        <f t="shared" si="1524"/>
        <v>150</v>
      </c>
      <c r="U457" s="52"/>
      <c r="V457" s="53"/>
      <c r="W457" s="51">
        <f t="shared" ref="W457:X457" si="1525">SUM(W449:W456)</f>
        <v>199.74</v>
      </c>
      <c r="X457" s="51">
        <f t="shared" si="1525"/>
        <v>0</v>
      </c>
      <c r="Y457" s="52"/>
      <c r="Z457" s="53"/>
      <c r="AA457" s="51">
        <f t="shared" ref="AA457:AB457" si="1526">SUM(AA449:AA456)</f>
        <v>642.12</v>
      </c>
      <c r="AB457" s="51">
        <f t="shared" si="1526"/>
        <v>177</v>
      </c>
      <c r="AC457" s="52"/>
      <c r="AD457" s="53"/>
      <c r="AE457" s="51">
        <f t="shared" ref="AE457:AF457" si="1527">SUM(AE449:AE456)</f>
        <v>6822.42</v>
      </c>
      <c r="AF457" s="51">
        <f t="shared" si="1527"/>
        <v>2418</v>
      </c>
      <c r="AG457" s="52"/>
      <c r="AH457" s="53"/>
      <c r="AI457" s="183">
        <f t="shared" ref="AI457:AJ457" si="1528">SUM(AI449:AI456)</f>
        <v>275.12</v>
      </c>
      <c r="AJ457" s="51">
        <f t="shared" si="1528"/>
        <v>2366</v>
      </c>
      <c r="AK457" s="52"/>
      <c r="AL457" s="53"/>
      <c r="AM457" s="183">
        <f t="shared" ref="AM457:AN457" si="1529">SUM(AM449:AM456)</f>
        <v>118.1</v>
      </c>
      <c r="AN457" s="51">
        <f t="shared" si="1529"/>
        <v>2531</v>
      </c>
      <c r="AO457" s="52"/>
      <c r="AP457" s="53"/>
      <c r="AQ457" s="183">
        <f t="shared" ref="AQ457:AR457" si="1530">SUM(AQ449:AQ456)</f>
        <v>3818.72</v>
      </c>
      <c r="AR457" s="51">
        <f t="shared" si="1530"/>
        <v>0</v>
      </c>
      <c r="AS457" s="52"/>
      <c r="AT457" s="53"/>
      <c r="AU457" s="183">
        <f t="shared" ref="AU457:AV457" si="1531">SUM(AU449:AU456)</f>
        <v>133.86</v>
      </c>
      <c r="AV457" s="68">
        <f t="shared" si="1531"/>
        <v>0</v>
      </c>
      <c r="AW457" s="52"/>
      <c r="AX457" s="53"/>
      <c r="AY457" s="183">
        <f t="shared" ref="AY457:AZ457" si="1532">SUM(AY449:AY456)</f>
        <v>28.6</v>
      </c>
      <c r="AZ457" s="68">
        <f t="shared" si="1532"/>
        <v>1046</v>
      </c>
      <c r="BA457" s="52"/>
      <c r="BB457" s="53"/>
      <c r="BC457" s="183">
        <f t="shared" ref="BC457:BD457" si="1533">SUM(BC449:BC456)</f>
        <v>70.2</v>
      </c>
      <c r="BD457" s="68">
        <f t="shared" si="1533"/>
        <v>0</v>
      </c>
      <c r="BE457" s="69"/>
      <c r="BF457" s="70">
        <f t="shared" ref="BF457:BH457" si="1534">SUM(BF449:BF456)</f>
        <v>12413.88</v>
      </c>
      <c r="BG457" s="71">
        <f t="shared" si="1534"/>
        <v>8848</v>
      </c>
      <c r="BH457" s="72">
        <f t="shared" si="1534"/>
        <v>3622.08</v>
      </c>
      <c r="BI457" s="34">
        <f>H457+BF457-BG457</f>
        <v>3622.08</v>
      </c>
      <c r="BJ457" s="34">
        <f>BH457-BI457</f>
        <v>0</v>
      </c>
      <c r="BK457" s="2" t="b">
        <f>H457='2019'!BH383</f>
        <v>0</v>
      </c>
    </row>
    <row r="458" ht="14.25" customHeight="1" hidden="1" spans="1:63" x14ac:dyDescent="0.25">
      <c r="A458" s="2">
        <v>51</v>
      </c>
      <c r="B458" s="14"/>
      <c r="D458" s="14" t="s">
        <v>379</v>
      </c>
      <c r="F458" s="13"/>
      <c r="G458" s="28"/>
      <c r="H458" s="34">
        <f>'2019'!BH384</f>
        <v>8.33</v>
      </c>
      <c r="J458" s="15"/>
      <c r="K458" s="15"/>
      <c r="L458" s="28"/>
      <c r="Q458" s="13"/>
      <c r="R458" s="15"/>
      <c r="S458" s="15"/>
      <c r="T458" s="28"/>
      <c r="Y458" s="13"/>
      <c r="Z458" s="15"/>
      <c r="AA458" s="15"/>
      <c r="AB458" s="28"/>
      <c r="AG458" s="13"/>
      <c r="AH458" s="15"/>
      <c r="AI458" s="45"/>
      <c r="AJ458" s="15"/>
      <c r="AK458" s="13"/>
      <c r="AM458" s="45"/>
      <c r="AO458" s="13"/>
      <c r="AQ458" s="45"/>
      <c r="AS458" s="13"/>
      <c r="AU458" s="45"/>
      <c r="AW458" s="13"/>
      <c r="AY458" s="45"/>
      <c r="AZ458" s="38">
        <v>10</v>
      </c>
      <c r="BA458" s="13"/>
      <c r="BB458" s="15"/>
      <c r="BC458" s="45"/>
      <c r="BD458" s="28"/>
      <c r="BE458" s="14"/>
      <c r="BF458" s="41">
        <f t="shared" ref="BF458:BG458" si="1535">K458+O458+S458+W458+AA458+AE458+AI458+AM458+AQ458+AU458+AY458+BC458</f>
        <v>0</v>
      </c>
      <c r="BG458" s="34">
        <f t="shared" si="1535"/>
        <v>10</v>
      </c>
      <c r="BH458" s="35">
        <f t="shared" ref="BH458:BH465" si="1536">H458+BF458-BG458</f>
        <v>-1.67</v>
      </c>
      <c r="BK458" s="2" t="b">
        <f>H458='2019'!BH384</f>
        <v>1</v>
      </c>
    </row>
    <row r="459" ht="14.25" customHeight="1" hidden="1" spans="1:63" x14ac:dyDescent="0.25">
      <c r="A459" s="2">
        <v>51</v>
      </c>
      <c r="B459" s="14">
        <v>4.95</v>
      </c>
      <c r="C459" s="15" t="s">
        <v>204</v>
      </c>
      <c r="D459" s="14" t="s">
        <v>44</v>
      </c>
      <c r="E459" s="2" t="s">
        <v>45</v>
      </c>
      <c r="F459" s="41">
        <v>2.5</v>
      </c>
      <c r="G459" s="35">
        <v>2.6</v>
      </c>
      <c r="H459" s="104">
        <f>'2019'!BH385</f>
        <v>0</v>
      </c>
      <c r="I459" s="15"/>
      <c r="J459" s="15"/>
      <c r="K459" s="34">
        <f>J459*$F$8</f>
        <v>0</v>
      </c>
      <c r="L459" s="28"/>
      <c r="N459" s="15"/>
      <c r="O459" s="34">
        <f>N459*$F$8</f>
        <v>0</v>
      </c>
      <c r="Q459" s="13"/>
      <c r="R459" s="15">
        <f>Q459-M459</f>
        <v>0</v>
      </c>
      <c r="S459" s="34">
        <f>R459*$F$8</f>
        <v>0</v>
      </c>
      <c r="T459" s="28"/>
      <c r="V459" s="15">
        <f t="shared" ref="V459:V460" si="1537">U459-Q459</f>
        <v>0</v>
      </c>
      <c r="W459" s="34">
        <f>V459*$F$8</f>
        <v>0</v>
      </c>
      <c r="Y459" s="13"/>
      <c r="Z459" s="15">
        <f t="shared" ref="Z459:Z460" si="1538">Y459-U459</f>
        <v>0</v>
      </c>
      <c r="AA459" s="34">
        <f>Z459*$F$8</f>
        <v>0</v>
      </c>
      <c r="AB459" s="28"/>
      <c r="AC459" s="15"/>
      <c r="AD459" s="15">
        <f t="shared" ref="AD459:AD460" si="1539">AC459-Y459</f>
        <v>0</v>
      </c>
      <c r="AE459" s="34">
        <f>AD459*$F$8</f>
        <v>0</v>
      </c>
      <c r="AG459" s="13">
        <v>13</v>
      </c>
      <c r="AH459" s="15">
        <f t="shared" ref="AH459:AH460" si="1540">AG459-AC459</f>
        <v>13</v>
      </c>
      <c r="AI459" s="45">
        <f>AH459*$G$8</f>
        <v>33.8</v>
      </c>
      <c r="AJ459" s="15"/>
      <c r="AK459" s="13">
        <v>88</v>
      </c>
      <c r="AL459" s="15">
        <f t="shared" ref="AL459:AL460" si="1541">AK459-AG459</f>
        <v>75</v>
      </c>
      <c r="AM459" s="45">
        <f>AL459*$G$8</f>
        <v>195</v>
      </c>
      <c r="AN459" s="39">
        <v>555</v>
      </c>
      <c r="AO459" s="13">
        <v>252</v>
      </c>
      <c r="AP459" s="15">
        <f t="shared" ref="AP459:AP460" si="1542">AO459-AK459</f>
        <v>164</v>
      </c>
      <c r="AQ459" s="45">
        <f>AP459*$G$8</f>
        <v>426.4</v>
      </c>
      <c r="AR459" s="15"/>
      <c r="AS459" s="13">
        <v>518</v>
      </c>
      <c r="AT459" s="15">
        <f t="shared" ref="AT459:AT460" si="1543">AS459-AO459</f>
        <v>266</v>
      </c>
      <c r="AU459" s="45">
        <f>AT459*$G$8</f>
        <v>691.6</v>
      </c>
      <c r="AV459" s="15"/>
      <c r="AW459" s="13">
        <v>571</v>
      </c>
      <c r="AX459" s="2">
        <f t="shared" ref="AX459:AX460" si="1544">AW459-AS459</f>
        <v>53</v>
      </c>
      <c r="AY459" s="45">
        <f>AX459*$G$8</f>
        <v>137.8</v>
      </c>
      <c r="AZ459" s="242">
        <v>2000</v>
      </c>
      <c r="BA459" s="13">
        <v>580</v>
      </c>
      <c r="BB459" s="15">
        <f t="shared" ref="BB459:BB460" si="1545">BA459-AW459</f>
        <v>9</v>
      </c>
      <c r="BC459" s="45">
        <f>BB459*$G$8</f>
        <v>23.4</v>
      </c>
      <c r="BD459" s="208"/>
      <c r="BE459" s="40">
        <f t="shared" ref="BE459:BG459" si="1546">J459+N459+R459+V459+Z459+AD459+AH459+AL459+AP459+AT459+AX459+BB459</f>
        <v>580</v>
      </c>
      <c r="BF459" s="41">
        <f t="shared" si="1546"/>
        <v>1508</v>
      </c>
      <c r="BG459" s="34">
        <f t="shared" si="1546"/>
        <v>2555</v>
      </c>
      <c r="BH459" s="35">
        <f t="shared" si="1536"/>
        <v>-1047</v>
      </c>
      <c r="BK459" s="2" t="b">
        <f>H459='2019'!BH385</f>
        <v>1</v>
      </c>
    </row>
    <row r="460" ht="14.25" customHeight="1" hidden="1" spans="1:63" x14ac:dyDescent="0.25">
      <c r="A460" s="2">
        <v>51</v>
      </c>
      <c r="B460" s="14"/>
      <c r="C460" s="15" t="s">
        <v>121</v>
      </c>
      <c r="D460" s="14" t="s">
        <v>47</v>
      </c>
      <c r="E460" s="2" t="s">
        <v>48</v>
      </c>
      <c r="F460" s="13">
        <v>18.56</v>
      </c>
      <c r="G460" s="35">
        <v>19.46</v>
      </c>
      <c r="H460" s="34">
        <f>'2019'!BH386</f>
        <v>13.12</v>
      </c>
      <c r="I460" s="15">
        <v>27</v>
      </c>
      <c r="J460" s="15"/>
      <c r="K460" s="15"/>
      <c r="L460" s="28"/>
      <c r="M460" s="2">
        <v>27</v>
      </c>
      <c r="Q460" s="13">
        <v>27</v>
      </c>
      <c r="R460" s="15"/>
      <c r="S460" s="15"/>
      <c r="T460" s="28"/>
      <c r="U460" s="2">
        <v>32</v>
      </c>
      <c r="V460" s="2">
        <f t="shared" si="1537"/>
        <v>5</v>
      </c>
      <c r="W460" s="34">
        <f>V460*$F$10</f>
        <v>92.8</v>
      </c>
      <c r="Y460" s="13">
        <v>33</v>
      </c>
      <c r="Z460" s="15">
        <f t="shared" si="1538"/>
        <v>1</v>
      </c>
      <c r="AA460" s="34">
        <f>Z460*$F$10</f>
        <v>18.56</v>
      </c>
      <c r="AB460" s="28"/>
      <c r="AC460" s="15">
        <v>37</v>
      </c>
      <c r="AD460" s="15">
        <f t="shared" si="1539"/>
        <v>4</v>
      </c>
      <c r="AE460" s="34">
        <f>AD460*$F$10</f>
        <v>74.24</v>
      </c>
      <c r="AG460" s="13">
        <v>47</v>
      </c>
      <c r="AH460" s="15">
        <f t="shared" si="1540"/>
        <v>10</v>
      </c>
      <c r="AI460" s="45">
        <f>AH460*$G$10</f>
        <v>194.6</v>
      </c>
      <c r="AJ460" s="15"/>
      <c r="AK460" s="13">
        <v>48</v>
      </c>
      <c r="AL460" s="15">
        <f t="shared" si="1541"/>
        <v>1</v>
      </c>
      <c r="AM460" s="45">
        <f>AL460*$G$10</f>
        <v>19.46</v>
      </c>
      <c r="AN460" s="39">
        <v>500</v>
      </c>
      <c r="AO460" s="13">
        <v>48</v>
      </c>
      <c r="AP460" s="15">
        <f t="shared" si="1542"/>
        <v>0</v>
      </c>
      <c r="AQ460" s="45">
        <f>AP460*$G$10</f>
        <v>0</v>
      </c>
      <c r="AR460" s="15"/>
      <c r="AS460" s="13">
        <v>49</v>
      </c>
      <c r="AT460" s="15">
        <f t="shared" si="1543"/>
        <v>1</v>
      </c>
      <c r="AU460" s="45">
        <f>AT460*$G$10</f>
        <v>19.46</v>
      </c>
      <c r="AV460" s="15"/>
      <c r="AW460" s="13">
        <v>49</v>
      </c>
      <c r="AX460" s="2">
        <f t="shared" si="1544"/>
        <v>0</v>
      </c>
      <c r="AY460" s="45"/>
      <c r="AZ460" s="249"/>
      <c r="BA460" s="13">
        <v>49</v>
      </c>
      <c r="BB460" s="15">
        <f t="shared" si="1545"/>
        <v>0</v>
      </c>
      <c r="BC460" s="45"/>
      <c r="BD460" s="208"/>
      <c r="BE460" s="40">
        <f t="shared" ref="BE460:BG460" si="1547">J460+N460+R460+V460+Z460+AD460+AH460+AL460+AP460+AT460+AX460+BB460</f>
        <v>22</v>
      </c>
      <c r="BF460" s="41">
        <f t="shared" si="1547"/>
        <v>419.12</v>
      </c>
      <c r="BG460" s="34">
        <f t="shared" si="1547"/>
        <v>500</v>
      </c>
      <c r="BH460" s="35">
        <f t="shared" si="1536"/>
        <v>-67.76</v>
      </c>
      <c r="BK460" s="2" t="b">
        <f>H460='2019'!BH386</f>
        <v>1</v>
      </c>
    </row>
    <row r="461" ht="14.25" customHeight="1" hidden="1" spans="1:63" x14ac:dyDescent="0.25">
      <c r="A461" s="2">
        <v>51</v>
      </c>
      <c r="B461" s="14"/>
      <c r="C461" s="15" t="s">
        <v>58</v>
      </c>
      <c r="D461" s="14" t="s">
        <v>47</v>
      </c>
      <c r="E461" s="2" t="s">
        <v>49</v>
      </c>
      <c r="F461" s="41">
        <v>500</v>
      </c>
      <c r="G461" s="28"/>
      <c r="H461" s="34">
        <f>'2019'!BH387</f>
        <v>0</v>
      </c>
      <c r="I461" s="15"/>
      <c r="J461" s="15"/>
      <c r="K461" s="15"/>
      <c r="L461" s="28"/>
      <c r="Q461" s="13"/>
      <c r="R461" s="15"/>
      <c r="S461" s="15"/>
      <c r="T461" s="28"/>
      <c r="Y461" s="13"/>
      <c r="Z461" s="15"/>
      <c r="AA461" s="15"/>
      <c r="AB461" s="28"/>
      <c r="AG461" s="13"/>
      <c r="AH461" s="15"/>
      <c r="AI461" s="45"/>
      <c r="AJ461" s="15"/>
      <c r="AK461" s="13"/>
      <c r="AL461" s="15"/>
      <c r="AM461" s="45"/>
      <c r="AN461" s="15"/>
      <c r="AO461" s="13"/>
      <c r="AP461" s="15"/>
      <c r="AQ461" s="45"/>
      <c r="AR461" s="15"/>
      <c r="AS461" s="13"/>
      <c r="AT461" s="15"/>
      <c r="AU461" s="45"/>
      <c r="AV461" s="15"/>
      <c r="AW461" s="13"/>
      <c r="AY461" s="45"/>
      <c r="AZ461" s="32"/>
      <c r="BA461" s="13"/>
      <c r="BB461" s="15"/>
      <c r="BC461" s="45"/>
      <c r="BD461" s="28"/>
      <c r="BE461" s="14"/>
      <c r="BF461" s="41">
        <f t="shared" ref="BF461:BG461" si="1548">K461+O461+S461+W461+AA461+AE461+AI461+AM461+AQ461+AU461+AY461+BC461</f>
        <v>0</v>
      </c>
      <c r="BG461" s="34">
        <f t="shared" si="1548"/>
        <v>0</v>
      </c>
      <c r="BH461" s="35">
        <f t="shared" si="1536"/>
        <v>0</v>
      </c>
      <c r="BK461" s="2" t="b">
        <f>H461='2019'!BH387</f>
        <v>1</v>
      </c>
    </row>
    <row r="462" ht="14.25" customHeight="1" hidden="1" spans="1:63" x14ac:dyDescent="0.25">
      <c r="A462" s="2">
        <v>51</v>
      </c>
      <c r="B462" s="14"/>
      <c r="C462" s="73" t="s">
        <v>419</v>
      </c>
      <c r="D462" s="14" t="s">
        <v>50</v>
      </c>
      <c r="E462" s="2" t="s">
        <v>49</v>
      </c>
      <c r="F462" s="41">
        <v>1100</v>
      </c>
      <c r="G462" s="28"/>
      <c r="H462" s="182">
        <f>'2019'!BH388+0.004</f>
        <v>0</v>
      </c>
      <c r="I462" s="15"/>
      <c r="J462" s="15"/>
      <c r="K462" s="15"/>
      <c r="L462" s="28"/>
      <c r="Q462" s="13"/>
      <c r="R462" s="15"/>
      <c r="S462" s="15"/>
      <c r="T462" s="28"/>
      <c r="Y462" s="13"/>
      <c r="Z462" s="15"/>
      <c r="AA462" s="15"/>
      <c r="AB462" s="28"/>
      <c r="AE462" s="34">
        <f>B459*$F$12</f>
        <v>5445</v>
      </c>
      <c r="AF462" s="34"/>
      <c r="AG462" s="13"/>
      <c r="AH462" s="15"/>
      <c r="AI462" s="45"/>
      <c r="AJ462" s="15"/>
      <c r="AK462" s="13"/>
      <c r="AL462" s="15"/>
      <c r="AM462" s="45"/>
      <c r="AN462" s="39">
        <v>5445</v>
      </c>
      <c r="AO462" s="13"/>
      <c r="AP462" s="15"/>
      <c r="AQ462" s="45"/>
      <c r="AR462" s="15"/>
      <c r="AS462" s="13"/>
      <c r="AT462" s="15"/>
      <c r="AU462" s="45"/>
      <c r="AV462" s="15"/>
      <c r="AW462" s="13"/>
      <c r="AY462" s="45"/>
      <c r="AZ462" s="32"/>
      <c r="BA462" s="13"/>
      <c r="BB462" s="15"/>
      <c r="BC462" s="45"/>
      <c r="BD462" s="28"/>
      <c r="BE462" s="14"/>
      <c r="BF462" s="41">
        <f t="shared" ref="BF462:BG462" si="1549">K462+O462+S462+W462+AA462+AE462+AI462+AM462+AQ462+AU462+AY462+BC462</f>
        <v>5445</v>
      </c>
      <c r="BG462" s="34">
        <f t="shared" si="1549"/>
        <v>5445</v>
      </c>
      <c r="BH462" s="35">
        <f t="shared" si="1536"/>
        <v>0</v>
      </c>
      <c r="BK462" s="2" t="b">
        <f>H462='2019'!BH388</f>
        <v>0</v>
      </c>
    </row>
    <row r="463" ht="14.25" customHeight="1" hidden="1" spans="1:63" x14ac:dyDescent="0.25">
      <c r="A463" s="2">
        <v>51</v>
      </c>
      <c r="B463" s="14"/>
      <c r="C463" s="73" t="s">
        <v>205</v>
      </c>
      <c r="D463" s="14" t="s">
        <v>51</v>
      </c>
      <c r="E463" s="2" t="s">
        <v>39</v>
      </c>
      <c r="F463" s="41">
        <v>500</v>
      </c>
      <c r="G463" s="28"/>
      <c r="H463" s="34">
        <f>'2019'!BH389</f>
        <v>0</v>
      </c>
      <c r="I463" s="15"/>
      <c r="J463" s="15"/>
      <c r="K463" s="15"/>
      <c r="L463" s="28"/>
      <c r="Q463" s="13"/>
      <c r="R463" s="15"/>
      <c r="S463" s="15"/>
      <c r="T463" s="28"/>
      <c r="Y463" s="13"/>
      <c r="Z463" s="15"/>
      <c r="AA463" s="15"/>
      <c r="AB463" s="28"/>
      <c r="AE463" s="34"/>
      <c r="AG463" s="13"/>
      <c r="AH463" s="15"/>
      <c r="AI463" s="45"/>
      <c r="AJ463" s="15"/>
      <c r="AK463" s="13"/>
      <c r="AL463" s="15"/>
      <c r="AM463" s="45"/>
      <c r="AN463" s="15"/>
      <c r="AO463" s="13"/>
      <c r="AP463" s="15"/>
      <c r="AQ463" s="45">
        <f>$F$13</f>
        <v>500</v>
      </c>
      <c r="AR463" s="15"/>
      <c r="AS463" s="13"/>
      <c r="AT463" s="15"/>
      <c r="AU463" s="45"/>
      <c r="AV463" s="15"/>
      <c r="AW463" s="13"/>
      <c r="AY463" s="45"/>
      <c r="AZ463" s="38">
        <v>500</v>
      </c>
      <c r="BA463" s="13"/>
      <c r="BB463" s="15"/>
      <c r="BC463" s="45"/>
      <c r="BD463" s="28"/>
      <c r="BE463" s="14"/>
      <c r="BF463" s="41">
        <f t="shared" ref="BF463:BG463" si="1550">K463+O463+S463+W463+AA463+AE463+AI463+AM463+AQ463+AU463+AY463+BC463</f>
        <v>500</v>
      </c>
      <c r="BG463" s="34">
        <f t="shared" si="1550"/>
        <v>500</v>
      </c>
      <c r="BH463" s="35">
        <f t="shared" si="1536"/>
        <v>0</v>
      </c>
      <c r="BK463" s="2" t="b">
        <f>H463='2019'!BH389</f>
        <v>1</v>
      </c>
    </row>
    <row r="464" ht="14.25" customHeight="1" hidden="1" spans="1:60" x14ac:dyDescent="0.25">
      <c r="A464" s="2">
        <v>51</v>
      </c>
      <c r="B464" s="14"/>
      <c r="C464" s="73" t="s">
        <v>420</v>
      </c>
      <c r="D464" s="14" t="s">
        <v>51</v>
      </c>
      <c r="E464" s="2" t="s">
        <v>49</v>
      </c>
      <c r="F464" s="41">
        <v>500</v>
      </c>
      <c r="G464" s="28"/>
      <c r="H464" s="34"/>
      <c r="I464" s="15"/>
      <c r="J464" s="15"/>
      <c r="K464" s="15"/>
      <c r="L464" s="28"/>
      <c r="Q464" s="13"/>
      <c r="R464" s="15"/>
      <c r="S464" s="15"/>
      <c r="T464" s="28"/>
      <c r="Y464" s="13"/>
      <c r="Z464" s="15"/>
      <c r="AA464" s="15"/>
      <c r="AB464" s="28"/>
      <c r="AE464" s="34"/>
      <c r="AG464" s="13"/>
      <c r="AH464" s="15"/>
      <c r="AI464" s="45"/>
      <c r="AJ464" s="15"/>
      <c r="AK464" s="13"/>
      <c r="AL464" s="15"/>
      <c r="AM464" s="45"/>
      <c r="AN464" s="15"/>
      <c r="AO464" s="13"/>
      <c r="AP464" s="15"/>
      <c r="AQ464" s="34">
        <f>B459*$F$14</f>
        <v>2475</v>
      </c>
      <c r="AR464" s="15"/>
      <c r="AS464" s="13"/>
      <c r="AT464" s="15"/>
      <c r="AU464" s="45"/>
      <c r="AV464" s="15"/>
      <c r="AW464" s="13"/>
      <c r="AY464" s="45"/>
      <c r="AZ464" s="38">
        <v>2475</v>
      </c>
      <c r="BA464" s="13"/>
      <c r="BB464" s="15"/>
      <c r="BC464" s="45"/>
      <c r="BD464" s="28"/>
      <c r="BE464" s="14"/>
      <c r="BF464" s="41">
        <f t="shared" ref="BF464:BG464" si="1551">K464+O464+S464+W464+AA464+AE464+AI464+AM464+AQ464+AU464+AY464+BC464</f>
        <v>2475</v>
      </c>
      <c r="BG464" s="34">
        <f t="shared" si="1551"/>
        <v>2475</v>
      </c>
      <c r="BH464" s="35">
        <f t="shared" si="1536"/>
        <v>0</v>
      </c>
    </row>
    <row r="465" ht="14.25" customHeight="1" hidden="1" spans="1:63" x14ac:dyDescent="0.25">
      <c r="A465" s="2">
        <v>51</v>
      </c>
      <c r="B465" s="14"/>
      <c r="C465" s="15"/>
      <c r="D465" s="14" t="s">
        <v>52</v>
      </c>
      <c r="E465" s="2" t="s">
        <v>39</v>
      </c>
      <c r="F465" s="41">
        <v>500</v>
      </c>
      <c r="G465" s="28"/>
      <c r="H465" s="34">
        <f>'2019'!BH390</f>
        <v>0</v>
      </c>
      <c r="I465" s="15"/>
      <c r="J465" s="15"/>
      <c r="K465" s="15"/>
      <c r="L465" s="28"/>
      <c r="Q465" s="13"/>
      <c r="R465" s="15"/>
      <c r="S465" s="15"/>
      <c r="T465" s="28"/>
      <c r="Y465" s="13"/>
      <c r="Z465" s="15"/>
      <c r="AA465" s="34">
        <f>$F$11</f>
        <v>500</v>
      </c>
      <c r="AB465" s="28"/>
      <c r="AG465" s="13"/>
      <c r="AH465" s="15"/>
      <c r="AI465" s="45"/>
      <c r="AJ465" s="15"/>
      <c r="AK465" s="13"/>
      <c r="AL465" s="15"/>
      <c r="AM465" s="45"/>
      <c r="AN465" s="39">
        <v>500</v>
      </c>
      <c r="AO465" s="13"/>
      <c r="AP465" s="15"/>
      <c r="AQ465" s="45"/>
      <c r="AR465" s="15"/>
      <c r="AS465" s="13"/>
      <c r="AT465" s="15"/>
      <c r="AU465" s="45"/>
      <c r="AV465" s="15"/>
      <c r="AW465" s="13"/>
      <c r="AY465" s="45"/>
      <c r="AZ465" s="35"/>
      <c r="BA465" s="13"/>
      <c r="BB465" s="15"/>
      <c r="BC465" s="45"/>
      <c r="BD465" s="35"/>
      <c r="BE465" s="14"/>
      <c r="BF465" s="41">
        <f t="shared" ref="BF465:BG465" si="1552">K465+O465+S465+W465+AA465+AE465+AI465+AM465+AQ465+AU465+AY465+BC465</f>
        <v>500</v>
      </c>
      <c r="BG465" s="34">
        <f t="shared" si="1552"/>
        <v>500</v>
      </c>
      <c r="BH465" s="35">
        <f t="shared" si="1536"/>
        <v>0</v>
      </c>
      <c r="BK465" s="2" t="b">
        <f>H465='2019'!BH390</f>
        <v>1</v>
      </c>
    </row>
    <row r="466" ht="14.25" customHeight="1" hidden="1" spans="1:63" x14ac:dyDescent="0.25">
      <c r="A466" s="247">
        <v>51</v>
      </c>
      <c r="B466" s="21"/>
      <c r="C466" s="22" t="s">
        <v>53</v>
      </c>
      <c r="D466" s="21"/>
      <c r="E466" s="22"/>
      <c r="F466" s="20"/>
      <c r="G466" s="23"/>
      <c r="H466" s="51">
        <f>SUM(H458:H465)</f>
        <v>21.45</v>
      </c>
      <c r="I466" s="53"/>
      <c r="J466" s="53"/>
      <c r="K466" s="51">
        <f t="shared" ref="K466:L466" si="1553">SUM(K458:K465)</f>
        <v>0</v>
      </c>
      <c r="L466" s="68">
        <f t="shared" si="1553"/>
        <v>0</v>
      </c>
      <c r="M466" s="53"/>
      <c r="N466" s="53"/>
      <c r="O466" s="51">
        <f t="shared" ref="O466:P466" si="1554">SUM(O458:O465)</f>
        <v>0</v>
      </c>
      <c r="P466" s="51">
        <f t="shared" si="1554"/>
        <v>0</v>
      </c>
      <c r="Q466" s="52"/>
      <c r="R466" s="53"/>
      <c r="S466" s="51">
        <f t="shared" ref="S466:T466" si="1555">SUM(S458:S465)</f>
        <v>0</v>
      </c>
      <c r="T466" s="51">
        <f t="shared" si="1555"/>
        <v>0</v>
      </c>
      <c r="U466" s="52"/>
      <c r="V466" s="53"/>
      <c r="W466" s="51">
        <f t="shared" ref="W466:X466" si="1556">SUM(W458:W465)</f>
        <v>92.8</v>
      </c>
      <c r="X466" s="51">
        <f t="shared" si="1556"/>
        <v>0</v>
      </c>
      <c r="Y466" s="52"/>
      <c r="Z466" s="53"/>
      <c r="AA466" s="51">
        <f t="shared" ref="AA466:AB466" si="1557">SUM(AA458:AA465)</f>
        <v>518.56</v>
      </c>
      <c r="AB466" s="51">
        <f t="shared" si="1557"/>
        <v>0</v>
      </c>
      <c r="AC466" s="52"/>
      <c r="AD466" s="53"/>
      <c r="AE466" s="51">
        <f t="shared" ref="AE466:AF466" si="1558">SUM(AE458:AE465)</f>
        <v>5519.24</v>
      </c>
      <c r="AF466" s="51">
        <f t="shared" si="1558"/>
        <v>0</v>
      </c>
      <c r="AG466" s="52"/>
      <c r="AH466" s="53"/>
      <c r="AI466" s="183">
        <f t="shared" ref="AI466:AJ466" si="1559">SUM(AI458:AI465)</f>
        <v>228.4</v>
      </c>
      <c r="AJ466" s="51">
        <f t="shared" si="1559"/>
        <v>0</v>
      </c>
      <c r="AK466" s="52"/>
      <c r="AL466" s="53"/>
      <c r="AM466" s="183">
        <f t="shared" ref="AM466:AN466" si="1560">SUM(AM458:AM465)</f>
        <v>214.46</v>
      </c>
      <c r="AN466" s="51">
        <f t="shared" si="1560"/>
        <v>7000</v>
      </c>
      <c r="AO466" s="52"/>
      <c r="AP466" s="53"/>
      <c r="AQ466" s="183">
        <f t="shared" ref="AQ466:AR466" si="1561">SUM(AQ458:AQ465)</f>
        <v>3401.4</v>
      </c>
      <c r="AR466" s="51">
        <f t="shared" si="1561"/>
        <v>0</v>
      </c>
      <c r="AS466" s="52"/>
      <c r="AT466" s="53"/>
      <c r="AU466" s="183">
        <f t="shared" ref="AU466:AV466" si="1562">SUM(AU458:AU465)</f>
        <v>711.06</v>
      </c>
      <c r="AV466" s="68">
        <f t="shared" si="1562"/>
        <v>0</v>
      </c>
      <c r="AW466" s="52"/>
      <c r="AX466" s="53"/>
      <c r="AY466" s="183">
        <f t="shared" ref="AY466:AZ466" si="1563">SUM(AY458:AY465)</f>
        <v>137.8</v>
      </c>
      <c r="AZ466" s="68">
        <f t="shared" si="1563"/>
        <v>4985</v>
      </c>
      <c r="BA466" s="52"/>
      <c r="BB466" s="53"/>
      <c r="BC466" s="183">
        <f t="shared" ref="BC466:BD466" si="1564">SUM(BC458:BC465)</f>
        <v>23.4</v>
      </c>
      <c r="BD466" s="68">
        <f t="shared" si="1564"/>
        <v>0</v>
      </c>
      <c r="BE466" s="69"/>
      <c r="BF466" s="70">
        <f t="shared" ref="BF466:BH466" si="1565">SUM(BF458:BF465)</f>
        <v>10847.12</v>
      </c>
      <c r="BG466" s="71">
        <f t="shared" si="1565"/>
        <v>11985</v>
      </c>
      <c r="BH466" s="72">
        <f t="shared" si="1565"/>
        <v>-1116.43</v>
      </c>
      <c r="BI466" s="34">
        <f>H466+BF466-BG466</f>
        <v>-1116.43</v>
      </c>
      <c r="BJ466" s="34">
        <f>BH466-BI466</f>
        <v>0</v>
      </c>
      <c r="BK466" s="2" t="b">
        <f>H466='2019'!BH391</f>
        <v>0</v>
      </c>
    </row>
    <row r="467" ht="14.25" customHeight="1" hidden="1" spans="1:63" x14ac:dyDescent="0.25">
      <c r="A467" s="2">
        <v>52</v>
      </c>
      <c r="B467" s="14"/>
      <c r="D467" s="14" t="s">
        <v>379</v>
      </c>
      <c r="F467" s="13"/>
      <c r="G467" s="28"/>
      <c r="H467" s="34">
        <f>'2019'!BH392</f>
        <v>0</v>
      </c>
      <c r="J467" s="15"/>
      <c r="K467" s="15"/>
      <c r="L467" s="28"/>
      <c r="Q467" s="13"/>
      <c r="R467" s="15"/>
      <c r="S467" s="15"/>
      <c r="T467" s="28"/>
      <c r="Y467" s="13"/>
      <c r="Z467" s="15"/>
      <c r="AA467" s="15"/>
      <c r="AB467" s="28"/>
      <c r="AG467" s="13"/>
      <c r="AH467" s="15"/>
      <c r="AI467" s="45"/>
      <c r="AJ467" s="15"/>
      <c r="AK467" s="13"/>
      <c r="AM467" s="45"/>
      <c r="AO467" s="13"/>
      <c r="AQ467" s="45"/>
      <c r="AS467" s="13"/>
      <c r="AU467" s="45"/>
      <c r="AW467" s="13"/>
      <c r="AY467" s="45"/>
      <c r="AZ467" s="28"/>
      <c r="BA467" s="13"/>
      <c r="BB467" s="15"/>
      <c r="BC467" s="45"/>
      <c r="BD467" s="28"/>
      <c r="BE467" s="14"/>
      <c r="BF467" s="41">
        <f t="shared" ref="BF467:BG467" si="1566">K467+O467+S467+W467+AA467+AE467+AI467+AM467+AQ467+AU467+AY467+BC467</f>
        <v>0</v>
      </c>
      <c r="BG467" s="34">
        <f t="shared" si="1566"/>
        <v>0</v>
      </c>
      <c r="BH467" s="35">
        <f t="shared" ref="BH467:BH474" si="1567">H467+BF467-BG467</f>
        <v>0</v>
      </c>
      <c r="BK467" s="2" t="b">
        <f>H467='2019'!BH392</f>
        <v>1</v>
      </c>
    </row>
    <row r="468" ht="14.25" customHeight="1" hidden="1" spans="1:63" x14ac:dyDescent="0.25">
      <c r="A468" s="2">
        <v>52</v>
      </c>
      <c r="B468" s="42">
        <v>5</v>
      </c>
      <c r="C468" s="15" t="s">
        <v>206</v>
      </c>
      <c r="D468" s="14" t="s">
        <v>44</v>
      </c>
      <c r="E468" s="2" t="s">
        <v>45</v>
      </c>
      <c r="F468" s="41">
        <v>2.5</v>
      </c>
      <c r="G468" s="35">
        <v>2.6</v>
      </c>
      <c r="H468" s="34">
        <f>'2019'!BH393</f>
        <v>9.2</v>
      </c>
      <c r="I468" s="13">
        <v>95</v>
      </c>
      <c r="J468" s="15">
        <f>I468-'2019'!BA393</f>
        <v>0</v>
      </c>
      <c r="K468" s="34">
        <f>J468*$F$8</f>
        <v>0</v>
      </c>
      <c r="L468" s="28"/>
      <c r="M468" s="2">
        <v>95</v>
      </c>
      <c r="N468" s="15">
        <f>M468-I468</f>
        <v>0</v>
      </c>
      <c r="O468" s="34">
        <f>N468*$F$8</f>
        <v>0</v>
      </c>
      <c r="Q468" s="13">
        <v>95</v>
      </c>
      <c r="R468" s="15">
        <f>Q468-M468</f>
        <v>0</v>
      </c>
      <c r="S468" s="34">
        <f>R468*$F$8</f>
        <v>0</v>
      </c>
      <c r="T468" s="28"/>
      <c r="U468" s="15">
        <v>97</v>
      </c>
      <c r="V468" s="15">
        <f t="shared" ref="V468:V469" si="1568">U468-Q468</f>
        <v>2</v>
      </c>
      <c r="W468" s="34">
        <f>V468*$F$8</f>
        <v>5</v>
      </c>
      <c r="X468" s="15"/>
      <c r="Y468" s="13">
        <v>103</v>
      </c>
      <c r="Z468" s="15">
        <f t="shared" ref="Z468:Z469" si="1569">Y468-U468</f>
        <v>6</v>
      </c>
      <c r="AA468" s="34">
        <f>Z468*$F$8</f>
        <v>15</v>
      </c>
      <c r="AB468" s="28"/>
      <c r="AC468" s="15">
        <v>111</v>
      </c>
      <c r="AD468" s="15">
        <f t="shared" ref="AD468:AD469" si="1570">AC468-Y468</f>
        <v>8</v>
      </c>
      <c r="AE468" s="34">
        <f>AD468*$F$8</f>
        <v>20</v>
      </c>
      <c r="AF468" s="15"/>
      <c r="AG468" s="13">
        <v>120</v>
      </c>
      <c r="AH468" s="15">
        <f t="shared" ref="AH468:AH469" si="1571">AG468-AC468</f>
        <v>9</v>
      </c>
      <c r="AI468" s="45">
        <f>AH468*$G$8</f>
        <v>23.4</v>
      </c>
      <c r="AJ468" s="1"/>
      <c r="AK468" s="13">
        <v>128</v>
      </c>
      <c r="AL468" s="15">
        <f t="shared" ref="AL468:AL469" si="1572">AK468-AG468</f>
        <v>8</v>
      </c>
      <c r="AM468" s="45">
        <f>AL468*$G$8</f>
        <v>20.8</v>
      </c>
      <c r="AN468" s="138">
        <f>98.6+43.64</f>
        <v>142.24</v>
      </c>
      <c r="AO468" s="13">
        <v>136</v>
      </c>
      <c r="AP468" s="15">
        <f t="shared" ref="AP468:AP469" si="1573">AO468-AK468</f>
        <v>8</v>
      </c>
      <c r="AQ468" s="45">
        <f>AP468*$G$8</f>
        <v>20.8</v>
      </c>
      <c r="AR468" s="15"/>
      <c r="AS468" s="13">
        <v>139</v>
      </c>
      <c r="AT468" s="15">
        <f t="shared" ref="AT468:AT469" si="1574">AS468-AO468</f>
        <v>3</v>
      </c>
      <c r="AU468" s="45">
        <f>AT468*$G$8</f>
        <v>7.8</v>
      </c>
      <c r="AV468" s="15"/>
      <c r="AW468" s="13">
        <v>139</v>
      </c>
      <c r="AX468" s="2">
        <f t="shared" ref="AX468:AX469" si="1575">AW468-AS468</f>
        <v>0</v>
      </c>
      <c r="AY468" s="45">
        <f>AX468*$G$8</f>
        <v>0</v>
      </c>
      <c r="AZ468" s="208"/>
      <c r="BA468" s="13">
        <v>139</v>
      </c>
      <c r="BB468" s="15">
        <f t="shared" ref="BB468:BB469" si="1576">BA468-AW468</f>
        <v>0</v>
      </c>
      <c r="BC468" s="45">
        <f>BB468*$G$8</f>
        <v>0</v>
      </c>
      <c r="BD468" s="208"/>
      <c r="BE468" s="40">
        <f t="shared" ref="BE468:BG468" si="1577">J468+N468+R468+V468+Z468+AD468+AH468+AL468+AP468+AT468+AX468+BB468</f>
        <v>44</v>
      </c>
      <c r="BF468" s="41">
        <f t="shared" si="1577"/>
        <v>112.8</v>
      </c>
      <c r="BG468" s="34">
        <f t="shared" si="1577"/>
        <v>142.24</v>
      </c>
      <c r="BH468" s="35">
        <f t="shared" si="1567"/>
        <v>-20.24</v>
      </c>
      <c r="BK468" s="2" t="b">
        <f>H468='2019'!BH393</f>
        <v>1</v>
      </c>
    </row>
    <row r="469" ht="14.25" customHeight="1" hidden="1" spans="1:63" x14ac:dyDescent="0.25">
      <c r="A469" s="2">
        <v>52</v>
      </c>
      <c r="B469" s="14"/>
      <c r="C469" s="2" t="s">
        <v>104</v>
      </c>
      <c r="D469" s="14" t="s">
        <v>47</v>
      </c>
      <c r="E469" s="2" t="s">
        <v>48</v>
      </c>
      <c r="F469" s="13">
        <v>18.56</v>
      </c>
      <c r="G469" s="35">
        <v>19.46</v>
      </c>
      <c r="H469" s="90">
        <f>'2019'!BH394</f>
        <v>37.12</v>
      </c>
      <c r="I469" s="13">
        <f>134+62</f>
        <v>196</v>
      </c>
      <c r="J469" s="15"/>
      <c r="K469" s="15"/>
      <c r="L469" s="28"/>
      <c r="M469" s="13">
        <f>134+62</f>
        <v>196</v>
      </c>
      <c r="Q469" s="13">
        <f>134+62</f>
        <v>196</v>
      </c>
      <c r="R469" s="15"/>
      <c r="S469" s="15"/>
      <c r="T469" s="28"/>
      <c r="U469" s="13">
        <f>134+62</f>
        <v>196</v>
      </c>
      <c r="V469" s="2">
        <f t="shared" si="1568"/>
        <v>0</v>
      </c>
      <c r="W469" s="34">
        <f>V469*$F$10</f>
        <v>0</v>
      </c>
      <c r="Y469" s="184">
        <f>133+62</f>
        <v>195</v>
      </c>
      <c r="Z469" s="15">
        <f t="shared" si="1569"/>
        <v>-1</v>
      </c>
      <c r="AA469" s="34">
        <f>Z469*$F$10</f>
        <v>-18.56</v>
      </c>
      <c r="AB469" s="28"/>
      <c r="AC469" s="186">
        <f>133+62</f>
        <v>195</v>
      </c>
      <c r="AD469" s="15">
        <f t="shared" si="1570"/>
        <v>0</v>
      </c>
      <c r="AE469" s="34">
        <f>AD469*$F$10</f>
        <v>0</v>
      </c>
      <c r="AF469" s="34"/>
      <c r="AG469" s="186">
        <f>133+62</f>
        <v>195</v>
      </c>
      <c r="AH469" s="15">
        <f t="shared" si="1571"/>
        <v>0</v>
      </c>
      <c r="AI469" s="45">
        <f>AH469*$G$10</f>
        <v>0</v>
      </c>
      <c r="AJ469" s="1"/>
      <c r="AK469" s="13">
        <f>151+64</f>
        <v>215</v>
      </c>
      <c r="AL469" s="15">
        <f t="shared" si="1572"/>
        <v>20</v>
      </c>
      <c r="AM469" s="45">
        <f>AL469*$G$10</f>
        <v>389.2</v>
      </c>
      <c r="AN469" s="138">
        <v>407.76</v>
      </c>
      <c r="AO469" s="13">
        <v>215</v>
      </c>
      <c r="AP469" s="15">
        <f t="shared" si="1573"/>
        <v>0</v>
      </c>
      <c r="AQ469" s="45">
        <f>AP469*$G$10</f>
        <v>0</v>
      </c>
      <c r="AR469" s="15"/>
      <c r="AS469" s="13">
        <v>215</v>
      </c>
      <c r="AT469" s="15">
        <f t="shared" si="1574"/>
        <v>0</v>
      </c>
      <c r="AU469" s="45">
        <f>AT469*$G$10</f>
        <v>0</v>
      </c>
      <c r="AV469" s="15"/>
      <c r="AW469" s="13">
        <v>215</v>
      </c>
      <c r="AX469" s="2">
        <f t="shared" si="1575"/>
        <v>0</v>
      </c>
      <c r="AY469" s="45"/>
      <c r="AZ469" s="208"/>
      <c r="BA469" s="13">
        <v>215</v>
      </c>
      <c r="BB469" s="15">
        <f t="shared" si="1576"/>
        <v>0</v>
      </c>
      <c r="BC469" s="45"/>
      <c r="BD469" s="208"/>
      <c r="BE469" s="40">
        <f t="shared" ref="BE469:BG469" si="1578">J469+N469+R469+V469+Z469+AD469+AH469+AL469+AP469+AT469+AX469+BB469</f>
        <v>19</v>
      </c>
      <c r="BF469" s="41">
        <f t="shared" si="1578"/>
        <v>370.64</v>
      </c>
      <c r="BG469" s="34">
        <f t="shared" si="1578"/>
        <v>407.76</v>
      </c>
      <c r="BH469" s="35">
        <f t="shared" si="1567"/>
        <v>0</v>
      </c>
      <c r="BI469" s="34"/>
      <c r="BK469" s="2" t="b">
        <f>H469='2019'!BH394</f>
        <v>1</v>
      </c>
    </row>
    <row r="470" ht="14.25" customHeight="1" hidden="1" spans="1:63" x14ac:dyDescent="0.25">
      <c r="A470" s="2">
        <v>52</v>
      </c>
      <c r="B470" s="14"/>
      <c r="C470" s="2" t="s">
        <v>208</v>
      </c>
      <c r="D470" s="14" t="s">
        <v>47</v>
      </c>
      <c r="E470" s="2" t="s">
        <v>49</v>
      </c>
      <c r="F470" s="41">
        <v>500</v>
      </c>
      <c r="G470" s="28"/>
      <c r="H470" s="34">
        <f>'2019'!BH395</f>
        <v>0</v>
      </c>
      <c r="I470" s="15"/>
      <c r="J470" s="15"/>
      <c r="K470" s="15"/>
      <c r="L470" s="28"/>
      <c r="Q470" s="13"/>
      <c r="R470" s="15"/>
      <c r="S470" s="15"/>
      <c r="T470" s="28"/>
      <c r="Y470" s="13"/>
      <c r="Z470" s="15"/>
      <c r="AA470" s="15"/>
      <c r="AB470" s="28"/>
      <c r="AG470" s="13"/>
      <c r="AH470" s="15"/>
      <c r="AI470" s="45"/>
      <c r="AJ470" s="15"/>
      <c r="AK470" s="13"/>
      <c r="AL470" s="15"/>
      <c r="AM470" s="45"/>
      <c r="AN470" s="15"/>
      <c r="AO470" s="13"/>
      <c r="AP470" s="15"/>
      <c r="AQ470" s="45"/>
      <c r="AR470" s="15"/>
      <c r="AS470" s="13"/>
      <c r="AT470" s="15"/>
      <c r="AU470" s="45"/>
      <c r="AV470" s="15"/>
      <c r="AW470" s="13"/>
      <c r="AY470" s="45"/>
      <c r="AZ470" s="28"/>
      <c r="BA470" s="13"/>
      <c r="BB470" s="15"/>
      <c r="BC470" s="45"/>
      <c r="BD470" s="28"/>
      <c r="BE470" s="14"/>
      <c r="BF470" s="41">
        <f t="shared" ref="BF470:BG470" si="1579">K470+O470+S470+W470+AA470+AE470+AI470+AM470+AQ470+AU470+AY470+BC470</f>
        <v>0</v>
      </c>
      <c r="BG470" s="34">
        <f t="shared" si="1579"/>
        <v>0</v>
      </c>
      <c r="BH470" s="35">
        <f t="shared" si="1567"/>
        <v>0</v>
      </c>
      <c r="BK470" s="2" t="b">
        <f>H470='2019'!BH395</f>
        <v>1</v>
      </c>
    </row>
    <row r="471" ht="14.25" customHeight="1" hidden="1" spans="1:63" x14ac:dyDescent="0.25">
      <c r="A471" s="2">
        <v>52</v>
      </c>
      <c r="B471" s="14"/>
      <c r="C471" s="2" t="s">
        <v>209</v>
      </c>
      <c r="D471" s="14" t="s">
        <v>50</v>
      </c>
      <c r="E471" s="2" t="s">
        <v>49</v>
      </c>
      <c r="F471" s="41">
        <v>1100</v>
      </c>
      <c r="G471" s="28"/>
      <c r="H471" s="34">
        <f>'2019'!BH396</f>
        <v>0</v>
      </c>
      <c r="I471" s="15"/>
      <c r="J471" s="15"/>
      <c r="K471" s="15"/>
      <c r="L471" s="28"/>
      <c r="Q471" s="13"/>
      <c r="R471" s="15"/>
      <c r="S471" s="15"/>
      <c r="T471" s="28"/>
      <c r="Y471" s="13"/>
      <c r="Z471" s="15"/>
      <c r="AA471" s="15"/>
      <c r="AB471" s="28"/>
      <c r="AE471" s="34">
        <f>B468*$F$12</f>
        <v>5500</v>
      </c>
      <c r="AF471" s="34"/>
      <c r="AG471" s="13"/>
      <c r="AH471" s="15"/>
      <c r="AI471" s="45"/>
      <c r="AJ471" s="39"/>
      <c r="AK471" s="13"/>
      <c r="AL471" s="15"/>
      <c r="AM471" s="45"/>
      <c r="AN471" s="133">
        <v>5500</v>
      </c>
      <c r="AO471" s="13"/>
      <c r="AP471" s="15"/>
      <c r="AQ471" s="45"/>
      <c r="AR471" s="15"/>
      <c r="AS471" s="13"/>
      <c r="AT471" s="15"/>
      <c r="AU471" s="45"/>
      <c r="AV471" s="15"/>
      <c r="AW471" s="13"/>
      <c r="AY471" s="45"/>
      <c r="AZ471" s="28"/>
      <c r="BA471" s="13"/>
      <c r="BB471" s="15"/>
      <c r="BC471" s="45"/>
      <c r="BD471" s="28"/>
      <c r="BE471" s="14"/>
      <c r="BF471" s="41">
        <f t="shared" ref="BF471:BG471" si="1580">K471+O471+S471+W471+AA471+AE471+AI471+AM471+AQ471+AU471+AY471+BC471</f>
        <v>5500</v>
      </c>
      <c r="BG471" s="34">
        <f t="shared" si="1580"/>
        <v>5500</v>
      </c>
      <c r="BH471" s="35">
        <f t="shared" si="1567"/>
        <v>0</v>
      </c>
      <c r="BK471" s="2" t="b">
        <f>H471='2019'!BH396</f>
        <v>1</v>
      </c>
    </row>
    <row r="472" ht="14.25" customHeight="1" hidden="1" spans="1:63" x14ac:dyDescent="0.25">
      <c r="A472" s="2">
        <v>52</v>
      </c>
      <c r="B472" s="14"/>
      <c r="D472" s="14" t="s">
        <v>51</v>
      </c>
      <c r="E472" s="2" t="s">
        <v>39</v>
      </c>
      <c r="F472" s="41">
        <v>500</v>
      </c>
      <c r="G472" s="28"/>
      <c r="H472" s="34">
        <f>'2019'!BH397</f>
        <v>0</v>
      </c>
      <c r="I472" s="15"/>
      <c r="J472" s="15"/>
      <c r="K472" s="15"/>
      <c r="L472" s="28"/>
      <c r="Q472" s="13"/>
      <c r="R472" s="15"/>
      <c r="S472" s="15"/>
      <c r="T472" s="28"/>
      <c r="Y472" s="13"/>
      <c r="Z472" s="15"/>
      <c r="AA472" s="15"/>
      <c r="AB472" s="28"/>
      <c r="AE472" s="34"/>
      <c r="AF472" s="34"/>
      <c r="AG472" s="13"/>
      <c r="AH472" s="15"/>
      <c r="AI472" s="45"/>
      <c r="AJ472" s="15"/>
      <c r="AK472" s="13"/>
      <c r="AL472" s="15"/>
      <c r="AM472" s="45"/>
      <c r="AN472" s="15"/>
      <c r="AO472" s="13"/>
      <c r="AP472" s="15"/>
      <c r="AQ472" s="45">
        <f>$F$13</f>
        <v>500</v>
      </c>
      <c r="AR472" s="15"/>
      <c r="AS472" s="13"/>
      <c r="AT472" s="15"/>
      <c r="AU472" s="45"/>
      <c r="AV472" s="15"/>
      <c r="AW472" s="13"/>
      <c r="AY472" s="45"/>
      <c r="AZ472" s="28"/>
      <c r="BA472" s="13"/>
      <c r="BB472" s="15"/>
      <c r="BC472" s="45"/>
      <c r="BD472" s="28"/>
      <c r="BE472" s="14"/>
      <c r="BF472" s="41">
        <f t="shared" ref="BF472:BG472" si="1581">K472+O472+S472+W472+AA472+AE472+AI472+AM472+AQ472+AU472+AY472+BC472</f>
        <v>500</v>
      </c>
      <c r="BG472" s="34">
        <f t="shared" si="1581"/>
        <v>0</v>
      </c>
      <c r="BH472" s="35">
        <f t="shared" si="1567"/>
        <v>500</v>
      </c>
      <c r="BK472" s="2" t="b">
        <f>H472='2019'!BH397</f>
        <v>1</v>
      </c>
    </row>
    <row r="473" ht="14.25" customHeight="1" hidden="1" spans="1:60" x14ac:dyDescent="0.25">
      <c r="A473" s="2">
        <v>52</v>
      </c>
      <c r="B473" s="14"/>
      <c r="D473" s="14" t="s">
        <v>51</v>
      </c>
      <c r="E473" s="2" t="s">
        <v>49</v>
      </c>
      <c r="F473" s="41">
        <v>500</v>
      </c>
      <c r="G473" s="28"/>
      <c r="H473" s="34"/>
      <c r="I473" s="15"/>
      <c r="J473" s="15"/>
      <c r="K473" s="15"/>
      <c r="L473" s="28"/>
      <c r="Q473" s="13"/>
      <c r="R473" s="15"/>
      <c r="S473" s="15"/>
      <c r="T473" s="28"/>
      <c r="Y473" s="13"/>
      <c r="Z473" s="15"/>
      <c r="AA473" s="15"/>
      <c r="AB473" s="28"/>
      <c r="AE473" s="34"/>
      <c r="AF473" s="34"/>
      <c r="AG473" s="13"/>
      <c r="AH473" s="15"/>
      <c r="AI473" s="45"/>
      <c r="AJ473" s="15"/>
      <c r="AK473" s="13"/>
      <c r="AL473" s="15"/>
      <c r="AM473" s="45"/>
      <c r="AN473" s="15"/>
      <c r="AO473" s="13"/>
      <c r="AP473" s="15"/>
      <c r="AQ473" s="34">
        <f>B468*$F$14</f>
        <v>2500</v>
      </c>
      <c r="AR473" s="15"/>
      <c r="AS473" s="13"/>
      <c r="AT473" s="15"/>
      <c r="AU473" s="45"/>
      <c r="AV473" s="15"/>
      <c r="AW473" s="13"/>
      <c r="AY473" s="45"/>
      <c r="AZ473" s="28"/>
      <c r="BA473" s="13"/>
      <c r="BB473" s="15"/>
      <c r="BC473" s="45"/>
      <c r="BD473" s="28"/>
      <c r="BE473" s="14"/>
      <c r="BF473" s="41">
        <f t="shared" ref="BF473:BG473" si="1582">K473+O473+S473+W473+AA473+AE473+AI473+AM473+AQ473+AU473+AY473+BC473</f>
        <v>2500</v>
      </c>
      <c r="BG473" s="34">
        <f t="shared" si="1582"/>
        <v>0</v>
      </c>
      <c r="BH473" s="35">
        <f t="shared" si="1567"/>
        <v>2500</v>
      </c>
    </row>
    <row r="474" ht="14.25" customHeight="1" hidden="1" spans="1:63" x14ac:dyDescent="0.25">
      <c r="A474" s="2">
        <v>52</v>
      </c>
      <c r="B474" s="14"/>
      <c r="D474" s="14" t="s">
        <v>52</v>
      </c>
      <c r="E474" s="2" t="s">
        <v>39</v>
      </c>
      <c r="F474" s="41">
        <v>500</v>
      </c>
      <c r="G474" s="28"/>
      <c r="H474" s="34">
        <f>'2019'!BH398</f>
        <v>0</v>
      </c>
      <c r="I474" s="15"/>
      <c r="J474" s="15"/>
      <c r="K474" s="15"/>
      <c r="L474" s="28"/>
      <c r="Q474" s="13"/>
      <c r="R474" s="15"/>
      <c r="S474" s="15"/>
      <c r="T474" s="28"/>
      <c r="Y474" s="13"/>
      <c r="Z474" s="15"/>
      <c r="AA474" s="34">
        <f>$F$11</f>
        <v>500</v>
      </c>
      <c r="AB474" s="35"/>
      <c r="AF474" s="34"/>
      <c r="AG474" s="13"/>
      <c r="AH474" s="15"/>
      <c r="AI474" s="45"/>
      <c r="AJ474" s="15"/>
      <c r="AK474" s="13"/>
      <c r="AL474" s="15"/>
      <c r="AM474" s="45"/>
      <c r="AN474" s="133">
        <v>500</v>
      </c>
      <c r="AO474" s="13"/>
      <c r="AP474" s="15"/>
      <c r="AQ474" s="45"/>
      <c r="AR474" s="15"/>
      <c r="AS474" s="13"/>
      <c r="AT474" s="15"/>
      <c r="AU474" s="45"/>
      <c r="AV474" s="15"/>
      <c r="AW474" s="13"/>
      <c r="AY474" s="45"/>
      <c r="AZ474" s="35"/>
      <c r="BA474" s="13"/>
      <c r="BB474" s="15"/>
      <c r="BC474" s="45"/>
      <c r="BD474" s="35"/>
      <c r="BE474" s="14"/>
      <c r="BF474" s="41">
        <f t="shared" ref="BF474:BG474" si="1583">K474+O474+S474+W474+AA474+AE474+AI474+AM474+AQ474+AU474+AY474+BC474</f>
        <v>500</v>
      </c>
      <c r="BG474" s="34">
        <f t="shared" si="1583"/>
        <v>500</v>
      </c>
      <c r="BH474" s="35">
        <f t="shared" si="1567"/>
        <v>0</v>
      </c>
      <c r="BK474" s="2" t="b">
        <f>H474='2019'!BH398</f>
        <v>1</v>
      </c>
    </row>
    <row r="475" ht="14.25" customHeight="1" hidden="1" spans="1:63" x14ac:dyDescent="0.25">
      <c r="A475" s="247">
        <v>52</v>
      </c>
      <c r="B475" s="21"/>
      <c r="C475" s="22" t="s">
        <v>53</v>
      </c>
      <c r="D475" s="21"/>
      <c r="E475" s="22"/>
      <c r="F475" s="20"/>
      <c r="G475" s="23"/>
      <c r="H475" s="51">
        <f>SUM(H467:H474)</f>
        <v>46.32</v>
      </c>
      <c r="I475" s="53"/>
      <c r="J475" s="53"/>
      <c r="K475" s="51">
        <f t="shared" ref="K475:L475" si="1584">SUM(K467:K474)</f>
        <v>0</v>
      </c>
      <c r="L475" s="68">
        <f t="shared" si="1584"/>
        <v>0</v>
      </c>
      <c r="M475" s="53"/>
      <c r="N475" s="53"/>
      <c r="O475" s="51">
        <f t="shared" ref="O475:P475" si="1585">SUM(O467:O474)</f>
        <v>0</v>
      </c>
      <c r="P475" s="51">
        <f t="shared" si="1585"/>
        <v>0</v>
      </c>
      <c r="Q475" s="52"/>
      <c r="R475" s="53"/>
      <c r="S475" s="51">
        <f t="shared" ref="S475:T475" si="1586">SUM(S467:S474)</f>
        <v>0</v>
      </c>
      <c r="T475" s="51">
        <f t="shared" si="1586"/>
        <v>0</v>
      </c>
      <c r="U475" s="52"/>
      <c r="V475" s="53"/>
      <c r="W475" s="51">
        <f t="shared" ref="W475:X475" si="1587">SUM(W467:W474)</f>
        <v>5</v>
      </c>
      <c r="X475" s="51">
        <f t="shared" si="1587"/>
        <v>0</v>
      </c>
      <c r="Y475" s="52"/>
      <c r="Z475" s="53"/>
      <c r="AA475" s="51">
        <f t="shared" ref="AA475:AB475" si="1588">SUM(AA467:AA474)</f>
        <v>496.44</v>
      </c>
      <c r="AB475" s="51">
        <f t="shared" si="1588"/>
        <v>0</v>
      </c>
      <c r="AC475" s="52"/>
      <c r="AD475" s="53"/>
      <c r="AE475" s="51">
        <f t="shared" ref="AE475:AF475" si="1589">SUM(AE467:AE474)</f>
        <v>5520</v>
      </c>
      <c r="AF475" s="51">
        <f t="shared" si="1589"/>
        <v>0</v>
      </c>
      <c r="AG475" s="52"/>
      <c r="AH475" s="53"/>
      <c r="AI475" s="183">
        <f t="shared" ref="AI475:AJ475" si="1590">SUM(AI467:AI474)</f>
        <v>23.4</v>
      </c>
      <c r="AJ475" s="51">
        <f t="shared" si="1590"/>
        <v>0</v>
      </c>
      <c r="AK475" s="52"/>
      <c r="AL475" s="53"/>
      <c r="AM475" s="183">
        <f t="shared" ref="AM475:AN475" si="1591">SUM(AM467:AM474)</f>
        <v>410</v>
      </c>
      <c r="AN475" s="51">
        <f t="shared" si="1591"/>
        <v>6550</v>
      </c>
      <c r="AO475" s="52"/>
      <c r="AP475" s="53"/>
      <c r="AQ475" s="183">
        <f t="shared" ref="AQ475:AR475" si="1592">SUM(AQ467:AQ474)</f>
        <v>3020.8</v>
      </c>
      <c r="AR475" s="51">
        <f t="shared" si="1592"/>
        <v>0</v>
      </c>
      <c r="AS475" s="52"/>
      <c r="AT475" s="53"/>
      <c r="AU475" s="183">
        <f t="shared" ref="AU475:AV475" si="1593">SUM(AU467:AU474)</f>
        <v>7.8</v>
      </c>
      <c r="AV475" s="68">
        <f t="shared" si="1593"/>
        <v>0</v>
      </c>
      <c r="AW475" s="52"/>
      <c r="AX475" s="53"/>
      <c r="AY475" s="183">
        <f t="shared" ref="AY475:AZ475" si="1594">SUM(AY467:AY474)</f>
        <v>0</v>
      </c>
      <c r="AZ475" s="68">
        <f t="shared" si="1594"/>
        <v>0</v>
      </c>
      <c r="BA475" s="52"/>
      <c r="BB475" s="53"/>
      <c r="BC475" s="183">
        <f t="shared" ref="BC475:BD475" si="1595">SUM(BC467:BC474)</f>
        <v>0</v>
      </c>
      <c r="BD475" s="68">
        <f t="shared" si="1595"/>
        <v>0</v>
      </c>
      <c r="BE475" s="69"/>
      <c r="BF475" s="70">
        <f t="shared" ref="BF475:BH475" si="1596">SUM(BF467:BF474)</f>
        <v>9483.44</v>
      </c>
      <c r="BG475" s="71">
        <f t="shared" si="1596"/>
        <v>6550</v>
      </c>
      <c r="BH475" s="72">
        <f t="shared" si="1596"/>
        <v>2979.76</v>
      </c>
      <c r="BI475" s="34">
        <f>H475+BF475-BG475</f>
        <v>2979.76</v>
      </c>
      <c r="BJ475" s="34">
        <f>BH475-BI475</f>
        <v>0</v>
      </c>
      <c r="BK475" s="2" t="b">
        <f>H475='2019'!BH399</f>
        <v>1</v>
      </c>
    </row>
    <row r="476" ht="14.25" customHeight="1" hidden="1" spans="1:63" x14ac:dyDescent="0.25">
      <c r="A476" s="2">
        <v>53</v>
      </c>
      <c r="B476" s="14"/>
      <c r="D476" s="178" t="s">
        <v>486</v>
      </c>
      <c r="F476" s="13"/>
      <c r="G476" s="28"/>
      <c r="H476" s="34">
        <f>'2019'!BH400</f>
        <v>0</v>
      </c>
      <c r="J476" s="15"/>
      <c r="K476" s="15"/>
      <c r="L476" s="28"/>
      <c r="Q476" s="13"/>
      <c r="R476" s="15"/>
      <c r="S476" s="15"/>
      <c r="T476" s="28"/>
      <c r="W476" s="152">
        <v>65.5</v>
      </c>
      <c r="X476" s="39">
        <v>65</v>
      </c>
      <c r="Y476" s="13"/>
      <c r="Z476" s="15"/>
      <c r="AA476" s="15"/>
      <c r="AB476" s="28"/>
      <c r="AG476" s="13"/>
      <c r="AH476" s="15"/>
      <c r="AI476" s="45"/>
      <c r="AJ476" s="15"/>
      <c r="AK476" s="13"/>
      <c r="AM476" s="45"/>
      <c r="AO476" s="13"/>
      <c r="AQ476" s="45"/>
      <c r="AS476" s="13"/>
      <c r="AU476" s="45"/>
      <c r="AW476" s="13"/>
      <c r="AY476" s="45"/>
      <c r="AZ476" s="28"/>
      <c r="BA476" s="13"/>
      <c r="BB476" s="15"/>
      <c r="BC476" s="45"/>
      <c r="BD476" s="28"/>
      <c r="BE476" s="14"/>
      <c r="BF476" s="41">
        <f t="shared" ref="BF476:BG476" si="1597">K476+O476+S476+W476+AA476+AE476+AI476+AM476+AQ476+AU476+AY476+BC476</f>
        <v>65.5</v>
      </c>
      <c r="BG476" s="34">
        <f t="shared" si="1597"/>
        <v>65</v>
      </c>
      <c r="BH476" s="35">
        <f t="shared" ref="BH476:BH483" si="1598">H476+BF476-BG476</f>
        <v>0.5</v>
      </c>
      <c r="BK476" s="2" t="b">
        <f>H476='2019'!BH400</f>
        <v>1</v>
      </c>
    </row>
    <row r="477" ht="15.75" customHeight="1" hidden="1" spans="1:63" x14ac:dyDescent="0.25">
      <c r="A477" s="2">
        <v>53</v>
      </c>
      <c r="B477" s="14">
        <v>5.05</v>
      </c>
      <c r="C477" s="2" t="s">
        <v>210</v>
      </c>
      <c r="D477" s="14" t="s">
        <v>44</v>
      </c>
      <c r="E477" s="2" t="s">
        <v>45</v>
      </c>
      <c r="F477" s="41">
        <v>2.5</v>
      </c>
      <c r="G477" s="35">
        <v>2.6</v>
      </c>
      <c r="H477" s="180">
        <f>'2019'!BH401</f>
        <v>-1853.27</v>
      </c>
      <c r="I477" s="15">
        <v>6957</v>
      </c>
      <c r="J477" s="15">
        <f>I477-'2019'!BA401</f>
        <v>176</v>
      </c>
      <c r="K477" s="34">
        <f>J477*$F$8</f>
        <v>440</v>
      </c>
      <c r="L477" s="28"/>
      <c r="M477" s="15">
        <v>8234</v>
      </c>
      <c r="N477" s="15">
        <f>M477-I477</f>
        <v>1277</v>
      </c>
      <c r="O477" s="34">
        <f>N477*$F$8</f>
        <v>3192.5</v>
      </c>
      <c r="P477" s="39">
        <v>1300</v>
      </c>
      <c r="Q477" s="13">
        <v>8864</v>
      </c>
      <c r="R477" s="15">
        <f>Q477-M477</f>
        <v>630</v>
      </c>
      <c r="S477" s="34">
        <f>R477*$F$8</f>
        <v>1575</v>
      </c>
      <c r="T477" s="35"/>
      <c r="U477" s="37">
        <v>9138</v>
      </c>
      <c r="V477" s="37">
        <f t="shared" ref="V477:V478" si="1599">U477-Q477</f>
        <v>274</v>
      </c>
      <c r="W477" s="34">
        <f>V477*$F$8</f>
        <v>685</v>
      </c>
      <c r="X477" s="39">
        <v>2800</v>
      </c>
      <c r="Y477" s="36">
        <v>9330</v>
      </c>
      <c r="Z477" s="37">
        <f t="shared" ref="Z477:Z478" si="1600">Y477-U477</f>
        <v>192</v>
      </c>
      <c r="AA477" s="34">
        <f>Z477*$F$8</f>
        <v>480</v>
      </c>
      <c r="AB477" s="28"/>
      <c r="AC477" s="15">
        <v>9458</v>
      </c>
      <c r="AD477" s="37">
        <f t="shared" ref="AD477:AD478" si="1601">AC477-Y477</f>
        <v>128</v>
      </c>
      <c r="AE477" s="34">
        <f>AD477*$F$8</f>
        <v>320</v>
      </c>
      <c r="AF477" s="90">
        <v>500</v>
      </c>
      <c r="AG477" s="13">
        <v>9571</v>
      </c>
      <c r="AH477" s="15">
        <f t="shared" ref="AH477:AH478" si="1602">AG477-AC477</f>
        <v>113</v>
      </c>
      <c r="AI477" s="45">
        <f>AH477*$G$8</f>
        <v>293.8</v>
      </c>
      <c r="AJ477" s="181">
        <f>700+1000</f>
        <v>1700</v>
      </c>
      <c r="AK477" s="13">
        <v>9750</v>
      </c>
      <c r="AL477" s="15">
        <f t="shared" ref="AL477:AL478" si="1603">AK477-AG477</f>
        <v>179</v>
      </c>
      <c r="AM477" s="45">
        <f>AL477*$G$8</f>
        <v>465.4</v>
      </c>
      <c r="AN477" s="133">
        <v>40</v>
      </c>
      <c r="AO477" s="13">
        <v>9865</v>
      </c>
      <c r="AP477" s="15">
        <f t="shared" ref="AP477:AP478" si="1604">AO477-AK477</f>
        <v>115</v>
      </c>
      <c r="AQ477" s="45">
        <f>AP477*$G$8</f>
        <v>299</v>
      </c>
      <c r="AR477" s="15"/>
      <c r="AS477" s="13">
        <v>9879</v>
      </c>
      <c r="AT477" s="15">
        <f t="shared" ref="AT477:AT478" si="1605">AS477-AO477</f>
        <v>14</v>
      </c>
      <c r="AU477" s="45">
        <f>AT477*$G$8</f>
        <v>36.4</v>
      </c>
      <c r="AV477" s="15"/>
      <c r="AW477" s="13">
        <v>10585</v>
      </c>
      <c r="AX477" s="2">
        <f t="shared" ref="AX477:AX478" si="1606">AW477-AS477</f>
        <v>706</v>
      </c>
      <c r="AY477" s="45">
        <f>AX477*$G$8</f>
        <v>1835.6</v>
      </c>
      <c r="AZ477" s="242">
        <v>2000</v>
      </c>
      <c r="BA477" s="13">
        <v>11853</v>
      </c>
      <c r="BB477" s="15">
        <f t="shared" ref="BB477:BB478" si="1607">BA477-AW477</f>
        <v>1268</v>
      </c>
      <c r="BC477" s="45">
        <f>BB477*$G$8</f>
        <v>3296.8</v>
      </c>
      <c r="BD477" s="208"/>
      <c r="BE477" s="40">
        <f t="shared" ref="BE477:BG477" si="1608">J477+N477+R477+V477+Z477+AD477+AH477+AL477+AP477+AT477+AX477+BB477</f>
        <v>5072</v>
      </c>
      <c r="BF477" s="41">
        <f t="shared" si="1608"/>
        <v>12919.5</v>
      </c>
      <c r="BG477" s="34">
        <f t="shared" si="1608"/>
        <v>8340</v>
      </c>
      <c r="BH477" s="35">
        <f t="shared" si="1598"/>
        <v>2726.23</v>
      </c>
      <c r="BK477" s="2" t="b">
        <f>H477='2019'!BH401</f>
        <v>1</v>
      </c>
    </row>
    <row r="478" ht="14.25" customHeight="1" hidden="1" spans="1:63" x14ac:dyDescent="0.25">
      <c r="A478" s="2">
        <v>53</v>
      </c>
      <c r="B478" s="14"/>
      <c r="C478" s="2" t="s">
        <v>153</v>
      </c>
      <c r="D478" s="14" t="s">
        <v>47</v>
      </c>
      <c r="E478" s="2" t="s">
        <v>48</v>
      </c>
      <c r="F478" s="13">
        <v>18.56</v>
      </c>
      <c r="G478" s="35">
        <v>19.46</v>
      </c>
      <c r="H478" s="34">
        <f>'2019'!BH402</f>
        <v>-1206.52</v>
      </c>
      <c r="I478" s="15">
        <v>69</v>
      </c>
      <c r="J478" s="15"/>
      <c r="K478" s="15"/>
      <c r="L478" s="28"/>
      <c r="M478" s="2">
        <v>69</v>
      </c>
      <c r="Q478" s="13">
        <v>69</v>
      </c>
      <c r="R478" s="15"/>
      <c r="S478" s="15"/>
      <c r="T478" s="28"/>
      <c r="U478" s="2">
        <v>71</v>
      </c>
      <c r="V478" s="2">
        <f t="shared" si="1599"/>
        <v>2</v>
      </c>
      <c r="W478" s="2">
        <f>V478*$F$10</f>
        <v>37.12</v>
      </c>
      <c r="Y478" s="13">
        <v>74</v>
      </c>
      <c r="Z478" s="15">
        <f t="shared" si="1600"/>
        <v>3</v>
      </c>
      <c r="AA478" s="34">
        <f>Z478*$F$10</f>
        <v>55.68</v>
      </c>
      <c r="AB478" s="28"/>
      <c r="AC478" s="15">
        <v>80</v>
      </c>
      <c r="AD478" s="15">
        <f t="shared" si="1601"/>
        <v>6</v>
      </c>
      <c r="AE478" s="34">
        <f>AD478*$F$10</f>
        <v>111.36</v>
      </c>
      <c r="AF478" s="254">
        <v>300</v>
      </c>
      <c r="AG478" s="13">
        <v>94</v>
      </c>
      <c r="AH478" s="15">
        <f t="shared" si="1602"/>
        <v>14</v>
      </c>
      <c r="AI478" s="45">
        <f>AH478*$G$10</f>
        <v>272.44</v>
      </c>
      <c r="AJ478" s="248"/>
      <c r="AK478" s="13">
        <v>109</v>
      </c>
      <c r="AL478" s="15">
        <f t="shared" si="1603"/>
        <v>15</v>
      </c>
      <c r="AM478" s="45">
        <f>AL478*$G$10</f>
        <v>291.9</v>
      </c>
      <c r="AN478" s="15"/>
      <c r="AO478" s="13">
        <v>110</v>
      </c>
      <c r="AP478" s="15">
        <f t="shared" si="1604"/>
        <v>1</v>
      </c>
      <c r="AQ478" s="45">
        <f>AP478*$G$10</f>
        <v>19.46</v>
      </c>
      <c r="AR478" s="15"/>
      <c r="AS478" s="13">
        <v>110</v>
      </c>
      <c r="AT478" s="15">
        <f t="shared" si="1605"/>
        <v>0</v>
      </c>
      <c r="AU478" s="45">
        <f>AT478*$G$10</f>
        <v>0</v>
      </c>
      <c r="AV478" s="15"/>
      <c r="AW478" s="13">
        <v>110</v>
      </c>
      <c r="AX478" s="2">
        <f t="shared" si="1606"/>
        <v>0</v>
      </c>
      <c r="AY478" s="45"/>
      <c r="AZ478" s="208"/>
      <c r="BA478" s="13">
        <v>110</v>
      </c>
      <c r="BB478" s="15">
        <f t="shared" si="1607"/>
        <v>0</v>
      </c>
      <c r="BC478" s="45"/>
      <c r="BD478" s="208"/>
      <c r="BE478" s="40">
        <f t="shared" ref="BE478:BG478" si="1609">J478+N478+R478+V478+Z478+AD478+AH478+AL478+AP478+AT478+AX478+BB478</f>
        <v>41</v>
      </c>
      <c r="BF478" s="41">
        <f t="shared" si="1609"/>
        <v>787.96</v>
      </c>
      <c r="BG478" s="34">
        <f t="shared" si="1609"/>
        <v>300</v>
      </c>
      <c r="BH478" s="35">
        <f t="shared" si="1598"/>
        <v>-718.56</v>
      </c>
      <c r="BK478" s="2" t="b">
        <f>H478='2019'!BH402</f>
        <v>1</v>
      </c>
    </row>
    <row r="479" ht="14.25" customHeight="1" hidden="1" spans="1:63" x14ac:dyDescent="0.25">
      <c r="A479" s="2">
        <v>53</v>
      </c>
      <c r="B479" s="14"/>
      <c r="C479" s="2" t="s">
        <v>58</v>
      </c>
      <c r="D479" s="14" t="s">
        <v>47</v>
      </c>
      <c r="E479" s="2" t="s">
        <v>49</v>
      </c>
      <c r="F479" s="41">
        <v>500</v>
      </c>
      <c r="G479" s="28"/>
      <c r="H479" s="34">
        <f>'2019'!BH403</f>
        <v>0</v>
      </c>
      <c r="I479" s="15"/>
      <c r="J479" s="15"/>
      <c r="K479" s="15"/>
      <c r="L479" s="28"/>
      <c r="Q479" s="13"/>
      <c r="R479" s="15"/>
      <c r="S479" s="15"/>
      <c r="T479" s="28"/>
      <c r="Y479" s="13"/>
      <c r="Z479" s="15"/>
      <c r="AA479" s="15"/>
      <c r="AB479" s="28"/>
      <c r="AF479" s="34"/>
      <c r="AG479" s="13"/>
      <c r="AH479" s="15"/>
      <c r="AI479" s="45"/>
      <c r="AJ479" s="15"/>
      <c r="AK479" s="13"/>
      <c r="AL479" s="15"/>
      <c r="AM479" s="45"/>
      <c r="AN479" s="15"/>
      <c r="AO479" s="13"/>
      <c r="AP479" s="15"/>
      <c r="AQ479" s="45"/>
      <c r="AR479" s="15"/>
      <c r="AS479" s="13"/>
      <c r="AT479" s="15"/>
      <c r="AU479" s="45"/>
      <c r="AV479" s="15"/>
      <c r="AW479" s="13"/>
      <c r="AY479" s="45"/>
      <c r="AZ479" s="28"/>
      <c r="BA479" s="13"/>
      <c r="BB479" s="15"/>
      <c r="BC479" s="45"/>
      <c r="BD479" s="28"/>
      <c r="BE479" s="14"/>
      <c r="BF479" s="41">
        <f t="shared" ref="BF479:BG479" si="1610">K479+O479+S479+W479+AA479+AE479+AI479+AM479+AQ479+AU479+AY479+BC479</f>
        <v>0</v>
      </c>
      <c r="BG479" s="34">
        <f t="shared" si="1610"/>
        <v>0</v>
      </c>
      <c r="BH479" s="35">
        <f t="shared" si="1598"/>
        <v>0</v>
      </c>
      <c r="BK479" s="2" t="b">
        <f>H479='2019'!BH403</f>
        <v>1</v>
      </c>
    </row>
    <row r="480" ht="14.25" customHeight="1" hidden="1" spans="1:63" x14ac:dyDescent="0.25">
      <c r="A480" s="2">
        <v>53</v>
      </c>
      <c r="B480" s="14"/>
      <c r="C480" s="73" t="s">
        <v>501</v>
      </c>
      <c r="D480" s="14" t="s">
        <v>50</v>
      </c>
      <c r="E480" s="2" t="s">
        <v>49</v>
      </c>
      <c r="F480" s="41">
        <v>1100</v>
      </c>
      <c r="G480" s="28"/>
      <c r="H480" s="182">
        <f>'2019'!BH404-0.004</f>
        <v>-40</v>
      </c>
      <c r="I480" s="15"/>
      <c r="J480" s="15"/>
      <c r="K480" s="15"/>
      <c r="L480" s="28"/>
      <c r="Q480" s="13"/>
      <c r="R480" s="15"/>
      <c r="S480" s="15"/>
      <c r="T480" s="28"/>
      <c r="Y480" s="13"/>
      <c r="Z480" s="15"/>
      <c r="AA480" s="15"/>
      <c r="AB480" s="28"/>
      <c r="AE480" s="34">
        <f>B477*$F$12</f>
        <v>5555</v>
      </c>
      <c r="AF480" s="34"/>
      <c r="AG480" s="13"/>
      <c r="AH480" s="15"/>
      <c r="AI480" s="45"/>
      <c r="AJ480" s="140">
        <f>2500+2555</f>
        <v>5055</v>
      </c>
      <c r="AK480" s="13"/>
      <c r="AL480" s="15"/>
      <c r="AM480" s="45"/>
      <c r="AN480" s="133">
        <v>460</v>
      </c>
      <c r="AO480" s="13"/>
      <c r="AP480" s="15"/>
      <c r="AQ480" s="45"/>
      <c r="AR480" s="15"/>
      <c r="AS480" s="13"/>
      <c r="AT480" s="15"/>
      <c r="AU480" s="45"/>
      <c r="AV480" s="15"/>
      <c r="AW480" s="13"/>
      <c r="AY480" s="45"/>
      <c r="AZ480" s="28"/>
      <c r="BA480" s="13"/>
      <c r="BB480" s="15"/>
      <c r="BC480" s="45"/>
      <c r="BD480" s="28"/>
      <c r="BE480" s="14"/>
      <c r="BF480" s="41">
        <f t="shared" ref="BF480:BG480" si="1611">K480+O480+S480+W480+AA480+AE480+AI480+AM480+AQ480+AU480+AY480+BC480</f>
        <v>5555</v>
      </c>
      <c r="BG480" s="34">
        <f t="shared" si="1611"/>
        <v>5515</v>
      </c>
      <c r="BH480" s="35">
        <f t="shared" si="1598"/>
        <v>0</v>
      </c>
      <c r="BK480" s="2" t="b">
        <f>H480='2019'!BH404</f>
        <v>0</v>
      </c>
    </row>
    <row r="481" ht="14.25" customHeight="1" hidden="1" spans="1:63" x14ac:dyDescent="0.25">
      <c r="A481" s="2">
        <v>53</v>
      </c>
      <c r="B481" s="14"/>
      <c r="C481" s="2" t="s">
        <v>193</v>
      </c>
      <c r="D481" s="14" t="s">
        <v>51</v>
      </c>
      <c r="E481" s="2" t="s">
        <v>39</v>
      </c>
      <c r="F481" s="41">
        <v>500</v>
      </c>
      <c r="G481" s="28"/>
      <c r="H481" s="34">
        <f>'2019'!BH405</f>
        <v>0</v>
      </c>
      <c r="I481" s="15"/>
      <c r="J481" s="15"/>
      <c r="K481" s="15"/>
      <c r="L481" s="28"/>
      <c r="Q481" s="13"/>
      <c r="R481" s="15"/>
      <c r="S481" s="15"/>
      <c r="T481" s="28"/>
      <c r="Y481" s="13"/>
      <c r="Z481" s="15"/>
      <c r="AA481" s="15"/>
      <c r="AB481" s="28"/>
      <c r="AE481" s="34"/>
      <c r="AG481" s="13"/>
      <c r="AH481" s="15"/>
      <c r="AI481" s="45"/>
      <c r="AJ481" s="180"/>
      <c r="AK481" s="13"/>
      <c r="AL481" s="15"/>
      <c r="AM481" s="45"/>
      <c r="AN481" s="15"/>
      <c r="AO481" s="13"/>
      <c r="AP481" s="15"/>
      <c r="AQ481" s="45">
        <f>$F$13</f>
        <v>500</v>
      </c>
      <c r="AR481" s="15"/>
      <c r="AS481" s="13"/>
      <c r="AT481" s="15"/>
      <c r="AU481" s="45"/>
      <c r="AV481" s="15"/>
      <c r="AW481" s="13"/>
      <c r="AY481" s="45"/>
      <c r="AZ481" s="28"/>
      <c r="BA481" s="13"/>
      <c r="BB481" s="15"/>
      <c r="BC481" s="45"/>
      <c r="BD481" s="28"/>
      <c r="BE481" s="14"/>
      <c r="BF481" s="41">
        <f t="shared" ref="BF481:BG481" si="1612">K481+O481+S481+W481+AA481+AE481+AI481+AM481+AQ481+AU481+AY481+BC481</f>
        <v>500</v>
      </c>
      <c r="BG481" s="34">
        <f t="shared" si="1612"/>
        <v>0</v>
      </c>
      <c r="BH481" s="35">
        <f t="shared" si="1598"/>
        <v>500</v>
      </c>
      <c r="BK481" s="2" t="b">
        <f>H481='2019'!BH405</f>
        <v>1</v>
      </c>
    </row>
    <row r="482" ht="14.25" customHeight="1" hidden="1" spans="1:60" x14ac:dyDescent="0.25">
      <c r="A482" s="2">
        <v>53</v>
      </c>
      <c r="B482" s="14"/>
      <c r="C482" s="2" t="s">
        <v>211</v>
      </c>
      <c r="D482" s="14" t="s">
        <v>51</v>
      </c>
      <c r="E482" s="2" t="s">
        <v>49</v>
      </c>
      <c r="F482" s="41">
        <v>500</v>
      </c>
      <c r="G482" s="28"/>
      <c r="H482" s="34"/>
      <c r="I482" s="15"/>
      <c r="J482" s="15"/>
      <c r="K482" s="15"/>
      <c r="L482" s="28"/>
      <c r="Q482" s="13"/>
      <c r="R482" s="15"/>
      <c r="S482" s="15"/>
      <c r="T482" s="28"/>
      <c r="Y482" s="13"/>
      <c r="Z482" s="15"/>
      <c r="AA482" s="15"/>
      <c r="AB482" s="28"/>
      <c r="AE482" s="34"/>
      <c r="AG482" s="13"/>
      <c r="AH482" s="15"/>
      <c r="AI482" s="45"/>
      <c r="AJ482" s="180"/>
      <c r="AK482" s="13"/>
      <c r="AL482" s="15"/>
      <c r="AM482" s="45"/>
      <c r="AN482" s="15"/>
      <c r="AO482" s="13"/>
      <c r="AP482" s="15"/>
      <c r="AQ482" s="34">
        <f>B477*$F$14</f>
        <v>2525</v>
      </c>
      <c r="AR482" s="15"/>
      <c r="AS482" s="13"/>
      <c r="AT482" s="15"/>
      <c r="AU482" s="45"/>
      <c r="AV482" s="15"/>
      <c r="AW482" s="13"/>
      <c r="AY482" s="45"/>
      <c r="AZ482" s="28"/>
      <c r="BA482" s="13"/>
      <c r="BB482" s="15"/>
      <c r="BC482" s="45"/>
      <c r="BD482" s="28"/>
      <c r="BE482" s="14"/>
      <c r="BF482" s="41">
        <f t="shared" ref="BF482:BG482" si="1613">K482+O482+S482+W482+AA482+AE482+AI482+AM482+AQ482+AU482+AY482+BC482</f>
        <v>2525</v>
      </c>
      <c r="BG482" s="34">
        <f t="shared" si="1613"/>
        <v>0</v>
      </c>
      <c r="BH482" s="35">
        <f t="shared" si="1598"/>
        <v>2525</v>
      </c>
    </row>
    <row r="483" ht="14.25" customHeight="1" hidden="1" spans="1:63" x14ac:dyDescent="0.25">
      <c r="A483" s="2">
        <v>53</v>
      </c>
      <c r="B483" s="14"/>
      <c r="D483" s="14" t="s">
        <v>52</v>
      </c>
      <c r="E483" s="2" t="s">
        <v>39</v>
      </c>
      <c r="F483" s="41">
        <v>500</v>
      </c>
      <c r="G483" s="28"/>
      <c r="H483" s="34"/>
      <c r="I483" s="15"/>
      <c r="J483" s="15"/>
      <c r="K483" s="15"/>
      <c r="L483" s="28"/>
      <c r="Q483" s="13"/>
      <c r="R483" s="15"/>
      <c r="S483" s="15"/>
      <c r="T483" s="28"/>
      <c r="Y483" s="13"/>
      <c r="Z483" s="15"/>
      <c r="AA483" s="34">
        <f>$F$11</f>
        <v>500</v>
      </c>
      <c r="AB483" s="28"/>
      <c r="AG483" s="13"/>
      <c r="AH483" s="15"/>
      <c r="AI483" s="45"/>
      <c r="AJ483" s="181">
        <v>500</v>
      </c>
      <c r="AK483" s="13"/>
      <c r="AL483" s="15"/>
      <c r="AM483" s="45"/>
      <c r="AN483" s="15"/>
      <c r="AO483" s="13"/>
      <c r="AP483" s="15"/>
      <c r="AQ483" s="45"/>
      <c r="AR483" s="15"/>
      <c r="AS483" s="13"/>
      <c r="AT483" s="15"/>
      <c r="AU483" s="45"/>
      <c r="AV483" s="15"/>
      <c r="AW483" s="13"/>
      <c r="AY483" s="45"/>
      <c r="AZ483" s="35"/>
      <c r="BA483" s="13"/>
      <c r="BB483" s="15"/>
      <c r="BC483" s="45"/>
      <c r="BD483" s="35"/>
      <c r="BE483" s="14"/>
      <c r="BF483" s="41">
        <f t="shared" ref="BF483:BG483" si="1614">K483+O483+S483+W483+AA483+AE483+AI483+AM483+AQ483+AU483+AY483+BC483</f>
        <v>500</v>
      </c>
      <c r="BG483" s="34">
        <f t="shared" si="1614"/>
        <v>500</v>
      </c>
      <c r="BH483" s="35">
        <f t="shared" si="1598"/>
        <v>0</v>
      </c>
      <c r="BK483" s="2" t="b">
        <f>H483='2019'!BH406</f>
        <v>0</v>
      </c>
    </row>
    <row r="484" ht="15.75" customHeight="1" hidden="1" spans="1:63" x14ac:dyDescent="0.25">
      <c r="A484" s="247">
        <v>53</v>
      </c>
      <c r="B484" s="21"/>
      <c r="C484" s="22" t="s">
        <v>53</v>
      </c>
      <c r="D484" s="21"/>
      <c r="E484" s="22"/>
      <c r="F484" s="20"/>
      <c r="G484" s="23"/>
      <c r="H484" s="51">
        <f>SUM(H476:H483)</f>
        <v>-3099.79</v>
      </c>
      <c r="I484" s="53"/>
      <c r="J484" s="53"/>
      <c r="K484" s="51">
        <f t="shared" ref="K484:L484" si="1615">SUM(K476:K483)</f>
        <v>440</v>
      </c>
      <c r="L484" s="68">
        <f t="shared" si="1615"/>
        <v>0</v>
      </c>
      <c r="M484" s="53"/>
      <c r="N484" s="53"/>
      <c r="O484" s="51">
        <f t="shared" ref="O484:P484" si="1616">SUM(O476:O483)</f>
        <v>3192.5</v>
      </c>
      <c r="P484" s="51">
        <f t="shared" si="1616"/>
        <v>1300</v>
      </c>
      <c r="Q484" s="52"/>
      <c r="R484" s="53"/>
      <c r="S484" s="51">
        <f t="shared" ref="S484:T484" si="1617">SUM(S476:S483)</f>
        <v>1575</v>
      </c>
      <c r="T484" s="51">
        <f t="shared" si="1617"/>
        <v>0</v>
      </c>
      <c r="U484" s="52"/>
      <c r="V484" s="53"/>
      <c r="W484" s="51">
        <f t="shared" ref="W484:X484" si="1618">SUM(W476:W483)</f>
        <v>787.62</v>
      </c>
      <c r="X484" s="51">
        <f t="shared" si="1618"/>
        <v>2865</v>
      </c>
      <c r="Y484" s="52"/>
      <c r="Z484" s="53"/>
      <c r="AA484" s="51">
        <f t="shared" ref="AA484:AB484" si="1619">SUM(AA476:AA483)</f>
        <v>1035.68</v>
      </c>
      <c r="AB484" s="51">
        <f t="shared" si="1619"/>
        <v>0</v>
      </c>
      <c r="AC484" s="52"/>
      <c r="AD484" s="53"/>
      <c r="AE484" s="51">
        <f t="shared" ref="AE484:AF484" si="1620">SUM(AE476:AE483)</f>
        <v>5986.36</v>
      </c>
      <c r="AF484" s="51">
        <f t="shared" si="1620"/>
        <v>800</v>
      </c>
      <c r="AG484" s="52"/>
      <c r="AH484" s="53"/>
      <c r="AI484" s="183">
        <f t="shared" ref="AI484:AJ484" si="1621">SUM(AI476:AI483)</f>
        <v>566.24</v>
      </c>
      <c r="AJ484" s="51">
        <f t="shared" si="1621"/>
        <v>7255</v>
      </c>
      <c r="AK484" s="52"/>
      <c r="AL484" s="53"/>
      <c r="AM484" s="183">
        <f t="shared" ref="AM484:AN484" si="1622">SUM(AM476:AM483)</f>
        <v>757.3</v>
      </c>
      <c r="AN484" s="51">
        <f t="shared" si="1622"/>
        <v>500</v>
      </c>
      <c r="AO484" s="52"/>
      <c r="AP484" s="53"/>
      <c r="AQ484" s="183">
        <f t="shared" ref="AQ484:AR484" si="1623">SUM(AQ476:AQ483)</f>
        <v>3343.46</v>
      </c>
      <c r="AR484" s="51">
        <f t="shared" si="1623"/>
        <v>0</v>
      </c>
      <c r="AS484" s="52"/>
      <c r="AT484" s="53"/>
      <c r="AU484" s="183">
        <f t="shared" ref="AU484:AV484" si="1624">SUM(AU476:AU483)</f>
        <v>36.4</v>
      </c>
      <c r="AV484" s="68">
        <f t="shared" si="1624"/>
        <v>0</v>
      </c>
      <c r="AW484" s="52"/>
      <c r="AX484" s="53"/>
      <c r="AY484" s="183">
        <f t="shared" ref="AY484:AZ484" si="1625">SUM(AY476:AY483)</f>
        <v>1835.6</v>
      </c>
      <c r="AZ484" s="68">
        <f t="shared" si="1625"/>
        <v>2000</v>
      </c>
      <c r="BA484" s="52"/>
      <c r="BB484" s="53"/>
      <c r="BC484" s="183">
        <f t="shared" ref="BC484:BD484" si="1626">SUM(BC476:BC483)</f>
        <v>3296.8</v>
      </c>
      <c r="BD484" s="68">
        <f t="shared" si="1626"/>
        <v>0</v>
      </c>
      <c r="BE484" s="69"/>
      <c r="BF484" s="70">
        <f t="shared" ref="BF484:BH484" si="1627">SUM(BF476:BF483)</f>
        <v>22852.96</v>
      </c>
      <c r="BG484" s="71">
        <f t="shared" si="1627"/>
        <v>14720</v>
      </c>
      <c r="BH484" s="72">
        <f t="shared" si="1627"/>
        <v>5033.17</v>
      </c>
      <c r="BI484" s="34">
        <f>H484+BF484-BG484</f>
        <v>5033.17</v>
      </c>
      <c r="BJ484" s="34">
        <f>BH484-BI484</f>
        <v>0</v>
      </c>
      <c r="BK484" s="2" t="b">
        <f>H484='2019'!BH407</f>
        <v>0</v>
      </c>
    </row>
    <row r="485" ht="14.25" customHeight="1" hidden="1" spans="1:63" x14ac:dyDescent="0.25">
      <c r="A485" s="2">
        <v>54</v>
      </c>
      <c r="B485" s="14"/>
      <c r="D485" s="14" t="s">
        <v>379</v>
      </c>
      <c r="F485" s="13"/>
      <c r="G485" s="28"/>
      <c r="H485" s="34">
        <f>'2019'!BH408</f>
        <v>4.53</v>
      </c>
      <c r="J485" s="15"/>
      <c r="K485" s="15"/>
      <c r="L485" s="28"/>
      <c r="Q485" s="13"/>
      <c r="R485" s="15"/>
      <c r="S485" s="15"/>
      <c r="T485" s="28"/>
      <c r="Y485" s="13"/>
      <c r="Z485" s="15"/>
      <c r="AA485" s="15"/>
      <c r="AB485" s="28"/>
      <c r="AG485" s="13"/>
      <c r="AH485" s="15"/>
      <c r="AI485" s="45"/>
      <c r="AJ485" s="138">
        <v>4.53</v>
      </c>
      <c r="AK485" s="13"/>
      <c r="AM485" s="45"/>
      <c r="AO485" s="13"/>
      <c r="AQ485" s="45"/>
      <c r="AS485" s="13"/>
      <c r="AU485" s="45"/>
      <c r="AW485" s="13"/>
      <c r="AY485" s="45"/>
      <c r="AZ485" s="28"/>
      <c r="BA485" s="13"/>
      <c r="BB485" s="15"/>
      <c r="BC485" s="45"/>
      <c r="BD485" s="28"/>
      <c r="BE485" s="14"/>
      <c r="BF485" s="41">
        <f t="shared" ref="BF485:BG485" si="1628">K485+O485+S485+W485+AA485+AE485+AI485+AM485+AQ485+AU485+AY485+BC485</f>
        <v>0</v>
      </c>
      <c r="BG485" s="34">
        <f t="shared" si="1628"/>
        <v>4.53</v>
      </c>
      <c r="BH485" s="35">
        <f t="shared" ref="BH485:BH492" si="1629">H485+BF485-BG485</f>
        <v>0</v>
      </c>
      <c r="BK485" s="2" t="b">
        <f>H485='2019'!BH408</f>
        <v>1</v>
      </c>
    </row>
    <row r="486" ht="14.25" customHeight="1" hidden="1" spans="1:63" x14ac:dyDescent="0.25">
      <c r="A486" s="2">
        <v>54</v>
      </c>
      <c r="B486" s="14">
        <v>5.54</v>
      </c>
      <c r="C486" s="2" t="s">
        <v>212</v>
      </c>
      <c r="D486" s="14" t="s">
        <v>44</v>
      </c>
      <c r="E486" s="2" t="s">
        <v>45</v>
      </c>
      <c r="F486" s="41">
        <v>2.5</v>
      </c>
      <c r="G486" s="35">
        <v>2.6</v>
      </c>
      <c r="H486" s="34">
        <f>'2019'!BH409</f>
        <v>17.27</v>
      </c>
      <c r="I486" s="13">
        <v>243</v>
      </c>
      <c r="J486" s="15">
        <f>I486-'2019'!BA409</f>
        <v>0</v>
      </c>
      <c r="K486" s="34">
        <f>J486*$F$8</f>
        <v>0</v>
      </c>
      <c r="L486" s="28"/>
      <c r="M486" s="2">
        <v>243</v>
      </c>
      <c r="N486" s="15">
        <f>M486-I486</f>
        <v>0</v>
      </c>
      <c r="O486" s="34">
        <f>N486*$F$8</f>
        <v>0</v>
      </c>
      <c r="Q486" s="13">
        <v>243</v>
      </c>
      <c r="R486" s="15">
        <f>Q486-M486</f>
        <v>0</v>
      </c>
      <c r="S486" s="34">
        <f>R486*$F$8</f>
        <v>0</v>
      </c>
      <c r="T486" s="28"/>
      <c r="U486" s="15">
        <v>246</v>
      </c>
      <c r="V486" s="15">
        <f t="shared" ref="V486:V487" si="1630">U486-Q486</f>
        <v>3</v>
      </c>
      <c r="W486" s="34">
        <f>V486*$F$8</f>
        <v>7.5</v>
      </c>
      <c r="X486" s="34"/>
      <c r="Y486" s="13">
        <v>257</v>
      </c>
      <c r="Z486" s="15">
        <f t="shared" ref="Z486:Z487" si="1631">Y486-U486</f>
        <v>11</v>
      </c>
      <c r="AA486" s="34">
        <f>Z486*$F$8</f>
        <v>27.5</v>
      </c>
      <c r="AB486" s="28"/>
      <c r="AC486" s="15">
        <v>266</v>
      </c>
      <c r="AD486" s="15">
        <f t="shared" ref="AD486:AD487" si="1632">AC486-Y486</f>
        <v>9</v>
      </c>
      <c r="AE486" s="34">
        <f>AD486*$F$8</f>
        <v>22.5</v>
      </c>
      <c r="AF486" s="133">
        <f>52.27+27.99</f>
        <v>80.26</v>
      </c>
      <c r="AG486" s="13">
        <v>282</v>
      </c>
      <c r="AH486" s="15">
        <f t="shared" ref="AH486:AH487" si="1633">AG486-AC486</f>
        <v>16</v>
      </c>
      <c r="AI486" s="45">
        <f>AH486*$G$8</f>
        <v>41.6</v>
      </c>
      <c r="AJ486" s="138">
        <v>100.87</v>
      </c>
      <c r="AK486" s="13">
        <v>293</v>
      </c>
      <c r="AL486" s="15">
        <f t="shared" ref="AL486:AL487" si="1634">AK486-AG486</f>
        <v>11</v>
      </c>
      <c r="AM486" s="45">
        <f>AL486*$G$8</f>
        <v>28.6</v>
      </c>
      <c r="AN486" s="15"/>
      <c r="AO486" s="13">
        <v>309</v>
      </c>
      <c r="AP486" s="15">
        <f t="shared" ref="AP486:AP487" si="1635">AO486-AK486</f>
        <v>16</v>
      </c>
      <c r="AQ486" s="45">
        <f>AP486*$G$8</f>
        <v>41.6</v>
      </c>
      <c r="AR486" s="15"/>
      <c r="AS486" s="13">
        <v>329</v>
      </c>
      <c r="AT486" s="15">
        <f t="shared" ref="AT486:AT487" si="1636">AS486-AO486</f>
        <v>20</v>
      </c>
      <c r="AU486" s="45">
        <f>AT486*$G$8</f>
        <v>52</v>
      </c>
      <c r="AV486" s="15"/>
      <c r="AW486" s="13">
        <v>346</v>
      </c>
      <c r="AX486" s="2">
        <f t="shared" ref="AX486:AX487" si="1637">AW486-AS486</f>
        <v>17</v>
      </c>
      <c r="AY486" s="45">
        <f>AX486*$G$8</f>
        <v>44.2</v>
      </c>
      <c r="AZ486" s="208"/>
      <c r="BA486" s="13">
        <v>346</v>
      </c>
      <c r="BB486" s="15">
        <f t="shared" ref="BB486:BB487" si="1638">BA486-AW486</f>
        <v>0</v>
      </c>
      <c r="BC486" s="45">
        <f>BB486*$G$8</f>
        <v>0</v>
      </c>
      <c r="BD486" s="208"/>
      <c r="BE486" s="40">
        <f t="shared" ref="BE486:BG486" si="1639">J486+N486+R486+V486+Z486+AD486+AH486+AL486+AP486+AT486+AX486+BB486</f>
        <v>103</v>
      </c>
      <c r="BF486" s="41">
        <f t="shared" si="1639"/>
        <v>265.5</v>
      </c>
      <c r="BG486" s="34">
        <f t="shared" si="1639"/>
        <v>181.13</v>
      </c>
      <c r="BH486" s="35">
        <f t="shared" si="1629"/>
        <v>101.64</v>
      </c>
      <c r="BK486" s="2" t="b">
        <f>H486='2019'!BH409</f>
        <v>1</v>
      </c>
    </row>
    <row r="487" ht="14.25" customHeight="1" hidden="1" spans="1:63" x14ac:dyDescent="0.25">
      <c r="A487" s="2">
        <v>54</v>
      </c>
      <c r="B487" s="14"/>
      <c r="C487" s="2" t="s">
        <v>87</v>
      </c>
      <c r="D487" s="14" t="s">
        <v>47</v>
      </c>
      <c r="E487" s="2" t="s">
        <v>48</v>
      </c>
      <c r="F487" s="13">
        <v>18.56</v>
      </c>
      <c r="G487" s="35">
        <v>19.46</v>
      </c>
      <c r="H487" s="34">
        <f>'2019'!BH410</f>
        <v>-122.74</v>
      </c>
      <c r="I487" s="75">
        <v>117</v>
      </c>
      <c r="J487" s="15"/>
      <c r="K487" s="15"/>
      <c r="L487" s="28"/>
      <c r="M487" s="75">
        <v>117</v>
      </c>
      <c r="Q487" s="75">
        <v>117</v>
      </c>
      <c r="R487" s="15"/>
      <c r="S487" s="15"/>
      <c r="T487" s="28"/>
      <c r="U487" s="15">
        <v>117</v>
      </c>
      <c r="V487" s="2">
        <f t="shared" si="1630"/>
        <v>0</v>
      </c>
      <c r="W487" s="34">
        <f>V487*$F$10</f>
        <v>0</v>
      </c>
      <c r="Y487" s="13">
        <v>117</v>
      </c>
      <c r="Z487" s="15">
        <f t="shared" si="1631"/>
        <v>0</v>
      </c>
      <c r="AA487" s="34">
        <f>Z487*$F$10</f>
        <v>0</v>
      </c>
      <c r="AB487" s="28"/>
      <c r="AC487" s="15">
        <v>125</v>
      </c>
      <c r="AD487" s="15">
        <f t="shared" si="1632"/>
        <v>8</v>
      </c>
      <c r="AE487" s="34">
        <f>AD487*$F$10</f>
        <v>148.48</v>
      </c>
      <c r="AF487" s="138">
        <v>25.74</v>
      </c>
      <c r="AG487" s="13">
        <v>135</v>
      </c>
      <c r="AH487" s="15">
        <f t="shared" si="1633"/>
        <v>10</v>
      </c>
      <c r="AI487" s="45">
        <f>AH487*$G$10</f>
        <v>194.6</v>
      </c>
      <c r="AJ487" s="133">
        <v>194.6</v>
      </c>
      <c r="AK487" s="13">
        <v>135</v>
      </c>
      <c r="AL487" s="15">
        <f t="shared" si="1634"/>
        <v>0</v>
      </c>
      <c r="AM487" s="45">
        <f>AL487*$G$10</f>
        <v>0</v>
      </c>
      <c r="AN487" s="15"/>
      <c r="AO487" s="13">
        <v>135</v>
      </c>
      <c r="AP487" s="15">
        <f t="shared" si="1635"/>
        <v>0</v>
      </c>
      <c r="AQ487" s="45">
        <f>AP487*$G$10</f>
        <v>0</v>
      </c>
      <c r="AR487" s="15"/>
      <c r="AS487" s="13">
        <v>135</v>
      </c>
      <c r="AT487" s="15">
        <f t="shared" si="1636"/>
        <v>0</v>
      </c>
      <c r="AU487" s="45">
        <f>AT487*$G$10</f>
        <v>0</v>
      </c>
      <c r="AV487" s="15"/>
      <c r="AW487" s="13">
        <v>135</v>
      </c>
      <c r="AX487" s="2">
        <f t="shared" si="1637"/>
        <v>0</v>
      </c>
      <c r="AY487" s="45"/>
      <c r="AZ487" s="208"/>
      <c r="BA487" s="13">
        <v>135</v>
      </c>
      <c r="BB487" s="15">
        <f t="shared" si="1638"/>
        <v>0</v>
      </c>
      <c r="BC487" s="45"/>
      <c r="BD487" s="208"/>
      <c r="BE487" s="40">
        <f t="shared" ref="BE487:BG487" si="1640">J487+N487+R487+V487+Z487+AD487+AH487+AL487+AP487+AT487+AX487+BB487</f>
        <v>18</v>
      </c>
      <c r="BF487" s="41">
        <f t="shared" si="1640"/>
        <v>343.08</v>
      </c>
      <c r="BG487" s="34">
        <f t="shared" si="1640"/>
        <v>220.34</v>
      </c>
      <c r="BH487" s="35">
        <f t="shared" si="1629"/>
        <v>0</v>
      </c>
      <c r="BK487" s="2" t="b">
        <f>H487='2019'!BH410</f>
        <v>1</v>
      </c>
    </row>
    <row r="488" ht="14.25" customHeight="1" hidden="1" spans="1:63" x14ac:dyDescent="0.25">
      <c r="A488" s="2">
        <v>54</v>
      </c>
      <c r="B488" s="14"/>
      <c r="C488" s="15" t="s">
        <v>421</v>
      </c>
      <c r="D488" s="14" t="s">
        <v>47</v>
      </c>
      <c r="E488" s="2" t="s">
        <v>49</v>
      </c>
      <c r="F488" s="41">
        <v>500</v>
      </c>
      <c r="G488" s="28"/>
      <c r="H488" s="34">
        <f>'2019'!BH411</f>
        <v>0</v>
      </c>
      <c r="I488" s="15"/>
      <c r="J488" s="15"/>
      <c r="K488" s="15"/>
      <c r="L488" s="28"/>
      <c r="Q488" s="13"/>
      <c r="R488" s="15"/>
      <c r="S488" s="15"/>
      <c r="T488" s="28"/>
      <c r="Y488" s="13"/>
      <c r="Z488" s="15"/>
      <c r="AA488" s="15"/>
      <c r="AB488" s="28"/>
      <c r="AG488" s="13"/>
      <c r="AH488" s="15"/>
      <c r="AI488" s="45"/>
      <c r="AJ488" s="15"/>
      <c r="AK488" s="13"/>
      <c r="AL488" s="15"/>
      <c r="AM488" s="45"/>
      <c r="AN488" s="15"/>
      <c r="AO488" s="13"/>
      <c r="AP488" s="15"/>
      <c r="AQ488" s="45"/>
      <c r="AR488" s="15"/>
      <c r="AS488" s="13"/>
      <c r="AT488" s="15"/>
      <c r="AU488" s="45"/>
      <c r="AV488" s="15"/>
      <c r="AW488" s="13"/>
      <c r="AY488" s="45"/>
      <c r="AZ488" s="28"/>
      <c r="BA488" s="13"/>
      <c r="BB488" s="15"/>
      <c r="BC488" s="45"/>
      <c r="BD488" s="28"/>
      <c r="BE488" s="14"/>
      <c r="BF488" s="41">
        <f t="shared" ref="BF488:BG488" si="1641">K488+O488+S488+W488+AA488+AE488+AI488+AM488+AQ488+AU488+AY488+BC488</f>
        <v>0</v>
      </c>
      <c r="BG488" s="34">
        <f t="shared" si="1641"/>
        <v>0</v>
      </c>
      <c r="BH488" s="35">
        <f t="shared" si="1629"/>
        <v>0</v>
      </c>
      <c r="BK488" s="2" t="b">
        <f>H488='2019'!BH411</f>
        <v>1</v>
      </c>
    </row>
    <row r="489" ht="14.25" customHeight="1" hidden="1" spans="1:63" x14ac:dyDescent="0.25">
      <c r="A489" s="2">
        <v>54</v>
      </c>
      <c r="B489" s="14"/>
      <c r="C489" s="2" t="s">
        <v>137</v>
      </c>
      <c r="D489" s="14" t="s">
        <v>50</v>
      </c>
      <c r="E489" s="2" t="s">
        <v>49</v>
      </c>
      <c r="F489" s="41">
        <v>1100</v>
      </c>
      <c r="G489" s="28"/>
      <c r="H489" s="182">
        <f>'2019'!BH412+0.0048</f>
        <v>0</v>
      </c>
      <c r="I489" s="15"/>
      <c r="J489" s="15"/>
      <c r="K489" s="15"/>
      <c r="L489" s="28"/>
      <c r="Q489" s="13"/>
      <c r="R489" s="15"/>
      <c r="S489" s="15"/>
      <c r="T489" s="28"/>
      <c r="Y489" s="13"/>
      <c r="Z489" s="15"/>
      <c r="AA489" s="15"/>
      <c r="AB489" s="28"/>
      <c r="AE489" s="34">
        <f>B486*$F$12</f>
        <v>6094</v>
      </c>
      <c r="AF489" s="133">
        <v>6094</v>
      </c>
      <c r="AG489" s="13"/>
      <c r="AH489" s="15"/>
      <c r="AI489" s="45"/>
      <c r="AJ489" s="180"/>
      <c r="AK489" s="13"/>
      <c r="AL489" s="15"/>
      <c r="AM489" s="45"/>
      <c r="AN489" s="15"/>
      <c r="AO489" s="13"/>
      <c r="AP489" s="15"/>
      <c r="AQ489" s="45"/>
      <c r="AR489" s="15"/>
      <c r="AS489" s="13"/>
      <c r="AT489" s="15"/>
      <c r="AU489" s="45"/>
      <c r="AV489" s="15"/>
      <c r="AW489" s="13"/>
      <c r="AY489" s="45"/>
      <c r="AZ489" s="28"/>
      <c r="BA489" s="13"/>
      <c r="BB489" s="15"/>
      <c r="BC489" s="45"/>
      <c r="BD489" s="28"/>
      <c r="BE489" s="14"/>
      <c r="BF489" s="41">
        <f t="shared" ref="BF489:BG489" si="1642">K489+O489+S489+W489+AA489+AE489+AI489+AM489+AQ489+AU489+AY489+BC489</f>
        <v>6094</v>
      </c>
      <c r="BG489" s="34">
        <f t="shared" si="1642"/>
        <v>6094</v>
      </c>
      <c r="BH489" s="35">
        <f t="shared" si="1629"/>
        <v>0</v>
      </c>
      <c r="BK489" s="2" t="b">
        <f>H489='2019'!BH412</f>
        <v>0</v>
      </c>
    </row>
    <row r="490" ht="14.25" customHeight="1" hidden="1" spans="1:63" x14ac:dyDescent="0.25">
      <c r="A490" s="2">
        <v>54</v>
      </c>
      <c r="B490" s="14"/>
      <c r="C490" s="2" t="s">
        <v>422</v>
      </c>
      <c r="D490" s="14" t="s">
        <v>51</v>
      </c>
      <c r="E490" s="2" t="s">
        <v>39</v>
      </c>
      <c r="F490" s="41">
        <v>500</v>
      </c>
      <c r="G490" s="28"/>
      <c r="H490" s="34">
        <f>'2019'!BH413</f>
        <v>0</v>
      </c>
      <c r="I490" s="15"/>
      <c r="J490" s="15"/>
      <c r="K490" s="15"/>
      <c r="L490" s="28"/>
      <c r="Q490" s="13"/>
      <c r="R490" s="15"/>
      <c r="S490" s="15"/>
      <c r="T490" s="28"/>
      <c r="Y490" s="13"/>
      <c r="Z490" s="15"/>
      <c r="AA490" s="15"/>
      <c r="AB490" s="28"/>
      <c r="AE490" s="34"/>
      <c r="AF490" s="34"/>
      <c r="AG490" s="13"/>
      <c r="AH490" s="15"/>
      <c r="AI490" s="45"/>
      <c r="AJ490" s="15"/>
      <c r="AK490" s="13"/>
      <c r="AL490" s="15"/>
      <c r="AM490" s="45"/>
      <c r="AN490" s="15"/>
      <c r="AO490" s="13"/>
      <c r="AP490" s="15"/>
      <c r="AQ490" s="45">
        <f>$F$13</f>
        <v>500</v>
      </c>
      <c r="AR490" s="15"/>
      <c r="AS490" s="13"/>
      <c r="AT490" s="15"/>
      <c r="AU490" s="45"/>
      <c r="AV490" s="15"/>
      <c r="AW490" s="13"/>
      <c r="AY490" s="45"/>
      <c r="AZ490" s="28"/>
      <c r="BA490" s="13"/>
      <c r="BB490" s="15"/>
      <c r="BC490" s="45"/>
      <c r="BD490" s="28"/>
      <c r="BE490" s="14"/>
      <c r="BF490" s="41">
        <f t="shared" ref="BF490:BG490" si="1643">K490+O490+S490+W490+AA490+AE490+AI490+AM490+AQ490+AU490+AY490+BC490</f>
        <v>500</v>
      </c>
      <c r="BG490" s="34">
        <f t="shared" si="1643"/>
        <v>0</v>
      </c>
      <c r="BH490" s="35">
        <f t="shared" si="1629"/>
        <v>500</v>
      </c>
      <c r="BK490" s="2" t="b">
        <f>H490='2019'!BH413</f>
        <v>1</v>
      </c>
    </row>
    <row r="491" ht="14.25" customHeight="1" hidden="1" spans="1:60" x14ac:dyDescent="0.25">
      <c r="A491" s="2">
        <v>54</v>
      </c>
      <c r="B491" s="14"/>
      <c r="D491" s="14" t="s">
        <v>51</v>
      </c>
      <c r="E491" s="2" t="s">
        <v>49</v>
      </c>
      <c r="F491" s="41">
        <v>500</v>
      </c>
      <c r="G491" s="28"/>
      <c r="H491" s="34"/>
      <c r="I491" s="15"/>
      <c r="J491" s="15"/>
      <c r="K491" s="15"/>
      <c r="L491" s="28"/>
      <c r="Q491" s="13"/>
      <c r="R491" s="15"/>
      <c r="S491" s="15"/>
      <c r="T491" s="28"/>
      <c r="Y491" s="13"/>
      <c r="Z491" s="15"/>
      <c r="AA491" s="15"/>
      <c r="AB491" s="28"/>
      <c r="AE491" s="34"/>
      <c r="AF491" s="34"/>
      <c r="AG491" s="13"/>
      <c r="AH491" s="15"/>
      <c r="AI491" s="45"/>
      <c r="AJ491" s="15"/>
      <c r="AK491" s="13"/>
      <c r="AL491" s="15"/>
      <c r="AM491" s="45"/>
      <c r="AN491" s="15"/>
      <c r="AO491" s="13"/>
      <c r="AP491" s="15"/>
      <c r="AQ491" s="34">
        <f>B486*$F$14</f>
        <v>2770</v>
      </c>
      <c r="AR491" s="15"/>
      <c r="AS491" s="13"/>
      <c r="AT491" s="15"/>
      <c r="AU491" s="45"/>
      <c r="AV491" s="15"/>
      <c r="AW491" s="13"/>
      <c r="AY491" s="45"/>
      <c r="AZ491" s="28"/>
      <c r="BA491" s="13"/>
      <c r="BB491" s="15"/>
      <c r="BC491" s="45"/>
      <c r="BD491" s="28"/>
      <c r="BE491" s="14"/>
      <c r="BF491" s="41">
        <f t="shared" ref="BF491:BG491" si="1644">K491+O491+S491+W491+AA491+AE491+AI491+AM491+AQ491+AU491+AY491+BC491</f>
        <v>2770</v>
      </c>
      <c r="BG491" s="34">
        <f t="shared" si="1644"/>
        <v>0</v>
      </c>
      <c r="BH491" s="35">
        <f t="shared" si="1629"/>
        <v>2770</v>
      </c>
    </row>
    <row r="492" ht="14.25" customHeight="1" hidden="1" spans="1:63" x14ac:dyDescent="0.25">
      <c r="A492" s="2">
        <v>54</v>
      </c>
      <c r="B492" s="14"/>
      <c r="D492" s="14" t="s">
        <v>52</v>
      </c>
      <c r="E492" s="2" t="s">
        <v>39</v>
      </c>
      <c r="F492" s="41">
        <v>500</v>
      </c>
      <c r="G492" s="28"/>
      <c r="H492" s="34">
        <f>'2019'!BH414</f>
        <v>0</v>
      </c>
      <c r="I492" s="15"/>
      <c r="J492" s="15"/>
      <c r="K492" s="15"/>
      <c r="L492" s="28"/>
      <c r="Q492" s="13"/>
      <c r="R492" s="15"/>
      <c r="S492" s="15"/>
      <c r="T492" s="28"/>
      <c r="Y492" s="13"/>
      <c r="Z492" s="15"/>
      <c r="AA492" s="77"/>
      <c r="AB492" s="28"/>
      <c r="AF492" s="34"/>
      <c r="AG492" s="13"/>
      <c r="AH492" s="15"/>
      <c r="AI492" s="45"/>
      <c r="AJ492" s="15"/>
      <c r="AK492" s="13"/>
      <c r="AL492" s="15"/>
      <c r="AM492" s="45"/>
      <c r="AN492" s="15"/>
      <c r="AO492" s="13"/>
      <c r="AP492" s="15"/>
      <c r="AQ492" s="45"/>
      <c r="AR492" s="15"/>
      <c r="AS492" s="13"/>
      <c r="AT492" s="15"/>
      <c r="AU492" s="45"/>
      <c r="AV492" s="15"/>
      <c r="AW492" s="13"/>
      <c r="AY492" s="45"/>
      <c r="AZ492" s="35"/>
      <c r="BA492" s="13"/>
      <c r="BB492" s="15"/>
      <c r="BC492" s="45"/>
      <c r="BD492" s="35"/>
      <c r="BE492" s="14"/>
      <c r="BF492" s="41">
        <f t="shared" ref="BF492:BG492" si="1645">K492+O492+S492+W492+AA492+AE492+AI492+AM492+AQ492+AU492+AY492+BC492</f>
        <v>0</v>
      </c>
      <c r="BG492" s="34">
        <f t="shared" si="1645"/>
        <v>0</v>
      </c>
      <c r="BH492" s="35">
        <f t="shared" si="1629"/>
        <v>0</v>
      </c>
      <c r="BK492" s="2" t="b">
        <f>H492='2019'!BH414</f>
        <v>1</v>
      </c>
    </row>
    <row r="493" ht="14.25" customHeight="1" hidden="1" spans="1:63" x14ac:dyDescent="0.25">
      <c r="A493" s="247">
        <v>54</v>
      </c>
      <c r="B493" s="21"/>
      <c r="C493" s="22" t="s">
        <v>53</v>
      </c>
      <c r="D493" s="21"/>
      <c r="E493" s="22"/>
      <c r="F493" s="20"/>
      <c r="G493" s="23"/>
      <c r="H493" s="51">
        <f>SUM(H485:H492)</f>
        <v>-100.94</v>
      </c>
      <c r="I493" s="53"/>
      <c r="J493" s="53"/>
      <c r="K493" s="51">
        <f t="shared" ref="K493:L493" si="1646">SUM(K485:K492)</f>
        <v>0</v>
      </c>
      <c r="L493" s="68">
        <f t="shared" si="1646"/>
        <v>0</v>
      </c>
      <c r="M493" s="53"/>
      <c r="N493" s="53"/>
      <c r="O493" s="51">
        <f t="shared" ref="O493:P493" si="1647">SUM(O485:O492)</f>
        <v>0</v>
      </c>
      <c r="P493" s="51">
        <f t="shared" si="1647"/>
        <v>0</v>
      </c>
      <c r="Q493" s="52"/>
      <c r="R493" s="53"/>
      <c r="S493" s="51">
        <f t="shared" ref="S493:T493" si="1648">SUM(S485:S492)</f>
        <v>0</v>
      </c>
      <c r="T493" s="51">
        <f t="shared" si="1648"/>
        <v>0</v>
      </c>
      <c r="U493" s="52"/>
      <c r="V493" s="53"/>
      <c r="W493" s="51">
        <f t="shared" ref="W493:X493" si="1649">SUM(W485:W492)</f>
        <v>7.5</v>
      </c>
      <c r="X493" s="51">
        <f t="shared" si="1649"/>
        <v>0</v>
      </c>
      <c r="Y493" s="52"/>
      <c r="Z493" s="53"/>
      <c r="AA493" s="51">
        <f t="shared" ref="AA493:AB493" si="1650">SUM(AA485:AA492)</f>
        <v>27.5</v>
      </c>
      <c r="AB493" s="51">
        <f t="shared" si="1650"/>
        <v>0</v>
      </c>
      <c r="AC493" s="52"/>
      <c r="AD493" s="53"/>
      <c r="AE493" s="51">
        <f t="shared" ref="AE493:AF493" si="1651">SUM(AE485:AE492)</f>
        <v>6264.98</v>
      </c>
      <c r="AF493" s="51">
        <f t="shared" si="1651"/>
        <v>6200</v>
      </c>
      <c r="AG493" s="52"/>
      <c r="AH493" s="53"/>
      <c r="AI493" s="183">
        <f t="shared" ref="AI493:AJ493" si="1652">SUM(AI485:AI492)</f>
        <v>236.2</v>
      </c>
      <c r="AJ493" s="51">
        <f t="shared" si="1652"/>
        <v>300</v>
      </c>
      <c r="AK493" s="52"/>
      <c r="AL493" s="53"/>
      <c r="AM493" s="183">
        <f t="shared" ref="AM493:AN493" si="1653">SUM(AM485:AM492)</f>
        <v>28.6</v>
      </c>
      <c r="AN493" s="51">
        <f t="shared" si="1653"/>
        <v>0</v>
      </c>
      <c r="AO493" s="52"/>
      <c r="AP493" s="53"/>
      <c r="AQ493" s="183">
        <f t="shared" ref="AQ493:AR493" si="1654">SUM(AQ485:AQ492)</f>
        <v>3311.6</v>
      </c>
      <c r="AR493" s="51">
        <f t="shared" si="1654"/>
        <v>0</v>
      </c>
      <c r="AS493" s="52"/>
      <c r="AT493" s="53"/>
      <c r="AU493" s="183">
        <f t="shared" ref="AU493:AV493" si="1655">SUM(AU485:AU492)</f>
        <v>52</v>
      </c>
      <c r="AV493" s="68">
        <f t="shared" si="1655"/>
        <v>0</v>
      </c>
      <c r="AW493" s="52"/>
      <c r="AX493" s="53"/>
      <c r="AY493" s="183">
        <f t="shared" ref="AY493:AZ493" si="1656">SUM(AY485:AY492)</f>
        <v>44.2</v>
      </c>
      <c r="AZ493" s="68">
        <f t="shared" si="1656"/>
        <v>0</v>
      </c>
      <c r="BA493" s="52"/>
      <c r="BB493" s="53"/>
      <c r="BC493" s="183">
        <f t="shared" ref="BC493:BD493" si="1657">SUM(BC485:BC492)</f>
        <v>0</v>
      </c>
      <c r="BD493" s="68">
        <f t="shared" si="1657"/>
        <v>0</v>
      </c>
      <c r="BE493" s="69"/>
      <c r="BF493" s="70">
        <f t="shared" ref="BF493:BH493" si="1658">SUM(BF485:BF492)</f>
        <v>9972.58</v>
      </c>
      <c r="BG493" s="71">
        <f t="shared" si="1658"/>
        <v>6500</v>
      </c>
      <c r="BH493" s="72">
        <f t="shared" si="1658"/>
        <v>3371.64</v>
      </c>
      <c r="BI493" s="34">
        <f>H493+BF493-BG493</f>
        <v>3371.64</v>
      </c>
      <c r="BJ493" s="34">
        <f>BH493-BI493</f>
        <v>0</v>
      </c>
      <c r="BK493" s="2" t="b">
        <f>H493='2019'!BH415</f>
        <v>0</v>
      </c>
    </row>
    <row r="494" ht="14.25" customHeight="1" hidden="1" spans="1:63" x14ac:dyDescent="0.25">
      <c r="A494" s="2">
        <v>55</v>
      </c>
      <c r="B494" s="14"/>
      <c r="D494" s="14" t="s">
        <v>379</v>
      </c>
      <c r="F494" s="13"/>
      <c r="G494" s="28"/>
      <c r="H494" s="34">
        <f>'2019'!BH416</f>
        <v>0</v>
      </c>
      <c r="J494" s="15"/>
      <c r="K494" s="15"/>
      <c r="L494" s="28"/>
      <c r="Q494" s="13"/>
      <c r="R494" s="15"/>
      <c r="S494" s="15"/>
      <c r="T494" s="28"/>
      <c r="Y494" s="13"/>
      <c r="Z494" s="15"/>
      <c r="AA494" s="15"/>
      <c r="AB494" s="28"/>
      <c r="AG494" s="13"/>
      <c r="AH494" s="15"/>
      <c r="AI494" s="45"/>
      <c r="AJ494" s="15"/>
      <c r="AK494" s="13"/>
      <c r="AM494" s="45"/>
      <c r="AO494" s="13"/>
      <c r="AQ494" s="45"/>
      <c r="AS494" s="13"/>
      <c r="AU494" s="45"/>
      <c r="AW494" s="13"/>
      <c r="AY494" s="45"/>
      <c r="AZ494" s="28"/>
      <c r="BA494" s="13"/>
      <c r="BB494" s="15"/>
      <c r="BC494" s="45"/>
      <c r="BD494" s="28"/>
      <c r="BE494" s="14"/>
      <c r="BF494" s="41">
        <f t="shared" ref="BF494:BG494" si="1659">K494+O494+S494+W494+AA494+AE494+AI494+AM494+AQ494+AU494+AY494+BC494</f>
        <v>0</v>
      </c>
      <c r="BG494" s="34">
        <f t="shared" si="1659"/>
        <v>0</v>
      </c>
      <c r="BH494" s="35">
        <f t="shared" ref="BH494:BH501" si="1660">H494+BF494-BG494</f>
        <v>0</v>
      </c>
      <c r="BK494" s="2" t="b">
        <f>H494='2019'!BH416</f>
        <v>1</v>
      </c>
    </row>
    <row r="495" ht="14.25" customHeight="1" hidden="1" spans="1:63" x14ac:dyDescent="0.25">
      <c r="A495" s="2">
        <v>55</v>
      </c>
      <c r="B495" s="42">
        <v>5.5</v>
      </c>
      <c r="C495" s="2" t="s">
        <v>214</v>
      </c>
      <c r="D495" s="14" t="s">
        <v>44</v>
      </c>
      <c r="E495" s="2" t="s">
        <v>45</v>
      </c>
      <c r="F495" s="41">
        <v>2.5</v>
      </c>
      <c r="G495" s="35">
        <v>2.6</v>
      </c>
      <c r="H495" s="34">
        <f>'2019'!BH417</f>
        <v>152.5</v>
      </c>
      <c r="I495" s="13">
        <v>369</v>
      </c>
      <c r="J495" s="15">
        <f>I495-'2019'!BA417</f>
        <v>0</v>
      </c>
      <c r="K495" s="34">
        <f>J495*$F$8</f>
        <v>0</v>
      </c>
      <c r="L495" s="28"/>
      <c r="M495" s="15">
        <v>369</v>
      </c>
      <c r="N495" s="15">
        <f>M495-I495</f>
        <v>0</v>
      </c>
      <c r="O495" s="34">
        <f>N495*$F$8</f>
        <v>0</v>
      </c>
      <c r="Q495" s="13">
        <v>369</v>
      </c>
      <c r="R495" s="15">
        <f>Q495-M495</f>
        <v>0</v>
      </c>
      <c r="S495" s="34">
        <f>R495*$F$8</f>
        <v>0</v>
      </c>
      <c r="T495" s="28"/>
      <c r="U495" s="15">
        <v>388</v>
      </c>
      <c r="V495" s="15">
        <f t="shared" ref="V495:V496" si="1661">U495-Q495</f>
        <v>19</v>
      </c>
      <c r="W495" s="34">
        <f>V495*$F$8</f>
        <v>47.5</v>
      </c>
      <c r="X495" s="15"/>
      <c r="Y495" s="13">
        <v>440</v>
      </c>
      <c r="Z495" s="15">
        <f t="shared" ref="Z495:Z496" si="1662">Y495-U495</f>
        <v>52</v>
      </c>
      <c r="AA495" s="34">
        <f>Z495*$F$8</f>
        <v>130</v>
      </c>
      <c r="AB495" s="28"/>
      <c r="AC495" s="15">
        <v>470</v>
      </c>
      <c r="AD495" s="15">
        <f t="shared" ref="AD495:AD496" si="1663">AC495-Y495</f>
        <v>30</v>
      </c>
      <c r="AE495" s="34">
        <f>AD495*$F$8</f>
        <v>75</v>
      </c>
      <c r="AF495" s="133">
        <v>330</v>
      </c>
      <c r="AG495" s="13">
        <v>487</v>
      </c>
      <c r="AH495" s="15">
        <f t="shared" ref="AH495:AH496" si="1664">AG495-AC495</f>
        <v>17</v>
      </c>
      <c r="AI495" s="45">
        <f>AH495*$G$8</f>
        <v>44.2</v>
      </c>
      <c r="AJ495" s="180"/>
      <c r="AK495" s="13">
        <v>499</v>
      </c>
      <c r="AL495" s="15">
        <f t="shared" ref="AL495:AL496" si="1665">AK495-AG495</f>
        <v>12</v>
      </c>
      <c r="AM495" s="45">
        <f>AL495*$G$8</f>
        <v>31.2</v>
      </c>
      <c r="AN495" s="138">
        <f>171.2+5.42</f>
        <v>176.62</v>
      </c>
      <c r="AO495" s="13">
        <v>511</v>
      </c>
      <c r="AP495" s="15">
        <f t="shared" ref="AP495:AP496" si="1666">AO495-AK495</f>
        <v>12</v>
      </c>
      <c r="AQ495" s="45">
        <f>AP495*$G$8</f>
        <v>31.2</v>
      </c>
      <c r="AR495" s="15"/>
      <c r="AS495" s="13">
        <v>536</v>
      </c>
      <c r="AT495" s="15">
        <f t="shared" ref="AT495:AT496" si="1667">AS495-AO495</f>
        <v>25</v>
      </c>
      <c r="AU495" s="45">
        <f>AT495*$G$8</f>
        <v>65</v>
      </c>
      <c r="AV495" s="15"/>
      <c r="AW495" s="13">
        <v>536</v>
      </c>
      <c r="AX495" s="2">
        <f t="shared" ref="AX495:AX496" si="1668">AW495-AS495</f>
        <v>0</v>
      </c>
      <c r="AY495" s="45">
        <f>AX495*$G$8</f>
        <v>0</v>
      </c>
      <c r="AZ495" s="208"/>
      <c r="BA495" s="13">
        <v>536</v>
      </c>
      <c r="BB495" s="15">
        <f t="shared" ref="BB495:BB496" si="1669">BA495-AW495</f>
        <v>0</v>
      </c>
      <c r="BC495" s="45">
        <f>BB495*$G$8</f>
        <v>0</v>
      </c>
      <c r="BD495" s="208"/>
      <c r="BE495" s="40">
        <f t="shared" ref="BE495:BG495" si="1670">J495+N495+R495+V495+Z495+AD495+AH495+AL495+AP495+AT495+AX495+BB495</f>
        <v>167</v>
      </c>
      <c r="BF495" s="41">
        <f t="shared" si="1670"/>
        <v>424.1</v>
      </c>
      <c r="BG495" s="34">
        <f t="shared" si="1670"/>
        <v>506.62</v>
      </c>
      <c r="BH495" s="35">
        <f t="shared" si="1660"/>
        <v>69.98</v>
      </c>
      <c r="BK495" s="2" t="b">
        <f>H495='2019'!BH417</f>
        <v>1</v>
      </c>
    </row>
    <row r="496" ht="14.25" customHeight="1" hidden="1" spans="1:63" x14ac:dyDescent="0.25">
      <c r="A496" s="2">
        <v>55</v>
      </c>
      <c r="B496" s="14"/>
      <c r="C496" s="2" t="s">
        <v>101</v>
      </c>
      <c r="D496" s="14" t="s">
        <v>47</v>
      </c>
      <c r="E496" s="2" t="s">
        <v>48</v>
      </c>
      <c r="F496" s="13">
        <v>18.56</v>
      </c>
      <c r="G496" s="35">
        <v>19.46</v>
      </c>
      <c r="H496" s="34">
        <f>'2019'!BH418</f>
        <v>-28.16</v>
      </c>
      <c r="I496" s="75">
        <v>13</v>
      </c>
      <c r="J496" s="15"/>
      <c r="K496" s="15"/>
      <c r="L496" s="28"/>
      <c r="M496" s="75">
        <v>13</v>
      </c>
      <c r="Q496" s="75">
        <v>13</v>
      </c>
      <c r="R496" s="15"/>
      <c r="S496" s="15"/>
      <c r="T496" s="28"/>
      <c r="U496" s="2">
        <v>13</v>
      </c>
      <c r="V496" s="2">
        <f t="shared" si="1661"/>
        <v>0</v>
      </c>
      <c r="W496" s="34">
        <f>V496*$F$10</f>
        <v>0</v>
      </c>
      <c r="Y496" s="13">
        <v>13</v>
      </c>
      <c r="Z496" s="15">
        <f t="shared" si="1662"/>
        <v>0</v>
      </c>
      <c r="AA496" s="34">
        <f>Z496*$F$10</f>
        <v>0</v>
      </c>
      <c r="AB496" s="28"/>
      <c r="AC496" s="15">
        <v>17</v>
      </c>
      <c r="AD496" s="15">
        <f t="shared" si="1663"/>
        <v>4</v>
      </c>
      <c r="AE496" s="34">
        <f>AD496*$F$10</f>
        <v>74.24</v>
      </c>
      <c r="AF496" s="133">
        <v>50</v>
      </c>
      <c r="AG496" s="13">
        <v>17</v>
      </c>
      <c r="AH496" s="15">
        <f t="shared" si="1664"/>
        <v>0</v>
      </c>
      <c r="AI496" s="45">
        <f>AH496*$G$10</f>
        <v>0</v>
      </c>
      <c r="AJ496" s="2"/>
      <c r="AK496" s="13">
        <v>22</v>
      </c>
      <c r="AL496" s="15">
        <f t="shared" si="1665"/>
        <v>5</v>
      </c>
      <c r="AM496" s="45">
        <f>AL496*$G$10</f>
        <v>97.3</v>
      </c>
      <c r="AN496" s="138">
        <v>93.38</v>
      </c>
      <c r="AO496" s="13">
        <v>22</v>
      </c>
      <c r="AP496" s="15">
        <f t="shared" si="1666"/>
        <v>0</v>
      </c>
      <c r="AQ496" s="45">
        <f>AP496*$G$10</f>
        <v>0</v>
      </c>
      <c r="AR496" s="15"/>
      <c r="AS496" s="13">
        <v>22</v>
      </c>
      <c r="AT496" s="15">
        <f t="shared" si="1667"/>
        <v>0</v>
      </c>
      <c r="AU496" s="45">
        <f>AT496*$G$10</f>
        <v>0</v>
      </c>
      <c r="AV496" s="15"/>
      <c r="AW496" s="13">
        <v>22</v>
      </c>
      <c r="AX496" s="2">
        <f t="shared" si="1668"/>
        <v>0</v>
      </c>
      <c r="AY496" s="45"/>
      <c r="AZ496" s="208"/>
      <c r="BA496" s="13">
        <v>22</v>
      </c>
      <c r="BB496" s="15">
        <f t="shared" si="1669"/>
        <v>0</v>
      </c>
      <c r="BC496" s="45"/>
      <c r="BD496" s="208"/>
      <c r="BE496" s="40">
        <f t="shared" ref="BE496:BG496" si="1671">J496+N496+R496+V496+Z496+AD496+AH496+AL496+AP496+AT496+AX496+BB496</f>
        <v>9</v>
      </c>
      <c r="BF496" s="41">
        <f t="shared" si="1671"/>
        <v>171.54</v>
      </c>
      <c r="BG496" s="34">
        <f t="shared" si="1671"/>
        <v>143.38</v>
      </c>
      <c r="BH496" s="35">
        <f t="shared" si="1660"/>
        <v>0</v>
      </c>
      <c r="BK496" s="2" t="b">
        <f>H496='2019'!BH418</f>
        <v>1</v>
      </c>
    </row>
    <row r="497" ht="14.25" customHeight="1" hidden="1" spans="1:63" x14ac:dyDescent="0.25">
      <c r="A497" s="2">
        <v>55</v>
      </c>
      <c r="B497" s="14"/>
      <c r="C497" s="2" t="s">
        <v>178</v>
      </c>
      <c r="D497" s="14" t="s">
        <v>47</v>
      </c>
      <c r="E497" s="2" t="s">
        <v>49</v>
      </c>
      <c r="F497" s="41">
        <v>500</v>
      </c>
      <c r="G497" s="28"/>
      <c r="H497" s="34">
        <f>'2019'!BH419</f>
        <v>0</v>
      </c>
      <c r="I497" s="15"/>
      <c r="J497" s="15"/>
      <c r="K497" s="15"/>
      <c r="L497" s="28"/>
      <c r="Q497" s="13"/>
      <c r="R497" s="15"/>
      <c r="S497" s="15"/>
      <c r="T497" s="28"/>
      <c r="Y497" s="13"/>
      <c r="Z497" s="15"/>
      <c r="AA497" s="15"/>
      <c r="AB497" s="28"/>
      <c r="AG497" s="13"/>
      <c r="AH497" s="15"/>
      <c r="AI497" s="45"/>
      <c r="AJ497" s="15"/>
      <c r="AK497" s="13"/>
      <c r="AL497" s="15"/>
      <c r="AM497" s="45"/>
      <c r="AN497" s="15"/>
      <c r="AO497" s="13"/>
      <c r="AP497" s="15"/>
      <c r="AQ497" s="45"/>
      <c r="AR497" s="15"/>
      <c r="AS497" s="13"/>
      <c r="AT497" s="15"/>
      <c r="AU497" s="45"/>
      <c r="AV497" s="15"/>
      <c r="AW497" s="13"/>
      <c r="AY497" s="45"/>
      <c r="AZ497" s="28"/>
      <c r="BA497" s="13"/>
      <c r="BB497" s="15"/>
      <c r="BC497" s="45"/>
      <c r="BD497" s="28"/>
      <c r="BE497" s="14"/>
      <c r="BF497" s="41">
        <f t="shared" ref="BF497:BG497" si="1672">K497+O497+S497+W497+AA497+AE497+AI497+AM497+AQ497+AU497+AY497+BC497</f>
        <v>0</v>
      </c>
      <c r="BG497" s="34">
        <f t="shared" si="1672"/>
        <v>0</v>
      </c>
      <c r="BH497" s="35">
        <f t="shared" si="1660"/>
        <v>0</v>
      </c>
      <c r="BK497" s="2" t="b">
        <f>H497='2019'!BH419</f>
        <v>1</v>
      </c>
    </row>
    <row r="498" ht="14.25" customHeight="1" hidden="1" spans="1:63" x14ac:dyDescent="0.25">
      <c r="A498" s="2">
        <v>55</v>
      </c>
      <c r="B498" s="14"/>
      <c r="C498" s="2" t="s">
        <v>215</v>
      </c>
      <c r="D498" s="14" t="s">
        <v>50</v>
      </c>
      <c r="E498" s="2" t="s">
        <v>49</v>
      </c>
      <c r="F498" s="41">
        <v>1100</v>
      </c>
      <c r="G498" s="28"/>
      <c r="H498" s="34">
        <f>'2019'!BH420</f>
        <v>0</v>
      </c>
      <c r="I498" s="15"/>
      <c r="J498" s="15"/>
      <c r="K498" s="15"/>
      <c r="L498" s="28"/>
      <c r="Q498" s="13"/>
      <c r="R498" s="15"/>
      <c r="S498" s="15"/>
      <c r="T498" s="28"/>
      <c r="Y498" s="13"/>
      <c r="Z498" s="15"/>
      <c r="AA498" s="15"/>
      <c r="AB498" s="28"/>
      <c r="AE498" s="34">
        <f>B495*$F$12</f>
        <v>6050</v>
      </c>
      <c r="AF498" s="133">
        <v>1820</v>
      </c>
      <c r="AG498" s="13"/>
      <c r="AH498" s="15"/>
      <c r="AI498" s="45"/>
      <c r="AJ498" s="180"/>
      <c r="AK498" s="13"/>
      <c r="AL498" s="15"/>
      <c r="AM498" s="45"/>
      <c r="AN498" s="133">
        <v>4230</v>
      </c>
      <c r="AO498" s="13"/>
      <c r="AP498" s="15"/>
      <c r="AQ498" s="45"/>
      <c r="AR498" s="15"/>
      <c r="AS498" s="13"/>
      <c r="AT498" s="15"/>
      <c r="AU498" s="45"/>
      <c r="AV498" s="15"/>
      <c r="AW498" s="13"/>
      <c r="AY498" s="45"/>
      <c r="AZ498" s="28"/>
      <c r="BA498" s="13"/>
      <c r="BB498" s="15"/>
      <c r="BC498" s="45"/>
      <c r="BD498" s="28"/>
      <c r="BE498" s="14"/>
      <c r="BF498" s="41">
        <f t="shared" ref="BF498:BG498" si="1673">K498+O498+S498+W498+AA498+AE498+AI498+AM498+AQ498+AU498+AY498+BC498</f>
        <v>6050</v>
      </c>
      <c r="BG498" s="34">
        <f t="shared" si="1673"/>
        <v>6050</v>
      </c>
      <c r="BH498" s="35">
        <f t="shared" si="1660"/>
        <v>0</v>
      </c>
      <c r="BK498" s="2" t="b">
        <f>H498='2019'!BH420</f>
        <v>1</v>
      </c>
    </row>
    <row r="499" ht="14.25" customHeight="1" hidden="1" spans="1:63" x14ac:dyDescent="0.25">
      <c r="A499" s="2">
        <v>55</v>
      </c>
      <c r="B499" s="14"/>
      <c r="C499" s="2" t="s">
        <v>216</v>
      </c>
      <c r="D499" s="14" t="s">
        <v>51</v>
      </c>
      <c r="E499" s="2" t="s">
        <v>39</v>
      </c>
      <c r="F499" s="41">
        <v>500</v>
      </c>
      <c r="G499" s="28"/>
      <c r="H499" s="34">
        <f>'2019'!BH421</f>
        <v>0</v>
      </c>
      <c r="I499" s="15"/>
      <c r="J499" s="15"/>
      <c r="K499" s="15"/>
      <c r="L499" s="28"/>
      <c r="Q499" s="13"/>
      <c r="R499" s="15"/>
      <c r="S499" s="15"/>
      <c r="T499" s="28"/>
      <c r="Y499" s="13"/>
      <c r="Z499" s="15"/>
      <c r="AA499" s="15"/>
      <c r="AB499" s="28"/>
      <c r="AE499" s="34"/>
      <c r="AF499" s="34"/>
      <c r="AG499" s="13"/>
      <c r="AH499" s="15"/>
      <c r="AI499" s="45"/>
      <c r="AJ499" s="15"/>
      <c r="AK499" s="13"/>
      <c r="AL499" s="15"/>
      <c r="AM499" s="45"/>
      <c r="AN499" s="15"/>
      <c r="AO499" s="13"/>
      <c r="AP499" s="15"/>
      <c r="AQ499" s="45">
        <f>$F$13</f>
        <v>500</v>
      </c>
      <c r="AR499" s="15"/>
      <c r="AS499" s="13"/>
      <c r="AT499" s="15"/>
      <c r="AU499" s="45"/>
      <c r="AV499" s="15"/>
      <c r="AW499" s="13"/>
      <c r="AY499" s="45"/>
      <c r="AZ499" s="28"/>
      <c r="BA499" s="13"/>
      <c r="BB499" s="15"/>
      <c r="BC499" s="45"/>
      <c r="BD499" s="28"/>
      <c r="BE499" s="14"/>
      <c r="BF499" s="41">
        <f t="shared" ref="BF499:BG499" si="1674">K499+O499+S499+W499+AA499+AE499+AI499+AM499+AQ499+AU499+AY499+BC499</f>
        <v>500</v>
      </c>
      <c r="BG499" s="34">
        <f t="shared" si="1674"/>
        <v>0</v>
      </c>
      <c r="BH499" s="35">
        <f t="shared" si="1660"/>
        <v>500</v>
      </c>
      <c r="BK499" s="2" t="b">
        <f>H499='2019'!BH421</f>
        <v>1</v>
      </c>
    </row>
    <row r="500" ht="14.25" customHeight="1" hidden="1" spans="1:60" x14ac:dyDescent="0.25">
      <c r="A500" s="2">
        <v>55</v>
      </c>
      <c r="B500" s="14"/>
      <c r="D500" s="14" t="s">
        <v>51</v>
      </c>
      <c r="E500" s="2" t="s">
        <v>49</v>
      </c>
      <c r="F500" s="41">
        <v>500</v>
      </c>
      <c r="G500" s="28"/>
      <c r="H500" s="34"/>
      <c r="I500" s="15"/>
      <c r="J500" s="15"/>
      <c r="K500" s="15"/>
      <c r="L500" s="28"/>
      <c r="Q500" s="13"/>
      <c r="R500" s="15"/>
      <c r="S500" s="15"/>
      <c r="T500" s="28"/>
      <c r="Y500" s="13"/>
      <c r="Z500" s="15"/>
      <c r="AA500" s="15"/>
      <c r="AB500" s="28"/>
      <c r="AE500" s="34"/>
      <c r="AF500" s="34"/>
      <c r="AG500" s="13"/>
      <c r="AH500" s="15"/>
      <c r="AI500" s="45"/>
      <c r="AJ500" s="15"/>
      <c r="AK500" s="13"/>
      <c r="AL500" s="15"/>
      <c r="AM500" s="45"/>
      <c r="AN500" s="15"/>
      <c r="AO500" s="13"/>
      <c r="AP500" s="15"/>
      <c r="AQ500" s="34">
        <f>B495*$F$14</f>
        <v>2750</v>
      </c>
      <c r="AR500" s="15"/>
      <c r="AS500" s="13"/>
      <c r="AT500" s="15"/>
      <c r="AU500" s="45"/>
      <c r="AV500" s="15"/>
      <c r="AW500" s="13"/>
      <c r="AY500" s="45"/>
      <c r="AZ500" s="28"/>
      <c r="BA500" s="13"/>
      <c r="BB500" s="15"/>
      <c r="BC500" s="45"/>
      <c r="BD500" s="28"/>
      <c r="BE500" s="14"/>
      <c r="BF500" s="41">
        <f t="shared" ref="BF500:BG500" si="1675">K500+O500+S500+W500+AA500+AE500+AI500+AM500+AQ500+AU500+AY500+BC500</f>
        <v>2750</v>
      </c>
      <c r="BG500" s="34">
        <f t="shared" si="1675"/>
        <v>0</v>
      </c>
      <c r="BH500" s="35">
        <f t="shared" si="1660"/>
        <v>2750</v>
      </c>
    </row>
    <row r="501" ht="14.25" customHeight="1" hidden="1" spans="1:63" x14ac:dyDescent="0.25">
      <c r="A501" s="2">
        <v>55</v>
      </c>
      <c r="B501" s="14"/>
      <c r="D501" s="14" t="s">
        <v>52</v>
      </c>
      <c r="E501" s="2" t="s">
        <v>39</v>
      </c>
      <c r="F501" s="41">
        <v>500</v>
      </c>
      <c r="G501" s="28"/>
      <c r="H501" s="34">
        <f>'2019'!BH422</f>
        <v>0</v>
      </c>
      <c r="I501" s="15"/>
      <c r="J501" s="15"/>
      <c r="K501" s="15"/>
      <c r="L501" s="28"/>
      <c r="Q501" s="13"/>
      <c r="R501" s="15"/>
      <c r="S501" s="15"/>
      <c r="T501" s="28"/>
      <c r="Y501" s="13"/>
      <c r="Z501" s="15"/>
      <c r="AA501" s="77"/>
      <c r="AB501" s="28"/>
      <c r="AG501" s="13"/>
      <c r="AH501" s="15"/>
      <c r="AI501" s="45"/>
      <c r="AJ501" s="15"/>
      <c r="AK501" s="13"/>
      <c r="AL501" s="15"/>
      <c r="AM501" s="45"/>
      <c r="AN501" s="15"/>
      <c r="AO501" s="13"/>
      <c r="AP501" s="15"/>
      <c r="AQ501" s="45"/>
      <c r="AR501" s="15"/>
      <c r="AS501" s="13"/>
      <c r="AT501" s="15"/>
      <c r="AU501" s="45"/>
      <c r="AV501" s="15"/>
      <c r="AW501" s="13"/>
      <c r="AY501" s="45"/>
      <c r="AZ501" s="35"/>
      <c r="BA501" s="13"/>
      <c r="BB501" s="15"/>
      <c r="BC501" s="45"/>
      <c r="BD501" s="35"/>
      <c r="BE501" s="14"/>
      <c r="BF501" s="41">
        <f t="shared" ref="BF501:BG501" si="1676">K501+O501+S501+W501+AA501+AE501+AI501+AM501+AQ501+AU501+AY501+BC501</f>
        <v>0</v>
      </c>
      <c r="BG501" s="34">
        <f t="shared" si="1676"/>
        <v>0</v>
      </c>
      <c r="BH501" s="35">
        <f t="shared" si="1660"/>
        <v>0</v>
      </c>
      <c r="BK501" s="2" t="b">
        <f>H501='2019'!BH422</f>
        <v>1</v>
      </c>
    </row>
    <row r="502" ht="14.25" customHeight="1" hidden="1" spans="1:63" x14ac:dyDescent="0.25">
      <c r="A502" s="255" t="s">
        <v>217</v>
      </c>
      <c r="B502" s="21"/>
      <c r="C502" s="22" t="s">
        <v>53</v>
      </c>
      <c r="D502" s="21"/>
      <c r="E502" s="22"/>
      <c r="F502" s="20"/>
      <c r="G502" s="23"/>
      <c r="H502" s="51">
        <f>SUM(H494:H501)</f>
        <v>124.34</v>
      </c>
      <c r="I502" s="53"/>
      <c r="J502" s="53"/>
      <c r="K502" s="51">
        <f t="shared" ref="K502:L502" si="1677">SUM(K494:K501)</f>
        <v>0</v>
      </c>
      <c r="L502" s="68">
        <f t="shared" si="1677"/>
        <v>0</v>
      </c>
      <c r="M502" s="53"/>
      <c r="N502" s="53"/>
      <c r="O502" s="51">
        <f t="shared" ref="O502:P502" si="1678">SUM(O494:O501)</f>
        <v>0</v>
      </c>
      <c r="P502" s="51">
        <f t="shared" si="1678"/>
        <v>0</v>
      </c>
      <c r="Q502" s="52"/>
      <c r="R502" s="53"/>
      <c r="S502" s="51">
        <f t="shared" ref="S502:T502" si="1679">SUM(S494:S501)</f>
        <v>0</v>
      </c>
      <c r="T502" s="51">
        <f t="shared" si="1679"/>
        <v>0</v>
      </c>
      <c r="U502" s="52"/>
      <c r="V502" s="53"/>
      <c r="W502" s="51">
        <f t="shared" ref="W502:X502" si="1680">SUM(W494:W501)</f>
        <v>47.5</v>
      </c>
      <c r="X502" s="51">
        <f t="shared" si="1680"/>
        <v>0</v>
      </c>
      <c r="Y502" s="52"/>
      <c r="Z502" s="53"/>
      <c r="AA502" s="51">
        <f t="shared" ref="AA502:AB502" si="1681">SUM(AA494:AA501)</f>
        <v>130</v>
      </c>
      <c r="AB502" s="51">
        <f t="shared" si="1681"/>
        <v>0</v>
      </c>
      <c r="AC502" s="52"/>
      <c r="AD502" s="53"/>
      <c r="AE502" s="51">
        <f t="shared" ref="AE502:AF502" si="1682">SUM(AE494:AE501)</f>
        <v>6199.24</v>
      </c>
      <c r="AF502" s="51">
        <f t="shared" si="1682"/>
        <v>2200</v>
      </c>
      <c r="AG502" s="52"/>
      <c r="AH502" s="53"/>
      <c r="AI502" s="183">
        <f t="shared" ref="AI502:AJ502" si="1683">SUM(AI494:AI501)</f>
        <v>44.2</v>
      </c>
      <c r="AJ502" s="51">
        <f t="shared" si="1683"/>
        <v>0</v>
      </c>
      <c r="AK502" s="52"/>
      <c r="AL502" s="53"/>
      <c r="AM502" s="183">
        <f t="shared" ref="AM502:AN502" si="1684">SUM(AM494:AM501)</f>
        <v>128.5</v>
      </c>
      <c r="AN502" s="51">
        <f t="shared" si="1684"/>
        <v>4500</v>
      </c>
      <c r="AO502" s="52"/>
      <c r="AP502" s="53"/>
      <c r="AQ502" s="183">
        <f t="shared" ref="AQ502:AR502" si="1685">SUM(AQ494:AQ501)</f>
        <v>3281.2</v>
      </c>
      <c r="AR502" s="51">
        <f t="shared" si="1685"/>
        <v>0</v>
      </c>
      <c r="AS502" s="52"/>
      <c r="AT502" s="53"/>
      <c r="AU502" s="183">
        <f t="shared" ref="AU502:AV502" si="1686">SUM(AU494:AU501)</f>
        <v>65</v>
      </c>
      <c r="AV502" s="68">
        <f t="shared" si="1686"/>
        <v>0</v>
      </c>
      <c r="AW502" s="52"/>
      <c r="AX502" s="53"/>
      <c r="AY502" s="183">
        <f t="shared" ref="AY502:AZ502" si="1687">SUM(AY494:AY501)</f>
        <v>0</v>
      </c>
      <c r="AZ502" s="68">
        <f t="shared" si="1687"/>
        <v>0</v>
      </c>
      <c r="BA502" s="52"/>
      <c r="BB502" s="53"/>
      <c r="BC502" s="183">
        <f t="shared" ref="BC502:BD502" si="1688">SUM(BC494:BC501)</f>
        <v>0</v>
      </c>
      <c r="BD502" s="68">
        <f t="shared" si="1688"/>
        <v>0</v>
      </c>
      <c r="BE502" s="69"/>
      <c r="BF502" s="70">
        <f t="shared" ref="BF502:BH502" si="1689">SUM(BF494:BF501)</f>
        <v>9895.64</v>
      </c>
      <c r="BG502" s="71">
        <f t="shared" si="1689"/>
        <v>6700</v>
      </c>
      <c r="BH502" s="72">
        <f t="shared" si="1689"/>
        <v>3319.98</v>
      </c>
      <c r="BI502" s="34">
        <f>H502+BF502-BG502</f>
        <v>3319.98</v>
      </c>
      <c r="BJ502" s="34">
        <f>BH502-BI502</f>
        <v>0</v>
      </c>
      <c r="BK502" s="2" t="b">
        <f>H502='2019'!BH423</f>
        <v>1</v>
      </c>
    </row>
    <row r="503" ht="14.25" customHeight="1" hidden="1" spans="1:63" x14ac:dyDescent="0.25">
      <c r="A503" s="2">
        <v>56</v>
      </c>
      <c r="B503" s="14"/>
      <c r="D503" s="178" t="s">
        <v>486</v>
      </c>
      <c r="F503" s="13"/>
      <c r="G503" s="28"/>
      <c r="H503" s="34">
        <f>'2019'!BH424</f>
        <v>0</v>
      </c>
      <c r="J503" s="15"/>
      <c r="K503" s="15"/>
      <c r="L503" s="28"/>
      <c r="Q503" s="13"/>
      <c r="R503" s="15"/>
      <c r="S503" s="15"/>
      <c r="T503" s="28"/>
      <c r="W503" s="152">
        <v>65.5</v>
      </c>
      <c r="X503" s="39">
        <v>65.5</v>
      </c>
      <c r="Y503" s="13"/>
      <c r="Z503" s="15"/>
      <c r="AA503" s="15"/>
      <c r="AB503" s="28"/>
      <c r="AG503" s="13"/>
      <c r="AH503" s="15"/>
      <c r="AI503" s="45"/>
      <c r="AJ503" s="15"/>
      <c r="AK503" s="13"/>
      <c r="AM503" s="45"/>
      <c r="AO503" s="13"/>
      <c r="AQ503" s="45"/>
      <c r="AR503" s="1"/>
      <c r="AS503" s="13"/>
      <c r="AU503" s="45"/>
      <c r="AW503" s="13"/>
      <c r="AY503" s="45"/>
      <c r="AZ503" s="28"/>
      <c r="BA503" s="13"/>
      <c r="BB503" s="15"/>
      <c r="BC503" s="45"/>
      <c r="BD503" s="28"/>
      <c r="BE503" s="14"/>
      <c r="BF503" s="41">
        <f t="shared" ref="BF503:BG503" si="1690">K503+O503+S503+W503+AA503+AE503+AI503+AM503+AQ503+AU503+AY503+BC503</f>
        <v>65.5</v>
      </c>
      <c r="BG503" s="34">
        <f t="shared" si="1690"/>
        <v>65.5</v>
      </c>
      <c r="BH503" s="35">
        <f t="shared" ref="BH503:BH510" si="1691">H503+BF503-BG503</f>
        <v>0</v>
      </c>
      <c r="BK503" s="2" t="b">
        <f>H503='2019'!BH424</f>
        <v>1</v>
      </c>
    </row>
    <row r="504" ht="14.25" customHeight="1" hidden="1" spans="1:63" x14ac:dyDescent="0.25">
      <c r="A504" s="2">
        <v>56</v>
      </c>
      <c r="B504" s="14">
        <v>6.23</v>
      </c>
      <c r="C504" s="15" t="s">
        <v>423</v>
      </c>
      <c r="D504" s="14" t="s">
        <v>44</v>
      </c>
      <c r="E504" s="2" t="s">
        <v>45</v>
      </c>
      <c r="F504" s="41">
        <v>2.5</v>
      </c>
      <c r="G504" s="35">
        <v>2.6</v>
      </c>
      <c r="H504" s="34">
        <f>'2019'!BH425</f>
        <v>1165</v>
      </c>
      <c r="I504" s="15">
        <v>6959</v>
      </c>
      <c r="J504" s="15">
        <f>I504-'2019'!BA425</f>
        <v>1525</v>
      </c>
      <c r="K504" s="34">
        <f>J504*$F$8</f>
        <v>3812.5</v>
      </c>
      <c r="L504" s="28"/>
      <c r="M504" s="15">
        <v>8668</v>
      </c>
      <c r="N504" s="15">
        <f>M504-I504</f>
        <v>1709</v>
      </c>
      <c r="O504" s="34">
        <f>N504*$F$8</f>
        <v>4272.5</v>
      </c>
      <c r="P504" s="39">
        <v>4000</v>
      </c>
      <c r="Q504" s="13">
        <v>10622</v>
      </c>
      <c r="R504" s="15">
        <f>Q504-M504</f>
        <v>1954</v>
      </c>
      <c r="S504" s="34">
        <f>R504*$F$8</f>
        <v>4885</v>
      </c>
      <c r="T504" s="38">
        <v>10135</v>
      </c>
      <c r="U504" s="15">
        <v>11283</v>
      </c>
      <c r="V504" s="15">
        <f t="shared" ref="V504:V505" si="1692">U504-Q504</f>
        <v>661</v>
      </c>
      <c r="W504" s="34">
        <f>V504*$F$8</f>
        <v>1652.5</v>
      </c>
      <c r="X504" s="39">
        <v>1652.5</v>
      </c>
      <c r="Y504" s="13">
        <v>11802</v>
      </c>
      <c r="Z504" s="15">
        <f t="shared" ref="Z504:Z505" si="1693">Y504-U504</f>
        <v>519</v>
      </c>
      <c r="AA504" s="34">
        <f>Z504*$F$8</f>
        <v>1297.5</v>
      </c>
      <c r="AB504" s="38">
        <v>1297.5</v>
      </c>
      <c r="AC504" s="15">
        <v>12269</v>
      </c>
      <c r="AD504" s="15">
        <f t="shared" ref="AD504:AD505" si="1694">AC504-Y504</f>
        <v>467</v>
      </c>
      <c r="AE504" s="34">
        <f>AD504*$F$8</f>
        <v>1167.5</v>
      </c>
      <c r="AF504" s="34"/>
      <c r="AG504" s="13">
        <v>12761</v>
      </c>
      <c r="AH504" s="15">
        <f t="shared" ref="AH504:AH505" si="1695">AG504-AC504</f>
        <v>492</v>
      </c>
      <c r="AI504" s="45">
        <f>AH504*$G$8</f>
        <v>1279.2</v>
      </c>
      <c r="AJ504" s="39">
        <v>1167.5</v>
      </c>
      <c r="AK504" s="13">
        <v>13324</v>
      </c>
      <c r="AL504" s="15">
        <f t="shared" ref="AL504:AL505" si="1696">AK504-AG504</f>
        <v>563</v>
      </c>
      <c r="AM504" s="45">
        <f>AL504*$G$8</f>
        <v>1463.8</v>
      </c>
      <c r="AN504" s="39">
        <v>1279.2</v>
      </c>
      <c r="AO504" s="13">
        <v>13947</v>
      </c>
      <c r="AP504" s="15">
        <f t="shared" ref="AP504:AP505" si="1697">AO504-AK504</f>
        <v>623</v>
      </c>
      <c r="AQ504" s="45">
        <f>AP504*$G$8</f>
        <v>1619.8</v>
      </c>
      <c r="AR504" s="1">
        <v>1483.24</v>
      </c>
      <c r="AS504" s="13">
        <v>14658</v>
      </c>
      <c r="AT504" s="15">
        <f t="shared" ref="AT504:AT505" si="1698">AS504-AO504</f>
        <v>711</v>
      </c>
      <c r="AU504" s="45">
        <f>AT504*$G$8</f>
        <v>1848.6</v>
      </c>
      <c r="AV504" s="1">
        <v>1600.36</v>
      </c>
      <c r="AW504" s="13">
        <v>15850</v>
      </c>
      <c r="AX504" s="2">
        <f t="shared" ref="AX504:AX505" si="1699">AW504-AS504</f>
        <v>1192</v>
      </c>
      <c r="AY504" s="45">
        <f>AX504*$G$8</f>
        <v>3099.2</v>
      </c>
      <c r="AZ504" s="242">
        <v>2000</v>
      </c>
      <c r="BA504" s="13">
        <v>16359</v>
      </c>
      <c r="BB504" s="15">
        <f t="shared" ref="BB504:BB505" si="1700">BA504-AW504</f>
        <v>509</v>
      </c>
      <c r="BC504" s="45">
        <f>BB504*$G$8</f>
        <v>1323.4</v>
      </c>
      <c r="BD504" s="242">
        <f>2947.8+1323.4</f>
        <v>4271.2</v>
      </c>
      <c r="BE504" s="40">
        <f t="shared" ref="BE504:BG504" si="1701">J504+N504+R504+V504+Z504+AD504+AH504+AL504+AP504+AT504+AX504+BB504</f>
        <v>10925</v>
      </c>
      <c r="BF504" s="41">
        <f t="shared" si="1701"/>
        <v>27721.5</v>
      </c>
      <c r="BG504" s="34">
        <f t="shared" si="1701"/>
        <v>28886.5</v>
      </c>
      <c r="BH504" s="35">
        <f t="shared" si="1691"/>
        <v>0</v>
      </c>
      <c r="BK504" s="2" t="b">
        <f>H504='2019'!BH425</f>
        <v>1</v>
      </c>
    </row>
    <row r="505" ht="14.25" customHeight="1" hidden="1" spans="1:63" x14ac:dyDescent="0.25">
      <c r="A505" s="2">
        <v>56</v>
      </c>
      <c r="B505" s="14"/>
      <c r="C505" s="15" t="s">
        <v>121</v>
      </c>
      <c r="D505" s="14" t="s">
        <v>47</v>
      </c>
      <c r="E505" s="2" t="s">
        <v>48</v>
      </c>
      <c r="F505" s="13">
        <v>18.56</v>
      </c>
      <c r="G505" s="35">
        <v>19.46</v>
      </c>
      <c r="H505" s="34">
        <f>'2019'!BH426</f>
        <v>0</v>
      </c>
      <c r="I505" s="15">
        <v>15</v>
      </c>
      <c r="J505" s="15"/>
      <c r="K505" s="15"/>
      <c r="L505" s="28"/>
      <c r="M505" s="2">
        <v>15</v>
      </c>
      <c r="Q505" s="13">
        <v>15</v>
      </c>
      <c r="R505" s="15"/>
      <c r="S505" s="15"/>
      <c r="T505" s="28"/>
      <c r="U505" s="2">
        <v>16</v>
      </c>
      <c r="V505" s="2">
        <f t="shared" si="1692"/>
        <v>1</v>
      </c>
      <c r="W505" s="2">
        <f>V505*$F$10</f>
        <v>18.56</v>
      </c>
      <c r="Y505" s="13">
        <v>18</v>
      </c>
      <c r="Z505" s="15">
        <f t="shared" si="1693"/>
        <v>2</v>
      </c>
      <c r="AA505" s="34">
        <f>Z505*$F$10</f>
        <v>37.12</v>
      </c>
      <c r="AB505" s="32">
        <v>55.68</v>
      </c>
      <c r="AC505" s="15">
        <v>21</v>
      </c>
      <c r="AD505" s="15">
        <f t="shared" si="1694"/>
        <v>3</v>
      </c>
      <c r="AE505" s="34">
        <f>AD505*$F$10</f>
        <v>55.68</v>
      </c>
      <c r="AG505" s="13">
        <v>21</v>
      </c>
      <c r="AH505" s="15">
        <f t="shared" si="1695"/>
        <v>0</v>
      </c>
      <c r="AI505" s="45">
        <f>AH505*$G$10</f>
        <v>0</v>
      </c>
      <c r="AJ505" s="1">
        <v>55.68</v>
      </c>
      <c r="AK505" s="13">
        <v>27</v>
      </c>
      <c r="AL505" s="15">
        <f t="shared" si="1696"/>
        <v>6</v>
      </c>
      <c r="AM505" s="45">
        <f>AL505*$G$10</f>
        <v>116.76</v>
      </c>
      <c r="AN505" s="15"/>
      <c r="AO505" s="13">
        <v>27</v>
      </c>
      <c r="AP505" s="15">
        <f t="shared" si="1697"/>
        <v>0</v>
      </c>
      <c r="AQ505" s="45">
        <f>AP505*$G$10</f>
        <v>0</v>
      </c>
      <c r="AR505" s="1">
        <v>116.76</v>
      </c>
      <c r="AS505" s="13">
        <v>27</v>
      </c>
      <c r="AT505" s="15">
        <f t="shared" si="1698"/>
        <v>0</v>
      </c>
      <c r="AU505" s="45">
        <f>AT505*$G$10</f>
        <v>0</v>
      </c>
      <c r="AV505" s="15"/>
      <c r="AW505" s="13">
        <v>27</v>
      </c>
      <c r="AX505" s="2">
        <f t="shared" si="1699"/>
        <v>0</v>
      </c>
      <c r="AY505" s="45"/>
      <c r="AZ505" s="208"/>
      <c r="BA505" s="13">
        <v>27</v>
      </c>
      <c r="BB505" s="15">
        <f t="shared" si="1700"/>
        <v>0</v>
      </c>
      <c r="BC505" s="45"/>
      <c r="BD505" s="208"/>
      <c r="BE505" s="40">
        <f t="shared" ref="BE505:BG505" si="1702">J505+N505+R505+V505+Z505+AD505+AH505+AL505+AP505+AT505+AX505+BB505</f>
        <v>12</v>
      </c>
      <c r="BF505" s="41">
        <f t="shared" si="1702"/>
        <v>228.12</v>
      </c>
      <c r="BG505" s="34">
        <f t="shared" si="1702"/>
        <v>228.12</v>
      </c>
      <c r="BH505" s="35">
        <f t="shared" si="1691"/>
        <v>0</v>
      </c>
      <c r="BK505" s="2" t="b">
        <f>H505='2019'!BH426</f>
        <v>1</v>
      </c>
    </row>
    <row r="506" ht="15.75" customHeight="1" hidden="1" spans="1:63" x14ac:dyDescent="0.25">
      <c r="A506" s="2">
        <v>56</v>
      </c>
      <c r="B506" s="14"/>
      <c r="C506" s="15" t="s">
        <v>115</v>
      </c>
      <c r="D506" s="14" t="s">
        <v>47</v>
      </c>
      <c r="E506" s="2" t="s">
        <v>49</v>
      </c>
      <c r="F506" s="41">
        <v>500</v>
      </c>
      <c r="G506" s="28"/>
      <c r="H506" s="34">
        <f>'2019'!BH427</f>
        <v>0</v>
      </c>
      <c r="I506" s="15"/>
      <c r="J506" s="15"/>
      <c r="K506" s="15"/>
      <c r="L506" s="28"/>
      <c r="Q506" s="13"/>
      <c r="R506" s="15"/>
      <c r="S506" s="15"/>
      <c r="T506" s="28"/>
      <c r="X506" s="34"/>
      <c r="Y506" s="13"/>
      <c r="Z506" s="15"/>
      <c r="AA506" s="34"/>
      <c r="AB506" s="28"/>
      <c r="AC506" s="15"/>
      <c r="AG506" s="13"/>
      <c r="AH506" s="15"/>
      <c r="AI506" s="45"/>
      <c r="AJ506" s="15"/>
      <c r="AK506" s="13"/>
      <c r="AL506" s="15"/>
      <c r="AM506" s="45"/>
      <c r="AN506" s="15"/>
      <c r="AO506" s="13"/>
      <c r="AP506" s="15"/>
      <c r="AQ506" s="45"/>
      <c r="AR506" s="1"/>
      <c r="AS506" s="13"/>
      <c r="AT506" s="15"/>
      <c r="AU506" s="45"/>
      <c r="AV506" s="15"/>
      <c r="AW506" s="13"/>
      <c r="AY506" s="45"/>
      <c r="AZ506" s="28"/>
      <c r="BA506" s="13"/>
      <c r="BB506" s="15"/>
      <c r="BC506" s="45"/>
      <c r="BD506" s="28"/>
      <c r="BE506" s="14"/>
      <c r="BF506" s="41">
        <f t="shared" ref="BF506:BG506" si="1703">K506+O506+S506+W506+AA506+AE506+AI506+AM506+AQ506+AU506+AY506+BC506</f>
        <v>0</v>
      </c>
      <c r="BG506" s="34">
        <f t="shared" si="1703"/>
        <v>0</v>
      </c>
      <c r="BH506" s="35">
        <f t="shared" si="1691"/>
        <v>0</v>
      </c>
      <c r="BK506" s="2" t="b">
        <f>H506='2019'!BH427</f>
        <v>1</v>
      </c>
    </row>
    <row r="507" ht="14.25" customHeight="1" hidden="1" spans="1:63" x14ac:dyDescent="0.25">
      <c r="A507" s="2">
        <v>56</v>
      </c>
      <c r="B507" s="14"/>
      <c r="C507" s="15" t="s">
        <v>424</v>
      </c>
      <c r="D507" s="14" t="s">
        <v>50</v>
      </c>
      <c r="E507" s="2" t="s">
        <v>49</v>
      </c>
      <c r="F507" s="41">
        <v>1100</v>
      </c>
      <c r="G507" s="28"/>
      <c r="H507" s="182">
        <f>'2019'!BH428-0.0024</f>
        <v>0</v>
      </c>
      <c r="I507" s="15"/>
      <c r="J507" s="15"/>
      <c r="K507" s="15"/>
      <c r="L507" s="28"/>
      <c r="Q507" s="13"/>
      <c r="R507" s="15"/>
      <c r="S507" s="15"/>
      <c r="T507" s="28"/>
      <c r="Y507" s="13"/>
      <c r="Z507" s="15"/>
      <c r="AA507" s="15"/>
      <c r="AB507" s="28"/>
      <c r="AE507" s="34">
        <f>B504*$F$12</f>
        <v>6853</v>
      </c>
      <c r="AG507" s="13"/>
      <c r="AH507" s="15"/>
      <c r="AI507" s="45"/>
      <c r="AJ507" s="39">
        <v>1853</v>
      </c>
      <c r="AK507" s="13"/>
      <c r="AL507" s="15"/>
      <c r="AM507" s="45"/>
      <c r="AN507" s="39">
        <v>5000</v>
      </c>
      <c r="AO507" s="13"/>
      <c r="AP507" s="15"/>
      <c r="AQ507" s="45"/>
      <c r="AR507" s="15"/>
      <c r="AS507" s="13"/>
      <c r="AT507" s="15"/>
      <c r="AU507" s="45"/>
      <c r="AV507" s="15"/>
      <c r="AW507" s="13"/>
      <c r="AY507" s="45"/>
      <c r="AZ507" s="28"/>
      <c r="BA507" s="13"/>
      <c r="BB507" s="15"/>
      <c r="BC507" s="45"/>
      <c r="BD507" s="28"/>
      <c r="BE507" s="14"/>
      <c r="BF507" s="41">
        <f t="shared" ref="BF507:BG507" si="1704">K507+O507+S507+W507+AA507+AE507+AI507+AM507+AQ507+AU507+AY507+BC507</f>
        <v>6853</v>
      </c>
      <c r="BG507" s="34">
        <f t="shared" si="1704"/>
        <v>6853</v>
      </c>
      <c r="BH507" s="35">
        <f t="shared" si="1691"/>
        <v>0</v>
      </c>
      <c r="BK507" s="2" t="b">
        <f>H507='2019'!BH428</f>
        <v>0</v>
      </c>
    </row>
    <row r="508" ht="14.25" customHeight="1" hidden="1" spans="1:63" x14ac:dyDescent="0.25">
      <c r="A508" s="2">
        <v>56</v>
      </c>
      <c r="B508" s="14"/>
      <c r="C508" s="15"/>
      <c r="D508" s="14" t="s">
        <v>51</v>
      </c>
      <c r="E508" s="2" t="s">
        <v>39</v>
      </c>
      <c r="F508" s="41">
        <v>500</v>
      </c>
      <c r="G508" s="28"/>
      <c r="H508" s="34">
        <f>'2019'!BH429</f>
        <v>0</v>
      </c>
      <c r="I508" s="15"/>
      <c r="J508" s="15"/>
      <c r="K508" s="15"/>
      <c r="L508" s="28"/>
      <c r="Q508" s="13"/>
      <c r="R508" s="15"/>
      <c r="S508" s="15"/>
      <c r="T508" s="28"/>
      <c r="Y508" s="13"/>
      <c r="Z508" s="15"/>
      <c r="AA508" s="15"/>
      <c r="AB508" s="28"/>
      <c r="AE508" s="34"/>
      <c r="AG508" s="13"/>
      <c r="AH508" s="15"/>
      <c r="AI508" s="45"/>
      <c r="AJ508" s="15"/>
      <c r="AK508" s="13"/>
      <c r="AL508" s="15"/>
      <c r="AM508" s="45"/>
      <c r="AN508" s="15"/>
      <c r="AO508" s="13"/>
      <c r="AP508" s="15"/>
      <c r="AQ508" s="45">
        <f>$F$13</f>
        <v>500</v>
      </c>
      <c r="AR508" s="15"/>
      <c r="AS508" s="13"/>
      <c r="AT508" s="15"/>
      <c r="AU508" s="45"/>
      <c r="AV508" s="15"/>
      <c r="AW508" s="13"/>
      <c r="AY508" s="45"/>
      <c r="AZ508" s="28"/>
      <c r="BA508" s="13"/>
      <c r="BB508" s="15"/>
      <c r="BC508" s="45"/>
      <c r="BD508" s="28"/>
      <c r="BE508" s="14"/>
      <c r="BF508" s="41">
        <f t="shared" ref="BF508:BG508" si="1705">K508+O508+S508+W508+AA508+AE508+AI508+AM508+AQ508+AU508+AY508+BC508</f>
        <v>500</v>
      </c>
      <c r="BG508" s="34">
        <f t="shared" si="1705"/>
        <v>0</v>
      </c>
      <c r="BH508" s="35">
        <f t="shared" si="1691"/>
        <v>500</v>
      </c>
      <c r="BK508" s="2" t="b">
        <f>H508='2019'!BH429</f>
        <v>1</v>
      </c>
    </row>
    <row r="509" ht="14.25" customHeight="1" hidden="1" spans="1:60" x14ac:dyDescent="0.25">
      <c r="A509" s="2">
        <v>56</v>
      </c>
      <c r="B509" s="14"/>
      <c r="C509" s="15"/>
      <c r="D509" s="14" t="s">
        <v>51</v>
      </c>
      <c r="E509" s="2" t="s">
        <v>49</v>
      </c>
      <c r="F509" s="41">
        <v>500</v>
      </c>
      <c r="G509" s="28"/>
      <c r="H509" s="34"/>
      <c r="I509" s="15"/>
      <c r="J509" s="15"/>
      <c r="K509" s="15"/>
      <c r="L509" s="28"/>
      <c r="Q509" s="13"/>
      <c r="R509" s="15"/>
      <c r="S509" s="15"/>
      <c r="T509" s="28"/>
      <c r="Y509" s="13"/>
      <c r="Z509" s="15"/>
      <c r="AA509" s="15"/>
      <c r="AB509" s="28"/>
      <c r="AE509" s="34"/>
      <c r="AG509" s="13"/>
      <c r="AH509" s="15"/>
      <c r="AI509" s="45"/>
      <c r="AJ509" s="15"/>
      <c r="AK509" s="13"/>
      <c r="AL509" s="15"/>
      <c r="AM509" s="45"/>
      <c r="AN509" s="15"/>
      <c r="AO509" s="13"/>
      <c r="AP509" s="15"/>
      <c r="AQ509" s="34">
        <f>B504*$F$14</f>
        <v>3115</v>
      </c>
      <c r="AR509" s="15"/>
      <c r="AS509" s="13"/>
      <c r="AT509" s="15"/>
      <c r="AU509" s="45"/>
      <c r="AV509" s="1">
        <v>399.64</v>
      </c>
      <c r="AW509" s="13"/>
      <c r="AY509" s="45"/>
      <c r="AZ509" s="28"/>
      <c r="BA509" s="13"/>
      <c r="BB509" s="15"/>
      <c r="BC509" s="45"/>
      <c r="BD509" s="28"/>
      <c r="BE509" s="14"/>
      <c r="BF509" s="41">
        <f t="shared" ref="BF509:BG509" si="1706">K509+O509+S509+W509+AA509+AE509+AI509+AM509+AQ509+AU509+AY509+BC509</f>
        <v>3115</v>
      </c>
      <c r="BG509" s="34">
        <f t="shared" si="1706"/>
        <v>399.64</v>
      </c>
      <c r="BH509" s="35">
        <f t="shared" si="1691"/>
        <v>2715.36</v>
      </c>
    </row>
    <row r="510" ht="15.75" customHeight="1" hidden="1" spans="1:63" x14ac:dyDescent="0.25">
      <c r="A510" s="2">
        <v>56</v>
      </c>
      <c r="B510" s="14"/>
      <c r="C510" s="15"/>
      <c r="D510" s="14" t="s">
        <v>52</v>
      </c>
      <c r="E510" s="2" t="s">
        <v>39</v>
      </c>
      <c r="F510" s="41">
        <v>500</v>
      </c>
      <c r="G510" s="28"/>
      <c r="H510" s="34">
        <f>'2019'!BH430</f>
        <v>0</v>
      </c>
      <c r="I510" s="15"/>
      <c r="J510" s="15"/>
      <c r="K510" s="15"/>
      <c r="L510" s="28"/>
      <c r="Q510" s="13"/>
      <c r="R510" s="15"/>
      <c r="S510" s="15"/>
      <c r="T510" s="28"/>
      <c r="Y510" s="13"/>
      <c r="Z510" s="15"/>
      <c r="AA510" s="34"/>
      <c r="AB510" s="28"/>
      <c r="AE510" s="81"/>
      <c r="AG510" s="13"/>
      <c r="AH510" s="15"/>
      <c r="AI510" s="45"/>
      <c r="AJ510" s="15"/>
      <c r="AK510" s="13"/>
      <c r="AL510" s="15"/>
      <c r="AM510" s="45"/>
      <c r="AN510" s="15"/>
      <c r="AO510" s="13"/>
      <c r="AP510" s="15"/>
      <c r="AQ510" s="45"/>
      <c r="AR510" s="15"/>
      <c r="AS510" s="13"/>
      <c r="AT510" s="15"/>
      <c r="AU510" s="45"/>
      <c r="AV510" s="15"/>
      <c r="AW510" s="13"/>
      <c r="AY510" s="45"/>
      <c r="AZ510" s="35"/>
      <c r="BA510" s="13"/>
      <c r="BB510" s="15"/>
      <c r="BC510" s="45"/>
      <c r="BD510" s="35"/>
      <c r="BE510" s="14"/>
      <c r="BF510" s="41">
        <f t="shared" ref="BF510:BG510" si="1707">K510+O510+S510+W510+AA510+AE510+AI510+AM510+AQ510+AU510+AY510+BC510</f>
        <v>0</v>
      </c>
      <c r="BG510" s="34">
        <f t="shared" si="1707"/>
        <v>0</v>
      </c>
      <c r="BH510" s="35">
        <f t="shared" si="1691"/>
        <v>0</v>
      </c>
      <c r="BK510" s="2" t="b">
        <f>H510='2019'!BH430</f>
        <v>1</v>
      </c>
    </row>
    <row r="511" ht="15.75" customHeight="1" hidden="1" spans="1:63" x14ac:dyDescent="0.25">
      <c r="A511" s="247">
        <v>56</v>
      </c>
      <c r="B511" s="21"/>
      <c r="C511" s="22" t="s">
        <v>53</v>
      </c>
      <c r="D511" s="21"/>
      <c r="E511" s="22"/>
      <c r="F511" s="20"/>
      <c r="G511" s="23"/>
      <c r="H511" s="51">
        <f>SUM(H503:H510)</f>
        <v>1165</v>
      </c>
      <c r="I511" s="53"/>
      <c r="J511" s="53"/>
      <c r="K511" s="51">
        <f t="shared" ref="K511:L511" si="1708">SUM(K503:K510)</f>
        <v>3812.5</v>
      </c>
      <c r="L511" s="68">
        <f t="shared" si="1708"/>
        <v>0</v>
      </c>
      <c r="M511" s="53"/>
      <c r="N511" s="53"/>
      <c r="O511" s="51">
        <f t="shared" ref="O511:P511" si="1709">SUM(O503:O510)</f>
        <v>4272.5</v>
      </c>
      <c r="P511" s="51">
        <f t="shared" si="1709"/>
        <v>4000</v>
      </c>
      <c r="Q511" s="52"/>
      <c r="R511" s="53"/>
      <c r="S511" s="51">
        <f t="shared" ref="S511:T511" si="1710">SUM(S503:S510)</f>
        <v>4885</v>
      </c>
      <c r="T511" s="51">
        <f t="shared" si="1710"/>
        <v>10135</v>
      </c>
      <c r="U511" s="52"/>
      <c r="V511" s="53"/>
      <c r="W511" s="51">
        <f t="shared" ref="W511:X511" si="1711">SUM(W503:W510)</f>
        <v>1736.56</v>
      </c>
      <c r="X511" s="51">
        <f t="shared" si="1711"/>
        <v>1718</v>
      </c>
      <c r="Y511" s="52"/>
      <c r="Z511" s="53"/>
      <c r="AA511" s="51">
        <f t="shared" ref="AA511:AB511" si="1712">SUM(AA503:AA510)</f>
        <v>1334.62</v>
      </c>
      <c r="AB511" s="51">
        <f t="shared" si="1712"/>
        <v>1353.18</v>
      </c>
      <c r="AC511" s="52"/>
      <c r="AD511" s="53"/>
      <c r="AE511" s="51">
        <f t="shared" ref="AE511:AF511" si="1713">SUM(AE503:AE510)</f>
        <v>8076.18</v>
      </c>
      <c r="AF511" s="51">
        <f t="shared" si="1713"/>
        <v>0</v>
      </c>
      <c r="AG511" s="52"/>
      <c r="AH511" s="53"/>
      <c r="AI511" s="183">
        <f t="shared" ref="AI511:AJ511" si="1714">SUM(AI503:AI510)</f>
        <v>1279.2</v>
      </c>
      <c r="AJ511" s="51">
        <f t="shared" si="1714"/>
        <v>3076.18</v>
      </c>
      <c r="AK511" s="52"/>
      <c r="AL511" s="53"/>
      <c r="AM511" s="183">
        <f t="shared" ref="AM511:AN511" si="1715">SUM(AM503:AM510)</f>
        <v>1580.56</v>
      </c>
      <c r="AN511" s="51">
        <f t="shared" si="1715"/>
        <v>6279.2</v>
      </c>
      <c r="AO511" s="52"/>
      <c r="AP511" s="53"/>
      <c r="AQ511" s="183">
        <f t="shared" ref="AQ511:AR511" si="1716">SUM(AQ503:AQ510)</f>
        <v>5234.8</v>
      </c>
      <c r="AR511" s="51">
        <f t="shared" si="1716"/>
        <v>1600</v>
      </c>
      <c r="AS511" s="52"/>
      <c r="AT511" s="53"/>
      <c r="AU511" s="183">
        <f t="shared" ref="AU511:AV511" si="1717">SUM(AU503:AU510)</f>
        <v>1848.6</v>
      </c>
      <c r="AV511" s="68">
        <f t="shared" si="1717"/>
        <v>2000</v>
      </c>
      <c r="AW511" s="52"/>
      <c r="AX511" s="53"/>
      <c r="AY511" s="183">
        <f t="shared" ref="AY511:AZ511" si="1718">SUM(AY503:AY510)</f>
        <v>3099.2</v>
      </c>
      <c r="AZ511" s="68">
        <f t="shared" si="1718"/>
        <v>2000</v>
      </c>
      <c r="BA511" s="52"/>
      <c r="BB511" s="53"/>
      <c r="BC511" s="183">
        <f t="shared" ref="BC511:BD511" si="1719">SUM(BC503:BC510)</f>
        <v>1323.4</v>
      </c>
      <c r="BD511" s="68">
        <f t="shared" si="1719"/>
        <v>4271.2</v>
      </c>
      <c r="BE511" s="69"/>
      <c r="BF511" s="70">
        <f t="shared" ref="BF511:BH511" si="1720">SUM(BF503:BF510)</f>
        <v>38483.12</v>
      </c>
      <c r="BG511" s="71">
        <f t="shared" si="1720"/>
        <v>36432.76</v>
      </c>
      <c r="BH511" s="72">
        <f t="shared" si="1720"/>
        <v>3215.36</v>
      </c>
      <c r="BI511" s="34">
        <f>H511+BF511-BG511</f>
        <v>3215.36</v>
      </c>
      <c r="BJ511" s="34">
        <f>BH511-BI511</f>
        <v>0</v>
      </c>
      <c r="BK511" s="2" t="b">
        <f>H511='2019'!BH431</f>
        <v>0</v>
      </c>
    </row>
    <row r="512" ht="15.75" customHeight="1" hidden="1" spans="1:63" x14ac:dyDescent="0.25">
      <c r="A512" s="2">
        <v>57</v>
      </c>
      <c r="B512" s="14"/>
      <c r="D512" s="14" t="s">
        <v>379</v>
      </c>
      <c r="F512" s="13"/>
      <c r="G512" s="28"/>
      <c r="H512" s="34">
        <f>'2019'!BH432</f>
        <v>107.24</v>
      </c>
      <c r="J512" s="15"/>
      <c r="K512" s="15">
        <v>27.25</v>
      </c>
      <c r="L512" s="28"/>
      <c r="O512" s="2">
        <v>25.49</v>
      </c>
      <c r="Q512" s="13"/>
      <c r="R512" s="15"/>
      <c r="S512" s="15">
        <v>27.25</v>
      </c>
      <c r="T512" s="28"/>
      <c r="W512" s="2">
        <v>26.37</v>
      </c>
      <c r="Y512" s="13"/>
      <c r="Z512" s="15"/>
      <c r="AA512" s="15">
        <v>27.25</v>
      </c>
      <c r="AB512" s="28"/>
      <c r="AE512" s="2">
        <v>26.37</v>
      </c>
      <c r="AG512" s="13"/>
      <c r="AH512" s="15"/>
      <c r="AI512" s="45">
        <v>27.25</v>
      </c>
      <c r="AJ512" s="15"/>
      <c r="AK512" s="13"/>
      <c r="AM512" s="45">
        <v>27.25</v>
      </c>
      <c r="AO512" s="13"/>
      <c r="AQ512" s="45">
        <v>7.91</v>
      </c>
      <c r="AR512" s="1">
        <v>321.72</v>
      </c>
      <c r="AS512" s="13"/>
      <c r="AU512" s="45"/>
      <c r="AW512" s="13"/>
      <c r="AY512" s="45"/>
      <c r="AZ512" s="28"/>
      <c r="BA512" s="13"/>
      <c r="BB512" s="15"/>
      <c r="BC512" s="45"/>
      <c r="BD512" s="28"/>
      <c r="BE512" s="14"/>
      <c r="BF512" s="41">
        <f t="shared" ref="BF512:BG512" si="1721">K512+O512+S512+W512+AA512+AE512+AI512+AM512+AQ512+AU512+AY512+BC512</f>
        <v>222.39</v>
      </c>
      <c r="BG512" s="34">
        <f t="shared" si="1721"/>
        <v>321.72</v>
      </c>
      <c r="BH512" s="35">
        <f t="shared" ref="BH512:BH519" si="1722">H512+BF512-BG512</f>
        <v>7.91</v>
      </c>
      <c r="BK512" s="2" t="b">
        <f>H512='2019'!BH432</f>
        <v>1</v>
      </c>
    </row>
    <row r="513" ht="15.75" customHeight="1" hidden="1" spans="1:63" x14ac:dyDescent="0.25">
      <c r="A513" s="2">
        <v>57</v>
      </c>
      <c r="B513" s="30">
        <v>3.82</v>
      </c>
      <c r="C513" s="2" t="s">
        <v>502</v>
      </c>
      <c r="D513" s="14" t="s">
        <v>44</v>
      </c>
      <c r="E513" s="2" t="s">
        <v>45</v>
      </c>
      <c r="F513" s="41">
        <v>2.5</v>
      </c>
      <c r="G513" s="35">
        <v>2.6</v>
      </c>
      <c r="H513" s="33">
        <f>'2019'!BH433</f>
        <v>4.98</v>
      </c>
      <c r="I513" s="75">
        <v>462</v>
      </c>
      <c r="J513" s="15">
        <f>I513-'2019'!BA433</f>
        <v>0</v>
      </c>
      <c r="K513" s="34">
        <f>J513*$F$8</f>
        <v>0</v>
      </c>
      <c r="L513" s="28"/>
      <c r="M513" s="2">
        <v>462</v>
      </c>
      <c r="N513" s="15">
        <f>M513-I513</f>
        <v>0</v>
      </c>
      <c r="O513" s="34">
        <f>N513*$F$8</f>
        <v>0</v>
      </c>
      <c r="Q513" s="13">
        <v>462</v>
      </c>
      <c r="R513" s="15">
        <f>Q513-M513</f>
        <v>0</v>
      </c>
      <c r="S513" s="34">
        <f>R513*$F$8</f>
        <v>0</v>
      </c>
      <c r="T513" s="28"/>
      <c r="U513" s="15">
        <v>462</v>
      </c>
      <c r="V513" s="15">
        <f t="shared" ref="V513:V514" si="1723">U513-Q513</f>
        <v>0</v>
      </c>
      <c r="W513" s="34">
        <f>V513*$F$8</f>
        <v>0</v>
      </c>
      <c r="Y513" s="13">
        <v>462</v>
      </c>
      <c r="Z513" s="15">
        <f t="shared" ref="Z513:Z514" si="1724">Y513-U513</f>
        <v>0</v>
      </c>
      <c r="AA513" s="34">
        <f>Z513*$F$8</f>
        <v>0</v>
      </c>
      <c r="AB513" s="28"/>
      <c r="AC513" s="13">
        <v>462</v>
      </c>
      <c r="AD513" s="15">
        <f t="shared" ref="AD513:AD514" si="1725">AC513-Y513</f>
        <v>0</v>
      </c>
      <c r="AE513" s="34">
        <f>AD513*$F$8</f>
        <v>0</v>
      </c>
      <c r="AG513" s="13">
        <v>462</v>
      </c>
      <c r="AH513" s="15">
        <f t="shared" ref="AH513:AH514" si="1726">AG513-AC513</f>
        <v>0</v>
      </c>
      <c r="AI513" s="45">
        <f>AH513*$G$8</f>
        <v>0</v>
      </c>
      <c r="AJ513" s="15"/>
      <c r="AK513" s="13">
        <v>462</v>
      </c>
      <c r="AL513" s="15">
        <f t="shared" ref="AL513:AL514" si="1727">AK513-AG513</f>
        <v>0</v>
      </c>
      <c r="AM513" s="45">
        <f>AL513*$G$8</f>
        <v>0</v>
      </c>
      <c r="AN513" s="15"/>
      <c r="AO513" s="13">
        <v>466</v>
      </c>
      <c r="AP513" s="15">
        <f t="shared" ref="AP513:AP514" si="1728">AO513-AK513</f>
        <v>4</v>
      </c>
      <c r="AQ513" s="45">
        <f>AP513*$G$8</f>
        <v>10.4</v>
      </c>
      <c r="AR513" s="1">
        <v>4.12</v>
      </c>
      <c r="AS513" s="13">
        <v>483</v>
      </c>
      <c r="AT513" s="15">
        <f t="shared" ref="AT513:AT514" si="1729">AS513-AO513</f>
        <v>17</v>
      </c>
      <c r="AU513" s="45">
        <f>AT513*$G$8</f>
        <v>44.2</v>
      </c>
      <c r="AV513" s="15"/>
      <c r="AW513" s="13">
        <v>495</v>
      </c>
      <c r="AX513" s="2">
        <f t="shared" ref="AX513:AX514" si="1730">AW513-AS513</f>
        <v>12</v>
      </c>
      <c r="AY513" s="45">
        <f>AX513*$G$8</f>
        <v>31.2</v>
      </c>
      <c r="AZ513" s="208"/>
      <c r="BA513" s="13">
        <v>495</v>
      </c>
      <c r="BB513" s="15">
        <f t="shared" ref="BB513:BB514" si="1731">BA513-AW513</f>
        <v>0</v>
      </c>
      <c r="BC513" s="45">
        <f>BB513*$G$8</f>
        <v>0</v>
      </c>
      <c r="BD513" s="208"/>
      <c r="BE513" s="40">
        <f t="shared" ref="BE513:BG513" si="1732">J513+N513+R513+V513+Z513+AD513+AH513+AL513+AP513+AT513+AX513+BB513</f>
        <v>33</v>
      </c>
      <c r="BF513" s="41">
        <f t="shared" si="1732"/>
        <v>85.8</v>
      </c>
      <c r="BG513" s="34">
        <f t="shared" si="1732"/>
        <v>4.12</v>
      </c>
      <c r="BH513" s="35">
        <f t="shared" si="1722"/>
        <v>86.66</v>
      </c>
      <c r="BK513" s="2" t="b">
        <f>H513='2019'!BH433</f>
        <v>1</v>
      </c>
    </row>
    <row r="514" ht="15.75" customHeight="1" hidden="1" spans="1:63" x14ac:dyDescent="0.25">
      <c r="A514" s="2">
        <v>57</v>
      </c>
      <c r="B514" s="14"/>
      <c r="C514" s="15" t="s">
        <v>128</v>
      </c>
      <c r="D514" s="14" t="s">
        <v>47</v>
      </c>
      <c r="E514" s="2" t="s">
        <v>48</v>
      </c>
      <c r="F514" s="13">
        <v>18.56</v>
      </c>
      <c r="G514" s="35">
        <v>19.46</v>
      </c>
      <c r="H514" s="34">
        <f>'2019'!BH434</f>
        <v>0</v>
      </c>
      <c r="I514" s="95">
        <v>21</v>
      </c>
      <c r="J514" s="15"/>
      <c r="K514" s="15"/>
      <c r="L514" s="28"/>
      <c r="M514" s="95">
        <v>21</v>
      </c>
      <c r="Q514" s="13">
        <v>21</v>
      </c>
      <c r="R514" s="15"/>
      <c r="S514" s="15"/>
      <c r="T514" s="28"/>
      <c r="U514" s="2">
        <v>21</v>
      </c>
      <c r="V514" s="2">
        <f t="shared" si="1723"/>
        <v>0</v>
      </c>
      <c r="W514" s="34">
        <f>V514*$F$10</f>
        <v>0</v>
      </c>
      <c r="Y514" s="13">
        <v>21</v>
      </c>
      <c r="Z514" s="15">
        <f t="shared" si="1724"/>
        <v>0</v>
      </c>
      <c r="AA514" s="34">
        <f>Z514*$F$10</f>
        <v>0</v>
      </c>
      <c r="AB514" s="28"/>
      <c r="AC514" s="13">
        <v>21</v>
      </c>
      <c r="AD514" s="15">
        <f t="shared" si="1725"/>
        <v>0</v>
      </c>
      <c r="AE514" s="34">
        <f>AD514*$F$10</f>
        <v>0</v>
      </c>
      <c r="AG514" s="13">
        <v>21</v>
      </c>
      <c r="AH514" s="15">
        <f t="shared" si="1726"/>
        <v>0</v>
      </c>
      <c r="AI514" s="45">
        <f>AH514*$G$10</f>
        <v>0</v>
      </c>
      <c r="AJ514" s="15"/>
      <c r="AK514" s="13">
        <v>21</v>
      </c>
      <c r="AL514" s="15">
        <f t="shared" si="1727"/>
        <v>0</v>
      </c>
      <c r="AM514" s="45">
        <f>AL514*$G$10</f>
        <v>0</v>
      </c>
      <c r="AN514" s="15"/>
      <c r="AO514" s="13">
        <v>21</v>
      </c>
      <c r="AP514" s="15">
        <f t="shared" si="1728"/>
        <v>0</v>
      </c>
      <c r="AQ514" s="45">
        <f>AP514*$G$10</f>
        <v>0</v>
      </c>
      <c r="AR514" s="15"/>
      <c r="AS514" s="13">
        <v>21</v>
      </c>
      <c r="AT514" s="15">
        <f t="shared" si="1729"/>
        <v>0</v>
      </c>
      <c r="AU514" s="45">
        <f>AT514*$G$10</f>
        <v>0</v>
      </c>
      <c r="AV514" s="15"/>
      <c r="AW514" s="13">
        <v>21</v>
      </c>
      <c r="AX514" s="2">
        <f t="shared" si="1730"/>
        <v>0</v>
      </c>
      <c r="AY514" s="45"/>
      <c r="AZ514" s="208"/>
      <c r="BA514" s="13">
        <v>21</v>
      </c>
      <c r="BB514" s="15">
        <f t="shared" si="1731"/>
        <v>0</v>
      </c>
      <c r="BC514" s="45"/>
      <c r="BD514" s="208"/>
      <c r="BE514" s="40">
        <f t="shared" ref="BE514:BG514" si="1733">J514+N514+R514+V514+Z514+AD514+AH514+AL514+AP514+AT514+AX514+BB514</f>
        <v>0</v>
      </c>
      <c r="BF514" s="41">
        <f t="shared" si="1733"/>
        <v>0</v>
      </c>
      <c r="BG514" s="34">
        <f t="shared" si="1733"/>
        <v>0</v>
      </c>
      <c r="BH514" s="35">
        <f t="shared" si="1722"/>
        <v>0</v>
      </c>
      <c r="BK514" s="2" t="b">
        <f>H514='2019'!BH434</f>
        <v>1</v>
      </c>
    </row>
    <row r="515" ht="15.75" customHeight="1" hidden="1" spans="1:63" x14ac:dyDescent="0.25">
      <c r="A515" s="2">
        <v>57</v>
      </c>
      <c r="B515" s="14"/>
      <c r="C515" s="15" t="s">
        <v>503</v>
      </c>
      <c r="D515" s="14" t="s">
        <v>47</v>
      </c>
      <c r="E515" s="2" t="s">
        <v>49</v>
      </c>
      <c r="F515" s="41">
        <v>500</v>
      </c>
      <c r="G515" s="28"/>
      <c r="H515" s="144">
        <f>'2019'!BH435</f>
        <v>1200</v>
      </c>
      <c r="I515" s="15"/>
      <c r="J515" s="15"/>
      <c r="K515" s="15"/>
      <c r="L515" s="28"/>
      <c r="Q515" s="13"/>
      <c r="R515" s="15"/>
      <c r="S515" s="15"/>
      <c r="T515" s="28"/>
      <c r="Y515" s="13"/>
      <c r="Z515" s="15"/>
      <c r="AA515" s="34"/>
      <c r="AB515" s="28"/>
      <c r="AC515" s="15"/>
      <c r="AG515" s="13"/>
      <c r="AH515" s="15"/>
      <c r="AI515" s="45"/>
      <c r="AJ515" s="15"/>
      <c r="AK515" s="13"/>
      <c r="AL515" s="15"/>
      <c r="AM515" s="45"/>
      <c r="AN515" s="15"/>
      <c r="AO515" s="13"/>
      <c r="AP515" s="15"/>
      <c r="AQ515" s="45"/>
      <c r="AR515" s="39">
        <v>1200</v>
      </c>
      <c r="AS515" s="13"/>
      <c r="AT515" s="15"/>
      <c r="AU515" s="45"/>
      <c r="AV515" s="15"/>
      <c r="AW515" s="13"/>
      <c r="AY515" s="45"/>
      <c r="AZ515" s="28"/>
      <c r="BA515" s="13"/>
      <c r="BB515" s="15"/>
      <c r="BC515" s="45"/>
      <c r="BD515" s="28"/>
      <c r="BE515" s="14"/>
      <c r="BF515" s="41">
        <f t="shared" ref="BF515:BG515" si="1734">K515+O515+S515+W515+AA515+AE515+AI515+AM515+AQ515+AU515+AY515+BC515</f>
        <v>0</v>
      </c>
      <c r="BG515" s="34">
        <f t="shared" si="1734"/>
        <v>1200</v>
      </c>
      <c r="BH515" s="35">
        <f t="shared" si="1722"/>
        <v>0</v>
      </c>
      <c r="BK515" s="2" t="b">
        <f>H515='2019'!BH435</f>
        <v>1</v>
      </c>
    </row>
    <row r="516" ht="15.75" customHeight="1" hidden="1" spans="1:63" x14ac:dyDescent="0.25">
      <c r="A516" s="2">
        <v>57</v>
      </c>
      <c r="B516" s="14"/>
      <c r="C516" s="15" t="s">
        <v>504</v>
      </c>
      <c r="D516" s="14" t="s">
        <v>50</v>
      </c>
      <c r="E516" s="2" t="s">
        <v>49</v>
      </c>
      <c r="F516" s="41">
        <v>1100</v>
      </c>
      <c r="G516" s="28"/>
      <c r="H516" s="182">
        <f>'2019'!BH436-4.366E-13</f>
        <v>7790.02</v>
      </c>
      <c r="I516" s="15"/>
      <c r="J516" s="15"/>
      <c r="K516" s="15"/>
      <c r="L516" s="28"/>
      <c r="Q516" s="13"/>
      <c r="R516" s="15"/>
      <c r="S516" s="15"/>
      <c r="T516" s="28"/>
      <c r="Y516" s="13"/>
      <c r="Z516" s="15"/>
      <c r="AA516" s="15"/>
      <c r="AB516" s="28"/>
      <c r="AE516" s="34">
        <f>B513*$F$12</f>
        <v>4202</v>
      </c>
      <c r="AF516" s="34"/>
      <c r="AG516" s="13"/>
      <c r="AH516" s="15"/>
      <c r="AI516" s="45"/>
      <c r="AJ516" s="15"/>
      <c r="AK516" s="13"/>
      <c r="AL516" s="15"/>
      <c r="AM516" s="45"/>
      <c r="AN516" s="15"/>
      <c r="AO516" s="13"/>
      <c r="AP516" s="15"/>
      <c r="AQ516" s="45"/>
      <c r="AR516" s="39">
        <v>12190</v>
      </c>
      <c r="AS516" s="13"/>
      <c r="AT516" s="15"/>
      <c r="AU516" s="45"/>
      <c r="AV516" s="15"/>
      <c r="AW516" s="13"/>
      <c r="AY516" s="45"/>
      <c r="AZ516" s="28"/>
      <c r="BA516" s="13"/>
      <c r="BB516" s="15"/>
      <c r="BC516" s="45"/>
      <c r="BD516" s="28"/>
      <c r="BE516" s="14"/>
      <c r="BF516" s="41">
        <f t="shared" ref="BF516:BG516" si="1735">K516+O516+S516+W516+AA516+AE516+AI516+AM516+AQ516+AU516+AY516+BC516</f>
        <v>4202</v>
      </c>
      <c r="BG516" s="34">
        <f t="shared" si="1735"/>
        <v>12190</v>
      </c>
      <c r="BH516" s="35">
        <f t="shared" si="1722"/>
        <v>-197.98</v>
      </c>
      <c r="BK516" s="2" t="b">
        <f>H516='2019'!BH436</f>
        <v>1</v>
      </c>
    </row>
    <row r="517" ht="15.75" customHeight="1" hidden="1" spans="1:63" x14ac:dyDescent="0.25">
      <c r="A517" s="2">
        <v>57</v>
      </c>
      <c r="B517" s="14"/>
      <c r="C517" s="15"/>
      <c r="D517" s="14" t="s">
        <v>51</v>
      </c>
      <c r="E517" s="2" t="s">
        <v>39</v>
      </c>
      <c r="F517" s="41">
        <v>500</v>
      </c>
      <c r="G517" s="28"/>
      <c r="H517" s="34">
        <f>'2019'!BH437</f>
        <v>1000</v>
      </c>
      <c r="I517" s="15"/>
      <c r="J517" s="15"/>
      <c r="K517" s="15"/>
      <c r="L517" s="28"/>
      <c r="Q517" s="13"/>
      <c r="R517" s="15"/>
      <c r="S517" s="15"/>
      <c r="T517" s="28"/>
      <c r="Y517" s="13"/>
      <c r="Z517" s="15"/>
      <c r="AA517" s="15"/>
      <c r="AB517" s="28"/>
      <c r="AE517" s="34"/>
      <c r="AG517" s="13"/>
      <c r="AH517" s="15"/>
      <c r="AI517" s="45"/>
      <c r="AJ517" s="15"/>
      <c r="AK517" s="13"/>
      <c r="AL517" s="15"/>
      <c r="AM517" s="45"/>
      <c r="AN517" s="15"/>
      <c r="AO517" s="13"/>
      <c r="AP517" s="15"/>
      <c r="AQ517" s="45">
        <f>$F$13</f>
        <v>500</v>
      </c>
      <c r="AR517" s="39">
        <v>1000</v>
      </c>
      <c r="AS517" s="13"/>
      <c r="AT517" s="15"/>
      <c r="AU517" s="45"/>
      <c r="AV517" s="15"/>
      <c r="AW517" s="13"/>
      <c r="AY517" s="45"/>
      <c r="AZ517" s="28"/>
      <c r="BA517" s="13"/>
      <c r="BB517" s="15"/>
      <c r="BC517" s="45"/>
      <c r="BD517" s="28"/>
      <c r="BE517" s="14"/>
      <c r="BF517" s="41">
        <f t="shared" ref="BF517:BG517" si="1736">K517+O517+S517+W517+AA517+AE517+AI517+AM517+AQ517+AU517+AY517+BC517</f>
        <v>500</v>
      </c>
      <c r="BG517" s="34">
        <f t="shared" si="1736"/>
        <v>1000</v>
      </c>
      <c r="BH517" s="35">
        <f t="shared" si="1722"/>
        <v>500</v>
      </c>
      <c r="BK517" s="2" t="b">
        <f>H517='2019'!BH437</f>
        <v>1</v>
      </c>
    </row>
    <row r="518" ht="15.75" customHeight="1" hidden="1" spans="1:60" x14ac:dyDescent="0.25">
      <c r="A518" s="2">
        <v>57</v>
      </c>
      <c r="B518" s="14"/>
      <c r="C518" s="15"/>
      <c r="D518" s="14" t="s">
        <v>51</v>
      </c>
      <c r="E518" s="2" t="s">
        <v>49</v>
      </c>
      <c r="F518" s="41">
        <v>500</v>
      </c>
      <c r="G518" s="28"/>
      <c r="H518" s="34"/>
      <c r="I518" s="15"/>
      <c r="J518" s="15"/>
      <c r="K518" s="15"/>
      <c r="L518" s="28"/>
      <c r="Q518" s="13"/>
      <c r="R518" s="15"/>
      <c r="S518" s="15"/>
      <c r="T518" s="28"/>
      <c r="Y518" s="13"/>
      <c r="Z518" s="15"/>
      <c r="AA518" s="15"/>
      <c r="AB518" s="28"/>
      <c r="AE518" s="34"/>
      <c r="AG518" s="13"/>
      <c r="AH518" s="15"/>
      <c r="AI518" s="45"/>
      <c r="AJ518" s="15"/>
      <c r="AK518" s="13"/>
      <c r="AL518" s="15"/>
      <c r="AM518" s="45"/>
      <c r="AN518" s="15"/>
      <c r="AO518" s="13"/>
      <c r="AP518" s="15"/>
      <c r="AQ518" s="34">
        <f>B513*$F$14</f>
        <v>1910</v>
      </c>
      <c r="AR518" s="15"/>
      <c r="AS518" s="13"/>
      <c r="AT518" s="15"/>
      <c r="AU518" s="45"/>
      <c r="AV518" s="15"/>
      <c r="AW518" s="13"/>
      <c r="AY518" s="45"/>
      <c r="AZ518" s="28"/>
      <c r="BA518" s="13"/>
      <c r="BB518" s="15"/>
      <c r="BC518" s="45"/>
      <c r="BD518" s="28"/>
      <c r="BE518" s="14"/>
      <c r="BF518" s="41">
        <f t="shared" ref="BF518:BG518" si="1737">K518+O518+S518+W518+AA518+AE518+AI518+AM518+AQ518+AU518+AY518+BC518</f>
        <v>1910</v>
      </c>
      <c r="BG518" s="34">
        <f t="shared" si="1737"/>
        <v>0</v>
      </c>
      <c r="BH518" s="35">
        <f t="shared" si="1722"/>
        <v>1910</v>
      </c>
    </row>
    <row r="519" ht="15.75" customHeight="1" hidden="1" spans="1:63" x14ac:dyDescent="0.25">
      <c r="A519" s="2">
        <v>57</v>
      </c>
      <c r="B519" s="14"/>
      <c r="D519" s="14" t="s">
        <v>52</v>
      </c>
      <c r="E519" s="2" t="s">
        <v>39</v>
      </c>
      <c r="F519" s="41">
        <v>500</v>
      </c>
      <c r="G519" s="28"/>
      <c r="H519" s="34">
        <f>'2019'!BH438</f>
        <v>850</v>
      </c>
      <c r="I519" s="15"/>
      <c r="J519" s="15"/>
      <c r="K519" s="15"/>
      <c r="L519" s="28"/>
      <c r="Q519" s="13"/>
      <c r="R519" s="15"/>
      <c r="S519" s="15"/>
      <c r="T519" s="28"/>
      <c r="Y519" s="13"/>
      <c r="Z519" s="15"/>
      <c r="AA519" s="34">
        <f>$F$11</f>
        <v>500</v>
      </c>
      <c r="AB519" s="28"/>
      <c r="AG519" s="13"/>
      <c r="AH519" s="15"/>
      <c r="AI519" s="45"/>
      <c r="AJ519" s="15"/>
      <c r="AK519" s="13"/>
      <c r="AL519" s="15"/>
      <c r="AM519" s="45"/>
      <c r="AN519" s="15"/>
      <c r="AO519" s="13"/>
      <c r="AP519" s="15"/>
      <c r="AQ519" s="45"/>
      <c r="AR519" s="39">
        <v>1350</v>
      </c>
      <c r="AS519" s="13"/>
      <c r="AT519" s="15"/>
      <c r="AU519" s="45"/>
      <c r="AV519" s="15"/>
      <c r="AW519" s="13"/>
      <c r="AY519" s="45"/>
      <c r="AZ519" s="35"/>
      <c r="BA519" s="13"/>
      <c r="BB519" s="15"/>
      <c r="BC519" s="45"/>
      <c r="BD519" s="35"/>
      <c r="BE519" s="14"/>
      <c r="BF519" s="41">
        <f t="shared" ref="BF519:BG519" si="1738">K519+O519+S519+W519+AA519+AE519+AI519+AM519+AQ519+AU519+AY519+BC519</f>
        <v>500</v>
      </c>
      <c r="BG519" s="34">
        <f t="shared" si="1738"/>
        <v>1350</v>
      </c>
      <c r="BH519" s="35">
        <f t="shared" si="1722"/>
        <v>0</v>
      </c>
      <c r="BK519" s="2" t="b">
        <f>H519='2019'!BH438</f>
        <v>1</v>
      </c>
    </row>
    <row r="520" ht="15.75" customHeight="1" hidden="1" spans="1:63" x14ac:dyDescent="0.25">
      <c r="A520" s="247">
        <v>57</v>
      </c>
      <c r="B520" s="21"/>
      <c r="C520" s="22" t="s">
        <v>53</v>
      </c>
      <c r="D520" s="21"/>
      <c r="E520" s="22"/>
      <c r="F520" s="20"/>
      <c r="G520" s="23"/>
      <c r="H520" s="51">
        <f>SUM(H512:H519)</f>
        <v>10952.24</v>
      </c>
      <c r="I520" s="53"/>
      <c r="J520" s="53"/>
      <c r="K520" s="51">
        <f t="shared" ref="K520:L520" si="1739">SUM(K512:K519)</f>
        <v>27.25</v>
      </c>
      <c r="L520" s="68">
        <f t="shared" si="1739"/>
        <v>0</v>
      </c>
      <c r="M520" s="53"/>
      <c r="N520" s="53"/>
      <c r="O520" s="51">
        <f t="shared" ref="O520:P520" si="1740">SUM(O512:O519)</f>
        <v>25.49</v>
      </c>
      <c r="P520" s="51">
        <f t="shared" si="1740"/>
        <v>0</v>
      </c>
      <c r="Q520" s="52"/>
      <c r="R520" s="53"/>
      <c r="S520" s="51">
        <f t="shared" ref="S520:T520" si="1741">SUM(S512:S519)</f>
        <v>27.25</v>
      </c>
      <c r="T520" s="51">
        <f t="shared" si="1741"/>
        <v>0</v>
      </c>
      <c r="U520" s="52"/>
      <c r="V520" s="53"/>
      <c r="W520" s="51">
        <f t="shared" ref="W520:X520" si="1742">SUM(W512:W519)</f>
        <v>26.37</v>
      </c>
      <c r="X520" s="51">
        <f t="shared" si="1742"/>
        <v>0</v>
      </c>
      <c r="Y520" s="52"/>
      <c r="Z520" s="53"/>
      <c r="AA520" s="51">
        <f t="shared" ref="AA520:AB520" si="1743">SUM(AA512:AA519)</f>
        <v>527.25</v>
      </c>
      <c r="AB520" s="51">
        <f t="shared" si="1743"/>
        <v>0</v>
      </c>
      <c r="AC520" s="52"/>
      <c r="AD520" s="53"/>
      <c r="AE520" s="51">
        <f t="shared" ref="AE520:AF520" si="1744">SUM(AE512:AE519)</f>
        <v>4228.37</v>
      </c>
      <c r="AF520" s="51">
        <f t="shared" si="1744"/>
        <v>0</v>
      </c>
      <c r="AG520" s="52"/>
      <c r="AH520" s="53"/>
      <c r="AI520" s="183">
        <f t="shared" ref="AI520:AJ520" si="1745">SUM(AI512:AI519)</f>
        <v>27.25</v>
      </c>
      <c r="AJ520" s="51">
        <f t="shared" si="1745"/>
        <v>0</v>
      </c>
      <c r="AK520" s="52"/>
      <c r="AL520" s="53"/>
      <c r="AM520" s="183">
        <f t="shared" ref="AM520:AN520" si="1746">SUM(AM512:AM519)</f>
        <v>27.25</v>
      </c>
      <c r="AN520" s="51">
        <f t="shared" si="1746"/>
        <v>0</v>
      </c>
      <c r="AO520" s="52"/>
      <c r="AP520" s="53"/>
      <c r="AQ520" s="183">
        <f t="shared" ref="AQ520:AR520" si="1747">SUM(AQ512:AQ519)</f>
        <v>2428.31</v>
      </c>
      <c r="AR520" s="51">
        <f t="shared" si="1747"/>
        <v>16065.84</v>
      </c>
      <c r="AS520" s="52"/>
      <c r="AT520" s="53"/>
      <c r="AU520" s="183">
        <f t="shared" ref="AU520:AV520" si="1748">SUM(AU512:AU519)</f>
        <v>44.2</v>
      </c>
      <c r="AV520" s="68">
        <f t="shared" si="1748"/>
        <v>0</v>
      </c>
      <c r="AW520" s="52"/>
      <c r="AX520" s="53"/>
      <c r="AY520" s="183">
        <f t="shared" ref="AY520:AZ520" si="1749">SUM(AY512:AY519)</f>
        <v>31.2</v>
      </c>
      <c r="AZ520" s="68">
        <f t="shared" si="1749"/>
        <v>0</v>
      </c>
      <c r="BA520" s="52"/>
      <c r="BB520" s="53"/>
      <c r="BC520" s="183">
        <f t="shared" ref="BC520:BD520" si="1750">SUM(BC512:BC519)</f>
        <v>0</v>
      </c>
      <c r="BD520" s="68">
        <f t="shared" si="1750"/>
        <v>0</v>
      </c>
      <c r="BE520" s="69"/>
      <c r="BF520" s="70">
        <f t="shared" ref="BF520:BH520" si="1751">SUM(BF512:BF519)</f>
        <v>7420.19</v>
      </c>
      <c r="BG520" s="71">
        <f t="shared" si="1751"/>
        <v>16065.84</v>
      </c>
      <c r="BH520" s="72">
        <f t="shared" si="1751"/>
        <v>2306.59</v>
      </c>
      <c r="BI520" s="34">
        <f>H520+BF520-BG520</f>
        <v>2306.59</v>
      </c>
      <c r="BJ520" s="34">
        <f>BH520-BI520</f>
        <v>0</v>
      </c>
      <c r="BK520" s="2" t="b">
        <f>H520='2019'!BH439</f>
        <v>1</v>
      </c>
    </row>
    <row r="521" ht="15.75" customHeight="1" hidden="1" spans="1:63" x14ac:dyDescent="0.25">
      <c r="A521" s="2">
        <v>59</v>
      </c>
      <c r="B521" s="14"/>
      <c r="D521" s="99" t="s">
        <v>132</v>
      </c>
      <c r="F521" s="13"/>
      <c r="G521" s="28"/>
      <c r="H521" s="34">
        <f>'2019'!BH440</f>
        <v>962.98</v>
      </c>
      <c r="J521" s="15"/>
      <c r="K521" s="15">
        <v>104.94</v>
      </c>
      <c r="L521" s="28"/>
      <c r="O521" s="2">
        <v>98.17</v>
      </c>
      <c r="Q521" s="13"/>
      <c r="R521" s="15"/>
      <c r="S521" s="15">
        <v>104.94</v>
      </c>
      <c r="T521" s="28"/>
      <c r="W521" s="2">
        <v>101.55</v>
      </c>
      <c r="Y521" s="13"/>
      <c r="Z521" s="15"/>
      <c r="AA521" s="15">
        <v>104.94</v>
      </c>
      <c r="AB521" s="28"/>
      <c r="AE521" s="2">
        <v>101.55</v>
      </c>
      <c r="AG521" s="13"/>
      <c r="AH521" s="15"/>
      <c r="AI521" s="45">
        <v>104.94</v>
      </c>
      <c r="AJ521" s="15"/>
      <c r="AK521" s="13"/>
      <c r="AM521" s="45">
        <v>104.94</v>
      </c>
      <c r="AO521" s="13"/>
      <c r="AQ521" s="45">
        <v>114.75</v>
      </c>
      <c r="AS521" s="13"/>
      <c r="AU521" s="45">
        <v>118.58</v>
      </c>
      <c r="AW521" s="13"/>
      <c r="AY521" s="45">
        <v>69.93</v>
      </c>
      <c r="AZ521" s="32">
        <v>2022.28</v>
      </c>
      <c r="BA521" s="13"/>
      <c r="BB521" s="15"/>
      <c r="BC521" s="45"/>
      <c r="BD521" s="28"/>
      <c r="BE521" s="14"/>
      <c r="BF521" s="41">
        <f t="shared" ref="BF521:BG521" si="1752">K521+O521+S521+W521+AA521+AE521+AI521+AM521+AQ521+AU521+AY521+BC521</f>
        <v>1129.23</v>
      </c>
      <c r="BG521" s="34">
        <f t="shared" si="1752"/>
        <v>2022.28</v>
      </c>
      <c r="BH521" s="35">
        <f t="shared" ref="BH521:BH528" si="1753">H521+BF521-BG521</f>
        <v>69.93</v>
      </c>
      <c r="BK521" s="2" t="b">
        <f>H521='2019'!BH440</f>
        <v>1</v>
      </c>
    </row>
    <row r="522" ht="15.75" customHeight="1" hidden="1" spans="1:63" x14ac:dyDescent="0.25">
      <c r="A522" s="2">
        <v>59</v>
      </c>
      <c r="B522" s="30">
        <v>4</v>
      </c>
      <c r="C522" s="2" t="s">
        <v>221</v>
      </c>
      <c r="D522" s="14" t="s">
        <v>44</v>
      </c>
      <c r="E522" s="2" t="s">
        <v>45</v>
      </c>
      <c r="F522" s="41">
        <v>2.5</v>
      </c>
      <c r="G522" s="35">
        <v>2.6</v>
      </c>
      <c r="H522" s="104">
        <f>'2019'!BH441</f>
        <v>0</v>
      </c>
      <c r="I522" s="15"/>
      <c r="J522" s="15"/>
      <c r="K522" s="34">
        <f>J522*$F$8</f>
        <v>0</v>
      </c>
      <c r="L522" s="28"/>
      <c r="N522" s="15"/>
      <c r="O522" s="34">
        <f>N522*$F$8</f>
        <v>0</v>
      </c>
      <c r="Q522" s="13"/>
      <c r="R522" s="15">
        <f>Q522-M522</f>
        <v>0</v>
      </c>
      <c r="S522" s="34">
        <f>R522*$F$8</f>
        <v>0</v>
      </c>
      <c r="T522" s="28"/>
      <c r="V522" s="15">
        <f>U522-Q522</f>
        <v>0</v>
      </c>
      <c r="W522" s="34">
        <f>V522*$F$8</f>
        <v>0</v>
      </c>
      <c r="Y522" s="13"/>
      <c r="Z522" s="15">
        <f t="shared" ref="Z522:Z523" si="1754">Y522-U522</f>
        <v>0</v>
      </c>
      <c r="AA522" s="34">
        <f>Z522*$F$8</f>
        <v>0</v>
      </c>
      <c r="AB522" s="28"/>
      <c r="AC522" s="15"/>
      <c r="AD522" s="15">
        <f t="shared" ref="AD522:AD523" si="1755">AC522-Y522</f>
        <v>0</v>
      </c>
      <c r="AE522" s="34">
        <f>AD522*$F$8</f>
        <v>0</v>
      </c>
      <c r="AG522" s="13"/>
      <c r="AH522" s="15">
        <f t="shared" ref="AH522:AH523" si="1756">AG522-AC522</f>
        <v>0</v>
      </c>
      <c r="AI522" s="45">
        <f>AH522*$G$8</f>
        <v>0</v>
      </c>
      <c r="AJ522" s="15"/>
      <c r="AK522" s="13">
        <v>0</v>
      </c>
      <c r="AL522" s="15">
        <f t="shared" ref="AL522:AL523" si="1757">AK522-AG522</f>
        <v>0</v>
      </c>
      <c r="AM522" s="45">
        <f>AL522*$G$8</f>
        <v>0</v>
      </c>
      <c r="AN522" s="15"/>
      <c r="AO522" s="13">
        <v>0</v>
      </c>
      <c r="AP522" s="15">
        <f t="shared" ref="AP522:AP523" si="1758">AO522-AK522</f>
        <v>0</v>
      </c>
      <c r="AQ522" s="45">
        <f>AP522*$G$8</f>
        <v>0</v>
      </c>
      <c r="AR522" s="15"/>
      <c r="AS522" s="13">
        <v>0</v>
      </c>
      <c r="AT522" s="15">
        <f t="shared" ref="AT522:AT523" si="1759">AS522-AO522</f>
        <v>0</v>
      </c>
      <c r="AU522" s="45">
        <f>AT522*$G$8</f>
        <v>0</v>
      </c>
      <c r="AV522" s="15"/>
      <c r="AW522" s="13">
        <v>0</v>
      </c>
      <c r="AX522" s="2">
        <f t="shared" ref="AX522:AX523" si="1760">AW522-AS522</f>
        <v>0</v>
      </c>
      <c r="AY522" s="45">
        <f>AX522*$G$8</f>
        <v>0</v>
      </c>
      <c r="AZ522" s="249"/>
      <c r="BA522" s="13">
        <v>0</v>
      </c>
      <c r="BB522" s="15">
        <f t="shared" ref="BB522:BB523" si="1761">BA522-AW522</f>
        <v>0</v>
      </c>
      <c r="BC522" s="45">
        <f>BB522*$G$8</f>
        <v>0</v>
      </c>
      <c r="BD522" s="208"/>
      <c r="BE522" s="40">
        <f t="shared" ref="BE522:BG522" si="1762">J522+N522+R522+V522+Z522+AD522+AH522+AL522+AP522+AT522+AX522+BB522</f>
        <v>0</v>
      </c>
      <c r="BF522" s="41">
        <f t="shared" si="1762"/>
        <v>0</v>
      </c>
      <c r="BG522" s="34">
        <f t="shared" si="1762"/>
        <v>0</v>
      </c>
      <c r="BH522" s="35">
        <f t="shared" si="1753"/>
        <v>0</v>
      </c>
      <c r="BK522" s="2" t="b">
        <f>H522='2019'!BH441</f>
        <v>1</v>
      </c>
    </row>
    <row r="523" ht="15.75" customHeight="1" hidden="1" spans="1:63" x14ac:dyDescent="0.25">
      <c r="A523" s="2">
        <v>59</v>
      </c>
      <c r="B523" s="14"/>
      <c r="C523" s="73"/>
      <c r="D523" s="14" t="s">
        <v>47</v>
      </c>
      <c r="E523" s="2" t="s">
        <v>48</v>
      </c>
      <c r="F523" s="13">
        <v>18.56</v>
      </c>
      <c r="G523" s="35">
        <v>19.46</v>
      </c>
      <c r="H523" s="34">
        <f>'2019'!BH442</f>
        <v>0</v>
      </c>
      <c r="I523" s="15"/>
      <c r="J523" s="15"/>
      <c r="K523" s="15"/>
      <c r="L523" s="28"/>
      <c r="Q523" s="13"/>
      <c r="R523" s="15"/>
      <c r="S523" s="15"/>
      <c r="T523" s="28"/>
      <c r="W523" s="34">
        <f>V523*$F$10</f>
        <v>0</v>
      </c>
      <c r="Y523" s="13"/>
      <c r="Z523" s="15">
        <f t="shared" si="1754"/>
        <v>0</v>
      </c>
      <c r="AA523" s="34">
        <f>Z523*$F$10</f>
        <v>0</v>
      </c>
      <c r="AB523" s="28"/>
      <c r="AC523" s="15"/>
      <c r="AD523" s="15">
        <f t="shared" si="1755"/>
        <v>0</v>
      </c>
      <c r="AE523" s="34">
        <f>AD523*$F$10</f>
        <v>0</v>
      </c>
      <c r="AG523" s="13"/>
      <c r="AH523" s="15">
        <f t="shared" si="1756"/>
        <v>0</v>
      </c>
      <c r="AI523" s="45">
        <f>AH523*$G$10</f>
        <v>0</v>
      </c>
      <c r="AJ523" s="15"/>
      <c r="AK523" s="13"/>
      <c r="AL523" s="15">
        <f t="shared" si="1757"/>
        <v>0</v>
      </c>
      <c r="AM523" s="45">
        <f>AL523*$G$10</f>
        <v>0</v>
      </c>
      <c r="AN523" s="15"/>
      <c r="AO523" s="13"/>
      <c r="AP523" s="15">
        <f t="shared" si="1758"/>
        <v>0</v>
      </c>
      <c r="AQ523" s="45">
        <f>AP523*$G$10</f>
        <v>0</v>
      </c>
      <c r="AR523" s="15"/>
      <c r="AS523" s="13"/>
      <c r="AT523" s="15">
        <f t="shared" si="1759"/>
        <v>0</v>
      </c>
      <c r="AU523" s="45">
        <f>AT523*$G$10</f>
        <v>0</v>
      </c>
      <c r="AV523" s="15"/>
      <c r="AW523" s="13"/>
      <c r="AX523" s="2">
        <f t="shared" si="1760"/>
        <v>0</v>
      </c>
      <c r="AY523" s="45"/>
      <c r="AZ523" s="249"/>
      <c r="BA523" s="13"/>
      <c r="BB523" s="15">
        <f t="shared" si="1761"/>
        <v>0</v>
      </c>
      <c r="BC523" s="45"/>
      <c r="BD523" s="208"/>
      <c r="BE523" s="40">
        <f t="shared" ref="BE523:BG523" si="1763">J523+N523+R523+V523+Z523+AD523+AH523+AL523+AP523+AT523+AX523+BB523</f>
        <v>0</v>
      </c>
      <c r="BF523" s="41">
        <f t="shared" si="1763"/>
        <v>0</v>
      </c>
      <c r="BG523" s="34">
        <f t="shared" si="1763"/>
        <v>0</v>
      </c>
      <c r="BH523" s="35">
        <f t="shared" si="1753"/>
        <v>0</v>
      </c>
      <c r="BK523" s="2" t="b">
        <f>H523='2019'!BH442</f>
        <v>1</v>
      </c>
    </row>
    <row r="524" ht="15.75" customHeight="1" hidden="1" spans="1:63" x14ac:dyDescent="0.25">
      <c r="A524" s="2">
        <v>59</v>
      </c>
      <c r="B524" s="14"/>
      <c r="C524" s="73"/>
      <c r="D524" s="14" t="s">
        <v>47</v>
      </c>
      <c r="E524" s="2" t="s">
        <v>49</v>
      </c>
      <c r="F524" s="41">
        <v>500</v>
      </c>
      <c r="G524" s="28"/>
      <c r="H524" s="144">
        <f>'2019'!BH443</f>
        <v>0</v>
      </c>
      <c r="I524" s="15"/>
      <c r="J524" s="15"/>
      <c r="K524" s="15"/>
      <c r="L524" s="28"/>
      <c r="Q524" s="13"/>
      <c r="R524" s="15"/>
      <c r="S524" s="15"/>
      <c r="T524" s="28"/>
      <c r="Y524" s="13"/>
      <c r="Z524" s="15"/>
      <c r="AA524" s="34"/>
      <c r="AB524" s="28"/>
      <c r="AC524" s="15"/>
      <c r="AG524" s="13"/>
      <c r="AH524" s="15"/>
      <c r="AI524" s="45"/>
      <c r="AJ524" s="15"/>
      <c r="AK524" s="13"/>
      <c r="AL524" s="15"/>
      <c r="AM524" s="45"/>
      <c r="AN524" s="15"/>
      <c r="AO524" s="13"/>
      <c r="AP524" s="15"/>
      <c r="AQ524" s="45"/>
      <c r="AR524" s="15"/>
      <c r="AS524" s="13"/>
      <c r="AT524" s="15"/>
      <c r="AU524" s="45"/>
      <c r="AV524" s="15"/>
      <c r="AW524" s="13"/>
      <c r="AY524" s="45"/>
      <c r="AZ524" s="32"/>
      <c r="BA524" s="13"/>
      <c r="BB524" s="15"/>
      <c r="BC524" s="45"/>
      <c r="BD524" s="28"/>
      <c r="BE524" s="40">
        <f t="shared" ref="BE524:BG524" si="1764">J524+N524+R524+V524+Z524+AD524+AH524+AL524+AP524+AT524+AX524+BB524</f>
        <v>0</v>
      </c>
      <c r="BF524" s="41">
        <f t="shared" si="1764"/>
        <v>0</v>
      </c>
      <c r="BG524" s="34">
        <f t="shared" si="1764"/>
        <v>0</v>
      </c>
      <c r="BH524" s="35">
        <f t="shared" si="1753"/>
        <v>0</v>
      </c>
      <c r="BK524" s="2" t="b">
        <f>H524='2019'!BH443</f>
        <v>1</v>
      </c>
    </row>
    <row r="525" ht="15.75" customHeight="1" hidden="1" spans="1:63" x14ac:dyDescent="0.25">
      <c r="A525" s="2">
        <v>59</v>
      </c>
      <c r="B525" s="14"/>
      <c r="C525" s="73" t="s">
        <v>222</v>
      </c>
      <c r="D525" s="14" t="s">
        <v>50</v>
      </c>
      <c r="E525" s="2" t="s">
        <v>49</v>
      </c>
      <c r="F525" s="41">
        <v>1100</v>
      </c>
      <c r="G525" s="28"/>
      <c r="H525" s="34">
        <f>'2019'!BH444</f>
        <v>17851.52</v>
      </c>
      <c r="I525" s="15"/>
      <c r="J525" s="15"/>
      <c r="K525" s="15"/>
      <c r="L525" s="28"/>
      <c r="Q525" s="13"/>
      <c r="R525" s="15"/>
      <c r="S525" s="15"/>
      <c r="T525" s="28"/>
      <c r="Y525" s="13"/>
      <c r="Z525" s="15"/>
      <c r="AA525" s="15"/>
      <c r="AB525" s="28"/>
      <c r="AE525" s="34">
        <f>B522*$F$12</f>
        <v>4400</v>
      </c>
      <c r="AG525" s="13"/>
      <c r="AH525" s="15"/>
      <c r="AI525" s="45"/>
      <c r="AJ525" s="15"/>
      <c r="AK525" s="13"/>
      <c r="AL525" s="15"/>
      <c r="AM525" s="45"/>
      <c r="AN525" s="15"/>
      <c r="AO525" s="13"/>
      <c r="AP525" s="15"/>
      <c r="AQ525" s="45"/>
      <c r="AR525" s="15"/>
      <c r="AS525" s="13"/>
      <c r="AT525" s="15"/>
      <c r="AU525" s="45"/>
      <c r="AV525" s="15"/>
      <c r="AW525" s="13"/>
      <c r="AY525" s="45"/>
      <c r="AZ525" s="32">
        <v>22251.52</v>
      </c>
      <c r="BA525" s="13"/>
      <c r="BB525" s="15"/>
      <c r="BC525" s="45"/>
      <c r="BD525" s="28"/>
      <c r="BE525" s="14"/>
      <c r="BF525" s="41">
        <f t="shared" ref="BF525:BG525" si="1765">K525+O525+S525+W525+AA525+AE525+AI525+AM525+AQ525+AU525+AY525+BC525</f>
        <v>4400</v>
      </c>
      <c r="BG525" s="34">
        <f t="shared" si="1765"/>
        <v>22251.52</v>
      </c>
      <c r="BH525" s="35">
        <f t="shared" si="1753"/>
        <v>0</v>
      </c>
      <c r="BK525" s="2" t="b">
        <f>H525='2019'!BH444</f>
        <v>1</v>
      </c>
    </row>
    <row r="526" ht="15.75" customHeight="1" hidden="1" spans="1:63" x14ac:dyDescent="0.25">
      <c r="A526" s="2">
        <v>59</v>
      </c>
      <c r="B526" s="14"/>
      <c r="C526" s="73" t="s">
        <v>427</v>
      </c>
      <c r="D526" s="14" t="s">
        <v>51</v>
      </c>
      <c r="E526" s="2" t="s">
        <v>39</v>
      </c>
      <c r="F526" s="41">
        <v>500</v>
      </c>
      <c r="G526" s="28"/>
      <c r="H526" s="34">
        <f>'2019'!BH445</f>
        <v>16000</v>
      </c>
      <c r="I526" s="15"/>
      <c r="J526" s="15"/>
      <c r="K526" s="15"/>
      <c r="L526" s="28"/>
      <c r="Q526" s="13"/>
      <c r="R526" s="15"/>
      <c r="S526" s="15"/>
      <c r="T526" s="28"/>
      <c r="Y526" s="13"/>
      <c r="Z526" s="15"/>
      <c r="AA526" s="15"/>
      <c r="AB526" s="28"/>
      <c r="AE526" s="34"/>
      <c r="AG526" s="13"/>
      <c r="AH526" s="15"/>
      <c r="AI526" s="45"/>
      <c r="AJ526" s="15"/>
      <c r="AK526" s="13"/>
      <c r="AL526" s="15"/>
      <c r="AM526" s="45"/>
      <c r="AN526" s="15"/>
      <c r="AO526" s="13"/>
      <c r="AP526" s="15"/>
      <c r="AQ526" s="45">
        <f>$F$13</f>
        <v>500</v>
      </c>
      <c r="AR526" s="15"/>
      <c r="AS526" s="13"/>
      <c r="AT526" s="15"/>
      <c r="AU526" s="45"/>
      <c r="AV526" s="15"/>
      <c r="AW526" s="13"/>
      <c r="AY526" s="45"/>
      <c r="AZ526" s="38">
        <v>16500</v>
      </c>
      <c r="BA526" s="13"/>
      <c r="BB526" s="15"/>
      <c r="BC526" s="45"/>
      <c r="BD526" s="28"/>
      <c r="BE526" s="14"/>
      <c r="BF526" s="41">
        <f t="shared" ref="BF526:BG526" si="1766">K526+O526+S526+W526+AA526+AE526+AI526+AM526+AQ526+AU526+AY526+BC526</f>
        <v>500</v>
      </c>
      <c r="BG526" s="34">
        <f t="shared" si="1766"/>
        <v>16500</v>
      </c>
      <c r="BH526" s="35">
        <f t="shared" si="1753"/>
        <v>0</v>
      </c>
      <c r="BK526" s="2" t="b">
        <f>H526='2019'!BH445</f>
        <v>1</v>
      </c>
    </row>
    <row r="527" ht="15.75" customHeight="1" hidden="1" spans="1:60" x14ac:dyDescent="0.25">
      <c r="A527" s="2">
        <v>59</v>
      </c>
      <c r="B527" s="14"/>
      <c r="C527" s="15"/>
      <c r="D527" s="14" t="s">
        <v>51</v>
      </c>
      <c r="E527" s="2" t="s">
        <v>49</v>
      </c>
      <c r="F527" s="41">
        <v>500</v>
      </c>
      <c r="G527" s="28"/>
      <c r="H527" s="34"/>
      <c r="I527" s="15"/>
      <c r="J527" s="15"/>
      <c r="K527" s="15"/>
      <c r="L527" s="28"/>
      <c r="Q527" s="13"/>
      <c r="R527" s="15"/>
      <c r="S527" s="15"/>
      <c r="T527" s="28"/>
      <c r="Y527" s="13"/>
      <c r="Z527" s="15"/>
      <c r="AA527" s="15"/>
      <c r="AB527" s="28"/>
      <c r="AE527" s="34"/>
      <c r="AG527" s="13"/>
      <c r="AH527" s="15"/>
      <c r="AI527" s="45"/>
      <c r="AJ527" s="15"/>
      <c r="AK527" s="13"/>
      <c r="AL527" s="15"/>
      <c r="AM527" s="45"/>
      <c r="AN527" s="15"/>
      <c r="AO527" s="13"/>
      <c r="AP527" s="15"/>
      <c r="AQ527" s="34">
        <f>B522*$F$14</f>
        <v>2000</v>
      </c>
      <c r="AR527" s="15"/>
      <c r="AS527" s="13"/>
      <c r="AT527" s="15"/>
      <c r="AU527" s="45"/>
      <c r="AV527" s="15"/>
      <c r="AW527" s="13"/>
      <c r="AY527" s="45"/>
      <c r="AZ527" s="38">
        <v>2000</v>
      </c>
      <c r="BA527" s="13"/>
      <c r="BB527" s="15"/>
      <c r="BC527" s="45"/>
      <c r="BD527" s="28"/>
      <c r="BE527" s="14"/>
      <c r="BF527" s="41">
        <f t="shared" ref="BF527:BG527" si="1767">K527+O527+S527+W527+AA527+AE527+AI527+AM527+AQ527+AU527+AY527+BC527</f>
        <v>2000</v>
      </c>
      <c r="BG527" s="34">
        <f t="shared" si="1767"/>
        <v>2000</v>
      </c>
      <c r="BH527" s="35">
        <f t="shared" si="1753"/>
        <v>0</v>
      </c>
    </row>
    <row r="528" ht="15.75" customHeight="1" hidden="1" spans="1:63" x14ac:dyDescent="0.25">
      <c r="A528" s="2">
        <v>59</v>
      </c>
      <c r="B528" s="14"/>
      <c r="D528" s="14" t="s">
        <v>52</v>
      </c>
      <c r="E528" s="2" t="s">
        <v>39</v>
      </c>
      <c r="F528" s="41">
        <v>500</v>
      </c>
      <c r="G528" s="28"/>
      <c r="H528" s="34">
        <f>'2019'!BH446</f>
        <v>1700</v>
      </c>
      <c r="I528" s="15"/>
      <c r="J528" s="15"/>
      <c r="K528" s="15"/>
      <c r="L528" s="28"/>
      <c r="Q528" s="13"/>
      <c r="R528" s="15"/>
      <c r="S528" s="15"/>
      <c r="T528" s="28"/>
      <c r="Y528" s="13"/>
      <c r="Z528" s="15"/>
      <c r="AA528" s="34">
        <f>$F$11</f>
        <v>500</v>
      </c>
      <c r="AB528" s="28"/>
      <c r="AG528" s="13"/>
      <c r="AH528" s="15"/>
      <c r="AI528" s="45"/>
      <c r="AJ528" s="15"/>
      <c r="AK528" s="13"/>
      <c r="AL528" s="15"/>
      <c r="AM528" s="45"/>
      <c r="AN528" s="15"/>
      <c r="AO528" s="13"/>
      <c r="AP528" s="15"/>
      <c r="AQ528" s="45"/>
      <c r="AR528" s="15"/>
      <c r="AS528" s="13"/>
      <c r="AT528" s="15"/>
      <c r="AU528" s="45"/>
      <c r="AV528" s="15"/>
      <c r="AW528" s="13"/>
      <c r="AY528" s="45"/>
      <c r="AZ528" s="38">
        <v>2200</v>
      </c>
      <c r="BA528" s="13"/>
      <c r="BB528" s="15"/>
      <c r="BC528" s="45"/>
      <c r="BD528" s="35"/>
      <c r="BE528" s="14"/>
      <c r="BF528" s="41">
        <f t="shared" ref="BF528:BG528" si="1768">K528+O528+S528+W528+AA528+AE528+AI528+AM528+AQ528+AU528+AY528+BC528</f>
        <v>500</v>
      </c>
      <c r="BG528" s="34">
        <f t="shared" si="1768"/>
        <v>2200</v>
      </c>
      <c r="BH528" s="35">
        <f t="shared" si="1753"/>
        <v>0</v>
      </c>
      <c r="BK528" s="2" t="b">
        <f>H528='2019'!BH446</f>
        <v>1</v>
      </c>
    </row>
    <row r="529" ht="15.75" customHeight="1" hidden="1" spans="1:63" x14ac:dyDescent="0.25">
      <c r="A529" s="247">
        <v>59</v>
      </c>
      <c r="B529" s="21"/>
      <c r="C529" s="22" t="s">
        <v>53</v>
      </c>
      <c r="D529" s="21"/>
      <c r="E529" s="22"/>
      <c r="F529" s="20"/>
      <c r="G529" s="23"/>
      <c r="H529" s="51">
        <f>SUM(H521:H528)</f>
        <v>36514.5</v>
      </c>
      <c r="I529" s="53"/>
      <c r="J529" s="53"/>
      <c r="K529" s="51">
        <f t="shared" ref="K529:L529" si="1769">SUM(K521:K528)</f>
        <v>104.94</v>
      </c>
      <c r="L529" s="68">
        <f t="shared" si="1769"/>
        <v>0</v>
      </c>
      <c r="M529" s="53"/>
      <c r="N529" s="53"/>
      <c r="O529" s="51">
        <f t="shared" ref="O529:P529" si="1770">SUM(O521:O528)</f>
        <v>98.17</v>
      </c>
      <c r="P529" s="51">
        <f t="shared" si="1770"/>
        <v>0</v>
      </c>
      <c r="Q529" s="52"/>
      <c r="R529" s="53"/>
      <c r="S529" s="51">
        <f t="shared" ref="S529:T529" si="1771">SUM(S521:S528)</f>
        <v>104.94</v>
      </c>
      <c r="T529" s="51">
        <f t="shared" si="1771"/>
        <v>0</v>
      </c>
      <c r="U529" s="52"/>
      <c r="V529" s="53"/>
      <c r="W529" s="51">
        <f t="shared" ref="W529:X529" si="1772">SUM(W521:W528)</f>
        <v>101.55</v>
      </c>
      <c r="X529" s="51">
        <f t="shared" si="1772"/>
        <v>0</v>
      </c>
      <c r="Y529" s="52"/>
      <c r="Z529" s="53"/>
      <c r="AA529" s="51">
        <f t="shared" ref="AA529:AB529" si="1773">SUM(AA521:AA528)</f>
        <v>604.94</v>
      </c>
      <c r="AB529" s="51">
        <f t="shared" si="1773"/>
        <v>0</v>
      </c>
      <c r="AC529" s="52"/>
      <c r="AD529" s="53"/>
      <c r="AE529" s="51">
        <f t="shared" ref="AE529:AF529" si="1774">SUM(AE521:AE528)</f>
        <v>4501.55</v>
      </c>
      <c r="AF529" s="51">
        <f t="shared" si="1774"/>
        <v>0</v>
      </c>
      <c r="AG529" s="52"/>
      <c r="AH529" s="53"/>
      <c r="AI529" s="183">
        <f t="shared" ref="AI529:AJ529" si="1775">SUM(AI521:AI528)</f>
        <v>104.94</v>
      </c>
      <c r="AJ529" s="51">
        <f t="shared" si="1775"/>
        <v>0</v>
      </c>
      <c r="AK529" s="52"/>
      <c r="AL529" s="53"/>
      <c r="AM529" s="183">
        <f t="shared" ref="AM529:AN529" si="1776">SUM(AM521:AM528)</f>
        <v>104.94</v>
      </c>
      <c r="AN529" s="51">
        <f t="shared" si="1776"/>
        <v>0</v>
      </c>
      <c r="AO529" s="52"/>
      <c r="AP529" s="53"/>
      <c r="AQ529" s="183">
        <f t="shared" ref="AQ529:AR529" si="1777">SUM(AQ521:AQ528)</f>
        <v>2614.75</v>
      </c>
      <c r="AR529" s="51">
        <f t="shared" si="1777"/>
        <v>0</v>
      </c>
      <c r="AS529" s="52"/>
      <c r="AT529" s="53"/>
      <c r="AU529" s="183">
        <f t="shared" ref="AU529:AV529" si="1778">SUM(AU521:AU528)</f>
        <v>118.58</v>
      </c>
      <c r="AV529" s="68">
        <f t="shared" si="1778"/>
        <v>0</v>
      </c>
      <c r="AW529" s="52"/>
      <c r="AX529" s="53"/>
      <c r="AY529" s="183">
        <f t="shared" ref="AY529:AZ529" si="1779">SUM(AY521:AY528)</f>
        <v>69.93</v>
      </c>
      <c r="AZ529" s="68">
        <f t="shared" si="1779"/>
        <v>44973.8</v>
      </c>
      <c r="BA529" s="52"/>
      <c r="BB529" s="53"/>
      <c r="BC529" s="183">
        <f t="shared" ref="BC529:BD529" si="1780">SUM(BC521:BC528)</f>
        <v>0</v>
      </c>
      <c r="BD529" s="68">
        <f t="shared" si="1780"/>
        <v>0</v>
      </c>
      <c r="BE529" s="69"/>
      <c r="BF529" s="70">
        <f t="shared" ref="BF529:BH529" si="1781">SUM(BF521:BF528)</f>
        <v>8529.23</v>
      </c>
      <c r="BG529" s="71">
        <f t="shared" si="1781"/>
        <v>44973.8</v>
      </c>
      <c r="BH529" s="72">
        <f t="shared" si="1781"/>
        <v>69.93</v>
      </c>
      <c r="BI529" s="34">
        <f>H529+BF529-BG529</f>
        <v>69.93</v>
      </c>
      <c r="BJ529" s="34">
        <f>BH529-BI529</f>
        <v>0</v>
      </c>
      <c r="BK529" s="2" t="b">
        <f>H529='2019'!BH447</f>
        <v>1</v>
      </c>
    </row>
    <row r="530" ht="15.75" customHeight="1" hidden="1" spans="1:63" x14ac:dyDescent="0.25">
      <c r="A530" s="2">
        <v>58</v>
      </c>
      <c r="B530" s="14"/>
      <c r="D530" s="178" t="s">
        <v>486</v>
      </c>
      <c r="F530" s="13"/>
      <c r="G530" s="28"/>
      <c r="H530" s="34">
        <f>'2019'!BH448</f>
        <v>0</v>
      </c>
      <c r="J530" s="15"/>
      <c r="K530" s="15"/>
      <c r="L530" s="28"/>
      <c r="Q530" s="13"/>
      <c r="R530" s="15"/>
      <c r="S530" s="15"/>
      <c r="T530" s="28"/>
      <c r="W530" s="152">
        <v>65.5</v>
      </c>
      <c r="Y530" s="13"/>
      <c r="Z530" s="15"/>
      <c r="AA530" s="15"/>
      <c r="AB530" s="28"/>
      <c r="AG530" s="13"/>
      <c r="AH530" s="15"/>
      <c r="AI530" s="45"/>
      <c r="AJ530" s="15"/>
      <c r="AK530" s="13"/>
      <c r="AM530" s="45"/>
      <c r="AO530" s="13"/>
      <c r="AQ530" s="45"/>
      <c r="AS530" s="13"/>
      <c r="AU530" s="45"/>
      <c r="AW530" s="13"/>
      <c r="AY530" s="45"/>
      <c r="AZ530" s="28"/>
      <c r="BA530" s="13"/>
      <c r="BB530" s="15"/>
      <c r="BC530" s="45"/>
      <c r="BD530" s="28"/>
      <c r="BE530" s="14"/>
      <c r="BF530" s="41">
        <f t="shared" ref="BF530:BG530" si="1782">K530+O530+S530+W530+AA530+AE530+AI530+AM530+AQ530+AU530+AY530+BC530</f>
        <v>65.5</v>
      </c>
      <c r="BG530" s="34">
        <f t="shared" si="1782"/>
        <v>0</v>
      </c>
      <c r="BH530" s="35">
        <f t="shared" ref="BH530:BH537" si="1783">H530+BF530-BG530</f>
        <v>65.5</v>
      </c>
      <c r="BK530" s="2" t="b">
        <f>H530='2019'!BH448</f>
        <v>1</v>
      </c>
    </row>
    <row r="531" ht="15.75" customHeight="1" hidden="1" spans="1:63" x14ac:dyDescent="0.25">
      <c r="A531" s="2">
        <v>58</v>
      </c>
      <c r="B531" s="14">
        <v>5.08</v>
      </c>
      <c r="C531" s="2" t="s">
        <v>223</v>
      </c>
      <c r="D531" s="14" t="s">
        <v>44</v>
      </c>
      <c r="E531" s="2" t="s">
        <v>45</v>
      </c>
      <c r="F531" s="41">
        <v>2.5</v>
      </c>
      <c r="G531" s="35">
        <v>2.6</v>
      </c>
      <c r="H531" s="180">
        <f>'2019'!BH449</f>
        <v>-49.41</v>
      </c>
      <c r="I531" s="15">
        <v>3110</v>
      </c>
      <c r="J531" s="15">
        <f>I531-'2019'!BA449</f>
        <v>5</v>
      </c>
      <c r="K531" s="34">
        <f>J531*$F$8</f>
        <v>12.5</v>
      </c>
      <c r="L531" s="28"/>
      <c r="M531" s="15">
        <v>3111</v>
      </c>
      <c r="N531" s="15">
        <f>M531-I531</f>
        <v>1</v>
      </c>
      <c r="O531" s="34">
        <f>N531*$F$8</f>
        <v>2.5</v>
      </c>
      <c r="Q531" s="13">
        <v>3112</v>
      </c>
      <c r="R531" s="15">
        <f>Q531-M531</f>
        <v>1</v>
      </c>
      <c r="S531" s="34">
        <f>R531*$F$8</f>
        <v>2.5</v>
      </c>
      <c r="T531" s="28"/>
      <c r="U531" s="15">
        <v>3115</v>
      </c>
      <c r="V531" s="15">
        <f>U531-Q531</f>
        <v>3</v>
      </c>
      <c r="W531" s="34">
        <f>V531*$F$8</f>
        <v>7.5</v>
      </c>
      <c r="Y531" s="13">
        <v>3122</v>
      </c>
      <c r="Z531" s="15">
        <f t="shared" ref="Z531:Z532" si="1784">Y531-U531</f>
        <v>7</v>
      </c>
      <c r="AA531" s="34">
        <f>Z531*$F$8</f>
        <v>17.5</v>
      </c>
      <c r="AB531" s="28"/>
      <c r="AC531" s="15">
        <v>3314</v>
      </c>
      <c r="AD531" s="15">
        <f t="shared" ref="AD531:AD532" si="1785">AC531-Y531</f>
        <v>192</v>
      </c>
      <c r="AE531" s="34">
        <f>AD531*$F$8</f>
        <v>480</v>
      </c>
      <c r="AF531" s="133">
        <v>633.6</v>
      </c>
      <c r="AG531" s="13">
        <v>3360</v>
      </c>
      <c r="AH531" s="15">
        <f t="shared" ref="AH531:AH532" si="1786">AG531-AC531</f>
        <v>46</v>
      </c>
      <c r="AI531" s="45">
        <f>AH531*$G$8</f>
        <v>119.6</v>
      </c>
      <c r="AJ531" s="185">
        <v>1500</v>
      </c>
      <c r="AK531" s="13">
        <v>3429</v>
      </c>
      <c r="AL531" s="15">
        <f t="shared" ref="AL531:AL532" si="1787">AK531-AG531</f>
        <v>69</v>
      </c>
      <c r="AM531" s="45">
        <f>AL531*$G$8</f>
        <v>179.4</v>
      </c>
      <c r="AN531" s="15"/>
      <c r="AO531" s="13">
        <v>3445</v>
      </c>
      <c r="AP531" s="15">
        <f t="shared" ref="AP531:AP532" si="1788">AO531-AK531</f>
        <v>16</v>
      </c>
      <c r="AQ531" s="45">
        <f>AP531*$G$8</f>
        <v>41.6</v>
      </c>
      <c r="AR531" s="15"/>
      <c r="AS531" s="13">
        <v>646</v>
      </c>
      <c r="AT531" s="15">
        <f>AS531</f>
        <v>646</v>
      </c>
      <c r="AU531" s="45">
        <f>AT531*$G$8</f>
        <v>1679.6</v>
      </c>
      <c r="AV531" s="15"/>
      <c r="AW531" s="13">
        <v>703</v>
      </c>
      <c r="AX531" s="2">
        <f t="shared" ref="AX531:AX532" si="1789">AW531-AS531</f>
        <v>57</v>
      </c>
      <c r="AY531" s="45">
        <f>AX531*$G$8</f>
        <v>148.2</v>
      </c>
      <c r="AZ531" s="208"/>
      <c r="BA531" s="13">
        <v>703</v>
      </c>
      <c r="BB531" s="15">
        <f t="shared" ref="BB531:BB532" si="1790">BA531-AW531</f>
        <v>0</v>
      </c>
      <c r="BC531" s="45">
        <f>BB531*$G$8</f>
        <v>0</v>
      </c>
      <c r="BD531" s="208"/>
      <c r="BE531" s="40">
        <f t="shared" ref="BE531:BG531" si="1791">J531+N531+R531+V531+Z531+AD531+AH531+AL531+AP531+AT531+AX531+BB531</f>
        <v>1043</v>
      </c>
      <c r="BF531" s="41">
        <f t="shared" si="1791"/>
        <v>2690.9</v>
      </c>
      <c r="BG531" s="34">
        <f t="shared" si="1791"/>
        <v>2133.6</v>
      </c>
      <c r="BH531" s="35">
        <f t="shared" si="1783"/>
        <v>507.89</v>
      </c>
      <c r="BJ531" s="34"/>
      <c r="BK531" s="2" t="b">
        <f>H531='2019'!BH449</f>
        <v>1</v>
      </c>
    </row>
    <row r="532" ht="15.75" customHeight="1" hidden="1" spans="1:63" x14ac:dyDescent="0.25">
      <c r="A532" s="2">
        <v>58</v>
      </c>
      <c r="B532" s="14"/>
      <c r="C532" s="2" t="s">
        <v>71</v>
      </c>
      <c r="D532" s="14" t="s">
        <v>47</v>
      </c>
      <c r="E532" s="2" t="s">
        <v>48</v>
      </c>
      <c r="F532" s="13">
        <v>18.56</v>
      </c>
      <c r="G532" s="35">
        <v>19.46</v>
      </c>
      <c r="H532" s="34">
        <f>'2019'!BH450</f>
        <v>0</v>
      </c>
      <c r="I532" s="15">
        <v>1505</v>
      </c>
      <c r="J532" s="15"/>
      <c r="K532" s="15"/>
      <c r="L532" s="28"/>
      <c r="M532" s="2">
        <v>1505</v>
      </c>
      <c r="Q532" s="13">
        <v>1505</v>
      </c>
      <c r="R532" s="15"/>
      <c r="S532" s="15"/>
      <c r="T532" s="28"/>
      <c r="U532" s="15">
        <v>454</v>
      </c>
      <c r="V532" s="15"/>
      <c r="W532" s="34">
        <f>V532*$F$10</f>
        <v>0</v>
      </c>
      <c r="Y532" s="13">
        <v>459</v>
      </c>
      <c r="Z532" s="15">
        <f t="shared" si="1784"/>
        <v>5</v>
      </c>
      <c r="AA532" s="34">
        <f>Z532*$F$10</f>
        <v>92.8</v>
      </c>
      <c r="AB532" s="28"/>
      <c r="AC532" s="15">
        <v>474</v>
      </c>
      <c r="AD532" s="15">
        <f t="shared" si="1785"/>
        <v>15</v>
      </c>
      <c r="AE532" s="34">
        <f>AD532*$F$10</f>
        <v>278.4</v>
      </c>
      <c r="AF532" s="133">
        <v>278.4</v>
      </c>
      <c r="AG532" s="13">
        <v>490</v>
      </c>
      <c r="AH532" s="15">
        <f t="shared" si="1786"/>
        <v>16</v>
      </c>
      <c r="AI532" s="45">
        <f>AH532*$G$10</f>
        <v>311.36</v>
      </c>
      <c r="AJ532" s="185">
        <v>500</v>
      </c>
      <c r="AK532" s="13">
        <v>497</v>
      </c>
      <c r="AL532" s="15">
        <f t="shared" si="1787"/>
        <v>7</v>
      </c>
      <c r="AM532" s="45">
        <f>AL532*$G$10</f>
        <v>136.22</v>
      </c>
      <c r="AN532" s="15"/>
      <c r="AO532" s="13">
        <v>500</v>
      </c>
      <c r="AP532" s="15">
        <f t="shared" si="1788"/>
        <v>3</v>
      </c>
      <c r="AQ532" s="45">
        <f>AP532*$G$10</f>
        <v>58.38</v>
      </c>
      <c r="AR532" s="15"/>
      <c r="AS532" s="13">
        <v>501</v>
      </c>
      <c r="AT532" s="15">
        <f>AS532-AO532</f>
        <v>1</v>
      </c>
      <c r="AU532" s="45">
        <f>AT532*$G$10</f>
        <v>19.46</v>
      </c>
      <c r="AV532" s="15"/>
      <c r="AW532" s="13">
        <v>501</v>
      </c>
      <c r="AX532" s="2">
        <f t="shared" si="1789"/>
        <v>0</v>
      </c>
      <c r="AY532" s="45"/>
      <c r="AZ532" s="208"/>
      <c r="BA532" s="13">
        <v>501</v>
      </c>
      <c r="BB532" s="15">
        <f t="shared" si="1790"/>
        <v>0</v>
      </c>
      <c r="BC532" s="45"/>
      <c r="BD532" s="208"/>
      <c r="BE532" s="40">
        <f t="shared" ref="BE532:BG532" si="1792">J532+N532+R532+V532+Z532+AD532+AH532+AL532+AP532+AT532+AX532+BB532</f>
        <v>47</v>
      </c>
      <c r="BF532" s="41">
        <f t="shared" si="1792"/>
        <v>896.62</v>
      </c>
      <c r="BG532" s="34">
        <f t="shared" si="1792"/>
        <v>778.4</v>
      </c>
      <c r="BH532" s="35">
        <f t="shared" si="1783"/>
        <v>118.22</v>
      </c>
      <c r="BK532" s="2" t="b">
        <f>H532='2019'!BH450</f>
        <v>1</v>
      </c>
    </row>
    <row r="533" ht="15.75" customHeight="1" hidden="1" spans="1:63" x14ac:dyDescent="0.25">
      <c r="A533" s="2">
        <v>58</v>
      </c>
      <c r="B533" s="14"/>
      <c r="C533" s="15" t="s">
        <v>168</v>
      </c>
      <c r="D533" s="14" t="s">
        <v>47</v>
      </c>
      <c r="E533" s="2" t="s">
        <v>49</v>
      </c>
      <c r="F533" s="41">
        <v>500</v>
      </c>
      <c r="G533" s="28"/>
      <c r="H533" s="34">
        <f>'2019'!BH451</f>
        <v>0</v>
      </c>
      <c r="I533" s="15"/>
      <c r="J533" s="15"/>
      <c r="K533" s="15"/>
      <c r="L533" s="28"/>
      <c r="Q533" s="13"/>
      <c r="R533" s="15"/>
      <c r="S533" s="15"/>
      <c r="T533" s="28"/>
      <c r="Y533" s="13"/>
      <c r="Z533" s="15"/>
      <c r="AA533" s="15"/>
      <c r="AB533" s="28"/>
      <c r="AG533" s="13"/>
      <c r="AH533" s="15"/>
      <c r="AI533" s="45"/>
      <c r="AJ533" s="34"/>
      <c r="AK533" s="13"/>
      <c r="AL533" s="15"/>
      <c r="AM533" s="45"/>
      <c r="AN533" s="15"/>
      <c r="AO533" s="13"/>
      <c r="AP533" s="15"/>
      <c r="AQ533" s="45"/>
      <c r="AR533" s="15"/>
      <c r="AS533" s="13"/>
      <c r="AT533" s="15"/>
      <c r="AU533" s="45"/>
      <c r="AV533" s="15"/>
      <c r="AW533" s="13"/>
      <c r="AY533" s="45"/>
      <c r="AZ533" s="28"/>
      <c r="BA533" s="13"/>
      <c r="BB533" s="15"/>
      <c r="BC533" s="45"/>
      <c r="BD533" s="28"/>
      <c r="BE533" s="14"/>
      <c r="BF533" s="41">
        <f t="shared" ref="BF533:BG533" si="1793">K533+O533+S533+W533+AA533+AE533+AI533+AM533+AQ533+AU533+AY533+BC533</f>
        <v>0</v>
      </c>
      <c r="BG533" s="34">
        <f t="shared" si="1793"/>
        <v>0</v>
      </c>
      <c r="BH533" s="35">
        <f t="shared" si="1783"/>
        <v>0</v>
      </c>
      <c r="BK533" s="2" t="b">
        <f>H533='2019'!BH451</f>
        <v>1</v>
      </c>
    </row>
    <row r="534" ht="15.75" customHeight="1" hidden="1" spans="1:63" x14ac:dyDescent="0.25">
      <c r="A534" s="2">
        <v>58</v>
      </c>
      <c r="B534" s="14"/>
      <c r="C534" s="2" t="s">
        <v>224</v>
      </c>
      <c r="D534" s="14" t="s">
        <v>50</v>
      </c>
      <c r="E534" s="2" t="s">
        <v>49</v>
      </c>
      <c r="F534" s="41">
        <v>1100</v>
      </c>
      <c r="G534" s="28"/>
      <c r="H534" s="182">
        <f>'2019'!BH452-0.0004</f>
        <v>0</v>
      </c>
      <c r="I534" s="15"/>
      <c r="J534" s="15"/>
      <c r="K534" s="15"/>
      <c r="L534" s="28"/>
      <c r="Q534" s="13"/>
      <c r="R534" s="15"/>
      <c r="S534" s="15"/>
      <c r="T534" s="28"/>
      <c r="Y534" s="13"/>
      <c r="Z534" s="15"/>
      <c r="AA534" s="15"/>
      <c r="AB534" s="28"/>
      <c r="AE534" s="34">
        <f>B531*$F$12</f>
        <v>5588</v>
      </c>
      <c r="AF534" s="133">
        <v>5588</v>
      </c>
      <c r="AG534" s="13"/>
      <c r="AH534" s="15"/>
      <c r="AI534" s="45"/>
      <c r="AJ534" s="180"/>
      <c r="AK534" s="13"/>
      <c r="AL534" s="15"/>
      <c r="AM534" s="45"/>
      <c r="AN534" s="15"/>
      <c r="AO534" s="13"/>
      <c r="AP534" s="15"/>
      <c r="AQ534" s="45"/>
      <c r="AR534" s="15"/>
      <c r="AS534" s="13"/>
      <c r="AT534" s="15"/>
      <c r="AU534" s="45"/>
      <c r="AV534" s="15"/>
      <c r="AW534" s="13"/>
      <c r="AY534" s="45"/>
      <c r="AZ534" s="28"/>
      <c r="BA534" s="13"/>
      <c r="BB534" s="15"/>
      <c r="BC534" s="45"/>
      <c r="BD534" s="28"/>
      <c r="BE534" s="14"/>
      <c r="BF534" s="41">
        <f t="shared" ref="BF534:BG534" si="1794">K534+O534+S534+W534+AA534+AE534+AI534+AM534+AQ534+AU534+AY534+BC534</f>
        <v>5588</v>
      </c>
      <c r="BG534" s="34">
        <f t="shared" si="1794"/>
        <v>5588</v>
      </c>
      <c r="BH534" s="35">
        <f t="shared" si="1783"/>
        <v>0</v>
      </c>
      <c r="BK534" s="2" t="b">
        <f>H534='2019'!BH452</f>
        <v>0</v>
      </c>
    </row>
    <row r="535" ht="15.75" customHeight="1" hidden="1" spans="1:63" x14ac:dyDescent="0.25">
      <c r="A535" s="2">
        <v>58</v>
      </c>
      <c r="B535" s="14"/>
      <c r="C535" s="2" t="s">
        <v>225</v>
      </c>
      <c r="D535" s="14" t="s">
        <v>51</v>
      </c>
      <c r="E535" s="2" t="s">
        <v>39</v>
      </c>
      <c r="F535" s="41">
        <v>500</v>
      </c>
      <c r="G535" s="28"/>
      <c r="H535" s="34">
        <f>'2019'!BH453</f>
        <v>0</v>
      </c>
      <c r="I535" s="15"/>
      <c r="J535" s="15"/>
      <c r="K535" s="15"/>
      <c r="L535" s="28"/>
      <c r="Q535" s="13"/>
      <c r="R535" s="15"/>
      <c r="S535" s="15"/>
      <c r="T535" s="28"/>
      <c r="Y535" s="13"/>
      <c r="Z535" s="15"/>
      <c r="AA535" s="15"/>
      <c r="AB535" s="28"/>
      <c r="AE535" s="34"/>
      <c r="AF535" s="34"/>
      <c r="AG535" s="13"/>
      <c r="AH535" s="15"/>
      <c r="AI535" s="45"/>
      <c r="AJ535" s="34"/>
      <c r="AK535" s="13"/>
      <c r="AL535" s="15"/>
      <c r="AM535" s="45"/>
      <c r="AN535" s="15"/>
      <c r="AO535" s="13"/>
      <c r="AP535" s="15"/>
      <c r="AQ535" s="45">
        <f>$F$13</f>
        <v>500</v>
      </c>
      <c r="AR535" s="15"/>
      <c r="AS535" s="13"/>
      <c r="AT535" s="15"/>
      <c r="AU535" s="45"/>
      <c r="AV535" s="15"/>
      <c r="AW535" s="13"/>
      <c r="AY535" s="45"/>
      <c r="AZ535" s="28"/>
      <c r="BA535" s="13"/>
      <c r="BB535" s="15"/>
      <c r="BC535" s="45"/>
      <c r="BD535" s="28"/>
      <c r="BE535" s="14"/>
      <c r="BF535" s="41">
        <f t="shared" ref="BF535:BG535" si="1795">K535+O535+S535+W535+AA535+AE535+AI535+AM535+AQ535+AU535+AY535+BC535</f>
        <v>500</v>
      </c>
      <c r="BG535" s="34">
        <f t="shared" si="1795"/>
        <v>0</v>
      </c>
      <c r="BH535" s="35">
        <f t="shared" si="1783"/>
        <v>500</v>
      </c>
      <c r="BK535" s="2" t="b">
        <f>H535='2019'!BH453</f>
        <v>1</v>
      </c>
    </row>
    <row r="536" ht="15.75" customHeight="1" hidden="1" spans="1:60" x14ac:dyDescent="0.25">
      <c r="A536" s="2">
        <v>58</v>
      </c>
      <c r="B536" s="14"/>
      <c r="D536" s="14" t="s">
        <v>51</v>
      </c>
      <c r="E536" s="2" t="s">
        <v>49</v>
      </c>
      <c r="F536" s="41">
        <v>500</v>
      </c>
      <c r="G536" s="28"/>
      <c r="H536" s="34"/>
      <c r="I536" s="15"/>
      <c r="J536" s="15"/>
      <c r="K536" s="15"/>
      <c r="L536" s="28"/>
      <c r="Q536" s="13"/>
      <c r="R536" s="15"/>
      <c r="S536" s="15"/>
      <c r="T536" s="28"/>
      <c r="Y536" s="13"/>
      <c r="Z536" s="15"/>
      <c r="AA536" s="15"/>
      <c r="AB536" s="28"/>
      <c r="AE536" s="34"/>
      <c r="AF536" s="34"/>
      <c r="AG536" s="13"/>
      <c r="AH536" s="15"/>
      <c r="AI536" s="45"/>
      <c r="AJ536" s="34"/>
      <c r="AK536" s="13"/>
      <c r="AL536" s="15"/>
      <c r="AM536" s="45"/>
      <c r="AN536" s="15"/>
      <c r="AO536" s="13"/>
      <c r="AP536" s="15"/>
      <c r="AQ536" s="34">
        <f>B531*$F$14</f>
        <v>2540</v>
      </c>
      <c r="AR536" s="15"/>
      <c r="AS536" s="13"/>
      <c r="AT536" s="15"/>
      <c r="AU536" s="45"/>
      <c r="AV536" s="15"/>
      <c r="AW536" s="13"/>
      <c r="AY536" s="45"/>
      <c r="AZ536" s="28"/>
      <c r="BA536" s="13"/>
      <c r="BB536" s="15"/>
      <c r="BC536" s="45"/>
      <c r="BD536" s="28"/>
      <c r="BE536" s="14"/>
      <c r="BF536" s="41">
        <f t="shared" ref="BF536:BG536" si="1796">K536+O536+S536+W536+AA536+AE536+AI536+AM536+AQ536+AU536+AY536+BC536</f>
        <v>2540</v>
      </c>
      <c r="BG536" s="34">
        <f t="shared" si="1796"/>
        <v>0</v>
      </c>
      <c r="BH536" s="35">
        <f t="shared" si="1783"/>
        <v>2540</v>
      </c>
    </row>
    <row r="537" ht="15.75" customHeight="1" hidden="1" spans="1:63" x14ac:dyDescent="0.25">
      <c r="A537" s="2">
        <v>58</v>
      </c>
      <c r="B537" s="14"/>
      <c r="C537" s="2" t="s">
        <v>226</v>
      </c>
      <c r="D537" s="14" t="s">
        <v>52</v>
      </c>
      <c r="E537" s="2" t="s">
        <v>39</v>
      </c>
      <c r="F537" s="41">
        <v>500</v>
      </c>
      <c r="G537" s="28"/>
      <c r="H537" s="34">
        <f>'2019'!BH454</f>
        <v>0</v>
      </c>
      <c r="I537" s="15"/>
      <c r="J537" s="15"/>
      <c r="K537" s="15"/>
      <c r="L537" s="28"/>
      <c r="Q537" s="13"/>
      <c r="R537" s="15"/>
      <c r="S537" s="15"/>
      <c r="T537" s="28"/>
      <c r="Y537" s="13"/>
      <c r="Z537" s="15"/>
      <c r="AA537" s="34">
        <f>$F$11</f>
        <v>500</v>
      </c>
      <c r="AB537" s="35"/>
      <c r="AF537" s="133">
        <v>500</v>
      </c>
      <c r="AG537" s="13"/>
      <c r="AH537" s="15"/>
      <c r="AI537" s="45"/>
      <c r="AJ537" s="180"/>
      <c r="AK537" s="13"/>
      <c r="AL537" s="15"/>
      <c r="AM537" s="45"/>
      <c r="AN537" s="15"/>
      <c r="AO537" s="13"/>
      <c r="AP537" s="15"/>
      <c r="AQ537" s="45"/>
      <c r="AR537" s="15"/>
      <c r="AS537" s="13"/>
      <c r="AT537" s="15"/>
      <c r="AU537" s="45"/>
      <c r="AV537" s="15"/>
      <c r="AW537" s="13"/>
      <c r="AY537" s="45"/>
      <c r="AZ537" s="35"/>
      <c r="BA537" s="13"/>
      <c r="BB537" s="15"/>
      <c r="BC537" s="45"/>
      <c r="BD537" s="35"/>
      <c r="BE537" s="14"/>
      <c r="BF537" s="41">
        <f t="shared" ref="BF537:BG537" si="1797">K537+O537+S537+W537+AA537+AE537+AI537+AM537+AQ537+AU537+AY537+BC537</f>
        <v>500</v>
      </c>
      <c r="BG537" s="34">
        <f t="shared" si="1797"/>
        <v>500</v>
      </c>
      <c r="BH537" s="35">
        <f t="shared" si="1783"/>
        <v>0</v>
      </c>
      <c r="BK537" s="2" t="b">
        <f>H537='2019'!BH454</f>
        <v>1</v>
      </c>
    </row>
    <row r="538" ht="15.75" customHeight="1" hidden="1" spans="1:63" x14ac:dyDescent="0.25">
      <c r="A538" s="247">
        <v>58</v>
      </c>
      <c r="B538" s="21"/>
      <c r="C538" s="22" t="s">
        <v>53</v>
      </c>
      <c r="D538" s="21"/>
      <c r="E538" s="22"/>
      <c r="F538" s="20"/>
      <c r="G538" s="23"/>
      <c r="H538" s="51">
        <f>SUM(H530:H537)</f>
        <v>-49.41</v>
      </c>
      <c r="I538" s="53"/>
      <c r="J538" s="53"/>
      <c r="K538" s="51">
        <f t="shared" ref="K538:L538" si="1798">SUM(K530:K537)</f>
        <v>12.5</v>
      </c>
      <c r="L538" s="68">
        <f t="shared" si="1798"/>
        <v>0</v>
      </c>
      <c r="M538" s="53"/>
      <c r="N538" s="53"/>
      <c r="O538" s="51">
        <f t="shared" ref="O538:P538" si="1799">SUM(O530:O537)</f>
        <v>2.5</v>
      </c>
      <c r="P538" s="51">
        <f t="shared" si="1799"/>
        <v>0</v>
      </c>
      <c r="Q538" s="52"/>
      <c r="R538" s="53"/>
      <c r="S538" s="51">
        <f t="shared" ref="S538:T538" si="1800">SUM(S530:S537)</f>
        <v>2.5</v>
      </c>
      <c r="T538" s="51">
        <f t="shared" si="1800"/>
        <v>0</v>
      </c>
      <c r="U538" s="52"/>
      <c r="V538" s="53"/>
      <c r="W538" s="51">
        <f t="shared" ref="W538:X538" si="1801">SUM(W530:W537)</f>
        <v>73</v>
      </c>
      <c r="X538" s="51">
        <f t="shared" si="1801"/>
        <v>0</v>
      </c>
      <c r="Y538" s="52"/>
      <c r="Z538" s="53"/>
      <c r="AA538" s="51">
        <f t="shared" ref="AA538:AB538" si="1802">SUM(AA530:AA537)</f>
        <v>610.3</v>
      </c>
      <c r="AB538" s="51">
        <f t="shared" si="1802"/>
        <v>0</v>
      </c>
      <c r="AC538" s="52"/>
      <c r="AD538" s="53"/>
      <c r="AE538" s="51">
        <f t="shared" ref="AE538:AF538" si="1803">SUM(AE530:AE537)</f>
        <v>6346.4</v>
      </c>
      <c r="AF538" s="51">
        <f t="shared" si="1803"/>
        <v>7000</v>
      </c>
      <c r="AG538" s="52"/>
      <c r="AH538" s="53"/>
      <c r="AI538" s="183">
        <f t="shared" ref="AI538:AJ538" si="1804">SUM(AI530:AI537)</f>
        <v>430.96</v>
      </c>
      <c r="AJ538" s="51">
        <f t="shared" si="1804"/>
        <v>2000</v>
      </c>
      <c r="AK538" s="52"/>
      <c r="AL538" s="53"/>
      <c r="AM538" s="183">
        <f t="shared" ref="AM538:AN538" si="1805">SUM(AM530:AM537)</f>
        <v>315.62</v>
      </c>
      <c r="AN538" s="51">
        <f t="shared" si="1805"/>
        <v>0</v>
      </c>
      <c r="AO538" s="52"/>
      <c r="AP538" s="53"/>
      <c r="AQ538" s="183">
        <f t="shared" ref="AQ538:AR538" si="1806">SUM(AQ530:AQ537)</f>
        <v>3139.98</v>
      </c>
      <c r="AR538" s="51">
        <f t="shared" si="1806"/>
        <v>0</v>
      </c>
      <c r="AS538" s="52"/>
      <c r="AT538" s="53"/>
      <c r="AU538" s="183">
        <f t="shared" ref="AU538:AV538" si="1807">SUM(AU530:AU537)</f>
        <v>1699.06</v>
      </c>
      <c r="AV538" s="68">
        <f t="shared" si="1807"/>
        <v>0</v>
      </c>
      <c r="AW538" s="52"/>
      <c r="AX538" s="53"/>
      <c r="AY538" s="183">
        <f t="shared" ref="AY538:AZ538" si="1808">SUM(AY530:AY537)</f>
        <v>148.2</v>
      </c>
      <c r="AZ538" s="68">
        <f t="shared" si="1808"/>
        <v>0</v>
      </c>
      <c r="BA538" s="52"/>
      <c r="BB538" s="53"/>
      <c r="BC538" s="183">
        <f t="shared" ref="BC538:BD538" si="1809">SUM(BC530:BC537)</f>
        <v>0</v>
      </c>
      <c r="BD538" s="68">
        <f t="shared" si="1809"/>
        <v>0</v>
      </c>
      <c r="BE538" s="69"/>
      <c r="BF538" s="70">
        <f t="shared" ref="BF538:BH538" si="1810">SUM(BF530:BF537)</f>
        <v>12781.02</v>
      </c>
      <c r="BG538" s="71">
        <f t="shared" si="1810"/>
        <v>9000</v>
      </c>
      <c r="BH538" s="72">
        <f t="shared" si="1810"/>
        <v>3731.61</v>
      </c>
      <c r="BI538" s="34">
        <f>H538+BF538-BG538</f>
        <v>3731.61</v>
      </c>
      <c r="BJ538" s="34">
        <f>BH538-BI538</f>
        <v>0</v>
      </c>
      <c r="BK538" s="2" t="b">
        <f>H538='2019'!BH455</f>
        <v>0</v>
      </c>
    </row>
    <row r="539" ht="15.75" customHeight="1" hidden="1" spans="1:63" x14ac:dyDescent="0.25">
      <c r="A539" s="2">
        <v>60</v>
      </c>
      <c r="B539" s="14"/>
      <c r="D539" s="178" t="s">
        <v>486</v>
      </c>
      <c r="F539" s="13"/>
      <c r="G539" s="28"/>
      <c r="H539" s="34">
        <f>'2019'!BH456</f>
        <v>0</v>
      </c>
      <c r="J539" s="15"/>
      <c r="K539" s="15"/>
      <c r="L539" s="28"/>
      <c r="Q539" s="13"/>
      <c r="R539" s="15"/>
      <c r="S539" s="15"/>
      <c r="T539" s="28"/>
      <c r="W539" s="152">
        <v>65.5</v>
      </c>
      <c r="Y539" s="13"/>
      <c r="Z539" s="15"/>
      <c r="AA539" s="15"/>
      <c r="AB539" s="28"/>
      <c r="AG539" s="13"/>
      <c r="AH539" s="15"/>
      <c r="AI539" s="45"/>
      <c r="AJ539" s="133">
        <v>65.5</v>
      </c>
      <c r="AK539" s="13"/>
      <c r="AM539" s="45"/>
      <c r="AO539" s="13"/>
      <c r="AQ539" s="45"/>
      <c r="AS539" s="13"/>
      <c r="AU539" s="45"/>
      <c r="AW539" s="13"/>
      <c r="AY539" s="45"/>
      <c r="AZ539" s="28"/>
      <c r="BA539" s="13"/>
      <c r="BB539" s="15"/>
      <c r="BC539" s="45"/>
      <c r="BD539" s="28"/>
      <c r="BE539" s="14"/>
      <c r="BF539" s="41">
        <f t="shared" ref="BF539:BG539" si="1811">K539+O539+S539+W539+AA539+AE539+AI539+AM539+AQ539+AU539+AY539+BC539</f>
        <v>65.5</v>
      </c>
      <c r="BG539" s="34">
        <f t="shared" si="1811"/>
        <v>65.5</v>
      </c>
      <c r="BH539" s="35">
        <f t="shared" ref="BH539:BH546" si="1812">H539+BF539-BG539</f>
        <v>0</v>
      </c>
      <c r="BK539" s="2" t="b">
        <f>H539='2019'!BH456</f>
        <v>1</v>
      </c>
    </row>
    <row r="540" ht="15.75" customHeight="1" hidden="1" spans="1:63" x14ac:dyDescent="0.25">
      <c r="A540" s="2">
        <v>60</v>
      </c>
      <c r="B540" s="42">
        <v>4.4</v>
      </c>
      <c r="C540" s="2" t="s">
        <v>227</v>
      </c>
      <c r="D540" s="14" t="s">
        <v>44</v>
      </c>
      <c r="E540" s="2" t="s">
        <v>45</v>
      </c>
      <c r="F540" s="41">
        <v>2.5</v>
      </c>
      <c r="G540" s="35">
        <v>2.6</v>
      </c>
      <c r="H540" s="180">
        <f>'2019'!BH457</f>
        <v>327.02</v>
      </c>
      <c r="I540" s="15">
        <v>766</v>
      </c>
      <c r="J540" s="15">
        <f>I540-'2019'!BA457</f>
        <v>3</v>
      </c>
      <c r="K540" s="34">
        <f>J540*$F$8</f>
        <v>7.5</v>
      </c>
      <c r="L540" s="28"/>
      <c r="M540" s="15">
        <v>768</v>
      </c>
      <c r="N540" s="15">
        <f>M540-I540</f>
        <v>2</v>
      </c>
      <c r="O540" s="34">
        <f>N540*$F$8</f>
        <v>5</v>
      </c>
      <c r="Q540" s="13">
        <v>784</v>
      </c>
      <c r="R540" s="15">
        <f>Q540-M540</f>
        <v>16</v>
      </c>
      <c r="S540" s="34">
        <f>R540*$F$8</f>
        <v>40</v>
      </c>
      <c r="T540" s="28"/>
      <c r="U540" s="15">
        <v>797</v>
      </c>
      <c r="V540" s="15">
        <f t="shared" ref="V540:V541" si="1813">U540-Q540</f>
        <v>13</v>
      </c>
      <c r="W540" s="34">
        <f>V540*$F$8</f>
        <v>32.5</v>
      </c>
      <c r="Y540" s="13">
        <v>814</v>
      </c>
      <c r="Z540" s="15">
        <f t="shared" ref="Z540:Z541" si="1814">Y540-U540</f>
        <v>17</v>
      </c>
      <c r="AA540" s="34">
        <f>Z540*$F$8</f>
        <v>42.5</v>
      </c>
      <c r="AB540" s="28"/>
      <c r="AC540" s="15">
        <v>851</v>
      </c>
      <c r="AD540" s="15">
        <f t="shared" ref="AD540:AD541" si="1815">AC540-Y540</f>
        <v>37</v>
      </c>
      <c r="AE540" s="34">
        <f>AD540*$F$8</f>
        <v>92.5</v>
      </c>
      <c r="AF540" s="138">
        <f>454.52+82.76</f>
        <v>537.28</v>
      </c>
      <c r="AG540" s="13">
        <v>897</v>
      </c>
      <c r="AH540" s="15">
        <f t="shared" ref="AH540:AH541" si="1816">AG540-AC540</f>
        <v>46</v>
      </c>
      <c r="AI540" s="45">
        <f>AH540*$G$8</f>
        <v>119.6</v>
      </c>
      <c r="AJ540" s="138">
        <f>103.34+7.82</f>
        <v>111.16</v>
      </c>
      <c r="AK540" s="13">
        <v>939</v>
      </c>
      <c r="AL540" s="15">
        <f t="shared" ref="AL540:AL541" si="1817">AK540-AG540</f>
        <v>42</v>
      </c>
      <c r="AM540" s="45">
        <f>AL540*$G$8</f>
        <v>109.2</v>
      </c>
      <c r="AN540" s="138">
        <f>148.18+773.98</f>
        <v>922.16</v>
      </c>
      <c r="AO540" s="13">
        <v>961</v>
      </c>
      <c r="AP540" s="15">
        <f t="shared" ref="AP540:AP541" si="1818">AO540-AK540</f>
        <v>22</v>
      </c>
      <c r="AQ540" s="45">
        <f>AP540*$G$8</f>
        <v>57.2</v>
      </c>
      <c r="AR540" s="15"/>
      <c r="AS540" s="13">
        <v>973</v>
      </c>
      <c r="AT540" s="15">
        <f t="shared" ref="AT540:AT541" si="1819">AS540-AO540</f>
        <v>12</v>
      </c>
      <c r="AU540" s="45">
        <f>AT540*$G$8</f>
        <v>31.2</v>
      </c>
      <c r="AV540" s="15"/>
      <c r="AW540" s="13">
        <v>416</v>
      </c>
      <c r="AX540" s="2">
        <v>416</v>
      </c>
      <c r="AY540" s="45">
        <f>AX540*$G$8</f>
        <v>1081.6</v>
      </c>
      <c r="AZ540" s="242">
        <f>1500+1500</f>
        <v>3000</v>
      </c>
      <c r="BA540" s="13">
        <v>1512</v>
      </c>
      <c r="BB540" s="15">
        <f t="shared" ref="BB540:BB541" si="1820">BA540-AW540</f>
        <v>1096</v>
      </c>
      <c r="BC540" s="45">
        <f>BB540*$G$8</f>
        <v>2849.6</v>
      </c>
      <c r="BD540" s="242">
        <f>1500+2000</f>
        <v>3500</v>
      </c>
      <c r="BE540" s="40">
        <f t="shared" ref="BE540:BG540" si="1821">J540+N540+R540+V540+Z540+AD540+AH540+AL540+AP540+AT540+AX540+BB540</f>
        <v>1722</v>
      </c>
      <c r="BF540" s="41">
        <f t="shared" si="1821"/>
        <v>4468.4</v>
      </c>
      <c r="BG540" s="34">
        <f t="shared" si="1821"/>
        <v>8070.6</v>
      </c>
      <c r="BH540" s="35">
        <f t="shared" si="1812"/>
        <v>-3275.18</v>
      </c>
      <c r="BI540" s="34"/>
      <c r="BJ540" s="34"/>
      <c r="BK540" s="2" t="b">
        <f>H540='2019'!BH457</f>
        <v>1</v>
      </c>
    </row>
    <row r="541" ht="15.75" customHeight="1" hidden="1" spans="1:63" x14ac:dyDescent="0.25">
      <c r="A541" s="2">
        <v>60</v>
      </c>
      <c r="B541" s="14"/>
      <c r="C541" s="2" t="s">
        <v>228</v>
      </c>
      <c r="D541" s="14" t="s">
        <v>47</v>
      </c>
      <c r="E541" s="2" t="s">
        <v>48</v>
      </c>
      <c r="F541" s="13">
        <v>18.56</v>
      </c>
      <c r="G541" s="35">
        <v>19.46</v>
      </c>
      <c r="H541" s="34">
        <f>'2019'!BH458</f>
        <v>0</v>
      </c>
      <c r="I541" s="15">
        <v>108</v>
      </c>
      <c r="J541" s="15"/>
      <c r="K541" s="15"/>
      <c r="L541" s="28"/>
      <c r="M541" s="2">
        <v>108</v>
      </c>
      <c r="Q541" s="13">
        <v>108</v>
      </c>
      <c r="R541" s="15"/>
      <c r="S541" s="15"/>
      <c r="T541" s="28"/>
      <c r="U541" s="2">
        <v>109</v>
      </c>
      <c r="V541" s="2">
        <f t="shared" si="1813"/>
        <v>1</v>
      </c>
      <c r="W541" s="2">
        <f>V541*$F$10</f>
        <v>18.56</v>
      </c>
      <c r="Y541" s="13">
        <v>113</v>
      </c>
      <c r="Z541" s="15">
        <f t="shared" si="1814"/>
        <v>4</v>
      </c>
      <c r="AA541" s="34">
        <f>Z541*$F$10</f>
        <v>74.24</v>
      </c>
      <c r="AB541" s="28"/>
      <c r="AC541" s="15">
        <v>122</v>
      </c>
      <c r="AD541" s="15">
        <f t="shared" si="1815"/>
        <v>9</v>
      </c>
      <c r="AE541" s="34">
        <f>AD541*$F$10</f>
        <v>167.04</v>
      </c>
      <c r="AF541" s="133">
        <v>222.72</v>
      </c>
      <c r="AG541" s="13">
        <v>130</v>
      </c>
      <c r="AH541" s="15">
        <f t="shared" si="1816"/>
        <v>8</v>
      </c>
      <c r="AI541" s="45">
        <f>AH541*$G$10</f>
        <v>155.68</v>
      </c>
      <c r="AJ541" s="185">
        <v>173.34</v>
      </c>
      <c r="AK541" s="13">
        <v>133</v>
      </c>
      <c r="AL541" s="15">
        <f t="shared" si="1817"/>
        <v>3</v>
      </c>
      <c r="AM541" s="45">
        <f>AL541*$G$10</f>
        <v>58.38</v>
      </c>
      <c r="AN541" s="138">
        <v>77.84</v>
      </c>
      <c r="AO541" s="13">
        <v>133</v>
      </c>
      <c r="AP541" s="15">
        <f t="shared" si="1818"/>
        <v>0</v>
      </c>
      <c r="AQ541" s="45">
        <f>AP541*$G$10</f>
        <v>0</v>
      </c>
      <c r="AR541" s="15"/>
      <c r="AS541" s="13">
        <v>133</v>
      </c>
      <c r="AT541" s="15">
        <f t="shared" si="1819"/>
        <v>0</v>
      </c>
      <c r="AU541" s="45">
        <f>AT541*$G$10</f>
        <v>0</v>
      </c>
      <c r="AV541" s="15"/>
      <c r="AW541" s="13">
        <v>133</v>
      </c>
      <c r="AX541" s="2">
        <f>AW541-AS541</f>
        <v>0</v>
      </c>
      <c r="AY541" s="45"/>
      <c r="AZ541" s="208"/>
      <c r="BA541" s="13">
        <v>133</v>
      </c>
      <c r="BB541" s="15">
        <f t="shared" si="1820"/>
        <v>0</v>
      </c>
      <c r="BC541" s="45"/>
      <c r="BD541" s="208"/>
      <c r="BE541" s="40">
        <f t="shared" ref="BE541:BG541" si="1822">J541+N541+R541+V541+Z541+AD541+AH541+AL541+AP541+AT541+AX541+BB541</f>
        <v>25</v>
      </c>
      <c r="BF541" s="41">
        <f t="shared" si="1822"/>
        <v>473.9</v>
      </c>
      <c r="BG541" s="34">
        <f t="shared" si="1822"/>
        <v>473.9</v>
      </c>
      <c r="BH541" s="35">
        <f t="shared" si="1812"/>
        <v>0</v>
      </c>
      <c r="BK541" s="2" t="b">
        <f>H541='2019'!BH458</f>
        <v>1</v>
      </c>
    </row>
    <row r="542" ht="15.75" customHeight="1" hidden="1" spans="1:63" x14ac:dyDescent="0.25">
      <c r="A542" s="2">
        <v>60</v>
      </c>
      <c r="B542" s="14"/>
      <c r="C542" s="15" t="s">
        <v>229</v>
      </c>
      <c r="D542" s="14" t="s">
        <v>47</v>
      </c>
      <c r="E542" s="2" t="s">
        <v>49</v>
      </c>
      <c r="F542" s="41">
        <v>500</v>
      </c>
      <c r="G542" s="28"/>
      <c r="H542" s="34">
        <f>'2019'!BH459</f>
        <v>0</v>
      </c>
      <c r="I542" s="15"/>
      <c r="J542" s="15"/>
      <c r="K542" s="15"/>
      <c r="L542" s="28"/>
      <c r="Q542" s="13"/>
      <c r="R542" s="15"/>
      <c r="S542" s="15"/>
      <c r="T542" s="28"/>
      <c r="Y542" s="13"/>
      <c r="Z542" s="15"/>
      <c r="AA542" s="34"/>
      <c r="AB542" s="28"/>
      <c r="AC542" s="15"/>
      <c r="AG542" s="13"/>
      <c r="AH542" s="15"/>
      <c r="AI542" s="45"/>
      <c r="AJ542" s="15"/>
      <c r="AK542" s="13"/>
      <c r="AL542" s="15"/>
      <c r="AM542" s="45"/>
      <c r="AN542" s="15"/>
      <c r="AO542" s="13"/>
      <c r="AP542" s="15"/>
      <c r="AQ542" s="45"/>
      <c r="AR542" s="15"/>
      <c r="AS542" s="13"/>
      <c r="AT542" s="15"/>
      <c r="AU542" s="45"/>
      <c r="AV542" s="15"/>
      <c r="AW542" s="13"/>
      <c r="AY542" s="45"/>
      <c r="AZ542" s="28"/>
      <c r="BA542" s="13"/>
      <c r="BB542" s="15"/>
      <c r="BC542" s="45"/>
      <c r="BD542" s="28"/>
      <c r="BE542" s="14"/>
      <c r="BF542" s="41">
        <f t="shared" ref="BF542:BG542" si="1823">K542+O542+S542+W542+AA542+AE542+AI542+AM542+AQ542+AU542+AY542+BC542</f>
        <v>0</v>
      </c>
      <c r="BG542" s="34">
        <f t="shared" si="1823"/>
        <v>0</v>
      </c>
      <c r="BH542" s="35">
        <f t="shared" si="1812"/>
        <v>0</v>
      </c>
      <c r="BK542" s="2" t="b">
        <f>H542='2019'!BH459</f>
        <v>1</v>
      </c>
    </row>
    <row r="543" ht="15.75" customHeight="1" hidden="1" spans="1:63" x14ac:dyDescent="0.25">
      <c r="A543" s="2">
        <v>60</v>
      </c>
      <c r="B543" s="14"/>
      <c r="C543" s="2" t="s">
        <v>230</v>
      </c>
      <c r="D543" s="14" t="s">
        <v>50</v>
      </c>
      <c r="E543" s="2" t="s">
        <v>49</v>
      </c>
      <c r="F543" s="41">
        <v>1100</v>
      </c>
      <c r="G543" s="28"/>
      <c r="H543" s="182">
        <f>'2019'!BH460-0.002</f>
        <v>0</v>
      </c>
      <c r="I543" s="15"/>
      <c r="J543" s="15"/>
      <c r="K543" s="15"/>
      <c r="L543" s="28"/>
      <c r="Q543" s="13"/>
      <c r="R543" s="15"/>
      <c r="S543" s="15"/>
      <c r="T543" s="28"/>
      <c r="Y543" s="13"/>
      <c r="Z543" s="15"/>
      <c r="AA543" s="15"/>
      <c r="AB543" s="28"/>
      <c r="AE543" s="34">
        <f>B540*$F$12</f>
        <v>4840</v>
      </c>
      <c r="AF543" s="133">
        <v>4840</v>
      </c>
      <c r="AG543" s="13"/>
      <c r="AH543" s="15"/>
      <c r="AI543" s="45"/>
      <c r="AJ543" s="15"/>
      <c r="AK543" s="13"/>
      <c r="AL543" s="15"/>
      <c r="AM543" s="45"/>
      <c r="AN543" s="15"/>
      <c r="AO543" s="13"/>
      <c r="AP543" s="15"/>
      <c r="AQ543" s="45"/>
      <c r="AR543" s="15"/>
      <c r="AS543" s="13"/>
      <c r="AT543" s="15"/>
      <c r="AU543" s="45"/>
      <c r="AV543" s="15"/>
      <c r="AW543" s="13"/>
      <c r="AY543" s="45"/>
      <c r="AZ543" s="28"/>
      <c r="BA543" s="13"/>
      <c r="BB543" s="15"/>
      <c r="BC543" s="45"/>
      <c r="BD543" s="28"/>
      <c r="BE543" s="14"/>
      <c r="BF543" s="41">
        <f t="shared" ref="BF543:BG543" si="1824">K543+O543+S543+W543+AA543+AE543+AI543+AM543+AQ543+AU543+AY543+BC543</f>
        <v>4840</v>
      </c>
      <c r="BG543" s="34">
        <f t="shared" si="1824"/>
        <v>4840</v>
      </c>
      <c r="BH543" s="35">
        <f t="shared" si="1812"/>
        <v>0</v>
      </c>
      <c r="BK543" s="2" t="b">
        <f>H543='2019'!BH460</f>
        <v>0</v>
      </c>
    </row>
    <row r="544" ht="15.75" customHeight="1" hidden="1" spans="1:63" x14ac:dyDescent="0.25">
      <c r="A544" s="2">
        <v>60</v>
      </c>
      <c r="B544" s="14"/>
      <c r="D544" s="14" t="s">
        <v>51</v>
      </c>
      <c r="E544" s="2" t="s">
        <v>39</v>
      </c>
      <c r="F544" s="41">
        <v>500</v>
      </c>
      <c r="G544" s="28"/>
      <c r="H544" s="34">
        <f>'2019'!BH461</f>
        <v>0</v>
      </c>
      <c r="I544" s="15"/>
      <c r="J544" s="15"/>
      <c r="K544" s="15"/>
      <c r="L544" s="28"/>
      <c r="Q544" s="13"/>
      <c r="R544" s="15"/>
      <c r="S544" s="15"/>
      <c r="T544" s="28"/>
      <c r="Y544" s="13"/>
      <c r="Z544" s="15"/>
      <c r="AA544" s="15"/>
      <c r="AB544" s="28"/>
      <c r="AE544" s="34"/>
      <c r="AF544" s="34"/>
      <c r="AG544" s="13"/>
      <c r="AH544" s="15"/>
      <c r="AI544" s="45"/>
      <c r="AJ544" s="15"/>
      <c r="AK544" s="13"/>
      <c r="AL544" s="15"/>
      <c r="AM544" s="45"/>
      <c r="AN544" s="15"/>
      <c r="AO544" s="13"/>
      <c r="AP544" s="15"/>
      <c r="AQ544" s="45">
        <f>$F$13</f>
        <v>500</v>
      </c>
      <c r="AR544" s="15"/>
      <c r="AS544" s="13"/>
      <c r="AT544" s="15"/>
      <c r="AU544" s="45"/>
      <c r="AV544" s="15"/>
      <c r="AW544" s="13"/>
      <c r="AY544" s="45"/>
      <c r="AZ544" s="28"/>
      <c r="BA544" s="13"/>
      <c r="BB544" s="15"/>
      <c r="BC544" s="45"/>
      <c r="BD544" s="28"/>
      <c r="BE544" s="14"/>
      <c r="BF544" s="41">
        <f t="shared" ref="BF544:BG544" si="1825">K544+O544+S544+W544+AA544+AE544+AI544+AM544+AQ544+AU544+AY544+BC544</f>
        <v>500</v>
      </c>
      <c r="BG544" s="34">
        <f t="shared" si="1825"/>
        <v>0</v>
      </c>
      <c r="BH544" s="35">
        <f t="shared" si="1812"/>
        <v>500</v>
      </c>
      <c r="BK544" s="2" t="b">
        <f>H544='2019'!BH461</f>
        <v>1</v>
      </c>
    </row>
    <row r="545" ht="15.75" customHeight="1" hidden="1" spans="1:60" x14ac:dyDescent="0.25">
      <c r="A545" s="2">
        <v>60</v>
      </c>
      <c r="B545" s="14"/>
      <c r="D545" s="14" t="s">
        <v>51</v>
      </c>
      <c r="E545" s="2" t="s">
        <v>49</v>
      </c>
      <c r="F545" s="41">
        <v>500</v>
      </c>
      <c r="G545" s="28"/>
      <c r="H545" s="34"/>
      <c r="I545" s="15"/>
      <c r="J545" s="15"/>
      <c r="K545" s="15"/>
      <c r="L545" s="28"/>
      <c r="Q545" s="13"/>
      <c r="R545" s="15"/>
      <c r="S545" s="15"/>
      <c r="T545" s="28"/>
      <c r="Y545" s="13"/>
      <c r="Z545" s="15"/>
      <c r="AA545" s="15"/>
      <c r="AB545" s="28"/>
      <c r="AE545" s="34"/>
      <c r="AF545" s="34"/>
      <c r="AG545" s="13"/>
      <c r="AH545" s="15"/>
      <c r="AI545" s="45"/>
      <c r="AJ545" s="15"/>
      <c r="AK545" s="13"/>
      <c r="AL545" s="15"/>
      <c r="AM545" s="45"/>
      <c r="AN545" s="15"/>
      <c r="AO545" s="13"/>
      <c r="AP545" s="15"/>
      <c r="AQ545" s="34">
        <f>B540*$F$14</f>
        <v>2200</v>
      </c>
      <c r="AR545" s="15"/>
      <c r="AS545" s="13"/>
      <c r="AT545" s="15"/>
      <c r="AU545" s="45"/>
      <c r="AV545" s="15"/>
      <c r="AW545" s="13"/>
      <c r="AY545" s="45"/>
      <c r="AZ545" s="28"/>
      <c r="BA545" s="13"/>
      <c r="BB545" s="15"/>
      <c r="BC545" s="45"/>
      <c r="BD545" s="28"/>
      <c r="BE545" s="14"/>
      <c r="BF545" s="41">
        <f t="shared" ref="BF545:BG545" si="1826">K545+O545+S545+W545+AA545+AE545+AI545+AM545+AQ545+AU545+AY545+BC545</f>
        <v>2200</v>
      </c>
      <c r="BG545" s="34">
        <f t="shared" si="1826"/>
        <v>0</v>
      </c>
      <c r="BH545" s="35">
        <f t="shared" si="1812"/>
        <v>2200</v>
      </c>
    </row>
    <row r="546" ht="15.75" customHeight="1" hidden="1" spans="1:63" x14ac:dyDescent="0.25">
      <c r="A546" s="2">
        <v>60</v>
      </c>
      <c r="B546" s="14"/>
      <c r="D546" s="14" t="s">
        <v>52</v>
      </c>
      <c r="E546" s="2" t="s">
        <v>39</v>
      </c>
      <c r="F546" s="41">
        <v>500</v>
      </c>
      <c r="G546" s="28"/>
      <c r="H546" s="34">
        <f>'2019'!BH462</f>
        <v>0</v>
      </c>
      <c r="I546" s="15"/>
      <c r="J546" s="15"/>
      <c r="K546" s="15"/>
      <c r="L546" s="28"/>
      <c r="Q546" s="13"/>
      <c r="R546" s="15"/>
      <c r="S546" s="15"/>
      <c r="T546" s="28"/>
      <c r="Y546" s="13"/>
      <c r="Z546" s="15"/>
      <c r="AA546" s="34">
        <f>$F$11</f>
        <v>500</v>
      </c>
      <c r="AB546" s="35"/>
      <c r="AF546" s="133">
        <v>500</v>
      </c>
      <c r="AG546" s="13"/>
      <c r="AH546" s="15"/>
      <c r="AI546" s="45"/>
      <c r="AJ546" s="15"/>
      <c r="AK546" s="13"/>
      <c r="AL546" s="15"/>
      <c r="AM546" s="45"/>
      <c r="AN546" s="15"/>
      <c r="AO546" s="13"/>
      <c r="AP546" s="15"/>
      <c r="AQ546" s="45"/>
      <c r="AR546" s="15"/>
      <c r="AS546" s="13"/>
      <c r="AT546" s="15"/>
      <c r="AU546" s="45"/>
      <c r="AV546" s="15"/>
      <c r="AW546" s="13"/>
      <c r="AY546" s="45"/>
      <c r="AZ546" s="35"/>
      <c r="BA546" s="13"/>
      <c r="BB546" s="15"/>
      <c r="BC546" s="45"/>
      <c r="BD546" s="35"/>
      <c r="BE546" s="14"/>
      <c r="BF546" s="41">
        <f t="shared" ref="BF546:BG546" si="1827">K546+O546+S546+W546+AA546+AE546+AI546+AM546+AQ546+AU546+AY546+BC546</f>
        <v>500</v>
      </c>
      <c r="BG546" s="34">
        <f t="shared" si="1827"/>
        <v>500</v>
      </c>
      <c r="BH546" s="35">
        <f t="shared" si="1812"/>
        <v>0</v>
      </c>
      <c r="BK546" s="2" t="b">
        <f>H546='2019'!BH462</f>
        <v>1</v>
      </c>
    </row>
    <row r="547" ht="15.75" customHeight="1" hidden="1" spans="1:63" x14ac:dyDescent="0.25">
      <c r="A547" s="247">
        <v>60</v>
      </c>
      <c r="B547" s="21"/>
      <c r="C547" s="22" t="s">
        <v>53</v>
      </c>
      <c r="D547" s="21"/>
      <c r="E547" s="22"/>
      <c r="F547" s="20"/>
      <c r="G547" s="23"/>
      <c r="H547" s="51">
        <f>SUM(H539:H546)</f>
        <v>327.02</v>
      </c>
      <c r="I547" s="53"/>
      <c r="J547" s="53"/>
      <c r="K547" s="51">
        <f t="shared" ref="K547:L547" si="1828">SUM(K539:K546)</f>
        <v>7.5</v>
      </c>
      <c r="L547" s="68">
        <f t="shared" si="1828"/>
        <v>0</v>
      </c>
      <c r="M547" s="53"/>
      <c r="N547" s="53"/>
      <c r="O547" s="51">
        <f t="shared" ref="O547:P547" si="1829">SUM(O539:O546)</f>
        <v>5</v>
      </c>
      <c r="P547" s="51">
        <f t="shared" si="1829"/>
        <v>0</v>
      </c>
      <c r="Q547" s="52"/>
      <c r="R547" s="53"/>
      <c r="S547" s="51">
        <f t="shared" ref="S547:T547" si="1830">SUM(S539:S546)</f>
        <v>40</v>
      </c>
      <c r="T547" s="51">
        <f t="shared" si="1830"/>
        <v>0</v>
      </c>
      <c r="U547" s="52"/>
      <c r="V547" s="53"/>
      <c r="W547" s="51">
        <f t="shared" ref="W547:X547" si="1831">SUM(W539:W546)</f>
        <v>116.56</v>
      </c>
      <c r="X547" s="51">
        <f t="shared" si="1831"/>
        <v>0</v>
      </c>
      <c r="Y547" s="52"/>
      <c r="Z547" s="53"/>
      <c r="AA547" s="51">
        <f t="shared" ref="AA547:AB547" si="1832">SUM(AA539:AA546)</f>
        <v>616.74</v>
      </c>
      <c r="AB547" s="51">
        <f t="shared" si="1832"/>
        <v>0</v>
      </c>
      <c r="AC547" s="52"/>
      <c r="AD547" s="53"/>
      <c r="AE547" s="51">
        <f t="shared" ref="AE547:AF547" si="1833">SUM(AE539:AE546)</f>
        <v>5099.54</v>
      </c>
      <c r="AF547" s="51">
        <f t="shared" si="1833"/>
        <v>6100</v>
      </c>
      <c r="AG547" s="52"/>
      <c r="AH547" s="53"/>
      <c r="AI547" s="183">
        <f t="shared" ref="AI547:AJ547" si="1834">SUM(AI539:AI546)</f>
        <v>275.28</v>
      </c>
      <c r="AJ547" s="51">
        <f t="shared" si="1834"/>
        <v>350</v>
      </c>
      <c r="AK547" s="52"/>
      <c r="AL547" s="53"/>
      <c r="AM547" s="183">
        <f t="shared" ref="AM547:AN547" si="1835">SUM(AM539:AM546)</f>
        <v>167.58</v>
      </c>
      <c r="AN547" s="51">
        <f t="shared" si="1835"/>
        <v>1000</v>
      </c>
      <c r="AO547" s="52"/>
      <c r="AP547" s="53"/>
      <c r="AQ547" s="183">
        <f t="shared" ref="AQ547:AR547" si="1836">SUM(AQ539:AQ546)</f>
        <v>2757.2</v>
      </c>
      <c r="AR547" s="51">
        <f t="shared" si="1836"/>
        <v>0</v>
      </c>
      <c r="AS547" s="52"/>
      <c r="AT547" s="53"/>
      <c r="AU547" s="183">
        <f t="shared" ref="AU547:AV547" si="1837">SUM(AU539:AU546)</f>
        <v>31.2</v>
      </c>
      <c r="AV547" s="68">
        <f t="shared" si="1837"/>
        <v>0</v>
      </c>
      <c r="AW547" s="52"/>
      <c r="AX547" s="53"/>
      <c r="AY547" s="183">
        <f t="shared" ref="AY547:AZ547" si="1838">SUM(AY539:AY546)</f>
        <v>1081.6</v>
      </c>
      <c r="AZ547" s="68">
        <f t="shared" si="1838"/>
        <v>3000</v>
      </c>
      <c r="BA547" s="52"/>
      <c r="BB547" s="53"/>
      <c r="BC547" s="183">
        <f t="shared" ref="BC547:BD547" si="1839">SUM(BC539:BC546)</f>
        <v>2849.6</v>
      </c>
      <c r="BD547" s="68">
        <f t="shared" si="1839"/>
        <v>3500</v>
      </c>
      <c r="BE547" s="69"/>
      <c r="BF547" s="70">
        <f t="shared" ref="BF547:BH547" si="1840">SUM(BF539:BF546)</f>
        <v>13047.8</v>
      </c>
      <c r="BG547" s="71">
        <f t="shared" si="1840"/>
        <v>13950</v>
      </c>
      <c r="BH547" s="72">
        <f t="shared" si="1840"/>
        <v>-575.18</v>
      </c>
      <c r="BI547" s="34">
        <f>H547+BF547-BG547</f>
        <v>-575.18</v>
      </c>
      <c r="BJ547" s="34">
        <f>BH547-BI547</f>
        <v>0</v>
      </c>
      <c r="BK547" s="2" t="b">
        <f>H547='2019'!BH463</f>
        <v>0</v>
      </c>
    </row>
    <row r="548" ht="15.75" customHeight="1" hidden="1" spans="1:63" x14ac:dyDescent="0.25">
      <c r="A548" s="2">
        <v>61</v>
      </c>
      <c r="B548" s="14"/>
      <c r="D548" s="14" t="s">
        <v>379</v>
      </c>
      <c r="F548" s="13"/>
      <c r="G548" s="28"/>
      <c r="H548" s="34">
        <f>'2019'!BH464</f>
        <v>0</v>
      </c>
      <c r="J548" s="15"/>
      <c r="K548" s="15"/>
      <c r="L548" s="28"/>
      <c r="Q548" s="13"/>
      <c r="R548" s="15"/>
      <c r="S548" s="15"/>
      <c r="T548" s="28"/>
      <c r="Y548" s="13"/>
      <c r="Z548" s="15"/>
      <c r="AA548" s="15"/>
      <c r="AB548" s="28"/>
      <c r="AG548" s="13"/>
      <c r="AH548" s="15"/>
      <c r="AI548" s="45"/>
      <c r="AJ548" s="15"/>
      <c r="AK548" s="13"/>
      <c r="AM548" s="45"/>
      <c r="AO548" s="13"/>
      <c r="AQ548" s="45"/>
      <c r="AS548" s="13"/>
      <c r="AU548" s="45"/>
      <c r="AW548" s="13"/>
      <c r="AY548" s="45"/>
      <c r="AZ548" s="28"/>
      <c r="BA548" s="13"/>
      <c r="BB548" s="15"/>
      <c r="BC548" s="45"/>
      <c r="BD548" s="28"/>
      <c r="BE548" s="14"/>
      <c r="BF548" s="41">
        <f t="shared" ref="BF548:BG548" si="1841">K548+O548+S548+W548+AA548+AE548+AI548+AM548+AQ548+AU548+AY548+BC548</f>
        <v>0</v>
      </c>
      <c r="BG548" s="34">
        <f t="shared" si="1841"/>
        <v>0</v>
      </c>
      <c r="BH548" s="35">
        <f t="shared" ref="BH548:BH555" si="1842">H548+BF548-BG548</f>
        <v>0</v>
      </c>
      <c r="BK548" s="2" t="b">
        <f>H548='2019'!BH464</f>
        <v>1</v>
      </c>
    </row>
    <row r="549" ht="15.75" customHeight="1" hidden="1" spans="1:63" x14ac:dyDescent="0.25">
      <c r="A549" s="2">
        <v>61</v>
      </c>
      <c r="B549" s="14">
        <v>4.71</v>
      </c>
      <c r="C549" s="2" t="s">
        <v>231</v>
      </c>
      <c r="D549" s="14" t="s">
        <v>44</v>
      </c>
      <c r="E549" s="2" t="s">
        <v>45</v>
      </c>
      <c r="F549" s="41">
        <v>2.5</v>
      </c>
      <c r="G549" s="35">
        <v>2.6</v>
      </c>
      <c r="H549" s="34">
        <f>'2019'!BH465</f>
        <v>38.91</v>
      </c>
      <c r="I549" s="13">
        <v>303</v>
      </c>
      <c r="J549" s="15">
        <f>I549-'2019'!BA465</f>
        <v>0</v>
      </c>
      <c r="K549" s="34">
        <f>J549*$F$8</f>
        <v>0</v>
      </c>
      <c r="L549" s="28"/>
      <c r="M549" s="2">
        <v>303</v>
      </c>
      <c r="N549" s="15">
        <f>M549-I549</f>
        <v>0</v>
      </c>
      <c r="O549" s="34">
        <f>N549*$F$8</f>
        <v>0</v>
      </c>
      <c r="Q549" s="13">
        <v>303</v>
      </c>
      <c r="R549" s="15">
        <f>Q549-M549</f>
        <v>0</v>
      </c>
      <c r="S549" s="34">
        <f>R549*$F$8</f>
        <v>0</v>
      </c>
      <c r="T549" s="28"/>
      <c r="U549" s="15">
        <v>303</v>
      </c>
      <c r="V549" s="15">
        <f t="shared" ref="V549:V550" si="1843">U549-Q549</f>
        <v>0</v>
      </c>
      <c r="W549" s="34">
        <f>V549*$F$8</f>
        <v>0</v>
      </c>
      <c r="X549" s="15"/>
      <c r="Y549" s="13">
        <v>308</v>
      </c>
      <c r="Z549" s="15">
        <f t="shared" ref="Z549:Z550" si="1844">Y549-U549</f>
        <v>5</v>
      </c>
      <c r="AA549" s="34">
        <f>Z549*$F$8</f>
        <v>12.5</v>
      </c>
      <c r="AB549" s="28"/>
      <c r="AC549" s="15">
        <v>343</v>
      </c>
      <c r="AD549" s="15">
        <f t="shared" ref="AD549:AD550" si="1845">AC549-Y549</f>
        <v>35</v>
      </c>
      <c r="AE549" s="34">
        <f>AD549*$F$8</f>
        <v>87.5</v>
      </c>
      <c r="AF549" s="138">
        <f>51.41+0.55</f>
        <v>51.96</v>
      </c>
      <c r="AG549" s="13">
        <v>357</v>
      </c>
      <c r="AH549" s="15">
        <f t="shared" ref="AH549:AH550" si="1846">AG549-AC549</f>
        <v>14</v>
      </c>
      <c r="AI549" s="45">
        <f>AH549*$G$8</f>
        <v>36.4</v>
      </c>
      <c r="AJ549" s="2"/>
      <c r="AK549" s="13">
        <v>370</v>
      </c>
      <c r="AL549" s="15">
        <f t="shared" ref="AL549:AL550" si="1847">AK549-AG549</f>
        <v>13</v>
      </c>
      <c r="AM549" s="45">
        <f>AL549*$G$8</f>
        <v>33.8</v>
      </c>
      <c r="AN549" s="15"/>
      <c r="AO549" s="13">
        <v>382</v>
      </c>
      <c r="AP549" s="15">
        <f t="shared" ref="AP549:AP550" si="1848">AO549-AK549</f>
        <v>12</v>
      </c>
      <c r="AQ549" s="45">
        <f>AP549*$G$8</f>
        <v>31.2</v>
      </c>
      <c r="AR549" s="15"/>
      <c r="AS549" s="13">
        <v>403</v>
      </c>
      <c r="AT549" s="15">
        <f t="shared" ref="AT549:AT550" si="1849">AS549-AO549</f>
        <v>21</v>
      </c>
      <c r="AU549" s="45">
        <f>AT549*$G$8</f>
        <v>54.6</v>
      </c>
      <c r="AV549" s="15"/>
      <c r="AW549" s="13">
        <v>403</v>
      </c>
      <c r="AX549" s="2">
        <f t="shared" ref="AX549:AX550" si="1850">AW549-AS549</f>
        <v>0</v>
      </c>
      <c r="AY549" s="45">
        <f>AX549*$G$8</f>
        <v>0</v>
      </c>
      <c r="AZ549" s="208"/>
      <c r="BA549" s="13">
        <v>403</v>
      </c>
      <c r="BB549" s="15">
        <f t="shared" ref="BB549:BB550" si="1851">BA549-AW549</f>
        <v>0</v>
      </c>
      <c r="BC549" s="45">
        <f>BB549*$G$8</f>
        <v>0</v>
      </c>
      <c r="BD549" s="208"/>
      <c r="BE549" s="40">
        <f t="shared" ref="BE549:BG549" si="1852">J549+N549+R549+V549+Z549+AD549+AH549+AL549+AP549+AT549+AX549+BB549</f>
        <v>100</v>
      </c>
      <c r="BF549" s="41">
        <f t="shared" si="1852"/>
        <v>256</v>
      </c>
      <c r="BG549" s="34">
        <f t="shared" si="1852"/>
        <v>51.96</v>
      </c>
      <c r="BH549" s="35">
        <f t="shared" si="1842"/>
        <v>242.95</v>
      </c>
      <c r="BK549" s="2" t="b">
        <f>H549='2019'!BH465</f>
        <v>1</v>
      </c>
    </row>
    <row r="550" ht="15.75" customHeight="1" hidden="1" spans="1:63" x14ac:dyDescent="0.25">
      <c r="A550" s="2">
        <v>61</v>
      </c>
      <c r="B550" s="14"/>
      <c r="C550" s="2" t="s">
        <v>75</v>
      </c>
      <c r="D550" s="14" t="s">
        <v>47</v>
      </c>
      <c r="E550" s="2" t="s">
        <v>48</v>
      </c>
      <c r="F550" s="13">
        <v>18.56</v>
      </c>
      <c r="G550" s="35">
        <v>19.46</v>
      </c>
      <c r="H550" s="90">
        <f>'2019'!BH466</f>
        <v>37.12</v>
      </c>
      <c r="I550" s="13">
        <f>73+189</f>
        <v>262</v>
      </c>
      <c r="J550" s="15"/>
      <c r="K550" s="15"/>
      <c r="L550" s="28"/>
      <c r="M550" s="13">
        <f>73+189</f>
        <v>262</v>
      </c>
      <c r="Q550" s="13">
        <f>73+189</f>
        <v>262</v>
      </c>
      <c r="R550" s="15"/>
      <c r="S550" s="15"/>
      <c r="T550" s="28"/>
      <c r="U550" s="154">
        <f>72+190</f>
        <v>262</v>
      </c>
      <c r="V550" s="2">
        <f t="shared" si="1843"/>
        <v>0</v>
      </c>
      <c r="W550" s="34">
        <f>V550*$F$10</f>
        <v>0</v>
      </c>
      <c r="Y550" s="13">
        <f>72+190</f>
        <v>262</v>
      </c>
      <c r="Z550" s="15">
        <f t="shared" si="1844"/>
        <v>0</v>
      </c>
      <c r="AA550" s="34">
        <f>Z550*$F$10</f>
        <v>0</v>
      </c>
      <c r="AB550" s="28"/>
      <c r="AC550" s="13">
        <f>79+190</f>
        <v>269</v>
      </c>
      <c r="AD550" s="15">
        <f t="shared" si="1845"/>
        <v>7</v>
      </c>
      <c r="AE550" s="34">
        <f>AD550*$F$10</f>
        <v>129.92</v>
      </c>
      <c r="AF550" s="138">
        <v>167.04</v>
      </c>
      <c r="AG550" s="13">
        <f>79+190</f>
        <v>269</v>
      </c>
      <c r="AH550" s="15">
        <f t="shared" si="1846"/>
        <v>0</v>
      </c>
      <c r="AI550" s="45">
        <f>AH550*$G$10</f>
        <v>0</v>
      </c>
      <c r="AJ550" s="2"/>
      <c r="AK550" s="13">
        <v>269</v>
      </c>
      <c r="AL550" s="15">
        <f t="shared" si="1847"/>
        <v>0</v>
      </c>
      <c r="AM550" s="45">
        <f>AL550*$G$10</f>
        <v>0</v>
      </c>
      <c r="AN550" s="15"/>
      <c r="AO550" s="13">
        <v>269</v>
      </c>
      <c r="AP550" s="15">
        <f t="shared" si="1848"/>
        <v>0</v>
      </c>
      <c r="AQ550" s="45">
        <f>AP550*$G$10</f>
        <v>0</v>
      </c>
      <c r="AR550" s="15"/>
      <c r="AS550" s="13">
        <f>197+85</f>
        <v>282</v>
      </c>
      <c r="AT550" s="15">
        <f t="shared" si="1849"/>
        <v>13</v>
      </c>
      <c r="AU550" s="45">
        <f>AT550*$G$10</f>
        <v>252.98</v>
      </c>
      <c r="AV550" s="15"/>
      <c r="AW550" s="13">
        <f>197+85</f>
        <v>282</v>
      </c>
      <c r="AX550" s="2">
        <f t="shared" si="1850"/>
        <v>0</v>
      </c>
      <c r="AY550" s="45"/>
      <c r="AZ550" s="208"/>
      <c r="BA550" s="13">
        <f>197+85</f>
        <v>282</v>
      </c>
      <c r="BB550" s="15">
        <f t="shared" si="1851"/>
        <v>0</v>
      </c>
      <c r="BC550" s="45"/>
      <c r="BD550" s="208"/>
      <c r="BE550" s="40">
        <f t="shared" ref="BE550:BG550" si="1853">J550+N550+R550+V550+Z550+AD550+AH550+AL550+AP550+AT550+AX550+BB550</f>
        <v>20</v>
      </c>
      <c r="BF550" s="41">
        <f t="shared" si="1853"/>
        <v>382.9</v>
      </c>
      <c r="BG550" s="34">
        <f t="shared" si="1853"/>
        <v>167.04</v>
      </c>
      <c r="BH550" s="35">
        <f t="shared" si="1842"/>
        <v>252.98</v>
      </c>
      <c r="BK550" s="2" t="b">
        <f>H550='2019'!BH466</f>
        <v>1</v>
      </c>
    </row>
    <row r="551" ht="15.75" customHeight="1" hidden="1" spans="1:63" x14ac:dyDescent="0.25">
      <c r="A551" s="2">
        <v>61</v>
      </c>
      <c r="B551" s="14"/>
      <c r="C551" s="2" t="s">
        <v>232</v>
      </c>
      <c r="D551" s="14" t="s">
        <v>47</v>
      </c>
      <c r="E551" s="2" t="s">
        <v>49</v>
      </c>
      <c r="F551" s="41">
        <v>500</v>
      </c>
      <c r="G551" s="28"/>
      <c r="H551" s="34">
        <f>'2019'!BH467</f>
        <v>0</v>
      </c>
      <c r="I551" s="15"/>
      <c r="J551" s="15"/>
      <c r="K551" s="15"/>
      <c r="L551" s="28"/>
      <c r="Q551" s="13"/>
      <c r="R551" s="15"/>
      <c r="S551" s="15"/>
      <c r="T551" s="28"/>
      <c r="Y551" s="13"/>
      <c r="Z551" s="15"/>
      <c r="AA551" s="15"/>
      <c r="AB551" s="28"/>
      <c r="AG551" s="13"/>
      <c r="AH551" s="15"/>
      <c r="AI551" s="45"/>
      <c r="AJ551" s="15"/>
      <c r="AK551" s="13"/>
      <c r="AL551" s="15"/>
      <c r="AM551" s="45"/>
      <c r="AN551" s="15"/>
      <c r="AO551" s="13"/>
      <c r="AP551" s="15"/>
      <c r="AQ551" s="45"/>
      <c r="AR551" s="15"/>
      <c r="AS551" s="13"/>
      <c r="AT551" s="15"/>
      <c r="AU551" s="45"/>
      <c r="AV551" s="15"/>
      <c r="AW551" s="13"/>
      <c r="AY551" s="45"/>
      <c r="AZ551" s="28"/>
      <c r="BA551" s="13"/>
      <c r="BB551" s="15"/>
      <c r="BC551" s="45"/>
      <c r="BD551" s="28"/>
      <c r="BE551" s="14"/>
      <c r="BF551" s="41">
        <f t="shared" ref="BF551:BG551" si="1854">K551+O551+S551+W551+AA551+AE551+AI551+AM551+AQ551+AU551+AY551+BC551</f>
        <v>0</v>
      </c>
      <c r="BG551" s="34">
        <f t="shared" si="1854"/>
        <v>0</v>
      </c>
      <c r="BH551" s="35">
        <f t="shared" si="1842"/>
        <v>0</v>
      </c>
      <c r="BK551" s="2" t="b">
        <f>H551='2019'!BH467</f>
        <v>1</v>
      </c>
    </row>
    <row r="552" ht="15.75" customHeight="1" hidden="1" spans="1:63" x14ac:dyDescent="0.25">
      <c r="A552" s="2">
        <v>61</v>
      </c>
      <c r="B552" s="14"/>
      <c r="C552" s="2" t="s">
        <v>233</v>
      </c>
      <c r="D552" s="14" t="s">
        <v>50</v>
      </c>
      <c r="E552" s="2" t="s">
        <v>49</v>
      </c>
      <c r="F552" s="41">
        <v>1100</v>
      </c>
      <c r="G552" s="28"/>
      <c r="H552" s="182">
        <f>'2019'!BH468-0.0048</f>
        <v>0</v>
      </c>
      <c r="I552" s="15"/>
      <c r="J552" s="15"/>
      <c r="K552" s="15"/>
      <c r="L552" s="28"/>
      <c r="Q552" s="13"/>
      <c r="R552" s="15"/>
      <c r="S552" s="15"/>
      <c r="T552" s="28"/>
      <c r="Y552" s="13"/>
      <c r="Z552" s="15"/>
      <c r="AA552" s="15"/>
      <c r="AB552" s="28"/>
      <c r="AE552" s="34">
        <f>B549*$F$12</f>
        <v>5181</v>
      </c>
      <c r="AF552" s="133">
        <v>5181</v>
      </c>
      <c r="AG552" s="13"/>
      <c r="AH552" s="15"/>
      <c r="AI552" s="45"/>
      <c r="AJ552" s="2"/>
      <c r="AK552" s="13"/>
      <c r="AL552" s="15"/>
      <c r="AM552" s="45"/>
      <c r="AN552" s="15"/>
      <c r="AO552" s="13"/>
      <c r="AP552" s="15"/>
      <c r="AQ552" s="45"/>
      <c r="AR552" s="15"/>
      <c r="AS552" s="13"/>
      <c r="AT552" s="15"/>
      <c r="AU552" s="45"/>
      <c r="AV552" s="15"/>
      <c r="AW552" s="13"/>
      <c r="AY552" s="45"/>
      <c r="AZ552" s="28"/>
      <c r="BA552" s="13"/>
      <c r="BB552" s="15"/>
      <c r="BC552" s="45"/>
      <c r="BD552" s="28"/>
      <c r="BE552" s="14"/>
      <c r="BF552" s="41">
        <f t="shared" ref="BF552:BG552" si="1855">K552+O552+S552+W552+AA552+AE552+AI552+AM552+AQ552+AU552+AY552+BC552</f>
        <v>5181</v>
      </c>
      <c r="BG552" s="34">
        <f t="shared" si="1855"/>
        <v>5181</v>
      </c>
      <c r="BH552" s="35">
        <f t="shared" si="1842"/>
        <v>0</v>
      </c>
      <c r="BK552" s="2" t="b">
        <f>H552='2019'!BH468</f>
        <v>0</v>
      </c>
    </row>
    <row r="553" ht="15.75" customHeight="1" hidden="1" spans="1:63" x14ac:dyDescent="0.25">
      <c r="A553" s="2">
        <v>61</v>
      </c>
      <c r="B553" s="14"/>
      <c r="D553" s="14" t="s">
        <v>51</v>
      </c>
      <c r="E553" s="2" t="s">
        <v>39</v>
      </c>
      <c r="F553" s="41">
        <v>500</v>
      </c>
      <c r="G553" s="28"/>
      <c r="H553" s="34">
        <f>'2019'!BH469</f>
        <v>0</v>
      </c>
      <c r="I553" s="15"/>
      <c r="J553" s="15"/>
      <c r="K553" s="15"/>
      <c r="L553" s="28"/>
      <c r="Q553" s="13"/>
      <c r="R553" s="15"/>
      <c r="S553" s="15"/>
      <c r="T553" s="28"/>
      <c r="Y553" s="13"/>
      <c r="Z553" s="15"/>
      <c r="AA553" s="15"/>
      <c r="AB553" s="28"/>
      <c r="AE553" s="34"/>
      <c r="AG553" s="13"/>
      <c r="AH553" s="15"/>
      <c r="AI553" s="45"/>
      <c r="AJ553" s="180"/>
      <c r="AK553" s="13"/>
      <c r="AL553" s="15"/>
      <c r="AM553" s="45"/>
      <c r="AN553" s="15"/>
      <c r="AO553" s="13"/>
      <c r="AP553" s="15"/>
      <c r="AQ553" s="45">
        <f>$F$13</f>
        <v>500</v>
      </c>
      <c r="AR553" s="15"/>
      <c r="AS553" s="13"/>
      <c r="AT553" s="15"/>
      <c r="AU553" s="45"/>
      <c r="AV553" s="15"/>
      <c r="AW553" s="13"/>
      <c r="AY553" s="45"/>
      <c r="AZ553" s="28"/>
      <c r="BA553" s="13"/>
      <c r="BB553" s="15"/>
      <c r="BC553" s="45"/>
      <c r="BD553" s="28"/>
      <c r="BE553" s="14"/>
      <c r="BF553" s="41">
        <f t="shared" ref="BF553:BG553" si="1856">K553+O553+S553+W553+AA553+AE553+AI553+AM553+AQ553+AU553+AY553+BC553</f>
        <v>500</v>
      </c>
      <c r="BG553" s="34">
        <f t="shared" si="1856"/>
        <v>0</v>
      </c>
      <c r="BH553" s="35">
        <f t="shared" si="1842"/>
        <v>500</v>
      </c>
      <c r="BK553" s="2" t="b">
        <f>H553='2019'!BH469</f>
        <v>1</v>
      </c>
    </row>
    <row r="554" ht="15.75" customHeight="1" hidden="1" spans="1:60" x14ac:dyDescent="0.25">
      <c r="A554" s="2">
        <v>61</v>
      </c>
      <c r="B554" s="14"/>
      <c r="D554" s="14" t="s">
        <v>51</v>
      </c>
      <c r="E554" s="2" t="s">
        <v>49</v>
      </c>
      <c r="F554" s="41">
        <v>500</v>
      </c>
      <c r="G554" s="28"/>
      <c r="H554" s="34"/>
      <c r="I554" s="15"/>
      <c r="J554" s="15"/>
      <c r="K554" s="15"/>
      <c r="L554" s="28"/>
      <c r="Q554" s="13"/>
      <c r="R554" s="15"/>
      <c r="S554" s="15"/>
      <c r="T554" s="28"/>
      <c r="Y554" s="13"/>
      <c r="Z554" s="15"/>
      <c r="AA554" s="15"/>
      <c r="AB554" s="28"/>
      <c r="AE554" s="34"/>
      <c r="AG554" s="13"/>
      <c r="AH554" s="15"/>
      <c r="AI554" s="45"/>
      <c r="AJ554" s="180"/>
      <c r="AK554" s="13"/>
      <c r="AL554" s="15"/>
      <c r="AM554" s="45"/>
      <c r="AN554" s="15"/>
      <c r="AO554" s="13"/>
      <c r="AP554" s="15"/>
      <c r="AQ554" s="34">
        <f>B549*$F$14</f>
        <v>2355</v>
      </c>
      <c r="AR554" s="15"/>
      <c r="AS554" s="13"/>
      <c r="AT554" s="15"/>
      <c r="AU554" s="45"/>
      <c r="AV554" s="15"/>
      <c r="AW554" s="13"/>
      <c r="AY554" s="45"/>
      <c r="AZ554" s="28"/>
      <c r="BA554" s="13"/>
      <c r="BB554" s="15"/>
      <c r="BC554" s="45"/>
      <c r="BD554" s="28"/>
      <c r="BE554" s="14"/>
      <c r="BF554" s="41">
        <f t="shared" ref="BF554:BG554" si="1857">K554+O554+S554+W554+AA554+AE554+AI554+AM554+AQ554+AU554+AY554+BC554</f>
        <v>2355</v>
      </c>
      <c r="BG554" s="34">
        <f t="shared" si="1857"/>
        <v>0</v>
      </c>
      <c r="BH554" s="35">
        <f t="shared" si="1842"/>
        <v>2355</v>
      </c>
    </row>
    <row r="555" ht="15.75" customHeight="1" hidden="1" spans="1:63" x14ac:dyDescent="0.25">
      <c r="A555" s="2">
        <v>61</v>
      </c>
      <c r="B555" s="14"/>
      <c r="D555" s="14" t="s">
        <v>52</v>
      </c>
      <c r="E555" s="2" t="s">
        <v>39</v>
      </c>
      <c r="F555" s="41">
        <v>500</v>
      </c>
      <c r="G555" s="28"/>
      <c r="H555" s="34">
        <f>'2019'!BH470</f>
        <v>0</v>
      </c>
      <c r="I555" s="15"/>
      <c r="J555" s="15"/>
      <c r="K555" s="15"/>
      <c r="L555" s="28"/>
      <c r="Q555" s="13"/>
      <c r="R555" s="15"/>
      <c r="S555" s="15"/>
      <c r="T555" s="28"/>
      <c r="Y555" s="13"/>
      <c r="Z555" s="15"/>
      <c r="AA555" s="34">
        <f>$F$11</f>
        <v>500</v>
      </c>
      <c r="AB555" s="28"/>
      <c r="AF555" s="133">
        <v>500</v>
      </c>
      <c r="AG555" s="13"/>
      <c r="AH555" s="15"/>
      <c r="AI555" s="45"/>
      <c r="AJ555" s="180"/>
      <c r="AK555" s="13"/>
      <c r="AL555" s="15"/>
      <c r="AM555" s="45"/>
      <c r="AN555" s="15"/>
      <c r="AO555" s="13"/>
      <c r="AP555" s="15"/>
      <c r="AQ555" s="45"/>
      <c r="AR555" s="15"/>
      <c r="AS555" s="13"/>
      <c r="AT555" s="15"/>
      <c r="AU555" s="45"/>
      <c r="AV555" s="15"/>
      <c r="AW555" s="13"/>
      <c r="AY555" s="45"/>
      <c r="AZ555" s="35"/>
      <c r="BA555" s="13"/>
      <c r="BB555" s="15"/>
      <c r="BC555" s="45"/>
      <c r="BD555" s="35"/>
      <c r="BE555" s="14"/>
      <c r="BF555" s="41">
        <f t="shared" ref="BF555:BG555" si="1858">K555+O555+S555+W555+AA555+AE555+AI555+AM555+AQ555+AU555+AY555+BC555</f>
        <v>500</v>
      </c>
      <c r="BG555" s="34">
        <f t="shared" si="1858"/>
        <v>500</v>
      </c>
      <c r="BH555" s="35">
        <f t="shared" si="1842"/>
        <v>0</v>
      </c>
      <c r="BK555" s="2" t="b">
        <f>H555='2019'!BH470</f>
        <v>1</v>
      </c>
    </row>
    <row r="556" ht="15.75" customHeight="1" hidden="1" spans="1:63" x14ac:dyDescent="0.25">
      <c r="A556" s="247">
        <v>61</v>
      </c>
      <c r="B556" s="21"/>
      <c r="C556" s="22" t="s">
        <v>53</v>
      </c>
      <c r="D556" s="21"/>
      <c r="E556" s="22"/>
      <c r="F556" s="20"/>
      <c r="G556" s="23"/>
      <c r="H556" s="51">
        <f>SUM(H548:H555)</f>
        <v>76.03</v>
      </c>
      <c r="I556" s="53"/>
      <c r="J556" s="53"/>
      <c r="K556" s="51">
        <f t="shared" ref="K556:L556" si="1859">SUM(K548:K555)</f>
        <v>0</v>
      </c>
      <c r="L556" s="68">
        <f t="shared" si="1859"/>
        <v>0</v>
      </c>
      <c r="M556" s="53"/>
      <c r="N556" s="53"/>
      <c r="O556" s="51">
        <f t="shared" ref="O556:P556" si="1860">SUM(O548:O555)</f>
        <v>0</v>
      </c>
      <c r="P556" s="51">
        <f t="shared" si="1860"/>
        <v>0</v>
      </c>
      <c r="Q556" s="52"/>
      <c r="R556" s="53"/>
      <c r="S556" s="51">
        <f t="shared" ref="S556:T556" si="1861">SUM(S548:S555)</f>
        <v>0</v>
      </c>
      <c r="T556" s="51">
        <f t="shared" si="1861"/>
        <v>0</v>
      </c>
      <c r="U556" s="52"/>
      <c r="V556" s="53"/>
      <c r="W556" s="51">
        <f t="shared" ref="W556:X556" si="1862">SUM(W548:W555)</f>
        <v>0</v>
      </c>
      <c r="X556" s="51">
        <f t="shared" si="1862"/>
        <v>0</v>
      </c>
      <c r="Y556" s="52"/>
      <c r="Z556" s="53"/>
      <c r="AA556" s="51">
        <f t="shared" ref="AA556:AB556" si="1863">SUM(AA548:AA555)</f>
        <v>512.5</v>
      </c>
      <c r="AB556" s="51">
        <f t="shared" si="1863"/>
        <v>0</v>
      </c>
      <c r="AC556" s="52"/>
      <c r="AD556" s="53"/>
      <c r="AE556" s="51">
        <f t="shared" ref="AE556:AF556" si="1864">SUM(AE548:AE555)</f>
        <v>5398.42</v>
      </c>
      <c r="AF556" s="51">
        <f t="shared" si="1864"/>
        <v>5900</v>
      </c>
      <c r="AG556" s="52"/>
      <c r="AH556" s="53"/>
      <c r="AI556" s="183">
        <f t="shared" ref="AI556:AJ556" si="1865">SUM(AI548:AI555)</f>
        <v>36.4</v>
      </c>
      <c r="AJ556" s="51">
        <f t="shared" si="1865"/>
        <v>0</v>
      </c>
      <c r="AK556" s="52"/>
      <c r="AL556" s="53"/>
      <c r="AM556" s="183">
        <f t="shared" ref="AM556:AN556" si="1866">SUM(AM548:AM555)</f>
        <v>33.8</v>
      </c>
      <c r="AN556" s="51">
        <f t="shared" si="1866"/>
        <v>0</v>
      </c>
      <c r="AO556" s="52"/>
      <c r="AP556" s="53"/>
      <c r="AQ556" s="183">
        <f t="shared" ref="AQ556:AR556" si="1867">SUM(AQ548:AQ555)</f>
        <v>2886.2</v>
      </c>
      <c r="AR556" s="51">
        <f t="shared" si="1867"/>
        <v>0</v>
      </c>
      <c r="AS556" s="52"/>
      <c r="AT556" s="53"/>
      <c r="AU556" s="183">
        <f t="shared" ref="AU556:AV556" si="1868">SUM(AU548:AU555)</f>
        <v>307.58</v>
      </c>
      <c r="AV556" s="68">
        <f t="shared" si="1868"/>
        <v>0</v>
      </c>
      <c r="AW556" s="52"/>
      <c r="AX556" s="53"/>
      <c r="AY556" s="183">
        <f t="shared" ref="AY556:AZ556" si="1869">SUM(AY548:AY555)</f>
        <v>0</v>
      </c>
      <c r="AZ556" s="68">
        <f t="shared" si="1869"/>
        <v>0</v>
      </c>
      <c r="BA556" s="52"/>
      <c r="BB556" s="53"/>
      <c r="BC556" s="183">
        <f t="shared" ref="BC556:BD556" si="1870">SUM(BC548:BC555)</f>
        <v>0</v>
      </c>
      <c r="BD556" s="68">
        <f t="shared" si="1870"/>
        <v>0</v>
      </c>
      <c r="BE556" s="69"/>
      <c r="BF556" s="70">
        <f t="shared" ref="BF556:BH556" si="1871">SUM(BF548:BF555)</f>
        <v>9174.9</v>
      </c>
      <c r="BG556" s="71">
        <f t="shared" si="1871"/>
        <v>5900</v>
      </c>
      <c r="BH556" s="72">
        <f t="shared" si="1871"/>
        <v>3350.93</v>
      </c>
      <c r="BI556" s="34">
        <f>H556+BF556-BG556</f>
        <v>3350.93</v>
      </c>
      <c r="BJ556" s="34">
        <f>BH556-BI556</f>
        <v>0</v>
      </c>
      <c r="BK556" s="2" t="b">
        <f>H556='2019'!BH471</f>
        <v>0</v>
      </c>
    </row>
    <row r="557" ht="15.75" customHeight="1" hidden="1" spans="1:63" x14ac:dyDescent="0.25">
      <c r="A557" s="2">
        <v>62</v>
      </c>
      <c r="B557" s="14"/>
      <c r="D557" s="14" t="s">
        <v>379</v>
      </c>
      <c r="F557" s="13"/>
      <c r="G557" s="28"/>
      <c r="H557" s="34">
        <f>'2019'!BH472</f>
        <v>0</v>
      </c>
      <c r="J557" s="15"/>
      <c r="K557" s="15"/>
      <c r="L557" s="28"/>
      <c r="Q557" s="13"/>
      <c r="R557" s="15"/>
      <c r="S557" s="15"/>
      <c r="T557" s="28"/>
      <c r="Y557" s="13"/>
      <c r="Z557" s="15"/>
      <c r="AA557" s="15"/>
      <c r="AB557" s="28"/>
      <c r="AG557" s="13"/>
      <c r="AH557" s="15"/>
      <c r="AI557" s="45"/>
      <c r="AJ557" s="15"/>
      <c r="AK557" s="13"/>
      <c r="AM557" s="45"/>
      <c r="AO557" s="13"/>
      <c r="AQ557" s="45"/>
      <c r="AS557" s="13"/>
      <c r="AU557" s="45"/>
      <c r="AW557" s="13"/>
      <c r="AY557" s="45"/>
      <c r="AZ557" s="28"/>
      <c r="BA557" s="13"/>
      <c r="BB557" s="15"/>
      <c r="BC557" s="45"/>
      <c r="BD557" s="28"/>
      <c r="BE557" s="14"/>
      <c r="BF557" s="41">
        <f t="shared" ref="BF557:BG557" si="1872">K557+O557+S557+W557+AA557+AE557+AI557+AM557+AQ557+AU557+AY557+BC557</f>
        <v>0</v>
      </c>
      <c r="BG557" s="34">
        <f t="shared" si="1872"/>
        <v>0</v>
      </c>
      <c r="BH557" s="35">
        <f t="shared" ref="BH557:BH564" si="1873">H557+BF557-BG557</f>
        <v>0</v>
      </c>
      <c r="BK557" s="2" t="b">
        <f>H557='2019'!BH472</f>
        <v>1</v>
      </c>
    </row>
    <row r="558" ht="15.75" customHeight="1" hidden="1" spans="1:63" x14ac:dyDescent="0.25">
      <c r="A558" s="2">
        <v>62</v>
      </c>
      <c r="B558" s="42">
        <v>4.6</v>
      </c>
      <c r="C558" s="15" t="s">
        <v>236</v>
      </c>
      <c r="D558" s="14" t="s">
        <v>44</v>
      </c>
      <c r="E558" s="2" t="s">
        <v>45</v>
      </c>
      <c r="F558" s="41">
        <v>2.5</v>
      </c>
      <c r="G558" s="35">
        <v>2.6</v>
      </c>
      <c r="H558" s="34">
        <f>'2019'!BH473</f>
        <v>55</v>
      </c>
      <c r="I558" s="13">
        <v>418</v>
      </c>
      <c r="J558" s="15">
        <f>I558-'2019'!BA473</f>
        <v>0</v>
      </c>
      <c r="K558" s="34">
        <f>J558*$F$8</f>
        <v>0</v>
      </c>
      <c r="L558" s="28"/>
      <c r="M558" s="2">
        <v>418</v>
      </c>
      <c r="N558" s="15">
        <f>M558-I558</f>
        <v>0</v>
      </c>
      <c r="O558" s="34">
        <f>N558*$F$8</f>
        <v>0</v>
      </c>
      <c r="Q558" s="13">
        <v>418</v>
      </c>
      <c r="R558" s="15">
        <f>Q558-M558</f>
        <v>0</v>
      </c>
      <c r="S558" s="34">
        <f>R558*$F$8</f>
        <v>0</v>
      </c>
      <c r="T558" s="28"/>
      <c r="U558" s="15">
        <v>421</v>
      </c>
      <c r="V558" s="15">
        <f t="shared" ref="V558:V559" si="1874">U558-Q558</f>
        <v>3</v>
      </c>
      <c r="W558" s="34">
        <f>V558*$F$8</f>
        <v>7.5</v>
      </c>
      <c r="X558" s="15"/>
      <c r="Y558" s="13">
        <v>445</v>
      </c>
      <c r="Z558" s="15">
        <f t="shared" ref="Z558:Z559" si="1875">Y558-U558</f>
        <v>24</v>
      </c>
      <c r="AA558" s="34">
        <f>Z558*$F$8</f>
        <v>60</v>
      </c>
      <c r="AB558" s="28"/>
      <c r="AC558" s="15">
        <v>451</v>
      </c>
      <c r="AD558" s="15">
        <f t="shared" ref="AD558:AD559" si="1876">AC558-Y558</f>
        <v>6</v>
      </c>
      <c r="AE558" s="34">
        <f>AD558*$F$8</f>
        <v>15</v>
      </c>
      <c r="AF558" s="133">
        <v>122.5</v>
      </c>
      <c r="AG558" s="13">
        <v>476</v>
      </c>
      <c r="AH558" s="15">
        <f t="shared" ref="AH558:AH559" si="1877">AG558-AC558</f>
        <v>25</v>
      </c>
      <c r="AI558" s="45">
        <f>AH558*$G$8</f>
        <v>65</v>
      </c>
      <c r="AJ558" s="133">
        <v>15</v>
      </c>
      <c r="AK558" s="13">
        <v>479</v>
      </c>
      <c r="AL558" s="15">
        <f t="shared" ref="AL558:AL559" si="1878">AK558-AG558</f>
        <v>3</v>
      </c>
      <c r="AM558" s="45">
        <f>AL558*$G$8</f>
        <v>7.8</v>
      </c>
      <c r="AN558" s="15"/>
      <c r="AO558" s="13">
        <v>479</v>
      </c>
      <c r="AP558" s="15">
        <f t="shared" ref="AP558:AP559" si="1879">AO558-AK558</f>
        <v>0</v>
      </c>
      <c r="AQ558" s="45">
        <f>AP558*$G$8</f>
        <v>0</v>
      </c>
      <c r="AR558" s="15"/>
      <c r="AS558" s="13">
        <v>479</v>
      </c>
      <c r="AT558" s="15">
        <f t="shared" ref="AT558:AT559" si="1880">AS558-AO558</f>
        <v>0</v>
      </c>
      <c r="AU558" s="45">
        <f>AT558*$G$8</f>
        <v>0</v>
      </c>
      <c r="AV558" s="15"/>
      <c r="AW558" s="13">
        <v>479</v>
      </c>
      <c r="AX558" s="2">
        <f t="shared" ref="AX558:AX559" si="1881">AW558-AS558</f>
        <v>0</v>
      </c>
      <c r="AY558" s="45">
        <f>AX558*$G$8</f>
        <v>0</v>
      </c>
      <c r="AZ558" s="208"/>
      <c r="BA558" s="13">
        <v>479</v>
      </c>
      <c r="BB558" s="15">
        <f t="shared" ref="BB558:BB559" si="1882">BA558-AW558</f>
        <v>0</v>
      </c>
      <c r="BC558" s="45">
        <f>BB558*$G$8</f>
        <v>0</v>
      </c>
      <c r="BD558" s="208"/>
      <c r="BE558" s="40">
        <f t="shared" ref="BE558:BG558" si="1883">J558+N558+R558+V558+Z558+AD558+AH558+AL558+AP558+AT558+AX558+BB558</f>
        <v>61</v>
      </c>
      <c r="BF558" s="41">
        <f t="shared" si="1883"/>
        <v>155.3</v>
      </c>
      <c r="BG558" s="34">
        <f t="shared" si="1883"/>
        <v>137.5</v>
      </c>
      <c r="BH558" s="35">
        <f t="shared" si="1873"/>
        <v>72.8</v>
      </c>
      <c r="BK558" s="2" t="b">
        <f>H558='2019'!BH473</f>
        <v>1</v>
      </c>
    </row>
    <row r="559" ht="15.75" customHeight="1" hidden="1" spans="1:63" x14ac:dyDescent="0.25">
      <c r="A559" s="2">
        <v>62</v>
      </c>
      <c r="B559" s="14"/>
      <c r="C559" s="15" t="s">
        <v>79</v>
      </c>
      <c r="D559" s="14" t="s">
        <v>47</v>
      </c>
      <c r="E559" s="2" t="s">
        <v>48</v>
      </c>
      <c r="F559" s="13">
        <v>18.56</v>
      </c>
      <c r="G559" s="35">
        <v>19.46</v>
      </c>
      <c r="H559" s="34">
        <f>'2019'!BH474</f>
        <v>51.64</v>
      </c>
      <c r="I559" s="15">
        <v>173</v>
      </c>
      <c r="J559" s="15"/>
      <c r="K559" s="15"/>
      <c r="L559" s="28"/>
      <c r="M559" s="2">
        <v>173</v>
      </c>
      <c r="Q559" s="13">
        <v>173</v>
      </c>
      <c r="R559" s="15"/>
      <c r="S559" s="15"/>
      <c r="T559" s="28"/>
      <c r="U559" s="2">
        <v>178</v>
      </c>
      <c r="V559" s="2">
        <f t="shared" si="1874"/>
        <v>5</v>
      </c>
      <c r="W559" s="34">
        <f>V559*$F$10</f>
        <v>92.8</v>
      </c>
      <c r="Y559" s="13">
        <v>178</v>
      </c>
      <c r="Z559" s="15">
        <f t="shared" si="1875"/>
        <v>0</v>
      </c>
      <c r="AA559" s="34">
        <f>Z559*$F$10</f>
        <v>0</v>
      </c>
      <c r="AB559" s="28"/>
      <c r="AC559" s="15">
        <v>188</v>
      </c>
      <c r="AD559" s="15">
        <f t="shared" si="1876"/>
        <v>10</v>
      </c>
      <c r="AE559" s="34">
        <f>AD559*$F$10</f>
        <v>185.6</v>
      </c>
      <c r="AF559" s="138">
        <v>330.04</v>
      </c>
      <c r="AG559" s="13">
        <v>194</v>
      </c>
      <c r="AH559" s="15">
        <f t="shared" si="1877"/>
        <v>6</v>
      </c>
      <c r="AI559" s="45">
        <f>AH559*$G$10</f>
        <v>116.76</v>
      </c>
      <c r="AJ559" s="138">
        <f>116.76+5.7</f>
        <v>122.46</v>
      </c>
      <c r="AK559" s="13">
        <v>194</v>
      </c>
      <c r="AL559" s="15">
        <f t="shared" si="1878"/>
        <v>0</v>
      </c>
      <c r="AM559" s="45">
        <f>AL559*$G$10</f>
        <v>0</v>
      </c>
      <c r="AN559" s="15"/>
      <c r="AO559" s="13">
        <v>194</v>
      </c>
      <c r="AP559" s="15">
        <f t="shared" si="1879"/>
        <v>0</v>
      </c>
      <c r="AQ559" s="45">
        <f>AP559*$G$10</f>
        <v>0</v>
      </c>
      <c r="AR559" s="15"/>
      <c r="AS559" s="13">
        <v>194</v>
      </c>
      <c r="AT559" s="15">
        <f t="shared" si="1880"/>
        <v>0</v>
      </c>
      <c r="AU559" s="45">
        <f>AT559*$G$10</f>
        <v>0</v>
      </c>
      <c r="AV559" s="15"/>
      <c r="AW559" s="13">
        <v>194</v>
      </c>
      <c r="AX559" s="2">
        <f t="shared" si="1881"/>
        <v>0</v>
      </c>
      <c r="AY559" s="45"/>
      <c r="AZ559" s="208"/>
      <c r="BA559" s="13">
        <v>194</v>
      </c>
      <c r="BB559" s="15">
        <f t="shared" si="1882"/>
        <v>0</v>
      </c>
      <c r="BC559" s="45"/>
      <c r="BD559" s="208"/>
      <c r="BE559" s="40">
        <f t="shared" ref="BE559:BG559" si="1884">J559+N559+R559+V559+Z559+AD559+AH559+AL559+AP559+AT559+AX559+BB559</f>
        <v>21</v>
      </c>
      <c r="BF559" s="41">
        <f t="shared" si="1884"/>
        <v>395.16</v>
      </c>
      <c r="BG559" s="34">
        <f t="shared" si="1884"/>
        <v>452.5</v>
      </c>
      <c r="BH559" s="35">
        <f t="shared" si="1873"/>
        <v>-5.7</v>
      </c>
      <c r="BK559" s="2" t="b">
        <f>H559='2019'!BH474</f>
        <v>1</v>
      </c>
    </row>
    <row r="560" ht="15.75" customHeight="1" hidden="1" spans="1:63" x14ac:dyDescent="0.25">
      <c r="A560" s="2">
        <v>62</v>
      </c>
      <c r="B560" s="14"/>
      <c r="C560" s="15" t="s">
        <v>84</v>
      </c>
      <c r="D560" s="14" t="s">
        <v>47</v>
      </c>
      <c r="E560" s="2" t="s">
        <v>49</v>
      </c>
      <c r="F560" s="41">
        <v>500</v>
      </c>
      <c r="G560" s="28"/>
      <c r="H560" s="34">
        <f>'2019'!BH475</f>
        <v>0</v>
      </c>
      <c r="I560" s="15"/>
      <c r="J560" s="15"/>
      <c r="K560" s="15"/>
      <c r="L560" s="28"/>
      <c r="Q560" s="13"/>
      <c r="R560" s="15"/>
      <c r="S560" s="15"/>
      <c r="T560" s="28"/>
      <c r="Y560" s="13"/>
      <c r="Z560" s="15"/>
      <c r="AA560" s="15"/>
      <c r="AB560" s="28"/>
      <c r="AG560" s="13"/>
      <c r="AH560" s="15"/>
      <c r="AI560" s="45"/>
      <c r="AJ560" s="15"/>
      <c r="AK560" s="13"/>
      <c r="AL560" s="15"/>
      <c r="AM560" s="45"/>
      <c r="AN560" s="15"/>
      <c r="AO560" s="13"/>
      <c r="AP560" s="15"/>
      <c r="AQ560" s="45"/>
      <c r="AR560" s="15"/>
      <c r="AS560" s="13"/>
      <c r="AT560" s="15"/>
      <c r="AU560" s="45"/>
      <c r="AV560" s="15"/>
      <c r="AW560" s="13"/>
      <c r="AY560" s="45"/>
      <c r="AZ560" s="28"/>
      <c r="BA560" s="13"/>
      <c r="BB560" s="15"/>
      <c r="BC560" s="45"/>
      <c r="BD560" s="28"/>
      <c r="BE560" s="14"/>
      <c r="BF560" s="41">
        <f t="shared" ref="BF560:BG560" si="1885">K560+O560+S560+W560+AA560+AE560+AI560+AM560+AQ560+AU560+AY560+BC560</f>
        <v>0</v>
      </c>
      <c r="BG560" s="34">
        <f t="shared" si="1885"/>
        <v>0</v>
      </c>
      <c r="BH560" s="35">
        <f t="shared" si="1873"/>
        <v>0</v>
      </c>
      <c r="BK560" s="2" t="b">
        <f>H560='2019'!BH475</f>
        <v>1</v>
      </c>
    </row>
    <row r="561" ht="15.75" customHeight="1" hidden="1" spans="1:63" x14ac:dyDescent="0.25">
      <c r="A561" s="2">
        <v>62</v>
      </c>
      <c r="B561" s="14"/>
      <c r="C561" s="15" t="s">
        <v>428</v>
      </c>
      <c r="D561" s="14" t="s">
        <v>50</v>
      </c>
      <c r="E561" s="2" t="s">
        <v>49</v>
      </c>
      <c r="F561" s="41">
        <v>1100</v>
      </c>
      <c r="G561" s="28"/>
      <c r="H561" s="182">
        <f>'2019'!BH476+0.002</f>
        <v>0</v>
      </c>
      <c r="I561" s="15"/>
      <c r="J561" s="15"/>
      <c r="K561" s="15"/>
      <c r="L561" s="28"/>
      <c r="Q561" s="13"/>
      <c r="R561" s="15"/>
      <c r="S561" s="15"/>
      <c r="T561" s="28"/>
      <c r="Y561" s="13"/>
      <c r="Z561" s="15"/>
      <c r="AA561" s="15"/>
      <c r="AB561" s="28"/>
      <c r="AE561" s="34">
        <f>B558*$F$12</f>
        <v>5060</v>
      </c>
      <c r="AF561" s="133">
        <v>4947.46</v>
      </c>
      <c r="AG561" s="13"/>
      <c r="AH561" s="15"/>
      <c r="AI561" s="45"/>
      <c r="AJ561" s="133">
        <v>112.54</v>
      </c>
      <c r="AK561" s="13"/>
      <c r="AL561" s="15"/>
      <c r="AM561" s="45"/>
      <c r="AN561" s="15"/>
      <c r="AO561" s="13"/>
      <c r="AP561" s="15"/>
      <c r="AQ561" s="45"/>
      <c r="AR561" s="15"/>
      <c r="AS561" s="13"/>
      <c r="AT561" s="15"/>
      <c r="AU561" s="45"/>
      <c r="AV561" s="15"/>
      <c r="AW561" s="13"/>
      <c r="AY561" s="45"/>
      <c r="AZ561" s="28"/>
      <c r="BA561" s="13"/>
      <c r="BB561" s="15"/>
      <c r="BC561" s="45"/>
      <c r="BD561" s="28"/>
      <c r="BE561" s="14"/>
      <c r="BF561" s="41">
        <f t="shared" ref="BF561:BG561" si="1886">K561+O561+S561+W561+AA561+AE561+AI561+AM561+AQ561+AU561+AY561+BC561</f>
        <v>5060</v>
      </c>
      <c r="BG561" s="34">
        <f t="shared" si="1886"/>
        <v>5060</v>
      </c>
      <c r="BH561" s="35">
        <f t="shared" si="1873"/>
        <v>0</v>
      </c>
      <c r="BK561" s="2" t="b">
        <f>H561='2019'!BH476</f>
        <v>0</v>
      </c>
    </row>
    <row r="562" ht="15.75" customHeight="1" hidden="1" spans="1:63" x14ac:dyDescent="0.25">
      <c r="A562" s="2">
        <v>62</v>
      </c>
      <c r="B562" s="14"/>
      <c r="C562" s="15"/>
      <c r="D562" s="14" t="s">
        <v>51</v>
      </c>
      <c r="E562" s="2" t="s">
        <v>39</v>
      </c>
      <c r="F562" s="41">
        <v>500</v>
      </c>
      <c r="G562" s="28"/>
      <c r="H562" s="34">
        <f>'2019'!BH477</f>
        <v>0</v>
      </c>
      <c r="I562" s="15"/>
      <c r="J562" s="15"/>
      <c r="K562" s="15"/>
      <c r="L562" s="28"/>
      <c r="Q562" s="13"/>
      <c r="R562" s="15"/>
      <c r="S562" s="15"/>
      <c r="T562" s="28"/>
      <c r="Y562" s="13"/>
      <c r="Z562" s="15"/>
      <c r="AA562" s="15"/>
      <c r="AB562" s="28"/>
      <c r="AE562" s="34"/>
      <c r="AF562" s="34"/>
      <c r="AG562" s="13"/>
      <c r="AH562" s="15"/>
      <c r="AI562" s="45"/>
      <c r="AJ562" s="15"/>
      <c r="AK562" s="13"/>
      <c r="AL562" s="15"/>
      <c r="AM562" s="45"/>
      <c r="AN562" s="15"/>
      <c r="AO562" s="13"/>
      <c r="AP562" s="15"/>
      <c r="AQ562" s="45">
        <f>$F$13</f>
        <v>500</v>
      </c>
      <c r="AR562" s="15"/>
      <c r="AS562" s="13"/>
      <c r="AT562" s="15"/>
      <c r="AU562" s="45"/>
      <c r="AV562" s="15"/>
      <c r="AW562" s="13"/>
      <c r="AY562" s="45"/>
      <c r="AZ562" s="28"/>
      <c r="BA562" s="13"/>
      <c r="BB562" s="15"/>
      <c r="BC562" s="45"/>
      <c r="BD562" s="28"/>
      <c r="BE562" s="14"/>
      <c r="BF562" s="41">
        <f t="shared" ref="BF562:BG562" si="1887">K562+O562+S562+W562+AA562+AE562+AI562+AM562+AQ562+AU562+AY562+BC562</f>
        <v>500</v>
      </c>
      <c r="BG562" s="34">
        <f t="shared" si="1887"/>
        <v>0</v>
      </c>
      <c r="BH562" s="35">
        <f t="shared" si="1873"/>
        <v>500</v>
      </c>
      <c r="BK562" s="2" t="b">
        <f>H562='2019'!BH477</f>
        <v>1</v>
      </c>
    </row>
    <row r="563" ht="15.75" customHeight="1" hidden="1" spans="1:60" x14ac:dyDescent="0.25">
      <c r="A563" s="2">
        <v>62</v>
      </c>
      <c r="B563" s="14"/>
      <c r="C563" s="15"/>
      <c r="D563" s="14" t="s">
        <v>51</v>
      </c>
      <c r="E563" s="2" t="s">
        <v>49</v>
      </c>
      <c r="F563" s="41">
        <v>500</v>
      </c>
      <c r="G563" s="28"/>
      <c r="H563" s="34"/>
      <c r="I563" s="15"/>
      <c r="J563" s="15"/>
      <c r="K563" s="15"/>
      <c r="L563" s="28"/>
      <c r="Q563" s="13"/>
      <c r="R563" s="15"/>
      <c r="S563" s="15"/>
      <c r="T563" s="28"/>
      <c r="Y563" s="13"/>
      <c r="Z563" s="15"/>
      <c r="AA563" s="15"/>
      <c r="AB563" s="28"/>
      <c r="AE563" s="34"/>
      <c r="AF563" s="34"/>
      <c r="AG563" s="13"/>
      <c r="AH563" s="15"/>
      <c r="AI563" s="45"/>
      <c r="AJ563" s="15"/>
      <c r="AK563" s="13"/>
      <c r="AL563" s="15"/>
      <c r="AM563" s="45"/>
      <c r="AN563" s="15"/>
      <c r="AO563" s="13"/>
      <c r="AP563" s="15"/>
      <c r="AQ563" s="34">
        <f>B558*$F$14</f>
        <v>2300</v>
      </c>
      <c r="AR563" s="15"/>
      <c r="AS563" s="13"/>
      <c r="AT563" s="15"/>
      <c r="AU563" s="45"/>
      <c r="AV563" s="15"/>
      <c r="AW563" s="13"/>
      <c r="AY563" s="45"/>
      <c r="AZ563" s="28"/>
      <c r="BA563" s="13"/>
      <c r="BB563" s="15"/>
      <c r="BC563" s="45"/>
      <c r="BD563" s="28"/>
      <c r="BE563" s="14"/>
      <c r="BF563" s="41">
        <f t="shared" ref="BF563:BG563" si="1888">K563+O563+S563+W563+AA563+AE563+AI563+AM563+AQ563+AU563+AY563+BC563</f>
        <v>2300</v>
      </c>
      <c r="BG563" s="34">
        <f t="shared" si="1888"/>
        <v>0</v>
      </c>
      <c r="BH563" s="35">
        <f t="shared" si="1873"/>
        <v>2300</v>
      </c>
    </row>
    <row r="564" ht="15.75" customHeight="1" hidden="1" spans="1:63" x14ac:dyDescent="0.25">
      <c r="A564" s="2">
        <v>62</v>
      </c>
      <c r="B564" s="14"/>
      <c r="C564" s="15"/>
      <c r="D564" s="14" t="s">
        <v>52</v>
      </c>
      <c r="E564" s="2" t="s">
        <v>39</v>
      </c>
      <c r="F564" s="41">
        <v>500</v>
      </c>
      <c r="G564" s="28"/>
      <c r="H564" s="34">
        <f>'2019'!BH478</f>
        <v>0</v>
      </c>
      <c r="I564" s="15"/>
      <c r="J564" s="15"/>
      <c r="K564" s="15"/>
      <c r="L564" s="28"/>
      <c r="Q564" s="13"/>
      <c r="R564" s="15"/>
      <c r="S564" s="15"/>
      <c r="T564" s="28"/>
      <c r="Y564" s="13"/>
      <c r="Z564" s="15"/>
      <c r="AA564" s="34">
        <f>$F$11</f>
        <v>500</v>
      </c>
      <c r="AB564" s="35"/>
      <c r="AF564" s="34"/>
      <c r="AG564" s="13"/>
      <c r="AH564" s="15"/>
      <c r="AI564" s="45"/>
      <c r="AJ564" s="133">
        <v>500</v>
      </c>
      <c r="AK564" s="13"/>
      <c r="AL564" s="15"/>
      <c r="AM564" s="45"/>
      <c r="AN564" s="15"/>
      <c r="AO564" s="13"/>
      <c r="AP564" s="15"/>
      <c r="AQ564" s="45"/>
      <c r="AR564" s="15"/>
      <c r="AS564" s="13"/>
      <c r="AT564" s="15"/>
      <c r="AU564" s="45"/>
      <c r="AV564" s="15"/>
      <c r="AW564" s="13"/>
      <c r="AY564" s="45"/>
      <c r="AZ564" s="35"/>
      <c r="BA564" s="13"/>
      <c r="BB564" s="15"/>
      <c r="BC564" s="45"/>
      <c r="BD564" s="35"/>
      <c r="BE564" s="14"/>
      <c r="BF564" s="41">
        <f t="shared" ref="BF564:BG564" si="1889">K564+O564+S564+W564+AA564+AE564+AI564+AM564+AQ564+AU564+AY564+BC564</f>
        <v>500</v>
      </c>
      <c r="BG564" s="34">
        <f t="shared" si="1889"/>
        <v>500</v>
      </c>
      <c r="BH564" s="35">
        <f t="shared" si="1873"/>
        <v>0</v>
      </c>
      <c r="BK564" s="2" t="b">
        <f>H564='2019'!BH478</f>
        <v>1</v>
      </c>
    </row>
    <row r="565" ht="15.75" customHeight="1" hidden="1" spans="1:63" x14ac:dyDescent="0.25">
      <c r="A565" s="247">
        <v>62</v>
      </c>
      <c r="B565" s="21"/>
      <c r="C565" s="22" t="s">
        <v>53</v>
      </c>
      <c r="D565" s="21"/>
      <c r="E565" s="22"/>
      <c r="F565" s="20"/>
      <c r="G565" s="23"/>
      <c r="H565" s="51">
        <f>SUM(H557:H564)</f>
        <v>106.64</v>
      </c>
      <c r="I565" s="53"/>
      <c r="J565" s="53"/>
      <c r="K565" s="51">
        <f t="shared" ref="K565:L565" si="1890">SUM(K557:K564)</f>
        <v>0</v>
      </c>
      <c r="L565" s="68">
        <f t="shared" si="1890"/>
        <v>0</v>
      </c>
      <c r="M565" s="53"/>
      <c r="N565" s="53"/>
      <c r="O565" s="51">
        <f t="shared" ref="O565:P565" si="1891">SUM(O557:O564)</f>
        <v>0</v>
      </c>
      <c r="P565" s="51">
        <f t="shared" si="1891"/>
        <v>0</v>
      </c>
      <c r="Q565" s="52"/>
      <c r="R565" s="53"/>
      <c r="S565" s="51">
        <f t="shared" ref="S565:T565" si="1892">SUM(S557:S564)</f>
        <v>0</v>
      </c>
      <c r="T565" s="51">
        <f t="shared" si="1892"/>
        <v>0</v>
      </c>
      <c r="U565" s="52"/>
      <c r="V565" s="53"/>
      <c r="W565" s="51">
        <f t="shared" ref="W565:X565" si="1893">SUM(W557:W564)</f>
        <v>100.3</v>
      </c>
      <c r="X565" s="51">
        <f t="shared" si="1893"/>
        <v>0</v>
      </c>
      <c r="Y565" s="52"/>
      <c r="Z565" s="53"/>
      <c r="AA565" s="51">
        <f t="shared" ref="AA565:AB565" si="1894">SUM(AA557:AA564)</f>
        <v>560</v>
      </c>
      <c r="AB565" s="51">
        <f t="shared" si="1894"/>
        <v>0</v>
      </c>
      <c r="AC565" s="52"/>
      <c r="AD565" s="53"/>
      <c r="AE565" s="51">
        <f t="shared" ref="AE565:AF565" si="1895">SUM(AE557:AE564)</f>
        <v>5260.6</v>
      </c>
      <c r="AF565" s="51">
        <f t="shared" si="1895"/>
        <v>5400</v>
      </c>
      <c r="AG565" s="52"/>
      <c r="AH565" s="53"/>
      <c r="AI565" s="183">
        <f t="shared" ref="AI565:AJ565" si="1896">SUM(AI557:AI564)</f>
        <v>181.76</v>
      </c>
      <c r="AJ565" s="51">
        <f t="shared" si="1896"/>
        <v>750</v>
      </c>
      <c r="AK565" s="52"/>
      <c r="AL565" s="53"/>
      <c r="AM565" s="183">
        <f t="shared" ref="AM565:AN565" si="1897">SUM(AM557:AM564)</f>
        <v>7.8</v>
      </c>
      <c r="AN565" s="51">
        <f t="shared" si="1897"/>
        <v>0</v>
      </c>
      <c r="AO565" s="52"/>
      <c r="AP565" s="53"/>
      <c r="AQ565" s="183">
        <f t="shared" ref="AQ565:AR565" si="1898">SUM(AQ557:AQ564)</f>
        <v>2800</v>
      </c>
      <c r="AR565" s="51">
        <f t="shared" si="1898"/>
        <v>0</v>
      </c>
      <c r="AS565" s="52"/>
      <c r="AT565" s="53"/>
      <c r="AU565" s="183">
        <f t="shared" ref="AU565:AV565" si="1899">SUM(AU557:AU564)</f>
        <v>0</v>
      </c>
      <c r="AV565" s="68">
        <f t="shared" si="1899"/>
        <v>0</v>
      </c>
      <c r="AW565" s="52"/>
      <c r="AX565" s="53"/>
      <c r="AY565" s="183">
        <f t="shared" ref="AY565:AZ565" si="1900">SUM(AY557:AY564)</f>
        <v>0</v>
      </c>
      <c r="AZ565" s="68">
        <f t="shared" si="1900"/>
        <v>0</v>
      </c>
      <c r="BA565" s="52"/>
      <c r="BB565" s="53"/>
      <c r="BC565" s="183">
        <f t="shared" ref="BC565:BD565" si="1901">SUM(BC557:BC564)</f>
        <v>0</v>
      </c>
      <c r="BD565" s="68">
        <f t="shared" si="1901"/>
        <v>0</v>
      </c>
      <c r="BE565" s="69"/>
      <c r="BF565" s="70">
        <f t="shared" ref="BF565:BH565" si="1902">SUM(BF557:BF564)</f>
        <v>8910.46</v>
      </c>
      <c r="BG565" s="71">
        <f t="shared" si="1902"/>
        <v>6150</v>
      </c>
      <c r="BH565" s="72">
        <f t="shared" si="1902"/>
        <v>2867.1</v>
      </c>
      <c r="BI565" s="34">
        <f>H565+BF565-BG565</f>
        <v>2867.1</v>
      </c>
      <c r="BJ565" s="34">
        <f>BH565-BI565</f>
        <v>0</v>
      </c>
      <c r="BK565" s="2" t="b">
        <f>H565='2019'!BH479</f>
        <v>0</v>
      </c>
    </row>
    <row r="566" ht="15.75" customHeight="1" spans="1:63" x14ac:dyDescent="0.25">
      <c r="A566" s="89" t="s">
        <v>237</v>
      </c>
      <c r="B566" s="14"/>
      <c r="D566" s="14" t="s">
        <v>379</v>
      </c>
      <c r="F566" s="13"/>
      <c r="G566" s="28"/>
      <c r="H566" s="34">
        <f>'2019'!BH480</f>
        <v>0</v>
      </c>
      <c r="J566" s="15"/>
      <c r="K566" s="15"/>
      <c r="L566" s="28"/>
      <c r="Q566" s="13"/>
      <c r="R566" s="15"/>
      <c r="S566" s="15"/>
      <c r="T566" s="28"/>
      <c r="Y566" s="13"/>
      <c r="Z566" s="15"/>
      <c r="AA566" s="15"/>
      <c r="AB566" s="28"/>
      <c r="AG566" s="13"/>
      <c r="AH566" s="15"/>
      <c r="AI566" s="45"/>
      <c r="AJ566" s="15"/>
      <c r="AK566" s="13"/>
      <c r="AM566" s="45"/>
      <c r="AO566" s="13"/>
      <c r="AQ566" s="45"/>
      <c r="AS566" s="13"/>
      <c r="AU566" s="45"/>
      <c r="AW566" s="13"/>
      <c r="AY566" s="45"/>
      <c r="AZ566" s="28"/>
      <c r="BA566" s="13"/>
      <c r="BB566" s="15"/>
      <c r="BC566" s="45"/>
      <c r="BD566" s="28"/>
      <c r="BE566" s="14"/>
      <c r="BF566" s="41">
        <f t="shared" ref="BF566:BG566" si="1903">K566+O566+S566+W566+AA566+AE566+AI566+AM566+AQ566+AU566+AY566+BC566</f>
        <v>0</v>
      </c>
      <c r="BG566" s="34">
        <f t="shared" si="1903"/>
        <v>0</v>
      </c>
      <c r="BH566" s="35">
        <f t="shared" ref="BH566:BH573" si="1904">H566+BF566-BG566</f>
        <v>0</v>
      </c>
      <c r="BK566" s="2" t="b">
        <f>H566='2019'!BH480</f>
        <v>1</v>
      </c>
    </row>
    <row r="567" ht="15.75" customHeight="1" spans="1:63" x14ac:dyDescent="0.25">
      <c r="A567" s="89" t="s">
        <v>237</v>
      </c>
      <c r="B567" s="14">
        <v>4.01</v>
      </c>
      <c r="C567" s="15" t="s">
        <v>238</v>
      </c>
      <c r="D567" s="14" t="s">
        <v>44</v>
      </c>
      <c r="E567" s="2" t="s">
        <v>45</v>
      </c>
      <c r="F567" s="41">
        <v>2.5</v>
      </c>
      <c r="G567" s="35">
        <v>2.6</v>
      </c>
      <c r="H567" s="34">
        <f>'2019'!BH481</f>
        <v>12.03</v>
      </c>
      <c r="I567" s="13">
        <v>34</v>
      </c>
      <c r="J567" s="15">
        <f>I567-'2019'!BA481</f>
        <v>0</v>
      </c>
      <c r="K567" s="34">
        <f>J567*$F$8</f>
        <v>0</v>
      </c>
      <c r="L567" s="28"/>
      <c r="M567" s="2">
        <v>34</v>
      </c>
      <c r="N567" s="15">
        <f>M567-I567</f>
        <v>0</v>
      </c>
      <c r="O567" s="34">
        <f>N567*$F$8</f>
        <v>0</v>
      </c>
      <c r="Q567" s="13">
        <v>34</v>
      </c>
      <c r="R567" s="15">
        <f>Q567-M567</f>
        <v>0</v>
      </c>
      <c r="S567" s="34">
        <f>R567*$F$8</f>
        <v>0</v>
      </c>
      <c r="T567" s="28"/>
      <c r="U567" s="15">
        <v>34</v>
      </c>
      <c r="V567" s="15">
        <f t="shared" ref="V567:V568" si="1905">U567-Q567</f>
        <v>0</v>
      </c>
      <c r="W567" s="34">
        <f>V567*$F$8</f>
        <v>0</v>
      </c>
      <c r="Y567" s="13">
        <v>38</v>
      </c>
      <c r="Z567" s="15">
        <f t="shared" ref="Z567:Z568" si="1906">Y567-U567</f>
        <v>4</v>
      </c>
      <c r="AA567" s="34">
        <f>Z567*$F$8</f>
        <v>10</v>
      </c>
      <c r="AB567" s="28"/>
      <c r="AC567" s="15">
        <v>41</v>
      </c>
      <c r="AD567" s="15">
        <f t="shared" ref="AD567:AD568" si="1907">AC567-Y567</f>
        <v>3</v>
      </c>
      <c r="AE567" s="34">
        <f>AD567*$F$8</f>
        <v>7.5</v>
      </c>
      <c r="AG567" s="13">
        <v>43</v>
      </c>
      <c r="AH567" s="15">
        <f t="shared" ref="AH567:AH568" si="1908">AG567-AC567</f>
        <v>2</v>
      </c>
      <c r="AI567" s="45">
        <f>AH567*$G$8</f>
        <v>5.2</v>
      </c>
      <c r="AJ567" s="185">
        <f>29.53+9.47</f>
        <v>39</v>
      </c>
      <c r="AK567" s="13">
        <v>46</v>
      </c>
      <c r="AL567" s="15">
        <f t="shared" ref="AL567:AL568" si="1909">AK567-AG567</f>
        <v>3</v>
      </c>
      <c r="AM567" s="45">
        <f>AL567*$G$8</f>
        <v>7.8</v>
      </c>
      <c r="AN567" s="15"/>
      <c r="AO567" s="13">
        <v>48</v>
      </c>
      <c r="AP567" s="15">
        <f t="shared" ref="AP567:AP568" si="1910">AO567-AK567</f>
        <v>2</v>
      </c>
      <c r="AQ567" s="45">
        <f>AP567*$G$8</f>
        <v>5.2</v>
      </c>
      <c r="AR567" s="15"/>
      <c r="AS567" s="13">
        <v>49</v>
      </c>
      <c r="AT567" s="15">
        <f t="shared" ref="AT567:AT568" si="1911">AS567-AO567</f>
        <v>1</v>
      </c>
      <c r="AU567" s="45">
        <f>AT567*$G$8</f>
        <v>2.6</v>
      </c>
      <c r="AV567" s="15"/>
      <c r="AW567" s="13">
        <v>49</v>
      </c>
      <c r="AX567" s="2">
        <f t="shared" ref="AX567:AX568" si="1912">AW567-AS567</f>
        <v>0</v>
      </c>
      <c r="AY567" s="45">
        <f>AX567*$G$8</f>
        <v>0</v>
      </c>
      <c r="AZ567" s="208"/>
      <c r="BA567" s="13">
        <v>49</v>
      </c>
      <c r="BB567" s="15">
        <f t="shared" ref="BB567:BB568" si="1913">BA567-AW567</f>
        <v>0</v>
      </c>
      <c r="BC567" s="45">
        <f>BB567*$G$8</f>
        <v>0</v>
      </c>
      <c r="BD567" s="208"/>
      <c r="BE567" s="40">
        <f t="shared" ref="BE567:BG567" si="1914">J567+N567+R567+V567+Z567+AD567+AH567+AL567+AP567+AT567+AX567+BB567</f>
        <v>15</v>
      </c>
      <c r="BF567" s="41">
        <f t="shared" si="1914"/>
        <v>38.3</v>
      </c>
      <c r="BG567" s="34">
        <f t="shared" si="1914"/>
        <v>39</v>
      </c>
      <c r="BH567" s="35">
        <f t="shared" si="1904"/>
        <v>11.33</v>
      </c>
      <c r="BK567" s="2" t="b">
        <f>H567='2019'!BH481</f>
        <v>1</v>
      </c>
    </row>
    <row r="568" ht="15.75" customHeight="1" spans="1:63" x14ac:dyDescent="0.25">
      <c r="A568" s="89" t="s">
        <v>237</v>
      </c>
      <c r="B568" s="14"/>
      <c r="C568" s="15" t="s">
        <v>239</v>
      </c>
      <c r="D568" s="14" t="s">
        <v>47</v>
      </c>
      <c r="E568" s="2" t="s">
        <v>48</v>
      </c>
      <c r="F568" s="13">
        <v>18.56</v>
      </c>
      <c r="G568" s="35">
        <v>19.46</v>
      </c>
      <c r="H568" s="34">
        <f>'2019'!BH482</f>
        <v>0</v>
      </c>
      <c r="I568" s="95">
        <v>132</v>
      </c>
      <c r="J568" s="15"/>
      <c r="K568" s="15"/>
      <c r="L568" s="28"/>
      <c r="M568" s="95">
        <v>132</v>
      </c>
      <c r="Q568" s="13">
        <v>132</v>
      </c>
      <c r="R568" s="15"/>
      <c r="S568" s="15"/>
      <c r="T568" s="28"/>
      <c r="U568" s="2">
        <v>132</v>
      </c>
      <c r="V568" s="2">
        <f t="shared" si="1905"/>
        <v>0</v>
      </c>
      <c r="W568" s="34">
        <f>V568*$F$10</f>
        <v>0</v>
      </c>
      <c r="Y568" s="13">
        <v>132</v>
      </c>
      <c r="Z568" s="15">
        <f t="shared" si="1906"/>
        <v>0</v>
      </c>
      <c r="AA568" s="34">
        <f>Z568*$F$10</f>
        <v>0</v>
      </c>
      <c r="AB568" s="28"/>
      <c r="AC568" s="15">
        <v>132</v>
      </c>
      <c r="AD568" s="15">
        <f t="shared" si="1907"/>
        <v>0</v>
      </c>
      <c r="AE568" s="34">
        <f>AD568*$F$10</f>
        <v>0</v>
      </c>
      <c r="AG568" s="13">
        <v>132</v>
      </c>
      <c r="AH568" s="15">
        <f t="shared" si="1908"/>
        <v>0</v>
      </c>
      <c r="AI568" s="45">
        <f>AH568*$G$10</f>
        <v>0</v>
      </c>
      <c r="AJ568" s="2"/>
      <c r="AK568" s="13">
        <v>132</v>
      </c>
      <c r="AL568" s="15">
        <f t="shared" si="1909"/>
        <v>0</v>
      </c>
      <c r="AM568" s="45">
        <f>AL568*$G$10</f>
        <v>0</v>
      </c>
      <c r="AN568" s="15"/>
      <c r="AO568" s="13">
        <v>132</v>
      </c>
      <c r="AP568" s="15">
        <f t="shared" si="1910"/>
        <v>0</v>
      </c>
      <c r="AQ568" s="45">
        <f>AP568*$G$10</f>
        <v>0</v>
      </c>
      <c r="AR568" s="15"/>
      <c r="AS568" s="13">
        <v>132</v>
      </c>
      <c r="AT568" s="15">
        <f t="shared" si="1911"/>
        <v>0</v>
      </c>
      <c r="AU568" s="45">
        <f>AT568*$G$10</f>
        <v>0</v>
      </c>
      <c r="AV568" s="15"/>
      <c r="AW568" s="13">
        <v>132</v>
      </c>
      <c r="AX568" s="2">
        <f t="shared" si="1912"/>
        <v>0</v>
      </c>
      <c r="AY568" s="45"/>
      <c r="AZ568" s="208"/>
      <c r="BA568" s="13">
        <v>132</v>
      </c>
      <c r="BB568" s="15">
        <f t="shared" si="1913"/>
        <v>0</v>
      </c>
      <c r="BC568" s="45"/>
      <c r="BD568" s="208"/>
      <c r="BE568" s="40">
        <f t="shared" ref="BE568:BG568" si="1915">J568+N568+R568+V568+Z568+AD568+AH568+AL568+AP568+AT568+AX568+BB568</f>
        <v>0</v>
      </c>
      <c r="BF568" s="41">
        <f t="shared" si="1915"/>
        <v>0</v>
      </c>
      <c r="BG568" s="34">
        <f t="shared" si="1915"/>
        <v>0</v>
      </c>
      <c r="BH568" s="35">
        <f t="shared" si="1904"/>
        <v>0</v>
      </c>
      <c r="BK568" s="2" t="b">
        <f>H568='2019'!BH482</f>
        <v>1</v>
      </c>
    </row>
    <row r="569" ht="15.75" customHeight="1" spans="1:63" x14ac:dyDescent="0.25">
      <c r="A569" s="89" t="s">
        <v>237</v>
      </c>
      <c r="B569" s="14"/>
      <c r="C569" s="15" t="s">
        <v>68</v>
      </c>
      <c r="D569" s="14" t="s">
        <v>47</v>
      </c>
      <c r="E569" s="2" t="s">
        <v>49</v>
      </c>
      <c r="F569" s="41">
        <v>500</v>
      </c>
      <c r="G569" s="28"/>
      <c r="H569" s="34">
        <f>'2019'!BH483</f>
        <v>0</v>
      </c>
      <c r="I569" s="15"/>
      <c r="J569" s="15"/>
      <c r="K569" s="15"/>
      <c r="L569" s="28"/>
      <c r="Q569" s="13"/>
      <c r="R569" s="15"/>
      <c r="S569" s="15"/>
      <c r="T569" s="28"/>
      <c r="Y569" s="13"/>
      <c r="Z569" s="15"/>
      <c r="AA569" s="15"/>
      <c r="AB569" s="28"/>
      <c r="AG569" s="13"/>
      <c r="AH569" s="15"/>
      <c r="AI569" s="45"/>
      <c r="AJ569" s="15"/>
      <c r="AK569" s="13"/>
      <c r="AL569" s="15"/>
      <c r="AM569" s="45"/>
      <c r="AN569" s="15"/>
      <c r="AO569" s="13"/>
      <c r="AP569" s="15"/>
      <c r="AQ569" s="45"/>
      <c r="AR569" s="15"/>
      <c r="AS569" s="13"/>
      <c r="AT569" s="15"/>
      <c r="AU569" s="45"/>
      <c r="AV569" s="15"/>
      <c r="AW569" s="13"/>
      <c r="AY569" s="45"/>
      <c r="AZ569" s="28"/>
      <c r="BA569" s="13"/>
      <c r="BB569" s="15"/>
      <c r="BC569" s="45"/>
      <c r="BD569" s="28"/>
      <c r="BE569" s="14"/>
      <c r="BF569" s="41">
        <f t="shared" ref="BF569:BG569" si="1916">K569+O569+S569+W569+AA569+AE569+AI569+AM569+AQ569+AU569+AY569+BC569</f>
        <v>0</v>
      </c>
      <c r="BG569" s="34">
        <f t="shared" si="1916"/>
        <v>0</v>
      </c>
      <c r="BH569" s="35">
        <f t="shared" si="1904"/>
        <v>0</v>
      </c>
      <c r="BK569" s="2" t="b">
        <f>H569='2019'!BH483</f>
        <v>1</v>
      </c>
    </row>
    <row r="570" ht="15.75" customHeight="1" spans="1:63" x14ac:dyDescent="0.25">
      <c r="A570" s="89" t="s">
        <v>237</v>
      </c>
      <c r="B570" s="14"/>
      <c r="C570" s="15" t="s">
        <v>240</v>
      </c>
      <c r="D570" s="14" t="s">
        <v>50</v>
      </c>
      <c r="E570" s="2" t="s">
        <v>49</v>
      </c>
      <c r="F570" s="41">
        <v>1100</v>
      </c>
      <c r="G570" s="28"/>
      <c r="H570" s="182">
        <f>'2019'!BH484+0.0024</f>
        <v>0</v>
      </c>
      <c r="I570" s="15"/>
      <c r="J570" s="15"/>
      <c r="K570" s="15"/>
      <c r="L570" s="28"/>
      <c r="Q570" s="13"/>
      <c r="R570" s="15"/>
      <c r="S570" s="15"/>
      <c r="T570" s="28"/>
      <c r="Y570" s="13"/>
      <c r="Z570" s="15"/>
      <c r="AA570" s="15"/>
      <c r="AB570" s="28"/>
      <c r="AE570" s="34">
        <f>B567*$F$12</f>
        <v>4411</v>
      </c>
      <c r="AG570" s="13"/>
      <c r="AH570" s="15"/>
      <c r="AI570" s="45"/>
      <c r="AJ570" s="185">
        <v>4411</v>
      </c>
      <c r="AK570" s="13"/>
      <c r="AL570" s="15"/>
      <c r="AM570" s="45"/>
      <c r="AN570" s="15"/>
      <c r="AO570" s="13"/>
      <c r="AP570" s="15"/>
      <c r="AQ570" s="45"/>
      <c r="AR570" s="15"/>
      <c r="AS570" s="13"/>
      <c r="AT570" s="15"/>
      <c r="AU570" s="45"/>
      <c r="AV570" s="15"/>
      <c r="AW570" s="13"/>
      <c r="AY570" s="45"/>
      <c r="AZ570" s="28"/>
      <c r="BA570" s="13"/>
      <c r="BB570" s="15"/>
      <c r="BC570" s="45"/>
      <c r="BD570" s="28"/>
      <c r="BE570" s="14"/>
      <c r="BF570" s="41">
        <f t="shared" ref="BF570:BG570" si="1917">K570+O570+S570+W570+AA570+AE570+AI570+AM570+AQ570+AU570+AY570+BC570</f>
        <v>4411</v>
      </c>
      <c r="BG570" s="34">
        <f t="shared" si="1917"/>
        <v>4411</v>
      </c>
      <c r="BH570" s="35">
        <f t="shared" si="1904"/>
        <v>0</v>
      </c>
      <c r="BK570" s="2" t="b">
        <f>H570='2019'!BH484</f>
        <v>0</v>
      </c>
    </row>
    <row r="571" ht="15.75" customHeight="1" spans="1:63" x14ac:dyDescent="0.25">
      <c r="A571" s="89" t="s">
        <v>237</v>
      </c>
      <c r="B571" s="14"/>
      <c r="D571" s="14" t="s">
        <v>51</v>
      </c>
      <c r="E571" s="2" t="s">
        <v>39</v>
      </c>
      <c r="F571" s="41">
        <v>500</v>
      </c>
      <c r="G571" s="28"/>
      <c r="H571" s="34">
        <f>'2019'!BH485</f>
        <v>0</v>
      </c>
      <c r="I571" s="15"/>
      <c r="J571" s="15"/>
      <c r="K571" s="15"/>
      <c r="L571" s="28"/>
      <c r="Q571" s="13"/>
      <c r="R571" s="15"/>
      <c r="S571" s="15"/>
      <c r="T571" s="28"/>
      <c r="Y571" s="13"/>
      <c r="Z571" s="15"/>
      <c r="AA571" s="15"/>
      <c r="AB571" s="28"/>
      <c r="AE571" s="34"/>
      <c r="AG571" s="13"/>
      <c r="AH571" s="15"/>
      <c r="AI571" s="45"/>
      <c r="AJ571" s="180"/>
      <c r="AK571" s="13"/>
      <c r="AL571" s="15"/>
      <c r="AM571" s="45"/>
      <c r="AN571" s="15"/>
      <c r="AO571" s="13"/>
      <c r="AP571" s="15"/>
      <c r="AQ571" s="45">
        <f>$F$13</f>
        <v>500</v>
      </c>
      <c r="AR571" s="15"/>
      <c r="AS571" s="13"/>
      <c r="AT571" s="15"/>
      <c r="AU571" s="45"/>
      <c r="AV571" s="15"/>
      <c r="AW571" s="13"/>
      <c r="AY571" s="45"/>
      <c r="AZ571" s="28"/>
      <c r="BA571" s="13"/>
      <c r="BB571" s="15"/>
      <c r="BC571" s="45"/>
      <c r="BD571" s="28"/>
      <c r="BE571" s="14"/>
      <c r="BF571" s="41">
        <f t="shared" ref="BF571:BG571" si="1918">K571+O571+S571+W571+AA571+AE571+AI571+AM571+AQ571+AU571+AY571+BC571</f>
        <v>500</v>
      </c>
      <c r="BG571" s="34">
        <f t="shared" si="1918"/>
        <v>0</v>
      </c>
      <c r="BH571" s="35">
        <f t="shared" si="1904"/>
        <v>500</v>
      </c>
      <c r="BK571" s="2" t="b">
        <f>H571='2019'!BH485</f>
        <v>1</v>
      </c>
    </row>
    <row r="572" ht="15.75" customHeight="1" spans="1:60" x14ac:dyDescent="0.25">
      <c r="A572" s="89" t="s">
        <v>237</v>
      </c>
      <c r="B572" s="14"/>
      <c r="D572" s="14" t="s">
        <v>51</v>
      </c>
      <c r="E572" s="2" t="s">
        <v>49</v>
      </c>
      <c r="F572" s="41">
        <v>500</v>
      </c>
      <c r="G572" s="28"/>
      <c r="H572" s="34"/>
      <c r="I572" s="15"/>
      <c r="J572" s="15"/>
      <c r="K572" s="15"/>
      <c r="L572" s="28"/>
      <c r="Q572" s="13"/>
      <c r="R572" s="15"/>
      <c r="S572" s="15"/>
      <c r="T572" s="28"/>
      <c r="Y572" s="13"/>
      <c r="Z572" s="15"/>
      <c r="AA572" s="15"/>
      <c r="AB572" s="28"/>
      <c r="AE572" s="34"/>
      <c r="AG572" s="13"/>
      <c r="AH572" s="15"/>
      <c r="AI572" s="45"/>
      <c r="AJ572" s="180"/>
      <c r="AK572" s="13"/>
      <c r="AL572" s="15"/>
      <c r="AM572" s="45"/>
      <c r="AN572" s="15"/>
      <c r="AO572" s="13"/>
      <c r="AP572" s="15"/>
      <c r="AQ572" s="34">
        <f>B567*$F$14</f>
        <v>2005</v>
      </c>
      <c r="AR572" s="15"/>
      <c r="AS572" s="13"/>
      <c r="AT572" s="15"/>
      <c r="AU572" s="45"/>
      <c r="AV572" s="15"/>
      <c r="AW572" s="13"/>
      <c r="AY572" s="45"/>
      <c r="AZ572" s="28"/>
      <c r="BA572" s="13"/>
      <c r="BB572" s="15"/>
      <c r="BC572" s="45"/>
      <c r="BD572" s="28"/>
      <c r="BE572" s="14"/>
      <c r="BF572" s="41">
        <f t="shared" ref="BF572:BG572" si="1919">K572+O572+S572+W572+AA572+AE572+AI572+AM572+AQ572+AU572+AY572+BC572</f>
        <v>2005</v>
      </c>
      <c r="BG572" s="34">
        <f t="shared" si="1919"/>
        <v>0</v>
      </c>
      <c r="BH572" s="35">
        <f t="shared" si="1904"/>
        <v>2005</v>
      </c>
    </row>
    <row r="573" ht="15.75" customHeight="1" spans="1:63" x14ac:dyDescent="0.25">
      <c r="A573" s="89" t="s">
        <v>237</v>
      </c>
      <c r="B573" s="14"/>
      <c r="D573" s="14" t="s">
        <v>52</v>
      </c>
      <c r="E573" s="2" t="s">
        <v>39</v>
      </c>
      <c r="F573" s="41">
        <v>500</v>
      </c>
      <c r="G573" s="28"/>
      <c r="H573" s="34">
        <f>'2019'!BH486</f>
        <v>0</v>
      </c>
      <c r="I573" s="15"/>
      <c r="J573" s="15"/>
      <c r="K573" s="15"/>
      <c r="L573" s="28"/>
      <c r="Q573" s="13"/>
      <c r="R573" s="15"/>
      <c r="S573" s="15"/>
      <c r="T573" s="28"/>
      <c r="Y573" s="13"/>
      <c r="Z573" s="15"/>
      <c r="AA573" s="34">
        <f>$F$11</f>
        <v>500</v>
      </c>
      <c r="AB573" s="28"/>
      <c r="AG573" s="13"/>
      <c r="AH573" s="15"/>
      <c r="AI573" s="45"/>
      <c r="AJ573" s="185">
        <v>500</v>
      </c>
      <c r="AK573" s="13"/>
      <c r="AL573" s="15"/>
      <c r="AM573" s="45"/>
      <c r="AN573" s="15"/>
      <c r="AO573" s="13"/>
      <c r="AP573" s="15"/>
      <c r="AQ573" s="45"/>
      <c r="AR573" s="15"/>
      <c r="AS573" s="13"/>
      <c r="AT573" s="15"/>
      <c r="AU573" s="45"/>
      <c r="AV573" s="15"/>
      <c r="AW573" s="13"/>
      <c r="AY573" s="45"/>
      <c r="AZ573" s="35"/>
      <c r="BA573" s="13"/>
      <c r="BB573" s="15"/>
      <c r="BC573" s="45"/>
      <c r="BD573" s="35"/>
      <c r="BE573" s="14"/>
      <c r="BF573" s="41">
        <f t="shared" ref="BF573:BG573" si="1920">K573+O573+S573+W573+AA573+AE573+AI573+AM573+AQ573+AU573+AY573+BC573</f>
        <v>500</v>
      </c>
      <c r="BG573" s="34">
        <f t="shared" si="1920"/>
        <v>500</v>
      </c>
      <c r="BH573" s="35">
        <f t="shared" si="1904"/>
        <v>0</v>
      </c>
      <c r="BK573" s="2" t="b">
        <f>H573='2019'!BH486</f>
        <v>1</v>
      </c>
    </row>
    <row r="574" ht="15.75" customHeight="1" spans="1:63" x14ac:dyDescent="0.25">
      <c r="A574" s="243" t="s">
        <v>237</v>
      </c>
      <c r="B574" s="21"/>
      <c r="C574" s="22" t="s">
        <v>53</v>
      </c>
      <c r="D574" s="21"/>
      <c r="E574" s="22"/>
      <c r="F574" s="20"/>
      <c r="G574" s="23"/>
      <c r="H574" s="51">
        <f>SUM(H566:H573)</f>
        <v>12.03</v>
      </c>
      <c r="I574" s="53"/>
      <c r="J574" s="53"/>
      <c r="K574" s="51">
        <f t="shared" ref="K574:L574" si="1921">SUM(K566:K573)</f>
        <v>0</v>
      </c>
      <c r="L574" s="68">
        <f t="shared" si="1921"/>
        <v>0</v>
      </c>
      <c r="M574" s="53"/>
      <c r="N574" s="53"/>
      <c r="O574" s="51">
        <f t="shared" ref="O574:P574" si="1922">SUM(O566:O573)</f>
        <v>0</v>
      </c>
      <c r="P574" s="51">
        <f t="shared" si="1922"/>
        <v>0</v>
      </c>
      <c r="Q574" s="52"/>
      <c r="R574" s="53"/>
      <c r="S574" s="51">
        <f t="shared" ref="S574:T574" si="1923">SUM(S566:S573)</f>
        <v>0</v>
      </c>
      <c r="T574" s="51">
        <f t="shared" si="1923"/>
        <v>0</v>
      </c>
      <c r="U574" s="52"/>
      <c r="V574" s="53"/>
      <c r="W574" s="51">
        <f t="shared" ref="W574:X574" si="1924">SUM(W566:W573)</f>
        <v>0</v>
      </c>
      <c r="X574" s="51">
        <f t="shared" si="1924"/>
        <v>0</v>
      </c>
      <c r="Y574" s="52"/>
      <c r="Z574" s="53"/>
      <c r="AA574" s="51">
        <f t="shared" ref="AA574:AB574" si="1925">SUM(AA566:AA573)</f>
        <v>510</v>
      </c>
      <c r="AB574" s="51">
        <f t="shared" si="1925"/>
        <v>0</v>
      </c>
      <c r="AC574" s="52"/>
      <c r="AD574" s="53"/>
      <c r="AE574" s="51">
        <f t="shared" ref="AE574:AF574" si="1926">SUM(AE566:AE573)</f>
        <v>4418.5</v>
      </c>
      <c r="AF574" s="51">
        <f t="shared" si="1926"/>
        <v>0</v>
      </c>
      <c r="AG574" s="52"/>
      <c r="AH574" s="53"/>
      <c r="AI574" s="183">
        <f t="shared" ref="AI574:AJ574" si="1927">SUM(AI566:AI573)</f>
        <v>5.2</v>
      </c>
      <c r="AJ574" s="51">
        <f t="shared" si="1927"/>
        <v>4950</v>
      </c>
      <c r="AK574" s="52"/>
      <c r="AL574" s="53"/>
      <c r="AM574" s="183">
        <f t="shared" ref="AM574:AN574" si="1928">SUM(AM566:AM573)</f>
        <v>7.8</v>
      </c>
      <c r="AN574" s="51">
        <f t="shared" si="1928"/>
        <v>0</v>
      </c>
      <c r="AO574" s="52"/>
      <c r="AP574" s="53"/>
      <c r="AQ574" s="183">
        <f t="shared" ref="AQ574:AR574" si="1929">SUM(AQ566:AQ573)</f>
        <v>2510.2</v>
      </c>
      <c r="AR574" s="51">
        <f t="shared" si="1929"/>
        <v>0</v>
      </c>
      <c r="AS574" s="52"/>
      <c r="AT574" s="53"/>
      <c r="AU574" s="183">
        <f t="shared" ref="AU574:AV574" si="1930">SUM(AU566:AU573)</f>
        <v>2.6</v>
      </c>
      <c r="AV574" s="68">
        <f t="shared" si="1930"/>
        <v>0</v>
      </c>
      <c r="AW574" s="52"/>
      <c r="AX574" s="53"/>
      <c r="AY574" s="183">
        <f t="shared" ref="AY574:AZ574" si="1931">SUM(AY566:AY573)</f>
        <v>0</v>
      </c>
      <c r="AZ574" s="68">
        <f t="shared" si="1931"/>
        <v>0</v>
      </c>
      <c r="BA574" s="52"/>
      <c r="BB574" s="53"/>
      <c r="BC574" s="183">
        <f t="shared" ref="BC574:BD574" si="1932">SUM(BC566:BC573)</f>
        <v>0</v>
      </c>
      <c r="BD574" s="68">
        <f t="shared" si="1932"/>
        <v>0</v>
      </c>
      <c r="BE574" s="69"/>
      <c r="BF574" s="70">
        <f t="shared" ref="BF574:BH574" si="1933">SUM(BF566:BF573)</f>
        <v>7454.3</v>
      </c>
      <c r="BG574" s="71">
        <f t="shared" si="1933"/>
        <v>4950</v>
      </c>
      <c r="BH574" s="72">
        <f t="shared" si="1933"/>
        <v>2516.33</v>
      </c>
      <c r="BI574" s="34">
        <f>H574+BF574-BG574</f>
        <v>2516.33</v>
      </c>
      <c r="BJ574" s="34">
        <f>BH574-BI574</f>
        <v>0</v>
      </c>
      <c r="BK574" s="2" t="b">
        <f>H574='2019'!BH487</f>
        <v>0</v>
      </c>
    </row>
    <row r="575" ht="15.75" customHeight="1" spans="1:60" x14ac:dyDescent="0.25">
      <c r="A575" s="89" t="s">
        <v>237</v>
      </c>
      <c r="B575" s="14"/>
      <c r="D575" s="14" t="s">
        <v>379</v>
      </c>
      <c r="F575" s="13"/>
      <c r="G575" s="28"/>
      <c r="H575" s="182">
        <v>0</v>
      </c>
      <c r="J575" s="15"/>
      <c r="K575" s="15"/>
      <c r="L575" s="28"/>
      <c r="Q575" s="13"/>
      <c r="R575" s="15"/>
      <c r="S575" s="15"/>
      <c r="T575" s="28"/>
      <c r="Y575" s="13"/>
      <c r="Z575" s="15"/>
      <c r="AA575" s="15"/>
      <c r="AB575" s="28"/>
      <c r="AG575" s="13"/>
      <c r="AH575" s="15"/>
      <c r="AI575" s="45"/>
      <c r="AJ575" s="15"/>
      <c r="AK575" s="13"/>
      <c r="AM575" s="45"/>
      <c r="AO575" s="13"/>
      <c r="AQ575" s="45">
        <v>4.23</v>
      </c>
      <c r="AS575" s="13"/>
      <c r="AU575" s="45">
        <v>4.37</v>
      </c>
      <c r="AW575" s="13"/>
      <c r="AY575" s="45">
        <v>4.23</v>
      </c>
      <c r="AZ575" s="28"/>
      <c r="BA575" s="13"/>
      <c r="BB575" s="15"/>
      <c r="BC575" s="45">
        <v>4.37</v>
      </c>
      <c r="BD575" s="28"/>
      <c r="BE575" s="14"/>
      <c r="BF575" s="41">
        <f t="shared" ref="BF575:BG575" si="1934">K575+O575+S575+W575+AA575+AE575+AI575+AM575+AQ575+AU575+AY575+BC575</f>
        <v>17.2</v>
      </c>
      <c r="BG575" s="34">
        <f t="shared" si="1934"/>
        <v>0</v>
      </c>
      <c r="BH575" s="35">
        <f t="shared" ref="BH575:BH582" si="1935">H575+BF575-BG575</f>
        <v>17.2</v>
      </c>
    </row>
    <row r="576" ht="15.75" customHeight="1" spans="1:60" x14ac:dyDescent="0.25">
      <c r="A576" s="89" t="s">
        <v>237</v>
      </c>
      <c r="B576" s="14">
        <v>4.01</v>
      </c>
      <c r="C576" s="15" t="s">
        <v>238</v>
      </c>
      <c r="D576" s="14" t="s">
        <v>44</v>
      </c>
      <c r="E576" s="2" t="s">
        <v>45</v>
      </c>
      <c r="F576" s="41">
        <v>2.5</v>
      </c>
      <c r="G576" s="35">
        <v>2.6</v>
      </c>
      <c r="H576" s="182">
        <v>0</v>
      </c>
      <c r="I576" s="13"/>
      <c r="J576" s="15"/>
      <c r="K576" s="34">
        <f>J576*$F$8</f>
        <v>0</v>
      </c>
      <c r="L576" s="28"/>
      <c r="N576" s="15"/>
      <c r="O576" s="34">
        <f>N576*$F$8</f>
        <v>0</v>
      </c>
      <c r="Q576" s="13"/>
      <c r="R576" s="15">
        <f>Q576-M576</f>
        <v>0</v>
      </c>
      <c r="S576" s="34">
        <f>R576*$F$8</f>
        <v>0</v>
      </c>
      <c r="T576" s="28"/>
      <c r="U576" s="15"/>
      <c r="V576" s="15">
        <f>U576-Q576</f>
        <v>0</v>
      </c>
      <c r="W576" s="34">
        <f>V576*$F$8</f>
        <v>0</v>
      </c>
      <c r="Y576" s="13"/>
      <c r="Z576" s="15">
        <f t="shared" ref="Z576:Z577" si="1936">Y576-U576</f>
        <v>0</v>
      </c>
      <c r="AA576" s="34">
        <f>Z576*$F$8</f>
        <v>0</v>
      </c>
      <c r="AB576" s="28"/>
      <c r="AC576" s="15"/>
      <c r="AD576" s="15">
        <f t="shared" ref="AD576:AD577" si="1937">AC576-Y576</f>
        <v>0</v>
      </c>
      <c r="AE576" s="34">
        <f>AD576*$F$8</f>
        <v>0</v>
      </c>
      <c r="AG576" s="13"/>
      <c r="AH576" s="15">
        <f t="shared" ref="AH576:AH577" si="1938">AG576-AC576</f>
        <v>0</v>
      </c>
      <c r="AI576" s="45">
        <f>AH576*$G$8</f>
        <v>0</v>
      </c>
      <c r="AJ576" s="2"/>
      <c r="AK576" s="13">
        <v>0</v>
      </c>
      <c r="AL576" s="15">
        <f t="shared" ref="AL576:AL577" si="1939">AK576-AG576</f>
        <v>0</v>
      </c>
      <c r="AM576" s="45">
        <f>AL576*$G$8</f>
        <v>0</v>
      </c>
      <c r="AN576" s="15"/>
      <c r="AO576" s="13">
        <v>0</v>
      </c>
      <c r="AP576" s="15">
        <f t="shared" ref="AP576:AP577" si="1940">AO576-AK576</f>
        <v>0</v>
      </c>
      <c r="AQ576" s="45">
        <f>AP576*$G$8</f>
        <v>0</v>
      </c>
      <c r="AR576" s="15"/>
      <c r="AS576" s="13">
        <v>0</v>
      </c>
      <c r="AT576" s="15">
        <f t="shared" ref="AT576:AT577" si="1941">AS576-AO576</f>
        <v>0</v>
      </c>
      <c r="AU576" s="45">
        <f>AT576*$G$8</f>
        <v>0</v>
      </c>
      <c r="AV576" s="15"/>
      <c r="AW576" s="13">
        <v>0</v>
      </c>
      <c r="AX576" s="2">
        <f t="shared" ref="AX576:AX577" si="1942">AW576-AS576</f>
        <v>0</v>
      </c>
      <c r="AY576" s="45">
        <f>AX576*$G$8</f>
        <v>0</v>
      </c>
      <c r="AZ576" s="208"/>
      <c r="BA576" s="13">
        <v>0</v>
      </c>
      <c r="BB576" s="15">
        <f t="shared" ref="BB576:BB577" si="1943">BA576-AW576</f>
        <v>0</v>
      </c>
      <c r="BC576" s="45">
        <f>BB576*$G$8</f>
        <v>0</v>
      </c>
      <c r="BD576" s="208"/>
      <c r="BE576" s="40">
        <f t="shared" ref="BE576:BG576" si="1944">J576+N576+R576+V576+Z576+AD576+AH576+AL576+AP576+AT576+AX576+BB576</f>
        <v>0</v>
      </c>
      <c r="BF576" s="41">
        <f t="shared" si="1944"/>
        <v>0</v>
      </c>
      <c r="BG576" s="34">
        <f t="shared" si="1944"/>
        <v>0</v>
      </c>
      <c r="BH576" s="35">
        <f t="shared" si="1935"/>
        <v>0</v>
      </c>
    </row>
    <row r="577" ht="15.75" customHeight="1" spans="1:60" x14ac:dyDescent="0.25">
      <c r="A577" s="89" t="s">
        <v>237</v>
      </c>
      <c r="B577" s="14"/>
      <c r="C577" s="15" t="s">
        <v>239</v>
      </c>
      <c r="D577" s="14" t="s">
        <v>47</v>
      </c>
      <c r="E577" s="2" t="s">
        <v>48</v>
      </c>
      <c r="F577" s="13">
        <v>18.56</v>
      </c>
      <c r="G577" s="35">
        <v>19.46</v>
      </c>
      <c r="H577" s="182">
        <v>0</v>
      </c>
      <c r="I577" s="95"/>
      <c r="J577" s="15"/>
      <c r="K577" s="15"/>
      <c r="L577" s="28"/>
      <c r="M577" s="95"/>
      <c r="Q577" s="95"/>
      <c r="R577" s="15"/>
      <c r="S577" s="15"/>
      <c r="T577" s="28"/>
      <c r="U577" s="81">
        <v>197</v>
      </c>
      <c r="V577" s="15"/>
      <c r="W577" s="34">
        <f>V577*$F$10</f>
        <v>0</v>
      </c>
      <c r="Y577" s="95">
        <v>197</v>
      </c>
      <c r="Z577" s="15">
        <f t="shared" si="1936"/>
        <v>0</v>
      </c>
      <c r="AA577" s="34">
        <f>Z577*$F$10</f>
        <v>0</v>
      </c>
      <c r="AB577" s="28"/>
      <c r="AC577" s="15">
        <v>197</v>
      </c>
      <c r="AD577" s="15">
        <f t="shared" si="1937"/>
        <v>0</v>
      </c>
      <c r="AE577" s="34">
        <f>AD577*$F$10</f>
        <v>0</v>
      </c>
      <c r="AG577" s="13">
        <v>197</v>
      </c>
      <c r="AH577" s="15">
        <f t="shared" si="1938"/>
        <v>0</v>
      </c>
      <c r="AI577" s="45">
        <f>AH577*$G$10</f>
        <v>0</v>
      </c>
      <c r="AJ577" s="2"/>
      <c r="AK577" s="13">
        <v>197</v>
      </c>
      <c r="AL577" s="15">
        <f t="shared" si="1939"/>
        <v>0</v>
      </c>
      <c r="AM577" s="45">
        <f>AL577*$G$10</f>
        <v>0</v>
      </c>
      <c r="AN577" s="15"/>
      <c r="AO577" s="13">
        <v>197</v>
      </c>
      <c r="AP577" s="15">
        <f t="shared" si="1940"/>
        <v>0</v>
      </c>
      <c r="AQ577" s="45">
        <f>AP577*$G$10</f>
        <v>0</v>
      </c>
      <c r="AR577" s="15"/>
      <c r="AS577" s="13">
        <v>197</v>
      </c>
      <c r="AT577" s="15">
        <f t="shared" si="1941"/>
        <v>0</v>
      </c>
      <c r="AU577" s="45">
        <f>AT577*$G$10</f>
        <v>0</v>
      </c>
      <c r="AV577" s="15"/>
      <c r="AW577" s="13">
        <v>197</v>
      </c>
      <c r="AX577" s="2">
        <f t="shared" si="1942"/>
        <v>0</v>
      </c>
      <c r="AY577" s="45"/>
      <c r="AZ577" s="208"/>
      <c r="BA577" s="13">
        <v>197</v>
      </c>
      <c r="BB577" s="15">
        <f t="shared" si="1943"/>
        <v>0</v>
      </c>
      <c r="BC577" s="45"/>
      <c r="BD577" s="208"/>
      <c r="BE577" s="40">
        <f t="shared" ref="BE577:BG577" si="1945">J577+N577+R577+V577+Z577+AD577+AH577+AL577+AP577+AT577+AX577+BB577</f>
        <v>0</v>
      </c>
      <c r="BF577" s="41">
        <f t="shared" si="1945"/>
        <v>0</v>
      </c>
      <c r="BG577" s="34">
        <f t="shared" si="1945"/>
        <v>0</v>
      </c>
      <c r="BH577" s="35">
        <f t="shared" si="1935"/>
        <v>0</v>
      </c>
    </row>
    <row r="578" ht="15.75" customHeight="1" spans="1:60" x14ac:dyDescent="0.25">
      <c r="A578" s="89" t="s">
        <v>237</v>
      </c>
      <c r="B578" s="14"/>
      <c r="C578" s="15" t="s">
        <v>68</v>
      </c>
      <c r="D578" s="14" t="s">
        <v>47</v>
      </c>
      <c r="E578" s="2" t="s">
        <v>49</v>
      </c>
      <c r="F578" s="41">
        <v>500</v>
      </c>
      <c r="G578" s="28"/>
      <c r="H578" s="182">
        <v>0</v>
      </c>
      <c r="I578" s="15"/>
      <c r="J578" s="15"/>
      <c r="K578" s="15"/>
      <c r="L578" s="28"/>
      <c r="Q578" s="13"/>
      <c r="R578" s="15"/>
      <c r="S578" s="15"/>
      <c r="T578" s="28"/>
      <c r="Y578" s="13"/>
      <c r="Z578" s="15"/>
      <c r="AA578" s="15"/>
      <c r="AB578" s="28"/>
      <c r="AG578" s="13"/>
      <c r="AH578" s="15"/>
      <c r="AI578" s="45"/>
      <c r="AJ578" s="15"/>
      <c r="AK578" s="13"/>
      <c r="AL578" s="15"/>
      <c r="AM578" s="45"/>
      <c r="AN578" s="15"/>
      <c r="AO578" s="13"/>
      <c r="AP578" s="15"/>
      <c r="AQ578" s="45"/>
      <c r="AR578" s="15"/>
      <c r="AS578" s="13"/>
      <c r="AT578" s="15"/>
      <c r="AU578" s="45"/>
      <c r="AV578" s="15"/>
      <c r="AW578" s="13"/>
      <c r="AY578" s="45"/>
      <c r="AZ578" s="28"/>
      <c r="BA578" s="13"/>
      <c r="BB578" s="15"/>
      <c r="BC578" s="45"/>
      <c r="BD578" s="28"/>
      <c r="BE578" s="14"/>
      <c r="BF578" s="41">
        <f t="shared" ref="BF578:BG578" si="1946">K578+O578+S578+W578+AA578+AE578+AI578+AM578+AQ578+AU578+AY578+BC578</f>
        <v>0</v>
      </c>
      <c r="BG578" s="34">
        <f t="shared" si="1946"/>
        <v>0</v>
      </c>
      <c r="BH578" s="35">
        <f t="shared" si="1935"/>
        <v>0</v>
      </c>
    </row>
    <row r="579" ht="15.75" customHeight="1" spans="1:60" x14ac:dyDescent="0.25">
      <c r="A579" s="89" t="s">
        <v>237</v>
      </c>
      <c r="B579" s="14"/>
      <c r="C579" s="15" t="s">
        <v>240</v>
      </c>
      <c r="D579" s="14" t="s">
        <v>50</v>
      </c>
      <c r="E579" s="2" t="s">
        <v>49</v>
      </c>
      <c r="F579" s="41">
        <v>1100</v>
      </c>
      <c r="G579" s="28"/>
      <c r="H579" s="182">
        <v>0</v>
      </c>
      <c r="I579" s="15"/>
      <c r="J579" s="15"/>
      <c r="K579" s="15"/>
      <c r="L579" s="28"/>
      <c r="Q579" s="13"/>
      <c r="R579" s="15"/>
      <c r="S579" s="15"/>
      <c r="T579" s="28"/>
      <c r="Y579" s="13"/>
      <c r="Z579" s="15"/>
      <c r="AA579" s="15"/>
      <c r="AB579" s="28"/>
      <c r="AE579" s="34">
        <f>B576*$F$12</f>
        <v>4411</v>
      </c>
      <c r="AG579" s="13"/>
      <c r="AH579" s="15"/>
      <c r="AI579" s="45"/>
      <c r="AJ579" s="185">
        <v>3000</v>
      </c>
      <c r="AK579" s="13"/>
      <c r="AL579" s="15"/>
      <c r="AM579" s="45"/>
      <c r="AN579" s="15"/>
      <c r="AO579" s="13"/>
      <c r="AP579" s="15"/>
      <c r="AQ579" s="45"/>
      <c r="AR579" s="15"/>
      <c r="AS579" s="13"/>
      <c r="AT579" s="15"/>
      <c r="AU579" s="45"/>
      <c r="AV579" s="15"/>
      <c r="AW579" s="13"/>
      <c r="AY579" s="45"/>
      <c r="AZ579" s="28"/>
      <c r="BA579" s="13"/>
      <c r="BB579" s="15"/>
      <c r="BC579" s="45"/>
      <c r="BD579" s="28"/>
      <c r="BE579" s="14"/>
      <c r="BF579" s="41">
        <f t="shared" ref="BF579:BG579" si="1947">K579+O579+S579+W579+AA579+AE579+AI579+AM579+AQ579+AU579+AY579+BC579</f>
        <v>4411</v>
      </c>
      <c r="BG579" s="34">
        <f t="shared" si="1947"/>
        <v>3000</v>
      </c>
      <c r="BH579" s="35">
        <f t="shared" si="1935"/>
        <v>1411</v>
      </c>
    </row>
    <row r="580" ht="15.75" customHeight="1" spans="1:60" x14ac:dyDescent="0.25">
      <c r="A580" s="89" t="s">
        <v>237</v>
      </c>
      <c r="B580" s="14"/>
      <c r="D580" s="14" t="s">
        <v>51</v>
      </c>
      <c r="E580" s="2" t="s">
        <v>39</v>
      </c>
      <c r="F580" s="41">
        <v>500</v>
      </c>
      <c r="G580" s="28"/>
      <c r="H580" s="182">
        <v>0</v>
      </c>
      <c r="I580" s="15"/>
      <c r="J580" s="15"/>
      <c r="K580" s="15"/>
      <c r="L580" s="28"/>
      <c r="Q580" s="13"/>
      <c r="R580" s="15"/>
      <c r="S580" s="15"/>
      <c r="T580" s="28"/>
      <c r="Y580" s="13"/>
      <c r="Z580" s="15"/>
      <c r="AA580" s="15"/>
      <c r="AB580" s="28"/>
      <c r="AE580" s="34"/>
      <c r="AG580" s="13"/>
      <c r="AH580" s="15"/>
      <c r="AI580" s="45"/>
      <c r="AJ580" s="180"/>
      <c r="AK580" s="13"/>
      <c r="AL580" s="15"/>
      <c r="AM580" s="45"/>
      <c r="AN580" s="15"/>
      <c r="AO580" s="13"/>
      <c r="AP580" s="15"/>
      <c r="AQ580" s="45">
        <f>$F$13</f>
        <v>500</v>
      </c>
      <c r="AR580" s="15"/>
      <c r="AS580" s="13"/>
      <c r="AT580" s="15"/>
      <c r="AU580" s="45"/>
      <c r="AV580" s="15"/>
      <c r="AW580" s="13"/>
      <c r="AY580" s="45"/>
      <c r="AZ580" s="28"/>
      <c r="BA580" s="13"/>
      <c r="BB580" s="15"/>
      <c r="BC580" s="45"/>
      <c r="BD580" s="28"/>
      <c r="BE580" s="14"/>
      <c r="BF580" s="41">
        <f t="shared" ref="BF580:BG580" si="1948">K580+O580+S580+W580+AA580+AE580+AI580+AM580+AQ580+AU580+AY580+BC580</f>
        <v>500</v>
      </c>
      <c r="BG580" s="34">
        <f t="shared" si="1948"/>
        <v>0</v>
      </c>
      <c r="BH580" s="35">
        <f t="shared" si="1935"/>
        <v>500</v>
      </c>
    </row>
    <row r="581" ht="15.75" customHeight="1" spans="1:60" x14ac:dyDescent="0.25">
      <c r="A581" s="89" t="s">
        <v>237</v>
      </c>
      <c r="B581" s="14"/>
      <c r="D581" s="14" t="s">
        <v>51</v>
      </c>
      <c r="E581" s="2" t="s">
        <v>49</v>
      </c>
      <c r="F581" s="41">
        <v>500</v>
      </c>
      <c r="G581" s="28"/>
      <c r="H581" s="182"/>
      <c r="I581" s="15"/>
      <c r="J581" s="15"/>
      <c r="K581" s="15"/>
      <c r="L581" s="28"/>
      <c r="Q581" s="13"/>
      <c r="R581" s="15"/>
      <c r="S581" s="15"/>
      <c r="T581" s="28"/>
      <c r="Y581" s="13"/>
      <c r="Z581" s="15"/>
      <c r="AA581" s="15"/>
      <c r="AB581" s="28"/>
      <c r="AE581" s="34"/>
      <c r="AG581" s="13"/>
      <c r="AH581" s="15"/>
      <c r="AI581" s="45"/>
      <c r="AJ581" s="180"/>
      <c r="AK581" s="13"/>
      <c r="AL581" s="15"/>
      <c r="AM581" s="45"/>
      <c r="AN581" s="15"/>
      <c r="AO581" s="13"/>
      <c r="AP581" s="15"/>
      <c r="AQ581" s="34">
        <f>B576*$F$14</f>
        <v>2005</v>
      </c>
      <c r="AR581" s="15"/>
      <c r="AS581" s="13"/>
      <c r="AT581" s="15"/>
      <c r="AU581" s="45"/>
      <c r="AV581" s="15"/>
      <c r="AW581" s="13"/>
      <c r="AY581" s="45"/>
      <c r="AZ581" s="28"/>
      <c r="BA581" s="13"/>
      <c r="BB581" s="15"/>
      <c r="BC581" s="45"/>
      <c r="BD581" s="28"/>
      <c r="BE581" s="14"/>
      <c r="BF581" s="41">
        <f t="shared" ref="BF581:BG581" si="1949">K581+O581+S581+W581+AA581+AE581+AI581+AM581+AQ581+AU581+AY581+BC581</f>
        <v>2005</v>
      </c>
      <c r="BG581" s="34">
        <f t="shared" si="1949"/>
        <v>0</v>
      </c>
      <c r="BH581" s="35">
        <f t="shared" si="1935"/>
        <v>2005</v>
      </c>
    </row>
    <row r="582" ht="15.75" customHeight="1" spans="1:60" x14ac:dyDescent="0.25">
      <c r="A582" s="89" t="s">
        <v>237</v>
      </c>
      <c r="B582" s="14"/>
      <c r="D582" s="14" t="s">
        <v>52</v>
      </c>
      <c r="E582" s="2" t="s">
        <v>39</v>
      </c>
      <c r="F582" s="41">
        <v>500</v>
      </c>
      <c r="G582" s="28"/>
      <c r="H582" s="182">
        <v>0</v>
      </c>
      <c r="I582" s="15"/>
      <c r="J582" s="15"/>
      <c r="K582" s="15"/>
      <c r="L582" s="28"/>
      <c r="Q582" s="13"/>
      <c r="R582" s="15"/>
      <c r="S582" s="15"/>
      <c r="T582" s="28"/>
      <c r="Y582" s="13"/>
      <c r="Z582" s="15"/>
      <c r="AA582" s="34">
        <f>$F$11</f>
        <v>500</v>
      </c>
      <c r="AB582" s="28"/>
      <c r="AG582" s="13"/>
      <c r="AH582" s="15"/>
      <c r="AI582" s="45"/>
      <c r="AJ582" s="180"/>
      <c r="AK582" s="13"/>
      <c r="AL582" s="15"/>
      <c r="AM582" s="45"/>
      <c r="AN582" s="15"/>
      <c r="AO582" s="13"/>
      <c r="AP582" s="15"/>
      <c r="AQ582" s="45"/>
      <c r="AR582" s="15"/>
      <c r="AS582" s="13"/>
      <c r="AT582" s="15"/>
      <c r="AU582" s="45"/>
      <c r="AV582" s="15"/>
      <c r="AW582" s="13"/>
      <c r="AY582" s="45"/>
      <c r="AZ582" s="35"/>
      <c r="BA582" s="13"/>
      <c r="BB582" s="15"/>
      <c r="BC582" s="45"/>
      <c r="BD582" s="35"/>
      <c r="BE582" s="14"/>
      <c r="BF582" s="41">
        <f t="shared" ref="BF582:BG582" si="1950">K582+O582+S582+W582+AA582+AE582+AI582+AM582+AQ582+AU582+AY582+BC582</f>
        <v>500</v>
      </c>
      <c r="BG582" s="34">
        <f t="shared" si="1950"/>
        <v>0</v>
      </c>
      <c r="BH582" s="35">
        <f t="shared" si="1935"/>
        <v>500</v>
      </c>
    </row>
    <row r="583" ht="15.75" customHeight="1" spans="1:62" x14ac:dyDescent="0.25">
      <c r="A583" s="243" t="s">
        <v>237</v>
      </c>
      <c r="B583" s="21"/>
      <c r="C583" s="22" t="s">
        <v>53</v>
      </c>
      <c r="D583" s="21"/>
      <c r="E583" s="22"/>
      <c r="F583" s="20"/>
      <c r="G583" s="23"/>
      <c r="H583" s="51">
        <f>SUM(H575:H582)</f>
        <v>0</v>
      </c>
      <c r="I583" s="53"/>
      <c r="J583" s="53"/>
      <c r="K583" s="51">
        <f t="shared" ref="K583:L583" si="1951">SUM(K575:K582)</f>
        <v>0</v>
      </c>
      <c r="L583" s="68">
        <f t="shared" si="1951"/>
        <v>0</v>
      </c>
      <c r="M583" s="53"/>
      <c r="N583" s="53"/>
      <c r="O583" s="51">
        <f t="shared" ref="O583:P583" si="1952">SUM(O575:O582)</f>
        <v>0</v>
      </c>
      <c r="P583" s="51">
        <f t="shared" si="1952"/>
        <v>0</v>
      </c>
      <c r="Q583" s="52"/>
      <c r="R583" s="53"/>
      <c r="S583" s="51">
        <f t="shared" ref="S583:T583" si="1953">SUM(S575:S582)</f>
        <v>0</v>
      </c>
      <c r="T583" s="51">
        <f t="shared" si="1953"/>
        <v>0</v>
      </c>
      <c r="U583" s="52"/>
      <c r="V583" s="53"/>
      <c r="W583" s="51">
        <f t="shared" ref="W583:X583" si="1954">SUM(W575:W582)</f>
        <v>0</v>
      </c>
      <c r="X583" s="51">
        <f t="shared" si="1954"/>
        <v>0</v>
      </c>
      <c r="Y583" s="52"/>
      <c r="Z583" s="53"/>
      <c r="AA583" s="51">
        <f t="shared" ref="AA583:AB583" si="1955">SUM(AA575:AA582)</f>
        <v>500</v>
      </c>
      <c r="AB583" s="51">
        <f t="shared" si="1955"/>
        <v>0</v>
      </c>
      <c r="AC583" s="52"/>
      <c r="AD583" s="53"/>
      <c r="AE583" s="51">
        <f t="shared" ref="AE583:AF583" si="1956">SUM(AE575:AE582)</f>
        <v>4411</v>
      </c>
      <c r="AF583" s="51">
        <f t="shared" si="1956"/>
        <v>0</v>
      </c>
      <c r="AG583" s="52"/>
      <c r="AH583" s="53"/>
      <c r="AI583" s="183">
        <f t="shared" ref="AI583:AJ583" si="1957">SUM(AI575:AI582)</f>
        <v>0</v>
      </c>
      <c r="AJ583" s="51">
        <f t="shared" si="1957"/>
        <v>3000</v>
      </c>
      <c r="AK583" s="52"/>
      <c r="AL583" s="53"/>
      <c r="AM583" s="183">
        <f t="shared" ref="AM583:AN583" si="1958">SUM(AM575:AM582)</f>
        <v>0</v>
      </c>
      <c r="AN583" s="51">
        <f t="shared" si="1958"/>
        <v>0</v>
      </c>
      <c r="AO583" s="52"/>
      <c r="AP583" s="53"/>
      <c r="AQ583" s="183">
        <f t="shared" ref="AQ583:AR583" si="1959">SUM(AQ575:AQ582)</f>
        <v>2509.23</v>
      </c>
      <c r="AR583" s="51">
        <f t="shared" si="1959"/>
        <v>0</v>
      </c>
      <c r="AS583" s="52"/>
      <c r="AT583" s="53"/>
      <c r="AU583" s="183">
        <f t="shared" ref="AU583:AV583" si="1960">SUM(AU575:AU582)</f>
        <v>4.37</v>
      </c>
      <c r="AV583" s="68">
        <f t="shared" si="1960"/>
        <v>0</v>
      </c>
      <c r="AW583" s="52"/>
      <c r="AX583" s="53"/>
      <c r="AY583" s="183">
        <f t="shared" ref="AY583:AZ583" si="1961">SUM(AY575:AY582)</f>
        <v>4.23</v>
      </c>
      <c r="AZ583" s="68">
        <f t="shared" si="1961"/>
        <v>0</v>
      </c>
      <c r="BA583" s="52"/>
      <c r="BB583" s="53"/>
      <c r="BC583" s="183">
        <f t="shared" ref="BC583:BD583" si="1962">SUM(BC575:BC582)</f>
        <v>4.37</v>
      </c>
      <c r="BD583" s="68">
        <f t="shared" si="1962"/>
        <v>0</v>
      </c>
      <c r="BE583" s="69"/>
      <c r="BF583" s="70">
        <f t="shared" ref="BF583:BH583" si="1963">SUM(BF575:BF582)</f>
        <v>7433.2</v>
      </c>
      <c r="BG583" s="71">
        <f t="shared" si="1963"/>
        <v>3000</v>
      </c>
      <c r="BH583" s="72">
        <f t="shared" si="1963"/>
        <v>4433.2</v>
      </c>
      <c r="BI583" s="34">
        <f>H583+BF583-BG583</f>
        <v>4433.2</v>
      </c>
      <c r="BJ583" s="34">
        <f>BH583-BI583</f>
        <v>0</v>
      </c>
    </row>
    <row r="584" ht="15.75" customHeight="1" hidden="1" spans="1:63" x14ac:dyDescent="0.25">
      <c r="A584" s="2">
        <v>64</v>
      </c>
      <c r="B584" s="14"/>
      <c r="D584" s="14" t="s">
        <v>379</v>
      </c>
      <c r="F584" s="13"/>
      <c r="G584" s="28"/>
      <c r="H584" s="34">
        <f>'2019'!BH488</f>
        <v>0</v>
      </c>
      <c r="J584" s="15"/>
      <c r="K584" s="15"/>
      <c r="L584" s="28"/>
      <c r="Q584" s="13"/>
      <c r="R584" s="15"/>
      <c r="S584" s="15"/>
      <c r="T584" s="28"/>
      <c r="Y584" s="13"/>
      <c r="Z584" s="15"/>
      <c r="AA584" s="15"/>
      <c r="AB584" s="28"/>
      <c r="AG584" s="13"/>
      <c r="AH584" s="15"/>
      <c r="AI584" s="45"/>
      <c r="AJ584" s="15"/>
      <c r="AK584" s="13"/>
      <c r="AM584" s="45"/>
      <c r="AO584" s="13"/>
      <c r="AQ584" s="45"/>
      <c r="AS584" s="13"/>
      <c r="AU584" s="45"/>
      <c r="AW584" s="13"/>
      <c r="AY584" s="45"/>
      <c r="AZ584" s="28"/>
      <c r="BA584" s="13"/>
      <c r="BB584" s="15"/>
      <c r="BC584" s="45"/>
      <c r="BD584" s="28"/>
      <c r="BE584" s="14"/>
      <c r="BF584" s="41">
        <f t="shared" ref="BF584:BG584" si="1964">K584+O584+S584+W584+AA584+AE584+AI584+AM584+AQ584+AU584+AY584+BC584</f>
        <v>0</v>
      </c>
      <c r="BG584" s="34">
        <f t="shared" si="1964"/>
        <v>0</v>
      </c>
      <c r="BH584" s="35">
        <f t="shared" ref="BH584:BH591" si="1965">H584+BF584-BG584</f>
        <v>0</v>
      </c>
      <c r="BK584" s="2" t="b">
        <f>H584='2019'!BH488</f>
        <v>1</v>
      </c>
    </row>
    <row r="585" ht="15.75" customHeight="1" hidden="1" spans="1:63" x14ac:dyDescent="0.25">
      <c r="A585" s="2">
        <v>64</v>
      </c>
      <c r="B585" s="14">
        <v>4.24</v>
      </c>
      <c r="C585" s="2" t="s">
        <v>241</v>
      </c>
      <c r="D585" s="14" t="s">
        <v>44</v>
      </c>
      <c r="E585" s="2" t="s">
        <v>45</v>
      </c>
      <c r="F585" s="41">
        <v>2.5</v>
      </c>
      <c r="G585" s="35">
        <v>2.6</v>
      </c>
      <c r="H585" s="34">
        <f>'2019'!BH489</f>
        <v>-226.69</v>
      </c>
      <c r="I585" s="13">
        <v>328</v>
      </c>
      <c r="J585" s="15">
        <f>I585-'2019'!BA489</f>
        <v>0</v>
      </c>
      <c r="K585" s="34">
        <f>J585*$F$8</f>
        <v>0</v>
      </c>
      <c r="L585" s="28"/>
      <c r="M585" s="2">
        <v>328</v>
      </c>
      <c r="N585" s="15">
        <f>M585-I585</f>
        <v>0</v>
      </c>
      <c r="O585" s="34">
        <f>N585*$F$8</f>
        <v>0</v>
      </c>
      <c r="Q585" s="13">
        <v>328</v>
      </c>
      <c r="R585" s="15">
        <f>Q585-M585</f>
        <v>0</v>
      </c>
      <c r="S585" s="34">
        <f>R585*$F$8</f>
        <v>0</v>
      </c>
      <c r="T585" s="28"/>
      <c r="U585" s="15">
        <v>328</v>
      </c>
      <c r="V585" s="15">
        <f t="shared" ref="V585:V586" si="1966">U585-Q585</f>
        <v>0</v>
      </c>
      <c r="W585" s="34">
        <f>V585*$F$8</f>
        <v>0</v>
      </c>
      <c r="Y585" s="13">
        <v>340</v>
      </c>
      <c r="Z585" s="15">
        <f t="shared" ref="Z585:Z586" si="1967">Y585-U585</f>
        <v>12</v>
      </c>
      <c r="AA585" s="34">
        <f>Z585*$F$8</f>
        <v>30</v>
      </c>
      <c r="AB585" s="28"/>
      <c r="AC585" s="15">
        <v>362</v>
      </c>
      <c r="AD585" s="15">
        <f t="shared" ref="AD585:AD586" si="1968">AC585-Y585</f>
        <v>22</v>
      </c>
      <c r="AE585" s="34">
        <f>AD585*$F$8</f>
        <v>55</v>
      </c>
      <c r="AF585" s="34"/>
      <c r="AG585" s="13">
        <v>383</v>
      </c>
      <c r="AH585" s="15">
        <f t="shared" ref="AH585:AH586" si="1969">AG585-AC585</f>
        <v>21</v>
      </c>
      <c r="AI585" s="45">
        <f>AH585*$G$8</f>
        <v>54.6</v>
      </c>
      <c r="AJ585" s="180"/>
      <c r="AK585" s="13">
        <v>397</v>
      </c>
      <c r="AL585" s="15">
        <f t="shared" ref="AL585:AL586" si="1970">AK585-AG585</f>
        <v>14</v>
      </c>
      <c r="AM585" s="45">
        <f>AL585*$G$8</f>
        <v>36.4</v>
      </c>
      <c r="AN585" s="133">
        <f>75</f>
        <v>75</v>
      </c>
      <c r="AO585" s="13">
        <v>406</v>
      </c>
      <c r="AP585" s="15">
        <f t="shared" ref="AP585:AP586" si="1971">AO585-AK585</f>
        <v>9</v>
      </c>
      <c r="AQ585" s="45">
        <f>AP585*$G$8</f>
        <v>23.4</v>
      </c>
      <c r="AR585" s="15"/>
      <c r="AS585" s="13">
        <v>408</v>
      </c>
      <c r="AT585" s="15">
        <f t="shared" ref="AT585:AT586" si="1972">AS585-AO585</f>
        <v>2</v>
      </c>
      <c r="AU585" s="45">
        <f>AT585*$G$8</f>
        <v>5.2</v>
      </c>
      <c r="AV585" s="15"/>
      <c r="AW585" s="13">
        <v>408</v>
      </c>
      <c r="AX585" s="2">
        <f t="shared" ref="AX585:AX586" si="1973">AW585-AS585</f>
        <v>0</v>
      </c>
      <c r="AY585" s="45">
        <f>AX585*$G$8</f>
        <v>0</v>
      </c>
      <c r="AZ585" s="208"/>
      <c r="BA585" s="13">
        <v>408</v>
      </c>
      <c r="BB585" s="15">
        <f t="shared" ref="BB585:BB586" si="1974">BA585-AW585</f>
        <v>0</v>
      </c>
      <c r="BC585" s="45">
        <f>BB585*$G$8</f>
        <v>0</v>
      </c>
      <c r="BD585" s="208"/>
      <c r="BE585" s="40">
        <f t="shared" ref="BE585:BG585" si="1975">J585+N585+R585+V585+Z585+AD585+AH585+AL585+AP585+AT585+AX585+BB585</f>
        <v>80</v>
      </c>
      <c r="BF585" s="41">
        <f t="shared" si="1975"/>
        <v>204.6</v>
      </c>
      <c r="BG585" s="34">
        <f t="shared" si="1975"/>
        <v>75</v>
      </c>
      <c r="BH585" s="35">
        <f t="shared" si="1965"/>
        <v>-97.09</v>
      </c>
      <c r="BK585" s="2" t="b">
        <f>H585='2019'!BH489</f>
        <v>1</v>
      </c>
    </row>
    <row r="586" ht="15.75" customHeight="1" hidden="1" spans="1:63" x14ac:dyDescent="0.25">
      <c r="A586" s="2">
        <v>64</v>
      </c>
      <c r="B586" s="14"/>
      <c r="C586" s="2" t="s">
        <v>153</v>
      </c>
      <c r="D586" s="14" t="s">
        <v>47</v>
      </c>
      <c r="E586" s="2" t="s">
        <v>48</v>
      </c>
      <c r="F586" s="13">
        <v>18.56</v>
      </c>
      <c r="G586" s="35">
        <v>19.46</v>
      </c>
      <c r="H586" s="34">
        <f>'2019'!BH490</f>
        <v>-627.4</v>
      </c>
      <c r="I586" s="75">
        <v>67</v>
      </c>
      <c r="J586" s="15"/>
      <c r="K586" s="15"/>
      <c r="L586" s="28"/>
      <c r="M586" s="75">
        <v>67</v>
      </c>
      <c r="Q586" s="75">
        <v>67</v>
      </c>
      <c r="R586" s="15"/>
      <c r="S586" s="15"/>
      <c r="T586" s="28"/>
      <c r="U586" s="2">
        <v>75</v>
      </c>
      <c r="V586" s="2">
        <f t="shared" si="1966"/>
        <v>8</v>
      </c>
      <c r="W586" s="2">
        <f>V586*$F$10</f>
        <v>148.48</v>
      </c>
      <c r="Y586" s="13">
        <v>75</v>
      </c>
      <c r="Z586" s="15">
        <f t="shared" si="1967"/>
        <v>0</v>
      </c>
      <c r="AA586" s="34">
        <f>Z586*$F$10</f>
        <v>0</v>
      </c>
      <c r="AB586" s="35"/>
      <c r="AC586" s="15">
        <v>85</v>
      </c>
      <c r="AD586" s="15">
        <f t="shared" si="1968"/>
        <v>10</v>
      </c>
      <c r="AE586" s="34">
        <f>AD586*$F$10</f>
        <v>185.6</v>
      </c>
      <c r="AF586" s="34"/>
      <c r="AG586" s="13">
        <v>85</v>
      </c>
      <c r="AH586" s="15">
        <f t="shared" si="1969"/>
        <v>0</v>
      </c>
      <c r="AI586" s="45">
        <f>AH586*$G$10</f>
        <v>0</v>
      </c>
      <c r="AJ586" s="180"/>
      <c r="AK586" s="13">
        <v>105</v>
      </c>
      <c r="AL586" s="15">
        <f t="shared" si="1970"/>
        <v>20</v>
      </c>
      <c r="AM586" s="45">
        <f>AL586*$G$10</f>
        <v>389.2</v>
      </c>
      <c r="AN586" s="133">
        <f>95.88+165.02</f>
        <v>260.9</v>
      </c>
      <c r="AO586" s="13">
        <v>105</v>
      </c>
      <c r="AP586" s="15">
        <f t="shared" si="1971"/>
        <v>0</v>
      </c>
      <c r="AQ586" s="45">
        <f>AP586*$G$10</f>
        <v>0</v>
      </c>
      <c r="AR586" s="15"/>
      <c r="AS586" s="13">
        <v>105</v>
      </c>
      <c r="AT586" s="15">
        <f t="shared" si="1972"/>
        <v>0</v>
      </c>
      <c r="AU586" s="45">
        <f>AT586*$G$10</f>
        <v>0</v>
      </c>
      <c r="AV586" s="15"/>
      <c r="AW586" s="13">
        <v>105</v>
      </c>
      <c r="AX586" s="2">
        <f t="shared" si="1973"/>
        <v>0</v>
      </c>
      <c r="AY586" s="45"/>
      <c r="AZ586" s="208"/>
      <c r="BA586" s="13">
        <v>105</v>
      </c>
      <c r="BB586" s="15">
        <f t="shared" si="1974"/>
        <v>0</v>
      </c>
      <c r="BC586" s="45"/>
      <c r="BD586" s="208"/>
      <c r="BE586" s="40">
        <f t="shared" ref="BE586:BG586" si="1976">J586+N586+R586+V586+Z586+AD586+AH586+AL586+AP586+AT586+AX586+BB586</f>
        <v>38</v>
      </c>
      <c r="BF586" s="41">
        <f t="shared" si="1976"/>
        <v>723.28</v>
      </c>
      <c r="BG586" s="34">
        <f t="shared" si="1976"/>
        <v>260.9</v>
      </c>
      <c r="BH586" s="35">
        <f t="shared" si="1965"/>
        <v>-165.02</v>
      </c>
      <c r="BK586" s="2" t="b">
        <f>H586='2019'!BH490</f>
        <v>1</v>
      </c>
    </row>
    <row r="587" ht="15.75" customHeight="1" hidden="1" spans="1:63" x14ac:dyDescent="0.25">
      <c r="A587" s="2">
        <v>64</v>
      </c>
      <c r="B587" s="14"/>
      <c r="C587" s="2" t="s">
        <v>242</v>
      </c>
      <c r="D587" s="14" t="s">
        <v>47</v>
      </c>
      <c r="E587" s="2" t="s">
        <v>49</v>
      </c>
      <c r="F587" s="41">
        <v>500</v>
      </c>
      <c r="G587" s="28"/>
      <c r="H587" s="34">
        <f>'2019'!BH491</f>
        <v>0</v>
      </c>
      <c r="I587" s="15"/>
      <c r="J587" s="15"/>
      <c r="K587" s="15"/>
      <c r="L587" s="28"/>
      <c r="Q587" s="13"/>
      <c r="R587" s="15"/>
      <c r="S587" s="15"/>
      <c r="T587" s="28"/>
      <c r="Y587" s="13"/>
      <c r="Z587" s="15"/>
      <c r="AA587" s="15"/>
      <c r="AB587" s="28"/>
      <c r="AG587" s="13"/>
      <c r="AH587" s="15"/>
      <c r="AI587" s="45"/>
      <c r="AJ587" s="15"/>
      <c r="AK587" s="13"/>
      <c r="AL587" s="15"/>
      <c r="AM587" s="45"/>
      <c r="AN587" s="15"/>
      <c r="AO587" s="13"/>
      <c r="AP587" s="15"/>
      <c r="AQ587" s="45"/>
      <c r="AR587" s="15"/>
      <c r="AS587" s="13"/>
      <c r="AT587" s="15"/>
      <c r="AU587" s="45"/>
      <c r="AV587" s="15"/>
      <c r="AW587" s="13"/>
      <c r="AY587" s="45"/>
      <c r="AZ587" s="28"/>
      <c r="BA587" s="13"/>
      <c r="BB587" s="15"/>
      <c r="BC587" s="45"/>
      <c r="BD587" s="28"/>
      <c r="BE587" s="14"/>
      <c r="BF587" s="41">
        <f t="shared" ref="BF587:BG587" si="1977">K587+O587+S587+W587+AA587+AE587+AI587+AM587+AQ587+AU587+AY587+BC587</f>
        <v>0</v>
      </c>
      <c r="BG587" s="34">
        <f t="shared" si="1977"/>
        <v>0</v>
      </c>
      <c r="BH587" s="35">
        <f t="shared" si="1965"/>
        <v>0</v>
      </c>
      <c r="BK587" s="2" t="b">
        <f>H587='2019'!BH491</f>
        <v>1</v>
      </c>
    </row>
    <row r="588" ht="15.75" customHeight="1" hidden="1" spans="1:63" x14ac:dyDescent="0.25">
      <c r="A588" s="2">
        <v>64</v>
      </c>
      <c r="B588" s="14"/>
      <c r="C588" s="2" t="s">
        <v>243</v>
      </c>
      <c r="D588" s="14" t="s">
        <v>50</v>
      </c>
      <c r="E588" s="2" t="s">
        <v>49</v>
      </c>
      <c r="F588" s="41">
        <v>1100</v>
      </c>
      <c r="G588" s="28"/>
      <c r="H588" s="182">
        <f>'2019'!BH492-0.0012</f>
        <v>0.1</v>
      </c>
      <c r="I588" s="15"/>
      <c r="J588" s="15"/>
      <c r="K588" s="15"/>
      <c r="L588" s="28"/>
      <c r="Q588" s="13"/>
      <c r="R588" s="15"/>
      <c r="S588" s="15"/>
      <c r="T588" s="28"/>
      <c r="Y588" s="13"/>
      <c r="Z588" s="15"/>
      <c r="AA588" s="15"/>
      <c r="AB588" s="28"/>
      <c r="AE588" s="34">
        <f>B585*$F$12</f>
        <v>4664</v>
      </c>
      <c r="AF588" s="133">
        <f>4664-164</f>
        <v>4500</v>
      </c>
      <c r="AG588" s="13"/>
      <c r="AH588" s="15"/>
      <c r="AI588" s="45"/>
      <c r="AJ588" s="180"/>
      <c r="AK588" s="13"/>
      <c r="AL588" s="15"/>
      <c r="AM588" s="45"/>
      <c r="AN588" s="133">
        <v>164.1</v>
      </c>
      <c r="AO588" s="13"/>
      <c r="AP588" s="15"/>
      <c r="AQ588" s="45"/>
      <c r="AR588" s="15"/>
      <c r="AS588" s="13"/>
      <c r="AT588" s="15"/>
      <c r="AU588" s="45"/>
      <c r="AV588" s="15"/>
      <c r="AW588" s="13"/>
      <c r="AY588" s="45"/>
      <c r="AZ588" s="28"/>
      <c r="BA588" s="13"/>
      <c r="BB588" s="15"/>
      <c r="BC588" s="45"/>
      <c r="BD588" s="28"/>
      <c r="BE588" s="14"/>
      <c r="BF588" s="41">
        <f t="shared" ref="BF588:BG588" si="1978">K588+O588+S588+W588+AA588+AE588+AI588+AM588+AQ588+AU588+AY588+BC588</f>
        <v>4664</v>
      </c>
      <c r="BG588" s="34">
        <f t="shared" si="1978"/>
        <v>4664.1</v>
      </c>
      <c r="BH588" s="35">
        <f t="shared" si="1965"/>
        <v>0</v>
      </c>
      <c r="BK588" s="2" t="b">
        <f>H588='2019'!BH492</f>
        <v>0</v>
      </c>
    </row>
    <row r="589" ht="15.75" customHeight="1" hidden="1" spans="1:63" x14ac:dyDescent="0.25">
      <c r="A589" s="2">
        <v>64</v>
      </c>
      <c r="B589" s="14"/>
      <c r="D589" s="14" t="s">
        <v>51</v>
      </c>
      <c r="E589" s="2" t="s">
        <v>39</v>
      </c>
      <c r="F589" s="41">
        <v>500</v>
      </c>
      <c r="G589" s="28"/>
      <c r="H589" s="34">
        <f>'2019'!BH493</f>
        <v>0</v>
      </c>
      <c r="I589" s="15"/>
      <c r="J589" s="15"/>
      <c r="K589" s="15"/>
      <c r="L589" s="28"/>
      <c r="Q589" s="13"/>
      <c r="R589" s="15"/>
      <c r="S589" s="15"/>
      <c r="T589" s="28"/>
      <c r="Y589" s="13"/>
      <c r="Z589" s="15"/>
      <c r="AA589" s="15"/>
      <c r="AB589" s="28"/>
      <c r="AE589" s="34"/>
      <c r="AG589" s="13"/>
      <c r="AH589" s="15"/>
      <c r="AI589" s="45"/>
      <c r="AJ589" s="180"/>
      <c r="AK589" s="13"/>
      <c r="AL589" s="15"/>
      <c r="AM589" s="45"/>
      <c r="AN589" s="15"/>
      <c r="AO589" s="13"/>
      <c r="AP589" s="15"/>
      <c r="AQ589" s="45">
        <f>$F$13</f>
        <v>500</v>
      </c>
      <c r="AR589" s="15"/>
      <c r="AS589" s="13"/>
      <c r="AT589" s="15"/>
      <c r="AU589" s="45"/>
      <c r="AV589" s="15"/>
      <c r="AW589" s="13"/>
      <c r="AY589" s="45"/>
      <c r="AZ589" s="28"/>
      <c r="BA589" s="13"/>
      <c r="BB589" s="15"/>
      <c r="BC589" s="45"/>
      <c r="BD589" s="28"/>
      <c r="BE589" s="14"/>
      <c r="BF589" s="41">
        <f t="shared" ref="BF589:BG589" si="1979">K589+O589+S589+W589+AA589+AE589+AI589+AM589+AQ589+AU589+AY589+BC589</f>
        <v>500</v>
      </c>
      <c r="BG589" s="34">
        <f t="shared" si="1979"/>
        <v>0</v>
      </c>
      <c r="BH589" s="35">
        <f t="shared" si="1965"/>
        <v>500</v>
      </c>
      <c r="BK589" s="2" t="b">
        <f>H589='2019'!BH493</f>
        <v>1</v>
      </c>
    </row>
    <row r="590" ht="15.75" customHeight="1" hidden="1" spans="1:60" x14ac:dyDescent="0.25">
      <c r="A590" s="2">
        <v>64</v>
      </c>
      <c r="B590" s="14"/>
      <c r="D590" s="14" t="s">
        <v>51</v>
      </c>
      <c r="E590" s="2" t="s">
        <v>49</v>
      </c>
      <c r="F590" s="41">
        <v>500</v>
      </c>
      <c r="G590" s="28"/>
      <c r="H590" s="34"/>
      <c r="I590" s="15"/>
      <c r="J590" s="15"/>
      <c r="K590" s="15"/>
      <c r="L590" s="28"/>
      <c r="Q590" s="13"/>
      <c r="R590" s="15"/>
      <c r="S590" s="15"/>
      <c r="T590" s="28"/>
      <c r="Y590" s="13"/>
      <c r="Z590" s="15"/>
      <c r="AA590" s="15"/>
      <c r="AB590" s="28"/>
      <c r="AE590" s="34"/>
      <c r="AG590" s="13"/>
      <c r="AH590" s="15"/>
      <c r="AI590" s="45"/>
      <c r="AJ590" s="180"/>
      <c r="AK590" s="13"/>
      <c r="AL590" s="15"/>
      <c r="AM590" s="45"/>
      <c r="AN590" s="15"/>
      <c r="AO590" s="13"/>
      <c r="AP590" s="15"/>
      <c r="AQ590" s="34">
        <f>B585*$F$14</f>
        <v>2120</v>
      </c>
      <c r="AR590" s="15"/>
      <c r="AS590" s="13"/>
      <c r="AT590" s="15"/>
      <c r="AU590" s="45"/>
      <c r="AV590" s="15"/>
      <c r="AW590" s="13"/>
      <c r="AY590" s="45"/>
      <c r="AZ590" s="28"/>
      <c r="BA590" s="13"/>
      <c r="BB590" s="15"/>
      <c r="BC590" s="45"/>
      <c r="BD590" s="28"/>
      <c r="BE590" s="14"/>
      <c r="BF590" s="41">
        <f t="shared" ref="BF590:BG590" si="1980">K590+O590+S590+W590+AA590+AE590+AI590+AM590+AQ590+AU590+AY590+BC590</f>
        <v>2120</v>
      </c>
      <c r="BG590" s="34">
        <f t="shared" si="1980"/>
        <v>0</v>
      </c>
      <c r="BH590" s="35">
        <f t="shared" si="1965"/>
        <v>2120</v>
      </c>
    </row>
    <row r="591" ht="15.75" customHeight="1" hidden="1" spans="1:63" x14ac:dyDescent="0.25">
      <c r="A591" s="2">
        <v>64</v>
      </c>
      <c r="B591" s="14"/>
      <c r="D591" s="14" t="s">
        <v>52</v>
      </c>
      <c r="E591" s="2" t="s">
        <v>39</v>
      </c>
      <c r="F591" s="41">
        <v>500</v>
      </c>
      <c r="G591" s="28"/>
      <c r="H591" s="34">
        <f>'2019'!BH494</f>
        <v>500</v>
      </c>
      <c r="I591" s="15"/>
      <c r="J591" s="15"/>
      <c r="K591" s="15"/>
      <c r="L591" s="28"/>
      <c r="Q591" s="13"/>
      <c r="R591" s="15"/>
      <c r="S591" s="15"/>
      <c r="T591" s="28"/>
      <c r="Y591" s="13"/>
      <c r="Z591" s="15"/>
      <c r="AA591" s="34">
        <f>$F$11</f>
        <v>500</v>
      </c>
      <c r="AB591" s="28"/>
      <c r="AF591" s="133">
        <v>500</v>
      </c>
      <c r="AG591" s="13"/>
      <c r="AH591" s="15"/>
      <c r="AI591" s="45"/>
      <c r="AJ591" s="15"/>
      <c r="AK591" s="13"/>
      <c r="AL591" s="15"/>
      <c r="AM591" s="45"/>
      <c r="AN591" s="133">
        <v>500</v>
      </c>
      <c r="AO591" s="13"/>
      <c r="AP591" s="15"/>
      <c r="AQ591" s="45"/>
      <c r="AR591" s="15"/>
      <c r="AS591" s="13"/>
      <c r="AT591" s="15"/>
      <c r="AU591" s="45"/>
      <c r="AV591" s="15"/>
      <c r="AW591" s="13"/>
      <c r="AY591" s="45"/>
      <c r="AZ591" s="35"/>
      <c r="BA591" s="13"/>
      <c r="BB591" s="15"/>
      <c r="BC591" s="45"/>
      <c r="BD591" s="35"/>
      <c r="BE591" s="14"/>
      <c r="BF591" s="41">
        <f t="shared" ref="BF591:BG591" si="1981">K591+O591+S591+W591+AA591+AE591+AI591+AM591+AQ591+AU591+AY591+BC591</f>
        <v>500</v>
      </c>
      <c r="BG591" s="34">
        <f t="shared" si="1981"/>
        <v>1000</v>
      </c>
      <c r="BH591" s="35">
        <f t="shared" si="1965"/>
        <v>0</v>
      </c>
      <c r="BK591" s="2" t="b">
        <f>H591='2019'!BH494</f>
        <v>1</v>
      </c>
    </row>
    <row r="592" ht="15.75" customHeight="1" hidden="1" spans="1:63" x14ac:dyDescent="0.25">
      <c r="A592" s="247">
        <v>64</v>
      </c>
      <c r="B592" s="21"/>
      <c r="C592" s="22" t="s">
        <v>53</v>
      </c>
      <c r="D592" s="21"/>
      <c r="E592" s="22"/>
      <c r="F592" s="20"/>
      <c r="G592" s="23"/>
      <c r="H592" s="51">
        <f>SUM(H584:H591)</f>
        <v>-353.99</v>
      </c>
      <c r="I592" s="53"/>
      <c r="J592" s="53"/>
      <c r="K592" s="51">
        <f t="shared" ref="K592:L592" si="1982">SUM(K584:K591)</f>
        <v>0</v>
      </c>
      <c r="L592" s="68">
        <f t="shared" si="1982"/>
        <v>0</v>
      </c>
      <c r="M592" s="53"/>
      <c r="N592" s="53"/>
      <c r="O592" s="51">
        <f t="shared" ref="O592:P592" si="1983">SUM(O584:O591)</f>
        <v>0</v>
      </c>
      <c r="P592" s="51">
        <f t="shared" si="1983"/>
        <v>0</v>
      </c>
      <c r="Q592" s="52"/>
      <c r="R592" s="53"/>
      <c r="S592" s="51">
        <f t="shared" ref="S592:T592" si="1984">SUM(S584:S591)</f>
        <v>0</v>
      </c>
      <c r="T592" s="51">
        <f t="shared" si="1984"/>
        <v>0</v>
      </c>
      <c r="U592" s="52"/>
      <c r="V592" s="53"/>
      <c r="W592" s="51">
        <f t="shared" ref="W592:X592" si="1985">SUM(W584:W591)</f>
        <v>148.48</v>
      </c>
      <c r="X592" s="51">
        <f t="shared" si="1985"/>
        <v>0</v>
      </c>
      <c r="Y592" s="52"/>
      <c r="Z592" s="53"/>
      <c r="AA592" s="51">
        <f t="shared" ref="AA592:AB592" si="1986">SUM(AA584:AA591)</f>
        <v>530</v>
      </c>
      <c r="AB592" s="51">
        <f t="shared" si="1986"/>
        <v>0</v>
      </c>
      <c r="AC592" s="52"/>
      <c r="AD592" s="53"/>
      <c r="AE592" s="51">
        <f t="shared" ref="AE592:AF592" si="1987">SUM(AE584:AE591)</f>
        <v>4904.6</v>
      </c>
      <c r="AF592" s="51">
        <f t="shared" si="1987"/>
        <v>5000</v>
      </c>
      <c r="AG592" s="52"/>
      <c r="AH592" s="53"/>
      <c r="AI592" s="183">
        <f t="shared" ref="AI592:AJ592" si="1988">SUM(AI584:AI591)</f>
        <v>54.6</v>
      </c>
      <c r="AJ592" s="51">
        <f t="shared" si="1988"/>
        <v>0</v>
      </c>
      <c r="AK592" s="52"/>
      <c r="AL592" s="53"/>
      <c r="AM592" s="183">
        <f t="shared" ref="AM592:AN592" si="1989">SUM(AM584:AM591)</f>
        <v>425.6</v>
      </c>
      <c r="AN592" s="51">
        <f t="shared" si="1989"/>
        <v>1000</v>
      </c>
      <c r="AO592" s="52"/>
      <c r="AP592" s="53"/>
      <c r="AQ592" s="183">
        <f t="shared" ref="AQ592:AR592" si="1990">SUM(AQ584:AQ591)</f>
        <v>2643.4</v>
      </c>
      <c r="AR592" s="51">
        <f t="shared" si="1990"/>
        <v>0</v>
      </c>
      <c r="AS592" s="52"/>
      <c r="AT592" s="53"/>
      <c r="AU592" s="183">
        <f t="shared" ref="AU592:AV592" si="1991">SUM(AU584:AU591)</f>
        <v>5.2</v>
      </c>
      <c r="AV592" s="68">
        <f t="shared" si="1991"/>
        <v>0</v>
      </c>
      <c r="AW592" s="52"/>
      <c r="AX592" s="53"/>
      <c r="AY592" s="183">
        <f t="shared" ref="AY592:AZ592" si="1992">SUM(AY584:AY591)</f>
        <v>0</v>
      </c>
      <c r="AZ592" s="68">
        <f t="shared" si="1992"/>
        <v>0</v>
      </c>
      <c r="BA592" s="52"/>
      <c r="BB592" s="53"/>
      <c r="BC592" s="183">
        <f t="shared" ref="BC592:BD592" si="1993">SUM(BC584:BC591)</f>
        <v>0</v>
      </c>
      <c r="BD592" s="68">
        <f t="shared" si="1993"/>
        <v>0</v>
      </c>
      <c r="BE592" s="69"/>
      <c r="BF592" s="70">
        <f t="shared" ref="BF592:BH592" si="1994">SUM(BF584:BF591)</f>
        <v>8711.88</v>
      </c>
      <c r="BG592" s="71">
        <f t="shared" si="1994"/>
        <v>6000</v>
      </c>
      <c r="BH592" s="72">
        <f t="shared" si="1994"/>
        <v>2357.89</v>
      </c>
      <c r="BI592" s="34">
        <f>H592+BF592-BG592</f>
        <v>2357.89</v>
      </c>
      <c r="BJ592" s="34">
        <f>BH592-BI592</f>
        <v>0</v>
      </c>
      <c r="BK592" s="2" t="b">
        <f>H592='2019'!BH495</f>
        <v>0</v>
      </c>
    </row>
    <row r="593" ht="15.75" customHeight="1" hidden="1" spans="1:63" x14ac:dyDescent="0.25">
      <c r="A593" s="2">
        <v>66</v>
      </c>
      <c r="B593" s="14"/>
      <c r="D593" s="14" t="s">
        <v>379</v>
      </c>
      <c r="F593" s="13"/>
      <c r="G593" s="28"/>
      <c r="H593" s="34">
        <f>'2019'!BH496</f>
        <v>80.44</v>
      </c>
      <c r="J593" s="15"/>
      <c r="K593" s="15">
        <v>20.44</v>
      </c>
      <c r="L593" s="28"/>
      <c r="O593" s="2">
        <v>19.12</v>
      </c>
      <c r="Q593" s="13"/>
      <c r="R593" s="15"/>
      <c r="S593" s="15">
        <v>20.44</v>
      </c>
      <c r="T593" s="28"/>
      <c r="W593" s="2">
        <v>19.78</v>
      </c>
      <c r="Y593" s="13"/>
      <c r="Z593" s="15"/>
      <c r="AA593" s="15">
        <v>9.23</v>
      </c>
      <c r="AB593" s="28"/>
      <c r="AG593" s="13"/>
      <c r="AH593" s="15"/>
      <c r="AI593" s="45"/>
      <c r="AJ593" s="15"/>
      <c r="AK593" s="13"/>
      <c r="AM593" s="45"/>
      <c r="AO593" s="13"/>
      <c r="AQ593" s="45">
        <v>15.38</v>
      </c>
      <c r="AS593" s="13"/>
      <c r="AU593" s="45">
        <v>15.89</v>
      </c>
      <c r="AW593" s="13"/>
      <c r="AY593" s="45">
        <v>15.38</v>
      </c>
      <c r="AZ593" s="28"/>
      <c r="BA593" s="13"/>
      <c r="BB593" s="15"/>
      <c r="BC593" s="45">
        <v>15.89</v>
      </c>
      <c r="BD593" s="28"/>
      <c r="BE593" s="14"/>
      <c r="BF593" s="41">
        <f t="shared" ref="BF593:BG593" si="1995">K593+O593+S593+W593+AA593+AE593+AI593+AM593+AQ593+AU593+AY593+BC593</f>
        <v>151.55</v>
      </c>
      <c r="BG593" s="34">
        <f t="shared" si="1995"/>
        <v>0</v>
      </c>
      <c r="BH593" s="35">
        <f t="shared" ref="BH593:BH600" si="1996">H593+BF593-BG593</f>
        <v>231.99</v>
      </c>
      <c r="BK593" s="2" t="b">
        <f>H593='2019'!BH496</f>
        <v>1</v>
      </c>
    </row>
    <row r="594" ht="15.75" customHeight="1" hidden="1" spans="1:63" x14ac:dyDescent="0.25">
      <c r="A594" s="2">
        <v>66</v>
      </c>
      <c r="B594" s="14">
        <v>4.66</v>
      </c>
      <c r="C594" s="2" t="s">
        <v>244</v>
      </c>
      <c r="D594" s="14" t="s">
        <v>44</v>
      </c>
      <c r="E594" s="2" t="s">
        <v>45</v>
      </c>
      <c r="F594" s="41">
        <v>2.5</v>
      </c>
      <c r="G594" s="35">
        <v>2.6</v>
      </c>
      <c r="H594" s="34">
        <f>'2019'!BH497</f>
        <v>0</v>
      </c>
      <c r="I594" s="13">
        <v>1</v>
      </c>
      <c r="J594" s="15">
        <f>I594-'2019'!BA497</f>
        <v>0</v>
      </c>
      <c r="K594" s="34">
        <f>J594*$F$8</f>
        <v>0</v>
      </c>
      <c r="L594" s="28"/>
      <c r="M594" s="2">
        <v>1</v>
      </c>
      <c r="N594" s="15">
        <f>M594-I594</f>
        <v>0</v>
      </c>
      <c r="O594" s="34">
        <f>N594*$F$8</f>
        <v>0</v>
      </c>
      <c r="Q594" s="13">
        <v>1</v>
      </c>
      <c r="R594" s="15">
        <f>Q594-M594</f>
        <v>0</v>
      </c>
      <c r="S594" s="34">
        <f>R594*$F$8</f>
        <v>0</v>
      </c>
      <c r="T594" s="28"/>
      <c r="U594" s="15">
        <v>1</v>
      </c>
      <c r="V594" s="15">
        <f t="shared" ref="V594:V595" si="1997">U594-Q594</f>
        <v>0</v>
      </c>
      <c r="W594" s="34">
        <f>V594*$F$8</f>
        <v>0</v>
      </c>
      <c r="Y594" s="13">
        <v>1</v>
      </c>
      <c r="Z594" s="15">
        <f t="shared" ref="Z594:Z595" si="1998">Y594-U594</f>
        <v>0</v>
      </c>
      <c r="AA594" s="34">
        <f>Z594*$F$8</f>
        <v>0</v>
      </c>
      <c r="AB594" s="28"/>
      <c r="AC594" s="15">
        <v>1</v>
      </c>
      <c r="AD594" s="15">
        <f t="shared" ref="AD594:AD595" si="1999">AC594-Y594</f>
        <v>0</v>
      </c>
      <c r="AE594" s="34">
        <f>AD594*$F$8</f>
        <v>0</v>
      </c>
      <c r="AG594" s="13">
        <v>1</v>
      </c>
      <c r="AH594" s="15">
        <f t="shared" ref="AH594:AH595" si="2000">AG594-AC594</f>
        <v>0</v>
      </c>
      <c r="AI594" s="45">
        <f>AH594*$G$8</f>
        <v>0</v>
      </c>
      <c r="AJ594" s="15"/>
      <c r="AK594" s="13">
        <v>1</v>
      </c>
      <c r="AL594" s="15">
        <f t="shared" ref="AL594:AL595" si="2001">AK594-AG594</f>
        <v>0</v>
      </c>
      <c r="AM594" s="45">
        <f>AL594*$G$8</f>
        <v>0</v>
      </c>
      <c r="AN594" s="15"/>
      <c r="AO594" s="13">
        <v>1</v>
      </c>
      <c r="AP594" s="15">
        <f t="shared" ref="AP594:AP595" si="2002">AO594-AK594</f>
        <v>0</v>
      </c>
      <c r="AQ594" s="45">
        <f>AP594*$G$8</f>
        <v>0</v>
      </c>
      <c r="AR594" s="15"/>
      <c r="AS594" s="13">
        <v>1</v>
      </c>
      <c r="AT594" s="15">
        <f t="shared" ref="AT594:AT595" si="2003">AS594-AO594</f>
        <v>0</v>
      </c>
      <c r="AU594" s="45">
        <f>AT594*$G$8</f>
        <v>0</v>
      </c>
      <c r="AV594" s="15"/>
      <c r="AW594" s="13">
        <v>1</v>
      </c>
      <c r="AX594" s="2">
        <f t="shared" ref="AX594:AX595" si="2004">AW594-AS594</f>
        <v>0</v>
      </c>
      <c r="AY594" s="45">
        <f>AX594*$G$8</f>
        <v>0</v>
      </c>
      <c r="AZ594" s="208"/>
      <c r="BA594" s="13">
        <v>1</v>
      </c>
      <c r="BB594" s="15">
        <f t="shared" ref="BB594:BB595" si="2005">BA594-AW594</f>
        <v>0</v>
      </c>
      <c r="BC594" s="45">
        <f>BB594*$G$8</f>
        <v>0</v>
      </c>
      <c r="BD594" s="208"/>
      <c r="BE594" s="40">
        <f t="shared" ref="BE594:BG594" si="2006">J594+N594+R594+V594+Z594+AD594+AH594+AL594+AP594+AT594+AX594+BB594</f>
        <v>0</v>
      </c>
      <c r="BF594" s="41">
        <f t="shared" si="2006"/>
        <v>0</v>
      </c>
      <c r="BG594" s="34">
        <f t="shared" si="2006"/>
        <v>0</v>
      </c>
      <c r="BH594" s="35">
        <f t="shared" si="1996"/>
        <v>0</v>
      </c>
      <c r="BK594" s="2" t="b">
        <f>H594='2019'!BH497</f>
        <v>1</v>
      </c>
    </row>
    <row r="595" ht="15.75" customHeight="1" hidden="1" spans="1:63" x14ac:dyDescent="0.25">
      <c r="A595" s="2">
        <v>66</v>
      </c>
      <c r="B595" s="14"/>
      <c r="C595" s="2" t="s">
        <v>87</v>
      </c>
      <c r="D595" s="14" t="s">
        <v>47</v>
      </c>
      <c r="E595" s="2" t="s">
        <v>48</v>
      </c>
      <c r="F595" s="13">
        <v>18.56</v>
      </c>
      <c r="G595" s="35">
        <v>19.46</v>
      </c>
      <c r="H595" s="90">
        <f>'2019'!BH498</f>
        <v>-17.16</v>
      </c>
      <c r="I595" s="75">
        <v>37</v>
      </c>
      <c r="J595" s="15"/>
      <c r="K595" s="15"/>
      <c r="L595" s="28"/>
      <c r="M595" s="75">
        <v>37</v>
      </c>
      <c r="Q595" s="75">
        <v>37</v>
      </c>
      <c r="R595" s="15"/>
      <c r="S595" s="15"/>
      <c r="T595" s="28"/>
      <c r="U595" s="154">
        <f>37+4</f>
        <v>41</v>
      </c>
      <c r="V595" s="2">
        <f t="shared" si="1997"/>
        <v>4</v>
      </c>
      <c r="W595" s="2">
        <f>V595*$F$10</f>
        <v>74.24</v>
      </c>
      <c r="Y595" s="13">
        <f>37+4</f>
        <v>41</v>
      </c>
      <c r="Z595" s="15">
        <f t="shared" si="1998"/>
        <v>0</v>
      </c>
      <c r="AA595" s="34">
        <f>Z595*$F$10</f>
        <v>0</v>
      </c>
      <c r="AB595" s="28"/>
      <c r="AC595" s="13">
        <f>37+4</f>
        <v>41</v>
      </c>
      <c r="AD595" s="15">
        <f t="shared" si="1999"/>
        <v>0</v>
      </c>
      <c r="AE595" s="34">
        <f>AD595*$F$10</f>
        <v>0</v>
      </c>
      <c r="AG595" s="13">
        <f>37+4</f>
        <v>41</v>
      </c>
      <c r="AH595" s="15">
        <f t="shared" si="2000"/>
        <v>0</v>
      </c>
      <c r="AI595" s="45">
        <f>AH595*$G$10</f>
        <v>0</v>
      </c>
      <c r="AJ595" s="15"/>
      <c r="AK595" s="13">
        <v>41</v>
      </c>
      <c r="AL595" s="15">
        <f t="shared" si="2001"/>
        <v>0</v>
      </c>
      <c r="AM595" s="45">
        <f>AL595*$G$10</f>
        <v>0</v>
      </c>
      <c r="AN595" s="15"/>
      <c r="AO595" s="13">
        <v>41</v>
      </c>
      <c r="AP595" s="15">
        <f t="shared" si="2002"/>
        <v>0</v>
      </c>
      <c r="AQ595" s="45">
        <f>AP595*$G$10</f>
        <v>0</v>
      </c>
      <c r="AR595" s="15"/>
      <c r="AS595" s="13">
        <v>41</v>
      </c>
      <c r="AT595" s="15">
        <f t="shared" si="2003"/>
        <v>0</v>
      </c>
      <c r="AU595" s="45">
        <f>AT595*$G$10</f>
        <v>0</v>
      </c>
      <c r="AV595" s="15"/>
      <c r="AW595" s="13">
        <v>41</v>
      </c>
      <c r="AX595" s="2">
        <f t="shared" si="2004"/>
        <v>0</v>
      </c>
      <c r="AY595" s="45"/>
      <c r="AZ595" s="208"/>
      <c r="BA595" s="13">
        <v>41</v>
      </c>
      <c r="BB595" s="15">
        <f t="shared" si="2005"/>
        <v>0</v>
      </c>
      <c r="BC595" s="45"/>
      <c r="BD595" s="208"/>
      <c r="BE595" s="40">
        <f t="shared" ref="BE595:BG595" si="2007">J595+N595+R595+V595+Z595+AD595+AH595+AL595+AP595+AT595+AX595+BB595</f>
        <v>4</v>
      </c>
      <c r="BF595" s="41">
        <f t="shared" si="2007"/>
        <v>74.24</v>
      </c>
      <c r="BG595" s="34">
        <f t="shared" si="2007"/>
        <v>0</v>
      </c>
      <c r="BH595" s="35">
        <f t="shared" si="1996"/>
        <v>57.08</v>
      </c>
      <c r="BK595" s="2" t="b">
        <f>H595='2019'!BH498</f>
        <v>1</v>
      </c>
    </row>
    <row r="596" ht="15.75" customHeight="1" hidden="1" spans="1:63" x14ac:dyDescent="0.25">
      <c r="A596" s="2">
        <v>66</v>
      </c>
      <c r="B596" s="14"/>
      <c r="C596" s="2" t="s">
        <v>158</v>
      </c>
      <c r="D596" s="14" t="s">
        <v>47</v>
      </c>
      <c r="E596" s="2" t="s">
        <v>49</v>
      </c>
      <c r="F596" s="41">
        <v>500</v>
      </c>
      <c r="G596" s="28"/>
      <c r="H596" s="34">
        <f>'2019'!BH499</f>
        <v>0</v>
      </c>
      <c r="I596" s="15"/>
      <c r="J596" s="15"/>
      <c r="K596" s="15"/>
      <c r="L596" s="28"/>
      <c r="Q596" s="13"/>
      <c r="R596" s="15"/>
      <c r="S596" s="15"/>
      <c r="T596" s="28"/>
      <c r="Y596" s="13"/>
      <c r="Z596" s="15"/>
      <c r="AA596" s="15"/>
      <c r="AB596" s="28"/>
      <c r="AG596" s="13"/>
      <c r="AH596" s="15"/>
      <c r="AI596" s="45"/>
      <c r="AJ596" s="15"/>
      <c r="AK596" s="13"/>
      <c r="AL596" s="15"/>
      <c r="AM596" s="45"/>
      <c r="AN596" s="15"/>
      <c r="AO596" s="13"/>
      <c r="AP596" s="15"/>
      <c r="AQ596" s="45"/>
      <c r="AR596" s="15"/>
      <c r="AS596" s="13"/>
      <c r="AT596" s="15"/>
      <c r="AU596" s="45"/>
      <c r="AV596" s="15"/>
      <c r="AW596" s="13"/>
      <c r="AY596" s="45"/>
      <c r="AZ596" s="28"/>
      <c r="BA596" s="13"/>
      <c r="BB596" s="15"/>
      <c r="BC596" s="45"/>
      <c r="BD596" s="28"/>
      <c r="BE596" s="14"/>
      <c r="BF596" s="41">
        <f t="shared" ref="BF596:BG596" si="2008">K596+O596+S596+W596+AA596+AE596+AI596+AM596+AQ596+AU596+AY596+BC596</f>
        <v>0</v>
      </c>
      <c r="BG596" s="34">
        <f t="shared" si="2008"/>
        <v>0</v>
      </c>
      <c r="BH596" s="35">
        <f t="shared" si="1996"/>
        <v>0</v>
      </c>
      <c r="BK596" s="2" t="b">
        <f>H596='2019'!BH499</f>
        <v>1</v>
      </c>
    </row>
    <row r="597" ht="15.75" customHeight="1" hidden="1" spans="1:63" x14ac:dyDescent="0.25">
      <c r="A597" s="2">
        <v>66</v>
      </c>
      <c r="B597" s="14"/>
      <c r="D597" s="14" t="s">
        <v>50</v>
      </c>
      <c r="E597" s="2" t="s">
        <v>49</v>
      </c>
      <c r="F597" s="41">
        <v>1100</v>
      </c>
      <c r="G597" s="28"/>
      <c r="H597" s="182">
        <f>'2019'!BH500-0.0008</f>
        <v>5592</v>
      </c>
      <c r="I597" s="15"/>
      <c r="J597" s="15"/>
      <c r="K597" s="15"/>
      <c r="L597" s="28"/>
      <c r="Q597" s="13"/>
      <c r="R597" s="15"/>
      <c r="S597" s="15"/>
      <c r="T597" s="28"/>
      <c r="Y597" s="13"/>
      <c r="Z597" s="15"/>
      <c r="AA597" s="15"/>
      <c r="AB597" s="38">
        <v>5592</v>
      </c>
      <c r="AE597" s="34">
        <f>B594*$F$12</f>
        <v>5126</v>
      </c>
      <c r="AG597" s="13"/>
      <c r="AH597" s="15"/>
      <c r="AI597" s="45"/>
      <c r="AJ597" s="34"/>
      <c r="AK597" s="13"/>
      <c r="AL597" s="15"/>
      <c r="AM597" s="45"/>
      <c r="AN597" s="15"/>
      <c r="AO597" s="13"/>
      <c r="AP597" s="15"/>
      <c r="AQ597" s="45"/>
      <c r="AR597" s="15"/>
      <c r="AS597" s="13"/>
      <c r="AT597" s="15"/>
      <c r="AU597" s="45"/>
      <c r="AV597" s="15"/>
      <c r="AW597" s="13"/>
      <c r="AY597" s="45"/>
      <c r="AZ597" s="28"/>
      <c r="BA597" s="13"/>
      <c r="BB597" s="15"/>
      <c r="BC597" s="45"/>
      <c r="BD597" s="28"/>
      <c r="BE597" s="14"/>
      <c r="BF597" s="41">
        <f t="shared" ref="BF597:BG597" si="2009">K597+O597+S597+W597+AA597+AE597+AI597+AM597+AQ597+AU597+AY597+BC597</f>
        <v>5126</v>
      </c>
      <c r="BG597" s="34">
        <f t="shared" si="2009"/>
        <v>5592</v>
      </c>
      <c r="BH597" s="35">
        <f t="shared" si="1996"/>
        <v>5126</v>
      </c>
      <c r="BK597" s="2" t="b">
        <f>H597='2019'!BH500</f>
        <v>0</v>
      </c>
    </row>
    <row r="598" ht="15.75" customHeight="1" hidden="1" spans="1:63" x14ac:dyDescent="0.25">
      <c r="A598" s="2">
        <v>66</v>
      </c>
      <c r="B598" s="14"/>
      <c r="D598" s="14" t="s">
        <v>51</v>
      </c>
      <c r="E598" s="2" t="s">
        <v>39</v>
      </c>
      <c r="F598" s="41">
        <v>500</v>
      </c>
      <c r="G598" s="28"/>
      <c r="H598" s="34">
        <f>'2019'!BH501</f>
        <v>1000</v>
      </c>
      <c r="I598" s="15"/>
      <c r="J598" s="15"/>
      <c r="K598" s="15"/>
      <c r="L598" s="28"/>
      <c r="Q598" s="13"/>
      <c r="R598" s="15"/>
      <c r="S598" s="15"/>
      <c r="T598" s="28"/>
      <c r="Y598" s="13"/>
      <c r="Z598" s="15"/>
      <c r="AA598" s="15"/>
      <c r="AB598" s="38">
        <v>1000</v>
      </c>
      <c r="AE598" s="34"/>
      <c r="AG598" s="13"/>
      <c r="AH598" s="15"/>
      <c r="AI598" s="45"/>
      <c r="AJ598" s="15"/>
      <c r="AK598" s="13"/>
      <c r="AL598" s="15"/>
      <c r="AM598" s="45"/>
      <c r="AN598" s="15"/>
      <c r="AO598" s="13"/>
      <c r="AP598" s="15"/>
      <c r="AQ598" s="45">
        <f>$F$13</f>
        <v>500</v>
      </c>
      <c r="AR598" s="15"/>
      <c r="AS598" s="13"/>
      <c r="AT598" s="15"/>
      <c r="AU598" s="45"/>
      <c r="AV598" s="15"/>
      <c r="AW598" s="13"/>
      <c r="AY598" s="45"/>
      <c r="AZ598" s="28"/>
      <c r="BA598" s="13"/>
      <c r="BB598" s="15"/>
      <c r="BC598" s="45"/>
      <c r="BD598" s="28"/>
      <c r="BE598" s="14"/>
      <c r="BF598" s="41">
        <f t="shared" ref="BF598:BG598" si="2010">K598+O598+S598+W598+AA598+AE598+AI598+AM598+AQ598+AU598+AY598+BC598</f>
        <v>500</v>
      </c>
      <c r="BG598" s="34">
        <f t="shared" si="2010"/>
        <v>1000</v>
      </c>
      <c r="BH598" s="35">
        <f t="shared" si="1996"/>
        <v>500</v>
      </c>
      <c r="BK598" s="2" t="b">
        <f>H598='2019'!BH501</f>
        <v>1</v>
      </c>
    </row>
    <row r="599" ht="15.75" customHeight="1" hidden="1" spans="1:60" x14ac:dyDescent="0.25">
      <c r="A599" s="2">
        <v>66</v>
      </c>
      <c r="B599" s="14"/>
      <c r="D599" s="14" t="s">
        <v>51</v>
      </c>
      <c r="E599" s="2" t="s">
        <v>49</v>
      </c>
      <c r="F599" s="41">
        <v>500</v>
      </c>
      <c r="G599" s="28"/>
      <c r="H599" s="34"/>
      <c r="I599" s="15"/>
      <c r="J599" s="15"/>
      <c r="K599" s="15"/>
      <c r="L599" s="28"/>
      <c r="Q599" s="13"/>
      <c r="R599" s="15"/>
      <c r="S599" s="15"/>
      <c r="T599" s="28"/>
      <c r="Y599" s="13"/>
      <c r="Z599" s="15"/>
      <c r="AA599" s="15"/>
      <c r="AB599" s="38"/>
      <c r="AE599" s="34"/>
      <c r="AG599" s="13"/>
      <c r="AH599" s="15"/>
      <c r="AI599" s="45"/>
      <c r="AJ599" s="15"/>
      <c r="AK599" s="13"/>
      <c r="AL599" s="15"/>
      <c r="AM599" s="45"/>
      <c r="AN599" s="15"/>
      <c r="AO599" s="13"/>
      <c r="AP599" s="15"/>
      <c r="AQ599" s="34">
        <f>B594*$F$14</f>
        <v>2330</v>
      </c>
      <c r="AR599" s="15"/>
      <c r="AS599" s="13"/>
      <c r="AT599" s="15"/>
      <c r="AU599" s="45"/>
      <c r="AV599" s="15"/>
      <c r="AW599" s="13"/>
      <c r="AY599" s="45"/>
      <c r="AZ599" s="28"/>
      <c r="BA599" s="13"/>
      <c r="BB599" s="15"/>
      <c r="BC599" s="45"/>
      <c r="BD599" s="28"/>
      <c r="BE599" s="14"/>
      <c r="BF599" s="41">
        <f t="shared" ref="BF599:BG599" si="2011">K599+O599+S599+W599+AA599+AE599+AI599+AM599+AQ599+AU599+AY599+BC599</f>
        <v>2330</v>
      </c>
      <c r="BG599" s="34">
        <f t="shared" si="2011"/>
        <v>0</v>
      </c>
      <c r="BH599" s="35">
        <f t="shared" si="1996"/>
        <v>2330</v>
      </c>
    </row>
    <row r="600" ht="15.75" customHeight="1" hidden="1" spans="1:63" x14ac:dyDescent="0.25">
      <c r="A600" s="2">
        <v>66</v>
      </c>
      <c r="B600" s="14"/>
      <c r="D600" s="14" t="s">
        <v>52</v>
      </c>
      <c r="E600" s="2" t="s">
        <v>39</v>
      </c>
      <c r="F600" s="41">
        <v>500</v>
      </c>
      <c r="G600" s="28"/>
      <c r="H600" s="34">
        <f>'2019'!BH502</f>
        <v>500</v>
      </c>
      <c r="I600" s="15"/>
      <c r="J600" s="15"/>
      <c r="K600" s="15"/>
      <c r="L600" s="28"/>
      <c r="Q600" s="13"/>
      <c r="R600" s="15"/>
      <c r="S600" s="15"/>
      <c r="T600" s="28"/>
      <c r="Y600" s="13"/>
      <c r="Z600" s="15"/>
      <c r="AA600" s="34">
        <f>$F$11</f>
        <v>500</v>
      </c>
      <c r="AB600" s="38">
        <v>500</v>
      </c>
      <c r="AG600" s="13"/>
      <c r="AH600" s="15"/>
      <c r="AI600" s="45"/>
      <c r="AJ600" s="15"/>
      <c r="AK600" s="13"/>
      <c r="AL600" s="15"/>
      <c r="AM600" s="45"/>
      <c r="AN600" s="15"/>
      <c r="AO600" s="13"/>
      <c r="AP600" s="15"/>
      <c r="AQ600" s="45"/>
      <c r="AR600" s="15"/>
      <c r="AS600" s="13"/>
      <c r="AT600" s="15"/>
      <c r="AU600" s="45"/>
      <c r="AV600" s="15"/>
      <c r="AW600" s="13"/>
      <c r="AY600" s="45"/>
      <c r="AZ600" s="35"/>
      <c r="BA600" s="13"/>
      <c r="BB600" s="15"/>
      <c r="BC600" s="45"/>
      <c r="BD600" s="35"/>
      <c r="BE600" s="14"/>
      <c r="BF600" s="41">
        <f t="shared" ref="BF600:BG600" si="2012">K600+O600+S600+W600+AA600+AE600+AI600+AM600+AQ600+AU600+AY600+BC600</f>
        <v>500</v>
      </c>
      <c r="BG600" s="34">
        <f t="shared" si="2012"/>
        <v>500</v>
      </c>
      <c r="BH600" s="35">
        <f t="shared" si="1996"/>
        <v>500</v>
      </c>
      <c r="BK600" s="2" t="b">
        <f>H600='2019'!BH502</f>
        <v>1</v>
      </c>
    </row>
    <row r="601" ht="15.75" customHeight="1" hidden="1" spans="1:63" x14ac:dyDescent="0.25">
      <c r="A601" s="247">
        <v>66</v>
      </c>
      <c r="B601" s="21"/>
      <c r="C601" s="22" t="s">
        <v>53</v>
      </c>
      <c r="D601" s="21"/>
      <c r="E601" s="22"/>
      <c r="F601" s="20"/>
      <c r="G601" s="23"/>
      <c r="H601" s="51">
        <f>SUM(H593:H600)</f>
        <v>7155.28</v>
      </c>
      <c r="I601" s="53"/>
      <c r="J601" s="53"/>
      <c r="K601" s="51">
        <f t="shared" ref="K601:L601" si="2013">SUM(K593:K600)</f>
        <v>20.44</v>
      </c>
      <c r="L601" s="68">
        <f t="shared" si="2013"/>
        <v>0</v>
      </c>
      <c r="M601" s="53"/>
      <c r="N601" s="53"/>
      <c r="O601" s="51">
        <f t="shared" ref="O601:P601" si="2014">SUM(O593:O600)</f>
        <v>19.12</v>
      </c>
      <c r="P601" s="51">
        <f t="shared" si="2014"/>
        <v>0</v>
      </c>
      <c r="Q601" s="52"/>
      <c r="R601" s="53"/>
      <c r="S601" s="51">
        <f t="shared" ref="S601:T601" si="2015">SUM(S593:S600)</f>
        <v>20.44</v>
      </c>
      <c r="T601" s="51">
        <f t="shared" si="2015"/>
        <v>0</v>
      </c>
      <c r="U601" s="52"/>
      <c r="V601" s="53"/>
      <c r="W601" s="51">
        <f t="shared" ref="W601:X601" si="2016">SUM(W593:W600)</f>
        <v>94.02</v>
      </c>
      <c r="X601" s="51">
        <f t="shared" si="2016"/>
        <v>0</v>
      </c>
      <c r="Y601" s="52"/>
      <c r="Z601" s="53"/>
      <c r="AA601" s="51">
        <f t="shared" ref="AA601:AB601" si="2017">SUM(AA593:AA600)</f>
        <v>509.23</v>
      </c>
      <c r="AB601" s="51">
        <f t="shared" si="2017"/>
        <v>7092</v>
      </c>
      <c r="AC601" s="52"/>
      <c r="AD601" s="53"/>
      <c r="AE601" s="51">
        <f t="shared" ref="AE601:AF601" si="2018">SUM(AE593:AE600)</f>
        <v>5126</v>
      </c>
      <c r="AF601" s="51">
        <f t="shared" si="2018"/>
        <v>0</v>
      </c>
      <c r="AG601" s="52"/>
      <c r="AH601" s="53"/>
      <c r="AI601" s="183">
        <f t="shared" ref="AI601:AJ601" si="2019">SUM(AI593:AI600)</f>
        <v>0</v>
      </c>
      <c r="AJ601" s="51">
        <f t="shared" si="2019"/>
        <v>0</v>
      </c>
      <c r="AK601" s="52"/>
      <c r="AL601" s="53"/>
      <c r="AM601" s="183">
        <f t="shared" ref="AM601:AN601" si="2020">SUM(AM593:AM600)</f>
        <v>0</v>
      </c>
      <c r="AN601" s="51">
        <f t="shared" si="2020"/>
        <v>0</v>
      </c>
      <c r="AO601" s="52"/>
      <c r="AP601" s="53"/>
      <c r="AQ601" s="183">
        <f t="shared" ref="AQ601:AR601" si="2021">SUM(AQ593:AQ600)</f>
        <v>2845.38</v>
      </c>
      <c r="AR601" s="51">
        <f t="shared" si="2021"/>
        <v>0</v>
      </c>
      <c r="AS601" s="52"/>
      <c r="AT601" s="53"/>
      <c r="AU601" s="183">
        <f t="shared" ref="AU601:AV601" si="2022">SUM(AU593:AU600)</f>
        <v>15.89</v>
      </c>
      <c r="AV601" s="68">
        <f t="shared" si="2022"/>
        <v>0</v>
      </c>
      <c r="AW601" s="52"/>
      <c r="AX601" s="53"/>
      <c r="AY601" s="183">
        <f t="shared" ref="AY601:AZ601" si="2023">SUM(AY593:AY600)</f>
        <v>15.38</v>
      </c>
      <c r="AZ601" s="68">
        <f t="shared" si="2023"/>
        <v>0</v>
      </c>
      <c r="BA601" s="52"/>
      <c r="BB601" s="53"/>
      <c r="BC601" s="183">
        <f t="shared" ref="BC601:BD601" si="2024">SUM(BC593:BC600)</f>
        <v>15.89</v>
      </c>
      <c r="BD601" s="68">
        <f t="shared" si="2024"/>
        <v>0</v>
      </c>
      <c r="BE601" s="69"/>
      <c r="BF601" s="70">
        <f t="shared" ref="BF601:BH601" si="2025">SUM(BF593:BF600)</f>
        <v>8681.79</v>
      </c>
      <c r="BG601" s="71">
        <f t="shared" si="2025"/>
        <v>7092</v>
      </c>
      <c r="BH601" s="72">
        <f t="shared" si="2025"/>
        <v>8745.07</v>
      </c>
      <c r="BI601" s="34">
        <f>H601+BF601-BG601</f>
        <v>8745.07</v>
      </c>
      <c r="BJ601" s="34">
        <f>BH601-BI601</f>
        <v>0</v>
      </c>
      <c r="BK601" s="2" t="b">
        <f>H601='2019'!BH503</f>
        <v>0</v>
      </c>
    </row>
    <row r="602" ht="15.75" customHeight="1" hidden="1" spans="1:63" x14ac:dyDescent="0.25">
      <c r="A602" s="2">
        <v>67</v>
      </c>
      <c r="B602" s="14"/>
      <c r="D602" s="14" t="s">
        <v>379</v>
      </c>
      <c r="F602" s="13"/>
      <c r="G602" s="28"/>
      <c r="H602" s="34">
        <f>'2019'!BH504</f>
        <v>0</v>
      </c>
      <c r="J602" s="15"/>
      <c r="K602" s="15"/>
      <c r="L602" s="28"/>
      <c r="Q602" s="13"/>
      <c r="R602" s="15"/>
      <c r="S602" s="15"/>
      <c r="T602" s="28"/>
      <c r="Y602" s="13"/>
      <c r="Z602" s="15"/>
      <c r="AA602" s="15"/>
      <c r="AB602" s="28"/>
      <c r="AG602" s="13"/>
      <c r="AH602" s="15"/>
      <c r="AI602" s="45"/>
      <c r="AJ602" s="15"/>
      <c r="AK602" s="13"/>
      <c r="AM602" s="45"/>
      <c r="AO602" s="13"/>
      <c r="AQ602" s="45"/>
      <c r="AS602" s="13"/>
      <c r="AU602" s="45"/>
      <c r="AW602" s="13"/>
      <c r="AY602" s="45"/>
      <c r="AZ602" s="28"/>
      <c r="BA602" s="13"/>
      <c r="BB602" s="15"/>
      <c r="BC602" s="45"/>
      <c r="BD602" s="28"/>
      <c r="BE602" s="14"/>
      <c r="BF602" s="41">
        <f t="shared" ref="BF602:BG602" si="2026">K602+O602+S602+W602+AA602+AE602+AI602+AM602+AQ602+AU602+AY602+BC602</f>
        <v>0</v>
      </c>
      <c r="BG602" s="34">
        <f t="shared" si="2026"/>
        <v>0</v>
      </c>
      <c r="BH602" s="35">
        <f t="shared" ref="BH602:BH609" si="2027">H602+BF602-BG602</f>
        <v>0</v>
      </c>
      <c r="BK602" s="2" t="b">
        <f>H602='2019'!BH504</f>
        <v>1</v>
      </c>
    </row>
    <row r="603" ht="15.75" customHeight="1" hidden="1" spans="1:63" x14ac:dyDescent="0.25">
      <c r="A603" s="147">
        <v>67</v>
      </c>
      <c r="B603" s="14">
        <v>6.08</v>
      </c>
      <c r="C603" s="2" t="s">
        <v>245</v>
      </c>
      <c r="D603" s="14" t="s">
        <v>44</v>
      </c>
      <c r="E603" s="2" t="s">
        <v>45</v>
      </c>
      <c r="F603" s="41">
        <v>2.5</v>
      </c>
      <c r="G603" s="35">
        <v>2.6</v>
      </c>
      <c r="H603" s="34">
        <f>'2019'!BH505</f>
        <v>-120.79</v>
      </c>
      <c r="I603" s="13">
        <v>1887</v>
      </c>
      <c r="J603" s="15">
        <f>I603-'2019'!BA505</f>
        <v>0</v>
      </c>
      <c r="K603" s="34">
        <f>J603*$F$8</f>
        <v>0</v>
      </c>
      <c r="L603" s="28"/>
      <c r="M603" s="15">
        <v>1887</v>
      </c>
      <c r="N603" s="15">
        <f>M603-I603</f>
        <v>0</v>
      </c>
      <c r="O603" s="34">
        <f>N603*$F$8</f>
        <v>0</v>
      </c>
      <c r="Q603" s="13">
        <v>1887</v>
      </c>
      <c r="R603" s="15">
        <f>Q603-M603</f>
        <v>0</v>
      </c>
      <c r="S603" s="34">
        <f>R603*$F$8</f>
        <v>0</v>
      </c>
      <c r="T603" s="28"/>
      <c r="U603" s="15">
        <v>1889</v>
      </c>
      <c r="V603" s="15">
        <f>U603-Q603</f>
        <v>2</v>
      </c>
      <c r="W603" s="34">
        <f>V603*$F$8</f>
        <v>5</v>
      </c>
      <c r="X603" s="15"/>
      <c r="Y603" s="13">
        <v>1952</v>
      </c>
      <c r="Z603" s="15">
        <f t="shared" ref="Z603:Z604" si="2028">Y603-U603</f>
        <v>63</v>
      </c>
      <c r="AA603" s="34">
        <f>Z603*$F$8</f>
        <v>157.5</v>
      </c>
      <c r="AB603" s="28"/>
      <c r="AC603" s="15">
        <v>2074</v>
      </c>
      <c r="AD603" s="15">
        <f t="shared" ref="AD603:AD604" si="2029">AC603-Y603</f>
        <v>122</v>
      </c>
      <c r="AE603" s="34">
        <f>AD603*$F$8</f>
        <v>305</v>
      </c>
      <c r="AF603" s="138">
        <v>41.71</v>
      </c>
      <c r="AG603" s="13">
        <v>2167</v>
      </c>
      <c r="AH603" s="15">
        <f t="shared" ref="AH603:AH604" si="2030">AG603-AC603</f>
        <v>93</v>
      </c>
      <c r="AI603" s="45">
        <f>AH603*$G$8</f>
        <v>241.8</v>
      </c>
      <c r="AJ603" s="185">
        <v>305</v>
      </c>
      <c r="AK603" s="13">
        <v>2290</v>
      </c>
      <c r="AL603" s="15">
        <f t="shared" ref="AL603:AL604" si="2031">AK603-AG603</f>
        <v>123</v>
      </c>
      <c r="AM603" s="45">
        <f>AL603*$G$8</f>
        <v>319.8</v>
      </c>
      <c r="AN603" s="138">
        <f>509.6+9.97</f>
        <v>519.57</v>
      </c>
      <c r="AO603" s="13">
        <v>2384</v>
      </c>
      <c r="AP603" s="15">
        <f t="shared" ref="AP603:AP604" si="2032">AO603-AK603</f>
        <v>94</v>
      </c>
      <c r="AQ603" s="45">
        <f>AP603*$G$8</f>
        <v>244.4</v>
      </c>
      <c r="AR603" s="15"/>
      <c r="AS603" s="13">
        <v>2412</v>
      </c>
      <c r="AT603" s="15">
        <f t="shared" ref="AT603:AT604" si="2033">AS603-AO603</f>
        <v>28</v>
      </c>
      <c r="AU603" s="45">
        <f t="shared" ref="AU603:AU604" si="2034">AT603*$G$8</f>
        <v>72.8</v>
      </c>
      <c r="AV603" s="15"/>
      <c r="AW603" s="13">
        <v>2412</v>
      </c>
      <c r="AX603" s="2">
        <f t="shared" ref="AX603:AX604" si="2035">AW603-AS603</f>
        <v>0</v>
      </c>
      <c r="AY603" s="45">
        <f>AX603*$G$8</f>
        <v>0</v>
      </c>
      <c r="AZ603" s="208"/>
      <c r="BA603" s="13">
        <v>2412</v>
      </c>
      <c r="BB603" s="15">
        <f t="shared" ref="BB603:BB604" si="2036">BA603-AW603</f>
        <v>0</v>
      </c>
      <c r="BC603" s="45">
        <f>BB603*$G$8</f>
        <v>0</v>
      </c>
      <c r="BD603" s="208"/>
      <c r="BE603" s="40">
        <f t="shared" ref="BE603:BG603" si="2037">J603+N603+R603+V603+Z603+AD603+AH603+AL603+AP603+AT603+AX603+BB603</f>
        <v>525</v>
      </c>
      <c r="BF603" s="41">
        <f t="shared" si="2037"/>
        <v>1346.3</v>
      </c>
      <c r="BG603" s="34">
        <f t="shared" si="2037"/>
        <v>866.28</v>
      </c>
      <c r="BH603" s="35">
        <f t="shared" si="2027"/>
        <v>359.23</v>
      </c>
      <c r="BK603" s="2" t="b">
        <f>H603='2019'!BH505</f>
        <v>1</v>
      </c>
    </row>
    <row r="604" ht="15.75" customHeight="1" hidden="1" spans="1:63" x14ac:dyDescent="0.25">
      <c r="A604" s="2">
        <v>67</v>
      </c>
      <c r="B604" s="14"/>
      <c r="C604" s="2" t="s">
        <v>98</v>
      </c>
      <c r="D604" s="14" t="s">
        <v>47</v>
      </c>
      <c r="E604" s="2" t="s">
        <v>48</v>
      </c>
      <c r="F604" s="13">
        <v>18.56</v>
      </c>
      <c r="G604" s="35">
        <v>19.46</v>
      </c>
      <c r="H604" s="90">
        <f>'2019'!BH506</f>
        <v>-300</v>
      </c>
      <c r="I604" s="75">
        <f>108+13</f>
        <v>121</v>
      </c>
      <c r="J604" s="15"/>
      <c r="K604" s="15"/>
      <c r="L604" s="28"/>
      <c r="M604" s="75">
        <f>108+13</f>
        <v>121</v>
      </c>
      <c r="Q604" s="75">
        <f>108+13</f>
        <v>121</v>
      </c>
      <c r="R604" s="15"/>
      <c r="S604" s="15"/>
      <c r="T604" s="28"/>
      <c r="U604" s="154">
        <f>110+2</f>
        <v>112</v>
      </c>
      <c r="V604" s="154">
        <f>2+2</f>
        <v>4</v>
      </c>
      <c r="W604" s="2">
        <f>V604*$F$10</f>
        <v>74.24</v>
      </c>
      <c r="Y604" s="13">
        <f>111+3</f>
        <v>114</v>
      </c>
      <c r="Z604" s="15">
        <f t="shared" si="2028"/>
        <v>2</v>
      </c>
      <c r="AA604" s="34">
        <f>Z604*$F$10</f>
        <v>37.12</v>
      </c>
      <c r="AB604" s="28"/>
      <c r="AC604" s="13">
        <f>114+6</f>
        <v>120</v>
      </c>
      <c r="AD604" s="15">
        <f t="shared" si="2029"/>
        <v>6</v>
      </c>
      <c r="AE604" s="34">
        <f>AD604*$F$10</f>
        <v>111.36</v>
      </c>
      <c r="AF604" s="133">
        <v>100</v>
      </c>
      <c r="AG604" s="13">
        <f>121+9</f>
        <v>130</v>
      </c>
      <c r="AH604" s="15">
        <f t="shared" si="2030"/>
        <v>10</v>
      </c>
      <c r="AI604" s="45">
        <f>AH604*$G$10</f>
        <v>194.6</v>
      </c>
      <c r="AJ604" s="185">
        <f>17.32+27.68</f>
        <v>45</v>
      </c>
      <c r="AK604" s="13">
        <f>135+35</f>
        <v>170</v>
      </c>
      <c r="AL604" s="15">
        <f t="shared" si="2031"/>
        <v>40</v>
      </c>
      <c r="AM604" s="45">
        <f>AL604*$G$10</f>
        <v>778.4</v>
      </c>
      <c r="AN604" s="138">
        <v>750.72</v>
      </c>
      <c r="AO604" s="13">
        <v>170</v>
      </c>
      <c r="AP604" s="15">
        <f t="shared" si="2032"/>
        <v>0</v>
      </c>
      <c r="AQ604" s="45">
        <f>AP604*$G$10</f>
        <v>0</v>
      </c>
      <c r="AR604" s="15"/>
      <c r="AS604" s="13">
        <v>170</v>
      </c>
      <c r="AT604" s="15">
        <f t="shared" si="2033"/>
        <v>0</v>
      </c>
      <c r="AU604" s="45">
        <f t="shared" si="2034"/>
        <v>0</v>
      </c>
      <c r="AV604" s="15"/>
      <c r="AW604" s="13">
        <v>170</v>
      </c>
      <c r="AX604" s="2">
        <f t="shared" si="2035"/>
        <v>0</v>
      </c>
      <c r="AY604" s="45"/>
      <c r="AZ604" s="208"/>
      <c r="BA604" s="13">
        <v>170</v>
      </c>
      <c r="BB604" s="15">
        <f t="shared" si="2036"/>
        <v>0</v>
      </c>
      <c r="BC604" s="45"/>
      <c r="BD604" s="208"/>
      <c r="BE604" s="40">
        <f t="shared" ref="BE604:BG604" si="2038">J604+N604+R604+V604+Z604+AD604+AH604+AL604+AP604+AT604+AX604+BB604</f>
        <v>62</v>
      </c>
      <c r="BF604" s="41">
        <f t="shared" si="2038"/>
        <v>1195.72</v>
      </c>
      <c r="BG604" s="34">
        <f t="shared" si="2038"/>
        <v>895.72</v>
      </c>
      <c r="BH604" s="35">
        <f t="shared" si="2027"/>
        <v>0</v>
      </c>
      <c r="BK604" s="2" t="b">
        <f>H604='2019'!BH506</f>
        <v>1</v>
      </c>
    </row>
    <row r="605" ht="15.75" customHeight="1" hidden="1" spans="1:63" x14ac:dyDescent="0.25">
      <c r="A605" s="2">
        <v>67</v>
      </c>
      <c r="B605" s="14"/>
      <c r="C605" s="2" t="s">
        <v>246</v>
      </c>
      <c r="D605" s="14" t="s">
        <v>47</v>
      </c>
      <c r="E605" s="2" t="s">
        <v>49</v>
      </c>
      <c r="F605" s="41">
        <v>500</v>
      </c>
      <c r="G605" s="28"/>
      <c r="H605" s="34">
        <f>'2019'!BH507</f>
        <v>0</v>
      </c>
      <c r="I605" s="15"/>
      <c r="J605" s="15"/>
      <c r="K605" s="15"/>
      <c r="L605" s="28"/>
      <c r="Q605" s="13"/>
      <c r="R605" s="15"/>
      <c r="S605" s="15"/>
      <c r="T605" s="28"/>
      <c r="Y605" s="13"/>
      <c r="Z605" s="15"/>
      <c r="AA605" s="15"/>
      <c r="AB605" s="28"/>
      <c r="AG605" s="13"/>
      <c r="AH605" s="15"/>
      <c r="AI605" s="45"/>
      <c r="AJ605" s="15"/>
      <c r="AK605" s="13"/>
      <c r="AL605" s="15"/>
      <c r="AM605" s="45"/>
      <c r="AN605" s="15"/>
      <c r="AO605" s="13"/>
      <c r="AP605" s="15"/>
      <c r="AQ605" s="45"/>
      <c r="AR605" s="15"/>
      <c r="AS605" s="13"/>
      <c r="AT605" s="15"/>
      <c r="AU605" s="45"/>
      <c r="AV605" s="15"/>
      <c r="AW605" s="13"/>
      <c r="AY605" s="45"/>
      <c r="AZ605" s="28"/>
      <c r="BA605" s="13"/>
      <c r="BB605" s="15"/>
      <c r="BC605" s="45"/>
      <c r="BD605" s="28"/>
      <c r="BE605" s="14"/>
      <c r="BF605" s="41">
        <f t="shared" ref="BF605:BG605" si="2039">K605+O605+S605+W605+AA605+AE605+AI605+AM605+AQ605+AU605+AY605+BC605</f>
        <v>0</v>
      </c>
      <c r="BG605" s="34">
        <f t="shared" si="2039"/>
        <v>0</v>
      </c>
      <c r="BH605" s="35">
        <f t="shared" si="2027"/>
        <v>0</v>
      </c>
      <c r="BK605" s="2" t="b">
        <f>H605='2019'!BH507</f>
        <v>1</v>
      </c>
    </row>
    <row r="606" ht="15.75" customHeight="1" hidden="1" spans="1:63" x14ac:dyDescent="0.25">
      <c r="A606" s="2">
        <v>67</v>
      </c>
      <c r="B606" s="14"/>
      <c r="C606" s="2" t="s">
        <v>247</v>
      </c>
      <c r="D606" s="14" t="s">
        <v>50</v>
      </c>
      <c r="E606" s="2" t="s">
        <v>49</v>
      </c>
      <c r="F606" s="41">
        <v>1100</v>
      </c>
      <c r="G606" s="28"/>
      <c r="H606" s="182">
        <f>'2019'!BH508-0.0004</f>
        <v>0</v>
      </c>
      <c r="I606" s="15"/>
      <c r="J606" s="15"/>
      <c r="K606" s="15"/>
      <c r="L606" s="28"/>
      <c r="Q606" s="13"/>
      <c r="R606" s="15"/>
      <c r="S606" s="15"/>
      <c r="T606" s="28"/>
      <c r="Y606" s="13"/>
      <c r="Z606" s="15"/>
      <c r="AA606" s="15"/>
      <c r="AB606" s="28"/>
      <c r="AE606" s="34">
        <f>B603*$F$12</f>
        <v>6688</v>
      </c>
      <c r="AF606" s="133">
        <v>4958.29</v>
      </c>
      <c r="AG606" s="13"/>
      <c r="AH606" s="15"/>
      <c r="AI606" s="45"/>
      <c r="AJ606" s="180"/>
      <c r="AK606" s="13"/>
      <c r="AL606" s="15"/>
      <c r="AM606" s="45"/>
      <c r="AN606" s="138">
        <v>1729.71</v>
      </c>
      <c r="AO606" s="13"/>
      <c r="AP606" s="15"/>
      <c r="AQ606" s="45"/>
      <c r="AR606" s="15"/>
      <c r="AS606" s="13"/>
      <c r="AT606" s="15"/>
      <c r="AU606" s="45"/>
      <c r="AV606" s="15"/>
      <c r="AW606" s="13"/>
      <c r="AY606" s="45"/>
      <c r="AZ606" s="28"/>
      <c r="BA606" s="13"/>
      <c r="BB606" s="15"/>
      <c r="BC606" s="45"/>
      <c r="BD606" s="28"/>
      <c r="BE606" s="14"/>
      <c r="BF606" s="41">
        <f t="shared" ref="BF606:BG606" si="2040">K606+O606+S606+W606+AA606+AE606+AI606+AM606+AQ606+AU606+AY606+BC606</f>
        <v>6688</v>
      </c>
      <c r="BG606" s="34">
        <f t="shared" si="2040"/>
        <v>6688</v>
      </c>
      <c r="BH606" s="35">
        <f t="shared" si="2027"/>
        <v>0</v>
      </c>
      <c r="BK606" s="2" t="b">
        <f>H606='2019'!BH508</f>
        <v>0</v>
      </c>
    </row>
    <row r="607" ht="15.75" customHeight="1" hidden="1" spans="1:63" x14ac:dyDescent="0.25">
      <c r="A607" s="2">
        <v>67</v>
      </c>
      <c r="B607" s="14"/>
      <c r="C607" s="2" t="s">
        <v>429</v>
      </c>
      <c r="D607" s="14" t="s">
        <v>51</v>
      </c>
      <c r="E607" s="2" t="s">
        <v>39</v>
      </c>
      <c r="F607" s="41">
        <v>500</v>
      </c>
      <c r="G607" s="28"/>
      <c r="H607" s="34">
        <f>'2019'!BH509</f>
        <v>0</v>
      </c>
      <c r="I607" s="15"/>
      <c r="J607" s="15"/>
      <c r="K607" s="15"/>
      <c r="L607" s="28"/>
      <c r="Q607" s="13"/>
      <c r="R607" s="15"/>
      <c r="S607" s="15"/>
      <c r="T607" s="28"/>
      <c r="Y607" s="13"/>
      <c r="Z607" s="15"/>
      <c r="AA607" s="15"/>
      <c r="AB607" s="28"/>
      <c r="AE607" s="34"/>
      <c r="AG607" s="13"/>
      <c r="AH607" s="15"/>
      <c r="AI607" s="45"/>
      <c r="AJ607" s="180"/>
      <c r="AK607" s="13"/>
      <c r="AL607" s="15"/>
      <c r="AM607" s="45"/>
      <c r="AN607" s="15"/>
      <c r="AO607" s="13"/>
      <c r="AP607" s="15"/>
      <c r="AQ607" s="45">
        <f>$F$13</f>
        <v>500</v>
      </c>
      <c r="AR607" s="15"/>
      <c r="AS607" s="13"/>
      <c r="AT607" s="15"/>
      <c r="AU607" s="45"/>
      <c r="AV607" s="15"/>
      <c r="AW607" s="13"/>
      <c r="AY607" s="45"/>
      <c r="AZ607" s="28"/>
      <c r="BA607" s="13"/>
      <c r="BB607" s="15"/>
      <c r="BC607" s="45"/>
      <c r="BD607" s="28"/>
      <c r="BE607" s="14"/>
      <c r="BF607" s="41">
        <f t="shared" ref="BF607:BG607" si="2041">K607+O607+S607+W607+AA607+AE607+AI607+AM607+AQ607+AU607+AY607+BC607</f>
        <v>500</v>
      </c>
      <c r="BG607" s="34">
        <f t="shared" si="2041"/>
        <v>0</v>
      </c>
      <c r="BH607" s="35">
        <f t="shared" si="2027"/>
        <v>500</v>
      </c>
      <c r="BK607" s="2" t="b">
        <f>H607='2019'!BH509</f>
        <v>1</v>
      </c>
    </row>
    <row r="608" ht="15.75" customHeight="1" hidden="1" spans="1:60" x14ac:dyDescent="0.25">
      <c r="A608" s="2">
        <v>67</v>
      </c>
      <c r="B608" s="14"/>
      <c r="D608" s="14" t="s">
        <v>51</v>
      </c>
      <c r="E608" s="2" t="s">
        <v>49</v>
      </c>
      <c r="F608" s="41">
        <v>500</v>
      </c>
      <c r="G608" s="28"/>
      <c r="H608" s="34"/>
      <c r="I608" s="15"/>
      <c r="J608" s="15"/>
      <c r="K608" s="15"/>
      <c r="L608" s="28"/>
      <c r="Q608" s="13"/>
      <c r="R608" s="15"/>
      <c r="S608" s="15"/>
      <c r="T608" s="28"/>
      <c r="Y608" s="13"/>
      <c r="Z608" s="15"/>
      <c r="AA608" s="15"/>
      <c r="AB608" s="28"/>
      <c r="AE608" s="34"/>
      <c r="AG608" s="13"/>
      <c r="AH608" s="15"/>
      <c r="AI608" s="45"/>
      <c r="AJ608" s="180"/>
      <c r="AK608" s="13"/>
      <c r="AL608" s="15"/>
      <c r="AM608" s="45"/>
      <c r="AN608" s="15"/>
      <c r="AO608" s="13"/>
      <c r="AP608" s="15"/>
      <c r="AQ608" s="34">
        <f>B603*$F$14</f>
        <v>3040</v>
      </c>
      <c r="AR608" s="15"/>
      <c r="AS608" s="13"/>
      <c r="AT608" s="15"/>
      <c r="AU608" s="45"/>
      <c r="AV608" s="15"/>
      <c r="AW608" s="13"/>
      <c r="AY608" s="45"/>
      <c r="AZ608" s="28"/>
      <c r="BA608" s="13"/>
      <c r="BB608" s="15"/>
      <c r="BC608" s="45"/>
      <c r="BD608" s="28"/>
      <c r="BE608" s="14"/>
      <c r="BF608" s="41">
        <f t="shared" ref="BF608:BG608" si="2042">K608+O608+S608+W608+AA608+AE608+AI608+AM608+AQ608+AU608+AY608+BC608</f>
        <v>3040</v>
      </c>
      <c r="BG608" s="34">
        <f t="shared" si="2042"/>
        <v>0</v>
      </c>
      <c r="BH608" s="35">
        <f t="shared" si="2027"/>
        <v>3040</v>
      </c>
    </row>
    <row r="609" ht="15.75" customHeight="1" hidden="1" spans="1:63" x14ac:dyDescent="0.25">
      <c r="A609" s="2">
        <v>67</v>
      </c>
      <c r="B609" s="14"/>
      <c r="C609" s="15" t="s">
        <v>430</v>
      </c>
      <c r="D609" s="14" t="s">
        <v>52</v>
      </c>
      <c r="E609" s="2" t="s">
        <v>39</v>
      </c>
      <c r="F609" s="41">
        <v>500</v>
      </c>
      <c r="G609" s="28"/>
      <c r="H609" s="34">
        <f>'2019'!BH510</f>
        <v>0</v>
      </c>
      <c r="I609" s="15"/>
      <c r="J609" s="15"/>
      <c r="K609" s="15"/>
      <c r="L609" s="28"/>
      <c r="Q609" s="13"/>
      <c r="R609" s="15"/>
      <c r="S609" s="15"/>
      <c r="T609" s="28"/>
      <c r="Y609" s="13"/>
      <c r="Z609" s="15"/>
      <c r="AA609" s="77"/>
      <c r="AB609" s="28"/>
      <c r="AF609" s="34"/>
      <c r="AG609" s="13"/>
      <c r="AH609" s="15"/>
      <c r="AI609" s="45"/>
      <c r="AJ609" s="39"/>
      <c r="AK609" s="13"/>
      <c r="AL609" s="15"/>
      <c r="AM609" s="45"/>
      <c r="AN609" s="15"/>
      <c r="AO609" s="13"/>
      <c r="AP609" s="15"/>
      <c r="AQ609" s="45"/>
      <c r="AR609" s="15"/>
      <c r="AS609" s="13"/>
      <c r="AT609" s="15"/>
      <c r="AU609" s="45"/>
      <c r="AV609" s="15"/>
      <c r="AW609" s="13"/>
      <c r="AY609" s="45"/>
      <c r="AZ609" s="35"/>
      <c r="BA609" s="13"/>
      <c r="BB609" s="15"/>
      <c r="BC609" s="45"/>
      <c r="BD609" s="35"/>
      <c r="BE609" s="14"/>
      <c r="BF609" s="41">
        <f t="shared" ref="BF609:BG609" si="2043">K609+O609+S609+W609+AA609+AE609+AI609+AM609+AQ609+AU609+AY609+BC609</f>
        <v>0</v>
      </c>
      <c r="BG609" s="34">
        <f t="shared" si="2043"/>
        <v>0</v>
      </c>
      <c r="BH609" s="35">
        <f t="shared" si="2027"/>
        <v>0</v>
      </c>
      <c r="BK609" s="2" t="b">
        <f>H609='2019'!BH510</f>
        <v>1</v>
      </c>
    </row>
    <row r="610" ht="15.75" customHeight="1" hidden="1" spans="1:63" x14ac:dyDescent="0.25">
      <c r="A610" s="247">
        <v>67</v>
      </c>
      <c r="B610" s="21"/>
      <c r="C610" s="22" t="s">
        <v>53</v>
      </c>
      <c r="D610" s="21"/>
      <c r="E610" s="22"/>
      <c r="F610" s="20"/>
      <c r="G610" s="23"/>
      <c r="H610" s="51">
        <f>SUM(H602:H609)</f>
        <v>-420.79</v>
      </c>
      <c r="I610" s="53"/>
      <c r="J610" s="53"/>
      <c r="K610" s="51">
        <f t="shared" ref="K610:L610" si="2044">SUM(K602:K609)</f>
        <v>0</v>
      </c>
      <c r="L610" s="68">
        <f t="shared" si="2044"/>
        <v>0</v>
      </c>
      <c r="M610" s="53"/>
      <c r="N610" s="53"/>
      <c r="O610" s="51">
        <f t="shared" ref="O610:P610" si="2045">SUM(O602:O609)</f>
        <v>0</v>
      </c>
      <c r="P610" s="51">
        <f t="shared" si="2045"/>
        <v>0</v>
      </c>
      <c r="Q610" s="52"/>
      <c r="R610" s="53"/>
      <c r="S610" s="51">
        <f t="shared" ref="S610:T610" si="2046">SUM(S602:S609)</f>
        <v>0</v>
      </c>
      <c r="T610" s="51">
        <f t="shared" si="2046"/>
        <v>0</v>
      </c>
      <c r="U610" s="52"/>
      <c r="V610" s="53"/>
      <c r="W610" s="51">
        <f t="shared" ref="W610:X610" si="2047">SUM(W602:W609)</f>
        <v>79.24</v>
      </c>
      <c r="X610" s="51">
        <f t="shared" si="2047"/>
        <v>0</v>
      </c>
      <c r="Y610" s="52"/>
      <c r="Z610" s="53"/>
      <c r="AA610" s="51">
        <f t="shared" ref="AA610:AB610" si="2048">SUM(AA602:AA609)</f>
        <v>194.62</v>
      </c>
      <c r="AB610" s="51">
        <f t="shared" si="2048"/>
        <v>0</v>
      </c>
      <c r="AC610" s="52"/>
      <c r="AD610" s="53"/>
      <c r="AE610" s="51">
        <f t="shared" ref="AE610:AF610" si="2049">SUM(AE602:AE609)</f>
        <v>7104.36</v>
      </c>
      <c r="AF610" s="51">
        <f t="shared" si="2049"/>
        <v>5100</v>
      </c>
      <c r="AG610" s="52"/>
      <c r="AH610" s="53"/>
      <c r="AI610" s="183">
        <f t="shared" ref="AI610:AJ610" si="2050">SUM(AI602:AI609)</f>
        <v>436.4</v>
      </c>
      <c r="AJ610" s="51">
        <f t="shared" si="2050"/>
        <v>350</v>
      </c>
      <c r="AK610" s="52"/>
      <c r="AL610" s="53"/>
      <c r="AM610" s="183">
        <f t="shared" ref="AM610:AN610" si="2051">SUM(AM602:AM609)</f>
        <v>1098.2</v>
      </c>
      <c r="AN610" s="51">
        <f t="shared" si="2051"/>
        <v>3000</v>
      </c>
      <c r="AO610" s="52"/>
      <c r="AP610" s="53"/>
      <c r="AQ610" s="183">
        <f t="shared" ref="AQ610:AR610" si="2052">SUM(AQ602:AQ609)</f>
        <v>3784.4</v>
      </c>
      <c r="AR610" s="51">
        <f t="shared" si="2052"/>
        <v>0</v>
      </c>
      <c r="AS610" s="52"/>
      <c r="AT610" s="53"/>
      <c r="AU610" s="183">
        <f t="shared" ref="AU610:AV610" si="2053">SUM(AU602:AU609)</f>
        <v>72.8</v>
      </c>
      <c r="AV610" s="68">
        <f t="shared" si="2053"/>
        <v>0</v>
      </c>
      <c r="AW610" s="52"/>
      <c r="AX610" s="53"/>
      <c r="AY610" s="183">
        <f t="shared" ref="AY610:AZ610" si="2054">SUM(AY602:AY609)</f>
        <v>0</v>
      </c>
      <c r="AZ610" s="68">
        <f t="shared" si="2054"/>
        <v>0</v>
      </c>
      <c r="BA610" s="52"/>
      <c r="BB610" s="53"/>
      <c r="BC610" s="183">
        <f t="shared" ref="BC610:BD610" si="2055">SUM(BC602:BC609)</f>
        <v>0</v>
      </c>
      <c r="BD610" s="68">
        <f t="shared" si="2055"/>
        <v>0</v>
      </c>
      <c r="BE610" s="69"/>
      <c r="BF610" s="70">
        <f t="shared" ref="BF610:BH610" si="2056">SUM(BF602:BF609)</f>
        <v>12770.02</v>
      </c>
      <c r="BG610" s="71">
        <f t="shared" si="2056"/>
        <v>8450</v>
      </c>
      <c r="BH610" s="72">
        <f t="shared" si="2056"/>
        <v>3899.23</v>
      </c>
      <c r="BI610" s="34">
        <f>H610+BF610-BG610</f>
        <v>3899.23</v>
      </c>
      <c r="BJ610" s="34">
        <f>BH610-BI610</f>
        <v>0</v>
      </c>
      <c r="BK610" s="2" t="b">
        <f>H610='2019'!BH511</f>
        <v>0</v>
      </c>
    </row>
    <row r="611" ht="15.75" customHeight="1" hidden="1" spans="1:63" x14ac:dyDescent="0.25">
      <c r="A611" s="89" t="s">
        <v>248</v>
      </c>
      <c r="B611" s="14"/>
      <c r="D611" s="14" t="s">
        <v>379</v>
      </c>
      <c r="F611" s="13"/>
      <c r="G611" s="28"/>
      <c r="H611" s="34">
        <f>'2019'!BH512</f>
        <v>0</v>
      </c>
      <c r="J611" s="15"/>
      <c r="K611" s="15"/>
      <c r="L611" s="28"/>
      <c r="Q611" s="13"/>
      <c r="R611" s="15"/>
      <c r="S611" s="15"/>
      <c r="T611" s="28"/>
      <c r="Y611" s="13"/>
      <c r="Z611" s="15"/>
      <c r="AA611" s="15"/>
      <c r="AB611" s="28"/>
      <c r="AG611" s="13"/>
      <c r="AH611" s="15"/>
      <c r="AI611" s="45"/>
      <c r="AJ611" s="15"/>
      <c r="AK611" s="13"/>
      <c r="AM611" s="45"/>
      <c r="AO611" s="13"/>
      <c r="AQ611" s="45">
        <v>7.23</v>
      </c>
      <c r="AS611" s="13"/>
      <c r="AU611" s="45">
        <v>7.47</v>
      </c>
      <c r="AW611" s="13"/>
      <c r="AY611" s="45">
        <v>7.23</v>
      </c>
      <c r="AZ611" s="28"/>
      <c r="BA611" s="13"/>
      <c r="BB611" s="15"/>
      <c r="BC611" s="45">
        <v>7.47</v>
      </c>
      <c r="BD611" s="28"/>
      <c r="BE611" s="14"/>
      <c r="BF611" s="41">
        <f t="shared" ref="BF611:BG611" si="2057">K611+O611+S611+W611+AA611+AE611+AI611+AM611+AQ611+AU611+AY611+BC611</f>
        <v>29.4</v>
      </c>
      <c r="BG611" s="34">
        <f t="shared" si="2057"/>
        <v>0</v>
      </c>
      <c r="BH611" s="35">
        <f t="shared" ref="BH611:BH618" si="2058">H611+BF611-BG611</f>
        <v>29.4</v>
      </c>
      <c r="BK611" s="2" t="b">
        <f>H611='2019'!BH512</f>
        <v>1</v>
      </c>
    </row>
    <row r="612" ht="15.75" customHeight="1" hidden="1" spans="1:63" x14ac:dyDescent="0.25">
      <c r="A612" s="89" t="s">
        <v>248</v>
      </c>
      <c r="B612" s="14">
        <v>4.01</v>
      </c>
      <c r="C612" s="2" t="s">
        <v>505</v>
      </c>
      <c r="D612" s="14" t="s">
        <v>44</v>
      </c>
      <c r="E612" s="2" t="s">
        <v>45</v>
      </c>
      <c r="F612" s="41">
        <v>2.5</v>
      </c>
      <c r="G612" s="35">
        <v>2.6</v>
      </c>
      <c r="H612" s="34">
        <f>'2019'!BH513</f>
        <v>0</v>
      </c>
      <c r="I612" s="13">
        <v>1702</v>
      </c>
      <c r="J612" s="15">
        <f>I612-'2019'!BA513</f>
        <v>0</v>
      </c>
      <c r="K612" s="34">
        <f>J612*$F$8</f>
        <v>0</v>
      </c>
      <c r="L612" s="28"/>
      <c r="M612" s="2">
        <v>1702</v>
      </c>
      <c r="N612" s="15">
        <f>M612-I612</f>
        <v>0</v>
      </c>
      <c r="O612" s="34">
        <f>N612*$F$8</f>
        <v>0</v>
      </c>
      <c r="Q612" s="13">
        <v>1702</v>
      </c>
      <c r="R612" s="15">
        <f>Q612-M612</f>
        <v>0</v>
      </c>
      <c r="S612" s="34">
        <f>R612*$F$8</f>
        <v>0</v>
      </c>
      <c r="T612" s="28"/>
      <c r="U612" s="15">
        <v>1711</v>
      </c>
      <c r="V612" s="15">
        <f>U612-Q612</f>
        <v>9</v>
      </c>
      <c r="W612" s="34">
        <f>V612*$F$8</f>
        <v>22.5</v>
      </c>
      <c r="Y612" s="13">
        <v>1817</v>
      </c>
      <c r="Z612" s="15">
        <f t="shared" ref="Z612:Z613" si="2059">Y612-U612</f>
        <v>106</v>
      </c>
      <c r="AA612" s="34">
        <f>Z612*$F$8</f>
        <v>265</v>
      </c>
      <c r="AB612" s="28"/>
      <c r="AC612" s="15">
        <v>2019</v>
      </c>
      <c r="AD612" s="15">
        <f t="shared" ref="AD612:AD613" si="2060">AC612-Y612</f>
        <v>202</v>
      </c>
      <c r="AE612" s="34">
        <f>AD612*$F$8</f>
        <v>505</v>
      </c>
      <c r="AF612" s="34"/>
      <c r="AG612" s="13">
        <v>2146</v>
      </c>
      <c r="AH612" s="15">
        <f t="shared" ref="AH612:AH613" si="2061">AG612-AC612</f>
        <v>127</v>
      </c>
      <c r="AI612" s="45">
        <f>AH612*$G$8</f>
        <v>330.2</v>
      </c>
      <c r="AJ612" s="181">
        <v>792.5</v>
      </c>
      <c r="AK612" s="13">
        <v>2398</v>
      </c>
      <c r="AL612" s="15">
        <f t="shared" ref="AL612:AL613" si="2062">AK612-AG612</f>
        <v>252</v>
      </c>
      <c r="AM612" s="45">
        <f>AL612*$G$8</f>
        <v>655.2</v>
      </c>
      <c r="AN612" s="15"/>
      <c r="AO612" s="13">
        <v>3145</v>
      </c>
      <c r="AP612" s="15">
        <f t="shared" ref="AP612:AP613" si="2063">AO612-AK612</f>
        <v>747</v>
      </c>
      <c r="AQ612" s="45">
        <f>AP612*$G$8</f>
        <v>1942.2</v>
      </c>
      <c r="AR612" s="39">
        <v>985.4</v>
      </c>
      <c r="AS612" s="13">
        <v>3291</v>
      </c>
      <c r="AT612" s="15">
        <f t="shared" ref="AT612:AT613" si="2064">AS612-AO612</f>
        <v>146</v>
      </c>
      <c r="AU612" s="45">
        <f>AT612*$G$8</f>
        <v>379.6</v>
      </c>
      <c r="AV612" s="15"/>
      <c r="AW612" s="13">
        <v>3291</v>
      </c>
      <c r="AX612" s="2">
        <f t="shared" ref="AX612:AX613" si="2065">AW612-AS612</f>
        <v>0</v>
      </c>
      <c r="AY612" s="45">
        <f>AX612*$G$8</f>
        <v>0</v>
      </c>
      <c r="AZ612" s="242">
        <v>2321.8</v>
      </c>
      <c r="BA612" s="13">
        <v>3291</v>
      </c>
      <c r="BB612" s="15">
        <f t="shared" ref="BB612:BB613" si="2066">BA612-AW612</f>
        <v>0</v>
      </c>
      <c r="BC612" s="45">
        <f>BB612*$G$8</f>
        <v>0</v>
      </c>
      <c r="BD612" s="208"/>
      <c r="BE612" s="40">
        <f t="shared" ref="BE612:BG612" si="2067">J612+N612+R612+V612+Z612+AD612+AH612+AL612+AP612+AT612+AX612+BB612</f>
        <v>1589</v>
      </c>
      <c r="BF612" s="41">
        <f t="shared" si="2067"/>
        <v>4099.7</v>
      </c>
      <c r="BG612" s="34">
        <f t="shared" si="2067"/>
        <v>4099.7</v>
      </c>
      <c r="BH612" s="35">
        <f t="shared" si="2058"/>
        <v>0</v>
      </c>
      <c r="BK612" s="2" t="b">
        <f>H612='2019'!BH513</f>
        <v>1</v>
      </c>
    </row>
    <row r="613" ht="15.75" customHeight="1" hidden="1" spans="1:63" x14ac:dyDescent="0.25">
      <c r="A613" s="89" t="s">
        <v>248</v>
      </c>
      <c r="B613" s="14"/>
      <c r="C613" s="2" t="s">
        <v>61</v>
      </c>
      <c r="D613" s="14" t="s">
        <v>47</v>
      </c>
      <c r="E613" s="2" t="s">
        <v>48</v>
      </c>
      <c r="F613" s="13">
        <v>18.56</v>
      </c>
      <c r="G613" s="35">
        <v>19.46</v>
      </c>
      <c r="H613" s="90">
        <f>'2019'!BH514</f>
        <v>0</v>
      </c>
      <c r="I613" s="13">
        <f>24+25</f>
        <v>49</v>
      </c>
      <c r="J613" s="15"/>
      <c r="K613" s="15"/>
      <c r="L613" s="28"/>
      <c r="M613" s="13">
        <f>24+25</f>
        <v>49</v>
      </c>
      <c r="Q613" s="13">
        <f>24+25</f>
        <v>49</v>
      </c>
      <c r="R613" s="15"/>
      <c r="S613" s="15"/>
      <c r="T613" s="28"/>
      <c r="U613" s="154">
        <f>25+3+25</f>
        <v>53</v>
      </c>
      <c r="V613" s="2">
        <v>3</v>
      </c>
      <c r="W613" s="180">
        <f>V613*$F$10</f>
        <v>55.68</v>
      </c>
      <c r="Y613" s="186">
        <f>25+3+25</f>
        <v>53</v>
      </c>
      <c r="Z613" s="15">
        <f t="shared" si="2059"/>
        <v>0</v>
      </c>
      <c r="AA613" s="34">
        <f>Z613*$F$10</f>
        <v>0</v>
      </c>
      <c r="AB613" s="28"/>
      <c r="AC613" s="95">
        <f>41+29</f>
        <v>70</v>
      </c>
      <c r="AD613" s="15">
        <f t="shared" si="2060"/>
        <v>17</v>
      </c>
      <c r="AE613" s="34">
        <f>AD613*$F$10</f>
        <v>315.52</v>
      </c>
      <c r="AF613" s="34"/>
      <c r="AG613" s="95">
        <f>48+18+37</f>
        <v>103</v>
      </c>
      <c r="AH613" s="15">
        <f t="shared" si="2061"/>
        <v>33</v>
      </c>
      <c r="AI613" s="45">
        <f>AH613*$G$10</f>
        <v>642.18</v>
      </c>
      <c r="AJ613" s="181">
        <v>381.2</v>
      </c>
      <c r="AK613" s="13">
        <f>51+22+40</f>
        <v>113</v>
      </c>
      <c r="AL613" s="15">
        <f t="shared" si="2062"/>
        <v>10</v>
      </c>
      <c r="AM613" s="45">
        <f>AL613*$G$10</f>
        <v>194.6</v>
      </c>
      <c r="AN613" s="15"/>
      <c r="AO613" s="13">
        <f>40+23+52</f>
        <v>115</v>
      </c>
      <c r="AP613" s="15">
        <f t="shared" si="2063"/>
        <v>2</v>
      </c>
      <c r="AQ613" s="45">
        <f>AP613*$G$10</f>
        <v>38.92</v>
      </c>
      <c r="AR613" s="1">
        <v>826.78</v>
      </c>
      <c r="AS613" s="13">
        <f>52+23+40</f>
        <v>115</v>
      </c>
      <c r="AT613" s="15">
        <f t="shared" si="2064"/>
        <v>0</v>
      </c>
      <c r="AU613" s="45">
        <f>AT613*$G$10</f>
        <v>0</v>
      </c>
      <c r="AV613" s="15"/>
      <c r="AW613" s="13">
        <f>52+23+40</f>
        <v>115</v>
      </c>
      <c r="AX613" s="2">
        <f t="shared" si="2065"/>
        <v>0</v>
      </c>
      <c r="AY613" s="45"/>
      <c r="AZ613" s="249">
        <v>38.92</v>
      </c>
      <c r="BA613" s="13">
        <f>52+23+40</f>
        <v>115</v>
      </c>
      <c r="BB613" s="15">
        <f t="shared" si="2066"/>
        <v>0</v>
      </c>
      <c r="BC613" s="45"/>
      <c r="BD613" s="208"/>
      <c r="BE613" s="40">
        <f t="shared" ref="BE613:BG613" si="2068">J613+N613+R613+V613+Z613+AD613+AH613+AL613+AP613+AT613+AX613+BB613</f>
        <v>65</v>
      </c>
      <c r="BF613" s="41">
        <f t="shared" si="2068"/>
        <v>1246.9</v>
      </c>
      <c r="BG613" s="34">
        <f t="shared" si="2068"/>
        <v>1246.9</v>
      </c>
      <c r="BH613" s="35">
        <f t="shared" si="2058"/>
        <v>0</v>
      </c>
      <c r="BK613" s="2" t="b">
        <f>H613='2019'!BH514</f>
        <v>1</v>
      </c>
    </row>
    <row r="614" ht="15.75" customHeight="1" hidden="1" spans="1:63" x14ac:dyDescent="0.25">
      <c r="A614" s="89" t="s">
        <v>248</v>
      </c>
      <c r="B614" s="14"/>
      <c r="C614" s="2" t="s">
        <v>102</v>
      </c>
      <c r="D614" s="14" t="s">
        <v>47</v>
      </c>
      <c r="E614" s="2" t="s">
        <v>49</v>
      </c>
      <c r="F614" s="41">
        <v>500</v>
      </c>
      <c r="G614" s="28"/>
      <c r="H614" s="34">
        <f>'2019'!BH515</f>
        <v>0</v>
      </c>
      <c r="I614" s="15"/>
      <c r="J614" s="15"/>
      <c r="K614" s="15"/>
      <c r="L614" s="28"/>
      <c r="Q614" s="13"/>
      <c r="R614" s="15"/>
      <c r="S614" s="15"/>
      <c r="T614" s="28"/>
      <c r="U614" s="15"/>
      <c r="V614" s="15"/>
      <c r="W614" s="15"/>
      <c r="Y614" s="13"/>
      <c r="Z614" s="15"/>
      <c r="AA614" s="15"/>
      <c r="AB614" s="28"/>
      <c r="AG614" s="13"/>
      <c r="AH614" s="15"/>
      <c r="AI614" s="45"/>
      <c r="AJ614" s="15"/>
      <c r="AK614" s="13"/>
      <c r="AL614" s="15"/>
      <c r="AM614" s="45"/>
      <c r="AN614" s="15"/>
      <c r="AO614" s="13"/>
      <c r="AP614" s="15"/>
      <c r="AQ614" s="45"/>
      <c r="AR614" s="1"/>
      <c r="AS614" s="13"/>
      <c r="AT614" s="15"/>
      <c r="AU614" s="45"/>
      <c r="AV614" s="15"/>
      <c r="AW614" s="13"/>
      <c r="AY614" s="45"/>
      <c r="AZ614" s="28"/>
      <c r="BA614" s="13"/>
      <c r="BB614" s="15"/>
      <c r="BC614" s="45"/>
      <c r="BD614" s="28"/>
      <c r="BE614" s="14"/>
      <c r="BF614" s="41">
        <f t="shared" ref="BF614:BG614" si="2069">K614+O614+S614+W614+AA614+AE614+AI614+AM614+AQ614+AU614+AY614+BC614</f>
        <v>0</v>
      </c>
      <c r="BG614" s="34">
        <f t="shared" si="2069"/>
        <v>0</v>
      </c>
      <c r="BH614" s="35">
        <f t="shared" si="2058"/>
        <v>0</v>
      </c>
      <c r="BK614" s="2" t="b">
        <f>H614='2019'!BH515</f>
        <v>1</v>
      </c>
    </row>
    <row r="615" ht="15.75" customHeight="1" hidden="1" spans="1:63" x14ac:dyDescent="0.25">
      <c r="A615" s="89" t="s">
        <v>248</v>
      </c>
      <c r="B615" s="14"/>
      <c r="C615" s="2" t="s">
        <v>252</v>
      </c>
      <c r="D615" s="14" t="s">
        <v>50</v>
      </c>
      <c r="E615" s="2" t="s">
        <v>49</v>
      </c>
      <c r="F615" s="41">
        <v>1100</v>
      </c>
      <c r="G615" s="28"/>
      <c r="H615" s="182">
        <f>'2019'!BH516+0.0036</f>
        <v>0</v>
      </c>
      <c r="I615" s="15"/>
      <c r="J615" s="15"/>
      <c r="K615" s="15"/>
      <c r="L615" s="28"/>
      <c r="Q615" s="13"/>
      <c r="R615" s="15"/>
      <c r="S615" s="15"/>
      <c r="T615" s="28"/>
      <c r="Y615" s="13"/>
      <c r="Z615" s="15"/>
      <c r="AA615" s="15"/>
      <c r="AB615" s="28"/>
      <c r="AE615" s="34">
        <f>B612*$F$12</f>
        <v>4411</v>
      </c>
      <c r="AF615" s="133">
        <v>2000</v>
      </c>
      <c r="AG615" s="13"/>
      <c r="AH615" s="15"/>
      <c r="AI615" s="45"/>
      <c r="AJ615" s="180"/>
      <c r="AK615" s="13"/>
      <c r="AL615" s="15"/>
      <c r="AM615" s="45"/>
      <c r="AN615" s="15"/>
      <c r="AO615" s="13"/>
      <c r="AP615" s="15"/>
      <c r="AQ615" s="45"/>
      <c r="AR615" s="15"/>
      <c r="AS615" s="13"/>
      <c r="AT615" s="15"/>
      <c r="AU615" s="45"/>
      <c r="AV615" s="15"/>
      <c r="AW615" s="13"/>
      <c r="AY615" s="45"/>
      <c r="AZ615" s="28"/>
      <c r="BA615" s="13"/>
      <c r="BB615" s="15"/>
      <c r="BC615" s="45"/>
      <c r="BD615" s="28"/>
      <c r="BE615" s="14"/>
      <c r="BF615" s="41">
        <f t="shared" ref="BF615:BG615" si="2070">K615+O615+S615+W615+AA615+AE615+AI615+AM615+AQ615+AU615+AY615+BC615</f>
        <v>4411</v>
      </c>
      <c r="BG615" s="34">
        <f t="shared" si="2070"/>
        <v>2000</v>
      </c>
      <c r="BH615" s="35">
        <f t="shared" si="2058"/>
        <v>2411</v>
      </c>
      <c r="BK615" s="2" t="b">
        <f>H615='2019'!BH516</f>
        <v>0</v>
      </c>
    </row>
    <row r="616" ht="15.75" customHeight="1" hidden="1" spans="1:63" x14ac:dyDescent="0.25">
      <c r="A616" s="89" t="s">
        <v>248</v>
      </c>
      <c r="B616" s="14"/>
      <c r="D616" s="14" t="s">
        <v>51</v>
      </c>
      <c r="E616" s="2" t="s">
        <v>39</v>
      </c>
      <c r="F616" s="41">
        <v>500</v>
      </c>
      <c r="G616" s="28"/>
      <c r="H616" s="34">
        <f>'2019'!BH517</f>
        <v>0</v>
      </c>
      <c r="I616" s="15"/>
      <c r="J616" s="15"/>
      <c r="K616" s="15"/>
      <c r="L616" s="28"/>
      <c r="Q616" s="13"/>
      <c r="R616" s="15"/>
      <c r="S616" s="15"/>
      <c r="T616" s="28"/>
      <c r="Y616" s="13"/>
      <c r="Z616" s="15"/>
      <c r="AA616" s="15"/>
      <c r="AB616" s="28"/>
      <c r="AE616" s="34"/>
      <c r="AF616" s="34"/>
      <c r="AG616" s="13"/>
      <c r="AH616" s="15"/>
      <c r="AI616" s="45"/>
      <c r="AJ616" s="15"/>
      <c r="AK616" s="13"/>
      <c r="AL616" s="15"/>
      <c r="AM616" s="45"/>
      <c r="AN616" s="15"/>
      <c r="AO616" s="13"/>
      <c r="AP616" s="15"/>
      <c r="AQ616" s="45">
        <f>$F$13</f>
        <v>500</v>
      </c>
      <c r="AR616" s="15"/>
      <c r="AS616" s="13"/>
      <c r="AT616" s="15"/>
      <c r="AU616" s="45"/>
      <c r="AV616" s="15"/>
      <c r="AW616" s="13"/>
      <c r="AY616" s="45"/>
      <c r="AZ616" s="28"/>
      <c r="BA616" s="13"/>
      <c r="BB616" s="15"/>
      <c r="BC616" s="45"/>
      <c r="BD616" s="28"/>
      <c r="BE616" s="14"/>
      <c r="BF616" s="41">
        <f t="shared" ref="BF616:BG616" si="2071">K616+O616+S616+W616+AA616+AE616+AI616+AM616+AQ616+AU616+AY616+BC616</f>
        <v>500</v>
      </c>
      <c r="BG616" s="34">
        <f t="shared" si="2071"/>
        <v>0</v>
      </c>
      <c r="BH616" s="35">
        <f t="shared" si="2058"/>
        <v>500</v>
      </c>
      <c r="BK616" s="2" t="b">
        <f>H616='2019'!BH517</f>
        <v>1</v>
      </c>
    </row>
    <row r="617" ht="15.75" customHeight="1" hidden="1" spans="1:60" x14ac:dyDescent="0.25">
      <c r="A617" s="89" t="s">
        <v>248</v>
      </c>
      <c r="B617" s="14"/>
      <c r="D617" s="14" t="s">
        <v>51</v>
      </c>
      <c r="E617" s="2" t="s">
        <v>49</v>
      </c>
      <c r="F617" s="41">
        <v>500</v>
      </c>
      <c r="G617" s="28"/>
      <c r="H617" s="34"/>
      <c r="I617" s="15"/>
      <c r="J617" s="15"/>
      <c r="K617" s="15"/>
      <c r="L617" s="28"/>
      <c r="Q617" s="13"/>
      <c r="R617" s="15"/>
      <c r="S617" s="15"/>
      <c r="T617" s="28"/>
      <c r="Y617" s="13"/>
      <c r="Z617" s="15"/>
      <c r="AA617" s="15"/>
      <c r="AB617" s="28"/>
      <c r="AE617" s="34"/>
      <c r="AF617" s="34"/>
      <c r="AG617" s="13"/>
      <c r="AH617" s="15"/>
      <c r="AI617" s="45"/>
      <c r="AJ617" s="15"/>
      <c r="AK617" s="13"/>
      <c r="AL617" s="15"/>
      <c r="AM617" s="45"/>
      <c r="AN617" s="15"/>
      <c r="AO617" s="13"/>
      <c r="AP617" s="15"/>
      <c r="AQ617" s="34">
        <f>B612*$F$14</f>
        <v>2005</v>
      </c>
      <c r="AR617" s="15"/>
      <c r="AS617" s="13"/>
      <c r="AT617" s="15"/>
      <c r="AU617" s="45"/>
      <c r="AV617" s="15"/>
      <c r="AW617" s="13"/>
      <c r="AY617" s="45"/>
      <c r="AZ617" s="28"/>
      <c r="BA617" s="13"/>
      <c r="BB617" s="15"/>
      <c r="BC617" s="45"/>
      <c r="BD617" s="28"/>
      <c r="BE617" s="14"/>
      <c r="BF617" s="41">
        <f t="shared" ref="BF617:BG617" si="2072">K617+O617+S617+W617+AA617+AE617+AI617+AM617+AQ617+AU617+AY617+BC617</f>
        <v>2005</v>
      </c>
      <c r="BG617" s="34">
        <f t="shared" si="2072"/>
        <v>0</v>
      </c>
      <c r="BH617" s="35">
        <f t="shared" si="2058"/>
        <v>2005</v>
      </c>
    </row>
    <row r="618" ht="15.75" customHeight="1" hidden="1" spans="1:63" x14ac:dyDescent="0.25">
      <c r="A618" s="89" t="s">
        <v>248</v>
      </c>
      <c r="B618" s="14"/>
      <c r="D618" s="14" t="s">
        <v>52</v>
      </c>
      <c r="E618" s="2" t="s">
        <v>39</v>
      </c>
      <c r="F618" s="41">
        <v>500</v>
      </c>
      <c r="G618" s="28"/>
      <c r="H618" s="34">
        <f>'2019'!BH518</f>
        <v>0</v>
      </c>
      <c r="I618" s="15"/>
      <c r="J618" s="15"/>
      <c r="K618" s="15"/>
      <c r="L618" s="28"/>
      <c r="Q618" s="13"/>
      <c r="R618" s="15"/>
      <c r="S618" s="15"/>
      <c r="T618" s="28"/>
      <c r="Y618" s="13"/>
      <c r="Z618" s="15"/>
      <c r="AA618" s="77"/>
      <c r="AB618" s="28"/>
      <c r="AG618" s="13"/>
      <c r="AH618" s="15"/>
      <c r="AI618" s="45"/>
      <c r="AJ618" s="15"/>
      <c r="AK618" s="13"/>
      <c r="AL618" s="15"/>
      <c r="AM618" s="45"/>
      <c r="AN618" s="15"/>
      <c r="AO618" s="13"/>
      <c r="AP618" s="15"/>
      <c r="AQ618" s="45"/>
      <c r="AR618" s="15"/>
      <c r="AS618" s="13"/>
      <c r="AT618" s="15"/>
      <c r="AU618" s="45"/>
      <c r="AV618" s="15"/>
      <c r="AW618" s="13"/>
      <c r="AY618" s="45"/>
      <c r="AZ618" s="35"/>
      <c r="BA618" s="13"/>
      <c r="BB618" s="15"/>
      <c r="BC618" s="45"/>
      <c r="BD618" s="35"/>
      <c r="BE618" s="14"/>
      <c r="BF618" s="41">
        <f t="shared" ref="BF618:BG618" si="2073">K618+O618+S618+W618+AA618+AE618+AI618+AM618+AQ618+AU618+AY618+BC618</f>
        <v>0</v>
      </c>
      <c r="BG618" s="34">
        <f t="shared" si="2073"/>
        <v>0</v>
      </c>
      <c r="BH618" s="35">
        <f t="shared" si="2058"/>
        <v>0</v>
      </c>
      <c r="BK618" s="2" t="b">
        <f>H618='2019'!BH518</f>
        <v>1</v>
      </c>
    </row>
    <row r="619" ht="15.75" customHeight="1" hidden="1" spans="1:63" x14ac:dyDescent="0.25">
      <c r="A619" s="243" t="s">
        <v>248</v>
      </c>
      <c r="B619" s="21"/>
      <c r="C619" s="22" t="s">
        <v>53</v>
      </c>
      <c r="D619" s="21"/>
      <c r="E619" s="22"/>
      <c r="F619" s="20"/>
      <c r="G619" s="23"/>
      <c r="H619" s="51">
        <f>SUM(H611:H618)</f>
        <v>0</v>
      </c>
      <c r="I619" s="53"/>
      <c r="J619" s="53"/>
      <c r="K619" s="51">
        <f t="shared" ref="K619:L619" si="2074">SUM(K611:K618)</f>
        <v>0</v>
      </c>
      <c r="L619" s="68">
        <f t="shared" si="2074"/>
        <v>0</v>
      </c>
      <c r="M619" s="53"/>
      <c r="N619" s="53"/>
      <c r="O619" s="51">
        <f t="shared" ref="O619:P619" si="2075">SUM(O611:O618)</f>
        <v>0</v>
      </c>
      <c r="P619" s="51">
        <f t="shared" si="2075"/>
        <v>0</v>
      </c>
      <c r="Q619" s="52"/>
      <c r="R619" s="53"/>
      <c r="S619" s="51">
        <f t="shared" ref="S619:T619" si="2076">SUM(S611:S618)</f>
        <v>0</v>
      </c>
      <c r="T619" s="51">
        <f t="shared" si="2076"/>
        <v>0</v>
      </c>
      <c r="U619" s="52"/>
      <c r="V619" s="53"/>
      <c r="W619" s="51">
        <f t="shared" ref="W619:X619" si="2077">SUM(W611:W618)</f>
        <v>78.18</v>
      </c>
      <c r="X619" s="51">
        <f t="shared" si="2077"/>
        <v>0</v>
      </c>
      <c r="Y619" s="52"/>
      <c r="Z619" s="53"/>
      <c r="AA619" s="51">
        <f t="shared" ref="AA619:AB619" si="2078">SUM(AA611:AA618)</f>
        <v>265</v>
      </c>
      <c r="AB619" s="51">
        <f t="shared" si="2078"/>
        <v>0</v>
      </c>
      <c r="AC619" s="52"/>
      <c r="AD619" s="53"/>
      <c r="AE619" s="51">
        <f t="shared" ref="AE619:AF619" si="2079">SUM(AE611:AE618)</f>
        <v>5231.52</v>
      </c>
      <c r="AF619" s="51">
        <f t="shared" si="2079"/>
        <v>2000</v>
      </c>
      <c r="AG619" s="52"/>
      <c r="AH619" s="53"/>
      <c r="AI619" s="183">
        <f t="shared" ref="AI619:AJ619" si="2080">SUM(AI611:AI618)</f>
        <v>972.38</v>
      </c>
      <c r="AJ619" s="51">
        <f t="shared" si="2080"/>
        <v>1173.7</v>
      </c>
      <c r="AK619" s="52"/>
      <c r="AL619" s="53"/>
      <c r="AM619" s="183">
        <f t="shared" ref="AM619:AN619" si="2081">SUM(AM611:AM618)</f>
        <v>849.8</v>
      </c>
      <c r="AN619" s="51">
        <f t="shared" si="2081"/>
        <v>0</v>
      </c>
      <c r="AO619" s="52"/>
      <c r="AP619" s="53"/>
      <c r="AQ619" s="183">
        <f t="shared" ref="AQ619:AR619" si="2082">SUM(AQ611:AQ618)</f>
        <v>4493.35</v>
      </c>
      <c r="AR619" s="51">
        <f t="shared" si="2082"/>
        <v>1812.18</v>
      </c>
      <c r="AS619" s="52"/>
      <c r="AT619" s="53"/>
      <c r="AU619" s="183">
        <f t="shared" ref="AU619:AV619" si="2083">SUM(AU611:AU618)</f>
        <v>387.07</v>
      </c>
      <c r="AV619" s="68">
        <f t="shared" si="2083"/>
        <v>0</v>
      </c>
      <c r="AW619" s="52"/>
      <c r="AX619" s="53"/>
      <c r="AY619" s="183">
        <f t="shared" ref="AY619:AZ619" si="2084">SUM(AY611:AY618)</f>
        <v>7.23</v>
      </c>
      <c r="AZ619" s="68">
        <f t="shared" si="2084"/>
        <v>2360.72</v>
      </c>
      <c r="BA619" s="52"/>
      <c r="BB619" s="53"/>
      <c r="BC619" s="183">
        <f t="shared" ref="BC619:BD619" si="2085">SUM(BC611:BC618)</f>
        <v>7.47</v>
      </c>
      <c r="BD619" s="68">
        <f t="shared" si="2085"/>
        <v>0</v>
      </c>
      <c r="BE619" s="69"/>
      <c r="BF619" s="70">
        <f t="shared" ref="BF619:BH619" si="2086">SUM(BF611:BF618)</f>
        <v>12292</v>
      </c>
      <c r="BG619" s="71">
        <f t="shared" si="2086"/>
        <v>7346.6</v>
      </c>
      <c r="BH619" s="72">
        <f t="shared" si="2086"/>
        <v>4945.4</v>
      </c>
      <c r="BI619" s="34">
        <f>H619+BF619-BG619</f>
        <v>4945.4</v>
      </c>
      <c r="BJ619" s="34">
        <f>BH619-BI619</f>
        <v>0</v>
      </c>
      <c r="BK619" s="2" t="b">
        <f>H619='2019'!BH519</f>
        <v>0</v>
      </c>
    </row>
    <row r="620" ht="15.75" customHeight="1" hidden="1" spans="1:60" x14ac:dyDescent="0.25">
      <c r="A620" s="89" t="s">
        <v>248</v>
      </c>
      <c r="B620" s="14"/>
      <c r="D620" s="14" t="s">
        <v>379</v>
      </c>
      <c r="F620" s="13"/>
      <c r="G620" s="28"/>
      <c r="H620" s="182">
        <v>0</v>
      </c>
      <c r="J620" s="15"/>
      <c r="K620" s="15"/>
      <c r="L620" s="28"/>
      <c r="Q620" s="13"/>
      <c r="R620" s="15"/>
      <c r="S620" s="15"/>
      <c r="T620" s="28"/>
      <c r="Y620" s="13"/>
      <c r="Z620" s="15"/>
      <c r="AA620" s="15"/>
      <c r="AB620" s="28"/>
      <c r="AG620" s="13"/>
      <c r="AH620" s="15"/>
      <c r="AI620" s="45"/>
      <c r="AJ620" s="15"/>
      <c r="AK620" s="13"/>
      <c r="AM620" s="45"/>
      <c r="AO620" s="13"/>
      <c r="AQ620" s="45">
        <v>13.27</v>
      </c>
      <c r="AS620" s="13"/>
      <c r="AU620" s="45">
        <v>13.71</v>
      </c>
      <c r="AW620" s="13"/>
      <c r="AY620" s="45">
        <v>6.63</v>
      </c>
      <c r="AZ620" s="28"/>
      <c r="BA620" s="13"/>
      <c r="BB620" s="15"/>
      <c r="BC620" s="45"/>
      <c r="BD620" s="28"/>
      <c r="BE620" s="14"/>
      <c r="BF620" s="41">
        <f t="shared" ref="BF620:BG620" si="2087">K620+O620+S620+W620+AA620+AE620+AI620+AM620+AQ620+AU620+AY620+BC620</f>
        <v>33.61</v>
      </c>
      <c r="BG620" s="34">
        <f t="shared" si="2087"/>
        <v>0</v>
      </c>
      <c r="BH620" s="35">
        <f t="shared" ref="BH620:BH627" si="2088">H620+BF620-BG620</f>
        <v>33.61</v>
      </c>
    </row>
    <row r="621" ht="15.75" customHeight="1" hidden="1" spans="1:60" x14ac:dyDescent="0.25">
      <c r="A621" s="89" t="s">
        <v>248</v>
      </c>
      <c r="B621" s="14">
        <v>4.02</v>
      </c>
      <c r="C621" s="2" t="s">
        <v>505</v>
      </c>
      <c r="D621" s="14" t="s">
        <v>44</v>
      </c>
      <c r="E621" s="2" t="s">
        <v>45</v>
      </c>
      <c r="F621" s="41">
        <v>2.5</v>
      </c>
      <c r="G621" s="35">
        <v>2.6</v>
      </c>
      <c r="H621" s="182">
        <v>0</v>
      </c>
      <c r="I621" s="13"/>
      <c r="J621" s="15"/>
      <c r="K621" s="34">
        <f>J621*$F$8</f>
        <v>0</v>
      </c>
      <c r="L621" s="28"/>
      <c r="N621" s="15"/>
      <c r="O621" s="34">
        <f>N621*$F$8</f>
        <v>0</v>
      </c>
      <c r="Q621" s="13"/>
      <c r="R621" s="15">
        <f>Q621-M621</f>
        <v>0</v>
      </c>
      <c r="S621" s="34">
        <f>R621*$F$8</f>
        <v>0</v>
      </c>
      <c r="T621" s="28"/>
      <c r="U621" s="15"/>
      <c r="V621" s="15">
        <f t="shared" ref="V621:V622" si="2089">U621-Q621</f>
        <v>0</v>
      </c>
      <c r="W621" s="34">
        <f>V621*$F$8</f>
        <v>0</v>
      </c>
      <c r="Y621" s="13"/>
      <c r="Z621" s="15">
        <f t="shared" ref="Z621:Z622" si="2090">Y621-U621</f>
        <v>0</v>
      </c>
      <c r="AA621" s="34">
        <f>Z621*$F$8</f>
        <v>0</v>
      </c>
      <c r="AB621" s="28"/>
      <c r="AC621" s="15"/>
      <c r="AD621" s="15">
        <f t="shared" ref="AD621:AD622" si="2091">AC621-Y621</f>
        <v>0</v>
      </c>
      <c r="AE621" s="34">
        <f>AD621*$F$8</f>
        <v>0</v>
      </c>
      <c r="AF621" s="34"/>
      <c r="AG621" s="13"/>
      <c r="AH621" s="15">
        <f t="shared" ref="AH621:AH622" si="2092">AG621-AC621</f>
        <v>0</v>
      </c>
      <c r="AI621" s="45">
        <f>AH621*$G$8</f>
        <v>0</v>
      </c>
      <c r="AJ621" s="2"/>
      <c r="AK621" s="13">
        <v>0</v>
      </c>
      <c r="AL621" s="15">
        <f t="shared" ref="AL621:AL622" si="2093">AK621-AG621</f>
        <v>0</v>
      </c>
      <c r="AM621" s="45">
        <f>AL621*$G$8</f>
        <v>0</v>
      </c>
      <c r="AN621" s="15"/>
      <c r="AO621" s="13">
        <v>0</v>
      </c>
      <c r="AP621" s="15">
        <f t="shared" ref="AP621:AP622" si="2094">AO621-AK621</f>
        <v>0</v>
      </c>
      <c r="AQ621" s="45">
        <f>AP621*$G$8</f>
        <v>0</v>
      </c>
      <c r="AR621" s="15"/>
      <c r="AS621" s="13">
        <v>0</v>
      </c>
      <c r="AT621" s="15">
        <f t="shared" ref="AT621:AT622" si="2095">AS621-AO621</f>
        <v>0</v>
      </c>
      <c r="AU621" s="45">
        <f>AT621*$G$8</f>
        <v>0</v>
      </c>
      <c r="AV621" s="15"/>
      <c r="AW621" s="13">
        <v>0</v>
      </c>
      <c r="AX621" s="2">
        <f t="shared" ref="AX621:AX622" si="2096">AW621-AS621</f>
        <v>0</v>
      </c>
      <c r="AY621" s="45">
        <f>AX621*$G$8</f>
        <v>0</v>
      </c>
      <c r="AZ621" s="208"/>
      <c r="BA621" s="13">
        <v>0</v>
      </c>
      <c r="BB621" s="15">
        <f t="shared" ref="BB621:BB622" si="2097">BA621-AW621</f>
        <v>0</v>
      </c>
      <c r="BC621" s="45">
        <f>BB621*$G$8</f>
        <v>0</v>
      </c>
      <c r="BD621" s="208"/>
      <c r="BE621" s="40">
        <f t="shared" ref="BE621:BG621" si="2098">J621+N621+R621+V621+Z621+AD621+AH621+AL621+AP621+AT621+AX621+BB621</f>
        <v>0</v>
      </c>
      <c r="BF621" s="41">
        <f t="shared" si="2098"/>
        <v>0</v>
      </c>
      <c r="BG621" s="34">
        <f t="shared" si="2098"/>
        <v>0</v>
      </c>
      <c r="BH621" s="35">
        <f t="shared" si="2088"/>
        <v>0</v>
      </c>
    </row>
    <row r="622" ht="15.75" customHeight="1" hidden="1" spans="1:60" x14ac:dyDescent="0.25">
      <c r="A622" s="89" t="s">
        <v>248</v>
      </c>
      <c r="B622" s="14"/>
      <c r="C622" s="2" t="s">
        <v>61</v>
      </c>
      <c r="D622" s="14" t="s">
        <v>47</v>
      </c>
      <c r="E622" s="2" t="s">
        <v>48</v>
      </c>
      <c r="F622" s="13">
        <v>18.56</v>
      </c>
      <c r="G622" s="35">
        <v>19.46</v>
      </c>
      <c r="H622" s="182">
        <v>0</v>
      </c>
      <c r="I622" s="13"/>
      <c r="J622" s="15"/>
      <c r="K622" s="15"/>
      <c r="L622" s="28"/>
      <c r="Q622" s="13"/>
      <c r="R622" s="15"/>
      <c r="S622" s="15"/>
      <c r="T622" s="28"/>
      <c r="V622" s="2">
        <f t="shared" si="2089"/>
        <v>0</v>
      </c>
      <c r="W622" s="180">
        <f>V622*$F$10</f>
        <v>0</v>
      </c>
      <c r="Y622" s="184"/>
      <c r="Z622" s="15">
        <f t="shared" si="2090"/>
        <v>0</v>
      </c>
      <c r="AA622" s="34">
        <f>Z622*$F$10</f>
        <v>0</v>
      </c>
      <c r="AB622" s="28"/>
      <c r="AC622" s="13"/>
      <c r="AD622" s="15">
        <f t="shared" si="2091"/>
        <v>0</v>
      </c>
      <c r="AE622" s="34">
        <f>AD622*$F$10</f>
        <v>0</v>
      </c>
      <c r="AF622" s="34"/>
      <c r="AG622" s="13"/>
      <c r="AH622" s="15">
        <f t="shared" si="2092"/>
        <v>0</v>
      </c>
      <c r="AI622" s="45">
        <f>AH622*$G$10</f>
        <v>0</v>
      </c>
      <c r="AJ622" s="181"/>
      <c r="AK622" s="13"/>
      <c r="AL622" s="15">
        <f t="shared" si="2093"/>
        <v>0</v>
      </c>
      <c r="AM622" s="45">
        <f>AL622*$G$10</f>
        <v>0</v>
      </c>
      <c r="AN622" s="15"/>
      <c r="AO622" s="13"/>
      <c r="AP622" s="15">
        <f t="shared" si="2094"/>
        <v>0</v>
      </c>
      <c r="AQ622" s="45">
        <f>AP622*$G$10</f>
        <v>0</v>
      </c>
      <c r="AR622" s="15"/>
      <c r="AS622" s="13"/>
      <c r="AT622" s="15">
        <f t="shared" si="2095"/>
        <v>0</v>
      </c>
      <c r="AU622" s="45">
        <f>AT622*$G$10</f>
        <v>0</v>
      </c>
      <c r="AV622" s="15"/>
      <c r="AW622" s="13"/>
      <c r="AX622" s="2">
        <f t="shared" si="2096"/>
        <v>0</v>
      </c>
      <c r="AY622" s="45"/>
      <c r="AZ622" s="208"/>
      <c r="BA622" s="13"/>
      <c r="BB622" s="15">
        <f t="shared" si="2097"/>
        <v>0</v>
      </c>
      <c r="BC622" s="45"/>
      <c r="BD622" s="208"/>
      <c r="BE622" s="40">
        <f t="shared" ref="BE622:BG622" si="2099">J622+N622+R622+V622+Z622+AD622+AH622+AL622+AP622+AT622+AX622+BB622</f>
        <v>0</v>
      </c>
      <c r="BF622" s="41">
        <f t="shared" si="2099"/>
        <v>0</v>
      </c>
      <c r="BG622" s="34">
        <f t="shared" si="2099"/>
        <v>0</v>
      </c>
      <c r="BH622" s="35">
        <f t="shared" si="2088"/>
        <v>0</v>
      </c>
    </row>
    <row r="623" ht="15.75" customHeight="1" hidden="1" spans="1:60" x14ac:dyDescent="0.25">
      <c r="A623" s="89" t="s">
        <v>248</v>
      </c>
      <c r="B623" s="14"/>
      <c r="C623" s="2" t="s">
        <v>102</v>
      </c>
      <c r="D623" s="14" t="s">
        <v>47</v>
      </c>
      <c r="E623" s="2" t="s">
        <v>49</v>
      </c>
      <c r="F623" s="41">
        <v>500</v>
      </c>
      <c r="G623" s="28"/>
      <c r="H623" s="182">
        <v>0</v>
      </c>
      <c r="I623" s="15"/>
      <c r="J623" s="15"/>
      <c r="K623" s="15"/>
      <c r="L623" s="28"/>
      <c r="Q623" s="13"/>
      <c r="R623" s="15"/>
      <c r="S623" s="15"/>
      <c r="T623" s="28"/>
      <c r="Y623" s="13"/>
      <c r="Z623" s="15"/>
      <c r="AA623" s="15"/>
      <c r="AB623" s="28"/>
      <c r="AG623" s="13"/>
      <c r="AH623" s="15"/>
      <c r="AI623" s="45"/>
      <c r="AJ623" s="15"/>
      <c r="AK623" s="13"/>
      <c r="AL623" s="15"/>
      <c r="AM623" s="45"/>
      <c r="AN623" s="15"/>
      <c r="AO623" s="13"/>
      <c r="AP623" s="15"/>
      <c r="AQ623" s="45"/>
      <c r="AR623" s="15"/>
      <c r="AS623" s="13"/>
      <c r="AT623" s="15"/>
      <c r="AU623" s="45"/>
      <c r="AV623" s="15"/>
      <c r="AW623" s="13"/>
      <c r="AY623" s="45"/>
      <c r="AZ623" s="28"/>
      <c r="BA623" s="13"/>
      <c r="BB623" s="15"/>
      <c r="BC623" s="45"/>
      <c r="BD623" s="28"/>
      <c r="BE623" s="14"/>
      <c r="BF623" s="41">
        <f t="shared" ref="BF623:BG623" si="2100">K623+O623+S623+W623+AA623+AE623+AI623+AM623+AQ623+AU623+AY623+BC623</f>
        <v>0</v>
      </c>
      <c r="BG623" s="34">
        <f t="shared" si="2100"/>
        <v>0</v>
      </c>
      <c r="BH623" s="35">
        <f t="shared" si="2088"/>
        <v>0</v>
      </c>
    </row>
    <row r="624" ht="15.75" customHeight="1" hidden="1" spans="1:60" x14ac:dyDescent="0.25">
      <c r="A624" s="89" t="s">
        <v>248</v>
      </c>
      <c r="B624" s="14"/>
      <c r="C624" s="2" t="s">
        <v>252</v>
      </c>
      <c r="D624" s="14" t="s">
        <v>50</v>
      </c>
      <c r="E624" s="2" t="s">
        <v>49</v>
      </c>
      <c r="F624" s="41">
        <v>1100</v>
      </c>
      <c r="G624" s="28"/>
      <c r="H624" s="182">
        <v>0</v>
      </c>
      <c r="I624" s="15"/>
      <c r="J624" s="15"/>
      <c r="K624" s="15"/>
      <c r="L624" s="28"/>
      <c r="Q624" s="13"/>
      <c r="R624" s="15"/>
      <c r="S624" s="15"/>
      <c r="T624" s="28"/>
      <c r="Y624" s="13"/>
      <c r="Z624" s="15"/>
      <c r="AA624" s="15"/>
      <c r="AB624" s="28"/>
      <c r="AE624" s="34">
        <f>B621*$F$12</f>
        <v>4422</v>
      </c>
      <c r="AF624" s="34"/>
      <c r="AG624" s="13"/>
      <c r="AH624" s="15"/>
      <c r="AI624" s="45"/>
      <c r="AJ624" s="180"/>
      <c r="AK624" s="13"/>
      <c r="AL624" s="15"/>
      <c r="AM624" s="45"/>
      <c r="AN624" s="15"/>
      <c r="AO624" s="13"/>
      <c r="AP624" s="15"/>
      <c r="AQ624" s="45"/>
      <c r="AR624" s="15"/>
      <c r="AS624" s="13"/>
      <c r="AT624" s="15"/>
      <c r="AU624" s="45"/>
      <c r="AV624" s="15"/>
      <c r="AW624" s="13"/>
      <c r="AY624" s="45"/>
      <c r="AZ624" s="38">
        <v>4422</v>
      </c>
      <c r="BA624" s="13"/>
      <c r="BB624" s="15"/>
      <c r="BC624" s="45"/>
      <c r="BD624" s="28"/>
      <c r="BE624" s="14"/>
      <c r="BF624" s="41">
        <f t="shared" ref="BF624:BG624" si="2101">K624+O624+S624+W624+AA624+AE624+AI624+AM624+AQ624+AU624+AY624+BC624</f>
        <v>4422</v>
      </c>
      <c r="BG624" s="34">
        <f t="shared" si="2101"/>
        <v>4422</v>
      </c>
      <c r="BH624" s="35">
        <f t="shared" si="2088"/>
        <v>0</v>
      </c>
    </row>
    <row r="625" ht="15.75" customHeight="1" hidden="1" spans="1:60" x14ac:dyDescent="0.25">
      <c r="A625" s="89" t="s">
        <v>248</v>
      </c>
      <c r="B625" s="14"/>
      <c r="D625" s="14" t="s">
        <v>51</v>
      </c>
      <c r="E625" s="2" t="s">
        <v>39</v>
      </c>
      <c r="F625" s="41">
        <v>500</v>
      </c>
      <c r="G625" s="28"/>
      <c r="H625" s="182">
        <v>0</v>
      </c>
      <c r="I625" s="15"/>
      <c r="J625" s="15"/>
      <c r="K625" s="15"/>
      <c r="L625" s="28"/>
      <c r="Q625" s="13"/>
      <c r="R625" s="15"/>
      <c r="S625" s="15"/>
      <c r="T625" s="28"/>
      <c r="Y625" s="13"/>
      <c r="Z625" s="15"/>
      <c r="AA625" s="15"/>
      <c r="AB625" s="28"/>
      <c r="AE625" s="34"/>
      <c r="AF625" s="34"/>
      <c r="AG625" s="13"/>
      <c r="AH625" s="15"/>
      <c r="AI625" s="45"/>
      <c r="AJ625" s="15"/>
      <c r="AK625" s="13"/>
      <c r="AL625" s="15"/>
      <c r="AM625" s="45"/>
      <c r="AN625" s="15"/>
      <c r="AO625" s="13"/>
      <c r="AP625" s="15"/>
      <c r="AQ625" s="45">
        <f>$F$13</f>
        <v>500</v>
      </c>
      <c r="AR625" s="15"/>
      <c r="AS625" s="13"/>
      <c r="AT625" s="15"/>
      <c r="AU625" s="45"/>
      <c r="AV625" s="15"/>
      <c r="AW625" s="13"/>
      <c r="AY625" s="45"/>
      <c r="AZ625" s="28"/>
      <c r="BA625" s="13"/>
      <c r="BB625" s="15"/>
      <c r="BC625" s="45"/>
      <c r="BD625" s="28"/>
      <c r="BE625" s="14"/>
      <c r="BF625" s="41">
        <f t="shared" ref="BF625:BG625" si="2102">K625+O625+S625+W625+AA625+AE625+AI625+AM625+AQ625+AU625+AY625+BC625</f>
        <v>500</v>
      </c>
      <c r="BG625" s="34">
        <f t="shared" si="2102"/>
        <v>0</v>
      </c>
      <c r="BH625" s="35">
        <f t="shared" si="2088"/>
        <v>500</v>
      </c>
    </row>
    <row r="626" ht="15.75" customHeight="1" hidden="1" spans="1:60" x14ac:dyDescent="0.25">
      <c r="A626" s="89" t="s">
        <v>248</v>
      </c>
      <c r="B626" s="14"/>
      <c r="D626" s="14" t="s">
        <v>51</v>
      </c>
      <c r="E626" s="2" t="s">
        <v>49</v>
      </c>
      <c r="F626" s="41">
        <v>500</v>
      </c>
      <c r="G626" s="28"/>
      <c r="H626" s="182"/>
      <c r="I626" s="15"/>
      <c r="J626" s="15"/>
      <c r="K626" s="15"/>
      <c r="L626" s="28"/>
      <c r="Q626" s="13"/>
      <c r="R626" s="15"/>
      <c r="S626" s="15"/>
      <c r="T626" s="28"/>
      <c r="Y626" s="13"/>
      <c r="Z626" s="15"/>
      <c r="AA626" s="15"/>
      <c r="AB626" s="28"/>
      <c r="AE626" s="34"/>
      <c r="AF626" s="34"/>
      <c r="AG626" s="13"/>
      <c r="AH626" s="15"/>
      <c r="AI626" s="45"/>
      <c r="AJ626" s="15"/>
      <c r="AK626" s="13"/>
      <c r="AL626" s="15"/>
      <c r="AM626" s="45"/>
      <c r="AN626" s="15"/>
      <c r="AO626" s="13"/>
      <c r="AP626" s="15"/>
      <c r="AQ626" s="34">
        <f>B621*$F$14</f>
        <v>2010</v>
      </c>
      <c r="AR626" s="15"/>
      <c r="AS626" s="13"/>
      <c r="AT626" s="15"/>
      <c r="AU626" s="45"/>
      <c r="AV626" s="15"/>
      <c r="AW626" s="13"/>
      <c r="AY626" s="45"/>
      <c r="AZ626" s="28"/>
      <c r="BA626" s="13"/>
      <c r="BB626" s="15"/>
      <c r="BC626" s="45"/>
      <c r="BD626" s="28"/>
      <c r="BE626" s="14"/>
      <c r="BF626" s="41">
        <f t="shared" ref="BF626:BG626" si="2103">K626+O626+S626+W626+AA626+AE626+AI626+AM626+AQ626+AU626+AY626+BC626</f>
        <v>2010</v>
      </c>
      <c r="BG626" s="34">
        <f t="shared" si="2103"/>
        <v>0</v>
      </c>
      <c r="BH626" s="35">
        <f t="shared" si="2088"/>
        <v>2010</v>
      </c>
    </row>
    <row r="627" ht="15.75" customHeight="1" hidden="1" spans="1:60" x14ac:dyDescent="0.25">
      <c r="A627" s="89" t="s">
        <v>248</v>
      </c>
      <c r="B627" s="14"/>
      <c r="D627" s="14" t="s">
        <v>52</v>
      </c>
      <c r="E627" s="2" t="s">
        <v>39</v>
      </c>
      <c r="F627" s="41">
        <v>500</v>
      </c>
      <c r="G627" s="28"/>
      <c r="H627" s="182">
        <v>0</v>
      </c>
      <c r="I627" s="15"/>
      <c r="J627" s="15"/>
      <c r="K627" s="15"/>
      <c r="L627" s="28"/>
      <c r="Q627" s="13"/>
      <c r="R627" s="15"/>
      <c r="S627" s="15"/>
      <c r="T627" s="28"/>
      <c r="Y627" s="13"/>
      <c r="Z627" s="15"/>
      <c r="AA627" s="77"/>
      <c r="AB627" s="28"/>
      <c r="AG627" s="13"/>
      <c r="AH627" s="15"/>
      <c r="AI627" s="45"/>
      <c r="AJ627" s="15"/>
      <c r="AK627" s="13"/>
      <c r="AL627" s="15"/>
      <c r="AM627" s="45"/>
      <c r="AN627" s="15"/>
      <c r="AO627" s="13"/>
      <c r="AP627" s="15"/>
      <c r="AQ627" s="45"/>
      <c r="AR627" s="15"/>
      <c r="AS627" s="13"/>
      <c r="AT627" s="15"/>
      <c r="AU627" s="45"/>
      <c r="AV627" s="15"/>
      <c r="AW627" s="13"/>
      <c r="AY627" s="45"/>
      <c r="AZ627" s="35"/>
      <c r="BA627" s="13"/>
      <c r="BB627" s="15"/>
      <c r="BC627" s="45"/>
      <c r="BD627" s="35"/>
      <c r="BE627" s="14"/>
      <c r="BF627" s="41">
        <f t="shared" ref="BF627:BG627" si="2104">K627+O627+S627+W627+AA627+AE627+AI627+AM627+AQ627+AU627+AY627+BC627</f>
        <v>0</v>
      </c>
      <c r="BG627" s="34">
        <f t="shared" si="2104"/>
        <v>0</v>
      </c>
      <c r="BH627" s="35">
        <f t="shared" si="2088"/>
        <v>0</v>
      </c>
    </row>
    <row r="628" ht="15.75" customHeight="1" hidden="1" spans="1:62" x14ac:dyDescent="0.25">
      <c r="A628" s="243" t="s">
        <v>248</v>
      </c>
      <c r="B628" s="21"/>
      <c r="C628" s="22" t="s">
        <v>53</v>
      </c>
      <c r="D628" s="21"/>
      <c r="E628" s="22"/>
      <c r="F628" s="20"/>
      <c r="G628" s="23"/>
      <c r="H628" s="51">
        <f>SUM(H620:H627)</f>
        <v>0</v>
      </c>
      <c r="I628" s="53"/>
      <c r="J628" s="53"/>
      <c r="K628" s="51">
        <f t="shared" ref="K628:L628" si="2105">SUM(K620:K627)</f>
        <v>0</v>
      </c>
      <c r="L628" s="68">
        <f t="shared" si="2105"/>
        <v>0</v>
      </c>
      <c r="M628" s="53"/>
      <c r="N628" s="53"/>
      <c r="O628" s="51">
        <f t="shared" ref="O628:P628" si="2106">SUM(O620:O627)</f>
        <v>0</v>
      </c>
      <c r="P628" s="51">
        <f t="shared" si="2106"/>
        <v>0</v>
      </c>
      <c r="Q628" s="52"/>
      <c r="R628" s="53"/>
      <c r="S628" s="51">
        <f t="shared" ref="S628:T628" si="2107">SUM(S620:S627)</f>
        <v>0</v>
      </c>
      <c r="T628" s="51">
        <f t="shared" si="2107"/>
        <v>0</v>
      </c>
      <c r="U628" s="52"/>
      <c r="V628" s="53"/>
      <c r="W628" s="51">
        <f t="shared" ref="W628:X628" si="2108">SUM(W620:W627)</f>
        <v>0</v>
      </c>
      <c r="X628" s="51">
        <f t="shared" si="2108"/>
        <v>0</v>
      </c>
      <c r="Y628" s="52"/>
      <c r="Z628" s="53"/>
      <c r="AA628" s="51">
        <f t="shared" ref="AA628:AB628" si="2109">SUM(AA620:AA627)</f>
        <v>0</v>
      </c>
      <c r="AB628" s="51">
        <f t="shared" si="2109"/>
        <v>0</v>
      </c>
      <c r="AC628" s="52"/>
      <c r="AD628" s="53"/>
      <c r="AE628" s="51">
        <f t="shared" ref="AE628:AF628" si="2110">SUM(AE620:AE627)</f>
        <v>4422</v>
      </c>
      <c r="AF628" s="51">
        <f t="shared" si="2110"/>
        <v>0</v>
      </c>
      <c r="AG628" s="52"/>
      <c r="AH628" s="53"/>
      <c r="AI628" s="183">
        <f t="shared" ref="AI628:AJ628" si="2111">SUM(AI620:AI627)</f>
        <v>0</v>
      </c>
      <c r="AJ628" s="51">
        <f t="shared" si="2111"/>
        <v>0</v>
      </c>
      <c r="AK628" s="52"/>
      <c r="AL628" s="53"/>
      <c r="AM628" s="183">
        <f t="shared" ref="AM628:AN628" si="2112">SUM(AM620:AM627)</f>
        <v>0</v>
      </c>
      <c r="AN628" s="51">
        <f t="shared" si="2112"/>
        <v>0</v>
      </c>
      <c r="AO628" s="52"/>
      <c r="AP628" s="53"/>
      <c r="AQ628" s="183">
        <f t="shared" ref="AQ628:AR628" si="2113">SUM(AQ620:AQ627)</f>
        <v>2523.27</v>
      </c>
      <c r="AR628" s="51">
        <f t="shared" si="2113"/>
        <v>0</v>
      </c>
      <c r="AS628" s="52"/>
      <c r="AT628" s="53"/>
      <c r="AU628" s="183">
        <f t="shared" ref="AU628:AV628" si="2114">SUM(AU620:AU627)</f>
        <v>13.71</v>
      </c>
      <c r="AV628" s="68">
        <f t="shared" si="2114"/>
        <v>0</v>
      </c>
      <c r="AW628" s="52"/>
      <c r="AX628" s="53"/>
      <c r="AY628" s="183">
        <f t="shared" ref="AY628:AZ628" si="2115">SUM(AY620:AY627)</f>
        <v>6.63</v>
      </c>
      <c r="AZ628" s="68">
        <f t="shared" si="2115"/>
        <v>4422</v>
      </c>
      <c r="BA628" s="52"/>
      <c r="BB628" s="53"/>
      <c r="BC628" s="183">
        <f t="shared" ref="BC628:BD628" si="2116">SUM(BC620:BC627)</f>
        <v>0</v>
      </c>
      <c r="BD628" s="68">
        <f t="shared" si="2116"/>
        <v>0</v>
      </c>
      <c r="BE628" s="69"/>
      <c r="BF628" s="70">
        <f t="shared" ref="BF628:BH628" si="2117">SUM(BF620:BF627)</f>
        <v>6965.61</v>
      </c>
      <c r="BG628" s="71">
        <f t="shared" si="2117"/>
        <v>4422</v>
      </c>
      <c r="BH628" s="72">
        <f t="shared" si="2117"/>
        <v>2543.61</v>
      </c>
      <c r="BI628" s="34">
        <f>H628+BF628-BG628</f>
        <v>2543.61</v>
      </c>
      <c r="BJ628" s="34">
        <f>BH628-BI628</f>
        <v>0</v>
      </c>
    </row>
    <row r="629" ht="15.75" customHeight="1" hidden="1" spans="1:63" x14ac:dyDescent="0.25">
      <c r="A629" s="2">
        <v>69</v>
      </c>
      <c r="B629" s="14"/>
      <c r="D629" s="178" t="s">
        <v>486</v>
      </c>
      <c r="F629" s="13"/>
      <c r="G629" s="28"/>
      <c r="H629" s="34">
        <f>'2019'!BH520</f>
        <v>0</v>
      </c>
      <c r="J629" s="15"/>
      <c r="K629" s="15"/>
      <c r="L629" s="28"/>
      <c r="Q629" s="13"/>
      <c r="R629" s="15"/>
      <c r="S629" s="15"/>
      <c r="T629" s="28"/>
      <c r="W629" s="152">
        <v>65.5</v>
      </c>
      <c r="X629" s="39">
        <v>65.5</v>
      </c>
      <c r="Y629" s="13"/>
      <c r="Z629" s="15"/>
      <c r="AA629" s="15"/>
      <c r="AB629" s="28"/>
      <c r="AG629" s="13"/>
      <c r="AH629" s="15"/>
      <c r="AI629" s="45"/>
      <c r="AJ629" s="15"/>
      <c r="AK629" s="13"/>
      <c r="AM629" s="45"/>
      <c r="AO629" s="13"/>
      <c r="AQ629" s="45">
        <v>0.1</v>
      </c>
      <c r="AS629" s="13"/>
      <c r="AU629" s="45">
        <v>0.1</v>
      </c>
      <c r="AW629" s="13"/>
      <c r="AY629" s="45">
        <v>0.1</v>
      </c>
      <c r="AZ629" s="28"/>
      <c r="BA629" s="13"/>
      <c r="BB629" s="15"/>
      <c r="BC629" s="45">
        <v>0.1</v>
      </c>
      <c r="BD629" s="28"/>
      <c r="BE629" s="14"/>
      <c r="BF629" s="41">
        <f t="shared" ref="BF629:BG629" si="2118">K629+O629+S629+W629+AA629+AE629+AI629+AM629+AQ629+AU629+AY629+BC629</f>
        <v>65.9</v>
      </c>
      <c r="BG629" s="34">
        <f t="shared" si="2118"/>
        <v>65.5</v>
      </c>
      <c r="BH629" s="35">
        <f t="shared" ref="BH629:BH636" si="2119">H629+BF629-BG629</f>
        <v>0.4</v>
      </c>
      <c r="BK629" s="2" t="b">
        <f>H629='2019'!BH520</f>
        <v>1</v>
      </c>
    </row>
    <row r="630" ht="15.75" customHeight="1" hidden="1" spans="1:63" x14ac:dyDescent="0.25">
      <c r="A630" s="2">
        <v>69</v>
      </c>
      <c r="B630" s="14">
        <v>4.03</v>
      </c>
      <c r="C630" s="2" t="s">
        <v>253</v>
      </c>
      <c r="D630" s="14" t="s">
        <v>44</v>
      </c>
      <c r="E630" s="2" t="s">
        <v>45</v>
      </c>
      <c r="F630" s="41">
        <v>2.5</v>
      </c>
      <c r="G630" s="35">
        <v>2.6</v>
      </c>
      <c r="H630" s="180">
        <f>'2019'!BH521</f>
        <v>-36.9</v>
      </c>
      <c r="I630" s="15">
        <v>22150</v>
      </c>
      <c r="J630" s="15">
        <f>I630-'2019'!BA521</f>
        <v>685</v>
      </c>
      <c r="K630" s="34">
        <f>J630*$F$8</f>
        <v>1712.5</v>
      </c>
      <c r="L630" s="28"/>
      <c r="M630" s="15">
        <v>22646</v>
      </c>
      <c r="N630" s="15">
        <f>M630-I630</f>
        <v>496</v>
      </c>
      <c r="O630" s="34">
        <f>N630*$F$8</f>
        <v>1240</v>
      </c>
      <c r="P630" s="39">
        <v>1950</v>
      </c>
      <c r="Q630" s="13">
        <v>23240</v>
      </c>
      <c r="R630" s="15">
        <f>Q630-M630</f>
        <v>594</v>
      </c>
      <c r="S630" s="34">
        <f>R630*$F$8</f>
        <v>1485</v>
      </c>
      <c r="T630" s="38">
        <v>2500</v>
      </c>
      <c r="U630" s="15">
        <v>23728</v>
      </c>
      <c r="V630" s="15">
        <f t="shared" ref="V630:V631" si="2120">U630-Q630</f>
        <v>488</v>
      </c>
      <c r="W630" s="34">
        <f>V630*$F$8</f>
        <v>1220</v>
      </c>
      <c r="X630" s="39">
        <v>1040</v>
      </c>
      <c r="Y630" s="13">
        <v>24035</v>
      </c>
      <c r="Z630" s="15">
        <f t="shared" ref="Z630:Z631" si="2121">Y630-U630</f>
        <v>307</v>
      </c>
      <c r="AA630" s="34">
        <f>Z630*$F$8</f>
        <v>767.5</v>
      </c>
      <c r="AB630" s="28"/>
      <c r="AC630" s="15">
        <v>24342</v>
      </c>
      <c r="AD630" s="15">
        <f t="shared" ref="AD630:AD631" si="2122">AC630-Y630</f>
        <v>307</v>
      </c>
      <c r="AE630" s="34">
        <f>AD630*$F$8</f>
        <v>767.5</v>
      </c>
      <c r="AF630" s="34"/>
      <c r="AG630" s="13">
        <v>24632</v>
      </c>
      <c r="AH630" s="15">
        <f t="shared" ref="AH630:AH631" si="2123">AG630-AC630</f>
        <v>290</v>
      </c>
      <c r="AI630" s="45">
        <f>AH630*$G$8</f>
        <v>754</v>
      </c>
      <c r="AJ630" s="140">
        <v>1250</v>
      </c>
      <c r="AK630" s="13">
        <v>24963</v>
      </c>
      <c r="AL630" s="15">
        <f t="shared" ref="AL630:AL631" si="2124">AK630-AG630</f>
        <v>331</v>
      </c>
      <c r="AM630" s="45">
        <f>AL630*$G$8</f>
        <v>860.6</v>
      </c>
      <c r="AN630" s="39">
        <v>2600</v>
      </c>
      <c r="AO630" s="13">
        <v>25290</v>
      </c>
      <c r="AP630" s="15">
        <f t="shared" ref="AP630:AP631" si="2125">AO630-AK630</f>
        <v>327</v>
      </c>
      <c r="AQ630" s="45">
        <f>AP630*$G$8</f>
        <v>850.2</v>
      </c>
      <c r="AR630" s="34"/>
      <c r="AS630" s="13">
        <v>25638</v>
      </c>
      <c r="AT630" s="15">
        <f t="shared" ref="AT630:AT631" si="2126">AS630-AO630</f>
        <v>348</v>
      </c>
      <c r="AU630" s="45">
        <f>AT630*$G$8</f>
        <v>904.8</v>
      </c>
      <c r="AV630" s="39">
        <v>1300</v>
      </c>
      <c r="AW630" s="13">
        <v>26084</v>
      </c>
      <c r="AX630" s="2">
        <f t="shared" ref="AX630:AX631" si="2127">AW630-AS630</f>
        <v>446</v>
      </c>
      <c r="AY630" s="45">
        <f>AX630*$G$8</f>
        <v>1159.6</v>
      </c>
      <c r="AZ630" s="242">
        <v>1950</v>
      </c>
      <c r="BA630" s="13">
        <v>26821</v>
      </c>
      <c r="BB630" s="15">
        <f t="shared" ref="BB630:BB631" si="2128">BA630-AW630</f>
        <v>737</v>
      </c>
      <c r="BC630" s="45">
        <f>BB630*$G$8</f>
        <v>1916.2</v>
      </c>
      <c r="BD630" s="208"/>
      <c r="BE630" s="40">
        <f t="shared" ref="BE630:BG630" si="2129">J630+N630+R630+V630+Z630+AD630+AH630+AL630+AP630+AT630+AX630+BB630</f>
        <v>5356</v>
      </c>
      <c r="BF630" s="41">
        <f t="shared" si="2129"/>
        <v>13637.9</v>
      </c>
      <c r="BG630" s="34">
        <f t="shared" si="2129"/>
        <v>12590</v>
      </c>
      <c r="BH630" s="35">
        <f t="shared" si="2119"/>
        <v>1011</v>
      </c>
      <c r="BI630" s="34"/>
      <c r="BJ630" s="34"/>
      <c r="BK630" s="2" t="b">
        <f>H630='2019'!BH521</f>
        <v>1</v>
      </c>
    </row>
    <row r="631" ht="15.75" customHeight="1" hidden="1" spans="1:63" x14ac:dyDescent="0.25">
      <c r="A631" s="2">
        <v>69</v>
      </c>
      <c r="B631" s="14"/>
      <c r="C631" s="2" t="s">
        <v>87</v>
      </c>
      <c r="D631" s="14" t="s">
        <v>47</v>
      </c>
      <c r="E631" s="2" t="s">
        <v>48</v>
      </c>
      <c r="F631" s="13">
        <v>18.56</v>
      </c>
      <c r="G631" s="35">
        <v>19.46</v>
      </c>
      <c r="H631" s="34">
        <f>'2019'!BH522</f>
        <v>0</v>
      </c>
      <c r="I631" s="15">
        <v>15</v>
      </c>
      <c r="J631" s="15"/>
      <c r="K631" s="15"/>
      <c r="L631" s="28"/>
      <c r="M631" s="2">
        <v>15</v>
      </c>
      <c r="Q631" s="13">
        <v>15</v>
      </c>
      <c r="R631" s="15"/>
      <c r="S631" s="15"/>
      <c r="T631" s="28"/>
      <c r="U631" s="256">
        <v>15</v>
      </c>
      <c r="V631" s="2">
        <f t="shared" si="2120"/>
        <v>0</v>
      </c>
      <c r="W631" s="34">
        <f>V631*$F$10</f>
        <v>0</v>
      </c>
      <c r="Y631" s="257">
        <v>15</v>
      </c>
      <c r="Z631" s="15">
        <f t="shared" si="2121"/>
        <v>0</v>
      </c>
      <c r="AA631" s="34">
        <f>Z631*$F$10</f>
        <v>0</v>
      </c>
      <c r="AB631" s="28"/>
      <c r="AC631" s="15">
        <v>15</v>
      </c>
      <c r="AD631" s="15">
        <f t="shared" si="2122"/>
        <v>0</v>
      </c>
      <c r="AE631" s="34">
        <f>AD631*$F$10</f>
        <v>0</v>
      </c>
      <c r="AF631" s="34"/>
      <c r="AG631" s="13">
        <v>15</v>
      </c>
      <c r="AH631" s="15">
        <f t="shared" si="2123"/>
        <v>0</v>
      </c>
      <c r="AI631" s="45">
        <f>AH631*$G$10</f>
        <v>0</v>
      </c>
      <c r="AJ631" s="1"/>
      <c r="AK631" s="13">
        <v>15</v>
      </c>
      <c r="AL631" s="15">
        <f t="shared" si="2124"/>
        <v>0</v>
      </c>
      <c r="AM631" s="45">
        <f>AL631*$G$10</f>
        <v>0</v>
      </c>
      <c r="AN631" s="15"/>
      <c r="AO631" s="13">
        <v>15</v>
      </c>
      <c r="AP631" s="15">
        <f t="shared" si="2125"/>
        <v>0</v>
      </c>
      <c r="AQ631" s="45">
        <f>AP631*$G$10</f>
        <v>0</v>
      </c>
      <c r="AR631" s="15"/>
      <c r="AS631" s="13">
        <v>15</v>
      </c>
      <c r="AT631" s="15">
        <f t="shared" si="2126"/>
        <v>0</v>
      </c>
      <c r="AU631" s="45">
        <f>AT631*$G$10</f>
        <v>0</v>
      </c>
      <c r="AV631" s="15"/>
      <c r="AW631" s="13">
        <v>15</v>
      </c>
      <c r="AX631" s="2">
        <f t="shared" si="2127"/>
        <v>0</v>
      </c>
      <c r="AY631" s="45"/>
      <c r="AZ631" s="208"/>
      <c r="BA631" s="13">
        <v>15</v>
      </c>
      <c r="BB631" s="15">
        <f t="shared" si="2128"/>
        <v>0</v>
      </c>
      <c r="BC631" s="45"/>
      <c r="BD631" s="208"/>
      <c r="BE631" s="40">
        <f t="shared" ref="BE631:BG631" si="2130">J631+N631+R631+V631+Z631+AD631+AH631+AL631+AP631+AT631+AX631+BB631</f>
        <v>0</v>
      </c>
      <c r="BF631" s="41">
        <f t="shared" si="2130"/>
        <v>0</v>
      </c>
      <c r="BG631" s="34">
        <f t="shared" si="2130"/>
        <v>0</v>
      </c>
      <c r="BH631" s="35">
        <f t="shared" si="2119"/>
        <v>0</v>
      </c>
      <c r="BK631" s="2" t="b">
        <f>H631='2019'!BH522</f>
        <v>1</v>
      </c>
    </row>
    <row r="632" ht="15.75" customHeight="1" hidden="1" spans="1:63" x14ac:dyDescent="0.25">
      <c r="A632" s="2">
        <v>69</v>
      </c>
      <c r="B632" s="14"/>
      <c r="C632" s="2" t="s">
        <v>119</v>
      </c>
      <c r="D632" s="14" t="s">
        <v>47</v>
      </c>
      <c r="E632" s="2" t="s">
        <v>49</v>
      </c>
      <c r="F632" s="41">
        <v>500</v>
      </c>
      <c r="G632" s="28"/>
      <c r="H632" s="144">
        <f>'2019'!BH523</f>
        <v>0</v>
      </c>
      <c r="I632" s="15"/>
      <c r="J632" s="15"/>
      <c r="K632" s="15"/>
      <c r="L632" s="28"/>
      <c r="Q632" s="13"/>
      <c r="R632" s="15"/>
      <c r="S632" s="15"/>
      <c r="T632" s="28"/>
      <c r="Y632" s="13"/>
      <c r="Z632" s="15"/>
      <c r="AA632" s="15"/>
      <c r="AB632" s="28"/>
      <c r="AG632" s="13"/>
      <c r="AH632" s="15"/>
      <c r="AI632" s="45"/>
      <c r="AJ632" s="15"/>
      <c r="AK632" s="13"/>
      <c r="AL632" s="15"/>
      <c r="AM632" s="45"/>
      <c r="AN632" s="15"/>
      <c r="AO632" s="13"/>
      <c r="AP632" s="15"/>
      <c r="AQ632" s="45"/>
      <c r="AR632" s="15"/>
      <c r="AS632" s="13"/>
      <c r="AT632" s="15"/>
      <c r="AU632" s="45"/>
      <c r="AV632" s="15"/>
      <c r="AW632" s="13"/>
      <c r="AY632" s="45"/>
      <c r="AZ632" s="28"/>
      <c r="BA632" s="13"/>
      <c r="BB632" s="15"/>
      <c r="BC632" s="45"/>
      <c r="BD632" s="28"/>
      <c r="BE632" s="14"/>
      <c r="BF632" s="41">
        <f t="shared" ref="BF632:BG632" si="2131">K632+O632+S632+W632+AA632+AE632+AI632+AM632+AQ632+AU632+AY632+BC632</f>
        <v>0</v>
      </c>
      <c r="BG632" s="34">
        <f t="shared" si="2131"/>
        <v>0</v>
      </c>
      <c r="BH632" s="35">
        <f t="shared" si="2119"/>
        <v>0</v>
      </c>
      <c r="BK632" s="2" t="b">
        <f>H632='2019'!BH523</f>
        <v>1</v>
      </c>
    </row>
    <row r="633" ht="15.75" customHeight="1" hidden="1" spans="1:63" x14ac:dyDescent="0.25">
      <c r="A633" s="2">
        <v>69</v>
      </c>
      <c r="B633" s="14"/>
      <c r="C633" s="2" t="s">
        <v>432</v>
      </c>
      <c r="D633" s="14" t="s">
        <v>50</v>
      </c>
      <c r="E633" s="2" t="s">
        <v>49</v>
      </c>
      <c r="F633" s="41">
        <v>1100</v>
      </c>
      <c r="G633" s="28"/>
      <c r="H633" s="182">
        <f>'2019'!BH524+0.0036</f>
        <v>0</v>
      </c>
      <c r="I633" s="15"/>
      <c r="J633" s="15"/>
      <c r="K633" s="15"/>
      <c r="L633" s="28"/>
      <c r="Q633" s="13"/>
      <c r="R633" s="15"/>
      <c r="S633" s="15"/>
      <c r="T633" s="28"/>
      <c r="Y633" s="13"/>
      <c r="Z633" s="15"/>
      <c r="AA633" s="15"/>
      <c r="AB633" s="28"/>
      <c r="AE633" s="34">
        <f>B630*$F$12</f>
        <v>4433</v>
      </c>
      <c r="AF633" s="34"/>
      <c r="AG633" s="13"/>
      <c r="AH633" s="15"/>
      <c r="AI633" s="45"/>
      <c r="AJ633" s="248">
        <v>4400</v>
      </c>
      <c r="AK633" s="13"/>
      <c r="AL633" s="15"/>
      <c r="AM633" s="45"/>
      <c r="AN633" s="15"/>
      <c r="AO633" s="13"/>
      <c r="AP633" s="15"/>
      <c r="AQ633" s="45"/>
      <c r="AR633" s="15"/>
      <c r="AS633" s="13"/>
      <c r="AT633" s="15"/>
      <c r="AU633" s="45"/>
      <c r="AV633" s="15"/>
      <c r="AW633" s="13"/>
      <c r="AY633" s="45"/>
      <c r="AZ633" s="28"/>
      <c r="BA633" s="13"/>
      <c r="BB633" s="15"/>
      <c r="BC633" s="45"/>
      <c r="BD633" s="28"/>
      <c r="BE633" s="14"/>
      <c r="BF633" s="41">
        <f t="shared" ref="BF633:BG633" si="2132">K633+O633+S633+W633+AA633+AE633+AI633+AM633+AQ633+AU633+AY633+BC633</f>
        <v>4433</v>
      </c>
      <c r="BG633" s="34">
        <f t="shared" si="2132"/>
        <v>4400</v>
      </c>
      <c r="BH633" s="35">
        <f t="shared" si="2119"/>
        <v>33</v>
      </c>
      <c r="BK633" s="2" t="b">
        <f>H633='2019'!BH524</f>
        <v>0</v>
      </c>
    </row>
    <row r="634" ht="15.75" customHeight="1" hidden="1" spans="1:63" x14ac:dyDescent="0.25">
      <c r="A634" s="2">
        <v>69</v>
      </c>
      <c r="B634" s="14"/>
      <c r="D634" s="14" t="s">
        <v>51</v>
      </c>
      <c r="E634" s="2" t="s">
        <v>39</v>
      </c>
      <c r="F634" s="41">
        <v>500</v>
      </c>
      <c r="G634" s="28"/>
      <c r="H634" s="34">
        <f>'2019'!BH525</f>
        <v>0</v>
      </c>
      <c r="I634" s="15"/>
      <c r="J634" s="15"/>
      <c r="K634" s="15"/>
      <c r="L634" s="28"/>
      <c r="Q634" s="13"/>
      <c r="R634" s="15"/>
      <c r="S634" s="15"/>
      <c r="T634" s="28"/>
      <c r="Y634" s="13"/>
      <c r="Z634" s="15"/>
      <c r="AA634" s="15"/>
      <c r="AB634" s="28"/>
      <c r="AE634" s="34"/>
      <c r="AG634" s="13"/>
      <c r="AH634" s="15"/>
      <c r="AI634" s="45"/>
      <c r="AJ634" s="180"/>
      <c r="AK634" s="13"/>
      <c r="AL634" s="15"/>
      <c r="AM634" s="45"/>
      <c r="AN634" s="15"/>
      <c r="AO634" s="13"/>
      <c r="AP634" s="15"/>
      <c r="AQ634" s="45">
        <f>$F$13</f>
        <v>500</v>
      </c>
      <c r="AR634" s="15"/>
      <c r="AS634" s="13"/>
      <c r="AT634" s="15"/>
      <c r="AU634" s="45"/>
      <c r="AV634" s="15"/>
      <c r="AW634" s="13"/>
      <c r="AY634" s="45"/>
      <c r="AZ634" s="28"/>
      <c r="BA634" s="13"/>
      <c r="BB634" s="15"/>
      <c r="BC634" s="45"/>
      <c r="BD634" s="28"/>
      <c r="BE634" s="14"/>
      <c r="BF634" s="41">
        <f t="shared" ref="BF634:BG634" si="2133">K634+O634+S634+W634+AA634+AE634+AI634+AM634+AQ634+AU634+AY634+BC634</f>
        <v>500</v>
      </c>
      <c r="BG634" s="34">
        <f t="shared" si="2133"/>
        <v>0</v>
      </c>
      <c r="BH634" s="35">
        <f t="shared" si="2119"/>
        <v>500</v>
      </c>
      <c r="BK634" s="2" t="b">
        <f>H634='2019'!BH525</f>
        <v>1</v>
      </c>
    </row>
    <row r="635" ht="15.75" customHeight="1" hidden="1" spans="1:60" x14ac:dyDescent="0.25">
      <c r="A635" s="2">
        <v>69</v>
      </c>
      <c r="B635" s="14"/>
      <c r="D635" s="14" t="s">
        <v>51</v>
      </c>
      <c r="E635" s="2" t="s">
        <v>49</v>
      </c>
      <c r="F635" s="41">
        <v>500</v>
      </c>
      <c r="G635" s="28"/>
      <c r="H635" s="34"/>
      <c r="I635" s="15"/>
      <c r="J635" s="15"/>
      <c r="K635" s="15"/>
      <c r="L635" s="28"/>
      <c r="Q635" s="13"/>
      <c r="R635" s="15"/>
      <c r="S635" s="15"/>
      <c r="T635" s="28"/>
      <c r="Y635" s="13"/>
      <c r="Z635" s="15"/>
      <c r="AA635" s="15"/>
      <c r="AB635" s="28"/>
      <c r="AE635" s="34"/>
      <c r="AG635" s="13"/>
      <c r="AH635" s="15"/>
      <c r="AI635" s="45"/>
      <c r="AJ635" s="180"/>
      <c r="AK635" s="13"/>
      <c r="AL635" s="15"/>
      <c r="AM635" s="45"/>
      <c r="AN635" s="15"/>
      <c r="AO635" s="13"/>
      <c r="AP635" s="15"/>
      <c r="AQ635" s="34">
        <f>B630*$F$14</f>
        <v>2015</v>
      </c>
      <c r="AR635" s="15"/>
      <c r="AS635" s="13"/>
      <c r="AT635" s="15"/>
      <c r="AU635" s="45"/>
      <c r="AV635" s="15"/>
      <c r="AW635" s="13"/>
      <c r="AY635" s="45"/>
      <c r="AZ635" s="28"/>
      <c r="BA635" s="13"/>
      <c r="BB635" s="15"/>
      <c r="BC635" s="45"/>
      <c r="BD635" s="28"/>
      <c r="BE635" s="14"/>
      <c r="BF635" s="41">
        <f t="shared" ref="BF635:BG635" si="2134">K635+O635+S635+W635+AA635+AE635+AI635+AM635+AQ635+AU635+AY635+BC635</f>
        <v>2015</v>
      </c>
      <c r="BG635" s="34">
        <f t="shared" si="2134"/>
        <v>0</v>
      </c>
      <c r="BH635" s="35">
        <f t="shared" si="2119"/>
        <v>2015</v>
      </c>
    </row>
    <row r="636" ht="15.75" customHeight="1" hidden="1" spans="1:63" x14ac:dyDescent="0.25">
      <c r="A636" s="2">
        <v>69</v>
      </c>
      <c r="B636" s="14"/>
      <c r="D636" s="14" t="s">
        <v>52</v>
      </c>
      <c r="E636" s="2" t="s">
        <v>39</v>
      </c>
      <c r="F636" s="41">
        <v>500</v>
      </c>
      <c r="G636" s="28"/>
      <c r="H636" s="34">
        <f>'2019'!BH526</f>
        <v>0</v>
      </c>
      <c r="I636" s="15"/>
      <c r="J636" s="15"/>
      <c r="K636" s="15"/>
      <c r="L636" s="28"/>
      <c r="Q636" s="13"/>
      <c r="R636" s="15"/>
      <c r="S636" s="15"/>
      <c r="T636" s="28"/>
      <c r="Y636" s="13"/>
      <c r="Z636" s="15"/>
      <c r="AA636" s="77"/>
      <c r="AB636" s="28"/>
      <c r="AF636" s="34"/>
      <c r="AG636" s="13"/>
      <c r="AH636" s="15"/>
      <c r="AI636" s="45"/>
      <c r="AJ636" s="15"/>
      <c r="AK636" s="13"/>
      <c r="AL636" s="15"/>
      <c r="AM636" s="45"/>
      <c r="AN636" s="15"/>
      <c r="AO636" s="13"/>
      <c r="AP636" s="15"/>
      <c r="AQ636" s="45"/>
      <c r="AR636" s="15"/>
      <c r="AS636" s="13"/>
      <c r="AT636" s="15"/>
      <c r="AU636" s="45"/>
      <c r="AV636" s="15"/>
      <c r="AW636" s="13"/>
      <c r="AY636" s="45"/>
      <c r="AZ636" s="35"/>
      <c r="BA636" s="13"/>
      <c r="BB636" s="15"/>
      <c r="BC636" s="45"/>
      <c r="BD636" s="35"/>
      <c r="BE636" s="14"/>
      <c r="BF636" s="41">
        <f t="shared" ref="BF636:BG636" si="2135">K636+O636+S636+W636+AA636+AE636+AI636+AM636+AQ636+AU636+AY636+BC636</f>
        <v>0</v>
      </c>
      <c r="BG636" s="34">
        <f t="shared" si="2135"/>
        <v>0</v>
      </c>
      <c r="BH636" s="35">
        <f t="shared" si="2119"/>
        <v>0</v>
      </c>
      <c r="BK636" s="2" t="b">
        <f>H636='2019'!BH526</f>
        <v>1</v>
      </c>
    </row>
    <row r="637" ht="15.75" customHeight="1" hidden="1" spans="1:63" x14ac:dyDescent="0.25">
      <c r="A637" s="247">
        <v>69</v>
      </c>
      <c r="B637" s="21"/>
      <c r="C637" s="22" t="s">
        <v>53</v>
      </c>
      <c r="D637" s="21"/>
      <c r="E637" s="22"/>
      <c r="F637" s="20"/>
      <c r="G637" s="23"/>
      <c r="H637" s="51">
        <f>SUM(H629:H636)</f>
        <v>-36.9</v>
      </c>
      <c r="I637" s="53"/>
      <c r="J637" s="53"/>
      <c r="K637" s="51">
        <f t="shared" ref="K637:L637" si="2136">SUM(K629:K636)</f>
        <v>1712.5</v>
      </c>
      <c r="L637" s="68">
        <f t="shared" si="2136"/>
        <v>0</v>
      </c>
      <c r="M637" s="53"/>
      <c r="N637" s="53"/>
      <c r="O637" s="51">
        <f t="shared" ref="O637:P637" si="2137">SUM(O629:O636)</f>
        <v>1240</v>
      </c>
      <c r="P637" s="51">
        <f t="shared" si="2137"/>
        <v>1950</v>
      </c>
      <c r="Q637" s="52"/>
      <c r="R637" s="53"/>
      <c r="S637" s="51">
        <f t="shared" ref="S637:T637" si="2138">SUM(S629:S636)</f>
        <v>1485</v>
      </c>
      <c r="T637" s="51">
        <f t="shared" si="2138"/>
        <v>2500</v>
      </c>
      <c r="U637" s="52"/>
      <c r="V637" s="53"/>
      <c r="W637" s="51">
        <f t="shared" ref="W637:X637" si="2139">SUM(W629:W636)</f>
        <v>1285.5</v>
      </c>
      <c r="X637" s="51">
        <f t="shared" si="2139"/>
        <v>1105.5</v>
      </c>
      <c r="Y637" s="52"/>
      <c r="Z637" s="53"/>
      <c r="AA637" s="51">
        <f t="shared" ref="AA637:AB637" si="2140">SUM(AA629:AA636)</f>
        <v>767.5</v>
      </c>
      <c r="AB637" s="51">
        <f t="shared" si="2140"/>
        <v>0</v>
      </c>
      <c r="AC637" s="52"/>
      <c r="AD637" s="53"/>
      <c r="AE637" s="51">
        <f t="shared" ref="AE637:AF637" si="2141">SUM(AE629:AE636)</f>
        <v>5200.5</v>
      </c>
      <c r="AF637" s="51">
        <f t="shared" si="2141"/>
        <v>0</v>
      </c>
      <c r="AG637" s="52"/>
      <c r="AH637" s="53"/>
      <c r="AI637" s="183">
        <f t="shared" ref="AI637:AJ637" si="2142">SUM(AI629:AI636)</f>
        <v>754</v>
      </c>
      <c r="AJ637" s="51">
        <f t="shared" si="2142"/>
        <v>5650</v>
      </c>
      <c r="AK637" s="52"/>
      <c r="AL637" s="53"/>
      <c r="AM637" s="183">
        <f t="shared" ref="AM637:AN637" si="2143">SUM(AM629:AM636)</f>
        <v>860.6</v>
      </c>
      <c r="AN637" s="51">
        <f t="shared" si="2143"/>
        <v>2600</v>
      </c>
      <c r="AO637" s="52"/>
      <c r="AP637" s="53"/>
      <c r="AQ637" s="183">
        <f t="shared" ref="AQ637:AR637" si="2144">SUM(AQ629:AQ636)</f>
        <v>3365.3</v>
      </c>
      <c r="AR637" s="51">
        <f t="shared" si="2144"/>
        <v>0</v>
      </c>
      <c r="AS637" s="52"/>
      <c r="AT637" s="53"/>
      <c r="AU637" s="183">
        <f t="shared" ref="AU637:AV637" si="2145">SUM(AU629:AU636)</f>
        <v>904.9</v>
      </c>
      <c r="AV637" s="68">
        <f t="shared" si="2145"/>
        <v>1300</v>
      </c>
      <c r="AW637" s="52"/>
      <c r="AX637" s="53"/>
      <c r="AY637" s="183">
        <f t="shared" ref="AY637:AZ637" si="2146">SUM(AY629:AY636)</f>
        <v>1159.7</v>
      </c>
      <c r="AZ637" s="68">
        <f t="shared" si="2146"/>
        <v>1950</v>
      </c>
      <c r="BA637" s="52"/>
      <c r="BB637" s="53"/>
      <c r="BC637" s="183">
        <f t="shared" ref="BC637:BD637" si="2147">SUM(BC629:BC636)</f>
        <v>1916.3</v>
      </c>
      <c r="BD637" s="68">
        <f t="shared" si="2147"/>
        <v>0</v>
      </c>
      <c r="BE637" s="69"/>
      <c r="BF637" s="70">
        <f t="shared" ref="BF637:BH637" si="2148">SUM(BF629:BF636)</f>
        <v>20651.8</v>
      </c>
      <c r="BG637" s="71">
        <f t="shared" si="2148"/>
        <v>17055.5</v>
      </c>
      <c r="BH637" s="72">
        <f t="shared" si="2148"/>
        <v>3559.4</v>
      </c>
      <c r="BI637" s="34">
        <f>H637+BF637-BG637</f>
        <v>3559.4</v>
      </c>
      <c r="BJ637" s="34">
        <f>BH637-BI637</f>
        <v>0</v>
      </c>
      <c r="BK637" s="2" t="b">
        <f>H637='2019'!BH527</f>
        <v>0</v>
      </c>
    </row>
    <row r="638" ht="15.75" customHeight="1" hidden="1" spans="1:63" x14ac:dyDescent="0.25">
      <c r="A638" s="2">
        <v>71</v>
      </c>
      <c r="B638" s="14"/>
      <c r="D638" s="14" t="s">
        <v>379</v>
      </c>
      <c r="F638" s="13"/>
      <c r="G638" s="28"/>
      <c r="H638" s="34">
        <f>'2019'!BH528</f>
        <v>0</v>
      </c>
      <c r="J638" s="15"/>
      <c r="K638" s="15"/>
      <c r="L638" s="28"/>
      <c r="Q638" s="13"/>
      <c r="R638" s="15"/>
      <c r="S638" s="15"/>
      <c r="T638" s="28"/>
      <c r="Y638" s="13"/>
      <c r="Z638" s="15"/>
      <c r="AA638" s="15"/>
      <c r="AB638" s="28"/>
      <c r="AG638" s="13"/>
      <c r="AH638" s="15"/>
      <c r="AI638" s="45"/>
      <c r="AJ638" s="15"/>
      <c r="AK638" s="13"/>
      <c r="AM638" s="45"/>
      <c r="AO638" s="13"/>
      <c r="AQ638" s="45"/>
      <c r="AS638" s="13"/>
      <c r="AU638" s="45"/>
      <c r="AW638" s="13"/>
      <c r="AY638" s="45"/>
      <c r="AZ638" s="28"/>
      <c r="BA638" s="13"/>
      <c r="BB638" s="15"/>
      <c r="BC638" s="45"/>
      <c r="BD638" s="28"/>
      <c r="BE638" s="14"/>
      <c r="BF638" s="41">
        <f t="shared" ref="BF638:BG638" si="2149">K638+O638+S638+W638+AA638+AE638+AI638+AM638+AQ638+AU638+AY638+BC638</f>
        <v>0</v>
      </c>
      <c r="BG638" s="34">
        <f t="shared" si="2149"/>
        <v>0</v>
      </c>
      <c r="BH638" s="35">
        <f t="shared" ref="BH638:BH645" si="2150">H638+BF638-BG638</f>
        <v>0</v>
      </c>
      <c r="BK638" s="2" t="b">
        <f>H638='2019'!BH528</f>
        <v>1</v>
      </c>
    </row>
    <row r="639" ht="15.75" customHeight="1" hidden="1" spans="1:63" x14ac:dyDescent="0.25">
      <c r="A639" s="2">
        <v>71</v>
      </c>
      <c r="B639" s="14">
        <v>5.98</v>
      </c>
      <c r="C639" s="2" t="s">
        <v>255</v>
      </c>
      <c r="D639" s="14" t="s">
        <v>44</v>
      </c>
      <c r="E639" s="2" t="s">
        <v>45</v>
      </c>
      <c r="F639" s="41">
        <v>2.5</v>
      </c>
      <c r="G639" s="35">
        <v>2.6</v>
      </c>
      <c r="H639" s="34">
        <f>'2019'!BH529</f>
        <v>4.5</v>
      </c>
      <c r="I639" s="13">
        <v>115</v>
      </c>
      <c r="J639" s="15">
        <f>I639-'2019'!BA529</f>
        <v>0</v>
      </c>
      <c r="K639" s="34">
        <f>J639*$F$8</f>
        <v>0</v>
      </c>
      <c r="L639" s="28"/>
      <c r="M639" s="2">
        <v>115</v>
      </c>
      <c r="N639" s="15">
        <f>M639-I639</f>
        <v>0</v>
      </c>
      <c r="O639" s="34">
        <f>N639*$F$8</f>
        <v>0</v>
      </c>
      <c r="Q639" s="13">
        <v>115</v>
      </c>
      <c r="R639" s="15">
        <f>Q639-M639</f>
        <v>0</v>
      </c>
      <c r="S639" s="34">
        <f>R639*$F$8</f>
        <v>0</v>
      </c>
      <c r="T639" s="28"/>
      <c r="U639" s="15">
        <v>115</v>
      </c>
      <c r="V639" s="15">
        <f t="shared" ref="V639:V640" si="2151">U639-Q639</f>
        <v>0</v>
      </c>
      <c r="W639" s="34">
        <f>V639*$F$8</f>
        <v>0</v>
      </c>
      <c r="X639" s="15"/>
      <c r="Y639" s="13">
        <v>118</v>
      </c>
      <c r="Z639" s="15">
        <f t="shared" ref="Z639:Z640" si="2152">Y639-U639</f>
        <v>3</v>
      </c>
      <c r="AA639" s="34">
        <f>Z639*$F$8</f>
        <v>7.5</v>
      </c>
      <c r="AB639" s="28"/>
      <c r="AC639" s="15">
        <v>122</v>
      </c>
      <c r="AD639" s="15">
        <f t="shared" ref="AD639:AD640" si="2153">AC639-Y639</f>
        <v>4</v>
      </c>
      <c r="AE639" s="34">
        <f>AD639*$F$8</f>
        <v>10</v>
      </c>
      <c r="AF639" s="133">
        <v>12</v>
      </c>
      <c r="AG639" s="13">
        <v>125</v>
      </c>
      <c r="AH639" s="15">
        <f t="shared" ref="AH639:AH640" si="2154">AG639-AC639</f>
        <v>3</v>
      </c>
      <c r="AI639" s="45">
        <f>AH639*$G$8</f>
        <v>7.8</v>
      </c>
      <c r="AJ639" s="133">
        <v>10</v>
      </c>
      <c r="AK639" s="13">
        <v>128</v>
      </c>
      <c r="AL639" s="15">
        <f t="shared" ref="AL639:AL640" si="2155">AK639-AG639</f>
        <v>3</v>
      </c>
      <c r="AM639" s="45">
        <f>AL639*$G$8</f>
        <v>7.8</v>
      </c>
      <c r="AN639" s="138">
        <f>6.12+15.6</f>
        <v>21.72</v>
      </c>
      <c r="AO639" s="13">
        <v>130</v>
      </c>
      <c r="AP639" s="15">
        <f t="shared" ref="AP639:AP640" si="2156">AO639-AK639</f>
        <v>2</v>
      </c>
      <c r="AQ639" s="45">
        <f>AP639*$G$8</f>
        <v>5.2</v>
      </c>
      <c r="AR639" s="15"/>
      <c r="AS639" s="13">
        <v>150</v>
      </c>
      <c r="AT639" s="15">
        <f t="shared" ref="AT639:AT640" si="2157">AS639-AO639</f>
        <v>20</v>
      </c>
      <c r="AU639" s="45">
        <f>AT639*$G$8</f>
        <v>52</v>
      </c>
      <c r="AV639" s="15"/>
      <c r="AW639" s="13">
        <v>150</v>
      </c>
      <c r="AX639" s="2">
        <f t="shared" ref="AX639:AX640" si="2158">AW639-AS639</f>
        <v>0</v>
      </c>
      <c r="AY639" s="45">
        <f>AX639*$G$8</f>
        <v>0</v>
      </c>
      <c r="AZ639" s="208"/>
      <c r="BA639" s="13">
        <v>150</v>
      </c>
      <c r="BB639" s="15">
        <f t="shared" ref="BB639:BB640" si="2159">BA639-AW639</f>
        <v>0</v>
      </c>
      <c r="BC639" s="45">
        <f>BB639*$G$8</f>
        <v>0</v>
      </c>
      <c r="BD639" s="208"/>
      <c r="BE639" s="40">
        <f t="shared" ref="BE639:BG639" si="2160">J639+N639+R639+V639+Z639+AD639+AH639+AL639+AP639+AT639+AX639+BB639</f>
        <v>35</v>
      </c>
      <c r="BF639" s="41">
        <f t="shared" si="2160"/>
        <v>90.3</v>
      </c>
      <c r="BG639" s="34">
        <f t="shared" si="2160"/>
        <v>43.72</v>
      </c>
      <c r="BH639" s="35">
        <f t="shared" si="2150"/>
        <v>51.08</v>
      </c>
      <c r="BK639" s="2" t="b">
        <f>H639='2019'!BH529</f>
        <v>1</v>
      </c>
    </row>
    <row r="640" ht="15.75" customHeight="1" hidden="1" spans="1:63" x14ac:dyDescent="0.25">
      <c r="A640" s="2">
        <v>71</v>
      </c>
      <c r="B640" s="14"/>
      <c r="C640" s="2" t="s">
        <v>75</v>
      </c>
      <c r="D640" s="14" t="s">
        <v>47</v>
      </c>
      <c r="E640" s="2" t="s">
        <v>48</v>
      </c>
      <c r="F640" s="13">
        <v>18.56</v>
      </c>
      <c r="G640" s="35">
        <v>19.46</v>
      </c>
      <c r="H640" s="34">
        <f>'2019'!BH530</f>
        <v>39.24</v>
      </c>
      <c r="I640" s="15">
        <v>219</v>
      </c>
      <c r="J640" s="15"/>
      <c r="K640" s="15"/>
      <c r="L640" s="28"/>
      <c r="M640" s="2">
        <v>219</v>
      </c>
      <c r="Q640" s="13">
        <v>219</v>
      </c>
      <c r="R640" s="15"/>
      <c r="S640" s="15"/>
      <c r="T640" s="28"/>
      <c r="U640" s="2">
        <v>222</v>
      </c>
      <c r="V640" s="2">
        <f t="shared" si="2151"/>
        <v>3</v>
      </c>
      <c r="W640" s="2">
        <f>V640*$F$10</f>
        <v>55.68</v>
      </c>
      <c r="Y640" s="13">
        <v>222</v>
      </c>
      <c r="Z640" s="15">
        <f t="shared" si="2152"/>
        <v>0</v>
      </c>
      <c r="AA640" s="34">
        <f>Z640*$F$10</f>
        <v>0</v>
      </c>
      <c r="AB640" s="28"/>
      <c r="AC640" s="15">
        <v>230</v>
      </c>
      <c r="AD640" s="15">
        <f t="shared" si="2153"/>
        <v>8</v>
      </c>
      <c r="AE640" s="34">
        <f>AD640*$F$10</f>
        <v>148.48</v>
      </c>
      <c r="AF640" s="133">
        <f>243.4+66.6</f>
        <v>310</v>
      </c>
      <c r="AG640" s="13">
        <v>244</v>
      </c>
      <c r="AH640" s="15">
        <f t="shared" si="2154"/>
        <v>14</v>
      </c>
      <c r="AI640" s="45">
        <f>AH640*$G$10</f>
        <v>272.44</v>
      </c>
      <c r="AJ640" s="185">
        <f>205.84+4.16</f>
        <v>210</v>
      </c>
      <c r="AK640" s="13">
        <v>258</v>
      </c>
      <c r="AL640" s="15">
        <f t="shared" si="2155"/>
        <v>14</v>
      </c>
      <c r="AM640" s="45">
        <f>AL640*$G$10</f>
        <v>272.44</v>
      </c>
      <c r="AN640" s="138">
        <v>268.28</v>
      </c>
      <c r="AO640" s="13">
        <v>258</v>
      </c>
      <c r="AP640" s="15">
        <f t="shared" si="2156"/>
        <v>0</v>
      </c>
      <c r="AQ640" s="45">
        <f>AP640*$G$10</f>
        <v>0</v>
      </c>
      <c r="AR640" s="15"/>
      <c r="AS640" s="13">
        <v>258</v>
      </c>
      <c r="AT640" s="15">
        <f t="shared" si="2157"/>
        <v>0</v>
      </c>
      <c r="AU640" s="45">
        <f>AT640*$G$10</f>
        <v>0</v>
      </c>
      <c r="AV640" s="15"/>
      <c r="AW640" s="13">
        <v>258</v>
      </c>
      <c r="AX640" s="2">
        <f t="shared" si="2158"/>
        <v>0</v>
      </c>
      <c r="AY640" s="45"/>
      <c r="AZ640" s="208"/>
      <c r="BA640" s="13">
        <v>258</v>
      </c>
      <c r="BB640" s="15">
        <f t="shared" si="2159"/>
        <v>0</v>
      </c>
      <c r="BC640" s="45"/>
      <c r="BD640" s="208"/>
      <c r="BE640" s="40">
        <f t="shared" ref="BE640:BG640" si="2161">J640+N640+R640+V640+Z640+AD640+AH640+AL640+AP640+AT640+AX640+BB640</f>
        <v>39</v>
      </c>
      <c r="BF640" s="41">
        <f t="shared" si="2161"/>
        <v>749.04</v>
      </c>
      <c r="BG640" s="34">
        <f t="shared" si="2161"/>
        <v>788.28</v>
      </c>
      <c r="BH640" s="35">
        <f t="shared" si="2150"/>
        <v>0</v>
      </c>
      <c r="BK640" s="2" t="b">
        <f>H640='2019'!BH530</f>
        <v>1</v>
      </c>
    </row>
    <row r="641" ht="15.75" customHeight="1" hidden="1" spans="1:63" x14ac:dyDescent="0.25">
      <c r="A641" s="2">
        <v>71</v>
      </c>
      <c r="B641" s="14"/>
      <c r="C641" s="15" t="s">
        <v>151</v>
      </c>
      <c r="D641" s="14" t="s">
        <v>47</v>
      </c>
      <c r="E641" s="2" t="s">
        <v>49</v>
      </c>
      <c r="F641" s="41">
        <v>500</v>
      </c>
      <c r="G641" s="28"/>
      <c r="H641" s="34">
        <f>'2019'!BH531</f>
        <v>0</v>
      </c>
      <c r="I641" s="15"/>
      <c r="J641" s="15"/>
      <c r="K641" s="15"/>
      <c r="L641" s="28"/>
      <c r="Q641" s="13"/>
      <c r="R641" s="15"/>
      <c r="S641" s="15"/>
      <c r="T641" s="28"/>
      <c r="Y641" s="13"/>
      <c r="Z641" s="15"/>
      <c r="AA641" s="15"/>
      <c r="AB641" s="28"/>
      <c r="AG641" s="13"/>
      <c r="AH641" s="15"/>
      <c r="AI641" s="45"/>
      <c r="AJ641" s="15"/>
      <c r="AK641" s="13"/>
      <c r="AL641" s="15"/>
      <c r="AM641" s="45"/>
      <c r="AN641" s="15"/>
      <c r="AO641" s="13"/>
      <c r="AP641" s="15"/>
      <c r="AQ641" s="45"/>
      <c r="AR641" s="15"/>
      <c r="AS641" s="13"/>
      <c r="AT641" s="15"/>
      <c r="AU641" s="45"/>
      <c r="AV641" s="15"/>
      <c r="AW641" s="13"/>
      <c r="AY641" s="45"/>
      <c r="AZ641" s="28"/>
      <c r="BA641" s="13"/>
      <c r="BB641" s="15"/>
      <c r="BC641" s="45"/>
      <c r="BD641" s="28"/>
      <c r="BE641" s="14"/>
      <c r="BF641" s="41">
        <f t="shared" ref="BF641:BG641" si="2162">K641+O641+S641+W641+AA641+AE641+AI641+AM641+AQ641+AU641+AY641+BC641</f>
        <v>0</v>
      </c>
      <c r="BG641" s="34">
        <f t="shared" si="2162"/>
        <v>0</v>
      </c>
      <c r="BH641" s="35">
        <f t="shared" si="2150"/>
        <v>0</v>
      </c>
      <c r="BK641" s="2" t="b">
        <f>H641='2019'!BH531</f>
        <v>1</v>
      </c>
    </row>
    <row r="642" ht="15.75" customHeight="1" hidden="1" spans="1:63" x14ac:dyDescent="0.25">
      <c r="A642" s="2">
        <v>71</v>
      </c>
      <c r="B642" s="14"/>
      <c r="C642" s="15" t="s">
        <v>256</v>
      </c>
      <c r="D642" s="14" t="s">
        <v>50</v>
      </c>
      <c r="E642" s="2" t="s">
        <v>49</v>
      </c>
      <c r="F642" s="41">
        <v>1100</v>
      </c>
      <c r="G642" s="28"/>
      <c r="H642" s="182">
        <f>'2019'!BH532-0.0024</f>
        <v>0</v>
      </c>
      <c r="I642" s="15"/>
      <c r="J642" s="15"/>
      <c r="K642" s="15"/>
      <c r="L642" s="28"/>
      <c r="Q642" s="13"/>
      <c r="R642" s="15"/>
      <c r="S642" s="15"/>
      <c r="T642" s="28"/>
      <c r="Y642" s="13"/>
      <c r="Z642" s="15"/>
      <c r="AA642" s="15"/>
      <c r="AB642" s="28"/>
      <c r="AE642" s="34">
        <f>B639*$F$12</f>
        <v>6578</v>
      </c>
      <c r="AF642" s="133">
        <v>6578</v>
      </c>
      <c r="AG642" s="13"/>
      <c r="AH642" s="15"/>
      <c r="AI642" s="45"/>
      <c r="AJ642" s="34"/>
      <c r="AK642" s="13"/>
      <c r="AL642" s="15"/>
      <c r="AM642" s="45"/>
      <c r="AN642" s="15"/>
      <c r="AO642" s="13"/>
      <c r="AP642" s="15"/>
      <c r="AQ642" s="45"/>
      <c r="AR642" s="15"/>
      <c r="AS642" s="13"/>
      <c r="AT642" s="15"/>
      <c r="AU642" s="45"/>
      <c r="AV642" s="15"/>
      <c r="AW642" s="13"/>
      <c r="AY642" s="45"/>
      <c r="AZ642" s="28"/>
      <c r="BA642" s="13"/>
      <c r="BB642" s="15"/>
      <c r="BC642" s="45"/>
      <c r="BD642" s="28"/>
      <c r="BE642" s="14"/>
      <c r="BF642" s="41">
        <f t="shared" ref="BF642:BG642" si="2163">K642+O642+S642+W642+AA642+AE642+AI642+AM642+AQ642+AU642+AY642+BC642</f>
        <v>6578</v>
      </c>
      <c r="BG642" s="34">
        <f t="shared" si="2163"/>
        <v>6578</v>
      </c>
      <c r="BH642" s="35">
        <f t="shared" si="2150"/>
        <v>0</v>
      </c>
      <c r="BK642" s="2" t="b">
        <f>H642='2019'!BH532</f>
        <v>0</v>
      </c>
    </row>
    <row r="643" ht="15.75" customHeight="1" hidden="1" spans="1:63" x14ac:dyDescent="0.25">
      <c r="A643" s="2">
        <v>71</v>
      </c>
      <c r="B643" s="14"/>
      <c r="D643" s="14" t="s">
        <v>51</v>
      </c>
      <c r="E643" s="2" t="s">
        <v>39</v>
      </c>
      <c r="F643" s="41">
        <v>500</v>
      </c>
      <c r="G643" s="28"/>
      <c r="H643" s="34">
        <f>'2019'!BH533</f>
        <v>0</v>
      </c>
      <c r="I643" s="15"/>
      <c r="J643" s="15"/>
      <c r="K643" s="15"/>
      <c r="L643" s="28"/>
      <c r="Q643" s="13"/>
      <c r="R643" s="15"/>
      <c r="S643" s="15"/>
      <c r="T643" s="28"/>
      <c r="Y643" s="13"/>
      <c r="Z643" s="15"/>
      <c r="AA643" s="15"/>
      <c r="AB643" s="28"/>
      <c r="AE643" s="34"/>
      <c r="AF643" s="34"/>
      <c r="AG643" s="13"/>
      <c r="AH643" s="15"/>
      <c r="AI643" s="45"/>
      <c r="AJ643" s="15"/>
      <c r="AK643" s="13"/>
      <c r="AL643" s="15"/>
      <c r="AM643" s="45"/>
      <c r="AN643" s="15"/>
      <c r="AO643" s="13"/>
      <c r="AP643" s="15"/>
      <c r="AQ643" s="45">
        <f>$F$13</f>
        <v>500</v>
      </c>
      <c r="AR643" s="15"/>
      <c r="AS643" s="13"/>
      <c r="AT643" s="15"/>
      <c r="AU643" s="45"/>
      <c r="AV643" s="15"/>
      <c r="AW643" s="13"/>
      <c r="AY643" s="45"/>
      <c r="AZ643" s="28"/>
      <c r="BA643" s="13"/>
      <c r="BB643" s="15"/>
      <c r="BC643" s="45"/>
      <c r="BD643" s="28"/>
      <c r="BE643" s="14"/>
      <c r="BF643" s="41">
        <f t="shared" ref="BF643:BG643" si="2164">K643+O643+S643+W643+AA643+AE643+AI643+AM643+AQ643+AU643+AY643+BC643</f>
        <v>500</v>
      </c>
      <c r="BG643" s="34">
        <f t="shared" si="2164"/>
        <v>0</v>
      </c>
      <c r="BH643" s="35">
        <f t="shared" si="2150"/>
        <v>500</v>
      </c>
      <c r="BK643" s="2" t="b">
        <f>H643='2019'!BH533</f>
        <v>1</v>
      </c>
    </row>
    <row r="644" ht="15.75" customHeight="1" hidden="1" spans="1:60" x14ac:dyDescent="0.25">
      <c r="A644" s="2">
        <v>71</v>
      </c>
      <c r="B644" s="14"/>
      <c r="D644" s="14" t="s">
        <v>51</v>
      </c>
      <c r="E644" s="2" t="s">
        <v>49</v>
      </c>
      <c r="F644" s="41">
        <v>500</v>
      </c>
      <c r="G644" s="28"/>
      <c r="H644" s="34"/>
      <c r="I644" s="15"/>
      <c r="J644" s="15"/>
      <c r="K644" s="15"/>
      <c r="L644" s="28"/>
      <c r="Q644" s="13"/>
      <c r="R644" s="15"/>
      <c r="S644" s="15"/>
      <c r="T644" s="28"/>
      <c r="Y644" s="13"/>
      <c r="Z644" s="15"/>
      <c r="AA644" s="15"/>
      <c r="AB644" s="28"/>
      <c r="AE644" s="34"/>
      <c r="AF644" s="34"/>
      <c r="AG644" s="13"/>
      <c r="AH644" s="15"/>
      <c r="AI644" s="45"/>
      <c r="AJ644" s="15"/>
      <c r="AK644" s="13"/>
      <c r="AL644" s="15"/>
      <c r="AM644" s="45"/>
      <c r="AN644" s="15"/>
      <c r="AO644" s="13"/>
      <c r="AP644" s="15"/>
      <c r="AQ644" s="34">
        <f>B639*$F$14</f>
        <v>2990</v>
      </c>
      <c r="AR644" s="15"/>
      <c r="AS644" s="13"/>
      <c r="AT644" s="15"/>
      <c r="AU644" s="45"/>
      <c r="AV644" s="15"/>
      <c r="AW644" s="13"/>
      <c r="AY644" s="45"/>
      <c r="AZ644" s="28"/>
      <c r="BA644" s="13"/>
      <c r="BB644" s="15"/>
      <c r="BC644" s="45"/>
      <c r="BD644" s="28"/>
      <c r="BE644" s="14"/>
      <c r="BF644" s="41">
        <f t="shared" ref="BF644:BG644" si="2165">K644+O644+S644+W644+AA644+AE644+AI644+AM644+AQ644+AU644+AY644+BC644</f>
        <v>2990</v>
      </c>
      <c r="BG644" s="34">
        <f t="shared" si="2165"/>
        <v>0</v>
      </c>
      <c r="BH644" s="35">
        <f t="shared" si="2150"/>
        <v>2990</v>
      </c>
    </row>
    <row r="645" ht="15.75" customHeight="1" hidden="1" spans="1:63" x14ac:dyDescent="0.25">
      <c r="A645" s="2">
        <v>71</v>
      </c>
      <c r="B645" s="14"/>
      <c r="D645" s="14" t="s">
        <v>52</v>
      </c>
      <c r="E645" s="2" t="s">
        <v>39</v>
      </c>
      <c r="F645" s="41">
        <v>500</v>
      </c>
      <c r="G645" s="28"/>
      <c r="H645" s="34">
        <f>'2019'!BH534</f>
        <v>0</v>
      </c>
      <c r="I645" s="15"/>
      <c r="J645" s="15"/>
      <c r="K645" s="15"/>
      <c r="L645" s="28"/>
      <c r="Q645" s="13"/>
      <c r="R645" s="15"/>
      <c r="S645" s="15"/>
      <c r="T645" s="28"/>
      <c r="Y645" s="13"/>
      <c r="Z645" s="15"/>
      <c r="AA645" s="34">
        <f>$F$11</f>
        <v>500</v>
      </c>
      <c r="AB645" s="35"/>
      <c r="AF645" s="133">
        <v>500</v>
      </c>
      <c r="AG645" s="13"/>
      <c r="AH645" s="15"/>
      <c r="AI645" s="45"/>
      <c r="AJ645" s="15"/>
      <c r="AK645" s="13"/>
      <c r="AL645" s="15"/>
      <c r="AM645" s="45"/>
      <c r="AN645" s="15"/>
      <c r="AO645" s="13"/>
      <c r="AP645" s="15"/>
      <c r="AQ645" s="45"/>
      <c r="AR645" s="15"/>
      <c r="AS645" s="13"/>
      <c r="AT645" s="15"/>
      <c r="AU645" s="45"/>
      <c r="AV645" s="15"/>
      <c r="AW645" s="13"/>
      <c r="AY645" s="45"/>
      <c r="AZ645" s="35"/>
      <c r="BA645" s="13"/>
      <c r="BB645" s="15"/>
      <c r="BC645" s="45"/>
      <c r="BD645" s="35"/>
      <c r="BE645" s="14"/>
      <c r="BF645" s="41">
        <f t="shared" ref="BF645:BG645" si="2166">K645+O645+S645+W645+AA645+AE645+AI645+AM645+AQ645+AU645+AY645+BC645</f>
        <v>500</v>
      </c>
      <c r="BG645" s="34">
        <f t="shared" si="2166"/>
        <v>500</v>
      </c>
      <c r="BH645" s="35">
        <f t="shared" si="2150"/>
        <v>0</v>
      </c>
      <c r="BK645" s="2" t="b">
        <f>H645='2019'!BH534</f>
        <v>1</v>
      </c>
    </row>
    <row r="646" ht="15.75" customHeight="1" hidden="1" spans="1:63" x14ac:dyDescent="0.25">
      <c r="A646" s="247">
        <v>71</v>
      </c>
      <c r="B646" s="21"/>
      <c r="C646" s="22" t="s">
        <v>53</v>
      </c>
      <c r="D646" s="21"/>
      <c r="E646" s="22"/>
      <c r="F646" s="20"/>
      <c r="G646" s="23"/>
      <c r="H646" s="51">
        <f>SUM(H638:H645)</f>
        <v>43.74</v>
      </c>
      <c r="I646" s="53"/>
      <c r="J646" s="53"/>
      <c r="K646" s="51">
        <f t="shared" ref="K646:L646" si="2167">SUM(K638:K645)</f>
        <v>0</v>
      </c>
      <c r="L646" s="68">
        <f t="shared" si="2167"/>
        <v>0</v>
      </c>
      <c r="M646" s="53"/>
      <c r="N646" s="53"/>
      <c r="O646" s="51">
        <f t="shared" ref="O646:P646" si="2168">SUM(O638:O645)</f>
        <v>0</v>
      </c>
      <c r="P646" s="51">
        <f t="shared" si="2168"/>
        <v>0</v>
      </c>
      <c r="Q646" s="52"/>
      <c r="R646" s="53"/>
      <c r="S646" s="51">
        <f t="shared" ref="S646:T646" si="2169">SUM(S638:S645)</f>
        <v>0</v>
      </c>
      <c r="T646" s="51">
        <f t="shared" si="2169"/>
        <v>0</v>
      </c>
      <c r="U646" s="52"/>
      <c r="V646" s="53"/>
      <c r="W646" s="51">
        <f t="shared" ref="W646:X646" si="2170">SUM(W638:W645)</f>
        <v>55.68</v>
      </c>
      <c r="X646" s="51">
        <f t="shared" si="2170"/>
        <v>0</v>
      </c>
      <c r="Y646" s="52"/>
      <c r="Z646" s="53"/>
      <c r="AA646" s="51">
        <f t="shared" ref="AA646:AB646" si="2171">SUM(AA638:AA645)</f>
        <v>507.5</v>
      </c>
      <c r="AB646" s="51">
        <f t="shared" si="2171"/>
        <v>0</v>
      </c>
      <c r="AC646" s="52"/>
      <c r="AD646" s="53"/>
      <c r="AE646" s="51">
        <f t="shared" ref="AE646:AF646" si="2172">SUM(AE638:AE645)</f>
        <v>6736.48</v>
      </c>
      <c r="AF646" s="51">
        <f t="shared" si="2172"/>
        <v>7400</v>
      </c>
      <c r="AG646" s="52"/>
      <c r="AH646" s="53"/>
      <c r="AI646" s="183">
        <f t="shared" ref="AI646:AJ646" si="2173">SUM(AI638:AI645)</f>
        <v>280.24</v>
      </c>
      <c r="AJ646" s="258">
        <f t="shared" si="2173"/>
        <v>220</v>
      </c>
      <c r="AK646" s="52"/>
      <c r="AL646" s="53"/>
      <c r="AM646" s="183">
        <f t="shared" ref="AM646:AN646" si="2174">SUM(AM638:AM645)</f>
        <v>280.24</v>
      </c>
      <c r="AN646" s="51">
        <f t="shared" si="2174"/>
        <v>290</v>
      </c>
      <c r="AO646" s="52"/>
      <c r="AP646" s="53"/>
      <c r="AQ646" s="183">
        <f t="shared" ref="AQ646:AR646" si="2175">SUM(AQ638:AQ645)</f>
        <v>3495.2</v>
      </c>
      <c r="AR646" s="51">
        <f t="shared" si="2175"/>
        <v>0</v>
      </c>
      <c r="AS646" s="52"/>
      <c r="AT646" s="53"/>
      <c r="AU646" s="183">
        <f t="shared" ref="AU646:AV646" si="2176">SUM(AU638:AU645)</f>
        <v>52</v>
      </c>
      <c r="AV646" s="68">
        <f t="shared" si="2176"/>
        <v>0</v>
      </c>
      <c r="AW646" s="52"/>
      <c r="AX646" s="53"/>
      <c r="AY646" s="183">
        <f t="shared" ref="AY646:AZ646" si="2177">SUM(AY638:AY645)</f>
        <v>0</v>
      </c>
      <c r="AZ646" s="68">
        <f t="shared" si="2177"/>
        <v>0</v>
      </c>
      <c r="BA646" s="52"/>
      <c r="BB646" s="53"/>
      <c r="BC646" s="183">
        <f t="shared" ref="BC646:BD646" si="2178">SUM(BC638:BC645)</f>
        <v>0</v>
      </c>
      <c r="BD646" s="68">
        <f t="shared" si="2178"/>
        <v>0</v>
      </c>
      <c r="BE646" s="69"/>
      <c r="BF646" s="70">
        <f t="shared" ref="BF646:BH646" si="2179">SUM(BF638:BF645)</f>
        <v>11407.34</v>
      </c>
      <c r="BG646" s="71">
        <f t="shared" si="2179"/>
        <v>7910</v>
      </c>
      <c r="BH646" s="72">
        <f t="shared" si="2179"/>
        <v>3541.08</v>
      </c>
      <c r="BI646" s="34">
        <f>H646+BF646-BG646</f>
        <v>3541.08</v>
      </c>
      <c r="BJ646" s="34">
        <f>BH646-BI646</f>
        <v>0</v>
      </c>
      <c r="BK646" s="2" t="b">
        <f>H646='2019'!BH535</f>
        <v>0</v>
      </c>
    </row>
    <row r="647" ht="15.75" customHeight="1" hidden="1" spans="1:63" x14ac:dyDescent="0.25">
      <c r="A647" s="2">
        <v>72</v>
      </c>
      <c r="B647" s="14"/>
      <c r="D647" s="14" t="s">
        <v>379</v>
      </c>
      <c r="F647" s="13"/>
      <c r="G647" s="28"/>
      <c r="H647" s="34">
        <f>'2019'!BH536</f>
        <v>0</v>
      </c>
      <c r="J647" s="15"/>
      <c r="K647" s="15"/>
      <c r="L647" s="28"/>
      <c r="Q647" s="13"/>
      <c r="R647" s="15"/>
      <c r="S647" s="15"/>
      <c r="T647" s="28"/>
      <c r="Y647" s="13"/>
      <c r="Z647" s="15"/>
      <c r="AA647" s="15"/>
      <c r="AB647" s="28"/>
      <c r="AG647" s="13"/>
      <c r="AH647" s="15"/>
      <c r="AI647" s="45"/>
      <c r="AJ647" s="15"/>
      <c r="AK647" s="13"/>
      <c r="AM647" s="45"/>
      <c r="AO647" s="13"/>
      <c r="AQ647" s="45"/>
      <c r="AS647" s="13"/>
      <c r="AU647" s="45"/>
      <c r="AW647" s="13"/>
      <c r="AY647" s="45"/>
      <c r="AZ647" s="28"/>
      <c r="BA647" s="13"/>
      <c r="BB647" s="15"/>
      <c r="BC647" s="45"/>
      <c r="BD647" s="28"/>
      <c r="BE647" s="14"/>
      <c r="BF647" s="41">
        <f t="shared" ref="BF647:BG647" si="2180">K647+O647+S647+W647+AA647+AE647+AI647+AM647+AQ647+AU647+AY647+BC647</f>
        <v>0</v>
      </c>
      <c r="BG647" s="34">
        <f t="shared" si="2180"/>
        <v>0</v>
      </c>
      <c r="BH647" s="35">
        <f t="shared" ref="BH647:BH654" si="2181">H647+BF647-BG647</f>
        <v>0</v>
      </c>
      <c r="BK647" s="2" t="b">
        <f>H647='2019'!BH536</f>
        <v>1</v>
      </c>
    </row>
    <row r="648" ht="15.75" customHeight="1" hidden="1" spans="1:63" x14ac:dyDescent="0.25">
      <c r="A648" s="2">
        <v>72</v>
      </c>
      <c r="B648" s="14">
        <v>4.03</v>
      </c>
      <c r="C648" s="2" t="s">
        <v>506</v>
      </c>
      <c r="D648" s="14" t="s">
        <v>44</v>
      </c>
      <c r="E648" s="2" t="s">
        <v>45</v>
      </c>
      <c r="F648" s="41">
        <v>2.5</v>
      </c>
      <c r="G648" s="35">
        <v>2.6</v>
      </c>
      <c r="H648" s="34">
        <f>'2019'!BH537</f>
        <v>-30.63</v>
      </c>
      <c r="I648" s="13">
        <v>131</v>
      </c>
      <c r="J648" s="15">
        <f>I648-'2019'!BA537</f>
        <v>0</v>
      </c>
      <c r="K648" s="34">
        <f>J648*$F$8</f>
        <v>0</v>
      </c>
      <c r="L648" s="28"/>
      <c r="M648" s="2">
        <v>131</v>
      </c>
      <c r="N648" s="15">
        <f>M648-I648</f>
        <v>0</v>
      </c>
      <c r="O648" s="34">
        <f>N648*$F$8</f>
        <v>0</v>
      </c>
      <c r="Q648" s="13">
        <v>131</v>
      </c>
      <c r="R648" s="15">
        <f>Q648-M648</f>
        <v>0</v>
      </c>
      <c r="S648" s="34">
        <f>R648*$F$8</f>
        <v>0</v>
      </c>
      <c r="T648" s="28"/>
      <c r="U648" s="15">
        <v>137</v>
      </c>
      <c r="V648" s="15">
        <f t="shared" ref="V648:V649" si="2182">U648-Q648</f>
        <v>6</v>
      </c>
      <c r="W648" s="34">
        <f>V648*$F$8</f>
        <v>15</v>
      </c>
      <c r="Y648" s="13">
        <v>680</v>
      </c>
      <c r="Z648" s="15">
        <f t="shared" ref="Z648:Z649" si="2183">Y648-U648</f>
        <v>543</v>
      </c>
      <c r="AA648" s="34">
        <f>Z648*$F$8</f>
        <v>1357.5</v>
      </c>
      <c r="AB648" s="28"/>
      <c r="AC648" s="15">
        <v>1042</v>
      </c>
      <c r="AD648" s="15">
        <f t="shared" ref="AD648:AD649" si="2184">AC648-Y648</f>
        <v>362</v>
      </c>
      <c r="AE648" s="34">
        <f>AD648*$F$8</f>
        <v>905</v>
      </c>
      <c r="AG648" s="13">
        <v>1155</v>
      </c>
      <c r="AH648" s="15">
        <f t="shared" ref="AH648:AH649" si="2185">AG648-AC648</f>
        <v>113</v>
      </c>
      <c r="AI648" s="45">
        <f>AH648*$G$8</f>
        <v>293.8</v>
      </c>
      <c r="AJ648" s="133">
        <f>2250+17</f>
        <v>2267</v>
      </c>
      <c r="AK648" s="13">
        <v>1406</v>
      </c>
      <c r="AL648" s="15">
        <f t="shared" ref="AL648:AL649" si="2186">AK648-AG648</f>
        <v>251</v>
      </c>
      <c r="AM648" s="45">
        <f>AL648*$G$8</f>
        <v>652.6</v>
      </c>
      <c r="AN648" s="15"/>
      <c r="AO648" s="13">
        <v>1517</v>
      </c>
      <c r="AP648" s="15">
        <f t="shared" ref="AP648:AP649" si="2187">AO648-AK648</f>
        <v>111</v>
      </c>
      <c r="AQ648" s="45">
        <f>AP648*$G$8</f>
        <v>288.6</v>
      </c>
      <c r="AR648" s="15"/>
      <c r="AS648" s="13">
        <v>1517</v>
      </c>
      <c r="AT648" s="15">
        <f t="shared" ref="AT648:AT649" si="2188">AS648-AO648</f>
        <v>0</v>
      </c>
      <c r="AU648" s="45">
        <f>AT648*$G$8</f>
        <v>0</v>
      </c>
      <c r="AV648" s="15"/>
      <c r="AW648" s="13">
        <v>1517</v>
      </c>
      <c r="AX648" s="2">
        <f t="shared" ref="AX648:AX649" si="2189">AW648-AS648</f>
        <v>0</v>
      </c>
      <c r="AY648" s="45">
        <f>AX648*$G$8</f>
        <v>0</v>
      </c>
      <c r="AZ648" s="208"/>
      <c r="BA648" s="13">
        <v>1517</v>
      </c>
      <c r="BB648" s="15">
        <f t="shared" ref="BB648:BB649" si="2190">BA648-AW648</f>
        <v>0</v>
      </c>
      <c r="BC648" s="45">
        <f>BB648*$G$8</f>
        <v>0</v>
      </c>
      <c r="BD648" s="208"/>
      <c r="BE648" s="40">
        <f t="shared" ref="BE648:BG648" si="2191">J648+N648+R648+V648+Z648+AD648+AH648+AL648+AP648+AT648+AX648+BB648</f>
        <v>1386</v>
      </c>
      <c r="BF648" s="41">
        <f t="shared" si="2191"/>
        <v>3512.5</v>
      </c>
      <c r="BG648" s="34">
        <f t="shared" si="2191"/>
        <v>2267</v>
      </c>
      <c r="BH648" s="35">
        <f t="shared" si="2181"/>
        <v>1214.87</v>
      </c>
      <c r="BK648" s="2" t="b">
        <f>H648='2019'!BH537</f>
        <v>1</v>
      </c>
    </row>
    <row r="649" ht="15.75" customHeight="1" hidden="1" spans="1:63" x14ac:dyDescent="0.25">
      <c r="A649" s="2">
        <v>72</v>
      </c>
      <c r="B649" s="14"/>
      <c r="C649" s="2" t="s">
        <v>507</v>
      </c>
      <c r="D649" s="14" t="s">
        <v>47</v>
      </c>
      <c r="E649" s="2" t="s">
        <v>48</v>
      </c>
      <c r="F649" s="13">
        <v>18.56</v>
      </c>
      <c r="G649" s="35">
        <v>19.46</v>
      </c>
      <c r="H649" s="34">
        <f>'2019'!BH538</f>
        <v>-259.46</v>
      </c>
      <c r="I649" s="75">
        <v>38</v>
      </c>
      <c r="J649" s="15"/>
      <c r="K649" s="15"/>
      <c r="L649" s="28"/>
      <c r="M649" s="75">
        <v>38</v>
      </c>
      <c r="Q649" s="75">
        <v>38</v>
      </c>
      <c r="R649" s="15"/>
      <c r="S649" s="15"/>
      <c r="T649" s="28"/>
      <c r="U649" s="257">
        <v>38</v>
      </c>
      <c r="V649" s="2">
        <f t="shared" si="2182"/>
        <v>0</v>
      </c>
      <c r="W649" s="34">
        <f>V649*$F$10</f>
        <v>0</v>
      </c>
      <c r="Y649" s="257">
        <v>38</v>
      </c>
      <c r="Z649" s="15">
        <f t="shared" si="2183"/>
        <v>0</v>
      </c>
      <c r="AA649" s="34">
        <f>Z649*$F$10</f>
        <v>0</v>
      </c>
      <c r="AB649" s="28"/>
      <c r="AC649" s="15">
        <v>38</v>
      </c>
      <c r="AD649" s="15">
        <f t="shared" si="2184"/>
        <v>0</v>
      </c>
      <c r="AE649" s="34">
        <f>AD649*$F$10</f>
        <v>0</v>
      </c>
      <c r="AG649" s="13">
        <v>40</v>
      </c>
      <c r="AH649" s="15">
        <f t="shared" si="2185"/>
        <v>2</v>
      </c>
      <c r="AI649" s="45">
        <f>AH649*$G$10</f>
        <v>38.92</v>
      </c>
      <c r="AJ649" s="15"/>
      <c r="AK649" s="13">
        <v>40</v>
      </c>
      <c r="AL649" s="15">
        <f t="shared" si="2186"/>
        <v>0</v>
      </c>
      <c r="AM649" s="45">
        <f>AL649*$G$10</f>
        <v>0</v>
      </c>
      <c r="AN649" s="15"/>
      <c r="AO649" s="13">
        <v>40</v>
      </c>
      <c r="AP649" s="15">
        <f t="shared" si="2187"/>
        <v>0</v>
      </c>
      <c r="AQ649" s="45">
        <f>AP649*$G$10</f>
        <v>0</v>
      </c>
      <c r="AR649" s="15"/>
      <c r="AS649" s="13">
        <v>40</v>
      </c>
      <c r="AT649" s="15">
        <f t="shared" si="2188"/>
        <v>0</v>
      </c>
      <c r="AU649" s="45">
        <f>AT649*$G$10</f>
        <v>0</v>
      </c>
      <c r="AV649" s="15"/>
      <c r="AW649" s="13">
        <v>40</v>
      </c>
      <c r="AX649" s="2">
        <f t="shared" si="2189"/>
        <v>0</v>
      </c>
      <c r="AY649" s="45"/>
      <c r="AZ649" s="208"/>
      <c r="BA649" s="13">
        <v>40</v>
      </c>
      <c r="BB649" s="15">
        <f t="shared" si="2190"/>
        <v>0</v>
      </c>
      <c r="BC649" s="45"/>
      <c r="BD649" s="208"/>
      <c r="BE649" s="40">
        <f t="shared" ref="BE649:BG649" si="2192">J649+N649+R649+V649+Z649+AD649+AH649+AL649+AP649+AT649+AX649+BB649</f>
        <v>2</v>
      </c>
      <c r="BF649" s="41">
        <f t="shared" si="2192"/>
        <v>38.92</v>
      </c>
      <c r="BG649" s="34">
        <f t="shared" si="2192"/>
        <v>0</v>
      </c>
      <c r="BH649" s="35">
        <f t="shared" si="2181"/>
        <v>-220.54</v>
      </c>
      <c r="BK649" s="2" t="b">
        <f>H649='2019'!BH538</f>
        <v>1</v>
      </c>
    </row>
    <row r="650" ht="15.75" customHeight="1" hidden="1" spans="1:63" x14ac:dyDescent="0.25">
      <c r="A650" s="2">
        <v>72</v>
      </c>
      <c r="B650" s="14"/>
      <c r="C650" s="15" t="s">
        <v>158</v>
      </c>
      <c r="D650" s="14" t="s">
        <v>47</v>
      </c>
      <c r="E650" s="2" t="s">
        <v>49</v>
      </c>
      <c r="F650" s="41">
        <v>500</v>
      </c>
      <c r="G650" s="28"/>
      <c r="H650" s="34">
        <f>'2019'!BH539</f>
        <v>0</v>
      </c>
      <c r="I650" s="15"/>
      <c r="J650" s="15"/>
      <c r="K650" s="15"/>
      <c r="L650" s="28"/>
      <c r="Q650" s="13"/>
      <c r="R650" s="15"/>
      <c r="S650" s="15"/>
      <c r="T650" s="28"/>
      <c r="Y650" s="13"/>
      <c r="Z650" s="15"/>
      <c r="AA650" s="15"/>
      <c r="AB650" s="28"/>
      <c r="AG650" s="13"/>
      <c r="AH650" s="15"/>
      <c r="AI650" s="45"/>
      <c r="AJ650" s="15"/>
      <c r="AK650" s="13"/>
      <c r="AL650" s="15"/>
      <c r="AM650" s="45"/>
      <c r="AN650" s="15"/>
      <c r="AO650" s="13"/>
      <c r="AP650" s="15"/>
      <c r="AQ650" s="45"/>
      <c r="AR650" s="15"/>
      <c r="AS650" s="13"/>
      <c r="AT650" s="15"/>
      <c r="AU650" s="45"/>
      <c r="AV650" s="15"/>
      <c r="AW650" s="13"/>
      <c r="AY650" s="45"/>
      <c r="AZ650" s="28"/>
      <c r="BA650" s="13"/>
      <c r="BB650" s="15"/>
      <c r="BC650" s="45"/>
      <c r="BD650" s="28"/>
      <c r="BE650" s="14"/>
      <c r="BF650" s="41">
        <f t="shared" ref="BF650:BG650" si="2193">K650+O650+S650+W650+AA650+AE650+AI650+AM650+AQ650+AU650+AY650+BC650</f>
        <v>0</v>
      </c>
      <c r="BG650" s="34">
        <f t="shared" si="2193"/>
        <v>0</v>
      </c>
      <c r="BH650" s="35">
        <f t="shared" si="2181"/>
        <v>0</v>
      </c>
      <c r="BK650" s="2" t="b">
        <f>H650='2019'!BH539</f>
        <v>1</v>
      </c>
    </row>
    <row r="651" ht="15.75" customHeight="1" hidden="1" spans="1:63" x14ac:dyDescent="0.25">
      <c r="A651" s="2">
        <v>72</v>
      </c>
      <c r="B651" s="14"/>
      <c r="C651" s="15" t="s">
        <v>433</v>
      </c>
      <c r="D651" s="14" t="s">
        <v>50</v>
      </c>
      <c r="E651" s="2" t="s">
        <v>49</v>
      </c>
      <c r="F651" s="41">
        <v>1100</v>
      </c>
      <c r="G651" s="28"/>
      <c r="H651" s="182">
        <f>'2019'!BH540+0.0036</f>
        <v>0</v>
      </c>
      <c r="I651" s="15"/>
      <c r="J651" s="15"/>
      <c r="K651" s="15"/>
      <c r="L651" s="28"/>
      <c r="Q651" s="13"/>
      <c r="R651" s="15"/>
      <c r="S651" s="15"/>
      <c r="T651" s="28"/>
      <c r="Y651" s="13"/>
      <c r="Z651" s="15"/>
      <c r="AA651" s="15"/>
      <c r="AB651" s="28"/>
      <c r="AE651" s="34">
        <f>B648*$F$12</f>
        <v>4433</v>
      </c>
      <c r="AF651" s="34"/>
      <c r="AG651" s="13"/>
      <c r="AH651" s="15"/>
      <c r="AI651" s="45"/>
      <c r="AJ651" s="133">
        <v>4433</v>
      </c>
      <c r="AK651" s="13"/>
      <c r="AL651" s="15"/>
      <c r="AM651" s="45"/>
      <c r="AN651" s="15"/>
      <c r="AO651" s="13"/>
      <c r="AP651" s="15"/>
      <c r="AQ651" s="45"/>
      <c r="AR651" s="15"/>
      <c r="AS651" s="13"/>
      <c r="AT651" s="15"/>
      <c r="AU651" s="45"/>
      <c r="AV651" s="15"/>
      <c r="AW651" s="13"/>
      <c r="AY651" s="45"/>
      <c r="AZ651" s="28"/>
      <c r="BA651" s="13"/>
      <c r="BB651" s="15"/>
      <c r="BC651" s="45"/>
      <c r="BD651" s="28"/>
      <c r="BE651" s="14"/>
      <c r="BF651" s="41">
        <f t="shared" ref="BF651:BG651" si="2194">K651+O651+S651+W651+AA651+AE651+AI651+AM651+AQ651+AU651+AY651+BC651</f>
        <v>4433</v>
      </c>
      <c r="BG651" s="34">
        <f t="shared" si="2194"/>
        <v>4433</v>
      </c>
      <c r="BH651" s="35">
        <f t="shared" si="2181"/>
        <v>0</v>
      </c>
      <c r="BK651" s="2" t="b">
        <f>H651='2019'!BH540</f>
        <v>0</v>
      </c>
    </row>
    <row r="652" ht="15.75" customHeight="1" hidden="1" spans="1:63" x14ac:dyDescent="0.25">
      <c r="A652" s="2">
        <v>72</v>
      </c>
      <c r="B652" s="14"/>
      <c r="D652" s="14" t="s">
        <v>51</v>
      </c>
      <c r="E652" s="2" t="s">
        <v>39</v>
      </c>
      <c r="F652" s="41">
        <v>500</v>
      </c>
      <c r="G652" s="28"/>
      <c r="H652" s="34">
        <f>'2019'!BH541</f>
        <v>0</v>
      </c>
      <c r="I652" s="15"/>
      <c r="J652" s="15"/>
      <c r="K652" s="15"/>
      <c r="L652" s="28"/>
      <c r="Q652" s="13"/>
      <c r="R652" s="15"/>
      <c r="S652" s="15"/>
      <c r="T652" s="28"/>
      <c r="Y652" s="13"/>
      <c r="Z652" s="15"/>
      <c r="AA652" s="15"/>
      <c r="AB652" s="28"/>
      <c r="AE652" s="34"/>
      <c r="AG652" s="13"/>
      <c r="AH652" s="15"/>
      <c r="AI652" s="45"/>
      <c r="AJ652" s="15"/>
      <c r="AK652" s="13"/>
      <c r="AL652" s="15"/>
      <c r="AM652" s="45"/>
      <c r="AN652" s="15"/>
      <c r="AO652" s="13"/>
      <c r="AP652" s="15"/>
      <c r="AQ652" s="45">
        <f>$F$13</f>
        <v>500</v>
      </c>
      <c r="AR652" s="15"/>
      <c r="AS652" s="13"/>
      <c r="AT652" s="15"/>
      <c r="AU652" s="45"/>
      <c r="AV652" s="15"/>
      <c r="AW652" s="13"/>
      <c r="AY652" s="45"/>
      <c r="AZ652" s="28"/>
      <c r="BA652" s="13"/>
      <c r="BB652" s="15"/>
      <c r="BC652" s="45"/>
      <c r="BD652" s="28"/>
      <c r="BE652" s="14"/>
      <c r="BF652" s="41">
        <f t="shared" ref="BF652:BG652" si="2195">K652+O652+S652+W652+AA652+AE652+AI652+AM652+AQ652+AU652+AY652+BC652</f>
        <v>500</v>
      </c>
      <c r="BG652" s="34">
        <f t="shared" si="2195"/>
        <v>0</v>
      </c>
      <c r="BH652" s="35">
        <f t="shared" si="2181"/>
        <v>500</v>
      </c>
      <c r="BK652" s="2" t="b">
        <f>H652='2019'!BH541</f>
        <v>1</v>
      </c>
    </row>
    <row r="653" ht="15.75" customHeight="1" hidden="1" spans="1:60" x14ac:dyDescent="0.25">
      <c r="A653" s="2">
        <v>72</v>
      </c>
      <c r="B653" s="14"/>
      <c r="D653" s="14" t="s">
        <v>51</v>
      </c>
      <c r="E653" s="2" t="s">
        <v>49</v>
      </c>
      <c r="F653" s="41">
        <v>500</v>
      </c>
      <c r="G653" s="28"/>
      <c r="H653" s="34"/>
      <c r="I653" s="15"/>
      <c r="J653" s="15"/>
      <c r="K653" s="15"/>
      <c r="L653" s="28"/>
      <c r="Q653" s="13"/>
      <c r="R653" s="15"/>
      <c r="S653" s="15"/>
      <c r="T653" s="28"/>
      <c r="Y653" s="13"/>
      <c r="Z653" s="15"/>
      <c r="AA653" s="15"/>
      <c r="AB653" s="28"/>
      <c r="AE653" s="34"/>
      <c r="AG653" s="13"/>
      <c r="AH653" s="15"/>
      <c r="AI653" s="45"/>
      <c r="AJ653" s="15"/>
      <c r="AK653" s="13"/>
      <c r="AL653" s="15"/>
      <c r="AM653" s="45"/>
      <c r="AN653" s="15"/>
      <c r="AO653" s="13"/>
      <c r="AP653" s="15"/>
      <c r="AQ653" s="34">
        <f>B648*$F$14</f>
        <v>2015</v>
      </c>
      <c r="AR653" s="15"/>
      <c r="AS653" s="13"/>
      <c r="AT653" s="15"/>
      <c r="AU653" s="45"/>
      <c r="AV653" s="15"/>
      <c r="AW653" s="13"/>
      <c r="AY653" s="45"/>
      <c r="AZ653" s="28"/>
      <c r="BA653" s="13"/>
      <c r="BB653" s="15"/>
      <c r="BC653" s="45"/>
      <c r="BD653" s="28"/>
      <c r="BE653" s="14"/>
      <c r="BF653" s="41">
        <f t="shared" ref="BF653:BG653" si="2196">K653+O653+S653+W653+AA653+AE653+AI653+AM653+AQ653+AU653+AY653+BC653</f>
        <v>2015</v>
      </c>
      <c r="BG653" s="34">
        <f t="shared" si="2196"/>
        <v>0</v>
      </c>
      <c r="BH653" s="35">
        <f t="shared" si="2181"/>
        <v>2015</v>
      </c>
    </row>
    <row r="654" ht="15.75" customHeight="1" hidden="1" spans="1:63" x14ac:dyDescent="0.25">
      <c r="A654" s="2">
        <v>72</v>
      </c>
      <c r="B654" s="14"/>
      <c r="D654" s="14" t="s">
        <v>52</v>
      </c>
      <c r="E654" s="2" t="s">
        <v>39</v>
      </c>
      <c r="F654" s="41">
        <v>500</v>
      </c>
      <c r="G654" s="28"/>
      <c r="H654" s="34">
        <f>'2019'!BH542</f>
        <v>0</v>
      </c>
      <c r="I654" s="15"/>
      <c r="J654" s="15"/>
      <c r="K654" s="15"/>
      <c r="L654" s="28"/>
      <c r="Q654" s="13"/>
      <c r="R654" s="15"/>
      <c r="S654" s="15"/>
      <c r="T654" s="28"/>
      <c r="Y654" s="13"/>
      <c r="Z654" s="15"/>
      <c r="AA654" s="34">
        <f>$F$11</f>
        <v>500</v>
      </c>
      <c r="AB654" s="28"/>
      <c r="AG654" s="13"/>
      <c r="AH654" s="15"/>
      <c r="AI654" s="45"/>
      <c r="AJ654" s="133">
        <v>500</v>
      </c>
      <c r="AK654" s="13"/>
      <c r="AL654" s="15"/>
      <c r="AM654" s="45"/>
      <c r="AN654" s="15"/>
      <c r="AO654" s="13"/>
      <c r="AP654" s="15"/>
      <c r="AQ654" s="45"/>
      <c r="AR654" s="15"/>
      <c r="AS654" s="13"/>
      <c r="AT654" s="15"/>
      <c r="AU654" s="45"/>
      <c r="AV654" s="15"/>
      <c r="AW654" s="13"/>
      <c r="AY654" s="45"/>
      <c r="AZ654" s="35"/>
      <c r="BA654" s="13"/>
      <c r="BB654" s="15"/>
      <c r="BC654" s="45"/>
      <c r="BD654" s="35"/>
      <c r="BE654" s="14"/>
      <c r="BF654" s="41">
        <f t="shared" ref="BF654:BG654" si="2197">K654+O654+S654+W654+AA654+AE654+AI654+AM654+AQ654+AU654+AY654+BC654</f>
        <v>500</v>
      </c>
      <c r="BG654" s="34">
        <f t="shared" si="2197"/>
        <v>500</v>
      </c>
      <c r="BH654" s="35">
        <f t="shared" si="2181"/>
        <v>0</v>
      </c>
      <c r="BK654" s="2" t="b">
        <f>H654='2019'!BH542</f>
        <v>1</v>
      </c>
    </row>
    <row r="655" ht="15.75" customHeight="1" hidden="1" spans="1:63" x14ac:dyDescent="0.25">
      <c r="A655" s="247">
        <v>72</v>
      </c>
      <c r="B655" s="21"/>
      <c r="C655" s="22" t="s">
        <v>53</v>
      </c>
      <c r="D655" s="21"/>
      <c r="E655" s="22"/>
      <c r="F655" s="20"/>
      <c r="G655" s="23"/>
      <c r="H655" s="51">
        <f>SUM(H647:H654)</f>
        <v>-290.09</v>
      </c>
      <c r="I655" s="53"/>
      <c r="J655" s="53"/>
      <c r="K655" s="51">
        <f t="shared" ref="K655:L655" si="2198">SUM(K647:K654)</f>
        <v>0</v>
      </c>
      <c r="L655" s="68">
        <f t="shared" si="2198"/>
        <v>0</v>
      </c>
      <c r="M655" s="53"/>
      <c r="N655" s="53"/>
      <c r="O655" s="51">
        <f t="shared" ref="O655:P655" si="2199">SUM(O647:O654)</f>
        <v>0</v>
      </c>
      <c r="P655" s="51">
        <f t="shared" si="2199"/>
        <v>0</v>
      </c>
      <c r="Q655" s="52"/>
      <c r="R655" s="53"/>
      <c r="S655" s="51">
        <f t="shared" ref="S655:T655" si="2200">SUM(S647:S654)</f>
        <v>0</v>
      </c>
      <c r="T655" s="51">
        <f t="shared" si="2200"/>
        <v>0</v>
      </c>
      <c r="U655" s="52"/>
      <c r="V655" s="53"/>
      <c r="W655" s="51">
        <f t="shared" ref="W655:X655" si="2201">SUM(W647:W654)</f>
        <v>15</v>
      </c>
      <c r="X655" s="51">
        <f t="shared" si="2201"/>
        <v>0</v>
      </c>
      <c r="Y655" s="52"/>
      <c r="Z655" s="53"/>
      <c r="AA655" s="51">
        <f t="shared" ref="AA655:AB655" si="2202">SUM(AA647:AA654)</f>
        <v>1857.5</v>
      </c>
      <c r="AB655" s="51">
        <f t="shared" si="2202"/>
        <v>0</v>
      </c>
      <c r="AC655" s="52"/>
      <c r="AD655" s="53"/>
      <c r="AE655" s="51">
        <f t="shared" ref="AE655:AF655" si="2203">SUM(AE647:AE654)</f>
        <v>5338</v>
      </c>
      <c r="AF655" s="51">
        <f t="shared" si="2203"/>
        <v>0</v>
      </c>
      <c r="AG655" s="52"/>
      <c r="AH655" s="53"/>
      <c r="AI655" s="183">
        <f t="shared" ref="AI655:AJ655" si="2204">SUM(AI647:AI654)</f>
        <v>332.72</v>
      </c>
      <c r="AJ655" s="51">
        <f t="shared" si="2204"/>
        <v>7200</v>
      </c>
      <c r="AK655" s="52"/>
      <c r="AL655" s="53"/>
      <c r="AM655" s="183">
        <f t="shared" ref="AM655:AN655" si="2205">SUM(AM647:AM654)</f>
        <v>652.6</v>
      </c>
      <c r="AN655" s="51">
        <f t="shared" si="2205"/>
        <v>0</v>
      </c>
      <c r="AO655" s="52"/>
      <c r="AP655" s="53"/>
      <c r="AQ655" s="183">
        <f t="shared" ref="AQ655:AR655" si="2206">SUM(AQ647:AQ654)</f>
        <v>2803.6</v>
      </c>
      <c r="AR655" s="51">
        <f t="shared" si="2206"/>
        <v>0</v>
      </c>
      <c r="AS655" s="52"/>
      <c r="AT655" s="53"/>
      <c r="AU655" s="183">
        <f t="shared" ref="AU655:AV655" si="2207">SUM(AU647:AU654)</f>
        <v>0</v>
      </c>
      <c r="AV655" s="68">
        <f t="shared" si="2207"/>
        <v>0</v>
      </c>
      <c r="AW655" s="52"/>
      <c r="AX655" s="53"/>
      <c r="AY655" s="183">
        <f t="shared" ref="AY655:AZ655" si="2208">SUM(AY647:AY654)</f>
        <v>0</v>
      </c>
      <c r="AZ655" s="68">
        <f t="shared" si="2208"/>
        <v>0</v>
      </c>
      <c r="BA655" s="52"/>
      <c r="BB655" s="53"/>
      <c r="BC655" s="183">
        <f t="shared" ref="BC655:BD655" si="2209">SUM(BC647:BC654)</f>
        <v>0</v>
      </c>
      <c r="BD655" s="68">
        <f t="shared" si="2209"/>
        <v>0</v>
      </c>
      <c r="BE655" s="69"/>
      <c r="BF655" s="70">
        <f t="shared" ref="BF655:BH655" si="2210">SUM(BF647:BF654)</f>
        <v>10999.42</v>
      </c>
      <c r="BG655" s="71">
        <f t="shared" si="2210"/>
        <v>7200</v>
      </c>
      <c r="BH655" s="72">
        <f t="shared" si="2210"/>
        <v>3509.33</v>
      </c>
      <c r="BI655" s="34">
        <f>H655+BF655-BG655</f>
        <v>3509.33</v>
      </c>
      <c r="BJ655" s="34">
        <f>BH655-BI655</f>
        <v>0</v>
      </c>
      <c r="BK655" s="2" t="b">
        <f>H655='2019'!BH543</f>
        <v>0</v>
      </c>
    </row>
    <row r="656" ht="15.75" customHeight="1" hidden="1" spans="1:63" x14ac:dyDescent="0.25">
      <c r="A656" s="2">
        <v>73</v>
      </c>
      <c r="B656" s="14"/>
      <c r="D656" s="14" t="s">
        <v>379</v>
      </c>
      <c r="F656" s="13"/>
      <c r="G656" s="28"/>
      <c r="H656" s="34">
        <f>'2019'!BH544</f>
        <v>6.99</v>
      </c>
      <c r="J656" s="15"/>
      <c r="K656" s="15"/>
      <c r="L656" s="28"/>
      <c r="Q656" s="13"/>
      <c r="R656" s="15"/>
      <c r="S656" s="15"/>
      <c r="T656" s="28"/>
      <c r="Y656" s="13"/>
      <c r="Z656" s="15"/>
      <c r="AA656" s="15"/>
      <c r="AB656" s="28"/>
      <c r="AG656" s="13"/>
      <c r="AH656" s="15"/>
      <c r="AI656" s="45"/>
      <c r="AJ656" s="15"/>
      <c r="AK656" s="13"/>
      <c r="AM656" s="45"/>
      <c r="AN656" s="1">
        <v>6.99</v>
      </c>
      <c r="AO656" s="13"/>
      <c r="AQ656" s="45"/>
      <c r="AS656" s="13"/>
      <c r="AU656" s="45"/>
      <c r="AW656" s="13"/>
      <c r="AY656" s="45"/>
      <c r="AZ656" s="28"/>
      <c r="BA656" s="13"/>
      <c r="BB656" s="15"/>
      <c r="BC656" s="45"/>
      <c r="BD656" s="28"/>
      <c r="BE656" s="14"/>
      <c r="BF656" s="41">
        <f t="shared" ref="BF656:BG656" si="2211">K656+O656+S656+W656+AA656+AE656+AI656+AM656+AQ656+AU656+AY656+BC656</f>
        <v>0</v>
      </c>
      <c r="BG656" s="34">
        <f t="shared" si="2211"/>
        <v>6.99</v>
      </c>
      <c r="BH656" s="35">
        <f t="shared" ref="BH656:BH663" si="2212">H656+BF656-BG656</f>
        <v>0</v>
      </c>
      <c r="BK656" s="2" t="b">
        <f>H656='2019'!BH544</f>
        <v>1</v>
      </c>
    </row>
    <row r="657" ht="15.75" customHeight="1" hidden="1" spans="1:63" x14ac:dyDescent="0.25">
      <c r="A657" s="2">
        <v>73</v>
      </c>
      <c r="B657" s="14">
        <v>4.02</v>
      </c>
      <c r="C657" s="2" t="s">
        <v>259</v>
      </c>
      <c r="D657" s="14" t="s">
        <v>44</v>
      </c>
      <c r="E657" s="2" t="s">
        <v>45</v>
      </c>
      <c r="F657" s="41">
        <v>2.5</v>
      </c>
      <c r="G657" s="35">
        <v>2.6</v>
      </c>
      <c r="H657" s="104">
        <f>'2019'!BH545</f>
        <v>0</v>
      </c>
      <c r="I657" s="15"/>
      <c r="J657" s="15"/>
      <c r="K657" s="34">
        <f>J657*$F$8</f>
        <v>0</v>
      </c>
      <c r="L657" s="28"/>
      <c r="N657" s="15"/>
      <c r="O657" s="34">
        <f>N657*$F$8</f>
        <v>0</v>
      </c>
      <c r="Q657" s="13"/>
      <c r="R657" s="15">
        <f>Q657-M657</f>
        <v>0</v>
      </c>
      <c r="S657" s="34">
        <f>R657*$F$8</f>
        <v>0</v>
      </c>
      <c r="T657" s="28"/>
      <c r="V657" s="15">
        <f t="shared" ref="V657:V658" si="2213">U657-Q657</f>
        <v>0</v>
      </c>
      <c r="W657" s="34">
        <f>V657*$F$8</f>
        <v>0</v>
      </c>
      <c r="Y657" s="13"/>
      <c r="Z657" s="15">
        <f t="shared" ref="Z657:Z658" si="2214">Y657-U657</f>
        <v>0</v>
      </c>
      <c r="AA657" s="34">
        <f>Z657*$F$8</f>
        <v>0</v>
      </c>
      <c r="AB657" s="28"/>
      <c r="AC657" s="15"/>
      <c r="AD657" s="15">
        <f t="shared" ref="AD657:AD658" si="2215">AC657-Y657</f>
        <v>0</v>
      </c>
      <c r="AE657" s="34">
        <f>AD657*$F$8</f>
        <v>0</v>
      </c>
      <c r="AG657" s="13"/>
      <c r="AH657" s="15">
        <f t="shared" ref="AH657:AH658" si="2216">AG657-AC657</f>
        <v>0</v>
      </c>
      <c r="AI657" s="45">
        <f>AH657*$G$8</f>
        <v>0</v>
      </c>
      <c r="AJ657" s="15"/>
      <c r="AK657" s="13">
        <v>0</v>
      </c>
      <c r="AL657" s="15">
        <f t="shared" ref="AL657:AL658" si="2217">AK657-AG657</f>
        <v>0</v>
      </c>
      <c r="AM657" s="45">
        <f>AL657*$G$8</f>
        <v>0</v>
      </c>
      <c r="AN657" s="15"/>
      <c r="AO657" s="13">
        <v>0</v>
      </c>
      <c r="AP657" s="15">
        <f t="shared" ref="AP657:AP658" si="2218">AO657-AK657</f>
        <v>0</v>
      </c>
      <c r="AQ657" s="45">
        <f>AP657*$G$8</f>
        <v>0</v>
      </c>
      <c r="AR657" s="15"/>
      <c r="AS657" s="13">
        <v>0</v>
      </c>
      <c r="AT657" s="15">
        <f t="shared" ref="AT657:AT658" si="2219">AS657-AO657</f>
        <v>0</v>
      </c>
      <c r="AU657" s="45">
        <f>AT657*$G$8</f>
        <v>0</v>
      </c>
      <c r="AV657" s="15"/>
      <c r="AW657" s="13">
        <v>0</v>
      </c>
      <c r="AX657" s="2">
        <f t="shared" ref="AX657:AX658" si="2220">AW657-AS657</f>
        <v>0</v>
      </c>
      <c r="AY657" s="45">
        <f>AX657*$G$8</f>
        <v>0</v>
      </c>
      <c r="AZ657" s="208"/>
      <c r="BA657" s="13">
        <v>0</v>
      </c>
      <c r="BB657" s="15">
        <f t="shared" ref="BB657:BB658" si="2221">BA657-AW657</f>
        <v>0</v>
      </c>
      <c r="BC657" s="45">
        <f>BB657*$G$8</f>
        <v>0</v>
      </c>
      <c r="BD657" s="208"/>
      <c r="BE657" s="40">
        <f t="shared" ref="BE657:BG657" si="2222">J657+N657+R657+V657+Z657+AD657+AH657+AL657+AP657+AT657+AX657+BB657</f>
        <v>0</v>
      </c>
      <c r="BF657" s="41">
        <f t="shared" si="2222"/>
        <v>0</v>
      </c>
      <c r="BG657" s="34">
        <f t="shared" si="2222"/>
        <v>0</v>
      </c>
      <c r="BH657" s="35">
        <f t="shared" si="2212"/>
        <v>0</v>
      </c>
      <c r="BK657" s="2" t="b">
        <f>H657='2019'!BH545</f>
        <v>1</v>
      </c>
    </row>
    <row r="658" ht="15.75" customHeight="1" hidden="1" spans="1:63" x14ac:dyDescent="0.25">
      <c r="A658" s="2">
        <v>73</v>
      </c>
      <c r="B658" s="14"/>
      <c r="C658" s="2" t="s">
        <v>260</v>
      </c>
      <c r="D658" s="14" t="s">
        <v>47</v>
      </c>
      <c r="E658" s="2" t="s">
        <v>48</v>
      </c>
      <c r="F658" s="13">
        <v>18.56</v>
      </c>
      <c r="G658" s="35">
        <v>19.46</v>
      </c>
      <c r="H658" s="34">
        <f>'2019'!BH546</f>
        <v>-221.94</v>
      </c>
      <c r="I658" s="15">
        <v>77</v>
      </c>
      <c r="J658" s="15"/>
      <c r="K658" s="15"/>
      <c r="L658" s="28"/>
      <c r="M658" s="2">
        <v>77</v>
      </c>
      <c r="Q658" s="13">
        <v>77</v>
      </c>
      <c r="R658" s="15"/>
      <c r="S658" s="15"/>
      <c r="T658" s="28"/>
      <c r="U658" s="2">
        <v>78</v>
      </c>
      <c r="V658" s="2">
        <f t="shared" si="2213"/>
        <v>1</v>
      </c>
      <c r="W658" s="2">
        <f>V658*$F$10</f>
        <v>18.56</v>
      </c>
      <c r="Y658" s="13">
        <v>78</v>
      </c>
      <c r="Z658" s="15">
        <f t="shared" si="2214"/>
        <v>0</v>
      </c>
      <c r="AA658" s="34">
        <f>Z658*$F$10</f>
        <v>0</v>
      </c>
      <c r="AB658" s="28"/>
      <c r="AC658" s="15">
        <v>82</v>
      </c>
      <c r="AD658" s="15">
        <f t="shared" si="2215"/>
        <v>4</v>
      </c>
      <c r="AE658" s="34">
        <f>AD658*$F$10</f>
        <v>74.24</v>
      </c>
      <c r="AF658" s="34"/>
      <c r="AG658" s="13">
        <v>82</v>
      </c>
      <c r="AH658" s="15">
        <f t="shared" si="2216"/>
        <v>0</v>
      </c>
      <c r="AI658" s="45">
        <f>AH658*$G$10</f>
        <v>0</v>
      </c>
      <c r="AJ658" s="180"/>
      <c r="AK658" s="13">
        <v>82</v>
      </c>
      <c r="AL658" s="15">
        <f t="shared" si="2217"/>
        <v>0</v>
      </c>
      <c r="AM658" s="45">
        <f>AL658*$G$10</f>
        <v>0</v>
      </c>
      <c r="AN658" s="1">
        <v>169.75</v>
      </c>
      <c r="AO658" s="13">
        <v>82</v>
      </c>
      <c r="AP658" s="15">
        <f t="shared" si="2218"/>
        <v>0</v>
      </c>
      <c r="AQ658" s="45">
        <f>AP658*$G$10</f>
        <v>0</v>
      </c>
      <c r="AR658" s="15"/>
      <c r="AS658" s="13">
        <v>82</v>
      </c>
      <c r="AT658" s="15">
        <f t="shared" si="2219"/>
        <v>0</v>
      </c>
      <c r="AU658" s="45">
        <f>AT658*$G$10</f>
        <v>0</v>
      </c>
      <c r="AV658" s="15"/>
      <c r="AW658" s="13">
        <v>82</v>
      </c>
      <c r="AX658" s="2">
        <f t="shared" si="2220"/>
        <v>0</v>
      </c>
      <c r="AY658" s="45"/>
      <c r="AZ658" s="208"/>
      <c r="BA658" s="13">
        <v>82</v>
      </c>
      <c r="BB658" s="15">
        <f t="shared" si="2221"/>
        <v>0</v>
      </c>
      <c r="BC658" s="45"/>
      <c r="BD658" s="208"/>
      <c r="BE658" s="40">
        <f t="shared" ref="BE658:BG658" si="2223">J658+N658+R658+V658+Z658+AD658+AH658+AL658+AP658+AT658+AX658+BB658</f>
        <v>5</v>
      </c>
      <c r="BF658" s="41">
        <f t="shared" si="2223"/>
        <v>92.8</v>
      </c>
      <c r="BG658" s="34">
        <f t="shared" si="2223"/>
        <v>169.75</v>
      </c>
      <c r="BH658" s="35">
        <f t="shared" si="2212"/>
        <v>-298.89</v>
      </c>
      <c r="BK658" s="2" t="b">
        <f>H658='2019'!BH546</f>
        <v>1</v>
      </c>
    </row>
    <row r="659" ht="15.75" customHeight="1" hidden="1" spans="1:63" x14ac:dyDescent="0.25">
      <c r="A659" s="2">
        <v>73</v>
      </c>
      <c r="B659" s="14"/>
      <c r="C659" s="15" t="s">
        <v>84</v>
      </c>
      <c r="D659" s="14" t="s">
        <v>47</v>
      </c>
      <c r="E659" s="2" t="s">
        <v>49</v>
      </c>
      <c r="F659" s="41">
        <v>500</v>
      </c>
      <c r="G659" s="28"/>
      <c r="H659" s="34">
        <f>'2019'!BH547</f>
        <v>0</v>
      </c>
      <c r="I659" s="15"/>
      <c r="J659" s="15"/>
      <c r="K659" s="15"/>
      <c r="L659" s="28"/>
      <c r="Q659" s="13"/>
      <c r="R659" s="15"/>
      <c r="S659" s="15"/>
      <c r="T659" s="28"/>
      <c r="Y659" s="13"/>
      <c r="Z659" s="15"/>
      <c r="AA659" s="15"/>
      <c r="AB659" s="28"/>
      <c r="AG659" s="13"/>
      <c r="AH659" s="15"/>
      <c r="AI659" s="45"/>
      <c r="AJ659" s="15"/>
      <c r="AK659" s="13"/>
      <c r="AL659" s="15"/>
      <c r="AM659" s="45"/>
      <c r="AN659" s="15"/>
      <c r="AO659" s="13"/>
      <c r="AP659" s="15"/>
      <c r="AQ659" s="45"/>
      <c r="AR659" s="15"/>
      <c r="AS659" s="13"/>
      <c r="AT659" s="15"/>
      <c r="AU659" s="45"/>
      <c r="AV659" s="15"/>
      <c r="AW659" s="13"/>
      <c r="AY659" s="45"/>
      <c r="AZ659" s="28"/>
      <c r="BA659" s="13"/>
      <c r="BB659" s="15"/>
      <c r="BC659" s="45"/>
      <c r="BD659" s="28"/>
      <c r="BE659" s="14"/>
      <c r="BF659" s="41">
        <f t="shared" ref="BF659:BG659" si="2224">K659+O659+S659+W659+AA659+AE659+AI659+AM659+AQ659+AU659+AY659+BC659</f>
        <v>0</v>
      </c>
      <c r="BG659" s="34">
        <f t="shared" si="2224"/>
        <v>0</v>
      </c>
      <c r="BH659" s="35">
        <f t="shared" si="2212"/>
        <v>0</v>
      </c>
      <c r="BK659" s="2" t="b">
        <f>H659='2019'!BH547</f>
        <v>1</v>
      </c>
    </row>
    <row r="660" ht="15.75" customHeight="1" hidden="1" spans="1:63" x14ac:dyDescent="0.25">
      <c r="A660" s="2">
        <v>73</v>
      </c>
      <c r="B660" s="14"/>
      <c r="C660" s="73" t="s">
        <v>261</v>
      </c>
      <c r="D660" s="14" t="s">
        <v>50</v>
      </c>
      <c r="E660" s="2" t="s">
        <v>49</v>
      </c>
      <c r="F660" s="41">
        <v>1100</v>
      </c>
      <c r="G660" s="28"/>
      <c r="H660" s="182">
        <f>'2019'!BH548+0.0024</f>
        <v>0</v>
      </c>
      <c r="I660" s="15"/>
      <c r="J660" s="15"/>
      <c r="K660" s="15"/>
      <c r="L660" s="28"/>
      <c r="Q660" s="13"/>
      <c r="R660" s="15"/>
      <c r="S660" s="15"/>
      <c r="T660" s="28"/>
      <c r="Y660" s="13"/>
      <c r="Z660" s="15"/>
      <c r="AA660" s="15"/>
      <c r="AB660" s="28"/>
      <c r="AE660" s="34">
        <f>B657*$F$12</f>
        <v>4422</v>
      </c>
      <c r="AF660" s="133">
        <v>4422</v>
      </c>
      <c r="AG660" s="13"/>
      <c r="AH660" s="15"/>
      <c r="AI660" s="45"/>
      <c r="AJ660" s="34"/>
      <c r="AK660" s="13"/>
      <c r="AL660" s="15"/>
      <c r="AM660" s="45"/>
      <c r="AN660" s="15"/>
      <c r="AO660" s="13"/>
      <c r="AP660" s="15"/>
      <c r="AQ660" s="45"/>
      <c r="AR660" s="15"/>
      <c r="AS660" s="13"/>
      <c r="AT660" s="15"/>
      <c r="AU660" s="45"/>
      <c r="AV660" s="15"/>
      <c r="AW660" s="13"/>
      <c r="AY660" s="45"/>
      <c r="AZ660" s="28"/>
      <c r="BA660" s="13"/>
      <c r="BB660" s="15"/>
      <c r="BC660" s="45"/>
      <c r="BD660" s="28"/>
      <c r="BE660" s="14"/>
      <c r="BF660" s="41">
        <f t="shared" ref="BF660:BG660" si="2225">K660+O660+S660+W660+AA660+AE660+AI660+AM660+AQ660+AU660+AY660+BC660</f>
        <v>4422</v>
      </c>
      <c r="BG660" s="34">
        <f t="shared" si="2225"/>
        <v>4422</v>
      </c>
      <c r="BH660" s="35">
        <f t="shared" si="2212"/>
        <v>0</v>
      </c>
      <c r="BK660" s="2" t="b">
        <f>H660='2019'!BH548</f>
        <v>0</v>
      </c>
    </row>
    <row r="661" ht="15.75" customHeight="1" hidden="1" spans="1:63" x14ac:dyDescent="0.25">
      <c r="A661" s="2">
        <v>73</v>
      </c>
      <c r="B661" s="14"/>
      <c r="D661" s="14" t="s">
        <v>51</v>
      </c>
      <c r="E661" s="2" t="s">
        <v>39</v>
      </c>
      <c r="F661" s="41">
        <v>500</v>
      </c>
      <c r="G661" s="28"/>
      <c r="H661" s="34">
        <f>'2019'!BH549</f>
        <v>0</v>
      </c>
      <c r="I661" s="15"/>
      <c r="J661" s="15"/>
      <c r="K661" s="15"/>
      <c r="L661" s="28"/>
      <c r="Q661" s="13"/>
      <c r="R661" s="15"/>
      <c r="S661" s="15"/>
      <c r="T661" s="28"/>
      <c r="Y661" s="13"/>
      <c r="Z661" s="15"/>
      <c r="AA661" s="15"/>
      <c r="AB661" s="28"/>
      <c r="AE661" s="34"/>
      <c r="AG661" s="13"/>
      <c r="AH661" s="15"/>
      <c r="AI661" s="45"/>
      <c r="AJ661" s="15"/>
      <c r="AK661" s="13"/>
      <c r="AL661" s="15"/>
      <c r="AM661" s="45"/>
      <c r="AN661" s="15"/>
      <c r="AO661" s="13"/>
      <c r="AP661" s="15"/>
      <c r="AQ661" s="45">
        <f>$F$13</f>
        <v>500</v>
      </c>
      <c r="AR661" s="15"/>
      <c r="AS661" s="13"/>
      <c r="AT661" s="15"/>
      <c r="AU661" s="45"/>
      <c r="AV661" s="15"/>
      <c r="AW661" s="13"/>
      <c r="AY661" s="45"/>
      <c r="AZ661" s="28"/>
      <c r="BA661" s="13"/>
      <c r="BB661" s="15"/>
      <c r="BC661" s="45"/>
      <c r="BD661" s="28"/>
      <c r="BE661" s="14"/>
      <c r="BF661" s="41">
        <f t="shared" ref="BF661:BG661" si="2226">K661+O661+S661+W661+AA661+AE661+AI661+AM661+AQ661+AU661+AY661+BC661</f>
        <v>500</v>
      </c>
      <c r="BG661" s="34">
        <f t="shared" si="2226"/>
        <v>0</v>
      </c>
      <c r="BH661" s="35">
        <f t="shared" si="2212"/>
        <v>500</v>
      </c>
      <c r="BK661" s="2" t="b">
        <f>H661='2019'!BH549</f>
        <v>1</v>
      </c>
    </row>
    <row r="662" ht="15.75" customHeight="1" hidden="1" spans="1:60" x14ac:dyDescent="0.25">
      <c r="A662" s="2">
        <v>73</v>
      </c>
      <c r="B662" s="14"/>
      <c r="D662" s="14" t="s">
        <v>51</v>
      </c>
      <c r="E662" s="2" t="s">
        <v>49</v>
      </c>
      <c r="F662" s="41">
        <v>500</v>
      </c>
      <c r="G662" s="28"/>
      <c r="H662" s="34"/>
      <c r="I662" s="15"/>
      <c r="J662" s="15"/>
      <c r="K662" s="15"/>
      <c r="L662" s="28"/>
      <c r="Q662" s="13"/>
      <c r="R662" s="15"/>
      <c r="S662" s="15"/>
      <c r="T662" s="28"/>
      <c r="Y662" s="13"/>
      <c r="Z662" s="15"/>
      <c r="AA662" s="15"/>
      <c r="AB662" s="28"/>
      <c r="AE662" s="34"/>
      <c r="AG662" s="13"/>
      <c r="AH662" s="15"/>
      <c r="AI662" s="45"/>
      <c r="AJ662" s="15"/>
      <c r="AK662" s="13"/>
      <c r="AL662" s="15"/>
      <c r="AM662" s="45"/>
      <c r="AN662" s="15"/>
      <c r="AO662" s="13"/>
      <c r="AP662" s="15"/>
      <c r="AQ662" s="34">
        <f>B657*$F$14</f>
        <v>2010</v>
      </c>
      <c r="AR662" s="15"/>
      <c r="AS662" s="13"/>
      <c r="AT662" s="15"/>
      <c r="AU662" s="45"/>
      <c r="AV662" s="15"/>
      <c r="AW662" s="13"/>
      <c r="AY662" s="45"/>
      <c r="AZ662" s="28"/>
      <c r="BA662" s="13"/>
      <c r="BB662" s="15"/>
      <c r="BC662" s="45"/>
      <c r="BD662" s="28"/>
      <c r="BE662" s="14"/>
      <c r="BF662" s="41">
        <f t="shared" ref="BF662:BG662" si="2227">K662+O662+S662+W662+AA662+AE662+AI662+AM662+AQ662+AU662+AY662+BC662</f>
        <v>2010</v>
      </c>
      <c r="BG662" s="34">
        <f t="shared" si="2227"/>
        <v>0</v>
      </c>
      <c r="BH662" s="35">
        <f t="shared" si="2212"/>
        <v>2010</v>
      </c>
    </row>
    <row r="663" ht="15.75" customHeight="1" hidden="1" spans="1:63" x14ac:dyDescent="0.25">
      <c r="A663" s="2">
        <v>73</v>
      </c>
      <c r="B663" s="14"/>
      <c r="D663" s="14" t="s">
        <v>52</v>
      </c>
      <c r="E663" s="2" t="s">
        <v>39</v>
      </c>
      <c r="F663" s="41">
        <v>500</v>
      </c>
      <c r="G663" s="28"/>
      <c r="H663" s="34">
        <f>'2019'!BH550</f>
        <v>0</v>
      </c>
      <c r="I663" s="15"/>
      <c r="J663" s="15"/>
      <c r="K663" s="15"/>
      <c r="L663" s="28"/>
      <c r="Q663" s="13"/>
      <c r="R663" s="15"/>
      <c r="S663" s="15"/>
      <c r="T663" s="28"/>
      <c r="Y663" s="13"/>
      <c r="Z663" s="15"/>
      <c r="AA663" s="34">
        <f>$F$11</f>
        <v>500</v>
      </c>
      <c r="AB663" s="28"/>
      <c r="AF663" s="133">
        <v>500</v>
      </c>
      <c r="AG663" s="13"/>
      <c r="AH663" s="15"/>
      <c r="AI663" s="45"/>
      <c r="AJ663" s="15"/>
      <c r="AK663" s="13"/>
      <c r="AL663" s="15"/>
      <c r="AM663" s="45"/>
      <c r="AN663" s="15"/>
      <c r="AO663" s="13"/>
      <c r="AP663" s="15"/>
      <c r="AQ663" s="45"/>
      <c r="AR663" s="15"/>
      <c r="AS663" s="13"/>
      <c r="AT663" s="15"/>
      <c r="AU663" s="45"/>
      <c r="AV663" s="15"/>
      <c r="AW663" s="13"/>
      <c r="AY663" s="45"/>
      <c r="AZ663" s="35"/>
      <c r="BA663" s="13"/>
      <c r="BB663" s="15"/>
      <c r="BC663" s="45"/>
      <c r="BD663" s="35"/>
      <c r="BE663" s="14"/>
      <c r="BF663" s="41">
        <f t="shared" ref="BF663:BG663" si="2228">K663+O663+S663+W663+AA663+AE663+AI663+AM663+AQ663+AU663+AY663+BC663</f>
        <v>500</v>
      </c>
      <c r="BG663" s="34">
        <f t="shared" si="2228"/>
        <v>500</v>
      </c>
      <c r="BH663" s="35">
        <f t="shared" si="2212"/>
        <v>0</v>
      </c>
      <c r="BK663" s="2" t="b">
        <f>H663='2019'!BH550</f>
        <v>1</v>
      </c>
    </row>
    <row r="664" ht="15.75" customHeight="1" hidden="1" spans="1:63" x14ac:dyDescent="0.25">
      <c r="A664" s="247">
        <v>73</v>
      </c>
      <c r="B664" s="21"/>
      <c r="C664" s="22" t="s">
        <v>53</v>
      </c>
      <c r="D664" s="21"/>
      <c r="E664" s="22"/>
      <c r="F664" s="20"/>
      <c r="G664" s="23"/>
      <c r="H664" s="51">
        <f>SUM(H656:H663)</f>
        <v>-214.95</v>
      </c>
      <c r="I664" s="53"/>
      <c r="J664" s="53"/>
      <c r="K664" s="51">
        <f t="shared" ref="K664:L664" si="2229">SUM(K656:K663)</f>
        <v>0</v>
      </c>
      <c r="L664" s="68">
        <f t="shared" si="2229"/>
        <v>0</v>
      </c>
      <c r="M664" s="53"/>
      <c r="N664" s="53"/>
      <c r="O664" s="51">
        <f t="shared" ref="O664:P664" si="2230">SUM(O656:O663)</f>
        <v>0</v>
      </c>
      <c r="P664" s="51">
        <f t="shared" si="2230"/>
        <v>0</v>
      </c>
      <c r="Q664" s="52"/>
      <c r="R664" s="53"/>
      <c r="S664" s="51">
        <f t="shared" ref="S664:T664" si="2231">SUM(S656:S663)</f>
        <v>0</v>
      </c>
      <c r="T664" s="51">
        <f t="shared" si="2231"/>
        <v>0</v>
      </c>
      <c r="U664" s="52"/>
      <c r="V664" s="53"/>
      <c r="W664" s="51">
        <f t="shared" ref="W664:X664" si="2232">SUM(W656:W663)</f>
        <v>18.56</v>
      </c>
      <c r="X664" s="51">
        <f t="shared" si="2232"/>
        <v>0</v>
      </c>
      <c r="Y664" s="52"/>
      <c r="Z664" s="53"/>
      <c r="AA664" s="51">
        <f t="shared" ref="AA664:AB664" si="2233">SUM(AA656:AA663)</f>
        <v>500</v>
      </c>
      <c r="AB664" s="51">
        <f t="shared" si="2233"/>
        <v>0</v>
      </c>
      <c r="AC664" s="52"/>
      <c r="AD664" s="53"/>
      <c r="AE664" s="51">
        <f t="shared" ref="AE664:AF664" si="2234">SUM(AE656:AE663)</f>
        <v>4496.24</v>
      </c>
      <c r="AF664" s="51">
        <f t="shared" si="2234"/>
        <v>4922</v>
      </c>
      <c r="AG664" s="52"/>
      <c r="AH664" s="53"/>
      <c r="AI664" s="183">
        <f t="shared" ref="AI664:AJ664" si="2235">SUM(AI656:AI663)</f>
        <v>0</v>
      </c>
      <c r="AJ664" s="51">
        <f t="shared" si="2235"/>
        <v>0</v>
      </c>
      <c r="AK664" s="52"/>
      <c r="AL664" s="53"/>
      <c r="AM664" s="183">
        <f t="shared" ref="AM664:AN664" si="2236">SUM(AM656:AM663)</f>
        <v>0</v>
      </c>
      <c r="AN664" s="51">
        <f t="shared" si="2236"/>
        <v>176.74</v>
      </c>
      <c r="AO664" s="52"/>
      <c r="AP664" s="53"/>
      <c r="AQ664" s="183">
        <f t="shared" ref="AQ664:AR664" si="2237">SUM(AQ656:AQ663)</f>
        <v>2510</v>
      </c>
      <c r="AR664" s="51">
        <f t="shared" si="2237"/>
        <v>0</v>
      </c>
      <c r="AS664" s="52"/>
      <c r="AT664" s="53"/>
      <c r="AU664" s="183">
        <f t="shared" ref="AU664:AV664" si="2238">SUM(AU656:AU663)</f>
        <v>0</v>
      </c>
      <c r="AV664" s="68">
        <f t="shared" si="2238"/>
        <v>0</v>
      </c>
      <c r="AW664" s="52"/>
      <c r="AX664" s="53"/>
      <c r="AY664" s="183">
        <f t="shared" ref="AY664:AZ664" si="2239">SUM(AY656:AY663)</f>
        <v>0</v>
      </c>
      <c r="AZ664" s="68">
        <f t="shared" si="2239"/>
        <v>0</v>
      </c>
      <c r="BA664" s="52"/>
      <c r="BB664" s="53"/>
      <c r="BC664" s="183">
        <f t="shared" ref="BC664:BD664" si="2240">SUM(BC656:BC663)</f>
        <v>0</v>
      </c>
      <c r="BD664" s="68">
        <f t="shared" si="2240"/>
        <v>0</v>
      </c>
      <c r="BE664" s="69"/>
      <c r="BF664" s="70">
        <f t="shared" ref="BF664:BH664" si="2241">SUM(BF656:BF663)</f>
        <v>7524.8</v>
      </c>
      <c r="BG664" s="71">
        <f t="shared" si="2241"/>
        <v>5098.74</v>
      </c>
      <c r="BH664" s="72">
        <f t="shared" si="2241"/>
        <v>2211.11</v>
      </c>
      <c r="BI664" s="34">
        <f>H664+BF664-BG664</f>
        <v>2211.11</v>
      </c>
      <c r="BJ664" s="34">
        <f>BH664-BI664</f>
        <v>0</v>
      </c>
      <c r="BK664" s="2" t="b">
        <f>H664='2019'!BH551</f>
        <v>0</v>
      </c>
    </row>
    <row r="665" ht="15.75" customHeight="1" hidden="1" spans="1:63" x14ac:dyDescent="0.25">
      <c r="A665" s="2">
        <v>74</v>
      </c>
      <c r="B665" s="14"/>
      <c r="D665" s="14" t="s">
        <v>379</v>
      </c>
      <c r="F665" s="13"/>
      <c r="G665" s="28"/>
      <c r="H665" s="34">
        <f>'2019'!BH552</f>
        <v>0</v>
      </c>
      <c r="J665" s="15"/>
      <c r="K665" s="15"/>
      <c r="L665" s="28"/>
      <c r="Q665" s="13"/>
      <c r="R665" s="15"/>
      <c r="S665" s="15"/>
      <c r="T665" s="28"/>
      <c r="Y665" s="13"/>
      <c r="Z665" s="15"/>
      <c r="AA665" s="15"/>
      <c r="AB665" s="28"/>
      <c r="AG665" s="13"/>
      <c r="AH665" s="15"/>
      <c r="AI665" s="45"/>
      <c r="AJ665" s="15"/>
      <c r="AK665" s="13"/>
      <c r="AM665" s="45"/>
      <c r="AO665" s="13"/>
      <c r="AQ665" s="45"/>
      <c r="AS665" s="13"/>
      <c r="AU665" s="45"/>
      <c r="AW665" s="13"/>
      <c r="AY665" s="45"/>
      <c r="AZ665" s="28"/>
      <c r="BA665" s="13"/>
      <c r="BB665" s="15"/>
      <c r="BC665" s="45"/>
      <c r="BD665" s="28"/>
      <c r="BE665" s="14"/>
      <c r="BF665" s="41">
        <f t="shared" ref="BF665:BG665" si="2242">K665+O665+S665+W665+AA665+AE665+AI665+AM665+AQ665+AU665+AY665+BC665</f>
        <v>0</v>
      </c>
      <c r="BG665" s="34">
        <f t="shared" si="2242"/>
        <v>0</v>
      </c>
      <c r="BH665" s="35">
        <f t="shared" ref="BH665:BH672" si="2243">H665+BF665-BG665</f>
        <v>0</v>
      </c>
      <c r="BK665" s="2" t="b">
        <f>H665='2019'!BH552</f>
        <v>1</v>
      </c>
    </row>
    <row r="666" ht="15.75" customHeight="1" hidden="1" spans="1:63" x14ac:dyDescent="0.25">
      <c r="A666" s="2">
        <v>74</v>
      </c>
      <c r="B666" s="14">
        <v>4.97</v>
      </c>
      <c r="C666" s="2" t="s">
        <v>262</v>
      </c>
      <c r="D666" s="14" t="s">
        <v>44</v>
      </c>
      <c r="E666" s="2" t="s">
        <v>45</v>
      </c>
      <c r="F666" s="41">
        <v>2.5</v>
      </c>
      <c r="G666" s="35">
        <v>2.6</v>
      </c>
      <c r="H666" s="104">
        <f>'2019'!BH553</f>
        <v>0</v>
      </c>
      <c r="I666" s="15"/>
      <c r="J666" s="15"/>
      <c r="K666" s="34">
        <f>J666*$F$8</f>
        <v>0</v>
      </c>
      <c r="L666" s="28"/>
      <c r="N666" s="15"/>
      <c r="O666" s="34">
        <f>N666*$F$8</f>
        <v>0</v>
      </c>
      <c r="Q666" s="13"/>
      <c r="R666" s="15">
        <f>Q666-M666</f>
        <v>0</v>
      </c>
      <c r="S666" s="34">
        <f>R666*$F$8</f>
        <v>0</v>
      </c>
      <c r="T666" s="28"/>
      <c r="V666" s="15">
        <f t="shared" ref="V666:V667" si="2244">U666-Q666</f>
        <v>0</v>
      </c>
      <c r="W666" s="34">
        <f>V666*$F$8</f>
        <v>0</v>
      </c>
      <c r="Y666" s="13"/>
      <c r="Z666" s="15">
        <f t="shared" ref="Z666:Z667" si="2245">Y666-U666</f>
        <v>0</v>
      </c>
      <c r="AA666" s="34">
        <f>Z666*$F$8</f>
        <v>0</v>
      </c>
      <c r="AB666" s="28"/>
      <c r="AC666" s="15"/>
      <c r="AD666" s="15">
        <f t="shared" ref="AD666:AD667" si="2246">AC666-Y666</f>
        <v>0</v>
      </c>
      <c r="AE666" s="34">
        <f>AD666*$F$8</f>
        <v>0</v>
      </c>
      <c r="AG666" s="13"/>
      <c r="AH666" s="15">
        <f t="shared" ref="AH666:AH667" si="2247">AG666-AC666</f>
        <v>0</v>
      </c>
      <c r="AI666" s="45">
        <f>AH666*$G$8</f>
        <v>0</v>
      </c>
      <c r="AJ666" s="15"/>
      <c r="AK666" s="13">
        <v>0</v>
      </c>
      <c r="AL666" s="15">
        <f t="shared" ref="AL666:AL667" si="2248">AK666-AG666</f>
        <v>0</v>
      </c>
      <c r="AM666" s="45">
        <f>AL666*$G$8</f>
        <v>0</v>
      </c>
      <c r="AN666" s="15"/>
      <c r="AO666" s="13">
        <v>0</v>
      </c>
      <c r="AP666" s="15">
        <f t="shared" ref="AP666:AP667" si="2249">AO666-AK666</f>
        <v>0</v>
      </c>
      <c r="AQ666" s="45">
        <f>AP666*$G$8</f>
        <v>0</v>
      </c>
      <c r="AR666" s="15"/>
      <c r="AS666" s="13">
        <v>0</v>
      </c>
      <c r="AT666" s="15">
        <f t="shared" ref="AT666:AT667" si="2250">AS666-AO666</f>
        <v>0</v>
      </c>
      <c r="AU666" s="45">
        <f>AT666*$G$8</f>
        <v>0</v>
      </c>
      <c r="AV666" s="15"/>
      <c r="AW666" s="13">
        <v>0</v>
      </c>
      <c r="AX666" s="2">
        <f t="shared" ref="AX666:AX667" si="2251">AW666-AS666</f>
        <v>0</v>
      </c>
      <c r="AY666" s="45">
        <f>AX666*$G$8</f>
        <v>0</v>
      </c>
      <c r="AZ666" s="208"/>
      <c r="BA666" s="13">
        <v>0</v>
      </c>
      <c r="BB666" s="15">
        <f t="shared" ref="BB666:BB667" si="2252">BA666-AW666</f>
        <v>0</v>
      </c>
      <c r="BC666" s="45">
        <f>BB666*$G$8</f>
        <v>0</v>
      </c>
      <c r="BD666" s="208"/>
      <c r="BE666" s="40">
        <f t="shared" ref="BE666:BG666" si="2253">J666+N666+R666+V666+Z666+AD666+AH666+AL666+AP666+AT666+AX666+BB666</f>
        <v>0</v>
      </c>
      <c r="BF666" s="41">
        <f t="shared" si="2253"/>
        <v>0</v>
      </c>
      <c r="BG666" s="34">
        <f t="shared" si="2253"/>
        <v>0</v>
      </c>
      <c r="BH666" s="35">
        <f t="shared" si="2243"/>
        <v>0</v>
      </c>
      <c r="BK666" s="2" t="b">
        <f>H666='2019'!BH553</f>
        <v>1</v>
      </c>
    </row>
    <row r="667" ht="15.75" customHeight="1" hidden="1" spans="1:63" x14ac:dyDescent="0.25">
      <c r="A667" s="2">
        <v>74</v>
      </c>
      <c r="B667" s="14"/>
      <c r="C667" s="2" t="s">
        <v>161</v>
      </c>
      <c r="D667" s="14" t="s">
        <v>47</v>
      </c>
      <c r="E667" s="2" t="s">
        <v>48</v>
      </c>
      <c r="F667" s="13">
        <v>18.56</v>
      </c>
      <c r="G667" s="35">
        <v>19.46</v>
      </c>
      <c r="H667" s="34">
        <f>'2019'!BH554</f>
        <v>61.64</v>
      </c>
      <c r="I667" s="15">
        <v>137</v>
      </c>
      <c r="J667" s="15"/>
      <c r="K667" s="15"/>
      <c r="L667" s="28"/>
      <c r="M667" s="2">
        <v>137</v>
      </c>
      <c r="Q667" s="13">
        <v>137</v>
      </c>
      <c r="R667" s="15"/>
      <c r="S667" s="15"/>
      <c r="T667" s="28"/>
      <c r="U667" s="81">
        <v>131</v>
      </c>
      <c r="V667" s="154">
        <f t="shared" si="2244"/>
        <v>-6</v>
      </c>
      <c r="W667" s="2">
        <f>V667*$F$10</f>
        <v>-111.36</v>
      </c>
      <c r="Y667" s="13">
        <v>131</v>
      </c>
      <c r="Z667" s="15">
        <f t="shared" si="2245"/>
        <v>0</v>
      </c>
      <c r="AA667" s="34">
        <f>Z667*$F$10</f>
        <v>0</v>
      </c>
      <c r="AB667" s="28"/>
      <c r="AC667" s="15">
        <v>140</v>
      </c>
      <c r="AD667" s="15">
        <f t="shared" si="2246"/>
        <v>9</v>
      </c>
      <c r="AE667" s="34">
        <f>AD667*$F$10</f>
        <v>167.04</v>
      </c>
      <c r="AF667" s="133">
        <f>117.32+15.68</f>
        <v>133</v>
      </c>
      <c r="AG667" s="13">
        <v>158</v>
      </c>
      <c r="AH667" s="15">
        <f t="shared" si="2247"/>
        <v>18</v>
      </c>
      <c r="AI667" s="45">
        <f>AH667*$G$10</f>
        <v>350.28</v>
      </c>
      <c r="AJ667" s="185">
        <v>350</v>
      </c>
      <c r="AK667" s="13">
        <v>161</v>
      </c>
      <c r="AL667" s="15">
        <f t="shared" si="2248"/>
        <v>3</v>
      </c>
      <c r="AM667" s="45">
        <f>AL667*$G$10</f>
        <v>58.38</v>
      </c>
      <c r="AN667" s="133">
        <v>45</v>
      </c>
      <c r="AO667" s="13">
        <v>161</v>
      </c>
      <c r="AP667" s="15">
        <f t="shared" si="2249"/>
        <v>0</v>
      </c>
      <c r="AQ667" s="45">
        <f>AP667*$G$10</f>
        <v>0</v>
      </c>
      <c r="AR667" s="15"/>
      <c r="AS667" s="13">
        <v>161</v>
      </c>
      <c r="AT667" s="15">
        <f t="shared" si="2250"/>
        <v>0</v>
      </c>
      <c r="AU667" s="45">
        <f>AT667*$G$10</f>
        <v>0</v>
      </c>
      <c r="AV667" s="15"/>
      <c r="AW667" s="13">
        <v>161</v>
      </c>
      <c r="AX667" s="2">
        <f t="shared" si="2251"/>
        <v>0</v>
      </c>
      <c r="AY667" s="45"/>
      <c r="AZ667" s="208"/>
      <c r="BA667" s="13">
        <v>161</v>
      </c>
      <c r="BB667" s="15">
        <f t="shared" si="2252"/>
        <v>0</v>
      </c>
      <c r="BC667" s="45"/>
      <c r="BD667" s="208"/>
      <c r="BE667" s="40">
        <f t="shared" ref="BE667:BG667" si="2254">J667+N667+R667+V667+Z667+AD667+AH667+AL667+AP667+AT667+AX667+BB667</f>
        <v>24</v>
      </c>
      <c r="BF667" s="41">
        <f t="shared" si="2254"/>
        <v>464.34</v>
      </c>
      <c r="BG667" s="34">
        <f t="shared" si="2254"/>
        <v>528</v>
      </c>
      <c r="BH667" s="35">
        <f t="shared" si="2243"/>
        <v>-2.02</v>
      </c>
      <c r="BK667" s="2" t="b">
        <f>H667='2019'!BH554</f>
        <v>1</v>
      </c>
    </row>
    <row r="668" ht="15.75" customHeight="1" hidden="1" spans="1:63" x14ac:dyDescent="0.25">
      <c r="A668" s="2">
        <v>74</v>
      </c>
      <c r="B668" s="14"/>
      <c r="C668" s="2" t="s">
        <v>107</v>
      </c>
      <c r="D668" s="14" t="s">
        <v>47</v>
      </c>
      <c r="E668" s="2" t="s">
        <v>49</v>
      </c>
      <c r="F668" s="41">
        <v>500</v>
      </c>
      <c r="G668" s="28"/>
      <c r="H668" s="34">
        <f>'2019'!BH555</f>
        <v>0</v>
      </c>
      <c r="I668" s="15"/>
      <c r="J668" s="15"/>
      <c r="K668" s="15"/>
      <c r="L668" s="28"/>
      <c r="Q668" s="13"/>
      <c r="R668" s="15"/>
      <c r="S668" s="15"/>
      <c r="T668" s="28"/>
      <c r="Y668" s="13"/>
      <c r="Z668" s="15"/>
      <c r="AA668" s="15"/>
      <c r="AB668" s="28"/>
      <c r="AG668" s="13"/>
      <c r="AH668" s="15"/>
      <c r="AI668" s="45"/>
      <c r="AJ668" s="15"/>
      <c r="AK668" s="13"/>
      <c r="AL668" s="15"/>
      <c r="AM668" s="45"/>
      <c r="AN668" s="15"/>
      <c r="AO668" s="13"/>
      <c r="AP668" s="15"/>
      <c r="AQ668" s="45"/>
      <c r="AR668" s="15"/>
      <c r="AS668" s="13"/>
      <c r="AT668" s="15"/>
      <c r="AU668" s="45"/>
      <c r="AV668" s="15"/>
      <c r="AW668" s="13"/>
      <c r="AY668" s="45"/>
      <c r="AZ668" s="28"/>
      <c r="BA668" s="13"/>
      <c r="BB668" s="15"/>
      <c r="BC668" s="45"/>
      <c r="BD668" s="28"/>
      <c r="BE668" s="14"/>
      <c r="BF668" s="41">
        <f t="shared" ref="BF668:BG668" si="2255">K668+O668+S668+W668+AA668+AE668+AI668+AM668+AQ668+AU668+AY668+BC668</f>
        <v>0</v>
      </c>
      <c r="BG668" s="34">
        <f t="shared" si="2255"/>
        <v>0</v>
      </c>
      <c r="BH668" s="35">
        <f t="shared" si="2243"/>
        <v>0</v>
      </c>
      <c r="BK668" s="2" t="b">
        <f>H668='2019'!BH555</f>
        <v>1</v>
      </c>
    </row>
    <row r="669" ht="15.75" customHeight="1" hidden="1" spans="1:63" x14ac:dyDescent="0.25">
      <c r="A669" s="2">
        <v>74</v>
      </c>
      <c r="B669" s="14"/>
      <c r="C669" s="2" t="s">
        <v>263</v>
      </c>
      <c r="D669" s="14" t="s">
        <v>50</v>
      </c>
      <c r="E669" s="2" t="s">
        <v>49</v>
      </c>
      <c r="F669" s="41">
        <v>1100</v>
      </c>
      <c r="G669" s="28"/>
      <c r="H669" s="182">
        <f>'2019'!BH556-0.0036</f>
        <v>0</v>
      </c>
      <c r="I669" s="15"/>
      <c r="J669" s="15"/>
      <c r="K669" s="15"/>
      <c r="L669" s="28"/>
      <c r="Q669" s="13"/>
      <c r="R669" s="15"/>
      <c r="S669" s="15"/>
      <c r="T669" s="28"/>
      <c r="Y669" s="13"/>
      <c r="Z669" s="15"/>
      <c r="AA669" s="15"/>
      <c r="AB669" s="28"/>
      <c r="AE669" s="34">
        <f>B666*$F$12</f>
        <v>5467</v>
      </c>
      <c r="AF669" s="133">
        <v>5467</v>
      </c>
      <c r="AG669" s="13"/>
      <c r="AH669" s="15"/>
      <c r="AI669" s="45"/>
      <c r="AJ669" s="39"/>
      <c r="AK669" s="13"/>
      <c r="AL669" s="15"/>
      <c r="AM669" s="45"/>
      <c r="AN669" s="15"/>
      <c r="AO669" s="13"/>
      <c r="AP669" s="15"/>
      <c r="AQ669" s="45"/>
      <c r="AR669" s="15"/>
      <c r="AS669" s="13"/>
      <c r="AT669" s="15"/>
      <c r="AU669" s="45"/>
      <c r="AV669" s="15"/>
      <c r="AW669" s="13"/>
      <c r="AY669" s="45"/>
      <c r="AZ669" s="28"/>
      <c r="BA669" s="13"/>
      <c r="BB669" s="15"/>
      <c r="BC669" s="45"/>
      <c r="BD669" s="28"/>
      <c r="BE669" s="14"/>
      <c r="BF669" s="41">
        <f t="shared" ref="BF669:BG669" si="2256">K669+O669+S669+W669+AA669+AE669+AI669+AM669+AQ669+AU669+AY669+BC669</f>
        <v>5467</v>
      </c>
      <c r="BG669" s="34">
        <f t="shared" si="2256"/>
        <v>5467</v>
      </c>
      <c r="BH669" s="35">
        <f t="shared" si="2243"/>
        <v>0</v>
      </c>
      <c r="BK669" s="2" t="b">
        <f>H669='2019'!BH556</f>
        <v>0</v>
      </c>
    </row>
    <row r="670" ht="15.75" customHeight="1" hidden="1" spans="1:63" x14ac:dyDescent="0.25">
      <c r="A670" s="2">
        <v>74</v>
      </c>
      <c r="B670" s="14"/>
      <c r="D670" s="14" t="s">
        <v>51</v>
      </c>
      <c r="E670" s="2" t="s">
        <v>39</v>
      </c>
      <c r="F670" s="41">
        <v>500</v>
      </c>
      <c r="G670" s="28"/>
      <c r="H670" s="34">
        <f>'2019'!BH557</f>
        <v>0</v>
      </c>
      <c r="I670" s="15"/>
      <c r="J670" s="15"/>
      <c r="K670" s="15"/>
      <c r="L670" s="28"/>
      <c r="Q670" s="13"/>
      <c r="R670" s="15"/>
      <c r="S670" s="15"/>
      <c r="T670" s="28"/>
      <c r="Y670" s="13"/>
      <c r="Z670" s="15"/>
      <c r="AA670" s="15"/>
      <c r="AB670" s="28"/>
      <c r="AE670" s="34"/>
      <c r="AF670" s="34"/>
      <c r="AG670" s="13"/>
      <c r="AH670" s="15"/>
      <c r="AI670" s="45"/>
      <c r="AJ670" s="15"/>
      <c r="AK670" s="13"/>
      <c r="AL670" s="15"/>
      <c r="AM670" s="45"/>
      <c r="AN670" s="15"/>
      <c r="AO670" s="13"/>
      <c r="AP670" s="15"/>
      <c r="AQ670" s="45">
        <f>$F$13</f>
        <v>500</v>
      </c>
      <c r="AR670" s="15"/>
      <c r="AS670" s="13"/>
      <c r="AT670" s="15"/>
      <c r="AU670" s="45"/>
      <c r="AV670" s="15"/>
      <c r="AW670" s="13"/>
      <c r="AY670" s="45"/>
      <c r="AZ670" s="28"/>
      <c r="BA670" s="13"/>
      <c r="BB670" s="15"/>
      <c r="BC670" s="45"/>
      <c r="BD670" s="28"/>
      <c r="BE670" s="14"/>
      <c r="BF670" s="41">
        <f t="shared" ref="BF670:BG670" si="2257">K670+O670+S670+W670+AA670+AE670+AI670+AM670+AQ670+AU670+AY670+BC670</f>
        <v>500</v>
      </c>
      <c r="BG670" s="34">
        <f t="shared" si="2257"/>
        <v>0</v>
      </c>
      <c r="BH670" s="35">
        <f t="shared" si="2243"/>
        <v>500</v>
      </c>
      <c r="BK670" s="2" t="b">
        <f>H670='2019'!BH557</f>
        <v>1</v>
      </c>
    </row>
    <row r="671" ht="15.75" customHeight="1" hidden="1" spans="1:60" x14ac:dyDescent="0.25">
      <c r="A671" s="2">
        <v>74</v>
      </c>
      <c r="B671" s="14"/>
      <c r="D671" s="14" t="s">
        <v>51</v>
      </c>
      <c r="E671" s="2" t="s">
        <v>49</v>
      </c>
      <c r="F671" s="41">
        <v>500</v>
      </c>
      <c r="G671" s="28"/>
      <c r="H671" s="34"/>
      <c r="I671" s="15"/>
      <c r="J671" s="15"/>
      <c r="K671" s="15"/>
      <c r="L671" s="28"/>
      <c r="Q671" s="13"/>
      <c r="R671" s="15"/>
      <c r="S671" s="15"/>
      <c r="T671" s="28"/>
      <c r="Y671" s="13"/>
      <c r="Z671" s="15"/>
      <c r="AA671" s="15"/>
      <c r="AB671" s="28"/>
      <c r="AE671" s="34"/>
      <c r="AF671" s="34"/>
      <c r="AG671" s="13"/>
      <c r="AH671" s="15"/>
      <c r="AI671" s="45"/>
      <c r="AJ671" s="15"/>
      <c r="AK671" s="13"/>
      <c r="AL671" s="15"/>
      <c r="AM671" s="45"/>
      <c r="AN671" s="15"/>
      <c r="AO671" s="13"/>
      <c r="AP671" s="15"/>
      <c r="AQ671" s="34">
        <f>B666*$F$14</f>
        <v>2485</v>
      </c>
      <c r="AR671" s="15"/>
      <c r="AS671" s="13"/>
      <c r="AT671" s="15"/>
      <c r="AU671" s="45"/>
      <c r="AV671" s="15"/>
      <c r="AW671" s="13"/>
      <c r="AY671" s="45"/>
      <c r="AZ671" s="28"/>
      <c r="BA671" s="13"/>
      <c r="BB671" s="15"/>
      <c r="BC671" s="45"/>
      <c r="BD671" s="28"/>
      <c r="BE671" s="14"/>
      <c r="BF671" s="41">
        <f t="shared" ref="BF671:BG671" si="2258">K671+O671+S671+W671+AA671+AE671+AI671+AM671+AQ671+AU671+AY671+BC671</f>
        <v>2485</v>
      </c>
      <c r="BG671" s="34">
        <f t="shared" si="2258"/>
        <v>0</v>
      </c>
      <c r="BH671" s="35">
        <f t="shared" si="2243"/>
        <v>2485</v>
      </c>
    </row>
    <row r="672" ht="15.75" customHeight="1" hidden="1" spans="1:63" x14ac:dyDescent="0.25">
      <c r="A672" s="2">
        <v>74</v>
      </c>
      <c r="B672" s="14"/>
      <c r="D672" s="14" t="s">
        <v>52</v>
      </c>
      <c r="E672" s="2" t="s">
        <v>39</v>
      </c>
      <c r="F672" s="41">
        <v>500</v>
      </c>
      <c r="G672" s="28"/>
      <c r="H672" s="34">
        <f>'2019'!BH558</f>
        <v>0</v>
      </c>
      <c r="I672" s="15"/>
      <c r="J672" s="15"/>
      <c r="K672" s="15"/>
      <c r="L672" s="28"/>
      <c r="Q672" s="13"/>
      <c r="R672" s="15"/>
      <c r="S672" s="15"/>
      <c r="T672" s="28"/>
      <c r="Y672" s="13"/>
      <c r="Z672" s="15"/>
      <c r="AA672" s="34">
        <f>$F$11</f>
        <v>500</v>
      </c>
      <c r="AB672" s="28"/>
      <c r="AF672" s="133">
        <v>500</v>
      </c>
      <c r="AG672" s="13"/>
      <c r="AH672" s="15"/>
      <c r="AI672" s="45"/>
      <c r="AJ672" s="39"/>
      <c r="AK672" s="13"/>
      <c r="AL672" s="15"/>
      <c r="AM672" s="45"/>
      <c r="AN672" s="15"/>
      <c r="AO672" s="13"/>
      <c r="AP672" s="15"/>
      <c r="AQ672" s="45"/>
      <c r="AR672" s="15"/>
      <c r="AS672" s="13"/>
      <c r="AT672" s="15"/>
      <c r="AU672" s="45"/>
      <c r="AV672" s="15"/>
      <c r="AW672" s="13"/>
      <c r="AY672" s="45"/>
      <c r="AZ672" s="35"/>
      <c r="BA672" s="13"/>
      <c r="BB672" s="15"/>
      <c r="BC672" s="45"/>
      <c r="BD672" s="35"/>
      <c r="BE672" s="14"/>
      <c r="BF672" s="41">
        <f t="shared" ref="BF672:BG672" si="2259">K672+O672+S672+W672+AA672+AE672+AI672+AM672+AQ672+AU672+AY672+BC672</f>
        <v>500</v>
      </c>
      <c r="BG672" s="34">
        <f t="shared" si="2259"/>
        <v>500</v>
      </c>
      <c r="BH672" s="35">
        <f t="shared" si="2243"/>
        <v>0</v>
      </c>
      <c r="BK672" s="2" t="b">
        <f>H672='2019'!BH558</f>
        <v>1</v>
      </c>
    </row>
    <row r="673" ht="15.75" customHeight="1" hidden="1" spans="1:63" x14ac:dyDescent="0.25">
      <c r="A673" s="244" t="s">
        <v>264</v>
      </c>
      <c r="B673" s="21"/>
      <c r="C673" s="22" t="s">
        <v>53</v>
      </c>
      <c r="D673" s="21"/>
      <c r="E673" s="22"/>
      <c r="F673" s="20"/>
      <c r="G673" s="23"/>
      <c r="H673" s="51">
        <f>SUM(H665:H672)</f>
        <v>61.64</v>
      </c>
      <c r="I673" s="53"/>
      <c r="J673" s="53"/>
      <c r="K673" s="51">
        <f t="shared" ref="K673:L673" si="2260">SUM(K665:K672)</f>
        <v>0</v>
      </c>
      <c r="L673" s="68">
        <f t="shared" si="2260"/>
        <v>0</v>
      </c>
      <c r="M673" s="53"/>
      <c r="N673" s="53"/>
      <c r="O673" s="51">
        <f t="shared" ref="O673:P673" si="2261">SUM(O665:O672)</f>
        <v>0</v>
      </c>
      <c r="P673" s="51">
        <f t="shared" si="2261"/>
        <v>0</v>
      </c>
      <c r="Q673" s="52"/>
      <c r="R673" s="53"/>
      <c r="S673" s="51">
        <f t="shared" ref="S673:T673" si="2262">SUM(S665:S672)</f>
        <v>0</v>
      </c>
      <c r="T673" s="51">
        <f t="shared" si="2262"/>
        <v>0</v>
      </c>
      <c r="U673" s="52"/>
      <c r="V673" s="53"/>
      <c r="W673" s="51">
        <f t="shared" ref="W673:X673" si="2263">SUM(W665:W672)</f>
        <v>-111.36</v>
      </c>
      <c r="X673" s="51">
        <f t="shared" si="2263"/>
        <v>0</v>
      </c>
      <c r="Y673" s="52"/>
      <c r="Z673" s="53"/>
      <c r="AA673" s="51">
        <f t="shared" ref="AA673:AB673" si="2264">SUM(AA665:AA672)</f>
        <v>500</v>
      </c>
      <c r="AB673" s="51">
        <f t="shared" si="2264"/>
        <v>0</v>
      </c>
      <c r="AC673" s="52"/>
      <c r="AD673" s="53"/>
      <c r="AE673" s="51">
        <f t="shared" ref="AE673:AF673" si="2265">SUM(AE665:AE672)</f>
        <v>5634.04</v>
      </c>
      <c r="AF673" s="51">
        <f t="shared" si="2265"/>
        <v>6100</v>
      </c>
      <c r="AG673" s="52"/>
      <c r="AH673" s="53"/>
      <c r="AI673" s="183">
        <f t="shared" ref="AI673:AJ673" si="2266">SUM(AI665:AI672)</f>
        <v>350.28</v>
      </c>
      <c r="AJ673" s="51">
        <f t="shared" si="2266"/>
        <v>350</v>
      </c>
      <c r="AK673" s="52"/>
      <c r="AL673" s="53"/>
      <c r="AM673" s="183">
        <f t="shared" ref="AM673:AN673" si="2267">SUM(AM665:AM672)</f>
        <v>58.38</v>
      </c>
      <c r="AN673" s="51">
        <f t="shared" si="2267"/>
        <v>45</v>
      </c>
      <c r="AO673" s="52"/>
      <c r="AP673" s="53"/>
      <c r="AQ673" s="183">
        <f t="shared" ref="AQ673:AR673" si="2268">SUM(AQ665:AQ672)</f>
        <v>2985</v>
      </c>
      <c r="AR673" s="51">
        <f t="shared" si="2268"/>
        <v>0</v>
      </c>
      <c r="AS673" s="52"/>
      <c r="AT673" s="53"/>
      <c r="AU673" s="183">
        <f t="shared" ref="AU673:AV673" si="2269">SUM(AU665:AU672)</f>
        <v>0</v>
      </c>
      <c r="AV673" s="68">
        <f t="shared" si="2269"/>
        <v>0</v>
      </c>
      <c r="AW673" s="52"/>
      <c r="AX673" s="53"/>
      <c r="AY673" s="183">
        <f t="shared" ref="AY673:AZ673" si="2270">SUM(AY665:AY672)</f>
        <v>0</v>
      </c>
      <c r="AZ673" s="68">
        <f t="shared" si="2270"/>
        <v>0</v>
      </c>
      <c r="BA673" s="52"/>
      <c r="BB673" s="53"/>
      <c r="BC673" s="183">
        <f t="shared" ref="BC673:BD673" si="2271">SUM(BC665:BC672)</f>
        <v>0</v>
      </c>
      <c r="BD673" s="68">
        <f t="shared" si="2271"/>
        <v>0</v>
      </c>
      <c r="BE673" s="69"/>
      <c r="BF673" s="70">
        <f t="shared" ref="BF673:BH673" si="2272">SUM(BF665:BF672)</f>
        <v>9416.34</v>
      </c>
      <c r="BG673" s="71">
        <f t="shared" si="2272"/>
        <v>6495</v>
      </c>
      <c r="BH673" s="72">
        <f t="shared" si="2272"/>
        <v>2982.98</v>
      </c>
      <c r="BI673" s="34">
        <f>H673+BF673-BG673</f>
        <v>2982.98</v>
      </c>
      <c r="BJ673" s="34">
        <f>BH673-BI673</f>
        <v>0</v>
      </c>
      <c r="BK673" s="2" t="b">
        <f>H673='2019'!BH559</f>
        <v>0</v>
      </c>
    </row>
    <row r="674" ht="15.75" customHeight="1" hidden="1" spans="1:63" x14ac:dyDescent="0.25">
      <c r="A674" s="2">
        <v>75</v>
      </c>
      <c r="B674" s="14"/>
      <c r="D674" s="14" t="s">
        <v>379</v>
      </c>
      <c r="F674" s="13"/>
      <c r="G674" s="28"/>
      <c r="H674" s="34">
        <f>'2019'!BH560</f>
        <v>0</v>
      </c>
      <c r="J674" s="15"/>
      <c r="K674" s="15"/>
      <c r="L674" s="28"/>
      <c r="Q674" s="13"/>
      <c r="R674" s="15"/>
      <c r="S674" s="15"/>
      <c r="T674" s="28"/>
      <c r="Y674" s="13"/>
      <c r="Z674" s="15"/>
      <c r="AA674" s="15"/>
      <c r="AB674" s="28"/>
      <c r="AG674" s="13"/>
      <c r="AH674" s="15"/>
      <c r="AI674" s="45"/>
      <c r="AJ674" s="15"/>
      <c r="AK674" s="13"/>
      <c r="AM674" s="45"/>
      <c r="AO674" s="13"/>
      <c r="AQ674" s="45"/>
      <c r="AS674" s="13"/>
      <c r="AU674" s="45"/>
      <c r="AW674" s="13"/>
      <c r="AY674" s="45"/>
      <c r="AZ674" s="28"/>
      <c r="BA674" s="13"/>
      <c r="BB674" s="15"/>
      <c r="BC674" s="45"/>
      <c r="BD674" s="28"/>
      <c r="BE674" s="14"/>
      <c r="BF674" s="41">
        <f t="shared" ref="BF674:BG674" si="2273">K674+O674+S674+W674+AA674+AE674+AI674+AM674+AQ674+AU674+AY674+BC674</f>
        <v>0</v>
      </c>
      <c r="BG674" s="34">
        <f t="shared" si="2273"/>
        <v>0</v>
      </c>
      <c r="BH674" s="35">
        <f t="shared" ref="BH674:BH681" si="2274">H674+BF674-BG674</f>
        <v>0</v>
      </c>
      <c r="BK674" s="2" t="b">
        <f>H674='2019'!BH560</f>
        <v>1</v>
      </c>
    </row>
    <row r="675" ht="15.75" customHeight="1" hidden="1" spans="1:63" x14ac:dyDescent="0.25">
      <c r="A675" s="2">
        <v>75</v>
      </c>
      <c r="B675" s="14">
        <v>4.15</v>
      </c>
      <c r="C675" s="2" t="s">
        <v>265</v>
      </c>
      <c r="D675" s="14" t="s">
        <v>44</v>
      </c>
      <c r="E675" s="2" t="s">
        <v>45</v>
      </c>
      <c r="F675" s="41">
        <v>2.5</v>
      </c>
      <c r="G675" s="35">
        <v>2.6</v>
      </c>
      <c r="H675" s="104">
        <f>'2019'!BH561</f>
        <v>0</v>
      </c>
      <c r="I675" s="15"/>
      <c r="J675" s="15"/>
      <c r="K675" s="34">
        <f>J675*$F$8</f>
        <v>0</v>
      </c>
      <c r="L675" s="28"/>
      <c r="N675" s="15"/>
      <c r="O675" s="34">
        <f>N675*$F$8</f>
        <v>0</v>
      </c>
      <c r="Q675" s="13"/>
      <c r="R675" s="15">
        <f>Q675-M675</f>
        <v>0</v>
      </c>
      <c r="S675" s="34">
        <f>R675*$F$8</f>
        <v>0</v>
      </c>
      <c r="T675" s="28"/>
      <c r="V675" s="15">
        <f t="shared" ref="V675:V676" si="2275">U675-Q675</f>
        <v>0</v>
      </c>
      <c r="W675" s="34">
        <f>V675*$F$8</f>
        <v>0</v>
      </c>
      <c r="Y675" s="13"/>
      <c r="Z675" s="15">
        <f t="shared" ref="Z675:Z676" si="2276">Y675-U675</f>
        <v>0</v>
      </c>
      <c r="AA675" s="34">
        <f>Z675*$F$8</f>
        <v>0</v>
      </c>
      <c r="AB675" s="28"/>
      <c r="AC675" s="15"/>
      <c r="AD675" s="15">
        <f t="shared" ref="AD675:AD676" si="2277">AC675-Y675</f>
        <v>0</v>
      </c>
      <c r="AE675" s="34">
        <f>AD675*$F$8</f>
        <v>0</v>
      </c>
      <c r="AG675" s="13"/>
      <c r="AH675" s="15">
        <f t="shared" ref="AH675:AH676" si="2278">AG675-AC675</f>
        <v>0</v>
      </c>
      <c r="AI675" s="45">
        <f>AH675*$G$8</f>
        <v>0</v>
      </c>
      <c r="AJ675" s="15"/>
      <c r="AK675" s="13">
        <v>0</v>
      </c>
      <c r="AL675" s="15">
        <f t="shared" ref="AL675:AL676" si="2279">AK675-AG675</f>
        <v>0</v>
      </c>
      <c r="AM675" s="45">
        <f>AL675*$G$8</f>
        <v>0</v>
      </c>
      <c r="AN675" s="15"/>
      <c r="AO675" s="13">
        <v>0</v>
      </c>
      <c r="AP675" s="15">
        <f t="shared" ref="AP675:AP676" si="2280">AO675-AK675</f>
        <v>0</v>
      </c>
      <c r="AQ675" s="45">
        <f>AP675*$G$8</f>
        <v>0</v>
      </c>
      <c r="AR675" s="15"/>
      <c r="AS675" s="13">
        <v>0</v>
      </c>
      <c r="AT675" s="15">
        <f t="shared" ref="AT675:AT676" si="2281">AS675-AO675</f>
        <v>0</v>
      </c>
      <c r="AU675" s="45">
        <f>AT675*$G$8</f>
        <v>0</v>
      </c>
      <c r="AV675" s="15"/>
      <c r="AW675" s="13">
        <v>0</v>
      </c>
      <c r="AX675" s="2">
        <f t="shared" ref="AX675:AX676" si="2282">AW675-AS675</f>
        <v>0</v>
      </c>
      <c r="AY675" s="45">
        <f>AX675*$G$8</f>
        <v>0</v>
      </c>
      <c r="AZ675" s="208"/>
      <c r="BA675" s="13">
        <v>0</v>
      </c>
      <c r="BB675" s="15">
        <f t="shared" ref="BB675:BB676" si="2283">BA675-AW675</f>
        <v>0</v>
      </c>
      <c r="BC675" s="45">
        <f>BB675*$G$8</f>
        <v>0</v>
      </c>
      <c r="BD675" s="208"/>
      <c r="BE675" s="40">
        <f t="shared" ref="BE675:BG675" si="2284">J675+N675+R675+V675+Z675+AD675+AH675+AL675+AP675+AT675+AX675+BB675</f>
        <v>0</v>
      </c>
      <c r="BF675" s="41">
        <f t="shared" si="2284"/>
        <v>0</v>
      </c>
      <c r="BG675" s="34">
        <f t="shared" si="2284"/>
        <v>0</v>
      </c>
      <c r="BH675" s="35">
        <f t="shared" si="2274"/>
        <v>0</v>
      </c>
      <c r="BK675" s="2" t="b">
        <f>H675='2019'!BH561</f>
        <v>1</v>
      </c>
    </row>
    <row r="676" ht="15.75" customHeight="1" hidden="1" spans="1:63" x14ac:dyDescent="0.25">
      <c r="A676" s="2">
        <v>75</v>
      </c>
      <c r="B676" s="14"/>
      <c r="C676" s="2" t="s">
        <v>61</v>
      </c>
      <c r="D676" s="14" t="s">
        <v>47</v>
      </c>
      <c r="E676" s="2" t="s">
        <v>48</v>
      </c>
      <c r="F676" s="13">
        <v>18.56</v>
      </c>
      <c r="G676" s="35">
        <v>19.46</v>
      </c>
      <c r="H676" s="34">
        <f>'2019'!BH562</f>
        <v>-1.72</v>
      </c>
      <c r="I676" s="15">
        <v>71</v>
      </c>
      <c r="J676" s="15"/>
      <c r="K676" s="15"/>
      <c r="L676" s="28"/>
      <c r="M676" s="2">
        <v>71</v>
      </c>
      <c r="Q676" s="13">
        <v>71</v>
      </c>
      <c r="R676" s="15"/>
      <c r="S676" s="15"/>
      <c r="T676" s="28"/>
      <c r="U676" s="2">
        <v>71</v>
      </c>
      <c r="V676" s="2">
        <f t="shared" si="2275"/>
        <v>0</v>
      </c>
      <c r="W676" s="34">
        <f>V676*$F$10</f>
        <v>0</v>
      </c>
      <c r="Y676" s="13">
        <v>71</v>
      </c>
      <c r="Z676" s="15">
        <f t="shared" si="2276"/>
        <v>0</v>
      </c>
      <c r="AA676" s="34">
        <f>Z676*$F$10</f>
        <v>0</v>
      </c>
      <c r="AB676" s="28"/>
      <c r="AC676" s="15">
        <v>71</v>
      </c>
      <c r="AD676" s="15">
        <f t="shared" si="2277"/>
        <v>0</v>
      </c>
      <c r="AE676" s="34">
        <f>AD676*$F$10</f>
        <v>0</v>
      </c>
      <c r="AF676" s="15"/>
      <c r="AG676" s="13">
        <v>81</v>
      </c>
      <c r="AH676" s="15">
        <f t="shared" si="2278"/>
        <v>10</v>
      </c>
      <c r="AI676" s="45">
        <f>AH676*$G$10</f>
        <v>194.6</v>
      </c>
      <c r="AJ676" s="185">
        <f>192.88+2.12</f>
        <v>195</v>
      </c>
      <c r="AK676" s="13">
        <v>89</v>
      </c>
      <c r="AL676" s="15">
        <f t="shared" si="2279"/>
        <v>8</v>
      </c>
      <c r="AM676" s="45">
        <f>AL676*$G$10</f>
        <v>155.68</v>
      </c>
      <c r="AN676" s="15"/>
      <c r="AO676" s="13">
        <v>89</v>
      </c>
      <c r="AP676" s="15">
        <f t="shared" si="2280"/>
        <v>0</v>
      </c>
      <c r="AQ676" s="45">
        <f>AP676*$G$10</f>
        <v>0</v>
      </c>
      <c r="AR676" s="15"/>
      <c r="AS676" s="13">
        <v>89</v>
      </c>
      <c r="AT676" s="15">
        <f t="shared" si="2281"/>
        <v>0</v>
      </c>
      <c r="AU676" s="45">
        <f>AT676*$G$10</f>
        <v>0</v>
      </c>
      <c r="AV676" s="15"/>
      <c r="AW676" s="13">
        <v>89</v>
      </c>
      <c r="AX676" s="2">
        <f t="shared" si="2282"/>
        <v>0</v>
      </c>
      <c r="AY676" s="45"/>
      <c r="AZ676" s="208"/>
      <c r="BA676" s="13">
        <v>89</v>
      </c>
      <c r="BB676" s="15">
        <f t="shared" si="2283"/>
        <v>0</v>
      </c>
      <c r="BC676" s="45"/>
      <c r="BD676" s="208"/>
      <c r="BE676" s="40">
        <f t="shared" ref="BE676:BG676" si="2285">J676+N676+R676+V676+Z676+AD676+AH676+AL676+AP676+AT676+AX676+BB676</f>
        <v>18</v>
      </c>
      <c r="BF676" s="41">
        <f t="shared" si="2285"/>
        <v>350.28</v>
      </c>
      <c r="BG676" s="34">
        <f t="shared" si="2285"/>
        <v>195</v>
      </c>
      <c r="BH676" s="35">
        <f t="shared" si="2274"/>
        <v>153.56</v>
      </c>
      <c r="BK676" s="2" t="b">
        <f>H676='2019'!BH562</f>
        <v>1</v>
      </c>
    </row>
    <row r="677" ht="15.75" customHeight="1" hidden="1" spans="1:63" x14ac:dyDescent="0.25">
      <c r="A677" s="2">
        <v>75</v>
      </c>
      <c r="B677" s="14"/>
      <c r="C677" s="2" t="s">
        <v>68</v>
      </c>
      <c r="D677" s="14" t="s">
        <v>47</v>
      </c>
      <c r="E677" s="2" t="s">
        <v>49</v>
      </c>
      <c r="F677" s="41">
        <v>500</v>
      </c>
      <c r="G677" s="28"/>
      <c r="H677" s="34">
        <f>'2019'!BH563</f>
        <v>0</v>
      </c>
      <c r="I677" s="15"/>
      <c r="J677" s="15"/>
      <c r="K677" s="15"/>
      <c r="L677" s="28"/>
      <c r="Q677" s="13"/>
      <c r="R677" s="15"/>
      <c r="S677" s="15"/>
      <c r="T677" s="28"/>
      <c r="Y677" s="13"/>
      <c r="Z677" s="15"/>
      <c r="AA677" s="15"/>
      <c r="AB677" s="28"/>
      <c r="AG677" s="13"/>
      <c r="AH677" s="15"/>
      <c r="AI677" s="45"/>
      <c r="AJ677" s="15"/>
      <c r="AK677" s="13"/>
      <c r="AL677" s="15"/>
      <c r="AM677" s="45"/>
      <c r="AN677" s="15"/>
      <c r="AO677" s="13"/>
      <c r="AP677" s="15"/>
      <c r="AQ677" s="45"/>
      <c r="AR677" s="15"/>
      <c r="AS677" s="13"/>
      <c r="AT677" s="15"/>
      <c r="AU677" s="45"/>
      <c r="AV677" s="15"/>
      <c r="AW677" s="13"/>
      <c r="AY677" s="45"/>
      <c r="AZ677" s="28"/>
      <c r="BA677" s="13"/>
      <c r="BB677" s="15"/>
      <c r="BC677" s="45"/>
      <c r="BD677" s="28"/>
      <c r="BE677" s="14"/>
      <c r="BF677" s="41">
        <f t="shared" ref="BF677:BG677" si="2286">K677+O677+S677+W677+AA677+AE677+AI677+AM677+AQ677+AU677+AY677+BC677</f>
        <v>0</v>
      </c>
      <c r="BG677" s="34">
        <f t="shared" si="2286"/>
        <v>0</v>
      </c>
      <c r="BH677" s="35">
        <f t="shared" si="2274"/>
        <v>0</v>
      </c>
      <c r="BK677" s="2" t="b">
        <f>H677='2019'!BH563</f>
        <v>1</v>
      </c>
    </row>
    <row r="678" ht="15.75" customHeight="1" hidden="1" spans="1:63" x14ac:dyDescent="0.25">
      <c r="A678" s="2">
        <v>75</v>
      </c>
      <c r="B678" s="14"/>
      <c r="C678" s="2" t="s">
        <v>266</v>
      </c>
      <c r="D678" s="14" t="s">
        <v>50</v>
      </c>
      <c r="E678" s="2" t="s">
        <v>49</v>
      </c>
      <c r="F678" s="41">
        <v>1100</v>
      </c>
      <c r="G678" s="28"/>
      <c r="H678" s="182">
        <f>'2019'!BH564-0.002</f>
        <v>0</v>
      </c>
      <c r="I678" s="15"/>
      <c r="J678" s="15"/>
      <c r="K678" s="15"/>
      <c r="L678" s="28"/>
      <c r="Q678" s="13"/>
      <c r="R678" s="15"/>
      <c r="S678" s="15"/>
      <c r="T678" s="28"/>
      <c r="Y678" s="13"/>
      <c r="Z678" s="15"/>
      <c r="AA678" s="15"/>
      <c r="AB678" s="28"/>
      <c r="AE678" s="34">
        <f>B675*$F$12</f>
        <v>4565</v>
      </c>
      <c r="AF678" s="34"/>
      <c r="AG678" s="13"/>
      <c r="AH678" s="15"/>
      <c r="AI678" s="45"/>
      <c r="AJ678" s="185">
        <v>4565</v>
      </c>
      <c r="AK678" s="13"/>
      <c r="AL678" s="15"/>
      <c r="AM678" s="45"/>
      <c r="AN678" s="15"/>
      <c r="AO678" s="13"/>
      <c r="AP678" s="15"/>
      <c r="AQ678" s="45"/>
      <c r="AR678" s="15"/>
      <c r="AS678" s="13"/>
      <c r="AT678" s="15"/>
      <c r="AU678" s="45"/>
      <c r="AV678" s="15"/>
      <c r="AW678" s="13"/>
      <c r="AY678" s="45"/>
      <c r="AZ678" s="28"/>
      <c r="BA678" s="13"/>
      <c r="BB678" s="15"/>
      <c r="BC678" s="45"/>
      <c r="BD678" s="28"/>
      <c r="BE678" s="14"/>
      <c r="BF678" s="41">
        <f t="shared" ref="BF678:BG678" si="2287">K678+O678+S678+W678+AA678+AE678+AI678+AM678+AQ678+AU678+AY678+BC678</f>
        <v>4565</v>
      </c>
      <c r="BG678" s="34">
        <f t="shared" si="2287"/>
        <v>4565</v>
      </c>
      <c r="BH678" s="35">
        <f t="shared" si="2274"/>
        <v>0</v>
      </c>
      <c r="BK678" s="2" t="b">
        <f>H678='2019'!BH564</f>
        <v>0</v>
      </c>
    </row>
    <row r="679" ht="15.75" customHeight="1" hidden="1" spans="1:63" x14ac:dyDescent="0.25">
      <c r="A679" s="2">
        <v>75</v>
      </c>
      <c r="B679" s="14"/>
      <c r="D679" s="14" t="s">
        <v>51</v>
      </c>
      <c r="E679" s="2" t="s">
        <v>39</v>
      </c>
      <c r="F679" s="41">
        <v>500</v>
      </c>
      <c r="G679" s="28"/>
      <c r="H679" s="34">
        <f>'2019'!BH565</f>
        <v>0</v>
      </c>
      <c r="I679" s="15"/>
      <c r="J679" s="15"/>
      <c r="K679" s="15"/>
      <c r="L679" s="28"/>
      <c r="Q679" s="13"/>
      <c r="R679" s="15"/>
      <c r="S679" s="15"/>
      <c r="T679" s="28"/>
      <c r="Y679" s="13"/>
      <c r="Z679" s="15"/>
      <c r="AA679" s="15"/>
      <c r="AB679" s="28"/>
      <c r="AE679" s="34"/>
      <c r="AF679" s="34"/>
      <c r="AG679" s="13"/>
      <c r="AH679" s="15"/>
      <c r="AI679" s="45"/>
      <c r="AJ679" s="15"/>
      <c r="AK679" s="13"/>
      <c r="AL679" s="15"/>
      <c r="AM679" s="45"/>
      <c r="AN679" s="15"/>
      <c r="AO679" s="13"/>
      <c r="AP679" s="15"/>
      <c r="AQ679" s="45">
        <f>$F$13</f>
        <v>500</v>
      </c>
      <c r="AR679" s="15"/>
      <c r="AS679" s="13"/>
      <c r="AT679" s="15"/>
      <c r="AU679" s="45"/>
      <c r="AV679" s="15"/>
      <c r="AW679" s="13"/>
      <c r="AY679" s="45"/>
      <c r="AZ679" s="28"/>
      <c r="BA679" s="13"/>
      <c r="BB679" s="15"/>
      <c r="BC679" s="45"/>
      <c r="BD679" s="28"/>
      <c r="BE679" s="14"/>
      <c r="BF679" s="41">
        <f t="shared" ref="BF679:BG679" si="2288">K679+O679+S679+W679+AA679+AE679+AI679+AM679+AQ679+AU679+AY679+BC679</f>
        <v>500</v>
      </c>
      <c r="BG679" s="34">
        <f t="shared" si="2288"/>
        <v>0</v>
      </c>
      <c r="BH679" s="35">
        <f t="shared" si="2274"/>
        <v>500</v>
      </c>
      <c r="BK679" s="2" t="b">
        <f>H679='2019'!BH565</f>
        <v>1</v>
      </c>
    </row>
    <row r="680" ht="15.75" customHeight="1" hidden="1" spans="1:60" x14ac:dyDescent="0.25">
      <c r="A680" s="2">
        <v>75</v>
      </c>
      <c r="B680" s="14"/>
      <c r="D680" s="14" t="s">
        <v>51</v>
      </c>
      <c r="E680" s="2" t="s">
        <v>49</v>
      </c>
      <c r="F680" s="41">
        <v>500</v>
      </c>
      <c r="G680" s="28"/>
      <c r="H680" s="34"/>
      <c r="I680" s="15"/>
      <c r="J680" s="15"/>
      <c r="K680" s="15"/>
      <c r="L680" s="28"/>
      <c r="Q680" s="13"/>
      <c r="R680" s="15"/>
      <c r="S680" s="15"/>
      <c r="T680" s="28"/>
      <c r="Y680" s="13"/>
      <c r="Z680" s="15"/>
      <c r="AA680" s="15"/>
      <c r="AB680" s="28"/>
      <c r="AE680" s="34"/>
      <c r="AF680" s="34"/>
      <c r="AG680" s="13"/>
      <c r="AH680" s="15"/>
      <c r="AI680" s="45"/>
      <c r="AJ680" s="15"/>
      <c r="AK680" s="13"/>
      <c r="AL680" s="15"/>
      <c r="AM680" s="45"/>
      <c r="AN680" s="15"/>
      <c r="AO680" s="13"/>
      <c r="AP680" s="15"/>
      <c r="AQ680" s="34">
        <f>B675*$F$14</f>
        <v>2075</v>
      </c>
      <c r="AR680" s="15"/>
      <c r="AS680" s="13"/>
      <c r="AT680" s="15"/>
      <c r="AU680" s="45"/>
      <c r="AV680" s="15"/>
      <c r="AW680" s="13"/>
      <c r="AY680" s="45"/>
      <c r="AZ680" s="28"/>
      <c r="BA680" s="13"/>
      <c r="BB680" s="15"/>
      <c r="BC680" s="45"/>
      <c r="BD680" s="28"/>
      <c r="BE680" s="14"/>
      <c r="BF680" s="41">
        <f t="shared" ref="BF680:BG680" si="2289">K680+O680+S680+W680+AA680+AE680+AI680+AM680+AQ680+AU680+AY680+BC680</f>
        <v>2075</v>
      </c>
      <c r="BG680" s="34">
        <f t="shared" si="2289"/>
        <v>0</v>
      </c>
      <c r="BH680" s="35">
        <f t="shared" si="2274"/>
        <v>2075</v>
      </c>
    </row>
    <row r="681" ht="15.75" customHeight="1" hidden="1" spans="1:63" x14ac:dyDescent="0.25">
      <c r="A681" s="2">
        <v>75</v>
      </c>
      <c r="B681" s="14"/>
      <c r="D681" s="14" t="s">
        <v>52</v>
      </c>
      <c r="E681" s="2" t="s">
        <v>39</v>
      </c>
      <c r="F681" s="41">
        <v>500</v>
      </c>
      <c r="G681" s="28"/>
      <c r="H681" s="34">
        <f>'2019'!BH566</f>
        <v>0</v>
      </c>
      <c r="I681" s="15"/>
      <c r="J681" s="15"/>
      <c r="K681" s="15"/>
      <c r="L681" s="28"/>
      <c r="Q681" s="13"/>
      <c r="R681" s="15"/>
      <c r="S681" s="15"/>
      <c r="T681" s="28"/>
      <c r="Y681" s="13"/>
      <c r="Z681" s="15"/>
      <c r="AA681" s="34">
        <f>$F$11</f>
        <v>500</v>
      </c>
      <c r="AB681" s="35"/>
      <c r="AG681" s="13"/>
      <c r="AH681" s="15"/>
      <c r="AI681" s="45"/>
      <c r="AJ681" s="185">
        <v>500</v>
      </c>
      <c r="AK681" s="13"/>
      <c r="AL681" s="15"/>
      <c r="AM681" s="45"/>
      <c r="AN681" s="15"/>
      <c r="AO681" s="13"/>
      <c r="AP681" s="15"/>
      <c r="AQ681" s="45"/>
      <c r="AR681" s="15"/>
      <c r="AS681" s="13"/>
      <c r="AT681" s="15"/>
      <c r="AU681" s="45"/>
      <c r="AV681" s="15"/>
      <c r="AW681" s="13"/>
      <c r="AY681" s="45"/>
      <c r="AZ681" s="35"/>
      <c r="BA681" s="13"/>
      <c r="BB681" s="15"/>
      <c r="BC681" s="45"/>
      <c r="BD681" s="35"/>
      <c r="BE681" s="14"/>
      <c r="BF681" s="41">
        <f t="shared" ref="BF681:BG681" si="2290">K681+O681+S681+W681+AA681+AE681+AI681+AM681+AQ681+AU681+AY681+BC681</f>
        <v>500</v>
      </c>
      <c r="BG681" s="34">
        <f t="shared" si="2290"/>
        <v>500</v>
      </c>
      <c r="BH681" s="35">
        <f t="shared" si="2274"/>
        <v>0</v>
      </c>
      <c r="BK681" s="2" t="b">
        <f>H681='2019'!BH566</f>
        <v>1</v>
      </c>
    </row>
    <row r="682" ht="15.75" customHeight="1" hidden="1" spans="1:63" x14ac:dyDescent="0.25">
      <c r="A682" s="247">
        <v>75</v>
      </c>
      <c r="B682" s="21"/>
      <c r="C682" s="22" t="s">
        <v>53</v>
      </c>
      <c r="D682" s="21"/>
      <c r="E682" s="22"/>
      <c r="F682" s="20"/>
      <c r="G682" s="23"/>
      <c r="H682" s="51">
        <f>SUM(H674:H681)</f>
        <v>-1.72</v>
      </c>
      <c r="I682" s="53"/>
      <c r="J682" s="53"/>
      <c r="K682" s="51">
        <f t="shared" ref="K682:L682" si="2291">SUM(K674:K681)</f>
        <v>0</v>
      </c>
      <c r="L682" s="68">
        <f t="shared" si="2291"/>
        <v>0</v>
      </c>
      <c r="M682" s="53"/>
      <c r="N682" s="53"/>
      <c r="O682" s="51">
        <f t="shared" ref="O682:P682" si="2292">SUM(O674:O681)</f>
        <v>0</v>
      </c>
      <c r="P682" s="51">
        <f t="shared" si="2292"/>
        <v>0</v>
      </c>
      <c r="Q682" s="52"/>
      <c r="R682" s="53"/>
      <c r="S682" s="51">
        <f t="shared" ref="S682:T682" si="2293">SUM(S674:S681)</f>
        <v>0</v>
      </c>
      <c r="T682" s="51">
        <f t="shared" si="2293"/>
        <v>0</v>
      </c>
      <c r="U682" s="52"/>
      <c r="V682" s="53"/>
      <c r="W682" s="51">
        <f t="shared" ref="W682:X682" si="2294">SUM(W674:W681)</f>
        <v>0</v>
      </c>
      <c r="X682" s="51">
        <f t="shared" si="2294"/>
        <v>0</v>
      </c>
      <c r="Y682" s="52"/>
      <c r="Z682" s="53"/>
      <c r="AA682" s="51">
        <f t="shared" ref="AA682:AB682" si="2295">SUM(AA674:AA681)</f>
        <v>500</v>
      </c>
      <c r="AB682" s="51">
        <f t="shared" si="2295"/>
        <v>0</v>
      </c>
      <c r="AC682" s="52"/>
      <c r="AD682" s="53"/>
      <c r="AE682" s="51">
        <f t="shared" ref="AE682:AF682" si="2296">SUM(AE674:AE681)</f>
        <v>4565</v>
      </c>
      <c r="AF682" s="51">
        <f t="shared" si="2296"/>
        <v>0</v>
      </c>
      <c r="AG682" s="52"/>
      <c r="AH682" s="53"/>
      <c r="AI682" s="183">
        <f t="shared" ref="AI682:AJ682" si="2297">SUM(AI674:AI681)</f>
        <v>194.6</v>
      </c>
      <c r="AJ682" s="51">
        <f t="shared" si="2297"/>
        <v>5260</v>
      </c>
      <c r="AK682" s="52"/>
      <c r="AL682" s="53"/>
      <c r="AM682" s="183">
        <f t="shared" ref="AM682:AN682" si="2298">SUM(AM674:AM681)</f>
        <v>155.68</v>
      </c>
      <c r="AN682" s="51">
        <f t="shared" si="2298"/>
        <v>0</v>
      </c>
      <c r="AO682" s="52"/>
      <c r="AP682" s="53"/>
      <c r="AQ682" s="183">
        <f t="shared" ref="AQ682:AR682" si="2299">SUM(AQ674:AQ681)</f>
        <v>2575</v>
      </c>
      <c r="AR682" s="51">
        <f t="shared" si="2299"/>
        <v>0</v>
      </c>
      <c r="AS682" s="52"/>
      <c r="AT682" s="53"/>
      <c r="AU682" s="183">
        <f t="shared" ref="AU682:AV682" si="2300">SUM(AU674:AU681)</f>
        <v>0</v>
      </c>
      <c r="AV682" s="68">
        <f t="shared" si="2300"/>
        <v>0</v>
      </c>
      <c r="AW682" s="52"/>
      <c r="AX682" s="53"/>
      <c r="AY682" s="183">
        <f t="shared" ref="AY682:AZ682" si="2301">SUM(AY674:AY681)</f>
        <v>0</v>
      </c>
      <c r="AZ682" s="68">
        <f t="shared" si="2301"/>
        <v>0</v>
      </c>
      <c r="BA682" s="52"/>
      <c r="BB682" s="53"/>
      <c r="BC682" s="183">
        <f t="shared" ref="BC682:BD682" si="2302">SUM(BC674:BC681)</f>
        <v>0</v>
      </c>
      <c r="BD682" s="68">
        <f t="shared" si="2302"/>
        <v>0</v>
      </c>
      <c r="BE682" s="69"/>
      <c r="BF682" s="70">
        <f t="shared" ref="BF682:BH682" si="2303">SUM(BF674:BF681)</f>
        <v>7990.28</v>
      </c>
      <c r="BG682" s="71">
        <f t="shared" si="2303"/>
        <v>5260</v>
      </c>
      <c r="BH682" s="72">
        <f t="shared" si="2303"/>
        <v>2728.56</v>
      </c>
      <c r="BI682" s="34">
        <f>H682+BF682-BG682</f>
        <v>2728.56</v>
      </c>
      <c r="BJ682" s="34">
        <f>BH682-BI682</f>
        <v>0</v>
      </c>
      <c r="BK682" s="2" t="b">
        <f>H682='2019'!BH567</f>
        <v>0</v>
      </c>
    </row>
    <row r="683" ht="15.75" customHeight="1" hidden="1" spans="1:63" x14ac:dyDescent="0.25">
      <c r="A683" s="2">
        <v>76</v>
      </c>
      <c r="B683" s="14"/>
      <c r="D683" s="14" t="s">
        <v>379</v>
      </c>
      <c r="F683" s="13"/>
      <c r="G683" s="28"/>
      <c r="H683" s="34">
        <f>'2019'!BH568</f>
        <v>0</v>
      </c>
      <c r="J683" s="15"/>
      <c r="K683" s="15"/>
      <c r="L683" s="28"/>
      <c r="Q683" s="13"/>
      <c r="R683" s="15"/>
      <c r="S683" s="15"/>
      <c r="T683" s="28"/>
      <c r="Y683" s="13"/>
      <c r="Z683" s="15"/>
      <c r="AA683" s="15"/>
      <c r="AB683" s="28"/>
      <c r="AG683" s="13"/>
      <c r="AH683" s="15"/>
      <c r="AI683" s="45"/>
      <c r="AJ683" s="15"/>
      <c r="AK683" s="13"/>
      <c r="AM683" s="45"/>
      <c r="AO683" s="13"/>
      <c r="AQ683" s="45"/>
      <c r="AS683" s="13"/>
      <c r="AU683" s="45"/>
      <c r="AW683" s="13"/>
      <c r="AY683" s="45"/>
      <c r="AZ683" s="28"/>
      <c r="BA683" s="13"/>
      <c r="BB683" s="15"/>
      <c r="BC683" s="45"/>
      <c r="BD683" s="28"/>
      <c r="BE683" s="14"/>
      <c r="BF683" s="41">
        <f t="shared" ref="BF683:BG683" si="2304">K683+O683+S683+W683+AA683+AE683+AI683+AM683+AQ683+AU683+AY683+BC683</f>
        <v>0</v>
      </c>
      <c r="BG683" s="34">
        <f t="shared" si="2304"/>
        <v>0</v>
      </c>
      <c r="BH683" s="35">
        <f t="shared" ref="BH683:BH690" si="2305">H683+BF683-BG683</f>
        <v>0</v>
      </c>
      <c r="BK683" s="2" t="b">
        <f>H683='2019'!BH568</f>
        <v>1</v>
      </c>
    </row>
    <row r="684" ht="15.75" customHeight="1" hidden="1" spans="1:63" x14ac:dyDescent="0.25">
      <c r="A684" s="2">
        <v>76</v>
      </c>
      <c r="B684" s="14">
        <v>4.15</v>
      </c>
      <c r="C684" s="2" t="s">
        <v>267</v>
      </c>
      <c r="D684" s="14" t="s">
        <v>44</v>
      </c>
      <c r="E684" s="2" t="s">
        <v>45</v>
      </c>
      <c r="F684" s="41">
        <v>2.5</v>
      </c>
      <c r="G684" s="35">
        <v>2.6</v>
      </c>
      <c r="H684" s="104">
        <f>'2019'!BH569</f>
        <v>0</v>
      </c>
      <c r="I684" s="15"/>
      <c r="J684" s="15"/>
      <c r="K684" s="34">
        <f>J684*$F$8</f>
        <v>0</v>
      </c>
      <c r="L684" s="28"/>
      <c r="N684" s="15"/>
      <c r="O684" s="34">
        <f>N684*$F$8</f>
        <v>0</v>
      </c>
      <c r="Q684" s="13"/>
      <c r="R684" s="15">
        <f>Q684-M684</f>
        <v>0</v>
      </c>
      <c r="S684" s="34">
        <f>R684*$F$8</f>
        <v>0</v>
      </c>
      <c r="T684" s="28"/>
      <c r="V684" s="15">
        <f t="shared" ref="V684:V685" si="2306">U684-Q684</f>
        <v>0</v>
      </c>
      <c r="W684" s="34">
        <f>V684*$F$8</f>
        <v>0</v>
      </c>
      <c r="Y684" s="13"/>
      <c r="Z684" s="15">
        <f t="shared" ref="Z684:Z685" si="2307">Y684-U684</f>
        <v>0</v>
      </c>
      <c r="AA684" s="34">
        <f>Z684*$F$8</f>
        <v>0</v>
      </c>
      <c r="AB684" s="28"/>
      <c r="AC684" s="15"/>
      <c r="AD684" s="15">
        <f t="shared" ref="AD684:AD685" si="2308">AC684-Y684</f>
        <v>0</v>
      </c>
      <c r="AE684" s="34">
        <f>AD684*$F$8</f>
        <v>0</v>
      </c>
      <c r="AG684" s="13"/>
      <c r="AH684" s="15">
        <f t="shared" ref="AH684:AH685" si="2309">AG684-AC684</f>
        <v>0</v>
      </c>
      <c r="AI684" s="45">
        <f>AH684*$G$8</f>
        <v>0</v>
      </c>
      <c r="AJ684" s="15"/>
      <c r="AK684" s="13">
        <v>0</v>
      </c>
      <c r="AL684" s="15">
        <f t="shared" ref="AL684:AL685" si="2310">AK684-AG684</f>
        <v>0</v>
      </c>
      <c r="AM684" s="45">
        <f>AL684*$G$8</f>
        <v>0</v>
      </c>
      <c r="AN684" s="15"/>
      <c r="AO684" s="13">
        <v>0</v>
      </c>
      <c r="AP684" s="15">
        <f t="shared" ref="AP684:AP685" si="2311">AO684-AK684</f>
        <v>0</v>
      </c>
      <c r="AQ684" s="45">
        <f>AP684*$G$8</f>
        <v>0</v>
      </c>
      <c r="AR684" s="15"/>
      <c r="AS684" s="13">
        <v>0</v>
      </c>
      <c r="AT684" s="15">
        <f t="shared" ref="AT684:AT685" si="2312">AS684-AO684</f>
        <v>0</v>
      </c>
      <c r="AU684" s="45">
        <f>AT684*$G$8</f>
        <v>0</v>
      </c>
      <c r="AV684" s="15"/>
      <c r="AW684" s="13">
        <v>0</v>
      </c>
      <c r="AX684" s="2">
        <f t="shared" ref="AX684:AX685" si="2313">AW684-AS684</f>
        <v>0</v>
      </c>
      <c r="AY684" s="45">
        <f>AX684*$G$8</f>
        <v>0</v>
      </c>
      <c r="AZ684" s="208"/>
      <c r="BA684" s="13">
        <v>0</v>
      </c>
      <c r="BB684" s="15">
        <f t="shared" ref="BB684:BB685" si="2314">BA684-AW684</f>
        <v>0</v>
      </c>
      <c r="BC684" s="45">
        <f>BB684*$G$8</f>
        <v>0</v>
      </c>
      <c r="BD684" s="208"/>
      <c r="BE684" s="40">
        <f t="shared" ref="BE684:BG684" si="2315">J684+N684+R684+V684+Z684+AD684+AH684+AL684+AP684+AT684+AX684+BB684</f>
        <v>0</v>
      </c>
      <c r="BF684" s="41">
        <f t="shared" si="2315"/>
        <v>0</v>
      </c>
      <c r="BG684" s="34">
        <f t="shared" si="2315"/>
        <v>0</v>
      </c>
      <c r="BH684" s="35">
        <f t="shared" si="2305"/>
        <v>0</v>
      </c>
      <c r="BK684" s="2" t="b">
        <f>H684='2019'!BH569</f>
        <v>1</v>
      </c>
    </row>
    <row r="685" ht="15.75" customHeight="1" hidden="1" spans="1:63" x14ac:dyDescent="0.25">
      <c r="A685" s="2">
        <v>76</v>
      </c>
      <c r="B685" s="14"/>
      <c r="C685" s="2" t="s">
        <v>198</v>
      </c>
      <c r="D685" s="14" t="s">
        <v>47</v>
      </c>
      <c r="E685" s="2" t="s">
        <v>48</v>
      </c>
      <c r="F685" s="13">
        <v>18.56</v>
      </c>
      <c r="G685" s="35">
        <v>19.46</v>
      </c>
      <c r="H685" s="34">
        <f>'2019'!BH570</f>
        <v>-2.22</v>
      </c>
      <c r="I685" s="75">
        <v>0</v>
      </c>
      <c r="J685" s="15"/>
      <c r="K685" s="15"/>
      <c r="L685" s="28"/>
      <c r="M685" s="75">
        <v>0</v>
      </c>
      <c r="Q685" s="75">
        <v>0</v>
      </c>
      <c r="R685" s="15"/>
      <c r="S685" s="15"/>
      <c r="T685" s="28"/>
      <c r="U685" s="257">
        <v>0</v>
      </c>
      <c r="V685" s="2">
        <f t="shared" si="2306"/>
        <v>0</v>
      </c>
      <c r="W685" s="34">
        <f>V685*$F$10</f>
        <v>0</v>
      </c>
      <c r="Y685" s="257">
        <v>0</v>
      </c>
      <c r="Z685" s="15">
        <f t="shared" si="2307"/>
        <v>0</v>
      </c>
      <c r="AA685" s="34">
        <f>Z685*$F$10</f>
        <v>0</v>
      </c>
      <c r="AB685" s="28"/>
      <c r="AC685" s="257">
        <v>8</v>
      </c>
      <c r="AD685" s="15">
        <f t="shared" si="2308"/>
        <v>8</v>
      </c>
      <c r="AE685" s="34">
        <f>AD685*$F$10</f>
        <v>148.48</v>
      </c>
      <c r="AF685" s="34"/>
      <c r="AG685" s="184">
        <v>16</v>
      </c>
      <c r="AH685" s="15">
        <f t="shared" si="2309"/>
        <v>8</v>
      </c>
      <c r="AI685" s="45">
        <f>AH685*$G$10</f>
        <v>155.68</v>
      </c>
      <c r="AJ685" s="138">
        <v>309.14</v>
      </c>
      <c r="AK685" s="13">
        <v>21</v>
      </c>
      <c r="AL685" s="15">
        <f t="shared" si="2310"/>
        <v>5</v>
      </c>
      <c r="AM685" s="45">
        <f>AL685*$G$10</f>
        <v>97.3</v>
      </c>
      <c r="AN685" s="15"/>
      <c r="AO685" s="13">
        <v>21</v>
      </c>
      <c r="AP685" s="15">
        <f t="shared" si="2311"/>
        <v>0</v>
      </c>
      <c r="AQ685" s="45">
        <f>AP685*$G$10</f>
        <v>0</v>
      </c>
      <c r="AR685" s="15"/>
      <c r="AS685" s="13">
        <v>21</v>
      </c>
      <c r="AT685" s="15">
        <f t="shared" si="2312"/>
        <v>0</v>
      </c>
      <c r="AU685" s="45">
        <f>AT685*$G$10</f>
        <v>0</v>
      </c>
      <c r="AV685" s="15"/>
      <c r="AW685" s="13">
        <v>21</v>
      </c>
      <c r="AX685" s="2">
        <f t="shared" si="2313"/>
        <v>0</v>
      </c>
      <c r="AY685" s="45"/>
      <c r="AZ685" s="208"/>
      <c r="BA685" s="13">
        <v>21</v>
      </c>
      <c r="BB685" s="15">
        <f t="shared" si="2314"/>
        <v>0</v>
      </c>
      <c r="BC685" s="45"/>
      <c r="BD685" s="208"/>
      <c r="BE685" s="40">
        <f t="shared" ref="BE685:BG685" si="2316">J685+N685+R685+V685+Z685+AD685+AH685+AL685+AP685+AT685+AX685+BB685</f>
        <v>21</v>
      </c>
      <c r="BF685" s="41">
        <f t="shared" si="2316"/>
        <v>401.46</v>
      </c>
      <c r="BG685" s="34">
        <f t="shared" si="2316"/>
        <v>309.14</v>
      </c>
      <c r="BH685" s="35">
        <f t="shared" si="2305"/>
        <v>90.1</v>
      </c>
      <c r="BK685" s="2" t="b">
        <f>H685='2019'!BH570</f>
        <v>1</v>
      </c>
    </row>
    <row r="686" ht="15.75" customHeight="1" hidden="1" spans="1:63" x14ac:dyDescent="0.25">
      <c r="A686" s="2">
        <v>76</v>
      </c>
      <c r="B686" s="14"/>
      <c r="C686" s="2" t="s">
        <v>178</v>
      </c>
      <c r="D686" s="14" t="s">
        <v>47</v>
      </c>
      <c r="E686" s="2" t="s">
        <v>49</v>
      </c>
      <c r="F686" s="41">
        <v>500</v>
      </c>
      <c r="G686" s="28"/>
      <c r="H686" s="34">
        <f>'2019'!BH571</f>
        <v>0</v>
      </c>
      <c r="I686" s="15"/>
      <c r="J686" s="15"/>
      <c r="K686" s="15"/>
      <c r="L686" s="28"/>
      <c r="Q686" s="13"/>
      <c r="R686" s="15"/>
      <c r="S686" s="15"/>
      <c r="T686" s="28"/>
      <c r="Y686" s="13"/>
      <c r="Z686" s="15"/>
      <c r="AA686" s="15"/>
      <c r="AB686" s="28"/>
      <c r="AG686" s="13"/>
      <c r="AH686" s="15"/>
      <c r="AI686" s="45"/>
      <c r="AJ686" s="15"/>
      <c r="AK686" s="13"/>
      <c r="AL686" s="15"/>
      <c r="AM686" s="45"/>
      <c r="AN686" s="15"/>
      <c r="AO686" s="13"/>
      <c r="AP686" s="15"/>
      <c r="AQ686" s="45"/>
      <c r="AR686" s="15"/>
      <c r="AS686" s="13"/>
      <c r="AT686" s="15"/>
      <c r="AU686" s="45"/>
      <c r="AV686" s="15"/>
      <c r="AW686" s="13"/>
      <c r="AY686" s="45"/>
      <c r="AZ686" s="28"/>
      <c r="BA686" s="13"/>
      <c r="BB686" s="15"/>
      <c r="BC686" s="45"/>
      <c r="BD686" s="28"/>
      <c r="BE686" s="14"/>
      <c r="BF686" s="41">
        <f t="shared" ref="BF686:BG686" si="2317">K686+O686+S686+W686+AA686+AE686+AI686+AM686+AQ686+AU686+AY686+BC686</f>
        <v>0</v>
      </c>
      <c r="BG686" s="34">
        <f t="shared" si="2317"/>
        <v>0</v>
      </c>
      <c r="BH686" s="35">
        <f t="shared" si="2305"/>
        <v>0</v>
      </c>
      <c r="BK686" s="2" t="b">
        <f>H686='2019'!BH571</f>
        <v>1</v>
      </c>
    </row>
    <row r="687" ht="15.75" customHeight="1" hidden="1" spans="1:63" x14ac:dyDescent="0.25">
      <c r="A687" s="2">
        <v>76</v>
      </c>
      <c r="B687" s="14"/>
      <c r="C687" s="2" t="s">
        <v>434</v>
      </c>
      <c r="D687" s="14" t="s">
        <v>50</v>
      </c>
      <c r="E687" s="2" t="s">
        <v>49</v>
      </c>
      <c r="F687" s="41">
        <v>1100</v>
      </c>
      <c r="G687" s="28"/>
      <c r="H687" s="182">
        <f>'2019'!BH572-0.002</f>
        <v>0</v>
      </c>
      <c r="I687" s="15"/>
      <c r="J687" s="15"/>
      <c r="K687" s="15"/>
      <c r="L687" s="28"/>
      <c r="Q687" s="13"/>
      <c r="R687" s="15"/>
      <c r="S687" s="15"/>
      <c r="T687" s="28"/>
      <c r="Y687" s="13"/>
      <c r="Z687" s="15"/>
      <c r="AA687" s="15"/>
      <c r="AB687" s="28"/>
      <c r="AE687" s="34">
        <f>B684*$F$12</f>
        <v>4565</v>
      </c>
      <c r="AF687" s="34"/>
      <c r="AG687" s="13"/>
      <c r="AH687" s="15"/>
      <c r="AI687" s="45"/>
      <c r="AJ687" s="185">
        <v>1190.86</v>
      </c>
      <c r="AK687" s="13"/>
      <c r="AL687" s="15"/>
      <c r="AM687" s="45"/>
      <c r="AN687" s="138">
        <v>3374.14</v>
      </c>
      <c r="AO687" s="13"/>
      <c r="AP687" s="15"/>
      <c r="AQ687" s="45"/>
      <c r="AR687" s="15"/>
      <c r="AS687" s="13"/>
      <c r="AT687" s="15"/>
      <c r="AU687" s="45"/>
      <c r="AV687" s="15"/>
      <c r="AW687" s="13"/>
      <c r="AY687" s="45"/>
      <c r="AZ687" s="28"/>
      <c r="BA687" s="13"/>
      <c r="BB687" s="15"/>
      <c r="BC687" s="45"/>
      <c r="BD687" s="28"/>
      <c r="BE687" s="14"/>
      <c r="BF687" s="41">
        <f t="shared" ref="BF687:BG687" si="2318">K687+O687+S687+W687+AA687+AE687+AI687+AM687+AQ687+AU687+AY687+BC687</f>
        <v>4565</v>
      </c>
      <c r="BG687" s="34">
        <f t="shared" si="2318"/>
        <v>4565</v>
      </c>
      <c r="BH687" s="35">
        <f t="shared" si="2305"/>
        <v>0</v>
      </c>
      <c r="BK687" s="2" t="b">
        <f>H687='2019'!BH572</f>
        <v>0</v>
      </c>
    </row>
    <row r="688" ht="15.75" customHeight="1" hidden="1" spans="1:63" x14ac:dyDescent="0.25">
      <c r="A688" s="2">
        <v>76</v>
      </c>
      <c r="B688" s="14"/>
      <c r="D688" s="14" t="s">
        <v>51</v>
      </c>
      <c r="E688" s="2" t="s">
        <v>39</v>
      </c>
      <c r="F688" s="41">
        <v>500</v>
      </c>
      <c r="G688" s="28"/>
      <c r="H688" s="34">
        <f>'2019'!BH573</f>
        <v>0</v>
      </c>
      <c r="I688" s="15"/>
      <c r="J688" s="15"/>
      <c r="K688" s="15"/>
      <c r="L688" s="28"/>
      <c r="Q688" s="13"/>
      <c r="R688" s="15"/>
      <c r="S688" s="15"/>
      <c r="T688" s="28"/>
      <c r="Y688" s="13"/>
      <c r="Z688" s="15"/>
      <c r="AA688" s="15"/>
      <c r="AB688" s="28"/>
      <c r="AE688" s="34"/>
      <c r="AF688" s="34"/>
      <c r="AG688" s="13"/>
      <c r="AH688" s="15"/>
      <c r="AI688" s="45"/>
      <c r="AJ688" s="15"/>
      <c r="AK688" s="13"/>
      <c r="AL688" s="15"/>
      <c r="AM688" s="45"/>
      <c r="AN688" s="15"/>
      <c r="AO688" s="13"/>
      <c r="AP688" s="15"/>
      <c r="AQ688" s="45">
        <f>$F$13</f>
        <v>500</v>
      </c>
      <c r="AR688" s="15"/>
      <c r="AS688" s="13"/>
      <c r="AT688" s="15"/>
      <c r="AU688" s="45"/>
      <c r="AV688" s="15"/>
      <c r="AW688" s="13"/>
      <c r="AY688" s="45"/>
      <c r="AZ688" s="28"/>
      <c r="BA688" s="13"/>
      <c r="BB688" s="15"/>
      <c r="BC688" s="45"/>
      <c r="BD688" s="28"/>
      <c r="BE688" s="14"/>
      <c r="BF688" s="41">
        <f t="shared" ref="BF688:BG688" si="2319">K688+O688+S688+W688+AA688+AE688+AI688+AM688+AQ688+AU688+AY688+BC688</f>
        <v>500</v>
      </c>
      <c r="BG688" s="34">
        <f t="shared" si="2319"/>
        <v>0</v>
      </c>
      <c r="BH688" s="35">
        <f t="shared" si="2305"/>
        <v>500</v>
      </c>
      <c r="BK688" s="2" t="b">
        <f>H688='2019'!BH573</f>
        <v>1</v>
      </c>
    </row>
    <row r="689" ht="15.75" customHeight="1" hidden="1" spans="1:60" x14ac:dyDescent="0.25">
      <c r="A689" s="2">
        <v>76</v>
      </c>
      <c r="B689" s="14"/>
      <c r="D689" s="14" t="s">
        <v>51</v>
      </c>
      <c r="E689" s="2" t="s">
        <v>49</v>
      </c>
      <c r="F689" s="41">
        <v>500</v>
      </c>
      <c r="G689" s="28"/>
      <c r="H689" s="34"/>
      <c r="I689" s="15"/>
      <c r="J689" s="15"/>
      <c r="K689" s="15"/>
      <c r="L689" s="28"/>
      <c r="Q689" s="13"/>
      <c r="R689" s="15"/>
      <c r="S689" s="15"/>
      <c r="T689" s="28"/>
      <c r="Y689" s="13"/>
      <c r="Z689" s="15"/>
      <c r="AA689" s="15"/>
      <c r="AB689" s="28"/>
      <c r="AE689" s="34"/>
      <c r="AF689" s="34"/>
      <c r="AG689" s="13"/>
      <c r="AH689" s="15"/>
      <c r="AI689" s="45"/>
      <c r="AJ689" s="15"/>
      <c r="AK689" s="13"/>
      <c r="AL689" s="15"/>
      <c r="AM689" s="45"/>
      <c r="AN689" s="15"/>
      <c r="AO689" s="13"/>
      <c r="AP689" s="15"/>
      <c r="AQ689" s="34">
        <f>B684*$F$14</f>
        <v>2075</v>
      </c>
      <c r="AR689" s="15"/>
      <c r="AS689" s="13"/>
      <c r="AT689" s="15"/>
      <c r="AU689" s="45"/>
      <c r="AV689" s="15"/>
      <c r="AW689" s="13"/>
      <c r="AY689" s="45"/>
      <c r="AZ689" s="28"/>
      <c r="BA689" s="13"/>
      <c r="BB689" s="15"/>
      <c r="BC689" s="45"/>
      <c r="BD689" s="28"/>
      <c r="BE689" s="14"/>
      <c r="BF689" s="41">
        <f t="shared" ref="BF689:BG689" si="2320">K689+O689+S689+W689+AA689+AE689+AI689+AM689+AQ689+AU689+AY689+BC689</f>
        <v>2075</v>
      </c>
      <c r="BG689" s="34">
        <f t="shared" si="2320"/>
        <v>0</v>
      </c>
      <c r="BH689" s="35">
        <f t="shared" si="2305"/>
        <v>2075</v>
      </c>
    </row>
    <row r="690" ht="15.75" customHeight="1" hidden="1" spans="1:63" x14ac:dyDescent="0.25">
      <c r="A690" s="2">
        <v>76</v>
      </c>
      <c r="B690" s="14"/>
      <c r="D690" s="14" t="s">
        <v>52</v>
      </c>
      <c r="E690" s="2" t="s">
        <v>39</v>
      </c>
      <c r="F690" s="41">
        <v>500</v>
      </c>
      <c r="G690" s="28"/>
      <c r="H690" s="34">
        <f>'2019'!BH574</f>
        <v>0</v>
      </c>
      <c r="I690" s="15"/>
      <c r="J690" s="15"/>
      <c r="K690" s="15"/>
      <c r="L690" s="28"/>
      <c r="Q690" s="13"/>
      <c r="R690" s="15"/>
      <c r="S690" s="15"/>
      <c r="T690" s="28"/>
      <c r="Y690" s="13"/>
      <c r="Z690" s="15"/>
      <c r="AA690" s="34">
        <f>$F$11</f>
        <v>500</v>
      </c>
      <c r="AB690" s="28"/>
      <c r="AF690" s="34"/>
      <c r="AG690" s="13"/>
      <c r="AH690" s="15"/>
      <c r="AI690" s="45"/>
      <c r="AJ690" s="133">
        <v>500</v>
      </c>
      <c r="AK690" s="13"/>
      <c r="AL690" s="15"/>
      <c r="AM690" s="45"/>
      <c r="AN690" s="15"/>
      <c r="AO690" s="13"/>
      <c r="AP690" s="15"/>
      <c r="AQ690" s="45"/>
      <c r="AR690" s="15"/>
      <c r="AS690" s="13"/>
      <c r="AT690" s="15"/>
      <c r="AU690" s="45"/>
      <c r="AV690" s="15"/>
      <c r="AW690" s="13"/>
      <c r="AY690" s="45"/>
      <c r="AZ690" s="35"/>
      <c r="BA690" s="13"/>
      <c r="BB690" s="15"/>
      <c r="BC690" s="45"/>
      <c r="BD690" s="35"/>
      <c r="BE690" s="14"/>
      <c r="BF690" s="41">
        <f t="shared" ref="BF690:BG690" si="2321">K690+O690+S690+W690+AA690+AE690+AI690+AM690+AQ690+AU690+AY690+BC690</f>
        <v>500</v>
      </c>
      <c r="BG690" s="34">
        <f t="shared" si="2321"/>
        <v>500</v>
      </c>
      <c r="BH690" s="35">
        <f t="shared" si="2305"/>
        <v>0</v>
      </c>
      <c r="BK690" s="2" t="b">
        <f>H690='2019'!BH574</f>
        <v>1</v>
      </c>
    </row>
    <row r="691" ht="15.75" customHeight="1" hidden="1" spans="1:63" x14ac:dyDescent="0.25">
      <c r="A691" s="247">
        <v>76</v>
      </c>
      <c r="B691" s="21"/>
      <c r="C691" s="22" t="s">
        <v>53</v>
      </c>
      <c r="D691" s="21"/>
      <c r="E691" s="22"/>
      <c r="F691" s="20"/>
      <c r="G691" s="23"/>
      <c r="H691" s="51">
        <f>SUM(H683:H690)</f>
        <v>-2.22</v>
      </c>
      <c r="I691" s="53"/>
      <c r="J691" s="53"/>
      <c r="K691" s="51">
        <f t="shared" ref="K691:L691" si="2322">SUM(K683:K690)</f>
        <v>0</v>
      </c>
      <c r="L691" s="68">
        <f t="shared" si="2322"/>
        <v>0</v>
      </c>
      <c r="M691" s="53"/>
      <c r="N691" s="53"/>
      <c r="O691" s="51">
        <f t="shared" ref="O691:P691" si="2323">SUM(O683:O690)</f>
        <v>0</v>
      </c>
      <c r="P691" s="51">
        <f t="shared" si="2323"/>
        <v>0</v>
      </c>
      <c r="Q691" s="52"/>
      <c r="R691" s="53"/>
      <c r="S691" s="51">
        <f t="shared" ref="S691:T691" si="2324">SUM(S683:S690)</f>
        <v>0</v>
      </c>
      <c r="T691" s="51">
        <f t="shared" si="2324"/>
        <v>0</v>
      </c>
      <c r="U691" s="52"/>
      <c r="V691" s="53"/>
      <c r="W691" s="51">
        <f t="shared" ref="W691:X691" si="2325">SUM(W683:W690)</f>
        <v>0</v>
      </c>
      <c r="X691" s="51">
        <f t="shared" si="2325"/>
        <v>0</v>
      </c>
      <c r="Y691" s="52"/>
      <c r="Z691" s="53"/>
      <c r="AA691" s="51">
        <f t="shared" ref="AA691:AB691" si="2326">SUM(AA683:AA690)</f>
        <v>500</v>
      </c>
      <c r="AB691" s="51">
        <f t="shared" si="2326"/>
        <v>0</v>
      </c>
      <c r="AC691" s="52"/>
      <c r="AD691" s="53"/>
      <c r="AE691" s="51">
        <f t="shared" ref="AE691:AF691" si="2327">SUM(AE683:AE690)</f>
        <v>4713.48</v>
      </c>
      <c r="AF691" s="51">
        <f t="shared" si="2327"/>
        <v>0</v>
      </c>
      <c r="AG691" s="52"/>
      <c r="AH691" s="53"/>
      <c r="AI691" s="183">
        <f t="shared" ref="AI691:AJ691" si="2328">SUM(AI683:AI690)</f>
        <v>155.68</v>
      </c>
      <c r="AJ691" s="51">
        <f t="shared" si="2328"/>
        <v>2000</v>
      </c>
      <c r="AK691" s="52"/>
      <c r="AL691" s="53"/>
      <c r="AM691" s="183">
        <f t="shared" ref="AM691:AN691" si="2329">SUM(AM683:AM690)</f>
        <v>97.3</v>
      </c>
      <c r="AN691" s="51">
        <f t="shared" si="2329"/>
        <v>3374.14</v>
      </c>
      <c r="AO691" s="52"/>
      <c r="AP691" s="53"/>
      <c r="AQ691" s="183">
        <f t="shared" ref="AQ691:AR691" si="2330">SUM(AQ683:AQ690)</f>
        <v>2575</v>
      </c>
      <c r="AR691" s="51">
        <f t="shared" si="2330"/>
        <v>0</v>
      </c>
      <c r="AS691" s="52"/>
      <c r="AT691" s="53"/>
      <c r="AU691" s="183">
        <f t="shared" ref="AU691:AV691" si="2331">SUM(AU683:AU690)</f>
        <v>0</v>
      </c>
      <c r="AV691" s="68">
        <f t="shared" si="2331"/>
        <v>0</v>
      </c>
      <c r="AW691" s="52"/>
      <c r="AX691" s="53"/>
      <c r="AY691" s="183">
        <f t="shared" ref="AY691:AZ691" si="2332">SUM(AY683:AY690)</f>
        <v>0</v>
      </c>
      <c r="AZ691" s="68">
        <f t="shared" si="2332"/>
        <v>0</v>
      </c>
      <c r="BA691" s="52"/>
      <c r="BB691" s="53"/>
      <c r="BC691" s="183">
        <f t="shared" ref="BC691:BD691" si="2333">SUM(BC683:BC690)</f>
        <v>0</v>
      </c>
      <c r="BD691" s="68">
        <f t="shared" si="2333"/>
        <v>0</v>
      </c>
      <c r="BE691" s="69"/>
      <c r="BF691" s="70">
        <f t="shared" ref="BF691:BH691" si="2334">SUM(BF683:BF690)</f>
        <v>8041.46</v>
      </c>
      <c r="BG691" s="71">
        <f t="shared" si="2334"/>
        <v>5374.14</v>
      </c>
      <c r="BH691" s="72">
        <f t="shared" si="2334"/>
        <v>2665.1</v>
      </c>
      <c r="BI691" s="34">
        <f>H691+BF691-BG691</f>
        <v>2665.1</v>
      </c>
      <c r="BJ691" s="34">
        <f>BH691-BI691</f>
        <v>0</v>
      </c>
      <c r="BK691" s="2" t="b">
        <f>H691='2019'!BH575</f>
        <v>0</v>
      </c>
    </row>
    <row r="692" ht="15.75" customHeight="1" hidden="1" spans="1:63" x14ac:dyDescent="0.25">
      <c r="A692" s="2">
        <v>77</v>
      </c>
      <c r="B692" s="14"/>
      <c r="D692" s="14" t="s">
        <v>379</v>
      </c>
      <c r="F692" s="13"/>
      <c r="G692" s="28"/>
      <c r="H692" s="34">
        <f>'2019'!BH576</f>
        <v>0</v>
      </c>
      <c r="J692" s="15"/>
      <c r="K692" s="15"/>
      <c r="L692" s="28"/>
      <c r="Q692" s="13"/>
      <c r="R692" s="15"/>
      <c r="S692" s="15"/>
      <c r="T692" s="28"/>
      <c r="Y692" s="13"/>
      <c r="Z692" s="15"/>
      <c r="AA692" s="15"/>
      <c r="AB692" s="28"/>
      <c r="AG692" s="13"/>
      <c r="AH692" s="15"/>
      <c r="AI692" s="45"/>
      <c r="AJ692" s="15"/>
      <c r="AK692" s="13"/>
      <c r="AM692" s="45"/>
      <c r="AO692" s="13"/>
      <c r="AQ692" s="45"/>
      <c r="AS692" s="13"/>
      <c r="AU692" s="45"/>
      <c r="AW692" s="13"/>
      <c r="AY692" s="45"/>
      <c r="AZ692" s="28"/>
      <c r="BA692" s="13"/>
      <c r="BB692" s="15"/>
      <c r="BC692" s="45"/>
      <c r="BD692" s="28"/>
      <c r="BE692" s="14"/>
      <c r="BF692" s="41">
        <f t="shared" ref="BF692:BG692" si="2335">K692+O692+S692+W692+AA692+AE692+AI692+AM692+AQ692+AU692+AY692+BC692</f>
        <v>0</v>
      </c>
      <c r="BG692" s="34">
        <f t="shared" si="2335"/>
        <v>0</v>
      </c>
      <c r="BH692" s="35">
        <f t="shared" ref="BH692:BH699" si="2336">H692+BF692-BG692</f>
        <v>0</v>
      </c>
      <c r="BK692" s="2" t="b">
        <f>H692='2019'!BH576</f>
        <v>1</v>
      </c>
    </row>
    <row r="693" ht="15.75" customHeight="1" hidden="1" spans="1:63" x14ac:dyDescent="0.25">
      <c r="A693" s="2">
        <v>77</v>
      </c>
      <c r="B693" s="14">
        <v>4.12</v>
      </c>
      <c r="C693" s="2" t="s">
        <v>268</v>
      </c>
      <c r="D693" s="14" t="s">
        <v>44</v>
      </c>
      <c r="E693" s="2" t="s">
        <v>45</v>
      </c>
      <c r="F693" s="41">
        <v>2.5</v>
      </c>
      <c r="G693" s="35">
        <v>2.6</v>
      </c>
      <c r="H693" s="34">
        <f>'2019'!BH577</f>
        <v>0</v>
      </c>
      <c r="I693" s="13">
        <v>1477</v>
      </c>
      <c r="J693" s="15">
        <f>I693-'2019'!BA577</f>
        <v>0</v>
      </c>
      <c r="K693" s="34">
        <f>J693*$F$8</f>
        <v>0</v>
      </c>
      <c r="L693" s="28"/>
      <c r="M693" s="2">
        <v>1477</v>
      </c>
      <c r="N693" s="15">
        <f>M693-I693</f>
        <v>0</v>
      </c>
      <c r="O693" s="34">
        <f>N693*$F$8</f>
        <v>0</v>
      </c>
      <c r="Q693" s="13">
        <v>1477</v>
      </c>
      <c r="R693" s="15">
        <f>Q693-M693</f>
        <v>0</v>
      </c>
      <c r="S693" s="34">
        <f>R693*$F$8</f>
        <v>0</v>
      </c>
      <c r="T693" s="28"/>
      <c r="U693" s="15">
        <v>1574</v>
      </c>
      <c r="V693" s="15">
        <f t="shared" ref="V693:V694" si="2337">U693-Q693</f>
        <v>97</v>
      </c>
      <c r="W693" s="34">
        <f>V693*$F$8</f>
        <v>242.5</v>
      </c>
      <c r="X693" s="39">
        <v>242.5</v>
      </c>
      <c r="Y693" s="13">
        <v>1721</v>
      </c>
      <c r="Z693" s="15">
        <f t="shared" ref="Z693:Z694" si="2338">Y693-U693</f>
        <v>147</v>
      </c>
      <c r="AA693" s="34">
        <f>Z693*$F$8</f>
        <v>367.5</v>
      </c>
      <c r="AB693" s="28"/>
      <c r="AC693" s="15">
        <v>1841</v>
      </c>
      <c r="AD693" s="15">
        <f t="shared" ref="AD693:AD694" si="2339">AC693-Y693</f>
        <v>120</v>
      </c>
      <c r="AE693" s="34">
        <f>AD693*$F$8</f>
        <v>300</v>
      </c>
      <c r="AF693" s="146">
        <f>367.5+144.32</f>
        <v>511.82</v>
      </c>
      <c r="AG693" s="13">
        <v>1946</v>
      </c>
      <c r="AH693" s="15">
        <f t="shared" ref="AH693:AH694" si="2340">AG693-AC693</f>
        <v>105</v>
      </c>
      <c r="AI693" s="45">
        <f>AH693*$G$8</f>
        <v>273</v>
      </c>
      <c r="AJ693" s="181">
        <v>428.68</v>
      </c>
      <c r="AK693" s="13">
        <v>2070</v>
      </c>
      <c r="AL693" s="15">
        <f t="shared" ref="AL693:AL694" si="2341">AK693-AG693</f>
        <v>124</v>
      </c>
      <c r="AM693" s="45">
        <f>AL693*$G$8</f>
        <v>322.4</v>
      </c>
      <c r="AN693" s="133">
        <v>262.6</v>
      </c>
      <c r="AO693" s="13">
        <v>2178</v>
      </c>
      <c r="AP693" s="15">
        <f t="shared" ref="AP693:AP694" si="2342">AO693-AK693</f>
        <v>108</v>
      </c>
      <c r="AQ693" s="45">
        <f>AP693*$G$8</f>
        <v>280.8</v>
      </c>
      <c r="AR693" s="15"/>
      <c r="AS693" s="13">
        <v>2180</v>
      </c>
      <c r="AT693" s="15">
        <f t="shared" ref="AT693:AT694" si="2343">AS693-AO693</f>
        <v>2</v>
      </c>
      <c r="AU693" s="45">
        <f t="shared" ref="AU693:AU694" si="2344">AT693*$G$8</f>
        <v>5.2</v>
      </c>
      <c r="AV693" s="15"/>
      <c r="AW693" s="13">
        <v>2180</v>
      </c>
      <c r="AX693" s="2">
        <f t="shared" ref="AX693:AX694" si="2345">AW693-AS693</f>
        <v>0</v>
      </c>
      <c r="AY693" s="45">
        <f>AX693*$G$8</f>
        <v>0</v>
      </c>
      <c r="AZ693" s="242">
        <v>345.8</v>
      </c>
      <c r="BA693" s="13">
        <v>2180</v>
      </c>
      <c r="BB693" s="15">
        <f t="shared" ref="BB693:BB694" si="2346">BA693-AW693</f>
        <v>0</v>
      </c>
      <c r="BC693" s="45">
        <f>BB693*$G$8</f>
        <v>0</v>
      </c>
      <c r="BD693" s="208"/>
      <c r="BE693" s="40">
        <f t="shared" ref="BE693:BG693" si="2347">J693+N693+R693+V693+Z693+AD693+AH693+AL693+AP693+AT693+AX693+BB693</f>
        <v>703</v>
      </c>
      <c r="BF693" s="41">
        <f t="shared" si="2347"/>
        <v>1791.4</v>
      </c>
      <c r="BG693" s="34">
        <f t="shared" si="2347"/>
        <v>1791.4</v>
      </c>
      <c r="BH693" s="35">
        <f t="shared" si="2336"/>
        <v>0</v>
      </c>
      <c r="BK693" s="2" t="b">
        <f>H693='2019'!BH577</f>
        <v>1</v>
      </c>
    </row>
    <row r="694" ht="15.75" customHeight="1" hidden="1" spans="1:63" x14ac:dyDescent="0.25">
      <c r="A694" s="2">
        <v>77</v>
      </c>
      <c r="B694" s="14"/>
      <c r="C694" s="2" t="s">
        <v>269</v>
      </c>
      <c r="D694" s="14" t="s">
        <v>47</v>
      </c>
      <c r="E694" s="2" t="s">
        <v>48</v>
      </c>
      <c r="F694" s="13">
        <v>18.56</v>
      </c>
      <c r="G694" s="35">
        <v>19.46</v>
      </c>
      <c r="H694" s="34">
        <f>'2019'!BH578</f>
        <v>-16.06</v>
      </c>
      <c r="I694" s="15">
        <v>382</v>
      </c>
      <c r="J694" s="15"/>
      <c r="K694" s="15"/>
      <c r="L694" s="28"/>
      <c r="M694" s="2">
        <v>382</v>
      </c>
      <c r="Q694" s="13">
        <v>382</v>
      </c>
      <c r="R694" s="15"/>
      <c r="S694" s="15"/>
      <c r="T694" s="28"/>
      <c r="U694" s="2">
        <v>385</v>
      </c>
      <c r="V694" s="2">
        <f t="shared" si="2337"/>
        <v>3</v>
      </c>
      <c r="W694" s="2">
        <f>V694*$F$10</f>
        <v>55.68</v>
      </c>
      <c r="Y694" s="13">
        <v>386</v>
      </c>
      <c r="Z694" s="15">
        <f t="shared" si="2338"/>
        <v>1</v>
      </c>
      <c r="AA694" s="34">
        <f>Z694*$F$10</f>
        <v>18.56</v>
      </c>
      <c r="AB694" s="28"/>
      <c r="AC694" s="15">
        <v>394</v>
      </c>
      <c r="AD694" s="15">
        <f t="shared" si="2339"/>
        <v>8</v>
      </c>
      <c r="AE694" s="34">
        <f>AD694*$F$10</f>
        <v>148.48</v>
      </c>
      <c r="AF694" s="146">
        <f>58.18+55.68</f>
        <v>113.86</v>
      </c>
      <c r="AG694" s="13">
        <v>401</v>
      </c>
      <c r="AH694" s="15">
        <f t="shared" si="2340"/>
        <v>7</v>
      </c>
      <c r="AI694" s="45">
        <f>AH694*$G$10</f>
        <v>136.22</v>
      </c>
      <c r="AJ694" s="180"/>
      <c r="AK694" s="13">
        <v>404</v>
      </c>
      <c r="AL694" s="15">
        <f t="shared" si="2341"/>
        <v>3</v>
      </c>
      <c r="AM694" s="45">
        <f>AL694*$G$10</f>
        <v>58.38</v>
      </c>
      <c r="AN694" s="133">
        <v>287.4</v>
      </c>
      <c r="AO694" s="13">
        <v>404</v>
      </c>
      <c r="AP694" s="15">
        <f t="shared" si="2342"/>
        <v>0</v>
      </c>
      <c r="AQ694" s="45">
        <f>AP694*$G$10</f>
        <v>0</v>
      </c>
      <c r="AR694" s="15"/>
      <c r="AS694" s="13">
        <v>404</v>
      </c>
      <c r="AT694" s="15">
        <f t="shared" si="2343"/>
        <v>0</v>
      </c>
      <c r="AU694" s="45">
        <f t="shared" si="2344"/>
        <v>0</v>
      </c>
      <c r="AV694" s="15"/>
      <c r="AW694" s="13">
        <v>404</v>
      </c>
      <c r="AX694" s="2">
        <f t="shared" si="2345"/>
        <v>0</v>
      </c>
      <c r="AY694" s="45"/>
      <c r="AZ694" s="208"/>
      <c r="BA694" s="13">
        <v>404</v>
      </c>
      <c r="BB694" s="15">
        <f t="shared" si="2346"/>
        <v>0</v>
      </c>
      <c r="BC694" s="45"/>
      <c r="BD694" s="208"/>
      <c r="BE694" s="40">
        <f t="shared" ref="BE694:BG694" si="2348">J694+N694+R694+V694+Z694+AD694+AH694+AL694+AP694+AT694+AX694+BB694</f>
        <v>22</v>
      </c>
      <c r="BF694" s="41">
        <f t="shared" si="2348"/>
        <v>417.32</v>
      </c>
      <c r="BG694" s="34">
        <f t="shared" si="2348"/>
        <v>401.26</v>
      </c>
      <c r="BH694" s="35">
        <f t="shared" si="2336"/>
        <v>0</v>
      </c>
      <c r="BK694" s="2" t="b">
        <f>H694='2019'!BH578</f>
        <v>1</v>
      </c>
    </row>
    <row r="695" ht="15.75" customHeight="1" hidden="1" spans="1:63" x14ac:dyDescent="0.25">
      <c r="A695" s="2">
        <v>77</v>
      </c>
      <c r="B695" s="14"/>
      <c r="C695" s="15" t="s">
        <v>158</v>
      </c>
      <c r="D695" s="14" t="s">
        <v>47</v>
      </c>
      <c r="E695" s="2" t="s">
        <v>49</v>
      </c>
      <c r="F695" s="41">
        <v>500</v>
      </c>
      <c r="G695" s="28"/>
      <c r="H695" s="34">
        <f>'2019'!BH579</f>
        <v>0</v>
      </c>
      <c r="I695" s="15"/>
      <c r="J695" s="15"/>
      <c r="K695" s="15"/>
      <c r="L695" s="28"/>
      <c r="Q695" s="13"/>
      <c r="R695" s="15"/>
      <c r="S695" s="15"/>
      <c r="T695" s="28"/>
      <c r="Y695" s="13"/>
      <c r="Z695" s="15"/>
      <c r="AA695" s="15"/>
      <c r="AB695" s="28"/>
      <c r="AG695" s="13"/>
      <c r="AH695" s="15"/>
      <c r="AI695" s="45"/>
      <c r="AJ695" s="15"/>
      <c r="AK695" s="13"/>
      <c r="AL695" s="15"/>
      <c r="AM695" s="45"/>
      <c r="AN695" s="15"/>
      <c r="AO695" s="13"/>
      <c r="AP695" s="15"/>
      <c r="AQ695" s="45"/>
      <c r="AR695" s="15"/>
      <c r="AS695" s="13"/>
      <c r="AT695" s="15"/>
      <c r="AU695" s="45"/>
      <c r="AV695" s="15"/>
      <c r="AW695" s="13"/>
      <c r="AY695" s="45"/>
      <c r="AZ695" s="28"/>
      <c r="BA695" s="13"/>
      <c r="BB695" s="15"/>
      <c r="BC695" s="45"/>
      <c r="BD695" s="28"/>
      <c r="BE695" s="14"/>
      <c r="BF695" s="41">
        <f t="shared" ref="BF695:BG695" si="2349">K695+O695+S695+W695+AA695+AE695+AI695+AM695+AQ695+AU695+AY695+BC695</f>
        <v>0</v>
      </c>
      <c r="BG695" s="34">
        <f t="shared" si="2349"/>
        <v>0</v>
      </c>
      <c r="BH695" s="35">
        <f t="shared" si="2336"/>
        <v>0</v>
      </c>
      <c r="BK695" s="2" t="b">
        <f>H695='2019'!BH579</f>
        <v>1</v>
      </c>
    </row>
    <row r="696" ht="15.75" customHeight="1" hidden="1" spans="1:63" x14ac:dyDescent="0.25">
      <c r="A696" s="2">
        <v>77</v>
      </c>
      <c r="B696" s="14"/>
      <c r="C696" s="2" t="s">
        <v>270</v>
      </c>
      <c r="D696" s="14" t="s">
        <v>50</v>
      </c>
      <c r="E696" s="2" t="s">
        <v>49</v>
      </c>
      <c r="F696" s="41">
        <v>1100</v>
      </c>
      <c r="G696" s="28"/>
      <c r="H696" s="182">
        <f>'2019'!BH580+0.0044</f>
        <v>0</v>
      </c>
      <c r="I696" s="15"/>
      <c r="J696" s="15"/>
      <c r="K696" s="15"/>
      <c r="L696" s="28"/>
      <c r="Q696" s="13"/>
      <c r="R696" s="15"/>
      <c r="S696" s="15"/>
      <c r="T696" s="28"/>
      <c r="Y696" s="13"/>
      <c r="Z696" s="15"/>
      <c r="AA696" s="15"/>
      <c r="AB696" s="28"/>
      <c r="AE696" s="34">
        <f>B693*$F$12</f>
        <v>4532</v>
      </c>
      <c r="AF696" s="39">
        <v>4532</v>
      </c>
      <c r="AG696" s="13"/>
      <c r="AH696" s="15"/>
      <c r="AI696" s="45"/>
      <c r="AJ696" s="34"/>
      <c r="AK696" s="13"/>
      <c r="AL696" s="15"/>
      <c r="AM696" s="45"/>
      <c r="AN696" s="15"/>
      <c r="AO696" s="13"/>
      <c r="AP696" s="15"/>
      <c r="AQ696" s="45"/>
      <c r="AR696" s="15"/>
      <c r="AS696" s="13"/>
      <c r="AT696" s="15"/>
      <c r="AU696" s="45"/>
      <c r="AV696" s="15"/>
      <c r="AW696" s="13"/>
      <c r="AY696" s="45"/>
      <c r="AZ696" s="28"/>
      <c r="BA696" s="13"/>
      <c r="BB696" s="15"/>
      <c r="BC696" s="45"/>
      <c r="BD696" s="28"/>
      <c r="BE696" s="14"/>
      <c r="BF696" s="41">
        <f t="shared" ref="BF696:BG696" si="2350">K696+O696+S696+W696+AA696+AE696+AI696+AM696+AQ696+AU696+AY696+BC696</f>
        <v>4532</v>
      </c>
      <c r="BG696" s="34">
        <f t="shared" si="2350"/>
        <v>4532</v>
      </c>
      <c r="BH696" s="35">
        <f t="shared" si="2336"/>
        <v>0</v>
      </c>
      <c r="BK696" s="2" t="b">
        <f>H696='2019'!BH580</f>
        <v>0</v>
      </c>
    </row>
    <row r="697" ht="15.75" customHeight="1" hidden="1" spans="1:63" x14ac:dyDescent="0.25">
      <c r="A697" s="2">
        <v>77</v>
      </c>
      <c r="B697" s="14"/>
      <c r="D697" s="14" t="s">
        <v>51</v>
      </c>
      <c r="E697" s="2" t="s">
        <v>39</v>
      </c>
      <c r="F697" s="41">
        <v>500</v>
      </c>
      <c r="G697" s="28"/>
      <c r="H697" s="34">
        <f>'2019'!BH581</f>
        <v>0</v>
      </c>
      <c r="I697" s="15"/>
      <c r="J697" s="15"/>
      <c r="K697" s="15"/>
      <c r="L697" s="28"/>
      <c r="Q697" s="13"/>
      <c r="R697" s="15"/>
      <c r="S697" s="15"/>
      <c r="T697" s="28"/>
      <c r="Y697" s="13"/>
      <c r="Z697" s="15"/>
      <c r="AA697" s="15"/>
      <c r="AB697" s="28"/>
      <c r="AE697" s="34"/>
      <c r="AF697" s="34"/>
      <c r="AG697" s="13"/>
      <c r="AH697" s="15"/>
      <c r="AI697" s="45"/>
      <c r="AJ697" s="15"/>
      <c r="AK697" s="13"/>
      <c r="AL697" s="15"/>
      <c r="AM697" s="45"/>
      <c r="AN697" s="15"/>
      <c r="AO697" s="13"/>
      <c r="AP697" s="15"/>
      <c r="AQ697" s="45">
        <f>$F$13</f>
        <v>500</v>
      </c>
      <c r="AR697" s="15"/>
      <c r="AS697" s="13"/>
      <c r="AT697" s="15"/>
      <c r="AU697" s="45"/>
      <c r="AV697" s="15"/>
      <c r="AW697" s="13"/>
      <c r="AY697" s="45"/>
      <c r="AZ697" s="28"/>
      <c r="BA697" s="13"/>
      <c r="BB697" s="15"/>
      <c r="BC697" s="45"/>
      <c r="BD697" s="28"/>
      <c r="BE697" s="14"/>
      <c r="BF697" s="41">
        <f t="shared" ref="BF697:BG697" si="2351">K697+O697+S697+W697+AA697+AE697+AI697+AM697+AQ697+AU697+AY697+BC697</f>
        <v>500</v>
      </c>
      <c r="BG697" s="34">
        <f t="shared" si="2351"/>
        <v>0</v>
      </c>
      <c r="BH697" s="35">
        <f t="shared" si="2336"/>
        <v>500</v>
      </c>
      <c r="BK697" s="2" t="b">
        <f>H697='2019'!BH581</f>
        <v>1</v>
      </c>
    </row>
    <row r="698" ht="15.75" customHeight="1" hidden="1" spans="1:60" x14ac:dyDescent="0.25">
      <c r="A698" s="2">
        <v>77</v>
      </c>
      <c r="B698" s="14"/>
      <c r="D698" s="14" t="s">
        <v>51</v>
      </c>
      <c r="E698" s="2" t="s">
        <v>49</v>
      </c>
      <c r="F698" s="41">
        <v>500</v>
      </c>
      <c r="G698" s="28"/>
      <c r="H698" s="34"/>
      <c r="I698" s="15"/>
      <c r="J698" s="15"/>
      <c r="K698" s="15"/>
      <c r="L698" s="28"/>
      <c r="Q698" s="13"/>
      <c r="R698" s="15"/>
      <c r="S698" s="15"/>
      <c r="T698" s="28"/>
      <c r="Y698" s="13"/>
      <c r="Z698" s="15"/>
      <c r="AA698" s="15"/>
      <c r="AB698" s="28"/>
      <c r="AE698" s="34"/>
      <c r="AF698" s="34"/>
      <c r="AG698" s="13"/>
      <c r="AH698" s="15"/>
      <c r="AI698" s="45"/>
      <c r="AJ698" s="15"/>
      <c r="AK698" s="13"/>
      <c r="AL698" s="15"/>
      <c r="AM698" s="45"/>
      <c r="AN698" s="15"/>
      <c r="AO698" s="13"/>
      <c r="AP698" s="15"/>
      <c r="AQ698" s="34">
        <f>B693*$F$14</f>
        <v>2060</v>
      </c>
      <c r="AR698" s="15"/>
      <c r="AS698" s="13"/>
      <c r="AT698" s="15"/>
      <c r="AU698" s="45"/>
      <c r="AV698" s="15"/>
      <c r="AW698" s="13"/>
      <c r="AY698" s="45"/>
      <c r="AZ698" s="28"/>
      <c r="BA698" s="13"/>
      <c r="BB698" s="15"/>
      <c r="BC698" s="45"/>
      <c r="BD698" s="28"/>
      <c r="BE698" s="14"/>
      <c r="BF698" s="41">
        <f t="shared" ref="BF698:BG698" si="2352">K698+O698+S698+W698+AA698+AE698+AI698+AM698+AQ698+AU698+AY698+BC698</f>
        <v>2060</v>
      </c>
      <c r="BG698" s="34">
        <f t="shared" si="2352"/>
        <v>0</v>
      </c>
      <c r="BH698" s="35">
        <f t="shared" si="2336"/>
        <v>2060</v>
      </c>
    </row>
    <row r="699" ht="15.75" customHeight="1" hidden="1" spans="1:63" x14ac:dyDescent="0.25">
      <c r="A699" s="2">
        <v>77</v>
      </c>
      <c r="B699" s="14"/>
      <c r="D699" s="14" t="s">
        <v>52</v>
      </c>
      <c r="E699" s="2" t="s">
        <v>39</v>
      </c>
      <c r="F699" s="41">
        <v>500</v>
      </c>
      <c r="G699" s="28"/>
      <c r="H699" s="34">
        <f>'2019'!BH582</f>
        <v>0</v>
      </c>
      <c r="I699" s="15"/>
      <c r="J699" s="15"/>
      <c r="K699" s="15"/>
      <c r="L699" s="28"/>
      <c r="Q699" s="13"/>
      <c r="R699" s="15"/>
      <c r="S699" s="15"/>
      <c r="T699" s="28"/>
      <c r="Y699" s="13"/>
      <c r="Z699" s="15"/>
      <c r="AA699" s="34">
        <f>$F$11</f>
        <v>500</v>
      </c>
      <c r="AB699" s="35"/>
      <c r="AF699" s="39">
        <v>500</v>
      </c>
      <c r="AG699" s="13"/>
      <c r="AH699" s="15"/>
      <c r="AI699" s="45"/>
      <c r="AJ699" s="15"/>
      <c r="AK699" s="13"/>
      <c r="AL699" s="15"/>
      <c r="AM699" s="45"/>
      <c r="AN699" s="15"/>
      <c r="AO699" s="13"/>
      <c r="AP699" s="15"/>
      <c r="AQ699" s="45"/>
      <c r="AR699" s="15"/>
      <c r="AS699" s="13"/>
      <c r="AT699" s="15"/>
      <c r="AU699" s="45"/>
      <c r="AV699" s="15"/>
      <c r="AW699" s="13"/>
      <c r="AY699" s="45"/>
      <c r="AZ699" s="35"/>
      <c r="BA699" s="13"/>
      <c r="BB699" s="15"/>
      <c r="BC699" s="45"/>
      <c r="BD699" s="35"/>
      <c r="BE699" s="14"/>
      <c r="BF699" s="41">
        <f t="shared" ref="BF699:BG699" si="2353">K699+O699+S699+W699+AA699+AE699+AI699+AM699+AQ699+AU699+AY699+BC699</f>
        <v>500</v>
      </c>
      <c r="BG699" s="34">
        <f t="shared" si="2353"/>
        <v>500</v>
      </c>
      <c r="BH699" s="35">
        <f t="shared" si="2336"/>
        <v>0</v>
      </c>
      <c r="BK699" s="2" t="b">
        <f>H699='2019'!BH582</f>
        <v>1</v>
      </c>
    </row>
    <row r="700" ht="15.75" customHeight="1" hidden="1" spans="1:63" x14ac:dyDescent="0.25">
      <c r="A700" s="247">
        <v>77</v>
      </c>
      <c r="B700" s="21"/>
      <c r="C700" s="22" t="s">
        <v>53</v>
      </c>
      <c r="D700" s="21"/>
      <c r="E700" s="22"/>
      <c r="F700" s="20"/>
      <c r="G700" s="23"/>
      <c r="H700" s="51">
        <f>SUM(H692:H699)</f>
        <v>-16.06</v>
      </c>
      <c r="I700" s="53"/>
      <c r="J700" s="53"/>
      <c r="K700" s="51">
        <f t="shared" ref="K700:L700" si="2354">SUM(K692:K699)</f>
        <v>0</v>
      </c>
      <c r="L700" s="68">
        <f t="shared" si="2354"/>
        <v>0</v>
      </c>
      <c r="M700" s="53"/>
      <c r="N700" s="53"/>
      <c r="O700" s="51">
        <f t="shared" ref="O700:P700" si="2355">SUM(O692:O699)</f>
        <v>0</v>
      </c>
      <c r="P700" s="51">
        <f t="shared" si="2355"/>
        <v>0</v>
      </c>
      <c r="Q700" s="52"/>
      <c r="R700" s="53"/>
      <c r="S700" s="51">
        <f t="shared" ref="S700:T700" si="2356">SUM(S692:S699)</f>
        <v>0</v>
      </c>
      <c r="T700" s="51">
        <f t="shared" si="2356"/>
        <v>0</v>
      </c>
      <c r="U700" s="52"/>
      <c r="V700" s="53"/>
      <c r="W700" s="51">
        <f t="shared" ref="W700:X700" si="2357">SUM(W692:W699)</f>
        <v>298.18</v>
      </c>
      <c r="X700" s="51">
        <f t="shared" si="2357"/>
        <v>242.5</v>
      </c>
      <c r="Y700" s="52"/>
      <c r="Z700" s="53"/>
      <c r="AA700" s="51">
        <f t="shared" ref="AA700:AB700" si="2358">SUM(AA692:AA699)</f>
        <v>886.06</v>
      </c>
      <c r="AB700" s="51">
        <f t="shared" si="2358"/>
        <v>0</v>
      </c>
      <c r="AC700" s="52"/>
      <c r="AD700" s="53"/>
      <c r="AE700" s="51">
        <f t="shared" ref="AE700:AF700" si="2359">SUM(AE692:AE699)</f>
        <v>4980.48</v>
      </c>
      <c r="AF700" s="51">
        <f t="shared" si="2359"/>
        <v>5657.68</v>
      </c>
      <c r="AG700" s="52"/>
      <c r="AH700" s="53"/>
      <c r="AI700" s="183">
        <f t="shared" ref="AI700:AJ700" si="2360">SUM(AI692:AI699)</f>
        <v>409.22</v>
      </c>
      <c r="AJ700" s="51">
        <f t="shared" si="2360"/>
        <v>428.68</v>
      </c>
      <c r="AK700" s="52"/>
      <c r="AL700" s="53"/>
      <c r="AM700" s="183">
        <f t="shared" ref="AM700:AN700" si="2361">SUM(AM692:AM699)</f>
        <v>380.78</v>
      </c>
      <c r="AN700" s="51">
        <f t="shared" si="2361"/>
        <v>550</v>
      </c>
      <c r="AO700" s="52"/>
      <c r="AP700" s="53"/>
      <c r="AQ700" s="183">
        <f t="shared" ref="AQ700:AR700" si="2362">SUM(AQ692:AQ699)</f>
        <v>2840.8</v>
      </c>
      <c r="AR700" s="51">
        <f t="shared" si="2362"/>
        <v>0</v>
      </c>
      <c r="AS700" s="52"/>
      <c r="AT700" s="53"/>
      <c r="AU700" s="183">
        <f t="shared" ref="AU700:AV700" si="2363">SUM(AU692:AU699)</f>
        <v>5.2</v>
      </c>
      <c r="AV700" s="68">
        <f t="shared" si="2363"/>
        <v>0</v>
      </c>
      <c r="AW700" s="52"/>
      <c r="AX700" s="53"/>
      <c r="AY700" s="183">
        <f t="shared" ref="AY700:AZ700" si="2364">SUM(AY692:AY699)</f>
        <v>0</v>
      </c>
      <c r="AZ700" s="68">
        <f t="shared" si="2364"/>
        <v>345.8</v>
      </c>
      <c r="BA700" s="52"/>
      <c r="BB700" s="53"/>
      <c r="BC700" s="183">
        <f t="shared" ref="BC700:BD700" si="2365">SUM(BC692:BC699)</f>
        <v>0</v>
      </c>
      <c r="BD700" s="68">
        <f t="shared" si="2365"/>
        <v>0</v>
      </c>
      <c r="BE700" s="69"/>
      <c r="BF700" s="70">
        <f t="shared" ref="BF700:BH700" si="2366">SUM(BF692:BF699)</f>
        <v>9800.72</v>
      </c>
      <c r="BG700" s="71">
        <f t="shared" si="2366"/>
        <v>7224.66</v>
      </c>
      <c r="BH700" s="72">
        <f t="shared" si="2366"/>
        <v>2560</v>
      </c>
      <c r="BI700" s="34">
        <f>H700+BF700-BG700</f>
        <v>2560</v>
      </c>
      <c r="BJ700" s="34">
        <f>BH700-BI700</f>
        <v>0</v>
      </c>
      <c r="BK700" s="2" t="b">
        <f>H700='2019'!BH583</f>
        <v>0</v>
      </c>
    </row>
    <row r="701" ht="15.75" customHeight="1" hidden="1" spans="1:63" x14ac:dyDescent="0.25">
      <c r="A701" s="2">
        <v>78</v>
      </c>
      <c r="B701" s="14"/>
      <c r="D701" s="14" t="s">
        <v>379</v>
      </c>
      <c r="F701" s="13"/>
      <c r="G701" s="28"/>
      <c r="H701" s="34">
        <f>'2019'!BH584</f>
        <v>0</v>
      </c>
      <c r="J701" s="15"/>
      <c r="K701" s="15"/>
      <c r="L701" s="28"/>
      <c r="Q701" s="13"/>
      <c r="R701" s="15"/>
      <c r="S701" s="15"/>
      <c r="T701" s="28"/>
      <c r="Y701" s="13"/>
      <c r="Z701" s="15"/>
      <c r="AA701" s="15"/>
      <c r="AB701" s="28"/>
      <c r="AG701" s="13"/>
      <c r="AH701" s="15"/>
      <c r="AI701" s="45"/>
      <c r="AJ701" s="15"/>
      <c r="AK701" s="13"/>
      <c r="AM701" s="45"/>
      <c r="AO701" s="13"/>
      <c r="AQ701" s="45"/>
      <c r="AS701" s="13"/>
      <c r="AU701" s="45"/>
      <c r="AW701" s="13"/>
      <c r="AY701" s="45"/>
      <c r="AZ701" s="28"/>
      <c r="BA701" s="13"/>
      <c r="BB701" s="15"/>
      <c r="BC701" s="45"/>
      <c r="BD701" s="28"/>
      <c r="BE701" s="14"/>
      <c r="BF701" s="41">
        <f t="shared" ref="BF701:BG701" si="2367">K701+O701+S701+W701+AA701+AE701+AI701+AM701+AQ701+AU701+AY701+BC701</f>
        <v>0</v>
      </c>
      <c r="BG701" s="34">
        <f t="shared" si="2367"/>
        <v>0</v>
      </c>
      <c r="BH701" s="35">
        <f t="shared" ref="BH701:BH708" si="2368">H701+BF701-BG701</f>
        <v>0</v>
      </c>
      <c r="BK701" s="2" t="b">
        <f>H701='2019'!BH584</f>
        <v>1</v>
      </c>
    </row>
    <row r="702" ht="15.75" customHeight="1" hidden="1" spans="1:63" x14ac:dyDescent="0.25">
      <c r="A702" s="2">
        <v>78</v>
      </c>
      <c r="B702" s="14">
        <v>4.03</v>
      </c>
      <c r="C702" s="2" t="s">
        <v>271</v>
      </c>
      <c r="D702" s="14" t="s">
        <v>44</v>
      </c>
      <c r="E702" s="2" t="s">
        <v>45</v>
      </c>
      <c r="F702" s="41">
        <v>2.5</v>
      </c>
      <c r="G702" s="35">
        <v>2.6</v>
      </c>
      <c r="H702" s="34">
        <f>'2019'!BH585</f>
        <v>12.5</v>
      </c>
      <c r="I702" s="13">
        <v>55</v>
      </c>
      <c r="J702" s="15">
        <f>I702-'2019'!BA585</f>
        <v>0</v>
      </c>
      <c r="K702" s="34">
        <f>J702*$F$8</f>
        <v>0</v>
      </c>
      <c r="L702" s="28"/>
      <c r="M702" s="2">
        <v>55</v>
      </c>
      <c r="N702" s="15">
        <f>M702-I702</f>
        <v>0</v>
      </c>
      <c r="O702" s="34">
        <f>N702*$F$8</f>
        <v>0</v>
      </c>
      <c r="Q702" s="13">
        <v>55</v>
      </c>
      <c r="R702" s="15">
        <f>Q702-M702</f>
        <v>0</v>
      </c>
      <c r="S702" s="34">
        <f>R702*$F$8</f>
        <v>0</v>
      </c>
      <c r="T702" s="28"/>
      <c r="U702" s="15">
        <v>55</v>
      </c>
      <c r="V702" s="15">
        <f t="shared" ref="V702:V703" si="2369">U702-Q702</f>
        <v>0</v>
      </c>
      <c r="W702" s="34">
        <f>V702*$F$8</f>
        <v>0</v>
      </c>
      <c r="X702" s="15"/>
      <c r="Y702" s="13">
        <v>56</v>
      </c>
      <c r="Z702" s="15">
        <f t="shared" ref="Z702:Z703" si="2370">Y702-U702</f>
        <v>1</v>
      </c>
      <c r="AA702" s="34">
        <f>Z702*$F$8</f>
        <v>2.5</v>
      </c>
      <c r="AB702" s="28"/>
      <c r="AC702" s="15">
        <v>57</v>
      </c>
      <c r="AD702" s="15">
        <f t="shared" ref="AD702:AD703" si="2371">AC702-Y702</f>
        <v>1</v>
      </c>
      <c r="AE702" s="34">
        <f>AD702*$F$8</f>
        <v>2.5</v>
      </c>
      <c r="AF702" s="133">
        <v>15</v>
      </c>
      <c r="AG702" s="13">
        <v>59</v>
      </c>
      <c r="AH702" s="15">
        <f t="shared" ref="AH702:AH703" si="2372">AG702-AC702</f>
        <v>2</v>
      </c>
      <c r="AI702" s="45">
        <f>AH702*$G$8</f>
        <v>5.2</v>
      </c>
      <c r="AJ702" s="185">
        <v>2.5</v>
      </c>
      <c r="AK702" s="13">
        <v>61</v>
      </c>
      <c r="AL702" s="15">
        <f t="shared" ref="AL702:AL703" si="2373">AK702-AG702</f>
        <v>2</v>
      </c>
      <c r="AM702" s="45">
        <f>AL702*$G$8</f>
        <v>5.2</v>
      </c>
      <c r="AN702" s="138">
        <f>5.2+2.55</f>
        <v>7.75</v>
      </c>
      <c r="AO702" s="13">
        <v>65</v>
      </c>
      <c r="AP702" s="15">
        <f t="shared" ref="AP702:AP703" si="2374">AO702-AK702</f>
        <v>4</v>
      </c>
      <c r="AQ702" s="45">
        <f>AP702*$G$8</f>
        <v>10.4</v>
      </c>
      <c r="AR702" s="15"/>
      <c r="AS702" s="13">
        <v>75</v>
      </c>
      <c r="AT702" s="15">
        <f t="shared" ref="AT702:AT703" si="2375">AS702-AO702</f>
        <v>10</v>
      </c>
      <c r="AU702" s="45">
        <f>AT702*$G$8</f>
        <v>26</v>
      </c>
      <c r="AV702" s="15"/>
      <c r="AW702" s="13">
        <v>75</v>
      </c>
      <c r="AX702" s="2">
        <f t="shared" ref="AX702:AX703" si="2376">AW702-AS702</f>
        <v>0</v>
      </c>
      <c r="AY702" s="45">
        <f>AX702*$G$8</f>
        <v>0</v>
      </c>
      <c r="AZ702" s="208"/>
      <c r="BA702" s="13">
        <v>75</v>
      </c>
      <c r="BB702" s="15">
        <f t="shared" ref="BB702:BB703" si="2377">BA702-AW702</f>
        <v>0</v>
      </c>
      <c r="BC702" s="45">
        <f>BB702*$G$8</f>
        <v>0</v>
      </c>
      <c r="BD702" s="208"/>
      <c r="BE702" s="40">
        <f t="shared" ref="BE702:BG702" si="2378">J702+N702+R702+V702+Z702+AD702+AH702+AL702+AP702+AT702+AX702+BB702</f>
        <v>20</v>
      </c>
      <c r="BF702" s="41">
        <f t="shared" si="2378"/>
        <v>51.8</v>
      </c>
      <c r="BG702" s="34">
        <f t="shared" si="2378"/>
        <v>25.25</v>
      </c>
      <c r="BH702" s="35">
        <f t="shared" si="2368"/>
        <v>39.05</v>
      </c>
      <c r="BK702" s="2" t="b">
        <f>H702='2019'!BH585</f>
        <v>1</v>
      </c>
    </row>
    <row r="703" ht="15.75" customHeight="1" hidden="1" spans="1:63" x14ac:dyDescent="0.25">
      <c r="A703" s="2">
        <v>78</v>
      </c>
      <c r="B703" s="14"/>
      <c r="C703" s="2" t="s">
        <v>61</v>
      </c>
      <c r="D703" s="14" t="s">
        <v>47</v>
      </c>
      <c r="E703" s="2" t="s">
        <v>48</v>
      </c>
      <c r="F703" s="13">
        <v>18.56</v>
      </c>
      <c r="G703" s="35">
        <v>19.46</v>
      </c>
      <c r="H703" s="34">
        <f>'2019'!BH586</f>
        <v>55.55</v>
      </c>
      <c r="I703" s="15">
        <v>132</v>
      </c>
      <c r="J703" s="15"/>
      <c r="K703" s="15"/>
      <c r="L703" s="28"/>
      <c r="M703" s="2">
        <v>132</v>
      </c>
      <c r="Q703" s="13">
        <v>132</v>
      </c>
      <c r="R703" s="15"/>
      <c r="S703" s="15"/>
      <c r="T703" s="28"/>
      <c r="U703" s="2">
        <v>133</v>
      </c>
      <c r="V703" s="2">
        <f t="shared" si="2369"/>
        <v>1</v>
      </c>
      <c r="W703" s="2">
        <f>V703*$F$10</f>
        <v>18.56</v>
      </c>
      <c r="Y703" s="13">
        <v>133</v>
      </c>
      <c r="Z703" s="15">
        <f t="shared" si="2370"/>
        <v>0</v>
      </c>
      <c r="AA703" s="34">
        <f>Z703*$F$10</f>
        <v>0</v>
      </c>
      <c r="AB703" s="28"/>
      <c r="AC703" s="15">
        <v>146</v>
      </c>
      <c r="AD703" s="15">
        <f t="shared" si="2371"/>
        <v>13</v>
      </c>
      <c r="AE703" s="34">
        <f>AD703*$F$10</f>
        <v>241.28</v>
      </c>
      <c r="AF703" s="133">
        <f>278.27+3.73</f>
        <v>282</v>
      </c>
      <c r="AG703" s="13">
        <v>153</v>
      </c>
      <c r="AH703" s="15">
        <f t="shared" si="2372"/>
        <v>7</v>
      </c>
      <c r="AI703" s="45">
        <f>AH703*$G$10</f>
        <v>136.22</v>
      </c>
      <c r="AJ703" s="185">
        <f>169.61+27.89</f>
        <v>197.5</v>
      </c>
      <c r="AK703" s="13">
        <v>162</v>
      </c>
      <c r="AL703" s="15">
        <f t="shared" si="2373"/>
        <v>9</v>
      </c>
      <c r="AM703" s="45">
        <f>AL703*$G$10</f>
        <v>175.14</v>
      </c>
      <c r="AN703" s="138">
        <v>147.25</v>
      </c>
      <c r="AO703" s="13">
        <v>162</v>
      </c>
      <c r="AP703" s="15">
        <f t="shared" si="2374"/>
        <v>0</v>
      </c>
      <c r="AQ703" s="45">
        <f>AP703*$G$10</f>
        <v>0</v>
      </c>
      <c r="AR703" s="15"/>
      <c r="AS703" s="13">
        <v>162</v>
      </c>
      <c r="AT703" s="15">
        <f t="shared" si="2375"/>
        <v>0</v>
      </c>
      <c r="AU703" s="45">
        <f>AT703*$G$10</f>
        <v>0</v>
      </c>
      <c r="AV703" s="15"/>
      <c r="AW703" s="13">
        <v>162</v>
      </c>
      <c r="AX703" s="2">
        <f t="shared" si="2376"/>
        <v>0</v>
      </c>
      <c r="AY703" s="45"/>
      <c r="AZ703" s="208"/>
      <c r="BA703" s="13">
        <v>162</v>
      </c>
      <c r="BB703" s="15">
        <f t="shared" si="2377"/>
        <v>0</v>
      </c>
      <c r="BC703" s="45"/>
      <c r="BD703" s="208"/>
      <c r="BE703" s="40">
        <f t="shared" ref="BE703:BG703" si="2379">J703+N703+R703+V703+Z703+AD703+AH703+AL703+AP703+AT703+AX703+BB703</f>
        <v>30</v>
      </c>
      <c r="BF703" s="41">
        <f t="shared" si="2379"/>
        <v>571.2</v>
      </c>
      <c r="BG703" s="34">
        <f t="shared" si="2379"/>
        <v>626.75</v>
      </c>
      <c r="BH703" s="35">
        <f t="shared" si="2368"/>
        <v>0</v>
      </c>
      <c r="BK703" s="2" t="b">
        <f>H703='2019'!BH586</f>
        <v>1</v>
      </c>
    </row>
    <row r="704" ht="15.75" customHeight="1" hidden="1" spans="1:63" x14ac:dyDescent="0.25">
      <c r="A704" s="2">
        <v>78</v>
      </c>
      <c r="B704" s="14"/>
      <c r="C704" s="15" t="s">
        <v>272</v>
      </c>
      <c r="D704" s="14" t="s">
        <v>47</v>
      </c>
      <c r="E704" s="2" t="s">
        <v>49</v>
      </c>
      <c r="F704" s="41">
        <v>500</v>
      </c>
      <c r="G704" s="28"/>
      <c r="H704" s="34">
        <f>'2019'!BH587</f>
        <v>0</v>
      </c>
      <c r="I704" s="15"/>
      <c r="J704" s="15"/>
      <c r="K704" s="15"/>
      <c r="L704" s="28"/>
      <c r="Q704" s="13"/>
      <c r="R704" s="15"/>
      <c r="S704" s="15"/>
      <c r="T704" s="28"/>
      <c r="Y704" s="13"/>
      <c r="Z704" s="15"/>
      <c r="AA704" s="15"/>
      <c r="AB704" s="28"/>
      <c r="AG704" s="13"/>
      <c r="AH704" s="15"/>
      <c r="AI704" s="45"/>
      <c r="AJ704" s="15"/>
      <c r="AK704" s="13"/>
      <c r="AL704" s="15"/>
      <c r="AM704" s="45"/>
      <c r="AN704" s="15"/>
      <c r="AO704" s="13"/>
      <c r="AP704" s="15"/>
      <c r="AQ704" s="45"/>
      <c r="AR704" s="15"/>
      <c r="AS704" s="13"/>
      <c r="AT704" s="15"/>
      <c r="AU704" s="45"/>
      <c r="AV704" s="15"/>
      <c r="AW704" s="13"/>
      <c r="AY704" s="45"/>
      <c r="AZ704" s="28"/>
      <c r="BA704" s="13"/>
      <c r="BB704" s="15"/>
      <c r="BC704" s="45"/>
      <c r="BD704" s="28"/>
      <c r="BE704" s="14"/>
      <c r="BF704" s="41">
        <f t="shared" ref="BF704:BG704" si="2380">K704+O704+S704+W704+AA704+AE704+AI704+AM704+AQ704+AU704+AY704+BC704</f>
        <v>0</v>
      </c>
      <c r="BG704" s="34">
        <f t="shared" si="2380"/>
        <v>0</v>
      </c>
      <c r="BH704" s="35">
        <f t="shared" si="2368"/>
        <v>0</v>
      </c>
      <c r="BK704" s="2" t="b">
        <f>H704='2019'!BH587</f>
        <v>1</v>
      </c>
    </row>
    <row r="705" ht="15.75" customHeight="1" hidden="1" spans="1:63" x14ac:dyDescent="0.25">
      <c r="A705" s="2">
        <v>78</v>
      </c>
      <c r="B705" s="14"/>
      <c r="C705" s="2" t="s">
        <v>273</v>
      </c>
      <c r="D705" s="14" t="s">
        <v>50</v>
      </c>
      <c r="E705" s="2" t="s">
        <v>49</v>
      </c>
      <c r="F705" s="41">
        <v>1100</v>
      </c>
      <c r="G705" s="28"/>
      <c r="H705" s="182">
        <f>'2019'!BH588+0.0036</f>
        <v>0</v>
      </c>
      <c r="I705" s="15"/>
      <c r="J705" s="15"/>
      <c r="K705" s="15"/>
      <c r="L705" s="28"/>
      <c r="Q705" s="13"/>
      <c r="R705" s="15"/>
      <c r="S705" s="15"/>
      <c r="T705" s="28"/>
      <c r="Y705" s="13"/>
      <c r="Z705" s="15"/>
      <c r="AA705" s="15"/>
      <c r="AB705" s="28"/>
      <c r="AE705" s="34">
        <f>B702*$F$12</f>
        <v>4433</v>
      </c>
      <c r="AF705" s="133">
        <v>4433</v>
      </c>
      <c r="AG705" s="13"/>
      <c r="AH705" s="15"/>
      <c r="AI705" s="45"/>
      <c r="AJ705" s="39"/>
      <c r="AK705" s="13"/>
      <c r="AL705" s="15"/>
      <c r="AM705" s="45"/>
      <c r="AN705" s="15"/>
      <c r="AO705" s="13"/>
      <c r="AP705" s="15"/>
      <c r="AQ705" s="45"/>
      <c r="AR705" s="15"/>
      <c r="AS705" s="13"/>
      <c r="AT705" s="15"/>
      <c r="AU705" s="45"/>
      <c r="AV705" s="15"/>
      <c r="AW705" s="13"/>
      <c r="AY705" s="45"/>
      <c r="AZ705" s="28"/>
      <c r="BA705" s="13"/>
      <c r="BB705" s="15"/>
      <c r="BC705" s="45"/>
      <c r="BD705" s="28"/>
      <c r="BE705" s="14"/>
      <c r="BF705" s="41">
        <f t="shared" ref="BF705:BG705" si="2381">K705+O705+S705+W705+AA705+AE705+AI705+AM705+AQ705+AU705+AY705+BC705</f>
        <v>4433</v>
      </c>
      <c r="BG705" s="34">
        <f t="shared" si="2381"/>
        <v>4433</v>
      </c>
      <c r="BH705" s="35">
        <f t="shared" si="2368"/>
        <v>0</v>
      </c>
      <c r="BK705" s="2" t="b">
        <f>H705='2019'!BH588</f>
        <v>0</v>
      </c>
    </row>
    <row r="706" ht="15.75" customHeight="1" hidden="1" spans="1:63" x14ac:dyDescent="0.25">
      <c r="A706" s="2">
        <v>78</v>
      </c>
      <c r="B706" s="14"/>
      <c r="C706" s="2" t="s">
        <v>274</v>
      </c>
      <c r="D706" s="14" t="s">
        <v>51</v>
      </c>
      <c r="E706" s="2" t="s">
        <v>39</v>
      </c>
      <c r="F706" s="41">
        <v>500</v>
      </c>
      <c r="G706" s="28"/>
      <c r="H706" s="34">
        <f>'2019'!BH589</f>
        <v>0</v>
      </c>
      <c r="I706" s="15"/>
      <c r="J706" s="15"/>
      <c r="K706" s="15"/>
      <c r="L706" s="28"/>
      <c r="Q706" s="13"/>
      <c r="R706" s="15"/>
      <c r="S706" s="15"/>
      <c r="T706" s="28"/>
      <c r="Y706" s="13"/>
      <c r="Z706" s="15"/>
      <c r="AA706" s="15"/>
      <c r="AB706" s="28"/>
      <c r="AE706" s="34"/>
      <c r="AF706" s="34"/>
      <c r="AG706" s="13"/>
      <c r="AH706" s="15"/>
      <c r="AI706" s="45"/>
      <c r="AJ706" s="15"/>
      <c r="AK706" s="13"/>
      <c r="AL706" s="15"/>
      <c r="AM706" s="45"/>
      <c r="AN706" s="15"/>
      <c r="AO706" s="13"/>
      <c r="AP706" s="15"/>
      <c r="AQ706" s="45">
        <f>$F$13</f>
        <v>500</v>
      </c>
      <c r="AR706" s="15"/>
      <c r="AS706" s="13"/>
      <c r="AT706" s="15"/>
      <c r="AU706" s="45"/>
      <c r="AV706" s="15"/>
      <c r="AW706" s="13"/>
      <c r="AY706" s="45"/>
      <c r="AZ706" s="28"/>
      <c r="BA706" s="13"/>
      <c r="BB706" s="15"/>
      <c r="BC706" s="45"/>
      <c r="BD706" s="28"/>
      <c r="BE706" s="14"/>
      <c r="BF706" s="41">
        <f t="shared" ref="BF706:BG706" si="2382">K706+O706+S706+W706+AA706+AE706+AI706+AM706+AQ706+AU706+AY706+BC706</f>
        <v>500</v>
      </c>
      <c r="BG706" s="34">
        <f t="shared" si="2382"/>
        <v>0</v>
      </c>
      <c r="BH706" s="35">
        <f t="shared" si="2368"/>
        <v>500</v>
      </c>
      <c r="BK706" s="2" t="b">
        <f>H706='2019'!BH589</f>
        <v>1</v>
      </c>
    </row>
    <row r="707" ht="15.75" customHeight="1" hidden="1" spans="1:60" x14ac:dyDescent="0.25">
      <c r="A707" s="2">
        <v>78</v>
      </c>
      <c r="B707" s="14"/>
      <c r="D707" s="14" t="s">
        <v>51</v>
      </c>
      <c r="E707" s="2" t="s">
        <v>49</v>
      </c>
      <c r="F707" s="41">
        <v>500</v>
      </c>
      <c r="G707" s="28"/>
      <c r="H707" s="34"/>
      <c r="I707" s="15"/>
      <c r="J707" s="15"/>
      <c r="K707" s="15"/>
      <c r="L707" s="28"/>
      <c r="Q707" s="13"/>
      <c r="R707" s="15"/>
      <c r="S707" s="15"/>
      <c r="T707" s="28"/>
      <c r="Y707" s="13"/>
      <c r="Z707" s="15"/>
      <c r="AA707" s="15"/>
      <c r="AB707" s="28"/>
      <c r="AE707" s="34"/>
      <c r="AF707" s="34"/>
      <c r="AG707" s="13"/>
      <c r="AH707" s="15"/>
      <c r="AI707" s="45"/>
      <c r="AJ707" s="15"/>
      <c r="AK707" s="13"/>
      <c r="AL707" s="15"/>
      <c r="AM707" s="45"/>
      <c r="AN707" s="15"/>
      <c r="AO707" s="13"/>
      <c r="AP707" s="15"/>
      <c r="AQ707" s="34">
        <f>B702*$F$14</f>
        <v>2015</v>
      </c>
      <c r="AR707" s="15"/>
      <c r="AS707" s="13"/>
      <c r="AT707" s="15"/>
      <c r="AU707" s="45"/>
      <c r="AV707" s="15"/>
      <c r="AW707" s="13"/>
      <c r="AY707" s="45"/>
      <c r="AZ707" s="28"/>
      <c r="BA707" s="13"/>
      <c r="BB707" s="15"/>
      <c r="BC707" s="45"/>
      <c r="BD707" s="28"/>
      <c r="BE707" s="14"/>
      <c r="BF707" s="41">
        <f t="shared" ref="BF707:BG707" si="2383">K707+O707+S707+W707+AA707+AE707+AI707+AM707+AQ707+AU707+AY707+BC707</f>
        <v>2015</v>
      </c>
      <c r="BG707" s="34">
        <f t="shared" si="2383"/>
        <v>0</v>
      </c>
      <c r="BH707" s="35">
        <f t="shared" si="2368"/>
        <v>2015</v>
      </c>
    </row>
    <row r="708" ht="15.75" customHeight="1" hidden="1" spans="1:63" x14ac:dyDescent="0.25">
      <c r="A708" s="2">
        <v>78</v>
      </c>
      <c r="B708" s="14"/>
      <c r="D708" s="14" t="s">
        <v>52</v>
      </c>
      <c r="E708" s="2" t="s">
        <v>39</v>
      </c>
      <c r="F708" s="41">
        <v>500</v>
      </c>
      <c r="G708" s="28"/>
      <c r="H708" s="34">
        <f>'2019'!BH590</f>
        <v>0</v>
      </c>
      <c r="I708" s="15"/>
      <c r="J708" s="15"/>
      <c r="K708" s="15"/>
      <c r="L708" s="28"/>
      <c r="Q708" s="13"/>
      <c r="R708" s="15"/>
      <c r="S708" s="15"/>
      <c r="T708" s="28"/>
      <c r="Y708" s="13"/>
      <c r="Z708" s="15"/>
      <c r="AA708" s="34">
        <f>$F$11</f>
        <v>500</v>
      </c>
      <c r="AB708" s="35"/>
      <c r="AF708" s="133">
        <v>500</v>
      </c>
      <c r="AG708" s="13"/>
      <c r="AH708" s="15"/>
      <c r="AI708" s="45"/>
      <c r="AJ708" s="15"/>
      <c r="AK708" s="13"/>
      <c r="AL708" s="15"/>
      <c r="AM708" s="45"/>
      <c r="AN708" s="15"/>
      <c r="AO708" s="13"/>
      <c r="AP708" s="15"/>
      <c r="AQ708" s="45"/>
      <c r="AR708" s="15"/>
      <c r="AS708" s="13"/>
      <c r="AT708" s="15"/>
      <c r="AU708" s="45"/>
      <c r="AV708" s="15"/>
      <c r="AW708" s="13"/>
      <c r="AY708" s="45"/>
      <c r="AZ708" s="35"/>
      <c r="BA708" s="13"/>
      <c r="BB708" s="15"/>
      <c r="BC708" s="45"/>
      <c r="BD708" s="35"/>
      <c r="BE708" s="14"/>
      <c r="BF708" s="41">
        <f t="shared" ref="BF708:BG708" si="2384">K708+O708+S708+W708+AA708+AE708+AI708+AM708+AQ708+AU708+AY708+BC708</f>
        <v>500</v>
      </c>
      <c r="BG708" s="34">
        <f t="shared" si="2384"/>
        <v>500</v>
      </c>
      <c r="BH708" s="35">
        <f t="shared" si="2368"/>
        <v>0</v>
      </c>
      <c r="BK708" s="2" t="b">
        <f>H708='2019'!BH590</f>
        <v>1</v>
      </c>
    </row>
    <row r="709" ht="15.75" customHeight="1" hidden="1" spans="1:63" x14ac:dyDescent="0.25">
      <c r="A709" s="247">
        <v>78</v>
      </c>
      <c r="B709" s="21"/>
      <c r="C709" s="22" t="s">
        <v>53</v>
      </c>
      <c r="D709" s="21"/>
      <c r="E709" s="22"/>
      <c r="F709" s="20"/>
      <c r="G709" s="23"/>
      <c r="H709" s="51">
        <f>SUM(H701:H708)</f>
        <v>68.05</v>
      </c>
      <c r="I709" s="53"/>
      <c r="J709" s="53"/>
      <c r="K709" s="51">
        <f t="shared" ref="K709:L709" si="2385">SUM(K701:K708)</f>
        <v>0</v>
      </c>
      <c r="L709" s="68">
        <f t="shared" si="2385"/>
        <v>0</v>
      </c>
      <c r="M709" s="53"/>
      <c r="N709" s="53"/>
      <c r="O709" s="51">
        <f t="shared" ref="O709:P709" si="2386">SUM(O701:O708)</f>
        <v>0</v>
      </c>
      <c r="P709" s="51">
        <f t="shared" si="2386"/>
        <v>0</v>
      </c>
      <c r="Q709" s="52"/>
      <c r="R709" s="53"/>
      <c r="S709" s="51">
        <f t="shared" ref="S709:T709" si="2387">SUM(S701:S708)</f>
        <v>0</v>
      </c>
      <c r="T709" s="51">
        <f t="shared" si="2387"/>
        <v>0</v>
      </c>
      <c r="U709" s="52"/>
      <c r="V709" s="53"/>
      <c r="W709" s="51">
        <f t="shared" ref="W709:X709" si="2388">SUM(W701:W708)</f>
        <v>18.56</v>
      </c>
      <c r="X709" s="51">
        <f t="shared" si="2388"/>
        <v>0</v>
      </c>
      <c r="Y709" s="52"/>
      <c r="Z709" s="53"/>
      <c r="AA709" s="51">
        <f t="shared" ref="AA709:AB709" si="2389">SUM(AA701:AA708)</f>
        <v>502.5</v>
      </c>
      <c r="AB709" s="51">
        <f t="shared" si="2389"/>
        <v>0</v>
      </c>
      <c r="AC709" s="52"/>
      <c r="AD709" s="53"/>
      <c r="AE709" s="51">
        <f t="shared" ref="AE709:AF709" si="2390">SUM(AE701:AE708)</f>
        <v>4676.78</v>
      </c>
      <c r="AF709" s="51">
        <f t="shared" si="2390"/>
        <v>5230</v>
      </c>
      <c r="AG709" s="52"/>
      <c r="AH709" s="53"/>
      <c r="AI709" s="183">
        <f t="shared" ref="AI709:AJ709" si="2391">SUM(AI701:AI708)</f>
        <v>141.42</v>
      </c>
      <c r="AJ709" s="51">
        <f t="shared" si="2391"/>
        <v>200</v>
      </c>
      <c r="AK709" s="52"/>
      <c r="AL709" s="53"/>
      <c r="AM709" s="183">
        <f t="shared" ref="AM709:AN709" si="2392">SUM(AM701:AM708)</f>
        <v>180.34</v>
      </c>
      <c r="AN709" s="51">
        <f t="shared" si="2392"/>
        <v>155</v>
      </c>
      <c r="AO709" s="52"/>
      <c r="AP709" s="53"/>
      <c r="AQ709" s="183">
        <f t="shared" ref="AQ709:AR709" si="2393">SUM(AQ701:AQ708)</f>
        <v>2525.4</v>
      </c>
      <c r="AR709" s="51">
        <f t="shared" si="2393"/>
        <v>0</v>
      </c>
      <c r="AS709" s="52"/>
      <c r="AT709" s="53"/>
      <c r="AU709" s="183">
        <f t="shared" ref="AU709:AV709" si="2394">SUM(AU701:AU708)</f>
        <v>26</v>
      </c>
      <c r="AV709" s="68">
        <f t="shared" si="2394"/>
        <v>0</v>
      </c>
      <c r="AW709" s="52"/>
      <c r="AX709" s="53"/>
      <c r="AY709" s="183">
        <f t="shared" ref="AY709:AZ709" si="2395">SUM(AY701:AY708)</f>
        <v>0</v>
      </c>
      <c r="AZ709" s="68">
        <f t="shared" si="2395"/>
        <v>0</v>
      </c>
      <c r="BA709" s="52"/>
      <c r="BB709" s="53"/>
      <c r="BC709" s="183">
        <f t="shared" ref="BC709:BD709" si="2396">SUM(BC701:BC708)</f>
        <v>0</v>
      </c>
      <c r="BD709" s="68">
        <f t="shared" si="2396"/>
        <v>0</v>
      </c>
      <c r="BE709" s="69"/>
      <c r="BF709" s="70">
        <f t="shared" ref="BF709:BH709" si="2397">SUM(BF701:BF708)</f>
        <v>8071</v>
      </c>
      <c r="BG709" s="71">
        <f t="shared" si="2397"/>
        <v>5585</v>
      </c>
      <c r="BH709" s="72">
        <f t="shared" si="2397"/>
        <v>2554.05</v>
      </c>
      <c r="BI709" s="34">
        <f>H709+BF709-BG709</f>
        <v>2554.05</v>
      </c>
      <c r="BJ709" s="34">
        <f>BH709-BI709</f>
        <v>0</v>
      </c>
      <c r="BK709" s="2" t="b">
        <f>H709='2019'!BH591</f>
        <v>0</v>
      </c>
    </row>
    <row r="710" ht="15.75" customHeight="1" hidden="1" spans="1:63" x14ac:dyDescent="0.25">
      <c r="A710" s="2">
        <v>79</v>
      </c>
      <c r="B710" s="14"/>
      <c r="D710" s="14" t="s">
        <v>411</v>
      </c>
      <c r="E710" s="2" t="s">
        <v>39</v>
      </c>
      <c r="F710" s="41"/>
      <c r="G710" s="28"/>
      <c r="H710" s="34">
        <f>'2019'!BH592</f>
        <v>2011.42</v>
      </c>
      <c r="J710" s="15"/>
      <c r="K710" s="34">
        <v>1.38</v>
      </c>
      <c r="L710" s="28"/>
      <c r="O710" s="2">
        <v>1.29</v>
      </c>
      <c r="Q710" s="13"/>
      <c r="R710" s="15"/>
      <c r="S710" s="15">
        <v>1.38</v>
      </c>
      <c r="T710" s="28"/>
      <c r="W710" s="2">
        <v>0.71</v>
      </c>
      <c r="X710" s="1">
        <v>2016.18</v>
      </c>
      <c r="Y710" s="13"/>
      <c r="Z710" s="15"/>
      <c r="AA710" s="15"/>
      <c r="AB710" s="28"/>
      <c r="AG710" s="13"/>
      <c r="AH710" s="15"/>
      <c r="AI710" s="45"/>
      <c r="AJ710" s="15"/>
      <c r="AK710" s="13"/>
      <c r="AM710" s="45"/>
      <c r="AN710" s="15"/>
      <c r="AO710" s="13"/>
      <c r="AQ710" s="45">
        <v>12.7</v>
      </c>
      <c r="AR710" s="15"/>
      <c r="AS710" s="13"/>
      <c r="AU710" s="45">
        <v>13.12</v>
      </c>
      <c r="AV710" s="15"/>
      <c r="AW710" s="13"/>
      <c r="AY710" s="45">
        <v>12.7</v>
      </c>
      <c r="AZ710" s="28"/>
      <c r="BA710" s="13"/>
      <c r="BB710" s="15"/>
      <c r="BC710" s="45">
        <v>13.12</v>
      </c>
      <c r="BD710" s="28"/>
      <c r="BE710" s="14"/>
      <c r="BF710" s="41">
        <f t="shared" ref="BF710:BG710" si="2398">K710+O710+S710+W710+AA710+AE710+AI710+AM710+AQ710+AU710+AY710+BC710</f>
        <v>56.4</v>
      </c>
      <c r="BG710" s="34">
        <f t="shared" si="2398"/>
        <v>2016.18</v>
      </c>
      <c r="BH710" s="35">
        <f t="shared" ref="BH710:BH717" si="2399">H710+BF710-BG710</f>
        <v>51.64</v>
      </c>
      <c r="BK710" s="2" t="b">
        <f>H710='2019'!BH592</f>
        <v>1</v>
      </c>
    </row>
    <row r="711" ht="15.75" customHeight="1" hidden="1" spans="1:63" x14ac:dyDescent="0.25">
      <c r="A711" s="147">
        <v>79</v>
      </c>
      <c r="B711" s="14">
        <v>4.24</v>
      </c>
      <c r="C711" s="2" t="s">
        <v>508</v>
      </c>
      <c r="D711" s="14" t="s">
        <v>44</v>
      </c>
      <c r="E711" s="2" t="s">
        <v>45</v>
      </c>
      <c r="F711" s="41">
        <v>2.5</v>
      </c>
      <c r="G711" s="35">
        <v>2.6</v>
      </c>
      <c r="H711" s="33">
        <f>'2019'!BH593</f>
        <v>69.95</v>
      </c>
      <c r="I711" s="75">
        <v>28</v>
      </c>
      <c r="J711" s="15">
        <f>I711-'2019'!BA593</f>
        <v>0</v>
      </c>
      <c r="K711" s="34">
        <f>J711*$F$8</f>
        <v>0</v>
      </c>
      <c r="L711" s="28"/>
      <c r="M711" s="2">
        <v>28</v>
      </c>
      <c r="N711" s="15">
        <f>M711-I711</f>
        <v>0</v>
      </c>
      <c r="O711" s="34">
        <f>N711*$F$8</f>
        <v>0</v>
      </c>
      <c r="Q711" s="13">
        <v>28</v>
      </c>
      <c r="R711" s="15">
        <f>Q711-M711</f>
        <v>0</v>
      </c>
      <c r="S711" s="34">
        <f>R711*$F$8</f>
        <v>0</v>
      </c>
      <c r="T711" s="28"/>
      <c r="U711" s="15">
        <v>28</v>
      </c>
      <c r="V711" s="15">
        <f t="shared" ref="V711:V712" si="2400">U711-Q711</f>
        <v>0</v>
      </c>
      <c r="W711" s="34">
        <f>V711*$F$8</f>
        <v>0</v>
      </c>
      <c r="X711" s="1">
        <v>69.95</v>
      </c>
      <c r="Y711" s="13">
        <v>28</v>
      </c>
      <c r="Z711" s="15">
        <f t="shared" ref="Z711:Z712" si="2401">Y711-U711</f>
        <v>0</v>
      </c>
      <c r="AA711" s="34">
        <f>Z711*$F$8</f>
        <v>0</v>
      </c>
      <c r="AB711" s="28"/>
      <c r="AC711" s="13">
        <v>28</v>
      </c>
      <c r="AD711" s="15">
        <f t="shared" ref="AD711:AD712" si="2402">AC711-Y711</f>
        <v>0</v>
      </c>
      <c r="AE711" s="34">
        <f>AD711*$F$8</f>
        <v>0</v>
      </c>
      <c r="AG711" s="13">
        <v>28</v>
      </c>
      <c r="AH711" s="15">
        <f t="shared" ref="AH711:AH712" si="2403">AG711-AC711</f>
        <v>0</v>
      </c>
      <c r="AI711" s="45">
        <f>AH711*$G$8</f>
        <v>0</v>
      </c>
      <c r="AJ711" s="15"/>
      <c r="AK711" s="13">
        <v>28</v>
      </c>
      <c r="AL711" s="15">
        <f t="shared" ref="AL711:AL712" si="2404">AK711-AG711</f>
        <v>0</v>
      </c>
      <c r="AM711" s="45">
        <f>AL711*$G$8</f>
        <v>0</v>
      </c>
      <c r="AN711" s="15"/>
      <c r="AO711" s="13">
        <v>28</v>
      </c>
      <c r="AP711" s="15">
        <f t="shared" ref="AP711:AP712" si="2405">AO711-AK711</f>
        <v>0</v>
      </c>
      <c r="AQ711" s="45">
        <f>AP711*$G$8</f>
        <v>0</v>
      </c>
      <c r="AR711" s="15"/>
      <c r="AS711" s="13">
        <v>28</v>
      </c>
      <c r="AT711" s="15">
        <f t="shared" ref="AT711:AT712" si="2406">AS711-AO711</f>
        <v>0</v>
      </c>
      <c r="AU711" s="45">
        <f>AT711*$G$8</f>
        <v>0</v>
      </c>
      <c r="AV711" s="15"/>
      <c r="AW711" s="13">
        <v>28</v>
      </c>
      <c r="AX711" s="2">
        <f t="shared" ref="AX711:AX712" si="2407">AW711-AS711</f>
        <v>0</v>
      </c>
      <c r="AY711" s="45">
        <f>AX711*$G$8</f>
        <v>0</v>
      </c>
      <c r="AZ711" s="208"/>
      <c r="BA711" s="13">
        <v>28</v>
      </c>
      <c r="BB711" s="15">
        <f t="shared" ref="BB711:BB712" si="2408">BA711-AW711</f>
        <v>0</v>
      </c>
      <c r="BC711" s="45">
        <f>BB711*$G$8</f>
        <v>0</v>
      </c>
      <c r="BD711" s="208"/>
      <c r="BE711" s="40">
        <f t="shared" ref="BE711:BG711" si="2409">J711+N711+R711+V711+Z711+AD711+AH711+AL711+AP711+AT711+AX711+BB711</f>
        <v>0</v>
      </c>
      <c r="BF711" s="41">
        <f t="shared" si="2409"/>
        <v>0</v>
      </c>
      <c r="BG711" s="34">
        <f t="shared" si="2409"/>
        <v>69.95</v>
      </c>
      <c r="BH711" s="35">
        <f t="shared" si="2399"/>
        <v>0</v>
      </c>
      <c r="BK711" s="2" t="b">
        <f>H711='2019'!BH593</f>
        <v>1</v>
      </c>
    </row>
    <row r="712" ht="15.75" customHeight="1" hidden="1" spans="1:63" x14ac:dyDescent="0.25">
      <c r="A712" s="2">
        <v>79</v>
      </c>
      <c r="B712" s="14"/>
      <c r="C712" s="2" t="s">
        <v>104</v>
      </c>
      <c r="D712" s="14" t="s">
        <v>47</v>
      </c>
      <c r="E712" s="2" t="s">
        <v>48</v>
      </c>
      <c r="F712" s="13">
        <v>18.56</v>
      </c>
      <c r="G712" s="35">
        <v>19.46</v>
      </c>
      <c r="H712" s="34">
        <f>'2019'!BH594</f>
        <v>37.12</v>
      </c>
      <c r="I712" s="15">
        <v>2</v>
      </c>
      <c r="J712" s="15"/>
      <c r="K712" s="15"/>
      <c r="L712" s="28"/>
      <c r="M712" s="2">
        <v>2</v>
      </c>
      <c r="Q712" s="13">
        <v>2</v>
      </c>
      <c r="R712" s="15"/>
      <c r="S712" s="15"/>
      <c r="T712" s="28"/>
      <c r="U712" s="81">
        <v>1</v>
      </c>
      <c r="V712" s="154">
        <f t="shared" si="2400"/>
        <v>-1</v>
      </c>
      <c r="W712" s="2">
        <f>V712*$F$10</f>
        <v>-18.56</v>
      </c>
      <c r="X712" s="1">
        <v>37.12</v>
      </c>
      <c r="Y712" s="13">
        <v>1</v>
      </c>
      <c r="Z712" s="15">
        <f t="shared" si="2401"/>
        <v>0</v>
      </c>
      <c r="AA712" s="34">
        <f>Z712*$F$10</f>
        <v>0</v>
      </c>
      <c r="AB712" s="28"/>
      <c r="AC712" s="15">
        <v>1</v>
      </c>
      <c r="AD712" s="15">
        <f t="shared" si="2402"/>
        <v>0</v>
      </c>
      <c r="AE712" s="34">
        <f>AD712*$F$10</f>
        <v>0</v>
      </c>
      <c r="AG712" s="13">
        <v>1</v>
      </c>
      <c r="AH712" s="15">
        <f t="shared" si="2403"/>
        <v>0</v>
      </c>
      <c r="AI712" s="45">
        <f>AH712*$G$10</f>
        <v>0</v>
      </c>
      <c r="AJ712" s="15"/>
      <c r="AK712" s="13">
        <v>1</v>
      </c>
      <c r="AL712" s="15">
        <f t="shared" si="2404"/>
        <v>0</v>
      </c>
      <c r="AM712" s="45">
        <f>AL712*$G$10</f>
        <v>0</v>
      </c>
      <c r="AN712" s="15"/>
      <c r="AO712" s="13">
        <v>1</v>
      </c>
      <c r="AP712" s="15">
        <f t="shared" si="2405"/>
        <v>0</v>
      </c>
      <c r="AQ712" s="45">
        <f>AP712*$G$10</f>
        <v>0</v>
      </c>
      <c r="AR712" s="15"/>
      <c r="AS712" s="13">
        <v>1</v>
      </c>
      <c r="AT712" s="15">
        <f t="shared" si="2406"/>
        <v>0</v>
      </c>
      <c r="AU712" s="45">
        <f>AT712*$G$10</f>
        <v>0</v>
      </c>
      <c r="AV712" s="15"/>
      <c r="AW712" s="13">
        <v>1</v>
      </c>
      <c r="AX712" s="2">
        <f t="shared" si="2407"/>
        <v>0</v>
      </c>
      <c r="AY712" s="45"/>
      <c r="AZ712" s="208"/>
      <c r="BA712" s="13">
        <v>1</v>
      </c>
      <c r="BB712" s="15">
        <f t="shared" si="2408"/>
        <v>0</v>
      </c>
      <c r="BC712" s="45"/>
      <c r="BD712" s="208"/>
      <c r="BE712" s="40">
        <f t="shared" ref="BE712:BG712" si="2410">J712+N712+R712+V712+Z712+AD712+AH712+AL712+AP712+AT712+AX712+BB712</f>
        <v>-1</v>
      </c>
      <c r="BF712" s="41">
        <f t="shared" si="2410"/>
        <v>-18.56</v>
      </c>
      <c r="BG712" s="34">
        <f t="shared" si="2410"/>
        <v>37.12</v>
      </c>
      <c r="BH712" s="35">
        <f t="shared" si="2399"/>
        <v>-18.56</v>
      </c>
      <c r="BK712" s="2" t="b">
        <f>H712='2019'!BH594</f>
        <v>1</v>
      </c>
    </row>
    <row r="713" ht="15.75" customHeight="1" hidden="1" spans="1:63" x14ac:dyDescent="0.25">
      <c r="A713" s="2">
        <v>79</v>
      </c>
      <c r="B713" s="14"/>
      <c r="C713" s="73" t="s">
        <v>413</v>
      </c>
      <c r="D713" s="14" t="s">
        <v>47</v>
      </c>
      <c r="E713" s="2" t="s">
        <v>49</v>
      </c>
      <c r="F713" s="41">
        <v>500</v>
      </c>
      <c r="G713" s="28"/>
      <c r="H713" s="34">
        <f>'2019'!BH595</f>
        <v>0</v>
      </c>
      <c r="I713" s="15"/>
      <c r="J713" s="15"/>
      <c r="K713" s="15"/>
      <c r="L713" s="28"/>
      <c r="Q713" s="13"/>
      <c r="R713" s="15"/>
      <c r="S713" s="15"/>
      <c r="T713" s="28"/>
      <c r="X713" s="1"/>
      <c r="Y713" s="13"/>
      <c r="Z713" s="15"/>
      <c r="AA713" s="34"/>
      <c r="AB713" s="28"/>
      <c r="AC713" s="15"/>
      <c r="AG713" s="13"/>
      <c r="AH713" s="15"/>
      <c r="AI713" s="45"/>
      <c r="AJ713" s="15"/>
      <c r="AK713" s="13"/>
      <c r="AL713" s="15"/>
      <c r="AM713" s="45"/>
      <c r="AN713" s="15"/>
      <c r="AO713" s="13"/>
      <c r="AP713" s="15"/>
      <c r="AQ713" s="45"/>
      <c r="AR713" s="15"/>
      <c r="AS713" s="13"/>
      <c r="AT713" s="15"/>
      <c r="AU713" s="45"/>
      <c r="AV713" s="15"/>
      <c r="AW713" s="13"/>
      <c r="AY713" s="45"/>
      <c r="AZ713" s="28"/>
      <c r="BA713" s="13"/>
      <c r="BB713" s="15"/>
      <c r="BC713" s="45"/>
      <c r="BD713" s="28"/>
      <c r="BE713" s="14"/>
      <c r="BF713" s="41">
        <f t="shared" ref="BF713:BG713" si="2411">K713+O713+S713+W713+AA713+AE713+AI713+AM713+AQ713+AU713+AY713+BC713</f>
        <v>0</v>
      </c>
      <c r="BG713" s="34">
        <f t="shared" si="2411"/>
        <v>0</v>
      </c>
      <c r="BH713" s="35">
        <f t="shared" si="2399"/>
        <v>0</v>
      </c>
      <c r="BK713" s="2" t="b">
        <f>H713='2019'!BH595</f>
        <v>1</v>
      </c>
    </row>
    <row r="714" ht="15.75" customHeight="1" hidden="1" spans="1:63" x14ac:dyDescent="0.25">
      <c r="A714" s="2">
        <v>79</v>
      </c>
      <c r="B714" s="14"/>
      <c r="C714" s="73"/>
      <c r="D714" s="14" t="s">
        <v>50</v>
      </c>
      <c r="E714" s="2" t="s">
        <v>49</v>
      </c>
      <c r="F714" s="41">
        <v>1100</v>
      </c>
      <c r="G714" s="28"/>
      <c r="H714" s="182">
        <f>'2019'!BH596-0.0012</f>
        <v>444.61</v>
      </c>
      <c r="I714" s="15"/>
      <c r="J714" s="15"/>
      <c r="K714" s="15"/>
      <c r="L714" s="28"/>
      <c r="Q714" s="13"/>
      <c r="R714" s="15"/>
      <c r="S714" s="15"/>
      <c r="T714" s="28"/>
      <c r="X714" s="1">
        <v>876.75</v>
      </c>
      <c r="Y714" s="13"/>
      <c r="Z714" s="15"/>
      <c r="AA714" s="15"/>
      <c r="AB714" s="28"/>
      <c r="AE714" s="34">
        <f>B711*$F$12</f>
        <v>4664</v>
      </c>
      <c r="AF714" s="34"/>
      <c r="AG714" s="13"/>
      <c r="AH714" s="15"/>
      <c r="AI714" s="45"/>
      <c r="AJ714" s="180"/>
      <c r="AK714" s="13"/>
      <c r="AL714" s="15"/>
      <c r="AM714" s="45"/>
      <c r="AN714" s="15"/>
      <c r="AO714" s="13"/>
      <c r="AP714" s="15"/>
      <c r="AQ714" s="45"/>
      <c r="AR714" s="15"/>
      <c r="AS714" s="13"/>
      <c r="AT714" s="15"/>
      <c r="AU714" s="45"/>
      <c r="AV714" s="15"/>
      <c r="AW714" s="13"/>
      <c r="AY714" s="45"/>
      <c r="AZ714" s="28"/>
      <c r="BA714" s="13"/>
      <c r="BB714" s="15"/>
      <c r="BC714" s="45"/>
      <c r="BD714" s="28"/>
      <c r="BE714" s="14"/>
      <c r="BF714" s="41">
        <f t="shared" ref="BF714:BG714" si="2412">K714+O714+S714+W714+AA714+AE714+AI714+AM714+AQ714+AU714+AY714+BC714</f>
        <v>4664</v>
      </c>
      <c r="BG714" s="34">
        <f t="shared" si="2412"/>
        <v>876.75</v>
      </c>
      <c r="BH714" s="35">
        <f t="shared" si="2399"/>
        <v>4231.86</v>
      </c>
      <c r="BK714" s="2" t="b">
        <f>H714='2019'!BH596</f>
        <v>0</v>
      </c>
    </row>
    <row r="715" ht="15.75" customHeight="1" hidden="1" spans="1:63" x14ac:dyDescent="0.25">
      <c r="A715" s="2">
        <v>79</v>
      </c>
      <c r="B715" s="14"/>
      <c r="C715" s="73" t="s">
        <v>435</v>
      </c>
      <c r="D715" s="14" t="s">
        <v>51</v>
      </c>
      <c r="E715" s="2" t="s">
        <v>39</v>
      </c>
      <c r="F715" s="41">
        <v>500</v>
      </c>
      <c r="G715" s="28"/>
      <c r="H715" s="34">
        <f>'2019'!BH597</f>
        <v>0</v>
      </c>
      <c r="I715" s="15"/>
      <c r="J715" s="15"/>
      <c r="K715" s="15"/>
      <c r="L715" s="28"/>
      <c r="Q715" s="13"/>
      <c r="R715" s="15"/>
      <c r="S715" s="15"/>
      <c r="T715" s="28"/>
      <c r="Y715" s="13"/>
      <c r="Z715" s="15"/>
      <c r="AA715" s="15"/>
      <c r="AB715" s="28"/>
      <c r="AE715" s="34"/>
      <c r="AG715" s="13"/>
      <c r="AH715" s="15"/>
      <c r="AI715" s="45"/>
      <c r="AJ715" s="15"/>
      <c r="AK715" s="13"/>
      <c r="AL715" s="15"/>
      <c r="AM715" s="45"/>
      <c r="AN715" s="15"/>
      <c r="AO715" s="13"/>
      <c r="AP715" s="15"/>
      <c r="AQ715" s="45">
        <f>$F$13</f>
        <v>500</v>
      </c>
      <c r="AR715" s="15"/>
      <c r="AS715" s="13"/>
      <c r="AT715" s="15"/>
      <c r="AU715" s="45"/>
      <c r="AV715" s="15"/>
      <c r="AW715" s="13"/>
      <c r="AY715" s="45"/>
      <c r="AZ715" s="28"/>
      <c r="BA715" s="13"/>
      <c r="BB715" s="15"/>
      <c r="BC715" s="45"/>
      <c r="BD715" s="28"/>
      <c r="BE715" s="14"/>
      <c r="BF715" s="41">
        <f t="shared" ref="BF715:BG715" si="2413">K715+O715+S715+W715+AA715+AE715+AI715+AM715+AQ715+AU715+AY715+BC715</f>
        <v>500</v>
      </c>
      <c r="BG715" s="34">
        <f t="shared" si="2413"/>
        <v>0</v>
      </c>
      <c r="BH715" s="35">
        <f t="shared" si="2399"/>
        <v>500</v>
      </c>
      <c r="BK715" s="2" t="b">
        <f>H715='2019'!BH597</f>
        <v>1</v>
      </c>
    </row>
    <row r="716" ht="15.75" customHeight="1" hidden="1" spans="1:60" x14ac:dyDescent="0.25">
      <c r="A716" s="2">
        <v>79</v>
      </c>
      <c r="B716" s="14"/>
      <c r="C716" s="73" t="s">
        <v>332</v>
      </c>
      <c r="D716" s="14" t="s">
        <v>51</v>
      </c>
      <c r="E716" s="2" t="s">
        <v>49</v>
      </c>
      <c r="F716" s="41">
        <v>500</v>
      </c>
      <c r="G716" s="28"/>
      <c r="H716" s="34"/>
      <c r="I716" s="15"/>
      <c r="J716" s="15"/>
      <c r="K716" s="15"/>
      <c r="L716" s="28"/>
      <c r="Q716" s="13"/>
      <c r="R716" s="15"/>
      <c r="S716" s="15"/>
      <c r="T716" s="28"/>
      <c r="Y716" s="13"/>
      <c r="Z716" s="15"/>
      <c r="AA716" s="15"/>
      <c r="AB716" s="28"/>
      <c r="AE716" s="34"/>
      <c r="AG716" s="13"/>
      <c r="AH716" s="15"/>
      <c r="AI716" s="45"/>
      <c r="AJ716" s="15"/>
      <c r="AK716" s="13"/>
      <c r="AL716" s="15"/>
      <c r="AM716" s="45"/>
      <c r="AN716" s="15"/>
      <c r="AO716" s="13"/>
      <c r="AP716" s="15"/>
      <c r="AQ716" s="34">
        <f>B711*$F$14</f>
        <v>2120</v>
      </c>
      <c r="AR716" s="15"/>
      <c r="AS716" s="13"/>
      <c r="AT716" s="15"/>
      <c r="AU716" s="45"/>
      <c r="AV716" s="15"/>
      <c r="AW716" s="13"/>
      <c r="AY716" s="45"/>
      <c r="AZ716" s="28"/>
      <c r="BA716" s="13"/>
      <c r="BB716" s="15"/>
      <c r="BC716" s="45"/>
      <c r="BD716" s="28"/>
      <c r="BE716" s="14"/>
      <c r="BF716" s="41">
        <f t="shared" ref="BF716:BG716" si="2414">K716+O716+S716+W716+AA716+AE716+AI716+AM716+AQ716+AU716+AY716+BC716</f>
        <v>2120</v>
      </c>
      <c r="BG716" s="34">
        <f t="shared" si="2414"/>
        <v>0</v>
      </c>
      <c r="BH716" s="35">
        <f t="shared" si="2399"/>
        <v>2120</v>
      </c>
    </row>
    <row r="717" ht="15.75" customHeight="1" hidden="1" spans="1:63" x14ac:dyDescent="0.25">
      <c r="A717" s="2">
        <v>79</v>
      </c>
      <c r="B717" s="14"/>
      <c r="C717" s="15"/>
      <c r="D717" s="14" t="s">
        <v>52</v>
      </c>
      <c r="E717" s="2" t="s">
        <v>39</v>
      </c>
      <c r="F717" s="41">
        <v>500</v>
      </c>
      <c r="G717" s="28"/>
      <c r="H717" s="34">
        <f>'2019'!BH598</f>
        <v>0</v>
      </c>
      <c r="I717" s="15"/>
      <c r="J717" s="15"/>
      <c r="K717" s="15"/>
      <c r="L717" s="28"/>
      <c r="Q717" s="13"/>
      <c r="R717" s="15"/>
      <c r="S717" s="15"/>
      <c r="T717" s="28"/>
      <c r="Y717" s="13"/>
      <c r="Z717" s="15"/>
      <c r="AA717" s="77"/>
      <c r="AB717" s="35"/>
      <c r="AG717" s="13"/>
      <c r="AH717" s="15"/>
      <c r="AI717" s="45"/>
      <c r="AJ717" s="15"/>
      <c r="AK717" s="13"/>
      <c r="AL717" s="15"/>
      <c r="AM717" s="45"/>
      <c r="AN717" s="15"/>
      <c r="AO717" s="13"/>
      <c r="AP717" s="15"/>
      <c r="AQ717" s="45"/>
      <c r="AR717" s="15"/>
      <c r="AS717" s="13"/>
      <c r="AT717" s="15"/>
      <c r="AU717" s="45"/>
      <c r="AV717" s="15"/>
      <c r="AW717" s="13"/>
      <c r="AY717" s="45"/>
      <c r="AZ717" s="35"/>
      <c r="BA717" s="13"/>
      <c r="BB717" s="15"/>
      <c r="BC717" s="45"/>
      <c r="BD717" s="35"/>
      <c r="BE717" s="14"/>
      <c r="BF717" s="41">
        <f t="shared" ref="BF717:BG717" si="2415">K717+O717+S717+W717+AA717+AE717+AI717+AM717+AQ717+AU717+AY717+BC717</f>
        <v>0</v>
      </c>
      <c r="BG717" s="34">
        <f t="shared" si="2415"/>
        <v>0</v>
      </c>
      <c r="BH717" s="35">
        <f t="shared" si="2399"/>
        <v>0</v>
      </c>
      <c r="BK717" s="2" t="b">
        <f>H717='2019'!BH598</f>
        <v>1</v>
      </c>
    </row>
    <row r="718" ht="15.75" customHeight="1" hidden="1" spans="1:63" x14ac:dyDescent="0.25">
      <c r="A718" s="247">
        <v>79</v>
      </c>
      <c r="B718" s="21"/>
      <c r="C718" s="22" t="s">
        <v>53</v>
      </c>
      <c r="D718" s="21"/>
      <c r="E718" s="22"/>
      <c r="F718" s="20"/>
      <c r="G718" s="23"/>
      <c r="H718" s="51">
        <f>SUM(H710:H717)</f>
        <v>2563.1</v>
      </c>
      <c r="I718" s="53"/>
      <c r="J718" s="53"/>
      <c r="K718" s="51">
        <f t="shared" ref="K718:L718" si="2416">SUM(K710:K717)</f>
        <v>1.38</v>
      </c>
      <c r="L718" s="68">
        <f t="shared" si="2416"/>
        <v>0</v>
      </c>
      <c r="M718" s="53"/>
      <c r="N718" s="53"/>
      <c r="O718" s="51">
        <f t="shared" ref="O718:P718" si="2417">SUM(O710:O717)</f>
        <v>1.29</v>
      </c>
      <c r="P718" s="51">
        <f t="shared" si="2417"/>
        <v>0</v>
      </c>
      <c r="Q718" s="52"/>
      <c r="R718" s="53"/>
      <c r="S718" s="51">
        <f t="shared" ref="S718:T718" si="2418">SUM(S710:S717)</f>
        <v>1.38</v>
      </c>
      <c r="T718" s="51">
        <f t="shared" si="2418"/>
        <v>0</v>
      </c>
      <c r="U718" s="52"/>
      <c r="V718" s="53"/>
      <c r="W718" s="51">
        <f t="shared" ref="W718:X718" si="2419">SUM(W710:W717)</f>
        <v>-17.85</v>
      </c>
      <c r="X718" s="51">
        <f t="shared" si="2419"/>
        <v>3000</v>
      </c>
      <c r="Y718" s="52"/>
      <c r="Z718" s="53"/>
      <c r="AA718" s="51">
        <f t="shared" ref="AA718:AB718" si="2420">SUM(AA710:AA717)</f>
        <v>0</v>
      </c>
      <c r="AB718" s="51">
        <f t="shared" si="2420"/>
        <v>0</v>
      </c>
      <c r="AC718" s="52"/>
      <c r="AD718" s="53"/>
      <c r="AE718" s="51">
        <f t="shared" ref="AE718:AF718" si="2421">SUM(AE710:AE717)</f>
        <v>4664</v>
      </c>
      <c r="AF718" s="51">
        <f t="shared" si="2421"/>
        <v>0</v>
      </c>
      <c r="AG718" s="52"/>
      <c r="AH718" s="53"/>
      <c r="AI718" s="183">
        <f t="shared" ref="AI718:AJ718" si="2422">SUM(AI710:AI717)</f>
        <v>0</v>
      </c>
      <c r="AJ718" s="51">
        <f t="shared" si="2422"/>
        <v>0</v>
      </c>
      <c r="AK718" s="52"/>
      <c r="AL718" s="53"/>
      <c r="AM718" s="183">
        <f t="shared" ref="AM718:AN718" si="2423">SUM(AM710:AM717)</f>
        <v>0</v>
      </c>
      <c r="AN718" s="51">
        <f t="shared" si="2423"/>
        <v>0</v>
      </c>
      <c r="AO718" s="52"/>
      <c r="AP718" s="53"/>
      <c r="AQ718" s="183">
        <f t="shared" ref="AQ718:AR718" si="2424">SUM(AQ710:AQ717)</f>
        <v>2632.7</v>
      </c>
      <c r="AR718" s="51">
        <f t="shared" si="2424"/>
        <v>0</v>
      </c>
      <c r="AS718" s="52"/>
      <c r="AT718" s="53"/>
      <c r="AU718" s="183">
        <f t="shared" ref="AU718:AV718" si="2425">SUM(AU710:AU717)</f>
        <v>13.12</v>
      </c>
      <c r="AV718" s="68">
        <f t="shared" si="2425"/>
        <v>0</v>
      </c>
      <c r="AW718" s="52"/>
      <c r="AX718" s="53"/>
      <c r="AY718" s="183">
        <f t="shared" ref="AY718:AZ718" si="2426">SUM(AY710:AY717)</f>
        <v>12.7</v>
      </c>
      <c r="AZ718" s="68">
        <f t="shared" si="2426"/>
        <v>0</v>
      </c>
      <c r="BA718" s="52"/>
      <c r="BB718" s="53"/>
      <c r="BC718" s="183">
        <f t="shared" ref="BC718:BD718" si="2427">SUM(BC710:BC717)</f>
        <v>13.12</v>
      </c>
      <c r="BD718" s="68">
        <f t="shared" si="2427"/>
        <v>0</v>
      </c>
      <c r="BE718" s="69"/>
      <c r="BF718" s="70">
        <f t="shared" ref="BF718:BH718" si="2428">SUM(BF710:BF717)</f>
        <v>7321.84</v>
      </c>
      <c r="BG718" s="71">
        <f t="shared" si="2428"/>
        <v>3000</v>
      </c>
      <c r="BH718" s="72">
        <f t="shared" si="2428"/>
        <v>6884.94</v>
      </c>
      <c r="BI718" s="34">
        <f>H718+BF718-BG718</f>
        <v>6884.94</v>
      </c>
      <c r="BJ718" s="34">
        <f>BH718-BI718</f>
        <v>0</v>
      </c>
      <c r="BK718" s="2" t="b">
        <f>H718='2019'!BH599</f>
        <v>0</v>
      </c>
    </row>
    <row r="719" ht="15.75" customHeight="1" hidden="1" spans="1:63" x14ac:dyDescent="0.25">
      <c r="A719" s="2">
        <v>81</v>
      </c>
      <c r="B719" s="14"/>
      <c r="C719" s="15"/>
      <c r="D719" s="14" t="s">
        <v>379</v>
      </c>
      <c r="E719" s="15"/>
      <c r="F719" s="13"/>
      <c r="G719" s="28"/>
      <c r="H719" s="34">
        <f>'2019'!BH600</f>
        <v>0</v>
      </c>
      <c r="I719" s="15"/>
      <c r="J719" s="15"/>
      <c r="K719" s="34"/>
      <c r="L719" s="35"/>
      <c r="M719" s="15"/>
      <c r="N719" s="15"/>
      <c r="O719" s="34"/>
      <c r="P719" s="34"/>
      <c r="Q719" s="13"/>
      <c r="R719" s="15"/>
      <c r="S719" s="34"/>
      <c r="T719" s="35"/>
      <c r="U719" s="15"/>
      <c r="V719" s="15"/>
      <c r="W719" s="34"/>
      <c r="X719" s="34"/>
      <c r="Y719" s="13"/>
      <c r="Z719" s="15"/>
      <c r="AA719" s="34"/>
      <c r="AB719" s="35"/>
      <c r="AC719" s="15"/>
      <c r="AD719" s="15"/>
      <c r="AE719" s="34"/>
      <c r="AF719" s="34"/>
      <c r="AG719" s="13"/>
      <c r="AH719" s="15"/>
      <c r="AI719" s="45"/>
      <c r="AJ719" s="34"/>
      <c r="AK719" s="13"/>
      <c r="AL719" s="15"/>
      <c r="AM719" s="45"/>
      <c r="AN719" s="34"/>
      <c r="AO719" s="13"/>
      <c r="AP719" s="15"/>
      <c r="AQ719" s="45"/>
      <c r="AR719" s="34"/>
      <c r="AS719" s="13"/>
      <c r="AT719" s="15"/>
      <c r="AU719" s="45"/>
      <c r="AV719" s="34"/>
      <c r="AW719" s="13"/>
      <c r="AX719" s="15"/>
      <c r="AY719" s="45"/>
      <c r="AZ719" s="28"/>
      <c r="BA719" s="13"/>
      <c r="BB719" s="15"/>
      <c r="BC719" s="45"/>
      <c r="BD719" s="28"/>
      <c r="BE719" s="42"/>
      <c r="BF719" s="41">
        <f t="shared" ref="BF719:BG719" si="2429">K719+O719+S719+W719+AA719+AE719+AI719+AM719+AQ719+AU719+AY719+BC719</f>
        <v>0</v>
      </c>
      <c r="BG719" s="34">
        <f t="shared" si="2429"/>
        <v>0</v>
      </c>
      <c r="BH719" s="35">
        <f t="shared" ref="BH719:BH726" si="2430">H719+BF719-BG719</f>
        <v>0</v>
      </c>
      <c r="BI719" s="15"/>
      <c r="BJ719" s="15"/>
      <c r="BK719" s="15" t="b">
        <f>H719='2019'!BH600</f>
        <v>1</v>
      </c>
    </row>
    <row r="720" ht="15.75" customHeight="1" hidden="1" spans="1:63" x14ac:dyDescent="0.25">
      <c r="A720" s="2">
        <v>81</v>
      </c>
      <c r="B720" s="42">
        <v>4.3</v>
      </c>
      <c r="C720" s="15" t="s">
        <v>278</v>
      </c>
      <c r="D720" s="14" t="s">
        <v>44</v>
      </c>
      <c r="E720" s="15" t="s">
        <v>45</v>
      </c>
      <c r="F720" s="41">
        <v>2.5</v>
      </c>
      <c r="G720" s="35">
        <v>2.6</v>
      </c>
      <c r="H720" s="104">
        <f>'2019'!BH601</f>
        <v>0</v>
      </c>
      <c r="I720" s="15"/>
      <c r="J720" s="15"/>
      <c r="K720" s="34">
        <f>J720*$F$8</f>
        <v>0</v>
      </c>
      <c r="L720" s="35"/>
      <c r="M720" s="15"/>
      <c r="N720" s="15"/>
      <c r="O720" s="34">
        <f>N720*$F$8</f>
        <v>0</v>
      </c>
      <c r="P720" s="34"/>
      <c r="Q720" s="13"/>
      <c r="R720" s="15">
        <f>Q720-M720</f>
        <v>0</v>
      </c>
      <c r="S720" s="34">
        <f>R720*$F$8</f>
        <v>0</v>
      </c>
      <c r="T720" s="35"/>
      <c r="U720" s="15"/>
      <c r="V720" s="15">
        <f t="shared" ref="V720:V721" si="2431">U720-Q720</f>
        <v>0</v>
      </c>
      <c r="W720" s="34">
        <f>V720*$F$8</f>
        <v>0</v>
      </c>
      <c r="X720" s="34"/>
      <c r="Y720" s="13"/>
      <c r="Z720" s="15">
        <f t="shared" ref="Z720:Z721" si="2432">Y720-U720</f>
        <v>0</v>
      </c>
      <c r="AA720" s="34">
        <f>Z720*$F$8</f>
        <v>0</v>
      </c>
      <c r="AB720" s="35"/>
      <c r="AC720" s="15"/>
      <c r="AD720" s="15">
        <f t="shared" ref="AD720:AD721" si="2433">AC720-Y720</f>
        <v>0</v>
      </c>
      <c r="AE720" s="34">
        <f>AD720*$F$8</f>
        <v>0</v>
      </c>
      <c r="AF720" s="34"/>
      <c r="AG720" s="13"/>
      <c r="AH720" s="15">
        <f t="shared" ref="AH720:AH721" si="2434">AG720-AC720</f>
        <v>0</v>
      </c>
      <c r="AI720" s="45">
        <f>AH720*$G$8</f>
        <v>0</v>
      </c>
      <c r="AJ720" s="15"/>
      <c r="AK720" s="13">
        <v>0</v>
      </c>
      <c r="AL720" s="15">
        <f t="shared" ref="AL720:AL721" si="2435">AK720-AG720</f>
        <v>0</v>
      </c>
      <c r="AM720" s="45">
        <f>AL720*$G$8</f>
        <v>0</v>
      </c>
      <c r="AN720" s="15"/>
      <c r="AO720" s="13">
        <v>0</v>
      </c>
      <c r="AP720" s="15">
        <f t="shared" ref="AP720:AP721" si="2436">AO720-AK720</f>
        <v>0</v>
      </c>
      <c r="AQ720" s="45">
        <f>AP720*$G$8</f>
        <v>0</v>
      </c>
      <c r="AR720" s="15"/>
      <c r="AS720" s="13">
        <v>0</v>
      </c>
      <c r="AT720" s="15">
        <f t="shared" ref="AT720:AT721" si="2437">AS720-AO720</f>
        <v>0</v>
      </c>
      <c r="AU720" s="45">
        <f>AT720*$G$8</f>
        <v>0</v>
      </c>
      <c r="AV720" s="15"/>
      <c r="AW720" s="13">
        <v>0</v>
      </c>
      <c r="AX720" s="15">
        <f t="shared" ref="AX720:AX721" si="2438">AW720-AS720</f>
        <v>0</v>
      </c>
      <c r="AY720" s="45">
        <f>AX720*$G$8</f>
        <v>0</v>
      </c>
      <c r="AZ720" s="208"/>
      <c r="BA720" s="13">
        <v>0</v>
      </c>
      <c r="BB720" s="15">
        <f t="shared" ref="BB720:BB721" si="2439">BA720-AW720</f>
        <v>0</v>
      </c>
      <c r="BC720" s="45">
        <f>BB720*$G$8</f>
        <v>0</v>
      </c>
      <c r="BD720" s="208"/>
      <c r="BE720" s="40">
        <f t="shared" ref="BE720:BG720" si="2440">J720+N720+R720+V720+Z720+AD720+AH720+AL720+AP720+AT720+AX720+BB720</f>
        <v>0</v>
      </c>
      <c r="BF720" s="41">
        <f t="shared" si="2440"/>
        <v>0</v>
      </c>
      <c r="BG720" s="34">
        <f t="shared" si="2440"/>
        <v>0</v>
      </c>
      <c r="BH720" s="35">
        <f t="shared" si="2430"/>
        <v>0</v>
      </c>
      <c r="BI720" s="15"/>
      <c r="BJ720" s="15"/>
      <c r="BK720" s="15" t="b">
        <f>H720='2019'!BH601</f>
        <v>1</v>
      </c>
    </row>
    <row r="721" ht="15.75" customHeight="1" hidden="1" spans="1:63" x14ac:dyDescent="0.25">
      <c r="A721" s="2">
        <v>81</v>
      </c>
      <c r="B721" s="14"/>
      <c r="C721" s="15" t="s">
        <v>104</v>
      </c>
      <c r="D721" s="14" t="s">
        <v>47</v>
      </c>
      <c r="E721" s="15" t="s">
        <v>48</v>
      </c>
      <c r="F721" s="13">
        <v>18.56</v>
      </c>
      <c r="G721" s="35">
        <v>19.46</v>
      </c>
      <c r="H721" s="34">
        <f>'2019'!BH602</f>
        <v>-0.66</v>
      </c>
      <c r="I721" s="75">
        <v>40</v>
      </c>
      <c r="J721" s="15"/>
      <c r="K721" s="34"/>
      <c r="L721" s="35"/>
      <c r="M721" s="75">
        <v>40</v>
      </c>
      <c r="N721" s="15"/>
      <c r="O721" s="34"/>
      <c r="P721" s="34"/>
      <c r="Q721" s="75">
        <v>40</v>
      </c>
      <c r="R721" s="15"/>
      <c r="S721" s="34"/>
      <c r="T721" s="35"/>
      <c r="U721" s="15">
        <v>40</v>
      </c>
      <c r="V721" s="2">
        <f t="shared" si="2431"/>
        <v>0</v>
      </c>
      <c r="W721" s="34">
        <f>V721*$F$10</f>
        <v>0</v>
      </c>
      <c r="X721" s="34"/>
      <c r="Y721" s="13">
        <v>40</v>
      </c>
      <c r="Z721" s="15">
        <f t="shared" si="2432"/>
        <v>0</v>
      </c>
      <c r="AA721" s="34">
        <f>Z721*$F$10</f>
        <v>0</v>
      </c>
      <c r="AB721" s="35"/>
      <c r="AC721" s="15">
        <v>40</v>
      </c>
      <c r="AD721" s="15">
        <f t="shared" si="2433"/>
        <v>0</v>
      </c>
      <c r="AE721" s="34">
        <f>AD721*$F$10</f>
        <v>0</v>
      </c>
      <c r="AF721" s="34"/>
      <c r="AG721" s="13">
        <v>40</v>
      </c>
      <c r="AH721" s="15">
        <f t="shared" si="2434"/>
        <v>0</v>
      </c>
      <c r="AI721" s="45">
        <f>AH721*$G$10</f>
        <v>0</v>
      </c>
      <c r="AJ721" s="180"/>
      <c r="AK721" s="13">
        <v>40</v>
      </c>
      <c r="AL721" s="15">
        <f t="shared" si="2435"/>
        <v>0</v>
      </c>
      <c r="AM721" s="45">
        <f>AL721*$G$10</f>
        <v>0</v>
      </c>
      <c r="AN721" s="15"/>
      <c r="AO721" s="13">
        <v>40</v>
      </c>
      <c r="AP721" s="15">
        <f t="shared" si="2436"/>
        <v>0</v>
      </c>
      <c r="AQ721" s="45">
        <f>AP721*$G$10</f>
        <v>0</v>
      </c>
      <c r="AR721" s="15"/>
      <c r="AS721" s="13">
        <v>40</v>
      </c>
      <c r="AT721" s="15">
        <f t="shared" si="2437"/>
        <v>0</v>
      </c>
      <c r="AU721" s="45">
        <f>AT721*$G$10</f>
        <v>0</v>
      </c>
      <c r="AV721" s="15"/>
      <c r="AW721" s="13">
        <v>40</v>
      </c>
      <c r="AX721" s="15">
        <f t="shared" si="2438"/>
        <v>0</v>
      </c>
      <c r="AY721" s="45"/>
      <c r="AZ721" s="208"/>
      <c r="BA721" s="13">
        <v>40</v>
      </c>
      <c r="BB721" s="15">
        <f t="shared" si="2439"/>
        <v>0</v>
      </c>
      <c r="BC721" s="45"/>
      <c r="BD721" s="208"/>
      <c r="BE721" s="40">
        <f t="shared" ref="BE721:BG721" si="2441">J721+N721+R721+V721+Z721+AD721+AH721+AL721+AP721+AT721+AX721+BB721</f>
        <v>0</v>
      </c>
      <c r="BF721" s="41">
        <f t="shared" si="2441"/>
        <v>0</v>
      </c>
      <c r="BG721" s="34">
        <f t="shared" si="2441"/>
        <v>0</v>
      </c>
      <c r="BH721" s="35">
        <f t="shared" si="2430"/>
        <v>-0.66</v>
      </c>
      <c r="BI721" s="15"/>
      <c r="BJ721" s="15"/>
      <c r="BK721" s="15" t="b">
        <f>H721='2019'!BH602</f>
        <v>1</v>
      </c>
    </row>
    <row r="722" ht="15.75" customHeight="1" hidden="1" spans="1:63" x14ac:dyDescent="0.25">
      <c r="A722" s="2">
        <v>81</v>
      </c>
      <c r="B722" s="14"/>
      <c r="C722" s="15" t="s">
        <v>332</v>
      </c>
      <c r="D722" s="14" t="s">
        <v>47</v>
      </c>
      <c r="E722" s="15" t="s">
        <v>49</v>
      </c>
      <c r="F722" s="41">
        <v>500</v>
      </c>
      <c r="G722" s="28"/>
      <c r="H722" s="34">
        <f>'2019'!BH603</f>
        <v>0</v>
      </c>
      <c r="I722" s="15"/>
      <c r="J722" s="15"/>
      <c r="K722" s="34"/>
      <c r="L722" s="35"/>
      <c r="M722" s="15"/>
      <c r="N722" s="15"/>
      <c r="O722" s="34"/>
      <c r="P722" s="34"/>
      <c r="Q722" s="13"/>
      <c r="R722" s="15"/>
      <c r="S722" s="34"/>
      <c r="T722" s="35"/>
      <c r="U722" s="15"/>
      <c r="V722" s="15"/>
      <c r="W722" s="34"/>
      <c r="X722" s="34"/>
      <c r="Y722" s="13"/>
      <c r="Z722" s="15"/>
      <c r="AA722" s="34"/>
      <c r="AB722" s="35"/>
      <c r="AC722" s="15"/>
      <c r="AD722" s="15"/>
      <c r="AE722" s="34"/>
      <c r="AF722" s="34"/>
      <c r="AG722" s="13"/>
      <c r="AH722" s="15"/>
      <c r="AI722" s="45"/>
      <c r="AJ722" s="15"/>
      <c r="AK722" s="13"/>
      <c r="AL722" s="15"/>
      <c r="AM722" s="45"/>
      <c r="AN722" s="15"/>
      <c r="AO722" s="13"/>
      <c r="AP722" s="15"/>
      <c r="AQ722" s="45"/>
      <c r="AR722" s="15"/>
      <c r="AS722" s="13"/>
      <c r="AT722" s="15"/>
      <c r="AU722" s="45"/>
      <c r="AV722" s="15"/>
      <c r="AW722" s="13"/>
      <c r="AX722" s="15"/>
      <c r="AY722" s="45"/>
      <c r="AZ722" s="28"/>
      <c r="BA722" s="13"/>
      <c r="BB722" s="15"/>
      <c r="BC722" s="45"/>
      <c r="BD722" s="28"/>
      <c r="BE722" s="14"/>
      <c r="BF722" s="41">
        <f t="shared" ref="BF722:BG722" si="2442">K722+O722+S722+W722+AA722+AE722+AI722+AM722+AQ722+AU722+AY722+BC722</f>
        <v>0</v>
      </c>
      <c r="BG722" s="34">
        <f t="shared" si="2442"/>
        <v>0</v>
      </c>
      <c r="BH722" s="35">
        <f t="shared" si="2430"/>
        <v>0</v>
      </c>
      <c r="BI722" s="15"/>
      <c r="BJ722" s="15"/>
      <c r="BK722" s="15" t="b">
        <f>H722='2019'!BH603</f>
        <v>1</v>
      </c>
    </row>
    <row r="723" ht="15.75" customHeight="1" hidden="1" spans="1:63" x14ac:dyDescent="0.25">
      <c r="A723" s="2">
        <v>81</v>
      </c>
      <c r="B723" s="14"/>
      <c r="C723" s="15"/>
      <c r="D723" s="14" t="s">
        <v>50</v>
      </c>
      <c r="E723" s="15" t="s">
        <v>49</v>
      </c>
      <c r="F723" s="41">
        <v>1100</v>
      </c>
      <c r="G723" s="28"/>
      <c r="H723" s="182">
        <f>'2019'!BH604-0.004</f>
        <v>0</v>
      </c>
      <c r="I723" s="15"/>
      <c r="J723" s="15"/>
      <c r="K723" s="34"/>
      <c r="L723" s="35"/>
      <c r="M723" s="15"/>
      <c r="N723" s="15"/>
      <c r="O723" s="34"/>
      <c r="P723" s="34"/>
      <c r="Q723" s="13"/>
      <c r="R723" s="15"/>
      <c r="S723" s="34"/>
      <c r="T723" s="35"/>
      <c r="U723" s="15"/>
      <c r="V723" s="15"/>
      <c r="W723" s="34"/>
      <c r="X723" s="34"/>
      <c r="Y723" s="13"/>
      <c r="Z723" s="15"/>
      <c r="AA723" s="34"/>
      <c r="AB723" s="35"/>
      <c r="AC723" s="15"/>
      <c r="AD723" s="15"/>
      <c r="AE723" s="34">
        <f>B720*$F$12</f>
        <v>4730</v>
      </c>
      <c r="AF723" s="133">
        <v>4730</v>
      </c>
      <c r="AG723" s="13"/>
      <c r="AH723" s="15"/>
      <c r="AI723" s="45"/>
      <c r="AJ723" s="39"/>
      <c r="AK723" s="13"/>
      <c r="AL723" s="15"/>
      <c r="AM723" s="45"/>
      <c r="AN723" s="15"/>
      <c r="AO723" s="13"/>
      <c r="AP723" s="15"/>
      <c r="AQ723" s="45"/>
      <c r="AR723" s="15"/>
      <c r="AS723" s="13"/>
      <c r="AT723" s="15"/>
      <c r="AU723" s="45"/>
      <c r="AV723" s="15"/>
      <c r="AW723" s="13"/>
      <c r="AX723" s="15"/>
      <c r="AY723" s="45"/>
      <c r="AZ723" s="28"/>
      <c r="BA723" s="13"/>
      <c r="BB723" s="15"/>
      <c r="BC723" s="45"/>
      <c r="BD723" s="28"/>
      <c r="BE723" s="14"/>
      <c r="BF723" s="41">
        <f t="shared" ref="BF723:BG723" si="2443">K723+O723+S723+W723+AA723+AE723+AI723+AM723+AQ723+AU723+AY723+BC723</f>
        <v>4730</v>
      </c>
      <c r="BG723" s="34">
        <f t="shared" si="2443"/>
        <v>4730</v>
      </c>
      <c r="BH723" s="35">
        <f t="shared" si="2430"/>
        <v>0</v>
      </c>
      <c r="BI723" s="15"/>
      <c r="BJ723" s="15"/>
      <c r="BK723" s="15" t="b">
        <f>H723='2019'!BH604</f>
        <v>0</v>
      </c>
    </row>
    <row r="724" ht="15.75" customHeight="1" hidden="1" spans="1:63" x14ac:dyDescent="0.25">
      <c r="A724" s="2">
        <v>81</v>
      </c>
      <c r="B724" s="14"/>
      <c r="C724" s="15" t="s">
        <v>509</v>
      </c>
      <c r="D724" s="14" t="s">
        <v>51</v>
      </c>
      <c r="E724" s="15" t="s">
        <v>39</v>
      </c>
      <c r="F724" s="41">
        <v>500</v>
      </c>
      <c r="G724" s="28"/>
      <c r="H724" s="34">
        <f>'2019'!BH605</f>
        <v>0</v>
      </c>
      <c r="I724" s="15"/>
      <c r="J724" s="15"/>
      <c r="K724" s="34"/>
      <c r="L724" s="35"/>
      <c r="M724" s="15"/>
      <c r="N724" s="15"/>
      <c r="O724" s="34"/>
      <c r="P724" s="34"/>
      <c r="Q724" s="13"/>
      <c r="R724" s="15"/>
      <c r="S724" s="34"/>
      <c r="T724" s="35"/>
      <c r="U724" s="15"/>
      <c r="V724" s="15"/>
      <c r="W724" s="34"/>
      <c r="X724" s="34"/>
      <c r="Y724" s="13"/>
      <c r="Z724" s="15"/>
      <c r="AA724" s="34"/>
      <c r="AB724" s="35"/>
      <c r="AC724" s="15"/>
      <c r="AD724" s="15"/>
      <c r="AE724" s="34"/>
      <c r="AF724" s="34"/>
      <c r="AG724" s="13"/>
      <c r="AH724" s="15"/>
      <c r="AI724" s="45"/>
      <c r="AJ724" s="15"/>
      <c r="AK724" s="13"/>
      <c r="AL724" s="15"/>
      <c r="AM724" s="45"/>
      <c r="AN724" s="15"/>
      <c r="AO724" s="13"/>
      <c r="AP724" s="15"/>
      <c r="AQ724" s="45">
        <f>$F$13</f>
        <v>500</v>
      </c>
      <c r="AR724" s="15"/>
      <c r="AS724" s="13"/>
      <c r="AT724" s="15"/>
      <c r="AU724" s="45"/>
      <c r="AV724" s="15"/>
      <c r="AW724" s="13"/>
      <c r="AX724" s="15"/>
      <c r="AY724" s="45"/>
      <c r="AZ724" s="28"/>
      <c r="BA724" s="13"/>
      <c r="BB724" s="15"/>
      <c r="BC724" s="45"/>
      <c r="BD724" s="28"/>
      <c r="BE724" s="14"/>
      <c r="BF724" s="41">
        <f t="shared" ref="BF724:BG724" si="2444">K724+O724+S724+W724+AA724+AE724+AI724+AM724+AQ724+AU724+AY724+BC724</f>
        <v>500</v>
      </c>
      <c r="BG724" s="34">
        <f t="shared" si="2444"/>
        <v>0</v>
      </c>
      <c r="BH724" s="35">
        <f t="shared" si="2430"/>
        <v>500</v>
      </c>
      <c r="BI724" s="15"/>
      <c r="BJ724" s="15"/>
      <c r="BK724" s="15" t="b">
        <f>H724='2019'!BH605</f>
        <v>1</v>
      </c>
    </row>
    <row r="725" ht="15.75" customHeight="1" hidden="1" spans="1:63" x14ac:dyDescent="0.25">
      <c r="A725" s="2">
        <v>81</v>
      </c>
      <c r="B725" s="14"/>
      <c r="C725" s="15"/>
      <c r="D725" s="14" t="s">
        <v>51</v>
      </c>
      <c r="E725" s="15" t="s">
        <v>49</v>
      </c>
      <c r="F725" s="41">
        <v>500</v>
      </c>
      <c r="G725" s="28"/>
      <c r="H725" s="34"/>
      <c r="I725" s="15"/>
      <c r="J725" s="15"/>
      <c r="K725" s="34"/>
      <c r="L725" s="35"/>
      <c r="M725" s="15"/>
      <c r="N725" s="15"/>
      <c r="O725" s="34"/>
      <c r="P725" s="34"/>
      <c r="Q725" s="13"/>
      <c r="R725" s="15"/>
      <c r="S725" s="34"/>
      <c r="T725" s="35"/>
      <c r="U725" s="15"/>
      <c r="V725" s="15"/>
      <c r="W725" s="34"/>
      <c r="X725" s="34"/>
      <c r="Y725" s="13"/>
      <c r="Z725" s="15"/>
      <c r="AA725" s="34"/>
      <c r="AB725" s="35"/>
      <c r="AC725" s="15"/>
      <c r="AD725" s="15"/>
      <c r="AE725" s="34"/>
      <c r="AF725" s="34"/>
      <c r="AG725" s="13"/>
      <c r="AH725" s="15"/>
      <c r="AI725" s="45"/>
      <c r="AJ725" s="15"/>
      <c r="AK725" s="13"/>
      <c r="AL725" s="15"/>
      <c r="AM725" s="45"/>
      <c r="AN725" s="15"/>
      <c r="AO725" s="13"/>
      <c r="AP725" s="15"/>
      <c r="AQ725" s="34">
        <f>B720*$F$14</f>
        <v>2150</v>
      </c>
      <c r="AR725" s="15"/>
      <c r="AS725" s="13"/>
      <c r="AT725" s="15"/>
      <c r="AU725" s="45"/>
      <c r="AV725" s="15"/>
      <c r="AW725" s="13"/>
      <c r="AX725" s="15"/>
      <c r="AY725" s="45"/>
      <c r="AZ725" s="28"/>
      <c r="BA725" s="13"/>
      <c r="BB725" s="15"/>
      <c r="BC725" s="45"/>
      <c r="BD725" s="28"/>
      <c r="BE725" s="14"/>
      <c r="BF725" s="41">
        <f t="shared" ref="BF725:BG725" si="2445">K725+O725+S725+W725+AA725+AE725+AI725+AM725+AQ725+AU725+AY725+BC725</f>
        <v>2150</v>
      </c>
      <c r="BG725" s="34">
        <f t="shared" si="2445"/>
        <v>0</v>
      </c>
      <c r="BH725" s="35">
        <f t="shared" si="2430"/>
        <v>2150</v>
      </c>
      <c r="BI725" s="15"/>
      <c r="BJ725" s="15"/>
      <c r="BK725" s="15"/>
    </row>
    <row r="726" ht="15.75" customHeight="1" hidden="1" spans="1:63" x14ac:dyDescent="0.25">
      <c r="A726" s="2">
        <v>81</v>
      </c>
      <c r="B726" s="14"/>
      <c r="C726" s="15"/>
      <c r="D726" s="14" t="s">
        <v>52</v>
      </c>
      <c r="E726" s="15" t="s">
        <v>39</v>
      </c>
      <c r="F726" s="41">
        <v>500</v>
      </c>
      <c r="G726" s="28"/>
      <c r="H726" s="34">
        <f>'2019'!BH606</f>
        <v>0</v>
      </c>
      <c r="I726" s="15"/>
      <c r="J726" s="15"/>
      <c r="K726" s="34"/>
      <c r="L726" s="35"/>
      <c r="M726" s="15"/>
      <c r="N726" s="15"/>
      <c r="O726" s="34"/>
      <c r="P726" s="34"/>
      <c r="Q726" s="13"/>
      <c r="R726" s="15"/>
      <c r="S726" s="34"/>
      <c r="T726" s="35"/>
      <c r="U726" s="15"/>
      <c r="V726" s="15"/>
      <c r="W726" s="34"/>
      <c r="X726" s="34"/>
      <c r="Y726" s="13"/>
      <c r="Z726" s="15"/>
      <c r="AA726" s="34">
        <f>$F$11</f>
        <v>500</v>
      </c>
      <c r="AB726" s="35"/>
      <c r="AC726" s="15"/>
      <c r="AD726" s="15"/>
      <c r="AE726" s="34"/>
      <c r="AF726" s="133">
        <v>500</v>
      </c>
      <c r="AG726" s="13"/>
      <c r="AH726" s="15"/>
      <c r="AI726" s="45"/>
      <c r="AJ726" s="15"/>
      <c r="AK726" s="13"/>
      <c r="AL726" s="15"/>
      <c r="AM726" s="45"/>
      <c r="AN726" s="15"/>
      <c r="AO726" s="13"/>
      <c r="AP726" s="15"/>
      <c r="AQ726" s="45"/>
      <c r="AR726" s="15"/>
      <c r="AS726" s="13"/>
      <c r="AT726" s="15"/>
      <c r="AU726" s="45"/>
      <c r="AV726" s="15"/>
      <c r="AW726" s="13"/>
      <c r="AX726" s="15"/>
      <c r="AY726" s="45"/>
      <c r="AZ726" s="35"/>
      <c r="BA726" s="13"/>
      <c r="BB726" s="15"/>
      <c r="BC726" s="45"/>
      <c r="BD726" s="35"/>
      <c r="BE726" s="14"/>
      <c r="BF726" s="41">
        <f t="shared" ref="BF726:BG726" si="2446">K726+O726+S726+W726+AA726+AE726+AI726+AM726+AQ726+AU726+AY726+BC726</f>
        <v>500</v>
      </c>
      <c r="BG726" s="34">
        <f t="shared" si="2446"/>
        <v>500</v>
      </c>
      <c r="BH726" s="35">
        <f t="shared" si="2430"/>
        <v>0</v>
      </c>
      <c r="BI726" s="15"/>
      <c r="BJ726" s="15"/>
      <c r="BK726" s="15" t="b">
        <f>H726='2019'!BH606</f>
        <v>1</v>
      </c>
    </row>
    <row r="727" ht="15.75" customHeight="1" hidden="1" spans="1:63" x14ac:dyDescent="0.25">
      <c r="A727" s="247">
        <v>81</v>
      </c>
      <c r="B727" s="21"/>
      <c r="C727" s="22" t="s">
        <v>53</v>
      </c>
      <c r="D727" s="21"/>
      <c r="E727" s="22"/>
      <c r="F727" s="20"/>
      <c r="G727" s="23"/>
      <c r="H727" s="51">
        <f>SUM(H719:H726)</f>
        <v>-0.66</v>
      </c>
      <c r="I727" s="53"/>
      <c r="J727" s="53"/>
      <c r="K727" s="51">
        <f t="shared" ref="K727:L727" si="2447">SUM(K719:K726)</f>
        <v>0</v>
      </c>
      <c r="L727" s="68">
        <f t="shared" si="2447"/>
        <v>0</v>
      </c>
      <c r="M727" s="53"/>
      <c r="N727" s="53"/>
      <c r="O727" s="51">
        <f t="shared" ref="O727:P727" si="2448">SUM(O719:O726)</f>
        <v>0</v>
      </c>
      <c r="P727" s="51">
        <f t="shared" si="2448"/>
        <v>0</v>
      </c>
      <c r="Q727" s="52"/>
      <c r="R727" s="53"/>
      <c r="S727" s="51">
        <f t="shared" ref="S727:T727" si="2449">SUM(S719:S726)</f>
        <v>0</v>
      </c>
      <c r="T727" s="51">
        <f t="shared" si="2449"/>
        <v>0</v>
      </c>
      <c r="U727" s="52"/>
      <c r="V727" s="53"/>
      <c r="W727" s="51">
        <f t="shared" ref="W727:X727" si="2450">SUM(W719:W726)</f>
        <v>0</v>
      </c>
      <c r="X727" s="51">
        <f t="shared" si="2450"/>
        <v>0</v>
      </c>
      <c r="Y727" s="52"/>
      <c r="Z727" s="53"/>
      <c r="AA727" s="51">
        <f t="shared" ref="AA727:AB727" si="2451">SUM(AA719:AA726)</f>
        <v>500</v>
      </c>
      <c r="AB727" s="51">
        <f t="shared" si="2451"/>
        <v>0</v>
      </c>
      <c r="AC727" s="52"/>
      <c r="AD727" s="53"/>
      <c r="AE727" s="51">
        <f t="shared" ref="AE727:AF727" si="2452">SUM(AE719:AE726)</f>
        <v>4730</v>
      </c>
      <c r="AF727" s="51">
        <f t="shared" si="2452"/>
        <v>5230</v>
      </c>
      <c r="AG727" s="52"/>
      <c r="AH727" s="53"/>
      <c r="AI727" s="183">
        <f t="shared" ref="AI727:AJ727" si="2453">SUM(AI719:AI726)</f>
        <v>0</v>
      </c>
      <c r="AJ727" s="51">
        <f t="shared" si="2453"/>
        <v>0</v>
      </c>
      <c r="AK727" s="52"/>
      <c r="AL727" s="53"/>
      <c r="AM727" s="183">
        <f t="shared" ref="AM727:AN727" si="2454">SUM(AM719:AM726)</f>
        <v>0</v>
      </c>
      <c r="AN727" s="51">
        <f t="shared" si="2454"/>
        <v>0</v>
      </c>
      <c r="AO727" s="52"/>
      <c r="AP727" s="53"/>
      <c r="AQ727" s="183">
        <f t="shared" ref="AQ727:AR727" si="2455">SUM(AQ719:AQ726)</f>
        <v>2650</v>
      </c>
      <c r="AR727" s="51">
        <f t="shared" si="2455"/>
        <v>0</v>
      </c>
      <c r="AS727" s="52"/>
      <c r="AT727" s="53"/>
      <c r="AU727" s="183">
        <f t="shared" ref="AU727:AV727" si="2456">SUM(AU719:AU726)</f>
        <v>0</v>
      </c>
      <c r="AV727" s="68">
        <f t="shared" si="2456"/>
        <v>0</v>
      </c>
      <c r="AW727" s="52"/>
      <c r="AX727" s="53"/>
      <c r="AY727" s="183">
        <f t="shared" ref="AY727:AZ727" si="2457">SUM(AY719:AY726)</f>
        <v>0</v>
      </c>
      <c r="AZ727" s="68">
        <f t="shared" si="2457"/>
        <v>0</v>
      </c>
      <c r="BA727" s="52"/>
      <c r="BB727" s="53"/>
      <c r="BC727" s="183">
        <f t="shared" ref="BC727:BD727" si="2458">SUM(BC719:BC726)</f>
        <v>0</v>
      </c>
      <c r="BD727" s="68">
        <f t="shared" si="2458"/>
        <v>0</v>
      </c>
      <c r="BE727" s="69"/>
      <c r="BF727" s="70">
        <f t="shared" ref="BF727:BH727" si="2459">SUM(BF719:BF726)</f>
        <v>7880</v>
      </c>
      <c r="BG727" s="71">
        <f t="shared" si="2459"/>
        <v>5230</v>
      </c>
      <c r="BH727" s="72">
        <f t="shared" si="2459"/>
        <v>2649.34</v>
      </c>
      <c r="BI727" s="34">
        <f>H727+BF727-BG727</f>
        <v>2649.34</v>
      </c>
      <c r="BJ727" s="34">
        <f>BH727-BI727</f>
        <v>0</v>
      </c>
      <c r="BK727" s="2" t="b">
        <f>H727='2019'!BH607</f>
        <v>0</v>
      </c>
    </row>
    <row r="728" ht="15.75" customHeight="1" hidden="1" spans="1:63" x14ac:dyDescent="0.25">
      <c r="A728" s="2">
        <v>83</v>
      </c>
      <c r="B728" s="14"/>
      <c r="C728" s="15"/>
      <c r="D728" s="14" t="s">
        <v>379</v>
      </c>
      <c r="E728" s="15"/>
      <c r="F728" s="13"/>
      <c r="G728" s="28"/>
      <c r="H728" s="34">
        <f>'2019'!BH608</f>
        <v>0</v>
      </c>
      <c r="I728" s="15"/>
      <c r="J728" s="15"/>
      <c r="K728" s="34"/>
      <c r="L728" s="35"/>
      <c r="M728" s="15"/>
      <c r="N728" s="15"/>
      <c r="O728" s="34"/>
      <c r="P728" s="34"/>
      <c r="Q728" s="13"/>
      <c r="R728" s="15"/>
      <c r="S728" s="34"/>
      <c r="T728" s="35"/>
      <c r="U728" s="15"/>
      <c r="V728" s="15"/>
      <c r="W728" s="34"/>
      <c r="X728" s="34"/>
      <c r="Y728" s="13"/>
      <c r="Z728" s="15"/>
      <c r="AA728" s="34"/>
      <c r="AB728" s="35"/>
      <c r="AC728" s="15"/>
      <c r="AD728" s="15"/>
      <c r="AE728" s="34"/>
      <c r="AF728" s="34"/>
      <c r="AG728" s="13"/>
      <c r="AH728" s="15"/>
      <c r="AI728" s="45"/>
      <c r="AJ728" s="34"/>
      <c r="AK728" s="13"/>
      <c r="AL728" s="15"/>
      <c r="AM728" s="45"/>
      <c r="AN728" s="34"/>
      <c r="AO728" s="13"/>
      <c r="AP728" s="15"/>
      <c r="AQ728" s="45"/>
      <c r="AR728" s="34"/>
      <c r="AS728" s="13"/>
      <c r="AT728" s="15"/>
      <c r="AU728" s="45"/>
      <c r="AV728" s="34"/>
      <c r="AW728" s="13"/>
      <c r="AX728" s="15"/>
      <c r="AY728" s="45"/>
      <c r="AZ728" s="28"/>
      <c r="BA728" s="13"/>
      <c r="BB728" s="15"/>
      <c r="BC728" s="45"/>
      <c r="BD728" s="28"/>
      <c r="BE728" s="42"/>
      <c r="BF728" s="41">
        <f t="shared" ref="BF728:BG728" si="2460">K728+O728+S728+W728+AA728+AE728+AI728+AM728+AQ728+AU728+AY728+BC728</f>
        <v>0</v>
      </c>
      <c r="BG728" s="34">
        <f t="shared" si="2460"/>
        <v>0</v>
      </c>
      <c r="BH728" s="35">
        <f t="shared" ref="BH728:BH735" si="2461">H728+BF728-BG728</f>
        <v>0</v>
      </c>
      <c r="BI728" s="15"/>
      <c r="BJ728" s="15"/>
      <c r="BK728" s="15" t="b">
        <f>H728='2019'!BH608</f>
        <v>1</v>
      </c>
    </row>
    <row r="729" ht="15.75" customHeight="1" hidden="1" spans="1:63" x14ac:dyDescent="0.25">
      <c r="A729" s="2">
        <v>83</v>
      </c>
      <c r="B729" s="14">
        <v>4.29</v>
      </c>
      <c r="C729" s="15" t="s">
        <v>280</v>
      </c>
      <c r="D729" s="14" t="s">
        <v>44</v>
      </c>
      <c r="E729" s="15" t="s">
        <v>45</v>
      </c>
      <c r="F729" s="41">
        <v>2.5</v>
      </c>
      <c r="G729" s="35">
        <v>2.6</v>
      </c>
      <c r="H729" s="34">
        <f>'2019'!BH609</f>
        <v>-122.19</v>
      </c>
      <c r="I729" s="13">
        <v>111</v>
      </c>
      <c r="J729" s="15">
        <f>I729-'2019'!BA609</f>
        <v>0</v>
      </c>
      <c r="K729" s="34">
        <f>J729*$F$8</f>
        <v>0</v>
      </c>
      <c r="L729" s="35"/>
      <c r="M729" s="15">
        <v>111</v>
      </c>
      <c r="N729" s="15">
        <f>M729-I729</f>
        <v>0</v>
      </c>
      <c r="O729" s="34">
        <f>N729*$F$8</f>
        <v>0</v>
      </c>
      <c r="P729" s="34"/>
      <c r="Q729" s="13">
        <v>111</v>
      </c>
      <c r="R729" s="15">
        <f>Q729-M729</f>
        <v>0</v>
      </c>
      <c r="S729" s="34">
        <f>R729*$F$8</f>
        <v>0</v>
      </c>
      <c r="T729" s="35"/>
      <c r="U729" s="15">
        <v>112</v>
      </c>
      <c r="V729" s="15">
        <f>U729-Q729</f>
        <v>1</v>
      </c>
      <c r="W729" s="34">
        <f>V729*$F$8</f>
        <v>2.5</v>
      </c>
      <c r="X729" s="34"/>
      <c r="Y729" s="13">
        <v>122</v>
      </c>
      <c r="Z729" s="15">
        <f t="shared" ref="Z729:Z730" si="2462">Y729-U729</f>
        <v>10</v>
      </c>
      <c r="AA729" s="34">
        <f>Z729*$F$8</f>
        <v>25</v>
      </c>
      <c r="AB729" s="35"/>
      <c r="AC729" s="15">
        <v>153</v>
      </c>
      <c r="AD729" s="15">
        <f t="shared" ref="AD729:AD730" si="2463">AC729-Y729</f>
        <v>31</v>
      </c>
      <c r="AE729" s="34">
        <f>AD729*$F$8</f>
        <v>77.5</v>
      </c>
      <c r="AF729" s="34"/>
      <c r="AG729" s="13">
        <v>184</v>
      </c>
      <c r="AH729" s="15">
        <f t="shared" ref="AH729:AH730" si="2464">AG729-AC729</f>
        <v>31</v>
      </c>
      <c r="AI729" s="45">
        <f>AH729*$G$8</f>
        <v>80.6</v>
      </c>
      <c r="AJ729" s="15"/>
      <c r="AK729" s="13">
        <v>210</v>
      </c>
      <c r="AL729" s="15">
        <f t="shared" ref="AL729:AL730" si="2465">AK729-AG729</f>
        <v>26</v>
      </c>
      <c r="AM729" s="45">
        <f>AL729*$G$8</f>
        <v>67.6</v>
      </c>
      <c r="AN729" s="15"/>
      <c r="AO729" s="13">
        <v>226</v>
      </c>
      <c r="AP729" s="15">
        <f t="shared" ref="AP729:AP730" si="2466">AO729-AK729</f>
        <v>16</v>
      </c>
      <c r="AQ729" s="45">
        <f>AP729*$G$8</f>
        <v>41.6</v>
      </c>
      <c r="AR729" s="15"/>
      <c r="AS729" s="13">
        <v>227</v>
      </c>
      <c r="AT729" s="15">
        <f t="shared" ref="AT729:AT730" si="2467">AS729-AO729</f>
        <v>1</v>
      </c>
      <c r="AU729" s="45">
        <f>AT729*$G$8</f>
        <v>2.6</v>
      </c>
      <c r="AV729" s="15"/>
      <c r="AW729" s="13">
        <v>227</v>
      </c>
      <c r="AX729" s="15">
        <f t="shared" ref="AX729:AX730" si="2468">AW729-AS729</f>
        <v>0</v>
      </c>
      <c r="AY729" s="45">
        <f>AX729*$G$8</f>
        <v>0</v>
      </c>
      <c r="AZ729" s="208"/>
      <c r="BA729" s="13">
        <v>227</v>
      </c>
      <c r="BB729" s="15">
        <f t="shared" ref="BB729:BB730" si="2469">BA729-AW729</f>
        <v>0</v>
      </c>
      <c r="BC729" s="45">
        <f>BB729*$G$8</f>
        <v>0</v>
      </c>
      <c r="BD729" s="208"/>
      <c r="BE729" s="40">
        <f t="shared" ref="BE729:BG729" si="2470">J729+N729+R729+V729+Z729+AD729+AH729+AL729+AP729+AT729+AX729+BB729</f>
        <v>116</v>
      </c>
      <c r="BF729" s="41">
        <f t="shared" si="2470"/>
        <v>297.4</v>
      </c>
      <c r="BG729" s="34">
        <f t="shared" si="2470"/>
        <v>0</v>
      </c>
      <c r="BH729" s="35">
        <f t="shared" si="2461"/>
        <v>175.21</v>
      </c>
      <c r="BI729" s="15"/>
      <c r="BJ729" s="15"/>
      <c r="BK729" s="15" t="b">
        <f>H729='2019'!BH609</f>
        <v>1</v>
      </c>
    </row>
    <row r="730" ht="15.75" customHeight="1" hidden="1" spans="1:63" x14ac:dyDescent="0.25">
      <c r="A730" s="2">
        <v>83</v>
      </c>
      <c r="B730" s="14"/>
      <c r="C730" s="15" t="s">
        <v>61</v>
      </c>
      <c r="D730" s="14" t="s">
        <v>47</v>
      </c>
      <c r="E730" s="15" t="s">
        <v>48</v>
      </c>
      <c r="F730" s="13">
        <v>18.56</v>
      </c>
      <c r="G730" s="35">
        <v>19.46</v>
      </c>
      <c r="H730" s="34">
        <f>'2019'!BH610</f>
        <v>74.24</v>
      </c>
      <c r="I730" s="75">
        <v>46</v>
      </c>
      <c r="J730" s="15"/>
      <c r="K730" s="34"/>
      <c r="L730" s="35"/>
      <c r="M730" s="75">
        <v>46</v>
      </c>
      <c r="N730" s="15"/>
      <c r="O730" s="34"/>
      <c r="P730" s="34"/>
      <c r="Q730" s="75">
        <v>46</v>
      </c>
      <c r="R730" s="15"/>
      <c r="S730" s="34"/>
      <c r="T730" s="35"/>
      <c r="U730" s="184">
        <v>0</v>
      </c>
      <c r="V730" s="154">
        <v>0</v>
      </c>
      <c r="W730" s="34">
        <f>V730*$F$10</f>
        <v>0</v>
      </c>
      <c r="X730" s="34"/>
      <c r="Y730" s="184">
        <v>3</v>
      </c>
      <c r="Z730" s="15">
        <f t="shared" si="2462"/>
        <v>3</v>
      </c>
      <c r="AA730" s="34">
        <f>Z730*$F$10</f>
        <v>55.68</v>
      </c>
      <c r="AB730" s="35"/>
      <c r="AC730" s="15">
        <v>3</v>
      </c>
      <c r="AD730" s="15">
        <f t="shared" si="2463"/>
        <v>0</v>
      </c>
      <c r="AE730" s="34">
        <f>AD730*$F$10</f>
        <v>0</v>
      </c>
      <c r="AF730" s="133">
        <f>129.92+151.08</f>
        <v>281</v>
      </c>
      <c r="AG730" s="13">
        <v>3</v>
      </c>
      <c r="AH730" s="15">
        <f t="shared" si="2464"/>
        <v>0</v>
      </c>
      <c r="AI730" s="45">
        <f>AH730*$G$10</f>
        <v>0</v>
      </c>
      <c r="AJ730" s="15"/>
      <c r="AK730" s="13">
        <v>3</v>
      </c>
      <c r="AL730" s="15">
        <f t="shared" si="2465"/>
        <v>0</v>
      </c>
      <c r="AM730" s="45">
        <f>AL730*$G$10</f>
        <v>0</v>
      </c>
      <c r="AN730" s="15"/>
      <c r="AO730" s="13">
        <v>17</v>
      </c>
      <c r="AP730" s="15">
        <f t="shared" si="2466"/>
        <v>14</v>
      </c>
      <c r="AQ730" s="45">
        <f>AP730*$G$10</f>
        <v>272.44</v>
      </c>
      <c r="AR730" s="15"/>
      <c r="AS730" s="13">
        <v>17</v>
      </c>
      <c r="AT730" s="15">
        <f t="shared" si="2467"/>
        <v>0</v>
      </c>
      <c r="AU730" s="45">
        <f>AT730*$G$10</f>
        <v>0</v>
      </c>
      <c r="AV730" s="15"/>
      <c r="AW730" s="13">
        <v>17</v>
      </c>
      <c r="AX730" s="15">
        <f t="shared" si="2468"/>
        <v>0</v>
      </c>
      <c r="AY730" s="45"/>
      <c r="AZ730" s="208"/>
      <c r="BA730" s="13">
        <v>17</v>
      </c>
      <c r="BB730" s="15">
        <f t="shared" si="2469"/>
        <v>0</v>
      </c>
      <c r="BC730" s="45"/>
      <c r="BD730" s="208"/>
      <c r="BE730" s="40">
        <f t="shared" ref="BE730:BG730" si="2471">J730+N730+R730+V730+Z730+AD730+AH730+AL730+AP730+AT730+AX730+BB730</f>
        <v>17</v>
      </c>
      <c r="BF730" s="41">
        <f t="shared" si="2471"/>
        <v>328.12</v>
      </c>
      <c r="BG730" s="34">
        <f t="shared" si="2471"/>
        <v>281</v>
      </c>
      <c r="BH730" s="35">
        <f t="shared" si="2461"/>
        <v>121.36</v>
      </c>
      <c r="BI730" s="15"/>
      <c r="BJ730" s="15"/>
      <c r="BK730" s="15" t="b">
        <f>H730='2019'!BH610</f>
        <v>1</v>
      </c>
    </row>
    <row r="731" ht="15.75" customHeight="1" hidden="1" spans="1:63" x14ac:dyDescent="0.25">
      <c r="A731" s="2">
        <v>83</v>
      </c>
      <c r="B731" s="14"/>
      <c r="C731" s="15" t="s">
        <v>102</v>
      </c>
      <c r="D731" s="14" t="s">
        <v>47</v>
      </c>
      <c r="E731" s="15" t="s">
        <v>49</v>
      </c>
      <c r="F731" s="41">
        <v>500</v>
      </c>
      <c r="G731" s="28"/>
      <c r="H731" s="34">
        <f>'2019'!BH611</f>
        <v>0</v>
      </c>
      <c r="I731" s="15"/>
      <c r="J731" s="15"/>
      <c r="K731" s="34"/>
      <c r="L731" s="35"/>
      <c r="M731" s="15"/>
      <c r="N731" s="15"/>
      <c r="O731" s="34"/>
      <c r="P731" s="34"/>
      <c r="Q731" s="13"/>
      <c r="R731" s="15"/>
      <c r="S731" s="34"/>
      <c r="T731" s="35"/>
      <c r="U731" s="15"/>
      <c r="V731" s="15"/>
      <c r="W731" s="34"/>
      <c r="X731" s="34"/>
      <c r="Y731" s="13"/>
      <c r="Z731" s="15"/>
      <c r="AA731" s="34"/>
      <c r="AB731" s="35"/>
      <c r="AC731" s="15"/>
      <c r="AD731" s="15"/>
      <c r="AE731" s="34"/>
      <c r="AF731" s="34"/>
      <c r="AG731" s="13"/>
      <c r="AH731" s="15"/>
      <c r="AI731" s="45"/>
      <c r="AJ731" s="15"/>
      <c r="AK731" s="13"/>
      <c r="AL731" s="15"/>
      <c r="AM731" s="45"/>
      <c r="AN731" s="15"/>
      <c r="AO731" s="13"/>
      <c r="AP731" s="15"/>
      <c r="AQ731" s="45"/>
      <c r="AR731" s="15"/>
      <c r="AS731" s="13"/>
      <c r="AT731" s="15"/>
      <c r="AU731" s="45"/>
      <c r="AV731" s="15"/>
      <c r="AW731" s="13"/>
      <c r="AX731" s="15"/>
      <c r="AY731" s="45"/>
      <c r="AZ731" s="28"/>
      <c r="BA731" s="13"/>
      <c r="BB731" s="15"/>
      <c r="BC731" s="45"/>
      <c r="BD731" s="28"/>
      <c r="BE731" s="14"/>
      <c r="BF731" s="41">
        <f t="shared" ref="BF731:BG731" si="2472">K731+O731+S731+W731+AA731+AE731+AI731+AM731+AQ731+AU731+AY731+BC731</f>
        <v>0</v>
      </c>
      <c r="BG731" s="34">
        <f t="shared" si="2472"/>
        <v>0</v>
      </c>
      <c r="BH731" s="35">
        <f t="shared" si="2461"/>
        <v>0</v>
      </c>
      <c r="BI731" s="15"/>
      <c r="BJ731" s="15"/>
      <c r="BK731" s="15" t="b">
        <f>H731='2019'!BH611</f>
        <v>1</v>
      </c>
    </row>
    <row r="732" ht="15.75" customHeight="1" hidden="1" spans="1:63" x14ac:dyDescent="0.25">
      <c r="A732" s="2">
        <v>83</v>
      </c>
      <c r="B732" s="14"/>
      <c r="C732" s="73"/>
      <c r="D732" s="14" t="s">
        <v>50</v>
      </c>
      <c r="E732" s="15" t="s">
        <v>49</v>
      </c>
      <c r="F732" s="41">
        <v>1100</v>
      </c>
      <c r="G732" s="28"/>
      <c r="H732" s="182">
        <f>'2019'!BH612+0.0048</f>
        <v>0</v>
      </c>
      <c r="I732" s="15"/>
      <c r="J732" s="15"/>
      <c r="K732" s="34"/>
      <c r="L732" s="35"/>
      <c r="M732" s="15"/>
      <c r="N732" s="15"/>
      <c r="O732" s="34"/>
      <c r="P732" s="34"/>
      <c r="Q732" s="13"/>
      <c r="R732" s="15"/>
      <c r="S732" s="34"/>
      <c r="T732" s="35"/>
      <c r="U732" s="15"/>
      <c r="V732" s="15"/>
      <c r="W732" s="34"/>
      <c r="X732" s="34"/>
      <c r="Y732" s="13"/>
      <c r="Z732" s="15"/>
      <c r="AA732" s="34"/>
      <c r="AB732" s="35"/>
      <c r="AC732" s="15"/>
      <c r="AD732" s="15"/>
      <c r="AE732" s="34">
        <f>B729*$F$12</f>
        <v>4719</v>
      </c>
      <c r="AF732" s="133">
        <v>4719</v>
      </c>
      <c r="AG732" s="13"/>
      <c r="AH732" s="15"/>
      <c r="AI732" s="45"/>
      <c r="AJ732" s="34"/>
      <c r="AK732" s="13"/>
      <c r="AL732" s="15"/>
      <c r="AM732" s="45"/>
      <c r="AN732" s="15"/>
      <c r="AO732" s="13"/>
      <c r="AP732" s="15"/>
      <c r="AQ732" s="45"/>
      <c r="AR732" s="15"/>
      <c r="AS732" s="13"/>
      <c r="AT732" s="15"/>
      <c r="AU732" s="45"/>
      <c r="AV732" s="15"/>
      <c r="AW732" s="13"/>
      <c r="AX732" s="15"/>
      <c r="AY732" s="45"/>
      <c r="AZ732" s="28"/>
      <c r="BA732" s="13"/>
      <c r="BB732" s="15"/>
      <c r="BC732" s="45"/>
      <c r="BD732" s="28"/>
      <c r="BE732" s="14"/>
      <c r="BF732" s="41">
        <f t="shared" ref="BF732:BG732" si="2473">K732+O732+S732+W732+AA732+AE732+AI732+AM732+AQ732+AU732+AY732+BC732</f>
        <v>4719</v>
      </c>
      <c r="BG732" s="34">
        <f t="shared" si="2473"/>
        <v>4719</v>
      </c>
      <c r="BH732" s="35">
        <f t="shared" si="2461"/>
        <v>0</v>
      </c>
      <c r="BI732" s="15"/>
      <c r="BJ732" s="15"/>
      <c r="BK732" s="15" t="b">
        <f>H732='2019'!BH612</f>
        <v>0</v>
      </c>
    </row>
    <row r="733" ht="15.75" customHeight="1" hidden="1" spans="1:63" x14ac:dyDescent="0.25">
      <c r="A733" s="2">
        <v>83</v>
      </c>
      <c r="B733" s="14"/>
      <c r="C733" s="15" t="s">
        <v>153</v>
      </c>
      <c r="D733" s="14" t="s">
        <v>51</v>
      </c>
      <c r="E733" s="15" t="s">
        <v>39</v>
      </c>
      <c r="F733" s="41">
        <v>500</v>
      </c>
      <c r="G733" s="28"/>
      <c r="H733" s="34">
        <f>'2019'!BH613</f>
        <v>0</v>
      </c>
      <c r="I733" s="15"/>
      <c r="J733" s="15"/>
      <c r="K733" s="34"/>
      <c r="L733" s="35"/>
      <c r="M733" s="15"/>
      <c r="N733" s="15"/>
      <c r="O733" s="34"/>
      <c r="P733" s="34"/>
      <c r="Q733" s="13"/>
      <c r="R733" s="15"/>
      <c r="S733" s="34"/>
      <c r="T733" s="35"/>
      <c r="U733" s="15"/>
      <c r="V733" s="15"/>
      <c r="W733" s="34"/>
      <c r="X733" s="34"/>
      <c r="Y733" s="13"/>
      <c r="Z733" s="15"/>
      <c r="AA733" s="34"/>
      <c r="AB733" s="35"/>
      <c r="AC733" s="15"/>
      <c r="AD733" s="15"/>
      <c r="AE733" s="34"/>
      <c r="AF733" s="34"/>
      <c r="AG733" s="13"/>
      <c r="AH733" s="15"/>
      <c r="AI733" s="45"/>
      <c r="AJ733" s="15"/>
      <c r="AK733" s="13"/>
      <c r="AL733" s="15"/>
      <c r="AM733" s="45"/>
      <c r="AN733" s="15"/>
      <c r="AO733" s="13"/>
      <c r="AP733" s="15"/>
      <c r="AQ733" s="45">
        <f>$F$13</f>
        <v>500</v>
      </c>
      <c r="AR733" s="15"/>
      <c r="AS733" s="13"/>
      <c r="AT733" s="15"/>
      <c r="AU733" s="45"/>
      <c r="AV733" s="15"/>
      <c r="AW733" s="13"/>
      <c r="AX733" s="15"/>
      <c r="AY733" s="45"/>
      <c r="AZ733" s="28"/>
      <c r="BA733" s="13"/>
      <c r="BB733" s="15"/>
      <c r="BC733" s="45"/>
      <c r="BD733" s="28"/>
      <c r="BE733" s="14"/>
      <c r="BF733" s="41">
        <f t="shared" ref="BF733:BG733" si="2474">K733+O733+S733+W733+AA733+AE733+AI733+AM733+AQ733+AU733+AY733+BC733</f>
        <v>500</v>
      </c>
      <c r="BG733" s="34">
        <f t="shared" si="2474"/>
        <v>0</v>
      </c>
      <c r="BH733" s="35">
        <f t="shared" si="2461"/>
        <v>500</v>
      </c>
      <c r="BI733" s="15"/>
      <c r="BJ733" s="15"/>
      <c r="BK733" s="15" t="b">
        <f>H733='2019'!BH613</f>
        <v>1</v>
      </c>
    </row>
    <row r="734" ht="15.75" customHeight="1" hidden="1" spans="1:63" x14ac:dyDescent="0.25">
      <c r="A734" s="2">
        <v>83</v>
      </c>
      <c r="B734" s="14"/>
      <c r="C734" s="15"/>
      <c r="D734" s="14" t="s">
        <v>51</v>
      </c>
      <c r="E734" s="15" t="s">
        <v>49</v>
      </c>
      <c r="F734" s="41">
        <v>500</v>
      </c>
      <c r="G734" s="28"/>
      <c r="H734" s="34"/>
      <c r="I734" s="15"/>
      <c r="J734" s="15"/>
      <c r="K734" s="34"/>
      <c r="L734" s="35"/>
      <c r="M734" s="15"/>
      <c r="N734" s="15"/>
      <c r="O734" s="34"/>
      <c r="P734" s="34"/>
      <c r="Q734" s="13"/>
      <c r="R734" s="15"/>
      <c r="S734" s="34"/>
      <c r="T734" s="35"/>
      <c r="U734" s="15"/>
      <c r="V734" s="15"/>
      <c r="W734" s="34"/>
      <c r="X734" s="34"/>
      <c r="Y734" s="13"/>
      <c r="Z734" s="15"/>
      <c r="AA734" s="34"/>
      <c r="AB734" s="35"/>
      <c r="AC734" s="15"/>
      <c r="AD734" s="15"/>
      <c r="AE734" s="34"/>
      <c r="AF734" s="34"/>
      <c r="AG734" s="13"/>
      <c r="AH734" s="15"/>
      <c r="AI734" s="45"/>
      <c r="AJ734" s="15"/>
      <c r="AK734" s="13"/>
      <c r="AL734" s="15"/>
      <c r="AM734" s="45"/>
      <c r="AN734" s="15"/>
      <c r="AO734" s="13"/>
      <c r="AP734" s="15"/>
      <c r="AQ734" s="34">
        <f>B729*$F$14</f>
        <v>2145</v>
      </c>
      <c r="AR734" s="15"/>
      <c r="AS734" s="13"/>
      <c r="AT734" s="15"/>
      <c r="AU734" s="45"/>
      <c r="AV734" s="15"/>
      <c r="AW734" s="13"/>
      <c r="AX734" s="15"/>
      <c r="AY734" s="45"/>
      <c r="AZ734" s="28"/>
      <c r="BA734" s="13"/>
      <c r="BB734" s="15"/>
      <c r="BC734" s="45"/>
      <c r="BD734" s="28"/>
      <c r="BE734" s="14"/>
      <c r="BF734" s="41">
        <f t="shared" ref="BF734:BG734" si="2475">K734+O734+S734+W734+AA734+AE734+AI734+AM734+AQ734+AU734+AY734+BC734</f>
        <v>2145</v>
      </c>
      <c r="BG734" s="34">
        <f t="shared" si="2475"/>
        <v>0</v>
      </c>
      <c r="BH734" s="35">
        <f t="shared" si="2461"/>
        <v>2145</v>
      </c>
      <c r="BI734" s="15"/>
      <c r="BJ734" s="15"/>
      <c r="BK734" s="15"/>
    </row>
    <row r="735" ht="15.75" customHeight="1" hidden="1" spans="1:63" x14ac:dyDescent="0.25">
      <c r="A735" s="2">
        <v>83</v>
      </c>
      <c r="B735" s="14"/>
      <c r="C735" s="15" t="s">
        <v>281</v>
      </c>
      <c r="D735" s="14" t="s">
        <v>52</v>
      </c>
      <c r="E735" s="15" t="s">
        <v>39</v>
      </c>
      <c r="F735" s="41">
        <v>500</v>
      </c>
      <c r="G735" s="28"/>
      <c r="H735" s="34">
        <f>'2019'!BH614</f>
        <v>0</v>
      </c>
      <c r="I735" s="15"/>
      <c r="J735" s="15"/>
      <c r="K735" s="34"/>
      <c r="L735" s="35"/>
      <c r="M735" s="15"/>
      <c r="N735" s="15"/>
      <c r="O735" s="34"/>
      <c r="P735" s="34"/>
      <c r="Q735" s="13"/>
      <c r="R735" s="15"/>
      <c r="S735" s="34"/>
      <c r="T735" s="35"/>
      <c r="U735" s="15"/>
      <c r="V735" s="15"/>
      <c r="W735" s="34"/>
      <c r="X735" s="34"/>
      <c r="Y735" s="13"/>
      <c r="Z735" s="15"/>
      <c r="AA735" s="34">
        <f>$F$11</f>
        <v>500</v>
      </c>
      <c r="AB735" s="35"/>
      <c r="AC735" s="15"/>
      <c r="AD735" s="15"/>
      <c r="AE735" s="34"/>
      <c r="AF735" s="133">
        <v>500</v>
      </c>
      <c r="AG735" s="13"/>
      <c r="AH735" s="15"/>
      <c r="AI735" s="45"/>
      <c r="AJ735" s="15"/>
      <c r="AK735" s="13"/>
      <c r="AL735" s="15"/>
      <c r="AM735" s="45"/>
      <c r="AN735" s="15"/>
      <c r="AO735" s="13"/>
      <c r="AP735" s="15"/>
      <c r="AQ735" s="45"/>
      <c r="AR735" s="15"/>
      <c r="AS735" s="13"/>
      <c r="AT735" s="15"/>
      <c r="AU735" s="45"/>
      <c r="AV735" s="15"/>
      <c r="AW735" s="13"/>
      <c r="AX735" s="15"/>
      <c r="AY735" s="45"/>
      <c r="AZ735" s="35"/>
      <c r="BA735" s="13"/>
      <c r="BB735" s="15"/>
      <c r="BC735" s="45"/>
      <c r="BD735" s="35"/>
      <c r="BE735" s="14"/>
      <c r="BF735" s="41">
        <f t="shared" ref="BF735:BG735" si="2476">K735+O735+S735+W735+AA735+AE735+AI735+AM735+AQ735+AU735+AY735+BC735</f>
        <v>500</v>
      </c>
      <c r="BG735" s="34">
        <f t="shared" si="2476"/>
        <v>500</v>
      </c>
      <c r="BH735" s="35">
        <f t="shared" si="2461"/>
        <v>0</v>
      </c>
      <c r="BI735" s="15"/>
      <c r="BJ735" s="15"/>
      <c r="BK735" s="15" t="b">
        <f>H735='2019'!BH614</f>
        <v>1</v>
      </c>
    </row>
    <row r="736" ht="15.75" customHeight="1" hidden="1" spans="1:63" x14ac:dyDescent="0.25">
      <c r="A736" s="247">
        <v>83</v>
      </c>
      <c r="B736" s="21"/>
      <c r="C736" s="22" t="s">
        <v>53</v>
      </c>
      <c r="D736" s="21"/>
      <c r="E736" s="22"/>
      <c r="F736" s="20"/>
      <c r="G736" s="23"/>
      <c r="H736" s="51">
        <f>SUM(H728:H735)</f>
        <v>-47.95</v>
      </c>
      <c r="I736" s="53"/>
      <c r="J736" s="53"/>
      <c r="K736" s="51">
        <f t="shared" ref="K736:L736" si="2477">SUM(K728:K735)</f>
        <v>0</v>
      </c>
      <c r="L736" s="68">
        <f t="shared" si="2477"/>
        <v>0</v>
      </c>
      <c r="M736" s="53"/>
      <c r="N736" s="53"/>
      <c r="O736" s="51">
        <f t="shared" ref="O736:P736" si="2478">SUM(O728:O735)</f>
        <v>0</v>
      </c>
      <c r="P736" s="51">
        <f t="shared" si="2478"/>
        <v>0</v>
      </c>
      <c r="Q736" s="52"/>
      <c r="R736" s="53"/>
      <c r="S736" s="51">
        <f t="shared" ref="S736:T736" si="2479">SUM(S728:S735)</f>
        <v>0</v>
      </c>
      <c r="T736" s="51">
        <f t="shared" si="2479"/>
        <v>0</v>
      </c>
      <c r="U736" s="52"/>
      <c r="V736" s="53"/>
      <c r="W736" s="51">
        <f t="shared" ref="W736:X736" si="2480">SUM(W728:W735)</f>
        <v>2.5</v>
      </c>
      <c r="X736" s="51">
        <f t="shared" si="2480"/>
        <v>0</v>
      </c>
      <c r="Y736" s="52"/>
      <c r="Z736" s="53"/>
      <c r="AA736" s="51">
        <f t="shared" ref="AA736:AB736" si="2481">SUM(AA728:AA735)</f>
        <v>580.68</v>
      </c>
      <c r="AB736" s="51">
        <f t="shared" si="2481"/>
        <v>0</v>
      </c>
      <c r="AC736" s="52"/>
      <c r="AD736" s="53"/>
      <c r="AE736" s="51">
        <f t="shared" ref="AE736:AF736" si="2482">SUM(AE728:AE735)</f>
        <v>4796.5</v>
      </c>
      <c r="AF736" s="51">
        <f t="shared" si="2482"/>
        <v>5500</v>
      </c>
      <c r="AG736" s="52"/>
      <c r="AH736" s="53"/>
      <c r="AI736" s="183">
        <f t="shared" ref="AI736:AJ736" si="2483">SUM(AI728:AI735)</f>
        <v>80.6</v>
      </c>
      <c r="AJ736" s="51">
        <f t="shared" si="2483"/>
        <v>0</v>
      </c>
      <c r="AK736" s="52"/>
      <c r="AL736" s="53"/>
      <c r="AM736" s="183">
        <f t="shared" ref="AM736:AN736" si="2484">SUM(AM728:AM735)</f>
        <v>67.6</v>
      </c>
      <c r="AN736" s="51">
        <f t="shared" si="2484"/>
        <v>0</v>
      </c>
      <c r="AO736" s="52"/>
      <c r="AP736" s="53"/>
      <c r="AQ736" s="183">
        <f t="shared" ref="AQ736:AR736" si="2485">SUM(AQ728:AQ735)</f>
        <v>2959.04</v>
      </c>
      <c r="AR736" s="51">
        <f t="shared" si="2485"/>
        <v>0</v>
      </c>
      <c r="AS736" s="52"/>
      <c r="AT736" s="53"/>
      <c r="AU736" s="183">
        <f t="shared" ref="AU736:AV736" si="2486">SUM(AU728:AU735)</f>
        <v>2.6</v>
      </c>
      <c r="AV736" s="68">
        <f t="shared" si="2486"/>
        <v>0</v>
      </c>
      <c r="AW736" s="52"/>
      <c r="AX736" s="53"/>
      <c r="AY736" s="183">
        <f t="shared" ref="AY736:AZ736" si="2487">SUM(AY728:AY735)</f>
        <v>0</v>
      </c>
      <c r="AZ736" s="68">
        <f t="shared" si="2487"/>
        <v>0</v>
      </c>
      <c r="BA736" s="52"/>
      <c r="BB736" s="53"/>
      <c r="BC736" s="183">
        <f t="shared" ref="BC736:BD736" si="2488">SUM(BC728:BC735)</f>
        <v>0</v>
      </c>
      <c r="BD736" s="68">
        <f t="shared" si="2488"/>
        <v>0</v>
      </c>
      <c r="BE736" s="69"/>
      <c r="BF736" s="70">
        <f t="shared" ref="BF736:BH736" si="2489">SUM(BF728:BF735)</f>
        <v>8489.52</v>
      </c>
      <c r="BG736" s="71">
        <f t="shared" si="2489"/>
        <v>5500</v>
      </c>
      <c r="BH736" s="72">
        <f t="shared" si="2489"/>
        <v>2941.57</v>
      </c>
      <c r="BI736" s="34">
        <f>H736+BF736-BG736</f>
        <v>2941.57</v>
      </c>
      <c r="BJ736" s="34">
        <f>BH736-BI736</f>
        <v>0</v>
      </c>
      <c r="BK736" s="2" t="b">
        <f>H736='2019'!BH615</f>
        <v>0</v>
      </c>
    </row>
    <row r="737" ht="15.75" customHeight="1" hidden="1" spans="1:63" x14ac:dyDescent="0.25">
      <c r="A737" s="2">
        <v>85</v>
      </c>
      <c r="B737" s="14"/>
      <c r="C737" s="15"/>
      <c r="D737" s="14" t="s">
        <v>379</v>
      </c>
      <c r="E737" s="15"/>
      <c r="F737" s="13"/>
      <c r="G737" s="28"/>
      <c r="H737" s="34">
        <f>'2019'!BH616</f>
        <v>0</v>
      </c>
      <c r="I737" s="15"/>
      <c r="J737" s="15"/>
      <c r="K737" s="34"/>
      <c r="L737" s="35"/>
      <c r="M737" s="15"/>
      <c r="N737" s="15"/>
      <c r="O737" s="34"/>
      <c r="P737" s="34"/>
      <c r="Q737" s="13"/>
      <c r="R737" s="15"/>
      <c r="S737" s="34"/>
      <c r="T737" s="35"/>
      <c r="U737" s="15"/>
      <c r="V737" s="15"/>
      <c r="W737" s="34"/>
      <c r="X737" s="34"/>
      <c r="Y737" s="13"/>
      <c r="Z737" s="15"/>
      <c r="AA737" s="34"/>
      <c r="AB737" s="35"/>
      <c r="AC737" s="15"/>
      <c r="AD737" s="15"/>
      <c r="AE737" s="34"/>
      <c r="AF737" s="34"/>
      <c r="AG737" s="13"/>
      <c r="AH737" s="15"/>
      <c r="AI737" s="45"/>
      <c r="AJ737" s="34"/>
      <c r="AK737" s="13"/>
      <c r="AL737" s="15"/>
      <c r="AM737" s="45"/>
      <c r="AN737" s="34"/>
      <c r="AO737" s="13"/>
      <c r="AP737" s="15"/>
      <c r="AQ737" s="45"/>
      <c r="AR737" s="34"/>
      <c r="AS737" s="13"/>
      <c r="AT737" s="15"/>
      <c r="AU737" s="45"/>
      <c r="AV737" s="34"/>
      <c r="AW737" s="13"/>
      <c r="AX737" s="15"/>
      <c r="AY737" s="45"/>
      <c r="AZ737" s="28"/>
      <c r="BA737" s="13"/>
      <c r="BB737" s="15"/>
      <c r="BC737" s="45"/>
      <c r="BD737" s="28"/>
      <c r="BE737" s="42"/>
      <c r="BF737" s="41">
        <f t="shared" ref="BF737:BG737" si="2490">K737+O737+S737+W737+AA737+AE737+AI737+AM737+AQ737+AU737+AY737+BC737</f>
        <v>0</v>
      </c>
      <c r="BG737" s="34">
        <f t="shared" si="2490"/>
        <v>0</v>
      </c>
      <c r="BH737" s="35">
        <f t="shared" ref="BH737:BH744" si="2491">H737+BF737-BG737</f>
        <v>0</v>
      </c>
      <c r="BI737" s="15"/>
      <c r="BJ737" s="15"/>
      <c r="BK737" s="15" t="b">
        <f>H737='2019'!BH616</f>
        <v>1</v>
      </c>
    </row>
    <row r="738" ht="15.75" customHeight="1" hidden="1" spans="1:63" x14ac:dyDescent="0.25">
      <c r="A738" s="2">
        <v>85</v>
      </c>
      <c r="B738" s="14">
        <v>4.27</v>
      </c>
      <c r="C738" s="15" t="s">
        <v>282</v>
      </c>
      <c r="D738" s="14" t="s">
        <v>44</v>
      </c>
      <c r="E738" s="15" t="s">
        <v>45</v>
      </c>
      <c r="F738" s="41">
        <v>2.5</v>
      </c>
      <c r="G738" s="35">
        <v>2.6</v>
      </c>
      <c r="H738" s="34">
        <f>'2019'!BH617</f>
        <v>-41.37</v>
      </c>
      <c r="I738" s="13">
        <v>2907</v>
      </c>
      <c r="J738" s="15">
        <f>I738-'2019'!BA617</f>
        <v>0</v>
      </c>
      <c r="K738" s="34">
        <f>J738*$F$8</f>
        <v>0</v>
      </c>
      <c r="L738" s="35"/>
      <c r="M738" s="15">
        <v>2907</v>
      </c>
      <c r="N738" s="15">
        <f>M738-I738</f>
        <v>0</v>
      </c>
      <c r="O738" s="34">
        <f>N738*$F$8</f>
        <v>0</v>
      </c>
      <c r="P738" s="34"/>
      <c r="Q738" s="13">
        <v>2907</v>
      </c>
      <c r="R738" s="15">
        <f>Q738-M738</f>
        <v>0</v>
      </c>
      <c r="S738" s="34">
        <f>R738*$F$8</f>
        <v>0</v>
      </c>
      <c r="T738" s="35"/>
      <c r="U738" s="15">
        <v>2925</v>
      </c>
      <c r="V738" s="15">
        <f t="shared" ref="V738:V739" si="2492">U738-Q738</f>
        <v>18</v>
      </c>
      <c r="W738" s="34">
        <f>V738*$F$8</f>
        <v>45</v>
      </c>
      <c r="X738" s="34"/>
      <c r="Y738" s="13">
        <v>3059</v>
      </c>
      <c r="Z738" s="15">
        <f t="shared" ref="Z738:Z739" si="2493">Y738-U738</f>
        <v>134</v>
      </c>
      <c r="AA738" s="34">
        <f>Z738*$F$8</f>
        <v>335</v>
      </c>
      <c r="AB738" s="35"/>
      <c r="AC738" s="15">
        <v>3222</v>
      </c>
      <c r="AD738" s="15">
        <f t="shared" ref="AD738:AD739" si="2494">AC738-Y738</f>
        <v>163</v>
      </c>
      <c r="AE738" s="34">
        <f>AD738*$F$8</f>
        <v>407.5</v>
      </c>
      <c r="AF738" s="133">
        <f>338.63+75.77</f>
        <v>414.4</v>
      </c>
      <c r="AG738" s="13">
        <v>3405</v>
      </c>
      <c r="AH738" s="15">
        <f t="shared" ref="AH738:AH739" si="2495">AG738-AC738</f>
        <v>183</v>
      </c>
      <c r="AI738" s="45">
        <f>AH738*$G$8</f>
        <v>475.8</v>
      </c>
      <c r="AJ738" s="2"/>
      <c r="AK738" s="13">
        <v>3561</v>
      </c>
      <c r="AL738" s="15">
        <f t="shared" ref="AL738:AL739" si="2496">AK738-AG738</f>
        <v>156</v>
      </c>
      <c r="AM738" s="45">
        <f>AL738*$G$8</f>
        <v>405.6</v>
      </c>
      <c r="AN738" s="133">
        <f>1327.53+36.27</f>
        <v>1363.8</v>
      </c>
      <c r="AO738" s="13">
        <v>3672</v>
      </c>
      <c r="AP738" s="15">
        <f t="shared" ref="AP738:AP739" si="2497">AO738-AK738</f>
        <v>111</v>
      </c>
      <c r="AQ738" s="45">
        <f>AP738*$G$8</f>
        <v>288.6</v>
      </c>
      <c r="AR738" s="15"/>
      <c r="AS738" s="13">
        <v>3681</v>
      </c>
      <c r="AT738" s="15">
        <f t="shared" ref="AT738:AT739" si="2498">AS738-AO738</f>
        <v>9</v>
      </c>
      <c r="AU738" s="45">
        <f>AT738*$G$8</f>
        <v>23.4</v>
      </c>
      <c r="AV738" s="15"/>
      <c r="AW738" s="13">
        <v>3681</v>
      </c>
      <c r="AX738" s="15">
        <f t="shared" ref="AX738:AX739" si="2499">AW738-AS738</f>
        <v>0</v>
      </c>
      <c r="AY738" s="45">
        <f>AX738*$G$8</f>
        <v>0</v>
      </c>
      <c r="AZ738" s="208"/>
      <c r="BA738" s="13">
        <v>3681</v>
      </c>
      <c r="BB738" s="15">
        <f t="shared" ref="BB738:BB739" si="2500">BA738-AW738</f>
        <v>0</v>
      </c>
      <c r="BC738" s="45">
        <f>BB738*$G$8</f>
        <v>0</v>
      </c>
      <c r="BD738" s="208"/>
      <c r="BE738" s="40">
        <f t="shared" ref="BE738:BG738" si="2501">J738+N738+R738+V738+Z738+AD738+AH738+AL738+AP738+AT738+AX738+BB738</f>
        <v>774</v>
      </c>
      <c r="BF738" s="41">
        <f t="shared" si="2501"/>
        <v>1980.9</v>
      </c>
      <c r="BG738" s="34">
        <f t="shared" si="2501"/>
        <v>1778.2</v>
      </c>
      <c r="BH738" s="35">
        <f t="shared" si="2491"/>
        <v>161.33</v>
      </c>
      <c r="BI738" s="15"/>
      <c r="BJ738" s="15"/>
      <c r="BK738" s="15" t="b">
        <f>H738='2019'!BH617</f>
        <v>1</v>
      </c>
    </row>
    <row r="739" ht="15.75" customHeight="1" hidden="1" spans="1:63" x14ac:dyDescent="0.25">
      <c r="A739" s="2">
        <v>85</v>
      </c>
      <c r="B739" s="14"/>
      <c r="C739" s="15" t="s">
        <v>114</v>
      </c>
      <c r="D739" s="14" t="s">
        <v>47</v>
      </c>
      <c r="E739" s="15" t="s">
        <v>48</v>
      </c>
      <c r="F739" s="13">
        <v>18.56</v>
      </c>
      <c r="G739" s="35">
        <v>19.46</v>
      </c>
      <c r="H739" s="34">
        <f>'2019'!BH618</f>
        <v>0</v>
      </c>
      <c r="I739" s="15">
        <v>130</v>
      </c>
      <c r="J739" s="15"/>
      <c r="K739" s="34"/>
      <c r="L739" s="35"/>
      <c r="M739" s="15">
        <v>130</v>
      </c>
      <c r="N739" s="15"/>
      <c r="O739" s="34"/>
      <c r="P739" s="34"/>
      <c r="Q739" s="13">
        <v>130</v>
      </c>
      <c r="R739" s="15"/>
      <c r="S739" s="34"/>
      <c r="T739" s="35"/>
      <c r="U739" s="15">
        <v>130</v>
      </c>
      <c r="V739" s="2">
        <f t="shared" si="2492"/>
        <v>0</v>
      </c>
      <c r="W739" s="34">
        <f>V739*$F$10</f>
        <v>0</v>
      </c>
      <c r="X739" s="34"/>
      <c r="Y739" s="13">
        <v>134</v>
      </c>
      <c r="Z739" s="15">
        <f t="shared" si="2493"/>
        <v>4</v>
      </c>
      <c r="AA739" s="34">
        <f>Z739*$F$10</f>
        <v>74.24</v>
      </c>
      <c r="AB739" s="35"/>
      <c r="AC739" s="13">
        <v>140</v>
      </c>
      <c r="AD739" s="15">
        <f t="shared" si="2494"/>
        <v>6</v>
      </c>
      <c r="AE739" s="34">
        <f>AD739*$F$10</f>
        <v>111.36</v>
      </c>
      <c r="AF739" s="133">
        <v>185.6</v>
      </c>
      <c r="AG739" s="13">
        <v>149</v>
      </c>
      <c r="AH739" s="15">
        <f t="shared" si="2495"/>
        <v>9</v>
      </c>
      <c r="AI739" s="45">
        <f>AH739*$G$10</f>
        <v>175.14</v>
      </c>
      <c r="AJ739" s="2"/>
      <c r="AK739" s="13">
        <v>160</v>
      </c>
      <c r="AL739" s="15">
        <f t="shared" si="2496"/>
        <v>11</v>
      </c>
      <c r="AM739" s="45">
        <f>AL739*$G$10</f>
        <v>214.06</v>
      </c>
      <c r="AN739" s="133">
        <v>389.2</v>
      </c>
      <c r="AO739" s="13">
        <v>160</v>
      </c>
      <c r="AP739" s="15">
        <f t="shared" si="2497"/>
        <v>0</v>
      </c>
      <c r="AQ739" s="45">
        <f>AP739*$G$10</f>
        <v>0</v>
      </c>
      <c r="AR739" s="15"/>
      <c r="AS739" s="13">
        <v>160</v>
      </c>
      <c r="AT739" s="15">
        <f t="shared" si="2498"/>
        <v>0</v>
      </c>
      <c r="AU739" s="45">
        <f>AT739*$G$10</f>
        <v>0</v>
      </c>
      <c r="AV739" s="15"/>
      <c r="AW739" s="13">
        <v>160</v>
      </c>
      <c r="AX739" s="15">
        <f t="shared" si="2499"/>
        <v>0</v>
      </c>
      <c r="AY739" s="45"/>
      <c r="AZ739" s="208"/>
      <c r="BA739" s="13">
        <v>160</v>
      </c>
      <c r="BB739" s="15">
        <f t="shared" si="2500"/>
        <v>0</v>
      </c>
      <c r="BC739" s="45"/>
      <c r="BD739" s="208"/>
      <c r="BE739" s="40">
        <f t="shared" ref="BE739:BG739" si="2502">J739+N739+R739+V739+Z739+AD739+AH739+AL739+AP739+AT739+AX739+BB739</f>
        <v>30</v>
      </c>
      <c r="BF739" s="41">
        <f t="shared" si="2502"/>
        <v>574.8</v>
      </c>
      <c r="BG739" s="34">
        <f t="shared" si="2502"/>
        <v>574.8</v>
      </c>
      <c r="BH739" s="35">
        <f t="shared" si="2491"/>
        <v>0</v>
      </c>
      <c r="BI739" s="15"/>
      <c r="BJ739" s="15"/>
      <c r="BK739" s="15" t="b">
        <f>H739='2019'!BH618</f>
        <v>1</v>
      </c>
    </row>
    <row r="740" ht="15.75" customHeight="1" hidden="1" spans="1:63" x14ac:dyDescent="0.25">
      <c r="A740" s="2">
        <v>85</v>
      </c>
      <c r="B740" s="14"/>
      <c r="C740" s="15" t="s">
        <v>102</v>
      </c>
      <c r="D740" s="14" t="s">
        <v>47</v>
      </c>
      <c r="E740" s="15" t="s">
        <v>49</v>
      </c>
      <c r="F740" s="41">
        <v>500</v>
      </c>
      <c r="G740" s="28"/>
      <c r="H740" s="34">
        <f>'2019'!BH619</f>
        <v>0</v>
      </c>
      <c r="I740" s="15"/>
      <c r="J740" s="15"/>
      <c r="K740" s="34"/>
      <c r="L740" s="35"/>
      <c r="M740" s="15"/>
      <c r="N740" s="15"/>
      <c r="O740" s="34"/>
      <c r="P740" s="34"/>
      <c r="Q740" s="13"/>
      <c r="R740" s="15"/>
      <c r="S740" s="34"/>
      <c r="T740" s="35"/>
      <c r="U740" s="15"/>
      <c r="V740" s="15"/>
      <c r="W740" s="34"/>
      <c r="X740" s="34"/>
      <c r="Y740" s="13"/>
      <c r="Z740" s="15"/>
      <c r="AA740" s="34"/>
      <c r="AB740" s="35"/>
      <c r="AC740" s="15"/>
      <c r="AD740" s="15"/>
      <c r="AE740" s="34"/>
      <c r="AF740" s="34"/>
      <c r="AG740" s="13"/>
      <c r="AH740" s="15"/>
      <c r="AI740" s="45"/>
      <c r="AJ740" s="15"/>
      <c r="AK740" s="13"/>
      <c r="AL740" s="15"/>
      <c r="AM740" s="45"/>
      <c r="AN740" s="15"/>
      <c r="AO740" s="13"/>
      <c r="AP740" s="15"/>
      <c r="AQ740" s="45"/>
      <c r="AR740" s="15"/>
      <c r="AS740" s="13"/>
      <c r="AT740" s="15"/>
      <c r="AU740" s="45"/>
      <c r="AV740" s="15"/>
      <c r="AW740" s="13"/>
      <c r="AX740" s="15"/>
      <c r="AY740" s="45"/>
      <c r="AZ740" s="28"/>
      <c r="BA740" s="13"/>
      <c r="BB740" s="15"/>
      <c r="BC740" s="45"/>
      <c r="BD740" s="28"/>
      <c r="BE740" s="14"/>
      <c r="BF740" s="41">
        <f t="shared" ref="BF740:BG740" si="2503">K740+O740+S740+W740+AA740+AE740+AI740+AM740+AQ740+AU740+AY740+BC740</f>
        <v>0</v>
      </c>
      <c r="BG740" s="34">
        <f t="shared" si="2503"/>
        <v>0</v>
      </c>
      <c r="BH740" s="35">
        <f t="shared" si="2491"/>
        <v>0</v>
      </c>
      <c r="BI740" s="15"/>
      <c r="BJ740" s="15"/>
      <c r="BK740" s="15" t="b">
        <f>H740='2019'!BH619</f>
        <v>1</v>
      </c>
    </row>
    <row r="741" ht="15.75" customHeight="1" hidden="1" spans="1:63" x14ac:dyDescent="0.25">
      <c r="A741" s="2">
        <v>85</v>
      </c>
      <c r="B741" s="14"/>
      <c r="C741" s="15" t="s">
        <v>283</v>
      </c>
      <c r="D741" s="14" t="s">
        <v>50</v>
      </c>
      <c r="E741" s="15" t="s">
        <v>49</v>
      </c>
      <c r="F741" s="41">
        <v>1100</v>
      </c>
      <c r="G741" s="28"/>
      <c r="H741" s="182">
        <f>'2019'!BH620+0.0024</f>
        <v>0</v>
      </c>
      <c r="I741" s="15"/>
      <c r="J741" s="15"/>
      <c r="K741" s="34"/>
      <c r="L741" s="35"/>
      <c r="M741" s="15"/>
      <c r="N741" s="15"/>
      <c r="O741" s="34"/>
      <c r="P741" s="34"/>
      <c r="Q741" s="13"/>
      <c r="R741" s="15"/>
      <c r="S741" s="34"/>
      <c r="T741" s="35"/>
      <c r="U741" s="15"/>
      <c r="V741" s="15"/>
      <c r="W741" s="34"/>
      <c r="X741" s="34"/>
      <c r="Y741" s="13"/>
      <c r="Z741" s="15"/>
      <c r="AA741" s="34"/>
      <c r="AB741" s="35"/>
      <c r="AC741" s="15"/>
      <c r="AD741" s="15"/>
      <c r="AE741" s="34">
        <f>B738*$F$12</f>
        <v>4697</v>
      </c>
      <c r="AF741" s="34"/>
      <c r="AG741" s="13"/>
      <c r="AH741" s="15"/>
      <c r="AI741" s="45"/>
      <c r="AJ741" s="180"/>
      <c r="AK741" s="13"/>
      <c r="AL741" s="15"/>
      <c r="AM741" s="45"/>
      <c r="AN741" s="133">
        <v>4697</v>
      </c>
      <c r="AO741" s="13"/>
      <c r="AP741" s="15"/>
      <c r="AQ741" s="45"/>
      <c r="AR741" s="15"/>
      <c r="AS741" s="13"/>
      <c r="AT741" s="15"/>
      <c r="AU741" s="45"/>
      <c r="AV741" s="15"/>
      <c r="AW741" s="13"/>
      <c r="AX741" s="15"/>
      <c r="AY741" s="45"/>
      <c r="AZ741" s="28"/>
      <c r="BA741" s="13"/>
      <c r="BB741" s="15"/>
      <c r="BC741" s="45"/>
      <c r="BD741" s="28"/>
      <c r="BE741" s="14"/>
      <c r="BF741" s="41">
        <f t="shared" ref="BF741:BG741" si="2504">K741+O741+S741+W741+AA741+AE741+AI741+AM741+AQ741+AU741+AY741+BC741</f>
        <v>4697</v>
      </c>
      <c r="BG741" s="34">
        <f t="shared" si="2504"/>
        <v>4697</v>
      </c>
      <c r="BH741" s="35">
        <f t="shared" si="2491"/>
        <v>0</v>
      </c>
      <c r="BI741" s="15"/>
      <c r="BJ741" s="15"/>
      <c r="BK741" s="15" t="b">
        <f>H741='2019'!BH620</f>
        <v>0</v>
      </c>
    </row>
    <row r="742" ht="15.75" customHeight="1" hidden="1" spans="1:63" x14ac:dyDescent="0.25">
      <c r="A742" s="2">
        <v>85</v>
      </c>
      <c r="B742" s="14"/>
      <c r="C742" s="15"/>
      <c r="D742" s="14" t="s">
        <v>51</v>
      </c>
      <c r="E742" s="15" t="s">
        <v>39</v>
      </c>
      <c r="F742" s="41">
        <v>500</v>
      </c>
      <c r="G742" s="28"/>
      <c r="H742" s="34">
        <f>'2019'!BH621</f>
        <v>0</v>
      </c>
      <c r="I742" s="15"/>
      <c r="J742" s="15"/>
      <c r="K742" s="34"/>
      <c r="L742" s="35"/>
      <c r="M742" s="15"/>
      <c r="N742" s="15"/>
      <c r="O742" s="34"/>
      <c r="P742" s="34"/>
      <c r="Q742" s="13"/>
      <c r="R742" s="15"/>
      <c r="S742" s="34"/>
      <c r="T742" s="35"/>
      <c r="U742" s="15"/>
      <c r="V742" s="15"/>
      <c r="W742" s="34"/>
      <c r="X742" s="34"/>
      <c r="Y742" s="13"/>
      <c r="Z742" s="15"/>
      <c r="AA742" s="34"/>
      <c r="AB742" s="35"/>
      <c r="AC742" s="15"/>
      <c r="AD742" s="15"/>
      <c r="AE742" s="34"/>
      <c r="AF742" s="34"/>
      <c r="AG742" s="13"/>
      <c r="AH742" s="15"/>
      <c r="AI742" s="45"/>
      <c r="AJ742" s="180"/>
      <c r="AK742" s="13"/>
      <c r="AL742" s="15"/>
      <c r="AM742" s="45"/>
      <c r="AN742" s="15"/>
      <c r="AO742" s="13"/>
      <c r="AP742" s="15"/>
      <c r="AQ742" s="45">
        <f>$F$13</f>
        <v>500</v>
      </c>
      <c r="AR742" s="15"/>
      <c r="AS742" s="13"/>
      <c r="AT742" s="15"/>
      <c r="AU742" s="45"/>
      <c r="AV742" s="15"/>
      <c r="AW742" s="13"/>
      <c r="AX742" s="15"/>
      <c r="AY742" s="45"/>
      <c r="AZ742" s="28"/>
      <c r="BA742" s="13"/>
      <c r="BB742" s="15"/>
      <c r="BC742" s="45"/>
      <c r="BD742" s="28"/>
      <c r="BE742" s="14"/>
      <c r="BF742" s="41">
        <f t="shared" ref="BF742:BG742" si="2505">K742+O742+S742+W742+AA742+AE742+AI742+AM742+AQ742+AU742+AY742+BC742</f>
        <v>500</v>
      </c>
      <c r="BG742" s="34">
        <f t="shared" si="2505"/>
        <v>0</v>
      </c>
      <c r="BH742" s="35">
        <f t="shared" si="2491"/>
        <v>500</v>
      </c>
      <c r="BI742" s="15"/>
      <c r="BJ742" s="15"/>
      <c r="BK742" s="15" t="b">
        <f>H742='2019'!BH621</f>
        <v>1</v>
      </c>
    </row>
    <row r="743" ht="15.75" customHeight="1" hidden="1" spans="1:63" x14ac:dyDescent="0.25">
      <c r="A743" s="2">
        <v>85</v>
      </c>
      <c r="B743" s="14"/>
      <c r="C743" s="15"/>
      <c r="D743" s="14" t="s">
        <v>51</v>
      </c>
      <c r="E743" s="15" t="s">
        <v>49</v>
      </c>
      <c r="F743" s="41">
        <v>500</v>
      </c>
      <c r="G743" s="28"/>
      <c r="H743" s="34"/>
      <c r="I743" s="15"/>
      <c r="J743" s="15"/>
      <c r="K743" s="34"/>
      <c r="L743" s="35"/>
      <c r="M743" s="15"/>
      <c r="N743" s="15"/>
      <c r="O743" s="34"/>
      <c r="P743" s="34"/>
      <c r="Q743" s="13"/>
      <c r="R743" s="15"/>
      <c r="S743" s="34"/>
      <c r="T743" s="35"/>
      <c r="U743" s="15"/>
      <c r="V743" s="15"/>
      <c r="W743" s="34"/>
      <c r="X743" s="34"/>
      <c r="Y743" s="13"/>
      <c r="Z743" s="15"/>
      <c r="AA743" s="34"/>
      <c r="AB743" s="35"/>
      <c r="AC743" s="15"/>
      <c r="AD743" s="15"/>
      <c r="AE743" s="34"/>
      <c r="AF743" s="34"/>
      <c r="AG743" s="13"/>
      <c r="AH743" s="15"/>
      <c r="AI743" s="45"/>
      <c r="AJ743" s="180"/>
      <c r="AK743" s="13"/>
      <c r="AL743" s="15"/>
      <c r="AM743" s="45"/>
      <c r="AN743" s="15"/>
      <c r="AO743" s="13"/>
      <c r="AP743" s="15"/>
      <c r="AQ743" s="34">
        <f>B738*$F$14</f>
        <v>2135</v>
      </c>
      <c r="AR743" s="15"/>
      <c r="AS743" s="13"/>
      <c r="AT743" s="15"/>
      <c r="AU743" s="45"/>
      <c r="AV743" s="15"/>
      <c r="AW743" s="13"/>
      <c r="AX743" s="15"/>
      <c r="AY743" s="45"/>
      <c r="AZ743" s="28"/>
      <c r="BA743" s="13"/>
      <c r="BB743" s="15"/>
      <c r="BC743" s="45"/>
      <c r="BD743" s="28"/>
      <c r="BE743" s="14"/>
      <c r="BF743" s="41">
        <f t="shared" ref="BF743:BG743" si="2506">K743+O743+S743+W743+AA743+AE743+AI743+AM743+AQ743+AU743+AY743+BC743</f>
        <v>2135</v>
      </c>
      <c r="BG743" s="34">
        <f t="shared" si="2506"/>
        <v>0</v>
      </c>
      <c r="BH743" s="35">
        <f t="shared" si="2491"/>
        <v>2135</v>
      </c>
      <c r="BI743" s="15"/>
      <c r="BJ743" s="15"/>
      <c r="BK743" s="15"/>
    </row>
    <row r="744" ht="15.75" customHeight="1" hidden="1" spans="1:63" x14ac:dyDescent="0.25">
      <c r="A744" s="2">
        <v>85</v>
      </c>
      <c r="B744" s="14"/>
      <c r="C744" s="15"/>
      <c r="D744" s="14" t="s">
        <v>52</v>
      </c>
      <c r="E744" s="15" t="s">
        <v>39</v>
      </c>
      <c r="F744" s="41">
        <v>500</v>
      </c>
      <c r="G744" s="28"/>
      <c r="H744" s="34">
        <f>'2019'!BH622</f>
        <v>0</v>
      </c>
      <c r="I744" s="15"/>
      <c r="J744" s="15"/>
      <c r="K744" s="34"/>
      <c r="L744" s="35"/>
      <c r="M744" s="15"/>
      <c r="N744" s="15"/>
      <c r="O744" s="34"/>
      <c r="P744" s="34"/>
      <c r="Q744" s="13"/>
      <c r="R744" s="15"/>
      <c r="S744" s="34"/>
      <c r="T744" s="35"/>
      <c r="U744" s="15"/>
      <c r="V744" s="15"/>
      <c r="W744" s="34"/>
      <c r="X744" s="34"/>
      <c r="Y744" s="13"/>
      <c r="Z744" s="15"/>
      <c r="AA744" s="77"/>
      <c r="AB744" s="35"/>
      <c r="AC744" s="15"/>
      <c r="AD744" s="15"/>
      <c r="AE744" s="34"/>
      <c r="AF744" s="34"/>
      <c r="AG744" s="13"/>
      <c r="AH744" s="15"/>
      <c r="AI744" s="45"/>
      <c r="AJ744" s="15"/>
      <c r="AK744" s="13"/>
      <c r="AL744" s="15"/>
      <c r="AM744" s="45"/>
      <c r="AN744" s="15"/>
      <c r="AO744" s="13"/>
      <c r="AP744" s="15"/>
      <c r="AQ744" s="45"/>
      <c r="AR744" s="15"/>
      <c r="AS744" s="13"/>
      <c r="AT744" s="15"/>
      <c r="AU744" s="45"/>
      <c r="AV744" s="15"/>
      <c r="AW744" s="13"/>
      <c r="AX744" s="15"/>
      <c r="AY744" s="45"/>
      <c r="AZ744" s="35"/>
      <c r="BA744" s="13"/>
      <c r="BB744" s="15"/>
      <c r="BC744" s="45"/>
      <c r="BD744" s="35"/>
      <c r="BE744" s="14"/>
      <c r="BF744" s="41">
        <f t="shared" ref="BF744:BG744" si="2507">K744+O744+S744+W744+AA744+AE744+AI744+AM744+AQ744+AU744+AY744+BC744</f>
        <v>0</v>
      </c>
      <c r="BG744" s="34">
        <f t="shared" si="2507"/>
        <v>0</v>
      </c>
      <c r="BH744" s="35">
        <f t="shared" si="2491"/>
        <v>0</v>
      </c>
      <c r="BI744" s="15"/>
      <c r="BJ744" s="15"/>
      <c r="BK744" s="15" t="b">
        <f>H744='2019'!BH622</f>
        <v>1</v>
      </c>
    </row>
    <row r="745" ht="15.75" customHeight="1" hidden="1" spans="1:63" x14ac:dyDescent="0.25">
      <c r="A745" s="247">
        <v>85</v>
      </c>
      <c r="B745" s="21"/>
      <c r="C745" s="22" t="s">
        <v>53</v>
      </c>
      <c r="D745" s="21"/>
      <c r="E745" s="22"/>
      <c r="F745" s="20"/>
      <c r="G745" s="23"/>
      <c r="H745" s="51">
        <f>SUM(H737:H744)</f>
        <v>-41.37</v>
      </c>
      <c r="I745" s="53"/>
      <c r="J745" s="53"/>
      <c r="K745" s="51">
        <f t="shared" ref="K745:L745" si="2508">SUM(K737:K744)</f>
        <v>0</v>
      </c>
      <c r="L745" s="68">
        <f t="shared" si="2508"/>
        <v>0</v>
      </c>
      <c r="M745" s="53"/>
      <c r="N745" s="53"/>
      <c r="O745" s="51">
        <f t="shared" ref="O745:P745" si="2509">SUM(O737:O744)</f>
        <v>0</v>
      </c>
      <c r="P745" s="51">
        <f t="shared" si="2509"/>
        <v>0</v>
      </c>
      <c r="Q745" s="52"/>
      <c r="R745" s="53"/>
      <c r="S745" s="51">
        <f t="shared" ref="S745:T745" si="2510">SUM(S737:S744)</f>
        <v>0</v>
      </c>
      <c r="T745" s="51">
        <f t="shared" si="2510"/>
        <v>0</v>
      </c>
      <c r="U745" s="52"/>
      <c r="V745" s="53"/>
      <c r="W745" s="51">
        <f t="shared" ref="W745:X745" si="2511">SUM(W737:W744)</f>
        <v>45</v>
      </c>
      <c r="X745" s="51">
        <f t="shared" si="2511"/>
        <v>0</v>
      </c>
      <c r="Y745" s="52"/>
      <c r="Z745" s="53"/>
      <c r="AA745" s="51">
        <f t="shared" ref="AA745:AB745" si="2512">SUM(AA737:AA744)</f>
        <v>409.24</v>
      </c>
      <c r="AB745" s="51">
        <f t="shared" si="2512"/>
        <v>0</v>
      </c>
      <c r="AC745" s="52"/>
      <c r="AD745" s="53"/>
      <c r="AE745" s="51">
        <f t="shared" ref="AE745:AF745" si="2513">SUM(AE737:AE744)</f>
        <v>5215.86</v>
      </c>
      <c r="AF745" s="51">
        <f t="shared" si="2513"/>
        <v>600</v>
      </c>
      <c r="AG745" s="52"/>
      <c r="AH745" s="53"/>
      <c r="AI745" s="183">
        <f t="shared" ref="AI745:AJ745" si="2514">SUM(AI737:AI744)</f>
        <v>650.94</v>
      </c>
      <c r="AJ745" s="51">
        <f t="shared" si="2514"/>
        <v>0</v>
      </c>
      <c r="AK745" s="52"/>
      <c r="AL745" s="53"/>
      <c r="AM745" s="183">
        <f t="shared" ref="AM745:AN745" si="2515">SUM(AM737:AM744)</f>
        <v>619.66</v>
      </c>
      <c r="AN745" s="51">
        <f t="shared" si="2515"/>
        <v>6450</v>
      </c>
      <c r="AO745" s="52"/>
      <c r="AP745" s="53"/>
      <c r="AQ745" s="183">
        <f t="shared" ref="AQ745:AR745" si="2516">SUM(AQ737:AQ744)</f>
        <v>2923.6</v>
      </c>
      <c r="AR745" s="51">
        <f t="shared" si="2516"/>
        <v>0</v>
      </c>
      <c r="AS745" s="52"/>
      <c r="AT745" s="53"/>
      <c r="AU745" s="183">
        <f t="shared" ref="AU745:AV745" si="2517">SUM(AU737:AU744)</f>
        <v>23.4</v>
      </c>
      <c r="AV745" s="68">
        <f t="shared" si="2517"/>
        <v>0</v>
      </c>
      <c r="AW745" s="52"/>
      <c r="AX745" s="53"/>
      <c r="AY745" s="183">
        <f t="shared" ref="AY745:AZ745" si="2518">SUM(AY737:AY744)</f>
        <v>0</v>
      </c>
      <c r="AZ745" s="68">
        <f t="shared" si="2518"/>
        <v>0</v>
      </c>
      <c r="BA745" s="52"/>
      <c r="BB745" s="53"/>
      <c r="BC745" s="183">
        <f t="shared" ref="BC745:BD745" si="2519">SUM(BC737:BC744)</f>
        <v>0</v>
      </c>
      <c r="BD745" s="68">
        <f t="shared" si="2519"/>
        <v>0</v>
      </c>
      <c r="BE745" s="69"/>
      <c r="BF745" s="70">
        <f t="shared" ref="BF745:BH745" si="2520">SUM(BF737:BF744)</f>
        <v>9887.7</v>
      </c>
      <c r="BG745" s="71">
        <f t="shared" si="2520"/>
        <v>7050</v>
      </c>
      <c r="BH745" s="72">
        <f t="shared" si="2520"/>
        <v>2796.33</v>
      </c>
      <c r="BI745" s="34">
        <f>H745+BF745-BG745</f>
        <v>2796.33</v>
      </c>
      <c r="BJ745" s="34">
        <f>BH745-BI745</f>
        <v>0</v>
      </c>
      <c r="BK745" s="2" t="b">
        <f>H745='2019'!BH623</f>
        <v>0</v>
      </c>
    </row>
    <row r="746" ht="15.75" customHeight="1" hidden="1" spans="1:63" x14ac:dyDescent="0.25">
      <c r="A746" s="2">
        <v>87</v>
      </c>
      <c r="B746" s="14"/>
      <c r="C746" s="15"/>
      <c r="D746" s="14" t="s">
        <v>379</v>
      </c>
      <c r="E746" s="15"/>
      <c r="F746" s="13"/>
      <c r="G746" s="28"/>
      <c r="H746" s="34">
        <f>'2019'!BH624</f>
        <v>0</v>
      </c>
      <c r="I746" s="15"/>
      <c r="J746" s="15"/>
      <c r="K746" s="34"/>
      <c r="L746" s="35"/>
      <c r="M746" s="15"/>
      <c r="N746" s="15"/>
      <c r="O746" s="34"/>
      <c r="P746" s="34"/>
      <c r="Q746" s="13"/>
      <c r="R746" s="15"/>
      <c r="S746" s="34"/>
      <c r="T746" s="35"/>
      <c r="U746" s="15"/>
      <c r="V746" s="15"/>
      <c r="W746" s="34"/>
      <c r="X746" s="34"/>
      <c r="Y746" s="13"/>
      <c r="Z746" s="15"/>
      <c r="AA746" s="34"/>
      <c r="AB746" s="35"/>
      <c r="AC746" s="15"/>
      <c r="AD746" s="15"/>
      <c r="AE746" s="34"/>
      <c r="AF746" s="34"/>
      <c r="AG746" s="13"/>
      <c r="AH746" s="15"/>
      <c r="AI746" s="45"/>
      <c r="AJ746" s="34"/>
      <c r="AK746" s="13"/>
      <c r="AL746" s="15"/>
      <c r="AM746" s="45"/>
      <c r="AN746" s="34"/>
      <c r="AO746" s="13"/>
      <c r="AP746" s="15"/>
      <c r="AQ746" s="45"/>
      <c r="AR746" s="34"/>
      <c r="AS746" s="13"/>
      <c r="AT746" s="15"/>
      <c r="AU746" s="45"/>
      <c r="AV746" s="34"/>
      <c r="AW746" s="13"/>
      <c r="AX746" s="15"/>
      <c r="AY746" s="45"/>
      <c r="AZ746" s="28"/>
      <c r="BA746" s="13"/>
      <c r="BB746" s="15"/>
      <c r="BC746" s="45"/>
      <c r="BD746" s="28"/>
      <c r="BE746" s="42"/>
      <c r="BF746" s="41">
        <f t="shared" ref="BF746:BG746" si="2521">K746+O746+S746+W746+AA746+AE746+AI746+AM746+AQ746+AU746+AY746+BC746</f>
        <v>0</v>
      </c>
      <c r="BG746" s="34">
        <f t="shared" si="2521"/>
        <v>0</v>
      </c>
      <c r="BH746" s="35">
        <f t="shared" ref="BH746:BH753" si="2522">H746+BF746-BG746</f>
        <v>0</v>
      </c>
      <c r="BI746" s="15"/>
      <c r="BJ746" s="15"/>
      <c r="BK746" s="15" t="b">
        <f>H746='2019'!BH624</f>
        <v>1</v>
      </c>
    </row>
    <row r="747" ht="15.75" customHeight="1" hidden="1" spans="1:63" x14ac:dyDescent="0.25">
      <c r="A747" s="2">
        <v>87</v>
      </c>
      <c r="B747" s="14">
        <v>4.23</v>
      </c>
      <c r="C747" s="15" t="s">
        <v>284</v>
      </c>
      <c r="D747" s="14" t="s">
        <v>44</v>
      </c>
      <c r="E747" s="15" t="s">
        <v>45</v>
      </c>
      <c r="F747" s="41">
        <v>2.5</v>
      </c>
      <c r="G747" s="35">
        <v>2.6</v>
      </c>
      <c r="H747" s="34">
        <f>'2019'!BH625</f>
        <v>25.73</v>
      </c>
      <c r="I747" s="13">
        <v>368</v>
      </c>
      <c r="J747" s="15">
        <f>I747-'2019'!BA625</f>
        <v>0</v>
      </c>
      <c r="K747" s="34">
        <f>J747*$F$8</f>
        <v>0</v>
      </c>
      <c r="L747" s="35"/>
      <c r="M747" s="15">
        <v>368</v>
      </c>
      <c r="N747" s="15">
        <f>M747-I747</f>
        <v>0</v>
      </c>
      <c r="O747" s="34">
        <f>N747*$F$8</f>
        <v>0</v>
      </c>
      <c r="P747" s="34"/>
      <c r="Q747" s="13">
        <v>368</v>
      </c>
      <c r="R747" s="15">
        <f>Q747-M747</f>
        <v>0</v>
      </c>
      <c r="S747" s="34">
        <f>R747*$F$8</f>
        <v>0</v>
      </c>
      <c r="T747" s="35"/>
      <c r="U747" s="15">
        <v>369</v>
      </c>
      <c r="V747" s="15">
        <f t="shared" ref="V747:V748" si="2523">U747-Q747</f>
        <v>1</v>
      </c>
      <c r="W747" s="34">
        <f>V747*$F$8</f>
        <v>2.5</v>
      </c>
      <c r="X747" s="34"/>
      <c r="Y747" s="13">
        <v>388</v>
      </c>
      <c r="Z747" s="15">
        <f t="shared" ref="Z747:Z748" si="2524">Y747-U747</f>
        <v>19</v>
      </c>
      <c r="AA747" s="34">
        <f>Z747*$F$8</f>
        <v>47.5</v>
      </c>
      <c r="AB747" s="35"/>
      <c r="AC747" s="15">
        <v>443</v>
      </c>
      <c r="AD747" s="15">
        <f t="shared" ref="AD747:AD748" si="2525">AC747-Y747</f>
        <v>55</v>
      </c>
      <c r="AE747" s="34">
        <f>AD747*$F$8</f>
        <v>137.5</v>
      </c>
      <c r="AF747" s="133">
        <f>75.73+1.51</f>
        <v>77.24</v>
      </c>
      <c r="AG747" s="13">
        <v>488</v>
      </c>
      <c r="AH747" s="15">
        <f t="shared" ref="AH747:AH748" si="2526">AG747-AC747</f>
        <v>45</v>
      </c>
      <c r="AI747" s="45">
        <f>AH747*$G$8</f>
        <v>117</v>
      </c>
      <c r="AJ747" s="15"/>
      <c r="AK747" s="13">
        <v>521</v>
      </c>
      <c r="AL747" s="15">
        <f t="shared" ref="AL747:AL748" si="2527">AK747-AG747</f>
        <v>33</v>
      </c>
      <c r="AM747" s="45">
        <f>AL747*$G$8</f>
        <v>85.8</v>
      </c>
      <c r="AN747" s="138">
        <f>369.99+62.97</f>
        <v>432.96</v>
      </c>
      <c r="AO747" s="13">
        <v>538</v>
      </c>
      <c r="AP747" s="15">
        <f t="shared" ref="AP747:AP748" si="2528">AO747-AK747</f>
        <v>17</v>
      </c>
      <c r="AQ747" s="45">
        <f>AP747*$G$8</f>
        <v>44.2</v>
      </c>
      <c r="AR747" s="15"/>
      <c r="AS747" s="13">
        <v>549</v>
      </c>
      <c r="AT747" s="15">
        <f t="shared" ref="AT747:AT748" si="2529">AS747-AO747</f>
        <v>11</v>
      </c>
      <c r="AU747" s="45">
        <f>AT747*$G$8</f>
        <v>28.6</v>
      </c>
      <c r="AV747" s="15"/>
      <c r="AW747" s="13">
        <v>549</v>
      </c>
      <c r="AX747" s="15">
        <f t="shared" ref="AX747:AX748" si="2530">AW747-AS747</f>
        <v>0</v>
      </c>
      <c r="AY747" s="45">
        <f>AX747*$G$8</f>
        <v>0</v>
      </c>
      <c r="AZ747" s="208"/>
      <c r="BA747" s="13">
        <v>549</v>
      </c>
      <c r="BB747" s="15">
        <f t="shared" ref="BB747:BB748" si="2531">BA747-AW747</f>
        <v>0</v>
      </c>
      <c r="BC747" s="45">
        <f>BB747*$G$8</f>
        <v>0</v>
      </c>
      <c r="BD747" s="208"/>
      <c r="BE747" s="40">
        <f t="shared" ref="BE747:BG747" si="2532">J747+N747+R747+V747+Z747+AD747+AH747+AL747+AP747+AT747+AX747+BB747</f>
        <v>181</v>
      </c>
      <c r="BF747" s="41">
        <f t="shared" si="2532"/>
        <v>463.1</v>
      </c>
      <c r="BG747" s="34">
        <f t="shared" si="2532"/>
        <v>510.2</v>
      </c>
      <c r="BH747" s="35">
        <f t="shared" si="2522"/>
        <v>-21.37</v>
      </c>
      <c r="BI747" s="15"/>
      <c r="BJ747" s="15"/>
      <c r="BK747" s="15" t="b">
        <f>H747='2019'!BH625</f>
        <v>1</v>
      </c>
    </row>
    <row r="748" ht="15.75" customHeight="1" hidden="1" spans="1:63" x14ac:dyDescent="0.25">
      <c r="A748" s="2">
        <v>87</v>
      </c>
      <c r="B748" s="14"/>
      <c r="C748" s="15" t="s">
        <v>153</v>
      </c>
      <c r="D748" s="14" t="s">
        <v>47</v>
      </c>
      <c r="E748" s="15" t="s">
        <v>48</v>
      </c>
      <c r="F748" s="13">
        <v>18.56</v>
      </c>
      <c r="G748" s="35">
        <v>19.46</v>
      </c>
      <c r="H748" s="34">
        <f>'2019'!BH626</f>
        <v>0</v>
      </c>
      <c r="I748" s="15">
        <v>185</v>
      </c>
      <c r="J748" s="15"/>
      <c r="K748" s="34"/>
      <c r="L748" s="35"/>
      <c r="M748" s="15">
        <v>185</v>
      </c>
      <c r="N748" s="15"/>
      <c r="O748" s="34"/>
      <c r="P748" s="34"/>
      <c r="Q748" s="13">
        <v>185</v>
      </c>
      <c r="R748" s="15"/>
      <c r="S748" s="34"/>
      <c r="T748" s="35"/>
      <c r="U748" s="15">
        <v>188</v>
      </c>
      <c r="V748" s="15">
        <f t="shared" si="2523"/>
        <v>3</v>
      </c>
      <c r="W748" s="34">
        <f>V748*$F$10</f>
        <v>55.68</v>
      </c>
      <c r="X748" s="34"/>
      <c r="Y748" s="13">
        <v>191</v>
      </c>
      <c r="Z748" s="15">
        <f t="shared" si="2524"/>
        <v>3</v>
      </c>
      <c r="AA748" s="34">
        <f>Z748*$F$10</f>
        <v>55.68</v>
      </c>
      <c r="AB748" s="35"/>
      <c r="AC748" s="15">
        <v>206</v>
      </c>
      <c r="AD748" s="15">
        <f t="shared" si="2525"/>
        <v>15</v>
      </c>
      <c r="AE748" s="34">
        <f>AD748*$F$10</f>
        <v>278.4</v>
      </c>
      <c r="AF748" s="133">
        <v>389.76</v>
      </c>
      <c r="AG748" s="13">
        <v>221</v>
      </c>
      <c r="AH748" s="15">
        <f t="shared" si="2526"/>
        <v>15</v>
      </c>
      <c r="AI748" s="45">
        <f>AH748*$G$10</f>
        <v>291.9</v>
      </c>
      <c r="AJ748" s="15"/>
      <c r="AK748" s="13">
        <v>230</v>
      </c>
      <c r="AL748" s="15">
        <f t="shared" si="2527"/>
        <v>9</v>
      </c>
      <c r="AM748" s="45">
        <f>AL748*$G$10</f>
        <v>175.14</v>
      </c>
      <c r="AN748" s="138">
        <v>467.04</v>
      </c>
      <c r="AO748" s="13">
        <v>230</v>
      </c>
      <c r="AP748" s="15">
        <f t="shared" si="2528"/>
        <v>0</v>
      </c>
      <c r="AQ748" s="45">
        <f>AP748*$G$10</f>
        <v>0</v>
      </c>
      <c r="AR748" s="15"/>
      <c r="AS748" s="13">
        <v>230</v>
      </c>
      <c r="AT748" s="15">
        <f t="shared" si="2529"/>
        <v>0</v>
      </c>
      <c r="AU748" s="45">
        <f>AT748*$G$10</f>
        <v>0</v>
      </c>
      <c r="AV748" s="15"/>
      <c r="AW748" s="13">
        <v>230</v>
      </c>
      <c r="AX748" s="15">
        <f t="shared" si="2530"/>
        <v>0</v>
      </c>
      <c r="AY748" s="45"/>
      <c r="AZ748" s="208"/>
      <c r="BA748" s="13">
        <v>230</v>
      </c>
      <c r="BB748" s="15">
        <f t="shared" si="2531"/>
        <v>0</v>
      </c>
      <c r="BC748" s="45"/>
      <c r="BD748" s="208"/>
      <c r="BE748" s="40">
        <f t="shared" ref="BE748:BG748" si="2533">J748+N748+R748+V748+Z748+AD748+AH748+AL748+AP748+AT748+AX748+BB748</f>
        <v>45</v>
      </c>
      <c r="BF748" s="41">
        <f t="shared" si="2533"/>
        <v>856.8</v>
      </c>
      <c r="BG748" s="34">
        <f t="shared" si="2533"/>
        <v>856.8</v>
      </c>
      <c r="BH748" s="35">
        <f t="shared" si="2522"/>
        <v>0</v>
      </c>
      <c r="BI748" s="15"/>
      <c r="BJ748" s="15"/>
      <c r="BK748" s="15" t="b">
        <f>H748='2019'!BH626</f>
        <v>1</v>
      </c>
    </row>
    <row r="749" ht="15.75" customHeight="1" hidden="1" spans="1:63" x14ac:dyDescent="0.25">
      <c r="A749" s="2">
        <v>87</v>
      </c>
      <c r="B749" s="14"/>
      <c r="C749" s="15" t="s">
        <v>102</v>
      </c>
      <c r="D749" s="14" t="s">
        <v>47</v>
      </c>
      <c r="E749" s="15" t="s">
        <v>49</v>
      </c>
      <c r="F749" s="41">
        <v>500</v>
      </c>
      <c r="G749" s="28"/>
      <c r="H749" s="34">
        <f>'2019'!BH627</f>
        <v>0</v>
      </c>
      <c r="I749" s="15"/>
      <c r="J749" s="15"/>
      <c r="K749" s="34"/>
      <c r="L749" s="35"/>
      <c r="M749" s="15"/>
      <c r="N749" s="15"/>
      <c r="O749" s="34"/>
      <c r="P749" s="34"/>
      <c r="Q749" s="13"/>
      <c r="R749" s="15"/>
      <c r="S749" s="34"/>
      <c r="T749" s="35"/>
      <c r="U749" s="15"/>
      <c r="V749" s="15"/>
      <c r="W749" s="34"/>
      <c r="X749" s="34"/>
      <c r="Y749" s="13"/>
      <c r="Z749" s="15"/>
      <c r="AA749" s="34"/>
      <c r="AB749" s="35"/>
      <c r="AC749" s="15"/>
      <c r="AD749" s="15"/>
      <c r="AE749" s="34"/>
      <c r="AF749" s="34"/>
      <c r="AG749" s="13"/>
      <c r="AH749" s="15"/>
      <c r="AI749" s="45"/>
      <c r="AJ749" s="15"/>
      <c r="AK749" s="13"/>
      <c r="AL749" s="15"/>
      <c r="AM749" s="45"/>
      <c r="AN749" s="15"/>
      <c r="AO749" s="13"/>
      <c r="AP749" s="15"/>
      <c r="AQ749" s="45"/>
      <c r="AR749" s="15"/>
      <c r="AS749" s="13"/>
      <c r="AT749" s="15"/>
      <c r="AU749" s="45"/>
      <c r="AV749" s="15"/>
      <c r="AW749" s="13"/>
      <c r="AX749" s="15"/>
      <c r="AY749" s="45"/>
      <c r="AZ749" s="28"/>
      <c r="BA749" s="13"/>
      <c r="BB749" s="15"/>
      <c r="BC749" s="45"/>
      <c r="BD749" s="28"/>
      <c r="BE749" s="14"/>
      <c r="BF749" s="41">
        <f t="shared" ref="BF749:BG749" si="2534">K749+O749+S749+W749+AA749+AE749+AI749+AM749+AQ749+AU749+AY749+BC749</f>
        <v>0</v>
      </c>
      <c r="BG749" s="34">
        <f t="shared" si="2534"/>
        <v>0</v>
      </c>
      <c r="BH749" s="35">
        <f t="shared" si="2522"/>
        <v>0</v>
      </c>
      <c r="BI749" s="15"/>
      <c r="BJ749" s="15"/>
      <c r="BK749" s="15" t="b">
        <f>H749='2019'!BH627</f>
        <v>1</v>
      </c>
    </row>
    <row r="750" ht="15.75" customHeight="1" hidden="1" spans="1:63" x14ac:dyDescent="0.25">
      <c r="A750" s="2">
        <v>87</v>
      </c>
      <c r="B750" s="14"/>
      <c r="C750" s="15" t="s">
        <v>285</v>
      </c>
      <c r="D750" s="14" t="s">
        <v>50</v>
      </c>
      <c r="E750" s="15" t="s">
        <v>49</v>
      </c>
      <c r="F750" s="41">
        <v>1100</v>
      </c>
      <c r="G750" s="28"/>
      <c r="H750" s="182">
        <f>'2019'!BH628-0.0024</f>
        <v>0</v>
      </c>
      <c r="I750" s="15"/>
      <c r="J750" s="15"/>
      <c r="K750" s="34"/>
      <c r="L750" s="35"/>
      <c r="M750" s="15"/>
      <c r="N750" s="15"/>
      <c r="O750" s="34"/>
      <c r="P750" s="34"/>
      <c r="Q750" s="13"/>
      <c r="R750" s="15"/>
      <c r="S750" s="34"/>
      <c r="T750" s="35"/>
      <c r="U750" s="15"/>
      <c r="V750" s="15"/>
      <c r="W750" s="34"/>
      <c r="X750" s="34"/>
      <c r="Y750" s="13"/>
      <c r="Z750" s="15"/>
      <c r="AA750" s="34"/>
      <c r="AB750" s="35"/>
      <c r="AC750" s="15"/>
      <c r="AD750" s="15"/>
      <c r="AE750" s="34">
        <f>B747*$F$12</f>
        <v>4653</v>
      </c>
      <c r="AF750" s="133">
        <v>4653</v>
      </c>
      <c r="AG750" s="13"/>
      <c r="AH750" s="15"/>
      <c r="AI750" s="45"/>
      <c r="AJ750" s="34"/>
      <c r="AK750" s="13"/>
      <c r="AL750" s="15"/>
      <c r="AM750" s="45"/>
      <c r="AN750" s="15"/>
      <c r="AO750" s="13"/>
      <c r="AP750" s="15"/>
      <c r="AQ750" s="45"/>
      <c r="AR750" s="15"/>
      <c r="AS750" s="13"/>
      <c r="AT750" s="15"/>
      <c r="AU750" s="45"/>
      <c r="AV750" s="15"/>
      <c r="AW750" s="13"/>
      <c r="AX750" s="15"/>
      <c r="AY750" s="45"/>
      <c r="AZ750" s="28"/>
      <c r="BA750" s="13"/>
      <c r="BB750" s="15"/>
      <c r="BC750" s="45"/>
      <c r="BD750" s="28"/>
      <c r="BE750" s="14"/>
      <c r="BF750" s="41">
        <f t="shared" ref="BF750:BG750" si="2535">K750+O750+S750+W750+AA750+AE750+AI750+AM750+AQ750+AU750+AY750+BC750</f>
        <v>4653</v>
      </c>
      <c r="BG750" s="34">
        <f t="shared" si="2535"/>
        <v>4653</v>
      </c>
      <c r="BH750" s="35">
        <f t="shared" si="2522"/>
        <v>0</v>
      </c>
      <c r="BI750" s="15"/>
      <c r="BJ750" s="15"/>
      <c r="BK750" s="15" t="b">
        <f>H750='2019'!BH628</f>
        <v>0</v>
      </c>
    </row>
    <row r="751" ht="15.75" customHeight="1" hidden="1" spans="1:63" x14ac:dyDescent="0.25">
      <c r="A751" s="2">
        <v>87</v>
      </c>
      <c r="B751" s="14"/>
      <c r="C751" s="15"/>
      <c r="D751" s="14" t="s">
        <v>51</v>
      </c>
      <c r="E751" s="15" t="s">
        <v>39</v>
      </c>
      <c r="F751" s="41">
        <v>500</v>
      </c>
      <c r="G751" s="28"/>
      <c r="H751" s="34">
        <f>'2019'!BH629</f>
        <v>0</v>
      </c>
      <c r="I751" s="15"/>
      <c r="J751" s="15"/>
      <c r="K751" s="34"/>
      <c r="L751" s="35"/>
      <c r="M751" s="15"/>
      <c r="N751" s="15"/>
      <c r="O751" s="34"/>
      <c r="P751" s="34"/>
      <c r="Q751" s="13"/>
      <c r="R751" s="15"/>
      <c r="S751" s="34"/>
      <c r="T751" s="35"/>
      <c r="U751" s="15"/>
      <c r="V751" s="15"/>
      <c r="W751" s="34"/>
      <c r="X751" s="34"/>
      <c r="Y751" s="13"/>
      <c r="Z751" s="15"/>
      <c r="AA751" s="34"/>
      <c r="AB751" s="35"/>
      <c r="AC751" s="15"/>
      <c r="AD751" s="15"/>
      <c r="AE751" s="34"/>
      <c r="AF751" s="34"/>
      <c r="AG751" s="13"/>
      <c r="AH751" s="15"/>
      <c r="AI751" s="45"/>
      <c r="AJ751" s="15"/>
      <c r="AK751" s="13"/>
      <c r="AL751" s="15"/>
      <c r="AM751" s="45"/>
      <c r="AN751" s="15"/>
      <c r="AO751" s="13"/>
      <c r="AP751" s="15"/>
      <c r="AQ751" s="45">
        <f>$F$13</f>
        <v>500</v>
      </c>
      <c r="AR751" s="15"/>
      <c r="AS751" s="13"/>
      <c r="AT751" s="15"/>
      <c r="AU751" s="45"/>
      <c r="AV751" s="15"/>
      <c r="AW751" s="13"/>
      <c r="AX751" s="15"/>
      <c r="AY751" s="45"/>
      <c r="AZ751" s="28"/>
      <c r="BA751" s="13"/>
      <c r="BB751" s="15"/>
      <c r="BC751" s="45"/>
      <c r="BD751" s="28"/>
      <c r="BE751" s="14"/>
      <c r="BF751" s="41">
        <f t="shared" ref="BF751:BG751" si="2536">K751+O751+S751+W751+AA751+AE751+AI751+AM751+AQ751+AU751+AY751+BC751</f>
        <v>500</v>
      </c>
      <c r="BG751" s="34">
        <f t="shared" si="2536"/>
        <v>0</v>
      </c>
      <c r="BH751" s="35">
        <f t="shared" si="2522"/>
        <v>500</v>
      </c>
      <c r="BI751" s="15"/>
      <c r="BJ751" s="15"/>
      <c r="BK751" s="15" t="b">
        <f>H751='2019'!BH629</f>
        <v>1</v>
      </c>
    </row>
    <row r="752" ht="15.75" customHeight="1" hidden="1" spans="1:63" x14ac:dyDescent="0.25">
      <c r="A752" s="2">
        <v>87</v>
      </c>
      <c r="B752" s="14"/>
      <c r="C752" s="15"/>
      <c r="D752" s="14" t="s">
        <v>51</v>
      </c>
      <c r="E752" s="15" t="s">
        <v>49</v>
      </c>
      <c r="F752" s="41">
        <v>500</v>
      </c>
      <c r="G752" s="28"/>
      <c r="H752" s="34"/>
      <c r="I752" s="15"/>
      <c r="J752" s="15"/>
      <c r="K752" s="34"/>
      <c r="L752" s="35"/>
      <c r="M752" s="15"/>
      <c r="N752" s="15"/>
      <c r="O752" s="34"/>
      <c r="P752" s="34"/>
      <c r="Q752" s="13"/>
      <c r="R752" s="15"/>
      <c r="S752" s="34"/>
      <c r="T752" s="35"/>
      <c r="U752" s="15"/>
      <c r="V752" s="15"/>
      <c r="W752" s="34"/>
      <c r="X752" s="34"/>
      <c r="Y752" s="13"/>
      <c r="Z752" s="15"/>
      <c r="AA752" s="34"/>
      <c r="AB752" s="35"/>
      <c r="AC752" s="15"/>
      <c r="AD752" s="15"/>
      <c r="AE752" s="34"/>
      <c r="AF752" s="34"/>
      <c r="AG752" s="13"/>
      <c r="AH752" s="15"/>
      <c r="AI752" s="45"/>
      <c r="AJ752" s="15"/>
      <c r="AK752" s="13"/>
      <c r="AL752" s="15"/>
      <c r="AM752" s="45"/>
      <c r="AN752" s="15"/>
      <c r="AO752" s="13"/>
      <c r="AP752" s="15"/>
      <c r="AQ752" s="34">
        <f>B747*$F$14</f>
        <v>2115</v>
      </c>
      <c r="AR752" s="15"/>
      <c r="AS752" s="13"/>
      <c r="AT752" s="15"/>
      <c r="AU752" s="45"/>
      <c r="AV752" s="15"/>
      <c r="AW752" s="13"/>
      <c r="AX752" s="15"/>
      <c r="AY752" s="45"/>
      <c r="AZ752" s="28"/>
      <c r="BA752" s="13"/>
      <c r="BB752" s="15"/>
      <c r="BC752" s="45"/>
      <c r="BD752" s="28"/>
      <c r="BE752" s="14"/>
      <c r="BF752" s="41">
        <f t="shared" ref="BF752:BG752" si="2537">K752+O752+S752+W752+AA752+AE752+AI752+AM752+AQ752+AU752+AY752+BC752</f>
        <v>2115</v>
      </c>
      <c r="BG752" s="34">
        <f t="shared" si="2537"/>
        <v>0</v>
      </c>
      <c r="BH752" s="35">
        <f t="shared" si="2522"/>
        <v>2115</v>
      </c>
      <c r="BI752" s="15"/>
      <c r="BJ752" s="15"/>
      <c r="BK752" s="15"/>
    </row>
    <row r="753" ht="15.75" customHeight="1" hidden="1" spans="1:63" x14ac:dyDescent="0.25">
      <c r="A753" s="2">
        <v>87</v>
      </c>
      <c r="B753" s="14"/>
      <c r="C753" s="15"/>
      <c r="D753" s="14" t="s">
        <v>52</v>
      </c>
      <c r="E753" s="15" t="s">
        <v>39</v>
      </c>
      <c r="F753" s="41">
        <v>500</v>
      </c>
      <c r="G753" s="28"/>
      <c r="H753" s="34">
        <f>'2019'!BH630</f>
        <v>0</v>
      </c>
      <c r="I753" s="15"/>
      <c r="J753" s="15"/>
      <c r="K753" s="34"/>
      <c r="L753" s="35"/>
      <c r="M753" s="15"/>
      <c r="N753" s="15"/>
      <c r="O753" s="34"/>
      <c r="P753" s="34"/>
      <c r="Q753" s="13"/>
      <c r="R753" s="15"/>
      <c r="S753" s="34"/>
      <c r="T753" s="35"/>
      <c r="U753" s="15"/>
      <c r="V753" s="15"/>
      <c r="W753" s="34"/>
      <c r="X753" s="34"/>
      <c r="Y753" s="13"/>
      <c r="Z753" s="15"/>
      <c r="AA753" s="34">
        <f>$F$11</f>
        <v>500</v>
      </c>
      <c r="AB753" s="35"/>
      <c r="AC753" s="15"/>
      <c r="AD753" s="15"/>
      <c r="AE753" s="34"/>
      <c r="AF753" s="133">
        <v>500</v>
      </c>
      <c r="AG753" s="13"/>
      <c r="AH753" s="15"/>
      <c r="AI753" s="45"/>
      <c r="AJ753" s="15"/>
      <c r="AK753" s="13"/>
      <c r="AL753" s="15"/>
      <c r="AM753" s="45"/>
      <c r="AN753" s="15"/>
      <c r="AO753" s="13"/>
      <c r="AP753" s="15"/>
      <c r="AQ753" s="45"/>
      <c r="AR753" s="15"/>
      <c r="AS753" s="13"/>
      <c r="AT753" s="15"/>
      <c r="AU753" s="45"/>
      <c r="AV753" s="15"/>
      <c r="AW753" s="13"/>
      <c r="AX753" s="15"/>
      <c r="AY753" s="45"/>
      <c r="AZ753" s="35"/>
      <c r="BA753" s="13"/>
      <c r="BB753" s="15"/>
      <c r="BC753" s="45"/>
      <c r="BD753" s="35"/>
      <c r="BE753" s="14"/>
      <c r="BF753" s="41">
        <f t="shared" ref="BF753:BG753" si="2538">K753+O753+S753+W753+AA753+AE753+AI753+AM753+AQ753+AU753+AY753+BC753</f>
        <v>500</v>
      </c>
      <c r="BG753" s="34">
        <f t="shared" si="2538"/>
        <v>500</v>
      </c>
      <c r="BH753" s="35">
        <f t="shared" si="2522"/>
        <v>0</v>
      </c>
      <c r="BI753" s="15"/>
      <c r="BJ753" s="15"/>
      <c r="BK753" s="15" t="b">
        <f>H753='2019'!BH630</f>
        <v>1</v>
      </c>
    </row>
    <row r="754" ht="15.75" customHeight="1" hidden="1" spans="1:63" x14ac:dyDescent="0.25">
      <c r="A754" s="247">
        <v>87</v>
      </c>
      <c r="B754" s="21"/>
      <c r="C754" s="22" t="s">
        <v>53</v>
      </c>
      <c r="D754" s="21"/>
      <c r="E754" s="22"/>
      <c r="F754" s="20"/>
      <c r="G754" s="23"/>
      <c r="H754" s="51">
        <f>SUM(H746:H753)</f>
        <v>25.73</v>
      </c>
      <c r="I754" s="53"/>
      <c r="J754" s="53"/>
      <c r="K754" s="51">
        <f t="shared" ref="K754:L754" si="2539">SUM(K746:K753)</f>
        <v>0</v>
      </c>
      <c r="L754" s="68">
        <f t="shared" si="2539"/>
        <v>0</v>
      </c>
      <c r="M754" s="53"/>
      <c r="N754" s="53"/>
      <c r="O754" s="51">
        <f t="shared" ref="O754:P754" si="2540">SUM(O746:O753)</f>
        <v>0</v>
      </c>
      <c r="P754" s="51">
        <f t="shared" si="2540"/>
        <v>0</v>
      </c>
      <c r="Q754" s="52"/>
      <c r="R754" s="53"/>
      <c r="S754" s="51">
        <f t="shared" ref="S754:T754" si="2541">SUM(S746:S753)</f>
        <v>0</v>
      </c>
      <c r="T754" s="51">
        <f t="shared" si="2541"/>
        <v>0</v>
      </c>
      <c r="U754" s="52"/>
      <c r="V754" s="53"/>
      <c r="W754" s="51">
        <f t="shared" ref="W754:X754" si="2542">SUM(W746:W753)</f>
        <v>58.18</v>
      </c>
      <c r="X754" s="51">
        <f t="shared" si="2542"/>
        <v>0</v>
      </c>
      <c r="Y754" s="52"/>
      <c r="Z754" s="53"/>
      <c r="AA754" s="51">
        <f t="shared" ref="AA754:AB754" si="2543">SUM(AA746:AA753)</f>
        <v>603.18</v>
      </c>
      <c r="AB754" s="51">
        <f t="shared" si="2543"/>
        <v>0</v>
      </c>
      <c r="AC754" s="52"/>
      <c r="AD754" s="53"/>
      <c r="AE754" s="51">
        <f t="shared" ref="AE754:AF754" si="2544">SUM(AE746:AE753)</f>
        <v>5068.9</v>
      </c>
      <c r="AF754" s="51">
        <f t="shared" si="2544"/>
        <v>5620</v>
      </c>
      <c r="AG754" s="52"/>
      <c r="AH754" s="53"/>
      <c r="AI754" s="183">
        <f t="shared" ref="AI754:AJ754" si="2545">SUM(AI746:AI753)</f>
        <v>408.9</v>
      </c>
      <c r="AJ754" s="51">
        <f t="shared" si="2545"/>
        <v>0</v>
      </c>
      <c r="AK754" s="52"/>
      <c r="AL754" s="53"/>
      <c r="AM754" s="183">
        <f t="shared" ref="AM754:AN754" si="2546">SUM(AM746:AM753)</f>
        <v>260.94</v>
      </c>
      <c r="AN754" s="51">
        <f t="shared" si="2546"/>
        <v>900</v>
      </c>
      <c r="AO754" s="52"/>
      <c r="AP754" s="53"/>
      <c r="AQ754" s="183">
        <f t="shared" ref="AQ754:AR754" si="2547">SUM(AQ746:AQ753)</f>
        <v>2659.2</v>
      </c>
      <c r="AR754" s="51">
        <f t="shared" si="2547"/>
        <v>0</v>
      </c>
      <c r="AS754" s="52"/>
      <c r="AT754" s="53"/>
      <c r="AU754" s="183">
        <f t="shared" ref="AU754:AV754" si="2548">SUM(AU746:AU753)</f>
        <v>28.6</v>
      </c>
      <c r="AV754" s="68">
        <f t="shared" si="2548"/>
        <v>0</v>
      </c>
      <c r="AW754" s="52"/>
      <c r="AX754" s="53"/>
      <c r="AY754" s="183">
        <f t="shared" ref="AY754:AZ754" si="2549">SUM(AY746:AY753)</f>
        <v>0</v>
      </c>
      <c r="AZ754" s="68">
        <f t="shared" si="2549"/>
        <v>0</v>
      </c>
      <c r="BA754" s="52"/>
      <c r="BB754" s="53"/>
      <c r="BC754" s="183">
        <f t="shared" ref="BC754:BD754" si="2550">SUM(BC746:BC753)</f>
        <v>0</v>
      </c>
      <c r="BD754" s="68">
        <f t="shared" si="2550"/>
        <v>0</v>
      </c>
      <c r="BE754" s="69"/>
      <c r="BF754" s="70">
        <f t="shared" ref="BF754:BH754" si="2551">SUM(BF746:BF753)</f>
        <v>9087.9</v>
      </c>
      <c r="BG754" s="71">
        <f t="shared" si="2551"/>
        <v>6520</v>
      </c>
      <c r="BH754" s="72">
        <f t="shared" si="2551"/>
        <v>2593.63</v>
      </c>
      <c r="BI754" s="34">
        <f>H754+BF754-BG754</f>
        <v>2593.63</v>
      </c>
      <c r="BJ754" s="34">
        <f>BH754-BI754</f>
        <v>0</v>
      </c>
      <c r="BK754" s="2" t="b">
        <f>H754='2019'!BH631</f>
        <v>0</v>
      </c>
    </row>
    <row r="755" ht="15.75" customHeight="1" hidden="1" spans="1:63" x14ac:dyDescent="0.25">
      <c r="A755" s="2">
        <v>89</v>
      </c>
      <c r="B755" s="14"/>
      <c r="C755" s="15"/>
      <c r="D755" s="14" t="s">
        <v>379</v>
      </c>
      <c r="E755" s="15"/>
      <c r="F755" s="13"/>
      <c r="G755" s="28"/>
      <c r="H755" s="34">
        <f>'2019'!BH632</f>
        <v>0</v>
      </c>
      <c r="I755" s="15"/>
      <c r="J755" s="15"/>
      <c r="K755" s="34"/>
      <c r="L755" s="35"/>
      <c r="M755" s="15"/>
      <c r="N755" s="15"/>
      <c r="O755" s="34"/>
      <c r="P755" s="34"/>
      <c r="Q755" s="13"/>
      <c r="R755" s="15"/>
      <c r="S755" s="34"/>
      <c r="T755" s="35"/>
      <c r="U755" s="15"/>
      <c r="V755" s="15"/>
      <c r="W755" s="34"/>
      <c r="X755" s="34"/>
      <c r="Y755" s="13"/>
      <c r="Z755" s="15"/>
      <c r="AA755" s="34"/>
      <c r="AB755" s="35"/>
      <c r="AC755" s="15"/>
      <c r="AD755" s="15"/>
      <c r="AE755" s="34"/>
      <c r="AF755" s="34"/>
      <c r="AG755" s="13"/>
      <c r="AH755" s="15"/>
      <c r="AI755" s="45"/>
      <c r="AJ755" s="34"/>
      <c r="AK755" s="13"/>
      <c r="AL755" s="15"/>
      <c r="AM755" s="45"/>
      <c r="AN755" s="34"/>
      <c r="AO755" s="13"/>
      <c r="AP755" s="15"/>
      <c r="AQ755" s="45"/>
      <c r="AR755" s="34"/>
      <c r="AS755" s="13"/>
      <c r="AT755" s="15"/>
      <c r="AU755" s="45"/>
      <c r="AV755" s="34"/>
      <c r="AW755" s="13"/>
      <c r="AX755" s="15"/>
      <c r="AY755" s="45"/>
      <c r="AZ755" s="28"/>
      <c r="BA755" s="13"/>
      <c r="BB755" s="15"/>
      <c r="BC755" s="45"/>
      <c r="BD755" s="28"/>
      <c r="BE755" s="42"/>
      <c r="BF755" s="41">
        <f t="shared" ref="BF755:BG755" si="2552">K755+O755+S755+W755+AA755+AE755+AI755+AM755+AQ755+AU755+AY755+BC755</f>
        <v>0</v>
      </c>
      <c r="BG755" s="34">
        <f t="shared" si="2552"/>
        <v>0</v>
      </c>
      <c r="BH755" s="35">
        <f t="shared" ref="BH755:BH762" si="2553">H755+BF755-BG755</f>
        <v>0</v>
      </c>
      <c r="BI755" s="15"/>
      <c r="BJ755" s="15"/>
      <c r="BK755" s="15" t="b">
        <f>H755='2019'!BH632</f>
        <v>1</v>
      </c>
    </row>
    <row r="756" ht="15.75" customHeight="1" hidden="1" spans="1:63" x14ac:dyDescent="0.25">
      <c r="A756" s="2">
        <v>89</v>
      </c>
      <c r="B756" s="14">
        <v>4.25</v>
      </c>
      <c r="C756" s="15" t="s">
        <v>286</v>
      </c>
      <c r="D756" s="14" t="s">
        <v>44</v>
      </c>
      <c r="E756" s="15" t="s">
        <v>45</v>
      </c>
      <c r="F756" s="41">
        <v>2.5</v>
      </c>
      <c r="G756" s="35">
        <v>2.6</v>
      </c>
      <c r="H756" s="104">
        <f>'2019'!BH633</f>
        <v>0</v>
      </c>
      <c r="I756" s="15"/>
      <c r="J756" s="15"/>
      <c r="K756" s="34">
        <f>J756*$F$8</f>
        <v>0</v>
      </c>
      <c r="L756" s="35"/>
      <c r="M756" s="15"/>
      <c r="N756" s="15"/>
      <c r="O756" s="34">
        <f>N756*$F$8</f>
        <v>0</v>
      </c>
      <c r="P756" s="34"/>
      <c r="Q756" s="13"/>
      <c r="R756" s="15"/>
      <c r="S756" s="34">
        <f>R756*$F$8</f>
        <v>0</v>
      </c>
      <c r="T756" s="35"/>
      <c r="U756" s="15"/>
      <c r="V756" s="15">
        <f t="shared" ref="V756:V757" si="2554">U756-Q756</f>
        <v>0</v>
      </c>
      <c r="W756" s="34">
        <f>V756*$F$8</f>
        <v>0</v>
      </c>
      <c r="X756" s="34"/>
      <c r="Y756" s="13"/>
      <c r="Z756" s="15">
        <f t="shared" ref="Z756:Z757" si="2555">Y756-U756</f>
        <v>0</v>
      </c>
      <c r="AA756" s="34">
        <f>Z756*$F$8</f>
        <v>0</v>
      </c>
      <c r="AB756" s="35"/>
      <c r="AC756" s="15"/>
      <c r="AD756" s="15">
        <f t="shared" ref="AD756:AD757" si="2556">AC756-Y756</f>
        <v>0</v>
      </c>
      <c r="AE756" s="34">
        <f>AD756*$F$8</f>
        <v>0</v>
      </c>
      <c r="AF756" s="39"/>
      <c r="AG756" s="13"/>
      <c r="AH756" s="15">
        <f t="shared" ref="AH756:AH757" si="2557">AG756-AC756</f>
        <v>0</v>
      </c>
      <c r="AI756" s="45">
        <f>AH756*$G$8</f>
        <v>0</v>
      </c>
      <c r="AJ756" s="15"/>
      <c r="AK756" s="13">
        <v>0</v>
      </c>
      <c r="AL756" s="15">
        <f t="shared" ref="AL756:AL757" si="2558">AK756-AG756</f>
        <v>0</v>
      </c>
      <c r="AM756" s="45">
        <f>AL756*$G$8</f>
        <v>0</v>
      </c>
      <c r="AN756" s="15"/>
      <c r="AO756" s="13">
        <v>0</v>
      </c>
      <c r="AP756" s="15">
        <f t="shared" ref="AP756:AP757" si="2559">AO756-AK756</f>
        <v>0</v>
      </c>
      <c r="AQ756" s="45">
        <f>AP756*$G$8</f>
        <v>0</v>
      </c>
      <c r="AR756" s="15"/>
      <c r="AS756" s="13">
        <v>0</v>
      </c>
      <c r="AT756" s="15">
        <f t="shared" ref="AT756:AT757" si="2560">AS756-AO756</f>
        <v>0</v>
      </c>
      <c r="AU756" s="45">
        <f>AT756*$G$8</f>
        <v>0</v>
      </c>
      <c r="AV756" s="15"/>
      <c r="AW756" s="13">
        <v>0</v>
      </c>
      <c r="AX756" s="15">
        <f t="shared" ref="AX756:AX757" si="2561">AW756-AS756</f>
        <v>0</v>
      </c>
      <c r="AY756" s="45">
        <f>AX756*$G$8</f>
        <v>0</v>
      </c>
      <c r="AZ756" s="208"/>
      <c r="BA756" s="13">
        <v>0</v>
      </c>
      <c r="BB756" s="15">
        <f t="shared" ref="BB756:BB757" si="2562">BA756-AW756</f>
        <v>0</v>
      </c>
      <c r="BC756" s="45">
        <f>BB756*$G$8</f>
        <v>0</v>
      </c>
      <c r="BD756" s="208"/>
      <c r="BE756" s="40">
        <f t="shared" ref="BE756:BG756" si="2563">J756+N756+R756+V756+Z756+AD756+AH756+AL756+AP756+AT756+AX756+BB756</f>
        <v>0</v>
      </c>
      <c r="BF756" s="41">
        <f t="shared" si="2563"/>
        <v>0</v>
      </c>
      <c r="BG756" s="34">
        <f t="shared" si="2563"/>
        <v>0</v>
      </c>
      <c r="BH756" s="35">
        <f t="shared" si="2553"/>
        <v>0</v>
      </c>
      <c r="BI756" s="15"/>
      <c r="BJ756" s="15"/>
      <c r="BK756" s="15" t="b">
        <f>H756='2019'!BH633</f>
        <v>1</v>
      </c>
    </row>
    <row r="757" ht="15.75" customHeight="1" hidden="1" spans="1:63" x14ac:dyDescent="0.25">
      <c r="A757" s="2">
        <v>89</v>
      </c>
      <c r="B757" s="14"/>
      <c r="C757" s="15" t="s">
        <v>163</v>
      </c>
      <c r="D757" s="14" t="s">
        <v>47</v>
      </c>
      <c r="E757" s="15" t="s">
        <v>48</v>
      </c>
      <c r="F757" s="13">
        <v>18.56</v>
      </c>
      <c r="G757" s="35">
        <v>19.46</v>
      </c>
      <c r="H757" s="34">
        <f>'2019'!BH634</f>
        <v>-65.74</v>
      </c>
      <c r="I757" s="15">
        <v>118</v>
      </c>
      <c r="J757" s="15"/>
      <c r="K757" s="34"/>
      <c r="L757" s="35"/>
      <c r="M757" s="15">
        <v>118</v>
      </c>
      <c r="N757" s="15"/>
      <c r="O757" s="34"/>
      <c r="P757" s="34"/>
      <c r="Q757" s="13">
        <v>118</v>
      </c>
      <c r="R757" s="15"/>
      <c r="S757" s="34"/>
      <c r="T757" s="35"/>
      <c r="U757" s="15">
        <v>118</v>
      </c>
      <c r="V757" s="15">
        <f t="shared" si="2554"/>
        <v>0</v>
      </c>
      <c r="W757" s="34">
        <f>V757*$F$10</f>
        <v>0</v>
      </c>
      <c r="X757" s="34"/>
      <c r="Y757" s="13">
        <v>118</v>
      </c>
      <c r="Z757" s="15">
        <f t="shared" si="2555"/>
        <v>0</v>
      </c>
      <c r="AA757" s="34">
        <f>Z757*$F$10</f>
        <v>0</v>
      </c>
      <c r="AB757" s="35"/>
      <c r="AC757" s="15">
        <v>128</v>
      </c>
      <c r="AD757" s="15">
        <f t="shared" si="2556"/>
        <v>10</v>
      </c>
      <c r="AE757" s="34">
        <f>AD757*$F$10</f>
        <v>185.6</v>
      </c>
      <c r="AF757" s="39">
        <v>125</v>
      </c>
      <c r="AG757" s="13">
        <v>128</v>
      </c>
      <c r="AH757" s="15">
        <f t="shared" si="2557"/>
        <v>0</v>
      </c>
      <c r="AI757" s="45">
        <f>AH757*$G$10</f>
        <v>0</v>
      </c>
      <c r="AJ757" s="15"/>
      <c r="AK757" s="13">
        <v>128</v>
      </c>
      <c r="AL757" s="15">
        <f t="shared" si="2558"/>
        <v>0</v>
      </c>
      <c r="AM757" s="45">
        <f>AL757*$G$10</f>
        <v>0</v>
      </c>
      <c r="AN757" s="15"/>
      <c r="AO757" s="13">
        <v>128</v>
      </c>
      <c r="AP757" s="15">
        <f t="shared" si="2559"/>
        <v>0</v>
      </c>
      <c r="AQ757" s="45">
        <f>AP757*$G$10</f>
        <v>0</v>
      </c>
      <c r="AR757" s="39">
        <v>250</v>
      </c>
      <c r="AS757" s="13">
        <v>128</v>
      </c>
      <c r="AT757" s="15">
        <f t="shared" si="2560"/>
        <v>0</v>
      </c>
      <c r="AU757" s="45">
        <f>AT757*$G$10</f>
        <v>0</v>
      </c>
      <c r="AV757" s="15"/>
      <c r="AW757" s="13">
        <v>128</v>
      </c>
      <c r="AX757" s="15">
        <f t="shared" si="2561"/>
        <v>0</v>
      </c>
      <c r="AY757" s="45"/>
      <c r="AZ757" s="208"/>
      <c r="BA757" s="13">
        <v>128</v>
      </c>
      <c r="BB757" s="15">
        <f t="shared" si="2562"/>
        <v>0</v>
      </c>
      <c r="BC757" s="45"/>
      <c r="BD757" s="208"/>
      <c r="BE757" s="40">
        <f t="shared" ref="BE757:BG757" si="2564">J757+N757+R757+V757+Z757+AD757+AH757+AL757+AP757+AT757+AX757+BB757</f>
        <v>10</v>
      </c>
      <c r="BF757" s="41">
        <f t="shared" si="2564"/>
        <v>185.6</v>
      </c>
      <c r="BG757" s="34">
        <f t="shared" si="2564"/>
        <v>375</v>
      </c>
      <c r="BH757" s="35">
        <f t="shared" si="2553"/>
        <v>-255.14</v>
      </c>
      <c r="BI757" s="15"/>
      <c r="BJ757" s="15"/>
      <c r="BK757" s="15" t="b">
        <f>H757='2019'!BH634</f>
        <v>1</v>
      </c>
    </row>
    <row r="758" ht="15.75" customHeight="1" hidden="1" spans="1:63" x14ac:dyDescent="0.25">
      <c r="A758" s="2">
        <v>89</v>
      </c>
      <c r="B758" s="14"/>
      <c r="C758" s="15" t="s">
        <v>107</v>
      </c>
      <c r="D758" s="14" t="s">
        <v>47</v>
      </c>
      <c r="E758" s="15" t="s">
        <v>49</v>
      </c>
      <c r="F758" s="41">
        <v>500</v>
      </c>
      <c r="G758" s="28"/>
      <c r="H758" s="34">
        <f>'2019'!BH635</f>
        <v>0</v>
      </c>
      <c r="I758" s="15"/>
      <c r="J758" s="15"/>
      <c r="K758" s="34"/>
      <c r="L758" s="35"/>
      <c r="M758" s="15"/>
      <c r="N758" s="15"/>
      <c r="O758" s="34"/>
      <c r="P758" s="34"/>
      <c r="Q758" s="13"/>
      <c r="R758" s="15"/>
      <c r="S758" s="34"/>
      <c r="T758" s="35"/>
      <c r="U758" s="15"/>
      <c r="V758" s="15"/>
      <c r="W758" s="34"/>
      <c r="X758" s="34"/>
      <c r="Y758" s="13"/>
      <c r="Z758" s="15"/>
      <c r="AA758" s="34"/>
      <c r="AB758" s="35"/>
      <c r="AC758" s="15"/>
      <c r="AD758" s="15"/>
      <c r="AE758" s="34"/>
      <c r="AF758" s="39"/>
      <c r="AG758" s="13"/>
      <c r="AH758" s="15"/>
      <c r="AI758" s="45"/>
      <c r="AJ758" s="15"/>
      <c r="AK758" s="13"/>
      <c r="AL758" s="15"/>
      <c r="AM758" s="45"/>
      <c r="AN758" s="15"/>
      <c r="AO758" s="13"/>
      <c r="AP758" s="15"/>
      <c r="AQ758" s="45"/>
      <c r="AR758" s="15"/>
      <c r="AS758" s="13"/>
      <c r="AT758" s="15"/>
      <c r="AU758" s="45"/>
      <c r="AV758" s="15"/>
      <c r="AW758" s="13"/>
      <c r="AX758" s="15"/>
      <c r="AY758" s="45"/>
      <c r="AZ758" s="28"/>
      <c r="BA758" s="13"/>
      <c r="BB758" s="15"/>
      <c r="BC758" s="45"/>
      <c r="BD758" s="28"/>
      <c r="BE758" s="14"/>
      <c r="BF758" s="41">
        <f t="shared" ref="BF758:BG758" si="2565">K758+O758+S758+W758+AA758+AE758+AI758+AM758+AQ758+AU758+AY758+BC758</f>
        <v>0</v>
      </c>
      <c r="BG758" s="34">
        <f t="shared" si="2565"/>
        <v>0</v>
      </c>
      <c r="BH758" s="35">
        <f t="shared" si="2553"/>
        <v>0</v>
      </c>
      <c r="BI758" s="15"/>
      <c r="BJ758" s="15"/>
      <c r="BK758" s="15" t="b">
        <f>H758='2019'!BH635</f>
        <v>1</v>
      </c>
    </row>
    <row r="759" ht="15.75" customHeight="1" hidden="1" spans="1:63" x14ac:dyDescent="0.25">
      <c r="A759" s="2">
        <v>89</v>
      </c>
      <c r="B759" s="14"/>
      <c r="C759" s="15" t="s">
        <v>287</v>
      </c>
      <c r="D759" s="14" t="s">
        <v>50</v>
      </c>
      <c r="E759" s="15" t="s">
        <v>49</v>
      </c>
      <c r="F759" s="41">
        <v>1100</v>
      </c>
      <c r="G759" s="28"/>
      <c r="H759" s="34">
        <f>'2019'!BH636</f>
        <v>0</v>
      </c>
      <c r="I759" s="15"/>
      <c r="J759" s="15"/>
      <c r="K759" s="34"/>
      <c r="L759" s="35"/>
      <c r="M759" s="15"/>
      <c r="N759" s="15"/>
      <c r="O759" s="34"/>
      <c r="P759" s="34"/>
      <c r="Q759" s="13"/>
      <c r="R759" s="15"/>
      <c r="S759" s="34"/>
      <c r="T759" s="35"/>
      <c r="U759" s="15"/>
      <c r="V759" s="15"/>
      <c r="W759" s="34"/>
      <c r="X759" s="34"/>
      <c r="Y759" s="13"/>
      <c r="Z759" s="15"/>
      <c r="AA759" s="34"/>
      <c r="AB759" s="35"/>
      <c r="AC759" s="15"/>
      <c r="AD759" s="15"/>
      <c r="AE759" s="34">
        <f>B756*$F$12</f>
        <v>4675</v>
      </c>
      <c r="AF759" s="39">
        <v>4675</v>
      </c>
      <c r="AG759" s="13"/>
      <c r="AH759" s="15"/>
      <c r="AI759" s="45"/>
      <c r="AJ759" s="34"/>
      <c r="AK759" s="13"/>
      <c r="AL759" s="15"/>
      <c r="AM759" s="45"/>
      <c r="AN759" s="15"/>
      <c r="AO759" s="13"/>
      <c r="AP759" s="15"/>
      <c r="AQ759" s="45"/>
      <c r="AR759" s="15"/>
      <c r="AS759" s="13"/>
      <c r="AT759" s="15"/>
      <c r="AU759" s="45"/>
      <c r="AV759" s="15"/>
      <c r="AW759" s="13"/>
      <c r="AX759" s="15"/>
      <c r="AY759" s="45"/>
      <c r="AZ759" s="28"/>
      <c r="BA759" s="13"/>
      <c r="BB759" s="15"/>
      <c r="BC759" s="45"/>
      <c r="BD759" s="28"/>
      <c r="BE759" s="14"/>
      <c r="BF759" s="41">
        <f t="shared" ref="BF759:BG759" si="2566">K759+O759+S759+W759+AA759+AE759+AI759+AM759+AQ759+AU759+AY759+BC759</f>
        <v>4675</v>
      </c>
      <c r="BG759" s="34">
        <f t="shared" si="2566"/>
        <v>4675</v>
      </c>
      <c r="BH759" s="35">
        <f t="shared" si="2553"/>
        <v>0</v>
      </c>
      <c r="BI759" s="15"/>
      <c r="BJ759" s="15"/>
      <c r="BK759" s="15" t="b">
        <f>H759='2019'!BH636</f>
        <v>1</v>
      </c>
    </row>
    <row r="760" ht="15.75" customHeight="1" hidden="1" spans="1:63" x14ac:dyDescent="0.25">
      <c r="A760" s="2">
        <v>89</v>
      </c>
      <c r="B760" s="14"/>
      <c r="C760" s="15"/>
      <c r="D760" s="14" t="s">
        <v>51</v>
      </c>
      <c r="E760" s="15" t="s">
        <v>39</v>
      </c>
      <c r="F760" s="41">
        <v>500</v>
      </c>
      <c r="G760" s="28"/>
      <c r="H760" s="34">
        <f>'2019'!BH637</f>
        <v>0</v>
      </c>
      <c r="I760" s="15"/>
      <c r="J760" s="15"/>
      <c r="K760" s="34"/>
      <c r="L760" s="35"/>
      <c r="M760" s="15"/>
      <c r="N760" s="15"/>
      <c r="O760" s="34"/>
      <c r="P760" s="34"/>
      <c r="Q760" s="13"/>
      <c r="R760" s="15"/>
      <c r="S760" s="34"/>
      <c r="T760" s="35"/>
      <c r="U760" s="15"/>
      <c r="V760" s="15"/>
      <c r="W760" s="34"/>
      <c r="X760" s="34"/>
      <c r="Y760" s="13"/>
      <c r="Z760" s="15"/>
      <c r="AA760" s="34"/>
      <c r="AB760" s="35"/>
      <c r="AC760" s="15"/>
      <c r="AD760" s="15"/>
      <c r="AE760" s="34"/>
      <c r="AF760" s="39"/>
      <c r="AG760" s="13"/>
      <c r="AH760" s="15"/>
      <c r="AI760" s="45"/>
      <c r="AJ760" s="15"/>
      <c r="AK760" s="13"/>
      <c r="AL760" s="15"/>
      <c r="AM760" s="45"/>
      <c r="AN760" s="15"/>
      <c r="AO760" s="13"/>
      <c r="AP760" s="15"/>
      <c r="AQ760" s="45">
        <f>$F$13</f>
        <v>500</v>
      </c>
      <c r="AR760" s="15"/>
      <c r="AS760" s="13"/>
      <c r="AT760" s="15"/>
      <c r="AU760" s="45"/>
      <c r="AV760" s="15"/>
      <c r="AW760" s="13"/>
      <c r="AX760" s="15"/>
      <c r="AY760" s="45"/>
      <c r="AZ760" s="28"/>
      <c r="BA760" s="13"/>
      <c r="BB760" s="15"/>
      <c r="BC760" s="45"/>
      <c r="BD760" s="28"/>
      <c r="BE760" s="14"/>
      <c r="BF760" s="41">
        <f t="shared" ref="BF760:BG760" si="2567">K760+O760+S760+W760+AA760+AE760+AI760+AM760+AQ760+AU760+AY760+BC760</f>
        <v>500</v>
      </c>
      <c r="BG760" s="34">
        <f t="shared" si="2567"/>
        <v>0</v>
      </c>
      <c r="BH760" s="35">
        <f t="shared" si="2553"/>
        <v>500</v>
      </c>
      <c r="BI760" s="15"/>
      <c r="BJ760" s="15"/>
      <c r="BK760" s="15" t="b">
        <f>H760='2019'!BH637</f>
        <v>1</v>
      </c>
    </row>
    <row r="761" ht="15.75" customHeight="1" hidden="1" spans="1:63" x14ac:dyDescent="0.25">
      <c r="A761" s="2">
        <v>89</v>
      </c>
      <c r="B761" s="14"/>
      <c r="C761" s="15"/>
      <c r="D761" s="14" t="s">
        <v>51</v>
      </c>
      <c r="E761" s="15" t="s">
        <v>49</v>
      </c>
      <c r="F761" s="41">
        <v>500</v>
      </c>
      <c r="G761" s="28"/>
      <c r="H761" s="34"/>
      <c r="I761" s="15"/>
      <c r="J761" s="15"/>
      <c r="K761" s="34"/>
      <c r="L761" s="35"/>
      <c r="M761" s="15"/>
      <c r="N761" s="15"/>
      <c r="O761" s="34"/>
      <c r="P761" s="34"/>
      <c r="Q761" s="13"/>
      <c r="R761" s="15"/>
      <c r="S761" s="34"/>
      <c r="T761" s="35"/>
      <c r="U761" s="15"/>
      <c r="V761" s="15"/>
      <c r="W761" s="34"/>
      <c r="X761" s="34"/>
      <c r="Y761" s="13"/>
      <c r="Z761" s="15"/>
      <c r="AA761" s="34"/>
      <c r="AB761" s="35"/>
      <c r="AC761" s="15"/>
      <c r="AD761" s="15"/>
      <c r="AE761" s="34"/>
      <c r="AF761" s="39"/>
      <c r="AG761" s="13"/>
      <c r="AH761" s="15"/>
      <c r="AI761" s="45"/>
      <c r="AJ761" s="15"/>
      <c r="AK761" s="13"/>
      <c r="AL761" s="15"/>
      <c r="AM761" s="45"/>
      <c r="AN761" s="15"/>
      <c r="AO761" s="13"/>
      <c r="AP761" s="15"/>
      <c r="AQ761" s="34">
        <f>B756*$F$14</f>
        <v>2125</v>
      </c>
      <c r="AR761" s="15"/>
      <c r="AS761" s="13"/>
      <c r="AT761" s="15"/>
      <c r="AU761" s="45"/>
      <c r="AV761" s="15"/>
      <c r="AW761" s="13"/>
      <c r="AX761" s="15"/>
      <c r="AY761" s="45"/>
      <c r="AZ761" s="28"/>
      <c r="BA761" s="13"/>
      <c r="BB761" s="15"/>
      <c r="BC761" s="45"/>
      <c r="BD761" s="28"/>
      <c r="BE761" s="14"/>
      <c r="BF761" s="41">
        <f t="shared" ref="BF761:BG761" si="2568">K761+O761+S761+W761+AA761+AE761+AI761+AM761+AQ761+AU761+AY761+BC761</f>
        <v>2125</v>
      </c>
      <c r="BG761" s="34">
        <f t="shared" si="2568"/>
        <v>0</v>
      </c>
      <c r="BH761" s="35">
        <f t="shared" si="2553"/>
        <v>2125</v>
      </c>
      <c r="BI761" s="15"/>
      <c r="BJ761" s="15"/>
      <c r="BK761" s="15"/>
    </row>
    <row r="762" ht="15.75" customHeight="1" hidden="1" spans="1:63" x14ac:dyDescent="0.25">
      <c r="A762" s="2">
        <v>89</v>
      </c>
      <c r="B762" s="14"/>
      <c r="C762" s="15"/>
      <c r="D762" s="14" t="s">
        <v>52</v>
      </c>
      <c r="E762" s="15" t="s">
        <v>39</v>
      </c>
      <c r="F762" s="41">
        <v>500</v>
      </c>
      <c r="G762" s="28"/>
      <c r="H762" s="34">
        <f>'2019'!BH638</f>
        <v>0</v>
      </c>
      <c r="I762" s="15"/>
      <c r="J762" s="15"/>
      <c r="K762" s="34"/>
      <c r="L762" s="35"/>
      <c r="M762" s="15"/>
      <c r="N762" s="15"/>
      <c r="O762" s="34"/>
      <c r="P762" s="34"/>
      <c r="Q762" s="13"/>
      <c r="R762" s="15"/>
      <c r="S762" s="34"/>
      <c r="T762" s="35"/>
      <c r="U762" s="15"/>
      <c r="V762" s="15"/>
      <c r="W762" s="34"/>
      <c r="X762" s="34"/>
      <c r="Y762" s="13"/>
      <c r="Z762" s="15"/>
      <c r="AA762" s="34">
        <f>$F$11</f>
        <v>500</v>
      </c>
      <c r="AB762" s="35"/>
      <c r="AC762" s="15"/>
      <c r="AD762" s="15"/>
      <c r="AE762" s="34"/>
      <c r="AF762" s="39">
        <v>500</v>
      </c>
      <c r="AG762" s="13"/>
      <c r="AH762" s="15"/>
      <c r="AI762" s="45"/>
      <c r="AJ762" s="15"/>
      <c r="AK762" s="13"/>
      <c r="AL762" s="15"/>
      <c r="AM762" s="45"/>
      <c r="AN762" s="15"/>
      <c r="AO762" s="13"/>
      <c r="AP762" s="15"/>
      <c r="AQ762" s="45"/>
      <c r="AR762" s="15"/>
      <c r="AS762" s="13"/>
      <c r="AT762" s="15"/>
      <c r="AU762" s="45"/>
      <c r="AV762" s="15"/>
      <c r="AW762" s="13"/>
      <c r="AX762" s="15"/>
      <c r="AY762" s="45"/>
      <c r="AZ762" s="35"/>
      <c r="BA762" s="13"/>
      <c r="BB762" s="15"/>
      <c r="BC762" s="45"/>
      <c r="BD762" s="35"/>
      <c r="BE762" s="14"/>
      <c r="BF762" s="41">
        <f t="shared" ref="BF762:BG762" si="2569">K762+O762+S762+W762+AA762+AE762+AI762+AM762+AQ762+AU762+AY762+BC762</f>
        <v>500</v>
      </c>
      <c r="BG762" s="34">
        <f t="shared" si="2569"/>
        <v>500</v>
      </c>
      <c r="BH762" s="35">
        <f t="shared" si="2553"/>
        <v>0</v>
      </c>
      <c r="BI762" s="15"/>
      <c r="BJ762" s="15"/>
      <c r="BK762" s="15" t="b">
        <f>H762='2019'!BH638</f>
        <v>1</v>
      </c>
    </row>
    <row r="763" ht="15.75" customHeight="1" hidden="1" spans="1:63" x14ac:dyDescent="0.25">
      <c r="A763" s="247">
        <v>89</v>
      </c>
      <c r="B763" s="21"/>
      <c r="C763" s="22" t="s">
        <v>53</v>
      </c>
      <c r="D763" s="21"/>
      <c r="E763" s="22"/>
      <c r="F763" s="20"/>
      <c r="G763" s="23"/>
      <c r="H763" s="51">
        <f>SUM(H755:H762)</f>
        <v>-65.74</v>
      </c>
      <c r="I763" s="53"/>
      <c r="J763" s="53"/>
      <c r="K763" s="51">
        <f t="shared" ref="K763:L763" si="2570">SUM(K755:K762)</f>
        <v>0</v>
      </c>
      <c r="L763" s="68">
        <f t="shared" si="2570"/>
        <v>0</v>
      </c>
      <c r="M763" s="53"/>
      <c r="N763" s="53"/>
      <c r="O763" s="51">
        <f t="shared" ref="O763:P763" si="2571">SUM(O755:O762)</f>
        <v>0</v>
      </c>
      <c r="P763" s="51">
        <f t="shared" si="2571"/>
        <v>0</v>
      </c>
      <c r="Q763" s="52"/>
      <c r="R763" s="53"/>
      <c r="S763" s="51">
        <f t="shared" ref="S763:T763" si="2572">SUM(S755:S762)</f>
        <v>0</v>
      </c>
      <c r="T763" s="51">
        <f t="shared" si="2572"/>
        <v>0</v>
      </c>
      <c r="U763" s="52"/>
      <c r="V763" s="53"/>
      <c r="W763" s="51">
        <f t="shared" ref="W763:X763" si="2573">SUM(W755:W762)</f>
        <v>0</v>
      </c>
      <c r="X763" s="51">
        <f t="shared" si="2573"/>
        <v>0</v>
      </c>
      <c r="Y763" s="52"/>
      <c r="Z763" s="53"/>
      <c r="AA763" s="51">
        <f t="shared" ref="AA763:AB763" si="2574">SUM(AA755:AA762)</f>
        <v>500</v>
      </c>
      <c r="AB763" s="51">
        <f t="shared" si="2574"/>
        <v>0</v>
      </c>
      <c r="AC763" s="52"/>
      <c r="AD763" s="53"/>
      <c r="AE763" s="51">
        <f t="shared" ref="AE763:AF763" si="2575">SUM(AE755:AE762)</f>
        <v>4860.6</v>
      </c>
      <c r="AF763" s="51">
        <f t="shared" si="2575"/>
        <v>5300</v>
      </c>
      <c r="AG763" s="52"/>
      <c r="AH763" s="53"/>
      <c r="AI763" s="183">
        <f t="shared" ref="AI763:AJ763" si="2576">SUM(AI755:AI762)</f>
        <v>0</v>
      </c>
      <c r="AJ763" s="51">
        <f t="shared" si="2576"/>
        <v>0</v>
      </c>
      <c r="AK763" s="52"/>
      <c r="AL763" s="53"/>
      <c r="AM763" s="183">
        <f t="shared" ref="AM763:AN763" si="2577">SUM(AM755:AM762)</f>
        <v>0</v>
      </c>
      <c r="AN763" s="51">
        <f t="shared" si="2577"/>
        <v>0</v>
      </c>
      <c r="AO763" s="52"/>
      <c r="AP763" s="53"/>
      <c r="AQ763" s="183">
        <f t="shared" ref="AQ763:AR763" si="2578">SUM(AQ755:AQ762)</f>
        <v>2625</v>
      </c>
      <c r="AR763" s="51">
        <f t="shared" si="2578"/>
        <v>250</v>
      </c>
      <c r="AS763" s="52"/>
      <c r="AT763" s="53"/>
      <c r="AU763" s="183">
        <f t="shared" ref="AU763:AV763" si="2579">SUM(AU755:AU762)</f>
        <v>0</v>
      </c>
      <c r="AV763" s="68">
        <f t="shared" si="2579"/>
        <v>0</v>
      </c>
      <c r="AW763" s="52"/>
      <c r="AX763" s="53"/>
      <c r="AY763" s="183">
        <f t="shared" ref="AY763:AZ763" si="2580">SUM(AY755:AY762)</f>
        <v>0</v>
      </c>
      <c r="AZ763" s="68">
        <f t="shared" si="2580"/>
        <v>0</v>
      </c>
      <c r="BA763" s="52"/>
      <c r="BB763" s="53"/>
      <c r="BC763" s="183">
        <f t="shared" ref="BC763:BD763" si="2581">SUM(BC755:BC762)</f>
        <v>0</v>
      </c>
      <c r="BD763" s="68">
        <f t="shared" si="2581"/>
        <v>0</v>
      </c>
      <c r="BE763" s="69"/>
      <c r="BF763" s="70">
        <f t="shared" ref="BF763:BH763" si="2582">SUM(BF755:BF762)</f>
        <v>7985.6</v>
      </c>
      <c r="BG763" s="71">
        <f t="shared" si="2582"/>
        <v>5550</v>
      </c>
      <c r="BH763" s="72">
        <f t="shared" si="2582"/>
        <v>2369.86</v>
      </c>
      <c r="BI763" s="34">
        <f>H763+BF763-BG763</f>
        <v>2369.86</v>
      </c>
      <c r="BJ763" s="34">
        <f>BH763-BI763</f>
        <v>0</v>
      </c>
      <c r="BK763" s="2" t="b">
        <f>H763='2019'!BH639</f>
        <v>1</v>
      </c>
    </row>
    <row r="764" ht="15.75" customHeight="1" hidden="1" spans="1:63" x14ac:dyDescent="0.25">
      <c r="A764" s="2">
        <v>91</v>
      </c>
      <c r="B764" s="14"/>
      <c r="C764" s="15"/>
      <c r="D764" s="14" t="s">
        <v>379</v>
      </c>
      <c r="E764" s="15"/>
      <c r="F764" s="13"/>
      <c r="G764" s="28"/>
      <c r="H764" s="34">
        <f>'2019'!BH640</f>
        <v>0</v>
      </c>
      <c r="I764" s="15"/>
      <c r="J764" s="15"/>
      <c r="K764" s="34"/>
      <c r="L764" s="35"/>
      <c r="M764" s="15"/>
      <c r="N764" s="15"/>
      <c r="O764" s="34"/>
      <c r="P764" s="34"/>
      <c r="Q764" s="13"/>
      <c r="R764" s="15"/>
      <c r="S764" s="34"/>
      <c r="T764" s="35"/>
      <c r="U764" s="15"/>
      <c r="V764" s="15"/>
      <c r="W764" s="34"/>
      <c r="X764" s="34"/>
      <c r="Y764" s="13"/>
      <c r="Z764" s="15"/>
      <c r="AA764" s="34"/>
      <c r="AB764" s="35"/>
      <c r="AC764" s="15"/>
      <c r="AD764" s="15"/>
      <c r="AE764" s="34"/>
      <c r="AF764" s="34"/>
      <c r="AG764" s="13"/>
      <c r="AH764" s="15"/>
      <c r="AI764" s="45"/>
      <c r="AJ764" s="34"/>
      <c r="AK764" s="13"/>
      <c r="AL764" s="15"/>
      <c r="AM764" s="45"/>
      <c r="AN764" s="34"/>
      <c r="AO764" s="13"/>
      <c r="AP764" s="15"/>
      <c r="AQ764" s="45"/>
      <c r="AR764" s="34"/>
      <c r="AS764" s="13"/>
      <c r="AT764" s="15"/>
      <c r="AU764" s="45"/>
      <c r="AV764" s="34"/>
      <c r="AW764" s="13"/>
      <c r="AX764" s="15"/>
      <c r="AY764" s="45"/>
      <c r="AZ764" s="28"/>
      <c r="BA764" s="13"/>
      <c r="BB764" s="15"/>
      <c r="BC764" s="45"/>
      <c r="BD764" s="28"/>
      <c r="BE764" s="42"/>
      <c r="BF764" s="41">
        <f t="shared" ref="BF764:BG764" si="2583">K764+O764+S764+W764+AA764+AE764+AI764+AM764+AQ764+AU764+AY764+BC764</f>
        <v>0</v>
      </c>
      <c r="BG764" s="34">
        <f t="shared" si="2583"/>
        <v>0</v>
      </c>
      <c r="BH764" s="35">
        <f t="shared" ref="BH764:BH771" si="2584">H764+BF764-BG764</f>
        <v>0</v>
      </c>
      <c r="BI764" s="15"/>
      <c r="BJ764" s="15"/>
      <c r="BK764" s="15" t="b">
        <f>H764='2019'!BH640</f>
        <v>1</v>
      </c>
    </row>
    <row r="765" ht="15.75" customHeight="1" hidden="1" spans="1:63" x14ac:dyDescent="0.25">
      <c r="A765" s="2">
        <v>91</v>
      </c>
      <c r="B765" s="14">
        <v>4.23</v>
      </c>
      <c r="C765" s="15" t="s">
        <v>288</v>
      </c>
      <c r="D765" s="14" t="s">
        <v>44</v>
      </c>
      <c r="E765" s="15" t="s">
        <v>45</v>
      </c>
      <c r="F765" s="41">
        <v>2.5</v>
      </c>
      <c r="G765" s="35">
        <v>2.6</v>
      </c>
      <c r="H765" s="34">
        <f>'2019'!BH641</f>
        <v>-7.42</v>
      </c>
      <c r="I765" s="13">
        <v>171</v>
      </c>
      <c r="J765" s="15">
        <f>I765-'2019'!BA641</f>
        <v>0</v>
      </c>
      <c r="K765" s="34">
        <f>J765*$F$8</f>
        <v>0</v>
      </c>
      <c r="L765" s="35"/>
      <c r="M765" s="15">
        <v>171</v>
      </c>
      <c r="N765" s="15">
        <f>M765-I765</f>
        <v>0</v>
      </c>
      <c r="O765" s="34">
        <f>N765*$F$8</f>
        <v>0</v>
      </c>
      <c r="P765" s="34"/>
      <c r="Q765" s="13">
        <v>171</v>
      </c>
      <c r="R765" s="15">
        <f>Q765-M765</f>
        <v>0</v>
      </c>
      <c r="S765" s="34">
        <f>R765*$F$8</f>
        <v>0</v>
      </c>
      <c r="T765" s="35"/>
      <c r="U765" s="15">
        <v>171</v>
      </c>
      <c r="V765" s="15">
        <f t="shared" ref="V765:V766" si="2585">U765-Q765</f>
        <v>0</v>
      </c>
      <c r="W765" s="34">
        <f>V765*$F$8</f>
        <v>0</v>
      </c>
      <c r="X765" s="34"/>
      <c r="Y765" s="13">
        <v>174</v>
      </c>
      <c r="Z765" s="15">
        <f t="shared" ref="Z765:Z766" si="2586">Y765-U765</f>
        <v>3</v>
      </c>
      <c r="AA765" s="34">
        <f>Z765*$F$8</f>
        <v>7.5</v>
      </c>
      <c r="AB765" s="35"/>
      <c r="AC765" s="15">
        <v>177</v>
      </c>
      <c r="AD765" s="15">
        <f t="shared" ref="AD765:AD766" si="2587">AC765-Y765</f>
        <v>3</v>
      </c>
      <c r="AE765" s="34">
        <f>AD765*$F$8</f>
        <v>7.5</v>
      </c>
      <c r="AF765" s="39">
        <v>7.58</v>
      </c>
      <c r="AG765" s="13">
        <v>178</v>
      </c>
      <c r="AH765" s="15">
        <f t="shared" ref="AH765:AH766" si="2588">AG765-AC765</f>
        <v>1</v>
      </c>
      <c r="AI765" s="45">
        <f>AH765*$G$8</f>
        <v>2.6</v>
      </c>
      <c r="AJ765" s="1"/>
      <c r="AK765" s="13">
        <v>179</v>
      </c>
      <c r="AL765" s="15">
        <f t="shared" ref="AL765:AL766" si="2589">AK765-AG765</f>
        <v>1</v>
      </c>
      <c r="AM765" s="45">
        <f>AL765*$G$8</f>
        <v>2.6</v>
      </c>
      <c r="AN765" s="15"/>
      <c r="AO765" s="13">
        <v>179</v>
      </c>
      <c r="AP765" s="15">
        <f t="shared" ref="AP765:AP766" si="2590">AO765-AK765</f>
        <v>0</v>
      </c>
      <c r="AQ765" s="45">
        <f>AP765*$G$8</f>
        <v>0</v>
      </c>
      <c r="AR765" s="15"/>
      <c r="AS765" s="13">
        <v>179</v>
      </c>
      <c r="AT765" s="15">
        <f t="shared" ref="AT765:AT766" si="2591">AS765-AO765</f>
        <v>0</v>
      </c>
      <c r="AU765" s="45">
        <f>AT765*$G$8</f>
        <v>0</v>
      </c>
      <c r="AV765" s="15"/>
      <c r="AW765" s="13">
        <v>179</v>
      </c>
      <c r="AX765" s="15">
        <f t="shared" ref="AX765:AX766" si="2592">AW765-AS765</f>
        <v>0</v>
      </c>
      <c r="AY765" s="45">
        <f>AX765*$G$8</f>
        <v>0</v>
      </c>
      <c r="AZ765" s="208"/>
      <c r="BA765" s="13">
        <v>179</v>
      </c>
      <c r="BB765" s="15">
        <f t="shared" ref="BB765:BB766" si="2593">BA765-AW765</f>
        <v>0</v>
      </c>
      <c r="BC765" s="45">
        <f>BB765*$G$8</f>
        <v>0</v>
      </c>
      <c r="BD765" s="208"/>
      <c r="BE765" s="40">
        <f t="shared" ref="BE765:BG765" si="2594">J765+N765+R765+V765+Z765+AD765+AH765+AL765+AP765+AT765+AX765+BB765</f>
        <v>8</v>
      </c>
      <c r="BF765" s="41">
        <f t="shared" si="2594"/>
        <v>20.2</v>
      </c>
      <c r="BG765" s="34">
        <f t="shared" si="2594"/>
        <v>7.58</v>
      </c>
      <c r="BH765" s="35">
        <f t="shared" si="2584"/>
        <v>5.2</v>
      </c>
      <c r="BI765" s="15"/>
      <c r="BJ765" s="15"/>
      <c r="BK765" s="15" t="b">
        <f>H765='2019'!BH641</f>
        <v>1</v>
      </c>
    </row>
    <row r="766" ht="15.75" customHeight="1" hidden="1" spans="1:63" x14ac:dyDescent="0.25">
      <c r="A766" s="2">
        <v>91</v>
      </c>
      <c r="B766" s="14"/>
      <c r="C766" s="15" t="s">
        <v>170</v>
      </c>
      <c r="D766" s="14" t="s">
        <v>47</v>
      </c>
      <c r="E766" s="15" t="s">
        <v>48</v>
      </c>
      <c r="F766" s="13">
        <v>18.56</v>
      </c>
      <c r="G766" s="35">
        <v>19.46</v>
      </c>
      <c r="H766" s="34">
        <f>'2019'!BH642</f>
        <v>-0.32</v>
      </c>
      <c r="I766" s="75">
        <v>92</v>
      </c>
      <c r="J766" s="15"/>
      <c r="K766" s="34"/>
      <c r="L766" s="35"/>
      <c r="M766" s="75">
        <v>92</v>
      </c>
      <c r="N766" s="15"/>
      <c r="O766" s="34"/>
      <c r="P766" s="34"/>
      <c r="Q766" s="75">
        <v>92</v>
      </c>
      <c r="R766" s="15"/>
      <c r="S766" s="34"/>
      <c r="T766" s="35"/>
      <c r="U766" s="15">
        <v>94</v>
      </c>
      <c r="V766" s="15">
        <f t="shared" si="2585"/>
        <v>2</v>
      </c>
      <c r="W766" s="34">
        <f>V766*$F$10</f>
        <v>37.12</v>
      </c>
      <c r="X766" s="34"/>
      <c r="Y766" s="13">
        <v>94</v>
      </c>
      <c r="Z766" s="15">
        <f t="shared" si="2586"/>
        <v>0</v>
      </c>
      <c r="AA766" s="34">
        <f>Z766*$F$10</f>
        <v>0</v>
      </c>
      <c r="AB766" s="35"/>
      <c r="AC766" s="15">
        <v>94</v>
      </c>
      <c r="AD766" s="15">
        <f t="shared" si="2587"/>
        <v>0</v>
      </c>
      <c r="AE766" s="34">
        <f>AD766*$F$10</f>
        <v>0</v>
      </c>
      <c r="AF766" s="39">
        <v>36.8</v>
      </c>
      <c r="AG766" s="13">
        <v>99</v>
      </c>
      <c r="AH766" s="15">
        <f t="shared" si="2588"/>
        <v>5</v>
      </c>
      <c r="AI766" s="45">
        <f>AH766*$G$10</f>
        <v>97.3</v>
      </c>
      <c r="AJ766" s="185">
        <v>100</v>
      </c>
      <c r="AK766" s="13">
        <v>99</v>
      </c>
      <c r="AL766" s="15">
        <f t="shared" si="2589"/>
        <v>0</v>
      </c>
      <c r="AM766" s="45">
        <f>AL766*$G$10</f>
        <v>0</v>
      </c>
      <c r="AN766" s="15"/>
      <c r="AO766" s="13">
        <v>99</v>
      </c>
      <c r="AP766" s="15">
        <f t="shared" si="2590"/>
        <v>0</v>
      </c>
      <c r="AQ766" s="45">
        <f>AP766*$G$10</f>
        <v>0</v>
      </c>
      <c r="AR766" s="15"/>
      <c r="AS766" s="13">
        <v>99</v>
      </c>
      <c r="AT766" s="15">
        <f t="shared" si="2591"/>
        <v>0</v>
      </c>
      <c r="AU766" s="45">
        <f>AT766*$G$10</f>
        <v>0</v>
      </c>
      <c r="AV766" s="15"/>
      <c r="AW766" s="13">
        <v>99</v>
      </c>
      <c r="AX766" s="15">
        <f t="shared" si="2592"/>
        <v>0</v>
      </c>
      <c r="AY766" s="45"/>
      <c r="AZ766" s="208"/>
      <c r="BA766" s="13">
        <v>99</v>
      </c>
      <c r="BB766" s="15">
        <f t="shared" si="2593"/>
        <v>0</v>
      </c>
      <c r="BC766" s="45"/>
      <c r="BD766" s="208"/>
      <c r="BE766" s="40">
        <f t="shared" ref="BE766:BG766" si="2595">J766+N766+R766+V766+Z766+AD766+AH766+AL766+AP766+AT766+AX766+BB766</f>
        <v>7</v>
      </c>
      <c r="BF766" s="41">
        <f t="shared" si="2595"/>
        <v>134.42</v>
      </c>
      <c r="BG766" s="34">
        <f t="shared" si="2595"/>
        <v>136.8</v>
      </c>
      <c r="BH766" s="35">
        <f t="shared" si="2584"/>
        <v>-2.7</v>
      </c>
      <c r="BI766" s="15"/>
      <c r="BJ766" s="15"/>
      <c r="BK766" s="15" t="b">
        <f>H766='2019'!BH642</f>
        <v>1</v>
      </c>
    </row>
    <row r="767" ht="15.75" customHeight="1" hidden="1" spans="1:63" x14ac:dyDescent="0.25">
      <c r="A767" s="2">
        <v>91</v>
      </c>
      <c r="B767" s="14"/>
      <c r="C767" s="15" t="s">
        <v>289</v>
      </c>
      <c r="D767" s="14" t="s">
        <v>47</v>
      </c>
      <c r="E767" s="15" t="s">
        <v>49</v>
      </c>
      <c r="F767" s="41">
        <v>500</v>
      </c>
      <c r="G767" s="28"/>
      <c r="H767" s="34">
        <f>'2019'!BH643</f>
        <v>0</v>
      </c>
      <c r="I767" s="15"/>
      <c r="J767" s="15"/>
      <c r="K767" s="34"/>
      <c r="L767" s="35"/>
      <c r="M767" s="15"/>
      <c r="N767" s="15"/>
      <c r="O767" s="34"/>
      <c r="P767" s="34"/>
      <c r="Q767" s="13"/>
      <c r="R767" s="15"/>
      <c r="S767" s="34"/>
      <c r="T767" s="35"/>
      <c r="U767" s="15"/>
      <c r="V767" s="15"/>
      <c r="W767" s="34"/>
      <c r="X767" s="34"/>
      <c r="Y767" s="13"/>
      <c r="Z767" s="15"/>
      <c r="AA767" s="34"/>
      <c r="AB767" s="35"/>
      <c r="AC767" s="15"/>
      <c r="AD767" s="15"/>
      <c r="AE767" s="34"/>
      <c r="AF767" s="39"/>
      <c r="AG767" s="13"/>
      <c r="AH767" s="15"/>
      <c r="AI767" s="45"/>
      <c r="AJ767" s="15"/>
      <c r="AK767" s="13"/>
      <c r="AL767" s="15"/>
      <c r="AM767" s="45"/>
      <c r="AN767" s="15"/>
      <c r="AO767" s="13"/>
      <c r="AP767" s="15"/>
      <c r="AQ767" s="45"/>
      <c r="AR767" s="15"/>
      <c r="AS767" s="13"/>
      <c r="AT767" s="15"/>
      <c r="AU767" s="45"/>
      <c r="AV767" s="15"/>
      <c r="AW767" s="13"/>
      <c r="AX767" s="15"/>
      <c r="AY767" s="45"/>
      <c r="AZ767" s="28"/>
      <c r="BA767" s="13"/>
      <c r="BB767" s="15"/>
      <c r="BC767" s="45"/>
      <c r="BD767" s="28"/>
      <c r="BE767" s="14"/>
      <c r="BF767" s="41">
        <f t="shared" ref="BF767:BG767" si="2596">K767+O767+S767+W767+AA767+AE767+AI767+AM767+AQ767+AU767+AY767+BC767</f>
        <v>0</v>
      </c>
      <c r="BG767" s="34">
        <f t="shared" si="2596"/>
        <v>0</v>
      </c>
      <c r="BH767" s="35">
        <f t="shared" si="2584"/>
        <v>0</v>
      </c>
      <c r="BI767" s="15"/>
      <c r="BJ767" s="15"/>
      <c r="BK767" s="15" t="b">
        <f>H767='2019'!BH643</f>
        <v>1</v>
      </c>
    </row>
    <row r="768" ht="15.75" customHeight="1" hidden="1" spans="1:63" x14ac:dyDescent="0.25">
      <c r="A768" s="2">
        <v>91</v>
      </c>
      <c r="B768" s="14"/>
      <c r="C768" s="15" t="s">
        <v>290</v>
      </c>
      <c r="D768" s="14" t="s">
        <v>50</v>
      </c>
      <c r="E768" s="15" t="s">
        <v>49</v>
      </c>
      <c r="F768" s="41">
        <v>1100</v>
      </c>
      <c r="G768" s="28"/>
      <c r="H768" s="182">
        <f>'2019'!BH644-0.0024</f>
        <v>0</v>
      </c>
      <c r="I768" s="15"/>
      <c r="J768" s="15"/>
      <c r="K768" s="34"/>
      <c r="L768" s="35"/>
      <c r="M768" s="15"/>
      <c r="N768" s="15"/>
      <c r="O768" s="34"/>
      <c r="P768" s="34"/>
      <c r="Q768" s="13"/>
      <c r="R768" s="15"/>
      <c r="S768" s="34"/>
      <c r="T768" s="35"/>
      <c r="U768" s="15"/>
      <c r="V768" s="15"/>
      <c r="W768" s="34"/>
      <c r="X768" s="34"/>
      <c r="Y768" s="13"/>
      <c r="Z768" s="15"/>
      <c r="AA768" s="34"/>
      <c r="AB768" s="35"/>
      <c r="AC768" s="15"/>
      <c r="AD768" s="15"/>
      <c r="AE768" s="34">
        <f>B765*$F$12</f>
        <v>4653</v>
      </c>
      <c r="AF768" s="39">
        <v>4653</v>
      </c>
      <c r="AG768" s="13"/>
      <c r="AH768" s="15"/>
      <c r="AI768" s="45"/>
      <c r="AJ768" s="34"/>
      <c r="AK768" s="13"/>
      <c r="AL768" s="15"/>
      <c r="AM768" s="45"/>
      <c r="AN768" s="15"/>
      <c r="AO768" s="13"/>
      <c r="AP768" s="15"/>
      <c r="AQ768" s="45"/>
      <c r="AR768" s="15"/>
      <c r="AS768" s="13"/>
      <c r="AT768" s="15"/>
      <c r="AU768" s="45"/>
      <c r="AV768" s="15"/>
      <c r="AW768" s="13"/>
      <c r="AX768" s="15"/>
      <c r="AY768" s="45"/>
      <c r="AZ768" s="28"/>
      <c r="BA768" s="13"/>
      <c r="BB768" s="15"/>
      <c r="BC768" s="45"/>
      <c r="BD768" s="28"/>
      <c r="BE768" s="14"/>
      <c r="BF768" s="41">
        <f t="shared" ref="BF768:BG768" si="2597">K768+O768+S768+W768+AA768+AE768+AI768+AM768+AQ768+AU768+AY768+BC768</f>
        <v>4653</v>
      </c>
      <c r="BG768" s="34">
        <f t="shared" si="2597"/>
        <v>4653</v>
      </c>
      <c r="BH768" s="35">
        <f t="shared" si="2584"/>
        <v>0</v>
      </c>
      <c r="BI768" s="15"/>
      <c r="BJ768" s="15"/>
      <c r="BK768" s="15" t="b">
        <f>H768='2019'!BH644</f>
        <v>0</v>
      </c>
    </row>
    <row r="769" ht="15.75" customHeight="1" hidden="1" spans="1:63" x14ac:dyDescent="0.25">
      <c r="A769" s="2">
        <v>91</v>
      </c>
      <c r="B769" s="14"/>
      <c r="C769" s="15" t="s">
        <v>291</v>
      </c>
      <c r="D769" s="14" t="s">
        <v>51</v>
      </c>
      <c r="E769" s="15" t="s">
        <v>39</v>
      </c>
      <c r="F769" s="41">
        <v>500</v>
      </c>
      <c r="G769" s="28"/>
      <c r="H769" s="34">
        <f>'2019'!BH645</f>
        <v>0</v>
      </c>
      <c r="I769" s="15"/>
      <c r="J769" s="15"/>
      <c r="K769" s="34"/>
      <c r="L769" s="35"/>
      <c r="M769" s="15"/>
      <c r="N769" s="15"/>
      <c r="O769" s="34"/>
      <c r="P769" s="34"/>
      <c r="Q769" s="13"/>
      <c r="R769" s="15"/>
      <c r="S769" s="34"/>
      <c r="T769" s="35"/>
      <c r="U769" s="15"/>
      <c r="V769" s="15"/>
      <c r="W769" s="34"/>
      <c r="X769" s="34"/>
      <c r="Y769" s="13"/>
      <c r="Z769" s="15"/>
      <c r="AA769" s="34"/>
      <c r="AB769" s="35"/>
      <c r="AC769" s="15"/>
      <c r="AD769" s="15"/>
      <c r="AE769" s="34"/>
      <c r="AF769" s="39"/>
      <c r="AG769" s="13"/>
      <c r="AH769" s="15"/>
      <c r="AI769" s="45"/>
      <c r="AJ769" s="15"/>
      <c r="AK769" s="13"/>
      <c r="AL769" s="15"/>
      <c r="AM769" s="45"/>
      <c r="AN769" s="15"/>
      <c r="AO769" s="13"/>
      <c r="AP769" s="15"/>
      <c r="AQ769" s="45">
        <f>$F$13</f>
        <v>500</v>
      </c>
      <c r="AR769" s="15"/>
      <c r="AS769" s="13"/>
      <c r="AT769" s="15"/>
      <c r="AU769" s="45"/>
      <c r="AV769" s="15"/>
      <c r="AW769" s="13"/>
      <c r="AX769" s="15"/>
      <c r="AY769" s="45"/>
      <c r="AZ769" s="28"/>
      <c r="BA769" s="13"/>
      <c r="BB769" s="15"/>
      <c r="BC769" s="45"/>
      <c r="BD769" s="28"/>
      <c r="BE769" s="14"/>
      <c r="BF769" s="41">
        <f t="shared" ref="BF769:BG769" si="2598">K769+O769+S769+W769+AA769+AE769+AI769+AM769+AQ769+AU769+AY769+BC769</f>
        <v>500</v>
      </c>
      <c r="BG769" s="34">
        <f t="shared" si="2598"/>
        <v>0</v>
      </c>
      <c r="BH769" s="35">
        <f t="shared" si="2584"/>
        <v>500</v>
      </c>
      <c r="BI769" s="15"/>
      <c r="BJ769" s="15"/>
      <c r="BK769" s="15" t="b">
        <f>H769='2019'!BH645</f>
        <v>1</v>
      </c>
    </row>
    <row r="770" ht="15.75" customHeight="1" hidden="1" spans="1:63" x14ac:dyDescent="0.25">
      <c r="A770" s="2">
        <v>91</v>
      </c>
      <c r="B770" s="14"/>
      <c r="C770" s="15"/>
      <c r="D770" s="14" t="s">
        <v>51</v>
      </c>
      <c r="E770" s="15" t="s">
        <v>49</v>
      </c>
      <c r="F770" s="41">
        <v>500</v>
      </c>
      <c r="G770" s="28"/>
      <c r="H770" s="34"/>
      <c r="I770" s="15"/>
      <c r="J770" s="15"/>
      <c r="K770" s="34"/>
      <c r="L770" s="35"/>
      <c r="M770" s="15"/>
      <c r="N770" s="15"/>
      <c r="O770" s="34"/>
      <c r="P770" s="34"/>
      <c r="Q770" s="13"/>
      <c r="R770" s="15"/>
      <c r="S770" s="34"/>
      <c r="T770" s="35"/>
      <c r="U770" s="15"/>
      <c r="V770" s="15"/>
      <c r="W770" s="34"/>
      <c r="X770" s="34"/>
      <c r="Y770" s="13"/>
      <c r="Z770" s="15"/>
      <c r="AA770" s="34"/>
      <c r="AB770" s="35"/>
      <c r="AC770" s="15"/>
      <c r="AD770" s="15"/>
      <c r="AE770" s="34"/>
      <c r="AF770" s="39"/>
      <c r="AG770" s="13"/>
      <c r="AH770" s="15"/>
      <c r="AI770" s="45"/>
      <c r="AJ770" s="15"/>
      <c r="AK770" s="13"/>
      <c r="AL770" s="15"/>
      <c r="AM770" s="45"/>
      <c r="AN770" s="15"/>
      <c r="AO770" s="13"/>
      <c r="AP770" s="15"/>
      <c r="AQ770" s="34">
        <f>B765*$F$14</f>
        <v>2115</v>
      </c>
      <c r="AR770" s="15"/>
      <c r="AS770" s="13"/>
      <c r="AT770" s="15"/>
      <c r="AU770" s="45"/>
      <c r="AV770" s="15"/>
      <c r="AW770" s="13"/>
      <c r="AX770" s="15"/>
      <c r="AY770" s="45"/>
      <c r="AZ770" s="28"/>
      <c r="BA770" s="13"/>
      <c r="BB770" s="15"/>
      <c r="BC770" s="45"/>
      <c r="BD770" s="28"/>
      <c r="BE770" s="14"/>
      <c r="BF770" s="41">
        <f t="shared" ref="BF770:BG770" si="2599">K770+O770+S770+W770+AA770+AE770+AI770+AM770+AQ770+AU770+AY770+BC770</f>
        <v>2115</v>
      </c>
      <c r="BG770" s="34">
        <f t="shared" si="2599"/>
        <v>0</v>
      </c>
      <c r="BH770" s="35">
        <f t="shared" si="2584"/>
        <v>2115</v>
      </c>
      <c r="BI770" s="15"/>
      <c r="BJ770" s="15"/>
      <c r="BK770" s="15"/>
    </row>
    <row r="771" ht="15.75" customHeight="1" hidden="1" spans="1:63" x14ac:dyDescent="0.25">
      <c r="A771" s="2">
        <v>91</v>
      </c>
      <c r="B771" s="14"/>
      <c r="C771" s="15"/>
      <c r="D771" s="14" t="s">
        <v>52</v>
      </c>
      <c r="E771" s="15" t="s">
        <v>39</v>
      </c>
      <c r="F771" s="41">
        <v>500</v>
      </c>
      <c r="G771" s="28"/>
      <c r="H771" s="34">
        <f>'2019'!BH646</f>
        <v>0</v>
      </c>
      <c r="I771" s="15"/>
      <c r="J771" s="15"/>
      <c r="K771" s="34"/>
      <c r="L771" s="35"/>
      <c r="M771" s="15"/>
      <c r="N771" s="15"/>
      <c r="O771" s="34"/>
      <c r="P771" s="34"/>
      <c r="Q771" s="13"/>
      <c r="R771" s="15"/>
      <c r="S771" s="34"/>
      <c r="T771" s="35"/>
      <c r="U771" s="15"/>
      <c r="V771" s="15"/>
      <c r="W771" s="34"/>
      <c r="X771" s="34"/>
      <c r="Y771" s="13"/>
      <c r="Z771" s="15"/>
      <c r="AA771" s="34">
        <f>$F$11</f>
        <v>500</v>
      </c>
      <c r="AB771" s="35"/>
      <c r="AC771" s="15"/>
      <c r="AD771" s="15"/>
      <c r="AE771" s="34"/>
      <c r="AF771" s="39">
        <v>500</v>
      </c>
      <c r="AG771" s="13"/>
      <c r="AH771" s="15"/>
      <c r="AI771" s="45"/>
      <c r="AJ771" s="180"/>
      <c r="AK771" s="13"/>
      <c r="AL771" s="15"/>
      <c r="AM771" s="45"/>
      <c r="AN771" s="15"/>
      <c r="AO771" s="13"/>
      <c r="AP771" s="15"/>
      <c r="AQ771" s="45"/>
      <c r="AR771" s="15"/>
      <c r="AS771" s="13"/>
      <c r="AT771" s="15"/>
      <c r="AU771" s="45"/>
      <c r="AV771" s="15"/>
      <c r="AW771" s="13"/>
      <c r="AX771" s="15"/>
      <c r="AY771" s="45"/>
      <c r="AZ771" s="35"/>
      <c r="BA771" s="13"/>
      <c r="BB771" s="15"/>
      <c r="BC771" s="45"/>
      <c r="BD771" s="35"/>
      <c r="BE771" s="14"/>
      <c r="BF771" s="41">
        <f t="shared" ref="BF771:BG771" si="2600">K771+O771+S771+W771+AA771+AE771+AI771+AM771+AQ771+AU771+AY771+BC771</f>
        <v>500</v>
      </c>
      <c r="BG771" s="34">
        <f t="shared" si="2600"/>
        <v>500</v>
      </c>
      <c r="BH771" s="35">
        <f t="shared" si="2584"/>
        <v>0</v>
      </c>
      <c r="BI771" s="15"/>
      <c r="BJ771" s="15"/>
      <c r="BK771" s="15" t="b">
        <f>H771='2019'!BH646</f>
        <v>1</v>
      </c>
    </row>
    <row r="772" ht="15.75" customHeight="1" hidden="1" spans="1:63" x14ac:dyDescent="0.25">
      <c r="A772" s="247">
        <v>91</v>
      </c>
      <c r="B772" s="21"/>
      <c r="C772" s="22" t="s">
        <v>53</v>
      </c>
      <c r="D772" s="21"/>
      <c r="E772" s="22"/>
      <c r="F772" s="20"/>
      <c r="G772" s="23"/>
      <c r="H772" s="51">
        <f>SUM(H764:H771)</f>
        <v>-7.74</v>
      </c>
      <c r="I772" s="53"/>
      <c r="J772" s="53"/>
      <c r="K772" s="51">
        <f t="shared" ref="K772:L772" si="2601">SUM(K764:K771)</f>
        <v>0</v>
      </c>
      <c r="L772" s="68">
        <f t="shared" si="2601"/>
        <v>0</v>
      </c>
      <c r="M772" s="53"/>
      <c r="N772" s="53"/>
      <c r="O772" s="51">
        <f t="shared" ref="O772:P772" si="2602">SUM(O764:O771)</f>
        <v>0</v>
      </c>
      <c r="P772" s="51">
        <f t="shared" si="2602"/>
        <v>0</v>
      </c>
      <c r="Q772" s="52"/>
      <c r="R772" s="53"/>
      <c r="S772" s="51">
        <f t="shared" ref="S772:T772" si="2603">SUM(S764:S771)</f>
        <v>0</v>
      </c>
      <c r="T772" s="51">
        <f t="shared" si="2603"/>
        <v>0</v>
      </c>
      <c r="U772" s="52"/>
      <c r="V772" s="53"/>
      <c r="W772" s="51">
        <f t="shared" ref="W772:X772" si="2604">SUM(W764:W771)</f>
        <v>37.12</v>
      </c>
      <c r="X772" s="51">
        <f t="shared" si="2604"/>
        <v>0</v>
      </c>
      <c r="Y772" s="52"/>
      <c r="Z772" s="53"/>
      <c r="AA772" s="51">
        <f t="shared" ref="AA772:AB772" si="2605">SUM(AA764:AA771)</f>
        <v>507.5</v>
      </c>
      <c r="AB772" s="51">
        <f t="shared" si="2605"/>
        <v>0</v>
      </c>
      <c r="AC772" s="52"/>
      <c r="AD772" s="53"/>
      <c r="AE772" s="51">
        <f t="shared" ref="AE772:AF772" si="2606">SUM(AE764:AE771)</f>
        <v>4660.5</v>
      </c>
      <c r="AF772" s="51">
        <f t="shared" si="2606"/>
        <v>5197.38</v>
      </c>
      <c r="AG772" s="52"/>
      <c r="AH772" s="53"/>
      <c r="AI772" s="183">
        <f t="shared" ref="AI772:AJ772" si="2607">SUM(AI764:AI771)</f>
        <v>99.9</v>
      </c>
      <c r="AJ772" s="51">
        <f t="shared" si="2607"/>
        <v>100</v>
      </c>
      <c r="AK772" s="52"/>
      <c r="AL772" s="53"/>
      <c r="AM772" s="183">
        <f t="shared" ref="AM772:AN772" si="2608">SUM(AM764:AM771)</f>
        <v>2.6</v>
      </c>
      <c r="AN772" s="51">
        <f t="shared" si="2608"/>
        <v>0</v>
      </c>
      <c r="AO772" s="52"/>
      <c r="AP772" s="53"/>
      <c r="AQ772" s="183">
        <f t="shared" ref="AQ772:AR772" si="2609">SUM(AQ764:AQ771)</f>
        <v>2615</v>
      </c>
      <c r="AR772" s="51">
        <f t="shared" si="2609"/>
        <v>0</v>
      </c>
      <c r="AS772" s="52"/>
      <c r="AT772" s="53"/>
      <c r="AU772" s="183">
        <f t="shared" ref="AU772:AV772" si="2610">SUM(AU764:AU771)</f>
        <v>0</v>
      </c>
      <c r="AV772" s="68">
        <f t="shared" si="2610"/>
        <v>0</v>
      </c>
      <c r="AW772" s="52"/>
      <c r="AX772" s="53"/>
      <c r="AY772" s="183">
        <f t="shared" ref="AY772:AZ772" si="2611">SUM(AY764:AY771)</f>
        <v>0</v>
      </c>
      <c r="AZ772" s="68">
        <f t="shared" si="2611"/>
        <v>0</v>
      </c>
      <c r="BA772" s="52"/>
      <c r="BB772" s="53"/>
      <c r="BC772" s="183">
        <f t="shared" ref="BC772:BD772" si="2612">SUM(BC764:BC771)</f>
        <v>0</v>
      </c>
      <c r="BD772" s="68">
        <f t="shared" si="2612"/>
        <v>0</v>
      </c>
      <c r="BE772" s="69"/>
      <c r="BF772" s="70">
        <f t="shared" ref="BF772:BH772" si="2613">SUM(BF764:BF771)</f>
        <v>7922.62</v>
      </c>
      <c r="BG772" s="71">
        <f t="shared" si="2613"/>
        <v>5297.38</v>
      </c>
      <c r="BH772" s="72">
        <f t="shared" si="2613"/>
        <v>2617.5</v>
      </c>
      <c r="BI772" s="34">
        <f>H772+BF772-BG772</f>
        <v>2617.5</v>
      </c>
      <c r="BJ772" s="34">
        <f>BH772-BI772</f>
        <v>0</v>
      </c>
      <c r="BK772" s="2" t="b">
        <f>H772='2019'!BH647</f>
        <v>0</v>
      </c>
    </row>
    <row r="773" ht="15.75" customHeight="1" hidden="1" spans="1:63" x14ac:dyDescent="0.25">
      <c r="A773" s="89" t="s">
        <v>292</v>
      </c>
      <c r="B773" s="14"/>
      <c r="C773" s="15"/>
      <c r="D773" s="178" t="s">
        <v>486</v>
      </c>
      <c r="E773" s="15"/>
      <c r="F773" s="13"/>
      <c r="G773" s="28"/>
      <c r="H773" s="34">
        <f>'2019'!BH648</f>
        <v>25.69</v>
      </c>
      <c r="I773" s="15"/>
      <c r="J773" s="15"/>
      <c r="K773" s="34"/>
      <c r="L773" s="35"/>
      <c r="M773" s="15"/>
      <c r="N773" s="15"/>
      <c r="O773" s="34"/>
      <c r="P773" s="34"/>
      <c r="Q773" s="13"/>
      <c r="R773" s="15"/>
      <c r="S773" s="34"/>
      <c r="T773" s="35"/>
      <c r="U773" s="15"/>
      <c r="V773" s="15"/>
      <c r="W773" s="152">
        <v>65.5</v>
      </c>
      <c r="X773" s="34"/>
      <c r="Y773" s="13"/>
      <c r="Z773" s="15"/>
      <c r="AA773" s="34"/>
      <c r="AB773" s="38">
        <v>91.19</v>
      </c>
      <c r="AC773" s="15"/>
      <c r="AD773" s="15"/>
      <c r="AE773" s="34"/>
      <c r="AF773" s="34"/>
      <c r="AG773" s="13"/>
      <c r="AH773" s="15"/>
      <c r="AI773" s="45"/>
      <c r="AJ773" s="34"/>
      <c r="AK773" s="13"/>
      <c r="AL773" s="15"/>
      <c r="AM773" s="45"/>
      <c r="AN773" s="34"/>
      <c r="AO773" s="13"/>
      <c r="AP773" s="15"/>
      <c r="AQ773" s="45"/>
      <c r="AR773" s="34"/>
      <c r="AS773" s="13"/>
      <c r="AT773" s="15"/>
      <c r="AU773" s="45"/>
      <c r="AV773" s="34"/>
      <c r="AW773" s="13"/>
      <c r="AX773" s="15"/>
      <c r="AY773" s="45"/>
      <c r="AZ773" s="28"/>
      <c r="BA773" s="13"/>
      <c r="BB773" s="15"/>
      <c r="BC773" s="45"/>
      <c r="BD773" s="28"/>
      <c r="BE773" s="42"/>
      <c r="BF773" s="41">
        <f t="shared" ref="BF773:BG773" si="2614">K773+O773+S773+W773+AA773+AE773+AI773+AM773+AQ773+AU773+AY773+BC773</f>
        <v>65.5</v>
      </c>
      <c r="BG773" s="34">
        <f t="shared" si="2614"/>
        <v>91.19</v>
      </c>
      <c r="BH773" s="35">
        <f t="shared" ref="BH773:BH780" si="2615">H773+BF773-BG773</f>
        <v>0</v>
      </c>
      <c r="BI773" s="15"/>
      <c r="BJ773" s="15"/>
      <c r="BK773" s="15" t="b">
        <f>H773='2019'!BH648</f>
        <v>1</v>
      </c>
    </row>
    <row r="774" ht="15.75" customHeight="1" hidden="1" spans="1:63" x14ac:dyDescent="0.25">
      <c r="A774" s="89" t="s">
        <v>292</v>
      </c>
      <c r="B774" s="14">
        <v>4.31</v>
      </c>
      <c r="C774" s="15" t="s">
        <v>436</v>
      </c>
      <c r="D774" s="14" t="s">
        <v>44</v>
      </c>
      <c r="E774" s="15" t="s">
        <v>45</v>
      </c>
      <c r="F774" s="41">
        <v>2.5</v>
      </c>
      <c r="G774" s="35">
        <v>2.6</v>
      </c>
      <c r="H774" s="34">
        <f>'2019'!BH649</f>
        <v>-44.92</v>
      </c>
      <c r="I774" s="13">
        <v>1732</v>
      </c>
      <c r="J774" s="15">
        <f>I774-'2019'!BA649</f>
        <v>0</v>
      </c>
      <c r="K774" s="34">
        <f>J774*$F$8</f>
        <v>0</v>
      </c>
      <c r="L774" s="35"/>
      <c r="M774" s="15">
        <v>1732</v>
      </c>
      <c r="N774" s="15">
        <f>M774-I774</f>
        <v>0</v>
      </c>
      <c r="O774" s="34">
        <f>N774*$F$8</f>
        <v>0</v>
      </c>
      <c r="P774" s="34"/>
      <c r="Q774" s="13">
        <v>1732</v>
      </c>
      <c r="R774" s="15">
        <f>Q774-M774</f>
        <v>0</v>
      </c>
      <c r="S774" s="34">
        <f>R774*$F$8</f>
        <v>0</v>
      </c>
      <c r="T774" s="35"/>
      <c r="U774" s="15">
        <v>1748</v>
      </c>
      <c r="V774" s="15">
        <f t="shared" ref="V774:V775" si="2616">U774-Q774</f>
        <v>16</v>
      </c>
      <c r="W774" s="34">
        <f>V774*$F$8</f>
        <v>40</v>
      </c>
      <c r="X774" s="34"/>
      <c r="Y774" s="13">
        <v>1770</v>
      </c>
      <c r="Z774" s="15">
        <f t="shared" ref="Z774:Z775" si="2617">Y774-U774</f>
        <v>22</v>
      </c>
      <c r="AA774" s="34">
        <f>Z774*$F$8</f>
        <v>55</v>
      </c>
      <c r="AB774" s="35"/>
      <c r="AC774" s="15">
        <v>85</v>
      </c>
      <c r="AD774" s="15">
        <v>85</v>
      </c>
      <c r="AE774" s="34">
        <f>AD774*$F$8</f>
        <v>212.5</v>
      </c>
      <c r="AF774" s="39">
        <v>265</v>
      </c>
      <c r="AG774" s="13">
        <v>221</v>
      </c>
      <c r="AH774" s="15">
        <f t="shared" ref="AH774:AH775" si="2618">AG774-AC774</f>
        <v>136</v>
      </c>
      <c r="AI774" s="45">
        <f>AH774*$G$8</f>
        <v>353.6</v>
      </c>
      <c r="AJ774" s="15"/>
      <c r="AK774" s="13">
        <v>364</v>
      </c>
      <c r="AL774" s="15">
        <f t="shared" ref="AL774:AL775" si="2619">AK774-AG774</f>
        <v>143</v>
      </c>
      <c r="AM774" s="45">
        <f>AL774*$G$8</f>
        <v>371.8</v>
      </c>
      <c r="AN774" s="1">
        <f>351.18+371.8</f>
        <v>722.98</v>
      </c>
      <c r="AO774" s="13">
        <v>608</v>
      </c>
      <c r="AP774" s="15">
        <f t="shared" ref="AP774:AP775" si="2620">AO774-AK774</f>
        <v>244</v>
      </c>
      <c r="AQ774" s="45">
        <f>AP774*$G$8</f>
        <v>634.4</v>
      </c>
      <c r="AR774" s="39">
        <v>634.4</v>
      </c>
      <c r="AS774" s="13">
        <v>1398</v>
      </c>
      <c r="AT774" s="15">
        <f t="shared" ref="AT774:AT775" si="2621">AS774-AO774</f>
        <v>790</v>
      </c>
      <c r="AU774" s="45">
        <f>AT774*$G$8</f>
        <v>2054</v>
      </c>
      <c r="AV774" s="15"/>
      <c r="AW774" s="13">
        <v>1846</v>
      </c>
      <c r="AX774" s="15">
        <f t="shared" ref="AX774:AX775" si="2622">AW774-AS774</f>
        <v>448</v>
      </c>
      <c r="AY774" s="45">
        <f>AX774*$G$8</f>
        <v>1164.8</v>
      </c>
      <c r="AZ774" s="242">
        <v>2054</v>
      </c>
      <c r="BA774" s="13">
        <v>2107</v>
      </c>
      <c r="BB774" s="15">
        <f t="shared" ref="BB774:BB775" si="2623">BA774-AW774</f>
        <v>261</v>
      </c>
      <c r="BC774" s="45">
        <f>BB774*$G$8</f>
        <v>678.6</v>
      </c>
      <c r="BD774" s="242">
        <f>1164.8+678.6</f>
        <v>1843.4</v>
      </c>
      <c r="BE774" s="40">
        <f t="shared" ref="BE774:BG774" si="2624">J774+N774+R774+V774+Z774+AD774+AH774+AL774+AP774+AT774+AX774+BB774</f>
        <v>2145</v>
      </c>
      <c r="BF774" s="41">
        <f t="shared" si="2624"/>
        <v>5564.7</v>
      </c>
      <c r="BG774" s="34">
        <f t="shared" si="2624"/>
        <v>5519.78</v>
      </c>
      <c r="BH774" s="35">
        <f t="shared" si="2615"/>
        <v>0</v>
      </c>
      <c r="BI774" s="15"/>
      <c r="BJ774" s="15"/>
      <c r="BK774" s="15" t="b">
        <f>H774='2019'!BH649</f>
        <v>1</v>
      </c>
    </row>
    <row r="775" ht="15.75" customHeight="1" hidden="1" spans="1:63" x14ac:dyDescent="0.25">
      <c r="A775" s="89" t="s">
        <v>292</v>
      </c>
      <c r="B775" s="14"/>
      <c r="C775" s="15" t="s">
        <v>437</v>
      </c>
      <c r="D775" s="14" t="s">
        <v>47</v>
      </c>
      <c r="E775" s="15" t="s">
        <v>48</v>
      </c>
      <c r="F775" s="13">
        <v>18.56</v>
      </c>
      <c r="G775" s="35">
        <v>19.46</v>
      </c>
      <c r="H775" s="34">
        <f>'2019'!BH650</f>
        <v>0</v>
      </c>
      <c r="I775" s="13">
        <v>6</v>
      </c>
      <c r="J775" s="15"/>
      <c r="K775" s="34"/>
      <c r="L775" s="35"/>
      <c r="M775" s="15">
        <v>6</v>
      </c>
      <c r="N775" s="15"/>
      <c r="O775" s="34"/>
      <c r="P775" s="34"/>
      <c r="Q775" s="13">
        <v>6</v>
      </c>
      <c r="R775" s="15"/>
      <c r="S775" s="34"/>
      <c r="T775" s="35"/>
      <c r="U775" s="15">
        <v>7</v>
      </c>
      <c r="V775" s="15">
        <f t="shared" si="2616"/>
        <v>1</v>
      </c>
      <c r="W775" s="34">
        <f>V775*$F$10</f>
        <v>18.56</v>
      </c>
      <c r="X775" s="34"/>
      <c r="Y775" s="13">
        <v>7</v>
      </c>
      <c r="Z775" s="15">
        <f t="shared" si="2617"/>
        <v>0</v>
      </c>
      <c r="AA775" s="34">
        <f>Z775*$F$10</f>
        <v>0</v>
      </c>
      <c r="AB775" s="35"/>
      <c r="AC775" s="15">
        <v>8</v>
      </c>
      <c r="AD775" s="15">
        <f>AC775-Y775</f>
        <v>1</v>
      </c>
      <c r="AE775" s="34">
        <f>AD775*$F$10</f>
        <v>18.56</v>
      </c>
      <c r="AF775" s="34"/>
      <c r="AG775" s="13">
        <v>18</v>
      </c>
      <c r="AH775" s="15">
        <f t="shared" si="2618"/>
        <v>10</v>
      </c>
      <c r="AI775" s="45">
        <f>AH775*$G$10</f>
        <v>194.6</v>
      </c>
      <c r="AJ775" s="248">
        <v>55.68</v>
      </c>
      <c r="AK775" s="13">
        <v>22</v>
      </c>
      <c r="AL775" s="15">
        <f t="shared" si="2619"/>
        <v>4</v>
      </c>
      <c r="AM775" s="45">
        <f>AL775*$G$10</f>
        <v>77.84</v>
      </c>
      <c r="AN775" s="1">
        <v>176.04</v>
      </c>
      <c r="AO775" s="13">
        <v>23</v>
      </c>
      <c r="AP775" s="15">
        <f t="shared" si="2620"/>
        <v>1</v>
      </c>
      <c r="AQ775" s="45">
        <f>AP775*$G$10</f>
        <v>19.46</v>
      </c>
      <c r="AR775" s="39">
        <f>97.3-19.46</f>
        <v>77.84</v>
      </c>
      <c r="AS775" s="13">
        <v>23</v>
      </c>
      <c r="AT775" s="15">
        <f t="shared" si="2621"/>
        <v>0</v>
      </c>
      <c r="AU775" s="45">
        <f>AT775*$G$10</f>
        <v>0</v>
      </c>
      <c r="AV775" s="15"/>
      <c r="AW775" s="13">
        <v>23</v>
      </c>
      <c r="AX775" s="15">
        <f t="shared" si="2622"/>
        <v>0</v>
      </c>
      <c r="AY775" s="45"/>
      <c r="AZ775" s="249">
        <v>19.46</v>
      </c>
      <c r="BA775" s="13">
        <v>23</v>
      </c>
      <c r="BB775" s="15">
        <f t="shared" si="2623"/>
        <v>0</v>
      </c>
      <c r="BC775" s="45"/>
      <c r="BD775" s="208"/>
      <c r="BE775" s="40">
        <f t="shared" ref="BE775:BG775" si="2625">J775+N775+R775+V775+Z775+AD775+AH775+AL775+AP775+AT775+AX775+BB775</f>
        <v>17</v>
      </c>
      <c r="BF775" s="41">
        <f t="shared" si="2625"/>
        <v>329.02</v>
      </c>
      <c r="BG775" s="34">
        <f t="shared" si="2625"/>
        <v>329.02</v>
      </c>
      <c r="BH775" s="35">
        <f t="shared" si="2615"/>
        <v>0</v>
      </c>
      <c r="BI775" s="15"/>
      <c r="BJ775" s="15"/>
      <c r="BK775" s="15" t="b">
        <f>H775='2019'!BH650</f>
        <v>1</v>
      </c>
    </row>
    <row r="776" ht="15.75" customHeight="1" hidden="1" spans="1:63" x14ac:dyDescent="0.25">
      <c r="A776" s="89" t="s">
        <v>292</v>
      </c>
      <c r="B776" s="14"/>
      <c r="C776" s="15" t="s">
        <v>68</v>
      </c>
      <c r="D776" s="14" t="s">
        <v>47</v>
      </c>
      <c r="E776" s="15" t="s">
        <v>49</v>
      </c>
      <c r="F776" s="41">
        <v>500</v>
      </c>
      <c r="G776" s="28"/>
      <c r="H776" s="34">
        <f>'2019'!BH651</f>
        <v>0</v>
      </c>
      <c r="I776" s="15"/>
      <c r="J776" s="15"/>
      <c r="K776" s="34"/>
      <c r="L776" s="35"/>
      <c r="M776" s="15"/>
      <c r="N776" s="15"/>
      <c r="O776" s="34"/>
      <c r="P776" s="34"/>
      <c r="Q776" s="13"/>
      <c r="R776" s="15"/>
      <c r="S776" s="34"/>
      <c r="T776" s="35"/>
      <c r="U776" s="15"/>
      <c r="V776" s="15"/>
      <c r="W776" s="34"/>
      <c r="X776" s="34"/>
      <c r="Y776" s="13"/>
      <c r="Z776" s="15"/>
      <c r="AA776" s="34"/>
      <c r="AB776" s="35"/>
      <c r="AC776" s="15"/>
      <c r="AD776" s="15"/>
      <c r="AE776" s="34"/>
      <c r="AF776" s="34"/>
      <c r="AG776" s="13"/>
      <c r="AH776" s="15"/>
      <c r="AI776" s="45"/>
      <c r="AJ776" s="15"/>
      <c r="AK776" s="13"/>
      <c r="AL776" s="15"/>
      <c r="AM776" s="45"/>
      <c r="AN776" s="15"/>
      <c r="AO776" s="13"/>
      <c r="AP776" s="15"/>
      <c r="AQ776" s="45"/>
      <c r="AR776" s="15"/>
      <c r="AS776" s="13"/>
      <c r="AT776" s="15"/>
      <c r="AU776" s="45"/>
      <c r="AV776" s="15"/>
      <c r="AW776" s="13"/>
      <c r="AX776" s="15"/>
      <c r="AY776" s="45"/>
      <c r="AZ776" s="28"/>
      <c r="BA776" s="13"/>
      <c r="BB776" s="15"/>
      <c r="BC776" s="45"/>
      <c r="BD776" s="28"/>
      <c r="BE776" s="14"/>
      <c r="BF776" s="41">
        <f t="shared" ref="BF776:BG776" si="2626">K776+O776+S776+W776+AA776+AE776+AI776+AM776+AQ776+AU776+AY776+BC776</f>
        <v>0</v>
      </c>
      <c r="BG776" s="34">
        <f t="shared" si="2626"/>
        <v>0</v>
      </c>
      <c r="BH776" s="35">
        <f t="shared" si="2615"/>
        <v>0</v>
      </c>
      <c r="BI776" s="15"/>
      <c r="BJ776" s="15"/>
      <c r="BK776" s="15" t="b">
        <f>H776='2019'!BH651</f>
        <v>1</v>
      </c>
    </row>
    <row r="777" ht="15.75" customHeight="1" hidden="1" spans="1:63" x14ac:dyDescent="0.25">
      <c r="A777" s="89" t="s">
        <v>292</v>
      </c>
      <c r="B777" s="14"/>
      <c r="C777" s="15" t="s">
        <v>438</v>
      </c>
      <c r="D777" s="14" t="s">
        <v>50</v>
      </c>
      <c r="E777" s="15" t="s">
        <v>49</v>
      </c>
      <c r="F777" s="41">
        <v>1100</v>
      </c>
      <c r="G777" s="28"/>
      <c r="H777" s="182">
        <f>'2019'!BH652-0.0028</f>
        <v>0</v>
      </c>
      <c r="I777" s="15"/>
      <c r="J777" s="15"/>
      <c r="K777" s="34"/>
      <c r="L777" s="35"/>
      <c r="M777" s="15"/>
      <c r="N777" s="15"/>
      <c r="O777" s="34"/>
      <c r="P777" s="34"/>
      <c r="Q777" s="13"/>
      <c r="R777" s="15"/>
      <c r="S777" s="34"/>
      <c r="T777" s="35"/>
      <c r="U777" s="15"/>
      <c r="V777" s="15"/>
      <c r="W777" s="34"/>
      <c r="X777" s="34"/>
      <c r="Y777" s="13"/>
      <c r="Z777" s="15"/>
      <c r="AA777" s="34"/>
      <c r="AB777" s="35"/>
      <c r="AC777" s="15"/>
      <c r="AD777" s="15"/>
      <c r="AE777" s="34">
        <f>B774*$F$12</f>
        <v>4741</v>
      </c>
      <c r="AF777" s="34"/>
      <c r="AG777" s="13"/>
      <c r="AH777" s="15"/>
      <c r="AI777" s="45"/>
      <c r="AJ777" s="34"/>
      <c r="AK777" s="13"/>
      <c r="AL777" s="15"/>
      <c r="AM777" s="45"/>
      <c r="AN777" s="39">
        <v>4741</v>
      </c>
      <c r="AO777" s="13"/>
      <c r="AP777" s="15"/>
      <c r="AQ777" s="45"/>
      <c r="AR777" s="15"/>
      <c r="AS777" s="13"/>
      <c r="AT777" s="15"/>
      <c r="AU777" s="45"/>
      <c r="AV777" s="15"/>
      <c r="AW777" s="13"/>
      <c r="AX777" s="15"/>
      <c r="AY777" s="45"/>
      <c r="AZ777" s="28"/>
      <c r="BA777" s="13"/>
      <c r="BB777" s="15"/>
      <c r="BC777" s="45"/>
      <c r="BD777" s="28"/>
      <c r="BE777" s="14"/>
      <c r="BF777" s="41">
        <f t="shared" ref="BF777:BG777" si="2627">K777+O777+S777+W777+AA777+AE777+AI777+AM777+AQ777+AU777+AY777+BC777</f>
        <v>4741</v>
      </c>
      <c r="BG777" s="34">
        <f t="shared" si="2627"/>
        <v>4741</v>
      </c>
      <c r="BH777" s="35">
        <f t="shared" si="2615"/>
        <v>0</v>
      </c>
      <c r="BI777" s="15"/>
      <c r="BJ777" s="15"/>
      <c r="BK777" s="15" t="b">
        <f>H777='2019'!BH652</f>
        <v>0</v>
      </c>
    </row>
    <row r="778" ht="15.75" customHeight="1" hidden="1" spans="1:63" x14ac:dyDescent="0.25">
      <c r="A778" s="89" t="s">
        <v>292</v>
      </c>
      <c r="B778" s="14"/>
      <c r="C778" s="15" t="s">
        <v>439</v>
      </c>
      <c r="D778" s="14" t="s">
        <v>51</v>
      </c>
      <c r="E778" s="15" t="s">
        <v>39</v>
      </c>
      <c r="F778" s="41">
        <v>500</v>
      </c>
      <c r="G778" s="28"/>
      <c r="H778" s="34">
        <f>'2019'!BH653</f>
        <v>0</v>
      </c>
      <c r="I778" s="15"/>
      <c r="J778" s="15"/>
      <c r="K778" s="34"/>
      <c r="L778" s="35"/>
      <c r="M778" s="15"/>
      <c r="N778" s="15"/>
      <c r="O778" s="34"/>
      <c r="P778" s="34"/>
      <c r="Q778" s="13"/>
      <c r="R778" s="15"/>
      <c r="S778" s="34"/>
      <c r="T778" s="35"/>
      <c r="U778" s="15"/>
      <c r="V778" s="15"/>
      <c r="W778" s="34"/>
      <c r="X778" s="34"/>
      <c r="Y778" s="13"/>
      <c r="Z778" s="15"/>
      <c r="AA778" s="34"/>
      <c r="AB778" s="35"/>
      <c r="AC778" s="15"/>
      <c r="AD778" s="15"/>
      <c r="AE778" s="34"/>
      <c r="AF778" s="34"/>
      <c r="AG778" s="13"/>
      <c r="AH778" s="15"/>
      <c r="AI778" s="45"/>
      <c r="AJ778" s="180"/>
      <c r="AK778" s="13"/>
      <c r="AL778" s="15"/>
      <c r="AM778" s="45"/>
      <c r="AN778" s="15"/>
      <c r="AO778" s="13"/>
      <c r="AP778" s="15"/>
      <c r="AQ778" s="45">
        <f>$F$13</f>
        <v>500</v>
      </c>
      <c r="AR778" s="15"/>
      <c r="AS778" s="13"/>
      <c r="AT778" s="15"/>
      <c r="AU778" s="45"/>
      <c r="AV778" s="15"/>
      <c r="AW778" s="13"/>
      <c r="AX778" s="15"/>
      <c r="AY778" s="45"/>
      <c r="AZ778" s="28"/>
      <c r="BA778" s="13"/>
      <c r="BB778" s="15"/>
      <c r="BC778" s="45"/>
      <c r="BD778" s="28"/>
      <c r="BE778" s="14"/>
      <c r="BF778" s="41">
        <f t="shared" ref="BF778:BG778" si="2628">K778+O778+S778+W778+AA778+AE778+AI778+AM778+AQ778+AU778+AY778+BC778</f>
        <v>500</v>
      </c>
      <c r="BG778" s="34">
        <f t="shared" si="2628"/>
        <v>0</v>
      </c>
      <c r="BH778" s="35">
        <f t="shared" si="2615"/>
        <v>500</v>
      </c>
      <c r="BI778" s="15"/>
      <c r="BJ778" s="15"/>
      <c r="BK778" s="15" t="b">
        <f>H778='2019'!BH653</f>
        <v>1</v>
      </c>
    </row>
    <row r="779" ht="15.75" customHeight="1" hidden="1" spans="1:63" x14ac:dyDescent="0.25">
      <c r="A779" s="89" t="s">
        <v>292</v>
      </c>
      <c r="B779" s="14"/>
      <c r="C779" s="15"/>
      <c r="D779" s="14" t="s">
        <v>51</v>
      </c>
      <c r="E779" s="15" t="s">
        <v>49</v>
      </c>
      <c r="F779" s="41">
        <v>500</v>
      </c>
      <c r="G779" s="28"/>
      <c r="H779" s="34"/>
      <c r="I779" s="15"/>
      <c r="J779" s="15"/>
      <c r="K779" s="34"/>
      <c r="L779" s="35"/>
      <c r="M779" s="15"/>
      <c r="N779" s="15"/>
      <c r="O779" s="34"/>
      <c r="P779" s="34"/>
      <c r="Q779" s="13"/>
      <c r="R779" s="15"/>
      <c r="S779" s="34"/>
      <c r="T779" s="35"/>
      <c r="U779" s="15"/>
      <c r="V779" s="15"/>
      <c r="W779" s="34"/>
      <c r="X779" s="34"/>
      <c r="Y779" s="13"/>
      <c r="Z779" s="15"/>
      <c r="AA779" s="34"/>
      <c r="AB779" s="35"/>
      <c r="AC779" s="15"/>
      <c r="AD779" s="15"/>
      <c r="AE779" s="34"/>
      <c r="AF779" s="34"/>
      <c r="AG779" s="13"/>
      <c r="AH779" s="15"/>
      <c r="AI779" s="45"/>
      <c r="AJ779" s="180"/>
      <c r="AK779" s="13"/>
      <c r="AL779" s="15"/>
      <c r="AM779" s="45"/>
      <c r="AN779" s="15"/>
      <c r="AO779" s="13"/>
      <c r="AP779" s="15"/>
      <c r="AQ779" s="34">
        <f>B774*$F$14</f>
        <v>2155</v>
      </c>
      <c r="AR779" s="15"/>
      <c r="AS779" s="13"/>
      <c r="AT779" s="15"/>
      <c r="AU779" s="45"/>
      <c r="AV779" s="15"/>
      <c r="AW779" s="13"/>
      <c r="AX779" s="15"/>
      <c r="AY779" s="45"/>
      <c r="AZ779" s="28"/>
      <c r="BA779" s="13"/>
      <c r="BB779" s="15"/>
      <c r="BC779" s="45"/>
      <c r="BD779" s="28"/>
      <c r="BE779" s="14"/>
      <c r="BF779" s="41">
        <f t="shared" ref="BF779:BG779" si="2629">K779+O779+S779+W779+AA779+AE779+AI779+AM779+AQ779+AU779+AY779+BC779</f>
        <v>2155</v>
      </c>
      <c r="BG779" s="34">
        <f t="shared" si="2629"/>
        <v>0</v>
      </c>
      <c r="BH779" s="35">
        <f t="shared" si="2615"/>
        <v>2155</v>
      </c>
      <c r="BI779" s="15"/>
      <c r="BJ779" s="15"/>
      <c r="BK779" s="15"/>
    </row>
    <row r="780" ht="15.75" customHeight="1" hidden="1" spans="1:63" x14ac:dyDescent="0.25">
      <c r="A780" s="89" t="s">
        <v>292</v>
      </c>
      <c r="B780" s="14"/>
      <c r="C780" s="15"/>
      <c r="D780" s="14" t="s">
        <v>52</v>
      </c>
      <c r="E780" s="15" t="s">
        <v>39</v>
      </c>
      <c r="F780" s="41">
        <v>500</v>
      </c>
      <c r="G780" s="28"/>
      <c r="H780" s="34">
        <f>'2019'!BH654</f>
        <v>0</v>
      </c>
      <c r="I780" s="15"/>
      <c r="J780" s="15"/>
      <c r="K780" s="34"/>
      <c r="L780" s="35"/>
      <c r="M780" s="15"/>
      <c r="N780" s="15"/>
      <c r="O780" s="34"/>
      <c r="P780" s="34"/>
      <c r="Q780" s="13"/>
      <c r="R780" s="15"/>
      <c r="S780" s="34"/>
      <c r="T780" s="35"/>
      <c r="U780" s="15"/>
      <c r="V780" s="15"/>
      <c r="W780" s="34"/>
      <c r="X780" s="34"/>
      <c r="Y780" s="13"/>
      <c r="Z780" s="15"/>
      <c r="AA780" s="77"/>
      <c r="AB780" s="35"/>
      <c r="AC780" s="15"/>
      <c r="AD780" s="15"/>
      <c r="AE780" s="34"/>
      <c r="AF780" s="34"/>
      <c r="AG780" s="13"/>
      <c r="AH780" s="15"/>
      <c r="AI780" s="45"/>
      <c r="AJ780" s="15"/>
      <c r="AK780" s="13"/>
      <c r="AL780" s="15"/>
      <c r="AM780" s="45"/>
      <c r="AN780" s="15"/>
      <c r="AO780" s="13"/>
      <c r="AP780" s="15"/>
      <c r="AQ780" s="45"/>
      <c r="AR780" s="15"/>
      <c r="AS780" s="13"/>
      <c r="AT780" s="15"/>
      <c r="AU780" s="45"/>
      <c r="AV780" s="15"/>
      <c r="AW780" s="13"/>
      <c r="AX780" s="15"/>
      <c r="AY780" s="45"/>
      <c r="AZ780" s="35"/>
      <c r="BA780" s="13"/>
      <c r="BB780" s="15"/>
      <c r="BC780" s="45"/>
      <c r="BD780" s="35"/>
      <c r="BE780" s="14"/>
      <c r="BF780" s="41">
        <f t="shared" ref="BF780:BG780" si="2630">K780+O780+S780+W780+AA780+AE780+AI780+AM780+AQ780+AU780+AY780+BC780</f>
        <v>0</v>
      </c>
      <c r="BG780" s="34">
        <f t="shared" si="2630"/>
        <v>0</v>
      </c>
      <c r="BH780" s="35">
        <f t="shared" si="2615"/>
        <v>0</v>
      </c>
      <c r="BI780" s="15"/>
      <c r="BJ780" s="15"/>
      <c r="BK780" s="15" t="b">
        <f>H780='2019'!BH654</f>
        <v>1</v>
      </c>
    </row>
    <row r="781" ht="15.75" customHeight="1" hidden="1" spans="1:63" x14ac:dyDescent="0.25">
      <c r="A781" s="243" t="s">
        <v>510</v>
      </c>
      <c r="B781" s="21"/>
      <c r="C781" s="22" t="s">
        <v>53</v>
      </c>
      <c r="D781" s="21"/>
      <c r="E781" s="22"/>
      <c r="F781" s="20"/>
      <c r="G781" s="23"/>
      <c r="H781" s="51">
        <f>SUM(H773:H780)</f>
        <v>-19.23</v>
      </c>
      <c r="I781" s="53"/>
      <c r="J781" s="53"/>
      <c r="K781" s="51">
        <f t="shared" ref="K781:L781" si="2631">SUM(K773:K780)</f>
        <v>0</v>
      </c>
      <c r="L781" s="68">
        <f t="shared" si="2631"/>
        <v>0</v>
      </c>
      <c r="M781" s="53"/>
      <c r="N781" s="53"/>
      <c r="O781" s="51">
        <f t="shared" ref="O781:P781" si="2632">SUM(O773:O780)</f>
        <v>0</v>
      </c>
      <c r="P781" s="51">
        <f t="shared" si="2632"/>
        <v>0</v>
      </c>
      <c r="Q781" s="52"/>
      <c r="R781" s="53"/>
      <c r="S781" s="51">
        <f t="shared" ref="S781:T781" si="2633">SUM(S773:S780)</f>
        <v>0</v>
      </c>
      <c r="T781" s="51">
        <f t="shared" si="2633"/>
        <v>0</v>
      </c>
      <c r="U781" s="52"/>
      <c r="V781" s="53"/>
      <c r="W781" s="51">
        <f t="shared" ref="W781:X781" si="2634">SUM(W773:W780)</f>
        <v>124.06</v>
      </c>
      <c r="X781" s="51">
        <f t="shared" si="2634"/>
        <v>0</v>
      </c>
      <c r="Y781" s="52"/>
      <c r="Z781" s="53"/>
      <c r="AA781" s="51">
        <f t="shared" ref="AA781:AB781" si="2635">SUM(AA773:AA780)</f>
        <v>55</v>
      </c>
      <c r="AB781" s="51">
        <f t="shared" si="2635"/>
        <v>91.19</v>
      </c>
      <c r="AC781" s="52"/>
      <c r="AD781" s="53"/>
      <c r="AE781" s="51">
        <f t="shared" ref="AE781:AF781" si="2636">SUM(AE773:AE780)</f>
        <v>4972.06</v>
      </c>
      <c r="AF781" s="51">
        <f t="shared" si="2636"/>
        <v>265</v>
      </c>
      <c r="AG781" s="52"/>
      <c r="AH781" s="53"/>
      <c r="AI781" s="183">
        <f t="shared" ref="AI781:AJ781" si="2637">SUM(AI773:AI780)</f>
        <v>548.2</v>
      </c>
      <c r="AJ781" s="51">
        <f t="shared" si="2637"/>
        <v>55.68</v>
      </c>
      <c r="AK781" s="52"/>
      <c r="AL781" s="53"/>
      <c r="AM781" s="183">
        <f t="shared" ref="AM781:AN781" si="2638">SUM(AM773:AM780)</f>
        <v>449.64</v>
      </c>
      <c r="AN781" s="51">
        <f t="shared" si="2638"/>
        <v>5640.02</v>
      </c>
      <c r="AO781" s="52"/>
      <c r="AP781" s="53"/>
      <c r="AQ781" s="183">
        <f t="shared" ref="AQ781:AR781" si="2639">SUM(AQ773:AQ780)</f>
        <v>3308.86</v>
      </c>
      <c r="AR781" s="51">
        <f t="shared" si="2639"/>
        <v>712.24</v>
      </c>
      <c r="AS781" s="52"/>
      <c r="AT781" s="53"/>
      <c r="AU781" s="183">
        <f t="shared" ref="AU781:AV781" si="2640">SUM(AU773:AU780)</f>
        <v>2054</v>
      </c>
      <c r="AV781" s="68">
        <f t="shared" si="2640"/>
        <v>0</v>
      </c>
      <c r="AW781" s="52"/>
      <c r="AX781" s="53"/>
      <c r="AY781" s="183">
        <f t="shared" ref="AY781:AZ781" si="2641">SUM(AY773:AY780)</f>
        <v>1164.8</v>
      </c>
      <c r="AZ781" s="68">
        <f t="shared" si="2641"/>
        <v>2073.46</v>
      </c>
      <c r="BA781" s="52"/>
      <c r="BB781" s="53"/>
      <c r="BC781" s="183">
        <f t="shared" ref="BC781:BD781" si="2642">SUM(BC773:BC780)</f>
        <v>678.6</v>
      </c>
      <c r="BD781" s="68">
        <f t="shared" si="2642"/>
        <v>1843.4</v>
      </c>
      <c r="BE781" s="69"/>
      <c r="BF781" s="70">
        <f t="shared" ref="BF781:BH781" si="2643">SUM(BF773:BF780)</f>
        <v>13355.22</v>
      </c>
      <c r="BG781" s="71">
        <f t="shared" si="2643"/>
        <v>10680.99</v>
      </c>
      <c r="BH781" s="72">
        <f t="shared" si="2643"/>
        <v>2655</v>
      </c>
      <c r="BI781" s="34">
        <f>H781+BF781-BG781</f>
        <v>2655</v>
      </c>
      <c r="BJ781" s="34">
        <f>BH781-BI781</f>
        <v>0</v>
      </c>
      <c r="BK781" s="2" t="b">
        <f>H781='2019'!BH655</f>
        <v>0</v>
      </c>
    </row>
    <row r="782" ht="15.75" customHeight="1" hidden="1" spans="1:63" x14ac:dyDescent="0.25">
      <c r="A782" s="89" t="s">
        <v>292</v>
      </c>
      <c r="B782" s="14"/>
      <c r="C782" s="15"/>
      <c r="D782" s="14" t="s">
        <v>379</v>
      </c>
      <c r="E782" s="15"/>
      <c r="F782" s="13"/>
      <c r="G782" s="28"/>
      <c r="H782" s="182">
        <v>0</v>
      </c>
      <c r="I782" s="15"/>
      <c r="J782" s="15"/>
      <c r="K782" s="34"/>
      <c r="L782" s="35"/>
      <c r="M782" s="15"/>
      <c r="N782" s="15"/>
      <c r="O782" s="34"/>
      <c r="P782" s="34"/>
      <c r="Q782" s="13"/>
      <c r="R782" s="15"/>
      <c r="S782" s="34"/>
      <c r="T782" s="35"/>
      <c r="U782" s="15"/>
      <c r="V782" s="15"/>
      <c r="W782" s="34"/>
      <c r="X782" s="34"/>
      <c r="Y782" s="13"/>
      <c r="Z782" s="15"/>
      <c r="AA782" s="34"/>
      <c r="AB782" s="35"/>
      <c r="AC782" s="15"/>
      <c r="AD782" s="15"/>
      <c r="AE782" s="34"/>
      <c r="AF782" s="34"/>
      <c r="AG782" s="13"/>
      <c r="AH782" s="15"/>
      <c r="AI782" s="45"/>
      <c r="AJ782" s="34"/>
      <c r="AK782" s="13"/>
      <c r="AL782" s="15"/>
      <c r="AM782" s="45"/>
      <c r="AN782" s="34"/>
      <c r="AO782" s="13"/>
      <c r="AP782" s="15"/>
      <c r="AQ782" s="45"/>
      <c r="AR782" s="34"/>
      <c r="AS782" s="13"/>
      <c r="AT782" s="15"/>
      <c r="AU782" s="45"/>
      <c r="AV782" s="34"/>
      <c r="AW782" s="13"/>
      <c r="AX782" s="15"/>
      <c r="AY782" s="45"/>
      <c r="AZ782" s="28"/>
      <c r="BA782" s="13"/>
      <c r="BB782" s="15"/>
      <c r="BC782" s="45"/>
      <c r="BD782" s="28"/>
      <c r="BE782" s="42"/>
      <c r="BF782" s="41">
        <f t="shared" ref="BF782:BG782" si="2644">K782+O782+S782+W782+AA782+AE782+AI782+AM782+AQ782+AU782+AY782+BC782</f>
        <v>0</v>
      </c>
      <c r="BG782" s="34">
        <f t="shared" si="2644"/>
        <v>0</v>
      </c>
      <c r="BH782" s="35">
        <f t="shared" ref="BH782:BH789" si="2645">H782+BF782-BG782</f>
        <v>0</v>
      </c>
      <c r="BI782" s="15"/>
      <c r="BJ782" s="15"/>
      <c r="BK782" s="15"/>
    </row>
    <row r="783" ht="15.75" customHeight="1" hidden="1" spans="1:63" x14ac:dyDescent="0.25">
      <c r="A783" s="89" t="s">
        <v>292</v>
      </c>
      <c r="B783" s="14">
        <v>4.25</v>
      </c>
      <c r="C783" s="15" t="s">
        <v>436</v>
      </c>
      <c r="D783" s="14" t="s">
        <v>44</v>
      </c>
      <c r="E783" s="15" t="s">
        <v>45</v>
      </c>
      <c r="F783" s="41">
        <v>2.5</v>
      </c>
      <c r="G783" s="35">
        <v>2.6</v>
      </c>
      <c r="H783" s="182">
        <v>0</v>
      </c>
      <c r="I783" s="13"/>
      <c r="J783" s="15"/>
      <c r="K783" s="34">
        <f>J783*$F$8</f>
        <v>0</v>
      </c>
      <c r="L783" s="35"/>
      <c r="M783" s="15"/>
      <c r="N783" s="15"/>
      <c r="O783" s="34">
        <f>N783*$F$8</f>
        <v>0</v>
      </c>
      <c r="P783" s="34"/>
      <c r="Q783" s="13"/>
      <c r="R783" s="15">
        <f>Q783-M783</f>
        <v>0</v>
      </c>
      <c r="S783" s="34">
        <f>R783*$F$8</f>
        <v>0</v>
      </c>
      <c r="T783" s="35"/>
      <c r="U783" s="15"/>
      <c r="V783" s="15">
        <f t="shared" ref="V783:V784" si="2646">U783-Q783</f>
        <v>0</v>
      </c>
      <c r="W783" s="34">
        <f>V783*$F$8</f>
        <v>0</v>
      </c>
      <c r="X783" s="34"/>
      <c r="Y783" s="13"/>
      <c r="Z783" s="15">
        <f t="shared" ref="Z783:Z784" si="2647">Y783-U783</f>
        <v>0</v>
      </c>
      <c r="AA783" s="34">
        <f>Z783*$F$8</f>
        <v>0</v>
      </c>
      <c r="AB783" s="35"/>
      <c r="AC783" s="15"/>
      <c r="AD783" s="15">
        <f t="shared" ref="AD783:AD784" si="2648">AC783-Y783</f>
        <v>0</v>
      </c>
      <c r="AE783" s="34">
        <f>AD783*$F$8</f>
        <v>0</v>
      </c>
      <c r="AF783" s="34"/>
      <c r="AG783" s="13"/>
      <c r="AH783" s="15">
        <f t="shared" ref="AH783:AH784" si="2649">AG783-AC783</f>
        <v>0</v>
      </c>
      <c r="AI783" s="45">
        <f>AH783*$G$8</f>
        <v>0</v>
      </c>
      <c r="AJ783" s="15"/>
      <c r="AK783" s="13">
        <v>0</v>
      </c>
      <c r="AL783" s="15">
        <f t="shared" ref="AL783:AL784" si="2650">AK783-AG783</f>
        <v>0</v>
      </c>
      <c r="AM783" s="45">
        <f>AL783*$G$8</f>
        <v>0</v>
      </c>
      <c r="AN783" s="15"/>
      <c r="AO783" s="13">
        <v>0</v>
      </c>
      <c r="AP783" s="15">
        <f t="shared" ref="AP783:AP784" si="2651">AO783-AK783</f>
        <v>0</v>
      </c>
      <c r="AQ783" s="45">
        <f>AP783*$G$8</f>
        <v>0</v>
      </c>
      <c r="AR783" s="15"/>
      <c r="AS783" s="13">
        <v>0</v>
      </c>
      <c r="AT783" s="15">
        <f t="shared" ref="AT783:AT784" si="2652">AS783-AO783</f>
        <v>0</v>
      </c>
      <c r="AU783" s="45">
        <f>AT783*$G$8</f>
        <v>0</v>
      </c>
      <c r="AV783" s="15"/>
      <c r="AW783" s="13">
        <v>0</v>
      </c>
      <c r="AX783" s="15">
        <f t="shared" ref="AX783:AX784" si="2653">AW783-AS783</f>
        <v>0</v>
      </c>
      <c r="AY783" s="45">
        <f>AX783*$G$8</f>
        <v>0</v>
      </c>
      <c r="AZ783" s="208"/>
      <c r="BA783" s="13">
        <v>0</v>
      </c>
      <c r="BB783" s="15">
        <f t="shared" ref="BB783:BB784" si="2654">BA783-AW783</f>
        <v>0</v>
      </c>
      <c r="BC783" s="45">
        <f>BB783*$G$8</f>
        <v>0</v>
      </c>
      <c r="BD783" s="208"/>
      <c r="BE783" s="40">
        <f t="shared" ref="BE783:BG783" si="2655">J783+N783+R783+V783+Z783+AD783+AH783+AL783+AP783+AT783+AX783+BB783</f>
        <v>0</v>
      </c>
      <c r="BF783" s="41">
        <f t="shared" si="2655"/>
        <v>0</v>
      </c>
      <c r="BG783" s="34">
        <f t="shared" si="2655"/>
        <v>0</v>
      </c>
      <c r="BH783" s="35">
        <f t="shared" si="2645"/>
        <v>0</v>
      </c>
      <c r="BI783" s="15"/>
      <c r="BJ783" s="15"/>
      <c r="BK783" s="15"/>
    </row>
    <row r="784" ht="15.75" customHeight="1" hidden="1" spans="1:63" x14ac:dyDescent="0.25">
      <c r="A784" s="89" t="s">
        <v>292</v>
      </c>
      <c r="B784" s="14"/>
      <c r="C784" s="15" t="s">
        <v>437</v>
      </c>
      <c r="D784" s="14" t="s">
        <v>47</v>
      </c>
      <c r="E784" s="15" t="s">
        <v>48</v>
      </c>
      <c r="F784" s="13">
        <v>18.56</v>
      </c>
      <c r="G784" s="35">
        <v>19.46</v>
      </c>
      <c r="H784" s="182">
        <v>0</v>
      </c>
      <c r="I784" s="13">
        <v>4</v>
      </c>
      <c r="J784" s="15"/>
      <c r="K784" s="34"/>
      <c r="L784" s="35"/>
      <c r="M784" s="15">
        <v>4</v>
      </c>
      <c r="N784" s="15"/>
      <c r="O784" s="34"/>
      <c r="P784" s="34"/>
      <c r="Q784" s="13">
        <v>4</v>
      </c>
      <c r="R784" s="15"/>
      <c r="S784" s="34"/>
      <c r="T784" s="35"/>
      <c r="U784" s="15">
        <v>4</v>
      </c>
      <c r="V784" s="15">
        <f t="shared" si="2646"/>
        <v>0</v>
      </c>
      <c r="W784" s="34">
        <f>V784*$F$10</f>
        <v>0</v>
      </c>
      <c r="X784" s="34"/>
      <c r="Y784" s="13">
        <v>4</v>
      </c>
      <c r="Z784" s="15">
        <f t="shared" si="2647"/>
        <v>0</v>
      </c>
      <c r="AA784" s="34">
        <f>Z784*$F$10</f>
        <v>0</v>
      </c>
      <c r="AB784" s="35"/>
      <c r="AC784" s="15">
        <v>5</v>
      </c>
      <c r="AD784" s="15">
        <f t="shared" si="2648"/>
        <v>1</v>
      </c>
      <c r="AE784" s="34">
        <f>AD784*$F$10</f>
        <v>18.56</v>
      </c>
      <c r="AF784" s="34"/>
      <c r="AG784" s="13">
        <v>7</v>
      </c>
      <c r="AH784" s="15">
        <f t="shared" si="2649"/>
        <v>2</v>
      </c>
      <c r="AI784" s="45">
        <f>AH784*$G$10</f>
        <v>38.92</v>
      </c>
      <c r="AJ784" s="180"/>
      <c r="AK784" s="13">
        <v>8</v>
      </c>
      <c r="AL784" s="15">
        <f t="shared" si="2650"/>
        <v>1</v>
      </c>
      <c r="AM784" s="45">
        <f>AL784*$G$10</f>
        <v>19.46</v>
      </c>
      <c r="AN784" s="1">
        <v>57.48</v>
      </c>
      <c r="AO784" s="13">
        <v>9</v>
      </c>
      <c r="AP784" s="15">
        <f t="shared" si="2651"/>
        <v>1</v>
      </c>
      <c r="AQ784" s="45">
        <f>AP784*$G$10</f>
        <v>19.46</v>
      </c>
      <c r="AR784" s="1">
        <v>19.46</v>
      </c>
      <c r="AS784" s="13">
        <v>9</v>
      </c>
      <c r="AT784" s="15">
        <f t="shared" si="2652"/>
        <v>0</v>
      </c>
      <c r="AU784" s="45">
        <f>AT784*$G$10</f>
        <v>0</v>
      </c>
      <c r="AV784" s="15"/>
      <c r="AW784" s="13">
        <v>9</v>
      </c>
      <c r="AX784" s="15">
        <f t="shared" si="2653"/>
        <v>0</v>
      </c>
      <c r="AY784" s="45"/>
      <c r="AZ784" s="249">
        <v>19.46</v>
      </c>
      <c r="BA784" s="13">
        <v>9</v>
      </c>
      <c r="BB784" s="15">
        <f t="shared" si="2654"/>
        <v>0</v>
      </c>
      <c r="BC784" s="45"/>
      <c r="BD784" s="208"/>
      <c r="BE784" s="40">
        <f t="shared" ref="BE784:BG784" si="2656">J784+N784+R784+V784+Z784+AD784+AH784+AL784+AP784+AT784+AX784+BB784</f>
        <v>5</v>
      </c>
      <c r="BF784" s="41">
        <f t="shared" si="2656"/>
        <v>96.4</v>
      </c>
      <c r="BG784" s="34">
        <f t="shared" si="2656"/>
        <v>96.4</v>
      </c>
      <c r="BH784" s="35">
        <f t="shared" si="2645"/>
        <v>0</v>
      </c>
      <c r="BI784" s="15"/>
      <c r="BJ784" s="15"/>
      <c r="BK784" s="15"/>
    </row>
    <row r="785" ht="15.75" customHeight="1" hidden="1" spans="1:63" x14ac:dyDescent="0.25">
      <c r="A785" s="89" t="s">
        <v>292</v>
      </c>
      <c r="B785" s="14"/>
      <c r="C785" s="15" t="s">
        <v>68</v>
      </c>
      <c r="D785" s="14" t="s">
        <v>47</v>
      </c>
      <c r="E785" s="15" t="s">
        <v>49</v>
      </c>
      <c r="F785" s="41">
        <v>500</v>
      </c>
      <c r="G785" s="28"/>
      <c r="H785" s="182">
        <v>0</v>
      </c>
      <c r="I785" s="15"/>
      <c r="J785" s="15"/>
      <c r="K785" s="34"/>
      <c r="L785" s="35"/>
      <c r="M785" s="15"/>
      <c r="N785" s="15"/>
      <c r="O785" s="34"/>
      <c r="P785" s="34"/>
      <c r="Q785" s="13"/>
      <c r="R785" s="15"/>
      <c r="S785" s="34"/>
      <c r="T785" s="35"/>
      <c r="U785" s="15"/>
      <c r="V785" s="15"/>
      <c r="W785" s="34"/>
      <c r="X785" s="34"/>
      <c r="Y785" s="13"/>
      <c r="Z785" s="15"/>
      <c r="AA785" s="34"/>
      <c r="AB785" s="35"/>
      <c r="AC785" s="15"/>
      <c r="AD785" s="15"/>
      <c r="AE785" s="34"/>
      <c r="AF785" s="34"/>
      <c r="AG785" s="13"/>
      <c r="AH785" s="15"/>
      <c r="AI785" s="45"/>
      <c r="AJ785" s="15"/>
      <c r="AK785" s="13"/>
      <c r="AL785" s="15"/>
      <c r="AM785" s="45"/>
      <c r="AN785" s="15"/>
      <c r="AO785" s="13"/>
      <c r="AP785" s="15"/>
      <c r="AQ785" s="45"/>
      <c r="AR785" s="15"/>
      <c r="AS785" s="13"/>
      <c r="AT785" s="15"/>
      <c r="AU785" s="45"/>
      <c r="AV785" s="15"/>
      <c r="AW785" s="13"/>
      <c r="AX785" s="15"/>
      <c r="AY785" s="45"/>
      <c r="AZ785" s="28"/>
      <c r="BA785" s="13"/>
      <c r="BB785" s="15"/>
      <c r="BC785" s="45"/>
      <c r="BD785" s="28"/>
      <c r="BE785" s="14"/>
      <c r="BF785" s="41">
        <f t="shared" ref="BF785:BG785" si="2657">K785+O785+S785+W785+AA785+AE785+AI785+AM785+AQ785+AU785+AY785+BC785</f>
        <v>0</v>
      </c>
      <c r="BG785" s="34">
        <f t="shared" si="2657"/>
        <v>0</v>
      </c>
      <c r="BH785" s="35">
        <f t="shared" si="2645"/>
        <v>0</v>
      </c>
      <c r="BI785" s="15"/>
      <c r="BJ785" s="15"/>
      <c r="BK785" s="15"/>
    </row>
    <row r="786" ht="15.75" customHeight="1" hidden="1" spans="1:63" x14ac:dyDescent="0.25">
      <c r="A786" s="89" t="s">
        <v>292</v>
      </c>
      <c r="B786" s="14"/>
      <c r="C786" s="15" t="s">
        <v>438</v>
      </c>
      <c r="D786" s="14" t="s">
        <v>50</v>
      </c>
      <c r="E786" s="15" t="s">
        <v>49</v>
      </c>
      <c r="F786" s="41">
        <v>1100</v>
      </c>
      <c r="G786" s="28"/>
      <c r="H786" s="182">
        <v>0</v>
      </c>
      <c r="I786" s="15"/>
      <c r="J786" s="15"/>
      <c r="K786" s="34"/>
      <c r="L786" s="35"/>
      <c r="M786" s="15"/>
      <c r="N786" s="15"/>
      <c r="O786" s="34"/>
      <c r="P786" s="34"/>
      <c r="Q786" s="13"/>
      <c r="R786" s="15"/>
      <c r="S786" s="34"/>
      <c r="T786" s="35"/>
      <c r="U786" s="15"/>
      <c r="V786" s="15"/>
      <c r="W786" s="34"/>
      <c r="X786" s="34"/>
      <c r="Y786" s="13"/>
      <c r="Z786" s="15"/>
      <c r="AA786" s="34"/>
      <c r="AB786" s="35"/>
      <c r="AC786" s="15"/>
      <c r="AD786" s="15"/>
      <c r="AE786" s="34">
        <f>B783*$F$12</f>
        <v>4675</v>
      </c>
      <c r="AF786" s="34"/>
      <c r="AG786" s="13"/>
      <c r="AH786" s="15"/>
      <c r="AI786" s="45"/>
      <c r="AJ786" s="34"/>
      <c r="AK786" s="13"/>
      <c r="AL786" s="15"/>
      <c r="AM786" s="45"/>
      <c r="AN786" s="39">
        <v>4675</v>
      </c>
      <c r="AO786" s="13"/>
      <c r="AP786" s="15"/>
      <c r="AQ786" s="45"/>
      <c r="AR786" s="15"/>
      <c r="AS786" s="13"/>
      <c r="AT786" s="15"/>
      <c r="AU786" s="45"/>
      <c r="AV786" s="15"/>
      <c r="AW786" s="13"/>
      <c r="AX786" s="15"/>
      <c r="AY786" s="45"/>
      <c r="AZ786" s="28"/>
      <c r="BA786" s="13"/>
      <c r="BB786" s="15"/>
      <c r="BC786" s="45"/>
      <c r="BD786" s="28"/>
      <c r="BE786" s="14"/>
      <c r="BF786" s="41">
        <f t="shared" ref="BF786:BG786" si="2658">K786+O786+S786+W786+AA786+AE786+AI786+AM786+AQ786+AU786+AY786+BC786</f>
        <v>4675</v>
      </c>
      <c r="BG786" s="34">
        <f t="shared" si="2658"/>
        <v>4675</v>
      </c>
      <c r="BH786" s="35">
        <f t="shared" si="2645"/>
        <v>0</v>
      </c>
      <c r="BI786" s="15"/>
      <c r="BJ786" s="15"/>
      <c r="BK786" s="15"/>
    </row>
    <row r="787" ht="15.75" customHeight="1" hidden="1" spans="1:63" x14ac:dyDescent="0.25">
      <c r="A787" s="89" t="s">
        <v>292</v>
      </c>
      <c r="B787" s="14"/>
      <c r="C787" s="15" t="s">
        <v>439</v>
      </c>
      <c r="D787" s="14" t="s">
        <v>51</v>
      </c>
      <c r="E787" s="15" t="s">
        <v>39</v>
      </c>
      <c r="F787" s="41">
        <v>500</v>
      </c>
      <c r="G787" s="28"/>
      <c r="H787" s="182">
        <v>0</v>
      </c>
      <c r="I787" s="15"/>
      <c r="J787" s="15"/>
      <c r="K787" s="34"/>
      <c r="L787" s="35"/>
      <c r="M787" s="15"/>
      <c r="N787" s="15"/>
      <c r="O787" s="34"/>
      <c r="P787" s="34"/>
      <c r="Q787" s="13"/>
      <c r="R787" s="15"/>
      <c r="S787" s="34"/>
      <c r="T787" s="35"/>
      <c r="U787" s="15"/>
      <c r="V787" s="15"/>
      <c r="W787" s="34"/>
      <c r="X787" s="34"/>
      <c r="Y787" s="13"/>
      <c r="Z787" s="15"/>
      <c r="AA787" s="34"/>
      <c r="AB787" s="35"/>
      <c r="AC787" s="15"/>
      <c r="AD787" s="15"/>
      <c r="AE787" s="34"/>
      <c r="AF787" s="34"/>
      <c r="AG787" s="13"/>
      <c r="AH787" s="15"/>
      <c r="AI787" s="45"/>
      <c r="AJ787" s="180"/>
      <c r="AK787" s="13"/>
      <c r="AL787" s="15"/>
      <c r="AM787" s="45"/>
      <c r="AN787" s="15"/>
      <c r="AO787" s="13"/>
      <c r="AP787" s="15"/>
      <c r="AQ787" s="45">
        <f>$F$13</f>
        <v>500</v>
      </c>
      <c r="AR787" s="15"/>
      <c r="AS787" s="13"/>
      <c r="AT787" s="15"/>
      <c r="AU787" s="45"/>
      <c r="AV787" s="15"/>
      <c r="AW787" s="13"/>
      <c r="AX787" s="15"/>
      <c r="AY787" s="45"/>
      <c r="AZ787" s="28"/>
      <c r="BA787" s="13"/>
      <c r="BB787" s="15"/>
      <c r="BC787" s="45"/>
      <c r="BD787" s="28"/>
      <c r="BE787" s="14"/>
      <c r="BF787" s="41">
        <f t="shared" ref="BF787:BG787" si="2659">K787+O787+S787+W787+AA787+AE787+AI787+AM787+AQ787+AU787+AY787+BC787</f>
        <v>500</v>
      </c>
      <c r="BG787" s="34">
        <f t="shared" si="2659"/>
        <v>0</v>
      </c>
      <c r="BH787" s="35">
        <f t="shared" si="2645"/>
        <v>500</v>
      </c>
      <c r="BI787" s="15"/>
      <c r="BJ787" s="15"/>
      <c r="BK787" s="15"/>
    </row>
    <row r="788" ht="15.75" customHeight="1" hidden="1" spans="1:63" x14ac:dyDescent="0.25">
      <c r="A788" s="89" t="s">
        <v>292</v>
      </c>
      <c r="B788" s="14"/>
      <c r="C788" s="15"/>
      <c r="D788" s="14" t="s">
        <v>51</v>
      </c>
      <c r="E788" s="15" t="s">
        <v>49</v>
      </c>
      <c r="F788" s="41">
        <v>500</v>
      </c>
      <c r="G788" s="28"/>
      <c r="H788" s="182"/>
      <c r="I788" s="15"/>
      <c r="J788" s="15"/>
      <c r="K788" s="34"/>
      <c r="L788" s="35"/>
      <c r="M788" s="15"/>
      <c r="N788" s="15"/>
      <c r="O788" s="34"/>
      <c r="P788" s="34"/>
      <c r="Q788" s="13"/>
      <c r="R788" s="15"/>
      <c r="S788" s="34"/>
      <c r="T788" s="35"/>
      <c r="U788" s="15"/>
      <c r="V788" s="15"/>
      <c r="W788" s="34"/>
      <c r="X788" s="34"/>
      <c r="Y788" s="13"/>
      <c r="Z788" s="15"/>
      <c r="AA788" s="34"/>
      <c r="AB788" s="35"/>
      <c r="AC788" s="15"/>
      <c r="AD788" s="15"/>
      <c r="AE788" s="34"/>
      <c r="AF788" s="34"/>
      <c r="AG788" s="13"/>
      <c r="AH788" s="15"/>
      <c r="AI788" s="45"/>
      <c r="AJ788" s="180"/>
      <c r="AK788" s="13"/>
      <c r="AL788" s="15"/>
      <c r="AM788" s="45"/>
      <c r="AN788" s="15"/>
      <c r="AO788" s="13"/>
      <c r="AP788" s="15"/>
      <c r="AQ788" s="34">
        <f>B783*$F$14</f>
        <v>2125</v>
      </c>
      <c r="AR788" s="15"/>
      <c r="AS788" s="13"/>
      <c r="AT788" s="15"/>
      <c r="AU788" s="45"/>
      <c r="AV788" s="15"/>
      <c r="AW788" s="13"/>
      <c r="AX788" s="15"/>
      <c r="AY788" s="45"/>
      <c r="AZ788" s="28"/>
      <c r="BA788" s="13"/>
      <c r="BB788" s="15"/>
      <c r="BC788" s="45"/>
      <c r="BD788" s="28"/>
      <c r="BE788" s="14"/>
      <c r="BF788" s="41">
        <f t="shared" ref="BF788:BG788" si="2660">K788+O788+S788+W788+AA788+AE788+AI788+AM788+AQ788+AU788+AY788+BC788</f>
        <v>2125</v>
      </c>
      <c r="BG788" s="34">
        <f t="shared" si="2660"/>
        <v>0</v>
      </c>
      <c r="BH788" s="35">
        <f t="shared" si="2645"/>
        <v>2125</v>
      </c>
      <c r="BI788" s="15"/>
      <c r="BJ788" s="15"/>
      <c r="BK788" s="15"/>
    </row>
    <row r="789" ht="15.75" customHeight="1" hidden="1" spans="1:63" x14ac:dyDescent="0.25">
      <c r="A789" s="89" t="s">
        <v>292</v>
      </c>
      <c r="B789" s="14"/>
      <c r="C789" s="15"/>
      <c r="D789" s="14" t="s">
        <v>52</v>
      </c>
      <c r="E789" s="15" t="s">
        <v>39</v>
      </c>
      <c r="F789" s="41">
        <v>500</v>
      </c>
      <c r="G789" s="28"/>
      <c r="H789" s="182">
        <v>0</v>
      </c>
      <c r="I789" s="15"/>
      <c r="J789" s="15"/>
      <c r="K789" s="34"/>
      <c r="L789" s="35"/>
      <c r="M789" s="15"/>
      <c r="N789" s="15"/>
      <c r="O789" s="34"/>
      <c r="P789" s="34"/>
      <c r="Q789" s="13"/>
      <c r="R789" s="15"/>
      <c r="S789" s="34"/>
      <c r="T789" s="35"/>
      <c r="U789" s="15"/>
      <c r="V789" s="15"/>
      <c r="W789" s="34"/>
      <c r="X789" s="34"/>
      <c r="Y789" s="13"/>
      <c r="Z789" s="15"/>
      <c r="AA789" s="77"/>
      <c r="AB789" s="35"/>
      <c r="AC789" s="15"/>
      <c r="AD789" s="15"/>
      <c r="AE789" s="34"/>
      <c r="AF789" s="34"/>
      <c r="AG789" s="13"/>
      <c r="AH789" s="15"/>
      <c r="AI789" s="45"/>
      <c r="AJ789" s="15"/>
      <c r="AK789" s="13"/>
      <c r="AL789" s="15"/>
      <c r="AM789" s="45"/>
      <c r="AN789" s="15"/>
      <c r="AO789" s="13"/>
      <c r="AP789" s="15"/>
      <c r="AQ789" s="45"/>
      <c r="AR789" s="15"/>
      <c r="AS789" s="13"/>
      <c r="AT789" s="15"/>
      <c r="AU789" s="45"/>
      <c r="AV789" s="15"/>
      <c r="AW789" s="13"/>
      <c r="AX789" s="15"/>
      <c r="AY789" s="45"/>
      <c r="AZ789" s="35"/>
      <c r="BA789" s="13"/>
      <c r="BB789" s="15"/>
      <c r="BC789" s="45"/>
      <c r="BD789" s="35"/>
      <c r="BE789" s="14"/>
      <c r="BF789" s="41">
        <f t="shared" ref="BF789:BG789" si="2661">K789+O789+S789+W789+AA789+AE789+AI789+AM789+AQ789+AU789+AY789+BC789</f>
        <v>0</v>
      </c>
      <c r="BG789" s="34">
        <f t="shared" si="2661"/>
        <v>0</v>
      </c>
      <c r="BH789" s="35">
        <f t="shared" si="2645"/>
        <v>0</v>
      </c>
      <c r="BI789" s="15"/>
      <c r="BJ789" s="15"/>
      <c r="BK789" s="15"/>
    </row>
    <row r="790" ht="15.75" customHeight="1" hidden="1" spans="1:62" x14ac:dyDescent="0.25">
      <c r="A790" s="244" t="s">
        <v>297</v>
      </c>
      <c r="B790" s="21"/>
      <c r="C790" s="22" t="s">
        <v>53</v>
      </c>
      <c r="D790" s="21"/>
      <c r="E790" s="22"/>
      <c r="F790" s="20"/>
      <c r="G790" s="23"/>
      <c r="H790" s="51">
        <f>SUM(H782:H789)</f>
        <v>0</v>
      </c>
      <c r="I790" s="53"/>
      <c r="J790" s="53"/>
      <c r="K790" s="51">
        <f t="shared" ref="K790:L790" si="2662">SUM(K782:K789)</f>
        <v>0</v>
      </c>
      <c r="L790" s="68">
        <f t="shared" si="2662"/>
        <v>0</v>
      </c>
      <c r="M790" s="53"/>
      <c r="N790" s="53"/>
      <c r="O790" s="51">
        <f t="shared" ref="O790:P790" si="2663">SUM(O782:O789)</f>
        <v>0</v>
      </c>
      <c r="P790" s="51">
        <f t="shared" si="2663"/>
        <v>0</v>
      </c>
      <c r="Q790" s="52"/>
      <c r="R790" s="53"/>
      <c r="S790" s="51">
        <f t="shared" ref="S790:T790" si="2664">SUM(S782:S789)</f>
        <v>0</v>
      </c>
      <c r="T790" s="51">
        <f t="shared" si="2664"/>
        <v>0</v>
      </c>
      <c r="U790" s="52"/>
      <c r="V790" s="53"/>
      <c r="W790" s="51">
        <f t="shared" ref="W790:X790" si="2665">SUM(W782:W789)</f>
        <v>0</v>
      </c>
      <c r="X790" s="51">
        <f t="shared" si="2665"/>
        <v>0</v>
      </c>
      <c r="Y790" s="52"/>
      <c r="Z790" s="53"/>
      <c r="AA790" s="51">
        <f t="shared" ref="AA790:AB790" si="2666">SUM(AA782:AA789)</f>
        <v>0</v>
      </c>
      <c r="AB790" s="51">
        <f t="shared" si="2666"/>
        <v>0</v>
      </c>
      <c r="AC790" s="52"/>
      <c r="AD790" s="53"/>
      <c r="AE790" s="51">
        <f t="shared" ref="AE790:AF790" si="2667">SUM(AE782:AE789)</f>
        <v>4693.56</v>
      </c>
      <c r="AF790" s="51">
        <f t="shared" si="2667"/>
        <v>0</v>
      </c>
      <c r="AG790" s="52"/>
      <c r="AH790" s="53"/>
      <c r="AI790" s="183">
        <f t="shared" ref="AI790:AJ790" si="2668">SUM(AI782:AI789)</f>
        <v>38.92</v>
      </c>
      <c r="AJ790" s="51">
        <f t="shared" si="2668"/>
        <v>0</v>
      </c>
      <c r="AK790" s="52"/>
      <c r="AL790" s="53"/>
      <c r="AM790" s="183">
        <f t="shared" ref="AM790:AN790" si="2669">SUM(AM782:AM789)</f>
        <v>19.46</v>
      </c>
      <c r="AN790" s="51">
        <f t="shared" si="2669"/>
        <v>4732.48</v>
      </c>
      <c r="AO790" s="52"/>
      <c r="AP790" s="53"/>
      <c r="AQ790" s="183">
        <f t="shared" ref="AQ790:AR790" si="2670">SUM(AQ782:AQ789)</f>
        <v>2644.46</v>
      </c>
      <c r="AR790" s="51">
        <f t="shared" si="2670"/>
        <v>19.46</v>
      </c>
      <c r="AS790" s="52"/>
      <c r="AT790" s="53"/>
      <c r="AU790" s="183">
        <f t="shared" ref="AU790:AV790" si="2671">SUM(AU782:AU789)</f>
        <v>0</v>
      </c>
      <c r="AV790" s="68">
        <f t="shared" si="2671"/>
        <v>0</v>
      </c>
      <c r="AW790" s="52"/>
      <c r="AX790" s="53"/>
      <c r="AY790" s="183">
        <f t="shared" ref="AY790:AZ790" si="2672">SUM(AY782:AY789)</f>
        <v>0</v>
      </c>
      <c r="AZ790" s="68">
        <f t="shared" si="2672"/>
        <v>19.46</v>
      </c>
      <c r="BA790" s="52"/>
      <c r="BB790" s="53"/>
      <c r="BC790" s="183">
        <f t="shared" ref="BC790:BD790" si="2673">SUM(BC782:BC789)</f>
        <v>0</v>
      </c>
      <c r="BD790" s="68">
        <f t="shared" si="2673"/>
        <v>0</v>
      </c>
      <c r="BE790" s="69"/>
      <c r="BF790" s="70">
        <f t="shared" ref="BF790:BH790" si="2674">SUM(BF782:BF789)</f>
        <v>7396.4</v>
      </c>
      <c r="BG790" s="71">
        <f t="shared" si="2674"/>
        <v>4771.4</v>
      </c>
      <c r="BH790" s="72">
        <f t="shared" si="2674"/>
        <v>2625</v>
      </c>
      <c r="BI790" s="34">
        <f>H790+BF790-BG790</f>
        <v>2625</v>
      </c>
      <c r="BJ790" s="34">
        <f>BH790-BI790</f>
        <v>0</v>
      </c>
    </row>
    <row r="791" ht="15.75" customHeight="1" hidden="1" spans="1:63" x14ac:dyDescent="0.25">
      <c r="A791" s="2">
        <v>80</v>
      </c>
      <c r="B791" s="14"/>
      <c r="D791" s="14" t="s">
        <v>379</v>
      </c>
      <c r="F791" s="13"/>
      <c r="G791" s="28"/>
      <c r="H791" s="34">
        <f>'2019'!BH656</f>
        <v>0</v>
      </c>
      <c r="J791" s="15"/>
      <c r="K791" s="15"/>
      <c r="L791" s="28"/>
      <c r="Q791" s="13"/>
      <c r="R791" s="15"/>
      <c r="S791" s="15"/>
      <c r="T791" s="28"/>
      <c r="Y791" s="13"/>
      <c r="Z791" s="15"/>
      <c r="AA791" s="15"/>
      <c r="AB791" s="28"/>
      <c r="AG791" s="13"/>
      <c r="AH791" s="15"/>
      <c r="AI791" s="45"/>
      <c r="AJ791" s="15"/>
      <c r="AK791" s="13"/>
      <c r="AM791" s="45"/>
      <c r="AO791" s="13"/>
      <c r="AQ791" s="45">
        <v>0.92</v>
      </c>
      <c r="AS791" s="13"/>
      <c r="AU791" s="45"/>
      <c r="AW791" s="13"/>
      <c r="AY791" s="45"/>
      <c r="AZ791" s="28"/>
      <c r="BA791" s="13"/>
      <c r="BB791" s="15"/>
      <c r="BC791" s="45"/>
      <c r="BD791" s="28"/>
      <c r="BE791" s="14"/>
      <c r="BF791" s="41">
        <f t="shared" ref="BF791:BG791" si="2675">K791+O791+S791+W791+AA791+AE791+AI791+AM791+AQ791+AU791+AY791+BC791</f>
        <v>0.92</v>
      </c>
      <c r="BG791" s="34">
        <f t="shared" si="2675"/>
        <v>0</v>
      </c>
      <c r="BH791" s="35">
        <f t="shared" ref="BH791:BH798" si="2676">H791+BF791-BG791</f>
        <v>0.92</v>
      </c>
      <c r="BK791" s="2" t="b">
        <f>H791='2019'!BH656</f>
        <v>1</v>
      </c>
    </row>
    <row r="792" ht="15.75" customHeight="1" hidden="1" spans="1:63" x14ac:dyDescent="0.25">
      <c r="A792" s="2">
        <v>80</v>
      </c>
      <c r="B792" s="14">
        <v>4.28</v>
      </c>
      <c r="C792" s="2" t="s">
        <v>298</v>
      </c>
      <c r="D792" s="14" t="s">
        <v>44</v>
      </c>
      <c r="E792" s="2" t="s">
        <v>45</v>
      </c>
      <c r="F792" s="41">
        <v>2.5</v>
      </c>
      <c r="G792" s="35">
        <v>2.6</v>
      </c>
      <c r="H792" s="34">
        <f>'2019'!BH657</f>
        <v>75.27</v>
      </c>
      <c r="I792" s="13">
        <v>988</v>
      </c>
      <c r="J792" s="15">
        <f>I792-'2019'!BA657</f>
        <v>0</v>
      </c>
      <c r="K792" s="34">
        <f>J792*$F$8</f>
        <v>0</v>
      </c>
      <c r="L792" s="28"/>
      <c r="M792" s="2">
        <v>988</v>
      </c>
      <c r="N792" s="15">
        <f>M792-I792</f>
        <v>0</v>
      </c>
      <c r="O792" s="34">
        <f>N792*$F$8</f>
        <v>0</v>
      </c>
      <c r="P792" s="39">
        <v>200</v>
      </c>
      <c r="Q792" s="13">
        <v>988</v>
      </c>
      <c r="R792" s="15">
        <f>Q792-M792</f>
        <v>0</v>
      </c>
      <c r="S792" s="34">
        <f>R792*$F$8</f>
        <v>0</v>
      </c>
      <c r="T792" s="28"/>
      <c r="U792" s="15">
        <v>988</v>
      </c>
      <c r="V792" s="15">
        <f t="shared" ref="V792:V793" si="2677">U792-Q792</f>
        <v>0</v>
      </c>
      <c r="W792" s="34">
        <f>V792*$F$8</f>
        <v>0</v>
      </c>
      <c r="X792" s="34"/>
      <c r="Y792" s="13">
        <v>1028</v>
      </c>
      <c r="Z792" s="15">
        <f t="shared" ref="Z792:Z793" si="2678">Y792-U792</f>
        <v>40</v>
      </c>
      <c r="AA792" s="34">
        <f>Z792*$F$8</f>
        <v>100</v>
      </c>
      <c r="AB792" s="35"/>
      <c r="AC792" s="15">
        <v>1074</v>
      </c>
      <c r="AD792" s="15">
        <f t="shared" ref="AD792:AD793" si="2679">AC792-Y792</f>
        <v>46</v>
      </c>
      <c r="AE792" s="34">
        <f>AD792*$F$8</f>
        <v>115</v>
      </c>
      <c r="AF792" s="34"/>
      <c r="AG792" s="13">
        <v>1176</v>
      </c>
      <c r="AH792" s="15">
        <f t="shared" ref="AH792:AH793" si="2680">AG792-AC792</f>
        <v>102</v>
      </c>
      <c r="AI792" s="45">
        <f>AH792*$G$8</f>
        <v>265.2</v>
      </c>
      <c r="AJ792" s="248">
        <v>100</v>
      </c>
      <c r="AK792" s="13">
        <v>1264</v>
      </c>
      <c r="AL792" s="15">
        <f t="shared" ref="AL792:AL793" si="2681">AK792-AG792</f>
        <v>88</v>
      </c>
      <c r="AM792" s="45">
        <f>AL792*$G$8</f>
        <v>228.8</v>
      </c>
      <c r="AN792" s="39">
        <v>500</v>
      </c>
      <c r="AO792" s="13">
        <v>1307</v>
      </c>
      <c r="AP792" s="15">
        <f t="shared" ref="AP792:AP793" si="2682">AO792-AK792</f>
        <v>43</v>
      </c>
      <c r="AQ792" s="45">
        <f>AP792*$G$8</f>
        <v>111.8</v>
      </c>
      <c r="AR792" s="15"/>
      <c r="AS792" s="13">
        <v>1312</v>
      </c>
      <c r="AT792" s="15">
        <f t="shared" ref="AT792:AT793" si="2683">AS792-AO792</f>
        <v>5</v>
      </c>
      <c r="AU792" s="45">
        <f t="shared" ref="AU792:AU793" si="2684">AT792*$G$8</f>
        <v>13</v>
      </c>
      <c r="AV792" s="15"/>
      <c r="AW792" s="13">
        <v>1312</v>
      </c>
      <c r="AX792" s="2">
        <f t="shared" ref="AX792:AX793" si="2685">AW792-AS792</f>
        <v>0</v>
      </c>
      <c r="AY792" s="45">
        <f>AX792*$G$8</f>
        <v>0</v>
      </c>
      <c r="AZ792" s="208"/>
      <c r="BA792" s="13">
        <v>1312</v>
      </c>
      <c r="BB792" s="15">
        <f t="shared" ref="BB792:BB793" si="2686">BA792-AW792</f>
        <v>0</v>
      </c>
      <c r="BC792" s="45">
        <f>BB792*$G$8</f>
        <v>0</v>
      </c>
      <c r="BD792" s="208"/>
      <c r="BE792" s="40">
        <f t="shared" ref="BE792:BG792" si="2687">J792+N792+R792+V792+Z792+AD792+AH792+AL792+AP792+AT792+AX792+BB792</f>
        <v>324</v>
      </c>
      <c r="BF792" s="41">
        <f t="shared" si="2687"/>
        <v>833.8</v>
      </c>
      <c r="BG792" s="34">
        <f t="shared" si="2687"/>
        <v>800</v>
      </c>
      <c r="BH792" s="35">
        <f t="shared" si="2676"/>
        <v>109.07</v>
      </c>
      <c r="BI792" s="34"/>
      <c r="BJ792" s="34"/>
      <c r="BK792" s="2" t="b">
        <f>H792='2019'!BH657</f>
        <v>1</v>
      </c>
    </row>
    <row r="793" ht="15.75" customHeight="1" hidden="1" spans="1:63" x14ac:dyDescent="0.25">
      <c r="A793" s="2">
        <v>80</v>
      </c>
      <c r="B793" s="14"/>
      <c r="C793" s="2" t="s">
        <v>215</v>
      </c>
      <c r="D793" s="14" t="s">
        <v>47</v>
      </c>
      <c r="E793" s="2" t="s">
        <v>48</v>
      </c>
      <c r="F793" s="13">
        <v>18.56</v>
      </c>
      <c r="G793" s="35">
        <v>19.46</v>
      </c>
      <c r="H793" s="34">
        <f>'2019'!BH658</f>
        <v>18.56</v>
      </c>
      <c r="I793" s="15">
        <v>21</v>
      </c>
      <c r="J793" s="15"/>
      <c r="K793" s="15"/>
      <c r="L793" s="28"/>
      <c r="M793" s="2">
        <v>21</v>
      </c>
      <c r="P793" s="39">
        <v>50</v>
      </c>
      <c r="Q793" s="13">
        <v>21</v>
      </c>
      <c r="R793" s="15"/>
      <c r="S793" s="15"/>
      <c r="T793" s="28"/>
      <c r="U793" s="2">
        <v>21</v>
      </c>
      <c r="V793" s="15">
        <f t="shared" si="2677"/>
        <v>0</v>
      </c>
      <c r="W793" s="34">
        <f>V793*$F$10</f>
        <v>0</v>
      </c>
      <c r="Y793" s="13">
        <v>26</v>
      </c>
      <c r="Z793" s="15">
        <f t="shared" si="2678"/>
        <v>5</v>
      </c>
      <c r="AA793" s="34">
        <f>Z793*$F$10</f>
        <v>92.8</v>
      </c>
      <c r="AB793" s="28"/>
      <c r="AC793" s="15">
        <v>27</v>
      </c>
      <c r="AD793" s="15">
        <f t="shared" si="2679"/>
        <v>1</v>
      </c>
      <c r="AE793" s="34">
        <f>AD793*$F$10</f>
        <v>18.56</v>
      </c>
      <c r="AG793" s="13">
        <v>33</v>
      </c>
      <c r="AH793" s="15">
        <f t="shared" si="2680"/>
        <v>6</v>
      </c>
      <c r="AI793" s="45">
        <f>AH793*$G$10</f>
        <v>116.76</v>
      </c>
      <c r="AJ793" s="259">
        <v>100</v>
      </c>
      <c r="AK793" s="13">
        <v>34</v>
      </c>
      <c r="AL793" s="15">
        <f t="shared" si="2681"/>
        <v>1</v>
      </c>
      <c r="AM793" s="45">
        <f>AL793*$G$10</f>
        <v>19.46</v>
      </c>
      <c r="AN793" s="15"/>
      <c r="AO793" s="13">
        <v>34</v>
      </c>
      <c r="AP793" s="15">
        <f t="shared" si="2682"/>
        <v>0</v>
      </c>
      <c r="AQ793" s="45">
        <f>AP793*$G$10</f>
        <v>0</v>
      </c>
      <c r="AR793" s="39">
        <v>192</v>
      </c>
      <c r="AS793" s="13">
        <v>34</v>
      </c>
      <c r="AT793" s="15">
        <f t="shared" si="2683"/>
        <v>0</v>
      </c>
      <c r="AU793" s="45">
        <f t="shared" si="2684"/>
        <v>0</v>
      </c>
      <c r="AV793" s="15"/>
      <c r="AW793" s="13">
        <v>34</v>
      </c>
      <c r="AX793" s="2">
        <f t="shared" si="2685"/>
        <v>0</v>
      </c>
      <c r="AY793" s="45"/>
      <c r="AZ793" s="208"/>
      <c r="BA793" s="13">
        <v>34</v>
      </c>
      <c r="BB793" s="15">
        <f t="shared" si="2686"/>
        <v>0</v>
      </c>
      <c r="BC793" s="45"/>
      <c r="BD793" s="208"/>
      <c r="BE793" s="40">
        <f t="shared" ref="BE793:BG793" si="2688">J793+N793+R793+V793+Z793+AD793+AH793+AL793+AP793+AT793+AX793+BB793</f>
        <v>13</v>
      </c>
      <c r="BF793" s="41">
        <f t="shared" si="2688"/>
        <v>247.58</v>
      </c>
      <c r="BG793" s="34">
        <f t="shared" si="2688"/>
        <v>342</v>
      </c>
      <c r="BH793" s="35">
        <f t="shared" si="2676"/>
        <v>-75.86</v>
      </c>
      <c r="BK793" s="2" t="b">
        <f>H793='2019'!BH658</f>
        <v>1</v>
      </c>
    </row>
    <row r="794" ht="15.75" customHeight="1" hidden="1" spans="1:63" x14ac:dyDescent="0.25">
      <c r="A794" s="2">
        <v>80</v>
      </c>
      <c r="B794" s="14"/>
      <c r="C794" s="2" t="s">
        <v>299</v>
      </c>
      <c r="D794" s="14" t="s">
        <v>47</v>
      </c>
      <c r="E794" s="2" t="s">
        <v>49</v>
      </c>
      <c r="F794" s="41">
        <v>500</v>
      </c>
      <c r="G794" s="28"/>
      <c r="H794" s="34">
        <f>'2019'!BH659</f>
        <v>0</v>
      </c>
      <c r="I794" s="15"/>
      <c r="J794" s="15"/>
      <c r="K794" s="15"/>
      <c r="L794" s="28"/>
      <c r="Q794" s="13"/>
      <c r="R794" s="15"/>
      <c r="S794" s="15"/>
      <c r="T794" s="28"/>
      <c r="Y794" s="13"/>
      <c r="Z794" s="15"/>
      <c r="AA794" s="15"/>
      <c r="AB794" s="28"/>
      <c r="AG794" s="13"/>
      <c r="AH794" s="15"/>
      <c r="AI794" s="45"/>
      <c r="AJ794" s="15"/>
      <c r="AK794" s="13"/>
      <c r="AL794" s="15"/>
      <c r="AM794" s="45"/>
      <c r="AN794" s="15"/>
      <c r="AO794" s="13"/>
      <c r="AP794" s="15"/>
      <c r="AQ794" s="45"/>
      <c r="AR794" s="1"/>
      <c r="AS794" s="13"/>
      <c r="AT794" s="15"/>
      <c r="AU794" s="45"/>
      <c r="AV794" s="15"/>
      <c r="AW794" s="13"/>
      <c r="AY794" s="45"/>
      <c r="AZ794" s="28"/>
      <c r="BA794" s="13"/>
      <c r="BB794" s="15"/>
      <c r="BC794" s="45"/>
      <c r="BD794" s="28"/>
      <c r="BE794" s="14"/>
      <c r="BF794" s="41">
        <f t="shared" ref="BF794:BG794" si="2689">K794+O794+S794+W794+AA794+AE794+AI794+AM794+AQ794+AU794+AY794+BC794</f>
        <v>0</v>
      </c>
      <c r="BG794" s="34">
        <f t="shared" si="2689"/>
        <v>0</v>
      </c>
      <c r="BH794" s="35">
        <f t="shared" si="2676"/>
        <v>0</v>
      </c>
      <c r="BK794" s="2" t="b">
        <f>H794='2019'!BH659</f>
        <v>1</v>
      </c>
    </row>
    <row r="795" ht="15.75" customHeight="1" hidden="1" spans="1:63" x14ac:dyDescent="0.25">
      <c r="A795" s="2">
        <v>80</v>
      </c>
      <c r="B795" s="14"/>
      <c r="C795" s="15" t="s">
        <v>440</v>
      </c>
      <c r="D795" s="14" t="s">
        <v>50</v>
      </c>
      <c r="E795" s="2" t="s">
        <v>49</v>
      </c>
      <c r="F795" s="41">
        <v>1100</v>
      </c>
      <c r="G795" s="28"/>
      <c r="H795" s="182">
        <f>'2019'!BH660+0.0036</f>
        <v>0</v>
      </c>
      <c r="I795" s="15"/>
      <c r="J795" s="15"/>
      <c r="K795" s="15"/>
      <c r="L795" s="28"/>
      <c r="Q795" s="13"/>
      <c r="R795" s="15"/>
      <c r="S795" s="15"/>
      <c r="T795" s="28"/>
      <c r="Y795" s="13"/>
      <c r="Z795" s="15"/>
      <c r="AA795" s="15"/>
      <c r="AB795" s="28"/>
      <c r="AE795" s="34">
        <f>B792*$F$12</f>
        <v>4708</v>
      </c>
      <c r="AF795" s="15"/>
      <c r="AG795" s="13"/>
      <c r="AH795" s="15"/>
      <c r="AI795" s="45"/>
      <c r="AJ795" s="248">
        <v>3000</v>
      </c>
      <c r="AK795" s="13"/>
      <c r="AL795" s="15"/>
      <c r="AM795" s="45"/>
      <c r="AN795" s="39">
        <v>1000</v>
      </c>
      <c r="AO795" s="13"/>
      <c r="AP795" s="15"/>
      <c r="AQ795" s="45"/>
      <c r="AR795" s="39">
        <v>708</v>
      </c>
      <c r="AS795" s="13"/>
      <c r="AT795" s="15"/>
      <c r="AU795" s="45"/>
      <c r="AV795" s="15"/>
      <c r="AW795" s="13"/>
      <c r="AY795" s="45"/>
      <c r="AZ795" s="28"/>
      <c r="BA795" s="13"/>
      <c r="BB795" s="15"/>
      <c r="BC795" s="45"/>
      <c r="BD795" s="28"/>
      <c r="BE795" s="14"/>
      <c r="BF795" s="41">
        <f t="shared" ref="BF795:BG795" si="2690">K795+O795+S795+W795+AA795+AE795+AI795+AM795+AQ795+AU795+AY795+BC795</f>
        <v>4708</v>
      </c>
      <c r="BG795" s="34">
        <f t="shared" si="2690"/>
        <v>4708</v>
      </c>
      <c r="BH795" s="35">
        <f t="shared" si="2676"/>
        <v>0</v>
      </c>
      <c r="BK795" s="2" t="b">
        <f>H795='2019'!BH660</f>
        <v>0</v>
      </c>
    </row>
    <row r="796" ht="15.75" customHeight="1" hidden="1" spans="1:63" x14ac:dyDescent="0.25">
      <c r="A796" s="2">
        <v>80</v>
      </c>
      <c r="B796" s="14"/>
      <c r="D796" s="14" t="s">
        <v>51</v>
      </c>
      <c r="E796" s="2" t="s">
        <v>39</v>
      </c>
      <c r="F796" s="41">
        <v>500</v>
      </c>
      <c r="G796" s="28"/>
      <c r="H796" s="34">
        <f>'2019'!BH661</f>
        <v>0</v>
      </c>
      <c r="I796" s="15"/>
      <c r="J796" s="15"/>
      <c r="K796" s="15"/>
      <c r="L796" s="28"/>
      <c r="Q796" s="13"/>
      <c r="R796" s="15"/>
      <c r="S796" s="15"/>
      <c r="T796" s="28"/>
      <c r="Y796" s="13"/>
      <c r="Z796" s="15"/>
      <c r="AA796" s="15"/>
      <c r="AB796" s="28"/>
      <c r="AE796" s="34"/>
      <c r="AG796" s="13"/>
      <c r="AH796" s="15"/>
      <c r="AI796" s="45"/>
      <c r="AJ796" s="180"/>
      <c r="AK796" s="13"/>
      <c r="AL796" s="15"/>
      <c r="AM796" s="45"/>
      <c r="AN796" s="15"/>
      <c r="AO796" s="13"/>
      <c r="AP796" s="15"/>
      <c r="AQ796" s="45">
        <f>$F$13</f>
        <v>500</v>
      </c>
      <c r="AR796" s="1"/>
      <c r="AS796" s="13"/>
      <c r="AT796" s="15"/>
      <c r="AU796" s="45"/>
      <c r="AV796" s="15"/>
      <c r="AW796" s="13"/>
      <c r="AY796" s="45"/>
      <c r="AZ796" s="28"/>
      <c r="BA796" s="13"/>
      <c r="BB796" s="15"/>
      <c r="BC796" s="45"/>
      <c r="BD796" s="28"/>
      <c r="BE796" s="14"/>
      <c r="BF796" s="41">
        <f t="shared" ref="BF796:BG796" si="2691">K796+O796+S796+W796+AA796+AE796+AI796+AM796+AQ796+AU796+AY796+BC796</f>
        <v>500</v>
      </c>
      <c r="BG796" s="34">
        <f t="shared" si="2691"/>
        <v>0</v>
      </c>
      <c r="BH796" s="35">
        <f t="shared" si="2676"/>
        <v>500</v>
      </c>
      <c r="BK796" s="2" t="b">
        <f>H796='2019'!BH661</f>
        <v>1</v>
      </c>
    </row>
    <row r="797" ht="15.75" customHeight="1" hidden="1" spans="1:60" x14ac:dyDescent="0.25">
      <c r="A797" s="2">
        <v>80</v>
      </c>
      <c r="B797" s="14"/>
      <c r="D797" s="14" t="s">
        <v>51</v>
      </c>
      <c r="E797" s="2" t="s">
        <v>49</v>
      </c>
      <c r="F797" s="41">
        <v>500</v>
      </c>
      <c r="G797" s="28"/>
      <c r="H797" s="34"/>
      <c r="I797" s="15"/>
      <c r="J797" s="15"/>
      <c r="K797" s="15"/>
      <c r="L797" s="28"/>
      <c r="Q797" s="13"/>
      <c r="R797" s="15"/>
      <c r="S797" s="15"/>
      <c r="T797" s="28"/>
      <c r="Y797" s="13"/>
      <c r="Z797" s="15"/>
      <c r="AA797" s="15"/>
      <c r="AB797" s="28"/>
      <c r="AE797" s="34"/>
      <c r="AG797" s="13"/>
      <c r="AH797" s="15"/>
      <c r="AI797" s="45"/>
      <c r="AJ797" s="180"/>
      <c r="AK797" s="13"/>
      <c r="AL797" s="15"/>
      <c r="AM797" s="45"/>
      <c r="AN797" s="15"/>
      <c r="AO797" s="13"/>
      <c r="AP797" s="15"/>
      <c r="AQ797" s="34">
        <f>B792*$F$14</f>
        <v>2140</v>
      </c>
      <c r="AR797" s="1"/>
      <c r="AS797" s="13"/>
      <c r="AT797" s="15"/>
      <c r="AU797" s="45"/>
      <c r="AV797" s="15"/>
      <c r="AW797" s="13"/>
      <c r="AY797" s="45"/>
      <c r="AZ797" s="28"/>
      <c r="BA797" s="13"/>
      <c r="BB797" s="15"/>
      <c r="BC797" s="45"/>
      <c r="BD797" s="28"/>
      <c r="BE797" s="14"/>
      <c r="BF797" s="41">
        <f t="shared" ref="BF797:BG797" si="2692">K797+O797+S797+W797+AA797+AE797+AI797+AM797+AQ797+AU797+AY797+BC797</f>
        <v>2140</v>
      </c>
      <c r="BG797" s="34">
        <f t="shared" si="2692"/>
        <v>0</v>
      </c>
      <c r="BH797" s="35">
        <f t="shared" si="2676"/>
        <v>2140</v>
      </c>
    </row>
    <row r="798" ht="15.75" customHeight="1" hidden="1" spans="1:63" x14ac:dyDescent="0.25">
      <c r="A798" s="2">
        <v>80</v>
      </c>
      <c r="B798" s="14"/>
      <c r="D798" s="14" t="s">
        <v>52</v>
      </c>
      <c r="E798" s="2" t="s">
        <v>39</v>
      </c>
      <c r="F798" s="41">
        <v>500</v>
      </c>
      <c r="G798" s="28"/>
      <c r="H798" s="34">
        <f>'2019'!BH662</f>
        <v>0</v>
      </c>
      <c r="I798" s="15"/>
      <c r="J798" s="15"/>
      <c r="K798" s="15"/>
      <c r="L798" s="28"/>
      <c r="Q798" s="13"/>
      <c r="R798" s="15"/>
      <c r="S798" s="15"/>
      <c r="T798" s="28"/>
      <c r="Y798" s="13"/>
      <c r="Z798" s="15"/>
      <c r="AA798" s="34">
        <f>$F$11</f>
        <v>500</v>
      </c>
      <c r="AB798" s="28"/>
      <c r="AG798" s="13"/>
      <c r="AH798" s="15"/>
      <c r="AI798" s="45"/>
      <c r="AJ798" s="15"/>
      <c r="AK798" s="13"/>
      <c r="AL798" s="15"/>
      <c r="AM798" s="45"/>
      <c r="AN798" s="15"/>
      <c r="AO798" s="13"/>
      <c r="AP798" s="15"/>
      <c r="AQ798" s="45"/>
      <c r="AR798" s="39">
        <v>500</v>
      </c>
      <c r="AS798" s="13"/>
      <c r="AT798" s="15"/>
      <c r="AU798" s="45"/>
      <c r="AV798" s="15"/>
      <c r="AW798" s="13"/>
      <c r="AY798" s="45"/>
      <c r="AZ798" s="35"/>
      <c r="BA798" s="13"/>
      <c r="BB798" s="15"/>
      <c r="BC798" s="45"/>
      <c r="BD798" s="35"/>
      <c r="BE798" s="14"/>
      <c r="BF798" s="41">
        <f t="shared" ref="BF798:BG798" si="2693">K798+O798+S798+W798+AA798+AE798+AI798+AM798+AQ798+AU798+AY798+BC798</f>
        <v>500</v>
      </c>
      <c r="BG798" s="34">
        <f t="shared" si="2693"/>
        <v>500</v>
      </c>
      <c r="BH798" s="35">
        <f t="shared" si="2676"/>
        <v>0</v>
      </c>
      <c r="BK798" s="2" t="b">
        <f>H798='2019'!BH662</f>
        <v>1</v>
      </c>
    </row>
    <row r="799" ht="15.75" customHeight="1" hidden="1" spans="1:63" x14ac:dyDescent="0.25">
      <c r="A799" s="247">
        <v>80</v>
      </c>
      <c r="B799" s="21"/>
      <c r="C799" s="22" t="s">
        <v>53</v>
      </c>
      <c r="D799" s="21"/>
      <c r="E799" s="22"/>
      <c r="F799" s="20"/>
      <c r="G799" s="23"/>
      <c r="H799" s="51">
        <f>SUM(H791:H798)</f>
        <v>93.83</v>
      </c>
      <c r="I799" s="53"/>
      <c r="J799" s="53"/>
      <c r="K799" s="51">
        <f t="shared" ref="K799:L799" si="2694">SUM(K791:K798)</f>
        <v>0</v>
      </c>
      <c r="L799" s="68">
        <f t="shared" si="2694"/>
        <v>0</v>
      </c>
      <c r="M799" s="53"/>
      <c r="N799" s="53"/>
      <c r="O799" s="51">
        <f t="shared" ref="O799:P799" si="2695">SUM(O791:O798)</f>
        <v>0</v>
      </c>
      <c r="P799" s="51">
        <f t="shared" si="2695"/>
        <v>250</v>
      </c>
      <c r="Q799" s="52"/>
      <c r="R799" s="53"/>
      <c r="S799" s="51">
        <f t="shared" ref="S799:T799" si="2696">SUM(S791:S798)</f>
        <v>0</v>
      </c>
      <c r="T799" s="51">
        <f t="shared" si="2696"/>
        <v>0</v>
      </c>
      <c r="U799" s="52"/>
      <c r="V799" s="53"/>
      <c r="W799" s="51">
        <f t="shared" ref="W799:X799" si="2697">SUM(W791:W798)</f>
        <v>0</v>
      </c>
      <c r="X799" s="51">
        <f t="shared" si="2697"/>
        <v>0</v>
      </c>
      <c r="Y799" s="52"/>
      <c r="Z799" s="53"/>
      <c r="AA799" s="51">
        <f t="shared" ref="AA799:AB799" si="2698">SUM(AA791:AA798)</f>
        <v>692.8</v>
      </c>
      <c r="AB799" s="51">
        <f t="shared" si="2698"/>
        <v>0</v>
      </c>
      <c r="AC799" s="52"/>
      <c r="AD799" s="53"/>
      <c r="AE799" s="51">
        <f t="shared" ref="AE799:AF799" si="2699">SUM(AE791:AE798)</f>
        <v>4841.56</v>
      </c>
      <c r="AF799" s="51">
        <f t="shared" si="2699"/>
        <v>0</v>
      </c>
      <c r="AG799" s="52"/>
      <c r="AH799" s="53"/>
      <c r="AI799" s="183">
        <f t="shared" ref="AI799:AJ799" si="2700">SUM(AI791:AI798)</f>
        <v>381.96</v>
      </c>
      <c r="AJ799" s="51">
        <f t="shared" si="2700"/>
        <v>3200</v>
      </c>
      <c r="AK799" s="52"/>
      <c r="AL799" s="53"/>
      <c r="AM799" s="183">
        <f t="shared" ref="AM799:AN799" si="2701">SUM(AM791:AM798)</f>
        <v>248.26</v>
      </c>
      <c r="AN799" s="51">
        <f t="shared" si="2701"/>
        <v>1500</v>
      </c>
      <c r="AO799" s="52"/>
      <c r="AP799" s="53"/>
      <c r="AQ799" s="183">
        <f t="shared" ref="AQ799:AR799" si="2702">SUM(AQ791:AQ798)</f>
        <v>2752.72</v>
      </c>
      <c r="AR799" s="51">
        <f t="shared" si="2702"/>
        <v>1400</v>
      </c>
      <c r="AS799" s="52"/>
      <c r="AT799" s="53"/>
      <c r="AU799" s="183">
        <f t="shared" ref="AU799:AV799" si="2703">SUM(AU791:AU798)</f>
        <v>13</v>
      </c>
      <c r="AV799" s="68">
        <f t="shared" si="2703"/>
        <v>0</v>
      </c>
      <c r="AW799" s="52"/>
      <c r="AX799" s="53"/>
      <c r="AY799" s="183">
        <f t="shared" ref="AY799:AZ799" si="2704">SUM(AY791:AY798)</f>
        <v>0</v>
      </c>
      <c r="AZ799" s="68">
        <f t="shared" si="2704"/>
        <v>0</v>
      </c>
      <c r="BA799" s="52"/>
      <c r="BB799" s="53"/>
      <c r="BC799" s="183">
        <f t="shared" ref="BC799:BD799" si="2705">SUM(BC791:BC798)</f>
        <v>0</v>
      </c>
      <c r="BD799" s="68">
        <f t="shared" si="2705"/>
        <v>0</v>
      </c>
      <c r="BE799" s="69"/>
      <c r="BF799" s="70">
        <f t="shared" ref="BF799:BH799" si="2706">SUM(BF791:BF798)</f>
        <v>8930.3</v>
      </c>
      <c r="BG799" s="71">
        <f t="shared" si="2706"/>
        <v>6350</v>
      </c>
      <c r="BH799" s="72">
        <f t="shared" si="2706"/>
        <v>2674.13</v>
      </c>
      <c r="BI799" s="34">
        <f>H799+BF799-BG799</f>
        <v>2674.13</v>
      </c>
      <c r="BJ799" s="34">
        <f>BH799-BI799</f>
        <v>0</v>
      </c>
      <c r="BK799" s="2" t="b">
        <f>H799='2019'!BH663</f>
        <v>0</v>
      </c>
    </row>
    <row r="800" ht="15.75" customHeight="1" hidden="1" spans="1:63" x14ac:dyDescent="0.25">
      <c r="A800" s="2">
        <v>82</v>
      </c>
      <c r="B800" s="14"/>
      <c r="D800" s="14" t="s">
        <v>379</v>
      </c>
      <c r="F800" s="13"/>
      <c r="G800" s="28"/>
      <c r="H800" s="34">
        <f>'2019'!BH664</f>
        <v>0</v>
      </c>
      <c r="J800" s="15"/>
      <c r="K800" s="15"/>
      <c r="L800" s="28"/>
      <c r="Q800" s="13"/>
      <c r="R800" s="15"/>
      <c r="S800" s="15"/>
      <c r="T800" s="28"/>
      <c r="Y800" s="13"/>
      <c r="Z800" s="15"/>
      <c r="AA800" s="15"/>
      <c r="AB800" s="28"/>
      <c r="AG800" s="13"/>
      <c r="AH800" s="15"/>
      <c r="AI800" s="45"/>
      <c r="AJ800" s="15"/>
      <c r="AK800" s="13"/>
      <c r="AM800" s="45"/>
      <c r="AO800" s="13"/>
      <c r="AQ800" s="45">
        <v>0.92</v>
      </c>
      <c r="AS800" s="13"/>
      <c r="AU800" s="45"/>
      <c r="AW800" s="13"/>
      <c r="AY800" s="45"/>
      <c r="AZ800" s="28"/>
      <c r="BA800" s="13"/>
      <c r="BB800" s="15"/>
      <c r="BC800" s="45"/>
      <c r="BD800" s="28"/>
      <c r="BE800" s="14"/>
      <c r="BF800" s="41">
        <f t="shared" ref="BF800:BG800" si="2707">K800+O800+S800+W800+AA800+AE800+AI800+AM800+AQ800+AU800+AY800+BC800</f>
        <v>0.92</v>
      </c>
      <c r="BG800" s="34">
        <f t="shared" si="2707"/>
        <v>0</v>
      </c>
      <c r="BH800" s="35">
        <f t="shared" ref="BH800:BH807" si="2708">H800+BF800-BG800</f>
        <v>0.92</v>
      </c>
      <c r="BK800" s="2" t="b">
        <f>H800='2019'!BH664</f>
        <v>1</v>
      </c>
    </row>
    <row r="801" ht="15.75" customHeight="1" hidden="1" spans="1:63" x14ac:dyDescent="0.25">
      <c r="A801" s="89">
        <v>82</v>
      </c>
      <c r="B801" s="14">
        <v>4.28</v>
      </c>
      <c r="C801" s="2" t="s">
        <v>300</v>
      </c>
      <c r="D801" s="14" t="s">
        <v>44</v>
      </c>
      <c r="E801" s="2" t="s">
        <v>45</v>
      </c>
      <c r="F801" s="41">
        <v>2.5</v>
      </c>
      <c r="G801" s="35">
        <v>2.6</v>
      </c>
      <c r="H801" s="104">
        <f>'2019'!BH665</f>
        <v>0</v>
      </c>
      <c r="I801" s="15"/>
      <c r="J801" s="15"/>
      <c r="K801" s="34">
        <f>J801*$F$8</f>
        <v>0</v>
      </c>
      <c r="L801" s="28"/>
      <c r="N801" s="15"/>
      <c r="O801" s="34">
        <f>N801*$F$8</f>
        <v>0</v>
      </c>
      <c r="Q801" s="13"/>
      <c r="R801" s="15">
        <f>Q801-M801</f>
        <v>0</v>
      </c>
      <c r="S801" s="34">
        <f>R801*$F$8</f>
        <v>0</v>
      </c>
      <c r="T801" s="28"/>
      <c r="V801" s="15">
        <f t="shared" ref="V801:V802" si="2709">U801-Q801</f>
        <v>0</v>
      </c>
      <c r="W801" s="34">
        <f>V801*$F$8</f>
        <v>0</v>
      </c>
      <c r="Y801" s="13"/>
      <c r="Z801" s="15">
        <f t="shared" ref="Z801:Z802" si="2710">Y801-U801</f>
        <v>0</v>
      </c>
      <c r="AA801" s="34">
        <f>Z801*$F$8</f>
        <v>0</v>
      </c>
      <c r="AB801" s="28"/>
      <c r="AC801" s="15"/>
      <c r="AD801" s="15">
        <f t="shared" ref="AD801:AD802" si="2711">AC801-Y801</f>
        <v>0</v>
      </c>
      <c r="AE801" s="34">
        <f>AD801*$F$8</f>
        <v>0</v>
      </c>
      <c r="AG801" s="13"/>
      <c r="AH801" s="15">
        <f t="shared" ref="AH801:AH802" si="2712">AG801-AC801</f>
        <v>0</v>
      </c>
      <c r="AI801" s="45">
        <f>AH801*$G$8</f>
        <v>0</v>
      </c>
      <c r="AJ801" s="15"/>
      <c r="AK801" s="13">
        <v>0</v>
      </c>
      <c r="AL801" s="15">
        <f t="shared" ref="AL801:AL802" si="2713">AK801-AG801</f>
        <v>0</v>
      </c>
      <c r="AM801" s="45">
        <f>AL801*$G$8</f>
        <v>0</v>
      </c>
      <c r="AN801" s="15"/>
      <c r="AO801" s="13">
        <v>0</v>
      </c>
      <c r="AP801" s="15">
        <f t="shared" ref="AP801:AP802" si="2714">AO801-AK801</f>
        <v>0</v>
      </c>
      <c r="AQ801" s="45">
        <f>AP801*$G$8</f>
        <v>0</v>
      </c>
      <c r="AR801" s="15"/>
      <c r="AS801" s="13">
        <v>0</v>
      </c>
      <c r="AT801" s="15">
        <f t="shared" ref="AT801:AT802" si="2715">AS801-AO801</f>
        <v>0</v>
      </c>
      <c r="AU801" s="45">
        <f t="shared" ref="AU801:AU802" si="2716">AT801*$G$8</f>
        <v>0</v>
      </c>
      <c r="AV801" s="15"/>
      <c r="AW801" s="13">
        <v>0</v>
      </c>
      <c r="AX801" s="2">
        <f t="shared" ref="AX801:AX802" si="2717">AW801-AS801</f>
        <v>0</v>
      </c>
      <c r="AY801" s="45">
        <f>AX801*$G$8</f>
        <v>0</v>
      </c>
      <c r="AZ801" s="208"/>
      <c r="BA801" s="13">
        <v>0</v>
      </c>
      <c r="BB801" s="15">
        <f t="shared" ref="BB801:BB802" si="2718">BA801-AW801</f>
        <v>0</v>
      </c>
      <c r="BC801" s="45">
        <f>BB801*$G$8</f>
        <v>0</v>
      </c>
      <c r="BD801" s="208"/>
      <c r="BE801" s="40">
        <f t="shared" ref="BE801:BG801" si="2719">J801+N801+R801+V801+Z801+AD801+AH801+AL801+AP801+AT801+AX801+BB801</f>
        <v>0</v>
      </c>
      <c r="BF801" s="41">
        <f t="shared" si="2719"/>
        <v>0</v>
      </c>
      <c r="BG801" s="34">
        <f t="shared" si="2719"/>
        <v>0</v>
      </c>
      <c r="BH801" s="35">
        <f t="shared" si="2708"/>
        <v>0</v>
      </c>
      <c r="BK801" s="2" t="b">
        <f>H801='2019'!BH665</f>
        <v>1</v>
      </c>
    </row>
    <row r="802" ht="15.75" customHeight="1" hidden="1" spans="1:63" x14ac:dyDescent="0.25">
      <c r="A802" s="89">
        <v>82</v>
      </c>
      <c r="B802" s="14"/>
      <c r="C802" s="2" t="s">
        <v>87</v>
      </c>
      <c r="D802" s="14" t="s">
        <v>47</v>
      </c>
      <c r="E802" s="2" t="s">
        <v>48</v>
      </c>
      <c r="F802" s="13">
        <v>18.56</v>
      </c>
      <c r="G802" s="35">
        <v>19.46</v>
      </c>
      <c r="H802" s="34">
        <f>'2019'!BH666</f>
        <v>-0.83</v>
      </c>
      <c r="I802" s="15">
        <v>52</v>
      </c>
      <c r="J802" s="15"/>
      <c r="K802" s="15"/>
      <c r="L802" s="28"/>
      <c r="M802" s="2">
        <v>52</v>
      </c>
      <c r="Q802" s="13">
        <v>52</v>
      </c>
      <c r="R802" s="15"/>
      <c r="S802" s="15"/>
      <c r="T802" s="28"/>
      <c r="U802" s="2">
        <v>52</v>
      </c>
      <c r="V802" s="15">
        <f t="shared" si="2709"/>
        <v>0</v>
      </c>
      <c r="W802" s="34">
        <f>V802*$F$10</f>
        <v>0</v>
      </c>
      <c r="Y802" s="13">
        <v>53</v>
      </c>
      <c r="Z802" s="15">
        <f t="shared" si="2710"/>
        <v>1</v>
      </c>
      <c r="AA802" s="34">
        <f>Z802*$F$10</f>
        <v>18.56</v>
      </c>
      <c r="AB802" s="28"/>
      <c r="AC802" s="15">
        <v>55</v>
      </c>
      <c r="AD802" s="15">
        <f t="shared" si="2711"/>
        <v>2</v>
      </c>
      <c r="AE802" s="34">
        <f>AD802*$F$10</f>
        <v>37.12</v>
      </c>
      <c r="AG802" s="13">
        <v>59</v>
      </c>
      <c r="AH802" s="15">
        <f t="shared" si="2712"/>
        <v>4</v>
      </c>
      <c r="AI802" s="45">
        <f>AH802*$G$10</f>
        <v>77.84</v>
      </c>
      <c r="AJ802" s="248">
        <v>100</v>
      </c>
      <c r="AK802" s="13">
        <v>60</v>
      </c>
      <c r="AL802" s="15">
        <f t="shared" si="2713"/>
        <v>1</v>
      </c>
      <c r="AM802" s="45">
        <f>AL802*$G$10</f>
        <v>19.46</v>
      </c>
      <c r="AN802" s="15"/>
      <c r="AO802" s="13">
        <v>61</v>
      </c>
      <c r="AP802" s="15">
        <f t="shared" si="2714"/>
        <v>1</v>
      </c>
      <c r="AQ802" s="45">
        <f>AP802*$G$10</f>
        <v>19.46</v>
      </c>
      <c r="AR802" s="39">
        <v>92</v>
      </c>
      <c r="AS802" s="13">
        <v>61</v>
      </c>
      <c r="AT802" s="15">
        <f t="shared" si="2715"/>
        <v>0</v>
      </c>
      <c r="AU802" s="45">
        <f t="shared" si="2716"/>
        <v>0</v>
      </c>
      <c r="AV802" s="15"/>
      <c r="AW802" s="13">
        <v>61</v>
      </c>
      <c r="AX802" s="2">
        <f t="shared" si="2717"/>
        <v>0</v>
      </c>
      <c r="AY802" s="45"/>
      <c r="AZ802" s="208"/>
      <c r="BA802" s="13">
        <v>61</v>
      </c>
      <c r="BB802" s="15">
        <f t="shared" si="2718"/>
        <v>0</v>
      </c>
      <c r="BC802" s="45"/>
      <c r="BD802" s="208"/>
      <c r="BE802" s="40">
        <f t="shared" ref="BE802:BG802" si="2720">J802+N802+R802+V802+Z802+AD802+AH802+AL802+AP802+AT802+AX802+BB802</f>
        <v>9</v>
      </c>
      <c r="BF802" s="41">
        <f t="shared" si="2720"/>
        <v>172.44</v>
      </c>
      <c r="BG802" s="34">
        <f t="shared" si="2720"/>
        <v>192</v>
      </c>
      <c r="BH802" s="35">
        <f t="shared" si="2708"/>
        <v>-20.39</v>
      </c>
      <c r="BK802" s="2" t="b">
        <f>H802='2019'!BH666</f>
        <v>1</v>
      </c>
    </row>
    <row r="803" ht="15.75" customHeight="1" hidden="1" spans="1:63" x14ac:dyDescent="0.25">
      <c r="A803" s="89">
        <v>82</v>
      </c>
      <c r="B803" s="14"/>
      <c r="C803" s="15" t="s">
        <v>68</v>
      </c>
      <c r="D803" s="14" t="s">
        <v>47</v>
      </c>
      <c r="E803" s="2" t="s">
        <v>49</v>
      </c>
      <c r="F803" s="41">
        <v>500</v>
      </c>
      <c r="G803" s="28"/>
      <c r="H803" s="34">
        <f>'2019'!BH667</f>
        <v>0</v>
      </c>
      <c r="I803" s="15"/>
      <c r="J803" s="15"/>
      <c r="K803" s="15"/>
      <c r="L803" s="28"/>
      <c r="Q803" s="13"/>
      <c r="R803" s="15"/>
      <c r="S803" s="15"/>
      <c r="T803" s="28"/>
      <c r="Y803" s="13"/>
      <c r="Z803" s="15"/>
      <c r="AA803" s="15"/>
      <c r="AB803" s="28"/>
      <c r="AG803" s="13"/>
      <c r="AH803" s="15"/>
      <c r="AI803" s="45"/>
      <c r="AJ803" s="15"/>
      <c r="AK803" s="13"/>
      <c r="AL803" s="15"/>
      <c r="AM803" s="45"/>
      <c r="AN803" s="15"/>
      <c r="AO803" s="13"/>
      <c r="AP803" s="15"/>
      <c r="AQ803" s="45"/>
      <c r="AR803" s="15"/>
      <c r="AS803" s="13"/>
      <c r="AT803" s="15"/>
      <c r="AU803" s="45"/>
      <c r="AV803" s="15"/>
      <c r="AW803" s="13"/>
      <c r="AY803" s="45"/>
      <c r="AZ803" s="28"/>
      <c r="BA803" s="13"/>
      <c r="BB803" s="15"/>
      <c r="BC803" s="45"/>
      <c r="BD803" s="28"/>
      <c r="BE803" s="14"/>
      <c r="BF803" s="41">
        <f t="shared" ref="BF803:BG803" si="2721">K803+O803+S803+W803+AA803+AE803+AI803+AM803+AQ803+AU803+AY803+BC803</f>
        <v>0</v>
      </c>
      <c r="BG803" s="34">
        <f t="shared" si="2721"/>
        <v>0</v>
      </c>
      <c r="BH803" s="35">
        <f t="shared" si="2708"/>
        <v>0</v>
      </c>
      <c r="BK803" s="2" t="b">
        <f>H803='2019'!BH667</f>
        <v>1</v>
      </c>
    </row>
    <row r="804" ht="15.75" customHeight="1" hidden="1" spans="1:63" x14ac:dyDescent="0.25">
      <c r="A804" s="89">
        <v>82</v>
      </c>
      <c r="B804" s="14"/>
      <c r="C804" s="2" t="s">
        <v>441</v>
      </c>
      <c r="D804" s="14" t="s">
        <v>50</v>
      </c>
      <c r="E804" s="2" t="s">
        <v>49</v>
      </c>
      <c r="F804" s="41">
        <v>1100</v>
      </c>
      <c r="G804" s="28"/>
      <c r="H804" s="182">
        <f>'2019'!BH668+0.0036</f>
        <v>0</v>
      </c>
      <c r="I804" s="15"/>
      <c r="J804" s="15"/>
      <c r="K804" s="15"/>
      <c r="L804" s="28"/>
      <c r="Q804" s="13"/>
      <c r="R804" s="15"/>
      <c r="S804" s="15"/>
      <c r="T804" s="28"/>
      <c r="Y804" s="13"/>
      <c r="Z804" s="15"/>
      <c r="AA804" s="15"/>
      <c r="AB804" s="28"/>
      <c r="AE804" s="34">
        <f>B801*$F$12</f>
        <v>4708</v>
      </c>
      <c r="AF804" s="15"/>
      <c r="AG804" s="13"/>
      <c r="AH804" s="15"/>
      <c r="AI804" s="45"/>
      <c r="AJ804" s="181">
        <v>3000</v>
      </c>
      <c r="AK804" s="13"/>
      <c r="AL804" s="15"/>
      <c r="AM804" s="45"/>
      <c r="AN804" s="39">
        <v>1000</v>
      </c>
      <c r="AO804" s="13"/>
      <c r="AP804" s="15"/>
      <c r="AQ804" s="45"/>
      <c r="AR804" s="39">
        <v>708</v>
      </c>
      <c r="AS804" s="13"/>
      <c r="AT804" s="15"/>
      <c r="AU804" s="45"/>
      <c r="AV804" s="15"/>
      <c r="AW804" s="13"/>
      <c r="AY804" s="45"/>
      <c r="AZ804" s="28"/>
      <c r="BA804" s="13"/>
      <c r="BB804" s="15"/>
      <c r="BC804" s="45"/>
      <c r="BD804" s="28"/>
      <c r="BE804" s="14"/>
      <c r="BF804" s="41">
        <f t="shared" ref="BF804:BG804" si="2722">K804+O804+S804+W804+AA804+AE804+AI804+AM804+AQ804+AU804+AY804+BC804</f>
        <v>4708</v>
      </c>
      <c r="BG804" s="34">
        <f t="shared" si="2722"/>
        <v>4708</v>
      </c>
      <c r="BH804" s="35">
        <f t="shared" si="2708"/>
        <v>0</v>
      </c>
      <c r="BK804" s="2" t="b">
        <f>H804='2019'!BH668</f>
        <v>0</v>
      </c>
    </row>
    <row r="805" ht="15.75" customHeight="1" hidden="1" spans="1:63" x14ac:dyDescent="0.25">
      <c r="A805" s="89">
        <v>82</v>
      </c>
      <c r="B805" s="14"/>
      <c r="D805" s="14" t="s">
        <v>51</v>
      </c>
      <c r="E805" s="2" t="s">
        <v>39</v>
      </c>
      <c r="F805" s="41">
        <v>500</v>
      </c>
      <c r="G805" s="28"/>
      <c r="H805" s="34">
        <f>'2019'!BH669</f>
        <v>0</v>
      </c>
      <c r="I805" s="15"/>
      <c r="J805" s="15"/>
      <c r="K805" s="15"/>
      <c r="L805" s="28"/>
      <c r="Q805" s="13"/>
      <c r="R805" s="15"/>
      <c r="S805" s="15"/>
      <c r="T805" s="28"/>
      <c r="Y805" s="13"/>
      <c r="Z805" s="15"/>
      <c r="AA805" s="15"/>
      <c r="AB805" s="28"/>
      <c r="AE805" s="34"/>
      <c r="AG805" s="13"/>
      <c r="AH805" s="15"/>
      <c r="AI805" s="45"/>
      <c r="AJ805" s="180"/>
      <c r="AK805" s="13"/>
      <c r="AL805" s="15"/>
      <c r="AM805" s="45"/>
      <c r="AN805" s="15"/>
      <c r="AO805" s="13"/>
      <c r="AP805" s="15"/>
      <c r="AQ805" s="45">
        <f>$F$13</f>
        <v>500</v>
      </c>
      <c r="AR805" s="1"/>
      <c r="AS805" s="13"/>
      <c r="AT805" s="15"/>
      <c r="AU805" s="45"/>
      <c r="AV805" s="15"/>
      <c r="AW805" s="13"/>
      <c r="AY805" s="45"/>
      <c r="AZ805" s="28"/>
      <c r="BA805" s="13"/>
      <c r="BB805" s="15"/>
      <c r="BC805" s="45"/>
      <c r="BD805" s="28"/>
      <c r="BE805" s="14"/>
      <c r="BF805" s="41">
        <f t="shared" ref="BF805:BG805" si="2723">K805+O805+S805+W805+AA805+AE805+AI805+AM805+AQ805+AU805+AY805+BC805</f>
        <v>500</v>
      </c>
      <c r="BG805" s="34">
        <f t="shared" si="2723"/>
        <v>0</v>
      </c>
      <c r="BH805" s="35">
        <f t="shared" si="2708"/>
        <v>500</v>
      </c>
      <c r="BK805" s="2" t="b">
        <f>H805='2019'!BH669</f>
        <v>1</v>
      </c>
    </row>
    <row r="806" ht="15.75" customHeight="1" hidden="1" spans="1:60" x14ac:dyDescent="0.25">
      <c r="A806" s="89">
        <v>82</v>
      </c>
      <c r="B806" s="14"/>
      <c r="D806" s="14" t="s">
        <v>51</v>
      </c>
      <c r="E806" s="2" t="s">
        <v>49</v>
      </c>
      <c r="F806" s="41">
        <v>500</v>
      </c>
      <c r="G806" s="28"/>
      <c r="H806" s="34"/>
      <c r="I806" s="15"/>
      <c r="J806" s="15"/>
      <c r="K806" s="15"/>
      <c r="L806" s="28"/>
      <c r="Q806" s="13"/>
      <c r="R806" s="15"/>
      <c r="S806" s="15"/>
      <c r="T806" s="28"/>
      <c r="Y806" s="13"/>
      <c r="Z806" s="15"/>
      <c r="AA806" s="15"/>
      <c r="AB806" s="28"/>
      <c r="AE806" s="34"/>
      <c r="AG806" s="13"/>
      <c r="AH806" s="15"/>
      <c r="AI806" s="45"/>
      <c r="AJ806" s="180"/>
      <c r="AK806" s="13"/>
      <c r="AL806" s="15"/>
      <c r="AM806" s="45"/>
      <c r="AN806" s="15"/>
      <c r="AO806" s="13"/>
      <c r="AP806" s="15"/>
      <c r="AQ806" s="34">
        <f>B801*$F$14</f>
        <v>2140</v>
      </c>
      <c r="AR806" s="1"/>
      <c r="AS806" s="13"/>
      <c r="AT806" s="15"/>
      <c r="AU806" s="45"/>
      <c r="AV806" s="15"/>
      <c r="AW806" s="13"/>
      <c r="AY806" s="45"/>
      <c r="AZ806" s="28"/>
      <c r="BA806" s="13"/>
      <c r="BB806" s="15"/>
      <c r="BC806" s="45"/>
      <c r="BD806" s="28"/>
      <c r="BE806" s="14"/>
      <c r="BF806" s="41">
        <f t="shared" ref="BF806:BG806" si="2724">K806+O806+S806+W806+AA806+AE806+AI806+AM806+AQ806+AU806+AY806+BC806</f>
        <v>2140</v>
      </c>
      <c r="BG806" s="34">
        <f t="shared" si="2724"/>
        <v>0</v>
      </c>
      <c r="BH806" s="35">
        <f t="shared" si="2708"/>
        <v>2140</v>
      </c>
    </row>
    <row r="807" ht="15.75" customHeight="1" hidden="1" spans="1:63" x14ac:dyDescent="0.25">
      <c r="A807" s="89">
        <v>82</v>
      </c>
      <c r="B807" s="14"/>
      <c r="D807" s="14" t="s">
        <v>52</v>
      </c>
      <c r="E807" s="2" t="s">
        <v>39</v>
      </c>
      <c r="F807" s="41">
        <v>500</v>
      </c>
      <c r="G807" s="28"/>
      <c r="H807" s="34">
        <f>'2019'!BH670</f>
        <v>0</v>
      </c>
      <c r="I807" s="15"/>
      <c r="J807" s="15"/>
      <c r="K807" s="15"/>
      <c r="L807" s="28"/>
      <c r="Q807" s="13"/>
      <c r="R807" s="15"/>
      <c r="S807" s="15"/>
      <c r="T807" s="28"/>
      <c r="Y807" s="13"/>
      <c r="Z807" s="15"/>
      <c r="AA807" s="34">
        <f>$F$11</f>
        <v>500</v>
      </c>
      <c r="AB807" s="35"/>
      <c r="AG807" s="13"/>
      <c r="AH807" s="15"/>
      <c r="AI807" s="45"/>
      <c r="AJ807" s="15"/>
      <c r="AK807" s="13"/>
      <c r="AL807" s="15"/>
      <c r="AM807" s="45"/>
      <c r="AN807" s="15"/>
      <c r="AO807" s="13"/>
      <c r="AP807" s="15"/>
      <c r="AQ807" s="45"/>
      <c r="AR807" s="39">
        <v>500</v>
      </c>
      <c r="AS807" s="13"/>
      <c r="AT807" s="15"/>
      <c r="AU807" s="45"/>
      <c r="AV807" s="15"/>
      <c r="AW807" s="13"/>
      <c r="AY807" s="45"/>
      <c r="AZ807" s="35"/>
      <c r="BA807" s="13"/>
      <c r="BB807" s="15"/>
      <c r="BC807" s="45"/>
      <c r="BD807" s="35"/>
      <c r="BE807" s="14"/>
      <c r="BF807" s="41">
        <f t="shared" ref="BF807:BG807" si="2725">K807+O807+S807+W807+AA807+AE807+AI807+AM807+AQ807+AU807+AY807+BC807</f>
        <v>500</v>
      </c>
      <c r="BG807" s="34">
        <f t="shared" si="2725"/>
        <v>500</v>
      </c>
      <c r="BH807" s="35">
        <f t="shared" si="2708"/>
        <v>0</v>
      </c>
      <c r="BK807" s="2" t="b">
        <f>H807='2019'!BH670</f>
        <v>1</v>
      </c>
    </row>
    <row r="808" ht="15.75" customHeight="1" hidden="1" spans="1:63" x14ac:dyDescent="0.25">
      <c r="A808" s="247">
        <v>82</v>
      </c>
      <c r="B808" s="21"/>
      <c r="C808" s="22" t="s">
        <v>53</v>
      </c>
      <c r="D808" s="21"/>
      <c r="E808" s="22"/>
      <c r="F808" s="20"/>
      <c r="G808" s="23"/>
      <c r="H808" s="51">
        <f>SUM(H800:H807)</f>
        <v>-0.83</v>
      </c>
      <c r="I808" s="53"/>
      <c r="J808" s="53"/>
      <c r="K808" s="51">
        <f t="shared" ref="K808:L808" si="2726">SUM(K800:K807)</f>
        <v>0</v>
      </c>
      <c r="L808" s="68">
        <f t="shared" si="2726"/>
        <v>0</v>
      </c>
      <c r="M808" s="53"/>
      <c r="N808" s="53"/>
      <c r="O808" s="51">
        <f t="shared" ref="O808:P808" si="2727">SUM(O800:O807)</f>
        <v>0</v>
      </c>
      <c r="P808" s="51">
        <f t="shared" si="2727"/>
        <v>0</v>
      </c>
      <c r="Q808" s="52"/>
      <c r="R808" s="53"/>
      <c r="S808" s="51">
        <f t="shared" ref="S808:T808" si="2728">SUM(S800:S807)</f>
        <v>0</v>
      </c>
      <c r="T808" s="51">
        <f t="shared" si="2728"/>
        <v>0</v>
      </c>
      <c r="U808" s="52"/>
      <c r="V808" s="53"/>
      <c r="W808" s="51">
        <f t="shared" ref="W808:X808" si="2729">SUM(W800:W807)</f>
        <v>0</v>
      </c>
      <c r="X808" s="51">
        <f t="shared" si="2729"/>
        <v>0</v>
      </c>
      <c r="Y808" s="52"/>
      <c r="Z808" s="53"/>
      <c r="AA808" s="51">
        <f t="shared" ref="AA808:AB808" si="2730">SUM(AA800:AA807)</f>
        <v>518.56</v>
      </c>
      <c r="AB808" s="51">
        <f t="shared" si="2730"/>
        <v>0</v>
      </c>
      <c r="AC808" s="52"/>
      <c r="AD808" s="53"/>
      <c r="AE808" s="51">
        <f t="shared" ref="AE808:AF808" si="2731">SUM(AE800:AE807)</f>
        <v>4745.12</v>
      </c>
      <c r="AF808" s="51">
        <f t="shared" si="2731"/>
        <v>0</v>
      </c>
      <c r="AG808" s="52"/>
      <c r="AH808" s="53"/>
      <c r="AI808" s="183">
        <f t="shared" ref="AI808:AJ808" si="2732">SUM(AI800:AI807)</f>
        <v>77.84</v>
      </c>
      <c r="AJ808" s="51">
        <f t="shared" si="2732"/>
        <v>3100</v>
      </c>
      <c r="AK808" s="52"/>
      <c r="AL808" s="53"/>
      <c r="AM808" s="183">
        <f t="shared" ref="AM808:AN808" si="2733">SUM(AM800:AM807)</f>
        <v>19.46</v>
      </c>
      <c r="AN808" s="51">
        <f t="shared" si="2733"/>
        <v>1000</v>
      </c>
      <c r="AO808" s="52"/>
      <c r="AP808" s="53"/>
      <c r="AQ808" s="183">
        <f t="shared" ref="AQ808:AR808" si="2734">SUM(AQ800:AQ807)</f>
        <v>2660.38</v>
      </c>
      <c r="AR808" s="51">
        <f t="shared" si="2734"/>
        <v>1300</v>
      </c>
      <c r="AS808" s="52"/>
      <c r="AT808" s="53"/>
      <c r="AU808" s="183">
        <f t="shared" ref="AU808:AV808" si="2735">SUM(AU800:AU807)</f>
        <v>0</v>
      </c>
      <c r="AV808" s="68">
        <f t="shared" si="2735"/>
        <v>0</v>
      </c>
      <c r="AW808" s="52"/>
      <c r="AX808" s="53"/>
      <c r="AY808" s="183">
        <f t="shared" ref="AY808:AZ808" si="2736">SUM(AY800:AY807)</f>
        <v>0</v>
      </c>
      <c r="AZ808" s="68">
        <f t="shared" si="2736"/>
        <v>0</v>
      </c>
      <c r="BA808" s="52"/>
      <c r="BB808" s="53"/>
      <c r="BC808" s="183">
        <f t="shared" ref="BC808:BD808" si="2737">SUM(BC800:BC807)</f>
        <v>0</v>
      </c>
      <c r="BD808" s="68">
        <f t="shared" si="2737"/>
        <v>0</v>
      </c>
      <c r="BE808" s="69"/>
      <c r="BF808" s="70">
        <f t="shared" ref="BF808:BH808" si="2738">SUM(BF800:BF807)</f>
        <v>8021.36</v>
      </c>
      <c r="BG808" s="71">
        <f t="shared" si="2738"/>
        <v>5400</v>
      </c>
      <c r="BH808" s="72">
        <f t="shared" si="2738"/>
        <v>2620.53</v>
      </c>
      <c r="BI808" s="34">
        <f>H808+BF808-BG808</f>
        <v>2620.53</v>
      </c>
      <c r="BJ808" s="34">
        <f>BH808-BI808</f>
        <v>0</v>
      </c>
      <c r="BK808" s="2" t="b">
        <f>H808='2019'!BH671</f>
        <v>0</v>
      </c>
    </row>
    <row r="809" ht="15.75" customHeight="1" hidden="1" spans="1:63" x14ac:dyDescent="0.25">
      <c r="A809" s="2">
        <v>84</v>
      </c>
      <c r="B809" s="14"/>
      <c r="D809" s="14" t="s">
        <v>411</v>
      </c>
      <c r="E809" s="2" t="s">
        <v>39</v>
      </c>
      <c r="F809" s="41"/>
      <c r="G809" s="28"/>
      <c r="H809" s="34">
        <f>'2019'!BH672</f>
        <v>29.89</v>
      </c>
      <c r="J809" s="15"/>
      <c r="K809" s="34">
        <v>3.58</v>
      </c>
      <c r="L809" s="28"/>
      <c r="O809" s="2">
        <v>1.33</v>
      </c>
      <c r="Q809" s="13"/>
      <c r="R809" s="15"/>
      <c r="S809" s="15">
        <v>1.42</v>
      </c>
      <c r="T809" s="28"/>
      <c r="W809" s="2">
        <v>0.69</v>
      </c>
      <c r="Y809" s="13"/>
      <c r="Z809" s="15"/>
      <c r="AA809" s="15"/>
      <c r="AB809" s="28"/>
      <c r="AF809" s="34"/>
      <c r="AG809" s="13"/>
      <c r="AH809" s="15"/>
      <c r="AI809" s="45"/>
      <c r="AJ809" s="39"/>
      <c r="AK809" s="13"/>
      <c r="AM809" s="45"/>
      <c r="AO809" s="13"/>
      <c r="AQ809" s="45"/>
      <c r="AS809" s="13"/>
      <c r="AU809" s="45"/>
      <c r="AW809" s="13"/>
      <c r="AY809" s="45"/>
      <c r="AZ809" s="28"/>
      <c r="BA809" s="13"/>
      <c r="BB809" s="15"/>
      <c r="BC809" s="45"/>
      <c r="BD809" s="28"/>
      <c r="BE809" s="14"/>
      <c r="BF809" s="41">
        <f t="shared" ref="BF809:BG809" si="2739">K809+O809+S809+W809+AA809+AE809+AI809+AM809+AQ809+AU809+AY809+BC809</f>
        <v>7.02</v>
      </c>
      <c r="BG809" s="34">
        <f t="shared" si="2739"/>
        <v>0</v>
      </c>
      <c r="BH809" s="35">
        <f t="shared" ref="BH809:BH816" si="2740">H809+BF809-BG809</f>
        <v>36.91</v>
      </c>
      <c r="BK809" s="2" t="b">
        <f>H809='2019'!BH672</f>
        <v>1</v>
      </c>
    </row>
    <row r="810" ht="15.75" customHeight="1" hidden="1" spans="1:63" x14ac:dyDescent="0.25">
      <c r="A810" s="89">
        <v>84</v>
      </c>
      <c r="B810" s="14">
        <v>4.18</v>
      </c>
      <c r="C810" s="2" t="s">
        <v>301</v>
      </c>
      <c r="D810" s="14" t="s">
        <v>44</v>
      </c>
      <c r="E810" s="2" t="s">
        <v>45</v>
      </c>
      <c r="F810" s="41">
        <v>2.5</v>
      </c>
      <c r="G810" s="35">
        <v>2.6</v>
      </c>
      <c r="H810" s="104">
        <f>'2019'!BH673</f>
        <v>0</v>
      </c>
      <c r="I810" s="15"/>
      <c r="J810" s="15"/>
      <c r="K810" s="34">
        <f>J810*$F$8</f>
        <v>0</v>
      </c>
      <c r="L810" s="28"/>
      <c r="N810" s="15"/>
      <c r="O810" s="34">
        <f>N810*$F$8</f>
        <v>0</v>
      </c>
      <c r="Q810" s="13"/>
      <c r="R810" s="15">
        <f>Q810-M810</f>
        <v>0</v>
      </c>
      <c r="S810" s="34">
        <f>R810*$F$8</f>
        <v>0</v>
      </c>
      <c r="T810" s="28"/>
      <c r="V810" s="15">
        <f t="shared" ref="V810:V811" si="2741">U810-Q810</f>
        <v>0</v>
      </c>
      <c r="W810" s="34">
        <f>V810*$F$8</f>
        <v>0</v>
      </c>
      <c r="Y810" s="13">
        <v>4</v>
      </c>
      <c r="Z810" s="15">
        <f t="shared" ref="Z810:Z811" si="2742">Y810-U810</f>
        <v>4</v>
      </c>
      <c r="AA810" s="34">
        <f>Z810*$F$8</f>
        <v>10</v>
      </c>
      <c r="AB810" s="28"/>
      <c r="AC810" s="15">
        <v>22</v>
      </c>
      <c r="AD810" s="15">
        <f t="shared" ref="AD810:AD811" si="2743">AC810-Y810</f>
        <v>18</v>
      </c>
      <c r="AE810" s="34">
        <f>AD810*$F$8</f>
        <v>45</v>
      </c>
      <c r="AF810" s="133">
        <f>10+3.16</f>
        <v>13.16</v>
      </c>
      <c r="AG810" s="13">
        <v>28</v>
      </c>
      <c r="AH810" s="15">
        <f t="shared" ref="AH810:AH811" si="2744">AG810-AC810</f>
        <v>6</v>
      </c>
      <c r="AI810" s="45">
        <f>AH810*$G$8</f>
        <v>15.6</v>
      </c>
      <c r="AJ810" s="15"/>
      <c r="AK810" s="13">
        <v>32</v>
      </c>
      <c r="AL810" s="15">
        <f t="shared" ref="AL810:AL811" si="2745">AK810-AG810</f>
        <v>4</v>
      </c>
      <c r="AM810" s="45">
        <f>AL810*$G$8</f>
        <v>10.4</v>
      </c>
      <c r="AN810" s="39">
        <v>200</v>
      </c>
      <c r="AO810" s="13">
        <v>38</v>
      </c>
      <c r="AP810" s="15">
        <f t="shared" ref="AP810:AP811" si="2746">AO810-AK810</f>
        <v>6</v>
      </c>
      <c r="AQ810" s="45">
        <f>AP810*$G$8</f>
        <v>15.6</v>
      </c>
      <c r="AR810" s="15"/>
      <c r="AS810" s="13">
        <v>39</v>
      </c>
      <c r="AT810" s="15">
        <f t="shared" ref="AT810:AT811" si="2747">AS810-AO810</f>
        <v>1</v>
      </c>
      <c r="AU810" s="45">
        <f>AT810*$G$8</f>
        <v>2.6</v>
      </c>
      <c r="AV810" s="15"/>
      <c r="AW810" s="13">
        <v>39</v>
      </c>
      <c r="AX810" s="2">
        <f t="shared" ref="AX810:AX811" si="2748">AW810-AS810</f>
        <v>0</v>
      </c>
      <c r="AY810" s="45">
        <f>AX810*$G$8</f>
        <v>0</v>
      </c>
      <c r="AZ810" s="208"/>
      <c r="BA810" s="13">
        <v>39</v>
      </c>
      <c r="BB810" s="15">
        <f t="shared" ref="BB810:BB811" si="2749">BA810-AW810</f>
        <v>0</v>
      </c>
      <c r="BC810" s="45">
        <f>BB810*$G$8</f>
        <v>0</v>
      </c>
      <c r="BD810" s="208"/>
      <c r="BE810" s="40">
        <f t="shared" ref="BE810:BG810" si="2750">J810+N810+R810+V810+Z810+AD810+AH810+AL810+AP810+AT810+AX810+BB810</f>
        <v>39</v>
      </c>
      <c r="BF810" s="41">
        <f t="shared" si="2750"/>
        <v>99.2</v>
      </c>
      <c r="BG810" s="34">
        <f t="shared" si="2750"/>
        <v>213.16</v>
      </c>
      <c r="BH810" s="35">
        <f t="shared" si="2740"/>
        <v>-113.96</v>
      </c>
      <c r="BK810" s="2" t="b">
        <f>H810='2019'!BH673</f>
        <v>1</v>
      </c>
    </row>
    <row r="811" ht="15.75" customHeight="1" hidden="1" spans="1:63" x14ac:dyDescent="0.25">
      <c r="A811" s="89">
        <v>84</v>
      </c>
      <c r="B811" s="14"/>
      <c r="C811" s="15" t="s">
        <v>87</v>
      </c>
      <c r="D811" s="14" t="s">
        <v>47</v>
      </c>
      <c r="E811" s="2" t="s">
        <v>48</v>
      </c>
      <c r="F811" s="13">
        <v>18.56</v>
      </c>
      <c r="G811" s="35">
        <v>19.46</v>
      </c>
      <c r="H811" s="34">
        <f>'2019'!BH674</f>
        <v>375.12</v>
      </c>
      <c r="I811" s="15">
        <v>23</v>
      </c>
      <c r="J811" s="15"/>
      <c r="K811" s="15"/>
      <c r="L811" s="38">
        <v>200</v>
      </c>
      <c r="M811" s="2">
        <v>23</v>
      </c>
      <c r="Q811" s="13">
        <v>23</v>
      </c>
      <c r="R811" s="15"/>
      <c r="S811" s="15"/>
      <c r="T811" s="28"/>
      <c r="U811" s="2">
        <v>18</v>
      </c>
      <c r="V811" s="154">
        <f t="shared" si="2741"/>
        <v>-5</v>
      </c>
      <c r="W811" s="34">
        <f>V811*$F$10</f>
        <v>-92.8</v>
      </c>
      <c r="Y811" s="13">
        <v>19</v>
      </c>
      <c r="Z811" s="15">
        <f t="shared" si="2742"/>
        <v>1</v>
      </c>
      <c r="AA811" s="34">
        <f>Z811*$F$10</f>
        <v>18.56</v>
      </c>
      <c r="AB811" s="28"/>
      <c r="AC811" s="15">
        <v>21</v>
      </c>
      <c r="AD811" s="15">
        <f t="shared" si="2743"/>
        <v>2</v>
      </c>
      <c r="AE811" s="34">
        <f>AD811*$F$10</f>
        <v>37.12</v>
      </c>
      <c r="AG811" s="13">
        <v>26</v>
      </c>
      <c r="AH811" s="15">
        <f t="shared" si="2744"/>
        <v>5</v>
      </c>
      <c r="AI811" s="45">
        <f>AH811*$G$10</f>
        <v>97.3</v>
      </c>
      <c r="AJ811" s="39"/>
      <c r="AK811" s="13">
        <v>30</v>
      </c>
      <c r="AL811" s="15">
        <f t="shared" si="2745"/>
        <v>4</v>
      </c>
      <c r="AM811" s="45">
        <f>AL811*$G$10</f>
        <v>77.84</v>
      </c>
      <c r="AN811" s="39">
        <v>500</v>
      </c>
      <c r="AO811" s="13">
        <v>30</v>
      </c>
      <c r="AP811" s="15">
        <f t="shared" si="2746"/>
        <v>0</v>
      </c>
      <c r="AQ811" s="45">
        <f>AP811*$G$10</f>
        <v>0</v>
      </c>
      <c r="AR811" s="15"/>
      <c r="AS811" s="13">
        <v>30</v>
      </c>
      <c r="AT811" s="15">
        <f t="shared" si="2747"/>
        <v>0</v>
      </c>
      <c r="AU811" s="45">
        <f>AT811*$G$10</f>
        <v>0</v>
      </c>
      <c r="AV811" s="15"/>
      <c r="AW811" s="13">
        <v>30</v>
      </c>
      <c r="AX811" s="2">
        <f t="shared" si="2748"/>
        <v>0</v>
      </c>
      <c r="AY811" s="45"/>
      <c r="AZ811" s="208"/>
      <c r="BA811" s="13">
        <v>30</v>
      </c>
      <c r="BB811" s="15">
        <f t="shared" si="2749"/>
        <v>0</v>
      </c>
      <c r="BC811" s="45"/>
      <c r="BD811" s="208"/>
      <c r="BE811" s="40">
        <f t="shared" ref="BE811:BG811" si="2751">J811+N811+R811+V811+Z811+AD811+AH811+AL811+AP811+AT811+AX811+BB811</f>
        <v>7</v>
      </c>
      <c r="BF811" s="41">
        <f t="shared" si="2751"/>
        <v>138.02</v>
      </c>
      <c r="BG811" s="34">
        <f t="shared" si="2751"/>
        <v>700</v>
      </c>
      <c r="BH811" s="35">
        <f t="shared" si="2740"/>
        <v>-186.86</v>
      </c>
      <c r="BK811" s="2" t="b">
        <f>H811='2019'!BH674</f>
        <v>1</v>
      </c>
    </row>
    <row r="812" ht="15.75" customHeight="1" hidden="1" spans="1:63" x14ac:dyDescent="0.25">
      <c r="A812" s="89">
        <v>84</v>
      </c>
      <c r="B812" s="14"/>
      <c r="C812" s="15" t="s">
        <v>302</v>
      </c>
      <c r="D812" s="14" t="s">
        <v>47</v>
      </c>
      <c r="E812" s="2" t="s">
        <v>49</v>
      </c>
      <c r="F812" s="41">
        <v>500</v>
      </c>
      <c r="G812" s="28"/>
      <c r="H812" s="34">
        <f>'2019'!BH675</f>
        <v>0</v>
      </c>
      <c r="I812" s="15"/>
      <c r="J812" s="15"/>
      <c r="K812" s="15"/>
      <c r="L812" s="28"/>
      <c r="Q812" s="13"/>
      <c r="R812" s="15"/>
      <c r="S812" s="15"/>
      <c r="T812" s="28"/>
      <c r="Y812" s="13"/>
      <c r="Z812" s="15"/>
      <c r="AA812" s="15"/>
      <c r="AB812" s="28"/>
      <c r="AG812" s="13"/>
      <c r="AH812" s="15"/>
      <c r="AI812" s="45"/>
      <c r="AJ812" s="15"/>
      <c r="AK812" s="13"/>
      <c r="AL812" s="15"/>
      <c r="AM812" s="45"/>
      <c r="AN812" s="15"/>
      <c r="AO812" s="13"/>
      <c r="AP812" s="15"/>
      <c r="AQ812" s="45"/>
      <c r="AR812" s="15"/>
      <c r="AS812" s="13"/>
      <c r="AT812" s="15"/>
      <c r="AU812" s="45"/>
      <c r="AV812" s="15"/>
      <c r="AW812" s="13"/>
      <c r="AY812" s="45"/>
      <c r="AZ812" s="28"/>
      <c r="BA812" s="13"/>
      <c r="BB812" s="15"/>
      <c r="BC812" s="45"/>
      <c r="BD812" s="28"/>
      <c r="BE812" s="14"/>
      <c r="BF812" s="41">
        <f t="shared" ref="BF812:BG812" si="2752">K812+O812+S812+W812+AA812+AE812+AI812+AM812+AQ812+AU812+AY812+BC812</f>
        <v>0</v>
      </c>
      <c r="BG812" s="34">
        <f t="shared" si="2752"/>
        <v>0</v>
      </c>
      <c r="BH812" s="35">
        <f t="shared" si="2740"/>
        <v>0</v>
      </c>
      <c r="BK812" s="2" t="b">
        <f>H812='2019'!BH675</f>
        <v>1</v>
      </c>
    </row>
    <row r="813" ht="15.75" customHeight="1" hidden="1" spans="1:63" x14ac:dyDescent="0.25">
      <c r="A813" s="89">
        <v>84</v>
      </c>
      <c r="B813" s="14"/>
      <c r="C813" s="2" t="s">
        <v>303</v>
      </c>
      <c r="D813" s="14" t="s">
        <v>50</v>
      </c>
      <c r="E813" s="2" t="s">
        <v>49</v>
      </c>
      <c r="F813" s="41">
        <v>1100</v>
      </c>
      <c r="G813" s="28"/>
      <c r="H813" s="182">
        <f>'2019'!BH676+0.0016</f>
        <v>1258.84</v>
      </c>
      <c r="I813" s="15"/>
      <c r="J813" s="15"/>
      <c r="K813" s="15"/>
      <c r="L813" s="38">
        <v>1800</v>
      </c>
      <c r="Q813" s="13"/>
      <c r="R813" s="15"/>
      <c r="S813" s="15"/>
      <c r="T813" s="28"/>
      <c r="Y813" s="13"/>
      <c r="Z813" s="15"/>
      <c r="AA813" s="15"/>
      <c r="AB813" s="28"/>
      <c r="AE813" s="34">
        <f>B810*$F$12</f>
        <v>4598</v>
      </c>
      <c r="AF813" s="146">
        <f>2100+1956.84</f>
        <v>4056.84</v>
      </c>
      <c r="AG813" s="13"/>
      <c r="AH813" s="15"/>
      <c r="AI813" s="45"/>
      <c r="AJ813" s="39"/>
      <c r="AK813" s="13"/>
      <c r="AL813" s="15"/>
      <c r="AM813" s="45"/>
      <c r="AN813" s="15"/>
      <c r="AO813" s="13"/>
      <c r="AP813" s="15"/>
      <c r="AQ813" s="45"/>
      <c r="AR813" s="15"/>
      <c r="AS813" s="13"/>
      <c r="AT813" s="15"/>
      <c r="AU813" s="45"/>
      <c r="AV813" s="15"/>
      <c r="AW813" s="13"/>
      <c r="AY813" s="45"/>
      <c r="AZ813" s="28"/>
      <c r="BA813" s="13"/>
      <c r="BB813" s="15"/>
      <c r="BC813" s="45"/>
      <c r="BD813" s="28"/>
      <c r="BE813" s="14"/>
      <c r="BF813" s="41">
        <f t="shared" ref="BF813:BG813" si="2753">K813+O813+S813+W813+AA813+AE813+AI813+AM813+AQ813+AU813+AY813+BC813</f>
        <v>4598</v>
      </c>
      <c r="BG813" s="34">
        <f t="shared" si="2753"/>
        <v>5856.84</v>
      </c>
      <c r="BH813" s="35">
        <f t="shared" si="2740"/>
        <v>0</v>
      </c>
      <c r="BK813" s="2" t="b">
        <f>H813='2019'!BH676</f>
        <v>0</v>
      </c>
    </row>
    <row r="814" ht="15.75" customHeight="1" hidden="1" spans="1:63" x14ac:dyDescent="0.25">
      <c r="A814" s="89">
        <v>84</v>
      </c>
      <c r="B814" s="14"/>
      <c r="D814" s="14" t="s">
        <v>51</v>
      </c>
      <c r="E814" s="2" t="s">
        <v>39</v>
      </c>
      <c r="F814" s="41">
        <v>500</v>
      </c>
      <c r="G814" s="28"/>
      <c r="H814" s="34">
        <f>'2019'!BH677</f>
        <v>1000</v>
      </c>
      <c r="I814" s="15"/>
      <c r="J814" s="15"/>
      <c r="K814" s="15"/>
      <c r="L814" s="28"/>
      <c r="Q814" s="13"/>
      <c r="R814" s="15"/>
      <c r="S814" s="15"/>
      <c r="T814" s="28"/>
      <c r="X814" s="39">
        <v>1050</v>
      </c>
      <c r="Y814" s="13"/>
      <c r="Z814" s="15"/>
      <c r="AA814" s="15"/>
      <c r="AB814" s="28"/>
      <c r="AE814" s="34"/>
      <c r="AG814" s="13"/>
      <c r="AH814" s="15"/>
      <c r="AI814" s="45"/>
      <c r="AJ814" s="15"/>
      <c r="AK814" s="13"/>
      <c r="AL814" s="15"/>
      <c r="AM814" s="45"/>
      <c r="AN814" s="15"/>
      <c r="AO814" s="13"/>
      <c r="AP814" s="15"/>
      <c r="AQ814" s="45">
        <f>$F$13</f>
        <v>500</v>
      </c>
      <c r="AR814" s="15"/>
      <c r="AS814" s="13"/>
      <c r="AT814" s="15"/>
      <c r="AU814" s="45"/>
      <c r="AV814" s="39">
        <v>450</v>
      </c>
      <c r="AW814" s="13"/>
      <c r="AY814" s="45"/>
      <c r="AZ814" s="28"/>
      <c r="BA814" s="13"/>
      <c r="BB814" s="15"/>
      <c r="BC814" s="45"/>
      <c r="BD814" s="28"/>
      <c r="BE814" s="14"/>
      <c r="BF814" s="41">
        <f t="shared" ref="BF814:BG814" si="2754">K814+O814+S814+W814+AA814+AE814+AI814+AM814+AQ814+AU814+AY814+BC814</f>
        <v>500</v>
      </c>
      <c r="BG814" s="34">
        <f t="shared" si="2754"/>
        <v>1500</v>
      </c>
      <c r="BH814" s="35">
        <f t="shared" si="2740"/>
        <v>0</v>
      </c>
      <c r="BK814" s="2" t="b">
        <f>H814='2019'!BH677</f>
        <v>1</v>
      </c>
    </row>
    <row r="815" ht="15.75" customHeight="1" hidden="1" spans="1:60" x14ac:dyDescent="0.25">
      <c r="A815" s="89">
        <v>84</v>
      </c>
      <c r="B815" s="14"/>
      <c r="D815" s="14" t="s">
        <v>51</v>
      </c>
      <c r="E815" s="2" t="s">
        <v>49</v>
      </c>
      <c r="F815" s="41">
        <v>500</v>
      </c>
      <c r="G815" s="28"/>
      <c r="H815" s="34"/>
      <c r="I815" s="15"/>
      <c r="J815" s="15"/>
      <c r="K815" s="15"/>
      <c r="L815" s="28"/>
      <c r="Q815" s="13"/>
      <c r="R815" s="15"/>
      <c r="S815" s="15"/>
      <c r="T815" s="28"/>
      <c r="X815" s="39"/>
      <c r="Y815" s="13"/>
      <c r="Z815" s="15"/>
      <c r="AA815" s="15"/>
      <c r="AB815" s="28"/>
      <c r="AE815" s="34"/>
      <c r="AG815" s="13"/>
      <c r="AH815" s="15"/>
      <c r="AI815" s="45"/>
      <c r="AJ815" s="15"/>
      <c r="AK815" s="13"/>
      <c r="AL815" s="15"/>
      <c r="AM815" s="45"/>
      <c r="AN815" s="15"/>
      <c r="AO815" s="13"/>
      <c r="AP815" s="15"/>
      <c r="AQ815" s="34">
        <f>B810*$F$14</f>
        <v>2090</v>
      </c>
      <c r="AR815" s="15"/>
      <c r="AS815" s="13"/>
      <c r="AT815" s="15"/>
      <c r="AU815" s="45"/>
      <c r="AV815" s="39">
        <v>50</v>
      </c>
      <c r="AW815" s="13"/>
      <c r="AY815" s="45"/>
      <c r="AZ815" s="28"/>
      <c r="BA815" s="13"/>
      <c r="BB815" s="15"/>
      <c r="BC815" s="45"/>
      <c r="BD815" s="28"/>
      <c r="BE815" s="14"/>
      <c r="BF815" s="41">
        <f t="shared" ref="BF815:BG815" si="2755">K815+O815+S815+W815+AA815+AE815+AI815+AM815+AQ815+AU815+AY815+BC815</f>
        <v>2090</v>
      </c>
      <c r="BG815" s="34">
        <f t="shared" si="2755"/>
        <v>50</v>
      </c>
      <c r="BH815" s="35">
        <f t="shared" si="2740"/>
        <v>2040</v>
      </c>
    </row>
    <row r="816" ht="15.75" customHeight="1" hidden="1" spans="1:63" x14ac:dyDescent="0.25">
      <c r="A816" s="89">
        <v>84</v>
      </c>
      <c r="B816" s="14"/>
      <c r="D816" s="14" t="s">
        <v>52</v>
      </c>
      <c r="E816" s="2" t="s">
        <v>39</v>
      </c>
      <c r="F816" s="41">
        <v>500</v>
      </c>
      <c r="G816" s="28"/>
      <c r="H816" s="34">
        <f>'2019'!BH678</f>
        <v>350</v>
      </c>
      <c r="I816" s="15"/>
      <c r="J816" s="15"/>
      <c r="K816" s="15"/>
      <c r="L816" s="28"/>
      <c r="Q816" s="13"/>
      <c r="R816" s="15"/>
      <c r="S816" s="15"/>
      <c r="T816" s="28"/>
      <c r="Y816" s="13"/>
      <c r="Z816" s="15"/>
      <c r="AA816" s="34">
        <f>$F$11</f>
        <v>500</v>
      </c>
      <c r="AB816" s="28"/>
      <c r="AF816" s="133">
        <v>350</v>
      </c>
      <c r="AG816" s="13"/>
      <c r="AH816" s="15"/>
      <c r="AI816" s="45"/>
      <c r="AJ816" s="15"/>
      <c r="AK816" s="13"/>
      <c r="AL816" s="15"/>
      <c r="AM816" s="45"/>
      <c r="AN816" s="15"/>
      <c r="AO816" s="13"/>
      <c r="AP816" s="15"/>
      <c r="AQ816" s="45"/>
      <c r="AR816" s="15"/>
      <c r="AS816" s="13"/>
      <c r="AT816" s="15"/>
      <c r="AU816" s="45"/>
      <c r="AV816" s="39">
        <v>500</v>
      </c>
      <c r="AW816" s="13"/>
      <c r="AY816" s="45"/>
      <c r="AZ816" s="35"/>
      <c r="BA816" s="13"/>
      <c r="BB816" s="15"/>
      <c r="BC816" s="45"/>
      <c r="BD816" s="35"/>
      <c r="BE816" s="14"/>
      <c r="BF816" s="41">
        <f t="shared" ref="BF816:BG816" si="2756">K816+O816+S816+W816+AA816+AE816+AI816+AM816+AQ816+AU816+AY816+BC816</f>
        <v>500</v>
      </c>
      <c r="BG816" s="34">
        <f t="shared" si="2756"/>
        <v>850</v>
      </c>
      <c r="BH816" s="35">
        <f t="shared" si="2740"/>
        <v>0</v>
      </c>
      <c r="BK816" s="2" t="b">
        <f>H816='2019'!BH678</f>
        <v>1</v>
      </c>
    </row>
    <row r="817" ht="15.75" customHeight="1" hidden="1" spans="1:63" x14ac:dyDescent="0.25">
      <c r="A817" s="247">
        <v>84</v>
      </c>
      <c r="B817" s="21"/>
      <c r="C817" s="22" t="s">
        <v>53</v>
      </c>
      <c r="D817" s="21"/>
      <c r="E817" s="22"/>
      <c r="F817" s="20"/>
      <c r="G817" s="23"/>
      <c r="H817" s="51">
        <f>SUM(H809:H816)</f>
        <v>3013.85</v>
      </c>
      <c r="I817" s="53"/>
      <c r="J817" s="53"/>
      <c r="K817" s="51">
        <f t="shared" ref="K817:L817" si="2757">SUM(K809:K816)</f>
        <v>3.58</v>
      </c>
      <c r="L817" s="68">
        <f t="shared" si="2757"/>
        <v>2000</v>
      </c>
      <c r="M817" s="53"/>
      <c r="N817" s="53"/>
      <c r="O817" s="51">
        <f t="shared" ref="O817:P817" si="2758">SUM(O809:O816)</f>
        <v>1.33</v>
      </c>
      <c r="P817" s="51">
        <f t="shared" si="2758"/>
        <v>0</v>
      </c>
      <c r="Q817" s="52"/>
      <c r="R817" s="53"/>
      <c r="S817" s="51">
        <f t="shared" ref="S817:T817" si="2759">SUM(S809:S816)</f>
        <v>1.42</v>
      </c>
      <c r="T817" s="51">
        <f t="shared" si="2759"/>
        <v>0</v>
      </c>
      <c r="U817" s="52"/>
      <c r="V817" s="53"/>
      <c r="W817" s="51">
        <f t="shared" ref="W817:X817" si="2760">SUM(W809:W816)</f>
        <v>-92.11</v>
      </c>
      <c r="X817" s="51">
        <f t="shared" si="2760"/>
        <v>1050</v>
      </c>
      <c r="Y817" s="52"/>
      <c r="Z817" s="53"/>
      <c r="AA817" s="51">
        <f t="shared" ref="AA817:AB817" si="2761">SUM(AA809:AA816)</f>
        <v>528.56</v>
      </c>
      <c r="AB817" s="51">
        <f t="shared" si="2761"/>
        <v>0</v>
      </c>
      <c r="AC817" s="52"/>
      <c r="AD817" s="53"/>
      <c r="AE817" s="51">
        <f t="shared" ref="AE817:AF817" si="2762">SUM(AE809:AE816)</f>
        <v>4680.12</v>
      </c>
      <c r="AF817" s="51">
        <f t="shared" si="2762"/>
        <v>4420</v>
      </c>
      <c r="AG817" s="52"/>
      <c r="AH817" s="53"/>
      <c r="AI817" s="183">
        <f t="shared" ref="AI817:AJ817" si="2763">SUM(AI809:AI816)</f>
        <v>112.9</v>
      </c>
      <c r="AJ817" s="51">
        <f t="shared" si="2763"/>
        <v>0</v>
      </c>
      <c r="AK817" s="52"/>
      <c r="AL817" s="53"/>
      <c r="AM817" s="183">
        <f t="shared" ref="AM817:AN817" si="2764">SUM(AM809:AM816)</f>
        <v>88.24</v>
      </c>
      <c r="AN817" s="51">
        <f t="shared" si="2764"/>
        <v>700</v>
      </c>
      <c r="AO817" s="52"/>
      <c r="AP817" s="53"/>
      <c r="AQ817" s="183">
        <f t="shared" ref="AQ817:AR817" si="2765">SUM(AQ809:AQ816)</f>
        <v>2605.6</v>
      </c>
      <c r="AR817" s="51">
        <f t="shared" si="2765"/>
        <v>0</v>
      </c>
      <c r="AS817" s="52"/>
      <c r="AT817" s="53"/>
      <c r="AU817" s="183">
        <f t="shared" ref="AU817:AV817" si="2766">SUM(AU809:AU816)</f>
        <v>2.6</v>
      </c>
      <c r="AV817" s="68">
        <f t="shared" si="2766"/>
        <v>1000</v>
      </c>
      <c r="AW817" s="52"/>
      <c r="AX817" s="53"/>
      <c r="AY817" s="183">
        <f t="shared" ref="AY817:AZ817" si="2767">SUM(AY809:AY816)</f>
        <v>0</v>
      </c>
      <c r="AZ817" s="68">
        <f t="shared" si="2767"/>
        <v>0</v>
      </c>
      <c r="BA817" s="52"/>
      <c r="BB817" s="53"/>
      <c r="BC817" s="183">
        <f t="shared" ref="BC817:BD817" si="2768">SUM(BC809:BC816)</f>
        <v>0</v>
      </c>
      <c r="BD817" s="68">
        <f t="shared" si="2768"/>
        <v>0</v>
      </c>
      <c r="BE817" s="69"/>
      <c r="BF817" s="70">
        <f t="shared" ref="BF817:BH817" si="2769">SUM(BF809:BF816)</f>
        <v>7932.24</v>
      </c>
      <c r="BG817" s="71">
        <f t="shared" si="2769"/>
        <v>9170</v>
      </c>
      <c r="BH817" s="72">
        <f t="shared" si="2769"/>
        <v>1776.09</v>
      </c>
      <c r="BI817" s="34">
        <f>H817+BF817-BG817</f>
        <v>1776.09</v>
      </c>
      <c r="BJ817" s="34">
        <f>BH817-BI817</f>
        <v>0</v>
      </c>
      <c r="BK817" s="2" t="b">
        <f>H817='2019'!BH679</f>
        <v>0</v>
      </c>
    </row>
    <row r="818" ht="15.75" customHeight="1" hidden="1" spans="1:63" x14ac:dyDescent="0.25">
      <c r="A818" s="89">
        <v>86</v>
      </c>
      <c r="B818" s="14"/>
      <c r="D818" s="14" t="s">
        <v>379</v>
      </c>
      <c r="F818" s="13"/>
      <c r="G818" s="28"/>
      <c r="H818" s="34">
        <f>'2019'!BH680</f>
        <v>74.14</v>
      </c>
      <c r="J818" s="15"/>
      <c r="K818" s="15">
        <v>18.84</v>
      </c>
      <c r="L818" s="28"/>
      <c r="O818" s="2">
        <v>17.62</v>
      </c>
      <c r="Q818" s="13"/>
      <c r="R818" s="15"/>
      <c r="S818" s="15">
        <v>18.84</v>
      </c>
      <c r="T818" s="28"/>
      <c r="W818" s="2">
        <v>18.23</v>
      </c>
      <c r="Y818" s="13"/>
      <c r="Z818" s="15"/>
      <c r="AA818" s="15">
        <v>18.84</v>
      </c>
      <c r="AB818" s="28"/>
      <c r="AE818" s="2">
        <v>18.23</v>
      </c>
      <c r="AG818" s="13"/>
      <c r="AH818" s="15"/>
      <c r="AI818" s="45">
        <v>18.84</v>
      </c>
      <c r="AJ818" s="15"/>
      <c r="AK818" s="13"/>
      <c r="AM818" s="45">
        <v>18.84</v>
      </c>
      <c r="AO818" s="13"/>
      <c r="AQ818" s="45">
        <v>32.19</v>
      </c>
      <c r="AS818" s="13"/>
      <c r="AU818" s="45">
        <v>33.26</v>
      </c>
      <c r="AW818" s="13"/>
      <c r="AY818" s="45">
        <v>32.19</v>
      </c>
      <c r="AZ818" s="28"/>
      <c r="BA818" s="13"/>
      <c r="BB818" s="15"/>
      <c r="BC818" s="45">
        <v>33.26</v>
      </c>
      <c r="BD818" s="28"/>
      <c r="BE818" s="14"/>
      <c r="BF818" s="41">
        <f t="shared" ref="BF818:BG818" si="2770">K818+O818+S818+W818+AA818+AE818+AI818+AM818+AQ818+AU818+AY818+BC818</f>
        <v>279.18</v>
      </c>
      <c r="BG818" s="34">
        <f t="shared" si="2770"/>
        <v>0</v>
      </c>
      <c r="BH818" s="35">
        <f t="shared" ref="BH818:BH825" si="2771">H818+BF818-BG818</f>
        <v>353.32</v>
      </c>
      <c r="BK818" s="2" t="b">
        <f>H818='2019'!BH680</f>
        <v>1</v>
      </c>
    </row>
    <row r="819" ht="15.75" customHeight="1" hidden="1" spans="1:63" x14ac:dyDescent="0.25">
      <c r="A819" s="89">
        <v>86</v>
      </c>
      <c r="B819" s="14">
        <v>4.23</v>
      </c>
      <c r="C819" s="2" t="s">
        <v>304</v>
      </c>
      <c r="D819" s="14" t="s">
        <v>44</v>
      </c>
      <c r="E819" s="2" t="s">
        <v>45</v>
      </c>
      <c r="F819" s="41">
        <v>2.5</v>
      </c>
      <c r="G819" s="35">
        <v>2.6</v>
      </c>
      <c r="H819" s="104">
        <f>'2019'!BH681</f>
        <v>0</v>
      </c>
      <c r="I819" s="15"/>
      <c r="J819" s="15"/>
      <c r="K819" s="34">
        <f>J819*$F$8</f>
        <v>0</v>
      </c>
      <c r="L819" s="28"/>
      <c r="N819" s="15"/>
      <c r="O819" s="34">
        <f>N819*$F$8</f>
        <v>0</v>
      </c>
      <c r="Q819" s="13"/>
      <c r="R819" s="15">
        <f>Q819-M819</f>
        <v>0</v>
      </c>
      <c r="S819" s="34">
        <f>R819*$F$8</f>
        <v>0</v>
      </c>
      <c r="T819" s="28"/>
      <c r="V819" s="15">
        <f>U819-Q819</f>
        <v>0</v>
      </c>
      <c r="W819" s="34">
        <f>V819*$F$8</f>
        <v>0</v>
      </c>
      <c r="Y819" s="13"/>
      <c r="Z819" s="15">
        <f t="shared" ref="Z819:Z820" si="2772">Y819-U819</f>
        <v>0</v>
      </c>
      <c r="AA819" s="34">
        <f>Z819*$F$8</f>
        <v>0</v>
      </c>
      <c r="AB819" s="28"/>
      <c r="AC819" s="15"/>
      <c r="AD819" s="15">
        <f t="shared" ref="AD819:AD820" si="2773">AC819-Y819</f>
        <v>0</v>
      </c>
      <c r="AE819" s="34">
        <f>AD819*$F$8</f>
        <v>0</v>
      </c>
      <c r="AG819" s="13"/>
      <c r="AH819" s="15">
        <f t="shared" ref="AH819:AH820" si="2774">AG819-AC819</f>
        <v>0</v>
      </c>
      <c r="AI819" s="45">
        <f>AH819*$G$8</f>
        <v>0</v>
      </c>
      <c r="AJ819" s="15"/>
      <c r="AK819" s="13">
        <v>0</v>
      </c>
      <c r="AL819" s="15">
        <f t="shared" ref="AL819:AL820" si="2775">AK819-AG819</f>
        <v>0</v>
      </c>
      <c r="AM819" s="45">
        <f>AL819*$G$8</f>
        <v>0</v>
      </c>
      <c r="AN819" s="15"/>
      <c r="AO819" s="13">
        <v>0</v>
      </c>
      <c r="AP819" s="15">
        <f t="shared" ref="AP819:AP820" si="2776">AO819-AK819</f>
        <v>0</v>
      </c>
      <c r="AQ819" s="45">
        <f>AP819*$G$8</f>
        <v>0</v>
      </c>
      <c r="AR819" s="15"/>
      <c r="AS819" s="13">
        <v>0</v>
      </c>
      <c r="AT819" s="15">
        <f t="shared" ref="AT819:AT820" si="2777">AS819-AO819</f>
        <v>0</v>
      </c>
      <c r="AU819" s="45">
        <f>AT819*$G$8</f>
        <v>0</v>
      </c>
      <c r="AV819" s="15"/>
      <c r="AW819" s="13">
        <v>0</v>
      </c>
      <c r="AX819" s="2">
        <f t="shared" ref="AX819:AX820" si="2778">AW819-AS819</f>
        <v>0</v>
      </c>
      <c r="AY819" s="45">
        <f>AX819*$G$8</f>
        <v>0</v>
      </c>
      <c r="AZ819" s="208"/>
      <c r="BA819" s="13">
        <v>0</v>
      </c>
      <c r="BB819" s="15">
        <f t="shared" ref="BB819:BB820" si="2779">BA819-AW819</f>
        <v>0</v>
      </c>
      <c r="BC819" s="45">
        <f>BB819*$G$8</f>
        <v>0</v>
      </c>
      <c r="BD819" s="208"/>
      <c r="BE819" s="40">
        <f t="shared" ref="BE819:BG819" si="2780">J819+N819+R819+V819+Z819+AD819+AH819+AL819+AP819+AT819+AX819+BB819</f>
        <v>0</v>
      </c>
      <c r="BF819" s="41">
        <f t="shared" si="2780"/>
        <v>0</v>
      </c>
      <c r="BG819" s="34">
        <f t="shared" si="2780"/>
        <v>0</v>
      </c>
      <c r="BH819" s="35">
        <f t="shared" si="2771"/>
        <v>0</v>
      </c>
      <c r="BK819" s="2" t="b">
        <f>H819='2019'!BH681</f>
        <v>1</v>
      </c>
    </row>
    <row r="820" ht="15.75" customHeight="1" hidden="1" spans="1:63" x14ac:dyDescent="0.25">
      <c r="A820" s="89">
        <v>86</v>
      </c>
      <c r="B820" s="14"/>
      <c r="C820" s="15" t="s">
        <v>305</v>
      </c>
      <c r="D820" s="14" t="s">
        <v>47</v>
      </c>
      <c r="E820" s="2" t="s">
        <v>48</v>
      </c>
      <c r="F820" s="13">
        <v>18.56</v>
      </c>
      <c r="G820" s="35">
        <v>19.46</v>
      </c>
      <c r="H820" s="34">
        <f>'2019'!BH682</f>
        <v>0</v>
      </c>
      <c r="I820" s="15"/>
      <c r="J820" s="15"/>
      <c r="K820" s="15"/>
      <c r="L820" s="28"/>
      <c r="Q820" s="13"/>
      <c r="R820" s="15"/>
      <c r="S820" s="15"/>
      <c r="T820" s="28"/>
      <c r="W820" s="34">
        <f>V820*$F$10</f>
        <v>0</v>
      </c>
      <c r="Y820" s="13"/>
      <c r="Z820" s="15">
        <f t="shared" si="2772"/>
        <v>0</v>
      </c>
      <c r="AA820" s="34">
        <f>Z820*$F$10</f>
        <v>0</v>
      </c>
      <c r="AB820" s="28"/>
      <c r="AC820" s="15"/>
      <c r="AD820" s="15">
        <f t="shared" si="2773"/>
        <v>0</v>
      </c>
      <c r="AE820" s="34">
        <f>AD820*$F$10</f>
        <v>0</v>
      </c>
      <c r="AG820" s="13"/>
      <c r="AH820" s="15">
        <f t="shared" si="2774"/>
        <v>0</v>
      </c>
      <c r="AI820" s="45">
        <f>AH820*$G$10</f>
        <v>0</v>
      </c>
      <c r="AJ820" s="15"/>
      <c r="AK820" s="13"/>
      <c r="AL820" s="15">
        <f t="shared" si="2775"/>
        <v>0</v>
      </c>
      <c r="AM820" s="45">
        <f>AL820*$G$10</f>
        <v>0</v>
      </c>
      <c r="AN820" s="15"/>
      <c r="AO820" s="13"/>
      <c r="AP820" s="15">
        <f t="shared" si="2776"/>
        <v>0</v>
      </c>
      <c r="AQ820" s="45">
        <f>AP820*$G$10</f>
        <v>0</v>
      </c>
      <c r="AR820" s="15"/>
      <c r="AS820" s="13"/>
      <c r="AT820" s="15">
        <f t="shared" si="2777"/>
        <v>0</v>
      </c>
      <c r="AU820" s="45">
        <f>AT820*$G$10</f>
        <v>0</v>
      </c>
      <c r="AV820" s="15"/>
      <c r="AW820" s="13"/>
      <c r="AX820" s="2">
        <f t="shared" si="2778"/>
        <v>0</v>
      </c>
      <c r="AY820" s="45"/>
      <c r="AZ820" s="208"/>
      <c r="BA820" s="13"/>
      <c r="BB820" s="15">
        <f t="shared" si="2779"/>
        <v>0</v>
      </c>
      <c r="BC820" s="45"/>
      <c r="BD820" s="208"/>
      <c r="BE820" s="40">
        <f t="shared" ref="BE820:BG820" si="2781">J820+N820+R820+V820+Z820+AD820+AH820+AL820+AP820+AT820+AX820+BB820</f>
        <v>0</v>
      </c>
      <c r="BF820" s="41">
        <f t="shared" si="2781"/>
        <v>0</v>
      </c>
      <c r="BG820" s="34">
        <f t="shared" si="2781"/>
        <v>0</v>
      </c>
      <c r="BH820" s="35">
        <f t="shared" si="2771"/>
        <v>0</v>
      </c>
      <c r="BK820" s="2" t="b">
        <f>H820='2019'!BH682</f>
        <v>1</v>
      </c>
    </row>
    <row r="821" ht="15.75" customHeight="1" hidden="1" spans="1:63" x14ac:dyDescent="0.25">
      <c r="A821" s="89">
        <v>86</v>
      </c>
      <c r="B821" s="14"/>
      <c r="C821" s="15" t="s">
        <v>306</v>
      </c>
      <c r="D821" s="14" t="s">
        <v>47</v>
      </c>
      <c r="E821" s="2" t="s">
        <v>49</v>
      </c>
      <c r="F821" s="41">
        <v>500</v>
      </c>
      <c r="G821" s="28"/>
      <c r="H821" s="144">
        <f>'2019'!BH683</f>
        <v>0</v>
      </c>
      <c r="I821" s="15"/>
      <c r="J821" s="15"/>
      <c r="K821" s="15"/>
      <c r="L821" s="28"/>
      <c r="Q821" s="13"/>
      <c r="R821" s="15"/>
      <c r="S821" s="15"/>
      <c r="T821" s="28"/>
      <c r="Y821" s="13"/>
      <c r="Z821" s="15"/>
      <c r="AA821" s="34"/>
      <c r="AB821" s="28"/>
      <c r="AC821" s="15"/>
      <c r="AG821" s="13"/>
      <c r="AH821" s="15"/>
      <c r="AI821" s="45"/>
      <c r="AJ821" s="15"/>
      <c r="AK821" s="13"/>
      <c r="AL821" s="15"/>
      <c r="AM821" s="45"/>
      <c r="AN821" s="15"/>
      <c r="AO821" s="13"/>
      <c r="AP821" s="15"/>
      <c r="AQ821" s="45"/>
      <c r="AR821" s="15"/>
      <c r="AS821" s="13"/>
      <c r="AT821" s="15"/>
      <c r="AU821" s="45"/>
      <c r="AV821" s="15"/>
      <c r="AW821" s="13"/>
      <c r="AY821" s="45"/>
      <c r="AZ821" s="28"/>
      <c r="BA821" s="13"/>
      <c r="BB821" s="15"/>
      <c r="BC821" s="45"/>
      <c r="BD821" s="28"/>
      <c r="BE821" s="40">
        <f t="shared" ref="BE821:BG821" si="2782">J821+N821+R821+V821+Z821+AD821+AH821+AL821+AP821+AT821+AX821+BB821</f>
        <v>0</v>
      </c>
      <c r="BF821" s="41">
        <f t="shared" si="2782"/>
        <v>0</v>
      </c>
      <c r="BG821" s="34">
        <f t="shared" si="2782"/>
        <v>0</v>
      </c>
      <c r="BH821" s="35">
        <f t="shared" si="2771"/>
        <v>0</v>
      </c>
      <c r="BK821" s="2" t="b">
        <f>H821='2019'!BH683</f>
        <v>1</v>
      </c>
    </row>
    <row r="822" ht="15.75" customHeight="1" hidden="1" spans="1:63" x14ac:dyDescent="0.25">
      <c r="A822" s="89">
        <v>86</v>
      </c>
      <c r="B822" s="14"/>
      <c r="C822" s="2" t="s">
        <v>307</v>
      </c>
      <c r="D822" s="14" t="s">
        <v>50</v>
      </c>
      <c r="E822" s="2" t="s">
        <v>49</v>
      </c>
      <c r="F822" s="41">
        <v>1100</v>
      </c>
      <c r="G822" s="28"/>
      <c r="H822" s="182">
        <f>'2019'!BH684-0.0024</f>
        <v>5076</v>
      </c>
      <c r="I822" s="15"/>
      <c r="J822" s="15"/>
      <c r="K822" s="15"/>
      <c r="L822" s="28"/>
      <c r="Q822" s="13"/>
      <c r="R822" s="15"/>
      <c r="S822" s="15"/>
      <c r="T822" s="28"/>
      <c r="Y822" s="13"/>
      <c r="Z822" s="15"/>
      <c r="AA822" s="15"/>
      <c r="AB822" s="28"/>
      <c r="AE822" s="34">
        <f>B819*$F$12</f>
        <v>4653</v>
      </c>
      <c r="AG822" s="13"/>
      <c r="AH822" s="15"/>
      <c r="AI822" s="45"/>
      <c r="AJ822" s="39"/>
      <c r="AK822" s="13"/>
      <c r="AL822" s="15"/>
      <c r="AM822" s="45"/>
      <c r="AN822" s="15"/>
      <c r="AO822" s="13"/>
      <c r="AP822" s="15"/>
      <c r="AQ822" s="45"/>
      <c r="AR822" s="15"/>
      <c r="AS822" s="13"/>
      <c r="AT822" s="15"/>
      <c r="AU822" s="45"/>
      <c r="AV822" s="15"/>
      <c r="AW822" s="13"/>
      <c r="AY822" s="45"/>
      <c r="AZ822" s="28"/>
      <c r="BA822" s="13"/>
      <c r="BB822" s="15"/>
      <c r="BC822" s="45"/>
      <c r="BD822" s="28"/>
      <c r="BE822" s="14"/>
      <c r="BF822" s="41">
        <f t="shared" ref="BF822:BG822" si="2783">K822+O822+S822+W822+AA822+AE822+AI822+AM822+AQ822+AU822+AY822+BC822</f>
        <v>4653</v>
      </c>
      <c r="BG822" s="34">
        <f t="shared" si="2783"/>
        <v>0</v>
      </c>
      <c r="BH822" s="35">
        <f t="shared" si="2771"/>
        <v>9729</v>
      </c>
      <c r="BK822" s="2" t="b">
        <f>H822='2019'!BH684</f>
        <v>0</v>
      </c>
    </row>
    <row r="823" ht="15.75" customHeight="1" hidden="1" spans="1:63" x14ac:dyDescent="0.25">
      <c r="A823" s="89">
        <v>86</v>
      </c>
      <c r="B823" s="14"/>
      <c r="D823" s="14" t="s">
        <v>51</v>
      </c>
      <c r="E823" s="2" t="s">
        <v>39</v>
      </c>
      <c r="F823" s="41">
        <v>500</v>
      </c>
      <c r="G823" s="28"/>
      <c r="H823" s="34">
        <f>'2019'!BH685</f>
        <v>1000</v>
      </c>
      <c r="I823" s="15"/>
      <c r="J823" s="15"/>
      <c r="K823" s="15"/>
      <c r="L823" s="28"/>
      <c r="Q823" s="13"/>
      <c r="R823" s="15"/>
      <c r="S823" s="15"/>
      <c r="T823" s="28"/>
      <c r="Y823" s="13"/>
      <c r="Z823" s="15"/>
      <c r="AA823" s="15"/>
      <c r="AB823" s="28"/>
      <c r="AE823" s="34"/>
      <c r="AG823" s="13"/>
      <c r="AH823" s="15"/>
      <c r="AI823" s="45"/>
      <c r="AJ823" s="39"/>
      <c r="AK823" s="13"/>
      <c r="AL823" s="15"/>
      <c r="AM823" s="45"/>
      <c r="AN823" s="15"/>
      <c r="AO823" s="13"/>
      <c r="AP823" s="15"/>
      <c r="AQ823" s="45">
        <f>$F$13</f>
        <v>500</v>
      </c>
      <c r="AR823" s="15"/>
      <c r="AS823" s="13"/>
      <c r="AT823" s="15"/>
      <c r="AU823" s="45"/>
      <c r="AV823" s="15"/>
      <c r="AW823" s="13"/>
      <c r="AY823" s="45"/>
      <c r="AZ823" s="28"/>
      <c r="BA823" s="13"/>
      <c r="BB823" s="15"/>
      <c r="BC823" s="45"/>
      <c r="BD823" s="28"/>
      <c r="BE823" s="14"/>
      <c r="BF823" s="41">
        <f t="shared" ref="BF823:BG823" si="2784">K823+O823+S823+W823+AA823+AE823+AI823+AM823+AQ823+AU823+AY823+BC823</f>
        <v>500</v>
      </c>
      <c r="BG823" s="34">
        <f t="shared" si="2784"/>
        <v>0</v>
      </c>
      <c r="BH823" s="35">
        <f t="shared" si="2771"/>
        <v>1500</v>
      </c>
      <c r="BK823" s="2" t="b">
        <f>H823='2019'!BH685</f>
        <v>1</v>
      </c>
    </row>
    <row r="824" ht="15.75" customHeight="1" hidden="1" spans="1:60" x14ac:dyDescent="0.25">
      <c r="A824" s="89">
        <v>86</v>
      </c>
      <c r="B824" s="14"/>
      <c r="D824" s="14" t="s">
        <v>51</v>
      </c>
      <c r="E824" s="2" t="s">
        <v>49</v>
      </c>
      <c r="F824" s="41">
        <v>500</v>
      </c>
      <c r="G824" s="28"/>
      <c r="H824" s="34"/>
      <c r="I824" s="15"/>
      <c r="J824" s="15"/>
      <c r="K824" s="15"/>
      <c r="L824" s="28"/>
      <c r="Q824" s="13"/>
      <c r="R824" s="15"/>
      <c r="S824" s="15"/>
      <c r="T824" s="28"/>
      <c r="Y824" s="13"/>
      <c r="Z824" s="15"/>
      <c r="AA824" s="15"/>
      <c r="AB824" s="28"/>
      <c r="AE824" s="34"/>
      <c r="AG824" s="13"/>
      <c r="AH824" s="15"/>
      <c r="AI824" s="45"/>
      <c r="AJ824" s="39"/>
      <c r="AK824" s="13"/>
      <c r="AL824" s="15"/>
      <c r="AM824" s="45"/>
      <c r="AN824" s="15"/>
      <c r="AO824" s="13"/>
      <c r="AP824" s="15"/>
      <c r="AQ824" s="34">
        <f>B819*$F$14</f>
        <v>2115</v>
      </c>
      <c r="AR824" s="15"/>
      <c r="AS824" s="13"/>
      <c r="AT824" s="15"/>
      <c r="AU824" s="45"/>
      <c r="AV824" s="15"/>
      <c r="AW824" s="13"/>
      <c r="AY824" s="45"/>
      <c r="AZ824" s="28"/>
      <c r="BA824" s="13"/>
      <c r="BB824" s="15"/>
      <c r="BC824" s="45"/>
      <c r="BD824" s="28"/>
      <c r="BE824" s="14"/>
      <c r="BF824" s="41">
        <f t="shared" ref="BF824:BG824" si="2785">K824+O824+S824+W824+AA824+AE824+AI824+AM824+AQ824+AU824+AY824+BC824</f>
        <v>2115</v>
      </c>
      <c r="BG824" s="34">
        <f t="shared" si="2785"/>
        <v>0</v>
      </c>
      <c r="BH824" s="35">
        <f t="shared" si="2771"/>
        <v>2115</v>
      </c>
    </row>
    <row r="825" ht="15.75" customHeight="1" hidden="1" spans="1:63" x14ac:dyDescent="0.25">
      <c r="A825" s="89">
        <v>86</v>
      </c>
      <c r="B825" s="14"/>
      <c r="D825" s="14" t="s">
        <v>52</v>
      </c>
      <c r="E825" s="2" t="s">
        <v>39</v>
      </c>
      <c r="F825" s="41">
        <v>500</v>
      </c>
      <c r="G825" s="28"/>
      <c r="H825" s="34">
        <f>'2019'!BH686</f>
        <v>500</v>
      </c>
      <c r="I825" s="15"/>
      <c r="J825" s="15"/>
      <c r="K825" s="15"/>
      <c r="L825" s="28"/>
      <c r="Q825" s="13"/>
      <c r="R825" s="15"/>
      <c r="S825" s="15"/>
      <c r="T825" s="28"/>
      <c r="Y825" s="13"/>
      <c r="Z825" s="15"/>
      <c r="AA825" s="34">
        <f>$F$11</f>
        <v>500</v>
      </c>
      <c r="AB825" s="28"/>
      <c r="AG825" s="13"/>
      <c r="AH825" s="15"/>
      <c r="AI825" s="45"/>
      <c r="AJ825" s="39"/>
      <c r="AK825" s="13"/>
      <c r="AL825" s="15"/>
      <c r="AM825" s="45"/>
      <c r="AN825" s="15"/>
      <c r="AO825" s="13"/>
      <c r="AP825" s="15"/>
      <c r="AQ825" s="45"/>
      <c r="AR825" s="15"/>
      <c r="AS825" s="13"/>
      <c r="AT825" s="15"/>
      <c r="AU825" s="45"/>
      <c r="AV825" s="15"/>
      <c r="AW825" s="13"/>
      <c r="AY825" s="45"/>
      <c r="AZ825" s="35"/>
      <c r="BA825" s="13"/>
      <c r="BB825" s="15"/>
      <c r="BC825" s="45"/>
      <c r="BD825" s="35"/>
      <c r="BE825" s="14"/>
      <c r="BF825" s="41">
        <f t="shared" ref="BF825:BG825" si="2786">K825+O825+S825+W825+AA825+AE825+AI825+AM825+AQ825+AU825+AY825+BC825</f>
        <v>500</v>
      </c>
      <c r="BG825" s="34">
        <f t="shared" si="2786"/>
        <v>0</v>
      </c>
      <c r="BH825" s="35">
        <f t="shared" si="2771"/>
        <v>1000</v>
      </c>
      <c r="BK825" s="2" t="b">
        <f>H825='2019'!BH686</f>
        <v>1</v>
      </c>
    </row>
    <row r="826" ht="15.75" customHeight="1" hidden="1" spans="1:63" x14ac:dyDescent="0.25">
      <c r="A826" s="247">
        <v>86</v>
      </c>
      <c r="B826" s="21"/>
      <c r="C826" s="22" t="s">
        <v>53</v>
      </c>
      <c r="D826" s="21"/>
      <c r="E826" s="22"/>
      <c r="F826" s="20"/>
      <c r="G826" s="23"/>
      <c r="H826" s="51">
        <f>SUM(H818:H825)</f>
        <v>6650.14</v>
      </c>
      <c r="I826" s="53"/>
      <c r="J826" s="53"/>
      <c r="K826" s="51">
        <f t="shared" ref="K826:L826" si="2787">SUM(K818:K825)</f>
        <v>18.84</v>
      </c>
      <c r="L826" s="68">
        <f t="shared" si="2787"/>
        <v>0</v>
      </c>
      <c r="M826" s="53"/>
      <c r="N826" s="53"/>
      <c r="O826" s="51">
        <f t="shared" ref="O826:P826" si="2788">SUM(O818:O825)</f>
        <v>17.62</v>
      </c>
      <c r="P826" s="51">
        <f t="shared" si="2788"/>
        <v>0</v>
      </c>
      <c r="Q826" s="52"/>
      <c r="R826" s="53"/>
      <c r="S826" s="51">
        <f t="shared" ref="S826:T826" si="2789">SUM(S818:S825)</f>
        <v>18.84</v>
      </c>
      <c r="T826" s="51">
        <f t="shared" si="2789"/>
        <v>0</v>
      </c>
      <c r="U826" s="52"/>
      <c r="V826" s="53"/>
      <c r="W826" s="51">
        <f t="shared" ref="W826:X826" si="2790">SUM(W818:W825)</f>
        <v>18.23</v>
      </c>
      <c r="X826" s="51">
        <f t="shared" si="2790"/>
        <v>0</v>
      </c>
      <c r="Y826" s="52"/>
      <c r="Z826" s="53"/>
      <c r="AA826" s="51">
        <f t="shared" ref="AA826:AB826" si="2791">SUM(AA818:AA825)</f>
        <v>518.84</v>
      </c>
      <c r="AB826" s="51">
        <f t="shared" si="2791"/>
        <v>0</v>
      </c>
      <c r="AC826" s="52"/>
      <c r="AD826" s="53"/>
      <c r="AE826" s="51">
        <f t="shared" ref="AE826:AF826" si="2792">SUM(AE818:AE825)</f>
        <v>4671.23</v>
      </c>
      <c r="AF826" s="51">
        <f t="shared" si="2792"/>
        <v>0</v>
      </c>
      <c r="AG826" s="52"/>
      <c r="AH826" s="53"/>
      <c r="AI826" s="183">
        <f t="shared" ref="AI826:AJ826" si="2793">SUM(AI818:AI825)</f>
        <v>18.84</v>
      </c>
      <c r="AJ826" s="51">
        <f t="shared" si="2793"/>
        <v>0</v>
      </c>
      <c r="AK826" s="52"/>
      <c r="AL826" s="53"/>
      <c r="AM826" s="183">
        <f t="shared" ref="AM826:AN826" si="2794">SUM(AM818:AM825)</f>
        <v>18.84</v>
      </c>
      <c r="AN826" s="51">
        <f t="shared" si="2794"/>
        <v>0</v>
      </c>
      <c r="AO826" s="52"/>
      <c r="AP826" s="53"/>
      <c r="AQ826" s="183">
        <f t="shared" ref="AQ826:AR826" si="2795">SUM(AQ818:AQ825)</f>
        <v>2647.19</v>
      </c>
      <c r="AR826" s="51">
        <f t="shared" si="2795"/>
        <v>0</v>
      </c>
      <c r="AS826" s="52"/>
      <c r="AT826" s="53"/>
      <c r="AU826" s="183">
        <f t="shared" ref="AU826:AV826" si="2796">SUM(AU818:AU825)</f>
        <v>33.26</v>
      </c>
      <c r="AV826" s="68">
        <f t="shared" si="2796"/>
        <v>0</v>
      </c>
      <c r="AW826" s="52"/>
      <c r="AX826" s="53"/>
      <c r="AY826" s="183">
        <f t="shared" ref="AY826:AZ826" si="2797">SUM(AY818:AY825)</f>
        <v>32.19</v>
      </c>
      <c r="AZ826" s="68">
        <f t="shared" si="2797"/>
        <v>0</v>
      </c>
      <c r="BA826" s="52"/>
      <c r="BB826" s="53"/>
      <c r="BC826" s="183">
        <f t="shared" ref="BC826:BD826" si="2798">SUM(BC818:BC825)</f>
        <v>33.26</v>
      </c>
      <c r="BD826" s="68">
        <f t="shared" si="2798"/>
        <v>0</v>
      </c>
      <c r="BE826" s="69"/>
      <c r="BF826" s="70">
        <f t="shared" ref="BF826:BH826" si="2799">SUM(BF818:BF825)</f>
        <v>8047.18</v>
      </c>
      <c r="BG826" s="71">
        <f t="shared" si="2799"/>
        <v>0</v>
      </c>
      <c r="BH826" s="72">
        <f t="shared" si="2799"/>
        <v>14697.32</v>
      </c>
      <c r="BI826" s="34">
        <f>H826+BF826-BG826</f>
        <v>14697.32</v>
      </c>
      <c r="BJ826" s="34">
        <f>BH826-BI826</f>
        <v>0</v>
      </c>
      <c r="BK826" s="2" t="b">
        <f>H826='2019'!BH687</f>
        <v>0</v>
      </c>
    </row>
    <row r="827" ht="15.75" customHeight="1" hidden="1" spans="1:63" x14ac:dyDescent="0.25">
      <c r="A827" s="89">
        <v>88</v>
      </c>
      <c r="B827" s="14"/>
      <c r="D827" s="14" t="s">
        <v>379</v>
      </c>
      <c r="F827" s="13"/>
      <c r="G827" s="28"/>
      <c r="H827" s="34">
        <f>'2019'!BH688</f>
        <v>1.22</v>
      </c>
      <c r="J827" s="15"/>
      <c r="K827" s="15"/>
      <c r="L827" s="28"/>
      <c r="Q827" s="13"/>
      <c r="R827" s="15"/>
      <c r="S827" s="15"/>
      <c r="T827" s="28"/>
      <c r="Y827" s="13"/>
      <c r="Z827" s="15"/>
      <c r="AA827" s="15"/>
      <c r="AB827" s="28"/>
      <c r="AG827" s="13"/>
      <c r="AH827" s="15"/>
      <c r="AI827" s="45"/>
      <c r="AJ827" s="15"/>
      <c r="AK827" s="13"/>
      <c r="AM827" s="45"/>
      <c r="AO827" s="13"/>
      <c r="AQ827" s="45">
        <v>9.77</v>
      </c>
      <c r="AR827" s="1">
        <v>1.22</v>
      </c>
      <c r="AS827" s="13"/>
      <c r="AU827" s="45"/>
      <c r="AW827" s="13"/>
      <c r="AY827" s="45"/>
      <c r="AZ827" s="28"/>
      <c r="BA827" s="13"/>
      <c r="BB827" s="15"/>
      <c r="BC827" s="45"/>
      <c r="BD827" s="28"/>
      <c r="BE827" s="14"/>
      <c r="BF827" s="41">
        <f t="shared" ref="BF827:BG827" si="2800">K827+O827+S827+W827+AA827+AE827+AI827+AM827+AQ827+AU827+AY827+BC827</f>
        <v>9.77</v>
      </c>
      <c r="BG827" s="34">
        <f t="shared" si="2800"/>
        <v>1.22</v>
      </c>
      <c r="BH827" s="35">
        <f t="shared" ref="BH827:BH834" si="2801">H827+BF827-BG827</f>
        <v>9.77</v>
      </c>
      <c r="BK827" s="2" t="b">
        <f>H827='2019'!BH688</f>
        <v>1</v>
      </c>
    </row>
    <row r="828" ht="15.75" customHeight="1" hidden="1" spans="1:63" x14ac:dyDescent="0.25">
      <c r="A828" s="89">
        <v>88</v>
      </c>
      <c r="B828" s="14">
        <v>4.23</v>
      </c>
      <c r="C828" s="2" t="s">
        <v>308</v>
      </c>
      <c r="D828" s="14" t="s">
        <v>44</v>
      </c>
      <c r="E828" s="2" t="s">
        <v>45</v>
      </c>
      <c r="F828" s="41">
        <v>2.5</v>
      </c>
      <c r="G828" s="35">
        <v>2.6</v>
      </c>
      <c r="H828" s="104">
        <f>'2019'!BH689</f>
        <v>0</v>
      </c>
      <c r="I828" s="15"/>
      <c r="J828" s="15"/>
      <c r="K828" s="34">
        <f>J828*$F$8</f>
        <v>0</v>
      </c>
      <c r="L828" s="28"/>
      <c r="N828" s="15"/>
      <c r="O828" s="34">
        <f>N828*$F$8</f>
        <v>0</v>
      </c>
      <c r="Q828" s="13"/>
      <c r="R828" s="15">
        <f>Q828-M828</f>
        <v>0</v>
      </c>
      <c r="S828" s="34">
        <f>R828*$F$8</f>
        <v>0</v>
      </c>
      <c r="T828" s="28"/>
      <c r="V828" s="15">
        <f>U828-Q828</f>
        <v>0</v>
      </c>
      <c r="W828" s="34">
        <f>V828*$F$8</f>
        <v>0</v>
      </c>
      <c r="Y828" s="13"/>
      <c r="Z828" s="15">
        <f t="shared" ref="Z828:Z829" si="2802">Y828-U828</f>
        <v>0</v>
      </c>
      <c r="AA828" s="34">
        <f>Z828*$F$8</f>
        <v>0</v>
      </c>
      <c r="AB828" s="28"/>
      <c r="AC828" s="15"/>
      <c r="AD828" s="15">
        <f t="shared" ref="AD828:AD829" si="2803">AC828-Y828</f>
        <v>0</v>
      </c>
      <c r="AE828" s="34">
        <f>AD828*$F$8</f>
        <v>0</v>
      </c>
      <c r="AG828" s="13"/>
      <c r="AH828" s="15">
        <f t="shared" ref="AH828:AH829" si="2804">AG828-AC828</f>
        <v>0</v>
      </c>
      <c r="AI828" s="45">
        <f>AH828*$G$8</f>
        <v>0</v>
      </c>
      <c r="AJ828" s="15"/>
      <c r="AK828" s="13">
        <v>0</v>
      </c>
      <c r="AL828" s="15">
        <f t="shared" ref="AL828:AL829" si="2805">AK828-AG828</f>
        <v>0</v>
      </c>
      <c r="AM828" s="45">
        <f>AL828*$G$8</f>
        <v>0</v>
      </c>
      <c r="AN828" s="15"/>
      <c r="AO828" s="13">
        <v>0</v>
      </c>
      <c r="AP828" s="15">
        <f t="shared" ref="AP828:AP829" si="2806">AO828-AK828</f>
        <v>0</v>
      </c>
      <c r="AQ828" s="45">
        <f>AP828*$G$8</f>
        <v>0</v>
      </c>
      <c r="AR828" s="15"/>
      <c r="AS828" s="13">
        <v>0</v>
      </c>
      <c r="AT828" s="15">
        <f t="shared" ref="AT828:AT829" si="2807">AS828-AO828</f>
        <v>0</v>
      </c>
      <c r="AU828" s="45">
        <f>AT828*$G$8</f>
        <v>0</v>
      </c>
      <c r="AV828" s="15"/>
      <c r="AW828" s="13">
        <v>0</v>
      </c>
      <c r="AX828" s="2">
        <f t="shared" ref="AX828:AX829" si="2808">AW828-AS828</f>
        <v>0</v>
      </c>
      <c r="AY828" s="45">
        <f>AX828*$G$8</f>
        <v>0</v>
      </c>
      <c r="AZ828" s="208"/>
      <c r="BA828" s="13">
        <v>0</v>
      </c>
      <c r="BB828" s="15">
        <f t="shared" ref="BB828:BB829" si="2809">BA828-AW828</f>
        <v>0</v>
      </c>
      <c r="BC828" s="45">
        <f>BB828*$G$8</f>
        <v>0</v>
      </c>
      <c r="BD828" s="208"/>
      <c r="BE828" s="40">
        <f t="shared" ref="BE828:BG828" si="2810">J828+N828+R828+V828+Z828+AD828+AH828+AL828+AP828+AT828+AX828+BB828</f>
        <v>0</v>
      </c>
      <c r="BF828" s="41">
        <f t="shared" si="2810"/>
        <v>0</v>
      </c>
      <c r="BG828" s="34">
        <f t="shared" si="2810"/>
        <v>0</v>
      </c>
      <c r="BH828" s="35">
        <f t="shared" si="2801"/>
        <v>0</v>
      </c>
      <c r="BK828" s="2" t="b">
        <f>H828='2019'!BH689</f>
        <v>1</v>
      </c>
    </row>
    <row r="829" ht="15.75" customHeight="1" hidden="1" spans="1:63" x14ac:dyDescent="0.25">
      <c r="A829" s="89">
        <v>88</v>
      </c>
      <c r="B829" s="14"/>
      <c r="C829" s="2" t="s">
        <v>309</v>
      </c>
      <c r="D829" s="14" t="s">
        <v>47</v>
      </c>
      <c r="E829" s="2" t="s">
        <v>48</v>
      </c>
      <c r="F829" s="13">
        <v>18.56</v>
      </c>
      <c r="G829" s="35">
        <v>19.46</v>
      </c>
      <c r="H829" s="34">
        <f>'2019'!BH690</f>
        <v>0</v>
      </c>
      <c r="I829" s="15"/>
      <c r="J829" s="15"/>
      <c r="K829" s="15"/>
      <c r="L829" s="28"/>
      <c r="Q829" s="13"/>
      <c r="R829" s="15"/>
      <c r="S829" s="15"/>
      <c r="T829" s="28"/>
      <c r="W829" s="34">
        <f>V829*$F$10</f>
        <v>0</v>
      </c>
      <c r="Y829" s="13"/>
      <c r="Z829" s="15">
        <f t="shared" si="2802"/>
        <v>0</v>
      </c>
      <c r="AA829" s="34">
        <f>Z829*$F$10</f>
        <v>0</v>
      </c>
      <c r="AB829" s="28"/>
      <c r="AC829" s="15"/>
      <c r="AD829" s="15">
        <f t="shared" si="2803"/>
        <v>0</v>
      </c>
      <c r="AE829" s="34">
        <f>AD829*$F$10</f>
        <v>0</v>
      </c>
      <c r="AG829" s="13"/>
      <c r="AH829" s="15">
        <f t="shared" si="2804"/>
        <v>0</v>
      </c>
      <c r="AI829" s="45">
        <f>AH829*$G$10</f>
        <v>0</v>
      </c>
      <c r="AJ829" s="15"/>
      <c r="AK829" s="13"/>
      <c r="AL829" s="15">
        <f t="shared" si="2805"/>
        <v>0</v>
      </c>
      <c r="AM829" s="45">
        <f>AL829*$G$10</f>
        <v>0</v>
      </c>
      <c r="AN829" s="15"/>
      <c r="AO829" s="13"/>
      <c r="AP829" s="15">
        <f t="shared" si="2806"/>
        <v>0</v>
      </c>
      <c r="AQ829" s="45">
        <f>AP829*$G$10</f>
        <v>0</v>
      </c>
      <c r="AR829" s="15"/>
      <c r="AS829" s="13"/>
      <c r="AT829" s="15">
        <f t="shared" si="2807"/>
        <v>0</v>
      </c>
      <c r="AU829" s="45">
        <f>AT829*$G$10</f>
        <v>0</v>
      </c>
      <c r="AV829" s="15"/>
      <c r="AW829" s="13"/>
      <c r="AX829" s="2">
        <f t="shared" si="2808"/>
        <v>0</v>
      </c>
      <c r="AY829" s="45"/>
      <c r="AZ829" s="208"/>
      <c r="BA829" s="13"/>
      <c r="BB829" s="15">
        <f t="shared" si="2809"/>
        <v>0</v>
      </c>
      <c r="BC829" s="45"/>
      <c r="BD829" s="208"/>
      <c r="BE829" s="40">
        <f t="shared" ref="BE829:BG829" si="2811">J829+N829+R829+V829+Z829+AD829+AH829+AL829+AP829+AT829+AX829+BB829</f>
        <v>0</v>
      </c>
      <c r="BF829" s="41">
        <f t="shared" si="2811"/>
        <v>0</v>
      </c>
      <c r="BG829" s="34">
        <f t="shared" si="2811"/>
        <v>0</v>
      </c>
      <c r="BH829" s="35">
        <f t="shared" si="2801"/>
        <v>0</v>
      </c>
      <c r="BK829" s="2" t="b">
        <f>H829='2019'!BH690</f>
        <v>1</v>
      </c>
    </row>
    <row r="830" ht="15.75" customHeight="1" hidden="1" spans="1:63" x14ac:dyDescent="0.25">
      <c r="A830" s="89">
        <v>88</v>
      </c>
      <c r="B830" s="14"/>
      <c r="C830" s="15" t="s">
        <v>72</v>
      </c>
      <c r="D830" s="14" t="s">
        <v>47</v>
      </c>
      <c r="E830" s="2" t="s">
        <v>49</v>
      </c>
      <c r="F830" s="41">
        <v>500</v>
      </c>
      <c r="G830" s="28"/>
      <c r="H830" s="144">
        <f>'2019'!BH691</f>
        <v>0</v>
      </c>
      <c r="I830" s="15"/>
      <c r="J830" s="15"/>
      <c r="K830" s="15"/>
      <c r="L830" s="28"/>
      <c r="Q830" s="13"/>
      <c r="R830" s="15"/>
      <c r="S830" s="15"/>
      <c r="T830" s="28"/>
      <c r="Y830" s="13"/>
      <c r="Z830" s="15"/>
      <c r="AA830" s="34"/>
      <c r="AB830" s="28"/>
      <c r="AC830" s="15"/>
      <c r="AG830" s="13"/>
      <c r="AH830" s="15"/>
      <c r="AI830" s="45"/>
      <c r="AJ830" s="15"/>
      <c r="AK830" s="13"/>
      <c r="AL830" s="15"/>
      <c r="AM830" s="45"/>
      <c r="AN830" s="15"/>
      <c r="AO830" s="13"/>
      <c r="AP830" s="15"/>
      <c r="AQ830" s="45"/>
      <c r="AR830" s="15"/>
      <c r="AS830" s="13"/>
      <c r="AT830" s="15"/>
      <c r="AU830" s="45"/>
      <c r="AV830" s="15"/>
      <c r="AW830" s="13"/>
      <c r="AY830" s="45"/>
      <c r="AZ830" s="28"/>
      <c r="BA830" s="13"/>
      <c r="BB830" s="15"/>
      <c r="BC830" s="45"/>
      <c r="BD830" s="28"/>
      <c r="BE830" s="40">
        <f t="shared" ref="BE830:BG830" si="2812">J830+N830+R830+V830+Z830+AD830+AH830+AL830+AP830+AT830+AX830+BB830</f>
        <v>0</v>
      </c>
      <c r="BF830" s="41">
        <f t="shared" si="2812"/>
        <v>0</v>
      </c>
      <c r="BG830" s="34">
        <f t="shared" si="2812"/>
        <v>0</v>
      </c>
      <c r="BH830" s="35">
        <f t="shared" si="2801"/>
        <v>0</v>
      </c>
      <c r="BK830" s="2" t="b">
        <f>H830='2019'!BH691</f>
        <v>1</v>
      </c>
    </row>
    <row r="831" ht="15.75" customHeight="1" hidden="1" spans="1:63" x14ac:dyDescent="0.25">
      <c r="A831" s="89">
        <v>88</v>
      </c>
      <c r="B831" s="14"/>
      <c r="C831" s="2" t="s">
        <v>310</v>
      </c>
      <c r="D831" s="14" t="s">
        <v>50</v>
      </c>
      <c r="E831" s="2" t="s">
        <v>49</v>
      </c>
      <c r="F831" s="41">
        <v>1100</v>
      </c>
      <c r="G831" s="28"/>
      <c r="H831" s="182">
        <f>'2019'!BH692-0.0024</f>
        <v>0</v>
      </c>
      <c r="I831" s="15"/>
      <c r="J831" s="15"/>
      <c r="K831" s="15"/>
      <c r="L831" s="28"/>
      <c r="Q831" s="13"/>
      <c r="R831" s="15"/>
      <c r="S831" s="15"/>
      <c r="T831" s="28"/>
      <c r="Y831" s="13"/>
      <c r="Z831" s="15"/>
      <c r="AA831" s="15"/>
      <c r="AB831" s="28"/>
      <c r="AE831" s="34">
        <f>B828*$F$12</f>
        <v>4653</v>
      </c>
      <c r="AG831" s="13"/>
      <c r="AH831" s="15"/>
      <c r="AI831" s="45"/>
      <c r="AJ831" s="34"/>
      <c r="AK831" s="13"/>
      <c r="AL831" s="15"/>
      <c r="AM831" s="45"/>
      <c r="AN831" s="15"/>
      <c r="AO831" s="13"/>
      <c r="AP831" s="15"/>
      <c r="AQ831" s="45"/>
      <c r="AR831" s="39">
        <v>4653</v>
      </c>
      <c r="AS831" s="13"/>
      <c r="AT831" s="15"/>
      <c r="AU831" s="45"/>
      <c r="AV831" s="15"/>
      <c r="AW831" s="13"/>
      <c r="AY831" s="45"/>
      <c r="AZ831" s="28"/>
      <c r="BA831" s="13"/>
      <c r="BB831" s="15"/>
      <c r="BC831" s="45"/>
      <c r="BD831" s="28"/>
      <c r="BE831" s="14"/>
      <c r="BF831" s="41">
        <f t="shared" ref="BF831:BG831" si="2813">K831+O831+S831+W831+AA831+AE831+AI831+AM831+AQ831+AU831+AY831+BC831</f>
        <v>4653</v>
      </c>
      <c r="BG831" s="34">
        <f t="shared" si="2813"/>
        <v>4653</v>
      </c>
      <c r="BH831" s="35">
        <f t="shared" si="2801"/>
        <v>0</v>
      </c>
      <c r="BK831" s="2" t="b">
        <f>H831='2019'!BH692</f>
        <v>0</v>
      </c>
    </row>
    <row r="832" ht="15.75" customHeight="1" hidden="1" spans="1:63" x14ac:dyDescent="0.25">
      <c r="A832" s="89">
        <v>88</v>
      </c>
      <c r="B832" s="14"/>
      <c r="D832" s="14" t="s">
        <v>51</v>
      </c>
      <c r="E832" s="2" t="s">
        <v>39</v>
      </c>
      <c r="F832" s="41">
        <v>500</v>
      </c>
      <c r="G832" s="28"/>
      <c r="H832" s="34">
        <f>'2019'!BH693</f>
        <v>0</v>
      </c>
      <c r="I832" s="15"/>
      <c r="J832" s="15"/>
      <c r="K832" s="15"/>
      <c r="L832" s="28"/>
      <c r="Q832" s="13"/>
      <c r="R832" s="15"/>
      <c r="S832" s="15"/>
      <c r="T832" s="28"/>
      <c r="Y832" s="13"/>
      <c r="Z832" s="15"/>
      <c r="AA832" s="15"/>
      <c r="AB832" s="28"/>
      <c r="AE832" s="34"/>
      <c r="AG832" s="13"/>
      <c r="AH832" s="15"/>
      <c r="AI832" s="45"/>
      <c r="AJ832" s="15"/>
      <c r="AK832" s="13"/>
      <c r="AL832" s="15"/>
      <c r="AM832" s="45"/>
      <c r="AN832" s="15"/>
      <c r="AO832" s="13"/>
      <c r="AP832" s="15"/>
      <c r="AQ832" s="45">
        <f>$F$13</f>
        <v>500</v>
      </c>
      <c r="AR832" s="15"/>
      <c r="AS832" s="13"/>
      <c r="AT832" s="15"/>
      <c r="AU832" s="45"/>
      <c r="AV832" s="15"/>
      <c r="AW832" s="13"/>
      <c r="AY832" s="45"/>
      <c r="AZ832" s="28"/>
      <c r="BA832" s="13"/>
      <c r="BB832" s="15"/>
      <c r="BC832" s="45"/>
      <c r="BD832" s="28"/>
      <c r="BE832" s="14"/>
      <c r="BF832" s="41">
        <f t="shared" ref="BF832:BG832" si="2814">K832+O832+S832+W832+AA832+AE832+AI832+AM832+AQ832+AU832+AY832+BC832</f>
        <v>500</v>
      </c>
      <c r="BG832" s="34">
        <f t="shared" si="2814"/>
        <v>0</v>
      </c>
      <c r="BH832" s="35">
        <f t="shared" si="2801"/>
        <v>500</v>
      </c>
      <c r="BK832" s="2" t="b">
        <f>H832='2019'!BH693</f>
        <v>1</v>
      </c>
    </row>
    <row r="833" ht="15.75" customHeight="1" hidden="1" spans="1:60" x14ac:dyDescent="0.25">
      <c r="A833" s="89">
        <v>88</v>
      </c>
      <c r="B833" s="14"/>
      <c r="D833" s="14" t="s">
        <v>51</v>
      </c>
      <c r="E833" s="2" t="s">
        <v>49</v>
      </c>
      <c r="F833" s="41">
        <v>500</v>
      </c>
      <c r="G833" s="28"/>
      <c r="H833" s="34"/>
      <c r="I833" s="15"/>
      <c r="J833" s="15"/>
      <c r="K833" s="15"/>
      <c r="L833" s="28"/>
      <c r="Q833" s="13"/>
      <c r="R833" s="15"/>
      <c r="S833" s="15"/>
      <c r="T833" s="28"/>
      <c r="Y833" s="13"/>
      <c r="Z833" s="15"/>
      <c r="AA833" s="15"/>
      <c r="AB833" s="28"/>
      <c r="AE833" s="34"/>
      <c r="AG833" s="13"/>
      <c r="AH833" s="15"/>
      <c r="AI833" s="45"/>
      <c r="AJ833" s="15"/>
      <c r="AK833" s="13"/>
      <c r="AL833" s="15"/>
      <c r="AM833" s="45"/>
      <c r="AN833" s="15"/>
      <c r="AO833" s="13"/>
      <c r="AP833" s="15"/>
      <c r="AQ833" s="34">
        <f>B828*$F$14</f>
        <v>2115</v>
      </c>
      <c r="AR833" s="15"/>
      <c r="AS833" s="13"/>
      <c r="AT833" s="15"/>
      <c r="AU833" s="45"/>
      <c r="AV833" s="15"/>
      <c r="AW833" s="13"/>
      <c r="AY833" s="45"/>
      <c r="AZ833" s="28"/>
      <c r="BA833" s="13"/>
      <c r="BB833" s="15"/>
      <c r="BC833" s="45"/>
      <c r="BD833" s="28"/>
      <c r="BE833" s="14"/>
      <c r="BF833" s="41">
        <f t="shared" ref="BF833:BG833" si="2815">K833+O833+S833+W833+AA833+AE833+AI833+AM833+AQ833+AU833+AY833+BC833</f>
        <v>2115</v>
      </c>
      <c r="BG833" s="34">
        <f t="shared" si="2815"/>
        <v>0</v>
      </c>
      <c r="BH833" s="35">
        <f t="shared" si="2801"/>
        <v>2115</v>
      </c>
    </row>
    <row r="834" ht="15.75" customHeight="1" hidden="1" spans="1:63" x14ac:dyDescent="0.25">
      <c r="A834" s="89">
        <v>88</v>
      </c>
      <c r="B834" s="14"/>
      <c r="D834" s="14" t="s">
        <v>52</v>
      </c>
      <c r="E834" s="2" t="s">
        <v>39</v>
      </c>
      <c r="F834" s="41">
        <v>500</v>
      </c>
      <c r="G834" s="28"/>
      <c r="H834" s="34">
        <f>'2019'!BH694</f>
        <v>0</v>
      </c>
      <c r="I834" s="15"/>
      <c r="J834" s="15"/>
      <c r="K834" s="15"/>
      <c r="L834" s="28"/>
      <c r="Q834" s="13"/>
      <c r="R834" s="15"/>
      <c r="S834" s="15"/>
      <c r="T834" s="28"/>
      <c r="Y834" s="13"/>
      <c r="Z834" s="15"/>
      <c r="AA834" s="34">
        <f>$F$11</f>
        <v>500</v>
      </c>
      <c r="AB834" s="28"/>
      <c r="AG834" s="13"/>
      <c r="AH834" s="15"/>
      <c r="AI834" s="45"/>
      <c r="AJ834" s="15"/>
      <c r="AK834" s="13"/>
      <c r="AL834" s="15"/>
      <c r="AM834" s="45"/>
      <c r="AN834" s="15"/>
      <c r="AO834" s="13"/>
      <c r="AP834" s="15"/>
      <c r="AQ834" s="45"/>
      <c r="AR834" s="39">
        <v>500</v>
      </c>
      <c r="AS834" s="13"/>
      <c r="AT834" s="15"/>
      <c r="AU834" s="45"/>
      <c r="AV834" s="15"/>
      <c r="AW834" s="13"/>
      <c r="AY834" s="45"/>
      <c r="AZ834" s="35"/>
      <c r="BA834" s="13"/>
      <c r="BB834" s="15"/>
      <c r="BC834" s="45"/>
      <c r="BD834" s="35"/>
      <c r="BE834" s="14"/>
      <c r="BF834" s="41">
        <f t="shared" ref="BF834:BG834" si="2816">K834+O834+S834+W834+AA834+AE834+AI834+AM834+AQ834+AU834+AY834+BC834</f>
        <v>500</v>
      </c>
      <c r="BG834" s="34">
        <f t="shared" si="2816"/>
        <v>500</v>
      </c>
      <c r="BH834" s="35">
        <f t="shared" si="2801"/>
        <v>0</v>
      </c>
      <c r="BK834" s="2" t="b">
        <f>H834='2019'!BH694</f>
        <v>1</v>
      </c>
    </row>
    <row r="835" ht="15.75" customHeight="1" hidden="1" spans="1:63" x14ac:dyDescent="0.25">
      <c r="A835" s="247">
        <v>88</v>
      </c>
      <c r="B835" s="21"/>
      <c r="C835" s="22" t="s">
        <v>53</v>
      </c>
      <c r="D835" s="21"/>
      <c r="E835" s="22"/>
      <c r="F835" s="20"/>
      <c r="G835" s="23"/>
      <c r="H835" s="51">
        <f>SUM(H827:H834)</f>
        <v>1.22</v>
      </c>
      <c r="I835" s="53"/>
      <c r="J835" s="53"/>
      <c r="K835" s="51">
        <f t="shared" ref="K835:L835" si="2817">SUM(K827:K834)</f>
        <v>0</v>
      </c>
      <c r="L835" s="68">
        <f t="shared" si="2817"/>
        <v>0</v>
      </c>
      <c r="M835" s="53"/>
      <c r="N835" s="53"/>
      <c r="O835" s="51">
        <f t="shared" ref="O835:P835" si="2818">SUM(O827:O834)</f>
        <v>0</v>
      </c>
      <c r="P835" s="51">
        <f t="shared" si="2818"/>
        <v>0</v>
      </c>
      <c r="Q835" s="52"/>
      <c r="R835" s="53"/>
      <c r="S835" s="51">
        <f t="shared" ref="S835:T835" si="2819">SUM(S827:S834)</f>
        <v>0</v>
      </c>
      <c r="T835" s="51">
        <f t="shared" si="2819"/>
        <v>0</v>
      </c>
      <c r="U835" s="52"/>
      <c r="V835" s="53"/>
      <c r="W835" s="51">
        <f t="shared" ref="W835:X835" si="2820">SUM(W827:W834)</f>
        <v>0</v>
      </c>
      <c r="X835" s="51">
        <f t="shared" si="2820"/>
        <v>0</v>
      </c>
      <c r="Y835" s="52"/>
      <c r="Z835" s="53"/>
      <c r="AA835" s="51">
        <f t="shared" ref="AA835:AB835" si="2821">SUM(AA827:AA834)</f>
        <v>500</v>
      </c>
      <c r="AB835" s="51">
        <f t="shared" si="2821"/>
        <v>0</v>
      </c>
      <c r="AC835" s="52"/>
      <c r="AD835" s="53"/>
      <c r="AE835" s="51">
        <f t="shared" ref="AE835:AF835" si="2822">SUM(AE827:AE834)</f>
        <v>4653</v>
      </c>
      <c r="AF835" s="51">
        <f t="shared" si="2822"/>
        <v>0</v>
      </c>
      <c r="AG835" s="52"/>
      <c r="AH835" s="53"/>
      <c r="AI835" s="183">
        <f t="shared" ref="AI835:AJ835" si="2823">SUM(AI827:AI834)</f>
        <v>0</v>
      </c>
      <c r="AJ835" s="51">
        <f t="shared" si="2823"/>
        <v>0</v>
      </c>
      <c r="AK835" s="52"/>
      <c r="AL835" s="53"/>
      <c r="AM835" s="183">
        <f t="shared" ref="AM835:AN835" si="2824">SUM(AM827:AM834)</f>
        <v>0</v>
      </c>
      <c r="AN835" s="51">
        <f t="shared" si="2824"/>
        <v>0</v>
      </c>
      <c r="AO835" s="52"/>
      <c r="AP835" s="53"/>
      <c r="AQ835" s="183">
        <f t="shared" ref="AQ835:AR835" si="2825">SUM(AQ827:AQ834)</f>
        <v>2624.77</v>
      </c>
      <c r="AR835" s="51">
        <f t="shared" si="2825"/>
        <v>5154.22</v>
      </c>
      <c r="AS835" s="52"/>
      <c r="AT835" s="53"/>
      <c r="AU835" s="183">
        <f t="shared" ref="AU835:AV835" si="2826">SUM(AU827:AU834)</f>
        <v>0</v>
      </c>
      <c r="AV835" s="68">
        <f t="shared" si="2826"/>
        <v>0</v>
      </c>
      <c r="AW835" s="52"/>
      <c r="AX835" s="53"/>
      <c r="AY835" s="183">
        <f t="shared" ref="AY835:AZ835" si="2827">SUM(AY827:AY834)</f>
        <v>0</v>
      </c>
      <c r="AZ835" s="68">
        <f t="shared" si="2827"/>
        <v>0</v>
      </c>
      <c r="BA835" s="52"/>
      <c r="BB835" s="53"/>
      <c r="BC835" s="183">
        <f t="shared" ref="BC835:BD835" si="2828">SUM(BC827:BC834)</f>
        <v>0</v>
      </c>
      <c r="BD835" s="68">
        <f t="shared" si="2828"/>
        <v>0</v>
      </c>
      <c r="BE835" s="69"/>
      <c r="BF835" s="70">
        <f t="shared" ref="BF835:BH835" si="2829">SUM(BF827:BF834)</f>
        <v>7777.77</v>
      </c>
      <c r="BG835" s="71">
        <f t="shared" si="2829"/>
        <v>5154.22</v>
      </c>
      <c r="BH835" s="72">
        <f t="shared" si="2829"/>
        <v>2624.77</v>
      </c>
      <c r="BI835" s="34">
        <f>H835+BF835-BG835</f>
        <v>2624.77</v>
      </c>
      <c r="BJ835" s="34">
        <f>BH835-BI835</f>
        <v>0</v>
      </c>
      <c r="BK835" s="2" t="b">
        <f>H835='2019'!BH695</f>
        <v>0</v>
      </c>
    </row>
    <row r="836" ht="15.75" customHeight="1" hidden="1" spans="1:63" x14ac:dyDescent="0.25">
      <c r="A836" s="89">
        <v>90</v>
      </c>
      <c r="B836" s="14"/>
      <c r="D836" s="14" t="s">
        <v>379</v>
      </c>
      <c r="F836" s="13"/>
      <c r="G836" s="28"/>
      <c r="H836" s="34">
        <f>'2019'!BH696</f>
        <v>1.22</v>
      </c>
      <c r="J836" s="15"/>
      <c r="K836" s="15"/>
      <c r="L836" s="28"/>
      <c r="Q836" s="13"/>
      <c r="R836" s="15"/>
      <c r="S836" s="15"/>
      <c r="T836" s="28"/>
      <c r="Y836" s="13"/>
      <c r="Z836" s="15"/>
      <c r="AA836" s="15"/>
      <c r="AB836" s="28"/>
      <c r="AG836" s="13"/>
      <c r="AH836" s="15"/>
      <c r="AI836" s="45"/>
      <c r="AJ836" s="15"/>
      <c r="AK836" s="13"/>
      <c r="AM836" s="45"/>
      <c r="AO836" s="13"/>
      <c r="AQ836" s="45">
        <v>9.77</v>
      </c>
      <c r="AR836" s="1">
        <v>1.22</v>
      </c>
      <c r="AS836" s="13"/>
      <c r="AU836" s="45"/>
      <c r="AW836" s="13"/>
      <c r="AY836" s="45"/>
      <c r="AZ836" s="28"/>
      <c r="BA836" s="13"/>
      <c r="BB836" s="15"/>
      <c r="BC836" s="45"/>
      <c r="BD836" s="28"/>
      <c r="BE836" s="14"/>
      <c r="BF836" s="41">
        <f t="shared" ref="BF836:BG836" si="2830">K836+O836+S836+W836+AA836+AE836+AI836+AM836+AQ836+AU836+AY836+BC836</f>
        <v>9.77</v>
      </c>
      <c r="BG836" s="34">
        <f t="shared" si="2830"/>
        <v>1.22</v>
      </c>
      <c r="BH836" s="35">
        <f t="shared" ref="BH836:BH843" si="2831">H836+BF836-BG836</f>
        <v>9.77</v>
      </c>
      <c r="BK836" s="2" t="b">
        <f>H836='2019'!BH696</f>
        <v>1</v>
      </c>
    </row>
    <row r="837" ht="15.75" customHeight="1" hidden="1" spans="1:63" x14ac:dyDescent="0.25">
      <c r="A837" s="89">
        <v>90</v>
      </c>
      <c r="B837" s="14">
        <v>4.23</v>
      </c>
      <c r="C837" s="2" t="s">
        <v>311</v>
      </c>
      <c r="D837" s="14" t="s">
        <v>44</v>
      </c>
      <c r="E837" s="2" t="s">
        <v>45</v>
      </c>
      <c r="F837" s="41">
        <v>2.5</v>
      </c>
      <c r="G837" s="35">
        <v>2.6</v>
      </c>
      <c r="H837" s="104">
        <f>'2019'!BH697</f>
        <v>0</v>
      </c>
      <c r="I837" s="15"/>
      <c r="J837" s="15"/>
      <c r="K837" s="34">
        <f>J837*$F$8</f>
        <v>0</v>
      </c>
      <c r="L837" s="28"/>
      <c r="N837" s="15"/>
      <c r="O837" s="34">
        <f>N837*$F$8</f>
        <v>0</v>
      </c>
      <c r="Q837" s="13"/>
      <c r="R837" s="15">
        <f>Q837-M837</f>
        <v>0</v>
      </c>
      <c r="S837" s="34">
        <f>R837*$F$8</f>
        <v>0</v>
      </c>
      <c r="T837" s="28"/>
      <c r="V837" s="15">
        <f>U837-Q837</f>
        <v>0</v>
      </c>
      <c r="W837" s="34">
        <f>V837*$F$8</f>
        <v>0</v>
      </c>
      <c r="Y837" s="13"/>
      <c r="Z837" s="15">
        <f t="shared" ref="Z837:Z838" si="2832">Y837-U837</f>
        <v>0</v>
      </c>
      <c r="AA837" s="34">
        <f>Z837*$F$8</f>
        <v>0</v>
      </c>
      <c r="AB837" s="28"/>
      <c r="AC837" s="15"/>
      <c r="AD837" s="15">
        <f t="shared" ref="AD837:AD838" si="2833">AC837-Y837</f>
        <v>0</v>
      </c>
      <c r="AE837" s="34">
        <f>AD837*$F$8</f>
        <v>0</v>
      </c>
      <c r="AG837" s="13"/>
      <c r="AH837" s="15">
        <f t="shared" ref="AH837:AH838" si="2834">AG837-AC837</f>
        <v>0</v>
      </c>
      <c r="AI837" s="45">
        <f>AH837*$G$8</f>
        <v>0</v>
      </c>
      <c r="AJ837" s="15"/>
      <c r="AK837" s="13">
        <v>0</v>
      </c>
      <c r="AL837" s="15">
        <f t="shared" ref="AL837:AL838" si="2835">AK837-AG837</f>
        <v>0</v>
      </c>
      <c r="AM837" s="45">
        <f>AL837*$G$8</f>
        <v>0</v>
      </c>
      <c r="AN837" s="15"/>
      <c r="AO837" s="13">
        <v>0</v>
      </c>
      <c r="AP837" s="15">
        <f t="shared" ref="AP837:AP838" si="2836">AO837-AK837</f>
        <v>0</v>
      </c>
      <c r="AQ837" s="45">
        <f>AP837*$G$8</f>
        <v>0</v>
      </c>
      <c r="AR837" s="15"/>
      <c r="AS837" s="13">
        <v>0</v>
      </c>
      <c r="AT837" s="15">
        <f t="shared" ref="AT837:AT838" si="2837">AS837-AO837</f>
        <v>0</v>
      </c>
      <c r="AU837" s="45">
        <f>AT837*$G$8</f>
        <v>0</v>
      </c>
      <c r="AV837" s="15"/>
      <c r="AW837" s="13">
        <v>0</v>
      </c>
      <c r="AX837" s="2">
        <f t="shared" ref="AX837:AX838" si="2838">AW837-AS837</f>
        <v>0</v>
      </c>
      <c r="AY837" s="45">
        <f>AX837*$G$8</f>
        <v>0</v>
      </c>
      <c r="AZ837" s="208"/>
      <c r="BA837" s="13">
        <v>0</v>
      </c>
      <c r="BB837" s="15">
        <f t="shared" ref="BB837:BB838" si="2839">BA837-AW837</f>
        <v>0</v>
      </c>
      <c r="BC837" s="45">
        <f>BB837*$G$8</f>
        <v>0</v>
      </c>
      <c r="BD837" s="208"/>
      <c r="BE837" s="40">
        <f t="shared" ref="BE837:BG837" si="2840">J837+N837+R837+V837+Z837+AD837+AH837+AL837+AP837+AT837+AX837+BB837</f>
        <v>0</v>
      </c>
      <c r="BF837" s="41">
        <f t="shared" si="2840"/>
        <v>0</v>
      </c>
      <c r="BG837" s="34">
        <f t="shared" si="2840"/>
        <v>0</v>
      </c>
      <c r="BH837" s="35">
        <f t="shared" si="2831"/>
        <v>0</v>
      </c>
      <c r="BK837" s="2" t="b">
        <f>H837='2019'!BH697</f>
        <v>1</v>
      </c>
    </row>
    <row r="838" ht="15.75" customHeight="1" hidden="1" spans="1:63" x14ac:dyDescent="0.25">
      <c r="A838" s="89">
        <v>90</v>
      </c>
      <c r="B838" s="14"/>
      <c r="C838" s="2" t="s">
        <v>83</v>
      </c>
      <c r="D838" s="14" t="s">
        <v>47</v>
      </c>
      <c r="E838" s="2" t="s">
        <v>48</v>
      </c>
      <c r="F838" s="13">
        <v>18.56</v>
      </c>
      <c r="G838" s="35">
        <v>19.46</v>
      </c>
      <c r="H838" s="34">
        <f>'2019'!BH698</f>
        <v>0</v>
      </c>
      <c r="I838" s="15"/>
      <c r="J838" s="15"/>
      <c r="K838" s="15"/>
      <c r="L838" s="28"/>
      <c r="Q838" s="13"/>
      <c r="R838" s="15"/>
      <c r="S838" s="15"/>
      <c r="T838" s="28"/>
      <c r="W838" s="34">
        <f>V838*$F$10</f>
        <v>0</v>
      </c>
      <c r="Y838" s="13"/>
      <c r="Z838" s="15">
        <f t="shared" si="2832"/>
        <v>0</v>
      </c>
      <c r="AA838" s="34">
        <f>Z838*$F$10</f>
        <v>0</v>
      </c>
      <c r="AB838" s="28"/>
      <c r="AC838" s="15"/>
      <c r="AD838" s="15">
        <f t="shared" si="2833"/>
        <v>0</v>
      </c>
      <c r="AE838" s="34">
        <f>AD838*$F$10</f>
        <v>0</v>
      </c>
      <c r="AG838" s="13"/>
      <c r="AH838" s="15">
        <f t="shared" si="2834"/>
        <v>0</v>
      </c>
      <c r="AI838" s="45">
        <f>AH838*$G$10</f>
        <v>0</v>
      </c>
      <c r="AJ838" s="15"/>
      <c r="AK838" s="13"/>
      <c r="AL838" s="15">
        <f t="shared" si="2835"/>
        <v>0</v>
      </c>
      <c r="AM838" s="45">
        <f>AL838*$G$10</f>
        <v>0</v>
      </c>
      <c r="AN838" s="15"/>
      <c r="AO838" s="13"/>
      <c r="AP838" s="15">
        <f t="shared" si="2836"/>
        <v>0</v>
      </c>
      <c r="AQ838" s="45">
        <f>AP838*$G$10</f>
        <v>0</v>
      </c>
      <c r="AR838" s="15"/>
      <c r="AS838" s="13"/>
      <c r="AT838" s="15">
        <f t="shared" si="2837"/>
        <v>0</v>
      </c>
      <c r="AU838" s="45">
        <f>AT838*$G$10</f>
        <v>0</v>
      </c>
      <c r="AV838" s="15"/>
      <c r="AW838" s="13"/>
      <c r="AX838" s="2">
        <f t="shared" si="2838"/>
        <v>0</v>
      </c>
      <c r="AY838" s="45"/>
      <c r="AZ838" s="208"/>
      <c r="BA838" s="13"/>
      <c r="BB838" s="15">
        <f t="shared" si="2839"/>
        <v>0</v>
      </c>
      <c r="BC838" s="45"/>
      <c r="BD838" s="208"/>
      <c r="BE838" s="40">
        <f t="shared" ref="BE838:BG838" si="2841">J838+N838+R838+V838+Z838+AD838+AH838+AL838+AP838+AT838+AX838+BB838</f>
        <v>0</v>
      </c>
      <c r="BF838" s="41">
        <f t="shared" si="2841"/>
        <v>0</v>
      </c>
      <c r="BG838" s="34">
        <f t="shared" si="2841"/>
        <v>0</v>
      </c>
      <c r="BH838" s="35">
        <f t="shared" si="2831"/>
        <v>0</v>
      </c>
      <c r="BK838" s="2" t="b">
        <f>H838='2019'!BH698</f>
        <v>1</v>
      </c>
    </row>
    <row r="839" ht="15.75" customHeight="1" hidden="1" spans="1:63" x14ac:dyDescent="0.25">
      <c r="A839" s="89">
        <v>90</v>
      </c>
      <c r="B839" s="14"/>
      <c r="C839" s="15" t="s">
        <v>107</v>
      </c>
      <c r="D839" s="14" t="s">
        <v>47</v>
      </c>
      <c r="E839" s="2" t="s">
        <v>49</v>
      </c>
      <c r="F839" s="41">
        <v>500</v>
      </c>
      <c r="G839" s="28"/>
      <c r="H839" s="144">
        <f>'2019'!BH699</f>
        <v>0</v>
      </c>
      <c r="I839" s="15"/>
      <c r="J839" s="15"/>
      <c r="K839" s="15"/>
      <c r="L839" s="28"/>
      <c r="Q839" s="13"/>
      <c r="R839" s="15"/>
      <c r="S839" s="15"/>
      <c r="T839" s="28"/>
      <c r="Y839" s="13"/>
      <c r="Z839" s="15"/>
      <c r="AA839" s="34"/>
      <c r="AB839" s="28"/>
      <c r="AC839" s="15"/>
      <c r="AG839" s="13"/>
      <c r="AH839" s="15"/>
      <c r="AI839" s="45"/>
      <c r="AJ839" s="15"/>
      <c r="AK839" s="13"/>
      <c r="AL839" s="15"/>
      <c r="AM839" s="45"/>
      <c r="AN839" s="15"/>
      <c r="AO839" s="13"/>
      <c r="AP839" s="15"/>
      <c r="AQ839" s="45"/>
      <c r="AR839" s="15"/>
      <c r="AS839" s="13"/>
      <c r="AT839" s="15"/>
      <c r="AU839" s="45"/>
      <c r="AV839" s="15"/>
      <c r="AW839" s="13"/>
      <c r="AY839" s="45"/>
      <c r="AZ839" s="28"/>
      <c r="BA839" s="13"/>
      <c r="BB839" s="15"/>
      <c r="BC839" s="45"/>
      <c r="BD839" s="28"/>
      <c r="BE839" s="40">
        <f t="shared" ref="BE839:BG839" si="2842">J839+N839+R839+V839+Z839+AD839+AH839+AL839+AP839+AT839+AX839+BB839</f>
        <v>0</v>
      </c>
      <c r="BF839" s="41">
        <f t="shared" si="2842"/>
        <v>0</v>
      </c>
      <c r="BG839" s="34">
        <f t="shared" si="2842"/>
        <v>0</v>
      </c>
      <c r="BH839" s="35">
        <f t="shared" si="2831"/>
        <v>0</v>
      </c>
      <c r="BK839" s="2" t="b">
        <f>H839='2019'!BH699</f>
        <v>1</v>
      </c>
    </row>
    <row r="840" ht="15.75" customHeight="1" hidden="1" spans="1:63" x14ac:dyDescent="0.25">
      <c r="A840" s="89">
        <v>90</v>
      </c>
      <c r="B840" s="14"/>
      <c r="D840" s="14" t="s">
        <v>50</v>
      </c>
      <c r="E840" s="2" t="s">
        <v>49</v>
      </c>
      <c r="F840" s="41">
        <v>1100</v>
      </c>
      <c r="G840" s="28"/>
      <c r="H840" s="182">
        <f>'2019'!BH700-0.0024</f>
        <v>0</v>
      </c>
      <c r="I840" s="15"/>
      <c r="J840" s="15"/>
      <c r="K840" s="15"/>
      <c r="L840" s="28"/>
      <c r="Q840" s="13"/>
      <c r="R840" s="15"/>
      <c r="S840" s="15"/>
      <c r="T840" s="28"/>
      <c r="Y840" s="13"/>
      <c r="Z840" s="15"/>
      <c r="AA840" s="15"/>
      <c r="AB840" s="28"/>
      <c r="AE840" s="34">
        <f>B837*$F$12</f>
        <v>4653</v>
      </c>
      <c r="AG840" s="13"/>
      <c r="AH840" s="15"/>
      <c r="AI840" s="45"/>
      <c r="AJ840" s="34"/>
      <c r="AK840" s="13"/>
      <c r="AL840" s="15"/>
      <c r="AM840" s="45"/>
      <c r="AN840" s="15"/>
      <c r="AO840" s="13"/>
      <c r="AP840" s="15"/>
      <c r="AQ840" s="45"/>
      <c r="AR840" s="39">
        <v>4653</v>
      </c>
      <c r="AS840" s="13"/>
      <c r="AT840" s="15"/>
      <c r="AU840" s="45"/>
      <c r="AV840" s="15"/>
      <c r="AW840" s="13"/>
      <c r="AY840" s="45"/>
      <c r="AZ840" s="28"/>
      <c r="BA840" s="13"/>
      <c r="BB840" s="15"/>
      <c r="BC840" s="45"/>
      <c r="BD840" s="28"/>
      <c r="BE840" s="14"/>
      <c r="BF840" s="41">
        <f t="shared" ref="BF840:BG840" si="2843">K840+O840+S840+W840+AA840+AE840+AI840+AM840+AQ840+AU840+AY840+BC840</f>
        <v>4653</v>
      </c>
      <c r="BG840" s="34">
        <f t="shared" si="2843"/>
        <v>4653</v>
      </c>
      <c r="BH840" s="35">
        <f t="shared" si="2831"/>
        <v>0</v>
      </c>
      <c r="BK840" s="2" t="b">
        <f>H840='2019'!BH700</f>
        <v>0</v>
      </c>
    </row>
    <row r="841" ht="15.75" customHeight="1" hidden="1" spans="1:63" x14ac:dyDescent="0.25">
      <c r="A841" s="89">
        <v>90</v>
      </c>
      <c r="B841" s="14"/>
      <c r="D841" s="14" t="s">
        <v>51</v>
      </c>
      <c r="E841" s="2" t="s">
        <v>39</v>
      </c>
      <c r="F841" s="41">
        <v>500</v>
      </c>
      <c r="G841" s="28"/>
      <c r="H841" s="34">
        <f>'2019'!BH701</f>
        <v>0</v>
      </c>
      <c r="I841" s="15"/>
      <c r="J841" s="15"/>
      <c r="K841" s="15"/>
      <c r="L841" s="28"/>
      <c r="Q841" s="13"/>
      <c r="R841" s="15"/>
      <c r="S841" s="15"/>
      <c r="T841" s="28"/>
      <c r="Y841" s="13"/>
      <c r="Z841" s="15"/>
      <c r="AA841" s="15"/>
      <c r="AB841" s="28"/>
      <c r="AE841" s="34"/>
      <c r="AG841" s="13"/>
      <c r="AH841" s="15"/>
      <c r="AI841" s="45"/>
      <c r="AJ841" s="15"/>
      <c r="AK841" s="13"/>
      <c r="AL841" s="15"/>
      <c r="AM841" s="45"/>
      <c r="AN841" s="15"/>
      <c r="AO841" s="13"/>
      <c r="AP841" s="15"/>
      <c r="AQ841" s="45">
        <f>$F$13</f>
        <v>500</v>
      </c>
      <c r="AR841" s="15"/>
      <c r="AS841" s="13"/>
      <c r="AT841" s="15"/>
      <c r="AU841" s="45"/>
      <c r="AV841" s="15"/>
      <c r="AW841" s="13"/>
      <c r="AY841" s="45"/>
      <c r="AZ841" s="28"/>
      <c r="BA841" s="13"/>
      <c r="BB841" s="15"/>
      <c r="BC841" s="45"/>
      <c r="BD841" s="28"/>
      <c r="BE841" s="14"/>
      <c r="BF841" s="41">
        <f t="shared" ref="BF841:BG841" si="2844">K841+O841+S841+W841+AA841+AE841+AI841+AM841+AQ841+AU841+AY841+BC841</f>
        <v>500</v>
      </c>
      <c r="BG841" s="34">
        <f t="shared" si="2844"/>
        <v>0</v>
      </c>
      <c r="BH841" s="35">
        <f t="shared" si="2831"/>
        <v>500</v>
      </c>
      <c r="BK841" s="2" t="b">
        <f>H841='2019'!BH701</f>
        <v>1</v>
      </c>
    </row>
    <row r="842" ht="15.75" customHeight="1" hidden="1" spans="1:60" x14ac:dyDescent="0.25">
      <c r="A842" s="89">
        <v>90</v>
      </c>
      <c r="B842" s="14"/>
      <c r="D842" s="14" t="s">
        <v>51</v>
      </c>
      <c r="E842" s="2" t="s">
        <v>49</v>
      </c>
      <c r="F842" s="41">
        <v>500</v>
      </c>
      <c r="G842" s="28"/>
      <c r="H842" s="34"/>
      <c r="I842" s="15"/>
      <c r="J842" s="15"/>
      <c r="K842" s="15"/>
      <c r="L842" s="28"/>
      <c r="Q842" s="13"/>
      <c r="R842" s="15"/>
      <c r="S842" s="15"/>
      <c r="T842" s="28"/>
      <c r="Y842" s="13"/>
      <c r="Z842" s="15"/>
      <c r="AA842" s="15"/>
      <c r="AB842" s="28"/>
      <c r="AE842" s="34"/>
      <c r="AG842" s="13"/>
      <c r="AH842" s="15"/>
      <c r="AI842" s="45"/>
      <c r="AJ842" s="15"/>
      <c r="AK842" s="13"/>
      <c r="AL842" s="15"/>
      <c r="AM842" s="45"/>
      <c r="AN842" s="15"/>
      <c r="AO842" s="13"/>
      <c r="AP842" s="15"/>
      <c r="AQ842" s="34">
        <f>B837*$F$14</f>
        <v>2115</v>
      </c>
      <c r="AR842" s="15"/>
      <c r="AS842" s="13"/>
      <c r="AT842" s="15"/>
      <c r="AU842" s="45"/>
      <c r="AV842" s="15"/>
      <c r="AW842" s="13"/>
      <c r="AY842" s="45"/>
      <c r="AZ842" s="28"/>
      <c r="BA842" s="13"/>
      <c r="BB842" s="15"/>
      <c r="BC842" s="45"/>
      <c r="BD842" s="28"/>
      <c r="BE842" s="14"/>
      <c r="BF842" s="41">
        <f t="shared" ref="BF842:BG842" si="2845">K842+O842+S842+W842+AA842+AE842+AI842+AM842+AQ842+AU842+AY842+BC842</f>
        <v>2115</v>
      </c>
      <c r="BG842" s="34">
        <f t="shared" si="2845"/>
        <v>0</v>
      </c>
      <c r="BH842" s="35">
        <f t="shared" si="2831"/>
        <v>2115</v>
      </c>
    </row>
    <row r="843" ht="15.75" customHeight="1" hidden="1" spans="1:63" x14ac:dyDescent="0.25">
      <c r="A843" s="89">
        <v>90</v>
      </c>
      <c r="B843" s="14"/>
      <c r="D843" s="14" t="s">
        <v>52</v>
      </c>
      <c r="E843" s="2" t="s">
        <v>39</v>
      </c>
      <c r="F843" s="41">
        <v>500</v>
      </c>
      <c r="G843" s="28"/>
      <c r="H843" s="34">
        <f>'2019'!BH702</f>
        <v>0</v>
      </c>
      <c r="I843" s="15"/>
      <c r="J843" s="15"/>
      <c r="K843" s="15"/>
      <c r="L843" s="28"/>
      <c r="Q843" s="13"/>
      <c r="R843" s="15"/>
      <c r="S843" s="15"/>
      <c r="T843" s="28"/>
      <c r="Y843" s="13"/>
      <c r="Z843" s="15"/>
      <c r="AA843" s="34">
        <f>$F$11</f>
        <v>500</v>
      </c>
      <c r="AB843" s="28"/>
      <c r="AG843" s="13"/>
      <c r="AH843" s="15"/>
      <c r="AI843" s="45"/>
      <c r="AJ843" s="15"/>
      <c r="AK843" s="13"/>
      <c r="AL843" s="15"/>
      <c r="AM843" s="45"/>
      <c r="AN843" s="15"/>
      <c r="AO843" s="13"/>
      <c r="AP843" s="15"/>
      <c r="AQ843" s="45"/>
      <c r="AR843" s="39">
        <v>500</v>
      </c>
      <c r="AS843" s="13"/>
      <c r="AT843" s="15"/>
      <c r="AU843" s="45"/>
      <c r="AV843" s="15"/>
      <c r="AW843" s="13"/>
      <c r="AY843" s="45"/>
      <c r="AZ843" s="35"/>
      <c r="BA843" s="13"/>
      <c r="BB843" s="15"/>
      <c r="BC843" s="45"/>
      <c r="BD843" s="35"/>
      <c r="BE843" s="14"/>
      <c r="BF843" s="41">
        <f t="shared" ref="BF843:BG843" si="2846">K843+O843+S843+W843+AA843+AE843+AI843+AM843+AQ843+AU843+AY843+BC843</f>
        <v>500</v>
      </c>
      <c r="BG843" s="34">
        <f t="shared" si="2846"/>
        <v>500</v>
      </c>
      <c r="BH843" s="35">
        <f t="shared" si="2831"/>
        <v>0</v>
      </c>
      <c r="BK843" s="2" t="b">
        <f>H843='2019'!BH702</f>
        <v>1</v>
      </c>
    </row>
    <row r="844" ht="15.75" customHeight="1" hidden="1" spans="1:63" x14ac:dyDescent="0.25">
      <c r="A844" s="247">
        <v>90</v>
      </c>
      <c r="B844" s="21"/>
      <c r="C844" s="22" t="s">
        <v>53</v>
      </c>
      <c r="D844" s="21"/>
      <c r="E844" s="22"/>
      <c r="F844" s="20"/>
      <c r="G844" s="23"/>
      <c r="H844" s="51">
        <f>SUM(H836:H843)</f>
        <v>1.22</v>
      </c>
      <c r="I844" s="53"/>
      <c r="J844" s="53"/>
      <c r="K844" s="51">
        <f t="shared" ref="K844:L844" si="2847">SUM(K836:K843)</f>
        <v>0</v>
      </c>
      <c r="L844" s="68">
        <f t="shared" si="2847"/>
        <v>0</v>
      </c>
      <c r="M844" s="53"/>
      <c r="N844" s="53"/>
      <c r="O844" s="51">
        <f t="shared" ref="O844:P844" si="2848">SUM(O836:O843)</f>
        <v>0</v>
      </c>
      <c r="P844" s="51">
        <f t="shared" si="2848"/>
        <v>0</v>
      </c>
      <c r="Q844" s="52"/>
      <c r="R844" s="53"/>
      <c r="S844" s="51">
        <f t="shared" ref="S844:T844" si="2849">SUM(S836:S843)</f>
        <v>0</v>
      </c>
      <c r="T844" s="51">
        <f t="shared" si="2849"/>
        <v>0</v>
      </c>
      <c r="U844" s="52"/>
      <c r="V844" s="53"/>
      <c r="W844" s="51">
        <f t="shared" ref="W844:X844" si="2850">SUM(W836:W843)</f>
        <v>0</v>
      </c>
      <c r="X844" s="51">
        <f t="shared" si="2850"/>
        <v>0</v>
      </c>
      <c r="Y844" s="52"/>
      <c r="Z844" s="53"/>
      <c r="AA844" s="51">
        <f t="shared" ref="AA844:AB844" si="2851">SUM(AA836:AA843)</f>
        <v>500</v>
      </c>
      <c r="AB844" s="51">
        <f t="shared" si="2851"/>
        <v>0</v>
      </c>
      <c r="AC844" s="52"/>
      <c r="AD844" s="53"/>
      <c r="AE844" s="51">
        <f t="shared" ref="AE844:AF844" si="2852">SUM(AE836:AE843)</f>
        <v>4653</v>
      </c>
      <c r="AF844" s="51">
        <f t="shared" si="2852"/>
        <v>0</v>
      </c>
      <c r="AG844" s="52"/>
      <c r="AH844" s="53"/>
      <c r="AI844" s="183">
        <f t="shared" ref="AI844:AJ844" si="2853">SUM(AI836:AI843)</f>
        <v>0</v>
      </c>
      <c r="AJ844" s="51">
        <f t="shared" si="2853"/>
        <v>0</v>
      </c>
      <c r="AK844" s="52"/>
      <c r="AL844" s="53"/>
      <c r="AM844" s="183">
        <f t="shared" ref="AM844:AN844" si="2854">SUM(AM836:AM843)</f>
        <v>0</v>
      </c>
      <c r="AN844" s="51">
        <f t="shared" si="2854"/>
        <v>0</v>
      </c>
      <c r="AO844" s="52"/>
      <c r="AP844" s="53"/>
      <c r="AQ844" s="183">
        <f t="shared" ref="AQ844:AR844" si="2855">SUM(AQ836:AQ843)</f>
        <v>2624.77</v>
      </c>
      <c r="AR844" s="51">
        <f t="shared" si="2855"/>
        <v>5154.22</v>
      </c>
      <c r="AS844" s="52"/>
      <c r="AT844" s="53"/>
      <c r="AU844" s="183">
        <f t="shared" ref="AU844:AV844" si="2856">SUM(AU836:AU843)</f>
        <v>0</v>
      </c>
      <c r="AV844" s="68">
        <f t="shared" si="2856"/>
        <v>0</v>
      </c>
      <c r="AW844" s="52"/>
      <c r="AX844" s="53"/>
      <c r="AY844" s="183">
        <f t="shared" ref="AY844:AZ844" si="2857">SUM(AY836:AY843)</f>
        <v>0</v>
      </c>
      <c r="AZ844" s="68">
        <f t="shared" si="2857"/>
        <v>0</v>
      </c>
      <c r="BA844" s="52"/>
      <c r="BB844" s="53"/>
      <c r="BC844" s="183">
        <f t="shared" ref="BC844:BD844" si="2858">SUM(BC836:BC843)</f>
        <v>0</v>
      </c>
      <c r="BD844" s="68">
        <f t="shared" si="2858"/>
        <v>0</v>
      </c>
      <c r="BE844" s="69"/>
      <c r="BF844" s="70">
        <f t="shared" ref="BF844:BH844" si="2859">SUM(BF836:BF843)</f>
        <v>7777.77</v>
      </c>
      <c r="BG844" s="71">
        <f t="shared" si="2859"/>
        <v>5154.22</v>
      </c>
      <c r="BH844" s="72">
        <f t="shared" si="2859"/>
        <v>2624.77</v>
      </c>
      <c r="BI844" s="34">
        <f>H844+BF844-BG844</f>
        <v>2624.77</v>
      </c>
      <c r="BJ844" s="34">
        <f>BH844-BI844</f>
        <v>0</v>
      </c>
      <c r="BK844" s="2" t="b">
        <f>H844='2019'!BH703</f>
        <v>0</v>
      </c>
    </row>
    <row r="845" ht="15.75" customHeight="1" hidden="1" spans="1:63" x14ac:dyDescent="0.25">
      <c r="A845" s="89">
        <v>92</v>
      </c>
      <c r="B845" s="14"/>
      <c r="D845" s="178" t="s">
        <v>486</v>
      </c>
      <c r="F845" s="13"/>
      <c r="G845" s="28"/>
      <c r="H845" s="34">
        <f>'2019'!BH704</f>
        <v>13.5</v>
      </c>
      <c r="J845" s="15"/>
      <c r="K845" s="15"/>
      <c r="L845" s="28"/>
      <c r="Q845" s="13"/>
      <c r="R845" s="15"/>
      <c r="S845" s="15"/>
      <c r="T845" s="28"/>
      <c r="W845" s="152">
        <v>65.5</v>
      </c>
      <c r="Y845" s="13"/>
      <c r="Z845" s="15"/>
      <c r="AA845" s="15"/>
      <c r="AB845" s="28"/>
      <c r="AG845" s="13"/>
      <c r="AH845" s="15"/>
      <c r="AI845" s="45"/>
      <c r="AJ845" s="15"/>
      <c r="AK845" s="13"/>
      <c r="AM845" s="45"/>
      <c r="AO845" s="13"/>
      <c r="AQ845" s="45"/>
      <c r="AS845" s="13"/>
      <c r="AU845" s="45"/>
      <c r="AW845" s="13"/>
      <c r="AY845" s="45"/>
      <c r="AZ845" s="28"/>
      <c r="BA845" s="13"/>
      <c r="BB845" s="15"/>
      <c r="BC845" s="45"/>
      <c r="BD845" s="28"/>
      <c r="BE845" s="14"/>
      <c r="BF845" s="41">
        <f t="shared" ref="BF845:BG845" si="2860">K845+O845+S845+W845+AA845+AE845+AI845+AM845+AQ845+AU845+AY845+BC845</f>
        <v>65.5</v>
      </c>
      <c r="BG845" s="34">
        <f t="shared" si="2860"/>
        <v>0</v>
      </c>
      <c r="BH845" s="35">
        <f t="shared" ref="BH845:BH852" si="2861">H845+BF845-BG845</f>
        <v>79</v>
      </c>
      <c r="BK845" s="2" t="b">
        <f>H845='2019'!BH704</f>
        <v>1</v>
      </c>
    </row>
    <row r="846" ht="15.75" customHeight="1" hidden="1" spans="1:63" x14ac:dyDescent="0.25">
      <c r="A846" s="2">
        <v>92</v>
      </c>
      <c r="B846" s="14">
        <v>4.28</v>
      </c>
      <c r="C846" s="2" t="s">
        <v>312</v>
      </c>
      <c r="D846" s="14" t="s">
        <v>44</v>
      </c>
      <c r="E846" s="2" t="s">
        <v>45</v>
      </c>
      <c r="F846" s="41">
        <v>2.5</v>
      </c>
      <c r="G846" s="35">
        <v>2.6</v>
      </c>
      <c r="H846" s="180">
        <f>'2019'!BH705</f>
        <v>932.45</v>
      </c>
      <c r="I846" s="13">
        <v>8464</v>
      </c>
      <c r="J846" s="15">
        <f>I846-'2019'!BA705</f>
        <v>595</v>
      </c>
      <c r="K846" s="34">
        <f>J846*$F$8</f>
        <v>1487.5</v>
      </c>
      <c r="L846" s="28"/>
      <c r="M846" s="2">
        <v>8917</v>
      </c>
      <c r="N846" s="15">
        <f>M846-I846</f>
        <v>453</v>
      </c>
      <c r="O846" s="34">
        <f>N846*$F$8</f>
        <v>1132.5</v>
      </c>
      <c r="P846" s="39">
        <v>3552.45</v>
      </c>
      <c r="Q846" s="13">
        <v>9320</v>
      </c>
      <c r="R846" s="15">
        <f>Q846-M846</f>
        <v>403</v>
      </c>
      <c r="S846" s="34">
        <f>R846*$F$8</f>
        <v>1007.5</v>
      </c>
      <c r="T846" s="38">
        <v>1007.5</v>
      </c>
      <c r="U846" s="15">
        <v>9452</v>
      </c>
      <c r="V846" s="15">
        <f t="shared" ref="V846:V847" si="2862">U846-Q846</f>
        <v>132</v>
      </c>
      <c r="W846" s="34">
        <f>V846*$F$8</f>
        <v>330</v>
      </c>
      <c r="Y846" s="13">
        <v>9587</v>
      </c>
      <c r="Z846" s="15">
        <f t="shared" ref="Z846:Z847" si="2863">Y846-U846</f>
        <v>135</v>
      </c>
      <c r="AA846" s="34">
        <f>Z846*$F$8</f>
        <v>337.5</v>
      </c>
      <c r="AB846" s="28"/>
      <c r="AC846" s="15">
        <v>9752</v>
      </c>
      <c r="AD846" s="15">
        <f t="shared" ref="AD846:AD847" si="2864">AC846-Y846</f>
        <v>165</v>
      </c>
      <c r="AE846" s="34">
        <f>AD846*$F$8</f>
        <v>412.5</v>
      </c>
      <c r="AF846" s="39">
        <v>700</v>
      </c>
      <c r="AG846" s="13">
        <v>9961</v>
      </c>
      <c r="AH846" s="15">
        <f t="shared" ref="AH846:AH847" si="2865">AG846-AC846</f>
        <v>209</v>
      </c>
      <c r="AI846" s="45">
        <f>AH846*$G$8</f>
        <v>543.4</v>
      </c>
      <c r="AJ846" s="1"/>
      <c r="AK846" s="13">
        <v>10121</v>
      </c>
      <c r="AL846" s="15">
        <f t="shared" ref="AL846:AL847" si="2866">AK846-AG846</f>
        <v>160</v>
      </c>
      <c r="AM846" s="45">
        <f>AL846*$G$8</f>
        <v>416</v>
      </c>
      <c r="AN846" s="39">
        <v>925</v>
      </c>
      <c r="AO846" s="13">
        <v>10265</v>
      </c>
      <c r="AP846" s="15">
        <f t="shared" ref="AP846:AP847" si="2867">AO846-AK846</f>
        <v>144</v>
      </c>
      <c r="AQ846" s="45">
        <f>AP846*$G$8</f>
        <v>374.4</v>
      </c>
      <c r="AR846" s="15"/>
      <c r="AS846" s="13">
        <v>10512</v>
      </c>
      <c r="AT846" s="15">
        <f t="shared" ref="AT846:AT847" si="2868">AS846-AO846</f>
        <v>247</v>
      </c>
      <c r="AU846" s="45">
        <f>AT846*$G$8</f>
        <v>642.2</v>
      </c>
      <c r="AV846" s="39">
        <v>789</v>
      </c>
      <c r="AW846" s="13">
        <v>10952</v>
      </c>
      <c r="AX846" s="2">
        <f t="shared" ref="AX846:AX847" si="2869">AW846-AS846</f>
        <v>440</v>
      </c>
      <c r="AY846" s="45">
        <f>AX846*$G$8</f>
        <v>1144</v>
      </c>
      <c r="AZ846" s="208"/>
      <c r="BA846" s="13">
        <v>11414</v>
      </c>
      <c r="BB846" s="15">
        <f t="shared" ref="BB846:BB847" si="2870">BA846-AW846</f>
        <v>462</v>
      </c>
      <c r="BC846" s="45">
        <f>BB846*$G$8</f>
        <v>1201.2</v>
      </c>
      <c r="BD846" s="242">
        <v>3000</v>
      </c>
      <c r="BE846" s="40">
        <f t="shared" ref="BE846:BG846" si="2871">J846+N846+R846+V846+Z846+AD846+AH846+AL846+AP846+AT846+AX846+BB846</f>
        <v>3545</v>
      </c>
      <c r="BF846" s="41">
        <f t="shared" si="2871"/>
        <v>9028.7</v>
      </c>
      <c r="BG846" s="34">
        <f t="shared" si="2871"/>
        <v>9973.95</v>
      </c>
      <c r="BH846" s="35">
        <f t="shared" si="2861"/>
        <v>-12.8</v>
      </c>
      <c r="BK846" s="2" t="b">
        <f>H846='2019'!BH705</f>
        <v>1</v>
      </c>
    </row>
    <row r="847" ht="15.75" customHeight="1" hidden="1" spans="1:63" x14ac:dyDescent="0.25">
      <c r="A847" s="2">
        <v>92</v>
      </c>
      <c r="B847" s="14"/>
      <c r="C847" s="2" t="s">
        <v>114</v>
      </c>
      <c r="D847" s="14" t="s">
        <v>47</v>
      </c>
      <c r="E847" s="2" t="s">
        <v>48</v>
      </c>
      <c r="F847" s="13">
        <v>18.56</v>
      </c>
      <c r="G847" s="35">
        <v>19.46</v>
      </c>
      <c r="H847" s="34">
        <f>'2019'!BH706</f>
        <v>296.4</v>
      </c>
      <c r="I847" s="15">
        <v>211</v>
      </c>
      <c r="J847" s="15"/>
      <c r="K847" s="15"/>
      <c r="L847" s="28"/>
      <c r="M847" s="2">
        <v>211</v>
      </c>
      <c r="Q847" s="13">
        <v>211</v>
      </c>
      <c r="R847" s="15"/>
      <c r="S847" s="15"/>
      <c r="T847" s="28"/>
      <c r="U847" s="2">
        <v>212</v>
      </c>
      <c r="V847" s="2">
        <f t="shared" si="2862"/>
        <v>1</v>
      </c>
      <c r="W847" s="2">
        <f>V847*$F$10</f>
        <v>18.56</v>
      </c>
      <c r="Y847" s="13">
        <v>213</v>
      </c>
      <c r="Z847" s="15">
        <f t="shared" si="2863"/>
        <v>1</v>
      </c>
      <c r="AA847" s="34">
        <f>Z847*$F$10</f>
        <v>18.56</v>
      </c>
      <c r="AB847" s="28"/>
      <c r="AC847" s="15">
        <v>228</v>
      </c>
      <c r="AD847" s="15">
        <f t="shared" si="2864"/>
        <v>15</v>
      </c>
      <c r="AE847" s="34">
        <f>AD847*$F$10</f>
        <v>278.4</v>
      </c>
      <c r="AF847" s="34"/>
      <c r="AG847" s="13">
        <v>232</v>
      </c>
      <c r="AH847" s="15">
        <f t="shared" si="2865"/>
        <v>4</v>
      </c>
      <c r="AI847" s="45">
        <f>AH847*$G$10</f>
        <v>77.84</v>
      </c>
      <c r="AJ847" s="39"/>
      <c r="AK847" s="13">
        <v>234</v>
      </c>
      <c r="AL847" s="15">
        <f t="shared" si="2866"/>
        <v>2</v>
      </c>
      <c r="AM847" s="45">
        <f>AL847*$G$10</f>
        <v>38.92</v>
      </c>
      <c r="AN847" s="15"/>
      <c r="AO847" s="13">
        <v>235</v>
      </c>
      <c r="AP847" s="15">
        <f t="shared" si="2867"/>
        <v>1</v>
      </c>
      <c r="AQ847" s="45">
        <f>AP847*$G$10</f>
        <v>19.46</v>
      </c>
      <c r="AR847" s="15"/>
      <c r="AS847" s="13">
        <v>235</v>
      </c>
      <c r="AT847" s="15">
        <f t="shared" si="2868"/>
        <v>0</v>
      </c>
      <c r="AU847" s="45">
        <f>AT847*$G$10</f>
        <v>0</v>
      </c>
      <c r="AV847" s="15"/>
      <c r="AW847" s="13">
        <v>235</v>
      </c>
      <c r="AX847" s="2">
        <f t="shared" si="2869"/>
        <v>0</v>
      </c>
      <c r="AY847" s="45"/>
      <c r="AZ847" s="208"/>
      <c r="BA847" s="13">
        <v>235</v>
      </c>
      <c r="BB847" s="15">
        <f t="shared" si="2870"/>
        <v>0</v>
      </c>
      <c r="BC847" s="45"/>
      <c r="BD847" s="208"/>
      <c r="BE847" s="40">
        <f t="shared" ref="BE847:BG847" si="2872">J847+N847+R847+V847+Z847+AD847+AH847+AL847+AP847+AT847+AX847+BB847</f>
        <v>24</v>
      </c>
      <c r="BF847" s="41">
        <f t="shared" si="2872"/>
        <v>451.74</v>
      </c>
      <c r="BG847" s="34">
        <f t="shared" si="2872"/>
        <v>0</v>
      </c>
      <c r="BH847" s="35">
        <f t="shared" si="2861"/>
        <v>748.14</v>
      </c>
      <c r="BK847" s="2" t="b">
        <f>H847='2019'!BH706</f>
        <v>1</v>
      </c>
    </row>
    <row r="848" ht="15.75" customHeight="1" hidden="1" spans="1:63" x14ac:dyDescent="0.25">
      <c r="A848" s="2">
        <v>92</v>
      </c>
      <c r="B848" s="14"/>
      <c r="C848" s="2" t="s">
        <v>164</v>
      </c>
      <c r="D848" s="14" t="s">
        <v>47</v>
      </c>
      <c r="E848" s="2" t="s">
        <v>49</v>
      </c>
      <c r="F848" s="41">
        <v>500</v>
      </c>
      <c r="G848" s="28"/>
      <c r="H848" s="34">
        <f>'2019'!BH707</f>
        <v>0</v>
      </c>
      <c r="I848" s="15"/>
      <c r="J848" s="15"/>
      <c r="K848" s="15"/>
      <c r="L848" s="28"/>
      <c r="Q848" s="13"/>
      <c r="R848" s="15"/>
      <c r="S848" s="15"/>
      <c r="T848" s="28"/>
      <c r="Y848" s="13"/>
      <c r="Z848" s="15"/>
      <c r="AA848" s="15"/>
      <c r="AB848" s="28"/>
      <c r="AF848" s="34"/>
      <c r="AG848" s="13"/>
      <c r="AH848" s="15"/>
      <c r="AI848" s="45"/>
      <c r="AJ848" s="15"/>
      <c r="AK848" s="13"/>
      <c r="AL848" s="15"/>
      <c r="AM848" s="45"/>
      <c r="AN848" s="15"/>
      <c r="AO848" s="13"/>
      <c r="AP848" s="15"/>
      <c r="AQ848" s="45"/>
      <c r="AR848" s="15"/>
      <c r="AS848" s="13"/>
      <c r="AT848" s="15"/>
      <c r="AU848" s="45"/>
      <c r="AV848" s="15"/>
      <c r="AW848" s="13"/>
      <c r="AY848" s="45"/>
      <c r="AZ848" s="28"/>
      <c r="BA848" s="13"/>
      <c r="BB848" s="15"/>
      <c r="BC848" s="45"/>
      <c r="BD848" s="28"/>
      <c r="BE848" s="14"/>
      <c r="BF848" s="41">
        <f t="shared" ref="BF848:BG848" si="2873">K848+O848+S848+W848+AA848+AE848+AI848+AM848+AQ848+AU848+AY848+BC848</f>
        <v>0</v>
      </c>
      <c r="BG848" s="34">
        <f t="shared" si="2873"/>
        <v>0</v>
      </c>
      <c r="BH848" s="35">
        <f t="shared" si="2861"/>
        <v>0</v>
      </c>
      <c r="BK848" s="2" t="b">
        <f>H848='2019'!BH707</f>
        <v>1</v>
      </c>
    </row>
    <row r="849" ht="15.75" customHeight="1" hidden="1" spans="1:63" x14ac:dyDescent="0.25">
      <c r="A849" s="2">
        <v>92</v>
      </c>
      <c r="B849" s="14"/>
      <c r="C849" s="73" t="s">
        <v>442</v>
      </c>
      <c r="D849" s="14" t="s">
        <v>50</v>
      </c>
      <c r="E849" s="2" t="s">
        <v>49</v>
      </c>
      <c r="F849" s="41">
        <v>1100</v>
      </c>
      <c r="G849" s="28"/>
      <c r="H849" s="182">
        <f>'2019'!BH708+0.0036</f>
        <v>0</v>
      </c>
      <c r="I849" s="15"/>
      <c r="J849" s="15"/>
      <c r="K849" s="15"/>
      <c r="L849" s="28"/>
      <c r="Q849" s="13"/>
      <c r="R849" s="15"/>
      <c r="S849" s="15"/>
      <c r="T849" s="28"/>
      <c r="Y849" s="13"/>
      <c r="Z849" s="15"/>
      <c r="AA849" s="15"/>
      <c r="AB849" s="28"/>
      <c r="AE849" s="34">
        <f>B846*$F$12</f>
        <v>4708</v>
      </c>
      <c r="AF849" s="39">
        <v>4708</v>
      </c>
      <c r="AG849" s="13"/>
      <c r="AH849" s="15"/>
      <c r="AI849" s="45"/>
      <c r="AJ849" s="34"/>
      <c r="AK849" s="13"/>
      <c r="AL849" s="15"/>
      <c r="AM849" s="45"/>
      <c r="AN849" s="15"/>
      <c r="AO849" s="13"/>
      <c r="AP849" s="15"/>
      <c r="AQ849" s="45"/>
      <c r="AR849" s="15"/>
      <c r="AS849" s="13"/>
      <c r="AT849" s="15"/>
      <c r="AU849" s="45"/>
      <c r="AV849" s="15"/>
      <c r="AW849" s="13"/>
      <c r="AY849" s="45"/>
      <c r="AZ849" s="28"/>
      <c r="BA849" s="13"/>
      <c r="BB849" s="15"/>
      <c r="BC849" s="45"/>
      <c r="BD849" s="28"/>
      <c r="BE849" s="14"/>
      <c r="BF849" s="41">
        <f t="shared" ref="BF849:BG849" si="2874">K849+O849+S849+W849+AA849+AE849+AI849+AM849+AQ849+AU849+AY849+BC849</f>
        <v>4708</v>
      </c>
      <c r="BG849" s="34">
        <f t="shared" si="2874"/>
        <v>4708</v>
      </c>
      <c r="BH849" s="35">
        <f t="shared" si="2861"/>
        <v>0</v>
      </c>
      <c r="BK849" s="2" t="b">
        <f>H849='2019'!BH708</f>
        <v>0</v>
      </c>
    </row>
    <row r="850" ht="15.75" customHeight="1" hidden="1" spans="1:63" x14ac:dyDescent="0.25">
      <c r="A850" s="2">
        <v>92</v>
      </c>
      <c r="B850" s="14"/>
      <c r="C850" s="2" t="s">
        <v>314</v>
      </c>
      <c r="D850" s="14" t="s">
        <v>51</v>
      </c>
      <c r="E850" s="2" t="s">
        <v>39</v>
      </c>
      <c r="F850" s="41">
        <v>500</v>
      </c>
      <c r="G850" s="28"/>
      <c r="H850" s="34">
        <f>'2019'!BH709</f>
        <v>0</v>
      </c>
      <c r="I850" s="15"/>
      <c r="J850" s="15"/>
      <c r="K850" s="15"/>
      <c r="L850" s="28"/>
      <c r="Q850" s="13"/>
      <c r="R850" s="15"/>
      <c r="S850" s="15"/>
      <c r="T850" s="28"/>
      <c r="Y850" s="13"/>
      <c r="Z850" s="15"/>
      <c r="AA850" s="15"/>
      <c r="AB850" s="28"/>
      <c r="AE850" s="34"/>
      <c r="AG850" s="13"/>
      <c r="AH850" s="15"/>
      <c r="AI850" s="45"/>
      <c r="AJ850" s="15"/>
      <c r="AK850" s="13"/>
      <c r="AL850" s="15"/>
      <c r="AM850" s="45"/>
      <c r="AN850" s="15"/>
      <c r="AO850" s="13"/>
      <c r="AP850" s="15"/>
      <c r="AQ850" s="45">
        <f>$F$13</f>
        <v>500</v>
      </c>
      <c r="AR850" s="15"/>
      <c r="AS850" s="13"/>
      <c r="AT850" s="15"/>
      <c r="AU850" s="45"/>
      <c r="AV850" s="15"/>
      <c r="AW850" s="13"/>
      <c r="AY850" s="45"/>
      <c r="AZ850" s="28"/>
      <c r="BA850" s="13"/>
      <c r="BB850" s="15"/>
      <c r="BC850" s="45"/>
      <c r="BD850" s="28"/>
      <c r="BE850" s="14"/>
      <c r="BF850" s="41">
        <f t="shared" ref="BF850:BG850" si="2875">K850+O850+S850+W850+AA850+AE850+AI850+AM850+AQ850+AU850+AY850+BC850</f>
        <v>500</v>
      </c>
      <c r="BG850" s="34">
        <f t="shared" si="2875"/>
        <v>0</v>
      </c>
      <c r="BH850" s="35">
        <f t="shared" si="2861"/>
        <v>500</v>
      </c>
      <c r="BK850" s="2" t="b">
        <f>H850='2019'!BH709</f>
        <v>1</v>
      </c>
    </row>
    <row r="851" ht="15.75" customHeight="1" hidden="1" spans="1:60" x14ac:dyDescent="0.25">
      <c r="A851" s="2">
        <v>92</v>
      </c>
      <c r="B851" s="14"/>
      <c r="D851" s="14" t="s">
        <v>51</v>
      </c>
      <c r="E851" s="2" t="s">
        <v>49</v>
      </c>
      <c r="F851" s="41">
        <v>500</v>
      </c>
      <c r="G851" s="28"/>
      <c r="H851" s="34"/>
      <c r="I851" s="15"/>
      <c r="J851" s="15"/>
      <c r="K851" s="15"/>
      <c r="L851" s="28"/>
      <c r="Q851" s="13"/>
      <c r="R851" s="15"/>
      <c r="S851" s="15"/>
      <c r="T851" s="28"/>
      <c r="Y851" s="13"/>
      <c r="Z851" s="15"/>
      <c r="AA851" s="15"/>
      <c r="AB851" s="28"/>
      <c r="AE851" s="34"/>
      <c r="AG851" s="13"/>
      <c r="AH851" s="15"/>
      <c r="AI851" s="45"/>
      <c r="AJ851" s="15"/>
      <c r="AK851" s="13"/>
      <c r="AL851" s="15"/>
      <c r="AM851" s="45"/>
      <c r="AN851" s="15"/>
      <c r="AO851" s="13"/>
      <c r="AP851" s="15"/>
      <c r="AQ851" s="34">
        <f>B846*$F$14</f>
        <v>2140</v>
      </c>
      <c r="AR851" s="15"/>
      <c r="AS851" s="13"/>
      <c r="AT851" s="15"/>
      <c r="AU851" s="45"/>
      <c r="AV851" s="15"/>
      <c r="AW851" s="13"/>
      <c r="AY851" s="45"/>
      <c r="AZ851" s="28"/>
      <c r="BA851" s="13"/>
      <c r="BB851" s="15"/>
      <c r="BC851" s="45"/>
      <c r="BD851" s="28"/>
      <c r="BE851" s="14"/>
      <c r="BF851" s="41">
        <f t="shared" ref="BF851:BG851" si="2876">K851+O851+S851+W851+AA851+AE851+AI851+AM851+AQ851+AU851+AY851+BC851</f>
        <v>2140</v>
      </c>
      <c r="BG851" s="34">
        <f t="shared" si="2876"/>
        <v>0</v>
      </c>
      <c r="BH851" s="35">
        <f t="shared" si="2861"/>
        <v>2140</v>
      </c>
    </row>
    <row r="852" ht="15.75" customHeight="1" hidden="1" spans="1:63" x14ac:dyDescent="0.25">
      <c r="A852" s="2">
        <v>92</v>
      </c>
      <c r="B852" s="14"/>
      <c r="D852" s="14" t="s">
        <v>52</v>
      </c>
      <c r="E852" s="2" t="s">
        <v>39</v>
      </c>
      <c r="F852" s="41">
        <v>500</v>
      </c>
      <c r="G852" s="28"/>
      <c r="H852" s="34">
        <f>'2019'!BH710</f>
        <v>0</v>
      </c>
      <c r="I852" s="15"/>
      <c r="J852" s="15"/>
      <c r="K852" s="15"/>
      <c r="L852" s="28"/>
      <c r="Q852" s="13"/>
      <c r="R852" s="15"/>
      <c r="S852" s="15"/>
      <c r="T852" s="28"/>
      <c r="Y852" s="13"/>
      <c r="Z852" s="15"/>
      <c r="AA852" s="34">
        <f>$F$11</f>
        <v>500</v>
      </c>
      <c r="AB852" s="28"/>
      <c r="AG852" s="13"/>
      <c r="AH852" s="15"/>
      <c r="AI852" s="45"/>
      <c r="AJ852" s="15"/>
      <c r="AK852" s="13"/>
      <c r="AL852" s="15"/>
      <c r="AM852" s="45"/>
      <c r="AN852" s="15"/>
      <c r="AO852" s="13"/>
      <c r="AP852" s="15"/>
      <c r="AQ852" s="45"/>
      <c r="AR852" s="15"/>
      <c r="AS852" s="13"/>
      <c r="AT852" s="15"/>
      <c r="AU852" s="45"/>
      <c r="AV852" s="15"/>
      <c r="AW852" s="13"/>
      <c r="AY852" s="45"/>
      <c r="AZ852" s="35"/>
      <c r="BA852" s="13"/>
      <c r="BB852" s="15"/>
      <c r="BC852" s="45"/>
      <c r="BD852" s="35"/>
      <c r="BE852" s="14"/>
      <c r="BF852" s="41">
        <f t="shared" ref="BF852:BG852" si="2877">K852+O852+S852+W852+AA852+AE852+AI852+AM852+AQ852+AU852+AY852+BC852</f>
        <v>500</v>
      </c>
      <c r="BG852" s="34">
        <f t="shared" si="2877"/>
        <v>0</v>
      </c>
      <c r="BH852" s="35">
        <f t="shared" si="2861"/>
        <v>500</v>
      </c>
      <c r="BK852" s="2" t="b">
        <f>H852='2019'!BH710</f>
        <v>1</v>
      </c>
    </row>
    <row r="853" ht="15.75" customHeight="1" hidden="1" spans="1:63" x14ac:dyDescent="0.25">
      <c r="A853" s="247">
        <v>92</v>
      </c>
      <c r="B853" s="21"/>
      <c r="C853" s="22" t="s">
        <v>53</v>
      </c>
      <c r="D853" s="21"/>
      <c r="E853" s="22"/>
      <c r="F853" s="20"/>
      <c r="G853" s="23"/>
      <c r="H853" s="51">
        <f>SUM(H845:H852)</f>
        <v>1242.35</v>
      </c>
      <c r="I853" s="53"/>
      <c r="J853" s="53"/>
      <c r="K853" s="51">
        <f t="shared" ref="K853:L853" si="2878">SUM(K845:K852)</f>
        <v>1487.5</v>
      </c>
      <c r="L853" s="68">
        <f t="shared" si="2878"/>
        <v>0</v>
      </c>
      <c r="M853" s="53"/>
      <c r="N853" s="53"/>
      <c r="O853" s="51">
        <f t="shared" ref="O853:P853" si="2879">SUM(O845:O852)</f>
        <v>1132.5</v>
      </c>
      <c r="P853" s="51">
        <f t="shared" si="2879"/>
        <v>3552.45</v>
      </c>
      <c r="Q853" s="52"/>
      <c r="R853" s="53"/>
      <c r="S853" s="51">
        <f t="shared" ref="S853:T853" si="2880">SUM(S845:S852)</f>
        <v>1007.5</v>
      </c>
      <c r="T853" s="51">
        <f t="shared" si="2880"/>
        <v>1007.5</v>
      </c>
      <c r="U853" s="52"/>
      <c r="V853" s="53"/>
      <c r="W853" s="51">
        <f t="shared" ref="W853:X853" si="2881">SUM(W845:W852)</f>
        <v>414.06</v>
      </c>
      <c r="X853" s="51">
        <f t="shared" si="2881"/>
        <v>0</v>
      </c>
      <c r="Y853" s="52"/>
      <c r="Z853" s="53"/>
      <c r="AA853" s="51">
        <f t="shared" ref="AA853:AB853" si="2882">SUM(AA845:AA852)</f>
        <v>856.06</v>
      </c>
      <c r="AB853" s="51">
        <f t="shared" si="2882"/>
        <v>0</v>
      </c>
      <c r="AC853" s="52"/>
      <c r="AD853" s="53"/>
      <c r="AE853" s="51">
        <f t="shared" ref="AE853:AF853" si="2883">SUM(AE845:AE852)</f>
        <v>5398.9</v>
      </c>
      <c r="AF853" s="51">
        <f t="shared" si="2883"/>
        <v>5408</v>
      </c>
      <c r="AG853" s="52"/>
      <c r="AH853" s="53"/>
      <c r="AI853" s="183">
        <f t="shared" ref="AI853:AJ853" si="2884">SUM(AI845:AI852)</f>
        <v>621.24</v>
      </c>
      <c r="AJ853" s="51">
        <f t="shared" si="2884"/>
        <v>0</v>
      </c>
      <c r="AK853" s="52"/>
      <c r="AL853" s="53"/>
      <c r="AM853" s="183">
        <f t="shared" ref="AM853:AN853" si="2885">SUM(AM845:AM852)</f>
        <v>454.92</v>
      </c>
      <c r="AN853" s="51">
        <f t="shared" si="2885"/>
        <v>925</v>
      </c>
      <c r="AO853" s="52"/>
      <c r="AP853" s="53"/>
      <c r="AQ853" s="183">
        <f t="shared" ref="AQ853:AR853" si="2886">SUM(AQ845:AQ852)</f>
        <v>3033.86</v>
      </c>
      <c r="AR853" s="51">
        <f t="shared" si="2886"/>
        <v>0</v>
      </c>
      <c r="AS853" s="52"/>
      <c r="AT853" s="53"/>
      <c r="AU853" s="183">
        <f t="shared" ref="AU853:AV853" si="2887">SUM(AU845:AU852)</f>
        <v>642.2</v>
      </c>
      <c r="AV853" s="68">
        <f t="shared" si="2887"/>
        <v>789</v>
      </c>
      <c r="AW853" s="52"/>
      <c r="AX853" s="53"/>
      <c r="AY853" s="183">
        <f t="shared" ref="AY853:AZ853" si="2888">SUM(AY845:AY852)</f>
        <v>1144</v>
      </c>
      <c r="AZ853" s="68">
        <f t="shared" si="2888"/>
        <v>0</v>
      </c>
      <c r="BA853" s="52"/>
      <c r="BB853" s="53"/>
      <c r="BC853" s="183">
        <f t="shared" ref="BC853:BD853" si="2889">SUM(BC845:BC852)</f>
        <v>1201.2</v>
      </c>
      <c r="BD853" s="68">
        <f t="shared" si="2889"/>
        <v>3000</v>
      </c>
      <c r="BE853" s="69"/>
      <c r="BF853" s="70">
        <f t="shared" ref="BF853:BH853" si="2890">SUM(BF845:BF852)</f>
        <v>17393.94</v>
      </c>
      <c r="BG853" s="71">
        <f t="shared" si="2890"/>
        <v>14681.95</v>
      </c>
      <c r="BH853" s="72">
        <f t="shared" si="2890"/>
        <v>3954.34</v>
      </c>
      <c r="BI853" s="34">
        <f>H853+BF853-BG853</f>
        <v>3954.34</v>
      </c>
      <c r="BJ853" s="34">
        <f>BH853-BI853</f>
        <v>0</v>
      </c>
      <c r="BK853" s="2" t="b">
        <f>H853='2019'!BH711</f>
        <v>0</v>
      </c>
    </row>
    <row r="854" ht="15.75" customHeight="1" hidden="1" spans="1:63" x14ac:dyDescent="0.25">
      <c r="A854" s="89" t="s">
        <v>315</v>
      </c>
      <c r="B854" s="14"/>
      <c r="D854" s="178" t="s">
        <v>486</v>
      </c>
      <c r="F854" s="13"/>
      <c r="G854" s="28"/>
      <c r="H854" s="34">
        <f>'2019'!BH712</f>
        <v>0</v>
      </c>
      <c r="J854" s="15"/>
      <c r="K854" s="15"/>
      <c r="L854" s="28"/>
      <c r="Q854" s="13"/>
      <c r="R854" s="15"/>
      <c r="S854" s="15"/>
      <c r="T854" s="28"/>
      <c r="W854" s="152">
        <v>65.5</v>
      </c>
      <c r="X854" s="39">
        <v>65.5</v>
      </c>
      <c r="Y854" s="13"/>
      <c r="Z854" s="15"/>
      <c r="AA854" s="15"/>
      <c r="AB854" s="28"/>
      <c r="AG854" s="13"/>
      <c r="AH854" s="15"/>
      <c r="AI854" s="45"/>
      <c r="AJ854" s="15"/>
      <c r="AK854" s="13"/>
      <c r="AM854" s="45"/>
      <c r="AO854" s="13"/>
      <c r="AQ854" s="45"/>
      <c r="AS854" s="13"/>
      <c r="AU854" s="45"/>
      <c r="AW854" s="13"/>
      <c r="AY854" s="45"/>
      <c r="AZ854" s="28"/>
      <c r="BA854" s="13"/>
      <c r="BB854" s="15"/>
      <c r="BC854" s="45"/>
      <c r="BD854" s="28"/>
      <c r="BE854" s="14"/>
      <c r="BF854" s="41">
        <f t="shared" ref="BF854:BG854" si="2891">K854+O854+S854+W854+AA854+AE854+AI854+AM854+AQ854+AU854+AY854+BC854</f>
        <v>65.5</v>
      </c>
      <c r="BG854" s="34">
        <f t="shared" si="2891"/>
        <v>65.5</v>
      </c>
      <c r="BH854" s="35">
        <f t="shared" ref="BH854:BH861" si="2892">H854+BF854-BG854</f>
        <v>0</v>
      </c>
      <c r="BK854" s="2" t="b">
        <f>H854='2019'!BH712</f>
        <v>1</v>
      </c>
    </row>
    <row r="855" ht="15.75" customHeight="1" hidden="1" spans="1:63" x14ac:dyDescent="0.25">
      <c r="A855" s="89" t="s">
        <v>315</v>
      </c>
      <c r="B855" s="14">
        <v>4.36</v>
      </c>
      <c r="C855" s="2" t="s">
        <v>316</v>
      </c>
      <c r="D855" s="14" t="s">
        <v>44</v>
      </c>
      <c r="E855" s="2" t="s">
        <v>45</v>
      </c>
      <c r="F855" s="41">
        <v>2.5</v>
      </c>
      <c r="G855" s="35">
        <v>2.6</v>
      </c>
      <c r="H855" s="180">
        <f>'2019'!BH713</f>
        <v>8360</v>
      </c>
      <c r="I855" s="15">
        <v>25195</v>
      </c>
      <c r="J855" s="15">
        <f>I855-'2019'!BA713</f>
        <v>1692</v>
      </c>
      <c r="K855" s="34">
        <f>J855*$F$8</f>
        <v>4230</v>
      </c>
      <c r="L855" s="38">
        <f>4000+4200</f>
        <v>8200</v>
      </c>
      <c r="M855" s="15">
        <v>26942</v>
      </c>
      <c r="N855" s="15">
        <f>M855-I855</f>
        <v>1747</v>
      </c>
      <c r="O855" s="34">
        <f>N855*$F$8</f>
        <v>4367.5</v>
      </c>
      <c r="P855" s="34"/>
      <c r="Q855" s="13">
        <v>28455</v>
      </c>
      <c r="R855" s="15">
        <f>Q855-M855</f>
        <v>1513</v>
      </c>
      <c r="S855" s="34">
        <f>R855*$F$8</f>
        <v>3782.5</v>
      </c>
      <c r="T855" s="38">
        <v>8580</v>
      </c>
      <c r="U855" s="37">
        <v>29473</v>
      </c>
      <c r="V855" s="37">
        <f t="shared" ref="V855:V856" si="2893">U855-Q855</f>
        <v>1018</v>
      </c>
      <c r="W855" s="34">
        <f>V855*$F$8</f>
        <v>2545</v>
      </c>
      <c r="X855" s="39">
        <v>6505</v>
      </c>
      <c r="Y855" s="13">
        <v>30059</v>
      </c>
      <c r="Z855" s="37">
        <f t="shared" ref="Z855:Z856" si="2894">Y855-U855</f>
        <v>586</v>
      </c>
      <c r="AA855" s="34">
        <f>Z855*$F$8</f>
        <v>1465</v>
      </c>
      <c r="AB855" s="28"/>
      <c r="AC855" s="15">
        <v>30469</v>
      </c>
      <c r="AD855" s="15">
        <f t="shared" ref="AD855:AD856" si="2895">AC855-Y855</f>
        <v>410</v>
      </c>
      <c r="AE855" s="34">
        <f>AD855*$F$8</f>
        <v>1025</v>
      </c>
      <c r="AF855" s="39">
        <v>1465</v>
      </c>
      <c r="AG855" s="13">
        <v>30817</v>
      </c>
      <c r="AH855" s="15">
        <f t="shared" ref="AH855:AH856" si="2896">AG855-AC855</f>
        <v>348</v>
      </c>
      <c r="AI855" s="45">
        <f>AH855*$G$8</f>
        <v>904.8</v>
      </c>
      <c r="AJ855" s="248">
        <f>1025+910</f>
        <v>1935</v>
      </c>
      <c r="AK855" s="13">
        <v>31359</v>
      </c>
      <c r="AL855" s="15">
        <f t="shared" ref="AL855:AL856" si="2897">AK855-AG855</f>
        <v>542</v>
      </c>
      <c r="AM855" s="45">
        <f>AL855*$G$8</f>
        <v>1409.2</v>
      </c>
      <c r="AN855" s="15"/>
      <c r="AO855" s="13">
        <v>31928</v>
      </c>
      <c r="AP855" s="15">
        <f t="shared" ref="AP855:AP856" si="2898">AO855-AK855</f>
        <v>569</v>
      </c>
      <c r="AQ855" s="45">
        <f>AP855*$G$8</f>
        <v>1479.4</v>
      </c>
      <c r="AR855" s="39">
        <v>1404</v>
      </c>
      <c r="AS855" s="13">
        <v>33606</v>
      </c>
      <c r="AT855" s="15">
        <f t="shared" ref="AT855:AT856" si="2899">AS855-AO855</f>
        <v>1678</v>
      </c>
      <c r="AU855" s="45">
        <f t="shared" ref="AU855:AU856" si="2900">AT855*$G$8</f>
        <v>4362.8</v>
      </c>
      <c r="AV855" s="39">
        <v>1480</v>
      </c>
      <c r="AW855" s="13">
        <v>35167</v>
      </c>
      <c r="AX855" s="2">
        <f t="shared" ref="AX855:AX856" si="2901">AW855-AS855</f>
        <v>1561</v>
      </c>
      <c r="AY855" s="45">
        <f>AX855*$G$8</f>
        <v>4058.6</v>
      </c>
      <c r="AZ855" s="242">
        <v>4500</v>
      </c>
      <c r="BA855" s="13">
        <v>37623</v>
      </c>
      <c r="BB855" s="15">
        <f t="shared" ref="BB855:BB856" si="2902">BA855-AW855</f>
        <v>2456</v>
      </c>
      <c r="BC855" s="45">
        <f>BB855*$G$8</f>
        <v>6385.6</v>
      </c>
      <c r="BD855" s="242">
        <f>10000+500</f>
        <v>10500</v>
      </c>
      <c r="BE855" s="40">
        <f t="shared" ref="BE855:BG855" si="2903">J855+N855+R855+V855+Z855+AD855+AH855+AL855+AP855+AT855+AX855+BB855</f>
        <v>14120</v>
      </c>
      <c r="BF855" s="41">
        <f t="shared" si="2903"/>
        <v>36015.4</v>
      </c>
      <c r="BG855" s="34">
        <f t="shared" si="2903"/>
        <v>44569</v>
      </c>
      <c r="BH855" s="35">
        <f t="shared" si="2892"/>
        <v>-193.6</v>
      </c>
      <c r="BK855" s="2" t="b">
        <f>H855='2019'!BH713</f>
        <v>1</v>
      </c>
    </row>
    <row r="856" ht="15.75" customHeight="1" hidden="1" spans="1:63" x14ac:dyDescent="0.25">
      <c r="A856" s="89" t="s">
        <v>315</v>
      </c>
      <c r="B856" s="14"/>
      <c r="C856" s="2" t="s">
        <v>317</v>
      </c>
      <c r="D856" s="14" t="s">
        <v>47</v>
      </c>
      <c r="E856" s="2" t="s">
        <v>48</v>
      </c>
      <c r="F856" s="13">
        <v>18.56</v>
      </c>
      <c r="G856" s="35">
        <v>19.46</v>
      </c>
      <c r="H856" s="34">
        <f>'2019'!BH714</f>
        <v>21.06</v>
      </c>
      <c r="I856" s="15">
        <v>169</v>
      </c>
      <c r="J856" s="15"/>
      <c r="K856" s="15"/>
      <c r="L856" s="28"/>
      <c r="M856" s="2">
        <v>169</v>
      </c>
      <c r="Q856" s="13">
        <v>169</v>
      </c>
      <c r="R856" s="15"/>
      <c r="S856" s="15"/>
      <c r="T856" s="28"/>
      <c r="U856" s="2">
        <v>169</v>
      </c>
      <c r="V856" s="2">
        <f t="shared" si="2893"/>
        <v>0</v>
      </c>
      <c r="W856" s="34">
        <f>V856*$F$10</f>
        <v>0</v>
      </c>
      <c r="Y856" s="13">
        <v>170</v>
      </c>
      <c r="Z856" s="15">
        <f t="shared" si="2894"/>
        <v>1</v>
      </c>
      <c r="AA856" s="34">
        <f>Z856*$F$10</f>
        <v>18.56</v>
      </c>
      <c r="AB856" s="32">
        <v>21.06</v>
      </c>
      <c r="AC856" s="15">
        <v>172</v>
      </c>
      <c r="AD856" s="15">
        <f t="shared" si="2895"/>
        <v>2</v>
      </c>
      <c r="AE856" s="34">
        <f>AD856*$F$10</f>
        <v>37.12</v>
      </c>
      <c r="AF856" s="39">
        <v>155.56</v>
      </c>
      <c r="AG856" s="13">
        <v>177</v>
      </c>
      <c r="AH856" s="15">
        <f t="shared" si="2896"/>
        <v>5</v>
      </c>
      <c r="AI856" s="45">
        <f>AH856*$G$10</f>
        <v>97.3</v>
      </c>
      <c r="AJ856" s="180"/>
      <c r="AK856" s="13">
        <v>179</v>
      </c>
      <c r="AL856" s="15">
        <f t="shared" si="2897"/>
        <v>2</v>
      </c>
      <c r="AM856" s="45">
        <f>AL856*$G$10</f>
        <v>38.92</v>
      </c>
      <c r="AN856" s="39">
        <v>137</v>
      </c>
      <c r="AO856" s="13">
        <v>181</v>
      </c>
      <c r="AP856" s="15">
        <f t="shared" si="2898"/>
        <v>2</v>
      </c>
      <c r="AQ856" s="45">
        <f>AP856*$G$10</f>
        <v>38.92</v>
      </c>
      <c r="AR856" s="15"/>
      <c r="AS856" s="13">
        <v>181</v>
      </c>
      <c r="AT856" s="15">
        <f t="shared" si="2899"/>
        <v>0</v>
      </c>
      <c r="AU856" s="45">
        <f t="shared" si="2900"/>
        <v>0</v>
      </c>
      <c r="AV856" s="39">
        <v>40</v>
      </c>
      <c r="AW856" s="13">
        <v>181</v>
      </c>
      <c r="AX856" s="2">
        <f t="shared" si="2901"/>
        <v>0</v>
      </c>
      <c r="AY856" s="45"/>
      <c r="AZ856" s="208"/>
      <c r="BA856" s="13">
        <v>181</v>
      </c>
      <c r="BB856" s="15">
        <f t="shared" si="2902"/>
        <v>0</v>
      </c>
      <c r="BC856" s="45"/>
      <c r="BD856" s="208"/>
      <c r="BE856" s="40">
        <f t="shared" ref="BE856:BG856" si="2904">J856+N856+R856+V856+Z856+AD856+AH856+AL856+AP856+AT856+AX856+BB856</f>
        <v>12</v>
      </c>
      <c r="BF856" s="41">
        <f t="shared" si="2904"/>
        <v>230.82</v>
      </c>
      <c r="BG856" s="34">
        <f t="shared" si="2904"/>
        <v>353.62</v>
      </c>
      <c r="BH856" s="35">
        <f t="shared" si="2892"/>
        <v>-101.74</v>
      </c>
      <c r="BK856" s="2" t="b">
        <f>H856='2019'!BH714</f>
        <v>1</v>
      </c>
    </row>
    <row r="857" ht="15.75" customHeight="1" hidden="1" spans="1:63" x14ac:dyDescent="0.25">
      <c r="A857" s="89" t="s">
        <v>315</v>
      </c>
      <c r="B857" s="14"/>
      <c r="C857" s="2" t="s">
        <v>246</v>
      </c>
      <c r="D857" s="14" t="s">
        <v>47</v>
      </c>
      <c r="E857" s="2" t="s">
        <v>49</v>
      </c>
      <c r="F857" s="41">
        <v>500</v>
      </c>
      <c r="G857" s="28"/>
      <c r="H857" s="34">
        <f>'2019'!BH715</f>
        <v>0</v>
      </c>
      <c r="I857" s="15"/>
      <c r="J857" s="15"/>
      <c r="K857" s="15"/>
      <c r="L857" s="28"/>
      <c r="Q857" s="13"/>
      <c r="R857" s="15"/>
      <c r="S857" s="15"/>
      <c r="T857" s="28"/>
      <c r="Y857" s="13"/>
      <c r="Z857" s="15"/>
      <c r="AA857" s="15"/>
      <c r="AB857" s="28"/>
      <c r="AG857" s="13"/>
      <c r="AH857" s="15"/>
      <c r="AI857" s="45"/>
      <c r="AJ857" s="15"/>
      <c r="AK857" s="13"/>
      <c r="AL857" s="15"/>
      <c r="AM857" s="45"/>
      <c r="AN857" s="15"/>
      <c r="AO857" s="13"/>
      <c r="AP857" s="15"/>
      <c r="AQ857" s="45"/>
      <c r="AR857" s="15"/>
      <c r="AS857" s="13"/>
      <c r="AT857" s="15"/>
      <c r="AU857" s="45"/>
      <c r="AV857" s="15"/>
      <c r="AW857" s="13"/>
      <c r="AY857" s="45"/>
      <c r="AZ857" s="28"/>
      <c r="BA857" s="13"/>
      <c r="BB857" s="15"/>
      <c r="BC857" s="45"/>
      <c r="BD857" s="28"/>
      <c r="BE857" s="14"/>
      <c r="BF857" s="41">
        <f t="shared" ref="BF857:BG857" si="2905">K857+O857+S857+W857+AA857+AE857+AI857+AM857+AQ857+AU857+AY857+BC857</f>
        <v>0</v>
      </c>
      <c r="BG857" s="34">
        <f t="shared" si="2905"/>
        <v>0</v>
      </c>
      <c r="BH857" s="35">
        <f t="shared" si="2892"/>
        <v>0</v>
      </c>
      <c r="BK857" s="2" t="b">
        <f>H857='2019'!BH715</f>
        <v>1</v>
      </c>
    </row>
    <row r="858" ht="15.75" customHeight="1" hidden="1" spans="1:63" x14ac:dyDescent="0.25">
      <c r="A858" s="89" t="s">
        <v>315</v>
      </c>
      <c r="B858" s="14"/>
      <c r="C858" s="2" t="s">
        <v>318</v>
      </c>
      <c r="D858" s="14" t="s">
        <v>50</v>
      </c>
      <c r="E858" s="2" t="s">
        <v>49</v>
      </c>
      <c r="F858" s="41">
        <v>1100</v>
      </c>
      <c r="G858" s="28"/>
      <c r="H858" s="182">
        <f>'2019'!BH716+0.0012</f>
        <v>0</v>
      </c>
      <c r="I858" s="15"/>
      <c r="J858" s="15"/>
      <c r="K858" s="15"/>
      <c r="L858" s="28"/>
      <c r="Q858" s="13"/>
      <c r="R858" s="15"/>
      <c r="S858" s="15"/>
      <c r="T858" s="28"/>
      <c r="Y858" s="13"/>
      <c r="Z858" s="15"/>
      <c r="AA858" s="15"/>
      <c r="AB858" s="28"/>
      <c r="AE858" s="34">
        <f>B855*$F$12</f>
        <v>4796</v>
      </c>
      <c r="AF858" s="39">
        <v>4796</v>
      </c>
      <c r="AG858" s="13"/>
      <c r="AH858" s="15"/>
      <c r="AI858" s="45"/>
      <c r="AJ858" s="39"/>
      <c r="AK858" s="13"/>
      <c r="AL858" s="15"/>
      <c r="AM858" s="45"/>
      <c r="AN858" s="15"/>
      <c r="AO858" s="13"/>
      <c r="AP858" s="15"/>
      <c r="AQ858" s="45"/>
      <c r="AR858" s="15"/>
      <c r="AS858" s="13"/>
      <c r="AT858" s="15"/>
      <c r="AU858" s="45"/>
      <c r="AV858" s="15"/>
      <c r="AW858" s="13"/>
      <c r="AY858" s="45"/>
      <c r="AZ858" s="28"/>
      <c r="BA858" s="13"/>
      <c r="BB858" s="15"/>
      <c r="BC858" s="45"/>
      <c r="BD858" s="28"/>
      <c r="BE858" s="14"/>
      <c r="BF858" s="41">
        <f t="shared" ref="BF858:BG858" si="2906">K858+O858+S858+W858+AA858+AE858+AI858+AM858+AQ858+AU858+AY858+BC858</f>
        <v>4796</v>
      </c>
      <c r="BG858" s="34">
        <f t="shared" si="2906"/>
        <v>4796</v>
      </c>
      <c r="BH858" s="35">
        <f t="shared" si="2892"/>
        <v>0</v>
      </c>
      <c r="BK858" s="2" t="b">
        <f>H858='2019'!BH716</f>
        <v>0</v>
      </c>
    </row>
    <row r="859" ht="15.75" customHeight="1" hidden="1" spans="1:63" x14ac:dyDescent="0.25">
      <c r="A859" s="89" t="s">
        <v>315</v>
      </c>
      <c r="B859" s="14"/>
      <c r="C859" s="2" t="s">
        <v>417</v>
      </c>
      <c r="D859" s="14" t="s">
        <v>51</v>
      </c>
      <c r="E859" s="2" t="s">
        <v>39</v>
      </c>
      <c r="F859" s="41">
        <v>500</v>
      </c>
      <c r="G859" s="28"/>
      <c r="H859" s="34">
        <f>'2019'!BH717</f>
        <v>0</v>
      </c>
      <c r="I859" s="15"/>
      <c r="J859" s="15"/>
      <c r="K859" s="15"/>
      <c r="L859" s="28"/>
      <c r="Q859" s="13"/>
      <c r="R859" s="15"/>
      <c r="S859" s="15"/>
      <c r="T859" s="28"/>
      <c r="Y859" s="13"/>
      <c r="Z859" s="15"/>
      <c r="AA859" s="15"/>
      <c r="AB859" s="28"/>
      <c r="AE859" s="34"/>
      <c r="AF859" s="34">
        <v>500</v>
      </c>
      <c r="AG859" s="13"/>
      <c r="AH859" s="15"/>
      <c r="AI859" s="45"/>
      <c r="AJ859" s="15"/>
      <c r="AK859" s="13"/>
      <c r="AL859" s="15"/>
      <c r="AM859" s="45"/>
      <c r="AN859" s="15"/>
      <c r="AO859" s="13"/>
      <c r="AP859" s="15"/>
      <c r="AQ859" s="45">
        <f>$F$13</f>
        <v>500</v>
      </c>
      <c r="AR859" s="15"/>
      <c r="AS859" s="13"/>
      <c r="AT859" s="15"/>
      <c r="AU859" s="45"/>
      <c r="AV859" s="15"/>
      <c r="AW859" s="13"/>
      <c r="AY859" s="45"/>
      <c r="AZ859" s="28"/>
      <c r="BA859" s="13"/>
      <c r="BB859" s="15"/>
      <c r="BC859" s="45"/>
      <c r="BD859" s="28"/>
      <c r="BE859" s="14"/>
      <c r="BF859" s="41">
        <f t="shared" ref="BF859:BG859" si="2907">K859+O859+S859+W859+AA859+AE859+AI859+AM859+AQ859+AU859+AY859+BC859</f>
        <v>500</v>
      </c>
      <c r="BG859" s="34">
        <f t="shared" si="2907"/>
        <v>500</v>
      </c>
      <c r="BH859" s="35">
        <f t="shared" si="2892"/>
        <v>0</v>
      </c>
      <c r="BK859" s="2" t="b">
        <f>H859='2019'!BH717</f>
        <v>1</v>
      </c>
    </row>
    <row r="860" ht="15.75" customHeight="1" hidden="1" spans="1:60" x14ac:dyDescent="0.25">
      <c r="A860" s="89" t="s">
        <v>315</v>
      </c>
      <c r="B860" s="14"/>
      <c r="C860" s="2" t="s">
        <v>443</v>
      </c>
      <c r="D860" s="14" t="s">
        <v>51</v>
      </c>
      <c r="E860" s="2" t="s">
        <v>49</v>
      </c>
      <c r="F860" s="41">
        <v>500</v>
      </c>
      <c r="G860" s="28"/>
      <c r="H860" s="34"/>
      <c r="I860" s="15"/>
      <c r="J860" s="15"/>
      <c r="K860" s="15"/>
      <c r="L860" s="28"/>
      <c r="Q860" s="13"/>
      <c r="R860" s="15"/>
      <c r="S860" s="15"/>
      <c r="T860" s="28"/>
      <c r="Y860" s="13"/>
      <c r="Z860" s="15"/>
      <c r="AA860" s="15"/>
      <c r="AB860" s="28"/>
      <c r="AE860" s="34"/>
      <c r="AF860" s="34"/>
      <c r="AG860" s="13"/>
      <c r="AH860" s="15"/>
      <c r="AI860" s="45"/>
      <c r="AJ860" s="15"/>
      <c r="AK860" s="13"/>
      <c r="AL860" s="15"/>
      <c r="AM860" s="45"/>
      <c r="AN860" s="15"/>
      <c r="AO860" s="13"/>
      <c r="AP860" s="15"/>
      <c r="AQ860" s="34">
        <f>B855*$F$14</f>
        <v>2180</v>
      </c>
      <c r="AR860" s="15"/>
      <c r="AS860" s="13"/>
      <c r="AT860" s="15"/>
      <c r="AU860" s="45"/>
      <c r="AV860" s="15"/>
      <c r="AW860" s="13"/>
      <c r="AY860" s="45"/>
      <c r="AZ860" s="28"/>
      <c r="BA860" s="13"/>
      <c r="BB860" s="15"/>
      <c r="BC860" s="45"/>
      <c r="BD860" s="38">
        <v>2180</v>
      </c>
      <c r="BE860" s="14"/>
      <c r="BF860" s="41">
        <f t="shared" ref="BF860:BG860" si="2908">K860+O860+S860+W860+AA860+AE860+AI860+AM860+AQ860+AU860+AY860+BC860</f>
        <v>2180</v>
      </c>
      <c r="BG860" s="34">
        <f t="shared" si="2908"/>
        <v>2180</v>
      </c>
      <c r="BH860" s="35">
        <f t="shared" si="2892"/>
        <v>0</v>
      </c>
    </row>
    <row r="861" ht="15.75" customHeight="1" hidden="1" spans="1:63" x14ac:dyDescent="0.25">
      <c r="A861" s="89" t="s">
        <v>315</v>
      </c>
      <c r="B861" s="14"/>
      <c r="D861" s="14" t="s">
        <v>52</v>
      </c>
      <c r="E861" s="2" t="s">
        <v>39</v>
      </c>
      <c r="F861" s="41">
        <v>500</v>
      </c>
      <c r="G861" s="28"/>
      <c r="H861" s="34">
        <f>'2019'!BH718</f>
        <v>0</v>
      </c>
      <c r="I861" s="15"/>
      <c r="J861" s="15"/>
      <c r="K861" s="15"/>
      <c r="L861" s="28"/>
      <c r="Q861" s="13"/>
      <c r="R861" s="15"/>
      <c r="S861" s="15"/>
      <c r="T861" s="28"/>
      <c r="Y861" s="13"/>
      <c r="Z861" s="15"/>
      <c r="AA861" s="77"/>
      <c r="AB861" s="28"/>
      <c r="AF861" s="39"/>
      <c r="AG861" s="13"/>
      <c r="AH861" s="15"/>
      <c r="AI861" s="45"/>
      <c r="AJ861" s="15"/>
      <c r="AK861" s="13"/>
      <c r="AL861" s="15"/>
      <c r="AM861" s="45"/>
      <c r="AN861" s="15"/>
      <c r="AO861" s="13"/>
      <c r="AP861" s="15"/>
      <c r="AQ861" s="45"/>
      <c r="AR861" s="15"/>
      <c r="AS861" s="13"/>
      <c r="AT861" s="15"/>
      <c r="AU861" s="45"/>
      <c r="AV861" s="15"/>
      <c r="AW861" s="13"/>
      <c r="AY861" s="45"/>
      <c r="AZ861" s="35"/>
      <c r="BA861" s="13"/>
      <c r="BB861" s="15"/>
      <c r="BC861" s="45"/>
      <c r="BD861" s="35"/>
      <c r="BE861" s="14"/>
      <c r="BF861" s="41">
        <f t="shared" ref="BF861:BG861" si="2909">K861+O861+S861+W861+AA861+AE861+AI861+AM861+AQ861+AU861+AY861+BC861</f>
        <v>0</v>
      </c>
      <c r="BG861" s="34">
        <f t="shared" si="2909"/>
        <v>0</v>
      </c>
      <c r="BH861" s="35">
        <f t="shared" si="2892"/>
        <v>0</v>
      </c>
      <c r="BK861" s="2" t="b">
        <f>H861='2019'!BH718</f>
        <v>1</v>
      </c>
    </row>
    <row r="862" ht="15.75" customHeight="1" hidden="1" spans="1:63" x14ac:dyDescent="0.25">
      <c r="A862" s="243" t="s">
        <v>315</v>
      </c>
      <c r="B862" s="21"/>
      <c r="C862" s="22" t="s">
        <v>53</v>
      </c>
      <c r="D862" s="21"/>
      <c r="E862" s="22"/>
      <c r="F862" s="20"/>
      <c r="G862" s="23"/>
      <c r="H862" s="51">
        <f>SUM(H854:H861)</f>
        <v>8381.06</v>
      </c>
      <c r="I862" s="53"/>
      <c r="J862" s="53"/>
      <c r="K862" s="51">
        <f t="shared" ref="K862:L862" si="2910">SUM(K854:K861)</f>
        <v>4230</v>
      </c>
      <c r="L862" s="68">
        <f t="shared" si="2910"/>
        <v>8200</v>
      </c>
      <c r="M862" s="53"/>
      <c r="N862" s="53"/>
      <c r="O862" s="51">
        <f t="shared" ref="O862:P862" si="2911">SUM(O854:O861)</f>
        <v>4367.5</v>
      </c>
      <c r="P862" s="51">
        <f t="shared" si="2911"/>
        <v>0</v>
      </c>
      <c r="Q862" s="52"/>
      <c r="R862" s="53"/>
      <c r="S862" s="51">
        <f t="shared" ref="S862:T862" si="2912">SUM(S854:S861)</f>
        <v>3782.5</v>
      </c>
      <c r="T862" s="51">
        <f t="shared" si="2912"/>
        <v>8580</v>
      </c>
      <c r="U862" s="52"/>
      <c r="V862" s="53"/>
      <c r="W862" s="51">
        <f t="shared" ref="W862:X862" si="2913">SUM(W854:W861)</f>
        <v>2610.5</v>
      </c>
      <c r="X862" s="51">
        <f t="shared" si="2913"/>
        <v>6570.5</v>
      </c>
      <c r="Y862" s="52"/>
      <c r="Z862" s="53"/>
      <c r="AA862" s="51">
        <f t="shared" ref="AA862:AB862" si="2914">SUM(AA854:AA861)</f>
        <v>1483.56</v>
      </c>
      <c r="AB862" s="51">
        <f t="shared" si="2914"/>
        <v>21.06</v>
      </c>
      <c r="AC862" s="52"/>
      <c r="AD862" s="53"/>
      <c r="AE862" s="51">
        <f t="shared" ref="AE862:AF862" si="2915">SUM(AE854:AE861)</f>
        <v>5858.12</v>
      </c>
      <c r="AF862" s="51">
        <f t="shared" si="2915"/>
        <v>6916.56</v>
      </c>
      <c r="AG862" s="52"/>
      <c r="AH862" s="53"/>
      <c r="AI862" s="183">
        <f t="shared" ref="AI862:AJ862" si="2916">SUM(AI854:AI861)</f>
        <v>1002.1</v>
      </c>
      <c r="AJ862" s="51">
        <f t="shared" si="2916"/>
        <v>1935</v>
      </c>
      <c r="AK862" s="52"/>
      <c r="AL862" s="53"/>
      <c r="AM862" s="183">
        <f t="shared" ref="AM862:AN862" si="2917">SUM(AM854:AM861)</f>
        <v>1448.12</v>
      </c>
      <c r="AN862" s="51">
        <f t="shared" si="2917"/>
        <v>137</v>
      </c>
      <c r="AO862" s="52"/>
      <c r="AP862" s="53"/>
      <c r="AQ862" s="183">
        <f t="shared" ref="AQ862:AR862" si="2918">SUM(AQ854:AQ861)</f>
        <v>4198.32</v>
      </c>
      <c r="AR862" s="51">
        <f t="shared" si="2918"/>
        <v>1404</v>
      </c>
      <c r="AS862" s="52"/>
      <c r="AT862" s="53"/>
      <c r="AU862" s="183">
        <f t="shared" ref="AU862:AV862" si="2919">SUM(AU854:AU861)</f>
        <v>4362.8</v>
      </c>
      <c r="AV862" s="68">
        <f t="shared" si="2919"/>
        <v>1520</v>
      </c>
      <c r="AW862" s="52"/>
      <c r="AX862" s="53"/>
      <c r="AY862" s="183">
        <f t="shared" ref="AY862:AZ862" si="2920">SUM(AY854:AY861)</f>
        <v>4058.6</v>
      </c>
      <c r="AZ862" s="68">
        <f t="shared" si="2920"/>
        <v>4500</v>
      </c>
      <c r="BA862" s="52"/>
      <c r="BB862" s="53"/>
      <c r="BC862" s="183">
        <f t="shared" ref="BC862:BD862" si="2921">SUM(BC854:BC861)</f>
        <v>6385.6</v>
      </c>
      <c r="BD862" s="68">
        <f t="shared" si="2921"/>
        <v>12680</v>
      </c>
      <c r="BE862" s="69"/>
      <c r="BF862" s="70">
        <f t="shared" ref="BF862:BH862" si="2922">SUM(BF854:BF861)</f>
        <v>43787.72</v>
      </c>
      <c r="BG862" s="71">
        <f t="shared" si="2922"/>
        <v>52464.12</v>
      </c>
      <c r="BH862" s="72">
        <f t="shared" si="2922"/>
        <v>-295.34</v>
      </c>
      <c r="BI862" s="34">
        <f>H862+BF862-BG862</f>
        <v>-295.34</v>
      </c>
      <c r="BJ862" s="34">
        <f>BH862-BI862</f>
        <v>0</v>
      </c>
      <c r="BK862" s="2" t="b">
        <f>H862='2019'!BH719</f>
        <v>0</v>
      </c>
    </row>
    <row r="863" ht="15.75" customHeight="1" hidden="1" spans="1:60" x14ac:dyDescent="0.25">
      <c r="A863" s="89" t="s">
        <v>315</v>
      </c>
      <c r="B863" s="14"/>
      <c r="D863" s="14" t="s">
        <v>379</v>
      </c>
      <c r="F863" s="13"/>
      <c r="G863" s="28"/>
      <c r="H863" s="182">
        <v>0</v>
      </c>
      <c r="J863" s="15"/>
      <c r="K863" s="15"/>
      <c r="L863" s="28"/>
      <c r="Q863" s="13"/>
      <c r="R863" s="15"/>
      <c r="S863" s="15"/>
      <c r="T863" s="28"/>
      <c r="Y863" s="13"/>
      <c r="Z863" s="15"/>
      <c r="AA863" s="15"/>
      <c r="AB863" s="28"/>
      <c r="AG863" s="13"/>
      <c r="AH863" s="15"/>
      <c r="AI863" s="45"/>
      <c r="AJ863" s="15"/>
      <c r="AK863" s="13"/>
      <c r="AM863" s="45"/>
      <c r="AO863" s="13"/>
      <c r="AQ863" s="45"/>
      <c r="AS863" s="13"/>
      <c r="AU863" s="45"/>
      <c r="AW863" s="13"/>
      <c r="AY863" s="45"/>
      <c r="AZ863" s="28"/>
      <c r="BA863" s="13"/>
      <c r="BB863" s="15"/>
      <c r="BC863" s="45"/>
      <c r="BD863" s="28"/>
      <c r="BE863" s="14"/>
      <c r="BF863" s="41">
        <f t="shared" ref="BF863:BG863" si="2923">K863+O863+S863+W863+AA863+AE863+AI863+AM863+AQ863+AU863+AY863+BC863</f>
        <v>0</v>
      </c>
      <c r="BG863" s="34">
        <f t="shared" si="2923"/>
        <v>0</v>
      </c>
      <c r="BH863" s="35">
        <f t="shared" ref="BH863:BH870" si="2924">H863+BF863-BG863</f>
        <v>0</v>
      </c>
    </row>
    <row r="864" ht="15.75" customHeight="1" hidden="1" spans="1:60" x14ac:dyDescent="0.25">
      <c r="A864" s="89" t="s">
        <v>315</v>
      </c>
      <c r="B864" s="42">
        <v>4.4</v>
      </c>
      <c r="C864" s="2" t="s">
        <v>316</v>
      </c>
      <c r="D864" s="14" t="s">
        <v>44</v>
      </c>
      <c r="E864" s="2" t="s">
        <v>45</v>
      </c>
      <c r="F864" s="41">
        <v>2.5</v>
      </c>
      <c r="G864" s="35">
        <v>2.6</v>
      </c>
      <c r="H864" s="182">
        <v>0</v>
      </c>
      <c r="I864" s="15"/>
      <c r="J864" s="15"/>
      <c r="K864" s="34">
        <f>J864*$F$8</f>
        <v>0</v>
      </c>
      <c r="L864" s="28"/>
      <c r="N864" s="15"/>
      <c r="O864" s="34">
        <f>N864*$F$8</f>
        <v>0</v>
      </c>
      <c r="P864" s="34"/>
      <c r="Q864" s="13"/>
      <c r="R864" s="15">
        <f>Q864-M864</f>
        <v>0</v>
      </c>
      <c r="S864" s="34">
        <f>R864*$F$8</f>
        <v>0</v>
      </c>
      <c r="T864" s="35"/>
      <c r="U864" s="37"/>
      <c r="V864" s="37">
        <f t="shared" ref="V864:V865" si="2925">U864-Q864</f>
        <v>0</v>
      </c>
      <c r="W864" s="34">
        <f>V864*$F$8</f>
        <v>0</v>
      </c>
      <c r="X864" s="15"/>
      <c r="Y864" s="13"/>
      <c r="Z864" s="37">
        <f t="shared" ref="Z864:Z865" si="2926">Y864-U864</f>
        <v>0</v>
      </c>
      <c r="AA864" s="34">
        <f>Z864*$F$8</f>
        <v>0</v>
      </c>
      <c r="AB864" s="28"/>
      <c r="AC864" s="15"/>
      <c r="AD864" s="15">
        <f t="shared" ref="AD864:AD865" si="2927">AC864-Y864</f>
        <v>0</v>
      </c>
      <c r="AE864" s="34">
        <f>AD864*$F$8</f>
        <v>0</v>
      </c>
      <c r="AF864" s="34"/>
      <c r="AG864" s="13"/>
      <c r="AH864" s="15">
        <f t="shared" ref="AH864:AH865" si="2928">AG864-AC864</f>
        <v>0</v>
      </c>
      <c r="AI864" s="45">
        <f>AH864*$G$8</f>
        <v>0</v>
      </c>
      <c r="AJ864" s="180"/>
      <c r="AK864" s="13">
        <v>0</v>
      </c>
      <c r="AL864" s="15">
        <f t="shared" ref="AL864:AL865" si="2929">AK864-AG864</f>
        <v>0</v>
      </c>
      <c r="AM864" s="45">
        <f>AL864*$G$8</f>
        <v>0</v>
      </c>
      <c r="AN864" s="15"/>
      <c r="AO864" s="13">
        <v>0</v>
      </c>
      <c r="AP864" s="15">
        <f t="shared" ref="AP864:AP865" si="2930">AO864-AK864</f>
        <v>0</v>
      </c>
      <c r="AQ864" s="45">
        <f>AP864*$G$8</f>
        <v>0</v>
      </c>
      <c r="AR864" s="15"/>
      <c r="AS864" s="13">
        <v>0</v>
      </c>
      <c r="AT864" s="15">
        <f t="shared" ref="AT864:AT865" si="2931">AS864-AO864</f>
        <v>0</v>
      </c>
      <c r="AU864" s="45">
        <f t="shared" ref="AU864:AU865" si="2932">AT864*$G$8</f>
        <v>0</v>
      </c>
      <c r="AV864" s="15"/>
      <c r="AW864" s="13">
        <v>0</v>
      </c>
      <c r="AX864" s="2">
        <f t="shared" ref="AX864:AX865" si="2933">AW864-AS864</f>
        <v>0</v>
      </c>
      <c r="AY864" s="45">
        <f>AX864*$G$8</f>
        <v>0</v>
      </c>
      <c r="AZ864" s="208"/>
      <c r="BA864" s="13">
        <v>0</v>
      </c>
      <c r="BB864" s="15">
        <f t="shared" ref="BB864:BB865" si="2934">BA864-AW864</f>
        <v>0</v>
      </c>
      <c r="BC864" s="45">
        <f>BB864*$G$8</f>
        <v>0</v>
      </c>
      <c r="BD864" s="208"/>
      <c r="BE864" s="40">
        <f t="shared" ref="BE864:BG864" si="2935">J864+N864+R864+V864+Z864+AD864+AH864+AL864+AP864+AT864+AX864+BB864</f>
        <v>0</v>
      </c>
      <c r="BF864" s="41">
        <f t="shared" si="2935"/>
        <v>0</v>
      </c>
      <c r="BG864" s="34">
        <f t="shared" si="2935"/>
        <v>0</v>
      </c>
      <c r="BH864" s="35">
        <f t="shared" si="2924"/>
        <v>0</v>
      </c>
    </row>
    <row r="865" ht="15.75" customHeight="1" hidden="1" spans="1:60" x14ac:dyDescent="0.25">
      <c r="A865" s="89" t="s">
        <v>315</v>
      </c>
      <c r="B865" s="14"/>
      <c r="C865" s="2" t="s">
        <v>317</v>
      </c>
      <c r="D865" s="14" t="s">
        <v>47</v>
      </c>
      <c r="E865" s="2" t="s">
        <v>48</v>
      </c>
      <c r="F865" s="13">
        <v>18.56</v>
      </c>
      <c r="G865" s="35">
        <v>19.46</v>
      </c>
      <c r="H865" s="182">
        <v>0</v>
      </c>
      <c r="I865" s="15">
        <v>28</v>
      </c>
      <c r="J865" s="15"/>
      <c r="K865" s="15"/>
      <c r="L865" s="28"/>
      <c r="M865" s="2">
        <v>28</v>
      </c>
      <c r="Q865" s="13">
        <v>28</v>
      </c>
      <c r="R865" s="15"/>
      <c r="S865" s="15"/>
      <c r="T865" s="28"/>
      <c r="U865" s="2">
        <v>30</v>
      </c>
      <c r="V865" s="2">
        <f t="shared" si="2925"/>
        <v>2</v>
      </c>
      <c r="W865" s="2">
        <f>V865*$F$10</f>
        <v>37.12</v>
      </c>
      <c r="Y865" s="13">
        <v>30</v>
      </c>
      <c r="Z865" s="15">
        <f t="shared" si="2926"/>
        <v>0</v>
      </c>
      <c r="AA865" s="34">
        <f>Z865*$F$10</f>
        <v>0</v>
      </c>
      <c r="AB865" s="28"/>
      <c r="AC865" s="15">
        <v>35</v>
      </c>
      <c r="AD865" s="15">
        <f t="shared" si="2927"/>
        <v>5</v>
      </c>
      <c r="AE865" s="34">
        <f>AD865*$F$10</f>
        <v>92.8</v>
      </c>
      <c r="AF865" s="39">
        <v>37.44</v>
      </c>
      <c r="AG865" s="13">
        <v>51</v>
      </c>
      <c r="AH865" s="15">
        <f t="shared" si="2928"/>
        <v>16</v>
      </c>
      <c r="AI865" s="45">
        <f>AH865*$G$10</f>
        <v>311.36</v>
      </c>
      <c r="AJ865" s="180"/>
      <c r="AK865" s="13">
        <v>56</v>
      </c>
      <c r="AL865" s="15">
        <f t="shared" si="2929"/>
        <v>5</v>
      </c>
      <c r="AM865" s="45">
        <f>AL865*$G$10</f>
        <v>97.3</v>
      </c>
      <c r="AN865" s="39">
        <v>404</v>
      </c>
      <c r="AO865" s="13">
        <v>56</v>
      </c>
      <c r="AP865" s="15">
        <f t="shared" si="2930"/>
        <v>0</v>
      </c>
      <c r="AQ865" s="45">
        <f>AP865*$G$10</f>
        <v>0</v>
      </c>
      <c r="AR865" s="15"/>
      <c r="AS865" s="13">
        <v>56</v>
      </c>
      <c r="AT865" s="15">
        <f t="shared" si="2931"/>
        <v>0</v>
      </c>
      <c r="AU865" s="45">
        <f t="shared" si="2932"/>
        <v>0</v>
      </c>
      <c r="AV865" s="15"/>
      <c r="AW865" s="13">
        <v>56</v>
      </c>
      <c r="AX865" s="2">
        <f t="shared" si="2933"/>
        <v>0</v>
      </c>
      <c r="AY865" s="45"/>
      <c r="AZ865" s="208"/>
      <c r="BA865" s="13">
        <v>56</v>
      </c>
      <c r="BB865" s="15">
        <f t="shared" si="2934"/>
        <v>0</v>
      </c>
      <c r="BC865" s="45"/>
      <c r="BD865" s="208"/>
      <c r="BE865" s="40">
        <f t="shared" ref="BE865:BG865" si="2936">J865+N865+R865+V865+Z865+AD865+AH865+AL865+AP865+AT865+AX865+BB865</f>
        <v>28</v>
      </c>
      <c r="BF865" s="41">
        <f t="shared" si="2936"/>
        <v>538.58</v>
      </c>
      <c r="BG865" s="34">
        <f t="shared" si="2936"/>
        <v>441.44</v>
      </c>
      <c r="BH865" s="35">
        <f t="shared" si="2924"/>
        <v>97.14</v>
      </c>
    </row>
    <row r="866" ht="15.75" customHeight="1" hidden="1" spans="1:60" x14ac:dyDescent="0.25">
      <c r="A866" s="89" t="s">
        <v>315</v>
      </c>
      <c r="B866" s="14"/>
      <c r="C866" s="2" t="s">
        <v>246</v>
      </c>
      <c r="D866" s="14" t="s">
        <v>47</v>
      </c>
      <c r="E866" s="2" t="s">
        <v>49</v>
      </c>
      <c r="F866" s="41">
        <v>500</v>
      </c>
      <c r="G866" s="28"/>
      <c r="H866" s="182">
        <v>0</v>
      </c>
      <c r="I866" s="15"/>
      <c r="J866" s="15"/>
      <c r="K866" s="15"/>
      <c r="L866" s="28"/>
      <c r="Q866" s="13"/>
      <c r="R866" s="15"/>
      <c r="S866" s="15"/>
      <c r="T866" s="28"/>
      <c r="Y866" s="13"/>
      <c r="Z866" s="15"/>
      <c r="AA866" s="15"/>
      <c r="AB866" s="28"/>
      <c r="AG866" s="13"/>
      <c r="AH866" s="15"/>
      <c r="AI866" s="45"/>
      <c r="AJ866" s="15"/>
      <c r="AK866" s="13"/>
      <c r="AL866" s="15"/>
      <c r="AM866" s="45"/>
      <c r="AN866" s="15"/>
      <c r="AO866" s="13"/>
      <c r="AP866" s="15"/>
      <c r="AQ866" s="45"/>
      <c r="AR866" s="15"/>
      <c r="AS866" s="13"/>
      <c r="AT866" s="15"/>
      <c r="AU866" s="45"/>
      <c r="AV866" s="15"/>
      <c r="AW866" s="13"/>
      <c r="AY866" s="45"/>
      <c r="AZ866" s="28"/>
      <c r="BA866" s="13"/>
      <c r="BB866" s="15"/>
      <c r="BC866" s="45"/>
      <c r="BD866" s="28"/>
      <c r="BE866" s="14"/>
      <c r="BF866" s="41">
        <f t="shared" ref="BF866:BG866" si="2937">K866+O866+S866+W866+AA866+AE866+AI866+AM866+AQ866+AU866+AY866+BC866</f>
        <v>0</v>
      </c>
      <c r="BG866" s="34">
        <f t="shared" si="2937"/>
        <v>0</v>
      </c>
      <c r="BH866" s="35">
        <f t="shared" si="2924"/>
        <v>0</v>
      </c>
    </row>
    <row r="867" ht="15.75" customHeight="1" hidden="1" spans="1:60" x14ac:dyDescent="0.25">
      <c r="A867" s="89" t="s">
        <v>315</v>
      </c>
      <c r="B867" s="14"/>
      <c r="C867" s="2" t="s">
        <v>318</v>
      </c>
      <c r="D867" s="14" t="s">
        <v>50</v>
      </c>
      <c r="E867" s="2" t="s">
        <v>49</v>
      </c>
      <c r="F867" s="41">
        <v>1100</v>
      </c>
      <c r="G867" s="28"/>
      <c r="H867" s="182">
        <v>0</v>
      </c>
      <c r="I867" s="15"/>
      <c r="J867" s="15"/>
      <c r="K867" s="15"/>
      <c r="L867" s="28"/>
      <c r="Q867" s="13"/>
      <c r="R867" s="15"/>
      <c r="S867" s="15"/>
      <c r="T867" s="28"/>
      <c r="Y867" s="13"/>
      <c r="Z867" s="15"/>
      <c r="AA867" s="15"/>
      <c r="AB867" s="28"/>
      <c r="AE867" s="34">
        <f>B864*$F$12</f>
        <v>4840</v>
      </c>
      <c r="AG867" s="13"/>
      <c r="AH867" s="15"/>
      <c r="AI867" s="45"/>
      <c r="AJ867" s="39"/>
      <c r="AK867" s="13"/>
      <c r="AL867" s="15"/>
      <c r="AM867" s="45"/>
      <c r="AN867" s="15"/>
      <c r="AO867" s="13"/>
      <c r="AP867" s="15"/>
      <c r="AQ867" s="45"/>
      <c r="AR867" s="39">
        <v>4840</v>
      </c>
      <c r="AS867" s="13"/>
      <c r="AT867" s="15"/>
      <c r="AU867" s="45"/>
      <c r="AV867" s="15"/>
      <c r="AW867" s="13"/>
      <c r="AY867" s="45"/>
      <c r="AZ867" s="28"/>
      <c r="BA867" s="13"/>
      <c r="BB867" s="15"/>
      <c r="BC867" s="45"/>
      <c r="BD867" s="28"/>
      <c r="BE867" s="14"/>
      <c r="BF867" s="41">
        <f t="shared" ref="BF867:BG867" si="2938">K867+O867+S867+W867+AA867+AE867+AI867+AM867+AQ867+AU867+AY867+BC867</f>
        <v>4840</v>
      </c>
      <c r="BG867" s="34">
        <f t="shared" si="2938"/>
        <v>4840</v>
      </c>
      <c r="BH867" s="35">
        <f t="shared" si="2924"/>
        <v>0</v>
      </c>
    </row>
    <row r="868" ht="15.75" customHeight="1" hidden="1" spans="1:60" x14ac:dyDescent="0.25">
      <c r="A868" s="89" t="s">
        <v>315</v>
      </c>
      <c r="B868" s="14"/>
      <c r="C868" s="2" t="s">
        <v>417</v>
      </c>
      <c r="D868" s="14" t="s">
        <v>51</v>
      </c>
      <c r="E868" s="2" t="s">
        <v>39</v>
      </c>
      <c r="F868" s="41">
        <v>500</v>
      </c>
      <c r="G868" s="28"/>
      <c r="H868" s="182">
        <v>0</v>
      </c>
      <c r="I868" s="15"/>
      <c r="J868" s="15"/>
      <c r="K868" s="15"/>
      <c r="L868" s="28"/>
      <c r="Q868" s="13"/>
      <c r="R868" s="15"/>
      <c r="S868" s="15"/>
      <c r="T868" s="28"/>
      <c r="Y868" s="13"/>
      <c r="Z868" s="15"/>
      <c r="AA868" s="15"/>
      <c r="AB868" s="28"/>
      <c r="AE868" s="34"/>
      <c r="AG868" s="13"/>
      <c r="AH868" s="15"/>
      <c r="AI868" s="45"/>
      <c r="AJ868" s="15"/>
      <c r="AK868" s="13"/>
      <c r="AL868" s="15"/>
      <c r="AM868" s="45"/>
      <c r="AN868" s="15"/>
      <c r="AO868" s="13"/>
      <c r="AP868" s="15"/>
      <c r="AQ868" s="45">
        <f>$F$13</f>
        <v>500</v>
      </c>
      <c r="AR868" s="15"/>
      <c r="AS868" s="13"/>
      <c r="AT868" s="15"/>
      <c r="AU868" s="45"/>
      <c r="AV868" s="15"/>
      <c r="AW868" s="13"/>
      <c r="AY868" s="45"/>
      <c r="AZ868" s="28"/>
      <c r="BA868" s="13"/>
      <c r="BB868" s="15"/>
      <c r="BC868" s="45"/>
      <c r="BD868" s="28"/>
      <c r="BE868" s="14"/>
      <c r="BF868" s="41">
        <f t="shared" ref="BF868:BG868" si="2939">K868+O868+S868+W868+AA868+AE868+AI868+AM868+AQ868+AU868+AY868+BC868</f>
        <v>500</v>
      </c>
      <c r="BG868" s="34">
        <f t="shared" si="2939"/>
        <v>0</v>
      </c>
      <c r="BH868" s="35">
        <f t="shared" si="2924"/>
        <v>500</v>
      </c>
    </row>
    <row r="869" ht="15.75" customHeight="1" hidden="1" spans="1:60" x14ac:dyDescent="0.25">
      <c r="A869" s="89" t="s">
        <v>315</v>
      </c>
      <c r="B869" s="14"/>
      <c r="C869" s="2" t="s">
        <v>443</v>
      </c>
      <c r="D869" s="14" t="s">
        <v>51</v>
      </c>
      <c r="E869" s="2" t="s">
        <v>49</v>
      </c>
      <c r="F869" s="41">
        <v>500</v>
      </c>
      <c r="G869" s="28"/>
      <c r="H869" s="182"/>
      <c r="I869" s="15"/>
      <c r="J869" s="15"/>
      <c r="K869" s="15"/>
      <c r="L869" s="28"/>
      <c r="Q869" s="13"/>
      <c r="R869" s="15"/>
      <c r="S869" s="15"/>
      <c r="T869" s="28"/>
      <c r="Y869" s="13"/>
      <c r="Z869" s="15"/>
      <c r="AA869" s="15"/>
      <c r="AB869" s="28"/>
      <c r="AE869" s="34"/>
      <c r="AG869" s="13"/>
      <c r="AH869" s="15"/>
      <c r="AI869" s="45"/>
      <c r="AJ869" s="15"/>
      <c r="AK869" s="13"/>
      <c r="AL869" s="15"/>
      <c r="AM869" s="45"/>
      <c r="AN869" s="15"/>
      <c r="AO869" s="13"/>
      <c r="AP869" s="15"/>
      <c r="AQ869" s="34">
        <f>B864*$F$14</f>
        <v>2200</v>
      </c>
      <c r="AR869" s="15"/>
      <c r="AS869" s="13"/>
      <c r="AT869" s="15"/>
      <c r="AU869" s="45"/>
      <c r="AV869" s="15"/>
      <c r="AW869" s="13"/>
      <c r="AY869" s="45"/>
      <c r="AZ869" s="28"/>
      <c r="BA869" s="13"/>
      <c r="BB869" s="15"/>
      <c r="BC869" s="45"/>
      <c r="BD869" s="38">
        <v>2200</v>
      </c>
      <c r="BE869" s="14"/>
      <c r="BF869" s="41">
        <f t="shared" ref="BF869:BG869" si="2940">K869+O869+S869+W869+AA869+AE869+AI869+AM869+AQ869+AU869+AY869+BC869</f>
        <v>2200</v>
      </c>
      <c r="BG869" s="34">
        <f t="shared" si="2940"/>
        <v>2200</v>
      </c>
      <c r="BH869" s="35">
        <f t="shared" si="2924"/>
        <v>0</v>
      </c>
    </row>
    <row r="870" ht="15.75" customHeight="1" hidden="1" spans="1:60" x14ac:dyDescent="0.25">
      <c r="A870" s="89" t="s">
        <v>315</v>
      </c>
      <c r="B870" s="14"/>
      <c r="D870" s="14" t="s">
        <v>52</v>
      </c>
      <c r="E870" s="2" t="s">
        <v>39</v>
      </c>
      <c r="F870" s="41">
        <v>500</v>
      </c>
      <c r="G870" s="28"/>
      <c r="H870" s="182">
        <v>0</v>
      </c>
      <c r="I870" s="15"/>
      <c r="J870" s="15"/>
      <c r="K870" s="15"/>
      <c r="L870" s="28"/>
      <c r="Q870" s="13"/>
      <c r="R870" s="15"/>
      <c r="S870" s="15"/>
      <c r="T870" s="28"/>
      <c r="Y870" s="13"/>
      <c r="Z870" s="15"/>
      <c r="AA870" s="77"/>
      <c r="AB870" s="28"/>
      <c r="AG870" s="13"/>
      <c r="AH870" s="15"/>
      <c r="AI870" s="45"/>
      <c r="AJ870" s="15"/>
      <c r="AK870" s="13"/>
      <c r="AL870" s="15"/>
      <c r="AM870" s="45"/>
      <c r="AN870" s="15"/>
      <c r="AO870" s="13"/>
      <c r="AP870" s="15"/>
      <c r="AQ870" s="45"/>
      <c r="AR870" s="15"/>
      <c r="AS870" s="13"/>
      <c r="AT870" s="15"/>
      <c r="AU870" s="45"/>
      <c r="AV870" s="15"/>
      <c r="AW870" s="13"/>
      <c r="AY870" s="45"/>
      <c r="AZ870" s="35"/>
      <c r="BA870" s="13"/>
      <c r="BB870" s="15"/>
      <c r="BC870" s="45"/>
      <c r="BD870" s="35"/>
      <c r="BE870" s="14"/>
      <c r="BF870" s="41">
        <f t="shared" ref="BF870:BG870" si="2941">K870+O870+S870+W870+AA870+AE870+AI870+AM870+AQ870+AU870+AY870+BC870</f>
        <v>0</v>
      </c>
      <c r="BG870" s="34">
        <f t="shared" si="2941"/>
        <v>0</v>
      </c>
      <c r="BH870" s="35">
        <f t="shared" si="2924"/>
        <v>0</v>
      </c>
    </row>
    <row r="871" ht="15.75" customHeight="1" hidden="1" spans="1:62" x14ac:dyDescent="0.25">
      <c r="A871" s="243" t="s">
        <v>315</v>
      </c>
      <c r="B871" s="21"/>
      <c r="C871" s="22" t="s">
        <v>53</v>
      </c>
      <c r="D871" s="21"/>
      <c r="E871" s="22"/>
      <c r="F871" s="20"/>
      <c r="G871" s="23"/>
      <c r="H871" s="51">
        <f>SUM(H863:H870)</f>
        <v>0</v>
      </c>
      <c r="I871" s="53"/>
      <c r="J871" s="53"/>
      <c r="K871" s="51">
        <f t="shared" ref="K871:L871" si="2942">SUM(K863:K870)</f>
        <v>0</v>
      </c>
      <c r="L871" s="68">
        <f t="shared" si="2942"/>
        <v>0</v>
      </c>
      <c r="M871" s="53"/>
      <c r="N871" s="53"/>
      <c r="O871" s="51">
        <f t="shared" ref="O871:P871" si="2943">SUM(O863:O870)</f>
        <v>0</v>
      </c>
      <c r="P871" s="51">
        <f t="shared" si="2943"/>
        <v>0</v>
      </c>
      <c r="Q871" s="52"/>
      <c r="R871" s="53"/>
      <c r="S871" s="51">
        <f t="shared" ref="S871:T871" si="2944">SUM(S863:S870)</f>
        <v>0</v>
      </c>
      <c r="T871" s="51">
        <f t="shared" si="2944"/>
        <v>0</v>
      </c>
      <c r="U871" s="52"/>
      <c r="V871" s="53"/>
      <c r="W871" s="51">
        <f t="shared" ref="W871:X871" si="2945">SUM(W863:W870)</f>
        <v>37.12</v>
      </c>
      <c r="X871" s="51">
        <f t="shared" si="2945"/>
        <v>0</v>
      </c>
      <c r="Y871" s="52"/>
      <c r="Z871" s="53"/>
      <c r="AA871" s="51">
        <f t="shared" ref="AA871:AB871" si="2946">SUM(AA863:AA870)</f>
        <v>0</v>
      </c>
      <c r="AB871" s="51">
        <f t="shared" si="2946"/>
        <v>0</v>
      </c>
      <c r="AC871" s="52"/>
      <c r="AD871" s="53"/>
      <c r="AE871" s="51">
        <f t="shared" ref="AE871:AF871" si="2947">SUM(AE863:AE870)</f>
        <v>4932.8</v>
      </c>
      <c r="AF871" s="51">
        <f t="shared" si="2947"/>
        <v>37.44</v>
      </c>
      <c r="AG871" s="52"/>
      <c r="AH871" s="53"/>
      <c r="AI871" s="183">
        <f t="shared" ref="AI871:AJ871" si="2948">SUM(AI863:AI870)</f>
        <v>311.36</v>
      </c>
      <c r="AJ871" s="51">
        <f t="shared" si="2948"/>
        <v>0</v>
      </c>
      <c r="AK871" s="52"/>
      <c r="AL871" s="53"/>
      <c r="AM871" s="183">
        <f t="shared" ref="AM871:AN871" si="2949">SUM(AM863:AM870)</f>
        <v>97.3</v>
      </c>
      <c r="AN871" s="51">
        <f t="shared" si="2949"/>
        <v>404</v>
      </c>
      <c r="AO871" s="52"/>
      <c r="AP871" s="53"/>
      <c r="AQ871" s="183">
        <f t="shared" ref="AQ871:AR871" si="2950">SUM(AQ863:AQ870)</f>
        <v>2700</v>
      </c>
      <c r="AR871" s="51">
        <f t="shared" si="2950"/>
        <v>4840</v>
      </c>
      <c r="AS871" s="52"/>
      <c r="AT871" s="53"/>
      <c r="AU871" s="183">
        <f t="shared" ref="AU871:AV871" si="2951">SUM(AU863:AU870)</f>
        <v>0</v>
      </c>
      <c r="AV871" s="68">
        <f t="shared" si="2951"/>
        <v>0</v>
      </c>
      <c r="AW871" s="52"/>
      <c r="AX871" s="53"/>
      <c r="AY871" s="183">
        <f t="shared" ref="AY871:AZ871" si="2952">SUM(AY863:AY870)</f>
        <v>0</v>
      </c>
      <c r="AZ871" s="68">
        <f t="shared" si="2952"/>
        <v>0</v>
      </c>
      <c r="BA871" s="52"/>
      <c r="BB871" s="53"/>
      <c r="BC871" s="183">
        <f t="shared" ref="BC871:BD871" si="2953">SUM(BC863:BC870)</f>
        <v>0</v>
      </c>
      <c r="BD871" s="68">
        <f t="shared" si="2953"/>
        <v>2200</v>
      </c>
      <c r="BE871" s="69"/>
      <c r="BF871" s="70">
        <f t="shared" ref="BF871:BH871" si="2954">SUM(BF863:BF870)</f>
        <v>8078.58</v>
      </c>
      <c r="BG871" s="71">
        <f t="shared" si="2954"/>
        <v>7481.44</v>
      </c>
      <c r="BH871" s="72">
        <f t="shared" si="2954"/>
        <v>597.14</v>
      </c>
      <c r="BI871" s="34">
        <f>H871+BF871-BG871</f>
        <v>597.14</v>
      </c>
      <c r="BJ871" s="34">
        <f>BH871-BI871</f>
        <v>0</v>
      </c>
    </row>
    <row r="872" ht="15.75" customHeight="1" hidden="1" spans="1:63" x14ac:dyDescent="0.25">
      <c r="A872" s="2">
        <v>99</v>
      </c>
      <c r="B872" s="14"/>
      <c r="D872" s="14" t="s">
        <v>379</v>
      </c>
      <c r="F872" s="13"/>
      <c r="G872" s="28"/>
      <c r="H872" s="34">
        <f>'2019'!BH720</f>
        <v>12.04</v>
      </c>
      <c r="J872" s="15"/>
      <c r="K872" s="15">
        <v>3.04</v>
      </c>
      <c r="L872" s="28"/>
      <c r="O872" s="2">
        <v>2.85</v>
      </c>
      <c r="Q872" s="13"/>
      <c r="R872" s="15"/>
      <c r="S872" s="15">
        <v>3.04</v>
      </c>
      <c r="T872" s="28"/>
      <c r="W872" s="2">
        <v>2.95</v>
      </c>
      <c r="Y872" s="13"/>
      <c r="Z872" s="15"/>
      <c r="AA872" s="15">
        <v>3.04</v>
      </c>
      <c r="AB872" s="28"/>
      <c r="AE872" s="2">
        <v>2.95</v>
      </c>
      <c r="AG872" s="13"/>
      <c r="AH872" s="15"/>
      <c r="AI872" s="45">
        <v>3.04</v>
      </c>
      <c r="AJ872" s="15"/>
      <c r="AK872" s="13"/>
      <c r="AM872" s="45">
        <v>2.36</v>
      </c>
      <c r="AN872" s="1">
        <v>32.95</v>
      </c>
      <c r="AO872" s="13"/>
      <c r="AQ872" s="45"/>
      <c r="AS872" s="13"/>
      <c r="AU872" s="45"/>
      <c r="AW872" s="13"/>
      <c r="AY872" s="45"/>
      <c r="AZ872" s="28"/>
      <c r="BA872" s="13"/>
      <c r="BB872" s="15"/>
      <c r="BC872" s="45"/>
      <c r="BD872" s="28"/>
      <c r="BE872" s="14"/>
      <c r="BF872" s="41">
        <f t="shared" ref="BF872:BG872" si="2955">K872+O872+S872+W872+AA872+AE872+AI872+AM872+AQ872+AU872+AY872+BC872</f>
        <v>23.27</v>
      </c>
      <c r="BG872" s="34">
        <f t="shared" si="2955"/>
        <v>32.95</v>
      </c>
      <c r="BH872" s="35">
        <f t="shared" ref="BH872:BH879" si="2956">H872+BF872-BG872</f>
        <v>2.36</v>
      </c>
      <c r="BK872" s="2" t="b">
        <f>H872='2019'!BH720</f>
        <v>1</v>
      </c>
    </row>
    <row r="873" ht="15.75" customHeight="1" hidden="1" spans="1:63" x14ac:dyDescent="0.25">
      <c r="A873" s="2">
        <v>99</v>
      </c>
      <c r="B873" s="14">
        <v>4.53</v>
      </c>
      <c r="C873" s="2" t="s">
        <v>319</v>
      </c>
      <c r="D873" s="14" t="s">
        <v>44</v>
      </c>
      <c r="E873" s="2" t="s">
        <v>45</v>
      </c>
      <c r="F873" s="41">
        <v>2.5</v>
      </c>
      <c r="G873" s="35">
        <v>2.6</v>
      </c>
      <c r="H873" s="34">
        <f>'2019'!BH721</f>
        <v>-386.26</v>
      </c>
      <c r="I873" s="13">
        <v>128</v>
      </c>
      <c r="J873" s="15">
        <f>I873-'2019'!BA721</f>
        <v>0</v>
      </c>
      <c r="K873" s="34">
        <f>J873*$F$8</f>
        <v>0</v>
      </c>
      <c r="L873" s="28"/>
      <c r="M873" s="2">
        <v>128</v>
      </c>
      <c r="N873" s="15">
        <f>M873-I873</f>
        <v>0</v>
      </c>
      <c r="O873" s="34">
        <f>N873*$F$8</f>
        <v>0</v>
      </c>
      <c r="Q873" s="13">
        <v>128</v>
      </c>
      <c r="R873" s="15">
        <f>Q873-M873</f>
        <v>0</v>
      </c>
      <c r="S873" s="34">
        <f>R873*$F$8</f>
        <v>0</v>
      </c>
      <c r="T873" s="28"/>
      <c r="U873" s="15">
        <v>128</v>
      </c>
      <c r="V873" s="15">
        <f t="shared" ref="V873:V874" si="2957">U873-Q873</f>
        <v>0</v>
      </c>
      <c r="W873" s="34">
        <f>V873*$F$8</f>
        <v>0</v>
      </c>
      <c r="Y873" s="13">
        <v>142</v>
      </c>
      <c r="Z873" s="15">
        <f t="shared" ref="Z873:Z874" si="2958">Y873-U873</f>
        <v>14</v>
      </c>
      <c r="AA873" s="34">
        <f>Z873*$F$8</f>
        <v>35</v>
      </c>
      <c r="AB873" s="28"/>
      <c r="AC873" s="15">
        <v>143</v>
      </c>
      <c r="AD873" s="15">
        <f t="shared" ref="AD873:AD874" si="2959">AC873-Y873</f>
        <v>1</v>
      </c>
      <c r="AE873" s="34">
        <f>AD873*$F$8</f>
        <v>2.5</v>
      </c>
      <c r="AF873" s="34"/>
      <c r="AG873" s="13">
        <v>143</v>
      </c>
      <c r="AH873" s="15">
        <f t="shared" ref="AH873:AH874" si="2960">AG873-AC873</f>
        <v>0</v>
      </c>
      <c r="AI873" s="45">
        <f>AH873*$G$8</f>
        <v>0</v>
      </c>
      <c r="AJ873" s="39"/>
      <c r="AK873" s="13">
        <v>143</v>
      </c>
      <c r="AL873" s="15">
        <f t="shared" ref="AL873:AL874" si="2961">AK873-AG873</f>
        <v>0</v>
      </c>
      <c r="AM873" s="45">
        <f>AL873*$G$8</f>
        <v>0</v>
      </c>
      <c r="AN873" s="15"/>
      <c r="AO873" s="13">
        <v>144</v>
      </c>
      <c r="AP873" s="15">
        <f t="shared" ref="AP873:AP874" si="2962">AO873-AK873</f>
        <v>1</v>
      </c>
      <c r="AQ873" s="45">
        <f>AP873*$G$8</f>
        <v>2.6</v>
      </c>
      <c r="AR873" s="15"/>
      <c r="AS873" s="13">
        <v>144</v>
      </c>
      <c r="AT873" s="15">
        <f t="shared" ref="AT873:AT874" si="2963">AS873-AO873</f>
        <v>0</v>
      </c>
      <c r="AU873" s="45">
        <f t="shared" ref="AU873:AU874" si="2964">AT873*$G$8</f>
        <v>0</v>
      </c>
      <c r="AV873" s="15"/>
      <c r="AW873" s="13">
        <v>144</v>
      </c>
      <c r="AX873" s="2">
        <f t="shared" ref="AX873:AX874" si="2965">AW873-AS873</f>
        <v>0</v>
      </c>
      <c r="AY873" s="45">
        <f>AX873*$G$8</f>
        <v>0</v>
      </c>
      <c r="AZ873" s="208"/>
      <c r="BA873" s="13">
        <v>144</v>
      </c>
      <c r="BB873" s="15">
        <f t="shared" ref="BB873:BB874" si="2966">BA873-AW873</f>
        <v>0</v>
      </c>
      <c r="BC873" s="45">
        <f>BB873*$G$8</f>
        <v>0</v>
      </c>
      <c r="BD873" s="208"/>
      <c r="BE873" s="40">
        <f t="shared" ref="BE873:BG873" si="2967">J873+N873+R873+V873+Z873+AD873+AH873+AL873+AP873+AT873+AX873+BB873</f>
        <v>16</v>
      </c>
      <c r="BF873" s="41">
        <f t="shared" si="2967"/>
        <v>40.1</v>
      </c>
      <c r="BG873" s="34">
        <f t="shared" si="2967"/>
        <v>0</v>
      </c>
      <c r="BH873" s="35">
        <f t="shared" si="2956"/>
        <v>-346.16</v>
      </c>
      <c r="BK873" s="2" t="b">
        <f>H873='2019'!BH721</f>
        <v>1</v>
      </c>
    </row>
    <row r="874" ht="15.75" customHeight="1" hidden="1" spans="1:63" x14ac:dyDescent="0.25">
      <c r="A874" s="2">
        <v>99</v>
      </c>
      <c r="B874" s="14"/>
      <c r="C874" s="2" t="s">
        <v>61</v>
      </c>
      <c r="D874" s="14" t="s">
        <v>47</v>
      </c>
      <c r="E874" s="2" t="s">
        <v>48</v>
      </c>
      <c r="F874" s="13">
        <v>18.56</v>
      </c>
      <c r="G874" s="35">
        <v>19.46</v>
      </c>
      <c r="H874" s="90">
        <f>'2019'!BH722</f>
        <v>-373.42</v>
      </c>
      <c r="I874" s="15">
        <f>120+142</f>
        <v>262</v>
      </c>
      <c r="J874" s="15"/>
      <c r="K874" s="15"/>
      <c r="L874" s="28"/>
      <c r="M874" s="15">
        <f>120+142</f>
        <v>262</v>
      </c>
      <c r="Q874" s="13">
        <f>120+142</f>
        <v>262</v>
      </c>
      <c r="R874" s="15"/>
      <c r="S874" s="15"/>
      <c r="T874" s="28"/>
      <c r="U874" s="2">
        <f>124+146</f>
        <v>270</v>
      </c>
      <c r="V874" s="2">
        <f t="shared" si="2957"/>
        <v>8</v>
      </c>
      <c r="W874" s="2">
        <f>V874*$F$10</f>
        <v>148.48</v>
      </c>
      <c r="Y874" s="13">
        <f>124+146</f>
        <v>270</v>
      </c>
      <c r="Z874" s="15">
        <f t="shared" si="2958"/>
        <v>0</v>
      </c>
      <c r="AA874" s="34">
        <f>Z874*$F$10</f>
        <v>0</v>
      </c>
      <c r="AB874" s="28"/>
      <c r="AC874" s="13">
        <f>124+146</f>
        <v>270</v>
      </c>
      <c r="AD874" s="15">
        <f t="shared" si="2959"/>
        <v>0</v>
      </c>
      <c r="AE874" s="34">
        <f>AD874*$F$10</f>
        <v>0</v>
      </c>
      <c r="AF874" s="34"/>
      <c r="AG874" s="13">
        <f>124+146</f>
        <v>270</v>
      </c>
      <c r="AH874" s="15">
        <f t="shared" si="2960"/>
        <v>0</v>
      </c>
      <c r="AI874" s="45">
        <f>AH874*$G$10</f>
        <v>0</v>
      </c>
      <c r="AJ874" s="39"/>
      <c r="AK874" s="13">
        <v>270</v>
      </c>
      <c r="AL874" s="15">
        <f t="shared" si="2961"/>
        <v>0</v>
      </c>
      <c r="AM874" s="45">
        <f>AL874*$G$10</f>
        <v>0</v>
      </c>
      <c r="AN874" s="15"/>
      <c r="AO874" s="13">
        <v>270</v>
      </c>
      <c r="AP874" s="15">
        <f t="shared" si="2962"/>
        <v>0</v>
      </c>
      <c r="AQ874" s="45">
        <f>AP874*$G$10</f>
        <v>0</v>
      </c>
      <c r="AR874" s="15"/>
      <c r="AS874" s="13">
        <v>270</v>
      </c>
      <c r="AT874" s="15">
        <f t="shared" si="2963"/>
        <v>0</v>
      </c>
      <c r="AU874" s="45">
        <f t="shared" si="2964"/>
        <v>0</v>
      </c>
      <c r="AV874" s="15"/>
      <c r="AW874" s="13">
        <v>270</v>
      </c>
      <c r="AX874" s="2">
        <f t="shared" si="2965"/>
        <v>0</v>
      </c>
      <c r="AY874" s="45"/>
      <c r="AZ874" s="208"/>
      <c r="BA874" s="13">
        <v>270</v>
      </c>
      <c r="BB874" s="15">
        <f t="shared" si="2966"/>
        <v>0</v>
      </c>
      <c r="BC874" s="45"/>
      <c r="BD874" s="208"/>
      <c r="BE874" s="40">
        <f t="shared" ref="BE874:BG874" si="2968">J874+N874+R874+V874+Z874+AD874+AH874+AL874+AP874+AT874+AX874+BB874</f>
        <v>8</v>
      </c>
      <c r="BF874" s="41">
        <f t="shared" si="2968"/>
        <v>148.48</v>
      </c>
      <c r="BG874" s="34">
        <f t="shared" si="2968"/>
        <v>0</v>
      </c>
      <c r="BH874" s="35">
        <f t="shared" si="2956"/>
        <v>-224.94</v>
      </c>
      <c r="BK874" s="2" t="b">
        <f>H874='2019'!BH722</f>
        <v>1</v>
      </c>
    </row>
    <row r="875" ht="15.75" customHeight="1" hidden="1" spans="1:63" x14ac:dyDescent="0.25">
      <c r="A875" s="2">
        <v>99</v>
      </c>
      <c r="B875" s="14"/>
      <c r="C875" s="15" t="s">
        <v>444</v>
      </c>
      <c r="D875" s="14" t="s">
        <v>47</v>
      </c>
      <c r="E875" s="2" t="s">
        <v>49</v>
      </c>
      <c r="F875" s="41">
        <v>500</v>
      </c>
      <c r="G875" s="28"/>
      <c r="H875" s="34">
        <f>'2019'!BH723</f>
        <v>0</v>
      </c>
      <c r="I875" s="15"/>
      <c r="J875" s="15"/>
      <c r="K875" s="15"/>
      <c r="L875" s="28"/>
      <c r="Q875" s="13"/>
      <c r="R875" s="15"/>
      <c r="S875" s="15"/>
      <c r="T875" s="28"/>
      <c r="Y875" s="13"/>
      <c r="Z875" s="15"/>
      <c r="AA875" s="15"/>
      <c r="AB875" s="28"/>
      <c r="AG875" s="13"/>
      <c r="AH875" s="15"/>
      <c r="AI875" s="45"/>
      <c r="AJ875" s="15"/>
      <c r="AK875" s="13"/>
      <c r="AL875" s="15"/>
      <c r="AM875" s="45"/>
      <c r="AN875" s="15"/>
      <c r="AO875" s="13"/>
      <c r="AP875" s="15"/>
      <c r="AQ875" s="45"/>
      <c r="AR875" s="15"/>
      <c r="AS875" s="13"/>
      <c r="AT875" s="15"/>
      <c r="AU875" s="45"/>
      <c r="AV875" s="15"/>
      <c r="AW875" s="13"/>
      <c r="AY875" s="45"/>
      <c r="AZ875" s="28"/>
      <c r="BA875" s="13"/>
      <c r="BB875" s="15"/>
      <c r="BC875" s="45"/>
      <c r="BD875" s="28"/>
      <c r="BE875" s="14"/>
      <c r="BF875" s="41">
        <f t="shared" ref="BF875:BG875" si="2969">K875+O875+S875+W875+AA875+AE875+AI875+AM875+AQ875+AU875+AY875+BC875</f>
        <v>0</v>
      </c>
      <c r="BG875" s="34">
        <f t="shared" si="2969"/>
        <v>0</v>
      </c>
      <c r="BH875" s="35">
        <f t="shared" si="2956"/>
        <v>0</v>
      </c>
      <c r="BK875" s="2" t="b">
        <f>H875='2019'!BH723</f>
        <v>1</v>
      </c>
    </row>
    <row r="876" ht="15.75" customHeight="1" hidden="1" spans="1:63" x14ac:dyDescent="0.25">
      <c r="A876" s="2">
        <v>99</v>
      </c>
      <c r="B876" s="14"/>
      <c r="C876" s="15" t="s">
        <v>445</v>
      </c>
      <c r="D876" s="14" t="s">
        <v>50</v>
      </c>
      <c r="E876" s="2" t="s">
        <v>49</v>
      </c>
      <c r="F876" s="41">
        <v>1100</v>
      </c>
      <c r="G876" s="28"/>
      <c r="H876" s="182">
        <f>'2019'!BH724+0.0036</f>
        <v>0</v>
      </c>
      <c r="I876" s="15"/>
      <c r="J876" s="15"/>
      <c r="K876" s="15"/>
      <c r="L876" s="28"/>
      <c r="Q876" s="13"/>
      <c r="R876" s="15"/>
      <c r="S876" s="15"/>
      <c r="T876" s="28"/>
      <c r="Y876" s="13"/>
      <c r="Z876" s="15"/>
      <c r="AA876" s="15"/>
      <c r="AB876" s="28"/>
      <c r="AE876" s="34">
        <f>B873*$F$12</f>
        <v>4983</v>
      </c>
      <c r="AF876" s="34"/>
      <c r="AG876" s="13"/>
      <c r="AH876" s="15"/>
      <c r="AI876" s="45"/>
      <c r="AJ876" s="34"/>
      <c r="AK876" s="13"/>
      <c r="AL876" s="15"/>
      <c r="AM876" s="45"/>
      <c r="AN876" s="39">
        <v>4983</v>
      </c>
      <c r="AO876" s="13"/>
      <c r="AP876" s="15"/>
      <c r="AQ876" s="45"/>
      <c r="AR876" s="15"/>
      <c r="AS876" s="13"/>
      <c r="AT876" s="15"/>
      <c r="AU876" s="45"/>
      <c r="AV876" s="15"/>
      <c r="AW876" s="13"/>
      <c r="AY876" s="45"/>
      <c r="AZ876" s="28"/>
      <c r="BA876" s="13"/>
      <c r="BB876" s="15"/>
      <c r="BC876" s="45"/>
      <c r="BD876" s="28"/>
      <c r="BE876" s="14"/>
      <c r="BF876" s="41">
        <f t="shared" ref="BF876:BG876" si="2970">K876+O876+S876+W876+AA876+AE876+AI876+AM876+AQ876+AU876+AY876+BC876</f>
        <v>4983</v>
      </c>
      <c r="BG876" s="34">
        <f t="shared" si="2970"/>
        <v>4983</v>
      </c>
      <c r="BH876" s="35">
        <f t="shared" si="2956"/>
        <v>0</v>
      </c>
      <c r="BK876" s="2" t="b">
        <f>H876='2019'!BH724</f>
        <v>0</v>
      </c>
    </row>
    <row r="877" ht="15.75" customHeight="1" hidden="1" spans="1:63" x14ac:dyDescent="0.25">
      <c r="A877" s="2">
        <v>99</v>
      </c>
      <c r="B877" s="14"/>
      <c r="D877" s="14" t="s">
        <v>51</v>
      </c>
      <c r="E877" s="2" t="s">
        <v>39</v>
      </c>
      <c r="F877" s="41">
        <v>500</v>
      </c>
      <c r="G877" s="28"/>
      <c r="H877" s="34">
        <f>'2019'!BH725</f>
        <v>982.01</v>
      </c>
      <c r="I877" s="15"/>
      <c r="J877" s="15"/>
      <c r="K877" s="15"/>
      <c r="L877" s="28"/>
      <c r="Q877" s="13"/>
      <c r="R877" s="15"/>
      <c r="S877" s="15"/>
      <c r="T877" s="28"/>
      <c r="Y877" s="13"/>
      <c r="Z877" s="15"/>
      <c r="AA877" s="15"/>
      <c r="AB877" s="28"/>
      <c r="AE877" s="34"/>
      <c r="AG877" s="13"/>
      <c r="AH877" s="15"/>
      <c r="AI877" s="45"/>
      <c r="AJ877" s="15"/>
      <c r="AK877" s="13"/>
      <c r="AL877" s="15"/>
      <c r="AM877" s="45"/>
      <c r="AN877" s="1">
        <v>982.01</v>
      </c>
      <c r="AO877" s="13"/>
      <c r="AP877" s="15"/>
      <c r="AQ877" s="45">
        <f>$F$13</f>
        <v>500</v>
      </c>
      <c r="AR877" s="15"/>
      <c r="AS877" s="13"/>
      <c r="AT877" s="15"/>
      <c r="AU877" s="45"/>
      <c r="AV877" s="15"/>
      <c r="AW877" s="13"/>
      <c r="AY877" s="45"/>
      <c r="AZ877" s="28"/>
      <c r="BA877" s="13"/>
      <c r="BB877" s="15"/>
      <c r="BC877" s="45"/>
      <c r="BD877" s="28"/>
      <c r="BE877" s="14"/>
      <c r="BF877" s="41">
        <f t="shared" ref="BF877:BG877" si="2971">K877+O877+S877+W877+AA877+AE877+AI877+AM877+AQ877+AU877+AY877+BC877</f>
        <v>500</v>
      </c>
      <c r="BG877" s="34">
        <f t="shared" si="2971"/>
        <v>982.01</v>
      </c>
      <c r="BH877" s="35">
        <f t="shared" si="2956"/>
        <v>500</v>
      </c>
      <c r="BK877" s="2" t="b">
        <f>H877='2019'!BH725</f>
        <v>1</v>
      </c>
    </row>
    <row r="878" ht="15.75" customHeight="1" hidden="1" spans="1:60" x14ac:dyDescent="0.25">
      <c r="A878" s="2">
        <v>99</v>
      </c>
      <c r="B878" s="14"/>
      <c r="D878" s="14" t="s">
        <v>51</v>
      </c>
      <c r="E878" s="2" t="s">
        <v>49</v>
      </c>
      <c r="F878" s="41">
        <v>500</v>
      </c>
      <c r="G878" s="28"/>
      <c r="H878" s="34"/>
      <c r="I878" s="15"/>
      <c r="J878" s="15"/>
      <c r="K878" s="15"/>
      <c r="L878" s="28"/>
      <c r="Q878" s="13"/>
      <c r="R878" s="15"/>
      <c r="S878" s="15"/>
      <c r="T878" s="28"/>
      <c r="Y878" s="13"/>
      <c r="Z878" s="15"/>
      <c r="AA878" s="15"/>
      <c r="AB878" s="28"/>
      <c r="AE878" s="34"/>
      <c r="AG878" s="13"/>
      <c r="AH878" s="15"/>
      <c r="AI878" s="45"/>
      <c r="AJ878" s="15"/>
      <c r="AK878" s="13"/>
      <c r="AL878" s="15"/>
      <c r="AM878" s="45"/>
      <c r="AN878" s="15"/>
      <c r="AO878" s="13"/>
      <c r="AP878" s="15"/>
      <c r="AQ878" s="34">
        <f>B873*$F$14</f>
        <v>2265</v>
      </c>
      <c r="AR878" s="15"/>
      <c r="AS878" s="13"/>
      <c r="AT878" s="15"/>
      <c r="AU878" s="45"/>
      <c r="AV878" s="15"/>
      <c r="AW878" s="13"/>
      <c r="AY878" s="45"/>
      <c r="AZ878" s="28"/>
      <c r="BA878" s="13"/>
      <c r="BB878" s="15"/>
      <c r="BC878" s="45"/>
      <c r="BD878" s="28"/>
      <c r="BE878" s="14"/>
      <c r="BF878" s="41">
        <f t="shared" ref="BF878:BG878" si="2972">K878+O878+S878+W878+AA878+AE878+AI878+AM878+AQ878+AU878+AY878+BC878</f>
        <v>2265</v>
      </c>
      <c r="BG878" s="34">
        <f t="shared" si="2972"/>
        <v>0</v>
      </c>
      <c r="BH878" s="35">
        <f t="shared" si="2956"/>
        <v>2265</v>
      </c>
    </row>
    <row r="879" ht="15.75" customHeight="1" hidden="1" spans="1:63" x14ac:dyDescent="0.25">
      <c r="A879" s="2">
        <v>99</v>
      </c>
      <c r="B879" s="14"/>
      <c r="D879" s="14" t="s">
        <v>52</v>
      </c>
      <c r="E879" s="2" t="s">
        <v>39</v>
      </c>
      <c r="F879" s="41">
        <v>500</v>
      </c>
      <c r="G879" s="28"/>
      <c r="H879" s="34">
        <f>'2019'!BH726</f>
        <v>0</v>
      </c>
      <c r="I879" s="15"/>
      <c r="J879" s="15"/>
      <c r="K879" s="15"/>
      <c r="L879" s="28"/>
      <c r="Q879" s="13"/>
      <c r="R879" s="15"/>
      <c r="S879" s="15"/>
      <c r="T879" s="28"/>
      <c r="Y879" s="13"/>
      <c r="Z879" s="15"/>
      <c r="AA879" s="34">
        <f>$F$11</f>
        <v>500</v>
      </c>
      <c r="AB879" s="35"/>
      <c r="AG879" s="13"/>
      <c r="AH879" s="15"/>
      <c r="AI879" s="45"/>
      <c r="AJ879" s="15"/>
      <c r="AK879" s="13"/>
      <c r="AL879" s="15"/>
      <c r="AM879" s="45"/>
      <c r="AN879" s="39">
        <v>500</v>
      </c>
      <c r="AO879" s="13"/>
      <c r="AP879" s="15"/>
      <c r="AQ879" s="45"/>
      <c r="AR879" s="15"/>
      <c r="AS879" s="13"/>
      <c r="AT879" s="15"/>
      <c r="AU879" s="45"/>
      <c r="AV879" s="15"/>
      <c r="AW879" s="13"/>
      <c r="AY879" s="45"/>
      <c r="AZ879" s="35"/>
      <c r="BA879" s="13"/>
      <c r="BB879" s="15"/>
      <c r="BC879" s="45"/>
      <c r="BD879" s="35"/>
      <c r="BE879" s="14"/>
      <c r="BF879" s="41">
        <f t="shared" ref="BF879:BG879" si="2973">K879+O879+S879+W879+AA879+AE879+AI879+AM879+AQ879+AU879+AY879+BC879</f>
        <v>500</v>
      </c>
      <c r="BG879" s="34">
        <f t="shared" si="2973"/>
        <v>500</v>
      </c>
      <c r="BH879" s="35">
        <f t="shared" si="2956"/>
        <v>0</v>
      </c>
      <c r="BK879" s="2" t="b">
        <f>H879='2019'!BH726</f>
        <v>1</v>
      </c>
    </row>
    <row r="880" ht="15.75" customHeight="1" hidden="1" spans="1:63" x14ac:dyDescent="0.25">
      <c r="A880" s="247">
        <v>99</v>
      </c>
      <c r="B880" s="21"/>
      <c r="C880" s="22" t="s">
        <v>53</v>
      </c>
      <c r="D880" s="21"/>
      <c r="E880" s="22"/>
      <c r="F880" s="20"/>
      <c r="G880" s="23"/>
      <c r="H880" s="51">
        <f>SUM(H872:H879)</f>
        <v>234.37</v>
      </c>
      <c r="I880" s="53"/>
      <c r="J880" s="53"/>
      <c r="K880" s="51">
        <f t="shared" ref="K880:L880" si="2974">SUM(K872:K879)</f>
        <v>3.04</v>
      </c>
      <c r="L880" s="68">
        <f t="shared" si="2974"/>
        <v>0</v>
      </c>
      <c r="M880" s="53"/>
      <c r="N880" s="53"/>
      <c r="O880" s="51">
        <f t="shared" ref="O880:P880" si="2975">SUM(O872:O879)</f>
        <v>2.85</v>
      </c>
      <c r="P880" s="51">
        <f t="shared" si="2975"/>
        <v>0</v>
      </c>
      <c r="Q880" s="52"/>
      <c r="R880" s="53"/>
      <c r="S880" s="51">
        <f t="shared" ref="S880:T880" si="2976">SUM(S872:S879)</f>
        <v>3.04</v>
      </c>
      <c r="T880" s="51">
        <f t="shared" si="2976"/>
        <v>0</v>
      </c>
      <c r="U880" s="52"/>
      <c r="V880" s="53"/>
      <c r="W880" s="51">
        <f t="shared" ref="W880:X880" si="2977">SUM(W872:W879)</f>
        <v>151.43</v>
      </c>
      <c r="X880" s="51">
        <f t="shared" si="2977"/>
        <v>0</v>
      </c>
      <c r="Y880" s="52"/>
      <c r="Z880" s="53"/>
      <c r="AA880" s="51">
        <f t="shared" ref="AA880:AB880" si="2978">SUM(AA872:AA879)</f>
        <v>538.04</v>
      </c>
      <c r="AB880" s="51">
        <f t="shared" si="2978"/>
        <v>0</v>
      </c>
      <c r="AC880" s="52"/>
      <c r="AD880" s="53"/>
      <c r="AE880" s="51">
        <f t="shared" ref="AE880:AF880" si="2979">SUM(AE872:AE879)</f>
        <v>4988.45</v>
      </c>
      <c r="AF880" s="51">
        <f t="shared" si="2979"/>
        <v>0</v>
      </c>
      <c r="AG880" s="52"/>
      <c r="AH880" s="53"/>
      <c r="AI880" s="183">
        <f t="shared" ref="AI880:AJ880" si="2980">SUM(AI872:AI879)</f>
        <v>3.04</v>
      </c>
      <c r="AJ880" s="51">
        <f t="shared" si="2980"/>
        <v>0</v>
      </c>
      <c r="AK880" s="52"/>
      <c r="AL880" s="53"/>
      <c r="AM880" s="183">
        <f t="shared" ref="AM880:AN880" si="2981">SUM(AM872:AM879)</f>
        <v>2.36</v>
      </c>
      <c r="AN880" s="51">
        <f t="shared" si="2981"/>
        <v>6497.96</v>
      </c>
      <c r="AO880" s="52"/>
      <c r="AP880" s="53"/>
      <c r="AQ880" s="183">
        <f t="shared" ref="AQ880:AR880" si="2982">SUM(AQ872:AQ879)</f>
        <v>2767.6</v>
      </c>
      <c r="AR880" s="51">
        <f t="shared" si="2982"/>
        <v>0</v>
      </c>
      <c r="AS880" s="52"/>
      <c r="AT880" s="53"/>
      <c r="AU880" s="183">
        <f t="shared" ref="AU880:AV880" si="2983">SUM(AU872:AU879)</f>
        <v>0</v>
      </c>
      <c r="AV880" s="68">
        <f t="shared" si="2983"/>
        <v>0</v>
      </c>
      <c r="AW880" s="52"/>
      <c r="AX880" s="53"/>
      <c r="AY880" s="183">
        <f t="shared" ref="AY880:AZ880" si="2984">SUM(AY872:AY879)</f>
        <v>0</v>
      </c>
      <c r="AZ880" s="68">
        <f t="shared" si="2984"/>
        <v>0</v>
      </c>
      <c r="BA880" s="52"/>
      <c r="BB880" s="53"/>
      <c r="BC880" s="183">
        <f t="shared" ref="BC880:BD880" si="2985">SUM(BC872:BC879)</f>
        <v>0</v>
      </c>
      <c r="BD880" s="68">
        <f t="shared" si="2985"/>
        <v>0</v>
      </c>
      <c r="BE880" s="69"/>
      <c r="BF880" s="70">
        <f t="shared" ref="BF880:BH880" si="2986">SUM(BF872:BF879)</f>
        <v>8459.85</v>
      </c>
      <c r="BG880" s="71">
        <f t="shared" si="2986"/>
        <v>6497.96</v>
      </c>
      <c r="BH880" s="72">
        <f t="shared" si="2986"/>
        <v>2196.26</v>
      </c>
      <c r="BI880" s="34">
        <f>H880+BF880-BG880</f>
        <v>2196.26</v>
      </c>
      <c r="BJ880" s="34">
        <f>BH880-BI880</f>
        <v>0</v>
      </c>
      <c r="BK880" s="2" t="b">
        <f>H880='2019'!BH727</f>
        <v>0</v>
      </c>
    </row>
    <row r="881" ht="15.75" customHeight="1" hidden="1" spans="1:63" x14ac:dyDescent="0.25">
      <c r="A881" s="2">
        <v>101</v>
      </c>
      <c r="B881" s="14"/>
      <c r="D881" s="178" t="s">
        <v>486</v>
      </c>
      <c r="F881" s="13"/>
      <c r="G881" s="28"/>
      <c r="H881" s="34">
        <f>'2019'!BH728</f>
        <v>0</v>
      </c>
      <c r="J881" s="15"/>
      <c r="K881" s="15"/>
      <c r="L881" s="28"/>
      <c r="Q881" s="13"/>
      <c r="R881" s="15"/>
      <c r="S881" s="15"/>
      <c r="T881" s="28"/>
      <c r="W881" s="152">
        <v>65.5</v>
      </c>
      <c r="Y881" s="13"/>
      <c r="Z881" s="15"/>
      <c r="AA881" s="15"/>
      <c r="AB881" s="28"/>
      <c r="AG881" s="13"/>
      <c r="AH881" s="15"/>
      <c r="AI881" s="45"/>
      <c r="AJ881" s="133">
        <v>65.5</v>
      </c>
      <c r="AK881" s="13"/>
      <c r="AM881" s="45"/>
      <c r="AO881" s="13"/>
      <c r="AQ881" s="45"/>
      <c r="AS881" s="13"/>
      <c r="AU881" s="45"/>
      <c r="AW881" s="13"/>
      <c r="AY881" s="45"/>
      <c r="AZ881" s="28"/>
      <c r="BA881" s="13"/>
      <c r="BB881" s="15"/>
      <c r="BC881" s="45"/>
      <c r="BD881" s="28"/>
      <c r="BE881" s="14"/>
      <c r="BF881" s="41">
        <f t="shared" ref="BF881:BG881" si="2987">K881+O881+S881+W881+AA881+AE881+AI881+AM881+AQ881+AU881+AY881+BC881</f>
        <v>65.5</v>
      </c>
      <c r="BG881" s="34">
        <f t="shared" si="2987"/>
        <v>65.5</v>
      </c>
      <c r="BH881" s="35">
        <f t="shared" ref="BH881:BH888" si="2988">H881+BF881-BG881</f>
        <v>0</v>
      </c>
      <c r="BK881" s="2" t="b">
        <f>H881='2019'!BH728</f>
        <v>1</v>
      </c>
    </row>
    <row r="882" ht="15.75" customHeight="1" hidden="1" spans="1:63" x14ac:dyDescent="0.25">
      <c r="A882" s="2">
        <v>101</v>
      </c>
      <c r="B882" s="14">
        <v>4.46</v>
      </c>
      <c r="C882" s="2" t="s">
        <v>321</v>
      </c>
      <c r="D882" s="14" t="s">
        <v>44</v>
      </c>
      <c r="E882" s="2" t="s">
        <v>45</v>
      </c>
      <c r="F882" s="41">
        <v>2.5</v>
      </c>
      <c r="G882" s="35">
        <v>2.6</v>
      </c>
      <c r="H882" s="34">
        <f>'2019'!BH729</f>
        <v>8.49</v>
      </c>
      <c r="I882" s="13">
        <v>135</v>
      </c>
      <c r="J882" s="15">
        <f>I882-'2019'!BA729</f>
        <v>0</v>
      </c>
      <c r="K882" s="34">
        <f>J882*$F$8</f>
        <v>0</v>
      </c>
      <c r="L882" s="28"/>
      <c r="M882" s="2">
        <v>135</v>
      </c>
      <c r="N882" s="15">
        <f>M882-I882</f>
        <v>0</v>
      </c>
      <c r="O882" s="34">
        <f>N882*$F$8</f>
        <v>0</v>
      </c>
      <c r="Q882" s="13">
        <v>135</v>
      </c>
      <c r="R882" s="15">
        <f>Q882-M882</f>
        <v>0</v>
      </c>
      <c r="S882" s="34">
        <f>R882*$F$8</f>
        <v>0</v>
      </c>
      <c r="T882" s="28"/>
      <c r="U882" s="15">
        <v>135</v>
      </c>
      <c r="V882" s="15">
        <f>U882-Q882</f>
        <v>0</v>
      </c>
      <c r="W882" s="34">
        <f>V882*$F$8</f>
        <v>0</v>
      </c>
      <c r="X882" s="15"/>
      <c r="Y882" s="13">
        <v>144</v>
      </c>
      <c r="Z882" s="15">
        <f t="shared" ref="Z882:Z883" si="2989">Y882-U882</f>
        <v>9</v>
      </c>
      <c r="AA882" s="34">
        <f>Z882*$F$8</f>
        <v>22.5</v>
      </c>
      <c r="AB882" s="28"/>
      <c r="AC882" s="15">
        <v>151</v>
      </c>
      <c r="AD882" s="15">
        <f t="shared" ref="AD882:AD883" si="2990">AC882-Y882</f>
        <v>7</v>
      </c>
      <c r="AE882" s="34">
        <f>AD882*$F$8</f>
        <v>17.5</v>
      </c>
      <c r="AF882" s="138">
        <v>30.99</v>
      </c>
      <c r="AG882" s="13">
        <v>160</v>
      </c>
      <c r="AH882" s="15">
        <f t="shared" ref="AH882:AH883" si="2991">AG882-AC882</f>
        <v>9</v>
      </c>
      <c r="AI882" s="45">
        <f>AH882*$G$8</f>
        <v>23.4</v>
      </c>
      <c r="AJ882" s="185">
        <v>17.5</v>
      </c>
      <c r="AK882" s="13">
        <v>167</v>
      </c>
      <c r="AL882" s="15">
        <f t="shared" ref="AL882:AL883" si="2992">AK882-AG882</f>
        <v>7</v>
      </c>
      <c r="AM882" s="45">
        <f>AL882*$G$8</f>
        <v>18.2</v>
      </c>
      <c r="AN882" s="133">
        <v>49.4</v>
      </c>
      <c r="AO882" s="13">
        <v>172</v>
      </c>
      <c r="AP882" s="15">
        <f t="shared" ref="AP882:AP883" si="2993">AO882-AK882</f>
        <v>5</v>
      </c>
      <c r="AQ882" s="45">
        <f>AP882*$G$8</f>
        <v>13</v>
      </c>
      <c r="AR882" s="15"/>
      <c r="AS882" s="13">
        <v>175</v>
      </c>
      <c r="AT882" s="15">
        <f t="shared" ref="AT882:AT883" si="2994">AS882-AO882</f>
        <v>3</v>
      </c>
      <c r="AU882" s="45">
        <f t="shared" ref="AU882:AU883" si="2995">AT882*$G$8</f>
        <v>7.8</v>
      </c>
      <c r="AV882" s="15"/>
      <c r="AW882" s="13">
        <v>175</v>
      </c>
      <c r="AX882" s="2">
        <f t="shared" ref="AX882:AX883" si="2996">AW882-AS882</f>
        <v>0</v>
      </c>
      <c r="AY882" s="45">
        <f>AX882*$G$8</f>
        <v>0</v>
      </c>
      <c r="AZ882" s="208"/>
      <c r="BA882" s="13">
        <v>175</v>
      </c>
      <c r="BB882" s="15">
        <f t="shared" ref="BB882:BB883" si="2997">BA882-AW882</f>
        <v>0</v>
      </c>
      <c r="BC882" s="45">
        <f>BB882*$G$8</f>
        <v>0</v>
      </c>
      <c r="BD882" s="208"/>
      <c r="BE882" s="40">
        <f t="shared" ref="BE882:BG882" si="2998">J882+N882+R882+V882+Z882+AD882+AH882+AL882+AP882+AT882+AX882+BB882</f>
        <v>40</v>
      </c>
      <c r="BF882" s="41">
        <f t="shared" si="2998"/>
        <v>102.4</v>
      </c>
      <c r="BG882" s="34">
        <f t="shared" si="2998"/>
        <v>97.89</v>
      </c>
      <c r="BH882" s="35">
        <f t="shared" si="2988"/>
        <v>13</v>
      </c>
      <c r="BK882" s="2" t="b">
        <f>H882='2019'!BH729</f>
        <v>1</v>
      </c>
    </row>
    <row r="883" ht="15.75" customHeight="1" hidden="1" spans="1:63" x14ac:dyDescent="0.25">
      <c r="A883" s="2">
        <v>101</v>
      </c>
      <c r="B883" s="14"/>
      <c r="C883" s="2" t="s">
        <v>71</v>
      </c>
      <c r="D883" s="14" t="s">
        <v>47</v>
      </c>
      <c r="E883" s="2" t="s">
        <v>48</v>
      </c>
      <c r="F883" s="13">
        <v>18.56</v>
      </c>
      <c r="G883" s="35">
        <v>19.46</v>
      </c>
      <c r="H883" s="90">
        <f>'2019'!BH730</f>
        <v>9.08</v>
      </c>
      <c r="I883" s="15">
        <f>154+546</f>
        <v>700</v>
      </c>
      <c r="J883" s="15"/>
      <c r="K883" s="15"/>
      <c r="L883" s="28"/>
      <c r="M883" s="15">
        <f>154+546</f>
        <v>700</v>
      </c>
      <c r="Q883" s="13">
        <f>154+546</f>
        <v>700</v>
      </c>
      <c r="R883" s="15"/>
      <c r="S883" s="15"/>
      <c r="T883" s="28"/>
      <c r="U883" s="154">
        <f>63+549</f>
        <v>612</v>
      </c>
      <c r="V883" s="154">
        <f>3+0</f>
        <v>3</v>
      </c>
      <c r="W883" s="2">
        <f>V883*$F$10</f>
        <v>55.68</v>
      </c>
      <c r="Y883" s="186">
        <f>66+549</f>
        <v>615</v>
      </c>
      <c r="Z883" s="15">
        <f t="shared" si="2989"/>
        <v>3</v>
      </c>
      <c r="AA883" s="34">
        <f>Z883*$F$10</f>
        <v>55.68</v>
      </c>
      <c r="AB883" s="28"/>
      <c r="AC883" s="13">
        <f>69+551</f>
        <v>620</v>
      </c>
      <c r="AD883" s="15">
        <f t="shared" si="2990"/>
        <v>5</v>
      </c>
      <c r="AE883" s="34">
        <f>AD883*$F$10</f>
        <v>92.8</v>
      </c>
      <c r="AF883" s="133">
        <f>213.24+49.77</f>
        <v>263.01</v>
      </c>
      <c r="AG883" s="13">
        <f>554+72</f>
        <v>626</v>
      </c>
      <c r="AH883" s="15">
        <f t="shared" si="2991"/>
        <v>6</v>
      </c>
      <c r="AI883" s="45">
        <f>AH883*$G$10</f>
        <v>116.76</v>
      </c>
      <c r="AJ883" s="185">
        <v>47</v>
      </c>
      <c r="AK883" s="13">
        <f>555+84</f>
        <v>639</v>
      </c>
      <c r="AL883" s="15">
        <f t="shared" si="2992"/>
        <v>13</v>
      </c>
      <c r="AM883" s="45">
        <f>AL883*$G$10</f>
        <v>252.98</v>
      </c>
      <c r="AN883" s="133">
        <f>272.97+2.63</f>
        <v>275.6</v>
      </c>
      <c r="AO883" s="13">
        <f>555+86</f>
        <v>641</v>
      </c>
      <c r="AP883" s="15">
        <f t="shared" si="2993"/>
        <v>2</v>
      </c>
      <c r="AQ883" s="45">
        <f>AP883*$G$10</f>
        <v>38.92</v>
      </c>
      <c r="AR883" s="15"/>
      <c r="AS883" s="13">
        <v>641</v>
      </c>
      <c r="AT883" s="15">
        <f t="shared" si="2994"/>
        <v>0</v>
      </c>
      <c r="AU883" s="45">
        <f t="shared" si="2995"/>
        <v>0</v>
      </c>
      <c r="AV883" s="15"/>
      <c r="AW883" s="13">
        <v>641</v>
      </c>
      <c r="AX883" s="2">
        <f t="shared" si="2996"/>
        <v>0</v>
      </c>
      <c r="AY883" s="45"/>
      <c r="AZ883" s="208"/>
      <c r="BA883" s="13">
        <v>641</v>
      </c>
      <c r="BB883" s="15">
        <f t="shared" si="2997"/>
        <v>0</v>
      </c>
      <c r="BC883" s="45"/>
      <c r="BD883" s="208"/>
      <c r="BE883" s="40">
        <f t="shared" ref="BE883:BG883" si="2999">J883+N883+R883+V883+Z883+AD883+AH883+AL883+AP883+AT883+AX883+BB883</f>
        <v>32</v>
      </c>
      <c r="BF883" s="41">
        <f t="shared" si="2999"/>
        <v>612.82</v>
      </c>
      <c r="BG883" s="34">
        <f t="shared" si="2999"/>
        <v>585.61</v>
      </c>
      <c r="BH883" s="35">
        <f t="shared" si="2988"/>
        <v>36.29</v>
      </c>
      <c r="BK883" s="2" t="b">
        <f>H883='2019'!BH730</f>
        <v>1</v>
      </c>
    </row>
    <row r="884" ht="15.75" customHeight="1" hidden="1" spans="1:63" x14ac:dyDescent="0.25">
      <c r="A884" s="2">
        <v>101</v>
      </c>
      <c r="B884" s="14"/>
      <c r="C884" s="2" t="s">
        <v>102</v>
      </c>
      <c r="D884" s="14" t="s">
        <v>47</v>
      </c>
      <c r="E884" s="2" t="s">
        <v>49</v>
      </c>
      <c r="F884" s="41">
        <v>500</v>
      </c>
      <c r="G884" s="28"/>
      <c r="H884" s="34">
        <f>'2019'!BH731</f>
        <v>0</v>
      </c>
      <c r="I884" s="15"/>
      <c r="J884" s="15"/>
      <c r="K884" s="15"/>
      <c r="L884" s="28"/>
      <c r="Q884" s="13"/>
      <c r="R884" s="15"/>
      <c r="S884" s="15"/>
      <c r="T884" s="28"/>
      <c r="Y884" s="13"/>
      <c r="Z884" s="15"/>
      <c r="AA884" s="15"/>
      <c r="AB884" s="28"/>
      <c r="AG884" s="13"/>
      <c r="AH884" s="15"/>
      <c r="AI884" s="45"/>
      <c r="AJ884" s="34"/>
      <c r="AK884" s="13"/>
      <c r="AL884" s="15"/>
      <c r="AM884" s="45"/>
      <c r="AN884" s="15"/>
      <c r="AO884" s="13"/>
      <c r="AP884" s="15"/>
      <c r="AQ884" s="45"/>
      <c r="AR884" s="15"/>
      <c r="AS884" s="13"/>
      <c r="AT884" s="15"/>
      <c r="AU884" s="45"/>
      <c r="AV884" s="15"/>
      <c r="AW884" s="13"/>
      <c r="AY884" s="45"/>
      <c r="AZ884" s="28"/>
      <c r="BA884" s="13"/>
      <c r="BB884" s="15"/>
      <c r="BC884" s="45"/>
      <c r="BD884" s="28"/>
      <c r="BE884" s="14"/>
      <c r="BF884" s="41">
        <f t="shared" ref="BF884:BG884" si="3000">K884+O884+S884+W884+AA884+AE884+AI884+AM884+AQ884+AU884+AY884+BC884</f>
        <v>0</v>
      </c>
      <c r="BG884" s="34">
        <f t="shared" si="3000"/>
        <v>0</v>
      </c>
      <c r="BH884" s="35">
        <f t="shared" si="2988"/>
        <v>0</v>
      </c>
      <c r="BK884" s="2" t="b">
        <f>H884='2019'!BH731</f>
        <v>1</v>
      </c>
    </row>
    <row r="885" ht="15.75" customHeight="1" hidden="1" spans="1:63" x14ac:dyDescent="0.25">
      <c r="A885" s="2">
        <v>101</v>
      </c>
      <c r="B885" s="14"/>
      <c r="C885" s="15" t="s">
        <v>446</v>
      </c>
      <c r="D885" s="14" t="s">
        <v>50</v>
      </c>
      <c r="E885" s="2" t="s">
        <v>49</v>
      </c>
      <c r="F885" s="41">
        <v>1100</v>
      </c>
      <c r="G885" s="28"/>
      <c r="H885" s="182">
        <f>'2019'!BH732-0.0048</f>
        <v>0</v>
      </c>
      <c r="I885" s="15"/>
      <c r="J885" s="15"/>
      <c r="K885" s="15"/>
      <c r="L885" s="28"/>
      <c r="Q885" s="13"/>
      <c r="R885" s="15"/>
      <c r="S885" s="15"/>
      <c r="T885" s="28"/>
      <c r="Y885" s="13"/>
      <c r="Z885" s="15"/>
      <c r="AA885" s="15"/>
      <c r="AB885" s="28"/>
      <c r="AE885" s="34">
        <f>B882*$F$12</f>
        <v>4906</v>
      </c>
      <c r="AF885" s="133">
        <v>4906</v>
      </c>
      <c r="AG885" s="13"/>
      <c r="AH885" s="15"/>
      <c r="AI885" s="45"/>
      <c r="AJ885" s="180"/>
      <c r="AK885" s="13"/>
      <c r="AL885" s="15"/>
      <c r="AM885" s="45"/>
      <c r="AN885" s="15"/>
      <c r="AO885" s="13"/>
      <c r="AP885" s="15"/>
      <c r="AQ885" s="45"/>
      <c r="AR885" s="15"/>
      <c r="AS885" s="13"/>
      <c r="AT885" s="15"/>
      <c r="AU885" s="45"/>
      <c r="AV885" s="15"/>
      <c r="AW885" s="13"/>
      <c r="AY885" s="45"/>
      <c r="AZ885" s="28"/>
      <c r="BA885" s="13"/>
      <c r="BB885" s="15"/>
      <c r="BC885" s="45"/>
      <c r="BD885" s="28"/>
      <c r="BE885" s="14"/>
      <c r="BF885" s="41">
        <f t="shared" ref="BF885:BG885" si="3001">K885+O885+S885+W885+AA885+AE885+AI885+AM885+AQ885+AU885+AY885+BC885</f>
        <v>4906</v>
      </c>
      <c r="BG885" s="34">
        <f t="shared" si="3001"/>
        <v>4906</v>
      </c>
      <c r="BH885" s="35">
        <f t="shared" si="2988"/>
        <v>0</v>
      </c>
      <c r="BK885" s="2" t="b">
        <f>H885='2019'!BH732</f>
        <v>0</v>
      </c>
    </row>
    <row r="886" ht="15.75" customHeight="1" hidden="1" spans="1:63" x14ac:dyDescent="0.25">
      <c r="A886" s="2">
        <v>101</v>
      </c>
      <c r="B886" s="14"/>
      <c r="D886" s="14" t="s">
        <v>51</v>
      </c>
      <c r="E886" s="2" t="s">
        <v>39</v>
      </c>
      <c r="F886" s="41">
        <v>500</v>
      </c>
      <c r="G886" s="28"/>
      <c r="H886" s="34">
        <f>'2019'!BH733</f>
        <v>0</v>
      </c>
      <c r="I886" s="15"/>
      <c r="J886" s="15"/>
      <c r="K886" s="15"/>
      <c r="L886" s="28"/>
      <c r="Q886" s="13"/>
      <c r="R886" s="15"/>
      <c r="S886" s="15"/>
      <c r="T886" s="28"/>
      <c r="Y886" s="13"/>
      <c r="Z886" s="15"/>
      <c r="AA886" s="15"/>
      <c r="AB886" s="28"/>
      <c r="AE886" s="34"/>
      <c r="AG886" s="13"/>
      <c r="AH886" s="15"/>
      <c r="AI886" s="45"/>
      <c r="AJ886" s="180"/>
      <c r="AK886" s="13"/>
      <c r="AL886" s="15"/>
      <c r="AM886" s="45"/>
      <c r="AN886" s="15"/>
      <c r="AO886" s="13"/>
      <c r="AP886" s="15"/>
      <c r="AQ886" s="45">
        <f>$F$13</f>
        <v>500</v>
      </c>
      <c r="AR886" s="15"/>
      <c r="AS886" s="13"/>
      <c r="AT886" s="15"/>
      <c r="AU886" s="45"/>
      <c r="AV886" s="15"/>
      <c r="AW886" s="13"/>
      <c r="AY886" s="45"/>
      <c r="AZ886" s="28"/>
      <c r="BA886" s="13"/>
      <c r="BB886" s="15"/>
      <c r="BC886" s="45"/>
      <c r="BD886" s="28"/>
      <c r="BE886" s="14"/>
      <c r="BF886" s="41">
        <f t="shared" ref="BF886:BG886" si="3002">K886+O886+S886+W886+AA886+AE886+AI886+AM886+AQ886+AU886+AY886+BC886</f>
        <v>500</v>
      </c>
      <c r="BG886" s="34">
        <f t="shared" si="3002"/>
        <v>0</v>
      </c>
      <c r="BH886" s="35">
        <f t="shared" si="2988"/>
        <v>500</v>
      </c>
      <c r="BK886" s="2" t="b">
        <f>H886='2019'!BH733</f>
        <v>1</v>
      </c>
    </row>
    <row r="887" ht="15.75" customHeight="1" hidden="1" spans="1:60" x14ac:dyDescent="0.25">
      <c r="A887" s="2">
        <v>101</v>
      </c>
      <c r="B887" s="14"/>
      <c r="D887" s="14" t="s">
        <v>51</v>
      </c>
      <c r="E887" s="2" t="s">
        <v>49</v>
      </c>
      <c r="F887" s="41">
        <v>500</v>
      </c>
      <c r="G887" s="28"/>
      <c r="H887" s="34"/>
      <c r="I887" s="15"/>
      <c r="J887" s="15"/>
      <c r="K887" s="15"/>
      <c r="L887" s="28"/>
      <c r="Q887" s="13"/>
      <c r="R887" s="15"/>
      <c r="S887" s="15"/>
      <c r="T887" s="28"/>
      <c r="Y887" s="13"/>
      <c r="Z887" s="15"/>
      <c r="AA887" s="15"/>
      <c r="AB887" s="28"/>
      <c r="AE887" s="34"/>
      <c r="AG887" s="13"/>
      <c r="AH887" s="15"/>
      <c r="AI887" s="45"/>
      <c r="AJ887" s="180"/>
      <c r="AK887" s="13"/>
      <c r="AL887" s="15"/>
      <c r="AM887" s="45"/>
      <c r="AN887" s="15"/>
      <c r="AO887" s="13"/>
      <c r="AP887" s="15"/>
      <c r="AQ887" s="34">
        <f>B882*$F$14</f>
        <v>2230</v>
      </c>
      <c r="AR887" s="15"/>
      <c r="AS887" s="13"/>
      <c r="AT887" s="15"/>
      <c r="AU887" s="45"/>
      <c r="AV887" s="15"/>
      <c r="AW887" s="13"/>
      <c r="AY887" s="45"/>
      <c r="AZ887" s="28"/>
      <c r="BA887" s="13"/>
      <c r="BB887" s="15"/>
      <c r="BC887" s="45"/>
      <c r="BD887" s="28"/>
      <c r="BE887" s="14"/>
      <c r="BF887" s="41">
        <f t="shared" ref="BF887:BG887" si="3003">K887+O887+S887+W887+AA887+AE887+AI887+AM887+AQ887+AU887+AY887+BC887</f>
        <v>2230</v>
      </c>
      <c r="BG887" s="34">
        <f t="shared" si="3003"/>
        <v>0</v>
      </c>
      <c r="BH887" s="35">
        <f t="shared" si="2988"/>
        <v>2230</v>
      </c>
    </row>
    <row r="888" ht="15.75" customHeight="1" hidden="1" spans="1:63" x14ac:dyDescent="0.25">
      <c r="A888" s="2">
        <v>101</v>
      </c>
      <c r="B888" s="14"/>
      <c r="D888" s="14" t="s">
        <v>52</v>
      </c>
      <c r="E888" s="2" t="s">
        <v>39</v>
      </c>
      <c r="F888" s="41">
        <v>500</v>
      </c>
      <c r="G888" s="28"/>
      <c r="H888" s="34">
        <f>'2019'!BH734</f>
        <v>0</v>
      </c>
      <c r="I888" s="15"/>
      <c r="J888" s="15"/>
      <c r="K888" s="15"/>
      <c r="L888" s="28"/>
      <c r="Q888" s="13"/>
      <c r="R888" s="15"/>
      <c r="S888" s="15"/>
      <c r="T888" s="28"/>
      <c r="Y888" s="13"/>
      <c r="Z888" s="15"/>
      <c r="AA888" s="34">
        <f>$F$11</f>
        <v>500</v>
      </c>
      <c r="AB888" s="35"/>
      <c r="AF888" s="133">
        <v>500</v>
      </c>
      <c r="AG888" s="13"/>
      <c r="AH888" s="15"/>
      <c r="AI888" s="45"/>
      <c r="AJ888" s="180"/>
      <c r="AK888" s="13"/>
      <c r="AL888" s="15"/>
      <c r="AM888" s="45"/>
      <c r="AN888" s="15"/>
      <c r="AO888" s="13"/>
      <c r="AP888" s="15"/>
      <c r="AQ888" s="45"/>
      <c r="AR888" s="15"/>
      <c r="AS888" s="13"/>
      <c r="AT888" s="15"/>
      <c r="AU888" s="45"/>
      <c r="AV888" s="15"/>
      <c r="AW888" s="13"/>
      <c r="AY888" s="45"/>
      <c r="AZ888" s="35"/>
      <c r="BA888" s="13"/>
      <c r="BB888" s="15"/>
      <c r="BC888" s="45"/>
      <c r="BD888" s="35"/>
      <c r="BE888" s="14"/>
      <c r="BF888" s="41">
        <f t="shared" ref="BF888:BG888" si="3004">K888+O888+S888+W888+AA888+AE888+AI888+AM888+AQ888+AU888+AY888+BC888</f>
        <v>500</v>
      </c>
      <c r="BG888" s="34">
        <f t="shared" si="3004"/>
        <v>500</v>
      </c>
      <c r="BH888" s="35">
        <f t="shared" si="2988"/>
        <v>0</v>
      </c>
      <c r="BK888" s="2" t="b">
        <f>H888='2019'!BH734</f>
        <v>1</v>
      </c>
    </row>
    <row r="889" ht="15.75" customHeight="1" hidden="1" spans="1:63" x14ac:dyDescent="0.25">
      <c r="A889" s="247">
        <v>101</v>
      </c>
      <c r="B889" s="21"/>
      <c r="C889" s="22" t="s">
        <v>53</v>
      </c>
      <c r="D889" s="21"/>
      <c r="E889" s="22"/>
      <c r="F889" s="20"/>
      <c r="G889" s="23"/>
      <c r="H889" s="51">
        <f>SUM(H881:H888)</f>
        <v>17.57</v>
      </c>
      <c r="I889" s="53"/>
      <c r="J889" s="53"/>
      <c r="K889" s="51">
        <f t="shared" ref="K889:L889" si="3005">SUM(K881:K888)</f>
        <v>0</v>
      </c>
      <c r="L889" s="68">
        <f t="shared" si="3005"/>
        <v>0</v>
      </c>
      <c r="M889" s="53"/>
      <c r="N889" s="53"/>
      <c r="O889" s="51">
        <f t="shared" ref="O889:P889" si="3006">SUM(O881:O888)</f>
        <v>0</v>
      </c>
      <c r="P889" s="51">
        <f t="shared" si="3006"/>
        <v>0</v>
      </c>
      <c r="Q889" s="52"/>
      <c r="R889" s="53"/>
      <c r="S889" s="51">
        <f t="shared" ref="S889:T889" si="3007">SUM(S881:S888)</f>
        <v>0</v>
      </c>
      <c r="T889" s="51">
        <f t="shared" si="3007"/>
        <v>0</v>
      </c>
      <c r="U889" s="52"/>
      <c r="V889" s="53"/>
      <c r="W889" s="51">
        <f t="shared" ref="W889:X889" si="3008">SUM(W881:W888)</f>
        <v>121.18</v>
      </c>
      <c r="X889" s="51">
        <f t="shared" si="3008"/>
        <v>0</v>
      </c>
      <c r="Y889" s="52"/>
      <c r="Z889" s="53"/>
      <c r="AA889" s="51">
        <f t="shared" ref="AA889:AB889" si="3009">SUM(AA881:AA888)</f>
        <v>578.18</v>
      </c>
      <c r="AB889" s="51">
        <f t="shared" si="3009"/>
        <v>0</v>
      </c>
      <c r="AC889" s="52"/>
      <c r="AD889" s="53"/>
      <c r="AE889" s="51">
        <f t="shared" ref="AE889:AF889" si="3010">SUM(AE881:AE888)</f>
        <v>5016.3</v>
      </c>
      <c r="AF889" s="51">
        <f t="shared" si="3010"/>
        <v>5700</v>
      </c>
      <c r="AG889" s="52"/>
      <c r="AH889" s="53"/>
      <c r="AI889" s="183">
        <f t="shared" ref="AI889:AJ889" si="3011">SUM(AI881:AI888)</f>
        <v>140.16</v>
      </c>
      <c r="AJ889" s="51">
        <f t="shared" si="3011"/>
        <v>130</v>
      </c>
      <c r="AK889" s="52"/>
      <c r="AL889" s="53"/>
      <c r="AM889" s="183">
        <f t="shared" ref="AM889:AN889" si="3012">SUM(AM881:AM888)</f>
        <v>271.18</v>
      </c>
      <c r="AN889" s="51">
        <f t="shared" si="3012"/>
        <v>325</v>
      </c>
      <c r="AO889" s="52"/>
      <c r="AP889" s="53"/>
      <c r="AQ889" s="183">
        <f t="shared" ref="AQ889:AR889" si="3013">SUM(AQ881:AQ888)</f>
        <v>2781.92</v>
      </c>
      <c r="AR889" s="51">
        <f t="shared" si="3013"/>
        <v>0</v>
      </c>
      <c r="AS889" s="52"/>
      <c r="AT889" s="53"/>
      <c r="AU889" s="183">
        <f t="shared" ref="AU889:AV889" si="3014">SUM(AU881:AU888)</f>
        <v>7.8</v>
      </c>
      <c r="AV889" s="68">
        <f t="shared" si="3014"/>
        <v>0</v>
      </c>
      <c r="AW889" s="52"/>
      <c r="AX889" s="53"/>
      <c r="AY889" s="183">
        <f t="shared" ref="AY889:AZ889" si="3015">SUM(AY881:AY888)</f>
        <v>0</v>
      </c>
      <c r="AZ889" s="68">
        <f t="shared" si="3015"/>
        <v>0</v>
      </c>
      <c r="BA889" s="52"/>
      <c r="BB889" s="53"/>
      <c r="BC889" s="183">
        <f t="shared" ref="BC889:BD889" si="3016">SUM(BC881:BC888)</f>
        <v>0</v>
      </c>
      <c r="BD889" s="68">
        <f t="shared" si="3016"/>
        <v>0</v>
      </c>
      <c r="BE889" s="69"/>
      <c r="BF889" s="70">
        <f t="shared" ref="BF889:BH889" si="3017">SUM(BF881:BF888)</f>
        <v>8916.72</v>
      </c>
      <c r="BG889" s="71">
        <f t="shared" si="3017"/>
        <v>6155</v>
      </c>
      <c r="BH889" s="72">
        <f t="shared" si="3017"/>
        <v>2779.29</v>
      </c>
      <c r="BI889" s="34">
        <f>H889+BF889-BG889</f>
        <v>2779.29</v>
      </c>
      <c r="BJ889" s="34">
        <f>BH889-BI889</f>
        <v>0</v>
      </c>
      <c r="BK889" s="2" t="b">
        <f>H889='2019'!BH735</f>
        <v>0</v>
      </c>
    </row>
    <row r="890" ht="15.75" customHeight="1" hidden="1" spans="1:63" x14ac:dyDescent="0.25">
      <c r="A890" s="2">
        <v>103</v>
      </c>
      <c r="B890" s="14"/>
      <c r="D890" s="14" t="s">
        <v>379</v>
      </c>
      <c r="F890" s="13"/>
      <c r="G890" s="28"/>
      <c r="H890" s="34">
        <f>'2019'!BH736</f>
        <v>0</v>
      </c>
      <c r="J890" s="15"/>
      <c r="K890" s="15"/>
      <c r="L890" s="28"/>
      <c r="Q890" s="13"/>
      <c r="R890" s="15"/>
      <c r="S890" s="15"/>
      <c r="T890" s="28"/>
      <c r="Y890" s="13"/>
      <c r="Z890" s="15"/>
      <c r="AA890" s="15"/>
      <c r="AB890" s="28"/>
      <c r="AG890" s="13"/>
      <c r="AH890" s="15"/>
      <c r="AI890" s="45"/>
      <c r="AJ890" s="15"/>
      <c r="AK890" s="13"/>
      <c r="AM890" s="45"/>
      <c r="AO890" s="13"/>
      <c r="AQ890" s="45">
        <v>14.59</v>
      </c>
      <c r="AS890" s="13"/>
      <c r="AU890" s="45">
        <v>15.07</v>
      </c>
      <c r="AW890" s="13"/>
      <c r="AY890" s="45">
        <v>14.59</v>
      </c>
      <c r="AZ890" s="28"/>
      <c r="BA890" s="13"/>
      <c r="BB890" s="15"/>
      <c r="BC890" s="45">
        <v>15.07</v>
      </c>
      <c r="BD890" s="28"/>
      <c r="BE890" s="14"/>
      <c r="BF890" s="41">
        <f t="shared" ref="BF890:BG890" si="3018">K890+O890+S890+W890+AA890+AE890+AI890+AM890+AQ890+AU890+AY890+BC890</f>
        <v>59.32</v>
      </c>
      <c r="BG890" s="34">
        <f t="shared" si="3018"/>
        <v>0</v>
      </c>
      <c r="BH890" s="35">
        <f t="shared" ref="BH890:BH897" si="3019">H890+BF890-BG890</f>
        <v>59.32</v>
      </c>
      <c r="BK890" s="2" t="b">
        <f>H890='2019'!BH736</f>
        <v>1</v>
      </c>
    </row>
    <row r="891" ht="15.75" customHeight="1" hidden="1" spans="1:63" x14ac:dyDescent="0.25">
      <c r="A891" s="2">
        <v>103</v>
      </c>
      <c r="B891" s="14">
        <v>4.42</v>
      </c>
      <c r="C891" s="15" t="s">
        <v>322</v>
      </c>
      <c r="D891" s="14" t="s">
        <v>44</v>
      </c>
      <c r="E891" s="2" t="s">
        <v>45</v>
      </c>
      <c r="F891" s="41">
        <v>2.5</v>
      </c>
      <c r="G891" s="35">
        <v>2.6</v>
      </c>
      <c r="H891" s="104">
        <f>'2019'!BH737</f>
        <v>0</v>
      </c>
      <c r="I891" s="15"/>
      <c r="J891" s="15"/>
      <c r="K891" s="34">
        <f>J891*$F$8</f>
        <v>0</v>
      </c>
      <c r="L891" s="28"/>
      <c r="N891" s="15"/>
      <c r="O891" s="34">
        <f>N891*$F$8</f>
        <v>0</v>
      </c>
      <c r="Q891" s="13"/>
      <c r="R891" s="15">
        <f>Q891-M891</f>
        <v>0</v>
      </c>
      <c r="S891" s="34">
        <f>R891*$F$8</f>
        <v>0</v>
      </c>
      <c r="T891" s="28"/>
      <c r="V891" s="15">
        <f t="shared" ref="V891:V892" si="3020">U891-Q891</f>
        <v>0</v>
      </c>
      <c r="W891" s="34">
        <f>V891*$F$8</f>
        <v>0</v>
      </c>
      <c r="Y891" s="13"/>
      <c r="Z891" s="15">
        <f t="shared" ref="Z891:Z892" si="3021">Y891-U891</f>
        <v>0</v>
      </c>
      <c r="AA891" s="34">
        <f>Z891*$F$8</f>
        <v>0</v>
      </c>
      <c r="AB891" s="28"/>
      <c r="AC891" s="15"/>
      <c r="AD891" s="15">
        <f t="shared" ref="AD891:AD892" si="3022">AC891-Y891</f>
        <v>0</v>
      </c>
      <c r="AE891" s="34">
        <f>AD891*$F$8</f>
        <v>0</v>
      </c>
      <c r="AG891" s="13"/>
      <c r="AH891" s="15">
        <f t="shared" ref="AH891:AH892" si="3023">AG891-AC891</f>
        <v>0</v>
      </c>
      <c r="AI891" s="45">
        <f>AH891*$G$8</f>
        <v>0</v>
      </c>
      <c r="AJ891" s="15"/>
      <c r="AK891" s="13">
        <v>0</v>
      </c>
      <c r="AL891" s="15">
        <f t="shared" ref="AL891:AL892" si="3024">AK891-AG891</f>
        <v>0</v>
      </c>
      <c r="AM891" s="45">
        <f>AL891*$G$8</f>
        <v>0</v>
      </c>
      <c r="AN891" s="15"/>
      <c r="AO891" s="13">
        <v>0</v>
      </c>
      <c r="AP891" s="15">
        <f t="shared" ref="AP891:AP892" si="3025">AO891-AK891</f>
        <v>0</v>
      </c>
      <c r="AQ891" s="45">
        <f>AP891*$G$8</f>
        <v>0</v>
      </c>
      <c r="AR891" s="15"/>
      <c r="AS891" s="13">
        <v>0</v>
      </c>
      <c r="AT891" s="15">
        <f t="shared" ref="AT891:AT892" si="3026">AS891-AO891</f>
        <v>0</v>
      </c>
      <c r="AU891" s="45">
        <f>AT891*$G$8</f>
        <v>0</v>
      </c>
      <c r="AV891" s="15"/>
      <c r="AW891" s="13">
        <v>0</v>
      </c>
      <c r="AX891" s="2">
        <f t="shared" ref="AX891:AX892" si="3027">AW891-AS891</f>
        <v>0</v>
      </c>
      <c r="AY891" s="45">
        <f>AX891*$G$8</f>
        <v>0</v>
      </c>
      <c r="AZ891" s="208"/>
      <c r="BA891" s="13">
        <v>0</v>
      </c>
      <c r="BB891" s="15">
        <f t="shared" ref="BB891:BB892" si="3028">BA891-AW891</f>
        <v>0</v>
      </c>
      <c r="BC891" s="45">
        <f>BB891*$G$8</f>
        <v>0</v>
      </c>
      <c r="BD891" s="208"/>
      <c r="BE891" s="40">
        <f t="shared" ref="BE891:BG891" si="3029">J891+N891+R891+V891+Z891+AD891+AH891+AL891+AP891+AT891+AX891+BB891</f>
        <v>0</v>
      </c>
      <c r="BF891" s="41">
        <f t="shared" si="3029"/>
        <v>0</v>
      </c>
      <c r="BG891" s="34">
        <f t="shared" si="3029"/>
        <v>0</v>
      </c>
      <c r="BH891" s="35">
        <f t="shared" si="3019"/>
        <v>0</v>
      </c>
      <c r="BK891" s="2" t="b">
        <f>H891='2019'!BH737</f>
        <v>1</v>
      </c>
    </row>
    <row r="892" ht="15.75" customHeight="1" hidden="1" spans="1:63" x14ac:dyDescent="0.25">
      <c r="A892" s="2">
        <v>103</v>
      </c>
      <c r="B892" s="14"/>
      <c r="C892" s="15" t="s">
        <v>93</v>
      </c>
      <c r="D892" s="14" t="s">
        <v>47</v>
      </c>
      <c r="E892" s="2" t="s">
        <v>48</v>
      </c>
      <c r="F892" s="13">
        <v>18.56</v>
      </c>
      <c r="G892" s="35">
        <v>19.46</v>
      </c>
      <c r="H892" s="34">
        <f>'2019'!BH738</f>
        <v>-14.31</v>
      </c>
      <c r="I892" s="15">
        <v>19</v>
      </c>
      <c r="J892" s="15"/>
      <c r="K892" s="15"/>
      <c r="L892" s="28"/>
      <c r="M892" s="2">
        <v>19</v>
      </c>
      <c r="Q892" s="13">
        <v>19</v>
      </c>
      <c r="R892" s="15"/>
      <c r="S892" s="15"/>
      <c r="T892" s="28"/>
      <c r="U892" s="2">
        <v>19</v>
      </c>
      <c r="V892" s="2">
        <f t="shared" si="3020"/>
        <v>0</v>
      </c>
      <c r="W892" s="34">
        <f>V892*$F$10</f>
        <v>0</v>
      </c>
      <c r="Y892" s="13">
        <v>19</v>
      </c>
      <c r="Z892" s="15">
        <f t="shared" si="3021"/>
        <v>0</v>
      </c>
      <c r="AA892" s="34">
        <f>Z892*$F$10</f>
        <v>0</v>
      </c>
      <c r="AB892" s="28"/>
      <c r="AC892" s="15">
        <v>21</v>
      </c>
      <c r="AD892" s="15">
        <f t="shared" si="3022"/>
        <v>2</v>
      </c>
      <c r="AE892" s="34">
        <f>AD892*$F$10</f>
        <v>37.12</v>
      </c>
      <c r="AG892" s="13">
        <v>26</v>
      </c>
      <c r="AH892" s="15">
        <f t="shared" si="3023"/>
        <v>5</v>
      </c>
      <c r="AI892" s="45">
        <f>AH892*$G$10</f>
        <v>97.3</v>
      </c>
      <c r="AJ892" s="15"/>
      <c r="AK892" s="13">
        <v>26</v>
      </c>
      <c r="AL892" s="15">
        <f t="shared" si="3024"/>
        <v>0</v>
      </c>
      <c r="AM892" s="45">
        <f>AL892*$G$10</f>
        <v>0</v>
      </c>
      <c r="AN892" s="15"/>
      <c r="AO892" s="13">
        <v>26</v>
      </c>
      <c r="AP892" s="15">
        <f t="shared" si="3025"/>
        <v>0</v>
      </c>
      <c r="AQ892" s="45">
        <f>AP892*$G$10</f>
        <v>0</v>
      </c>
      <c r="AR892" s="15"/>
      <c r="AS892" s="13">
        <v>26</v>
      </c>
      <c r="AT892" s="15">
        <f t="shared" si="3026"/>
        <v>0</v>
      </c>
      <c r="AU892" s="45">
        <f>AT892*$G$10</f>
        <v>0</v>
      </c>
      <c r="AV892" s="15"/>
      <c r="AW892" s="13">
        <v>26</v>
      </c>
      <c r="AX892" s="2">
        <f t="shared" si="3027"/>
        <v>0</v>
      </c>
      <c r="AY892" s="45"/>
      <c r="AZ892" s="208"/>
      <c r="BA892" s="13">
        <v>26</v>
      </c>
      <c r="BB892" s="15">
        <f t="shared" si="3028"/>
        <v>0</v>
      </c>
      <c r="BC892" s="45"/>
      <c r="BD892" s="208"/>
      <c r="BE892" s="40">
        <f t="shared" ref="BE892:BG892" si="3030">J892+N892+R892+V892+Z892+AD892+AH892+AL892+AP892+AT892+AX892+BB892</f>
        <v>7</v>
      </c>
      <c r="BF892" s="41">
        <f t="shared" si="3030"/>
        <v>134.42</v>
      </c>
      <c r="BG892" s="34">
        <f t="shared" si="3030"/>
        <v>0</v>
      </c>
      <c r="BH892" s="35">
        <f t="shared" si="3019"/>
        <v>120.11</v>
      </c>
      <c r="BK892" s="2" t="b">
        <f>H892='2019'!BH738</f>
        <v>1</v>
      </c>
    </row>
    <row r="893" ht="15.75" customHeight="1" hidden="1" spans="1:63" x14ac:dyDescent="0.25">
      <c r="A893" s="2">
        <v>103</v>
      </c>
      <c r="B893" s="14"/>
      <c r="C893" s="15" t="s">
        <v>84</v>
      </c>
      <c r="D893" s="14" t="s">
        <v>47</v>
      </c>
      <c r="E893" s="2" t="s">
        <v>49</v>
      </c>
      <c r="F893" s="41">
        <v>500</v>
      </c>
      <c r="G893" s="28"/>
      <c r="H893" s="34">
        <f>'2019'!BH739</f>
        <v>0</v>
      </c>
      <c r="I893" s="15"/>
      <c r="J893" s="15"/>
      <c r="K893" s="15"/>
      <c r="L893" s="28"/>
      <c r="Q893" s="13"/>
      <c r="R893" s="15"/>
      <c r="S893" s="15"/>
      <c r="T893" s="28"/>
      <c r="Y893" s="13"/>
      <c r="Z893" s="15"/>
      <c r="AA893" s="15"/>
      <c r="AB893" s="28"/>
      <c r="AG893" s="13"/>
      <c r="AH893" s="15"/>
      <c r="AI893" s="45"/>
      <c r="AJ893" s="15"/>
      <c r="AK893" s="13"/>
      <c r="AL893" s="15"/>
      <c r="AM893" s="45"/>
      <c r="AN893" s="15"/>
      <c r="AO893" s="13"/>
      <c r="AP893" s="15"/>
      <c r="AQ893" s="45"/>
      <c r="AR893" s="15"/>
      <c r="AS893" s="13"/>
      <c r="AT893" s="15"/>
      <c r="AU893" s="45"/>
      <c r="AV893" s="15"/>
      <c r="AW893" s="13"/>
      <c r="AY893" s="45"/>
      <c r="AZ893" s="28"/>
      <c r="BA893" s="13"/>
      <c r="BB893" s="15"/>
      <c r="BC893" s="45"/>
      <c r="BD893" s="28"/>
      <c r="BE893" s="14"/>
      <c r="BF893" s="41">
        <f t="shared" ref="BF893:BG893" si="3031">K893+O893+S893+W893+AA893+AE893+AI893+AM893+AQ893+AU893+AY893+BC893</f>
        <v>0</v>
      </c>
      <c r="BG893" s="34">
        <f t="shared" si="3031"/>
        <v>0</v>
      </c>
      <c r="BH893" s="35">
        <f t="shared" si="3019"/>
        <v>0</v>
      </c>
      <c r="BK893" s="2" t="b">
        <f>H893='2019'!BH739</f>
        <v>1</v>
      </c>
    </row>
    <row r="894" ht="15.75" customHeight="1" hidden="1" spans="1:63" x14ac:dyDescent="0.25">
      <c r="A894" s="2">
        <v>103</v>
      </c>
      <c r="B894" s="14"/>
      <c r="C894" s="15" t="s">
        <v>398</v>
      </c>
      <c r="D894" s="14" t="s">
        <v>50</v>
      </c>
      <c r="E894" s="2" t="s">
        <v>49</v>
      </c>
      <c r="F894" s="41">
        <v>1100</v>
      </c>
      <c r="G894" s="28"/>
      <c r="H894" s="182">
        <f>'2019'!BH740+0.0004</f>
        <v>0</v>
      </c>
      <c r="I894" s="15"/>
      <c r="J894" s="15"/>
      <c r="K894" s="15"/>
      <c r="L894" s="28"/>
      <c r="Q894" s="13"/>
      <c r="R894" s="15"/>
      <c r="S894" s="15"/>
      <c r="T894" s="28"/>
      <c r="Y894" s="13"/>
      <c r="Z894" s="15"/>
      <c r="AA894" s="15"/>
      <c r="AB894" s="28"/>
      <c r="AE894" s="34">
        <f>B891*$F$12</f>
        <v>4862</v>
      </c>
      <c r="AG894" s="13"/>
      <c r="AH894" s="15"/>
      <c r="AI894" s="45"/>
      <c r="AJ894" s="34"/>
      <c r="AK894" s="13"/>
      <c r="AL894" s="15"/>
      <c r="AM894" s="45"/>
      <c r="AN894" s="15"/>
      <c r="AO894" s="13"/>
      <c r="AP894" s="15"/>
      <c r="AQ894" s="45"/>
      <c r="AR894" s="15"/>
      <c r="AS894" s="13"/>
      <c r="AT894" s="15"/>
      <c r="AU894" s="45"/>
      <c r="AV894" s="15"/>
      <c r="AW894" s="13"/>
      <c r="AY894" s="45"/>
      <c r="AZ894" s="28"/>
      <c r="BA894" s="13"/>
      <c r="BB894" s="15"/>
      <c r="BC894" s="45"/>
      <c r="BD894" s="28"/>
      <c r="BE894" s="14"/>
      <c r="BF894" s="41">
        <f t="shared" ref="BF894:BG894" si="3032">K894+O894+S894+W894+AA894+AE894+AI894+AM894+AQ894+AU894+AY894+BC894</f>
        <v>4862</v>
      </c>
      <c r="BG894" s="34">
        <f t="shared" si="3032"/>
        <v>0</v>
      </c>
      <c r="BH894" s="35">
        <f t="shared" si="3019"/>
        <v>4862</v>
      </c>
      <c r="BK894" s="2" t="b">
        <f>H894='2019'!BH740</f>
        <v>0</v>
      </c>
    </row>
    <row r="895" ht="15.75" customHeight="1" hidden="1" spans="1:63" x14ac:dyDescent="0.25">
      <c r="A895" s="2">
        <v>103</v>
      </c>
      <c r="B895" s="14"/>
      <c r="D895" s="14" t="s">
        <v>51</v>
      </c>
      <c r="E895" s="2" t="s">
        <v>39</v>
      </c>
      <c r="F895" s="41">
        <v>500</v>
      </c>
      <c r="G895" s="28"/>
      <c r="H895" s="34">
        <f>'2019'!BH741</f>
        <v>0</v>
      </c>
      <c r="I895" s="15"/>
      <c r="J895" s="15"/>
      <c r="K895" s="15"/>
      <c r="L895" s="28"/>
      <c r="Q895" s="13"/>
      <c r="R895" s="15"/>
      <c r="S895" s="15"/>
      <c r="T895" s="28"/>
      <c r="Y895" s="13"/>
      <c r="Z895" s="15"/>
      <c r="AA895" s="15"/>
      <c r="AB895" s="28"/>
      <c r="AE895" s="34"/>
      <c r="AG895" s="13"/>
      <c r="AH895" s="15"/>
      <c r="AI895" s="45"/>
      <c r="AJ895" s="15"/>
      <c r="AK895" s="13"/>
      <c r="AL895" s="15"/>
      <c r="AM895" s="45"/>
      <c r="AN895" s="15"/>
      <c r="AO895" s="13"/>
      <c r="AP895" s="15"/>
      <c r="AQ895" s="45">
        <f>$F$13</f>
        <v>500</v>
      </c>
      <c r="AR895" s="15"/>
      <c r="AS895" s="13"/>
      <c r="AT895" s="15"/>
      <c r="AU895" s="45"/>
      <c r="AV895" s="15"/>
      <c r="AW895" s="13"/>
      <c r="AY895" s="45"/>
      <c r="AZ895" s="28"/>
      <c r="BA895" s="13"/>
      <c r="BB895" s="15"/>
      <c r="BC895" s="45"/>
      <c r="BD895" s="28"/>
      <c r="BE895" s="14"/>
      <c r="BF895" s="41">
        <f t="shared" ref="BF895:BG895" si="3033">K895+O895+S895+W895+AA895+AE895+AI895+AM895+AQ895+AU895+AY895+BC895</f>
        <v>500</v>
      </c>
      <c r="BG895" s="34">
        <f t="shared" si="3033"/>
        <v>0</v>
      </c>
      <c r="BH895" s="35">
        <f t="shared" si="3019"/>
        <v>500</v>
      </c>
      <c r="BK895" s="2" t="b">
        <f>H895='2019'!BH741</f>
        <v>1</v>
      </c>
    </row>
    <row r="896" ht="15.75" customHeight="1" hidden="1" spans="1:60" x14ac:dyDescent="0.25">
      <c r="A896" s="2">
        <v>103</v>
      </c>
      <c r="B896" s="14"/>
      <c r="D896" s="14" t="s">
        <v>51</v>
      </c>
      <c r="E896" s="2" t="s">
        <v>49</v>
      </c>
      <c r="F896" s="41">
        <v>500</v>
      </c>
      <c r="G896" s="28"/>
      <c r="H896" s="34"/>
      <c r="I896" s="15"/>
      <c r="J896" s="15"/>
      <c r="K896" s="15"/>
      <c r="L896" s="28"/>
      <c r="Q896" s="13"/>
      <c r="R896" s="15"/>
      <c r="S896" s="15"/>
      <c r="T896" s="28"/>
      <c r="Y896" s="13"/>
      <c r="Z896" s="15"/>
      <c r="AA896" s="15"/>
      <c r="AB896" s="28"/>
      <c r="AE896" s="34"/>
      <c r="AG896" s="13"/>
      <c r="AH896" s="15"/>
      <c r="AI896" s="45"/>
      <c r="AJ896" s="15"/>
      <c r="AK896" s="13"/>
      <c r="AL896" s="15"/>
      <c r="AM896" s="45"/>
      <c r="AN896" s="15"/>
      <c r="AO896" s="13"/>
      <c r="AP896" s="15"/>
      <c r="AQ896" s="34">
        <f>B891*$F$14</f>
        <v>2210</v>
      </c>
      <c r="AR896" s="15"/>
      <c r="AS896" s="13"/>
      <c r="AT896" s="15"/>
      <c r="AU896" s="45"/>
      <c r="AV896" s="15"/>
      <c r="AW896" s="13"/>
      <c r="AY896" s="45"/>
      <c r="AZ896" s="28"/>
      <c r="BA896" s="13"/>
      <c r="BB896" s="15"/>
      <c r="BC896" s="45"/>
      <c r="BD896" s="28"/>
      <c r="BE896" s="14"/>
      <c r="BF896" s="41">
        <f t="shared" ref="BF896:BG896" si="3034">K896+O896+S896+W896+AA896+AE896+AI896+AM896+AQ896+AU896+AY896+BC896</f>
        <v>2210</v>
      </c>
      <c r="BG896" s="34">
        <f t="shared" si="3034"/>
        <v>0</v>
      </c>
      <c r="BH896" s="35">
        <f t="shared" si="3019"/>
        <v>2210</v>
      </c>
    </row>
    <row r="897" ht="15.75" customHeight="1" hidden="1" spans="1:63" x14ac:dyDescent="0.25">
      <c r="A897" s="2">
        <v>103</v>
      </c>
      <c r="B897" s="14"/>
      <c r="D897" s="14" t="s">
        <v>52</v>
      </c>
      <c r="E897" s="2" t="s">
        <v>39</v>
      </c>
      <c r="F897" s="41">
        <v>500</v>
      </c>
      <c r="G897" s="28"/>
      <c r="H897" s="34">
        <f>'2019'!BH742</f>
        <v>0</v>
      </c>
      <c r="I897" s="15"/>
      <c r="J897" s="15"/>
      <c r="K897" s="15"/>
      <c r="L897" s="28"/>
      <c r="Q897" s="13"/>
      <c r="R897" s="15"/>
      <c r="S897" s="15"/>
      <c r="T897" s="28"/>
      <c r="Y897" s="13"/>
      <c r="Z897" s="15"/>
      <c r="AA897" s="34">
        <f>$F$11</f>
        <v>500</v>
      </c>
      <c r="AB897" s="28"/>
      <c r="AG897" s="13"/>
      <c r="AH897" s="15"/>
      <c r="AI897" s="45"/>
      <c r="AJ897" s="15"/>
      <c r="AK897" s="13"/>
      <c r="AL897" s="15"/>
      <c r="AM897" s="45"/>
      <c r="AN897" s="15"/>
      <c r="AO897" s="13"/>
      <c r="AP897" s="15"/>
      <c r="AQ897" s="45"/>
      <c r="AR897" s="15"/>
      <c r="AS897" s="13"/>
      <c r="AT897" s="15"/>
      <c r="AU897" s="45"/>
      <c r="AV897" s="15"/>
      <c r="AW897" s="13"/>
      <c r="AY897" s="45"/>
      <c r="AZ897" s="35"/>
      <c r="BA897" s="13"/>
      <c r="BB897" s="15"/>
      <c r="BC897" s="45"/>
      <c r="BD897" s="35"/>
      <c r="BE897" s="14"/>
      <c r="BF897" s="41">
        <f t="shared" ref="BF897:BG897" si="3035">K897+O897+S897+W897+AA897+AE897+AI897+AM897+AQ897+AU897+AY897+BC897</f>
        <v>500</v>
      </c>
      <c r="BG897" s="34">
        <f t="shared" si="3035"/>
        <v>0</v>
      </c>
      <c r="BH897" s="35">
        <f t="shared" si="3019"/>
        <v>500</v>
      </c>
      <c r="BK897" s="2" t="b">
        <f>H897='2019'!BH742</f>
        <v>1</v>
      </c>
    </row>
    <row r="898" ht="15.75" customHeight="1" hidden="1" spans="1:63" x14ac:dyDescent="0.25">
      <c r="A898" s="247">
        <v>103</v>
      </c>
      <c r="B898" s="21"/>
      <c r="C898" s="22" t="s">
        <v>53</v>
      </c>
      <c r="D898" s="21"/>
      <c r="E898" s="22"/>
      <c r="F898" s="20"/>
      <c r="G898" s="23"/>
      <c r="H898" s="51">
        <f>SUM(H890:H897)</f>
        <v>-14.31</v>
      </c>
      <c r="I898" s="53"/>
      <c r="J898" s="53"/>
      <c r="K898" s="51">
        <f t="shared" ref="K898:L898" si="3036">SUM(K890:K897)</f>
        <v>0</v>
      </c>
      <c r="L898" s="68">
        <f t="shared" si="3036"/>
        <v>0</v>
      </c>
      <c r="M898" s="53"/>
      <c r="N898" s="53"/>
      <c r="O898" s="51">
        <f t="shared" ref="O898:P898" si="3037">SUM(O890:O897)</f>
        <v>0</v>
      </c>
      <c r="P898" s="51">
        <f t="shared" si="3037"/>
        <v>0</v>
      </c>
      <c r="Q898" s="52"/>
      <c r="R898" s="53"/>
      <c r="S898" s="51">
        <f t="shared" ref="S898:T898" si="3038">SUM(S890:S897)</f>
        <v>0</v>
      </c>
      <c r="T898" s="51">
        <f t="shared" si="3038"/>
        <v>0</v>
      </c>
      <c r="U898" s="52"/>
      <c r="V898" s="53"/>
      <c r="W898" s="51">
        <f t="shared" ref="W898:X898" si="3039">SUM(W890:W897)</f>
        <v>0</v>
      </c>
      <c r="X898" s="51">
        <f t="shared" si="3039"/>
        <v>0</v>
      </c>
      <c r="Y898" s="52"/>
      <c r="Z898" s="53"/>
      <c r="AA898" s="51">
        <f t="shared" ref="AA898:AB898" si="3040">SUM(AA890:AA897)</f>
        <v>500</v>
      </c>
      <c r="AB898" s="51">
        <f t="shared" si="3040"/>
        <v>0</v>
      </c>
      <c r="AC898" s="52"/>
      <c r="AD898" s="53"/>
      <c r="AE898" s="51">
        <f t="shared" ref="AE898:AF898" si="3041">SUM(AE890:AE897)</f>
        <v>4899.12</v>
      </c>
      <c r="AF898" s="51">
        <f t="shared" si="3041"/>
        <v>0</v>
      </c>
      <c r="AG898" s="52"/>
      <c r="AH898" s="53"/>
      <c r="AI898" s="183">
        <f t="shared" ref="AI898:AJ898" si="3042">SUM(AI890:AI897)</f>
        <v>97.3</v>
      </c>
      <c r="AJ898" s="51">
        <f t="shared" si="3042"/>
        <v>0</v>
      </c>
      <c r="AK898" s="52"/>
      <c r="AL898" s="53"/>
      <c r="AM898" s="183">
        <f t="shared" ref="AM898:AN898" si="3043">SUM(AM890:AM897)</f>
        <v>0</v>
      </c>
      <c r="AN898" s="51">
        <f t="shared" si="3043"/>
        <v>0</v>
      </c>
      <c r="AO898" s="52"/>
      <c r="AP898" s="53"/>
      <c r="AQ898" s="183">
        <f t="shared" ref="AQ898:AR898" si="3044">SUM(AQ890:AQ897)</f>
        <v>2724.59</v>
      </c>
      <c r="AR898" s="51">
        <f t="shared" si="3044"/>
        <v>0</v>
      </c>
      <c r="AS898" s="52"/>
      <c r="AT898" s="53"/>
      <c r="AU898" s="183">
        <f t="shared" ref="AU898:AV898" si="3045">SUM(AU890:AU897)</f>
        <v>15.07</v>
      </c>
      <c r="AV898" s="68">
        <f t="shared" si="3045"/>
        <v>0</v>
      </c>
      <c r="AW898" s="52"/>
      <c r="AX898" s="53"/>
      <c r="AY898" s="183">
        <f t="shared" ref="AY898:AZ898" si="3046">SUM(AY890:AY897)</f>
        <v>14.59</v>
      </c>
      <c r="AZ898" s="68">
        <f t="shared" si="3046"/>
        <v>0</v>
      </c>
      <c r="BA898" s="52"/>
      <c r="BB898" s="53"/>
      <c r="BC898" s="183">
        <f t="shared" ref="BC898:BD898" si="3047">SUM(BC890:BC897)</f>
        <v>15.07</v>
      </c>
      <c r="BD898" s="68">
        <f t="shared" si="3047"/>
        <v>0</v>
      </c>
      <c r="BE898" s="69"/>
      <c r="BF898" s="70">
        <f t="shared" ref="BF898:BH898" si="3048">SUM(BF890:BF897)</f>
        <v>8265.74</v>
      </c>
      <c r="BG898" s="71">
        <f t="shared" si="3048"/>
        <v>0</v>
      </c>
      <c r="BH898" s="72">
        <f t="shared" si="3048"/>
        <v>8251.43</v>
      </c>
      <c r="BI898" s="34">
        <f>H898+BF898-BG898</f>
        <v>8251.43</v>
      </c>
      <c r="BJ898" s="34">
        <f>BH898-BI898</f>
        <v>0</v>
      </c>
      <c r="BK898" s="2" t="b">
        <f>H898='2019'!BH743</f>
        <v>0</v>
      </c>
    </row>
    <row r="899" ht="15.75" customHeight="1" hidden="1" spans="1:63" x14ac:dyDescent="0.25">
      <c r="A899" s="2">
        <v>105</v>
      </c>
      <c r="B899" s="14"/>
      <c r="D899" s="14" t="s">
        <v>379</v>
      </c>
      <c r="F899" s="13"/>
      <c r="G899" s="28"/>
      <c r="H899" s="34">
        <f>'2019'!BH744</f>
        <v>2.57</v>
      </c>
      <c r="J899" s="15"/>
      <c r="K899" s="15"/>
      <c r="L899" s="28"/>
      <c r="Q899" s="13"/>
      <c r="R899" s="15"/>
      <c r="S899" s="15"/>
      <c r="T899" s="28"/>
      <c r="Y899" s="13"/>
      <c r="Z899" s="15"/>
      <c r="AA899" s="15"/>
      <c r="AB899" s="28"/>
      <c r="AG899" s="13"/>
      <c r="AH899" s="15"/>
      <c r="AI899" s="45"/>
      <c r="AJ899" s="15"/>
      <c r="AK899" s="13"/>
      <c r="AM899" s="45"/>
      <c r="AO899" s="13"/>
      <c r="AQ899" s="45">
        <v>12.8</v>
      </c>
      <c r="AS899" s="13"/>
      <c r="AU899" s="45">
        <v>5.88</v>
      </c>
      <c r="AW899" s="13"/>
      <c r="AY899" s="45"/>
      <c r="AZ899" s="28"/>
      <c r="BA899" s="13"/>
      <c r="BB899" s="15"/>
      <c r="BC899" s="45"/>
      <c r="BD899" s="28"/>
      <c r="BE899" s="14"/>
      <c r="BF899" s="41">
        <f t="shared" ref="BF899:BG899" si="3049">K899+O899+S899+W899+AA899+AE899+AI899+AM899+AQ899+AU899+AY899+BC899</f>
        <v>18.68</v>
      </c>
      <c r="BG899" s="34">
        <f t="shared" si="3049"/>
        <v>0</v>
      </c>
      <c r="BH899" s="35">
        <f t="shared" ref="BH899:BH906" si="3050">H899+BF899-BG899</f>
        <v>21.25</v>
      </c>
      <c r="BK899" s="2" t="b">
        <f>H899='2019'!BH744</f>
        <v>1</v>
      </c>
    </row>
    <row r="900" ht="15.75" customHeight="1" hidden="1" spans="1:63" x14ac:dyDescent="0.25">
      <c r="A900" s="2">
        <v>105</v>
      </c>
      <c r="B900" s="14">
        <v>4.41</v>
      </c>
      <c r="C900" s="2" t="s">
        <v>323</v>
      </c>
      <c r="D900" s="14" t="s">
        <v>44</v>
      </c>
      <c r="E900" s="2" t="s">
        <v>45</v>
      </c>
      <c r="F900" s="41">
        <v>2.5</v>
      </c>
      <c r="G900" s="35">
        <v>2.6</v>
      </c>
      <c r="H900" s="34">
        <f>'2019'!BH745</f>
        <v>-15.12</v>
      </c>
      <c r="I900" s="13">
        <v>946</v>
      </c>
      <c r="J900" s="15">
        <f>I900-'2019'!BA745</f>
        <v>0</v>
      </c>
      <c r="K900" s="34">
        <f>J900*$F$8</f>
        <v>0</v>
      </c>
      <c r="L900" s="28"/>
      <c r="M900" s="2">
        <v>946</v>
      </c>
      <c r="N900" s="15">
        <f>M900-I900</f>
        <v>0</v>
      </c>
      <c r="O900" s="34">
        <f>N900*$F$8</f>
        <v>0</v>
      </c>
      <c r="Q900" s="13">
        <v>946</v>
      </c>
      <c r="R900" s="15">
        <f>Q900-M900</f>
        <v>0</v>
      </c>
      <c r="S900" s="34">
        <f>R900*$F$8</f>
        <v>0</v>
      </c>
      <c r="T900" s="28"/>
      <c r="U900" s="15">
        <v>946</v>
      </c>
      <c r="V900" s="15">
        <f t="shared" ref="V900:V901" si="3051">U900-Q900</f>
        <v>0</v>
      </c>
      <c r="W900" s="34">
        <f>V900*$F$8</f>
        <v>0</v>
      </c>
      <c r="Y900" s="13">
        <v>1014</v>
      </c>
      <c r="Z900" s="15">
        <f t="shared" ref="Z900:Z901" si="3052">Y900-U900</f>
        <v>68</v>
      </c>
      <c r="AA900" s="34">
        <f>Z900*$F$8</f>
        <v>170</v>
      </c>
      <c r="AB900" s="28"/>
      <c r="AC900" s="15">
        <v>1191</v>
      </c>
      <c r="AD900" s="15">
        <f t="shared" ref="AD900:AD901" si="3053">AC900-Y900</f>
        <v>177</v>
      </c>
      <c r="AE900" s="34">
        <f>AD900*$F$8</f>
        <v>442.5</v>
      </c>
      <c r="AF900" s="39">
        <v>200</v>
      </c>
      <c r="AG900" s="13">
        <v>1320</v>
      </c>
      <c r="AH900" s="15">
        <f t="shared" ref="AH900:AH901" si="3054">AG900-AC900</f>
        <v>129</v>
      </c>
      <c r="AI900" s="45">
        <f>AH900*$G$8</f>
        <v>335.4</v>
      </c>
      <c r="AJ900" s="133">
        <v>80.2</v>
      </c>
      <c r="AK900" s="13">
        <v>1437</v>
      </c>
      <c r="AL900" s="15">
        <f t="shared" ref="AL900:AL901" si="3055">AK900-AG900</f>
        <v>117</v>
      </c>
      <c r="AM900" s="45">
        <f>AL900*$G$8</f>
        <v>304.2</v>
      </c>
      <c r="AN900" s="15"/>
      <c r="AO900" s="13">
        <v>1574</v>
      </c>
      <c r="AP900" s="15">
        <f t="shared" ref="AP900:AP901" si="3056">AO900-AK900</f>
        <v>137</v>
      </c>
      <c r="AQ900" s="45">
        <f>AP900*$G$8</f>
        <v>356.2</v>
      </c>
      <c r="AR900" s="39">
        <v>957</v>
      </c>
      <c r="AS900" s="13">
        <v>1704</v>
      </c>
      <c r="AT900" s="15">
        <f t="shared" ref="AT900:AT901" si="3057">AS900-AO900</f>
        <v>130</v>
      </c>
      <c r="AU900" s="45">
        <f>AT900*$G$8</f>
        <v>338</v>
      </c>
      <c r="AV900" s="39">
        <v>356</v>
      </c>
      <c r="AW900" s="13">
        <v>1704</v>
      </c>
      <c r="AX900" s="2">
        <f t="shared" ref="AX900:AX901" si="3058">AW900-AS900</f>
        <v>0</v>
      </c>
      <c r="AY900" s="45">
        <f>AX900*$G$8</f>
        <v>0</v>
      </c>
      <c r="AZ900" s="242">
        <v>340</v>
      </c>
      <c r="BA900" s="13">
        <v>1704</v>
      </c>
      <c r="BB900" s="15">
        <f t="shared" ref="BB900:BB901" si="3059">BA900-AW900</f>
        <v>0</v>
      </c>
      <c r="BC900" s="45">
        <f>BB900*$G$8</f>
        <v>0</v>
      </c>
      <c r="BD900" s="208"/>
      <c r="BE900" s="40">
        <f t="shared" ref="BE900:BG900" si="3060">J900+N900+R900+V900+Z900+AD900+AH900+AL900+AP900+AT900+AX900+BB900</f>
        <v>758</v>
      </c>
      <c r="BF900" s="41">
        <f t="shared" si="3060"/>
        <v>1946.3</v>
      </c>
      <c r="BG900" s="34">
        <f t="shared" si="3060"/>
        <v>1933.2</v>
      </c>
      <c r="BH900" s="35">
        <f t="shared" si="3050"/>
        <v>-2.02</v>
      </c>
      <c r="BK900" s="2" t="b">
        <f>H900='2019'!BH745</f>
        <v>1</v>
      </c>
    </row>
    <row r="901" ht="15.75" customHeight="1" hidden="1" spans="1:63" x14ac:dyDescent="0.25">
      <c r="A901" s="2">
        <v>105</v>
      </c>
      <c r="B901" s="14"/>
      <c r="C901" s="2" t="s">
        <v>79</v>
      </c>
      <c r="D901" s="14" t="s">
        <v>47</v>
      </c>
      <c r="E901" s="2" t="s">
        <v>48</v>
      </c>
      <c r="F901" s="13">
        <v>18.56</v>
      </c>
      <c r="G901" s="35">
        <v>19.46</v>
      </c>
      <c r="H901" s="34">
        <f>'2019'!BH746</f>
        <v>-1.68</v>
      </c>
      <c r="I901" s="15">
        <v>177</v>
      </c>
      <c r="J901" s="15"/>
      <c r="K901" s="15"/>
      <c r="L901" s="28"/>
      <c r="M901" s="2">
        <v>177</v>
      </c>
      <c r="Q901" s="13">
        <v>177</v>
      </c>
      <c r="R901" s="15"/>
      <c r="S901" s="15"/>
      <c r="T901" s="28"/>
      <c r="U901" s="2">
        <v>180</v>
      </c>
      <c r="V901" s="2">
        <f t="shared" si="3051"/>
        <v>3</v>
      </c>
      <c r="W901" s="2">
        <f>V901*$F$10</f>
        <v>55.68</v>
      </c>
      <c r="Y901" s="13">
        <v>183</v>
      </c>
      <c r="Z901" s="15">
        <f t="shared" si="3052"/>
        <v>3</v>
      </c>
      <c r="AA901" s="34">
        <f>Z901*$F$10</f>
        <v>55.68</v>
      </c>
      <c r="AB901" s="28"/>
      <c r="AC901" s="15">
        <v>197</v>
      </c>
      <c r="AD901" s="15">
        <f t="shared" si="3053"/>
        <v>14</v>
      </c>
      <c r="AE901" s="34">
        <f>AD901*$F$10</f>
        <v>259.84</v>
      </c>
      <c r="AF901" s="39">
        <v>200</v>
      </c>
      <c r="AG901" s="13">
        <v>220</v>
      </c>
      <c r="AH901" s="15">
        <f t="shared" si="3054"/>
        <v>23</v>
      </c>
      <c r="AI901" s="45">
        <f>AH901*$G$10</f>
        <v>447.58</v>
      </c>
      <c r="AJ901" s="133">
        <v>519.8</v>
      </c>
      <c r="AK901" s="13">
        <v>224</v>
      </c>
      <c r="AL901" s="15">
        <f t="shared" si="3055"/>
        <v>4</v>
      </c>
      <c r="AM901" s="45">
        <f>AL901*$G$10</f>
        <v>77.84</v>
      </c>
      <c r="AN901" s="15"/>
      <c r="AO901" s="13">
        <v>226</v>
      </c>
      <c r="AP901" s="15">
        <f t="shared" si="3056"/>
        <v>2</v>
      </c>
      <c r="AQ901" s="45">
        <f>AP901*$G$10</f>
        <v>38.92</v>
      </c>
      <c r="AR901" s="39">
        <v>176</v>
      </c>
      <c r="AS901" s="13">
        <v>226</v>
      </c>
      <c r="AT901" s="15">
        <f t="shared" si="3057"/>
        <v>0</v>
      </c>
      <c r="AU901" s="45">
        <f>AT901*$G$10</f>
        <v>0</v>
      </c>
      <c r="AV901" s="39">
        <v>40</v>
      </c>
      <c r="AW901" s="13">
        <v>226</v>
      </c>
      <c r="AX901" s="2">
        <f t="shared" si="3058"/>
        <v>0</v>
      </c>
      <c r="AY901" s="45"/>
      <c r="AZ901" s="208"/>
      <c r="BA901" s="13">
        <v>226</v>
      </c>
      <c r="BB901" s="15">
        <f t="shared" si="3059"/>
        <v>0</v>
      </c>
      <c r="BC901" s="45"/>
      <c r="BD901" s="208"/>
      <c r="BE901" s="40">
        <f t="shared" ref="BE901:BG901" si="3061">J901+N901+R901+V901+Z901+AD901+AH901+AL901+AP901+AT901+AX901+BB901</f>
        <v>49</v>
      </c>
      <c r="BF901" s="41">
        <f t="shared" si="3061"/>
        <v>935.54</v>
      </c>
      <c r="BG901" s="34">
        <f t="shared" si="3061"/>
        <v>935.8</v>
      </c>
      <c r="BH901" s="35">
        <f t="shared" si="3050"/>
        <v>-1.94</v>
      </c>
      <c r="BK901" s="2" t="b">
        <f>H901='2019'!BH746</f>
        <v>1</v>
      </c>
    </row>
    <row r="902" ht="15.75" customHeight="1" hidden="1" spans="1:63" x14ac:dyDescent="0.25">
      <c r="A902" s="2">
        <v>105</v>
      </c>
      <c r="B902" s="14"/>
      <c r="C902" s="15" t="s">
        <v>107</v>
      </c>
      <c r="D902" s="14" t="s">
        <v>47</v>
      </c>
      <c r="E902" s="2" t="s">
        <v>49</v>
      </c>
      <c r="F902" s="41">
        <v>500</v>
      </c>
      <c r="G902" s="28"/>
      <c r="H902" s="34">
        <f>'2019'!BH747</f>
        <v>0</v>
      </c>
      <c r="I902" s="15"/>
      <c r="J902" s="15"/>
      <c r="K902" s="15"/>
      <c r="L902" s="28"/>
      <c r="Q902" s="13"/>
      <c r="R902" s="15"/>
      <c r="S902" s="15"/>
      <c r="T902" s="28"/>
      <c r="Y902" s="13"/>
      <c r="Z902" s="15"/>
      <c r="AA902" s="15"/>
      <c r="AB902" s="28"/>
      <c r="AG902" s="13"/>
      <c r="AH902" s="15"/>
      <c r="AI902" s="45"/>
      <c r="AJ902" s="15"/>
      <c r="AK902" s="13"/>
      <c r="AL902" s="15"/>
      <c r="AM902" s="45"/>
      <c r="AN902" s="15"/>
      <c r="AO902" s="13"/>
      <c r="AP902" s="15"/>
      <c r="AQ902" s="45"/>
      <c r="AR902" s="1"/>
      <c r="AS902" s="13"/>
      <c r="AT902" s="15"/>
      <c r="AU902" s="45"/>
      <c r="AV902" s="1"/>
      <c r="AW902" s="13"/>
      <c r="AY902" s="45"/>
      <c r="AZ902" s="28"/>
      <c r="BA902" s="13"/>
      <c r="BB902" s="15"/>
      <c r="BC902" s="45"/>
      <c r="BD902" s="28"/>
      <c r="BE902" s="14"/>
      <c r="BF902" s="41">
        <f t="shared" ref="BF902:BG902" si="3062">K902+O902+S902+W902+AA902+AE902+AI902+AM902+AQ902+AU902+AY902+BC902</f>
        <v>0</v>
      </c>
      <c r="BG902" s="34">
        <f t="shared" si="3062"/>
        <v>0</v>
      </c>
      <c r="BH902" s="35">
        <f t="shared" si="3050"/>
        <v>0</v>
      </c>
      <c r="BK902" s="2" t="b">
        <f>H902='2019'!BH747</f>
        <v>1</v>
      </c>
    </row>
    <row r="903" ht="15.75" customHeight="1" hidden="1" spans="1:63" x14ac:dyDescent="0.25">
      <c r="A903" s="2">
        <v>105</v>
      </c>
      <c r="B903" s="14"/>
      <c r="C903" s="15" t="s">
        <v>324</v>
      </c>
      <c r="D903" s="14" t="s">
        <v>50</v>
      </c>
      <c r="E903" s="2" t="s">
        <v>49</v>
      </c>
      <c r="F903" s="41">
        <v>1100</v>
      </c>
      <c r="G903" s="28"/>
      <c r="H903" s="182">
        <f>'2019'!BH748-0.0008</f>
        <v>0</v>
      </c>
      <c r="I903" s="15"/>
      <c r="J903" s="15"/>
      <c r="K903" s="15"/>
      <c r="L903" s="28"/>
      <c r="Q903" s="13"/>
      <c r="R903" s="15"/>
      <c r="S903" s="15"/>
      <c r="T903" s="28"/>
      <c r="Y903" s="13"/>
      <c r="Z903" s="15"/>
      <c r="AA903" s="15"/>
      <c r="AB903" s="28"/>
      <c r="AE903" s="34">
        <f>B900*$F$12</f>
        <v>4851</v>
      </c>
      <c r="AF903" s="34"/>
      <c r="AG903" s="13"/>
      <c r="AH903" s="15"/>
      <c r="AI903" s="45"/>
      <c r="AJ903" s="34"/>
      <c r="AK903" s="13"/>
      <c r="AL903" s="15"/>
      <c r="AM903" s="45"/>
      <c r="AN903" s="15"/>
      <c r="AO903" s="13"/>
      <c r="AP903" s="15"/>
      <c r="AQ903" s="45"/>
      <c r="AR903" s="39">
        <v>2500</v>
      </c>
      <c r="AS903" s="13"/>
      <c r="AT903" s="15"/>
      <c r="AU903" s="45"/>
      <c r="AV903" s="39">
        <v>2351</v>
      </c>
      <c r="AW903" s="13"/>
      <c r="AY903" s="45"/>
      <c r="AZ903" s="28"/>
      <c r="BA903" s="13"/>
      <c r="BB903" s="15"/>
      <c r="BC903" s="45"/>
      <c r="BD903" s="28"/>
      <c r="BE903" s="14"/>
      <c r="BF903" s="41">
        <f t="shared" ref="BF903:BG903" si="3063">K903+O903+S903+W903+AA903+AE903+AI903+AM903+AQ903+AU903+AY903+BC903</f>
        <v>4851</v>
      </c>
      <c r="BG903" s="34">
        <f t="shared" si="3063"/>
        <v>4851</v>
      </c>
      <c r="BH903" s="35">
        <f t="shared" si="3050"/>
        <v>0</v>
      </c>
      <c r="BK903" s="2" t="b">
        <f>H903='2019'!BH748</f>
        <v>0</v>
      </c>
    </row>
    <row r="904" ht="15.75" customHeight="1" hidden="1" spans="1:63" x14ac:dyDescent="0.25">
      <c r="A904" s="2">
        <v>105</v>
      </c>
      <c r="B904" s="14"/>
      <c r="C904" s="15" t="s">
        <v>447</v>
      </c>
      <c r="D904" s="14" t="s">
        <v>51</v>
      </c>
      <c r="E904" s="2" t="s">
        <v>39</v>
      </c>
      <c r="F904" s="41">
        <v>500</v>
      </c>
      <c r="G904" s="28"/>
      <c r="H904" s="34">
        <f>'2019'!BH749</f>
        <v>0</v>
      </c>
      <c r="I904" s="15"/>
      <c r="J904" s="15"/>
      <c r="K904" s="15"/>
      <c r="L904" s="28"/>
      <c r="Q904" s="13"/>
      <c r="R904" s="15"/>
      <c r="S904" s="15"/>
      <c r="T904" s="28"/>
      <c r="Y904" s="13"/>
      <c r="Z904" s="15"/>
      <c r="AA904" s="15"/>
      <c r="AB904" s="28"/>
      <c r="AE904" s="34"/>
      <c r="AG904" s="13"/>
      <c r="AH904" s="15"/>
      <c r="AI904" s="45"/>
      <c r="AJ904" s="15"/>
      <c r="AK904" s="13"/>
      <c r="AL904" s="15"/>
      <c r="AM904" s="45"/>
      <c r="AN904" s="15"/>
      <c r="AO904" s="13"/>
      <c r="AP904" s="15"/>
      <c r="AQ904" s="45">
        <f>$F$13</f>
        <v>500</v>
      </c>
      <c r="AR904" s="1"/>
      <c r="AS904" s="13"/>
      <c r="AT904" s="15"/>
      <c r="AU904" s="45"/>
      <c r="AV904" s="15"/>
      <c r="AW904" s="13"/>
      <c r="AY904" s="45"/>
      <c r="AZ904" s="28"/>
      <c r="BA904" s="13"/>
      <c r="BB904" s="15"/>
      <c r="BC904" s="45"/>
      <c r="BD904" s="28"/>
      <c r="BE904" s="14"/>
      <c r="BF904" s="41">
        <f t="shared" ref="BF904:BG904" si="3064">K904+O904+S904+W904+AA904+AE904+AI904+AM904+AQ904+AU904+AY904+BC904</f>
        <v>500</v>
      </c>
      <c r="BG904" s="34">
        <f t="shared" si="3064"/>
        <v>0</v>
      </c>
      <c r="BH904" s="35">
        <f t="shared" si="3050"/>
        <v>500</v>
      </c>
      <c r="BK904" s="2" t="b">
        <f>H904='2019'!BH749</f>
        <v>1</v>
      </c>
    </row>
    <row r="905" ht="15.75" customHeight="1" hidden="1" spans="1:60" x14ac:dyDescent="0.25">
      <c r="A905" s="2">
        <v>105</v>
      </c>
      <c r="B905" s="14"/>
      <c r="C905" s="15" t="s">
        <v>448</v>
      </c>
      <c r="D905" s="14" t="s">
        <v>51</v>
      </c>
      <c r="E905" s="2" t="s">
        <v>49</v>
      </c>
      <c r="F905" s="41">
        <v>500</v>
      </c>
      <c r="G905" s="28"/>
      <c r="H905" s="34"/>
      <c r="I905" s="15"/>
      <c r="J905" s="15"/>
      <c r="K905" s="15"/>
      <c r="L905" s="28"/>
      <c r="Q905" s="13"/>
      <c r="R905" s="15"/>
      <c r="S905" s="15"/>
      <c r="T905" s="28"/>
      <c r="Y905" s="13"/>
      <c r="Z905" s="15"/>
      <c r="AA905" s="15"/>
      <c r="AB905" s="28"/>
      <c r="AE905" s="34"/>
      <c r="AG905" s="13"/>
      <c r="AH905" s="15"/>
      <c r="AI905" s="45"/>
      <c r="AJ905" s="15"/>
      <c r="AK905" s="13"/>
      <c r="AL905" s="15"/>
      <c r="AM905" s="45"/>
      <c r="AN905" s="15"/>
      <c r="AO905" s="13"/>
      <c r="AP905" s="15"/>
      <c r="AQ905" s="34">
        <f>B900*$F$14</f>
        <v>2205</v>
      </c>
      <c r="AR905" s="15"/>
      <c r="AS905" s="13"/>
      <c r="AT905" s="15"/>
      <c r="AU905" s="45"/>
      <c r="AV905" s="15"/>
      <c r="AW905" s="13"/>
      <c r="AY905" s="45"/>
      <c r="AZ905" s="28"/>
      <c r="BA905" s="13"/>
      <c r="BB905" s="15"/>
      <c r="BC905" s="45"/>
      <c r="BD905" s="28"/>
      <c r="BE905" s="14"/>
      <c r="BF905" s="41">
        <f t="shared" ref="BF905:BG905" si="3065">K905+O905+S905+W905+AA905+AE905+AI905+AM905+AQ905+AU905+AY905+BC905</f>
        <v>2205</v>
      </c>
      <c r="BG905" s="34">
        <f t="shared" si="3065"/>
        <v>0</v>
      </c>
      <c r="BH905" s="35">
        <f t="shared" si="3050"/>
        <v>2205</v>
      </c>
    </row>
    <row r="906" ht="15.75" customHeight="1" hidden="1" spans="1:63" x14ac:dyDescent="0.25">
      <c r="A906" s="2">
        <v>105</v>
      </c>
      <c r="B906" s="14"/>
      <c r="C906" s="15"/>
      <c r="D906" s="14" t="s">
        <v>52</v>
      </c>
      <c r="E906" s="2" t="s">
        <v>39</v>
      </c>
      <c r="F906" s="41">
        <v>500</v>
      </c>
      <c r="G906" s="28"/>
      <c r="H906" s="34">
        <f>'2019'!BH750</f>
        <v>0</v>
      </c>
      <c r="I906" s="15"/>
      <c r="J906" s="15"/>
      <c r="K906" s="15"/>
      <c r="L906" s="28"/>
      <c r="Q906" s="13"/>
      <c r="R906" s="15"/>
      <c r="S906" s="15"/>
      <c r="T906" s="28"/>
      <c r="Y906" s="13"/>
      <c r="Z906" s="15"/>
      <c r="AA906" s="77"/>
      <c r="AB906" s="28"/>
      <c r="AG906" s="13"/>
      <c r="AH906" s="15"/>
      <c r="AI906" s="45"/>
      <c r="AJ906" s="34"/>
      <c r="AK906" s="13"/>
      <c r="AL906" s="15"/>
      <c r="AM906" s="45"/>
      <c r="AN906" s="15"/>
      <c r="AO906" s="13"/>
      <c r="AP906" s="15"/>
      <c r="AQ906" s="45"/>
      <c r="AR906" s="15"/>
      <c r="AS906" s="13"/>
      <c r="AT906" s="15"/>
      <c r="AU906" s="45"/>
      <c r="AV906" s="15"/>
      <c r="AW906" s="13"/>
      <c r="AY906" s="45"/>
      <c r="AZ906" s="35"/>
      <c r="BA906" s="13"/>
      <c r="BB906" s="15"/>
      <c r="BC906" s="45"/>
      <c r="BD906" s="35"/>
      <c r="BE906" s="14"/>
      <c r="BF906" s="41">
        <f t="shared" ref="BF906:BG906" si="3066">K906+O906+S906+W906+AA906+AE906+AI906+AM906+AQ906+AU906+AY906+BC906</f>
        <v>0</v>
      </c>
      <c r="BG906" s="34">
        <f t="shared" si="3066"/>
        <v>0</v>
      </c>
      <c r="BH906" s="35">
        <f t="shared" si="3050"/>
        <v>0</v>
      </c>
      <c r="BK906" s="2" t="b">
        <f>H906='2019'!BH750</f>
        <v>1</v>
      </c>
    </row>
    <row r="907" ht="15.75" customHeight="1" hidden="1" spans="1:63" x14ac:dyDescent="0.25">
      <c r="A907" s="247">
        <v>105</v>
      </c>
      <c r="B907" s="21"/>
      <c r="C907" s="22" t="s">
        <v>53</v>
      </c>
      <c r="D907" s="21"/>
      <c r="E907" s="22"/>
      <c r="F907" s="20"/>
      <c r="G907" s="23"/>
      <c r="H907" s="51">
        <f>SUM(H899:H906)</f>
        <v>-14.23</v>
      </c>
      <c r="I907" s="53"/>
      <c r="J907" s="53"/>
      <c r="K907" s="51">
        <f t="shared" ref="K907:L907" si="3067">SUM(K899:K906)</f>
        <v>0</v>
      </c>
      <c r="L907" s="68">
        <f t="shared" si="3067"/>
        <v>0</v>
      </c>
      <c r="M907" s="53"/>
      <c r="N907" s="53"/>
      <c r="O907" s="51">
        <f t="shared" ref="O907:P907" si="3068">SUM(O899:O906)</f>
        <v>0</v>
      </c>
      <c r="P907" s="51">
        <f t="shared" si="3068"/>
        <v>0</v>
      </c>
      <c r="Q907" s="52"/>
      <c r="R907" s="53"/>
      <c r="S907" s="51">
        <f t="shared" ref="S907:T907" si="3069">SUM(S899:S906)</f>
        <v>0</v>
      </c>
      <c r="T907" s="51">
        <f t="shared" si="3069"/>
        <v>0</v>
      </c>
      <c r="U907" s="52"/>
      <c r="V907" s="53"/>
      <c r="W907" s="51">
        <f t="shared" ref="W907:X907" si="3070">SUM(W899:W906)</f>
        <v>55.68</v>
      </c>
      <c r="X907" s="51">
        <f t="shared" si="3070"/>
        <v>0</v>
      </c>
      <c r="Y907" s="52"/>
      <c r="Z907" s="53"/>
      <c r="AA907" s="51">
        <f t="shared" ref="AA907:AB907" si="3071">SUM(AA899:AA906)</f>
        <v>225.68</v>
      </c>
      <c r="AB907" s="51">
        <f t="shared" si="3071"/>
        <v>0</v>
      </c>
      <c r="AC907" s="52"/>
      <c r="AD907" s="53"/>
      <c r="AE907" s="51">
        <f t="shared" ref="AE907:AF907" si="3072">SUM(AE899:AE906)</f>
        <v>5553.34</v>
      </c>
      <c r="AF907" s="51">
        <f t="shared" si="3072"/>
        <v>400</v>
      </c>
      <c r="AG907" s="52"/>
      <c r="AH907" s="53"/>
      <c r="AI907" s="183">
        <f t="shared" ref="AI907:AJ907" si="3073">SUM(AI899:AI906)</f>
        <v>782.98</v>
      </c>
      <c r="AJ907" s="51">
        <f t="shared" si="3073"/>
        <v>600</v>
      </c>
      <c r="AK907" s="52"/>
      <c r="AL907" s="53"/>
      <c r="AM907" s="183">
        <f t="shared" ref="AM907:AN907" si="3074">SUM(AM899:AM906)</f>
        <v>382.04</v>
      </c>
      <c r="AN907" s="51">
        <f t="shared" si="3074"/>
        <v>0</v>
      </c>
      <c r="AO907" s="52"/>
      <c r="AP907" s="53"/>
      <c r="AQ907" s="183">
        <f t="shared" ref="AQ907:AR907" si="3075">SUM(AQ899:AQ906)</f>
        <v>3112.92</v>
      </c>
      <c r="AR907" s="51">
        <f t="shared" si="3075"/>
        <v>3633</v>
      </c>
      <c r="AS907" s="52"/>
      <c r="AT907" s="53"/>
      <c r="AU907" s="183">
        <f t="shared" ref="AU907:AV907" si="3076">SUM(AU899:AU906)</f>
        <v>343.88</v>
      </c>
      <c r="AV907" s="68">
        <f t="shared" si="3076"/>
        <v>2747</v>
      </c>
      <c r="AW907" s="52"/>
      <c r="AX907" s="53"/>
      <c r="AY907" s="183">
        <f t="shared" ref="AY907:AZ907" si="3077">SUM(AY899:AY906)</f>
        <v>0</v>
      </c>
      <c r="AZ907" s="68">
        <f t="shared" si="3077"/>
        <v>340</v>
      </c>
      <c r="BA907" s="52"/>
      <c r="BB907" s="53"/>
      <c r="BC907" s="183">
        <f t="shared" ref="BC907:BD907" si="3078">SUM(BC899:BC906)</f>
        <v>0</v>
      </c>
      <c r="BD907" s="68">
        <f t="shared" si="3078"/>
        <v>0</v>
      </c>
      <c r="BE907" s="69"/>
      <c r="BF907" s="70">
        <f t="shared" ref="BF907:BH907" si="3079">SUM(BF899:BF906)</f>
        <v>10456.52</v>
      </c>
      <c r="BG907" s="71">
        <f t="shared" si="3079"/>
        <v>7720</v>
      </c>
      <c r="BH907" s="72">
        <f t="shared" si="3079"/>
        <v>2722.29</v>
      </c>
      <c r="BI907" s="34">
        <f>H907+BF907-BG907</f>
        <v>2722.29</v>
      </c>
      <c r="BJ907" s="34">
        <f>BH907-BI907</f>
        <v>0</v>
      </c>
      <c r="BK907" s="2" t="b">
        <f>H907='2019'!BH751</f>
        <v>0</v>
      </c>
    </row>
    <row r="908" ht="15.75" customHeight="1" hidden="1" spans="1:63" x14ac:dyDescent="0.25">
      <c r="A908" s="2">
        <v>107</v>
      </c>
      <c r="B908" s="14"/>
      <c r="D908" s="14" t="s">
        <v>379</v>
      </c>
      <c r="F908" s="13"/>
      <c r="G908" s="28"/>
      <c r="H908" s="34">
        <f>'2019'!BH752</f>
        <v>0</v>
      </c>
      <c r="J908" s="15"/>
      <c r="K908" s="15"/>
      <c r="L908" s="28"/>
      <c r="Q908" s="13"/>
      <c r="R908" s="15"/>
      <c r="S908" s="15"/>
      <c r="T908" s="28"/>
      <c r="Y908" s="13"/>
      <c r="Z908" s="15"/>
      <c r="AA908" s="15"/>
      <c r="AB908" s="28"/>
      <c r="AG908" s="13"/>
      <c r="AH908" s="15"/>
      <c r="AI908" s="45"/>
      <c r="AJ908" s="15"/>
      <c r="AK908" s="13"/>
      <c r="AM908" s="45"/>
      <c r="AO908" s="13"/>
      <c r="AQ908" s="45"/>
      <c r="AS908" s="13"/>
      <c r="AU908" s="45"/>
      <c r="AW908" s="13"/>
      <c r="AY908" s="45"/>
      <c r="AZ908" s="28"/>
      <c r="BA908" s="13"/>
      <c r="BB908" s="15"/>
      <c r="BC908" s="45"/>
      <c r="BD908" s="28"/>
      <c r="BE908" s="14"/>
      <c r="BF908" s="41">
        <f t="shared" ref="BF908:BG908" si="3080">K908+O908+S908+W908+AA908+AE908+AI908+AM908+AQ908+AU908+AY908+BC908</f>
        <v>0</v>
      </c>
      <c r="BG908" s="34">
        <f t="shared" si="3080"/>
        <v>0</v>
      </c>
      <c r="BH908" s="35">
        <f t="shared" ref="BH908:BH915" si="3081">H908+BF908-BG908</f>
        <v>0</v>
      </c>
      <c r="BK908" s="2" t="b">
        <f>H908='2019'!BH752</f>
        <v>1</v>
      </c>
    </row>
    <row r="909" ht="15.75" customHeight="1" hidden="1" spans="1:63" x14ac:dyDescent="0.25">
      <c r="A909" s="2">
        <v>107</v>
      </c>
      <c r="B909" s="14">
        <v>4.37</v>
      </c>
      <c r="C909" s="2" t="s">
        <v>325</v>
      </c>
      <c r="D909" s="14" t="s">
        <v>44</v>
      </c>
      <c r="E909" s="2" t="s">
        <v>45</v>
      </c>
      <c r="F909" s="41">
        <v>2.5</v>
      </c>
      <c r="G909" s="35">
        <v>2.6</v>
      </c>
      <c r="H909" s="34">
        <f>'2019'!BH753</f>
        <v>-22.49</v>
      </c>
      <c r="I909" s="13">
        <v>118</v>
      </c>
      <c r="J909" s="15"/>
      <c r="K909" s="34">
        <f>J909*$F$8</f>
        <v>0</v>
      </c>
      <c r="L909" s="28"/>
      <c r="M909" s="2">
        <v>118</v>
      </c>
      <c r="N909" s="15">
        <f>M909-I909</f>
        <v>0</v>
      </c>
      <c r="O909" s="34">
        <f>N909*$F$8</f>
        <v>0</v>
      </c>
      <c r="Q909" s="13">
        <v>118</v>
      </c>
      <c r="R909" s="15">
        <f>Q909-M909</f>
        <v>0</v>
      </c>
      <c r="S909" s="34">
        <f>R909*$F$8</f>
        <v>0</v>
      </c>
      <c r="T909" s="28"/>
      <c r="U909" s="2">
        <v>120</v>
      </c>
      <c r="V909" s="15">
        <f t="shared" ref="V909:V910" si="3082">U909-Q909</f>
        <v>2</v>
      </c>
      <c r="W909" s="34">
        <f>V909*$F$8</f>
        <v>5</v>
      </c>
      <c r="Y909" s="13">
        <v>155</v>
      </c>
      <c r="Z909" s="15">
        <f t="shared" ref="Z909:Z910" si="3083">Y909-U909</f>
        <v>35</v>
      </c>
      <c r="AA909" s="34">
        <f>Z909*$F$8</f>
        <v>87.5</v>
      </c>
      <c r="AB909" s="28"/>
      <c r="AC909" s="15">
        <v>203</v>
      </c>
      <c r="AD909" s="15">
        <f t="shared" ref="AD909:AD910" si="3084">AC909-Y909</f>
        <v>48</v>
      </c>
      <c r="AE909" s="34">
        <f>AD909*$F$8</f>
        <v>120</v>
      </c>
      <c r="AF909" s="138">
        <f>70.01+0.27</f>
        <v>70.28</v>
      </c>
      <c r="AG909" s="13">
        <v>229</v>
      </c>
      <c r="AH909" s="15">
        <f t="shared" ref="AH909:AH910" si="3085">AG909-AC909</f>
        <v>26</v>
      </c>
      <c r="AI909" s="45">
        <f>AH909*$G$8</f>
        <v>67.6</v>
      </c>
      <c r="AJ909" s="180"/>
      <c r="AK909" s="13">
        <v>281</v>
      </c>
      <c r="AL909" s="15">
        <f t="shared" ref="AL909:AL910" si="3086">AK909-AG909</f>
        <v>52</v>
      </c>
      <c r="AM909" s="45">
        <f>AL909*$G$8</f>
        <v>135.2</v>
      </c>
      <c r="AN909" s="138">
        <f>265.33+87</f>
        <v>352.33</v>
      </c>
      <c r="AO909" s="13">
        <v>295</v>
      </c>
      <c r="AP909" s="15">
        <f t="shared" ref="AP909:AP910" si="3087">AO909-AK909</f>
        <v>14</v>
      </c>
      <c r="AQ909" s="45">
        <f>AP909*$G$8</f>
        <v>36.4</v>
      </c>
      <c r="AR909" s="15"/>
      <c r="AS909" s="13">
        <v>295</v>
      </c>
      <c r="AT909" s="15">
        <f t="shared" ref="AT909:AT910" si="3088">AS909-AO909</f>
        <v>0</v>
      </c>
      <c r="AU909" s="45">
        <f t="shared" ref="AU909:AU910" si="3089">AT909*$G$8</f>
        <v>0</v>
      </c>
      <c r="AV909" s="15"/>
      <c r="AW909" s="13">
        <v>295</v>
      </c>
      <c r="AX909" s="2">
        <f t="shared" ref="AX909:AX910" si="3090">AW909-AS909</f>
        <v>0</v>
      </c>
      <c r="AY909" s="45">
        <f>AX909*$G$8</f>
        <v>0</v>
      </c>
      <c r="AZ909" s="208"/>
      <c r="BA909" s="13">
        <v>295</v>
      </c>
      <c r="BB909" s="15">
        <f t="shared" ref="BB909:BB910" si="3091">BA909-AW909</f>
        <v>0</v>
      </c>
      <c r="BC909" s="45">
        <f>BB909*$G$8</f>
        <v>0</v>
      </c>
      <c r="BD909" s="208"/>
      <c r="BE909" s="40">
        <f t="shared" ref="BE909:BG909" si="3092">J909+N909+R909+V909+Z909+AD909+AH909+AL909+AP909+AT909+AX909+BB909</f>
        <v>177</v>
      </c>
      <c r="BF909" s="41">
        <f t="shared" si="3092"/>
        <v>451.7</v>
      </c>
      <c r="BG909" s="34">
        <f t="shared" si="3092"/>
        <v>422.61</v>
      </c>
      <c r="BH909" s="35">
        <f t="shared" si="3081"/>
        <v>6.6</v>
      </c>
      <c r="BK909" s="2" t="b">
        <f>H909='2019'!BH753</f>
        <v>1</v>
      </c>
    </row>
    <row r="910" ht="15.75" customHeight="1" hidden="1" spans="1:63" x14ac:dyDescent="0.25">
      <c r="A910" s="2">
        <v>107</v>
      </c>
      <c r="B910" s="14"/>
      <c r="C910" s="2" t="s">
        <v>71</v>
      </c>
      <c r="D910" s="14" t="s">
        <v>47</v>
      </c>
      <c r="E910" s="2" t="s">
        <v>48</v>
      </c>
      <c r="F910" s="13">
        <v>18.56</v>
      </c>
      <c r="G910" s="35">
        <v>19.46</v>
      </c>
      <c r="H910" s="34">
        <f>'2019'!BH754</f>
        <v>37.12</v>
      </c>
      <c r="I910" s="15">
        <v>99</v>
      </c>
      <c r="J910" s="15"/>
      <c r="K910" s="15"/>
      <c r="L910" s="28"/>
      <c r="M910" s="2">
        <v>99</v>
      </c>
      <c r="Q910" s="13">
        <v>99</v>
      </c>
      <c r="R910" s="15"/>
      <c r="S910" s="15"/>
      <c r="T910" s="28"/>
      <c r="U910" s="2">
        <v>103</v>
      </c>
      <c r="V910" s="2">
        <f t="shared" si="3082"/>
        <v>4</v>
      </c>
      <c r="W910" s="2">
        <f>V910*$F$10</f>
        <v>74.24</v>
      </c>
      <c r="Y910" s="13">
        <v>105</v>
      </c>
      <c r="Z910" s="15">
        <f t="shared" si="3083"/>
        <v>2</v>
      </c>
      <c r="AA910" s="34">
        <f>Z910*$F$10</f>
        <v>37.12</v>
      </c>
      <c r="AB910" s="28"/>
      <c r="AC910" s="15">
        <v>109</v>
      </c>
      <c r="AD910" s="15">
        <f t="shared" si="3084"/>
        <v>4</v>
      </c>
      <c r="AE910" s="34">
        <f>AD910*$F$10</f>
        <v>74.24</v>
      </c>
      <c r="AF910" s="138">
        <v>222.72</v>
      </c>
      <c r="AG910" s="13">
        <v>127</v>
      </c>
      <c r="AH910" s="15">
        <f t="shared" si="3085"/>
        <v>18</v>
      </c>
      <c r="AI910" s="45">
        <f>AH910*$G$10</f>
        <v>350.28</v>
      </c>
      <c r="AJ910" s="180"/>
      <c r="AK910" s="13">
        <v>132</v>
      </c>
      <c r="AL910" s="15">
        <f t="shared" si="3086"/>
        <v>5</v>
      </c>
      <c r="AM910" s="45">
        <f>AL910*$G$10</f>
        <v>97.3</v>
      </c>
      <c r="AN910" s="138">
        <f>447.58+200.09</f>
        <v>647.67</v>
      </c>
      <c r="AO910" s="13">
        <v>132</v>
      </c>
      <c r="AP910" s="15">
        <f t="shared" si="3087"/>
        <v>0</v>
      </c>
      <c r="AQ910" s="45">
        <f>AP910*$G$10</f>
        <v>0</v>
      </c>
      <c r="AR910" s="15"/>
      <c r="AS910" s="13">
        <v>133</v>
      </c>
      <c r="AT910" s="15">
        <f t="shared" si="3088"/>
        <v>1</v>
      </c>
      <c r="AU910" s="45">
        <f t="shared" si="3089"/>
        <v>2.6</v>
      </c>
      <c r="AV910" s="15"/>
      <c r="AW910" s="13">
        <v>133</v>
      </c>
      <c r="AX910" s="2">
        <f t="shared" si="3090"/>
        <v>0</v>
      </c>
      <c r="AY910" s="45"/>
      <c r="AZ910" s="208"/>
      <c r="BA910" s="13">
        <v>133</v>
      </c>
      <c r="BB910" s="15">
        <f t="shared" si="3091"/>
        <v>0</v>
      </c>
      <c r="BC910" s="45"/>
      <c r="BD910" s="208"/>
      <c r="BE910" s="40">
        <f t="shared" ref="BE910:BG910" si="3093">J910+N910+R910+V910+Z910+AD910+AH910+AL910+AP910+AT910+AX910+BB910</f>
        <v>34</v>
      </c>
      <c r="BF910" s="41">
        <f t="shared" si="3093"/>
        <v>635.78</v>
      </c>
      <c r="BG910" s="34">
        <f t="shared" si="3093"/>
        <v>870.39</v>
      </c>
      <c r="BH910" s="35">
        <f t="shared" si="3081"/>
        <v>-197.49</v>
      </c>
      <c r="BK910" s="2" t="b">
        <f>H910='2019'!BH754</f>
        <v>1</v>
      </c>
    </row>
    <row r="911" ht="15.75" customHeight="1" hidden="1" spans="1:63" x14ac:dyDescent="0.25">
      <c r="A911" s="2">
        <v>107</v>
      </c>
      <c r="B911" s="14"/>
      <c r="C911" s="2" t="s">
        <v>107</v>
      </c>
      <c r="D911" s="14" t="s">
        <v>47</v>
      </c>
      <c r="E911" s="2" t="s">
        <v>49</v>
      </c>
      <c r="F911" s="41">
        <v>500</v>
      </c>
      <c r="G911" s="28"/>
      <c r="H911" s="34">
        <f>'2019'!BH755</f>
        <v>0</v>
      </c>
      <c r="I911" s="15"/>
      <c r="J911" s="15"/>
      <c r="K911" s="15"/>
      <c r="L911" s="28"/>
      <c r="Q911" s="13"/>
      <c r="R911" s="15"/>
      <c r="S911" s="15"/>
      <c r="T911" s="28"/>
      <c r="Y911" s="13"/>
      <c r="Z911" s="15"/>
      <c r="AA911" s="15"/>
      <c r="AB911" s="28"/>
      <c r="AG911" s="13"/>
      <c r="AH911" s="15"/>
      <c r="AI911" s="45"/>
      <c r="AJ911" s="34"/>
      <c r="AK911" s="13"/>
      <c r="AL911" s="15"/>
      <c r="AM911" s="45"/>
      <c r="AN911" s="15"/>
      <c r="AO911" s="13"/>
      <c r="AP911" s="15"/>
      <c r="AQ911" s="45"/>
      <c r="AR911" s="15"/>
      <c r="AS911" s="13"/>
      <c r="AT911" s="15"/>
      <c r="AU911" s="45"/>
      <c r="AV911" s="15"/>
      <c r="AW911" s="13"/>
      <c r="AY911" s="45"/>
      <c r="AZ911" s="28"/>
      <c r="BA911" s="13"/>
      <c r="BB911" s="15"/>
      <c r="BC911" s="45"/>
      <c r="BD911" s="28"/>
      <c r="BE911" s="14"/>
      <c r="BF911" s="41">
        <f t="shared" ref="BF911:BG911" si="3094">K911+O911+S911+W911+AA911+AE911+AI911+AM911+AQ911+AU911+AY911+BC911</f>
        <v>0</v>
      </c>
      <c r="BG911" s="34">
        <f t="shared" si="3094"/>
        <v>0</v>
      </c>
      <c r="BH911" s="35">
        <f t="shared" si="3081"/>
        <v>0</v>
      </c>
      <c r="BK911" s="2" t="b">
        <f>H911='2019'!BH755</f>
        <v>1</v>
      </c>
    </row>
    <row r="912" ht="15.75" customHeight="1" hidden="1" spans="1:63" x14ac:dyDescent="0.25">
      <c r="A912" s="2">
        <v>107</v>
      </c>
      <c r="B912" s="14"/>
      <c r="C912" s="2" t="s">
        <v>449</v>
      </c>
      <c r="D912" s="14" t="s">
        <v>50</v>
      </c>
      <c r="E912" s="2" t="s">
        <v>49</v>
      </c>
      <c r="F912" s="41">
        <v>1100</v>
      </c>
      <c r="G912" s="28"/>
      <c r="H912" s="182">
        <f>'2019'!BH756+0.0044</f>
        <v>0</v>
      </c>
      <c r="I912" s="15"/>
      <c r="J912" s="15"/>
      <c r="K912" s="15"/>
      <c r="L912" s="28"/>
      <c r="Q912" s="13"/>
      <c r="R912" s="15"/>
      <c r="S912" s="15"/>
      <c r="T912" s="28"/>
      <c r="Y912" s="13"/>
      <c r="Z912" s="15"/>
      <c r="AA912" s="15"/>
      <c r="AB912" s="28"/>
      <c r="AE912" s="34">
        <f>B909*$F$12</f>
        <v>4807</v>
      </c>
      <c r="AF912" s="133">
        <v>4807</v>
      </c>
      <c r="AG912" s="13"/>
      <c r="AH912" s="15"/>
      <c r="AI912" s="45"/>
      <c r="AJ912" s="180"/>
      <c r="AK912" s="13"/>
      <c r="AL912" s="15"/>
      <c r="AM912" s="45"/>
      <c r="AN912" s="15"/>
      <c r="AO912" s="13"/>
      <c r="AP912" s="15"/>
      <c r="AQ912" s="45"/>
      <c r="AR912" s="15"/>
      <c r="AS912" s="13"/>
      <c r="AT912" s="15"/>
      <c r="AU912" s="45"/>
      <c r="AV912" s="15"/>
      <c r="AW912" s="13"/>
      <c r="AY912" s="45"/>
      <c r="AZ912" s="28"/>
      <c r="BA912" s="13"/>
      <c r="BB912" s="15"/>
      <c r="BC912" s="45"/>
      <c r="BD912" s="28"/>
      <c r="BE912" s="14"/>
      <c r="BF912" s="41">
        <f t="shared" ref="BF912:BG912" si="3095">K912+O912+S912+W912+AA912+AE912+AI912+AM912+AQ912+AU912+AY912+BC912</f>
        <v>4807</v>
      </c>
      <c r="BG912" s="34">
        <f t="shared" si="3095"/>
        <v>4807</v>
      </c>
      <c r="BH912" s="35">
        <f t="shared" si="3081"/>
        <v>0</v>
      </c>
      <c r="BK912" s="2" t="b">
        <f>H912='2019'!BH756</f>
        <v>0</v>
      </c>
    </row>
    <row r="913" ht="15.75" customHeight="1" hidden="1" spans="1:63" x14ac:dyDescent="0.25">
      <c r="A913" s="2">
        <v>107</v>
      </c>
      <c r="B913" s="14"/>
      <c r="D913" s="14" t="s">
        <v>51</v>
      </c>
      <c r="E913" s="2" t="s">
        <v>39</v>
      </c>
      <c r="F913" s="41">
        <v>500</v>
      </c>
      <c r="G913" s="28"/>
      <c r="H913" s="34">
        <f>'2019'!BH757</f>
        <v>0</v>
      </c>
      <c r="I913" s="15"/>
      <c r="J913" s="15"/>
      <c r="K913" s="15"/>
      <c r="L913" s="28"/>
      <c r="Q913" s="13"/>
      <c r="R913" s="15"/>
      <c r="S913" s="15"/>
      <c r="T913" s="28"/>
      <c r="Y913" s="13"/>
      <c r="Z913" s="15"/>
      <c r="AA913" s="15"/>
      <c r="AB913" s="28"/>
      <c r="AE913" s="34"/>
      <c r="AG913" s="13"/>
      <c r="AH913" s="15"/>
      <c r="AI913" s="45"/>
      <c r="AJ913" s="180"/>
      <c r="AK913" s="13"/>
      <c r="AL913" s="15"/>
      <c r="AM913" s="45"/>
      <c r="AN913" s="15"/>
      <c r="AO913" s="13"/>
      <c r="AP913" s="15"/>
      <c r="AQ913" s="45">
        <f>$F$13</f>
        <v>500</v>
      </c>
      <c r="AR913" s="15"/>
      <c r="AS913" s="13"/>
      <c r="AT913" s="15"/>
      <c r="AU913" s="45"/>
      <c r="AV913" s="15"/>
      <c r="AW913" s="13"/>
      <c r="AY913" s="45"/>
      <c r="AZ913" s="28"/>
      <c r="BA913" s="13"/>
      <c r="BB913" s="15"/>
      <c r="BC913" s="45"/>
      <c r="BD913" s="28"/>
      <c r="BE913" s="14"/>
      <c r="BF913" s="41">
        <f t="shared" ref="BF913:BG913" si="3096">K913+O913+S913+W913+AA913+AE913+AI913+AM913+AQ913+AU913+AY913+BC913</f>
        <v>500</v>
      </c>
      <c r="BG913" s="34">
        <f t="shared" si="3096"/>
        <v>0</v>
      </c>
      <c r="BH913" s="35">
        <f t="shared" si="3081"/>
        <v>500</v>
      </c>
      <c r="BK913" s="2" t="b">
        <f>H913='2019'!BH757</f>
        <v>1</v>
      </c>
    </row>
    <row r="914" ht="15.75" customHeight="1" hidden="1" spans="1:60" x14ac:dyDescent="0.25">
      <c r="A914" s="2">
        <v>107</v>
      </c>
      <c r="B914" s="14"/>
      <c r="D914" s="14" t="s">
        <v>51</v>
      </c>
      <c r="E914" s="2" t="s">
        <v>49</v>
      </c>
      <c r="F914" s="41">
        <v>500</v>
      </c>
      <c r="G914" s="28"/>
      <c r="H914" s="34"/>
      <c r="I914" s="15"/>
      <c r="J914" s="15"/>
      <c r="K914" s="15"/>
      <c r="L914" s="28"/>
      <c r="Q914" s="13"/>
      <c r="R914" s="15"/>
      <c r="S914" s="15"/>
      <c r="T914" s="28"/>
      <c r="Y914" s="13"/>
      <c r="Z914" s="15"/>
      <c r="AA914" s="15"/>
      <c r="AB914" s="28"/>
      <c r="AE914" s="34"/>
      <c r="AG914" s="13"/>
      <c r="AH914" s="15"/>
      <c r="AI914" s="45"/>
      <c r="AJ914" s="180"/>
      <c r="AK914" s="13"/>
      <c r="AL914" s="15"/>
      <c r="AM914" s="45"/>
      <c r="AN914" s="15"/>
      <c r="AO914" s="13"/>
      <c r="AP914" s="15"/>
      <c r="AQ914" s="34">
        <f>B909*$F$14</f>
        <v>2185</v>
      </c>
      <c r="AR914" s="15"/>
      <c r="AS914" s="13"/>
      <c r="AT914" s="15"/>
      <c r="AU914" s="45"/>
      <c r="AV914" s="15"/>
      <c r="AW914" s="13"/>
      <c r="AY914" s="45"/>
      <c r="AZ914" s="28"/>
      <c r="BA914" s="13"/>
      <c r="BB914" s="15"/>
      <c r="BC914" s="45"/>
      <c r="BD914" s="28"/>
      <c r="BE914" s="14"/>
      <c r="BF914" s="41">
        <f t="shared" ref="BF914:BG914" si="3097">K914+O914+S914+W914+AA914+AE914+AI914+AM914+AQ914+AU914+AY914+BC914</f>
        <v>2185</v>
      </c>
      <c r="BG914" s="34">
        <f t="shared" si="3097"/>
        <v>0</v>
      </c>
      <c r="BH914" s="35">
        <f t="shared" si="3081"/>
        <v>2185</v>
      </c>
    </row>
    <row r="915" ht="15.75" customHeight="1" hidden="1" spans="1:63" x14ac:dyDescent="0.25">
      <c r="A915" s="2">
        <v>107</v>
      </c>
      <c r="B915" s="14"/>
      <c r="D915" s="14" t="s">
        <v>52</v>
      </c>
      <c r="E915" s="2" t="s">
        <v>39</v>
      </c>
      <c r="F915" s="41">
        <v>500</v>
      </c>
      <c r="G915" s="28"/>
      <c r="H915" s="34">
        <f>'2019'!BH758</f>
        <v>0</v>
      </c>
      <c r="I915" s="15"/>
      <c r="J915" s="15"/>
      <c r="K915" s="15"/>
      <c r="L915" s="28"/>
      <c r="Q915" s="13"/>
      <c r="R915" s="15"/>
      <c r="S915" s="15"/>
      <c r="T915" s="28"/>
      <c r="Y915" s="13"/>
      <c r="Z915" s="15"/>
      <c r="AA915" s="34">
        <f>$F$11</f>
        <v>500</v>
      </c>
      <c r="AB915" s="28"/>
      <c r="AF915" s="133">
        <v>500</v>
      </c>
      <c r="AG915" s="13"/>
      <c r="AH915" s="15"/>
      <c r="AI915" s="45"/>
      <c r="AJ915" s="180"/>
      <c r="AK915" s="13"/>
      <c r="AL915" s="15"/>
      <c r="AM915" s="45"/>
      <c r="AN915" s="15"/>
      <c r="AO915" s="13"/>
      <c r="AP915" s="15"/>
      <c r="AQ915" s="45"/>
      <c r="AR915" s="15"/>
      <c r="AS915" s="13"/>
      <c r="AT915" s="15"/>
      <c r="AU915" s="45"/>
      <c r="AV915" s="15"/>
      <c r="AW915" s="13"/>
      <c r="AY915" s="45"/>
      <c r="AZ915" s="35"/>
      <c r="BA915" s="13"/>
      <c r="BB915" s="15"/>
      <c r="BC915" s="45"/>
      <c r="BD915" s="35"/>
      <c r="BE915" s="14"/>
      <c r="BF915" s="41">
        <f t="shared" ref="BF915:BG915" si="3098">K915+O915+S915+W915+AA915+AE915+AI915+AM915+AQ915+AU915+AY915+BC915</f>
        <v>500</v>
      </c>
      <c r="BG915" s="34">
        <f t="shared" si="3098"/>
        <v>500</v>
      </c>
      <c r="BH915" s="35">
        <f t="shared" si="3081"/>
        <v>0</v>
      </c>
      <c r="BK915" s="2" t="b">
        <f>H915='2019'!BH758</f>
        <v>1</v>
      </c>
    </row>
    <row r="916" ht="15.75" customHeight="1" hidden="1" spans="1:63" x14ac:dyDescent="0.25">
      <c r="A916" s="244" t="s">
        <v>327</v>
      </c>
      <c r="B916" s="21"/>
      <c r="C916" s="22" t="s">
        <v>53</v>
      </c>
      <c r="D916" s="21"/>
      <c r="E916" s="22"/>
      <c r="F916" s="20"/>
      <c r="G916" s="23"/>
      <c r="H916" s="51">
        <f>SUM(H908:H915)</f>
        <v>14.63</v>
      </c>
      <c r="I916" s="53"/>
      <c r="J916" s="53"/>
      <c r="K916" s="51">
        <f t="shared" ref="K916:L916" si="3099">SUM(K908:K915)</f>
        <v>0</v>
      </c>
      <c r="L916" s="68">
        <f t="shared" si="3099"/>
        <v>0</v>
      </c>
      <c r="M916" s="53"/>
      <c r="N916" s="53"/>
      <c r="O916" s="51">
        <f t="shared" ref="O916:P916" si="3100">SUM(O908:O915)</f>
        <v>0</v>
      </c>
      <c r="P916" s="51">
        <f t="shared" si="3100"/>
        <v>0</v>
      </c>
      <c r="Q916" s="52"/>
      <c r="R916" s="53"/>
      <c r="S916" s="51">
        <f t="shared" ref="S916:T916" si="3101">SUM(S908:S915)</f>
        <v>0</v>
      </c>
      <c r="T916" s="51">
        <f t="shared" si="3101"/>
        <v>0</v>
      </c>
      <c r="U916" s="52"/>
      <c r="V916" s="53"/>
      <c r="W916" s="51">
        <f t="shared" ref="W916:X916" si="3102">SUM(W908:W915)</f>
        <v>79.24</v>
      </c>
      <c r="X916" s="51">
        <f t="shared" si="3102"/>
        <v>0</v>
      </c>
      <c r="Y916" s="52"/>
      <c r="Z916" s="53"/>
      <c r="AA916" s="51">
        <f t="shared" ref="AA916:AB916" si="3103">SUM(AA908:AA915)</f>
        <v>624.62</v>
      </c>
      <c r="AB916" s="51">
        <f t="shared" si="3103"/>
        <v>0</v>
      </c>
      <c r="AC916" s="52"/>
      <c r="AD916" s="53"/>
      <c r="AE916" s="51">
        <f t="shared" ref="AE916:AF916" si="3104">SUM(AE908:AE915)</f>
        <v>5001.24</v>
      </c>
      <c r="AF916" s="51">
        <f t="shared" si="3104"/>
        <v>5600</v>
      </c>
      <c r="AG916" s="52"/>
      <c r="AH916" s="53"/>
      <c r="AI916" s="183">
        <f t="shared" ref="AI916:AJ916" si="3105">SUM(AI908:AI915)</f>
        <v>417.88</v>
      </c>
      <c r="AJ916" s="51">
        <f t="shared" si="3105"/>
        <v>0</v>
      </c>
      <c r="AK916" s="52"/>
      <c r="AL916" s="53"/>
      <c r="AM916" s="183">
        <f t="shared" ref="AM916:AN916" si="3106">SUM(AM908:AM915)</f>
        <v>232.5</v>
      </c>
      <c r="AN916" s="51">
        <f t="shared" si="3106"/>
        <v>1000</v>
      </c>
      <c r="AO916" s="52"/>
      <c r="AP916" s="53"/>
      <c r="AQ916" s="183">
        <f t="shared" ref="AQ916:AR916" si="3107">SUM(AQ908:AQ915)</f>
        <v>2721.4</v>
      </c>
      <c r="AR916" s="51">
        <f t="shared" si="3107"/>
        <v>0</v>
      </c>
      <c r="AS916" s="52"/>
      <c r="AT916" s="53"/>
      <c r="AU916" s="183">
        <f t="shared" ref="AU916:AV916" si="3108">SUM(AU908:AU915)</f>
        <v>2.6</v>
      </c>
      <c r="AV916" s="68">
        <f t="shared" si="3108"/>
        <v>0</v>
      </c>
      <c r="AW916" s="52"/>
      <c r="AX916" s="53"/>
      <c r="AY916" s="183">
        <f t="shared" ref="AY916:AZ916" si="3109">SUM(AY908:AY915)</f>
        <v>0</v>
      </c>
      <c r="AZ916" s="68">
        <f t="shared" si="3109"/>
        <v>0</v>
      </c>
      <c r="BA916" s="52"/>
      <c r="BB916" s="53"/>
      <c r="BC916" s="183">
        <f t="shared" ref="BC916:BD916" si="3110">SUM(BC908:BC915)</f>
        <v>0</v>
      </c>
      <c r="BD916" s="68">
        <f t="shared" si="3110"/>
        <v>0</v>
      </c>
      <c r="BE916" s="69"/>
      <c r="BF916" s="70">
        <f t="shared" ref="BF916:BH916" si="3111">SUM(BF908:BF915)</f>
        <v>9079.48</v>
      </c>
      <c r="BG916" s="71">
        <f t="shared" si="3111"/>
        <v>6600</v>
      </c>
      <c r="BH916" s="72">
        <f t="shared" si="3111"/>
        <v>2494.11</v>
      </c>
      <c r="BI916" s="34">
        <f>H916+BF916-BG916</f>
        <v>2494.11</v>
      </c>
      <c r="BJ916" s="34">
        <f>BH916-BI916</f>
        <v>0</v>
      </c>
      <c r="BK916" s="2" t="b">
        <f>H916='2019'!BH759</f>
        <v>0</v>
      </c>
    </row>
    <row r="917" ht="15.75" customHeight="1" hidden="1" spans="1:63" x14ac:dyDescent="0.25">
      <c r="A917" s="2">
        <v>96</v>
      </c>
      <c r="B917" s="14"/>
      <c r="D917" s="14" t="s">
        <v>379</v>
      </c>
      <c r="F917" s="13"/>
      <c r="G917" s="28"/>
      <c r="H917" s="34">
        <f>'2019'!BH760</f>
        <v>0</v>
      </c>
      <c r="J917" s="15"/>
      <c r="K917" s="15"/>
      <c r="L917" s="28"/>
      <c r="Q917" s="13"/>
      <c r="R917" s="15"/>
      <c r="S917" s="15"/>
      <c r="T917" s="28"/>
      <c r="Y917" s="13"/>
      <c r="Z917" s="15"/>
      <c r="AA917" s="15"/>
      <c r="AB917" s="28"/>
      <c r="AG917" s="13"/>
      <c r="AH917" s="15"/>
      <c r="AI917" s="45"/>
      <c r="AJ917" s="15"/>
      <c r="AK917" s="13"/>
      <c r="AM917" s="45"/>
      <c r="AO917" s="13"/>
      <c r="AQ917" s="45">
        <v>14.31</v>
      </c>
      <c r="AS917" s="13"/>
      <c r="AU917" s="45">
        <v>14.79</v>
      </c>
      <c r="AW917" s="13"/>
      <c r="AY917" s="45">
        <v>14.31</v>
      </c>
      <c r="AZ917" s="28"/>
      <c r="BA917" s="13"/>
      <c r="BB917" s="15"/>
      <c r="BC917" s="45">
        <v>7.06</v>
      </c>
      <c r="BD917" s="28"/>
      <c r="BE917" s="14"/>
      <c r="BF917" s="41">
        <f t="shared" ref="BF917:BG917" si="3112">K917+O917+S917+W917+AA917+AE917+AI917+AM917+AQ917+AU917+AY917+BC917</f>
        <v>50.47</v>
      </c>
      <c r="BG917" s="34">
        <f t="shared" si="3112"/>
        <v>0</v>
      </c>
      <c r="BH917" s="35">
        <f t="shared" ref="BH917:BH924" si="3113">H917+BF917-BG917</f>
        <v>50.47</v>
      </c>
      <c r="BK917" s="2" t="b">
        <f>H917='2019'!BH760</f>
        <v>1</v>
      </c>
    </row>
    <row r="918" ht="15.75" customHeight="1" hidden="1" spans="1:63" x14ac:dyDescent="0.25">
      <c r="A918" s="2">
        <v>96</v>
      </c>
      <c r="B918" s="14">
        <v>4.46</v>
      </c>
      <c r="C918" s="2" t="s">
        <v>450</v>
      </c>
      <c r="D918" s="14" t="s">
        <v>44</v>
      </c>
      <c r="E918" s="2" t="s">
        <v>45</v>
      </c>
      <c r="F918" s="41">
        <v>2.5</v>
      </c>
      <c r="G918" s="35">
        <v>2.6</v>
      </c>
      <c r="H918" s="104">
        <f>'2019'!BH761</f>
        <v>0</v>
      </c>
      <c r="I918" s="15"/>
      <c r="J918" s="15"/>
      <c r="K918" s="34">
        <f>J918*$F$8</f>
        <v>0</v>
      </c>
      <c r="L918" s="28"/>
      <c r="N918" s="15"/>
      <c r="O918" s="34">
        <f>N918*$F$8</f>
        <v>0</v>
      </c>
      <c r="Q918" s="13"/>
      <c r="R918" s="15">
        <f>Q918-M918</f>
        <v>0</v>
      </c>
      <c r="S918" s="34">
        <f>R918*$F$8</f>
        <v>0</v>
      </c>
      <c r="T918" s="28"/>
      <c r="V918" s="15">
        <f>U918-Q918</f>
        <v>0</v>
      </c>
      <c r="W918" s="34">
        <f>V918*$F$8</f>
        <v>0</v>
      </c>
      <c r="Y918" s="13"/>
      <c r="Z918" s="15">
        <f t="shared" ref="Z918:Z919" si="3114">Y918-U918</f>
        <v>0</v>
      </c>
      <c r="AA918" s="34">
        <f>Z918*$F$8</f>
        <v>0</v>
      </c>
      <c r="AB918" s="28"/>
      <c r="AC918" s="15"/>
      <c r="AD918" s="15">
        <f t="shared" ref="AD918:AD919" si="3115">AC918-Y918</f>
        <v>0</v>
      </c>
      <c r="AE918" s="34">
        <f>AD918*$F$8</f>
        <v>0</v>
      </c>
      <c r="AG918" s="13"/>
      <c r="AH918" s="15">
        <f t="shared" ref="AH918:AH919" si="3116">AG918-AC918</f>
        <v>0</v>
      </c>
      <c r="AI918" s="45">
        <f>AH918*$G$8</f>
        <v>0</v>
      </c>
      <c r="AJ918" s="15"/>
      <c r="AK918" s="13">
        <v>0</v>
      </c>
      <c r="AL918" s="15">
        <f t="shared" ref="AL918:AL919" si="3117">AK918-AG918</f>
        <v>0</v>
      </c>
      <c r="AM918" s="45">
        <f>AL918*$G$8</f>
        <v>0</v>
      </c>
      <c r="AN918" s="15"/>
      <c r="AO918" s="13">
        <v>0</v>
      </c>
      <c r="AP918" s="15">
        <f t="shared" ref="AP918:AP919" si="3118">AO918-AK918</f>
        <v>0</v>
      </c>
      <c r="AQ918" s="45">
        <f>AP918*$G$8</f>
        <v>0</v>
      </c>
      <c r="AR918" s="15"/>
      <c r="AS918" s="13">
        <v>0</v>
      </c>
      <c r="AT918" s="15">
        <f t="shared" ref="AT918:AT919" si="3119">AS918-AO918</f>
        <v>0</v>
      </c>
      <c r="AU918" s="45">
        <f>AT918*$G$8</f>
        <v>0</v>
      </c>
      <c r="AV918" s="15"/>
      <c r="AW918" s="13">
        <v>0</v>
      </c>
      <c r="AX918" s="2">
        <f t="shared" ref="AX918:AX919" si="3120">AW918-AS918</f>
        <v>0</v>
      </c>
      <c r="AY918" s="45">
        <f>AX918*$G$8</f>
        <v>0</v>
      </c>
      <c r="AZ918" s="208"/>
      <c r="BA918" s="13">
        <v>0</v>
      </c>
      <c r="BB918" s="15">
        <f t="shared" ref="BB918:BB919" si="3121">BA918-AW918</f>
        <v>0</v>
      </c>
      <c r="BC918" s="45">
        <f>BB918*$G$8</f>
        <v>0</v>
      </c>
      <c r="BD918" s="208"/>
      <c r="BE918" s="40">
        <f t="shared" ref="BE918:BG918" si="3122">J918+N918+R918+V918+Z918+AD918+AH918+AL918+AP918+AT918+AX918+BB918</f>
        <v>0</v>
      </c>
      <c r="BF918" s="41">
        <f t="shared" si="3122"/>
        <v>0</v>
      </c>
      <c r="BG918" s="34">
        <f t="shared" si="3122"/>
        <v>0</v>
      </c>
      <c r="BH918" s="35">
        <f t="shared" si="3113"/>
        <v>0</v>
      </c>
      <c r="BK918" s="2" t="b">
        <f>H918='2019'!BH761</f>
        <v>1</v>
      </c>
    </row>
    <row r="919" ht="15.75" customHeight="1" hidden="1" spans="1:63" x14ac:dyDescent="0.25">
      <c r="A919" s="2">
        <v>96</v>
      </c>
      <c r="B919" s="14"/>
      <c r="C919" s="2" t="s">
        <v>65</v>
      </c>
      <c r="D919" s="14" t="s">
        <v>47</v>
      </c>
      <c r="E919" s="2" t="s">
        <v>48</v>
      </c>
      <c r="F919" s="13">
        <v>18.56</v>
      </c>
      <c r="G919" s="35">
        <v>19.46</v>
      </c>
      <c r="H919" s="34">
        <f>'2019'!BH762</f>
        <v>0</v>
      </c>
      <c r="I919" s="15"/>
      <c r="J919" s="15"/>
      <c r="K919" s="15"/>
      <c r="L919" s="28"/>
      <c r="Q919" s="13"/>
      <c r="R919" s="15"/>
      <c r="S919" s="15"/>
      <c r="T919" s="28"/>
      <c r="W919" s="2">
        <f>V919*$F$10</f>
        <v>0</v>
      </c>
      <c r="Y919" s="13"/>
      <c r="Z919" s="15">
        <f t="shared" si="3114"/>
        <v>0</v>
      </c>
      <c r="AA919" s="34">
        <f>Z919*$F$10</f>
        <v>0</v>
      </c>
      <c r="AB919" s="28"/>
      <c r="AC919" s="15"/>
      <c r="AD919" s="15">
        <f t="shared" si="3115"/>
        <v>0</v>
      </c>
      <c r="AE919" s="34">
        <f>AD919*$F$10</f>
        <v>0</v>
      </c>
      <c r="AG919" s="13"/>
      <c r="AH919" s="15">
        <f t="shared" si="3116"/>
        <v>0</v>
      </c>
      <c r="AI919" s="45">
        <f>AH919*$G$10</f>
        <v>0</v>
      </c>
      <c r="AJ919" s="15"/>
      <c r="AK919" s="13"/>
      <c r="AL919" s="15">
        <f t="shared" si="3117"/>
        <v>0</v>
      </c>
      <c r="AM919" s="45">
        <f>AL919*$G$10</f>
        <v>0</v>
      </c>
      <c r="AN919" s="15"/>
      <c r="AO919" s="13"/>
      <c r="AP919" s="15">
        <f t="shared" si="3118"/>
        <v>0</v>
      </c>
      <c r="AQ919" s="45">
        <f>AP919*$G$10</f>
        <v>0</v>
      </c>
      <c r="AR919" s="15"/>
      <c r="AS919" s="13"/>
      <c r="AT919" s="15">
        <f t="shared" si="3119"/>
        <v>0</v>
      </c>
      <c r="AU919" s="45">
        <f>AT919*$G$10</f>
        <v>0</v>
      </c>
      <c r="AV919" s="15"/>
      <c r="AW919" s="13"/>
      <c r="AX919" s="2">
        <f t="shared" si="3120"/>
        <v>0</v>
      </c>
      <c r="AY919" s="45"/>
      <c r="AZ919" s="208"/>
      <c r="BA919" s="13"/>
      <c r="BB919" s="15">
        <f t="shared" si="3121"/>
        <v>0</v>
      </c>
      <c r="BC919" s="45"/>
      <c r="BD919" s="208"/>
      <c r="BE919" s="40">
        <f t="shared" ref="BE919:BG919" si="3123">J919+N919+R919+V919+Z919+AD919+AH919+AL919+AP919+AT919+AX919+BB919</f>
        <v>0</v>
      </c>
      <c r="BF919" s="41">
        <f t="shared" si="3123"/>
        <v>0</v>
      </c>
      <c r="BG919" s="34">
        <f t="shared" si="3123"/>
        <v>0</v>
      </c>
      <c r="BH919" s="35">
        <f t="shared" si="3113"/>
        <v>0</v>
      </c>
      <c r="BK919" s="2" t="b">
        <f>H919='2019'!BH762</f>
        <v>1</v>
      </c>
    </row>
    <row r="920" ht="15.75" customHeight="1" hidden="1" spans="1:63" x14ac:dyDescent="0.25">
      <c r="A920" s="2">
        <v>96</v>
      </c>
      <c r="B920" s="14"/>
      <c r="C920" s="15" t="s">
        <v>115</v>
      </c>
      <c r="D920" s="14" t="s">
        <v>47</v>
      </c>
      <c r="E920" s="2" t="s">
        <v>49</v>
      </c>
      <c r="F920" s="41">
        <v>500</v>
      </c>
      <c r="G920" s="28"/>
      <c r="H920" s="144">
        <f>'2019'!BH763</f>
        <v>0</v>
      </c>
      <c r="I920" s="15"/>
      <c r="J920" s="15"/>
      <c r="K920" s="15"/>
      <c r="L920" s="28"/>
      <c r="Q920" s="13"/>
      <c r="R920" s="15"/>
      <c r="S920" s="15"/>
      <c r="T920" s="28"/>
      <c r="Y920" s="13"/>
      <c r="Z920" s="15"/>
      <c r="AA920" s="34"/>
      <c r="AB920" s="28"/>
      <c r="AC920" s="15"/>
      <c r="AG920" s="13"/>
      <c r="AH920" s="15"/>
      <c r="AI920" s="45"/>
      <c r="AJ920" s="15"/>
      <c r="AK920" s="13"/>
      <c r="AL920" s="15"/>
      <c r="AM920" s="45"/>
      <c r="AN920" s="15"/>
      <c r="AO920" s="13"/>
      <c r="AP920" s="15"/>
      <c r="AQ920" s="45"/>
      <c r="AR920" s="15"/>
      <c r="AS920" s="13"/>
      <c r="AT920" s="15"/>
      <c r="AU920" s="45"/>
      <c r="AV920" s="15"/>
      <c r="AW920" s="13"/>
      <c r="AY920" s="45"/>
      <c r="AZ920" s="28"/>
      <c r="BA920" s="13"/>
      <c r="BB920" s="15"/>
      <c r="BC920" s="45"/>
      <c r="BD920" s="28"/>
      <c r="BE920" s="40">
        <f t="shared" ref="BE920:BG920" si="3124">J920+N920+R920+V920+Z920+AD920+AH920+AL920+AP920+AT920+AX920+BB920</f>
        <v>0</v>
      </c>
      <c r="BF920" s="41">
        <f t="shared" si="3124"/>
        <v>0</v>
      </c>
      <c r="BG920" s="34">
        <f t="shared" si="3124"/>
        <v>0</v>
      </c>
      <c r="BH920" s="35">
        <f t="shared" si="3113"/>
        <v>0</v>
      </c>
      <c r="BK920" s="2" t="b">
        <f>H920='2019'!BH763</f>
        <v>1</v>
      </c>
    </row>
    <row r="921" ht="15.75" customHeight="1" hidden="1" spans="1:63" x14ac:dyDescent="0.25">
      <c r="A921" s="2">
        <v>96</v>
      </c>
      <c r="B921" s="14"/>
      <c r="C921" s="2" t="s">
        <v>443</v>
      </c>
      <c r="D921" s="14" t="s">
        <v>50</v>
      </c>
      <c r="E921" s="2" t="s">
        <v>49</v>
      </c>
      <c r="F921" s="41">
        <v>1100</v>
      </c>
      <c r="G921" s="28"/>
      <c r="H921" s="182">
        <f>'2019'!BH764-0.0048</f>
        <v>-135.56</v>
      </c>
      <c r="I921" s="15"/>
      <c r="J921" s="15"/>
      <c r="K921" s="15"/>
      <c r="L921" s="28"/>
      <c r="Q921" s="13"/>
      <c r="R921" s="15"/>
      <c r="S921" s="15"/>
      <c r="T921" s="28"/>
      <c r="Y921" s="13"/>
      <c r="Z921" s="15"/>
      <c r="AA921" s="15"/>
      <c r="AB921" s="28"/>
      <c r="AE921" s="34">
        <f>B918*$F$12</f>
        <v>4906</v>
      </c>
      <c r="AG921" s="13"/>
      <c r="AH921" s="15"/>
      <c r="AI921" s="45"/>
      <c r="AJ921" s="34"/>
      <c r="AK921" s="13"/>
      <c r="AL921" s="15"/>
      <c r="AM921" s="45"/>
      <c r="AN921" s="15"/>
      <c r="AO921" s="13"/>
      <c r="AP921" s="15"/>
      <c r="AQ921" s="45"/>
      <c r="AR921" s="15"/>
      <c r="AS921" s="13"/>
      <c r="AT921" s="15"/>
      <c r="AU921" s="45"/>
      <c r="AV921" s="15"/>
      <c r="AW921" s="13"/>
      <c r="AY921" s="45"/>
      <c r="AZ921" s="28"/>
      <c r="BA921" s="13"/>
      <c r="BB921" s="15"/>
      <c r="BC921" s="45"/>
      <c r="BD921" s="32">
        <v>4770.44</v>
      </c>
      <c r="BE921" s="14"/>
      <c r="BF921" s="41">
        <f t="shared" ref="BF921:BG921" si="3125">K921+O921+S921+W921+AA921+AE921+AI921+AM921+AQ921+AU921+AY921+BC921</f>
        <v>4906</v>
      </c>
      <c r="BG921" s="34">
        <f t="shared" si="3125"/>
        <v>4770.44</v>
      </c>
      <c r="BH921" s="35">
        <f t="shared" si="3113"/>
        <v>0</v>
      </c>
      <c r="BK921" s="2" t="b">
        <f>H921='2019'!BH764</f>
        <v>0</v>
      </c>
    </row>
    <row r="922" ht="15.75" customHeight="1" hidden="1" spans="1:63" x14ac:dyDescent="0.25">
      <c r="A922" s="2">
        <v>96</v>
      </c>
      <c r="B922" s="14"/>
      <c r="D922" s="14" t="s">
        <v>51</v>
      </c>
      <c r="E922" s="2" t="s">
        <v>39</v>
      </c>
      <c r="F922" s="41">
        <v>500</v>
      </c>
      <c r="G922" s="28"/>
      <c r="H922" s="34">
        <f>'2019'!BH765</f>
        <v>0</v>
      </c>
      <c r="I922" s="15"/>
      <c r="J922" s="15"/>
      <c r="K922" s="15"/>
      <c r="L922" s="28"/>
      <c r="Q922" s="13"/>
      <c r="R922" s="15"/>
      <c r="S922" s="15"/>
      <c r="T922" s="28"/>
      <c r="Y922" s="13"/>
      <c r="Z922" s="15"/>
      <c r="AA922" s="15"/>
      <c r="AB922" s="28"/>
      <c r="AE922" s="34"/>
      <c r="AG922" s="13"/>
      <c r="AH922" s="15"/>
      <c r="AI922" s="45"/>
      <c r="AJ922" s="15"/>
      <c r="AK922" s="13"/>
      <c r="AL922" s="15"/>
      <c r="AM922" s="45"/>
      <c r="AN922" s="15"/>
      <c r="AO922" s="13"/>
      <c r="AP922" s="15"/>
      <c r="AQ922" s="45">
        <f>$F$13</f>
        <v>500</v>
      </c>
      <c r="AR922" s="15"/>
      <c r="AS922" s="13"/>
      <c r="AT922" s="15"/>
      <c r="AU922" s="45"/>
      <c r="AV922" s="15"/>
      <c r="AW922" s="13"/>
      <c r="AY922" s="45"/>
      <c r="AZ922" s="28"/>
      <c r="BA922" s="13"/>
      <c r="BB922" s="15"/>
      <c r="BC922" s="45"/>
      <c r="BD922" s="32">
        <v>29.56</v>
      </c>
      <c r="BE922" s="14"/>
      <c r="BF922" s="41">
        <f t="shared" ref="BF922:BG922" si="3126">K922+O922+S922+W922+AA922+AE922+AI922+AM922+AQ922+AU922+AY922+BC922</f>
        <v>500</v>
      </c>
      <c r="BG922" s="34">
        <f t="shared" si="3126"/>
        <v>29.56</v>
      </c>
      <c r="BH922" s="35">
        <f t="shared" si="3113"/>
        <v>470.44</v>
      </c>
      <c r="BK922" s="2" t="b">
        <f>H922='2019'!BH765</f>
        <v>1</v>
      </c>
    </row>
    <row r="923" ht="15.75" customHeight="1" hidden="1" spans="1:60" x14ac:dyDescent="0.25">
      <c r="A923" s="2">
        <v>96</v>
      </c>
      <c r="B923" s="14"/>
      <c r="D923" s="14" t="s">
        <v>51</v>
      </c>
      <c r="E923" s="2" t="s">
        <v>49</v>
      </c>
      <c r="F923" s="41">
        <v>500</v>
      </c>
      <c r="G923" s="28"/>
      <c r="H923" s="34"/>
      <c r="I923" s="15"/>
      <c r="J923" s="15"/>
      <c r="K923" s="15"/>
      <c r="L923" s="28"/>
      <c r="Q923" s="13"/>
      <c r="R923" s="15"/>
      <c r="S923" s="15"/>
      <c r="T923" s="28"/>
      <c r="Y923" s="13"/>
      <c r="Z923" s="15"/>
      <c r="AA923" s="15"/>
      <c r="AB923" s="28"/>
      <c r="AE923" s="34"/>
      <c r="AG923" s="13"/>
      <c r="AH923" s="15"/>
      <c r="AI923" s="45"/>
      <c r="AJ923" s="15"/>
      <c r="AK923" s="13"/>
      <c r="AL923" s="15"/>
      <c r="AM923" s="45"/>
      <c r="AN923" s="15"/>
      <c r="AO923" s="13"/>
      <c r="AP923" s="15"/>
      <c r="AQ923" s="34">
        <f>B918*$F$14</f>
        <v>2230</v>
      </c>
      <c r="AR923" s="15"/>
      <c r="AS923" s="13"/>
      <c r="AT923" s="15"/>
      <c r="AU923" s="45"/>
      <c r="AV923" s="15"/>
      <c r="AW923" s="13"/>
      <c r="AY923" s="45"/>
      <c r="AZ923" s="28"/>
      <c r="BA923" s="13"/>
      <c r="BB923" s="15"/>
      <c r="BC923" s="45"/>
      <c r="BD923" s="38">
        <v>2230</v>
      </c>
      <c r="BE923" s="14"/>
      <c r="BF923" s="41">
        <f t="shared" ref="BF923:BG923" si="3127">K923+O923+S923+W923+AA923+AE923+AI923+AM923+AQ923+AU923+AY923+BC923</f>
        <v>2230</v>
      </c>
      <c r="BG923" s="34">
        <f t="shared" si="3127"/>
        <v>2230</v>
      </c>
      <c r="BH923" s="35">
        <f t="shared" si="3113"/>
        <v>0</v>
      </c>
    </row>
    <row r="924" ht="15.75" customHeight="1" hidden="1" spans="1:63" x14ac:dyDescent="0.25">
      <c r="A924" s="2">
        <v>96</v>
      </c>
      <c r="B924" s="14"/>
      <c r="D924" s="14" t="s">
        <v>52</v>
      </c>
      <c r="E924" s="2" t="s">
        <v>39</v>
      </c>
      <c r="F924" s="41">
        <v>500</v>
      </c>
      <c r="G924" s="28"/>
      <c r="H924" s="34">
        <f>'2019'!BH766</f>
        <v>0</v>
      </c>
      <c r="I924" s="15"/>
      <c r="J924" s="15"/>
      <c r="K924" s="15"/>
      <c r="L924" s="28"/>
      <c r="Q924" s="13"/>
      <c r="R924" s="15"/>
      <c r="S924" s="15"/>
      <c r="T924" s="28"/>
      <c r="X924" s="34"/>
      <c r="Y924" s="13"/>
      <c r="Z924" s="15"/>
      <c r="AA924" s="77"/>
      <c r="AB924" s="28"/>
      <c r="AG924" s="13"/>
      <c r="AH924" s="15"/>
      <c r="AI924" s="45"/>
      <c r="AJ924" s="15"/>
      <c r="AK924" s="13"/>
      <c r="AL924" s="15"/>
      <c r="AM924" s="45"/>
      <c r="AN924" s="15"/>
      <c r="AO924" s="13"/>
      <c r="AP924" s="15"/>
      <c r="AQ924" s="45"/>
      <c r="AR924" s="15"/>
      <c r="AS924" s="13"/>
      <c r="AT924" s="15"/>
      <c r="AU924" s="45"/>
      <c r="AV924" s="15"/>
      <c r="AW924" s="13"/>
      <c r="AY924" s="45"/>
      <c r="AZ924" s="35"/>
      <c r="BA924" s="13"/>
      <c r="BB924" s="15"/>
      <c r="BC924" s="45"/>
      <c r="BD924" s="35"/>
      <c r="BE924" s="14"/>
      <c r="BF924" s="41">
        <f t="shared" ref="BF924:BG924" si="3128">K924+O924+S924+W924+AA924+AE924+AI924+AM924+AQ924+AU924+AY924+BC924</f>
        <v>0</v>
      </c>
      <c r="BG924" s="34">
        <f t="shared" si="3128"/>
        <v>0</v>
      </c>
      <c r="BH924" s="35">
        <f t="shared" si="3113"/>
        <v>0</v>
      </c>
      <c r="BK924" s="2" t="b">
        <f>H924='2019'!BH766</f>
        <v>1</v>
      </c>
    </row>
    <row r="925" ht="15.75" customHeight="1" hidden="1" spans="1:63" x14ac:dyDescent="0.25">
      <c r="A925" s="247">
        <v>96</v>
      </c>
      <c r="B925" s="21"/>
      <c r="C925" s="22" t="s">
        <v>53</v>
      </c>
      <c r="D925" s="21"/>
      <c r="E925" s="22"/>
      <c r="F925" s="20"/>
      <c r="G925" s="23"/>
      <c r="H925" s="51">
        <f>SUM(H917:H924)</f>
        <v>-135.56</v>
      </c>
      <c r="I925" s="53"/>
      <c r="J925" s="53"/>
      <c r="K925" s="51">
        <f t="shared" ref="K925:L925" si="3129">SUM(K917:K924)</f>
        <v>0</v>
      </c>
      <c r="L925" s="68">
        <f t="shared" si="3129"/>
        <v>0</v>
      </c>
      <c r="M925" s="53"/>
      <c r="N925" s="53"/>
      <c r="O925" s="51">
        <f t="shared" ref="O925:P925" si="3130">SUM(O917:O924)</f>
        <v>0</v>
      </c>
      <c r="P925" s="51">
        <f t="shared" si="3130"/>
        <v>0</v>
      </c>
      <c r="Q925" s="52"/>
      <c r="R925" s="53"/>
      <c r="S925" s="51">
        <f t="shared" ref="S925:T925" si="3131">SUM(S917:S924)</f>
        <v>0</v>
      </c>
      <c r="T925" s="51">
        <f t="shared" si="3131"/>
        <v>0</v>
      </c>
      <c r="U925" s="52"/>
      <c r="V925" s="53"/>
      <c r="W925" s="51">
        <f t="shared" ref="W925:X925" si="3132">SUM(W917:W924)</f>
        <v>0</v>
      </c>
      <c r="X925" s="51">
        <f t="shared" si="3132"/>
        <v>0</v>
      </c>
      <c r="Y925" s="52"/>
      <c r="Z925" s="53"/>
      <c r="AA925" s="51">
        <f t="shared" ref="AA925:AB925" si="3133">SUM(AA917:AA924)</f>
        <v>0</v>
      </c>
      <c r="AB925" s="51">
        <f t="shared" si="3133"/>
        <v>0</v>
      </c>
      <c r="AC925" s="52"/>
      <c r="AD925" s="53"/>
      <c r="AE925" s="51">
        <f t="shared" ref="AE925:AF925" si="3134">SUM(AE917:AE924)</f>
        <v>4906</v>
      </c>
      <c r="AF925" s="51">
        <f t="shared" si="3134"/>
        <v>0</v>
      </c>
      <c r="AG925" s="52"/>
      <c r="AH925" s="53"/>
      <c r="AI925" s="183">
        <f t="shared" ref="AI925:AJ925" si="3135">SUM(AI917:AI924)</f>
        <v>0</v>
      </c>
      <c r="AJ925" s="51">
        <f t="shared" si="3135"/>
        <v>0</v>
      </c>
      <c r="AK925" s="52"/>
      <c r="AL925" s="53"/>
      <c r="AM925" s="183">
        <f t="shared" ref="AM925:AN925" si="3136">SUM(AM917:AM924)</f>
        <v>0</v>
      </c>
      <c r="AN925" s="51">
        <f t="shared" si="3136"/>
        <v>0</v>
      </c>
      <c r="AO925" s="52"/>
      <c r="AP925" s="53"/>
      <c r="AQ925" s="183">
        <f t="shared" ref="AQ925:AR925" si="3137">SUM(AQ917:AQ924)</f>
        <v>2744.31</v>
      </c>
      <c r="AR925" s="51">
        <f t="shared" si="3137"/>
        <v>0</v>
      </c>
      <c r="AS925" s="52"/>
      <c r="AT925" s="53"/>
      <c r="AU925" s="183">
        <f t="shared" ref="AU925:AV925" si="3138">SUM(AU917:AU924)</f>
        <v>14.79</v>
      </c>
      <c r="AV925" s="68">
        <f t="shared" si="3138"/>
        <v>0</v>
      </c>
      <c r="AW925" s="52"/>
      <c r="AX925" s="53"/>
      <c r="AY925" s="183">
        <f t="shared" ref="AY925:AZ925" si="3139">SUM(AY917:AY924)</f>
        <v>14.31</v>
      </c>
      <c r="AZ925" s="68">
        <f t="shared" si="3139"/>
        <v>0</v>
      </c>
      <c r="BA925" s="52"/>
      <c r="BB925" s="53"/>
      <c r="BC925" s="183">
        <f t="shared" ref="BC925:BD925" si="3140">SUM(BC917:BC924)</f>
        <v>7.06</v>
      </c>
      <c r="BD925" s="68">
        <f t="shared" si="3140"/>
        <v>7030</v>
      </c>
      <c r="BE925" s="69"/>
      <c r="BF925" s="70">
        <f t="shared" ref="BF925:BH925" si="3141">SUM(BF917:BF924)</f>
        <v>7686.47</v>
      </c>
      <c r="BG925" s="71">
        <f t="shared" si="3141"/>
        <v>7030</v>
      </c>
      <c r="BH925" s="72">
        <f t="shared" si="3141"/>
        <v>520.91</v>
      </c>
      <c r="BI925" s="34">
        <f>H925+BF925-BG925</f>
        <v>520.91</v>
      </c>
      <c r="BJ925" s="34">
        <f>BH925-BI925</f>
        <v>0</v>
      </c>
      <c r="BK925" s="2" t="b">
        <f>H925='2019'!BH767</f>
        <v>0</v>
      </c>
    </row>
    <row r="926" ht="15.75" customHeight="1" hidden="1" spans="1:63" x14ac:dyDescent="0.25">
      <c r="A926" s="2">
        <v>98</v>
      </c>
      <c r="B926" s="14"/>
      <c r="D926" s="14" t="s">
        <v>379</v>
      </c>
      <c r="F926" s="13"/>
      <c r="G926" s="28"/>
      <c r="H926" s="34">
        <f>'2019'!BH768</f>
        <v>190.02</v>
      </c>
      <c r="J926" s="15"/>
      <c r="K926" s="15">
        <v>40.05</v>
      </c>
      <c r="L926" s="28"/>
      <c r="O926" s="2">
        <v>37.47</v>
      </c>
      <c r="Q926" s="13"/>
      <c r="R926" s="15"/>
      <c r="S926" s="15">
        <v>40.05</v>
      </c>
      <c r="T926" s="28"/>
      <c r="W926" s="2">
        <v>38.76</v>
      </c>
      <c r="Y926" s="13"/>
      <c r="Z926" s="15"/>
      <c r="AA926" s="15">
        <v>40.05</v>
      </c>
      <c r="AB926" s="28"/>
      <c r="AE926" s="2">
        <v>38.76</v>
      </c>
      <c r="AG926" s="13"/>
      <c r="AH926" s="15"/>
      <c r="AI926" s="45">
        <v>40.05</v>
      </c>
      <c r="AJ926" s="15"/>
      <c r="AK926" s="13"/>
      <c r="AM926" s="45">
        <v>40.05</v>
      </c>
      <c r="AO926" s="13"/>
      <c r="AQ926" s="45">
        <v>53.44</v>
      </c>
      <c r="AS926" s="13"/>
      <c r="AU926" s="45">
        <v>55.23</v>
      </c>
      <c r="AW926" s="13"/>
      <c r="AY926" s="45">
        <v>53.44</v>
      </c>
      <c r="AZ926" s="28"/>
      <c r="BA926" s="13"/>
      <c r="BB926" s="15"/>
      <c r="BC926" s="45">
        <v>55.23</v>
      </c>
      <c r="BD926" s="28"/>
      <c r="BE926" s="14"/>
      <c r="BF926" s="41">
        <f t="shared" ref="BF926:BG926" si="3142">K926+O926+S926+W926+AA926+AE926+AI926+AM926+AQ926+AU926+AY926+BC926</f>
        <v>532.58</v>
      </c>
      <c r="BG926" s="34">
        <f t="shared" si="3142"/>
        <v>0</v>
      </c>
      <c r="BH926" s="35">
        <f t="shared" ref="BH926:BH933" si="3143">H926+BF926-BG926</f>
        <v>722.6</v>
      </c>
      <c r="BK926" s="2" t="b">
        <f>H926='2019'!BH768</f>
        <v>1</v>
      </c>
    </row>
    <row r="927" ht="15.75" customHeight="1" hidden="1" spans="1:63" x14ac:dyDescent="0.25">
      <c r="A927" s="2">
        <v>98</v>
      </c>
      <c r="B927" s="14">
        <v>4.45</v>
      </c>
      <c r="C927" s="2" t="s">
        <v>328</v>
      </c>
      <c r="D927" s="14" t="s">
        <v>44</v>
      </c>
      <c r="E927" s="2" t="s">
        <v>45</v>
      </c>
      <c r="F927" s="41">
        <v>2.5</v>
      </c>
      <c r="G927" s="35">
        <v>2.6</v>
      </c>
      <c r="H927" s="104">
        <f>'2019'!BH769</f>
        <v>0</v>
      </c>
      <c r="I927" s="15"/>
      <c r="J927" s="15"/>
      <c r="K927" s="34">
        <f>J927*$F$8</f>
        <v>0</v>
      </c>
      <c r="L927" s="28"/>
      <c r="N927" s="15"/>
      <c r="O927" s="34">
        <f>N927*$F$8</f>
        <v>0</v>
      </c>
      <c r="Q927" s="13"/>
      <c r="R927" s="15">
        <f>Q927-M927</f>
        <v>0</v>
      </c>
      <c r="S927" s="34">
        <f>R927*$F$8</f>
        <v>0</v>
      </c>
      <c r="T927" s="28"/>
      <c r="V927" s="15">
        <f t="shared" ref="V927:V928" si="3144">U927-Q927</f>
        <v>0</v>
      </c>
      <c r="W927" s="34">
        <f>V927*$F$8</f>
        <v>0</v>
      </c>
      <c r="Y927" s="13"/>
      <c r="Z927" s="15">
        <f t="shared" ref="Z927:Z928" si="3145">Y927-U927</f>
        <v>0</v>
      </c>
      <c r="AA927" s="34">
        <f>Z927*$F$8</f>
        <v>0</v>
      </c>
      <c r="AB927" s="28"/>
      <c r="AC927" s="15"/>
      <c r="AD927" s="15">
        <f t="shared" ref="AD927:AD928" si="3146">AC927-Y927</f>
        <v>0</v>
      </c>
      <c r="AE927" s="34">
        <f>AD927*$F$8</f>
        <v>0</v>
      </c>
      <c r="AG927" s="13"/>
      <c r="AH927" s="15">
        <f t="shared" ref="AH927:AH928" si="3147">AG927-AC927</f>
        <v>0</v>
      </c>
      <c r="AI927" s="45">
        <f>AH927*$G$8</f>
        <v>0</v>
      </c>
      <c r="AJ927" s="15"/>
      <c r="AK927" s="13">
        <v>0</v>
      </c>
      <c r="AL927" s="15">
        <f t="shared" ref="AL927:AL928" si="3148">AK927-AG927</f>
        <v>0</v>
      </c>
      <c r="AM927" s="45">
        <f>AL927*$G$8</f>
        <v>0</v>
      </c>
      <c r="AN927" s="15"/>
      <c r="AO927" s="13">
        <v>0</v>
      </c>
      <c r="AP927" s="15">
        <f t="shared" ref="AP927:AP928" si="3149">AO927-AK927</f>
        <v>0</v>
      </c>
      <c r="AQ927" s="45">
        <f>AP927*$G$8</f>
        <v>0</v>
      </c>
      <c r="AR927" s="15"/>
      <c r="AS927" s="13">
        <v>0</v>
      </c>
      <c r="AT927" s="15">
        <f t="shared" ref="AT927:AT928" si="3150">AS927-AO927</f>
        <v>0</v>
      </c>
      <c r="AU927" s="45">
        <f>AT927*$G$8</f>
        <v>0</v>
      </c>
      <c r="AV927" s="15"/>
      <c r="AW927" s="13">
        <v>0</v>
      </c>
      <c r="AX927" s="2">
        <f t="shared" ref="AX927:AX928" si="3151">AW927-AS927</f>
        <v>0</v>
      </c>
      <c r="AY927" s="45">
        <f>AX927*$G$8</f>
        <v>0</v>
      </c>
      <c r="AZ927" s="208"/>
      <c r="BA927" s="13">
        <v>0</v>
      </c>
      <c r="BB927" s="15">
        <f t="shared" ref="BB927:BB928" si="3152">BA927-AW927</f>
        <v>0</v>
      </c>
      <c r="BC927" s="45">
        <f>BB927*$G$8</f>
        <v>0</v>
      </c>
      <c r="BD927" s="208"/>
      <c r="BE927" s="40">
        <f t="shared" ref="BE927:BG927" si="3153">J927+N927+R927+V927+Z927+AD927+AH927+AL927+AP927+AT927+AX927+BB927</f>
        <v>0</v>
      </c>
      <c r="BF927" s="41">
        <f t="shared" si="3153"/>
        <v>0</v>
      </c>
      <c r="BG927" s="34">
        <f t="shared" si="3153"/>
        <v>0</v>
      </c>
      <c r="BH927" s="35">
        <f t="shared" si="3143"/>
        <v>0</v>
      </c>
      <c r="BK927" s="2" t="b">
        <f>H927='2019'!BH769</f>
        <v>1</v>
      </c>
    </row>
    <row r="928" ht="15.75" customHeight="1" hidden="1" spans="1:63" x14ac:dyDescent="0.25">
      <c r="A928" s="2">
        <v>98</v>
      </c>
      <c r="B928" s="14"/>
      <c r="C928" s="2" t="s">
        <v>83</v>
      </c>
      <c r="D928" s="14" t="s">
        <v>47</v>
      </c>
      <c r="E928" s="2" t="s">
        <v>48</v>
      </c>
      <c r="F928" s="13">
        <v>18.56</v>
      </c>
      <c r="G928" s="35">
        <v>19.46</v>
      </c>
      <c r="H928" s="34">
        <f>'2019'!BH770</f>
        <v>-49.5</v>
      </c>
      <c r="I928" s="75">
        <v>166</v>
      </c>
      <c r="J928" s="15"/>
      <c r="K928" s="15"/>
      <c r="L928" s="28"/>
      <c r="M928" s="75">
        <v>166</v>
      </c>
      <c r="Q928" s="75">
        <v>166</v>
      </c>
      <c r="R928" s="15"/>
      <c r="S928" s="15"/>
      <c r="T928" s="28"/>
      <c r="U928" s="2">
        <v>166</v>
      </c>
      <c r="V928" s="2">
        <f t="shared" si="3144"/>
        <v>0</v>
      </c>
      <c r="W928" s="34">
        <f>V928*$F$10</f>
        <v>0</v>
      </c>
      <c r="Y928" s="13">
        <v>166</v>
      </c>
      <c r="Z928" s="15">
        <f t="shared" si="3145"/>
        <v>0</v>
      </c>
      <c r="AA928" s="34">
        <f>Z928*$F$10</f>
        <v>0</v>
      </c>
      <c r="AB928" s="28"/>
      <c r="AC928" s="15">
        <v>166</v>
      </c>
      <c r="AD928" s="15">
        <f t="shared" si="3146"/>
        <v>0</v>
      </c>
      <c r="AE928" s="34">
        <f>AD928*$F$10</f>
        <v>0</v>
      </c>
      <c r="AG928" s="13">
        <v>166</v>
      </c>
      <c r="AH928" s="15">
        <f t="shared" si="3147"/>
        <v>0</v>
      </c>
      <c r="AI928" s="45">
        <f>AH928*$G$10</f>
        <v>0</v>
      </c>
      <c r="AJ928" s="15"/>
      <c r="AK928" s="13">
        <v>166</v>
      </c>
      <c r="AL928" s="15">
        <f t="shared" si="3148"/>
        <v>0</v>
      </c>
      <c r="AM928" s="45">
        <f>AL928*$G$10</f>
        <v>0</v>
      </c>
      <c r="AN928" s="15"/>
      <c r="AO928" s="13">
        <v>166</v>
      </c>
      <c r="AP928" s="15">
        <f t="shared" si="3149"/>
        <v>0</v>
      </c>
      <c r="AQ928" s="45">
        <f>AP928*$G$10</f>
        <v>0</v>
      </c>
      <c r="AR928" s="15"/>
      <c r="AS928" s="13">
        <v>166</v>
      </c>
      <c r="AT928" s="15">
        <f t="shared" si="3150"/>
        <v>0</v>
      </c>
      <c r="AU928" s="45">
        <f>AT928*$G$10</f>
        <v>0</v>
      </c>
      <c r="AV928" s="15"/>
      <c r="AW928" s="13">
        <v>166</v>
      </c>
      <c r="AX928" s="2">
        <f t="shared" si="3151"/>
        <v>0</v>
      </c>
      <c r="AY928" s="45"/>
      <c r="AZ928" s="208"/>
      <c r="BA928" s="13">
        <v>166</v>
      </c>
      <c r="BB928" s="15">
        <f t="shared" si="3152"/>
        <v>0</v>
      </c>
      <c r="BC928" s="45"/>
      <c r="BD928" s="208"/>
      <c r="BE928" s="40">
        <f t="shared" ref="BE928:BG928" si="3154">J928+N928+R928+V928+Z928+AD928+AH928+AL928+AP928+AT928+AX928+BB928</f>
        <v>0</v>
      </c>
      <c r="BF928" s="41">
        <f t="shared" si="3154"/>
        <v>0</v>
      </c>
      <c r="BG928" s="34">
        <f t="shared" si="3154"/>
        <v>0</v>
      </c>
      <c r="BH928" s="35">
        <f t="shared" si="3143"/>
        <v>-49.5</v>
      </c>
      <c r="BK928" s="2" t="b">
        <f>H928='2019'!BH770</f>
        <v>1</v>
      </c>
    </row>
    <row r="929" ht="15.75" customHeight="1" hidden="1" spans="1:63" x14ac:dyDescent="0.25">
      <c r="A929" s="2">
        <v>98</v>
      </c>
      <c r="B929" s="14"/>
      <c r="C929" s="2" t="s">
        <v>129</v>
      </c>
      <c r="D929" s="14" t="s">
        <v>47</v>
      </c>
      <c r="E929" s="2" t="s">
        <v>49</v>
      </c>
      <c r="F929" s="41">
        <v>500</v>
      </c>
      <c r="G929" s="28"/>
      <c r="H929" s="144">
        <f>'2019'!BH771</f>
        <v>0</v>
      </c>
      <c r="I929" s="15"/>
      <c r="J929" s="15"/>
      <c r="K929" s="15"/>
      <c r="L929" s="28"/>
      <c r="Q929" s="13"/>
      <c r="R929" s="15"/>
      <c r="S929" s="15"/>
      <c r="T929" s="28"/>
      <c r="Y929" s="13"/>
      <c r="Z929" s="15"/>
      <c r="AA929" s="15"/>
      <c r="AB929" s="28"/>
      <c r="AG929" s="13"/>
      <c r="AH929" s="15"/>
      <c r="AI929" s="45"/>
      <c r="AJ929" s="15"/>
      <c r="AK929" s="13"/>
      <c r="AL929" s="15"/>
      <c r="AM929" s="45"/>
      <c r="AN929" s="15"/>
      <c r="AO929" s="13"/>
      <c r="AP929" s="15"/>
      <c r="AQ929" s="45"/>
      <c r="AR929" s="15"/>
      <c r="AS929" s="13"/>
      <c r="AT929" s="15"/>
      <c r="AU929" s="45"/>
      <c r="AV929" s="15"/>
      <c r="AW929" s="13"/>
      <c r="AY929" s="45"/>
      <c r="AZ929" s="28"/>
      <c r="BA929" s="13"/>
      <c r="BB929" s="15"/>
      <c r="BC929" s="45"/>
      <c r="BD929" s="28"/>
      <c r="BE929" s="14"/>
      <c r="BF929" s="41">
        <f t="shared" ref="BF929:BG929" si="3155">K929+O929+S929+W929+AA929+AE929+AI929+AM929+AQ929+AU929+AY929+BC929</f>
        <v>0</v>
      </c>
      <c r="BG929" s="34">
        <f t="shared" si="3155"/>
        <v>0</v>
      </c>
      <c r="BH929" s="35">
        <f t="shared" si="3143"/>
        <v>0</v>
      </c>
      <c r="BK929" s="2" t="b">
        <f>H929='2019'!BH771</f>
        <v>1</v>
      </c>
    </row>
    <row r="930" ht="15.75" customHeight="1" hidden="1" spans="1:63" x14ac:dyDescent="0.25">
      <c r="A930" s="2">
        <v>98</v>
      </c>
      <c r="B930" s="14"/>
      <c r="C930" s="2" t="s">
        <v>329</v>
      </c>
      <c r="D930" s="14" t="s">
        <v>50</v>
      </c>
      <c r="E930" s="2" t="s">
        <v>49</v>
      </c>
      <c r="F930" s="41">
        <v>1100</v>
      </c>
      <c r="G930" s="28"/>
      <c r="H930" s="182">
        <f>'2019'!BH772+0.004</f>
        <v>10029.82</v>
      </c>
      <c r="I930" s="15"/>
      <c r="J930" s="15"/>
      <c r="K930" s="15"/>
      <c r="L930" s="28"/>
      <c r="Q930" s="13"/>
      <c r="R930" s="15"/>
      <c r="S930" s="15"/>
      <c r="T930" s="28"/>
      <c r="Y930" s="13"/>
      <c r="Z930" s="15"/>
      <c r="AA930" s="15"/>
      <c r="AB930" s="28"/>
      <c r="AE930" s="34">
        <f>B927*$F$12</f>
        <v>4895</v>
      </c>
      <c r="AG930" s="13"/>
      <c r="AH930" s="15"/>
      <c r="AI930" s="45"/>
      <c r="AJ930" s="39"/>
      <c r="AK930" s="13"/>
      <c r="AL930" s="15"/>
      <c r="AM930" s="45"/>
      <c r="AN930" s="15"/>
      <c r="AO930" s="13"/>
      <c r="AP930" s="15"/>
      <c r="AQ930" s="45"/>
      <c r="AR930" s="15"/>
      <c r="AS930" s="13"/>
      <c r="AT930" s="15"/>
      <c r="AU930" s="45"/>
      <c r="AV930" s="15"/>
      <c r="AW930" s="13"/>
      <c r="AY930" s="45"/>
      <c r="AZ930" s="28"/>
      <c r="BA930" s="13"/>
      <c r="BB930" s="15"/>
      <c r="BC930" s="45"/>
      <c r="BD930" s="28"/>
      <c r="BE930" s="14"/>
      <c r="BF930" s="41">
        <f t="shared" ref="BF930:BG930" si="3156">K930+O930+S930+W930+AA930+AE930+AI930+AM930+AQ930+AU930+AY930+BC930</f>
        <v>4895</v>
      </c>
      <c r="BG930" s="34">
        <f t="shared" si="3156"/>
        <v>0</v>
      </c>
      <c r="BH930" s="35">
        <f t="shared" si="3143"/>
        <v>14924.82</v>
      </c>
      <c r="BK930" s="2" t="b">
        <f>H930='2019'!BH772</f>
        <v>0</v>
      </c>
    </row>
    <row r="931" ht="15.75" customHeight="1" hidden="1" spans="1:63" x14ac:dyDescent="0.25">
      <c r="A931" s="2">
        <v>98</v>
      </c>
      <c r="B931" s="14"/>
      <c r="D931" s="14" t="s">
        <v>51</v>
      </c>
      <c r="E931" s="2" t="s">
        <v>39</v>
      </c>
      <c r="F931" s="41">
        <v>500</v>
      </c>
      <c r="G931" s="28"/>
      <c r="H931" s="34">
        <f>'2019'!BH773</f>
        <v>2890</v>
      </c>
      <c r="I931" s="15"/>
      <c r="J931" s="15"/>
      <c r="K931" s="15"/>
      <c r="L931" s="28"/>
      <c r="Q931" s="13"/>
      <c r="R931" s="15"/>
      <c r="S931" s="15"/>
      <c r="T931" s="28"/>
      <c r="Y931" s="13"/>
      <c r="Z931" s="15"/>
      <c r="AA931" s="15"/>
      <c r="AB931" s="28"/>
      <c r="AE931" s="34"/>
      <c r="AG931" s="13"/>
      <c r="AH931" s="15"/>
      <c r="AI931" s="45"/>
      <c r="AJ931" s="15"/>
      <c r="AK931" s="13"/>
      <c r="AL931" s="15"/>
      <c r="AM931" s="45"/>
      <c r="AN931" s="15"/>
      <c r="AO931" s="13"/>
      <c r="AP931" s="15"/>
      <c r="AQ931" s="45">
        <f>$F$13</f>
        <v>500</v>
      </c>
      <c r="AR931" s="15"/>
      <c r="AS931" s="13"/>
      <c r="AT931" s="15"/>
      <c r="AU931" s="45"/>
      <c r="AV931" s="15"/>
      <c r="AW931" s="13"/>
      <c r="AY931" s="45"/>
      <c r="AZ931" s="28"/>
      <c r="BA931" s="13"/>
      <c r="BB931" s="15"/>
      <c r="BC931" s="45"/>
      <c r="BD931" s="28"/>
      <c r="BE931" s="14"/>
      <c r="BF931" s="41">
        <f t="shared" ref="BF931:BG931" si="3157">K931+O931+S931+W931+AA931+AE931+AI931+AM931+AQ931+AU931+AY931+BC931</f>
        <v>500</v>
      </c>
      <c r="BG931" s="34">
        <f t="shared" si="3157"/>
        <v>0</v>
      </c>
      <c r="BH931" s="35">
        <f t="shared" si="3143"/>
        <v>3390</v>
      </c>
      <c r="BK931" s="2" t="b">
        <f>H931='2019'!BH773</f>
        <v>1</v>
      </c>
    </row>
    <row r="932" ht="15.75" customHeight="1" hidden="1" spans="1:60" x14ac:dyDescent="0.25">
      <c r="A932" s="2">
        <v>98</v>
      </c>
      <c r="B932" s="14"/>
      <c r="D932" s="14" t="s">
        <v>51</v>
      </c>
      <c r="E932" s="2" t="s">
        <v>49</v>
      </c>
      <c r="F932" s="41">
        <v>500</v>
      </c>
      <c r="G932" s="28"/>
      <c r="H932" s="34"/>
      <c r="I932" s="15"/>
      <c r="J932" s="15"/>
      <c r="K932" s="15"/>
      <c r="L932" s="28"/>
      <c r="Q932" s="13"/>
      <c r="R932" s="15"/>
      <c r="S932" s="15"/>
      <c r="T932" s="28"/>
      <c r="Y932" s="13"/>
      <c r="Z932" s="15"/>
      <c r="AA932" s="15"/>
      <c r="AB932" s="28"/>
      <c r="AE932" s="34"/>
      <c r="AG932" s="13"/>
      <c r="AH932" s="15"/>
      <c r="AI932" s="45"/>
      <c r="AJ932" s="15"/>
      <c r="AK932" s="13"/>
      <c r="AL932" s="15"/>
      <c r="AM932" s="45"/>
      <c r="AN932" s="15"/>
      <c r="AO932" s="13"/>
      <c r="AP932" s="15"/>
      <c r="AQ932" s="34">
        <f>B927*$F$14</f>
        <v>2225</v>
      </c>
      <c r="AR932" s="15"/>
      <c r="AS932" s="13"/>
      <c r="AT932" s="15"/>
      <c r="AU932" s="45"/>
      <c r="AV932" s="15"/>
      <c r="AW932" s="13"/>
      <c r="AY932" s="45"/>
      <c r="AZ932" s="28"/>
      <c r="BA932" s="13"/>
      <c r="BB932" s="15"/>
      <c r="BC932" s="45"/>
      <c r="BD932" s="28"/>
      <c r="BE932" s="14"/>
      <c r="BF932" s="41">
        <f t="shared" ref="BF932:BG932" si="3158">K932+O932+S932+W932+AA932+AE932+AI932+AM932+AQ932+AU932+AY932+BC932</f>
        <v>2225</v>
      </c>
      <c r="BG932" s="34">
        <f t="shared" si="3158"/>
        <v>0</v>
      </c>
      <c r="BH932" s="35">
        <f t="shared" si="3143"/>
        <v>2225</v>
      </c>
    </row>
    <row r="933" ht="15.75" customHeight="1" hidden="1" spans="1:63" x14ac:dyDescent="0.25">
      <c r="A933" s="2">
        <v>98</v>
      </c>
      <c r="B933" s="14"/>
      <c r="D933" s="14" t="s">
        <v>52</v>
      </c>
      <c r="E933" s="2" t="s">
        <v>39</v>
      </c>
      <c r="F933" s="41">
        <v>500</v>
      </c>
      <c r="G933" s="28"/>
      <c r="H933" s="34">
        <f>'2019'!BH774</f>
        <v>1700</v>
      </c>
      <c r="I933" s="15"/>
      <c r="J933" s="15"/>
      <c r="K933" s="15"/>
      <c r="L933" s="28"/>
      <c r="Q933" s="13"/>
      <c r="R933" s="15"/>
      <c r="S933" s="15"/>
      <c r="T933" s="28"/>
      <c r="Y933" s="13"/>
      <c r="Z933" s="15"/>
      <c r="AA933" s="34">
        <f>$F$11</f>
        <v>500</v>
      </c>
      <c r="AB933" s="28"/>
      <c r="AG933" s="13"/>
      <c r="AH933" s="15"/>
      <c r="AI933" s="45"/>
      <c r="AJ933" s="15"/>
      <c r="AK933" s="13"/>
      <c r="AL933" s="15"/>
      <c r="AM933" s="45"/>
      <c r="AN933" s="15"/>
      <c r="AO933" s="13"/>
      <c r="AP933" s="15"/>
      <c r="AQ933" s="45"/>
      <c r="AR933" s="15"/>
      <c r="AS933" s="13"/>
      <c r="AT933" s="15"/>
      <c r="AU933" s="45"/>
      <c r="AV933" s="15"/>
      <c r="AW933" s="13"/>
      <c r="AY933" s="45"/>
      <c r="AZ933" s="35"/>
      <c r="BA933" s="13"/>
      <c r="BB933" s="15"/>
      <c r="BC933" s="45"/>
      <c r="BD933" s="35"/>
      <c r="BE933" s="14"/>
      <c r="BF933" s="41">
        <f t="shared" ref="BF933:BG933" si="3159">K933+O933+S933+W933+AA933+AE933+AI933+AM933+AQ933+AU933+AY933+BC933</f>
        <v>500</v>
      </c>
      <c r="BG933" s="34">
        <f t="shared" si="3159"/>
        <v>0</v>
      </c>
      <c r="BH933" s="35">
        <f t="shared" si="3143"/>
        <v>2200</v>
      </c>
      <c r="BK933" s="2" t="b">
        <f>H933='2019'!BH774</f>
        <v>1</v>
      </c>
    </row>
    <row r="934" ht="15.75" customHeight="1" hidden="1" spans="1:63" x14ac:dyDescent="0.25">
      <c r="A934" s="247">
        <v>98</v>
      </c>
      <c r="B934" s="21"/>
      <c r="C934" s="22" t="s">
        <v>53</v>
      </c>
      <c r="D934" s="21"/>
      <c r="E934" s="22"/>
      <c r="F934" s="20"/>
      <c r="G934" s="23"/>
      <c r="H934" s="51">
        <f>SUM(H926:H933)</f>
        <v>14760.34</v>
      </c>
      <c r="I934" s="53"/>
      <c r="J934" s="53"/>
      <c r="K934" s="51">
        <f t="shared" ref="K934:L934" si="3160">SUM(K926:K933)</f>
        <v>40.05</v>
      </c>
      <c r="L934" s="68">
        <f t="shared" si="3160"/>
        <v>0</v>
      </c>
      <c r="M934" s="53"/>
      <c r="N934" s="53"/>
      <c r="O934" s="51">
        <f t="shared" ref="O934:P934" si="3161">SUM(O926:O933)</f>
        <v>37.47</v>
      </c>
      <c r="P934" s="51">
        <f t="shared" si="3161"/>
        <v>0</v>
      </c>
      <c r="Q934" s="52"/>
      <c r="R934" s="53"/>
      <c r="S934" s="51">
        <f t="shared" ref="S934:T934" si="3162">SUM(S926:S933)</f>
        <v>40.05</v>
      </c>
      <c r="T934" s="51">
        <f t="shared" si="3162"/>
        <v>0</v>
      </c>
      <c r="U934" s="52"/>
      <c r="V934" s="53"/>
      <c r="W934" s="51">
        <f t="shared" ref="W934:X934" si="3163">SUM(W926:W933)</f>
        <v>38.76</v>
      </c>
      <c r="X934" s="51">
        <f t="shared" si="3163"/>
        <v>0</v>
      </c>
      <c r="Y934" s="52"/>
      <c r="Z934" s="53"/>
      <c r="AA934" s="51">
        <f t="shared" ref="AA934:AB934" si="3164">SUM(AA926:AA933)</f>
        <v>540.05</v>
      </c>
      <c r="AB934" s="51">
        <f t="shared" si="3164"/>
        <v>0</v>
      </c>
      <c r="AC934" s="52"/>
      <c r="AD934" s="53"/>
      <c r="AE934" s="51">
        <f t="shared" ref="AE934:AF934" si="3165">SUM(AE926:AE933)</f>
        <v>4933.76</v>
      </c>
      <c r="AF934" s="51">
        <f t="shared" si="3165"/>
        <v>0</v>
      </c>
      <c r="AG934" s="52"/>
      <c r="AH934" s="53"/>
      <c r="AI934" s="183">
        <f t="shared" ref="AI934:AJ934" si="3166">SUM(AI926:AI933)</f>
        <v>40.05</v>
      </c>
      <c r="AJ934" s="51">
        <f t="shared" si="3166"/>
        <v>0</v>
      </c>
      <c r="AK934" s="52"/>
      <c r="AL934" s="53"/>
      <c r="AM934" s="183">
        <f t="shared" ref="AM934:AN934" si="3167">SUM(AM926:AM933)</f>
        <v>40.05</v>
      </c>
      <c r="AN934" s="51">
        <f t="shared" si="3167"/>
        <v>0</v>
      </c>
      <c r="AO934" s="52"/>
      <c r="AP934" s="53"/>
      <c r="AQ934" s="183">
        <f t="shared" ref="AQ934:AR934" si="3168">SUM(AQ926:AQ933)</f>
        <v>2778.44</v>
      </c>
      <c r="AR934" s="51">
        <f t="shared" si="3168"/>
        <v>0</v>
      </c>
      <c r="AS934" s="52"/>
      <c r="AT934" s="53"/>
      <c r="AU934" s="183">
        <f t="shared" ref="AU934:AV934" si="3169">SUM(AU926:AU933)</f>
        <v>55.23</v>
      </c>
      <c r="AV934" s="68">
        <f t="shared" si="3169"/>
        <v>0</v>
      </c>
      <c r="AW934" s="52"/>
      <c r="AX934" s="53"/>
      <c r="AY934" s="183">
        <f t="shared" ref="AY934:AZ934" si="3170">SUM(AY926:AY933)</f>
        <v>53.44</v>
      </c>
      <c r="AZ934" s="68">
        <f t="shared" si="3170"/>
        <v>0</v>
      </c>
      <c r="BA934" s="52"/>
      <c r="BB934" s="53"/>
      <c r="BC934" s="183">
        <f t="shared" ref="BC934:BD934" si="3171">SUM(BC926:BC933)</f>
        <v>55.23</v>
      </c>
      <c r="BD934" s="68">
        <f t="shared" si="3171"/>
        <v>0</v>
      </c>
      <c r="BE934" s="69"/>
      <c r="BF934" s="70">
        <f t="shared" ref="BF934:BH934" si="3172">SUM(BF926:BF933)</f>
        <v>8652.58</v>
      </c>
      <c r="BG934" s="71">
        <f t="shared" si="3172"/>
        <v>0</v>
      </c>
      <c r="BH934" s="72">
        <f t="shared" si="3172"/>
        <v>23412.92</v>
      </c>
      <c r="BI934" s="34">
        <f>H934+BF934-BG934</f>
        <v>23412.92</v>
      </c>
      <c r="BJ934" s="34">
        <f>BH934-BI934</f>
        <v>0</v>
      </c>
      <c r="BK934" s="2" t="b">
        <f>H934='2019'!BH775</f>
        <v>0</v>
      </c>
    </row>
    <row r="935" ht="15.75" customHeight="1" hidden="1" spans="1:63" x14ac:dyDescent="0.25">
      <c r="A935" s="2">
        <v>100</v>
      </c>
      <c r="B935" s="14"/>
      <c r="D935" s="14" t="s">
        <v>379</v>
      </c>
      <c r="F935" s="13"/>
      <c r="G935" s="28"/>
      <c r="H935" s="34">
        <f>'2019'!BH776</f>
        <v>57.32</v>
      </c>
      <c r="J935" s="15"/>
      <c r="K935" s="34">
        <v>11.9</v>
      </c>
      <c r="L935" s="28"/>
      <c r="O935" s="2">
        <v>9.29</v>
      </c>
      <c r="P935" s="1">
        <v>69.22</v>
      </c>
      <c r="Q935" s="13"/>
      <c r="R935" s="15"/>
      <c r="S935" s="34">
        <v>6.2</v>
      </c>
      <c r="T935" s="28"/>
      <c r="W935" s="34">
        <v>6</v>
      </c>
      <c r="Y935" s="13"/>
      <c r="Z935" s="15"/>
      <c r="AA935" s="34">
        <v>6.2</v>
      </c>
      <c r="AB935" s="28"/>
      <c r="AE935" s="2">
        <v>6</v>
      </c>
      <c r="AF935" s="1">
        <v>27.69</v>
      </c>
      <c r="AG935" s="13"/>
      <c r="AH935" s="15"/>
      <c r="AI935" s="45">
        <v>6.2</v>
      </c>
      <c r="AJ935" s="15"/>
      <c r="AK935" s="13"/>
      <c r="AM935" s="45">
        <v>6.2</v>
      </c>
      <c r="AO935" s="13"/>
      <c r="AQ935" s="45">
        <v>15.09</v>
      </c>
      <c r="AR935" s="39">
        <v>18.4</v>
      </c>
      <c r="AS935" s="13"/>
      <c r="AU935" s="45">
        <v>12.4</v>
      </c>
      <c r="AW935" s="13"/>
      <c r="AY935" s="45">
        <v>12</v>
      </c>
      <c r="AZ935" s="28"/>
      <c r="BA935" s="13"/>
      <c r="BB935" s="15"/>
      <c r="BC935" s="45">
        <v>12.4</v>
      </c>
      <c r="BD935" s="28"/>
      <c r="BE935" s="14"/>
      <c r="BF935" s="41">
        <f t="shared" ref="BF935:BG935" si="3173">K935+O935+S935+W935+AA935+AE935+AI935+AM935+AQ935+AU935+AY935+BC935</f>
        <v>109.88</v>
      </c>
      <c r="BG935" s="34">
        <f t="shared" si="3173"/>
        <v>115.31</v>
      </c>
      <c r="BH935" s="35">
        <f t="shared" ref="BH935:BH942" si="3174">H935+BF935-BG935</f>
        <v>51.89</v>
      </c>
      <c r="BK935" s="2" t="b">
        <f>H935='2019'!BH776</f>
        <v>1</v>
      </c>
    </row>
    <row r="936" ht="15.75" customHeight="1" hidden="1" spans="1:63" x14ac:dyDescent="0.25">
      <c r="A936" s="2">
        <v>100</v>
      </c>
      <c r="B936" s="14">
        <v>4.47</v>
      </c>
      <c r="C936" s="2" t="s">
        <v>330</v>
      </c>
      <c r="D936" s="14" t="s">
        <v>44</v>
      </c>
      <c r="E936" s="2" t="s">
        <v>45</v>
      </c>
      <c r="F936" s="41">
        <v>2.5</v>
      </c>
      <c r="G936" s="35">
        <v>2.6</v>
      </c>
      <c r="H936" s="34">
        <f>'2019'!BH777</f>
        <v>82.5</v>
      </c>
      <c r="I936" s="13">
        <v>425</v>
      </c>
      <c r="J936" s="15">
        <f>I936-'2019'!BA777</f>
        <v>0</v>
      </c>
      <c r="K936" s="34">
        <f>J936*$F$8</f>
        <v>0</v>
      </c>
      <c r="L936" s="28"/>
      <c r="M936" s="2">
        <v>425</v>
      </c>
      <c r="N936" s="15">
        <f>M936-I936</f>
        <v>0</v>
      </c>
      <c r="O936" s="34">
        <f>N936*$F$8</f>
        <v>0</v>
      </c>
      <c r="P936" s="39">
        <v>82.5</v>
      </c>
      <c r="Q936" s="13">
        <v>449</v>
      </c>
      <c r="R936" s="15">
        <f>Q936-M936</f>
        <v>24</v>
      </c>
      <c r="S936" s="34">
        <f>R936*$F$8</f>
        <v>60</v>
      </c>
      <c r="T936" s="28"/>
      <c r="U936" s="15">
        <v>473</v>
      </c>
      <c r="V936" s="15">
        <f t="shared" ref="V936:V937" si="3175">U936-Q936</f>
        <v>24</v>
      </c>
      <c r="W936" s="34">
        <f>V936*$F$8</f>
        <v>60</v>
      </c>
      <c r="Y936" s="13">
        <v>510</v>
      </c>
      <c r="Z936" s="15">
        <f t="shared" ref="Z936:Z937" si="3176">Y936-U936</f>
        <v>37</v>
      </c>
      <c r="AA936" s="34">
        <f>Z936*$F$8</f>
        <v>92.5</v>
      </c>
      <c r="AB936" s="28"/>
      <c r="AC936" s="15">
        <v>552</v>
      </c>
      <c r="AD936" s="15">
        <f t="shared" ref="AD936:AD937" si="3177">AC936-Y936</f>
        <v>42</v>
      </c>
      <c r="AE936" s="34">
        <f>AD936*$F$8</f>
        <v>105</v>
      </c>
      <c r="AF936" s="39">
        <v>317.5</v>
      </c>
      <c r="AG936" s="13">
        <v>574</v>
      </c>
      <c r="AH936" s="15">
        <f t="shared" ref="AH936:AH937" si="3178">AG936-AC936</f>
        <v>22</v>
      </c>
      <c r="AI936" s="45">
        <f>AH936*$G$8</f>
        <v>57.2</v>
      </c>
      <c r="AJ936" s="1"/>
      <c r="AK936" s="13">
        <v>615</v>
      </c>
      <c r="AL936" s="15">
        <f t="shared" ref="AL936:AL937" si="3179">AK936-AG936</f>
        <v>41</v>
      </c>
      <c r="AM936" s="45">
        <f>AL936*$G$8</f>
        <v>106.6</v>
      </c>
      <c r="AN936" s="15"/>
      <c r="AO936" s="13">
        <v>666</v>
      </c>
      <c r="AP936" s="15">
        <f t="shared" ref="AP936:AP937" si="3180">AO936-AK936</f>
        <v>51</v>
      </c>
      <c r="AQ936" s="45">
        <f>AP936*$G$8</f>
        <v>132.6</v>
      </c>
      <c r="AR936" s="39">
        <v>163.8</v>
      </c>
      <c r="AS936" s="13">
        <v>746</v>
      </c>
      <c r="AT936" s="15">
        <f t="shared" ref="AT936:AT937" si="3181">AS936-AO936</f>
        <v>80</v>
      </c>
      <c r="AU936" s="45">
        <f>AT936*$G$8</f>
        <v>208</v>
      </c>
      <c r="AV936" s="15"/>
      <c r="AW936" s="13">
        <v>746</v>
      </c>
      <c r="AX936" s="2">
        <f t="shared" ref="AX936:AX937" si="3182">AW936-AS936</f>
        <v>0</v>
      </c>
      <c r="AY936" s="45">
        <f>AX936*$G$8</f>
        <v>0</v>
      </c>
      <c r="AZ936" s="208"/>
      <c r="BA936" s="13">
        <v>746</v>
      </c>
      <c r="BB936" s="15">
        <f t="shared" ref="BB936:BB937" si="3183">BA936-AW936</f>
        <v>0</v>
      </c>
      <c r="BC936" s="45">
        <f>BB936*$G$8</f>
        <v>0</v>
      </c>
      <c r="BD936" s="208"/>
      <c r="BE936" s="40">
        <f t="shared" ref="BE936:BG936" si="3184">J936+N936+R936+V936+Z936+AD936+AH936+AL936+AP936+AT936+AX936+BB936</f>
        <v>321</v>
      </c>
      <c r="BF936" s="41">
        <f t="shared" si="3184"/>
        <v>821.9</v>
      </c>
      <c r="BG936" s="34">
        <f t="shared" si="3184"/>
        <v>563.8</v>
      </c>
      <c r="BH936" s="35">
        <f t="shared" si="3174"/>
        <v>340.6</v>
      </c>
      <c r="BK936" s="2" t="b">
        <f>H936='2019'!BH777</f>
        <v>1</v>
      </c>
    </row>
    <row r="937" ht="15.75" customHeight="1" hidden="1" spans="1:63" x14ac:dyDescent="0.25">
      <c r="A937" s="2">
        <v>100</v>
      </c>
      <c r="B937" s="14"/>
      <c r="C937" s="2" t="s">
        <v>153</v>
      </c>
      <c r="D937" s="14" t="s">
        <v>47</v>
      </c>
      <c r="E937" s="2" t="s">
        <v>48</v>
      </c>
      <c r="F937" s="13">
        <v>18.56</v>
      </c>
      <c r="G937" s="35">
        <v>19.46</v>
      </c>
      <c r="H937" s="34">
        <f>'2019'!BH778</f>
        <v>890.88</v>
      </c>
      <c r="I937" s="95">
        <v>118</v>
      </c>
      <c r="J937" s="15"/>
      <c r="K937" s="15"/>
      <c r="L937" s="28"/>
      <c r="M937" s="95">
        <v>118</v>
      </c>
      <c r="P937" s="1">
        <v>890.88</v>
      </c>
      <c r="Q937" s="13">
        <v>118</v>
      </c>
      <c r="R937" s="15"/>
      <c r="S937" s="15"/>
      <c r="T937" s="28"/>
      <c r="U937" s="2">
        <v>120</v>
      </c>
      <c r="V937" s="2">
        <f t="shared" si="3175"/>
        <v>2</v>
      </c>
      <c r="W937" s="2">
        <f>V937*$F$10</f>
        <v>37.12</v>
      </c>
      <c r="Y937" s="13">
        <v>120</v>
      </c>
      <c r="Z937" s="15">
        <f t="shared" si="3176"/>
        <v>0</v>
      </c>
      <c r="AA937" s="34">
        <f>Z937*$F$10</f>
        <v>0</v>
      </c>
      <c r="AB937" s="28"/>
      <c r="AC937" s="15">
        <v>128</v>
      </c>
      <c r="AD937" s="15">
        <f t="shared" si="3177"/>
        <v>8</v>
      </c>
      <c r="AE937" s="34">
        <f>AD937*$F$10</f>
        <v>148.48</v>
      </c>
      <c r="AF937" s="1">
        <v>54.81</v>
      </c>
      <c r="AG937" s="13">
        <v>128</v>
      </c>
      <c r="AH937" s="15">
        <f t="shared" si="3178"/>
        <v>0</v>
      </c>
      <c r="AI937" s="45">
        <f>AH937*$G$10</f>
        <v>0</v>
      </c>
      <c r="AJ937" s="1"/>
      <c r="AK937" s="13">
        <v>128</v>
      </c>
      <c r="AL937" s="15">
        <f t="shared" si="3179"/>
        <v>0</v>
      </c>
      <c r="AM937" s="45">
        <f>AL937*$G$10</f>
        <v>0</v>
      </c>
      <c r="AN937" s="15"/>
      <c r="AO937" s="13">
        <v>128</v>
      </c>
      <c r="AP937" s="15">
        <f t="shared" si="3180"/>
        <v>0</v>
      </c>
      <c r="AQ937" s="45">
        <f>AP937*$G$10</f>
        <v>0</v>
      </c>
      <c r="AR937" s="1">
        <v>130.79</v>
      </c>
      <c r="AS937" s="13">
        <v>128</v>
      </c>
      <c r="AT937" s="15">
        <f t="shared" si="3181"/>
        <v>0</v>
      </c>
      <c r="AU937" s="45">
        <f>AT937*$G$10</f>
        <v>0</v>
      </c>
      <c r="AV937" s="15"/>
      <c r="AW937" s="13">
        <v>128</v>
      </c>
      <c r="AX937" s="2">
        <f t="shared" si="3182"/>
        <v>0</v>
      </c>
      <c r="AY937" s="45"/>
      <c r="AZ937" s="208"/>
      <c r="BA937" s="13">
        <v>128</v>
      </c>
      <c r="BB937" s="15">
        <f t="shared" si="3183"/>
        <v>0</v>
      </c>
      <c r="BC937" s="45"/>
      <c r="BD937" s="208"/>
      <c r="BE937" s="40">
        <f t="shared" ref="BE937:BG937" si="3185">J937+N937+R937+V937+Z937+AD937+AH937+AL937+AP937+AT937+AX937+BB937</f>
        <v>10</v>
      </c>
      <c r="BF937" s="41">
        <f t="shared" si="3185"/>
        <v>185.6</v>
      </c>
      <c r="BG937" s="34">
        <f t="shared" si="3185"/>
        <v>1076.48</v>
      </c>
      <c r="BH937" s="35">
        <f t="shared" si="3174"/>
        <v>0</v>
      </c>
      <c r="BK937" s="2" t="b">
        <f>H937='2019'!BH778</f>
        <v>1</v>
      </c>
    </row>
    <row r="938" ht="15.75" customHeight="1" hidden="1" spans="1:63" x14ac:dyDescent="0.25">
      <c r="A938" s="2">
        <v>100</v>
      </c>
      <c r="B938" s="14"/>
      <c r="C938" s="2" t="s">
        <v>80</v>
      </c>
      <c r="D938" s="14" t="s">
        <v>47</v>
      </c>
      <c r="E938" s="2" t="s">
        <v>49</v>
      </c>
      <c r="F938" s="41">
        <v>500</v>
      </c>
      <c r="G938" s="28"/>
      <c r="H938" s="34">
        <f>'2019'!BH779</f>
        <v>0</v>
      </c>
      <c r="I938" s="15"/>
      <c r="J938" s="15"/>
      <c r="K938" s="15"/>
      <c r="L938" s="28"/>
      <c r="P938" s="1"/>
      <c r="Q938" s="13"/>
      <c r="R938" s="15"/>
      <c r="S938" s="15"/>
      <c r="T938" s="28"/>
      <c r="Y938" s="13"/>
      <c r="Z938" s="15"/>
      <c r="AA938" s="15"/>
      <c r="AB938" s="28"/>
      <c r="AG938" s="13"/>
      <c r="AH938" s="15"/>
      <c r="AI938" s="45"/>
      <c r="AJ938" s="15"/>
      <c r="AK938" s="13"/>
      <c r="AL938" s="15"/>
      <c r="AM938" s="45"/>
      <c r="AN938" s="15"/>
      <c r="AO938" s="13"/>
      <c r="AP938" s="15"/>
      <c r="AQ938" s="45"/>
      <c r="AR938" s="1"/>
      <c r="AS938" s="13"/>
      <c r="AT938" s="15"/>
      <c r="AU938" s="45"/>
      <c r="AV938" s="15"/>
      <c r="AW938" s="13"/>
      <c r="AY938" s="45"/>
      <c r="AZ938" s="28"/>
      <c r="BA938" s="13"/>
      <c r="BB938" s="15"/>
      <c r="BC938" s="45"/>
      <c r="BD938" s="28"/>
      <c r="BE938" s="14"/>
      <c r="BF938" s="41">
        <f t="shared" ref="BF938:BG938" si="3186">K938+O938+S938+W938+AA938+AE938+AI938+AM938+AQ938+AU938+AY938+BC938</f>
        <v>0</v>
      </c>
      <c r="BG938" s="34">
        <f t="shared" si="3186"/>
        <v>0</v>
      </c>
      <c r="BH938" s="35">
        <f t="shared" si="3174"/>
        <v>0</v>
      </c>
      <c r="BK938" s="2" t="b">
        <f>H938='2019'!BH779</f>
        <v>1</v>
      </c>
    </row>
    <row r="939" ht="15.75" customHeight="1" hidden="1" spans="1:63" x14ac:dyDescent="0.25">
      <c r="A939" s="2">
        <v>100</v>
      </c>
      <c r="B939" s="14"/>
      <c r="C939" s="2" t="s">
        <v>451</v>
      </c>
      <c r="D939" s="14" t="s">
        <v>50</v>
      </c>
      <c r="E939" s="2" t="s">
        <v>49</v>
      </c>
      <c r="F939" s="41">
        <v>1100</v>
      </c>
      <c r="G939" s="28"/>
      <c r="H939" s="182">
        <f>'2019'!BH780-0.0036</f>
        <v>2838.02</v>
      </c>
      <c r="I939" s="15"/>
      <c r="J939" s="15"/>
      <c r="K939" s="15"/>
      <c r="L939" s="28"/>
      <c r="P939" s="1">
        <v>1838.02</v>
      </c>
      <c r="Q939" s="13"/>
      <c r="R939" s="15"/>
      <c r="S939" s="15"/>
      <c r="T939" s="28"/>
      <c r="Y939" s="13"/>
      <c r="Z939" s="15"/>
      <c r="AA939" s="15"/>
      <c r="AB939" s="28"/>
      <c r="AE939" s="34">
        <f>B936*$F$12</f>
        <v>4917</v>
      </c>
      <c r="AF939" s="39">
        <v>1100</v>
      </c>
      <c r="AG939" s="13"/>
      <c r="AH939" s="15"/>
      <c r="AI939" s="45"/>
      <c r="AJ939" s="39"/>
      <c r="AK939" s="13"/>
      <c r="AL939" s="15"/>
      <c r="AM939" s="45"/>
      <c r="AN939" s="15"/>
      <c r="AO939" s="13"/>
      <c r="AP939" s="15"/>
      <c r="AQ939" s="45"/>
      <c r="AR939" s="39">
        <v>1817</v>
      </c>
      <c r="AS939" s="13"/>
      <c r="AT939" s="15"/>
      <c r="AU939" s="45"/>
      <c r="AV939" s="15"/>
      <c r="AW939" s="13"/>
      <c r="AY939" s="45"/>
      <c r="AZ939" s="28"/>
      <c r="BA939" s="13"/>
      <c r="BB939" s="15"/>
      <c r="BC939" s="45"/>
      <c r="BD939" s="28"/>
      <c r="BE939" s="14"/>
      <c r="BF939" s="41">
        <f t="shared" ref="BF939:BG939" si="3187">K939+O939+S939+W939+AA939+AE939+AI939+AM939+AQ939+AU939+AY939+BC939</f>
        <v>4917</v>
      </c>
      <c r="BG939" s="34">
        <f t="shared" si="3187"/>
        <v>4755.02</v>
      </c>
      <c r="BH939" s="35">
        <f t="shared" si="3174"/>
        <v>3000</v>
      </c>
      <c r="BK939" s="2" t="b">
        <f>H939='2019'!BH780</f>
        <v>0</v>
      </c>
    </row>
    <row r="940" ht="15.75" customHeight="1" hidden="1" spans="1:63" x14ac:dyDescent="0.25">
      <c r="A940" s="2">
        <v>100</v>
      </c>
      <c r="B940" s="14"/>
      <c r="D940" s="14" t="s">
        <v>51</v>
      </c>
      <c r="E940" s="2" t="s">
        <v>39</v>
      </c>
      <c r="F940" s="41">
        <v>500</v>
      </c>
      <c r="G940" s="28"/>
      <c r="H940" s="34">
        <f>'2019'!BH781</f>
        <v>1000</v>
      </c>
      <c r="I940" s="15"/>
      <c r="J940" s="15"/>
      <c r="K940" s="15"/>
      <c r="L940" s="28"/>
      <c r="Q940" s="13"/>
      <c r="R940" s="15"/>
      <c r="S940" s="15"/>
      <c r="T940" s="28"/>
      <c r="Y940" s="13"/>
      <c r="Z940" s="15"/>
      <c r="AA940" s="15"/>
      <c r="AB940" s="28"/>
      <c r="AE940" s="34"/>
      <c r="AG940" s="13"/>
      <c r="AH940" s="15"/>
      <c r="AI940" s="45"/>
      <c r="AJ940" s="39"/>
      <c r="AK940" s="13"/>
      <c r="AL940" s="15"/>
      <c r="AM940" s="45"/>
      <c r="AN940" s="15"/>
      <c r="AO940" s="13"/>
      <c r="AP940" s="15"/>
      <c r="AQ940" s="45">
        <f>$F$13</f>
        <v>500</v>
      </c>
      <c r="AR940" s="1"/>
      <c r="AS940" s="13"/>
      <c r="AT940" s="15"/>
      <c r="AU940" s="45"/>
      <c r="AV940" s="15"/>
      <c r="AW940" s="13"/>
      <c r="AY940" s="45"/>
      <c r="AZ940" s="28"/>
      <c r="BA940" s="13"/>
      <c r="BB940" s="15"/>
      <c r="BC940" s="45"/>
      <c r="BD940" s="28"/>
      <c r="BE940" s="14"/>
      <c r="BF940" s="41">
        <f t="shared" ref="BF940:BG940" si="3188">K940+O940+S940+W940+AA940+AE940+AI940+AM940+AQ940+AU940+AY940+BC940</f>
        <v>500</v>
      </c>
      <c r="BG940" s="34">
        <f t="shared" si="3188"/>
        <v>0</v>
      </c>
      <c r="BH940" s="35">
        <f t="shared" si="3174"/>
        <v>1500</v>
      </c>
      <c r="BK940" s="2" t="b">
        <f>H940='2019'!BH781</f>
        <v>1</v>
      </c>
    </row>
    <row r="941" ht="15.75" customHeight="1" hidden="1" spans="1:60" x14ac:dyDescent="0.25">
      <c r="A941" s="2">
        <v>100</v>
      </c>
      <c r="B941" s="14"/>
      <c r="D941" s="14" t="s">
        <v>51</v>
      </c>
      <c r="E941" s="2" t="s">
        <v>49</v>
      </c>
      <c r="F941" s="41">
        <v>500</v>
      </c>
      <c r="G941" s="28"/>
      <c r="H941" s="34"/>
      <c r="I941" s="15"/>
      <c r="J941" s="15"/>
      <c r="K941" s="15"/>
      <c r="L941" s="28"/>
      <c r="Q941" s="13"/>
      <c r="R941" s="15"/>
      <c r="S941" s="15"/>
      <c r="T941" s="28"/>
      <c r="Y941" s="13"/>
      <c r="Z941" s="15"/>
      <c r="AA941" s="15"/>
      <c r="AB941" s="28"/>
      <c r="AE941" s="34"/>
      <c r="AG941" s="13"/>
      <c r="AH941" s="15"/>
      <c r="AI941" s="45"/>
      <c r="AJ941" s="39"/>
      <c r="AK941" s="13"/>
      <c r="AL941" s="15"/>
      <c r="AM941" s="45"/>
      <c r="AN941" s="15"/>
      <c r="AO941" s="13"/>
      <c r="AP941" s="15"/>
      <c r="AQ941" s="34">
        <f>B936*$F$14</f>
        <v>2235</v>
      </c>
      <c r="AR941" s="15"/>
      <c r="AS941" s="13"/>
      <c r="AT941" s="15"/>
      <c r="AU941" s="45"/>
      <c r="AV941" s="15"/>
      <c r="AW941" s="13"/>
      <c r="AY941" s="45"/>
      <c r="AZ941" s="28"/>
      <c r="BA941" s="13"/>
      <c r="BB941" s="15"/>
      <c r="BC941" s="45"/>
      <c r="BD941" s="28"/>
      <c r="BE941" s="14"/>
      <c r="BF941" s="41">
        <f t="shared" ref="BF941:BG941" si="3189">K941+O941+S941+W941+AA941+AE941+AI941+AM941+AQ941+AU941+AY941+BC941</f>
        <v>2235</v>
      </c>
      <c r="BG941" s="34">
        <f t="shared" si="3189"/>
        <v>0</v>
      </c>
      <c r="BH941" s="35">
        <f t="shared" si="3174"/>
        <v>2235</v>
      </c>
    </row>
    <row r="942" ht="15.75" customHeight="1" hidden="1" spans="1:63" x14ac:dyDescent="0.25">
      <c r="A942" s="2">
        <v>100</v>
      </c>
      <c r="B942" s="14"/>
      <c r="D942" s="14" t="s">
        <v>52</v>
      </c>
      <c r="E942" s="2" t="s">
        <v>39</v>
      </c>
      <c r="F942" s="41">
        <v>500</v>
      </c>
      <c r="G942" s="28"/>
      <c r="H942" s="34">
        <f>'2019'!BH782</f>
        <v>500</v>
      </c>
      <c r="I942" s="15"/>
      <c r="J942" s="15"/>
      <c r="K942" s="15"/>
      <c r="L942" s="28"/>
      <c r="Q942" s="13"/>
      <c r="R942" s="15"/>
      <c r="S942" s="15"/>
      <c r="T942" s="28"/>
      <c r="X942" s="34"/>
      <c r="Y942" s="13"/>
      <c r="Z942" s="15"/>
      <c r="AA942" s="77"/>
      <c r="AB942" s="28"/>
      <c r="AG942" s="13"/>
      <c r="AH942" s="15"/>
      <c r="AI942" s="45"/>
      <c r="AJ942" s="15"/>
      <c r="AK942" s="13"/>
      <c r="AL942" s="15"/>
      <c r="AM942" s="45"/>
      <c r="AN942" s="15"/>
      <c r="AO942" s="13"/>
      <c r="AP942" s="15"/>
      <c r="AQ942" s="45"/>
      <c r="AR942" s="15"/>
      <c r="AS942" s="13"/>
      <c r="AT942" s="15"/>
      <c r="AU942" s="45"/>
      <c r="AV942" s="15"/>
      <c r="AW942" s="13"/>
      <c r="AY942" s="45"/>
      <c r="AZ942" s="35"/>
      <c r="BA942" s="13"/>
      <c r="BB942" s="15"/>
      <c r="BC942" s="45"/>
      <c r="BD942" s="35"/>
      <c r="BE942" s="14"/>
      <c r="BF942" s="41">
        <f t="shared" ref="BF942:BG942" si="3190">K942+O942+S942+W942+AA942+AE942+AI942+AM942+AQ942+AU942+AY942+BC942</f>
        <v>0</v>
      </c>
      <c r="BG942" s="34">
        <f t="shared" si="3190"/>
        <v>0</v>
      </c>
      <c r="BH942" s="35">
        <f t="shared" si="3174"/>
        <v>500</v>
      </c>
      <c r="BK942" s="2" t="b">
        <f>H942='2019'!BH782</f>
        <v>1</v>
      </c>
    </row>
    <row r="943" ht="15.75" customHeight="1" hidden="1" spans="1:63" x14ac:dyDescent="0.25">
      <c r="A943" s="247">
        <v>100</v>
      </c>
      <c r="B943" s="21"/>
      <c r="C943" s="22" t="s">
        <v>53</v>
      </c>
      <c r="D943" s="21"/>
      <c r="E943" s="22"/>
      <c r="F943" s="20"/>
      <c r="G943" s="23"/>
      <c r="H943" s="51">
        <f>SUM(H935:H942)</f>
        <v>5368.72</v>
      </c>
      <c r="I943" s="53"/>
      <c r="J943" s="53"/>
      <c r="K943" s="51">
        <f t="shared" ref="K943:L943" si="3191">SUM(K935:K942)</f>
        <v>11.9</v>
      </c>
      <c r="L943" s="68">
        <f t="shared" si="3191"/>
        <v>0</v>
      </c>
      <c r="M943" s="53"/>
      <c r="N943" s="53"/>
      <c r="O943" s="51">
        <f t="shared" ref="O943:P943" si="3192">SUM(O935:O942)</f>
        <v>9.29</v>
      </c>
      <c r="P943" s="51">
        <f t="shared" si="3192"/>
        <v>2880.62</v>
      </c>
      <c r="Q943" s="52"/>
      <c r="R943" s="53"/>
      <c r="S943" s="51">
        <f t="shared" ref="S943:T943" si="3193">SUM(S935:S942)</f>
        <v>66.2</v>
      </c>
      <c r="T943" s="51">
        <f t="shared" si="3193"/>
        <v>0</v>
      </c>
      <c r="U943" s="52"/>
      <c r="V943" s="53"/>
      <c r="W943" s="51">
        <f t="shared" ref="W943:X943" si="3194">SUM(W935:W942)</f>
        <v>103.12</v>
      </c>
      <c r="X943" s="51">
        <f t="shared" si="3194"/>
        <v>0</v>
      </c>
      <c r="Y943" s="52"/>
      <c r="Z943" s="53"/>
      <c r="AA943" s="51">
        <f t="shared" ref="AA943:AB943" si="3195">SUM(AA935:AA942)</f>
        <v>98.7</v>
      </c>
      <c r="AB943" s="51">
        <f t="shared" si="3195"/>
        <v>0</v>
      </c>
      <c r="AC943" s="52"/>
      <c r="AD943" s="53"/>
      <c r="AE943" s="51">
        <f t="shared" ref="AE943:AF943" si="3196">SUM(AE935:AE942)</f>
        <v>5176.48</v>
      </c>
      <c r="AF943" s="51">
        <f t="shared" si="3196"/>
        <v>1500</v>
      </c>
      <c r="AG943" s="52"/>
      <c r="AH943" s="53"/>
      <c r="AI943" s="183">
        <f t="shared" ref="AI943:AJ943" si="3197">SUM(AI935:AI942)</f>
        <v>63.4</v>
      </c>
      <c r="AJ943" s="51">
        <f t="shared" si="3197"/>
        <v>0</v>
      </c>
      <c r="AK943" s="52"/>
      <c r="AL943" s="53"/>
      <c r="AM943" s="183">
        <f t="shared" ref="AM943:AN943" si="3198">SUM(AM935:AM942)</f>
        <v>112.8</v>
      </c>
      <c r="AN943" s="51">
        <f t="shared" si="3198"/>
        <v>0</v>
      </c>
      <c r="AO943" s="52"/>
      <c r="AP943" s="53"/>
      <c r="AQ943" s="183">
        <f t="shared" ref="AQ943:AR943" si="3199">SUM(AQ935:AQ942)</f>
        <v>2882.69</v>
      </c>
      <c r="AR943" s="51">
        <f t="shared" si="3199"/>
        <v>2129.99</v>
      </c>
      <c r="AS943" s="52"/>
      <c r="AT943" s="53"/>
      <c r="AU943" s="183">
        <f t="shared" ref="AU943:AV943" si="3200">SUM(AU935:AU942)</f>
        <v>220.4</v>
      </c>
      <c r="AV943" s="68">
        <f t="shared" si="3200"/>
        <v>0</v>
      </c>
      <c r="AW943" s="52"/>
      <c r="AX943" s="53"/>
      <c r="AY943" s="183">
        <f t="shared" ref="AY943:AZ943" si="3201">SUM(AY935:AY942)</f>
        <v>12</v>
      </c>
      <c r="AZ943" s="68">
        <f t="shared" si="3201"/>
        <v>0</v>
      </c>
      <c r="BA943" s="52"/>
      <c r="BB943" s="53"/>
      <c r="BC943" s="183">
        <f t="shared" ref="BC943:BD943" si="3202">SUM(BC935:BC942)</f>
        <v>12.4</v>
      </c>
      <c r="BD943" s="68">
        <f t="shared" si="3202"/>
        <v>0</v>
      </c>
      <c r="BE943" s="69"/>
      <c r="BF943" s="70">
        <f t="shared" ref="BF943:BH943" si="3203">SUM(BF935:BF942)</f>
        <v>8769.38</v>
      </c>
      <c r="BG943" s="71">
        <f t="shared" si="3203"/>
        <v>6510.61</v>
      </c>
      <c r="BH943" s="72">
        <f t="shared" si="3203"/>
        <v>7627.49</v>
      </c>
      <c r="BI943" s="34">
        <f>H943+BF943-BG943</f>
        <v>7627.49</v>
      </c>
      <c r="BJ943" s="34">
        <f>BH943-BI943</f>
        <v>0</v>
      </c>
      <c r="BK943" s="2" t="b">
        <f>H943='2019'!BH783</f>
        <v>0</v>
      </c>
    </row>
    <row r="944" ht="15.75" customHeight="1" hidden="1" spans="1:63" x14ac:dyDescent="0.25">
      <c r="A944" s="2">
        <v>102</v>
      </c>
      <c r="B944" s="14"/>
      <c r="D944" s="178" t="s">
        <v>486</v>
      </c>
      <c r="F944" s="13"/>
      <c r="G944" s="28"/>
      <c r="H944" s="34">
        <f>'2019'!BH784</f>
        <v>6.34</v>
      </c>
      <c r="J944" s="15"/>
      <c r="K944" s="15"/>
      <c r="L944" s="28"/>
      <c r="Q944" s="13"/>
      <c r="R944" s="15"/>
      <c r="S944" s="15"/>
      <c r="T944" s="28"/>
      <c r="W944" s="152">
        <v>65.5</v>
      </c>
      <c r="Y944" s="13"/>
      <c r="Z944" s="15"/>
      <c r="AA944" s="15"/>
      <c r="AB944" s="28"/>
      <c r="AG944" s="13"/>
      <c r="AH944" s="15"/>
      <c r="AI944" s="45"/>
      <c r="AJ944" s="15"/>
      <c r="AK944" s="13"/>
      <c r="AM944" s="45"/>
      <c r="AO944" s="13"/>
      <c r="AQ944" s="45">
        <v>13.71</v>
      </c>
      <c r="AS944" s="13"/>
      <c r="AU944" s="45"/>
      <c r="AW944" s="13"/>
      <c r="AY944" s="45"/>
      <c r="AZ944" s="28"/>
      <c r="BA944" s="13"/>
      <c r="BB944" s="15"/>
      <c r="BC944" s="45"/>
      <c r="BD944" s="28"/>
      <c r="BE944" s="14"/>
      <c r="BF944" s="41">
        <f t="shared" ref="BF944:BG944" si="3204">K944+O944+S944+W944+AA944+AE944+AI944+AM944+AQ944+AU944+AY944+BC944</f>
        <v>79.21</v>
      </c>
      <c r="BG944" s="34">
        <f t="shared" si="3204"/>
        <v>0</v>
      </c>
      <c r="BH944" s="35">
        <f t="shared" ref="BH944:BH951" si="3205">H944+BF944-BG944</f>
        <v>85.55</v>
      </c>
      <c r="BK944" s="2" t="b">
        <f>H944='2019'!BH784</f>
        <v>1</v>
      </c>
    </row>
    <row r="945" ht="15.75" customHeight="1" hidden="1" spans="1:63" x14ac:dyDescent="0.25">
      <c r="A945" s="147">
        <v>102</v>
      </c>
      <c r="B945" s="14">
        <v>4.45</v>
      </c>
      <c r="C945" s="2" t="s">
        <v>331</v>
      </c>
      <c r="D945" s="14" t="s">
        <v>44</v>
      </c>
      <c r="E945" s="2" t="s">
        <v>45</v>
      </c>
      <c r="F945" s="41">
        <v>2.5</v>
      </c>
      <c r="G945" s="35">
        <v>2.6</v>
      </c>
      <c r="H945" s="180">
        <f>'2019'!BH785</f>
        <v>-5</v>
      </c>
      <c r="I945" s="15">
        <v>1665</v>
      </c>
      <c r="J945" s="15">
        <f>I945-'2019'!BA785</f>
        <v>15</v>
      </c>
      <c r="K945" s="34">
        <f>J945*$F$8</f>
        <v>37.5</v>
      </c>
      <c r="L945" s="28"/>
      <c r="M945" s="15">
        <v>1705</v>
      </c>
      <c r="N945" s="15">
        <f>M945-I945</f>
        <v>40</v>
      </c>
      <c r="O945" s="34">
        <f>N945*$F$8</f>
        <v>100</v>
      </c>
      <c r="Q945" s="13">
        <v>1705</v>
      </c>
      <c r="R945" s="15">
        <f>Q945-M945</f>
        <v>0</v>
      </c>
      <c r="S945" s="34">
        <f>R945*$F$8</f>
        <v>0</v>
      </c>
      <c r="T945" s="28"/>
      <c r="U945" s="15">
        <v>1756</v>
      </c>
      <c r="V945" s="15">
        <f t="shared" ref="V945:V946" si="3206">U945-Q945</f>
        <v>51</v>
      </c>
      <c r="W945" s="34">
        <f>V945*$F$8</f>
        <v>127.5</v>
      </c>
      <c r="X945" s="15"/>
      <c r="Y945" s="13">
        <v>1834</v>
      </c>
      <c r="Z945" s="15">
        <f t="shared" ref="Z945:Z946" si="3207">Y945-U945</f>
        <v>78</v>
      </c>
      <c r="AA945" s="34">
        <f>Z945*$F$8</f>
        <v>195</v>
      </c>
      <c r="AB945" s="28"/>
      <c r="AC945" s="15">
        <v>1904</v>
      </c>
      <c r="AD945" s="15">
        <f t="shared" ref="AD945:AD946" si="3208">AC945-Y945</f>
        <v>70</v>
      </c>
      <c r="AE945" s="34">
        <f>AD945*$F$8</f>
        <v>175</v>
      </c>
      <c r="AG945" s="13">
        <v>1967</v>
      </c>
      <c r="AH945" s="15">
        <f t="shared" ref="AH945:AH946" si="3209">AG945-AC945</f>
        <v>63</v>
      </c>
      <c r="AI945" s="45">
        <f>AH945*$G$8</f>
        <v>163.8</v>
      </c>
      <c r="AJ945" s="15"/>
      <c r="AK945" s="13">
        <v>2042</v>
      </c>
      <c r="AL945" s="15">
        <f t="shared" ref="AL945:AL946" si="3210">AK945-AG945</f>
        <v>75</v>
      </c>
      <c r="AM945" s="45">
        <f>AL945*$G$8</f>
        <v>195</v>
      </c>
      <c r="AN945" s="15"/>
      <c r="AO945" s="13">
        <v>2105</v>
      </c>
      <c r="AP945" s="15">
        <f t="shared" ref="AP945:AP946" si="3211">AO945-AK945</f>
        <v>63</v>
      </c>
      <c r="AQ945" s="45">
        <f>AP945*$G$8</f>
        <v>163.8</v>
      </c>
      <c r="AR945" s="39">
        <f>6000-4895</f>
        <v>1105</v>
      </c>
      <c r="AS945" s="13">
        <v>2163</v>
      </c>
      <c r="AT945" s="15">
        <f t="shared" ref="AT945:AT946" si="3212">AS945-AO945</f>
        <v>58</v>
      </c>
      <c r="AU945" s="45">
        <f>AT945*$G$8</f>
        <v>150.8</v>
      </c>
      <c r="AV945" s="15"/>
      <c r="AW945" s="13">
        <v>2165</v>
      </c>
      <c r="AX945" s="2">
        <f t="shared" ref="AX945:AX946" si="3213">AW945-AS945</f>
        <v>2</v>
      </c>
      <c r="AY945" s="45">
        <f>AX945*$G$8</f>
        <v>5.2</v>
      </c>
      <c r="AZ945" s="208"/>
      <c r="BA945" s="13">
        <v>2165</v>
      </c>
      <c r="BB945" s="15">
        <f t="shared" ref="BB945:BB946" si="3214">BA945-AW945</f>
        <v>0</v>
      </c>
      <c r="BC945" s="45">
        <f>BB945*$G$8</f>
        <v>0</v>
      </c>
      <c r="BD945" s="208"/>
      <c r="BE945" s="40">
        <f t="shared" ref="BE945:BG945" si="3215">J945+N945+R945+V945+Z945+AD945+AH945+AL945+AP945+AT945+AX945+BB945</f>
        <v>515</v>
      </c>
      <c r="BF945" s="41">
        <f t="shared" si="3215"/>
        <v>1313.6</v>
      </c>
      <c r="BG945" s="34">
        <f t="shared" si="3215"/>
        <v>1105</v>
      </c>
      <c r="BH945" s="35">
        <f t="shared" si="3205"/>
        <v>203.6</v>
      </c>
      <c r="BK945" s="2" t="b">
        <f>H945='2019'!BH785</f>
        <v>1</v>
      </c>
    </row>
    <row r="946" ht="15.75" customHeight="1" hidden="1" spans="1:63" x14ac:dyDescent="0.25">
      <c r="A946" s="2">
        <v>102</v>
      </c>
      <c r="B946" s="14"/>
      <c r="C946" s="2" t="s">
        <v>313</v>
      </c>
      <c r="D946" s="14" t="s">
        <v>47</v>
      </c>
      <c r="E946" s="2" t="s">
        <v>48</v>
      </c>
      <c r="F946" s="13">
        <v>18.56</v>
      </c>
      <c r="G946" s="35">
        <v>19.46</v>
      </c>
      <c r="H946" s="34">
        <f>'2019'!BH786</f>
        <v>-250.81</v>
      </c>
      <c r="I946" s="75">
        <v>41</v>
      </c>
      <c r="J946" s="15"/>
      <c r="K946" s="15"/>
      <c r="L946" s="28"/>
      <c r="M946" s="75">
        <v>41</v>
      </c>
      <c r="Q946" s="13">
        <v>41</v>
      </c>
      <c r="R946" s="15"/>
      <c r="S946" s="15"/>
      <c r="T946" s="28"/>
      <c r="U946" s="2">
        <v>41</v>
      </c>
      <c r="V946" s="2">
        <f t="shared" si="3206"/>
        <v>0</v>
      </c>
      <c r="W946" s="34">
        <f>V946*$F$10</f>
        <v>0</v>
      </c>
      <c r="Y946" s="13">
        <v>41</v>
      </c>
      <c r="Z946" s="15">
        <f t="shared" si="3207"/>
        <v>0</v>
      </c>
      <c r="AA946" s="34">
        <f>Z946*$F$10</f>
        <v>0</v>
      </c>
      <c r="AB946" s="28"/>
      <c r="AC946" s="15">
        <v>41</v>
      </c>
      <c r="AD946" s="15">
        <f t="shared" si="3208"/>
        <v>0</v>
      </c>
      <c r="AE946" s="34">
        <f>AD946*$F$10</f>
        <v>0</v>
      </c>
      <c r="AG946" s="13">
        <v>41</v>
      </c>
      <c r="AH946" s="15">
        <f t="shared" si="3209"/>
        <v>0</v>
      </c>
      <c r="AI946" s="45">
        <f>AH946*$G$10</f>
        <v>0</v>
      </c>
      <c r="AJ946" s="15"/>
      <c r="AK946" s="13">
        <v>41</v>
      </c>
      <c r="AL946" s="15">
        <f t="shared" si="3210"/>
        <v>0</v>
      </c>
      <c r="AM946" s="45">
        <f>AL946*$G$10</f>
        <v>0</v>
      </c>
      <c r="AN946" s="15"/>
      <c r="AO946" s="13">
        <v>41</v>
      </c>
      <c r="AP946" s="15">
        <f t="shared" si="3211"/>
        <v>0</v>
      </c>
      <c r="AQ946" s="45">
        <f>AP946*$G$10</f>
        <v>0</v>
      </c>
      <c r="AR946" s="1"/>
      <c r="AS946" s="13">
        <v>41</v>
      </c>
      <c r="AT946" s="15">
        <f t="shared" si="3212"/>
        <v>0</v>
      </c>
      <c r="AU946" s="45">
        <f>AT946*$G$10</f>
        <v>0</v>
      </c>
      <c r="AV946" s="15"/>
      <c r="AW946" s="13">
        <v>41</v>
      </c>
      <c r="AX946" s="2">
        <f t="shared" si="3213"/>
        <v>0</v>
      </c>
      <c r="AY946" s="45"/>
      <c r="AZ946" s="208"/>
      <c r="BA946" s="13">
        <v>41</v>
      </c>
      <c r="BB946" s="15">
        <f t="shared" si="3214"/>
        <v>0</v>
      </c>
      <c r="BC946" s="45"/>
      <c r="BD946" s="208"/>
      <c r="BE946" s="40">
        <f t="shared" ref="BE946:BG946" si="3216">J946+N946+R946+V946+Z946+AD946+AH946+AL946+AP946+AT946+AX946+BB946</f>
        <v>0</v>
      </c>
      <c r="BF946" s="41">
        <f t="shared" si="3216"/>
        <v>0</v>
      </c>
      <c r="BG946" s="34">
        <f t="shared" si="3216"/>
        <v>0</v>
      </c>
      <c r="BH946" s="35">
        <f t="shared" si="3205"/>
        <v>-250.81</v>
      </c>
      <c r="BK946" s="2" t="b">
        <f>H946='2019'!BH786</f>
        <v>1</v>
      </c>
    </row>
    <row r="947" ht="15.75" customHeight="1" hidden="1" spans="1:63" x14ac:dyDescent="0.25">
      <c r="A947" s="2">
        <v>102</v>
      </c>
      <c r="B947" s="14"/>
      <c r="C947" s="2" t="s">
        <v>332</v>
      </c>
      <c r="D947" s="14" t="s">
        <v>47</v>
      </c>
      <c r="E947" s="2" t="s">
        <v>49</v>
      </c>
      <c r="F947" s="41">
        <v>500</v>
      </c>
      <c r="G947" s="28"/>
      <c r="H947" s="34">
        <f>'2019'!BH787</f>
        <v>0</v>
      </c>
      <c r="I947" s="15"/>
      <c r="J947" s="15"/>
      <c r="K947" s="15"/>
      <c r="L947" s="28"/>
      <c r="Q947" s="13"/>
      <c r="R947" s="15"/>
      <c r="S947" s="15"/>
      <c r="T947" s="28"/>
      <c r="Y947" s="13"/>
      <c r="Z947" s="15"/>
      <c r="AA947" s="15"/>
      <c r="AB947" s="28"/>
      <c r="AG947" s="13"/>
      <c r="AH947" s="15"/>
      <c r="AI947" s="45"/>
      <c r="AJ947" s="15"/>
      <c r="AK947" s="13"/>
      <c r="AL947" s="15"/>
      <c r="AM947" s="45"/>
      <c r="AN947" s="15"/>
      <c r="AO947" s="13"/>
      <c r="AP947" s="15"/>
      <c r="AQ947" s="45"/>
      <c r="AR947" s="1"/>
      <c r="AS947" s="13"/>
      <c r="AT947" s="15"/>
      <c r="AU947" s="45"/>
      <c r="AV947" s="15"/>
      <c r="AW947" s="13"/>
      <c r="AY947" s="45"/>
      <c r="AZ947" s="28"/>
      <c r="BA947" s="13"/>
      <c r="BB947" s="15"/>
      <c r="BC947" s="45"/>
      <c r="BD947" s="28"/>
      <c r="BE947" s="14"/>
      <c r="BF947" s="41">
        <f t="shared" ref="BF947:BG947" si="3217">K947+O947+S947+W947+AA947+AE947+AI947+AM947+AQ947+AU947+AY947+BC947</f>
        <v>0</v>
      </c>
      <c r="BG947" s="34">
        <f t="shared" si="3217"/>
        <v>0</v>
      </c>
      <c r="BH947" s="35">
        <f t="shared" si="3205"/>
        <v>0</v>
      </c>
      <c r="BK947" s="2" t="b">
        <f>H947='2019'!BH787</f>
        <v>1</v>
      </c>
    </row>
    <row r="948" ht="15.75" customHeight="1" hidden="1" spans="1:63" x14ac:dyDescent="0.25">
      <c r="A948" s="2">
        <v>102</v>
      </c>
      <c r="B948" s="14"/>
      <c r="C948" s="15" t="s">
        <v>452</v>
      </c>
      <c r="D948" s="14" t="s">
        <v>50</v>
      </c>
      <c r="E948" s="2" t="s">
        <v>49</v>
      </c>
      <c r="F948" s="41">
        <v>1100</v>
      </c>
      <c r="G948" s="28"/>
      <c r="H948" s="182">
        <f>'2019'!BH788+0.004</f>
        <v>0</v>
      </c>
      <c r="I948" s="15"/>
      <c r="J948" s="15"/>
      <c r="K948" s="15"/>
      <c r="L948" s="28"/>
      <c r="Q948" s="13"/>
      <c r="R948" s="15"/>
      <c r="S948" s="15"/>
      <c r="T948" s="28"/>
      <c r="Y948" s="13"/>
      <c r="Z948" s="15"/>
      <c r="AA948" s="15"/>
      <c r="AB948" s="28"/>
      <c r="AE948" s="34">
        <f>B945*$F$12</f>
        <v>4895</v>
      </c>
      <c r="AG948" s="13"/>
      <c r="AH948" s="15"/>
      <c r="AI948" s="45"/>
      <c r="AJ948" s="34"/>
      <c r="AK948" s="13"/>
      <c r="AL948" s="15"/>
      <c r="AM948" s="45"/>
      <c r="AN948" s="15"/>
      <c r="AO948" s="13"/>
      <c r="AP948" s="15"/>
      <c r="AQ948" s="45"/>
      <c r="AR948" s="39">
        <v>4895</v>
      </c>
      <c r="AS948" s="13"/>
      <c r="AT948" s="15"/>
      <c r="AU948" s="45"/>
      <c r="AV948" s="15"/>
      <c r="AW948" s="13"/>
      <c r="AY948" s="45"/>
      <c r="AZ948" s="28"/>
      <c r="BA948" s="13"/>
      <c r="BB948" s="15"/>
      <c r="BC948" s="45"/>
      <c r="BD948" s="28"/>
      <c r="BE948" s="14"/>
      <c r="BF948" s="41">
        <f t="shared" ref="BF948:BG948" si="3218">K948+O948+S948+W948+AA948+AE948+AI948+AM948+AQ948+AU948+AY948+BC948</f>
        <v>4895</v>
      </c>
      <c r="BG948" s="34">
        <f t="shared" si="3218"/>
        <v>4895</v>
      </c>
      <c r="BH948" s="35">
        <f t="shared" si="3205"/>
        <v>0</v>
      </c>
      <c r="BK948" s="2" t="b">
        <f>H948='2019'!BH788</f>
        <v>0</v>
      </c>
    </row>
    <row r="949" ht="15.75" customHeight="1" hidden="1" spans="1:63" x14ac:dyDescent="0.25">
      <c r="A949" s="2">
        <v>102</v>
      </c>
      <c r="B949" s="14"/>
      <c r="D949" s="14" t="s">
        <v>51</v>
      </c>
      <c r="E949" s="2" t="s">
        <v>39</v>
      </c>
      <c r="F949" s="41">
        <v>500</v>
      </c>
      <c r="G949" s="28"/>
      <c r="H949" s="34">
        <f>'2019'!BH789</f>
        <v>0</v>
      </c>
      <c r="I949" s="15"/>
      <c r="J949" s="15"/>
      <c r="K949" s="15"/>
      <c r="L949" s="28"/>
      <c r="Q949" s="13"/>
      <c r="R949" s="15"/>
      <c r="S949" s="15"/>
      <c r="T949" s="28"/>
      <c r="Y949" s="13"/>
      <c r="Z949" s="15"/>
      <c r="AA949" s="15"/>
      <c r="AB949" s="28"/>
      <c r="AE949" s="34"/>
      <c r="AG949" s="13"/>
      <c r="AH949" s="15"/>
      <c r="AI949" s="45"/>
      <c r="AJ949" s="15"/>
      <c r="AK949" s="13"/>
      <c r="AL949" s="15"/>
      <c r="AM949" s="45"/>
      <c r="AN949" s="15"/>
      <c r="AO949" s="13"/>
      <c r="AP949" s="15"/>
      <c r="AQ949" s="45">
        <f>$F$13</f>
        <v>500</v>
      </c>
      <c r="AR949" s="15"/>
      <c r="AS949" s="13"/>
      <c r="AT949" s="15"/>
      <c r="AU949" s="45"/>
      <c r="AV949" s="15"/>
      <c r="AW949" s="13"/>
      <c r="AY949" s="45"/>
      <c r="AZ949" s="28"/>
      <c r="BA949" s="13"/>
      <c r="BB949" s="15"/>
      <c r="BC949" s="45"/>
      <c r="BD949" s="28"/>
      <c r="BE949" s="14"/>
      <c r="BF949" s="41">
        <f t="shared" ref="BF949:BG949" si="3219">K949+O949+S949+W949+AA949+AE949+AI949+AM949+AQ949+AU949+AY949+BC949</f>
        <v>500</v>
      </c>
      <c r="BG949" s="34">
        <f t="shared" si="3219"/>
        <v>0</v>
      </c>
      <c r="BH949" s="35">
        <f t="shared" si="3205"/>
        <v>500</v>
      </c>
      <c r="BK949" s="2" t="b">
        <f>H949='2019'!BH789</f>
        <v>1</v>
      </c>
    </row>
    <row r="950" ht="15.75" customHeight="1" hidden="1" spans="1:60" x14ac:dyDescent="0.25">
      <c r="A950" s="2">
        <v>102</v>
      </c>
      <c r="B950" s="14"/>
      <c r="D950" s="14" t="s">
        <v>51</v>
      </c>
      <c r="E950" s="2" t="s">
        <v>49</v>
      </c>
      <c r="F950" s="41">
        <v>500</v>
      </c>
      <c r="G950" s="28"/>
      <c r="H950" s="34"/>
      <c r="I950" s="15"/>
      <c r="J950" s="15"/>
      <c r="K950" s="15"/>
      <c r="L950" s="28"/>
      <c r="Q950" s="13"/>
      <c r="R950" s="15"/>
      <c r="S950" s="15"/>
      <c r="T950" s="28"/>
      <c r="Y950" s="13"/>
      <c r="Z950" s="15"/>
      <c r="AA950" s="15"/>
      <c r="AB950" s="28"/>
      <c r="AE950" s="34"/>
      <c r="AG950" s="13"/>
      <c r="AH950" s="15"/>
      <c r="AI950" s="45"/>
      <c r="AJ950" s="15"/>
      <c r="AK950" s="13"/>
      <c r="AL950" s="15"/>
      <c r="AM950" s="45"/>
      <c r="AN950" s="15"/>
      <c r="AO950" s="13"/>
      <c r="AP950" s="15"/>
      <c r="AQ950" s="34">
        <f>B945*$F$14</f>
        <v>2225</v>
      </c>
      <c r="AR950" s="15"/>
      <c r="AS950" s="13"/>
      <c r="AT950" s="15"/>
      <c r="AU950" s="45"/>
      <c r="AV950" s="15"/>
      <c r="AW950" s="13"/>
      <c r="AY950" s="45"/>
      <c r="AZ950" s="28"/>
      <c r="BA950" s="13"/>
      <c r="BB950" s="15"/>
      <c r="BC950" s="45"/>
      <c r="BD950" s="28"/>
      <c r="BE950" s="14"/>
      <c r="BF950" s="41">
        <f t="shared" ref="BF950:BG950" si="3220">K950+O950+S950+W950+AA950+AE950+AI950+AM950+AQ950+AU950+AY950+BC950</f>
        <v>2225</v>
      </c>
      <c r="BG950" s="34">
        <f t="shared" si="3220"/>
        <v>0</v>
      </c>
      <c r="BH950" s="35">
        <f t="shared" si="3205"/>
        <v>2225</v>
      </c>
    </row>
    <row r="951" ht="15.75" customHeight="1" hidden="1" spans="1:63" x14ac:dyDescent="0.25">
      <c r="A951" s="2">
        <v>102</v>
      </c>
      <c r="B951" s="14"/>
      <c r="D951" s="14" t="s">
        <v>52</v>
      </c>
      <c r="E951" s="2" t="s">
        <v>39</v>
      </c>
      <c r="F951" s="41">
        <v>500</v>
      </c>
      <c r="G951" s="28"/>
      <c r="H951" s="34">
        <f>'2019'!BH790</f>
        <v>0</v>
      </c>
      <c r="I951" s="15"/>
      <c r="J951" s="15"/>
      <c r="K951" s="15"/>
      <c r="L951" s="28"/>
      <c r="Q951" s="13"/>
      <c r="R951" s="15"/>
      <c r="S951" s="15"/>
      <c r="T951" s="28"/>
      <c r="Y951" s="13"/>
      <c r="Z951" s="15"/>
      <c r="AA951" s="77"/>
      <c r="AB951" s="28"/>
      <c r="AG951" s="13"/>
      <c r="AH951" s="15"/>
      <c r="AI951" s="45"/>
      <c r="AJ951" s="15"/>
      <c r="AK951" s="13"/>
      <c r="AL951" s="15"/>
      <c r="AM951" s="45"/>
      <c r="AN951" s="15"/>
      <c r="AO951" s="13"/>
      <c r="AP951" s="15"/>
      <c r="AQ951" s="45"/>
      <c r="AR951" s="15"/>
      <c r="AS951" s="13"/>
      <c r="AT951" s="15"/>
      <c r="AU951" s="45"/>
      <c r="AV951" s="15"/>
      <c r="AW951" s="13"/>
      <c r="AY951" s="45"/>
      <c r="AZ951" s="35"/>
      <c r="BA951" s="13"/>
      <c r="BB951" s="15"/>
      <c r="BC951" s="45"/>
      <c r="BD951" s="35"/>
      <c r="BE951" s="14"/>
      <c r="BF951" s="41">
        <f t="shared" ref="BF951:BG951" si="3221">K951+O951+S951+W951+AA951+AE951+AI951+AM951+AQ951+AU951+AY951+BC951</f>
        <v>0</v>
      </c>
      <c r="BG951" s="34">
        <f t="shared" si="3221"/>
        <v>0</v>
      </c>
      <c r="BH951" s="35">
        <f t="shared" si="3205"/>
        <v>0</v>
      </c>
      <c r="BK951" s="2" t="b">
        <f>H951='2019'!BH790</f>
        <v>1</v>
      </c>
    </row>
    <row r="952" ht="15.75" customHeight="1" hidden="1" spans="1:63" x14ac:dyDescent="0.25">
      <c r="A952" s="247">
        <v>102</v>
      </c>
      <c r="B952" s="21"/>
      <c r="C952" s="22" t="s">
        <v>53</v>
      </c>
      <c r="D952" s="21"/>
      <c r="E952" s="22"/>
      <c r="F952" s="20"/>
      <c r="G952" s="23"/>
      <c r="H952" s="51">
        <f>SUM(H944:H951)</f>
        <v>-249.47</v>
      </c>
      <c r="I952" s="53"/>
      <c r="J952" s="53"/>
      <c r="K952" s="51">
        <f t="shared" ref="K952:L952" si="3222">SUM(K944:K951)</f>
        <v>37.5</v>
      </c>
      <c r="L952" s="68">
        <f t="shared" si="3222"/>
        <v>0</v>
      </c>
      <c r="M952" s="53"/>
      <c r="N952" s="53"/>
      <c r="O952" s="51">
        <f t="shared" ref="O952:P952" si="3223">SUM(O944:O951)</f>
        <v>100</v>
      </c>
      <c r="P952" s="51">
        <f t="shared" si="3223"/>
        <v>0</v>
      </c>
      <c r="Q952" s="52"/>
      <c r="R952" s="53"/>
      <c r="S952" s="51">
        <f t="shared" ref="S952:T952" si="3224">SUM(S944:S951)</f>
        <v>0</v>
      </c>
      <c r="T952" s="51">
        <f t="shared" si="3224"/>
        <v>0</v>
      </c>
      <c r="U952" s="52"/>
      <c r="V952" s="53"/>
      <c r="W952" s="51">
        <f t="shared" ref="W952:X952" si="3225">SUM(W944:W951)</f>
        <v>193</v>
      </c>
      <c r="X952" s="51">
        <f t="shared" si="3225"/>
        <v>0</v>
      </c>
      <c r="Y952" s="52"/>
      <c r="Z952" s="53"/>
      <c r="AA952" s="51">
        <f t="shared" ref="AA952:AB952" si="3226">SUM(AA944:AA951)</f>
        <v>195</v>
      </c>
      <c r="AB952" s="51">
        <f t="shared" si="3226"/>
        <v>0</v>
      </c>
      <c r="AC952" s="52"/>
      <c r="AD952" s="53"/>
      <c r="AE952" s="51">
        <f t="shared" ref="AE952:AF952" si="3227">SUM(AE944:AE951)</f>
        <v>5070</v>
      </c>
      <c r="AF952" s="51">
        <f t="shared" si="3227"/>
        <v>0</v>
      </c>
      <c r="AG952" s="52"/>
      <c r="AH952" s="53"/>
      <c r="AI952" s="183">
        <f t="shared" ref="AI952:AJ952" si="3228">SUM(AI944:AI951)</f>
        <v>163.8</v>
      </c>
      <c r="AJ952" s="51">
        <f t="shared" si="3228"/>
        <v>0</v>
      </c>
      <c r="AK952" s="52"/>
      <c r="AL952" s="53"/>
      <c r="AM952" s="183">
        <f t="shared" ref="AM952:AN952" si="3229">SUM(AM944:AM951)</f>
        <v>195</v>
      </c>
      <c r="AN952" s="51">
        <f t="shared" si="3229"/>
        <v>0</v>
      </c>
      <c r="AO952" s="52"/>
      <c r="AP952" s="53"/>
      <c r="AQ952" s="183">
        <f t="shared" ref="AQ952:AR952" si="3230">SUM(AQ944:AQ951)</f>
        <v>2902.51</v>
      </c>
      <c r="AR952" s="51">
        <f t="shared" si="3230"/>
        <v>6000</v>
      </c>
      <c r="AS952" s="52"/>
      <c r="AT952" s="53"/>
      <c r="AU952" s="183">
        <f t="shared" ref="AU952:AV952" si="3231">SUM(AU944:AU951)</f>
        <v>150.8</v>
      </c>
      <c r="AV952" s="68">
        <f t="shared" si="3231"/>
        <v>0</v>
      </c>
      <c r="AW952" s="52"/>
      <c r="AX952" s="53"/>
      <c r="AY952" s="183">
        <f t="shared" ref="AY952:AZ952" si="3232">SUM(AY944:AY951)</f>
        <v>5.2</v>
      </c>
      <c r="AZ952" s="68">
        <f t="shared" si="3232"/>
        <v>0</v>
      </c>
      <c r="BA952" s="52"/>
      <c r="BB952" s="53"/>
      <c r="BC952" s="183">
        <f t="shared" ref="BC952:BD952" si="3233">SUM(BC944:BC951)</f>
        <v>0</v>
      </c>
      <c r="BD952" s="68">
        <f t="shared" si="3233"/>
        <v>0</v>
      </c>
      <c r="BE952" s="69"/>
      <c r="BF952" s="70">
        <f t="shared" ref="BF952:BH952" si="3234">SUM(BF944:BF951)</f>
        <v>9012.81</v>
      </c>
      <c r="BG952" s="71">
        <f t="shared" si="3234"/>
        <v>6000</v>
      </c>
      <c r="BH952" s="72">
        <f t="shared" si="3234"/>
        <v>2763.34</v>
      </c>
      <c r="BI952" s="34">
        <f>H952+BF952-BG952</f>
        <v>2763.34</v>
      </c>
      <c r="BJ952" s="34">
        <f>BH952-BI952</f>
        <v>0</v>
      </c>
      <c r="BK952" s="2" t="b">
        <f>H952='2019'!BH791</f>
        <v>0</v>
      </c>
    </row>
    <row r="953" ht="15.75" customHeight="1" hidden="1" spans="1:63" x14ac:dyDescent="0.25">
      <c r="A953" s="2">
        <v>104</v>
      </c>
      <c r="B953" s="14"/>
      <c r="D953" s="14" t="s">
        <v>379</v>
      </c>
      <c r="F953" s="13"/>
      <c r="G953" s="28"/>
      <c r="H953" s="34">
        <f>'2019'!BH792</f>
        <v>0</v>
      </c>
      <c r="J953" s="15"/>
      <c r="K953" s="15"/>
      <c r="L953" s="28"/>
      <c r="Q953" s="13"/>
      <c r="R953" s="15"/>
      <c r="S953" s="15"/>
      <c r="T953" s="28"/>
      <c r="Y953" s="13"/>
      <c r="Z953" s="15"/>
      <c r="AA953" s="15"/>
      <c r="AB953" s="28"/>
      <c r="AG953" s="13"/>
      <c r="AH953" s="15"/>
      <c r="AI953" s="45"/>
      <c r="AJ953" s="15"/>
      <c r="AK953" s="13"/>
      <c r="AM953" s="45"/>
      <c r="AO953" s="13"/>
      <c r="AQ953" s="45"/>
      <c r="AS953" s="13"/>
      <c r="AU953" s="45"/>
      <c r="AW953" s="13"/>
      <c r="AY953" s="45"/>
      <c r="AZ953" s="28"/>
      <c r="BA953" s="13"/>
      <c r="BB953" s="15"/>
      <c r="BC953" s="45"/>
      <c r="BD953" s="28"/>
      <c r="BE953" s="14"/>
      <c r="BF953" s="41">
        <f t="shared" ref="BF953:BG953" si="3235">K953+O953+S953+W953+AA953+AE953+AI953+AM953+AQ953+AU953+AY953+BC953</f>
        <v>0</v>
      </c>
      <c r="BG953" s="34">
        <f t="shared" si="3235"/>
        <v>0</v>
      </c>
      <c r="BH953" s="35">
        <f t="shared" ref="BH953:BH960" si="3236">H953+BF953-BG953</f>
        <v>0</v>
      </c>
      <c r="BK953" s="2" t="b">
        <f>H953='2019'!BH792</f>
        <v>1</v>
      </c>
    </row>
    <row r="954" ht="15.75" customHeight="1" hidden="1" spans="1:63" x14ac:dyDescent="0.25">
      <c r="A954" s="2">
        <v>104</v>
      </c>
      <c r="B954" s="14">
        <v>4.42</v>
      </c>
      <c r="C954" s="2" t="s">
        <v>333</v>
      </c>
      <c r="D954" s="14" t="s">
        <v>44</v>
      </c>
      <c r="E954" s="2" t="s">
        <v>45</v>
      </c>
      <c r="F954" s="41">
        <v>2.5</v>
      </c>
      <c r="G954" s="35">
        <v>2.6</v>
      </c>
      <c r="H954" s="34">
        <f>'2019'!BH793</f>
        <v>21.28</v>
      </c>
      <c r="I954" s="13">
        <v>877</v>
      </c>
      <c r="J954" s="15">
        <f>I954-'2019'!BA793</f>
        <v>0</v>
      </c>
      <c r="K954" s="34">
        <f>J954*$F$8</f>
        <v>0</v>
      </c>
      <c r="L954" s="28"/>
      <c r="M954" s="15">
        <v>877</v>
      </c>
      <c r="N954" s="15">
        <f>M954-I954</f>
        <v>0</v>
      </c>
      <c r="O954" s="34">
        <f>N954*$F$8</f>
        <v>0</v>
      </c>
      <c r="Q954" s="13">
        <v>877</v>
      </c>
      <c r="R954" s="15">
        <f>Q954-M954</f>
        <v>0</v>
      </c>
      <c r="S954" s="34">
        <f>R954*$F$8</f>
        <v>0</v>
      </c>
      <c r="T954" s="28"/>
      <c r="U954" s="15">
        <v>888</v>
      </c>
      <c r="V954" s="15">
        <f t="shared" ref="V954:V955" si="3237">U954-Q954</f>
        <v>11</v>
      </c>
      <c r="W954" s="34">
        <f>V954*$F$8</f>
        <v>27.5</v>
      </c>
      <c r="X954" s="15"/>
      <c r="Y954" s="13">
        <v>930</v>
      </c>
      <c r="Z954" s="15">
        <f t="shared" ref="Z954:Z955" si="3238">Y954-U954</f>
        <v>42</v>
      </c>
      <c r="AA954" s="34">
        <f>Z954*$F$8</f>
        <v>105</v>
      </c>
      <c r="AB954" s="28"/>
      <c r="AC954" s="15">
        <v>983</v>
      </c>
      <c r="AD954" s="15">
        <f t="shared" ref="AD954:AD955" si="3239">AC954-Y954</f>
        <v>53</v>
      </c>
      <c r="AE954" s="34">
        <f>AD954*$F$8</f>
        <v>132.5</v>
      </c>
      <c r="AF954" s="39">
        <v>154</v>
      </c>
      <c r="AG954" s="13">
        <v>1036</v>
      </c>
      <c r="AH954" s="15">
        <f t="shared" ref="AH954:AH955" si="3240">AG954-AC954</f>
        <v>53</v>
      </c>
      <c r="AI954" s="45">
        <f>AH954*$G$8</f>
        <v>137.8</v>
      </c>
      <c r="AJ954" s="185">
        <f>254.48+8.42</f>
        <v>262.9</v>
      </c>
      <c r="AK954" s="13">
        <v>1101</v>
      </c>
      <c r="AL954" s="15">
        <f t="shared" ref="AL954:AL955" si="3241">AK954-AG954</f>
        <v>65</v>
      </c>
      <c r="AM954" s="45">
        <f>AL954*$G$8</f>
        <v>169</v>
      </c>
      <c r="AN954" s="15"/>
      <c r="AO954" s="13">
        <v>1119</v>
      </c>
      <c r="AP954" s="15">
        <f t="shared" ref="AP954:AP955" si="3242">AO954-AK954</f>
        <v>18</v>
      </c>
      <c r="AQ954" s="45">
        <f>AP954*$G$8</f>
        <v>46.8</v>
      </c>
      <c r="AR954" s="15"/>
      <c r="AS954" s="13">
        <v>1140</v>
      </c>
      <c r="AT954" s="15">
        <f t="shared" ref="AT954:AT955" si="3243">AS954-AO954</f>
        <v>21</v>
      </c>
      <c r="AU954" s="45">
        <f>AT954*$G$8</f>
        <v>54.6</v>
      </c>
      <c r="AV954" s="15"/>
      <c r="AW954" s="13">
        <v>1140</v>
      </c>
      <c r="AX954" s="2">
        <f t="shared" ref="AX954:AX955" si="3244">AW954-AS954</f>
        <v>0</v>
      </c>
      <c r="AY954" s="45">
        <f>AX954*$G$8</f>
        <v>0</v>
      </c>
      <c r="AZ954" s="249">
        <v>281.62</v>
      </c>
      <c r="BA954" s="13">
        <v>1140</v>
      </c>
      <c r="BB954" s="15">
        <f t="shared" ref="BB954:BB955" si="3245">BA954-AW954</f>
        <v>0</v>
      </c>
      <c r="BC954" s="45">
        <f>BB954*$G$8</f>
        <v>0</v>
      </c>
      <c r="BD954" s="208"/>
      <c r="BE954" s="40">
        <f t="shared" ref="BE954:BG954" si="3246">J954+N954+R954+V954+Z954+AD954+AH954+AL954+AP954+AT954+AX954+BB954</f>
        <v>263</v>
      </c>
      <c r="BF954" s="41">
        <f t="shared" si="3246"/>
        <v>673.2</v>
      </c>
      <c r="BG954" s="34">
        <f t="shared" si="3246"/>
        <v>698.52</v>
      </c>
      <c r="BH954" s="35">
        <f t="shared" si="3236"/>
        <v>-4.04</v>
      </c>
      <c r="BK954" s="2" t="b">
        <f>H954='2019'!BH793</f>
        <v>1</v>
      </c>
    </row>
    <row r="955" ht="15.75" customHeight="1" hidden="1" spans="1:63" x14ac:dyDescent="0.25">
      <c r="A955" s="2">
        <v>104</v>
      </c>
      <c r="B955" s="14"/>
      <c r="C955" s="2" t="s">
        <v>163</v>
      </c>
      <c r="D955" s="14" t="s">
        <v>47</v>
      </c>
      <c r="E955" s="2" t="s">
        <v>48</v>
      </c>
      <c r="F955" s="13">
        <v>18.56</v>
      </c>
      <c r="G955" s="35">
        <v>19.46</v>
      </c>
      <c r="H955" s="34">
        <f>'2019'!BH794</f>
        <v>-0.88</v>
      </c>
      <c r="I955" s="15">
        <v>202</v>
      </c>
      <c r="J955" s="15"/>
      <c r="K955" s="15"/>
      <c r="L955" s="28"/>
      <c r="M955" s="2">
        <v>202</v>
      </c>
      <c r="Q955" s="13">
        <v>202</v>
      </c>
      <c r="R955" s="15"/>
      <c r="S955" s="15"/>
      <c r="T955" s="28"/>
      <c r="U955" s="2">
        <v>203</v>
      </c>
      <c r="V955" s="2">
        <f t="shared" si="3237"/>
        <v>1</v>
      </c>
      <c r="W955" s="2">
        <f>V955*$F$10</f>
        <v>18.56</v>
      </c>
      <c r="Y955" s="13">
        <v>203</v>
      </c>
      <c r="Z955" s="15">
        <f t="shared" si="3238"/>
        <v>0</v>
      </c>
      <c r="AA955" s="34">
        <f>Z955*$F$10</f>
        <v>0</v>
      </c>
      <c r="AB955" s="28"/>
      <c r="AC955" s="15">
        <v>220</v>
      </c>
      <c r="AD955" s="15">
        <f t="shared" si="3239"/>
        <v>17</v>
      </c>
      <c r="AE955" s="34">
        <f>AD955*$F$10</f>
        <v>315.52</v>
      </c>
      <c r="AF955" s="133">
        <f>328.18+9.82</f>
        <v>338</v>
      </c>
      <c r="AG955" s="13">
        <v>235</v>
      </c>
      <c r="AH955" s="15">
        <f t="shared" si="3240"/>
        <v>15</v>
      </c>
      <c r="AI955" s="45">
        <f>AH955*$G$10</f>
        <v>291.9</v>
      </c>
      <c r="AJ955" s="185">
        <v>287.1</v>
      </c>
      <c r="AK955" s="13">
        <v>235</v>
      </c>
      <c r="AL955" s="15">
        <f t="shared" si="3241"/>
        <v>0</v>
      </c>
      <c r="AM955" s="45">
        <f>AL955*$G$10</f>
        <v>0</v>
      </c>
      <c r="AN955" s="15"/>
      <c r="AO955" s="13">
        <v>238</v>
      </c>
      <c r="AP955" s="15">
        <f t="shared" si="3242"/>
        <v>3</v>
      </c>
      <c r="AQ955" s="45">
        <f>AP955*$G$10</f>
        <v>58.38</v>
      </c>
      <c r="AR955" s="15"/>
      <c r="AS955" s="13">
        <v>238</v>
      </c>
      <c r="AT955" s="15">
        <f t="shared" si="3243"/>
        <v>0</v>
      </c>
      <c r="AU955" s="45">
        <f>AT955*$G$10</f>
        <v>0</v>
      </c>
      <c r="AV955" s="15"/>
      <c r="AW955" s="13">
        <v>238</v>
      </c>
      <c r="AX955" s="2">
        <f t="shared" si="3244"/>
        <v>0</v>
      </c>
      <c r="AY955" s="45"/>
      <c r="AZ955" s="249">
        <v>58.38</v>
      </c>
      <c r="BA955" s="13">
        <v>238</v>
      </c>
      <c r="BB955" s="15">
        <f t="shared" si="3245"/>
        <v>0</v>
      </c>
      <c r="BC955" s="45"/>
      <c r="BD955" s="208"/>
      <c r="BE955" s="40">
        <f t="shared" ref="BE955:BG955" si="3247">J955+N955+R955+V955+Z955+AD955+AH955+AL955+AP955+AT955+AX955+BB955</f>
        <v>36</v>
      </c>
      <c r="BF955" s="41">
        <f t="shared" si="3247"/>
        <v>684.36</v>
      </c>
      <c r="BG955" s="34">
        <f t="shared" si="3247"/>
        <v>683.48</v>
      </c>
      <c r="BH955" s="35">
        <f t="shared" si="3236"/>
        <v>0</v>
      </c>
      <c r="BK955" s="2" t="b">
        <f>H955='2019'!BH794</f>
        <v>1</v>
      </c>
    </row>
    <row r="956" ht="15.75" customHeight="1" hidden="1" spans="1:63" x14ac:dyDescent="0.25">
      <c r="A956" s="2">
        <v>104</v>
      </c>
      <c r="B956" s="14"/>
      <c r="C956" s="15" t="s">
        <v>334</v>
      </c>
      <c r="D956" s="14" t="s">
        <v>47</v>
      </c>
      <c r="E956" s="2" t="s">
        <v>49</v>
      </c>
      <c r="F956" s="41">
        <v>500</v>
      </c>
      <c r="G956" s="28"/>
      <c r="H956" s="34">
        <f>'2019'!BH795</f>
        <v>0</v>
      </c>
      <c r="I956" s="15"/>
      <c r="J956" s="15"/>
      <c r="K956" s="15"/>
      <c r="L956" s="28"/>
      <c r="Q956" s="13"/>
      <c r="R956" s="15"/>
      <c r="S956" s="15"/>
      <c r="T956" s="28"/>
      <c r="Y956" s="13"/>
      <c r="Z956" s="15"/>
      <c r="AA956" s="15"/>
      <c r="AB956" s="28"/>
      <c r="AG956" s="13"/>
      <c r="AH956" s="15"/>
      <c r="AI956" s="45"/>
      <c r="AJ956" s="15"/>
      <c r="AK956" s="13"/>
      <c r="AL956" s="15"/>
      <c r="AM956" s="45"/>
      <c r="AN956" s="15"/>
      <c r="AO956" s="13"/>
      <c r="AP956" s="15"/>
      <c r="AQ956" s="45"/>
      <c r="AR956" s="15"/>
      <c r="AS956" s="13"/>
      <c r="AT956" s="15"/>
      <c r="AU956" s="45"/>
      <c r="AV956" s="15"/>
      <c r="AW956" s="13"/>
      <c r="AY956" s="45"/>
      <c r="AZ956" s="32"/>
      <c r="BA956" s="13"/>
      <c r="BB956" s="15"/>
      <c r="BC956" s="45"/>
      <c r="BD956" s="28"/>
      <c r="BE956" s="14"/>
      <c r="BF956" s="41">
        <f t="shared" ref="BF956:BG956" si="3248">K956+O956+S956+W956+AA956+AE956+AI956+AM956+AQ956+AU956+AY956+BC956</f>
        <v>0</v>
      </c>
      <c r="BG956" s="34">
        <f t="shared" si="3248"/>
        <v>0</v>
      </c>
      <c r="BH956" s="35">
        <f t="shared" si="3236"/>
        <v>0</v>
      </c>
      <c r="BK956" s="2" t="b">
        <f>H956='2019'!BH795</f>
        <v>1</v>
      </c>
    </row>
    <row r="957" ht="15.75" customHeight="1" hidden="1" spans="1:63" x14ac:dyDescent="0.25">
      <c r="A957" s="2">
        <v>104</v>
      </c>
      <c r="B957" s="14"/>
      <c r="C957" s="2" t="s">
        <v>90</v>
      </c>
      <c r="D957" s="14" t="s">
        <v>50</v>
      </c>
      <c r="E957" s="2" t="s">
        <v>49</v>
      </c>
      <c r="F957" s="41">
        <v>1100</v>
      </c>
      <c r="G957" s="28"/>
      <c r="H957" s="182">
        <f>'2019'!BH796+0.0004</f>
        <v>0</v>
      </c>
      <c r="I957" s="15"/>
      <c r="J957" s="15"/>
      <c r="K957" s="15"/>
      <c r="L957" s="28"/>
      <c r="Q957" s="13"/>
      <c r="R957" s="15"/>
      <c r="S957" s="15"/>
      <c r="T957" s="28"/>
      <c r="Y957" s="13"/>
      <c r="Z957" s="15"/>
      <c r="AA957" s="15"/>
      <c r="AB957" s="28"/>
      <c r="AE957" s="34">
        <f>B954*$F$12</f>
        <v>4862</v>
      </c>
      <c r="AF957" s="133">
        <v>4862</v>
      </c>
      <c r="AG957" s="13"/>
      <c r="AH957" s="15"/>
      <c r="AI957" s="45"/>
      <c r="AJ957" s="2"/>
      <c r="AK957" s="13"/>
      <c r="AL957" s="15"/>
      <c r="AM957" s="45"/>
      <c r="AN957" s="15"/>
      <c r="AO957" s="13"/>
      <c r="AP957" s="15"/>
      <c r="AQ957" s="45"/>
      <c r="AR957" s="15"/>
      <c r="AS957" s="13"/>
      <c r="AT957" s="15"/>
      <c r="AU957" s="45"/>
      <c r="AV957" s="15"/>
      <c r="AW957" s="13"/>
      <c r="AY957" s="45"/>
      <c r="AZ957" s="32"/>
      <c r="BA957" s="13"/>
      <c r="BB957" s="15"/>
      <c r="BC957" s="45"/>
      <c r="BD957" s="28"/>
      <c r="BE957" s="14"/>
      <c r="BF957" s="41">
        <f t="shared" ref="BF957:BG957" si="3249">K957+O957+S957+W957+AA957+AE957+AI957+AM957+AQ957+AU957+AY957+BC957</f>
        <v>4862</v>
      </c>
      <c r="BG957" s="34">
        <f t="shared" si="3249"/>
        <v>4862</v>
      </c>
      <c r="BH957" s="35">
        <f t="shared" si="3236"/>
        <v>0</v>
      </c>
      <c r="BK957" s="2" t="b">
        <f>H957='2019'!BH796</f>
        <v>0</v>
      </c>
    </row>
    <row r="958" ht="15.75" customHeight="1" hidden="1" spans="1:63" x14ac:dyDescent="0.25">
      <c r="A958" s="2">
        <v>104</v>
      </c>
      <c r="B958" s="14"/>
      <c r="C958" s="2" t="s">
        <v>335</v>
      </c>
      <c r="D958" s="14" t="s">
        <v>51</v>
      </c>
      <c r="E958" s="2" t="s">
        <v>39</v>
      </c>
      <c r="F958" s="41">
        <v>500</v>
      </c>
      <c r="G958" s="28"/>
      <c r="H958" s="34">
        <f>'2019'!BH797</f>
        <v>0</v>
      </c>
      <c r="I958" s="15"/>
      <c r="J958" s="15"/>
      <c r="K958" s="15"/>
      <c r="L958" s="28"/>
      <c r="Q958" s="13"/>
      <c r="R958" s="15"/>
      <c r="S958" s="15"/>
      <c r="T958" s="28"/>
      <c r="Y958" s="13"/>
      <c r="Z958" s="15"/>
      <c r="AA958" s="15"/>
      <c r="AB958" s="28"/>
      <c r="AE958" s="34"/>
      <c r="AG958" s="13"/>
      <c r="AH958" s="15"/>
      <c r="AI958" s="45"/>
      <c r="AJ958" s="180"/>
      <c r="AK958" s="13"/>
      <c r="AL958" s="15"/>
      <c r="AM958" s="45"/>
      <c r="AN958" s="15"/>
      <c r="AO958" s="13"/>
      <c r="AP958" s="15"/>
      <c r="AQ958" s="45">
        <f>$F$13</f>
        <v>500</v>
      </c>
      <c r="AR958" s="15"/>
      <c r="AS958" s="13"/>
      <c r="AT958" s="15"/>
      <c r="AU958" s="45"/>
      <c r="AV958" s="15"/>
      <c r="AW958" s="13"/>
      <c r="AY958" s="45"/>
      <c r="AZ958" s="38">
        <v>500</v>
      </c>
      <c r="BA958" s="13"/>
      <c r="BB958" s="15"/>
      <c r="BC958" s="45"/>
      <c r="BD958" s="28"/>
      <c r="BE958" s="14"/>
      <c r="BF958" s="41">
        <f t="shared" ref="BF958:BG958" si="3250">K958+O958+S958+W958+AA958+AE958+AI958+AM958+AQ958+AU958+AY958+BC958</f>
        <v>500</v>
      </c>
      <c r="BG958" s="34">
        <f t="shared" si="3250"/>
        <v>500</v>
      </c>
      <c r="BH958" s="35">
        <f t="shared" si="3236"/>
        <v>0</v>
      </c>
      <c r="BK958" s="2" t="b">
        <f>H958='2019'!BH797</f>
        <v>1</v>
      </c>
    </row>
    <row r="959" ht="15.75" customHeight="1" hidden="1" spans="1:60" x14ac:dyDescent="0.25">
      <c r="A959" s="2">
        <v>104</v>
      </c>
      <c r="B959" s="14"/>
      <c r="D959" s="14" t="s">
        <v>51</v>
      </c>
      <c r="E959" s="2" t="s">
        <v>49</v>
      </c>
      <c r="F959" s="41">
        <v>500</v>
      </c>
      <c r="G959" s="28"/>
      <c r="H959" s="34"/>
      <c r="I959" s="15"/>
      <c r="J959" s="15"/>
      <c r="K959" s="15"/>
      <c r="L959" s="28"/>
      <c r="Q959" s="13"/>
      <c r="R959" s="15"/>
      <c r="S959" s="15"/>
      <c r="T959" s="28"/>
      <c r="Y959" s="13"/>
      <c r="Z959" s="15"/>
      <c r="AA959" s="15"/>
      <c r="AB959" s="28"/>
      <c r="AE959" s="34"/>
      <c r="AG959" s="13"/>
      <c r="AH959" s="15"/>
      <c r="AI959" s="45"/>
      <c r="AJ959" s="180"/>
      <c r="AK959" s="13"/>
      <c r="AL959" s="15"/>
      <c r="AM959" s="45"/>
      <c r="AN959" s="15"/>
      <c r="AO959" s="13"/>
      <c r="AP959" s="15"/>
      <c r="AQ959" s="34">
        <f>B954*$F$14</f>
        <v>2210</v>
      </c>
      <c r="AR959" s="15"/>
      <c r="AS959" s="13"/>
      <c r="AT959" s="15"/>
      <c r="AU959" s="45"/>
      <c r="AV959" s="15"/>
      <c r="AW959" s="13"/>
      <c r="AY959" s="45"/>
      <c r="AZ959" s="38">
        <v>2210</v>
      </c>
      <c r="BA959" s="13"/>
      <c r="BB959" s="15"/>
      <c r="BC959" s="45"/>
      <c r="BD959" s="28"/>
      <c r="BE959" s="14"/>
      <c r="BF959" s="41">
        <f t="shared" ref="BF959:BG959" si="3251">K959+O959+S959+W959+AA959+AE959+AI959+AM959+AQ959+AU959+AY959+BC959</f>
        <v>2210</v>
      </c>
      <c r="BG959" s="34">
        <f t="shared" si="3251"/>
        <v>2210</v>
      </c>
      <c r="BH959" s="35">
        <f t="shared" si="3236"/>
        <v>0</v>
      </c>
    </row>
    <row r="960" ht="15.75" customHeight="1" hidden="1" spans="1:63" x14ac:dyDescent="0.25">
      <c r="A960" s="2">
        <v>104</v>
      </c>
      <c r="B960" s="14"/>
      <c r="D960" s="14" t="s">
        <v>52</v>
      </c>
      <c r="E960" s="2" t="s">
        <v>39</v>
      </c>
      <c r="F960" s="41">
        <v>500</v>
      </c>
      <c r="G960" s="28"/>
      <c r="H960" s="34">
        <f>'2019'!BH798</f>
        <v>0</v>
      </c>
      <c r="I960" s="15"/>
      <c r="J960" s="15"/>
      <c r="K960" s="15"/>
      <c r="L960" s="28"/>
      <c r="Q960" s="13"/>
      <c r="R960" s="15"/>
      <c r="S960" s="15"/>
      <c r="T960" s="28"/>
      <c r="Y960" s="13"/>
      <c r="Z960" s="15"/>
      <c r="AA960" s="34">
        <f>$F$11</f>
        <v>500</v>
      </c>
      <c r="AB960" s="28"/>
      <c r="AF960" s="133">
        <v>500</v>
      </c>
      <c r="AG960" s="13"/>
      <c r="AH960" s="15"/>
      <c r="AI960" s="45"/>
      <c r="AJ960" s="180"/>
      <c r="AK960" s="13"/>
      <c r="AL960" s="15"/>
      <c r="AM960" s="45"/>
      <c r="AN960" s="15"/>
      <c r="AO960" s="13"/>
      <c r="AP960" s="15"/>
      <c r="AQ960" s="45"/>
      <c r="AR960" s="15"/>
      <c r="AS960" s="13"/>
      <c r="AT960" s="15"/>
      <c r="AU960" s="45"/>
      <c r="AV960" s="15"/>
      <c r="AW960" s="13"/>
      <c r="AY960" s="45"/>
      <c r="AZ960" s="35"/>
      <c r="BA960" s="13"/>
      <c r="BB960" s="15"/>
      <c r="BC960" s="45"/>
      <c r="BD960" s="35"/>
      <c r="BE960" s="14"/>
      <c r="BF960" s="41">
        <f t="shared" ref="BF960:BG960" si="3252">K960+O960+S960+W960+AA960+AE960+AI960+AM960+AQ960+AU960+AY960+BC960</f>
        <v>500</v>
      </c>
      <c r="BG960" s="34">
        <f t="shared" si="3252"/>
        <v>500</v>
      </c>
      <c r="BH960" s="35">
        <f t="shared" si="3236"/>
        <v>0</v>
      </c>
      <c r="BK960" s="2" t="b">
        <f>H960='2019'!BH798</f>
        <v>1</v>
      </c>
    </row>
    <row r="961" ht="15.75" customHeight="1" hidden="1" spans="1:63" x14ac:dyDescent="0.25">
      <c r="A961" s="247">
        <v>104</v>
      </c>
      <c r="B961" s="21"/>
      <c r="C961" s="22" t="s">
        <v>53</v>
      </c>
      <c r="D961" s="21"/>
      <c r="E961" s="22"/>
      <c r="F961" s="20"/>
      <c r="G961" s="23"/>
      <c r="H961" s="51">
        <f>SUM(H953:H960)</f>
        <v>20.4</v>
      </c>
      <c r="I961" s="53"/>
      <c r="J961" s="53"/>
      <c r="K961" s="51">
        <f t="shared" ref="K961:L961" si="3253">SUM(K953:K960)</f>
        <v>0</v>
      </c>
      <c r="L961" s="68">
        <f t="shared" si="3253"/>
        <v>0</v>
      </c>
      <c r="M961" s="53"/>
      <c r="N961" s="53"/>
      <c r="O961" s="51">
        <f t="shared" ref="O961:P961" si="3254">SUM(O953:O960)</f>
        <v>0</v>
      </c>
      <c r="P961" s="51">
        <f t="shared" si="3254"/>
        <v>0</v>
      </c>
      <c r="Q961" s="52"/>
      <c r="R961" s="53"/>
      <c r="S961" s="51">
        <f t="shared" ref="S961:T961" si="3255">SUM(S953:S960)</f>
        <v>0</v>
      </c>
      <c r="T961" s="51">
        <f t="shared" si="3255"/>
        <v>0</v>
      </c>
      <c r="U961" s="52"/>
      <c r="V961" s="53"/>
      <c r="W961" s="51">
        <f t="shared" ref="W961:X961" si="3256">SUM(W953:W960)</f>
        <v>46.06</v>
      </c>
      <c r="X961" s="51">
        <f t="shared" si="3256"/>
        <v>0</v>
      </c>
      <c r="Y961" s="52"/>
      <c r="Z961" s="53"/>
      <c r="AA961" s="51">
        <f t="shared" ref="AA961:AB961" si="3257">SUM(AA953:AA960)</f>
        <v>605</v>
      </c>
      <c r="AB961" s="51">
        <f t="shared" si="3257"/>
        <v>0</v>
      </c>
      <c r="AC961" s="52"/>
      <c r="AD961" s="53"/>
      <c r="AE961" s="51">
        <f t="shared" ref="AE961:AF961" si="3258">SUM(AE953:AE960)</f>
        <v>5310.02</v>
      </c>
      <c r="AF961" s="51">
        <f t="shared" si="3258"/>
        <v>5854</v>
      </c>
      <c r="AG961" s="52"/>
      <c r="AH961" s="53"/>
      <c r="AI961" s="183">
        <f t="shared" ref="AI961:AJ961" si="3259">SUM(AI953:AI960)</f>
        <v>429.7</v>
      </c>
      <c r="AJ961" s="51">
        <f t="shared" si="3259"/>
        <v>550</v>
      </c>
      <c r="AK961" s="52"/>
      <c r="AL961" s="53"/>
      <c r="AM961" s="183">
        <f t="shared" ref="AM961:AN961" si="3260">SUM(AM953:AM960)</f>
        <v>169</v>
      </c>
      <c r="AN961" s="51">
        <f t="shared" si="3260"/>
        <v>0</v>
      </c>
      <c r="AO961" s="52"/>
      <c r="AP961" s="53"/>
      <c r="AQ961" s="183">
        <f t="shared" ref="AQ961:AR961" si="3261">SUM(AQ953:AQ960)</f>
        <v>2815.18</v>
      </c>
      <c r="AR961" s="51">
        <f t="shared" si="3261"/>
        <v>0</v>
      </c>
      <c r="AS961" s="52"/>
      <c r="AT961" s="53"/>
      <c r="AU961" s="183">
        <f t="shared" ref="AU961:AV961" si="3262">SUM(AU953:AU960)</f>
        <v>54.6</v>
      </c>
      <c r="AV961" s="68">
        <f t="shared" si="3262"/>
        <v>0</v>
      </c>
      <c r="AW961" s="52"/>
      <c r="AX961" s="53"/>
      <c r="AY961" s="183">
        <f t="shared" ref="AY961:AZ961" si="3263">SUM(AY953:AY960)</f>
        <v>0</v>
      </c>
      <c r="AZ961" s="68">
        <f t="shared" si="3263"/>
        <v>3050</v>
      </c>
      <c r="BA961" s="52"/>
      <c r="BB961" s="53"/>
      <c r="BC961" s="183">
        <f t="shared" ref="BC961:BD961" si="3264">SUM(BC953:BC960)</f>
        <v>0</v>
      </c>
      <c r="BD961" s="68">
        <f t="shared" si="3264"/>
        <v>0</v>
      </c>
      <c r="BE961" s="69"/>
      <c r="BF961" s="70">
        <f t="shared" ref="BF961:BH961" si="3265">SUM(BF953:BF960)</f>
        <v>9429.56</v>
      </c>
      <c r="BG961" s="71">
        <f t="shared" si="3265"/>
        <v>9454</v>
      </c>
      <c r="BH961" s="72">
        <f t="shared" si="3265"/>
        <v>-4.04</v>
      </c>
      <c r="BI961" s="34">
        <f>H961+BF961-BG961</f>
        <v>-4.04</v>
      </c>
      <c r="BJ961" s="34">
        <f>BH961-BI961</f>
        <v>0</v>
      </c>
      <c r="BK961" s="2" t="b">
        <f>H961='2019'!BH799</f>
        <v>0</v>
      </c>
    </row>
    <row r="962" ht="15.75" customHeight="1" hidden="1" spans="1:63" x14ac:dyDescent="0.25">
      <c r="A962" s="2">
        <v>106</v>
      </c>
      <c r="B962" s="14"/>
      <c r="D962" s="14" t="s">
        <v>379</v>
      </c>
      <c r="F962" s="13"/>
      <c r="G962" s="28"/>
      <c r="H962" s="34">
        <f>'2019'!BH800</f>
        <v>0</v>
      </c>
      <c r="J962" s="15"/>
      <c r="K962" s="15"/>
      <c r="L962" s="28"/>
      <c r="Q962" s="13"/>
      <c r="R962" s="15"/>
      <c r="S962" s="15"/>
      <c r="T962" s="28"/>
      <c r="Y962" s="13"/>
      <c r="Z962" s="15"/>
      <c r="AA962" s="15"/>
      <c r="AB962" s="28"/>
      <c r="AG962" s="13"/>
      <c r="AH962" s="15"/>
      <c r="AI962" s="45"/>
      <c r="AJ962" s="15"/>
      <c r="AK962" s="13"/>
      <c r="AM962" s="45"/>
      <c r="AO962" s="13"/>
      <c r="AQ962" s="45"/>
      <c r="AS962" s="13"/>
      <c r="AU962" s="45"/>
      <c r="AW962" s="13"/>
      <c r="AY962" s="45"/>
      <c r="AZ962" s="28"/>
      <c r="BA962" s="13"/>
      <c r="BB962" s="15"/>
      <c r="BC962" s="45"/>
      <c r="BD962" s="28"/>
      <c r="BE962" s="14"/>
      <c r="BF962" s="41">
        <f t="shared" ref="BF962:BG962" si="3266">K962+O962+S962+W962+AA962+AE962+AI962+AM962+AQ962+AU962+AY962+BC962</f>
        <v>0</v>
      </c>
      <c r="BG962" s="34">
        <f t="shared" si="3266"/>
        <v>0</v>
      </c>
      <c r="BH962" s="35">
        <f t="shared" ref="BH962:BH969" si="3267">H962+BF962-BG962</f>
        <v>0</v>
      </c>
      <c r="BK962" s="2" t="b">
        <f>H962='2019'!BH800</f>
        <v>1</v>
      </c>
    </row>
    <row r="963" ht="15.75" customHeight="1" hidden="1" spans="1:63" x14ac:dyDescent="0.25">
      <c r="A963" s="2">
        <v>106</v>
      </c>
      <c r="B963" s="14">
        <v>4.57</v>
      </c>
      <c r="C963" s="2" t="s">
        <v>336</v>
      </c>
      <c r="D963" s="14" t="s">
        <v>44</v>
      </c>
      <c r="E963" s="2" t="s">
        <v>45</v>
      </c>
      <c r="F963" s="41">
        <v>2.5</v>
      </c>
      <c r="G963" s="35">
        <v>2.6</v>
      </c>
      <c r="H963" s="104">
        <f>'2019'!BH801</f>
        <v>0</v>
      </c>
      <c r="I963" s="15"/>
      <c r="J963" s="15"/>
      <c r="K963" s="34">
        <f>J963*$F$8</f>
        <v>0</v>
      </c>
      <c r="L963" s="28"/>
      <c r="N963" s="15"/>
      <c r="O963" s="34">
        <f>N963*$F$8</f>
        <v>0</v>
      </c>
      <c r="Q963" s="13"/>
      <c r="R963" s="15">
        <f>Q963-M963</f>
        <v>0</v>
      </c>
      <c r="S963" s="34">
        <f>R963*$F$8</f>
        <v>0</v>
      </c>
      <c r="T963" s="28"/>
      <c r="V963" s="15">
        <f>U963-Q963</f>
        <v>0</v>
      </c>
      <c r="W963" s="34">
        <f>V963*$F$8</f>
        <v>0</v>
      </c>
      <c r="Y963" s="13"/>
      <c r="Z963" s="15">
        <f t="shared" ref="Z963:Z964" si="3268">Y963-U963</f>
        <v>0</v>
      </c>
      <c r="AA963" s="34">
        <f>Z963*$F$8</f>
        <v>0</v>
      </c>
      <c r="AB963" s="28"/>
      <c r="AC963" s="15"/>
      <c r="AD963" s="15">
        <f t="shared" ref="AD963:AD964" si="3269">AC963-Y963</f>
        <v>0</v>
      </c>
      <c r="AE963" s="34">
        <f>AD963*$F$8</f>
        <v>0</v>
      </c>
      <c r="AG963" s="13"/>
      <c r="AH963" s="15">
        <f t="shared" ref="AH963:AH964" si="3270">AG963-AC963</f>
        <v>0</v>
      </c>
      <c r="AI963" s="45">
        <f>AH963*$G$8</f>
        <v>0</v>
      </c>
      <c r="AJ963" s="15"/>
      <c r="AK963" s="13">
        <v>0</v>
      </c>
      <c r="AL963" s="15">
        <f t="shared" ref="AL963:AL964" si="3271">AK963-AG963</f>
        <v>0</v>
      </c>
      <c r="AM963" s="45">
        <f>AL963*$G$8</f>
        <v>0</v>
      </c>
      <c r="AN963" s="15"/>
      <c r="AO963" s="13">
        <v>0</v>
      </c>
      <c r="AP963" s="15">
        <f t="shared" ref="AP963:AP964" si="3272">AO963-AK963</f>
        <v>0</v>
      </c>
      <c r="AQ963" s="45">
        <f>AP963*$G$8</f>
        <v>0</v>
      </c>
      <c r="AR963" s="15"/>
      <c r="AS963" s="13">
        <v>0</v>
      </c>
      <c r="AT963" s="15">
        <f t="shared" ref="AT963:AT964" si="3273">AS963-AO963</f>
        <v>0</v>
      </c>
      <c r="AU963" s="45">
        <f>AT963*$G$8</f>
        <v>0</v>
      </c>
      <c r="AV963" s="15"/>
      <c r="AW963" s="13">
        <v>0</v>
      </c>
      <c r="AX963" s="2">
        <f t="shared" ref="AX963:AX964" si="3274">AW963-AS963</f>
        <v>0</v>
      </c>
      <c r="AY963" s="45">
        <f>AX963*$G$8</f>
        <v>0</v>
      </c>
      <c r="AZ963" s="208"/>
      <c r="BA963" s="13">
        <v>0</v>
      </c>
      <c r="BB963" s="15">
        <f t="shared" ref="BB963:BB964" si="3275">BA963-AW963</f>
        <v>0</v>
      </c>
      <c r="BC963" s="45">
        <f>BB963*$G$8</f>
        <v>0</v>
      </c>
      <c r="BD963" s="208"/>
      <c r="BE963" s="40">
        <f t="shared" ref="BE963:BG963" si="3276">J963+N963+R963+V963+Z963+AD963+AH963+AL963+AP963+AT963+AX963+BB963</f>
        <v>0</v>
      </c>
      <c r="BF963" s="41">
        <f t="shared" si="3276"/>
        <v>0</v>
      </c>
      <c r="BG963" s="34">
        <f t="shared" si="3276"/>
        <v>0</v>
      </c>
      <c r="BH963" s="35">
        <f t="shared" si="3267"/>
        <v>0</v>
      </c>
      <c r="BK963" s="2" t="b">
        <f>H963='2019'!BH801</f>
        <v>1</v>
      </c>
    </row>
    <row r="964" ht="15.75" customHeight="1" hidden="1" spans="1:63" x14ac:dyDescent="0.25">
      <c r="A964" s="2">
        <v>106</v>
      </c>
      <c r="B964" s="14"/>
      <c r="C964" s="2" t="s">
        <v>114</v>
      </c>
      <c r="D964" s="14" t="s">
        <v>47</v>
      </c>
      <c r="E964" s="2" t="s">
        <v>48</v>
      </c>
      <c r="F964" s="13">
        <v>18.56</v>
      </c>
      <c r="G964" s="35">
        <v>19.46</v>
      </c>
      <c r="H964" s="34">
        <f>'2019'!BH802</f>
        <v>0</v>
      </c>
      <c r="I964" s="15"/>
      <c r="J964" s="15"/>
      <c r="K964" s="15"/>
      <c r="L964" s="28"/>
      <c r="Q964" s="13"/>
      <c r="R964" s="15"/>
      <c r="S964" s="15"/>
      <c r="T964" s="28"/>
      <c r="U964" s="81">
        <v>391</v>
      </c>
      <c r="W964" s="34">
        <f>V964*$F$10</f>
        <v>0</v>
      </c>
      <c r="Y964" s="95">
        <v>392</v>
      </c>
      <c r="Z964" s="15">
        <f t="shared" si="3268"/>
        <v>1</v>
      </c>
      <c r="AA964" s="15">
        <f>Z964*$F$10</f>
        <v>18.56</v>
      </c>
      <c r="AB964" s="28"/>
      <c r="AC964" s="15">
        <v>398</v>
      </c>
      <c r="AD964" s="15">
        <f t="shared" si="3269"/>
        <v>6</v>
      </c>
      <c r="AE964" s="34">
        <f>AD964*$F$10</f>
        <v>111.36</v>
      </c>
      <c r="AG964" s="13">
        <v>419</v>
      </c>
      <c r="AH964" s="15">
        <f t="shared" si="3270"/>
        <v>21</v>
      </c>
      <c r="AI964" s="45">
        <f>AH964*$G$10</f>
        <v>408.66</v>
      </c>
      <c r="AJ964" s="140">
        <v>389.2</v>
      </c>
      <c r="AK964" s="13">
        <v>423</v>
      </c>
      <c r="AL964" s="15">
        <f t="shared" si="3271"/>
        <v>4</v>
      </c>
      <c r="AM964" s="45">
        <f>AL964*$G$10</f>
        <v>77.84</v>
      </c>
      <c r="AN964" s="15"/>
      <c r="AO964" s="13">
        <v>423</v>
      </c>
      <c r="AP964" s="15">
        <f t="shared" si="3272"/>
        <v>0</v>
      </c>
      <c r="AQ964" s="45">
        <f>AP964*$G$10</f>
        <v>0</v>
      </c>
      <c r="AR964" s="15"/>
      <c r="AS964" s="13">
        <v>423</v>
      </c>
      <c r="AT964" s="15">
        <f t="shared" si="3273"/>
        <v>0</v>
      </c>
      <c r="AU964" s="45">
        <f>AT964*$G$10</f>
        <v>0</v>
      </c>
      <c r="AV964" s="15"/>
      <c r="AW964" s="13">
        <v>423</v>
      </c>
      <c r="AX964" s="2">
        <f t="shared" si="3274"/>
        <v>0</v>
      </c>
      <c r="AY964" s="45"/>
      <c r="AZ964" s="208"/>
      <c r="BA964" s="13">
        <v>423</v>
      </c>
      <c r="BB964" s="15">
        <f t="shared" si="3275"/>
        <v>0</v>
      </c>
      <c r="BC964" s="45"/>
      <c r="BD964" s="208"/>
      <c r="BE964" s="40">
        <f t="shared" ref="BE964:BG964" si="3277">J964+N964+R964+V964+Z964+AD964+AH964+AL964+AP964+AT964+AX964+BB964</f>
        <v>32</v>
      </c>
      <c r="BF964" s="41">
        <f t="shared" si="3277"/>
        <v>616.42</v>
      </c>
      <c r="BG964" s="34">
        <f t="shared" si="3277"/>
        <v>389.2</v>
      </c>
      <c r="BH964" s="35">
        <f t="shared" si="3267"/>
        <v>227.22</v>
      </c>
      <c r="BK964" s="2" t="b">
        <f>H964='2019'!BH802</f>
        <v>1</v>
      </c>
    </row>
    <row r="965" ht="15.75" customHeight="1" hidden="1" spans="1:63" x14ac:dyDescent="0.25">
      <c r="A965" s="2">
        <v>106</v>
      </c>
      <c r="B965" s="14"/>
      <c r="C965" s="2" t="s">
        <v>337</v>
      </c>
      <c r="D965" s="14" t="s">
        <v>47</v>
      </c>
      <c r="E965" s="2" t="s">
        <v>49</v>
      </c>
      <c r="F965" s="41">
        <v>500</v>
      </c>
      <c r="G965" s="28"/>
      <c r="H965" s="34">
        <f>'2019'!BH803</f>
        <v>16</v>
      </c>
      <c r="I965" s="15"/>
      <c r="J965" s="15"/>
      <c r="K965" s="15"/>
      <c r="L965" s="28"/>
      <c r="Q965" s="13"/>
      <c r="R965" s="15"/>
      <c r="S965" s="15"/>
      <c r="T965" s="28"/>
      <c r="Y965" s="13"/>
      <c r="Z965" s="15"/>
      <c r="AA965" s="34"/>
      <c r="AB965" s="28"/>
      <c r="AC965" s="15"/>
      <c r="AG965" s="13"/>
      <c r="AH965" s="15"/>
      <c r="AI965" s="45"/>
      <c r="AJ965" s="1"/>
      <c r="AK965" s="13"/>
      <c r="AL965" s="15"/>
      <c r="AM965" s="45"/>
      <c r="AN965" s="15"/>
      <c r="AO965" s="13"/>
      <c r="AP965" s="15"/>
      <c r="AQ965" s="45"/>
      <c r="AR965" s="15"/>
      <c r="AS965" s="13"/>
      <c r="AT965" s="15"/>
      <c r="AU965" s="45"/>
      <c r="AV965" s="15"/>
      <c r="AW965" s="13"/>
      <c r="AY965" s="45"/>
      <c r="AZ965" s="28"/>
      <c r="BA965" s="13"/>
      <c r="BB965" s="15"/>
      <c r="BC965" s="45"/>
      <c r="BD965" s="28"/>
      <c r="BE965" s="14"/>
      <c r="BF965" s="41">
        <f t="shared" ref="BF965:BG965" si="3278">K965+O965+S965+W965+AA965+AE965+AI965+AM965+AQ965+AU965+AY965+BC965</f>
        <v>0</v>
      </c>
      <c r="BG965" s="34">
        <f t="shared" si="3278"/>
        <v>0</v>
      </c>
      <c r="BH965" s="35">
        <f t="shared" si="3267"/>
        <v>16</v>
      </c>
      <c r="BK965" s="2" t="b">
        <f>H965='2019'!BH803</f>
        <v>1</v>
      </c>
    </row>
    <row r="966" ht="15.75" customHeight="1" hidden="1" spans="1:63" x14ac:dyDescent="0.25">
      <c r="A966" s="2">
        <v>106</v>
      </c>
      <c r="B966" s="14"/>
      <c r="C966" s="2" t="s">
        <v>453</v>
      </c>
      <c r="D966" s="14" t="s">
        <v>50</v>
      </c>
      <c r="E966" s="2" t="s">
        <v>49</v>
      </c>
      <c r="F966" s="41">
        <v>1100</v>
      </c>
      <c r="G966" s="28"/>
      <c r="H966" s="182">
        <f>'2019'!BH804-0.0016</f>
        <v>-16</v>
      </c>
      <c r="I966" s="15"/>
      <c r="J966" s="15"/>
      <c r="K966" s="15"/>
      <c r="L966" s="28"/>
      <c r="Q966" s="13"/>
      <c r="R966" s="15"/>
      <c r="S966" s="15"/>
      <c r="T966" s="28"/>
      <c r="Y966" s="13"/>
      <c r="Z966" s="15"/>
      <c r="AA966" s="15"/>
      <c r="AB966" s="28"/>
      <c r="AE966" s="34">
        <f>B963*$F$12</f>
        <v>5027</v>
      </c>
      <c r="AG966" s="13"/>
      <c r="AH966" s="15"/>
      <c r="AI966" s="45"/>
      <c r="AJ966" s="181">
        <v>5027</v>
      </c>
      <c r="AK966" s="13"/>
      <c r="AL966" s="15"/>
      <c r="AM966" s="45"/>
      <c r="AN966" s="15"/>
      <c r="AO966" s="13"/>
      <c r="AP966" s="15"/>
      <c r="AQ966" s="45"/>
      <c r="AR966" s="15"/>
      <c r="AS966" s="13"/>
      <c r="AT966" s="15"/>
      <c r="AU966" s="45"/>
      <c r="AV966" s="15"/>
      <c r="AW966" s="13"/>
      <c r="AY966" s="45"/>
      <c r="AZ966" s="28"/>
      <c r="BA966" s="13"/>
      <c r="BB966" s="15"/>
      <c r="BC966" s="45"/>
      <c r="BD966" s="28"/>
      <c r="BE966" s="14"/>
      <c r="BF966" s="41">
        <f t="shared" ref="BF966:BG966" si="3279">K966+O966+S966+W966+AA966+AE966+AI966+AM966+AQ966+AU966+AY966+BC966</f>
        <v>5027</v>
      </c>
      <c r="BG966" s="34">
        <f t="shared" si="3279"/>
        <v>5027</v>
      </c>
      <c r="BH966" s="35">
        <f t="shared" si="3267"/>
        <v>-16</v>
      </c>
      <c r="BK966" s="2" t="b">
        <f>H966='2019'!BH804</f>
        <v>0</v>
      </c>
    </row>
    <row r="967" ht="15.75" customHeight="1" hidden="1" spans="1:63" x14ac:dyDescent="0.25">
      <c r="A967" s="2">
        <v>106</v>
      </c>
      <c r="B967" s="14"/>
      <c r="C967" s="2" t="s">
        <v>454</v>
      </c>
      <c r="D967" s="14" t="s">
        <v>51</v>
      </c>
      <c r="E967" s="2" t="s">
        <v>39</v>
      </c>
      <c r="F967" s="41">
        <v>500</v>
      </c>
      <c r="G967" s="28"/>
      <c r="H967" s="34">
        <f>'2019'!BH805</f>
        <v>0</v>
      </c>
      <c r="I967" s="15"/>
      <c r="J967" s="15"/>
      <c r="K967" s="15"/>
      <c r="L967" s="28"/>
      <c r="Q967" s="13"/>
      <c r="R967" s="15"/>
      <c r="S967" s="15"/>
      <c r="T967" s="28"/>
      <c r="Y967" s="13"/>
      <c r="Z967" s="15"/>
      <c r="AA967" s="15"/>
      <c r="AB967" s="28"/>
      <c r="AE967" s="34"/>
      <c r="AG967" s="13"/>
      <c r="AH967" s="15"/>
      <c r="AI967" s="45"/>
      <c r="AJ967" s="180"/>
      <c r="AK967" s="13"/>
      <c r="AL967" s="15"/>
      <c r="AM967" s="45"/>
      <c r="AN967" s="15"/>
      <c r="AO967" s="13"/>
      <c r="AP967" s="15"/>
      <c r="AQ967" s="45">
        <f>$F$13</f>
        <v>500</v>
      </c>
      <c r="AR967" s="15"/>
      <c r="AS967" s="13"/>
      <c r="AT967" s="15"/>
      <c r="AU967" s="45"/>
      <c r="AV967" s="15"/>
      <c r="AW967" s="13"/>
      <c r="AY967" s="45"/>
      <c r="AZ967" s="28"/>
      <c r="BA967" s="13"/>
      <c r="BB967" s="15"/>
      <c r="BC967" s="45"/>
      <c r="BD967" s="28"/>
      <c r="BE967" s="14"/>
      <c r="BF967" s="41">
        <f t="shared" ref="BF967:BG967" si="3280">K967+O967+S967+W967+AA967+AE967+AI967+AM967+AQ967+AU967+AY967+BC967</f>
        <v>500</v>
      </c>
      <c r="BG967" s="34">
        <f t="shared" si="3280"/>
        <v>0</v>
      </c>
      <c r="BH967" s="35">
        <f t="shared" si="3267"/>
        <v>500</v>
      </c>
      <c r="BK967" s="2" t="b">
        <f>H967='2019'!BH805</f>
        <v>1</v>
      </c>
    </row>
    <row r="968" ht="15.75" customHeight="1" hidden="1" spans="1:60" x14ac:dyDescent="0.25">
      <c r="A968" s="2">
        <v>106</v>
      </c>
      <c r="B968" s="14"/>
      <c r="C968" s="2" t="s">
        <v>338</v>
      </c>
      <c r="D968" s="14" t="s">
        <v>51</v>
      </c>
      <c r="E968" s="2" t="s">
        <v>49</v>
      </c>
      <c r="F968" s="41">
        <v>500</v>
      </c>
      <c r="G968" s="28"/>
      <c r="H968" s="34"/>
      <c r="I968" s="15"/>
      <c r="J968" s="15"/>
      <c r="K968" s="15"/>
      <c r="L968" s="28"/>
      <c r="Q968" s="13"/>
      <c r="R968" s="15"/>
      <c r="S968" s="15"/>
      <c r="T968" s="28"/>
      <c r="Y968" s="13"/>
      <c r="Z968" s="15"/>
      <c r="AA968" s="15"/>
      <c r="AB968" s="28"/>
      <c r="AE968" s="34"/>
      <c r="AG968" s="13"/>
      <c r="AH968" s="15"/>
      <c r="AI968" s="45"/>
      <c r="AJ968" s="180"/>
      <c r="AK968" s="13"/>
      <c r="AL968" s="15"/>
      <c r="AM968" s="45"/>
      <c r="AN968" s="15"/>
      <c r="AO968" s="13"/>
      <c r="AP968" s="15"/>
      <c r="AQ968" s="34">
        <f>B963*$F$14</f>
        <v>2285</v>
      </c>
      <c r="AR968" s="15"/>
      <c r="AS968" s="13"/>
      <c r="AT968" s="15"/>
      <c r="AU968" s="45"/>
      <c r="AV968" s="15"/>
      <c r="AW968" s="13"/>
      <c r="AY968" s="45"/>
      <c r="AZ968" s="28"/>
      <c r="BA968" s="13"/>
      <c r="BB968" s="15"/>
      <c r="BC968" s="45"/>
      <c r="BD968" s="28"/>
      <c r="BE968" s="14"/>
      <c r="BF968" s="41">
        <f t="shared" ref="BF968:BG968" si="3281">K968+O968+S968+W968+AA968+AE968+AI968+AM968+AQ968+AU968+AY968+BC968</f>
        <v>2285</v>
      </c>
      <c r="BG968" s="34">
        <f t="shared" si="3281"/>
        <v>0</v>
      </c>
      <c r="BH968" s="35">
        <f t="shared" si="3267"/>
        <v>2285</v>
      </c>
    </row>
    <row r="969" ht="15.75" customHeight="1" hidden="1" spans="1:63" x14ac:dyDescent="0.25">
      <c r="A969" s="2">
        <v>106</v>
      </c>
      <c r="B969" s="14"/>
      <c r="D969" s="14" t="s">
        <v>52</v>
      </c>
      <c r="E969" s="2" t="s">
        <v>39</v>
      </c>
      <c r="F969" s="41">
        <v>500</v>
      </c>
      <c r="G969" s="28"/>
      <c r="H969" s="34">
        <f>'2019'!BH806</f>
        <v>0</v>
      </c>
      <c r="I969" s="15"/>
      <c r="J969" s="15"/>
      <c r="K969" s="15"/>
      <c r="L969" s="28"/>
      <c r="Q969" s="13"/>
      <c r="R969" s="15"/>
      <c r="S969" s="15"/>
      <c r="T969" s="28"/>
      <c r="Y969" s="13"/>
      <c r="Z969" s="15"/>
      <c r="AA969" s="34">
        <f>$F$11</f>
        <v>500</v>
      </c>
      <c r="AB969" s="28"/>
      <c r="AG969" s="13"/>
      <c r="AH969" s="15"/>
      <c r="AI969" s="45"/>
      <c r="AJ969" s="181">
        <v>500</v>
      </c>
      <c r="AK969" s="13"/>
      <c r="AL969" s="15"/>
      <c r="AM969" s="45"/>
      <c r="AN969" s="15"/>
      <c r="AO969" s="13"/>
      <c r="AP969" s="15"/>
      <c r="AQ969" s="45"/>
      <c r="AR969" s="15"/>
      <c r="AS969" s="13"/>
      <c r="AT969" s="15"/>
      <c r="AU969" s="45"/>
      <c r="AV969" s="15"/>
      <c r="AW969" s="13"/>
      <c r="AY969" s="45"/>
      <c r="AZ969" s="35"/>
      <c r="BA969" s="13"/>
      <c r="BB969" s="15"/>
      <c r="BC969" s="45"/>
      <c r="BD969" s="35"/>
      <c r="BE969" s="14"/>
      <c r="BF969" s="41">
        <f t="shared" ref="BF969:BG969" si="3282">K969+O969+S969+W969+AA969+AE969+AI969+AM969+AQ969+AU969+AY969+BC969</f>
        <v>500</v>
      </c>
      <c r="BG969" s="34">
        <f t="shared" si="3282"/>
        <v>500</v>
      </c>
      <c r="BH969" s="35">
        <f t="shared" si="3267"/>
        <v>0</v>
      </c>
      <c r="BK969" s="2" t="b">
        <f>H969='2019'!BH806</f>
        <v>1</v>
      </c>
    </row>
    <row r="970" ht="15.75" customHeight="1" hidden="1" spans="1:63" x14ac:dyDescent="0.25">
      <c r="A970" s="247">
        <v>106</v>
      </c>
      <c r="B970" s="21"/>
      <c r="C970" s="22" t="s">
        <v>53</v>
      </c>
      <c r="D970" s="21"/>
      <c r="E970" s="22"/>
      <c r="F970" s="20"/>
      <c r="G970" s="23"/>
      <c r="H970" s="51">
        <f>SUM(H962:H969)</f>
        <v>0</v>
      </c>
      <c r="I970" s="53"/>
      <c r="J970" s="53"/>
      <c r="K970" s="51">
        <f t="shared" ref="K970:L970" si="3283">SUM(K962:K969)</f>
        <v>0</v>
      </c>
      <c r="L970" s="68">
        <f t="shared" si="3283"/>
        <v>0</v>
      </c>
      <c r="M970" s="53"/>
      <c r="N970" s="53"/>
      <c r="O970" s="51">
        <f t="shared" ref="O970:P970" si="3284">SUM(O962:O969)</f>
        <v>0</v>
      </c>
      <c r="P970" s="51">
        <f t="shared" si="3284"/>
        <v>0</v>
      </c>
      <c r="Q970" s="52"/>
      <c r="R970" s="53"/>
      <c r="S970" s="51">
        <f t="shared" ref="S970:T970" si="3285">SUM(S962:S969)</f>
        <v>0</v>
      </c>
      <c r="T970" s="51">
        <f t="shared" si="3285"/>
        <v>0</v>
      </c>
      <c r="U970" s="52"/>
      <c r="V970" s="53"/>
      <c r="W970" s="51">
        <f t="shared" ref="W970:X970" si="3286">SUM(W962:W969)</f>
        <v>0</v>
      </c>
      <c r="X970" s="51">
        <f t="shared" si="3286"/>
        <v>0</v>
      </c>
      <c r="Y970" s="52"/>
      <c r="Z970" s="53"/>
      <c r="AA970" s="51">
        <f t="shared" ref="AA970:AB970" si="3287">SUM(AA962:AA969)</f>
        <v>518.56</v>
      </c>
      <c r="AB970" s="51">
        <f t="shared" si="3287"/>
        <v>0</v>
      </c>
      <c r="AC970" s="52"/>
      <c r="AD970" s="53"/>
      <c r="AE970" s="51">
        <f t="shared" ref="AE970:AF970" si="3288">SUM(AE962:AE969)</f>
        <v>5138.36</v>
      </c>
      <c r="AF970" s="51">
        <f t="shared" si="3288"/>
        <v>0</v>
      </c>
      <c r="AG970" s="52"/>
      <c r="AH970" s="53"/>
      <c r="AI970" s="183">
        <f t="shared" ref="AI970:AJ970" si="3289">SUM(AI962:AI969)</f>
        <v>408.66</v>
      </c>
      <c r="AJ970" s="51">
        <f t="shared" si="3289"/>
        <v>5916.2</v>
      </c>
      <c r="AK970" s="52"/>
      <c r="AL970" s="53"/>
      <c r="AM970" s="183">
        <f t="shared" ref="AM970:AN970" si="3290">SUM(AM962:AM969)</f>
        <v>77.84</v>
      </c>
      <c r="AN970" s="51">
        <f t="shared" si="3290"/>
        <v>0</v>
      </c>
      <c r="AO970" s="52"/>
      <c r="AP970" s="53"/>
      <c r="AQ970" s="183">
        <f t="shared" ref="AQ970:AR970" si="3291">SUM(AQ962:AQ969)</f>
        <v>2785</v>
      </c>
      <c r="AR970" s="51">
        <f t="shared" si="3291"/>
        <v>0</v>
      </c>
      <c r="AS970" s="52"/>
      <c r="AT970" s="53"/>
      <c r="AU970" s="183">
        <f t="shared" ref="AU970:AV970" si="3292">SUM(AU962:AU969)</f>
        <v>0</v>
      </c>
      <c r="AV970" s="68">
        <f t="shared" si="3292"/>
        <v>0</v>
      </c>
      <c r="AW970" s="52"/>
      <c r="AX970" s="53"/>
      <c r="AY970" s="183">
        <f t="shared" ref="AY970:AZ970" si="3293">SUM(AY962:AY969)</f>
        <v>0</v>
      </c>
      <c r="AZ970" s="68">
        <f t="shared" si="3293"/>
        <v>0</v>
      </c>
      <c r="BA970" s="52"/>
      <c r="BB970" s="53"/>
      <c r="BC970" s="183">
        <f t="shared" ref="BC970:BD970" si="3294">SUM(BC962:BC969)</f>
        <v>0</v>
      </c>
      <c r="BD970" s="68">
        <f t="shared" si="3294"/>
        <v>0</v>
      </c>
      <c r="BE970" s="69"/>
      <c r="BF970" s="70">
        <f t="shared" ref="BF970:BH970" si="3295">SUM(BF962:BF969)</f>
        <v>8928.42</v>
      </c>
      <c r="BG970" s="71">
        <f t="shared" si="3295"/>
        <v>5916.2</v>
      </c>
      <c r="BH970" s="72">
        <f t="shared" si="3295"/>
        <v>3012.22</v>
      </c>
      <c r="BI970" s="34">
        <f>H970+BF970-BG970</f>
        <v>3012.22</v>
      </c>
      <c r="BJ970" s="34">
        <f>BH970-BI970</f>
        <v>0</v>
      </c>
      <c r="BK970" s="2" t="b">
        <f>H970='2019'!BH807</f>
        <v>0</v>
      </c>
    </row>
    <row r="971" ht="15.75" customHeight="1" hidden="1" spans="1:63" x14ac:dyDescent="0.25">
      <c r="A971" s="2">
        <v>108</v>
      </c>
      <c r="B971" s="14"/>
      <c r="D971" s="99" t="s">
        <v>132</v>
      </c>
      <c r="F971" s="13"/>
      <c r="G971" s="28"/>
      <c r="H971" s="34">
        <f>'2019'!BH808</f>
        <v>904.38</v>
      </c>
      <c r="J971" s="15"/>
      <c r="K971" s="15">
        <v>90.05</v>
      </c>
      <c r="L971" s="28"/>
      <c r="O971" s="2">
        <v>84.24</v>
      </c>
      <c r="Q971" s="13"/>
      <c r="R971" s="15"/>
      <c r="S971" s="15">
        <v>90.05</v>
      </c>
      <c r="T971" s="28"/>
      <c r="W971" s="2">
        <v>87.14</v>
      </c>
      <c r="Y971" s="13"/>
      <c r="Z971" s="15"/>
      <c r="AA971" s="15">
        <v>64.31</v>
      </c>
      <c r="AB971" s="28"/>
      <c r="AE971" s="2">
        <v>57.44</v>
      </c>
      <c r="AG971" s="13"/>
      <c r="AH971" s="15"/>
      <c r="AI971" s="45">
        <v>59.36</v>
      </c>
      <c r="AJ971" s="15"/>
      <c r="AK971" s="13"/>
      <c r="AM971" s="45">
        <v>59.36</v>
      </c>
      <c r="AO971" s="13"/>
      <c r="AQ971" s="45">
        <v>71.7</v>
      </c>
      <c r="AS971" s="13"/>
      <c r="AU971" s="45">
        <v>74.09</v>
      </c>
      <c r="AW971" s="13"/>
      <c r="AY971" s="45">
        <v>71.7</v>
      </c>
      <c r="AZ971" s="28"/>
      <c r="BA971" s="13"/>
      <c r="BB971" s="15"/>
      <c r="BC971" s="45">
        <v>74.09</v>
      </c>
      <c r="BD971" s="28"/>
      <c r="BE971" s="14"/>
      <c r="BF971" s="41">
        <f t="shared" ref="BF971:BG971" si="3296">K971+O971+S971+W971+AA971+AE971+AI971+AM971+AQ971+AU971+AY971+BC971</f>
        <v>883.53</v>
      </c>
      <c r="BG971" s="34">
        <f t="shared" si="3296"/>
        <v>0</v>
      </c>
      <c r="BH971" s="35">
        <f t="shared" ref="BH971:BH978" si="3297">H971+BF971-BG971</f>
        <v>1787.91</v>
      </c>
      <c r="BK971" s="2" t="b">
        <f>H971='2019'!BH808</f>
        <v>1</v>
      </c>
    </row>
    <row r="972" ht="15.75" customHeight="1" hidden="1" spans="1:63" x14ac:dyDescent="0.25">
      <c r="A972" s="2">
        <v>108</v>
      </c>
      <c r="B972" s="14">
        <v>4.32</v>
      </c>
      <c r="C972" s="2" t="s">
        <v>511</v>
      </c>
      <c r="D972" s="14" t="s">
        <v>44</v>
      </c>
      <c r="E972" s="2" t="s">
        <v>45</v>
      </c>
      <c r="F972" s="41">
        <v>2.5</v>
      </c>
      <c r="G972" s="35">
        <v>2.6</v>
      </c>
      <c r="H972" s="104">
        <f>'2019'!BH809</f>
        <v>0</v>
      </c>
      <c r="I972" s="15"/>
      <c r="J972" s="15"/>
      <c r="K972" s="34">
        <f>J972*$F$8</f>
        <v>0</v>
      </c>
      <c r="L972" s="28"/>
      <c r="N972" s="15"/>
      <c r="O972" s="34">
        <f>N972*$F$8</f>
        <v>0</v>
      </c>
      <c r="Q972" s="13"/>
      <c r="R972" s="15">
        <f>Q972-M972</f>
        <v>0</v>
      </c>
      <c r="S972" s="34">
        <f>R972*$F$8</f>
        <v>0</v>
      </c>
      <c r="T972" s="28"/>
      <c r="V972" s="15">
        <f>U972-Q972</f>
        <v>0</v>
      </c>
      <c r="W972" s="34">
        <f>V972*$F$8</f>
        <v>0</v>
      </c>
      <c r="Y972" s="13"/>
      <c r="Z972" s="15">
        <f t="shared" ref="Z972:Z973" si="3298">Y972-U972</f>
        <v>0</v>
      </c>
      <c r="AA972" s="34">
        <f>Z972*$F$8</f>
        <v>0</v>
      </c>
      <c r="AB972" s="28"/>
      <c r="AC972" s="15"/>
      <c r="AD972" s="15">
        <f t="shared" ref="AD972:AD973" si="3299">AC972-Y972</f>
        <v>0</v>
      </c>
      <c r="AE972" s="34">
        <f>AD972*$F$8</f>
        <v>0</v>
      </c>
      <c r="AG972" s="13"/>
      <c r="AH972" s="15">
        <f t="shared" ref="AH972:AH973" si="3300">AG972-AC972</f>
        <v>0</v>
      </c>
      <c r="AI972" s="45">
        <f>AH972*$G$8</f>
        <v>0</v>
      </c>
      <c r="AJ972" s="15"/>
      <c r="AK972" s="13">
        <v>0</v>
      </c>
      <c r="AL972" s="15">
        <f t="shared" ref="AL972:AL973" si="3301">AK972-AG972</f>
        <v>0</v>
      </c>
      <c r="AM972" s="45">
        <f>AL972*$G$8</f>
        <v>0</v>
      </c>
      <c r="AN972" s="15"/>
      <c r="AO972" s="13">
        <v>0</v>
      </c>
      <c r="AP972" s="15">
        <f t="shared" ref="AP972:AP973" si="3302">AO972-AK972</f>
        <v>0</v>
      </c>
      <c r="AQ972" s="45">
        <f>AP972*$G$8</f>
        <v>0</v>
      </c>
      <c r="AR972" s="15"/>
      <c r="AS972" s="13">
        <v>0</v>
      </c>
      <c r="AT972" s="15">
        <f t="shared" ref="AT972:AT973" si="3303">AS972-AO972</f>
        <v>0</v>
      </c>
      <c r="AU972" s="45">
        <f>AT972*$G$8</f>
        <v>0</v>
      </c>
      <c r="AV972" s="15"/>
      <c r="AW972" s="13">
        <v>0</v>
      </c>
      <c r="AX972" s="2">
        <f t="shared" ref="AX972:AX973" si="3304">AW972-AS972</f>
        <v>0</v>
      </c>
      <c r="AY972" s="45">
        <f>AX972*$G$8</f>
        <v>0</v>
      </c>
      <c r="AZ972" s="208"/>
      <c r="BA972" s="13">
        <v>0</v>
      </c>
      <c r="BB972" s="15">
        <f t="shared" ref="BB972:BB973" si="3305">BA972-AW972</f>
        <v>0</v>
      </c>
      <c r="BC972" s="45">
        <f>BB972*$G$8</f>
        <v>0</v>
      </c>
      <c r="BD972" s="208"/>
      <c r="BE972" s="40">
        <f t="shared" ref="BE972:BG972" si="3306">J972+N972+R972+V972+Z972+AD972+AH972+AL972+AP972+AT972+AX972+BB972</f>
        <v>0</v>
      </c>
      <c r="BF972" s="41">
        <f t="shared" si="3306"/>
        <v>0</v>
      </c>
      <c r="BG972" s="34">
        <f t="shared" si="3306"/>
        <v>0</v>
      </c>
      <c r="BH972" s="35">
        <f t="shared" si="3297"/>
        <v>0</v>
      </c>
      <c r="BK972" s="2" t="b">
        <f>H972='2019'!BH809</f>
        <v>1</v>
      </c>
    </row>
    <row r="973" ht="15.75" customHeight="1" hidden="1" spans="1:63" x14ac:dyDescent="0.25">
      <c r="A973" s="2">
        <v>108</v>
      </c>
      <c r="B973" s="14"/>
      <c r="C973" s="73" t="s">
        <v>104</v>
      </c>
      <c r="D973" s="14" t="s">
        <v>47</v>
      </c>
      <c r="E973" s="2" t="s">
        <v>48</v>
      </c>
      <c r="F973" s="13">
        <v>18.56</v>
      </c>
      <c r="G973" s="35">
        <v>19.46</v>
      </c>
      <c r="H973" s="34">
        <f>'2019'!BH810</f>
        <v>0</v>
      </c>
      <c r="I973" s="15"/>
      <c r="J973" s="15"/>
      <c r="K973" s="15"/>
      <c r="L973" s="28"/>
      <c r="Q973" s="13"/>
      <c r="R973" s="15"/>
      <c r="S973" s="15"/>
      <c r="T973" s="28"/>
      <c r="W973" s="34">
        <f>V973*$F$10</f>
        <v>0</v>
      </c>
      <c r="Y973" s="13"/>
      <c r="Z973" s="15">
        <f t="shared" si="3298"/>
        <v>0</v>
      </c>
      <c r="AA973" s="34">
        <f>Z973*$F$10</f>
        <v>0</v>
      </c>
      <c r="AB973" s="28"/>
      <c r="AC973" s="15"/>
      <c r="AD973" s="15">
        <f t="shared" si="3299"/>
        <v>0</v>
      </c>
      <c r="AE973" s="34">
        <f>AD973*$F$10</f>
        <v>0</v>
      </c>
      <c r="AG973" s="13"/>
      <c r="AH973" s="15">
        <f t="shared" si="3300"/>
        <v>0</v>
      </c>
      <c r="AI973" s="45">
        <f>AH973*$G$10</f>
        <v>0</v>
      </c>
      <c r="AJ973" s="15"/>
      <c r="AK973" s="13"/>
      <c r="AL973" s="15">
        <f t="shared" si="3301"/>
        <v>0</v>
      </c>
      <c r="AM973" s="45">
        <f>AL973*$G$10</f>
        <v>0</v>
      </c>
      <c r="AN973" s="15"/>
      <c r="AO973" s="13"/>
      <c r="AP973" s="15">
        <f t="shared" si="3302"/>
        <v>0</v>
      </c>
      <c r="AQ973" s="45">
        <f>AP973*$G$10</f>
        <v>0</v>
      </c>
      <c r="AR973" s="15"/>
      <c r="AS973" s="13"/>
      <c r="AT973" s="15">
        <f t="shared" si="3303"/>
        <v>0</v>
      </c>
      <c r="AU973" s="45">
        <f>AT973*$G$10</f>
        <v>0</v>
      </c>
      <c r="AV973" s="15"/>
      <c r="AW973" s="13"/>
      <c r="AX973" s="2">
        <f t="shared" si="3304"/>
        <v>0</v>
      </c>
      <c r="AY973" s="45"/>
      <c r="AZ973" s="208"/>
      <c r="BA973" s="13"/>
      <c r="BB973" s="15">
        <f t="shared" si="3305"/>
        <v>0</v>
      </c>
      <c r="BC973" s="45"/>
      <c r="BD973" s="208"/>
      <c r="BE973" s="40">
        <f t="shared" ref="BE973:BG973" si="3307">J973+N973+R973+V973+Z973+AD973+AH973+AL973+AP973+AT973+AX973+BB973</f>
        <v>0</v>
      </c>
      <c r="BF973" s="41">
        <f t="shared" si="3307"/>
        <v>0</v>
      </c>
      <c r="BG973" s="34">
        <f t="shared" si="3307"/>
        <v>0</v>
      </c>
      <c r="BH973" s="35">
        <f t="shared" si="3297"/>
        <v>0</v>
      </c>
      <c r="BK973" s="2" t="b">
        <f>H973='2019'!BH810</f>
        <v>1</v>
      </c>
    </row>
    <row r="974" ht="15.75" customHeight="1" hidden="1" spans="1:63" x14ac:dyDescent="0.25">
      <c r="A974" s="2">
        <v>108</v>
      </c>
      <c r="B974" s="14"/>
      <c r="C974" s="73" t="s">
        <v>512</v>
      </c>
      <c r="D974" s="14" t="s">
        <v>47</v>
      </c>
      <c r="E974" s="2" t="s">
        <v>49</v>
      </c>
      <c r="F974" s="41">
        <v>500</v>
      </c>
      <c r="G974" s="28"/>
      <c r="H974" s="144">
        <f>'2019'!BH811</f>
        <v>0</v>
      </c>
      <c r="I974" s="15"/>
      <c r="J974" s="15"/>
      <c r="K974" s="15"/>
      <c r="L974" s="28"/>
      <c r="Q974" s="13"/>
      <c r="R974" s="15"/>
      <c r="S974" s="15"/>
      <c r="T974" s="28"/>
      <c r="Y974" s="13"/>
      <c r="Z974" s="15"/>
      <c r="AA974" s="34"/>
      <c r="AB974" s="28"/>
      <c r="AC974" s="15"/>
      <c r="AG974" s="13"/>
      <c r="AH974" s="15"/>
      <c r="AI974" s="45"/>
      <c r="AJ974" s="15"/>
      <c r="AK974" s="13"/>
      <c r="AL974" s="15"/>
      <c r="AM974" s="45"/>
      <c r="AN974" s="15"/>
      <c r="AO974" s="13"/>
      <c r="AP974" s="15"/>
      <c r="AQ974" s="45"/>
      <c r="AR974" s="15"/>
      <c r="AS974" s="13"/>
      <c r="AT974" s="15"/>
      <c r="AU974" s="45"/>
      <c r="AV974" s="15"/>
      <c r="AW974" s="13"/>
      <c r="AY974" s="45"/>
      <c r="AZ974" s="28"/>
      <c r="BA974" s="13"/>
      <c r="BB974" s="15"/>
      <c r="BC974" s="45"/>
      <c r="BD974" s="28"/>
      <c r="BE974" s="40">
        <f t="shared" ref="BE974:BG974" si="3308">J974+N974+R974+V974+Z974+AD974+AH974+AL974+AP974+AT974+AX974+BB974</f>
        <v>0</v>
      </c>
      <c r="BF974" s="41">
        <f t="shared" si="3308"/>
        <v>0</v>
      </c>
      <c r="BG974" s="34">
        <f t="shared" si="3308"/>
        <v>0</v>
      </c>
      <c r="BH974" s="35">
        <f t="shared" si="3297"/>
        <v>0</v>
      </c>
      <c r="BK974" s="2" t="b">
        <f>H974='2019'!BH811</f>
        <v>1</v>
      </c>
    </row>
    <row r="975" ht="15.75" customHeight="1" hidden="1" spans="1:63" x14ac:dyDescent="0.25">
      <c r="A975" s="2">
        <v>108</v>
      </c>
      <c r="B975" s="14"/>
      <c r="D975" s="14" t="s">
        <v>50</v>
      </c>
      <c r="E975" s="2" t="s">
        <v>49</v>
      </c>
      <c r="F975" s="41">
        <v>1100</v>
      </c>
      <c r="G975" s="28"/>
      <c r="H975" s="182">
        <f>'2019'!BH812-0.0016</f>
        <v>19279.64</v>
      </c>
      <c r="I975" s="15"/>
      <c r="J975" s="15"/>
      <c r="K975" s="15"/>
      <c r="L975" s="28"/>
      <c r="Q975" s="13"/>
      <c r="R975" s="15"/>
      <c r="S975" s="15"/>
      <c r="T975" s="28"/>
      <c r="Y975" s="13"/>
      <c r="Z975" s="15"/>
      <c r="AA975" s="15"/>
      <c r="AB975" s="38">
        <v>9900</v>
      </c>
      <c r="AE975" s="34">
        <f>B972*$F$12</f>
        <v>4752</v>
      </c>
      <c r="AG975" s="13"/>
      <c r="AH975" s="15"/>
      <c r="AI975" s="45"/>
      <c r="AJ975" s="15"/>
      <c r="AK975" s="13"/>
      <c r="AL975" s="15"/>
      <c r="AM975" s="45"/>
      <c r="AN975" s="15"/>
      <c r="AO975" s="13"/>
      <c r="AP975" s="15"/>
      <c r="AQ975" s="45"/>
      <c r="AR975" s="15"/>
      <c r="AS975" s="13"/>
      <c r="AT975" s="15"/>
      <c r="AU975" s="45"/>
      <c r="AV975" s="15"/>
      <c r="AW975" s="13"/>
      <c r="AY975" s="45"/>
      <c r="AZ975" s="28"/>
      <c r="BA975" s="13"/>
      <c r="BB975" s="15"/>
      <c r="BC975" s="45"/>
      <c r="BD975" s="28"/>
      <c r="BE975" s="14"/>
      <c r="BF975" s="41">
        <f t="shared" ref="BF975:BG975" si="3309">K975+O975+S975+W975+AA975+AE975+AI975+AM975+AQ975+AU975+AY975+BC975</f>
        <v>4752</v>
      </c>
      <c r="BG975" s="34">
        <f t="shared" si="3309"/>
        <v>9900</v>
      </c>
      <c r="BH975" s="35">
        <f t="shared" si="3297"/>
        <v>14131.64</v>
      </c>
      <c r="BK975" s="2" t="b">
        <f>H975='2019'!BH812</f>
        <v>0</v>
      </c>
    </row>
    <row r="976" ht="15.75" customHeight="1" hidden="1" spans="1:63" x14ac:dyDescent="0.25">
      <c r="A976" s="2">
        <v>108</v>
      </c>
      <c r="B976" s="14"/>
      <c r="D976" s="14" t="s">
        <v>51</v>
      </c>
      <c r="E976" s="2" t="s">
        <v>39</v>
      </c>
      <c r="F976" s="41">
        <v>500</v>
      </c>
      <c r="G976" s="28"/>
      <c r="H976" s="34">
        <f>'2019'!BH813</f>
        <v>9768</v>
      </c>
      <c r="I976" s="15"/>
      <c r="J976" s="15"/>
      <c r="K976" s="15"/>
      <c r="L976" s="28"/>
      <c r="Q976" s="13"/>
      <c r="R976" s="15"/>
      <c r="S976" s="15"/>
      <c r="T976" s="28"/>
      <c r="Y976" s="13"/>
      <c r="Z976" s="15"/>
      <c r="AA976" s="15"/>
      <c r="AB976" s="28"/>
      <c r="AE976" s="34"/>
      <c r="AG976" s="13"/>
      <c r="AH976" s="15"/>
      <c r="AI976" s="45"/>
      <c r="AJ976" s="15"/>
      <c r="AK976" s="13"/>
      <c r="AL976" s="15"/>
      <c r="AM976" s="45"/>
      <c r="AN976" s="15"/>
      <c r="AO976" s="13"/>
      <c r="AP976" s="15"/>
      <c r="AQ976" s="45">
        <f>$F$13</f>
        <v>500</v>
      </c>
      <c r="AR976" s="15"/>
      <c r="AS976" s="13"/>
      <c r="AT976" s="15"/>
      <c r="AU976" s="45"/>
      <c r="AV976" s="15"/>
      <c r="AW976" s="13"/>
      <c r="AY976" s="45"/>
      <c r="AZ976" s="28"/>
      <c r="BA976" s="13"/>
      <c r="BB976" s="15"/>
      <c r="BC976" s="45"/>
      <c r="BD976" s="28"/>
      <c r="BE976" s="14"/>
      <c r="BF976" s="41">
        <f t="shared" ref="BF976:BG976" si="3310">K976+O976+S976+W976+AA976+AE976+AI976+AM976+AQ976+AU976+AY976+BC976</f>
        <v>500</v>
      </c>
      <c r="BG976" s="34">
        <f t="shared" si="3310"/>
        <v>0</v>
      </c>
      <c r="BH976" s="35">
        <f t="shared" si="3297"/>
        <v>10268</v>
      </c>
      <c r="BK976" s="2" t="b">
        <f>H976='2019'!BH813</f>
        <v>1</v>
      </c>
    </row>
    <row r="977" ht="15.75" customHeight="1" hidden="1" spans="1:60" x14ac:dyDescent="0.25">
      <c r="A977" s="2">
        <v>108</v>
      </c>
      <c r="B977" s="14"/>
      <c r="D977" s="14" t="s">
        <v>51</v>
      </c>
      <c r="E977" s="2" t="s">
        <v>49</v>
      </c>
      <c r="F977" s="41">
        <v>500</v>
      </c>
      <c r="G977" s="28"/>
      <c r="H977" s="34"/>
      <c r="I977" s="15"/>
      <c r="J977" s="15"/>
      <c r="K977" s="15"/>
      <c r="L977" s="28"/>
      <c r="Q977" s="13"/>
      <c r="R977" s="15"/>
      <c r="S977" s="15"/>
      <c r="T977" s="28"/>
      <c r="Y977" s="13"/>
      <c r="Z977" s="15"/>
      <c r="AA977" s="15"/>
      <c r="AB977" s="28"/>
      <c r="AE977" s="34"/>
      <c r="AG977" s="13"/>
      <c r="AH977" s="15"/>
      <c r="AI977" s="45"/>
      <c r="AJ977" s="15"/>
      <c r="AK977" s="13"/>
      <c r="AL977" s="15"/>
      <c r="AM977" s="45"/>
      <c r="AN977" s="15"/>
      <c r="AO977" s="13"/>
      <c r="AP977" s="15"/>
      <c r="AQ977" s="34">
        <f>B972*$F$14</f>
        <v>2160</v>
      </c>
      <c r="AR977" s="15"/>
      <c r="AS977" s="13"/>
      <c r="AT977" s="15"/>
      <c r="AU977" s="45"/>
      <c r="AV977" s="15"/>
      <c r="AW977" s="13"/>
      <c r="AY977" s="45"/>
      <c r="AZ977" s="28"/>
      <c r="BA977" s="13"/>
      <c r="BB977" s="15"/>
      <c r="BC977" s="45"/>
      <c r="BD977" s="28"/>
      <c r="BE977" s="14"/>
      <c r="BF977" s="41">
        <f t="shared" ref="BF977:BG977" si="3311">K977+O977+S977+W977+AA977+AE977+AI977+AM977+AQ977+AU977+AY977+BC977</f>
        <v>2160</v>
      </c>
      <c r="BG977" s="34">
        <f t="shared" si="3311"/>
        <v>0</v>
      </c>
      <c r="BH977" s="35">
        <f t="shared" si="3297"/>
        <v>2160</v>
      </c>
    </row>
    <row r="978" ht="15.75" customHeight="1" hidden="1" spans="1:63" x14ac:dyDescent="0.25">
      <c r="A978" s="2">
        <v>108</v>
      </c>
      <c r="B978" s="14"/>
      <c r="D978" s="14" t="s">
        <v>52</v>
      </c>
      <c r="E978" s="2" t="s">
        <v>39</v>
      </c>
      <c r="F978" s="41">
        <v>500</v>
      </c>
      <c r="G978" s="28"/>
      <c r="H978" s="34">
        <f>'2019'!BH814</f>
        <v>1150</v>
      </c>
      <c r="I978" s="15"/>
      <c r="J978" s="15"/>
      <c r="K978" s="15"/>
      <c r="L978" s="28"/>
      <c r="Q978" s="13"/>
      <c r="R978" s="15"/>
      <c r="S978" s="15"/>
      <c r="T978" s="28"/>
      <c r="Y978" s="13"/>
      <c r="Z978" s="15"/>
      <c r="AA978" s="34">
        <f>$F$11</f>
        <v>500</v>
      </c>
      <c r="AB978" s="28"/>
      <c r="AG978" s="13"/>
      <c r="AH978" s="15"/>
      <c r="AI978" s="45"/>
      <c r="AJ978" s="15"/>
      <c r="AK978" s="13"/>
      <c r="AL978" s="15"/>
      <c r="AM978" s="45"/>
      <c r="AN978" s="15"/>
      <c r="AO978" s="13"/>
      <c r="AP978" s="15"/>
      <c r="AQ978" s="45"/>
      <c r="AR978" s="15"/>
      <c r="AS978" s="13"/>
      <c r="AT978" s="15"/>
      <c r="AU978" s="45"/>
      <c r="AV978" s="15"/>
      <c r="AW978" s="13"/>
      <c r="AY978" s="45"/>
      <c r="AZ978" s="35"/>
      <c r="BA978" s="13"/>
      <c r="BB978" s="15"/>
      <c r="BC978" s="45"/>
      <c r="BD978" s="35"/>
      <c r="BE978" s="14"/>
      <c r="BF978" s="41">
        <f t="shared" ref="BF978:BG978" si="3312">K978+O978+S978+W978+AA978+AE978+AI978+AM978+AQ978+AU978+AY978+BC978</f>
        <v>500</v>
      </c>
      <c r="BG978" s="34">
        <f t="shared" si="3312"/>
        <v>0</v>
      </c>
      <c r="BH978" s="35">
        <f t="shared" si="3297"/>
        <v>1650</v>
      </c>
      <c r="BK978" s="2" t="b">
        <f>H978='2019'!BH814</f>
        <v>1</v>
      </c>
    </row>
    <row r="979" ht="15.75" customHeight="1" hidden="1" spans="1:63" x14ac:dyDescent="0.25">
      <c r="A979" s="247">
        <v>108</v>
      </c>
      <c r="B979" s="21"/>
      <c r="C979" s="22" t="s">
        <v>53</v>
      </c>
      <c r="D979" s="21"/>
      <c r="E979" s="22"/>
      <c r="F979" s="109"/>
      <c r="G979" s="23"/>
      <c r="H979" s="51">
        <f>SUM(H971:H978)</f>
        <v>31102.02</v>
      </c>
      <c r="I979" s="53"/>
      <c r="J979" s="53"/>
      <c r="K979" s="51">
        <f t="shared" ref="K979:L979" si="3313">SUM(K971:K978)</f>
        <v>90.05</v>
      </c>
      <c r="L979" s="68">
        <f t="shared" si="3313"/>
        <v>0</v>
      </c>
      <c r="M979" s="53"/>
      <c r="N979" s="53"/>
      <c r="O979" s="51">
        <f t="shared" ref="O979:P979" si="3314">SUM(O971:O978)</f>
        <v>84.24</v>
      </c>
      <c r="P979" s="51">
        <f t="shared" si="3314"/>
        <v>0</v>
      </c>
      <c r="Q979" s="52"/>
      <c r="R979" s="53"/>
      <c r="S979" s="51">
        <f t="shared" ref="S979:T979" si="3315">SUM(S971:S978)</f>
        <v>90.05</v>
      </c>
      <c r="T979" s="51">
        <f t="shared" si="3315"/>
        <v>0</v>
      </c>
      <c r="U979" s="52"/>
      <c r="V979" s="53"/>
      <c r="W979" s="51">
        <f t="shared" ref="W979:X979" si="3316">SUM(W971:W978)</f>
        <v>87.14</v>
      </c>
      <c r="X979" s="51">
        <f t="shared" si="3316"/>
        <v>0</v>
      </c>
      <c r="Y979" s="52"/>
      <c r="Z979" s="53"/>
      <c r="AA979" s="51">
        <f t="shared" ref="AA979:AB979" si="3317">SUM(AA971:AA978)</f>
        <v>564.31</v>
      </c>
      <c r="AB979" s="51">
        <f t="shared" si="3317"/>
        <v>9900</v>
      </c>
      <c r="AC979" s="52"/>
      <c r="AD979" s="53"/>
      <c r="AE979" s="51">
        <f t="shared" ref="AE979:AF979" si="3318">SUM(AE971:AE978)</f>
        <v>4809.44</v>
      </c>
      <c r="AF979" s="51">
        <f t="shared" si="3318"/>
        <v>0</v>
      </c>
      <c r="AG979" s="52"/>
      <c r="AH979" s="53"/>
      <c r="AI979" s="183">
        <f t="shared" ref="AI979:AJ979" si="3319">SUM(AI971:AI978)</f>
        <v>59.36</v>
      </c>
      <c r="AJ979" s="51">
        <f t="shared" si="3319"/>
        <v>0</v>
      </c>
      <c r="AK979" s="52"/>
      <c r="AL979" s="53"/>
      <c r="AM979" s="183">
        <f t="shared" ref="AM979:AN979" si="3320">SUM(AM971:AM978)</f>
        <v>59.36</v>
      </c>
      <c r="AN979" s="51">
        <f t="shared" si="3320"/>
        <v>0</v>
      </c>
      <c r="AO979" s="52"/>
      <c r="AP979" s="53"/>
      <c r="AQ979" s="183">
        <f t="shared" ref="AQ979:AR979" si="3321">SUM(AQ971:AQ978)</f>
        <v>2731.7</v>
      </c>
      <c r="AR979" s="51">
        <f t="shared" si="3321"/>
        <v>0</v>
      </c>
      <c r="AS979" s="52"/>
      <c r="AT979" s="53"/>
      <c r="AU979" s="183">
        <f t="shared" ref="AU979:AV979" si="3322">SUM(AU971:AU978)</f>
        <v>74.09</v>
      </c>
      <c r="AV979" s="51">
        <f t="shared" si="3322"/>
        <v>0</v>
      </c>
      <c r="AW979" s="52"/>
      <c r="AX979" s="53"/>
      <c r="AY979" s="183">
        <f t="shared" ref="AY979:AZ979" si="3323">SUM(AY971:AY978)</f>
        <v>71.7</v>
      </c>
      <c r="AZ979" s="68">
        <f t="shared" si="3323"/>
        <v>0</v>
      </c>
      <c r="BA979" s="52"/>
      <c r="BB979" s="53"/>
      <c r="BC979" s="183">
        <f t="shared" ref="BC979:BD979" si="3324">SUM(BC971:BC978)</f>
        <v>74.09</v>
      </c>
      <c r="BD979" s="68">
        <f t="shared" si="3324"/>
        <v>0</v>
      </c>
      <c r="BE979" s="69"/>
      <c r="BF979" s="70">
        <f t="shared" ref="BF979:BH979" si="3325">SUM(BF971:BF978)</f>
        <v>8795.53</v>
      </c>
      <c r="BG979" s="71">
        <f t="shared" si="3325"/>
        <v>9900</v>
      </c>
      <c r="BH979" s="72">
        <f t="shared" si="3325"/>
        <v>29997.55</v>
      </c>
      <c r="BI979" s="34">
        <f>H979+BF979-BG979</f>
        <v>29997.55</v>
      </c>
      <c r="BJ979" s="34">
        <f>BH979-BI979</f>
        <v>0</v>
      </c>
      <c r="BK979" s="2" t="b">
        <f>H979='2019'!BH815</f>
        <v>0</v>
      </c>
    </row>
    <row r="980" ht="15.75" customHeight="1" hidden="1" spans="1:63" x14ac:dyDescent="0.25">
      <c r="A980" s="2">
        <v>109</v>
      </c>
      <c r="B980" s="14"/>
      <c r="D980" s="14" t="s">
        <v>379</v>
      </c>
      <c r="F980" s="41"/>
      <c r="G980" s="28"/>
      <c r="H980" s="34">
        <f>'2019'!BH816</f>
        <v>47.74</v>
      </c>
      <c r="J980" s="15"/>
      <c r="K980" s="15"/>
      <c r="L980" s="28"/>
      <c r="Q980" s="13"/>
      <c r="R980" s="15"/>
      <c r="S980" s="15"/>
      <c r="T980" s="28"/>
      <c r="Y980" s="13"/>
      <c r="Z980" s="15"/>
      <c r="AA980" s="15"/>
      <c r="AB980" s="28"/>
      <c r="AG980" s="13"/>
      <c r="AH980" s="15"/>
      <c r="AI980" s="45"/>
      <c r="AJ980" s="15"/>
      <c r="AK980" s="13"/>
      <c r="AM980" s="45"/>
      <c r="AO980" s="13"/>
      <c r="AQ980" s="45">
        <v>20.53</v>
      </c>
      <c r="AS980" s="13"/>
      <c r="AU980" s="45">
        <v>21.21</v>
      </c>
      <c r="AW980" s="13"/>
      <c r="AY980" s="45">
        <v>20.53</v>
      </c>
      <c r="AZ980" s="28"/>
      <c r="BA980" s="13"/>
      <c r="BB980" s="15"/>
      <c r="BC980" s="45">
        <v>21.21</v>
      </c>
      <c r="BD980" s="28"/>
      <c r="BE980" s="14"/>
      <c r="BF980" s="41">
        <f t="shared" ref="BF980:BG980" si="3326">K980+O980+S980+W980+AA980+AE980+AI980+AM980+AQ980+AU980+AY980+BC980</f>
        <v>83.48</v>
      </c>
      <c r="BG980" s="34">
        <f t="shared" si="3326"/>
        <v>0</v>
      </c>
      <c r="BH980" s="35">
        <f t="shared" ref="BH980:BH987" si="3327">H980+BF980-BG980</f>
        <v>131.22</v>
      </c>
      <c r="BK980" s="2" t="b">
        <f>H980='2019'!BH816</f>
        <v>1</v>
      </c>
    </row>
    <row r="981" ht="15.75" customHeight="1" hidden="1" spans="1:63" x14ac:dyDescent="0.25">
      <c r="A981" s="2">
        <v>109</v>
      </c>
      <c r="B981" s="14">
        <v>6.22</v>
      </c>
      <c r="C981" s="2" t="s">
        <v>455</v>
      </c>
      <c r="D981" s="14" t="s">
        <v>44</v>
      </c>
      <c r="E981" s="2" t="s">
        <v>45</v>
      </c>
      <c r="F981" s="41">
        <v>2.5</v>
      </c>
      <c r="G981" s="35">
        <v>2.6</v>
      </c>
      <c r="H981" s="34">
        <f>'2019'!BH817</f>
        <v>0</v>
      </c>
      <c r="I981" s="13">
        <v>35</v>
      </c>
      <c r="J981" s="15"/>
      <c r="K981" s="34">
        <f>J981*$F$8</f>
        <v>0</v>
      </c>
      <c r="L981" s="28"/>
      <c r="M981" s="2">
        <v>35</v>
      </c>
      <c r="N981" s="15">
        <f>M981-I981</f>
        <v>0</v>
      </c>
      <c r="O981" s="34">
        <f>N981*$F$8</f>
        <v>0</v>
      </c>
      <c r="Q981" s="13">
        <v>35</v>
      </c>
      <c r="R981" s="15">
        <f>Q981-M981</f>
        <v>0</v>
      </c>
      <c r="S981" s="34">
        <f>R981*$F$8</f>
        <v>0</v>
      </c>
      <c r="T981" s="28"/>
      <c r="U981" s="2">
        <v>35</v>
      </c>
      <c r="V981" s="15">
        <f t="shared" ref="V981:V982" si="3328">U981-Q981</f>
        <v>0</v>
      </c>
      <c r="W981" s="34">
        <f>V981*$F$8</f>
        <v>0</v>
      </c>
      <c r="Y981" s="13">
        <v>37</v>
      </c>
      <c r="Z981" s="15">
        <f t="shared" ref="Z981:Z982" si="3329">Y981-U981</f>
        <v>2</v>
      </c>
      <c r="AA981" s="34">
        <f>Z981*$F$8</f>
        <v>5</v>
      </c>
      <c r="AB981" s="28"/>
      <c r="AC981" s="15">
        <v>39</v>
      </c>
      <c r="AD981" s="15">
        <f t="shared" ref="AD981:AD982" si="3330">AC981-Y981</f>
        <v>2</v>
      </c>
      <c r="AE981" s="34">
        <f>AD981*$F$8</f>
        <v>5</v>
      </c>
      <c r="AG981" s="13">
        <v>40</v>
      </c>
      <c r="AH981" s="15">
        <f t="shared" ref="AH981:AH982" si="3331">AG981-AC981</f>
        <v>1</v>
      </c>
      <c r="AI981" s="45">
        <f>AH981*$G$8</f>
        <v>2.6</v>
      </c>
      <c r="AJ981" s="15"/>
      <c r="AK981" s="13">
        <v>41</v>
      </c>
      <c r="AL981" s="15">
        <f t="shared" ref="AL981:AL982" si="3332">AK981-AG981</f>
        <v>1</v>
      </c>
      <c r="AM981" s="45">
        <f>AL981*$G$8</f>
        <v>2.6</v>
      </c>
      <c r="AN981" s="15"/>
      <c r="AO981" s="13">
        <v>41</v>
      </c>
      <c r="AP981" s="15">
        <f t="shared" ref="AP981:AP982" si="3333">AO981-AK981</f>
        <v>0</v>
      </c>
      <c r="AQ981" s="45">
        <f>AP981*$G$8</f>
        <v>0</v>
      </c>
      <c r="AR981" s="15"/>
      <c r="AS981" s="13">
        <v>41</v>
      </c>
      <c r="AT981" s="15">
        <f t="shared" ref="AT981:AT982" si="3334">AS981-AO981</f>
        <v>0</v>
      </c>
      <c r="AU981" s="45">
        <f t="shared" ref="AU981:AU982" si="3335">AT981*$G$8</f>
        <v>0</v>
      </c>
      <c r="AV981" s="15"/>
      <c r="AW981" s="13">
        <v>41</v>
      </c>
      <c r="AX981" s="2">
        <f t="shared" ref="AX981:AX982" si="3336">AW981-AS981</f>
        <v>0</v>
      </c>
      <c r="AY981" s="45">
        <f>AX981*$G$8</f>
        <v>0</v>
      </c>
      <c r="AZ981" s="208"/>
      <c r="BA981" s="13">
        <v>41</v>
      </c>
      <c r="BB981" s="15">
        <f t="shared" ref="BB981:BB982" si="3337">BA981-AW981</f>
        <v>0</v>
      </c>
      <c r="BC981" s="45">
        <f>BB981*$G$8</f>
        <v>0</v>
      </c>
      <c r="BD981" s="208"/>
      <c r="BE981" s="40">
        <f t="shared" ref="BE981:BG981" si="3338">J981+N981+R981+V981+Z981+AD981+AH981+AL981+AP981+AT981+AX981+BB981</f>
        <v>6</v>
      </c>
      <c r="BF981" s="41">
        <f t="shared" si="3338"/>
        <v>15.2</v>
      </c>
      <c r="BG981" s="34">
        <f t="shared" si="3338"/>
        <v>0</v>
      </c>
      <c r="BH981" s="35">
        <f t="shared" si="3327"/>
        <v>15.2</v>
      </c>
      <c r="BK981" s="2" t="b">
        <f>H981='2019'!BH817</f>
        <v>1</v>
      </c>
    </row>
    <row r="982" ht="15.75" customHeight="1" hidden="1" spans="1:63" x14ac:dyDescent="0.25">
      <c r="A982" s="2">
        <v>109</v>
      </c>
      <c r="B982" s="14"/>
      <c r="C982" s="15" t="s">
        <v>456</v>
      </c>
      <c r="D982" s="14" t="s">
        <v>47</v>
      </c>
      <c r="E982" s="2" t="s">
        <v>48</v>
      </c>
      <c r="F982" s="41">
        <v>18.56</v>
      </c>
      <c r="G982" s="35">
        <v>19.46</v>
      </c>
      <c r="H982" s="34">
        <f>'2019'!BH818</f>
        <v>0</v>
      </c>
      <c r="I982" s="15">
        <v>4</v>
      </c>
      <c r="J982" s="15"/>
      <c r="K982" s="15"/>
      <c r="L982" s="28"/>
      <c r="M982" s="2">
        <v>4</v>
      </c>
      <c r="Q982" s="13">
        <v>4</v>
      </c>
      <c r="R982" s="15"/>
      <c r="S982" s="15"/>
      <c r="T982" s="28"/>
      <c r="U982" s="2">
        <v>5</v>
      </c>
      <c r="V982" s="2">
        <f t="shared" si="3328"/>
        <v>1</v>
      </c>
      <c r="W982" s="2">
        <f>V982*$F$10</f>
        <v>18.56</v>
      </c>
      <c r="Y982" s="13">
        <v>5</v>
      </c>
      <c r="Z982" s="15">
        <f t="shared" si="3329"/>
        <v>0</v>
      </c>
      <c r="AA982" s="34">
        <f>Z982*$F$10</f>
        <v>0</v>
      </c>
      <c r="AB982" s="28"/>
      <c r="AC982" s="15">
        <v>5</v>
      </c>
      <c r="AD982" s="15">
        <f t="shared" si="3330"/>
        <v>0</v>
      </c>
      <c r="AE982" s="34">
        <f>AD982*$F$10</f>
        <v>0</v>
      </c>
      <c r="AG982" s="13">
        <v>7</v>
      </c>
      <c r="AH982" s="15">
        <f t="shared" si="3331"/>
        <v>2</v>
      </c>
      <c r="AI982" s="45">
        <f>AH982*$G$10</f>
        <v>38.92</v>
      </c>
      <c r="AJ982" s="15"/>
      <c r="AK982" s="13">
        <v>8</v>
      </c>
      <c r="AL982" s="15">
        <f t="shared" si="3332"/>
        <v>1</v>
      </c>
      <c r="AM982" s="45">
        <f>AL982*$G$10</f>
        <v>19.46</v>
      </c>
      <c r="AN982" s="15"/>
      <c r="AO982" s="13">
        <v>8</v>
      </c>
      <c r="AP982" s="15">
        <f t="shared" si="3333"/>
        <v>0</v>
      </c>
      <c r="AQ982" s="45">
        <f>AP982*$G$10</f>
        <v>0</v>
      </c>
      <c r="AR982" s="15"/>
      <c r="AS982" s="13">
        <v>8</v>
      </c>
      <c r="AT982" s="15">
        <f t="shared" si="3334"/>
        <v>0</v>
      </c>
      <c r="AU982" s="45">
        <f t="shared" si="3335"/>
        <v>0</v>
      </c>
      <c r="AV982" s="15"/>
      <c r="AW982" s="13">
        <v>8</v>
      </c>
      <c r="AX982" s="2">
        <f t="shared" si="3336"/>
        <v>0</v>
      </c>
      <c r="AY982" s="45"/>
      <c r="AZ982" s="208"/>
      <c r="BA982" s="13">
        <v>8</v>
      </c>
      <c r="BB982" s="15">
        <f t="shared" si="3337"/>
        <v>0</v>
      </c>
      <c r="BC982" s="45"/>
      <c r="BD982" s="208"/>
      <c r="BE982" s="40">
        <f t="shared" ref="BE982:BG982" si="3339">J982+N982+R982+V982+Z982+AD982+AH982+AL982+AP982+AT982+AX982+BB982</f>
        <v>4</v>
      </c>
      <c r="BF982" s="41">
        <f t="shared" si="3339"/>
        <v>76.94</v>
      </c>
      <c r="BG982" s="34">
        <f t="shared" si="3339"/>
        <v>0</v>
      </c>
      <c r="BH982" s="35">
        <f t="shared" si="3327"/>
        <v>76.94</v>
      </c>
      <c r="BK982" s="2" t="b">
        <f>H982='2019'!BH818</f>
        <v>1</v>
      </c>
    </row>
    <row r="983" ht="15.75" customHeight="1" hidden="1" spans="1:63" x14ac:dyDescent="0.25">
      <c r="A983" s="2">
        <v>109</v>
      </c>
      <c r="B983" s="14"/>
      <c r="C983" s="15" t="s">
        <v>111</v>
      </c>
      <c r="D983" s="14" t="s">
        <v>47</v>
      </c>
      <c r="E983" s="2" t="s">
        <v>49</v>
      </c>
      <c r="F983" s="41">
        <v>500</v>
      </c>
      <c r="G983" s="28"/>
      <c r="H983" s="34">
        <f>'2019'!BH819</f>
        <v>0</v>
      </c>
      <c r="I983" s="15"/>
      <c r="J983" s="15"/>
      <c r="K983" s="15"/>
      <c r="L983" s="28"/>
      <c r="Q983" s="13"/>
      <c r="R983" s="15"/>
      <c r="S983" s="15"/>
      <c r="T983" s="28"/>
      <c r="Y983" s="13"/>
      <c r="Z983" s="15"/>
      <c r="AA983" s="15"/>
      <c r="AB983" s="28"/>
      <c r="AG983" s="13"/>
      <c r="AH983" s="15"/>
      <c r="AI983" s="45"/>
      <c r="AJ983" s="15"/>
      <c r="AK983" s="13"/>
      <c r="AL983" s="15"/>
      <c r="AM983" s="45"/>
      <c r="AN983" s="15"/>
      <c r="AO983" s="13"/>
      <c r="AP983" s="15"/>
      <c r="AQ983" s="45"/>
      <c r="AR983" s="15"/>
      <c r="AS983" s="13"/>
      <c r="AT983" s="15"/>
      <c r="AU983" s="45"/>
      <c r="AV983" s="15"/>
      <c r="AW983" s="13"/>
      <c r="AY983" s="45"/>
      <c r="AZ983" s="28"/>
      <c r="BA983" s="13"/>
      <c r="BB983" s="15"/>
      <c r="BC983" s="45"/>
      <c r="BD983" s="28"/>
      <c r="BE983" s="14"/>
      <c r="BF983" s="41">
        <f t="shared" ref="BF983:BG983" si="3340">K983+O983+S983+W983+AA983+AE983+AI983+AM983+AQ983+AU983+AY983+BC983</f>
        <v>0</v>
      </c>
      <c r="BG983" s="34">
        <f t="shared" si="3340"/>
        <v>0</v>
      </c>
      <c r="BH983" s="35">
        <f t="shared" si="3327"/>
        <v>0</v>
      </c>
      <c r="BK983" s="2" t="b">
        <f>H983='2019'!BH819</f>
        <v>1</v>
      </c>
    </row>
    <row r="984" ht="15.75" customHeight="1" hidden="1" spans="1:63" x14ac:dyDescent="0.25">
      <c r="A984" s="2">
        <v>109</v>
      </c>
      <c r="B984" s="14"/>
      <c r="C984" s="15" t="s">
        <v>457</v>
      </c>
      <c r="D984" s="14" t="s">
        <v>50</v>
      </c>
      <c r="E984" s="2" t="s">
        <v>49</v>
      </c>
      <c r="F984" s="41">
        <v>1100</v>
      </c>
      <c r="G984" s="28"/>
      <c r="H984" s="182">
        <f>'2019'!BH820-0.0036</f>
        <v>0</v>
      </c>
      <c r="I984" s="15"/>
      <c r="J984" s="15"/>
      <c r="K984" s="15"/>
      <c r="L984" s="28"/>
      <c r="Q984" s="13"/>
      <c r="R984" s="15"/>
      <c r="S984" s="15"/>
      <c r="T984" s="28"/>
      <c r="Y984" s="13"/>
      <c r="Z984" s="15"/>
      <c r="AA984" s="15"/>
      <c r="AB984" s="28"/>
      <c r="AE984" s="34">
        <f>B981*$F$12</f>
        <v>6842</v>
      </c>
      <c r="AG984" s="13"/>
      <c r="AH984" s="15"/>
      <c r="AI984" s="45"/>
      <c r="AJ984" s="15"/>
      <c r="AK984" s="13"/>
      <c r="AL984" s="15"/>
      <c r="AM984" s="45"/>
      <c r="AN984" s="15"/>
      <c r="AO984" s="13"/>
      <c r="AP984" s="15"/>
      <c r="AQ984" s="45"/>
      <c r="AR984" s="15"/>
      <c r="AS984" s="13"/>
      <c r="AT984" s="15"/>
      <c r="AU984" s="45"/>
      <c r="AV984" s="15"/>
      <c r="AW984" s="13"/>
      <c r="AY984" s="45"/>
      <c r="AZ984" s="28"/>
      <c r="BA984" s="13"/>
      <c r="BB984" s="15"/>
      <c r="BC984" s="45"/>
      <c r="BD984" s="28"/>
      <c r="BE984" s="14"/>
      <c r="BF984" s="41">
        <f t="shared" ref="BF984:BG984" si="3341">K984+O984+S984+W984+AA984+AE984+AI984+AM984+AQ984+AU984+AY984+BC984</f>
        <v>6842</v>
      </c>
      <c r="BG984" s="34">
        <f t="shared" si="3341"/>
        <v>0</v>
      </c>
      <c r="BH984" s="35">
        <f t="shared" si="3327"/>
        <v>6842</v>
      </c>
      <c r="BK984" s="2" t="b">
        <f>H984='2019'!BH820</f>
        <v>0</v>
      </c>
    </row>
    <row r="985" ht="15.75" customHeight="1" hidden="1" spans="1:63" x14ac:dyDescent="0.25">
      <c r="A985" s="2">
        <v>109</v>
      </c>
      <c r="B985" s="14"/>
      <c r="D985" s="14" t="s">
        <v>51</v>
      </c>
      <c r="E985" s="2" t="s">
        <v>39</v>
      </c>
      <c r="F985" s="41">
        <v>500</v>
      </c>
      <c r="G985" s="28"/>
      <c r="H985" s="34">
        <f>'2019'!BH821</f>
        <v>0</v>
      </c>
      <c r="I985" s="15"/>
      <c r="J985" s="15"/>
      <c r="K985" s="15"/>
      <c r="L985" s="28"/>
      <c r="Q985" s="13"/>
      <c r="R985" s="15"/>
      <c r="S985" s="15"/>
      <c r="T985" s="28"/>
      <c r="Y985" s="13"/>
      <c r="Z985" s="15"/>
      <c r="AA985" s="15"/>
      <c r="AB985" s="28"/>
      <c r="AE985" s="34"/>
      <c r="AG985" s="13"/>
      <c r="AH985" s="15"/>
      <c r="AI985" s="45"/>
      <c r="AJ985" s="15"/>
      <c r="AK985" s="13"/>
      <c r="AL985" s="15"/>
      <c r="AM985" s="45"/>
      <c r="AN985" s="15"/>
      <c r="AO985" s="13"/>
      <c r="AP985" s="15"/>
      <c r="AQ985" s="45">
        <f>$F$13</f>
        <v>500</v>
      </c>
      <c r="AR985" s="15"/>
      <c r="AS985" s="13"/>
      <c r="AT985" s="15"/>
      <c r="AU985" s="45"/>
      <c r="AV985" s="15"/>
      <c r="AW985" s="13"/>
      <c r="AY985" s="45"/>
      <c r="AZ985" s="28"/>
      <c r="BA985" s="13"/>
      <c r="BB985" s="15"/>
      <c r="BC985" s="45"/>
      <c r="BD985" s="28"/>
      <c r="BE985" s="14"/>
      <c r="BF985" s="41">
        <f t="shared" ref="BF985:BG985" si="3342">K985+O985+S985+W985+AA985+AE985+AI985+AM985+AQ985+AU985+AY985+BC985</f>
        <v>500</v>
      </c>
      <c r="BG985" s="34">
        <f t="shared" si="3342"/>
        <v>0</v>
      </c>
      <c r="BH985" s="35">
        <f t="shared" si="3327"/>
        <v>500</v>
      </c>
      <c r="BK985" s="2" t="b">
        <f>H985='2019'!BH821</f>
        <v>1</v>
      </c>
    </row>
    <row r="986" ht="15.75" customHeight="1" hidden="1" spans="1:60" x14ac:dyDescent="0.25">
      <c r="A986" s="2">
        <v>109</v>
      </c>
      <c r="B986" s="14"/>
      <c r="D986" s="14" t="s">
        <v>51</v>
      </c>
      <c r="E986" s="2" t="s">
        <v>49</v>
      </c>
      <c r="F986" s="41">
        <v>500</v>
      </c>
      <c r="G986" s="28"/>
      <c r="H986" s="34"/>
      <c r="I986" s="15"/>
      <c r="J986" s="15"/>
      <c r="K986" s="15"/>
      <c r="L986" s="28"/>
      <c r="Q986" s="13"/>
      <c r="R986" s="15"/>
      <c r="S986" s="15"/>
      <c r="T986" s="28"/>
      <c r="Y986" s="13"/>
      <c r="Z986" s="15"/>
      <c r="AA986" s="15"/>
      <c r="AB986" s="28"/>
      <c r="AE986" s="34"/>
      <c r="AG986" s="13"/>
      <c r="AH986" s="15"/>
      <c r="AI986" s="45"/>
      <c r="AJ986" s="15"/>
      <c r="AK986" s="13"/>
      <c r="AL986" s="15"/>
      <c r="AM986" s="45"/>
      <c r="AN986" s="15"/>
      <c r="AO986" s="13"/>
      <c r="AP986" s="15"/>
      <c r="AQ986" s="34">
        <f>B981*$F$14</f>
        <v>3110</v>
      </c>
      <c r="AR986" s="15"/>
      <c r="AS986" s="13"/>
      <c r="AT986" s="15"/>
      <c r="AU986" s="45"/>
      <c r="AV986" s="15"/>
      <c r="AW986" s="13"/>
      <c r="AY986" s="45"/>
      <c r="AZ986" s="28"/>
      <c r="BA986" s="13"/>
      <c r="BB986" s="15"/>
      <c r="BC986" s="45"/>
      <c r="BD986" s="28"/>
      <c r="BE986" s="14"/>
      <c r="BF986" s="41">
        <f t="shared" ref="BF986:BG986" si="3343">K986+O986+S986+W986+AA986+AE986+AI986+AM986+AQ986+AU986+AY986+BC986</f>
        <v>3110</v>
      </c>
      <c r="BG986" s="34">
        <f t="shared" si="3343"/>
        <v>0</v>
      </c>
      <c r="BH986" s="35">
        <f t="shared" si="3327"/>
        <v>3110</v>
      </c>
    </row>
    <row r="987" ht="15.75" customHeight="1" hidden="1" spans="1:63" x14ac:dyDescent="0.25">
      <c r="A987" s="2">
        <v>109</v>
      </c>
      <c r="B987" s="14"/>
      <c r="C987" s="15"/>
      <c r="D987" s="14" t="s">
        <v>52</v>
      </c>
      <c r="E987" s="2" t="s">
        <v>39</v>
      </c>
      <c r="F987" s="41">
        <v>500</v>
      </c>
      <c r="G987" s="28"/>
      <c r="H987" s="34">
        <f>'2019'!BH822</f>
        <v>0</v>
      </c>
      <c r="I987" s="15"/>
      <c r="J987" s="15"/>
      <c r="K987" s="15"/>
      <c r="L987" s="28"/>
      <c r="Q987" s="13"/>
      <c r="R987" s="15"/>
      <c r="S987" s="15"/>
      <c r="T987" s="28"/>
      <c r="Y987" s="13"/>
      <c r="Z987" s="15"/>
      <c r="AA987" s="34">
        <f>$F$11</f>
        <v>500</v>
      </c>
      <c r="AB987" s="28"/>
      <c r="AG987" s="13"/>
      <c r="AH987" s="15"/>
      <c r="AI987" s="45"/>
      <c r="AJ987" s="15"/>
      <c r="AK987" s="13"/>
      <c r="AL987" s="15"/>
      <c r="AM987" s="45"/>
      <c r="AN987" s="15"/>
      <c r="AO987" s="13"/>
      <c r="AP987" s="15"/>
      <c r="AQ987" s="45"/>
      <c r="AR987" s="15"/>
      <c r="AS987" s="13"/>
      <c r="AT987" s="15"/>
      <c r="AU987" s="45"/>
      <c r="AV987" s="15"/>
      <c r="AW987" s="13"/>
      <c r="AY987" s="45"/>
      <c r="AZ987" s="35"/>
      <c r="BA987" s="13"/>
      <c r="BB987" s="15"/>
      <c r="BC987" s="45"/>
      <c r="BD987" s="35"/>
      <c r="BE987" s="14"/>
      <c r="BF987" s="41">
        <f t="shared" ref="BF987:BG987" si="3344">K987+O987+S987+W987+AA987+AE987+AI987+AM987+AQ987+AU987+AY987+BC987</f>
        <v>500</v>
      </c>
      <c r="BG987" s="34">
        <f t="shared" si="3344"/>
        <v>0</v>
      </c>
      <c r="BH987" s="35">
        <f t="shared" si="3327"/>
        <v>500</v>
      </c>
      <c r="BK987" s="2" t="b">
        <f>H987='2019'!BH822</f>
        <v>1</v>
      </c>
    </row>
    <row r="988" ht="15.75" customHeight="1" hidden="1" spans="1:63" x14ac:dyDescent="0.25">
      <c r="A988" s="247">
        <v>109</v>
      </c>
      <c r="B988" s="21"/>
      <c r="C988" s="22" t="s">
        <v>53</v>
      </c>
      <c r="D988" s="21"/>
      <c r="E988" s="22"/>
      <c r="F988" s="109"/>
      <c r="G988" s="23"/>
      <c r="H988" s="51">
        <f>SUM(H980:H987)</f>
        <v>47.74</v>
      </c>
      <c r="I988" s="53"/>
      <c r="J988" s="53"/>
      <c r="K988" s="51">
        <f t="shared" ref="K988:L988" si="3345">SUM(K980:K987)</f>
        <v>0</v>
      </c>
      <c r="L988" s="68">
        <f t="shared" si="3345"/>
        <v>0</v>
      </c>
      <c r="M988" s="53"/>
      <c r="N988" s="53"/>
      <c r="O988" s="51">
        <f t="shared" ref="O988:P988" si="3346">SUM(O980:O987)</f>
        <v>0</v>
      </c>
      <c r="P988" s="51">
        <f t="shared" si="3346"/>
        <v>0</v>
      </c>
      <c r="Q988" s="52"/>
      <c r="R988" s="53"/>
      <c r="S988" s="51">
        <f t="shared" ref="S988:T988" si="3347">SUM(S980:S987)</f>
        <v>0</v>
      </c>
      <c r="T988" s="51">
        <f t="shared" si="3347"/>
        <v>0</v>
      </c>
      <c r="U988" s="52"/>
      <c r="V988" s="53"/>
      <c r="W988" s="51">
        <f t="shared" ref="W988:X988" si="3348">SUM(W980:W987)</f>
        <v>18.56</v>
      </c>
      <c r="X988" s="51">
        <f t="shared" si="3348"/>
        <v>0</v>
      </c>
      <c r="Y988" s="52"/>
      <c r="Z988" s="53"/>
      <c r="AA988" s="51">
        <f t="shared" ref="AA988:AB988" si="3349">SUM(AA980:AA987)</f>
        <v>505</v>
      </c>
      <c r="AB988" s="51">
        <f t="shared" si="3349"/>
        <v>0</v>
      </c>
      <c r="AC988" s="52"/>
      <c r="AD988" s="53"/>
      <c r="AE988" s="51">
        <f t="shared" ref="AE988:AF988" si="3350">SUM(AE980:AE987)</f>
        <v>6847</v>
      </c>
      <c r="AF988" s="51">
        <f t="shared" si="3350"/>
        <v>0</v>
      </c>
      <c r="AG988" s="52"/>
      <c r="AH988" s="53"/>
      <c r="AI988" s="183">
        <f t="shared" ref="AI988:AJ988" si="3351">SUM(AI980:AI987)</f>
        <v>41.52</v>
      </c>
      <c r="AJ988" s="51">
        <f t="shared" si="3351"/>
        <v>0</v>
      </c>
      <c r="AK988" s="52"/>
      <c r="AL988" s="53"/>
      <c r="AM988" s="183">
        <f t="shared" ref="AM988:AN988" si="3352">SUM(AM980:AM987)</f>
        <v>22.06</v>
      </c>
      <c r="AN988" s="51">
        <f t="shared" si="3352"/>
        <v>0</v>
      </c>
      <c r="AO988" s="52"/>
      <c r="AP988" s="53"/>
      <c r="AQ988" s="183">
        <f t="shared" ref="AQ988:AR988" si="3353">SUM(AQ980:AQ987)</f>
        <v>3630.53</v>
      </c>
      <c r="AR988" s="51">
        <f t="shared" si="3353"/>
        <v>0</v>
      </c>
      <c r="AS988" s="52"/>
      <c r="AT988" s="53"/>
      <c r="AU988" s="183">
        <f t="shared" ref="AU988:AV988" si="3354">SUM(AU980:AU987)</f>
        <v>21.21</v>
      </c>
      <c r="AV988" s="68">
        <f t="shared" si="3354"/>
        <v>0</v>
      </c>
      <c r="AW988" s="52"/>
      <c r="AX988" s="53"/>
      <c r="AY988" s="183">
        <f t="shared" ref="AY988:AZ988" si="3355">SUM(AY980:AY987)</f>
        <v>20.53</v>
      </c>
      <c r="AZ988" s="68">
        <f t="shared" si="3355"/>
        <v>0</v>
      </c>
      <c r="BA988" s="52"/>
      <c r="BB988" s="53"/>
      <c r="BC988" s="183">
        <f t="shared" ref="BC988:BD988" si="3356">SUM(BC980:BC987)</f>
        <v>21.21</v>
      </c>
      <c r="BD988" s="68">
        <f t="shared" si="3356"/>
        <v>0</v>
      </c>
      <c r="BE988" s="69"/>
      <c r="BF988" s="70">
        <f t="shared" ref="BF988:BH988" si="3357">SUM(BF980:BF987)</f>
        <v>11127.62</v>
      </c>
      <c r="BG988" s="71">
        <f t="shared" si="3357"/>
        <v>0</v>
      </c>
      <c r="BH988" s="72">
        <f t="shared" si="3357"/>
        <v>11175.36</v>
      </c>
      <c r="BI988" s="34">
        <f>H988+BF988-BG988</f>
        <v>11175.36</v>
      </c>
      <c r="BJ988" s="34">
        <f>BH988-BI988</f>
        <v>0</v>
      </c>
      <c r="BK988" s="2" t="b">
        <f>H988='2019'!BH823</f>
        <v>0</v>
      </c>
    </row>
    <row r="989" ht="15.75" customHeight="1" hidden="1" spans="1:63" x14ac:dyDescent="0.25">
      <c r="A989" s="2">
        <v>110</v>
      </c>
      <c r="B989" s="14"/>
      <c r="D989" s="178" t="s">
        <v>486</v>
      </c>
      <c r="F989" s="41"/>
      <c r="G989" s="28"/>
      <c r="H989" s="34">
        <f>'2019'!BH824</f>
        <v>10.34</v>
      </c>
      <c r="J989" s="15"/>
      <c r="K989" s="15"/>
      <c r="L989" s="28"/>
      <c r="Q989" s="13"/>
      <c r="R989" s="15"/>
      <c r="S989" s="15"/>
      <c r="T989" s="28"/>
      <c r="W989" s="152">
        <v>65.5</v>
      </c>
      <c r="Y989" s="13"/>
      <c r="Z989" s="15"/>
      <c r="AA989" s="15"/>
      <c r="AB989" s="28"/>
      <c r="AG989" s="13"/>
      <c r="AH989" s="15"/>
      <c r="AI989" s="45"/>
      <c r="AJ989" s="15"/>
      <c r="AK989" s="13"/>
      <c r="AM989" s="45"/>
      <c r="AO989" s="13"/>
      <c r="AQ989" s="45">
        <v>16.2</v>
      </c>
      <c r="AS989" s="13"/>
      <c r="AU989" s="45">
        <v>16.74</v>
      </c>
      <c r="AW989" s="13"/>
      <c r="AY989" s="45">
        <v>16.2</v>
      </c>
      <c r="AZ989" s="28"/>
      <c r="BA989" s="13"/>
      <c r="BB989" s="15"/>
      <c r="BC989" s="45">
        <v>16.74</v>
      </c>
      <c r="BD989" s="28"/>
      <c r="BE989" s="14"/>
      <c r="BF989" s="41">
        <f t="shared" ref="BF989:BG989" si="3358">K989+O989+S989+W989+AA989+AE989+AI989+AM989+AQ989+AU989+AY989+BC989</f>
        <v>131.38</v>
      </c>
      <c r="BG989" s="34">
        <f t="shared" si="3358"/>
        <v>0</v>
      </c>
      <c r="BH989" s="35">
        <f t="shared" ref="BH989:BH996" si="3359">H989+BF989-BG989</f>
        <v>141.72</v>
      </c>
      <c r="BK989" s="2" t="b">
        <f>H989='2019'!BH824</f>
        <v>1</v>
      </c>
    </row>
    <row r="990" ht="15.75" customHeight="1" hidden="1" spans="1:63" x14ac:dyDescent="0.25">
      <c r="A990" s="2">
        <v>110</v>
      </c>
      <c r="B990" s="14">
        <v>4.91</v>
      </c>
      <c r="C990" s="2" t="s">
        <v>342</v>
      </c>
      <c r="D990" s="14" t="s">
        <v>44</v>
      </c>
      <c r="E990" s="2" t="s">
        <v>45</v>
      </c>
      <c r="F990" s="41">
        <v>2.5</v>
      </c>
      <c r="G990" s="35">
        <v>2.6</v>
      </c>
      <c r="H990" s="34">
        <f>'2019'!BH825</f>
        <v>70</v>
      </c>
      <c r="I990" s="13">
        <v>139</v>
      </c>
      <c r="J990" s="15">
        <f>I990-'2019'!BA825</f>
        <v>0</v>
      </c>
      <c r="K990" s="34">
        <f>J990*$F$8</f>
        <v>0</v>
      </c>
      <c r="L990" s="28"/>
      <c r="M990" s="15">
        <v>139</v>
      </c>
      <c r="N990" s="15">
        <f>M990-I990</f>
        <v>0</v>
      </c>
      <c r="O990" s="34">
        <f>N990*$F$8</f>
        <v>0</v>
      </c>
      <c r="Q990" s="13">
        <v>139</v>
      </c>
      <c r="R990" s="15">
        <f>Q990-M990</f>
        <v>0</v>
      </c>
      <c r="S990" s="34">
        <f>R990*$F$8</f>
        <v>0</v>
      </c>
      <c r="T990" s="28"/>
      <c r="U990" s="15">
        <v>139</v>
      </c>
      <c r="V990" s="15">
        <f t="shared" ref="V990:V991" si="3360">U990-Q990</f>
        <v>0</v>
      </c>
      <c r="W990" s="152">
        <f>V990*$F$8</f>
        <v>0</v>
      </c>
      <c r="Y990" s="13">
        <v>139</v>
      </c>
      <c r="Z990" s="15">
        <f t="shared" ref="Z990:Z991" si="3361">Y990-U990</f>
        <v>0</v>
      </c>
      <c r="AA990" s="34">
        <f>Z990*$F$8</f>
        <v>0</v>
      </c>
      <c r="AB990" s="28"/>
      <c r="AC990" s="15">
        <v>140</v>
      </c>
      <c r="AD990" s="15">
        <f t="shared" ref="AD990:AD991" si="3362">AC990-Y990</f>
        <v>1</v>
      </c>
      <c r="AE990" s="34">
        <f>AD990*$F$8</f>
        <v>2.5</v>
      </c>
      <c r="AG990" s="13">
        <v>141</v>
      </c>
      <c r="AH990" s="15">
        <f t="shared" ref="AH990:AH991" si="3363">AG990-AC990</f>
        <v>1</v>
      </c>
      <c r="AI990" s="45">
        <f>AH990*$G$8</f>
        <v>2.6</v>
      </c>
      <c r="AJ990" s="1"/>
      <c r="AK990" s="13">
        <v>150</v>
      </c>
      <c r="AL990" s="15">
        <f t="shared" ref="AL990:AL991" si="3364">AK990-AG990</f>
        <v>9</v>
      </c>
      <c r="AM990" s="45">
        <f>AL990*$G$8</f>
        <v>23.4</v>
      </c>
      <c r="AN990" s="15"/>
      <c r="AO990" s="13">
        <v>151</v>
      </c>
      <c r="AP990" s="15">
        <f t="shared" ref="AP990:AP991" si="3365">AO990-AK990</f>
        <v>1</v>
      </c>
      <c r="AQ990" s="45">
        <f>AP990*$G$8</f>
        <v>2.6</v>
      </c>
      <c r="AR990" s="15"/>
      <c r="AS990" s="13">
        <v>151</v>
      </c>
      <c r="AT990" s="15">
        <f t="shared" ref="AT990:AT991" si="3366">AS990-AO990</f>
        <v>0</v>
      </c>
      <c r="AU990" s="45">
        <f>AT990*$G$8</f>
        <v>0</v>
      </c>
      <c r="AV990" s="15"/>
      <c r="AW990" s="13">
        <v>151</v>
      </c>
      <c r="AX990" s="2">
        <f t="shared" ref="AX990:AX991" si="3367">AW990-AS990</f>
        <v>0</v>
      </c>
      <c r="AY990" s="45">
        <f>AX990*$G$8</f>
        <v>0</v>
      </c>
      <c r="AZ990" s="208"/>
      <c r="BA990" s="13">
        <v>151</v>
      </c>
      <c r="BB990" s="15">
        <f t="shared" ref="BB990:BB991" si="3368">BA990-AW990</f>
        <v>0</v>
      </c>
      <c r="BC990" s="45">
        <f>BB990*$G$8</f>
        <v>0</v>
      </c>
      <c r="BD990" s="208"/>
      <c r="BE990" s="40">
        <f t="shared" ref="BE990:BG990" si="3369">J990+N990+R990+V990+Z990+AD990+AH990+AL990+AP990+AT990+AX990+BB990</f>
        <v>12</v>
      </c>
      <c r="BF990" s="41">
        <f t="shared" si="3369"/>
        <v>31.1</v>
      </c>
      <c r="BG990" s="34">
        <f t="shared" si="3369"/>
        <v>0</v>
      </c>
      <c r="BH990" s="35">
        <f t="shared" si="3359"/>
        <v>101.1</v>
      </c>
      <c r="BK990" s="2" t="b">
        <f>H990='2019'!BH825</f>
        <v>1</v>
      </c>
    </row>
    <row r="991" ht="15.75" customHeight="1" hidden="1" spans="1:63" x14ac:dyDescent="0.25">
      <c r="A991" s="2">
        <v>110</v>
      </c>
      <c r="B991" s="14"/>
      <c r="C991" s="15" t="s">
        <v>343</v>
      </c>
      <c r="D991" s="14" t="s">
        <v>47</v>
      </c>
      <c r="E991" s="2" t="s">
        <v>48</v>
      </c>
      <c r="F991" s="41">
        <v>18.56</v>
      </c>
      <c r="G991" s="35">
        <v>19.46</v>
      </c>
      <c r="H991" s="34">
        <f>'2019'!BH826</f>
        <v>18.56</v>
      </c>
      <c r="I991" s="15">
        <v>40</v>
      </c>
      <c r="J991" s="15"/>
      <c r="K991" s="15"/>
      <c r="L991" s="28"/>
      <c r="M991" s="2">
        <v>40</v>
      </c>
      <c r="Q991" s="13">
        <v>40</v>
      </c>
      <c r="R991" s="15"/>
      <c r="S991" s="15"/>
      <c r="T991" s="28"/>
      <c r="U991" s="2">
        <v>40</v>
      </c>
      <c r="V991" s="2">
        <f t="shared" si="3360"/>
        <v>0</v>
      </c>
      <c r="W991" s="34">
        <f>V991*$F$10</f>
        <v>0</v>
      </c>
      <c r="Y991" s="13">
        <v>40</v>
      </c>
      <c r="Z991" s="15">
        <f t="shared" si="3361"/>
        <v>0</v>
      </c>
      <c r="AA991" s="34">
        <f>Z991*$F$10</f>
        <v>0</v>
      </c>
      <c r="AB991" s="28"/>
      <c r="AC991" s="15">
        <v>40</v>
      </c>
      <c r="AD991" s="15">
        <f t="shared" si="3362"/>
        <v>0</v>
      </c>
      <c r="AE991" s="34">
        <f>AD991*$F$10</f>
        <v>0</v>
      </c>
      <c r="AG991" s="13">
        <v>40</v>
      </c>
      <c r="AH991" s="15">
        <f t="shared" si="3363"/>
        <v>0</v>
      </c>
      <c r="AI991" s="45">
        <f>AH991*$G$10</f>
        <v>0</v>
      </c>
      <c r="AJ991" s="39"/>
      <c r="AK991" s="13">
        <v>40</v>
      </c>
      <c r="AL991" s="15">
        <f t="shared" si="3364"/>
        <v>0</v>
      </c>
      <c r="AM991" s="45">
        <f>AL991*$G$10</f>
        <v>0</v>
      </c>
      <c r="AN991" s="15"/>
      <c r="AO991" s="13">
        <v>40</v>
      </c>
      <c r="AP991" s="15">
        <f t="shared" si="3365"/>
        <v>0</v>
      </c>
      <c r="AQ991" s="45">
        <f>AP991*$G$10</f>
        <v>0</v>
      </c>
      <c r="AR991" s="15"/>
      <c r="AS991" s="13">
        <v>41</v>
      </c>
      <c r="AT991" s="15">
        <f t="shared" si="3366"/>
        <v>1</v>
      </c>
      <c r="AU991" s="45">
        <f>AT991*$G$10</f>
        <v>19.46</v>
      </c>
      <c r="AV991" s="15"/>
      <c r="AW991" s="13">
        <v>41</v>
      </c>
      <c r="AX991" s="2">
        <f t="shared" si="3367"/>
        <v>0</v>
      </c>
      <c r="AY991" s="45"/>
      <c r="AZ991" s="208"/>
      <c r="BA991" s="13">
        <v>41</v>
      </c>
      <c r="BB991" s="15">
        <f t="shared" si="3368"/>
        <v>0</v>
      </c>
      <c r="BC991" s="45"/>
      <c r="BD991" s="208"/>
      <c r="BE991" s="40">
        <f t="shared" ref="BE991:BG991" si="3370">J991+N991+R991+V991+Z991+AD991+AH991+AL991+AP991+AT991+AX991+BB991</f>
        <v>1</v>
      </c>
      <c r="BF991" s="41">
        <f t="shared" si="3370"/>
        <v>19.46</v>
      </c>
      <c r="BG991" s="34">
        <f t="shared" si="3370"/>
        <v>0</v>
      </c>
      <c r="BH991" s="35">
        <f t="shared" si="3359"/>
        <v>38.02</v>
      </c>
      <c r="BK991" s="2" t="b">
        <f>H991='2019'!BH826</f>
        <v>1</v>
      </c>
    </row>
    <row r="992" ht="15.75" customHeight="1" hidden="1" spans="1:63" x14ac:dyDescent="0.25">
      <c r="A992" s="2">
        <v>110</v>
      </c>
      <c r="B992" s="14"/>
      <c r="C992" s="15" t="s">
        <v>194</v>
      </c>
      <c r="D992" s="14" t="s">
        <v>47</v>
      </c>
      <c r="E992" s="2" t="s">
        <v>49</v>
      </c>
      <c r="F992" s="41">
        <v>500</v>
      </c>
      <c r="G992" s="28"/>
      <c r="H992" s="34">
        <f>'2019'!BH827</f>
        <v>0</v>
      </c>
      <c r="I992" s="15"/>
      <c r="J992" s="15"/>
      <c r="K992" s="15"/>
      <c r="L992" s="28"/>
      <c r="Q992" s="13"/>
      <c r="R992" s="15"/>
      <c r="S992" s="15"/>
      <c r="T992" s="28"/>
      <c r="W992" s="152"/>
      <c r="Y992" s="13"/>
      <c r="Z992" s="15"/>
      <c r="AA992" s="15"/>
      <c r="AB992" s="28"/>
      <c r="AG992" s="13"/>
      <c r="AH992" s="15"/>
      <c r="AI992" s="45"/>
      <c r="AJ992" s="15"/>
      <c r="AK992" s="13"/>
      <c r="AL992" s="15"/>
      <c r="AM992" s="45"/>
      <c r="AN992" s="15"/>
      <c r="AO992" s="13"/>
      <c r="AP992" s="15"/>
      <c r="AQ992" s="45"/>
      <c r="AR992" s="15"/>
      <c r="AS992" s="13"/>
      <c r="AT992" s="15"/>
      <c r="AU992" s="45"/>
      <c r="AV992" s="15"/>
      <c r="AW992" s="13"/>
      <c r="AY992" s="45"/>
      <c r="AZ992" s="28"/>
      <c r="BA992" s="13"/>
      <c r="BB992" s="15"/>
      <c r="BC992" s="45"/>
      <c r="BD992" s="28"/>
      <c r="BE992" s="14"/>
      <c r="BF992" s="41">
        <f t="shared" ref="BF992:BG992" si="3371">K992+O992+S992+W992+AA992+AE992+AI992+AM992+AQ992+AU992+AY992+BC992</f>
        <v>0</v>
      </c>
      <c r="BG992" s="34">
        <f t="shared" si="3371"/>
        <v>0</v>
      </c>
      <c r="BH992" s="35">
        <f t="shared" si="3359"/>
        <v>0</v>
      </c>
      <c r="BK992" s="2" t="b">
        <f>H992='2019'!BH827</f>
        <v>1</v>
      </c>
    </row>
    <row r="993" ht="15.75" customHeight="1" hidden="1" spans="1:63" x14ac:dyDescent="0.25">
      <c r="A993" s="2">
        <v>110</v>
      </c>
      <c r="B993" s="14"/>
      <c r="C993" s="2" t="s">
        <v>344</v>
      </c>
      <c r="D993" s="14" t="s">
        <v>50</v>
      </c>
      <c r="E993" s="2" t="s">
        <v>49</v>
      </c>
      <c r="F993" s="41">
        <v>1100</v>
      </c>
      <c r="G993" s="28"/>
      <c r="H993" s="182">
        <f>'2019'!BH828-0.0008</f>
        <v>0</v>
      </c>
      <c r="I993" s="15"/>
      <c r="J993" s="15"/>
      <c r="K993" s="15"/>
      <c r="L993" s="28"/>
      <c r="Q993" s="13"/>
      <c r="R993" s="15"/>
      <c r="S993" s="15"/>
      <c r="T993" s="28"/>
      <c r="W993" s="152"/>
      <c r="Y993" s="13"/>
      <c r="Z993" s="15"/>
      <c r="AA993" s="15"/>
      <c r="AB993" s="28"/>
      <c r="AE993" s="34">
        <f>B990*$F$12</f>
        <v>5401</v>
      </c>
      <c r="AG993" s="13"/>
      <c r="AH993" s="15"/>
      <c r="AI993" s="45"/>
      <c r="AJ993" s="1"/>
      <c r="AK993" s="13"/>
      <c r="AL993" s="15"/>
      <c r="AM993" s="45"/>
      <c r="AN993" s="15"/>
      <c r="AO993" s="13"/>
      <c r="AP993" s="15"/>
      <c r="AQ993" s="45"/>
      <c r="AR993" s="15"/>
      <c r="AS993" s="13"/>
      <c r="AT993" s="15"/>
      <c r="AU993" s="45"/>
      <c r="AV993" s="15"/>
      <c r="AW993" s="13"/>
      <c r="AY993" s="45"/>
      <c r="AZ993" s="28"/>
      <c r="BA993" s="13"/>
      <c r="BB993" s="15"/>
      <c r="BC993" s="45"/>
      <c r="BD993" s="28"/>
      <c r="BE993" s="14"/>
      <c r="BF993" s="41">
        <f t="shared" ref="BF993:BG993" si="3372">K993+O993+S993+W993+AA993+AE993+AI993+AM993+AQ993+AU993+AY993+BC993</f>
        <v>5401</v>
      </c>
      <c r="BG993" s="34">
        <f t="shared" si="3372"/>
        <v>0</v>
      </c>
      <c r="BH993" s="35">
        <f t="shared" si="3359"/>
        <v>5401</v>
      </c>
      <c r="BK993" s="2" t="b">
        <f>H993='2019'!BH828</f>
        <v>0</v>
      </c>
    </row>
    <row r="994" ht="15.75" customHeight="1" hidden="1" spans="1:63" x14ac:dyDescent="0.25">
      <c r="A994" s="2">
        <v>110</v>
      </c>
      <c r="B994" s="14"/>
      <c r="D994" s="14" t="s">
        <v>51</v>
      </c>
      <c r="E994" s="2" t="s">
        <v>39</v>
      </c>
      <c r="F994" s="41">
        <v>500</v>
      </c>
      <c r="G994" s="28"/>
      <c r="H994" s="34">
        <f>'2019'!BH829</f>
        <v>0</v>
      </c>
      <c r="I994" s="15"/>
      <c r="J994" s="15"/>
      <c r="K994" s="15"/>
      <c r="L994" s="28"/>
      <c r="Q994" s="13"/>
      <c r="R994" s="15"/>
      <c r="S994" s="15"/>
      <c r="T994" s="28"/>
      <c r="W994" s="152"/>
      <c r="Y994" s="13"/>
      <c r="Z994" s="15"/>
      <c r="AA994" s="15"/>
      <c r="AB994" s="28"/>
      <c r="AE994" s="34"/>
      <c r="AG994" s="13"/>
      <c r="AH994" s="15"/>
      <c r="AI994" s="45"/>
      <c r="AJ994" s="15"/>
      <c r="AK994" s="13"/>
      <c r="AL994" s="15"/>
      <c r="AM994" s="45"/>
      <c r="AN994" s="15"/>
      <c r="AO994" s="13"/>
      <c r="AP994" s="15"/>
      <c r="AQ994" s="45">
        <f>$F$13</f>
        <v>500</v>
      </c>
      <c r="AR994" s="15"/>
      <c r="AS994" s="13"/>
      <c r="AT994" s="15"/>
      <c r="AU994" s="45"/>
      <c r="AV994" s="15"/>
      <c r="AW994" s="13"/>
      <c r="AY994" s="45"/>
      <c r="AZ994" s="28"/>
      <c r="BA994" s="13"/>
      <c r="BB994" s="15"/>
      <c r="BC994" s="45"/>
      <c r="BD994" s="28"/>
      <c r="BE994" s="14"/>
      <c r="BF994" s="41">
        <f t="shared" ref="BF994:BG994" si="3373">K994+O994+S994+W994+AA994+AE994+AI994+AM994+AQ994+AU994+AY994+BC994</f>
        <v>500</v>
      </c>
      <c r="BG994" s="34">
        <f t="shared" si="3373"/>
        <v>0</v>
      </c>
      <c r="BH994" s="35">
        <f t="shared" si="3359"/>
        <v>500</v>
      </c>
      <c r="BK994" s="2" t="b">
        <f>H994='2019'!BH829</f>
        <v>1</v>
      </c>
    </row>
    <row r="995" ht="15.75" customHeight="1" hidden="1" spans="1:60" x14ac:dyDescent="0.25">
      <c r="A995" s="2">
        <v>110</v>
      </c>
      <c r="B995" s="14"/>
      <c r="D995" s="14" t="s">
        <v>51</v>
      </c>
      <c r="E995" s="2" t="s">
        <v>49</v>
      </c>
      <c r="F995" s="41">
        <v>500</v>
      </c>
      <c r="G995" s="28"/>
      <c r="H995" s="34"/>
      <c r="I995" s="15"/>
      <c r="J995" s="15"/>
      <c r="K995" s="15"/>
      <c r="L995" s="28"/>
      <c r="Q995" s="13"/>
      <c r="R995" s="15"/>
      <c r="S995" s="15"/>
      <c r="T995" s="28"/>
      <c r="W995" s="152"/>
      <c r="Y995" s="13"/>
      <c r="Z995" s="15"/>
      <c r="AA995" s="15"/>
      <c r="AB995" s="28"/>
      <c r="AE995" s="34"/>
      <c r="AG995" s="13"/>
      <c r="AH995" s="15"/>
      <c r="AI995" s="45"/>
      <c r="AJ995" s="15"/>
      <c r="AK995" s="13"/>
      <c r="AL995" s="15"/>
      <c r="AM995" s="45"/>
      <c r="AN995" s="15"/>
      <c r="AO995" s="13"/>
      <c r="AP995" s="15"/>
      <c r="AQ995" s="34">
        <f>B990*$F$14</f>
        <v>2455</v>
      </c>
      <c r="AR995" s="15"/>
      <c r="AS995" s="13"/>
      <c r="AT995" s="15"/>
      <c r="AU995" s="45"/>
      <c r="AV995" s="15"/>
      <c r="AW995" s="13"/>
      <c r="AY995" s="45"/>
      <c r="AZ995" s="28"/>
      <c r="BA995" s="13"/>
      <c r="BB995" s="15"/>
      <c r="BC995" s="45"/>
      <c r="BD995" s="28"/>
      <c r="BE995" s="14"/>
      <c r="BF995" s="41">
        <f t="shared" ref="BF995:BG995" si="3374">K995+O995+S995+W995+AA995+AE995+AI995+AM995+AQ995+AU995+AY995+BC995</f>
        <v>2455</v>
      </c>
      <c r="BG995" s="34">
        <f t="shared" si="3374"/>
        <v>0</v>
      </c>
      <c r="BH995" s="35">
        <f t="shared" si="3359"/>
        <v>2455</v>
      </c>
    </row>
    <row r="996" ht="15.75" customHeight="1" hidden="1" spans="1:63" x14ac:dyDescent="0.25">
      <c r="A996" s="2">
        <v>110</v>
      </c>
      <c r="B996" s="14"/>
      <c r="D996" s="14" t="s">
        <v>52</v>
      </c>
      <c r="E996" s="2" t="s">
        <v>39</v>
      </c>
      <c r="F996" s="41">
        <v>500</v>
      </c>
      <c r="G996" s="28"/>
      <c r="H996" s="34">
        <f>'2019'!BH830</f>
        <v>0</v>
      </c>
      <c r="I996" s="15"/>
      <c r="J996" s="15"/>
      <c r="K996" s="15"/>
      <c r="L996" s="28"/>
      <c r="Q996" s="13"/>
      <c r="R996" s="15"/>
      <c r="S996" s="15"/>
      <c r="T996" s="28"/>
      <c r="W996" s="152"/>
      <c r="Y996" s="13"/>
      <c r="Z996" s="15"/>
      <c r="AA996" s="34">
        <f>$F$11</f>
        <v>500</v>
      </c>
      <c r="AB996" s="28"/>
      <c r="AG996" s="13"/>
      <c r="AH996" s="15"/>
      <c r="AI996" s="45"/>
      <c r="AJ996" s="15"/>
      <c r="AK996" s="13"/>
      <c r="AL996" s="15"/>
      <c r="AM996" s="45"/>
      <c r="AN996" s="15"/>
      <c r="AO996" s="13"/>
      <c r="AP996" s="15"/>
      <c r="AQ996" s="45"/>
      <c r="AR996" s="15"/>
      <c r="AS996" s="13"/>
      <c r="AT996" s="15"/>
      <c r="AU996" s="45"/>
      <c r="AV996" s="15"/>
      <c r="AW996" s="13"/>
      <c r="AY996" s="45"/>
      <c r="AZ996" s="35"/>
      <c r="BA996" s="13"/>
      <c r="BB996" s="15"/>
      <c r="BC996" s="45"/>
      <c r="BD996" s="35"/>
      <c r="BE996" s="14"/>
      <c r="BF996" s="41">
        <f t="shared" ref="BF996:BG996" si="3375">K996+O996+S996+W996+AA996+AE996+AI996+AM996+AQ996+AU996+AY996+BC996</f>
        <v>500</v>
      </c>
      <c r="BG996" s="34">
        <f t="shared" si="3375"/>
        <v>0</v>
      </c>
      <c r="BH996" s="35">
        <f t="shared" si="3359"/>
        <v>500</v>
      </c>
      <c r="BK996" s="2" t="b">
        <f>H996='2019'!BH830</f>
        <v>1</v>
      </c>
    </row>
    <row r="997" ht="15.75" customHeight="1" hidden="1" spans="1:63" x14ac:dyDescent="0.25">
      <c r="A997" s="247">
        <v>110</v>
      </c>
      <c r="B997" s="21"/>
      <c r="C997" s="22" t="s">
        <v>53</v>
      </c>
      <c r="D997" s="21"/>
      <c r="E997" s="22"/>
      <c r="F997" s="109"/>
      <c r="G997" s="23"/>
      <c r="H997" s="51">
        <f>SUM(H989:H996)</f>
        <v>98.9</v>
      </c>
      <c r="I997" s="53"/>
      <c r="J997" s="53"/>
      <c r="K997" s="51">
        <f t="shared" ref="K997:L997" si="3376">SUM(K989:K996)</f>
        <v>0</v>
      </c>
      <c r="L997" s="68">
        <f t="shared" si="3376"/>
        <v>0</v>
      </c>
      <c r="M997" s="53"/>
      <c r="N997" s="53"/>
      <c r="O997" s="51">
        <f t="shared" ref="O997:P997" si="3377">SUM(O989:O996)</f>
        <v>0</v>
      </c>
      <c r="P997" s="51">
        <f t="shared" si="3377"/>
        <v>0</v>
      </c>
      <c r="Q997" s="52"/>
      <c r="R997" s="53"/>
      <c r="S997" s="51">
        <f t="shared" ref="S997:T997" si="3378">SUM(S989:S996)</f>
        <v>0</v>
      </c>
      <c r="T997" s="51">
        <f t="shared" si="3378"/>
        <v>0</v>
      </c>
      <c r="U997" s="52"/>
      <c r="V997" s="53"/>
      <c r="W997" s="260">
        <f t="shared" ref="W997:X997" si="3379">SUM(W989:W996)</f>
        <v>65.5</v>
      </c>
      <c r="X997" s="51">
        <f t="shared" si="3379"/>
        <v>0</v>
      </c>
      <c r="Y997" s="52"/>
      <c r="Z997" s="53"/>
      <c r="AA997" s="51">
        <f t="shared" ref="AA997:AB997" si="3380">SUM(AA989:AA996)</f>
        <v>500</v>
      </c>
      <c r="AB997" s="51">
        <f t="shared" si="3380"/>
        <v>0</v>
      </c>
      <c r="AC997" s="52"/>
      <c r="AD997" s="53"/>
      <c r="AE997" s="51">
        <f t="shared" ref="AE997:AF997" si="3381">SUM(AE989:AE996)</f>
        <v>5403.5</v>
      </c>
      <c r="AF997" s="51">
        <f t="shared" si="3381"/>
        <v>0</v>
      </c>
      <c r="AG997" s="52"/>
      <c r="AH997" s="53"/>
      <c r="AI997" s="183">
        <f t="shared" ref="AI997:AJ997" si="3382">SUM(AI989:AI996)</f>
        <v>2.6</v>
      </c>
      <c r="AJ997" s="51">
        <f t="shared" si="3382"/>
        <v>0</v>
      </c>
      <c r="AK997" s="52"/>
      <c r="AL997" s="53"/>
      <c r="AM997" s="183">
        <f t="shared" ref="AM997:AN997" si="3383">SUM(AM989:AM996)</f>
        <v>23.4</v>
      </c>
      <c r="AN997" s="51">
        <f t="shared" si="3383"/>
        <v>0</v>
      </c>
      <c r="AO997" s="52"/>
      <c r="AP997" s="53"/>
      <c r="AQ997" s="183">
        <f t="shared" ref="AQ997:AR997" si="3384">SUM(AQ989:AQ996)</f>
        <v>2973.8</v>
      </c>
      <c r="AR997" s="51">
        <f t="shared" si="3384"/>
        <v>0</v>
      </c>
      <c r="AS997" s="52"/>
      <c r="AT997" s="53"/>
      <c r="AU997" s="183">
        <f t="shared" ref="AU997:AV997" si="3385">SUM(AU989:AU996)</f>
        <v>36.2</v>
      </c>
      <c r="AV997" s="68">
        <f t="shared" si="3385"/>
        <v>0</v>
      </c>
      <c r="AW997" s="52"/>
      <c r="AX997" s="53"/>
      <c r="AY997" s="183">
        <f t="shared" ref="AY997:AZ997" si="3386">SUM(AY989:AY996)</f>
        <v>16.2</v>
      </c>
      <c r="AZ997" s="68">
        <f t="shared" si="3386"/>
        <v>0</v>
      </c>
      <c r="BA997" s="52"/>
      <c r="BB997" s="53"/>
      <c r="BC997" s="183">
        <f t="shared" ref="BC997:BD997" si="3387">SUM(BC989:BC996)</f>
        <v>16.74</v>
      </c>
      <c r="BD997" s="68">
        <f t="shared" si="3387"/>
        <v>0</v>
      </c>
      <c r="BE997" s="69"/>
      <c r="BF997" s="70">
        <f t="shared" ref="BF997:BH997" si="3388">SUM(BF989:BF996)</f>
        <v>9037.94</v>
      </c>
      <c r="BG997" s="71">
        <f t="shared" si="3388"/>
        <v>0</v>
      </c>
      <c r="BH997" s="72">
        <f t="shared" si="3388"/>
        <v>9136.84</v>
      </c>
      <c r="BI997" s="34">
        <f>H997+BF997-BG997</f>
        <v>9136.84</v>
      </c>
      <c r="BJ997" s="34">
        <f>BH997-BI997</f>
        <v>0</v>
      </c>
      <c r="BK997" s="2" t="b">
        <f>H997='2019'!BH831</f>
        <v>0</v>
      </c>
    </row>
    <row r="998" ht="15.75" customHeight="1" hidden="1" spans="1:63" x14ac:dyDescent="0.25">
      <c r="A998" s="2">
        <v>111</v>
      </c>
      <c r="B998" s="14"/>
      <c r="D998" s="178" t="s">
        <v>486</v>
      </c>
      <c r="F998" s="41"/>
      <c r="G998" s="28"/>
      <c r="H998" s="34">
        <f>'2019'!BH832</f>
        <v>4.58</v>
      </c>
      <c r="J998" s="15"/>
      <c r="K998" s="15"/>
      <c r="L998" s="28"/>
      <c r="Q998" s="13"/>
      <c r="R998" s="15"/>
      <c r="S998" s="15"/>
      <c r="T998" s="28"/>
      <c r="W998" s="152">
        <v>65.5</v>
      </c>
      <c r="Y998" s="13"/>
      <c r="Z998" s="15"/>
      <c r="AA998" s="15"/>
      <c r="AB998" s="32">
        <v>69.98</v>
      </c>
      <c r="AG998" s="13"/>
      <c r="AH998" s="15"/>
      <c r="AI998" s="45"/>
      <c r="AJ998" s="15"/>
      <c r="AK998" s="13"/>
      <c r="AM998" s="45"/>
      <c r="AO998" s="13"/>
      <c r="AQ998" s="45"/>
      <c r="AS998" s="13"/>
      <c r="AU998" s="45"/>
      <c r="AW998" s="13"/>
      <c r="AY998" s="45"/>
      <c r="AZ998" s="28"/>
      <c r="BA998" s="13"/>
      <c r="BB998" s="15"/>
      <c r="BC998" s="45"/>
      <c r="BD998" s="28"/>
      <c r="BE998" s="14"/>
      <c r="BF998" s="41">
        <f t="shared" ref="BF998:BG998" si="3389">K998+O998+S998+W998+AA998+AE998+AI998+AM998+AQ998+AU998+AY998+BC998</f>
        <v>65.5</v>
      </c>
      <c r="BG998" s="34">
        <f t="shared" si="3389"/>
        <v>69.98</v>
      </c>
      <c r="BH998" s="35">
        <f t="shared" ref="BH998:BH1005" si="3390">H998+BF998-BG998</f>
        <v>0.1</v>
      </c>
      <c r="BK998" s="2" t="b">
        <f>H998='2019'!BH832</f>
        <v>1</v>
      </c>
    </row>
    <row r="999" ht="15.75" customHeight="1" hidden="1" spans="1:63" x14ac:dyDescent="0.25">
      <c r="A999" s="2">
        <v>111</v>
      </c>
      <c r="B999" s="42">
        <v>6.8</v>
      </c>
      <c r="C999" s="2" t="s">
        <v>513</v>
      </c>
      <c r="D999" s="14" t="s">
        <v>44</v>
      </c>
      <c r="E999" s="2" t="s">
        <v>45</v>
      </c>
      <c r="F999" s="41">
        <v>2.5</v>
      </c>
      <c r="G999" s="35">
        <v>2.6</v>
      </c>
      <c r="H999" s="34">
        <f>'2019'!BH833</f>
        <v>550</v>
      </c>
      <c r="I999" s="13">
        <v>1058</v>
      </c>
      <c r="J999" s="15">
        <f>I999-'2019'!BA833</f>
        <v>190</v>
      </c>
      <c r="K999" s="34">
        <f>J999*$F$8</f>
        <v>475</v>
      </c>
      <c r="L999" s="28"/>
      <c r="M999" s="15">
        <v>1225</v>
      </c>
      <c r="N999" s="15">
        <f>M999-I999</f>
        <v>167</v>
      </c>
      <c r="O999" s="34">
        <f>N999*$F$8</f>
        <v>417.5</v>
      </c>
      <c r="Q999" s="13">
        <v>1440</v>
      </c>
      <c r="R999" s="15">
        <f>Q999-M999</f>
        <v>215</v>
      </c>
      <c r="S999" s="34">
        <f>R999*$F$8</f>
        <v>537.5</v>
      </c>
      <c r="T999" s="38">
        <v>1980</v>
      </c>
      <c r="U999" s="15">
        <v>1599</v>
      </c>
      <c r="V999" s="15">
        <f>U999-Q999</f>
        <v>159</v>
      </c>
      <c r="W999" s="34">
        <f>V999*$F$8</f>
        <v>397.5</v>
      </c>
      <c r="Y999" s="13">
        <v>1691</v>
      </c>
      <c r="Z999" s="15">
        <f t="shared" ref="Z999:Z1000" si="3391">Y999-U999</f>
        <v>92</v>
      </c>
      <c r="AA999" s="34">
        <f>Z999*$F$8</f>
        <v>230</v>
      </c>
      <c r="AB999" s="32">
        <v>1900</v>
      </c>
      <c r="AC999" s="15">
        <v>1944</v>
      </c>
      <c r="AD999" s="15">
        <f t="shared" ref="AD999:AD1000" si="3392">AC999-Y999</f>
        <v>253</v>
      </c>
      <c r="AE999" s="34">
        <f>AD999*$F$8</f>
        <v>632.5</v>
      </c>
      <c r="AG999" s="13">
        <v>2055</v>
      </c>
      <c r="AH999" s="15">
        <f t="shared" ref="AH999:AH1000" si="3393">AG999-AC999</f>
        <v>111</v>
      </c>
      <c r="AI999" s="45">
        <f>AH999*$G$8</f>
        <v>288.6</v>
      </c>
      <c r="AJ999" s="140">
        <v>1900</v>
      </c>
      <c r="AK999" s="13">
        <v>2196</v>
      </c>
      <c r="AL999" s="15">
        <f t="shared" ref="AL999:AL1000" si="3394">AK999-AG999</f>
        <v>141</v>
      </c>
      <c r="AM999" s="45">
        <f>AL999*$G$8</f>
        <v>366.6</v>
      </c>
      <c r="AN999" s="15"/>
      <c r="AO999" s="13">
        <v>2433</v>
      </c>
      <c r="AP999" s="15">
        <f t="shared" ref="AP999:AP1000" si="3395">AO999-AK999</f>
        <v>237</v>
      </c>
      <c r="AQ999" s="45">
        <f>AP999*$G$8</f>
        <v>616.2</v>
      </c>
      <c r="AR999" s="15"/>
      <c r="AS999" s="13">
        <v>2907</v>
      </c>
      <c r="AT999" s="15">
        <f t="shared" ref="AT999:AT1000" si="3396">AS999-AO999</f>
        <v>474</v>
      </c>
      <c r="AU999" s="45">
        <f>AT999*$G$8</f>
        <v>1232.4</v>
      </c>
      <c r="AV999" s="15"/>
      <c r="AW999" s="13">
        <v>4367</v>
      </c>
      <c r="AX999" s="2">
        <f t="shared" ref="AX999:AX1000" si="3397">AW999-AS999</f>
        <v>1460</v>
      </c>
      <c r="AY999" s="45">
        <f>AX999*$G$8</f>
        <v>3796</v>
      </c>
      <c r="AZ999" s="242">
        <v>2100</v>
      </c>
      <c r="BA999" s="13">
        <v>6708</v>
      </c>
      <c r="BB999" s="15">
        <f t="shared" ref="BB999:BB1000" si="3398">BA999-AW999</f>
        <v>2341</v>
      </c>
      <c r="BC999" s="45">
        <f>BB999*$G$8</f>
        <v>6086.6</v>
      </c>
      <c r="BD999" s="208"/>
      <c r="BE999" s="40">
        <f t="shared" ref="BE999:BG999" si="3399">J999+N999+R999+V999+Z999+AD999+AH999+AL999+AP999+AT999+AX999+BB999</f>
        <v>5840</v>
      </c>
      <c r="BF999" s="41">
        <f t="shared" si="3399"/>
        <v>15076.4</v>
      </c>
      <c r="BG999" s="34">
        <f t="shared" si="3399"/>
        <v>7880</v>
      </c>
      <c r="BH999" s="35">
        <f t="shared" si="3390"/>
        <v>7746.4</v>
      </c>
      <c r="BK999" s="2" t="b">
        <f>H999='2019'!BH833</f>
        <v>1</v>
      </c>
    </row>
    <row r="1000" ht="15.75" customHeight="1" hidden="1" spans="1:63" x14ac:dyDescent="0.25">
      <c r="A1000" s="2">
        <v>111</v>
      </c>
      <c r="B1000" s="14"/>
      <c r="C1000" s="2" t="s">
        <v>514</v>
      </c>
      <c r="D1000" s="14" t="s">
        <v>47</v>
      </c>
      <c r="E1000" s="2" t="s">
        <v>48</v>
      </c>
      <c r="F1000" s="41">
        <v>18.56</v>
      </c>
      <c r="G1000" s="35">
        <v>19.46</v>
      </c>
      <c r="H1000" s="34">
        <f>'2019'!BH834</f>
        <v>0</v>
      </c>
      <c r="I1000" s="95">
        <v>6</v>
      </c>
      <c r="J1000" s="15"/>
      <c r="K1000" s="15"/>
      <c r="L1000" s="28"/>
      <c r="M1000" s="95">
        <v>6</v>
      </c>
      <c r="Q1000" s="95">
        <v>6</v>
      </c>
      <c r="R1000" s="15"/>
      <c r="S1000" s="15"/>
      <c r="T1000" s="28"/>
      <c r="U1000" s="2">
        <v>2</v>
      </c>
      <c r="V1000" s="261">
        <v>2</v>
      </c>
      <c r="W1000" s="261">
        <f>V1000*$F$10</f>
        <v>37.12</v>
      </c>
      <c r="Y1000" s="13">
        <v>3</v>
      </c>
      <c r="Z1000" s="15">
        <f t="shared" si="3391"/>
        <v>1</v>
      </c>
      <c r="AA1000" s="34">
        <f>Z1000*$F$10</f>
        <v>18.56</v>
      </c>
      <c r="AB1000" s="28"/>
      <c r="AC1000" s="13">
        <v>4</v>
      </c>
      <c r="AD1000" s="15">
        <f t="shared" si="3392"/>
        <v>1</v>
      </c>
      <c r="AE1000" s="34">
        <f>AD1000*$F$10</f>
        <v>18.56</v>
      </c>
      <c r="AG1000" s="13">
        <v>5</v>
      </c>
      <c r="AH1000" s="15">
        <f t="shared" si="3393"/>
        <v>1</v>
      </c>
      <c r="AI1000" s="45">
        <f>AH1000*$G$10</f>
        <v>19.46</v>
      </c>
      <c r="AJ1000" s="140">
        <v>120</v>
      </c>
      <c r="AK1000" s="13">
        <v>6</v>
      </c>
      <c r="AL1000" s="15">
        <f t="shared" si="3394"/>
        <v>1</v>
      </c>
      <c r="AM1000" s="45">
        <f>AL1000*$G$10</f>
        <v>19.46</v>
      </c>
      <c r="AN1000" s="15"/>
      <c r="AO1000" s="13">
        <v>6</v>
      </c>
      <c r="AP1000" s="15">
        <f t="shared" si="3395"/>
        <v>0</v>
      </c>
      <c r="AQ1000" s="45">
        <f>AP1000*$G$10</f>
        <v>0</v>
      </c>
      <c r="AR1000" s="15"/>
      <c r="AS1000" s="13">
        <v>6</v>
      </c>
      <c r="AT1000" s="15">
        <f t="shared" si="3396"/>
        <v>0</v>
      </c>
      <c r="AU1000" s="45">
        <f>AT1000*$G$10</f>
        <v>0</v>
      </c>
      <c r="AV1000" s="15"/>
      <c r="AW1000" s="13">
        <v>6</v>
      </c>
      <c r="AX1000" s="2">
        <f t="shared" si="3397"/>
        <v>0</v>
      </c>
      <c r="AY1000" s="45"/>
      <c r="AZ1000" s="249"/>
      <c r="BA1000" s="13">
        <v>6</v>
      </c>
      <c r="BB1000" s="15">
        <f t="shared" si="3398"/>
        <v>0</v>
      </c>
      <c r="BC1000" s="45"/>
      <c r="BD1000" s="208"/>
      <c r="BE1000" s="40">
        <f t="shared" ref="BE1000:BG1000" si="3400">J1000+N1000+R1000+V1000+Z1000+AD1000+AH1000+AL1000+AP1000+AT1000+AX1000+BB1000</f>
        <v>6</v>
      </c>
      <c r="BF1000" s="41">
        <f t="shared" si="3400"/>
        <v>113.16</v>
      </c>
      <c r="BG1000" s="34">
        <f t="shared" si="3400"/>
        <v>120</v>
      </c>
      <c r="BH1000" s="35">
        <f t="shared" si="3390"/>
        <v>-6.84</v>
      </c>
      <c r="BK1000" s="2" t="b">
        <f>H1000='2019'!BH834</f>
        <v>1</v>
      </c>
    </row>
    <row r="1001" ht="15.75" customHeight="1" hidden="1" spans="1:63" x14ac:dyDescent="0.25">
      <c r="A1001" s="2">
        <v>111</v>
      </c>
      <c r="B1001" s="14"/>
      <c r="C1001" s="15" t="s">
        <v>84</v>
      </c>
      <c r="D1001" s="14" t="s">
        <v>47</v>
      </c>
      <c r="E1001" s="2" t="s">
        <v>49</v>
      </c>
      <c r="F1001" s="41">
        <v>500</v>
      </c>
      <c r="G1001" s="28"/>
      <c r="H1001" s="34">
        <f>'2019'!BH835</f>
        <v>0</v>
      </c>
      <c r="I1001" s="15"/>
      <c r="J1001" s="15"/>
      <c r="K1001" s="15"/>
      <c r="L1001" s="28"/>
      <c r="Q1001" s="13"/>
      <c r="R1001" s="15"/>
      <c r="S1001" s="15"/>
      <c r="T1001" s="28"/>
      <c r="Y1001" s="13"/>
      <c r="Z1001" s="15"/>
      <c r="AA1001" s="15"/>
      <c r="AB1001" s="28"/>
      <c r="AG1001" s="13"/>
      <c r="AH1001" s="15"/>
      <c r="AI1001" s="45"/>
      <c r="AJ1001" s="1"/>
      <c r="AK1001" s="13"/>
      <c r="AL1001" s="15"/>
      <c r="AM1001" s="45"/>
      <c r="AN1001" s="15"/>
      <c r="AO1001" s="13"/>
      <c r="AP1001" s="15"/>
      <c r="AQ1001" s="45"/>
      <c r="AR1001" s="15"/>
      <c r="AS1001" s="13"/>
      <c r="AT1001" s="15"/>
      <c r="AU1001" s="45"/>
      <c r="AV1001" s="15"/>
      <c r="AW1001" s="13"/>
      <c r="AY1001" s="45"/>
      <c r="AZ1001" s="32"/>
      <c r="BA1001" s="13"/>
      <c r="BB1001" s="15"/>
      <c r="BC1001" s="45"/>
      <c r="BD1001" s="28"/>
      <c r="BE1001" s="14"/>
      <c r="BF1001" s="41">
        <f t="shared" ref="BF1001:BG1001" si="3401">K1001+O1001+S1001+W1001+AA1001+AE1001+AI1001+AM1001+AQ1001+AU1001+AY1001+BC1001</f>
        <v>0</v>
      </c>
      <c r="BG1001" s="34">
        <f t="shared" si="3401"/>
        <v>0</v>
      </c>
      <c r="BH1001" s="35">
        <f t="shared" si="3390"/>
        <v>0</v>
      </c>
      <c r="BK1001" s="2" t="b">
        <f>H1001='2019'!BH835</f>
        <v>1</v>
      </c>
    </row>
    <row r="1002" ht="15.75" customHeight="1" hidden="1" spans="1:63" x14ac:dyDescent="0.25">
      <c r="A1002" s="2">
        <v>111</v>
      </c>
      <c r="B1002" s="14"/>
      <c r="D1002" s="14" t="s">
        <v>50</v>
      </c>
      <c r="E1002" s="2" t="s">
        <v>49</v>
      </c>
      <c r="F1002" s="41">
        <v>1100</v>
      </c>
      <c r="G1002" s="28"/>
      <c r="H1002" s="182">
        <f>'2019'!BH836-0.004</f>
        <v>0</v>
      </c>
      <c r="I1002" s="15"/>
      <c r="J1002" s="15"/>
      <c r="K1002" s="15"/>
      <c r="L1002" s="28"/>
      <c r="Q1002" s="13"/>
      <c r="R1002" s="15"/>
      <c r="S1002" s="15"/>
      <c r="T1002" s="28"/>
      <c r="Y1002" s="13"/>
      <c r="Z1002" s="15"/>
      <c r="AA1002" s="15"/>
      <c r="AB1002" s="28"/>
      <c r="AE1002" s="34">
        <f>B999*$F$12</f>
        <v>7480</v>
      </c>
      <c r="AG1002" s="13"/>
      <c r="AH1002" s="15"/>
      <c r="AI1002" s="45"/>
      <c r="AJ1002" s="140">
        <v>7480</v>
      </c>
      <c r="AK1002" s="13"/>
      <c r="AL1002" s="15"/>
      <c r="AM1002" s="45"/>
      <c r="AN1002" s="15"/>
      <c r="AO1002" s="13"/>
      <c r="AP1002" s="15"/>
      <c r="AQ1002" s="45"/>
      <c r="AR1002" s="15"/>
      <c r="AS1002" s="13"/>
      <c r="AT1002" s="15"/>
      <c r="AU1002" s="45"/>
      <c r="AV1002" s="15"/>
      <c r="AW1002" s="13"/>
      <c r="AY1002" s="45"/>
      <c r="AZ1002" s="32"/>
      <c r="BA1002" s="13"/>
      <c r="BB1002" s="15"/>
      <c r="BC1002" s="45"/>
      <c r="BD1002" s="28"/>
      <c r="BE1002" s="14"/>
      <c r="BF1002" s="41">
        <f t="shared" ref="BF1002:BG1002" si="3402">K1002+O1002+S1002+W1002+AA1002+AE1002+AI1002+AM1002+AQ1002+AU1002+AY1002+BC1002</f>
        <v>7480</v>
      </c>
      <c r="BG1002" s="34">
        <f t="shared" si="3402"/>
        <v>7480</v>
      </c>
      <c r="BH1002" s="35">
        <f t="shared" si="3390"/>
        <v>0</v>
      </c>
      <c r="BK1002" s="2" t="b">
        <f>H1002='2019'!BH836</f>
        <v>0</v>
      </c>
    </row>
    <row r="1003" ht="15.75" customHeight="1" hidden="1" spans="1:63" x14ac:dyDescent="0.25">
      <c r="A1003" s="2">
        <v>111</v>
      </c>
      <c r="B1003" s="14"/>
      <c r="C1003" s="2" t="s">
        <v>459</v>
      </c>
      <c r="D1003" s="14" t="s">
        <v>51</v>
      </c>
      <c r="E1003" s="2" t="s">
        <v>39</v>
      </c>
      <c r="F1003" s="41">
        <v>500</v>
      </c>
      <c r="G1003" s="28"/>
      <c r="H1003" s="34">
        <f>'2019'!BH837</f>
        <v>0</v>
      </c>
      <c r="I1003" s="15"/>
      <c r="J1003" s="15"/>
      <c r="K1003" s="15"/>
      <c r="L1003" s="28"/>
      <c r="Q1003" s="13"/>
      <c r="R1003" s="15"/>
      <c r="S1003" s="15"/>
      <c r="T1003" s="28"/>
      <c r="Y1003" s="13"/>
      <c r="Z1003" s="15"/>
      <c r="AA1003" s="15"/>
      <c r="AB1003" s="28"/>
      <c r="AE1003" s="34"/>
      <c r="AG1003" s="13"/>
      <c r="AH1003" s="15"/>
      <c r="AI1003" s="45"/>
      <c r="AJ1003" s="15"/>
      <c r="AK1003" s="13"/>
      <c r="AL1003" s="15"/>
      <c r="AM1003" s="45"/>
      <c r="AN1003" s="15"/>
      <c r="AO1003" s="13"/>
      <c r="AP1003" s="15"/>
      <c r="AQ1003" s="45">
        <f>$F$13</f>
        <v>500</v>
      </c>
      <c r="AR1003" s="15"/>
      <c r="AS1003" s="13"/>
      <c r="AT1003" s="15"/>
      <c r="AU1003" s="45"/>
      <c r="AV1003" s="15"/>
      <c r="AW1003" s="13"/>
      <c r="AY1003" s="45"/>
      <c r="AZ1003" s="38">
        <v>500</v>
      </c>
      <c r="BA1003" s="13"/>
      <c r="BB1003" s="15"/>
      <c r="BC1003" s="45"/>
      <c r="BD1003" s="28"/>
      <c r="BE1003" s="14"/>
      <c r="BF1003" s="41">
        <f t="shared" ref="BF1003:BG1003" si="3403">K1003+O1003+S1003+W1003+AA1003+AE1003+AI1003+AM1003+AQ1003+AU1003+AY1003+BC1003</f>
        <v>500</v>
      </c>
      <c r="BG1003" s="34">
        <f t="shared" si="3403"/>
        <v>500</v>
      </c>
      <c r="BH1003" s="35">
        <f t="shared" si="3390"/>
        <v>0</v>
      </c>
      <c r="BK1003" s="2" t="b">
        <f>H1003='2019'!BH837</f>
        <v>1</v>
      </c>
    </row>
    <row r="1004" ht="15.75" customHeight="1" hidden="1" spans="1:60" x14ac:dyDescent="0.25">
      <c r="A1004" s="2">
        <v>111</v>
      </c>
      <c r="B1004" s="14"/>
      <c r="D1004" s="14" t="s">
        <v>51</v>
      </c>
      <c r="E1004" s="2" t="s">
        <v>49</v>
      </c>
      <c r="F1004" s="41">
        <v>500</v>
      </c>
      <c r="G1004" s="28"/>
      <c r="H1004" s="34"/>
      <c r="I1004" s="15"/>
      <c r="J1004" s="15"/>
      <c r="K1004" s="15"/>
      <c r="L1004" s="28"/>
      <c r="Q1004" s="13"/>
      <c r="R1004" s="15"/>
      <c r="S1004" s="15"/>
      <c r="T1004" s="28"/>
      <c r="Y1004" s="13"/>
      <c r="Z1004" s="15"/>
      <c r="AA1004" s="15"/>
      <c r="AB1004" s="28"/>
      <c r="AE1004" s="34"/>
      <c r="AG1004" s="13"/>
      <c r="AH1004" s="15"/>
      <c r="AI1004" s="45"/>
      <c r="AJ1004" s="15"/>
      <c r="AK1004" s="13"/>
      <c r="AL1004" s="15"/>
      <c r="AM1004" s="45"/>
      <c r="AN1004" s="15"/>
      <c r="AO1004" s="13"/>
      <c r="AP1004" s="15"/>
      <c r="AQ1004" s="34">
        <f>B999*$F$14</f>
        <v>3400</v>
      </c>
      <c r="AR1004" s="15"/>
      <c r="AS1004" s="13"/>
      <c r="AT1004" s="15"/>
      <c r="AU1004" s="45"/>
      <c r="AV1004" s="15"/>
      <c r="AW1004" s="13"/>
      <c r="AY1004" s="45"/>
      <c r="AZ1004" s="38">
        <v>3400</v>
      </c>
      <c r="BA1004" s="13"/>
      <c r="BB1004" s="15"/>
      <c r="BC1004" s="45"/>
      <c r="BD1004" s="28"/>
      <c r="BE1004" s="14"/>
      <c r="BF1004" s="41">
        <f t="shared" ref="BF1004:BG1004" si="3404">K1004+O1004+S1004+W1004+AA1004+AE1004+AI1004+AM1004+AQ1004+AU1004+AY1004+BC1004</f>
        <v>3400</v>
      </c>
      <c r="BG1004" s="34">
        <f t="shared" si="3404"/>
        <v>3400</v>
      </c>
      <c r="BH1004" s="35">
        <f t="shared" si="3390"/>
        <v>0</v>
      </c>
    </row>
    <row r="1005" ht="15.75" customHeight="1" hidden="1" spans="1:63" x14ac:dyDescent="0.25">
      <c r="A1005" s="2">
        <v>111</v>
      </c>
      <c r="B1005" s="14"/>
      <c r="D1005" s="14" t="s">
        <v>52</v>
      </c>
      <c r="E1005" s="2" t="s">
        <v>39</v>
      </c>
      <c r="F1005" s="41">
        <v>500</v>
      </c>
      <c r="G1005" s="28"/>
      <c r="H1005" s="34">
        <f>'2019'!BH838</f>
        <v>0</v>
      </c>
      <c r="I1005" s="15"/>
      <c r="J1005" s="15"/>
      <c r="K1005" s="15"/>
      <c r="L1005" s="28"/>
      <c r="Q1005" s="13"/>
      <c r="R1005" s="15"/>
      <c r="S1005" s="15"/>
      <c r="T1005" s="28"/>
      <c r="Y1005" s="13"/>
      <c r="Z1005" s="15"/>
      <c r="AA1005" s="34">
        <f>$F$11</f>
        <v>500</v>
      </c>
      <c r="AB1005" s="28"/>
      <c r="AG1005" s="13"/>
      <c r="AH1005" s="15"/>
      <c r="AI1005" s="45"/>
      <c r="AJ1005" s="140">
        <v>500</v>
      </c>
      <c r="AK1005" s="13"/>
      <c r="AL1005" s="15"/>
      <c r="AM1005" s="45"/>
      <c r="AN1005" s="15"/>
      <c r="AO1005" s="13"/>
      <c r="AP1005" s="15"/>
      <c r="AQ1005" s="45"/>
      <c r="AR1005" s="15"/>
      <c r="AS1005" s="13"/>
      <c r="AT1005" s="15"/>
      <c r="AU1005" s="45"/>
      <c r="AV1005" s="15"/>
      <c r="AW1005" s="13"/>
      <c r="AY1005" s="45"/>
      <c r="AZ1005" s="38"/>
      <c r="BA1005" s="13"/>
      <c r="BB1005" s="15"/>
      <c r="BC1005" s="45"/>
      <c r="BD1005" s="35"/>
      <c r="BE1005" s="14"/>
      <c r="BF1005" s="41">
        <f t="shared" ref="BF1005:BG1005" si="3405">K1005+O1005+S1005+W1005+AA1005+AE1005+AI1005+AM1005+AQ1005+AU1005+AY1005+BC1005</f>
        <v>500</v>
      </c>
      <c r="BG1005" s="34">
        <f t="shared" si="3405"/>
        <v>500</v>
      </c>
      <c r="BH1005" s="35">
        <f t="shared" si="3390"/>
        <v>0</v>
      </c>
      <c r="BK1005" s="2" t="b">
        <f>H1005='2019'!BH838</f>
        <v>1</v>
      </c>
    </row>
    <row r="1006" ht="15.75" customHeight="1" hidden="1" spans="1:63" x14ac:dyDescent="0.25">
      <c r="A1006" s="247">
        <v>111</v>
      </c>
      <c r="B1006" s="21"/>
      <c r="C1006" s="22" t="s">
        <v>53</v>
      </c>
      <c r="D1006" s="21"/>
      <c r="E1006" s="22"/>
      <c r="F1006" s="109"/>
      <c r="G1006" s="23"/>
      <c r="H1006" s="51">
        <f>SUM(H998:H1005)</f>
        <v>554.58</v>
      </c>
      <c r="I1006" s="53"/>
      <c r="J1006" s="53"/>
      <c r="K1006" s="51">
        <f t="shared" ref="K1006:L1006" si="3406">SUM(K998:K1005)</f>
        <v>475</v>
      </c>
      <c r="L1006" s="68">
        <f t="shared" si="3406"/>
        <v>0</v>
      </c>
      <c r="M1006" s="53"/>
      <c r="N1006" s="53"/>
      <c r="O1006" s="51">
        <f t="shared" ref="O1006:P1006" si="3407">SUM(O998:O1005)</f>
        <v>417.5</v>
      </c>
      <c r="P1006" s="51">
        <f t="shared" si="3407"/>
        <v>0</v>
      </c>
      <c r="Q1006" s="52"/>
      <c r="R1006" s="53"/>
      <c r="S1006" s="51">
        <f t="shared" ref="S1006:T1006" si="3408">SUM(S998:S1005)</f>
        <v>537.5</v>
      </c>
      <c r="T1006" s="51">
        <f t="shared" si="3408"/>
        <v>1980</v>
      </c>
      <c r="U1006" s="52"/>
      <c r="V1006" s="53"/>
      <c r="W1006" s="51">
        <f t="shared" ref="W1006:X1006" si="3409">SUM(W998:W1005)</f>
        <v>500.12</v>
      </c>
      <c r="X1006" s="51">
        <f t="shared" si="3409"/>
        <v>0</v>
      </c>
      <c r="Y1006" s="52"/>
      <c r="Z1006" s="53"/>
      <c r="AA1006" s="51">
        <f t="shared" ref="AA1006:AB1006" si="3410">SUM(AA998:AA1005)</f>
        <v>748.56</v>
      </c>
      <c r="AB1006" s="51">
        <f t="shared" si="3410"/>
        <v>1969.98</v>
      </c>
      <c r="AC1006" s="52"/>
      <c r="AD1006" s="53"/>
      <c r="AE1006" s="51">
        <f t="shared" ref="AE1006:AF1006" si="3411">SUM(AE998:AE1005)</f>
        <v>8131.06</v>
      </c>
      <c r="AF1006" s="51">
        <f t="shared" si="3411"/>
        <v>0</v>
      </c>
      <c r="AG1006" s="52"/>
      <c r="AH1006" s="53"/>
      <c r="AI1006" s="183">
        <f t="shared" ref="AI1006:AJ1006" si="3412">SUM(AI998:AI1005)</f>
        <v>308.06</v>
      </c>
      <c r="AJ1006" s="51">
        <f t="shared" si="3412"/>
        <v>10000</v>
      </c>
      <c r="AK1006" s="52"/>
      <c r="AL1006" s="53"/>
      <c r="AM1006" s="183">
        <f t="shared" ref="AM1006:AN1006" si="3413">SUM(AM998:AM1005)</f>
        <v>386.06</v>
      </c>
      <c r="AN1006" s="51">
        <f t="shared" si="3413"/>
        <v>0</v>
      </c>
      <c r="AO1006" s="52"/>
      <c r="AP1006" s="53"/>
      <c r="AQ1006" s="183">
        <f t="shared" ref="AQ1006:AR1006" si="3414">SUM(AQ998:AQ1005)</f>
        <v>4516.2</v>
      </c>
      <c r="AR1006" s="51">
        <f t="shared" si="3414"/>
        <v>0</v>
      </c>
      <c r="AS1006" s="52"/>
      <c r="AT1006" s="53"/>
      <c r="AU1006" s="183">
        <f t="shared" ref="AU1006:AV1006" si="3415">SUM(AU998:AU1005)</f>
        <v>1232.4</v>
      </c>
      <c r="AV1006" s="68">
        <f t="shared" si="3415"/>
        <v>0</v>
      </c>
      <c r="AW1006" s="52"/>
      <c r="AX1006" s="53"/>
      <c r="AY1006" s="183">
        <f t="shared" ref="AY1006:AZ1006" si="3416">SUM(AY998:AY1005)</f>
        <v>3796</v>
      </c>
      <c r="AZ1006" s="68">
        <f t="shared" si="3416"/>
        <v>6000</v>
      </c>
      <c r="BA1006" s="52"/>
      <c r="BB1006" s="53"/>
      <c r="BC1006" s="183">
        <f t="shared" ref="BC1006:BD1006" si="3417">SUM(BC998:BC1005)</f>
        <v>6086.6</v>
      </c>
      <c r="BD1006" s="68">
        <f t="shared" si="3417"/>
        <v>0</v>
      </c>
      <c r="BE1006" s="69"/>
      <c r="BF1006" s="70">
        <f t="shared" ref="BF1006:BH1006" si="3418">SUM(BF998:BF1005)</f>
        <v>27135.06</v>
      </c>
      <c r="BG1006" s="71">
        <f t="shared" si="3418"/>
        <v>19949.98</v>
      </c>
      <c r="BH1006" s="72">
        <f t="shared" si="3418"/>
        <v>7739.66</v>
      </c>
      <c r="BI1006" s="34">
        <f>H1006+BF1006-BG1006</f>
        <v>7739.66</v>
      </c>
      <c r="BJ1006" s="34">
        <f>BH1006-BI1006</f>
        <v>0</v>
      </c>
      <c r="BK1006" s="2" t="b">
        <f>H1006='2019'!BH839</f>
        <v>0</v>
      </c>
    </row>
    <row r="1007" ht="15.75" customHeight="1" hidden="1" spans="1:63" x14ac:dyDescent="0.25">
      <c r="A1007" s="2">
        <v>112</v>
      </c>
      <c r="B1007" s="14"/>
      <c r="D1007" s="14" t="s">
        <v>379</v>
      </c>
      <c r="F1007" s="41"/>
      <c r="G1007" s="28"/>
      <c r="H1007" s="34">
        <f>'2019'!BH840</f>
        <v>0</v>
      </c>
      <c r="J1007" s="15"/>
      <c r="K1007" s="15"/>
      <c r="L1007" s="28"/>
      <c r="Q1007" s="13"/>
      <c r="R1007" s="15"/>
      <c r="S1007" s="15"/>
      <c r="T1007" s="28"/>
      <c r="Y1007" s="13"/>
      <c r="Z1007" s="15"/>
      <c r="AA1007" s="15"/>
      <c r="AB1007" s="28"/>
      <c r="AG1007" s="13"/>
      <c r="AH1007" s="15"/>
      <c r="AI1007" s="45"/>
      <c r="AJ1007" s="15"/>
      <c r="AK1007" s="13"/>
      <c r="AM1007" s="45"/>
      <c r="AO1007" s="13"/>
      <c r="AQ1007" s="45">
        <v>16.3</v>
      </c>
      <c r="AS1007" s="13"/>
      <c r="AU1007" s="45">
        <v>11.95</v>
      </c>
      <c r="AW1007" s="13"/>
      <c r="AY1007" s="45"/>
      <c r="AZ1007" s="28"/>
      <c r="BA1007" s="13"/>
      <c r="BB1007" s="15"/>
      <c r="BC1007" s="45"/>
      <c r="BD1007" s="28"/>
      <c r="BE1007" s="14"/>
      <c r="BF1007" s="41">
        <f t="shared" ref="BF1007:BG1007" si="3419">K1007+O1007+S1007+W1007+AA1007+AE1007+AI1007+AM1007+AQ1007+AU1007+AY1007+BC1007</f>
        <v>28.25</v>
      </c>
      <c r="BG1007" s="34">
        <f t="shared" si="3419"/>
        <v>0</v>
      </c>
      <c r="BH1007" s="35">
        <f t="shared" ref="BH1007:BH1014" si="3420">H1007+BF1007-BG1007</f>
        <v>28.25</v>
      </c>
      <c r="BK1007" s="2" t="b">
        <f>H1007='2019'!BH840</f>
        <v>1</v>
      </c>
    </row>
    <row r="1008" ht="15.75" customHeight="1" hidden="1" spans="1:63" x14ac:dyDescent="0.25">
      <c r="A1008" s="2">
        <v>112</v>
      </c>
      <c r="B1008" s="14">
        <v>4.94</v>
      </c>
      <c r="C1008" s="15" t="s">
        <v>347</v>
      </c>
      <c r="D1008" s="14" t="s">
        <v>44</v>
      </c>
      <c r="E1008" s="2" t="s">
        <v>45</v>
      </c>
      <c r="F1008" s="41">
        <v>2.5</v>
      </c>
      <c r="G1008" s="35">
        <v>2.6</v>
      </c>
      <c r="H1008" s="34">
        <f>'2019'!BH841</f>
        <v>-49.09</v>
      </c>
      <c r="I1008" s="13">
        <v>155</v>
      </c>
      <c r="J1008" s="15">
        <f>I1008-'2019'!BA841</f>
        <v>0</v>
      </c>
      <c r="K1008" s="34">
        <f>J1008*$F$8</f>
        <v>0</v>
      </c>
      <c r="L1008" s="28"/>
      <c r="M1008" s="2">
        <v>155</v>
      </c>
      <c r="N1008" s="15">
        <f>M1008-I1008</f>
        <v>0</v>
      </c>
      <c r="O1008" s="34">
        <f>N1008*$F$8</f>
        <v>0</v>
      </c>
      <c r="Q1008" s="13">
        <v>155</v>
      </c>
      <c r="R1008" s="15">
        <f>Q1008-M1008</f>
        <v>0</v>
      </c>
      <c r="S1008" s="34">
        <f>R1008*$F$8</f>
        <v>0</v>
      </c>
      <c r="T1008" s="28"/>
      <c r="U1008" s="15">
        <v>155</v>
      </c>
      <c r="V1008" s="15">
        <f t="shared" ref="V1008:V1009" si="3421">U1008-Q1008</f>
        <v>0</v>
      </c>
      <c r="W1008" s="34">
        <f>V1008*$F$8</f>
        <v>0</v>
      </c>
      <c r="Y1008" s="13">
        <v>160</v>
      </c>
      <c r="Z1008" s="15">
        <f t="shared" ref="Z1008:Z1009" si="3422">Y1008-U1008</f>
        <v>5</v>
      </c>
      <c r="AA1008" s="34">
        <f>Z1008*$F$8</f>
        <v>12.5</v>
      </c>
      <c r="AB1008" s="28"/>
      <c r="AC1008" s="15">
        <v>163</v>
      </c>
      <c r="AD1008" s="15">
        <f t="shared" ref="AD1008:AD1009" si="3423">AC1008-Y1008</f>
        <v>3</v>
      </c>
      <c r="AE1008" s="34">
        <f>AD1008*$F$8</f>
        <v>7.5</v>
      </c>
      <c r="AF1008" s="34"/>
      <c r="AG1008" s="13">
        <v>170</v>
      </c>
      <c r="AH1008" s="15">
        <f t="shared" ref="AH1008:AH1009" si="3424">AG1008-AC1008</f>
        <v>7</v>
      </c>
      <c r="AI1008" s="45">
        <f>AH1008*$G$8</f>
        <v>18.2</v>
      </c>
      <c r="AJ1008" s="180"/>
      <c r="AK1008" s="13">
        <v>172</v>
      </c>
      <c r="AL1008" s="15">
        <f t="shared" ref="AL1008:AL1009" si="3425">AK1008-AG1008</f>
        <v>2</v>
      </c>
      <c r="AM1008" s="45">
        <f>AL1008*$G$8</f>
        <v>5.2</v>
      </c>
      <c r="AN1008" s="15"/>
      <c r="AO1008" s="13">
        <v>173</v>
      </c>
      <c r="AP1008" s="15">
        <f t="shared" ref="AP1008:AP1009" si="3426">AO1008-AK1008</f>
        <v>1</v>
      </c>
      <c r="AQ1008" s="45">
        <f>AP1008*$G$8</f>
        <v>2.6</v>
      </c>
      <c r="AR1008" s="15"/>
      <c r="AS1008" s="13">
        <v>174</v>
      </c>
      <c r="AT1008" s="15">
        <f t="shared" ref="AT1008:AT1009" si="3427">AS1008-AO1008</f>
        <v>1</v>
      </c>
      <c r="AU1008" s="45">
        <f>AT1008*$G$8</f>
        <v>2.6</v>
      </c>
      <c r="AV1008" s="15"/>
      <c r="AW1008" s="13">
        <v>174</v>
      </c>
      <c r="AX1008" s="2">
        <f t="shared" ref="AX1008:AX1009" si="3428">AW1008-AS1008</f>
        <v>0</v>
      </c>
      <c r="AY1008" s="45">
        <f>AX1008*$G$8</f>
        <v>0</v>
      </c>
      <c r="AZ1008" s="208"/>
      <c r="BA1008" s="13">
        <v>174</v>
      </c>
      <c r="BB1008" s="15">
        <f t="shared" ref="BB1008:BB1009" si="3429">BA1008-AW1008</f>
        <v>0</v>
      </c>
      <c r="BC1008" s="45">
        <f>BB1008*$G$8</f>
        <v>0</v>
      </c>
      <c r="BD1008" s="208"/>
      <c r="BE1008" s="40">
        <f t="shared" ref="BE1008:BG1008" si="3430">J1008+N1008+R1008+V1008+Z1008+AD1008+AH1008+AL1008+AP1008+AT1008+AX1008+BB1008</f>
        <v>19</v>
      </c>
      <c r="BF1008" s="41">
        <f t="shared" si="3430"/>
        <v>48.6</v>
      </c>
      <c r="BG1008" s="34">
        <f t="shared" si="3430"/>
        <v>0</v>
      </c>
      <c r="BH1008" s="35">
        <f t="shared" si="3420"/>
        <v>-0.49</v>
      </c>
      <c r="BK1008" s="2" t="b">
        <f>H1008='2019'!BH841</f>
        <v>1</v>
      </c>
    </row>
    <row r="1009" ht="15.75" customHeight="1" hidden="1" spans="1:63" x14ac:dyDescent="0.25">
      <c r="A1009" s="2">
        <v>112</v>
      </c>
      <c r="B1009" s="14"/>
      <c r="C1009" s="15" t="s">
        <v>114</v>
      </c>
      <c r="D1009" s="14" t="s">
        <v>47</v>
      </c>
      <c r="E1009" s="2" t="s">
        <v>48</v>
      </c>
      <c r="F1009" s="41">
        <v>18.56</v>
      </c>
      <c r="G1009" s="35">
        <v>19.46</v>
      </c>
      <c r="H1009" s="90">
        <f>'2019'!BH842</f>
        <v>189.02</v>
      </c>
      <c r="I1009" s="13">
        <f>28+9</f>
        <v>37</v>
      </c>
      <c r="J1009" s="15"/>
      <c r="K1009" s="15"/>
      <c r="L1009" s="28"/>
      <c r="M1009" s="13">
        <f>28+9</f>
        <v>37</v>
      </c>
      <c r="Q1009" s="13">
        <f>28+9</f>
        <v>37</v>
      </c>
      <c r="R1009" s="15"/>
      <c r="S1009" s="15"/>
      <c r="T1009" s="28"/>
      <c r="U1009" s="261">
        <f>39+9</f>
        <v>48</v>
      </c>
      <c r="V1009" s="2">
        <f t="shared" si="3421"/>
        <v>11</v>
      </c>
      <c r="W1009" s="34">
        <f>V1009*$F$10</f>
        <v>204.16</v>
      </c>
      <c r="Y1009" s="262">
        <f>39+9</f>
        <v>48</v>
      </c>
      <c r="Z1009" s="15">
        <f t="shared" si="3422"/>
        <v>0</v>
      </c>
      <c r="AA1009" s="34">
        <f>Z1009*$F$10</f>
        <v>0</v>
      </c>
      <c r="AB1009" s="28"/>
      <c r="AC1009" s="186">
        <f>39+9</f>
        <v>48</v>
      </c>
      <c r="AD1009" s="15">
        <f t="shared" si="3423"/>
        <v>0</v>
      </c>
      <c r="AE1009" s="34">
        <f>AD1009*$F$10</f>
        <v>0</v>
      </c>
      <c r="AF1009" s="34"/>
      <c r="AG1009" s="186">
        <f>39+9</f>
        <v>48</v>
      </c>
      <c r="AH1009" s="15">
        <f t="shared" si="3424"/>
        <v>0</v>
      </c>
      <c r="AI1009" s="45">
        <f>AH1009*$G$10</f>
        <v>0</v>
      </c>
      <c r="AJ1009" s="180"/>
      <c r="AK1009" s="13">
        <v>48</v>
      </c>
      <c r="AL1009" s="15">
        <f t="shared" si="3425"/>
        <v>0</v>
      </c>
      <c r="AM1009" s="45">
        <f>AL1009*$G$10</f>
        <v>0</v>
      </c>
      <c r="AN1009" s="15"/>
      <c r="AO1009" s="186">
        <f>39+9</f>
        <v>48</v>
      </c>
      <c r="AP1009" s="15">
        <f t="shared" si="3426"/>
        <v>0</v>
      </c>
      <c r="AQ1009" s="45">
        <f>AP1009*$G$10</f>
        <v>0</v>
      </c>
      <c r="AR1009" s="15"/>
      <c r="AS1009" s="186">
        <f>39+9</f>
        <v>48</v>
      </c>
      <c r="AT1009" s="15">
        <f t="shared" si="3427"/>
        <v>0</v>
      </c>
      <c r="AU1009" s="45">
        <f>AT1009*$G$10</f>
        <v>0</v>
      </c>
      <c r="AV1009" s="1">
        <v>390.09</v>
      </c>
      <c r="AW1009" s="186">
        <f>39+9</f>
        <v>48</v>
      </c>
      <c r="AX1009" s="2">
        <f t="shared" si="3428"/>
        <v>0</v>
      </c>
      <c r="AY1009" s="45"/>
      <c r="AZ1009" s="208"/>
      <c r="BA1009" s="186">
        <f>39+9</f>
        <v>48</v>
      </c>
      <c r="BB1009" s="15">
        <f t="shared" si="3429"/>
        <v>0</v>
      </c>
      <c r="BC1009" s="45"/>
      <c r="BD1009" s="208"/>
      <c r="BE1009" s="40">
        <f t="shared" ref="BE1009:BG1009" si="3431">J1009+N1009+R1009+V1009+Z1009+AD1009+AH1009+AL1009+AP1009+AT1009+AX1009+BB1009</f>
        <v>11</v>
      </c>
      <c r="BF1009" s="41">
        <f t="shared" si="3431"/>
        <v>204.16</v>
      </c>
      <c r="BG1009" s="34">
        <f t="shared" si="3431"/>
        <v>390.09</v>
      </c>
      <c r="BH1009" s="35">
        <f t="shared" si="3420"/>
        <v>3.09</v>
      </c>
      <c r="BK1009" s="2" t="b">
        <f>H1009='2019'!BH842</f>
        <v>1</v>
      </c>
    </row>
    <row r="1010" ht="15.75" customHeight="1" hidden="1" spans="1:63" x14ac:dyDescent="0.25">
      <c r="A1010" s="2">
        <v>112</v>
      </c>
      <c r="B1010" s="14"/>
      <c r="C1010" s="15" t="s">
        <v>460</v>
      </c>
      <c r="D1010" s="14" t="s">
        <v>47</v>
      </c>
      <c r="E1010" s="2" t="s">
        <v>49</v>
      </c>
      <c r="F1010" s="41">
        <v>500</v>
      </c>
      <c r="G1010" s="28"/>
      <c r="H1010" s="34">
        <f>'2019'!BH843</f>
        <v>0</v>
      </c>
      <c r="I1010" s="15"/>
      <c r="J1010" s="15"/>
      <c r="K1010" s="15"/>
      <c r="L1010" s="28"/>
      <c r="Q1010" s="13"/>
      <c r="R1010" s="15"/>
      <c r="S1010" s="15"/>
      <c r="T1010" s="28"/>
      <c r="Y1010" s="13"/>
      <c r="Z1010" s="15"/>
      <c r="AA1010" s="34"/>
      <c r="AB1010" s="28"/>
      <c r="AC1010" s="15"/>
      <c r="AF1010" s="15"/>
      <c r="AG1010" s="13"/>
      <c r="AH1010" s="15"/>
      <c r="AI1010" s="45"/>
      <c r="AJ1010" s="15"/>
      <c r="AK1010" s="13"/>
      <c r="AL1010" s="15"/>
      <c r="AM1010" s="45"/>
      <c r="AN1010" s="15"/>
      <c r="AO1010" s="13"/>
      <c r="AP1010" s="15"/>
      <c r="AQ1010" s="45"/>
      <c r="AR1010" s="15"/>
      <c r="AS1010" s="13"/>
      <c r="AT1010" s="15"/>
      <c r="AU1010" s="45"/>
      <c r="AV1010" s="15"/>
      <c r="AW1010" s="13"/>
      <c r="AY1010" s="45"/>
      <c r="AZ1010" s="28"/>
      <c r="BA1010" s="13"/>
      <c r="BB1010" s="15"/>
      <c r="BC1010" s="45"/>
      <c r="BD1010" s="28"/>
      <c r="BE1010" s="14"/>
      <c r="BF1010" s="41">
        <f t="shared" ref="BF1010:BG1010" si="3432">K1010+O1010+S1010+W1010+AA1010+AE1010+AI1010+AM1010+AQ1010+AU1010+AY1010+BC1010</f>
        <v>0</v>
      </c>
      <c r="BG1010" s="34">
        <f t="shared" si="3432"/>
        <v>0</v>
      </c>
      <c r="BH1010" s="35">
        <f t="shared" si="3420"/>
        <v>0</v>
      </c>
      <c r="BK1010" s="2" t="b">
        <f>H1010='2019'!BH843</f>
        <v>1</v>
      </c>
    </row>
    <row r="1011" ht="15.75" customHeight="1" hidden="1" spans="1:63" x14ac:dyDescent="0.25">
      <c r="A1011" s="2">
        <v>112</v>
      </c>
      <c r="B1011" s="14"/>
      <c r="C1011" s="15"/>
      <c r="D1011" s="14" t="s">
        <v>50</v>
      </c>
      <c r="E1011" s="2" t="s">
        <v>49</v>
      </c>
      <c r="F1011" s="41">
        <v>1100</v>
      </c>
      <c r="G1011" s="28"/>
      <c r="H1011" s="182">
        <f>'2019'!BH844+0.0028</f>
        <v>0</v>
      </c>
      <c r="I1011" s="15"/>
      <c r="J1011" s="15"/>
      <c r="K1011" s="15"/>
      <c r="L1011" s="28"/>
      <c r="Q1011" s="13"/>
      <c r="R1011" s="15"/>
      <c r="S1011" s="15"/>
      <c r="T1011" s="28"/>
      <c r="Y1011" s="13"/>
      <c r="Z1011" s="15"/>
      <c r="AA1011" s="15"/>
      <c r="AB1011" s="28"/>
      <c r="AE1011" s="34">
        <f>B1008*$F$12</f>
        <v>5434</v>
      </c>
      <c r="AF1011" s="15"/>
      <c r="AG1011" s="13"/>
      <c r="AH1011" s="15"/>
      <c r="AI1011" s="45"/>
      <c r="AJ1011" s="15"/>
      <c r="AK1011" s="13"/>
      <c r="AL1011" s="15"/>
      <c r="AM1011" s="45"/>
      <c r="AN1011" s="15"/>
      <c r="AO1011" s="13"/>
      <c r="AP1011" s="15"/>
      <c r="AQ1011" s="45"/>
      <c r="AR1011" s="15"/>
      <c r="AS1011" s="13"/>
      <c r="AT1011" s="15"/>
      <c r="AU1011" s="45"/>
      <c r="AV1011" s="39">
        <v>5434</v>
      </c>
      <c r="AW1011" s="13"/>
      <c r="AY1011" s="45"/>
      <c r="AZ1011" s="28"/>
      <c r="BA1011" s="13"/>
      <c r="BB1011" s="15"/>
      <c r="BC1011" s="45"/>
      <c r="BD1011" s="28"/>
      <c r="BE1011" s="14"/>
      <c r="BF1011" s="41">
        <f t="shared" ref="BF1011:BG1011" si="3433">K1011+O1011+S1011+W1011+AA1011+AE1011+AI1011+AM1011+AQ1011+AU1011+AY1011+BC1011</f>
        <v>5434</v>
      </c>
      <c r="BG1011" s="34">
        <f t="shared" si="3433"/>
        <v>5434</v>
      </c>
      <c r="BH1011" s="35">
        <f t="shared" si="3420"/>
        <v>0</v>
      </c>
      <c r="BK1011" s="2" t="b">
        <f>H1011='2019'!BH844</f>
        <v>0</v>
      </c>
    </row>
    <row r="1012" ht="15.75" customHeight="1" hidden="1" spans="1:63" x14ac:dyDescent="0.25">
      <c r="A1012" s="2">
        <v>112</v>
      </c>
      <c r="B1012" s="14"/>
      <c r="D1012" s="14" t="s">
        <v>51</v>
      </c>
      <c r="E1012" s="2" t="s">
        <v>39</v>
      </c>
      <c r="F1012" s="41">
        <v>500</v>
      </c>
      <c r="G1012" s="28"/>
      <c r="H1012" s="34">
        <f>'2019'!BH845</f>
        <v>-500</v>
      </c>
      <c r="I1012" s="15"/>
      <c r="J1012" s="15"/>
      <c r="K1012" s="15"/>
      <c r="L1012" s="28"/>
      <c r="Q1012" s="13"/>
      <c r="R1012" s="15"/>
      <c r="S1012" s="15"/>
      <c r="T1012" s="28"/>
      <c r="Y1012" s="13"/>
      <c r="Z1012" s="15"/>
      <c r="AA1012" s="15"/>
      <c r="AB1012" s="28"/>
      <c r="AE1012" s="34"/>
      <c r="AF1012" s="34"/>
      <c r="AG1012" s="13"/>
      <c r="AH1012" s="15"/>
      <c r="AI1012" s="45"/>
      <c r="AJ1012" s="15"/>
      <c r="AK1012" s="13"/>
      <c r="AL1012" s="15"/>
      <c r="AM1012" s="45"/>
      <c r="AN1012" s="15"/>
      <c r="AO1012" s="13"/>
      <c r="AP1012" s="15"/>
      <c r="AQ1012" s="45">
        <f>$F$13</f>
        <v>500</v>
      </c>
      <c r="AR1012" s="15"/>
      <c r="AS1012" s="13"/>
      <c r="AT1012" s="15"/>
      <c r="AU1012" s="45"/>
      <c r="AV1012" s="15"/>
      <c r="AW1012" s="13"/>
      <c r="AY1012" s="45"/>
      <c r="AZ1012" s="28"/>
      <c r="BA1012" s="13"/>
      <c r="BB1012" s="15"/>
      <c r="BC1012" s="45"/>
      <c r="BD1012" s="28"/>
      <c r="BE1012" s="14"/>
      <c r="BF1012" s="41">
        <f t="shared" ref="BF1012:BG1012" si="3434">K1012+O1012+S1012+W1012+AA1012+AE1012+AI1012+AM1012+AQ1012+AU1012+AY1012+BC1012</f>
        <v>500</v>
      </c>
      <c r="BG1012" s="34">
        <f t="shared" si="3434"/>
        <v>0</v>
      </c>
      <c r="BH1012" s="35">
        <f t="shared" si="3420"/>
        <v>0</v>
      </c>
      <c r="BK1012" s="2" t="b">
        <f>H1012='2019'!BH845</f>
        <v>1</v>
      </c>
    </row>
    <row r="1013" ht="15.75" customHeight="1" hidden="1" spans="1:60" x14ac:dyDescent="0.25">
      <c r="A1013" s="2">
        <v>112</v>
      </c>
      <c r="B1013" s="14"/>
      <c r="D1013" s="14" t="s">
        <v>51</v>
      </c>
      <c r="E1013" s="2" t="s">
        <v>49</v>
      </c>
      <c r="F1013" s="41">
        <v>500</v>
      </c>
      <c r="G1013" s="28"/>
      <c r="H1013" s="34"/>
      <c r="I1013" s="15"/>
      <c r="J1013" s="15"/>
      <c r="K1013" s="15"/>
      <c r="L1013" s="28"/>
      <c r="Q1013" s="13"/>
      <c r="R1013" s="15"/>
      <c r="S1013" s="15"/>
      <c r="T1013" s="28"/>
      <c r="Y1013" s="13"/>
      <c r="Z1013" s="15"/>
      <c r="AA1013" s="15"/>
      <c r="AB1013" s="28"/>
      <c r="AE1013" s="34"/>
      <c r="AF1013" s="34"/>
      <c r="AG1013" s="13"/>
      <c r="AH1013" s="15"/>
      <c r="AI1013" s="45"/>
      <c r="AJ1013" s="15"/>
      <c r="AK1013" s="13"/>
      <c r="AL1013" s="15"/>
      <c r="AM1013" s="45"/>
      <c r="AN1013" s="15"/>
      <c r="AO1013" s="13"/>
      <c r="AP1013" s="15"/>
      <c r="AQ1013" s="34">
        <f>B1008*$F$14</f>
        <v>2470</v>
      </c>
      <c r="AR1013" s="15"/>
      <c r="AS1013" s="13"/>
      <c r="AT1013" s="15"/>
      <c r="AU1013" s="45"/>
      <c r="AV1013" s="39">
        <v>2470</v>
      </c>
      <c r="AW1013" s="13"/>
      <c r="AY1013" s="45"/>
      <c r="AZ1013" s="28"/>
      <c r="BA1013" s="13"/>
      <c r="BB1013" s="15"/>
      <c r="BC1013" s="45"/>
      <c r="BD1013" s="28"/>
      <c r="BE1013" s="14"/>
      <c r="BF1013" s="41">
        <f t="shared" ref="BF1013:BG1013" si="3435">K1013+O1013+S1013+W1013+AA1013+AE1013+AI1013+AM1013+AQ1013+AU1013+AY1013+BC1013</f>
        <v>2470</v>
      </c>
      <c r="BG1013" s="34">
        <f t="shared" si="3435"/>
        <v>2470</v>
      </c>
      <c r="BH1013" s="35">
        <f t="shared" si="3420"/>
        <v>0</v>
      </c>
    </row>
    <row r="1014" ht="15.75" customHeight="1" hidden="1" spans="1:63" x14ac:dyDescent="0.25">
      <c r="A1014" s="2">
        <v>112</v>
      </c>
      <c r="B1014" s="14"/>
      <c r="D1014" s="14" t="s">
        <v>52</v>
      </c>
      <c r="E1014" s="2" t="s">
        <v>39</v>
      </c>
      <c r="F1014" s="41">
        <v>500</v>
      </c>
      <c r="G1014" s="28"/>
      <c r="H1014" s="34">
        <f>'2019'!BH846</f>
        <v>-500</v>
      </c>
      <c r="I1014" s="15"/>
      <c r="J1014" s="15"/>
      <c r="K1014" s="15"/>
      <c r="L1014" s="28"/>
      <c r="Q1014" s="13"/>
      <c r="R1014" s="15"/>
      <c r="S1014" s="15"/>
      <c r="T1014" s="28"/>
      <c r="Y1014" s="13"/>
      <c r="Z1014" s="15"/>
      <c r="AA1014" s="34">
        <f>$F$11</f>
        <v>500</v>
      </c>
      <c r="AB1014" s="35"/>
      <c r="AF1014" s="34"/>
      <c r="AG1014" s="13"/>
      <c r="AH1014" s="15"/>
      <c r="AI1014" s="45"/>
      <c r="AJ1014" s="15"/>
      <c r="AK1014" s="13"/>
      <c r="AL1014" s="15"/>
      <c r="AM1014" s="45"/>
      <c r="AN1014" s="15"/>
      <c r="AO1014" s="13"/>
      <c r="AP1014" s="15"/>
      <c r="AQ1014" s="45"/>
      <c r="AR1014" s="15"/>
      <c r="AS1014" s="13"/>
      <c r="AT1014" s="15"/>
      <c r="AU1014" s="45"/>
      <c r="AV1014" s="15"/>
      <c r="AW1014" s="13"/>
      <c r="AY1014" s="45"/>
      <c r="AZ1014" s="35"/>
      <c r="BA1014" s="13"/>
      <c r="BB1014" s="15"/>
      <c r="BC1014" s="45"/>
      <c r="BD1014" s="35"/>
      <c r="BE1014" s="14"/>
      <c r="BF1014" s="41">
        <f t="shared" ref="BF1014:BG1014" si="3436">K1014+O1014+S1014+W1014+AA1014+AE1014+AI1014+AM1014+AQ1014+AU1014+AY1014+BC1014</f>
        <v>500</v>
      </c>
      <c r="BG1014" s="34">
        <f t="shared" si="3436"/>
        <v>0</v>
      </c>
      <c r="BH1014" s="35">
        <f t="shared" si="3420"/>
        <v>0</v>
      </c>
      <c r="BK1014" s="2" t="b">
        <f>H1014='2019'!BH846</f>
        <v>1</v>
      </c>
    </row>
    <row r="1015" ht="15.75" customHeight="1" hidden="1" spans="1:63" x14ac:dyDescent="0.25">
      <c r="A1015" s="247">
        <v>112</v>
      </c>
      <c r="B1015" s="21"/>
      <c r="C1015" s="22" t="s">
        <v>53</v>
      </c>
      <c r="D1015" s="21"/>
      <c r="E1015" s="22"/>
      <c r="F1015" s="109"/>
      <c r="G1015" s="23"/>
      <c r="H1015" s="51">
        <f>SUM(H1007:H1014)</f>
        <v>-860.07</v>
      </c>
      <c r="I1015" s="53"/>
      <c r="J1015" s="53"/>
      <c r="K1015" s="51">
        <f t="shared" ref="K1015:L1015" si="3437">SUM(K1007:K1014)</f>
        <v>0</v>
      </c>
      <c r="L1015" s="68">
        <f t="shared" si="3437"/>
        <v>0</v>
      </c>
      <c r="M1015" s="53"/>
      <c r="N1015" s="53"/>
      <c r="O1015" s="51">
        <f t="shared" ref="O1015:P1015" si="3438">SUM(O1007:O1014)</f>
        <v>0</v>
      </c>
      <c r="P1015" s="51">
        <f t="shared" si="3438"/>
        <v>0</v>
      </c>
      <c r="Q1015" s="52"/>
      <c r="R1015" s="53"/>
      <c r="S1015" s="51">
        <f t="shared" ref="S1015:T1015" si="3439">SUM(S1007:S1014)</f>
        <v>0</v>
      </c>
      <c r="T1015" s="51">
        <f t="shared" si="3439"/>
        <v>0</v>
      </c>
      <c r="U1015" s="52"/>
      <c r="V1015" s="53"/>
      <c r="W1015" s="51">
        <f t="shared" ref="W1015:X1015" si="3440">SUM(W1007:W1014)</f>
        <v>204.16</v>
      </c>
      <c r="X1015" s="51">
        <f t="shared" si="3440"/>
        <v>0</v>
      </c>
      <c r="Y1015" s="52"/>
      <c r="Z1015" s="53"/>
      <c r="AA1015" s="51">
        <f t="shared" ref="AA1015:AB1015" si="3441">SUM(AA1007:AA1014)</f>
        <v>512.5</v>
      </c>
      <c r="AB1015" s="51">
        <f t="shared" si="3441"/>
        <v>0</v>
      </c>
      <c r="AC1015" s="52"/>
      <c r="AD1015" s="53"/>
      <c r="AE1015" s="51">
        <f t="shared" ref="AE1015:AF1015" si="3442">SUM(AE1007:AE1014)</f>
        <v>5441.5</v>
      </c>
      <c r="AF1015" s="51">
        <f t="shared" si="3442"/>
        <v>0</v>
      </c>
      <c r="AG1015" s="52"/>
      <c r="AH1015" s="53"/>
      <c r="AI1015" s="183">
        <f t="shared" ref="AI1015:AJ1015" si="3443">SUM(AI1007:AI1014)</f>
        <v>18.2</v>
      </c>
      <c r="AJ1015" s="51">
        <f t="shared" si="3443"/>
        <v>0</v>
      </c>
      <c r="AK1015" s="52"/>
      <c r="AL1015" s="53"/>
      <c r="AM1015" s="183">
        <f t="shared" ref="AM1015:AN1015" si="3444">SUM(AM1007:AM1014)</f>
        <v>5.2</v>
      </c>
      <c r="AN1015" s="51">
        <f t="shared" si="3444"/>
        <v>0</v>
      </c>
      <c r="AO1015" s="52"/>
      <c r="AP1015" s="53"/>
      <c r="AQ1015" s="183">
        <f t="shared" ref="AQ1015:AR1015" si="3445">SUM(AQ1007:AQ1014)</f>
        <v>2988.9</v>
      </c>
      <c r="AR1015" s="51">
        <f t="shared" si="3445"/>
        <v>0</v>
      </c>
      <c r="AS1015" s="52"/>
      <c r="AT1015" s="53"/>
      <c r="AU1015" s="183">
        <f t="shared" ref="AU1015:AV1015" si="3446">SUM(AU1007:AU1014)</f>
        <v>14.55</v>
      </c>
      <c r="AV1015" s="68">
        <f t="shared" si="3446"/>
        <v>8294.09</v>
      </c>
      <c r="AW1015" s="52"/>
      <c r="AX1015" s="53"/>
      <c r="AY1015" s="183">
        <f t="shared" ref="AY1015:AZ1015" si="3447">SUM(AY1007:AY1014)</f>
        <v>0</v>
      </c>
      <c r="AZ1015" s="68">
        <f t="shared" si="3447"/>
        <v>0</v>
      </c>
      <c r="BA1015" s="52"/>
      <c r="BB1015" s="53"/>
      <c r="BC1015" s="183">
        <f t="shared" ref="BC1015:BD1015" si="3448">SUM(BC1007:BC1014)</f>
        <v>0</v>
      </c>
      <c r="BD1015" s="68">
        <f t="shared" si="3448"/>
        <v>0</v>
      </c>
      <c r="BE1015" s="69"/>
      <c r="BF1015" s="70">
        <f t="shared" ref="BF1015:BH1015" si="3449">SUM(BF1007:BF1014)</f>
        <v>9185.01</v>
      </c>
      <c r="BG1015" s="71">
        <f t="shared" si="3449"/>
        <v>8294.09</v>
      </c>
      <c r="BH1015" s="72">
        <f t="shared" si="3449"/>
        <v>30.85</v>
      </c>
      <c r="BI1015" s="34">
        <f>H1015+BF1015-BG1015</f>
        <v>30.85</v>
      </c>
      <c r="BJ1015" s="34">
        <f>BH1015-BI1015</f>
        <v>0</v>
      </c>
      <c r="BK1015" s="2" t="b">
        <f>H1015='2019'!BH847</f>
        <v>0</v>
      </c>
    </row>
    <row r="1016" ht="15.75" customHeight="1" hidden="1" spans="1:63" x14ac:dyDescent="0.25">
      <c r="A1016" s="2">
        <v>113</v>
      </c>
      <c r="B1016" s="14"/>
      <c r="D1016" s="14" t="s">
        <v>379</v>
      </c>
      <c r="F1016" s="41"/>
      <c r="G1016" s="28"/>
      <c r="H1016" s="34">
        <f>'2019'!BH848</f>
        <v>149.68</v>
      </c>
      <c r="J1016" s="15"/>
      <c r="K1016" s="15">
        <v>38.03</v>
      </c>
      <c r="L1016" s="28"/>
      <c r="O1016" s="2">
        <v>35.58</v>
      </c>
      <c r="Q1016" s="13"/>
      <c r="R1016" s="15"/>
      <c r="S1016" s="15">
        <v>38.03</v>
      </c>
      <c r="T1016" s="28"/>
      <c r="W1016" s="2">
        <v>36.81</v>
      </c>
      <c r="Y1016" s="13"/>
      <c r="Z1016" s="15"/>
      <c r="AA1016" s="15">
        <v>38.03</v>
      </c>
      <c r="AB1016" s="28"/>
      <c r="AE1016" s="2">
        <v>36.81</v>
      </c>
      <c r="AG1016" s="13"/>
      <c r="AH1016" s="15"/>
      <c r="AI1016" s="45">
        <v>38.03</v>
      </c>
      <c r="AJ1016" s="15"/>
      <c r="AK1016" s="13"/>
      <c r="AM1016" s="45">
        <v>38.03</v>
      </c>
      <c r="AO1016" s="13"/>
      <c r="AQ1016" s="45">
        <v>53.24</v>
      </c>
      <c r="AS1016" s="13"/>
      <c r="AU1016" s="45">
        <v>55.02</v>
      </c>
      <c r="AW1016" s="13"/>
      <c r="AY1016" s="45">
        <v>53.24</v>
      </c>
      <c r="AZ1016" s="28"/>
      <c r="BA1016" s="13"/>
      <c r="BB1016" s="15"/>
      <c r="BC1016" s="45">
        <v>55.02</v>
      </c>
      <c r="BD1016" s="28"/>
      <c r="BE1016" s="14"/>
      <c r="BF1016" s="41">
        <f t="shared" ref="BF1016:BG1016" si="3450">K1016+O1016+S1016+W1016+AA1016+AE1016+AI1016+AM1016+AQ1016+AU1016+AY1016+BC1016</f>
        <v>515.87</v>
      </c>
      <c r="BG1016" s="34">
        <f t="shared" si="3450"/>
        <v>0</v>
      </c>
      <c r="BH1016" s="35">
        <f t="shared" ref="BH1016:BH1023" si="3451">H1016+BF1016-BG1016</f>
        <v>665.55</v>
      </c>
      <c r="BK1016" s="2" t="b">
        <f>H1016='2019'!BH848</f>
        <v>1</v>
      </c>
    </row>
    <row r="1017" ht="15.75" customHeight="1" hidden="1" spans="1:63" x14ac:dyDescent="0.25">
      <c r="A1017" s="2">
        <v>113</v>
      </c>
      <c r="B1017" s="14">
        <v>4.98</v>
      </c>
      <c r="C1017" s="2" t="s">
        <v>348</v>
      </c>
      <c r="D1017" s="14" t="s">
        <v>44</v>
      </c>
      <c r="E1017" s="2" t="s">
        <v>45</v>
      </c>
      <c r="F1017" s="41">
        <v>2.5</v>
      </c>
      <c r="G1017" s="35">
        <v>2.6</v>
      </c>
      <c r="H1017" s="104">
        <f>'2019'!BH849</f>
        <v>0</v>
      </c>
      <c r="I1017" s="15"/>
      <c r="J1017" s="15"/>
      <c r="K1017" s="34">
        <f>J1017*$F$8</f>
        <v>0</v>
      </c>
      <c r="L1017" s="28"/>
      <c r="N1017" s="15"/>
      <c r="O1017" s="34">
        <f>N1017*$F$8</f>
        <v>0</v>
      </c>
      <c r="Q1017" s="13"/>
      <c r="R1017" s="15">
        <f>Q1017-M1017</f>
        <v>0</v>
      </c>
      <c r="S1017" s="34">
        <f>R1017*$F$8</f>
        <v>0</v>
      </c>
      <c r="T1017" s="28"/>
      <c r="V1017" s="15">
        <f>U1017-Q1017</f>
        <v>0</v>
      </c>
      <c r="W1017" s="34">
        <f>V1017*$F$8</f>
        <v>0</v>
      </c>
      <c r="Y1017" s="13"/>
      <c r="Z1017" s="15">
        <f t="shared" ref="Z1017:Z1018" si="3452">Y1017-U1017</f>
        <v>0</v>
      </c>
      <c r="AA1017" s="34">
        <f>Z1017*$F$8</f>
        <v>0</v>
      </c>
      <c r="AB1017" s="28"/>
      <c r="AC1017" s="15"/>
      <c r="AD1017" s="15">
        <f t="shared" ref="AD1017:AD1018" si="3453">AC1017-Y1017</f>
        <v>0</v>
      </c>
      <c r="AE1017" s="34">
        <f>AD1017*$F$8</f>
        <v>0</v>
      </c>
      <c r="AG1017" s="13"/>
      <c r="AH1017" s="15">
        <f t="shared" ref="AH1017:AH1018" si="3454">AG1017-AC1017</f>
        <v>0</v>
      </c>
      <c r="AI1017" s="45">
        <f>AH1017*$G$8</f>
        <v>0</v>
      </c>
      <c r="AJ1017" s="15"/>
      <c r="AK1017" s="13">
        <v>0</v>
      </c>
      <c r="AL1017" s="15">
        <f t="shared" ref="AL1017:AL1018" si="3455">AK1017-AG1017</f>
        <v>0</v>
      </c>
      <c r="AM1017" s="45">
        <f>AL1017*$G$8</f>
        <v>0</v>
      </c>
      <c r="AN1017" s="15"/>
      <c r="AO1017" s="13">
        <v>0</v>
      </c>
      <c r="AP1017" s="15">
        <f t="shared" ref="AP1017:AP1018" si="3456">AO1017-AK1017</f>
        <v>0</v>
      </c>
      <c r="AQ1017" s="45">
        <f>AP1017*$G$8</f>
        <v>0</v>
      </c>
      <c r="AR1017" s="15"/>
      <c r="AS1017" s="13">
        <v>0</v>
      </c>
      <c r="AT1017" s="15">
        <f t="shared" ref="AT1017:AT1018" si="3457">AS1017-AO1017</f>
        <v>0</v>
      </c>
      <c r="AU1017" s="45">
        <f>AT1017*$G$8</f>
        <v>0</v>
      </c>
      <c r="AV1017" s="15"/>
      <c r="AW1017" s="13">
        <v>0</v>
      </c>
      <c r="AX1017" s="2">
        <f t="shared" ref="AX1017:AX1018" si="3458">AW1017-AS1017</f>
        <v>0</v>
      </c>
      <c r="AY1017" s="45">
        <f>AX1017*$G$8</f>
        <v>0</v>
      </c>
      <c r="AZ1017" s="208"/>
      <c r="BA1017" s="13">
        <v>0</v>
      </c>
      <c r="BB1017" s="15">
        <f t="shared" ref="BB1017:BB1018" si="3459">BA1017-AW1017</f>
        <v>0</v>
      </c>
      <c r="BC1017" s="45">
        <f>BB1017*$G$8</f>
        <v>0</v>
      </c>
      <c r="BD1017" s="208"/>
      <c r="BE1017" s="40">
        <f t="shared" ref="BE1017:BG1017" si="3460">J1017+N1017+R1017+V1017+Z1017+AD1017+AH1017+AL1017+AP1017+AT1017+AX1017+BB1017</f>
        <v>0</v>
      </c>
      <c r="BF1017" s="41">
        <f t="shared" si="3460"/>
        <v>0</v>
      </c>
      <c r="BG1017" s="34">
        <f t="shared" si="3460"/>
        <v>0</v>
      </c>
      <c r="BH1017" s="35">
        <f t="shared" si="3451"/>
        <v>0</v>
      </c>
      <c r="BK1017" s="2" t="b">
        <f>H1017='2019'!BH849</f>
        <v>1</v>
      </c>
    </row>
    <row r="1018" ht="15.75" customHeight="1" hidden="1" spans="1:63" x14ac:dyDescent="0.25">
      <c r="A1018" s="2">
        <v>113</v>
      </c>
      <c r="B1018" s="14"/>
      <c r="C1018" s="2" t="s">
        <v>98</v>
      </c>
      <c r="D1018" s="14" t="s">
        <v>47</v>
      </c>
      <c r="E1018" s="2" t="s">
        <v>48</v>
      </c>
      <c r="F1018" s="41">
        <v>18.56</v>
      </c>
      <c r="G1018" s="35">
        <v>19.46</v>
      </c>
      <c r="H1018" s="34">
        <f>'2019'!BH850</f>
        <v>0</v>
      </c>
      <c r="I1018" s="15"/>
      <c r="J1018" s="15"/>
      <c r="K1018" s="15"/>
      <c r="L1018" s="28"/>
      <c r="Q1018" s="13"/>
      <c r="R1018" s="15"/>
      <c r="S1018" s="15"/>
      <c r="T1018" s="28"/>
      <c r="W1018" s="34">
        <f>V1018*$F$10</f>
        <v>0</v>
      </c>
      <c r="Y1018" s="13"/>
      <c r="Z1018" s="15">
        <f t="shared" si="3452"/>
        <v>0</v>
      </c>
      <c r="AA1018" s="34">
        <f>Z1018*$F$10</f>
        <v>0</v>
      </c>
      <c r="AB1018" s="28"/>
      <c r="AC1018" s="15"/>
      <c r="AD1018" s="15">
        <f t="shared" si="3453"/>
        <v>0</v>
      </c>
      <c r="AE1018" s="34">
        <f>AD1018*$F$10</f>
        <v>0</v>
      </c>
      <c r="AG1018" s="13"/>
      <c r="AH1018" s="15">
        <f t="shared" si="3454"/>
        <v>0</v>
      </c>
      <c r="AI1018" s="45">
        <f>AH1018*$G$10</f>
        <v>0</v>
      </c>
      <c r="AJ1018" s="15"/>
      <c r="AK1018" s="13"/>
      <c r="AL1018" s="15">
        <f t="shared" si="3455"/>
        <v>0</v>
      </c>
      <c r="AM1018" s="45">
        <f>AL1018*$G$10</f>
        <v>0</v>
      </c>
      <c r="AN1018" s="15"/>
      <c r="AO1018" s="13"/>
      <c r="AP1018" s="15">
        <f t="shared" si="3456"/>
        <v>0</v>
      </c>
      <c r="AQ1018" s="45">
        <f>AP1018*$G$10</f>
        <v>0</v>
      </c>
      <c r="AR1018" s="15"/>
      <c r="AS1018" s="13"/>
      <c r="AT1018" s="15">
        <f t="shared" si="3457"/>
        <v>0</v>
      </c>
      <c r="AU1018" s="45">
        <f>AT1018*$G$10</f>
        <v>0</v>
      </c>
      <c r="AV1018" s="15"/>
      <c r="AW1018" s="13"/>
      <c r="AX1018" s="2">
        <f t="shared" si="3458"/>
        <v>0</v>
      </c>
      <c r="AY1018" s="45"/>
      <c r="AZ1018" s="208"/>
      <c r="BA1018" s="13"/>
      <c r="BB1018" s="15">
        <f t="shared" si="3459"/>
        <v>0</v>
      </c>
      <c r="BC1018" s="45"/>
      <c r="BD1018" s="208"/>
      <c r="BE1018" s="40">
        <f t="shared" ref="BE1018:BG1018" si="3461">J1018+N1018+R1018+V1018+Z1018+AD1018+AH1018+AL1018+AP1018+AT1018+AX1018+BB1018</f>
        <v>0</v>
      </c>
      <c r="BF1018" s="41">
        <f t="shared" si="3461"/>
        <v>0</v>
      </c>
      <c r="BG1018" s="34">
        <f t="shared" si="3461"/>
        <v>0</v>
      </c>
      <c r="BH1018" s="35">
        <f t="shared" si="3451"/>
        <v>0</v>
      </c>
      <c r="BK1018" s="2" t="b">
        <f>H1018='2019'!BH850</f>
        <v>1</v>
      </c>
    </row>
    <row r="1019" ht="15.75" customHeight="1" hidden="1" spans="1:63" x14ac:dyDescent="0.25">
      <c r="A1019" s="2">
        <v>113</v>
      </c>
      <c r="B1019" s="14"/>
      <c r="C1019" s="2" t="s">
        <v>55</v>
      </c>
      <c r="D1019" s="14" t="s">
        <v>47</v>
      </c>
      <c r="E1019" s="2" t="s">
        <v>49</v>
      </c>
      <c r="F1019" s="41">
        <v>500</v>
      </c>
      <c r="G1019" s="28"/>
      <c r="H1019" s="144">
        <f>'2019'!BH851</f>
        <v>0</v>
      </c>
      <c r="I1019" s="15"/>
      <c r="J1019" s="15"/>
      <c r="K1019" s="15"/>
      <c r="L1019" s="28"/>
      <c r="Q1019" s="13"/>
      <c r="R1019" s="15"/>
      <c r="S1019" s="15"/>
      <c r="T1019" s="28"/>
      <c r="Y1019" s="13"/>
      <c r="Z1019" s="15"/>
      <c r="AA1019" s="34"/>
      <c r="AB1019" s="28"/>
      <c r="AC1019" s="15"/>
      <c r="AG1019" s="13"/>
      <c r="AH1019" s="15"/>
      <c r="AI1019" s="45"/>
      <c r="AJ1019" s="15"/>
      <c r="AK1019" s="13"/>
      <c r="AL1019" s="15"/>
      <c r="AM1019" s="45"/>
      <c r="AN1019" s="15"/>
      <c r="AO1019" s="13"/>
      <c r="AP1019" s="15"/>
      <c r="AQ1019" s="45"/>
      <c r="AR1019" s="15"/>
      <c r="AS1019" s="13"/>
      <c r="AT1019" s="15"/>
      <c r="AU1019" s="45"/>
      <c r="AV1019" s="15"/>
      <c r="AW1019" s="13"/>
      <c r="AY1019" s="45"/>
      <c r="AZ1019" s="28"/>
      <c r="BA1019" s="13"/>
      <c r="BB1019" s="15"/>
      <c r="BC1019" s="45"/>
      <c r="BD1019" s="28"/>
      <c r="BE1019" s="40">
        <f t="shared" ref="BE1019:BG1019" si="3462">J1019+N1019+R1019+V1019+Z1019+AD1019+AH1019+AL1019+AP1019+AT1019+AX1019+BB1019</f>
        <v>0</v>
      </c>
      <c r="BF1019" s="41">
        <f t="shared" si="3462"/>
        <v>0</v>
      </c>
      <c r="BG1019" s="34">
        <f t="shared" si="3462"/>
        <v>0</v>
      </c>
      <c r="BH1019" s="35">
        <f t="shared" si="3451"/>
        <v>0</v>
      </c>
      <c r="BK1019" s="2" t="b">
        <f>H1019='2019'!BH851</f>
        <v>1</v>
      </c>
    </row>
    <row r="1020" ht="15.75" customHeight="1" hidden="1" spans="1:63" x14ac:dyDescent="0.25">
      <c r="A1020" s="2">
        <v>113</v>
      </c>
      <c r="B1020" s="14"/>
      <c r="D1020" s="14" t="s">
        <v>50</v>
      </c>
      <c r="E1020" s="2" t="s">
        <v>49</v>
      </c>
      <c r="F1020" s="41">
        <v>1100</v>
      </c>
      <c r="G1020" s="28"/>
      <c r="H1020" s="182">
        <f>'2019'!BH852-0.0024</f>
        <v>11269.14</v>
      </c>
      <c r="I1020" s="15"/>
      <c r="J1020" s="15"/>
      <c r="K1020" s="15"/>
      <c r="L1020" s="28"/>
      <c r="Q1020" s="13"/>
      <c r="R1020" s="15"/>
      <c r="S1020" s="15"/>
      <c r="T1020" s="28"/>
      <c r="Y1020" s="13"/>
      <c r="Z1020" s="15"/>
      <c r="AA1020" s="15"/>
      <c r="AB1020" s="28"/>
      <c r="AE1020" s="34">
        <f>B1017*$F$12</f>
        <v>5478</v>
      </c>
      <c r="AG1020" s="13"/>
      <c r="AH1020" s="15"/>
      <c r="AI1020" s="45"/>
      <c r="AJ1020" s="15"/>
      <c r="AK1020" s="13"/>
      <c r="AL1020" s="15"/>
      <c r="AM1020" s="45"/>
      <c r="AN1020" s="15"/>
      <c r="AO1020" s="13"/>
      <c r="AP1020" s="15"/>
      <c r="AQ1020" s="45"/>
      <c r="AR1020" s="15"/>
      <c r="AS1020" s="13"/>
      <c r="AT1020" s="15"/>
      <c r="AU1020" s="45"/>
      <c r="AV1020" s="15"/>
      <c r="AW1020" s="13"/>
      <c r="AY1020" s="45"/>
      <c r="AZ1020" s="28"/>
      <c r="BA1020" s="13"/>
      <c r="BB1020" s="15"/>
      <c r="BC1020" s="45"/>
      <c r="BD1020" s="28"/>
      <c r="BE1020" s="14"/>
      <c r="BF1020" s="41">
        <f t="shared" ref="BF1020:BG1020" si="3463">K1020+O1020+S1020+W1020+AA1020+AE1020+AI1020+AM1020+AQ1020+AU1020+AY1020+BC1020</f>
        <v>5478</v>
      </c>
      <c r="BG1020" s="34">
        <f t="shared" si="3463"/>
        <v>0</v>
      </c>
      <c r="BH1020" s="35">
        <f t="shared" si="3451"/>
        <v>16747.14</v>
      </c>
      <c r="BK1020" s="2" t="b">
        <f>H1020='2019'!BH852</f>
        <v>0</v>
      </c>
    </row>
    <row r="1021" ht="15.75" customHeight="1" hidden="1" spans="1:63" x14ac:dyDescent="0.25">
      <c r="A1021" s="2">
        <v>113</v>
      </c>
      <c r="B1021" s="14"/>
      <c r="D1021" s="14" t="s">
        <v>51</v>
      </c>
      <c r="E1021" s="2" t="s">
        <v>39</v>
      </c>
      <c r="F1021" s="41">
        <v>500</v>
      </c>
      <c r="G1021" s="28"/>
      <c r="H1021" s="34">
        <f>'2019'!BH853</f>
        <v>1000</v>
      </c>
      <c r="I1021" s="15"/>
      <c r="J1021" s="15"/>
      <c r="K1021" s="15"/>
      <c r="L1021" s="28"/>
      <c r="Q1021" s="13"/>
      <c r="R1021" s="15"/>
      <c r="S1021" s="15"/>
      <c r="T1021" s="28"/>
      <c r="Y1021" s="13"/>
      <c r="Z1021" s="15"/>
      <c r="AA1021" s="15"/>
      <c r="AB1021" s="28"/>
      <c r="AE1021" s="34"/>
      <c r="AG1021" s="13"/>
      <c r="AH1021" s="15"/>
      <c r="AI1021" s="45"/>
      <c r="AJ1021" s="15"/>
      <c r="AK1021" s="13"/>
      <c r="AL1021" s="15"/>
      <c r="AM1021" s="45"/>
      <c r="AN1021" s="15"/>
      <c r="AO1021" s="13"/>
      <c r="AP1021" s="15"/>
      <c r="AQ1021" s="45">
        <f>$F$13</f>
        <v>500</v>
      </c>
      <c r="AR1021" s="15"/>
      <c r="AS1021" s="13"/>
      <c r="AT1021" s="15"/>
      <c r="AU1021" s="45"/>
      <c r="AV1021" s="15"/>
      <c r="AW1021" s="13"/>
      <c r="AY1021" s="45"/>
      <c r="AZ1021" s="28"/>
      <c r="BA1021" s="13"/>
      <c r="BB1021" s="15"/>
      <c r="BC1021" s="45"/>
      <c r="BD1021" s="28"/>
      <c r="BE1021" s="14"/>
      <c r="BF1021" s="41">
        <f t="shared" ref="BF1021:BG1021" si="3464">K1021+O1021+S1021+W1021+AA1021+AE1021+AI1021+AM1021+AQ1021+AU1021+AY1021+BC1021</f>
        <v>500</v>
      </c>
      <c r="BG1021" s="34">
        <f t="shared" si="3464"/>
        <v>0</v>
      </c>
      <c r="BH1021" s="35">
        <f t="shared" si="3451"/>
        <v>1500</v>
      </c>
      <c r="BK1021" s="2" t="b">
        <f>H1021='2019'!BH853</f>
        <v>1</v>
      </c>
    </row>
    <row r="1022" ht="15.75" customHeight="1" hidden="1" spans="1:60" x14ac:dyDescent="0.25">
      <c r="A1022" s="2">
        <v>113</v>
      </c>
      <c r="B1022" s="14"/>
      <c r="D1022" s="14" t="s">
        <v>51</v>
      </c>
      <c r="E1022" s="2" t="s">
        <v>49</v>
      </c>
      <c r="F1022" s="41">
        <v>500</v>
      </c>
      <c r="G1022" s="28"/>
      <c r="H1022" s="34"/>
      <c r="I1022" s="15"/>
      <c r="J1022" s="15"/>
      <c r="K1022" s="15"/>
      <c r="L1022" s="28"/>
      <c r="Q1022" s="13"/>
      <c r="R1022" s="15"/>
      <c r="S1022" s="15"/>
      <c r="T1022" s="28"/>
      <c r="Y1022" s="13"/>
      <c r="Z1022" s="15"/>
      <c r="AA1022" s="15"/>
      <c r="AB1022" s="28"/>
      <c r="AE1022" s="34"/>
      <c r="AG1022" s="13"/>
      <c r="AH1022" s="15"/>
      <c r="AI1022" s="45"/>
      <c r="AJ1022" s="15"/>
      <c r="AK1022" s="13"/>
      <c r="AL1022" s="15"/>
      <c r="AM1022" s="45"/>
      <c r="AN1022" s="15"/>
      <c r="AO1022" s="13"/>
      <c r="AP1022" s="15"/>
      <c r="AQ1022" s="34">
        <f>B1017*$F$14</f>
        <v>2490</v>
      </c>
      <c r="AR1022" s="15"/>
      <c r="AS1022" s="13"/>
      <c r="AT1022" s="15"/>
      <c r="AU1022" s="45"/>
      <c r="AV1022" s="15"/>
      <c r="AW1022" s="13"/>
      <c r="AY1022" s="45"/>
      <c r="AZ1022" s="28"/>
      <c r="BA1022" s="13"/>
      <c r="BB1022" s="15"/>
      <c r="BC1022" s="45"/>
      <c r="BD1022" s="28"/>
      <c r="BE1022" s="14"/>
      <c r="BF1022" s="41">
        <f t="shared" ref="BF1022:BG1022" si="3465">K1022+O1022+S1022+W1022+AA1022+AE1022+AI1022+AM1022+AQ1022+AU1022+AY1022+BC1022</f>
        <v>2490</v>
      </c>
      <c r="BG1022" s="34">
        <f t="shared" si="3465"/>
        <v>0</v>
      </c>
      <c r="BH1022" s="35">
        <f t="shared" si="3451"/>
        <v>2490</v>
      </c>
    </row>
    <row r="1023" ht="15.75" customHeight="1" hidden="1" spans="1:63" x14ac:dyDescent="0.25">
      <c r="A1023" s="2">
        <v>113</v>
      </c>
      <c r="B1023" s="14"/>
      <c r="D1023" s="14" t="s">
        <v>52</v>
      </c>
      <c r="E1023" s="2" t="s">
        <v>39</v>
      </c>
      <c r="F1023" s="41">
        <v>500</v>
      </c>
      <c r="G1023" s="28"/>
      <c r="H1023" s="34">
        <f>'2019'!BH854</f>
        <v>850</v>
      </c>
      <c r="I1023" s="15"/>
      <c r="J1023" s="15"/>
      <c r="K1023" s="15"/>
      <c r="L1023" s="28"/>
      <c r="Q1023" s="13"/>
      <c r="R1023" s="15"/>
      <c r="S1023" s="15"/>
      <c r="T1023" s="28"/>
      <c r="Y1023" s="13"/>
      <c r="Z1023" s="15"/>
      <c r="AA1023" s="34">
        <f>$F$11</f>
        <v>500</v>
      </c>
      <c r="AB1023" s="28"/>
      <c r="AG1023" s="13"/>
      <c r="AH1023" s="15"/>
      <c r="AI1023" s="45"/>
      <c r="AJ1023" s="15"/>
      <c r="AK1023" s="13"/>
      <c r="AL1023" s="15"/>
      <c r="AM1023" s="45"/>
      <c r="AN1023" s="15"/>
      <c r="AO1023" s="13"/>
      <c r="AP1023" s="15"/>
      <c r="AQ1023" s="45"/>
      <c r="AR1023" s="15"/>
      <c r="AS1023" s="13"/>
      <c r="AT1023" s="15"/>
      <c r="AU1023" s="45"/>
      <c r="AV1023" s="15"/>
      <c r="AW1023" s="13"/>
      <c r="AY1023" s="45"/>
      <c r="AZ1023" s="35"/>
      <c r="BA1023" s="13"/>
      <c r="BB1023" s="15"/>
      <c r="BC1023" s="45"/>
      <c r="BD1023" s="35"/>
      <c r="BE1023" s="14"/>
      <c r="BF1023" s="41">
        <f t="shared" ref="BF1023:BG1023" si="3466">K1023+O1023+S1023+W1023+AA1023+AE1023+AI1023+AM1023+AQ1023+AU1023+AY1023+BC1023</f>
        <v>500</v>
      </c>
      <c r="BG1023" s="34">
        <f t="shared" si="3466"/>
        <v>0</v>
      </c>
      <c r="BH1023" s="35">
        <f t="shared" si="3451"/>
        <v>1350</v>
      </c>
      <c r="BK1023" s="2" t="b">
        <f>H1023='2019'!BH854</f>
        <v>1</v>
      </c>
    </row>
    <row r="1024" ht="15.75" customHeight="1" hidden="1" spans="1:63" x14ac:dyDescent="0.25">
      <c r="A1024" s="247">
        <v>113</v>
      </c>
      <c r="B1024" s="21"/>
      <c r="C1024" s="22" t="s">
        <v>53</v>
      </c>
      <c r="D1024" s="21"/>
      <c r="E1024" s="22"/>
      <c r="F1024" s="20"/>
      <c r="G1024" s="23"/>
      <c r="H1024" s="51">
        <f>SUM(H1016:H1023)</f>
        <v>13268.82</v>
      </c>
      <c r="I1024" s="53"/>
      <c r="J1024" s="53"/>
      <c r="K1024" s="51">
        <f t="shared" ref="K1024:L1024" si="3467">SUM(K1016:K1023)</f>
        <v>38.03</v>
      </c>
      <c r="L1024" s="68">
        <f t="shared" si="3467"/>
        <v>0</v>
      </c>
      <c r="M1024" s="53"/>
      <c r="N1024" s="53"/>
      <c r="O1024" s="51">
        <f t="shared" ref="O1024:P1024" si="3468">SUM(O1016:O1023)</f>
        <v>35.58</v>
      </c>
      <c r="P1024" s="51">
        <f t="shared" si="3468"/>
        <v>0</v>
      </c>
      <c r="Q1024" s="52"/>
      <c r="R1024" s="53"/>
      <c r="S1024" s="51">
        <f t="shared" ref="S1024:T1024" si="3469">SUM(S1016:S1023)</f>
        <v>38.03</v>
      </c>
      <c r="T1024" s="51">
        <f t="shared" si="3469"/>
        <v>0</v>
      </c>
      <c r="U1024" s="52"/>
      <c r="V1024" s="53"/>
      <c r="W1024" s="51">
        <f t="shared" ref="W1024:X1024" si="3470">SUM(W1016:W1023)</f>
        <v>36.81</v>
      </c>
      <c r="X1024" s="51">
        <f t="shared" si="3470"/>
        <v>0</v>
      </c>
      <c r="Y1024" s="52"/>
      <c r="Z1024" s="53"/>
      <c r="AA1024" s="51">
        <f t="shared" ref="AA1024:AB1024" si="3471">SUM(AA1016:AA1023)</f>
        <v>538.03</v>
      </c>
      <c r="AB1024" s="51">
        <f t="shared" si="3471"/>
        <v>0</v>
      </c>
      <c r="AC1024" s="52"/>
      <c r="AD1024" s="53"/>
      <c r="AE1024" s="51">
        <f t="shared" ref="AE1024:AF1024" si="3472">SUM(AE1016:AE1023)</f>
        <v>5514.81</v>
      </c>
      <c r="AF1024" s="51">
        <f t="shared" si="3472"/>
        <v>0</v>
      </c>
      <c r="AG1024" s="52"/>
      <c r="AH1024" s="53"/>
      <c r="AI1024" s="183">
        <f t="shared" ref="AI1024:AJ1024" si="3473">SUM(AI1016:AI1023)</f>
        <v>38.03</v>
      </c>
      <c r="AJ1024" s="51">
        <f t="shared" si="3473"/>
        <v>0</v>
      </c>
      <c r="AK1024" s="52"/>
      <c r="AL1024" s="53"/>
      <c r="AM1024" s="183">
        <f t="shared" ref="AM1024:AN1024" si="3474">SUM(AM1016:AM1023)</f>
        <v>38.03</v>
      </c>
      <c r="AN1024" s="51">
        <f t="shared" si="3474"/>
        <v>0</v>
      </c>
      <c r="AO1024" s="52"/>
      <c r="AP1024" s="53"/>
      <c r="AQ1024" s="183">
        <f t="shared" ref="AQ1024:AR1024" si="3475">SUM(AQ1016:AQ1023)</f>
        <v>3043.24</v>
      </c>
      <c r="AR1024" s="51">
        <f t="shared" si="3475"/>
        <v>0</v>
      </c>
      <c r="AS1024" s="52"/>
      <c r="AT1024" s="53"/>
      <c r="AU1024" s="183">
        <f t="shared" ref="AU1024:AV1024" si="3476">SUM(AU1016:AU1023)</f>
        <v>55.02</v>
      </c>
      <c r="AV1024" s="68">
        <f t="shared" si="3476"/>
        <v>0</v>
      </c>
      <c r="AW1024" s="52"/>
      <c r="AX1024" s="53"/>
      <c r="AY1024" s="183">
        <f t="shared" ref="AY1024:AZ1024" si="3477">SUM(AY1016:AY1023)</f>
        <v>53.24</v>
      </c>
      <c r="AZ1024" s="68">
        <f t="shared" si="3477"/>
        <v>0</v>
      </c>
      <c r="BA1024" s="52"/>
      <c r="BB1024" s="53"/>
      <c r="BC1024" s="183">
        <f t="shared" ref="BC1024:BD1024" si="3478">SUM(BC1016:BC1023)</f>
        <v>55.02</v>
      </c>
      <c r="BD1024" s="68">
        <f t="shared" si="3478"/>
        <v>0</v>
      </c>
      <c r="BE1024" s="69"/>
      <c r="BF1024" s="70">
        <f t="shared" ref="BF1024:BH1024" si="3479">SUM(BF1016:BF1023)</f>
        <v>9483.87</v>
      </c>
      <c r="BG1024" s="71">
        <f t="shared" si="3479"/>
        <v>0</v>
      </c>
      <c r="BH1024" s="72">
        <f t="shared" si="3479"/>
        <v>22752.69</v>
      </c>
      <c r="BI1024" s="34">
        <f>H1024+BF1024-BG1024</f>
        <v>22752.69</v>
      </c>
      <c r="BJ1024" s="34">
        <f>BH1024-BI1024</f>
        <v>0</v>
      </c>
      <c r="BK1024" s="2" t="b">
        <f>H1024='2019'!BH855</f>
        <v>0</v>
      </c>
    </row>
    <row r="1025" ht="15.75" customHeight="1" hidden="1" spans="1:63" x14ac:dyDescent="0.25">
      <c r="A1025" s="2">
        <v>114</v>
      </c>
      <c r="B1025" s="14"/>
      <c r="D1025" s="14" t="s">
        <v>379</v>
      </c>
      <c r="F1025" s="13"/>
      <c r="G1025" s="28"/>
      <c r="H1025" s="34">
        <f>'2019'!BH856</f>
        <v>8.88</v>
      </c>
      <c r="J1025" s="15"/>
      <c r="K1025" s="15"/>
      <c r="L1025" s="28"/>
      <c r="Q1025" s="13"/>
      <c r="R1025" s="15"/>
      <c r="S1025" s="15"/>
      <c r="T1025" s="28"/>
      <c r="Y1025" s="13"/>
      <c r="Z1025" s="15"/>
      <c r="AA1025" s="15"/>
      <c r="AB1025" s="28"/>
      <c r="AG1025" s="13"/>
      <c r="AH1025" s="15"/>
      <c r="AI1025" s="45"/>
      <c r="AJ1025" s="15"/>
      <c r="AK1025" s="13"/>
      <c r="AM1025" s="45"/>
      <c r="AN1025" s="15"/>
      <c r="AO1025" s="13"/>
      <c r="AQ1025" s="45">
        <v>1.6</v>
      </c>
      <c r="AR1025" s="15"/>
      <c r="AS1025" s="13"/>
      <c r="AU1025" s="45"/>
      <c r="AV1025" s="15"/>
      <c r="AW1025" s="13"/>
      <c r="AY1025" s="45"/>
      <c r="AZ1025" s="28"/>
      <c r="BA1025" s="13"/>
      <c r="BB1025" s="15"/>
      <c r="BC1025" s="45"/>
      <c r="BD1025" s="28"/>
      <c r="BE1025" s="14"/>
      <c r="BF1025" s="41">
        <f t="shared" ref="BF1025:BG1025" si="3480">K1025+O1025+S1025+W1025+AA1025+AE1025+AI1025+AM1025+AQ1025+AU1025+AY1025+BC1025</f>
        <v>1.6</v>
      </c>
      <c r="BG1025" s="34">
        <f t="shared" si="3480"/>
        <v>0</v>
      </c>
      <c r="BH1025" s="35">
        <f t="shared" ref="BH1025:BH1032" si="3481">H1025+BF1025-BG1025</f>
        <v>10.48</v>
      </c>
      <c r="BK1025" s="2" t="b">
        <f>H1025='2019'!BH856</f>
        <v>1</v>
      </c>
    </row>
    <row r="1026" ht="15.75" customHeight="1" hidden="1" spans="1:63" x14ac:dyDescent="0.25">
      <c r="A1026" s="2">
        <v>114</v>
      </c>
      <c r="B1026" s="14">
        <v>4.86</v>
      </c>
      <c r="C1026" s="2" t="s">
        <v>515</v>
      </c>
      <c r="D1026" s="14" t="s">
        <v>44</v>
      </c>
      <c r="E1026" s="2" t="s">
        <v>45</v>
      </c>
      <c r="F1026" s="41">
        <v>2.5</v>
      </c>
      <c r="G1026" s="35">
        <v>2.6</v>
      </c>
      <c r="H1026" s="34">
        <f>'2019'!BH857</f>
        <v>0</v>
      </c>
      <c r="I1026" s="13">
        <v>28</v>
      </c>
      <c r="J1026" s="15">
        <f>I1026-'2019'!BA857</f>
        <v>0</v>
      </c>
      <c r="K1026" s="34">
        <f>J1026*$F$8</f>
        <v>0</v>
      </c>
      <c r="L1026" s="28"/>
      <c r="M1026" s="2">
        <v>28</v>
      </c>
      <c r="N1026" s="15">
        <f>M1026-I1026</f>
        <v>0</v>
      </c>
      <c r="O1026" s="34">
        <f>N1026*$F$8</f>
        <v>0</v>
      </c>
      <c r="Q1026" s="13">
        <v>28</v>
      </c>
      <c r="R1026" s="15">
        <f>Q1026-M1026</f>
        <v>0</v>
      </c>
      <c r="S1026" s="34">
        <f>R1026*$F$8</f>
        <v>0</v>
      </c>
      <c r="T1026" s="28"/>
      <c r="U1026" s="15">
        <v>28</v>
      </c>
      <c r="V1026" s="15">
        <f>U1026-Q1026</f>
        <v>0</v>
      </c>
      <c r="W1026" s="34">
        <f>V1026*$F$8</f>
        <v>0</v>
      </c>
      <c r="Y1026" s="13">
        <v>29</v>
      </c>
      <c r="Z1026" s="15">
        <f t="shared" ref="Z1026:Z1027" si="3482">Y1026-U1026</f>
        <v>1</v>
      </c>
      <c r="AA1026" s="34">
        <f>Z1026*$F$8</f>
        <v>2.5</v>
      </c>
      <c r="AB1026" s="28"/>
      <c r="AC1026" s="15">
        <v>31</v>
      </c>
      <c r="AD1026" s="15">
        <f t="shared" ref="AD1026:AD1027" si="3483">AC1026-Y1026</f>
        <v>2</v>
      </c>
      <c r="AE1026" s="34">
        <f>AD1026*$F$8</f>
        <v>5</v>
      </c>
      <c r="AG1026" s="13">
        <v>65</v>
      </c>
      <c r="AH1026" s="15">
        <f t="shared" ref="AH1026:AH1027" si="3484">AG1026-AC1026</f>
        <v>34</v>
      </c>
      <c r="AI1026" s="45">
        <f>AH1026*$G$8</f>
        <v>88.4</v>
      </c>
      <c r="AJ1026" s="140">
        <v>500</v>
      </c>
      <c r="AK1026" s="13">
        <v>159</v>
      </c>
      <c r="AL1026" s="15">
        <f t="shared" ref="AL1026:AL1027" si="3485">AK1026-AG1026</f>
        <v>94</v>
      </c>
      <c r="AM1026" s="45">
        <f>AL1026*$G$8</f>
        <v>244.4</v>
      </c>
      <c r="AN1026" s="15"/>
      <c r="AO1026" s="13">
        <v>234</v>
      </c>
      <c r="AP1026" s="15">
        <f t="shared" ref="AP1026:AP1027" si="3486">AO1026-AK1026</f>
        <v>75</v>
      </c>
      <c r="AQ1026" s="45">
        <f>AP1026*$G$8</f>
        <v>195</v>
      </c>
      <c r="AR1026" s="39">
        <v>500</v>
      </c>
      <c r="AS1026" s="13">
        <v>255</v>
      </c>
      <c r="AT1026" s="15">
        <f t="shared" ref="AT1026:AT1027" si="3487">AS1026-AO1026</f>
        <v>21</v>
      </c>
      <c r="AU1026" s="45">
        <f>AT1026*$G$8</f>
        <v>54.6</v>
      </c>
      <c r="AV1026" s="15"/>
      <c r="AW1026" s="13">
        <v>263</v>
      </c>
      <c r="AX1026" s="2">
        <f t="shared" ref="AX1026:AX1027" si="3488">AW1026-AS1026</f>
        <v>8</v>
      </c>
      <c r="AY1026" s="45">
        <f>AX1026*$G$8</f>
        <v>20.8</v>
      </c>
      <c r="AZ1026" s="208"/>
      <c r="BA1026" s="13">
        <v>263</v>
      </c>
      <c r="BB1026" s="15">
        <f t="shared" ref="BB1026:BB1027" si="3489">BA1026-AW1026</f>
        <v>0</v>
      </c>
      <c r="BC1026" s="45">
        <f>BB1026*$G$8</f>
        <v>0</v>
      </c>
      <c r="BD1026" s="208"/>
      <c r="BE1026" s="40">
        <f t="shared" ref="BE1026:BG1026" si="3490">J1026+N1026+R1026+V1026+Z1026+AD1026+AH1026+AL1026+AP1026+AT1026+AX1026+BB1026</f>
        <v>235</v>
      </c>
      <c r="BF1026" s="41">
        <f t="shared" si="3490"/>
        <v>610.7</v>
      </c>
      <c r="BG1026" s="34">
        <f t="shared" si="3490"/>
        <v>1000</v>
      </c>
      <c r="BH1026" s="35">
        <f t="shared" si="3481"/>
        <v>-389.3</v>
      </c>
      <c r="BK1026" s="2" t="b">
        <f>H1026='2019'!BH857</f>
        <v>1</v>
      </c>
    </row>
    <row r="1027" ht="15.75" customHeight="1" hidden="1" spans="1:63" x14ac:dyDescent="0.25">
      <c r="A1027" s="2">
        <v>114</v>
      </c>
      <c r="B1027" s="14"/>
      <c r="C1027" s="2" t="s">
        <v>435</v>
      </c>
      <c r="D1027" s="14" t="s">
        <v>47</v>
      </c>
      <c r="E1027" s="2" t="s">
        <v>48</v>
      </c>
      <c r="F1027" s="13">
        <v>18.56</v>
      </c>
      <c r="G1027" s="35">
        <v>19.46</v>
      </c>
      <c r="H1027" s="34">
        <f>'2019'!BH858</f>
        <v>0</v>
      </c>
      <c r="I1027" s="75">
        <v>13</v>
      </c>
      <c r="J1027" s="15"/>
      <c r="K1027" s="15"/>
      <c r="L1027" s="28"/>
      <c r="M1027" s="75">
        <v>13</v>
      </c>
      <c r="Q1027" s="75">
        <v>13</v>
      </c>
      <c r="R1027" s="15"/>
      <c r="S1027" s="15"/>
      <c r="T1027" s="28"/>
      <c r="U1027" s="81">
        <v>0</v>
      </c>
      <c r="V1027" s="15"/>
      <c r="W1027" s="34">
        <f>V1027*$F$10</f>
        <v>0</v>
      </c>
      <c r="Y1027" s="13">
        <v>2</v>
      </c>
      <c r="Z1027" s="15">
        <f t="shared" si="3482"/>
        <v>2</v>
      </c>
      <c r="AA1027" s="34">
        <f>Z1027*$F$10</f>
        <v>37.12</v>
      </c>
      <c r="AB1027" s="28"/>
      <c r="AC1027" s="13">
        <v>14</v>
      </c>
      <c r="AD1027" s="15">
        <f t="shared" si="3483"/>
        <v>12</v>
      </c>
      <c r="AE1027" s="34">
        <f>AD1027*$F$10</f>
        <v>222.72</v>
      </c>
      <c r="AF1027" s="39">
        <v>500</v>
      </c>
      <c r="AG1027" s="13">
        <v>37</v>
      </c>
      <c r="AH1027" s="15">
        <f t="shared" si="3484"/>
        <v>23</v>
      </c>
      <c r="AI1027" s="45">
        <f>AH1027*$G$10</f>
        <v>447.58</v>
      </c>
      <c r="AJ1027" s="15"/>
      <c r="AK1027" s="13">
        <v>46</v>
      </c>
      <c r="AL1027" s="15">
        <f t="shared" si="3485"/>
        <v>9</v>
      </c>
      <c r="AM1027" s="45">
        <f>AL1027*$G$10</f>
        <v>175.14</v>
      </c>
      <c r="AN1027" s="15"/>
      <c r="AO1027" s="13">
        <v>47</v>
      </c>
      <c r="AP1027" s="15">
        <f t="shared" si="3486"/>
        <v>1</v>
      </c>
      <c r="AQ1027" s="45">
        <f>AP1027*$G$10</f>
        <v>19.46</v>
      </c>
      <c r="AR1027" s="39">
        <v>500</v>
      </c>
      <c r="AS1027" s="13">
        <v>47</v>
      </c>
      <c r="AT1027" s="15">
        <f t="shared" si="3487"/>
        <v>0</v>
      </c>
      <c r="AU1027" s="45">
        <f>AT1027*$G$10</f>
        <v>0</v>
      </c>
      <c r="AV1027" s="15"/>
      <c r="AW1027" s="13">
        <v>47</v>
      </c>
      <c r="AX1027" s="2">
        <f t="shared" si="3488"/>
        <v>0</v>
      </c>
      <c r="AY1027" s="45"/>
      <c r="AZ1027" s="208"/>
      <c r="BA1027" s="13">
        <v>47</v>
      </c>
      <c r="BB1027" s="15">
        <f t="shared" si="3489"/>
        <v>0</v>
      </c>
      <c r="BC1027" s="45"/>
      <c r="BD1027" s="208"/>
      <c r="BE1027" s="40">
        <f t="shared" ref="BE1027:BG1027" si="3491">J1027+N1027+R1027+V1027+Z1027+AD1027+AH1027+AL1027+AP1027+AT1027+AX1027+BB1027</f>
        <v>47</v>
      </c>
      <c r="BF1027" s="41">
        <f t="shared" si="3491"/>
        <v>902.02</v>
      </c>
      <c r="BG1027" s="34">
        <f t="shared" si="3491"/>
        <v>1000</v>
      </c>
      <c r="BH1027" s="35">
        <f t="shared" si="3481"/>
        <v>-97.98</v>
      </c>
      <c r="BK1027" s="2" t="b">
        <f>H1027='2019'!BH858</f>
        <v>1</v>
      </c>
    </row>
    <row r="1028" ht="15.75" customHeight="1" hidden="1" spans="1:63" x14ac:dyDescent="0.25">
      <c r="A1028" s="2">
        <v>114</v>
      </c>
      <c r="B1028" s="14"/>
      <c r="C1028" s="2" t="s">
        <v>208</v>
      </c>
      <c r="D1028" s="14" t="s">
        <v>47</v>
      </c>
      <c r="E1028" s="2" t="s">
        <v>49</v>
      </c>
      <c r="F1028" s="41">
        <v>500</v>
      </c>
      <c r="G1028" s="28"/>
      <c r="H1028" s="34">
        <f>'2019'!BH859</f>
        <v>0</v>
      </c>
      <c r="I1028" s="15"/>
      <c r="J1028" s="15"/>
      <c r="K1028" s="15"/>
      <c r="L1028" s="28"/>
      <c r="Q1028" s="13"/>
      <c r="R1028" s="15"/>
      <c r="S1028" s="15"/>
      <c r="T1028" s="28"/>
      <c r="Y1028" s="13"/>
      <c r="Z1028" s="15"/>
      <c r="AA1028" s="15"/>
      <c r="AB1028" s="28"/>
      <c r="AG1028" s="13"/>
      <c r="AH1028" s="15"/>
      <c r="AI1028" s="15"/>
      <c r="AJ1028" s="15"/>
      <c r="AK1028" s="13"/>
      <c r="AL1028" s="15"/>
      <c r="AM1028" s="15"/>
      <c r="AN1028" s="15"/>
      <c r="AO1028" s="13"/>
      <c r="AP1028" s="15"/>
      <c r="AQ1028" s="15"/>
      <c r="AR1028" s="15"/>
      <c r="AS1028" s="13"/>
      <c r="AT1028" s="15"/>
      <c r="AU1028" s="15"/>
      <c r="AV1028" s="15"/>
      <c r="AW1028" s="13"/>
      <c r="AY1028" s="45"/>
      <c r="AZ1028" s="28"/>
      <c r="BA1028" s="13"/>
      <c r="BB1028" s="15"/>
      <c r="BC1028" s="45"/>
      <c r="BD1028" s="28"/>
      <c r="BE1028" s="14"/>
      <c r="BF1028" s="41">
        <f t="shared" ref="BF1028:BG1028" si="3492">K1028+O1028+S1028+W1028+AA1028+AE1028+AI1028+AM1028+AQ1028+AU1028+AY1028+BC1028</f>
        <v>0</v>
      </c>
      <c r="BG1028" s="34">
        <f t="shared" si="3492"/>
        <v>0</v>
      </c>
      <c r="BH1028" s="35">
        <f t="shared" si="3481"/>
        <v>0</v>
      </c>
      <c r="BK1028" s="2" t="b">
        <f>H1028='2019'!BH859</f>
        <v>1</v>
      </c>
    </row>
    <row r="1029" ht="15.75" customHeight="1" hidden="1" spans="1:63" x14ac:dyDescent="0.25">
      <c r="A1029" s="2">
        <v>114</v>
      </c>
      <c r="B1029" s="14"/>
      <c r="D1029" s="14" t="s">
        <v>50</v>
      </c>
      <c r="E1029" s="2" t="s">
        <v>49</v>
      </c>
      <c r="F1029" s="41">
        <v>1100</v>
      </c>
      <c r="G1029" s="28"/>
      <c r="H1029" s="182">
        <f>'2019'!BH860+0.0032</f>
        <v>0</v>
      </c>
      <c r="I1029" s="15"/>
      <c r="J1029" s="15"/>
      <c r="K1029" s="15"/>
      <c r="L1029" s="28"/>
      <c r="Q1029" s="13"/>
      <c r="R1029" s="15"/>
      <c r="S1029" s="15"/>
      <c r="T1029" s="28"/>
      <c r="Y1029" s="13"/>
      <c r="Z1029" s="15"/>
      <c r="AA1029" s="15"/>
      <c r="AB1029" s="28"/>
      <c r="AE1029" s="34">
        <f>B1026*$F$12</f>
        <v>5346</v>
      </c>
      <c r="AG1029" s="13"/>
      <c r="AH1029" s="15"/>
      <c r="AI1029" s="15"/>
      <c r="AJ1029" s="15"/>
      <c r="AK1029" s="13"/>
      <c r="AL1029" s="15"/>
      <c r="AM1029" s="15"/>
      <c r="AN1029" s="15"/>
      <c r="AO1029" s="13"/>
      <c r="AP1029" s="15"/>
      <c r="AQ1029" s="15"/>
      <c r="AR1029" s="39">
        <v>5500</v>
      </c>
      <c r="AS1029" s="13"/>
      <c r="AT1029" s="15"/>
      <c r="AU1029" s="15"/>
      <c r="AV1029" s="15"/>
      <c r="AW1029" s="13"/>
      <c r="AY1029" s="45"/>
      <c r="AZ1029" s="28"/>
      <c r="BA1029" s="13"/>
      <c r="BB1029" s="15"/>
      <c r="BC1029" s="45"/>
      <c r="BD1029" s="28"/>
      <c r="BE1029" s="14"/>
      <c r="BF1029" s="41">
        <f t="shared" ref="BF1029:BG1029" si="3493">K1029+O1029+S1029+W1029+AA1029+AE1029+AI1029+AM1029+AQ1029+AU1029+AY1029+BC1029</f>
        <v>5346</v>
      </c>
      <c r="BG1029" s="34">
        <f t="shared" si="3493"/>
        <v>5500</v>
      </c>
      <c r="BH1029" s="35">
        <f t="shared" si="3481"/>
        <v>-154</v>
      </c>
      <c r="BK1029" s="2" t="b">
        <f>H1029='2019'!BH860</f>
        <v>0</v>
      </c>
    </row>
    <row r="1030" ht="15.75" customHeight="1" hidden="1" spans="1:63" x14ac:dyDescent="0.25">
      <c r="A1030" s="2">
        <v>114</v>
      </c>
      <c r="B1030" s="14"/>
      <c r="C1030" s="2" t="s">
        <v>516</v>
      </c>
      <c r="D1030" s="14" t="s">
        <v>51</v>
      </c>
      <c r="E1030" s="2" t="s">
        <v>39</v>
      </c>
      <c r="F1030" s="41">
        <v>500</v>
      </c>
      <c r="G1030" s="28"/>
      <c r="H1030" s="34">
        <f>'2019'!BH861</f>
        <v>0</v>
      </c>
      <c r="I1030" s="15"/>
      <c r="J1030" s="15"/>
      <c r="K1030" s="15"/>
      <c r="L1030" s="28"/>
      <c r="Q1030" s="13"/>
      <c r="R1030" s="15"/>
      <c r="S1030" s="15"/>
      <c r="T1030" s="28"/>
      <c r="Y1030" s="13"/>
      <c r="Z1030" s="15"/>
      <c r="AA1030" s="15"/>
      <c r="AB1030" s="28"/>
      <c r="AE1030" s="34"/>
      <c r="AG1030" s="13"/>
      <c r="AH1030" s="15"/>
      <c r="AI1030" s="15"/>
      <c r="AJ1030" s="15"/>
      <c r="AK1030" s="13"/>
      <c r="AL1030" s="15"/>
      <c r="AM1030" s="15"/>
      <c r="AN1030" s="15"/>
      <c r="AO1030" s="13"/>
      <c r="AP1030" s="15"/>
      <c r="AQ1030" s="34">
        <f>$F$13</f>
        <v>500</v>
      </c>
      <c r="AR1030" s="15"/>
      <c r="AS1030" s="13"/>
      <c r="AT1030" s="15"/>
      <c r="AU1030" s="34"/>
      <c r="AV1030" s="15"/>
      <c r="AW1030" s="13"/>
      <c r="AY1030" s="45"/>
      <c r="AZ1030" s="28"/>
      <c r="BA1030" s="13"/>
      <c r="BB1030" s="15"/>
      <c r="BC1030" s="45"/>
      <c r="BD1030" s="28"/>
      <c r="BE1030" s="14"/>
      <c r="BF1030" s="41">
        <f t="shared" ref="BF1030:BG1030" si="3494">K1030+O1030+S1030+W1030+AA1030+AE1030+AI1030+AM1030+AQ1030+AU1030+AY1030+BC1030</f>
        <v>500</v>
      </c>
      <c r="BG1030" s="34">
        <f t="shared" si="3494"/>
        <v>0</v>
      </c>
      <c r="BH1030" s="35">
        <f t="shared" si="3481"/>
        <v>500</v>
      </c>
      <c r="BK1030" s="2" t="b">
        <f>H1030='2019'!BH861</f>
        <v>1</v>
      </c>
    </row>
    <row r="1031" ht="15.75" customHeight="1" hidden="1" spans="1:60" x14ac:dyDescent="0.25">
      <c r="A1031" s="2">
        <v>114</v>
      </c>
      <c r="B1031" s="14"/>
      <c r="D1031" s="14" t="s">
        <v>51</v>
      </c>
      <c r="E1031" s="2" t="s">
        <v>49</v>
      </c>
      <c r="F1031" s="41">
        <v>500</v>
      </c>
      <c r="G1031" s="28"/>
      <c r="H1031" s="34"/>
      <c r="I1031" s="15"/>
      <c r="J1031" s="15"/>
      <c r="K1031" s="15"/>
      <c r="L1031" s="28"/>
      <c r="Q1031" s="13"/>
      <c r="R1031" s="15"/>
      <c r="S1031" s="15"/>
      <c r="T1031" s="28"/>
      <c r="Y1031" s="13"/>
      <c r="Z1031" s="15"/>
      <c r="AA1031" s="15"/>
      <c r="AB1031" s="28"/>
      <c r="AE1031" s="34"/>
      <c r="AG1031" s="13"/>
      <c r="AH1031" s="15"/>
      <c r="AI1031" s="15"/>
      <c r="AJ1031" s="15"/>
      <c r="AK1031" s="13"/>
      <c r="AL1031" s="15"/>
      <c r="AM1031" s="15"/>
      <c r="AN1031" s="15"/>
      <c r="AO1031" s="13"/>
      <c r="AP1031" s="15"/>
      <c r="AQ1031" s="34">
        <f>B1026*$F$14</f>
        <v>2430</v>
      </c>
      <c r="AR1031" s="15"/>
      <c r="AS1031" s="13"/>
      <c r="AT1031" s="15"/>
      <c r="AU1031" s="34"/>
      <c r="AV1031" s="15"/>
      <c r="AW1031" s="13"/>
      <c r="AY1031" s="45"/>
      <c r="AZ1031" s="38">
        <v>2300</v>
      </c>
      <c r="BA1031" s="13"/>
      <c r="BB1031" s="15"/>
      <c r="BC1031" s="45"/>
      <c r="BD1031" s="28"/>
      <c r="BE1031" s="14"/>
      <c r="BF1031" s="41">
        <f t="shared" ref="BF1031:BG1031" si="3495">K1031+O1031+S1031+W1031+AA1031+AE1031+AI1031+AM1031+AQ1031+AU1031+AY1031+BC1031</f>
        <v>2430</v>
      </c>
      <c r="BG1031" s="34">
        <f t="shared" si="3495"/>
        <v>2300</v>
      </c>
      <c r="BH1031" s="35">
        <f t="shared" si="3481"/>
        <v>130</v>
      </c>
    </row>
    <row r="1032" ht="15.75" customHeight="1" hidden="1" spans="1:63" x14ac:dyDescent="0.25">
      <c r="A1032" s="2">
        <v>114</v>
      </c>
      <c r="B1032" s="14"/>
      <c r="D1032" s="14" t="s">
        <v>52</v>
      </c>
      <c r="E1032" s="2" t="s">
        <v>39</v>
      </c>
      <c r="F1032" s="41">
        <v>500</v>
      </c>
      <c r="G1032" s="28"/>
      <c r="H1032" s="34">
        <f>'2019'!BH862</f>
        <v>0</v>
      </c>
      <c r="I1032" s="15"/>
      <c r="J1032" s="15"/>
      <c r="K1032" s="15"/>
      <c r="L1032" s="28"/>
      <c r="Q1032" s="13"/>
      <c r="R1032" s="15"/>
      <c r="S1032" s="15"/>
      <c r="T1032" s="28"/>
      <c r="Y1032" s="13"/>
      <c r="Z1032" s="15"/>
      <c r="AA1032" s="77"/>
      <c r="AB1032" s="28"/>
      <c r="AG1032" s="13"/>
      <c r="AH1032" s="15"/>
      <c r="AI1032" s="15"/>
      <c r="AJ1032" s="15"/>
      <c r="AK1032" s="13"/>
      <c r="AL1032" s="15"/>
      <c r="AM1032" s="15"/>
      <c r="AN1032" s="15"/>
      <c r="AO1032" s="13"/>
      <c r="AP1032" s="15"/>
      <c r="AQ1032" s="15"/>
      <c r="AR1032" s="15"/>
      <c r="AS1032" s="13"/>
      <c r="AT1032" s="15"/>
      <c r="AU1032" s="15"/>
      <c r="AV1032" s="15"/>
      <c r="AW1032" s="13"/>
      <c r="AY1032" s="45"/>
      <c r="AZ1032" s="35"/>
      <c r="BA1032" s="13"/>
      <c r="BB1032" s="15"/>
      <c r="BC1032" s="45"/>
      <c r="BD1032" s="35"/>
      <c r="BE1032" s="14"/>
      <c r="BF1032" s="41">
        <f t="shared" ref="BF1032:BG1032" si="3496">K1032+O1032+S1032+W1032+AA1032+AE1032+AI1032+AM1032+AQ1032+AU1032+AY1032+BC1032</f>
        <v>0</v>
      </c>
      <c r="BG1032" s="34">
        <f t="shared" si="3496"/>
        <v>0</v>
      </c>
      <c r="BH1032" s="35">
        <f t="shared" si="3481"/>
        <v>0</v>
      </c>
      <c r="BK1032" s="2" t="b">
        <f>H1032='2019'!BH862</f>
        <v>1</v>
      </c>
    </row>
    <row r="1033" ht="15.75" customHeight="1" hidden="1" spans="1:63" x14ac:dyDescent="0.25">
      <c r="A1033" s="247">
        <v>114</v>
      </c>
      <c r="B1033" s="21"/>
      <c r="C1033" s="22" t="s">
        <v>53</v>
      </c>
      <c r="D1033" s="21"/>
      <c r="E1033" s="22"/>
      <c r="F1033" s="20"/>
      <c r="G1033" s="23"/>
      <c r="H1033" s="51">
        <f>SUM(H1025:H1032)</f>
        <v>8.88</v>
      </c>
      <c r="I1033" s="53"/>
      <c r="J1033" s="53"/>
      <c r="K1033" s="51">
        <f t="shared" ref="K1033:L1033" si="3497">SUM(K1025:K1032)</f>
        <v>0</v>
      </c>
      <c r="L1033" s="68">
        <f t="shared" si="3497"/>
        <v>0</v>
      </c>
      <c r="M1033" s="53"/>
      <c r="N1033" s="53"/>
      <c r="O1033" s="51">
        <f t="shared" ref="O1033:P1033" si="3498">SUM(O1025:O1032)</f>
        <v>0</v>
      </c>
      <c r="P1033" s="51">
        <f t="shared" si="3498"/>
        <v>0</v>
      </c>
      <c r="Q1033" s="52"/>
      <c r="R1033" s="53"/>
      <c r="S1033" s="51">
        <f t="shared" ref="S1033:T1033" si="3499">SUM(S1025:S1032)</f>
        <v>0</v>
      </c>
      <c r="T1033" s="51">
        <f t="shared" si="3499"/>
        <v>0</v>
      </c>
      <c r="U1033" s="52"/>
      <c r="V1033" s="53"/>
      <c r="W1033" s="51">
        <f t="shared" ref="W1033:X1033" si="3500">SUM(W1025:W1032)</f>
        <v>0</v>
      </c>
      <c r="X1033" s="51">
        <f t="shared" si="3500"/>
        <v>0</v>
      </c>
      <c r="Y1033" s="52"/>
      <c r="Z1033" s="53"/>
      <c r="AA1033" s="51">
        <f t="shared" ref="AA1033:AB1033" si="3501">SUM(AA1025:AA1032)</f>
        <v>39.62</v>
      </c>
      <c r="AB1033" s="51">
        <f t="shared" si="3501"/>
        <v>0</v>
      </c>
      <c r="AC1033" s="52"/>
      <c r="AD1033" s="53"/>
      <c r="AE1033" s="51">
        <f t="shared" ref="AE1033:AF1033" si="3502">SUM(AE1025:AE1032)</f>
        <v>5573.72</v>
      </c>
      <c r="AF1033" s="51">
        <f t="shared" si="3502"/>
        <v>500</v>
      </c>
      <c r="AG1033" s="52"/>
      <c r="AH1033" s="53"/>
      <c r="AI1033" s="183">
        <f t="shared" ref="AI1033:AJ1033" si="3503">SUM(AI1025:AI1032)</f>
        <v>535.98</v>
      </c>
      <c r="AJ1033" s="51">
        <f t="shared" si="3503"/>
        <v>500</v>
      </c>
      <c r="AK1033" s="52"/>
      <c r="AL1033" s="53"/>
      <c r="AM1033" s="51">
        <f t="shared" ref="AM1033:AN1033" si="3504">SUM(AM1025:AM1032)</f>
        <v>419.54</v>
      </c>
      <c r="AN1033" s="51">
        <f t="shared" si="3504"/>
        <v>0</v>
      </c>
      <c r="AO1033" s="52"/>
      <c r="AP1033" s="53"/>
      <c r="AQ1033" s="51">
        <f t="shared" ref="AQ1033:AR1033" si="3505">SUM(AQ1025:AQ1032)</f>
        <v>3146.06</v>
      </c>
      <c r="AR1033" s="51">
        <f t="shared" si="3505"/>
        <v>6500</v>
      </c>
      <c r="AS1033" s="52"/>
      <c r="AT1033" s="53"/>
      <c r="AU1033" s="51">
        <f t="shared" ref="AU1033:AV1033" si="3506">SUM(AU1025:AU1032)</f>
        <v>54.6</v>
      </c>
      <c r="AV1033" s="68">
        <f t="shared" si="3506"/>
        <v>0</v>
      </c>
      <c r="AW1033" s="52"/>
      <c r="AX1033" s="53"/>
      <c r="AY1033" s="183">
        <f t="shared" ref="AY1033:AZ1033" si="3507">SUM(AY1025:AY1032)</f>
        <v>20.8</v>
      </c>
      <c r="AZ1033" s="68">
        <f t="shared" si="3507"/>
        <v>2300</v>
      </c>
      <c r="BA1033" s="52"/>
      <c r="BB1033" s="53"/>
      <c r="BC1033" s="183">
        <f t="shared" ref="BC1033:BD1033" si="3508">SUM(BC1025:BC1032)</f>
        <v>0</v>
      </c>
      <c r="BD1033" s="68">
        <f t="shared" si="3508"/>
        <v>0</v>
      </c>
      <c r="BE1033" s="69"/>
      <c r="BF1033" s="70">
        <f t="shared" ref="BF1033:BH1033" si="3509">SUM(BF1025:BF1032)</f>
        <v>9790.32</v>
      </c>
      <c r="BG1033" s="71">
        <f t="shared" si="3509"/>
        <v>9800</v>
      </c>
      <c r="BH1033" s="72">
        <f t="shared" si="3509"/>
        <v>-0.8</v>
      </c>
      <c r="BI1033" s="34">
        <f>H1033+BF1033-BG1033</f>
        <v>-0.8</v>
      </c>
      <c r="BJ1033" s="34">
        <f>BH1033-BI1033</f>
        <v>0</v>
      </c>
      <c r="BK1033" s="2" t="b">
        <f>H1033='2019'!BH863</f>
        <v>0</v>
      </c>
    </row>
    <row r="1034" ht="15.75" customHeight="1" hidden="1" spans="25:40" x14ac:dyDescent="0.25">
      <c r="Y1034" s="15"/>
      <c r="Z1034" s="15"/>
      <c r="AN1034" s="15"/>
    </row>
    <row r="1035" ht="15.75" customHeight="1" hidden="1" spans="2:63" x14ac:dyDescent="0.25">
      <c r="B1035" s="106">
        <f>SUM(B18,B27,B36,B45,B54,B63,B72,B81,B90,B99,B108,B117,B126,B135,B144,B153,B162,B171,B180,B189,B198,B207,B216,B225,B234,B243,B252,B261,B270,B279,B288,B297,B306,B315,B324,B333,B342,B351,B360,B369,B378,B387,B396,B405,B414,B423,B432,B441,B450,B459,B468,B477,B486,B495,B504,B513,B522,B531,B540,B549,B558,B567,B576,B585,B594,B603,B612,B621,B630,B639,B648,B657,B666,B675,B684,B693,B702,B711,B720,B729,B738,B747,B756,B765,B783,B774,B792,B801,B810,B819,B828,B837,B846,B855,B864,B873,B882,B891,B900,B909,B918,B927,B936,B945,B954,B963,B972,B981,B990,B999,B1008,B1017,B1026)</f>
        <v>501.56</v>
      </c>
      <c r="C1035" s="2" t="s">
        <v>350</v>
      </c>
      <c r="H1035" s="107">
        <f>SUM(H16,H25,H34,H43,H52,H61,H70,H79,H88,H97,H106,H115,H124,H133,H142,H151,H160,H169,H178,H187,H196,H205,H214,H223,H232,H241,H250,H259,H268,H277,H286,H295,H304,H313,H322,H331,H340,H349,H358,H367,H376,H385,H394,H403,H412,H421,H430,H439,H448,H457,H466,H475,H484,H493,H502,H511,H520,H529,H538,H547,H556,H565,H574,H583,H592,H601,H610,H619,H628,H637,H646,H655,H664,H673,H682,H691,H700,H709,H718,H727,H736,H745,H754,H763,H772,H781,H790,H799,H808,H817,H826,H835,H844,H853,H862,H871,H880,H889,H898,H907,H916,H925,H934,H943,H952,H961,H970,H979,H988,H997,H1006,H1015,H1024,H1033)</f>
        <v>227727.57</v>
      </c>
      <c r="K1035" s="107">
        <f t="shared" ref="K1035:L1035" si="3510">SUM(K16,K25,K34,K43,K52,K61,K70,K79,K88,K97,K106,K115,K124,K133,K142,K151,K160,K169,K178,K187,K196,K205,K214,K223,K232,K241,K250,K259,K268,K277,K286,K295,K304,K313,K322,K331,K340,K349,K358,K367,K376,K385,K394,K403,K412,K421,K430,K439,K448,K457,K466,K475,K484,K493,K502,K511,K520,K529,K538,K547,K556,K565,K574,K583,K592,K601,K610,K619,K628,K637,K646,K655,K664,K673,K682,K691,K700,K709,K718,K727,K736,K745,K754,K763,K772,K781,K790,K799,K808,K817,K826,K835,K844,K853,K862,K871,K880,K889,K898,K907,K916,K925,K934,K943,K952,K961,K970,K979,K988,K997,K1006,K1015,K1024,K1033)</f>
        <v>19682.15</v>
      </c>
      <c r="L1035" s="107">
        <f t="shared" si="3510"/>
        <v>16547.5</v>
      </c>
      <c r="O1035" s="107">
        <f t="shared" ref="O1035:P1035" si="3511">SUM(O16,O25,O34,O43,O52,O61,O70,O79,O88,O97,O106,O115,O124,O133,O142,O151,O160,O169,O178,O187,O196,O205,O214,O223,O232,O241,O250,O259,O268,O277,O286,O295,O304,O313,O322,O331,O340,O349,O358,O367,O376,O385,O394,O403,O412,O421,O430,O439,O448,O457,O466,O475,O484,O493,O502,O511,O520,O529,O538,O547,O556,O565,O574,O583,O592,O601,O610,O619,O628,O637,O646,O655,O664,O673,O682,O691,O700,O709,O718,O727,O736,O745,O754,O763,O772,O781,O790,O799,O808,O817,O826,O835,O844,O853,O862,O871,O880,O889,O898,O907,O916,O925,O934,O943,O952,O961,O970,O979,O988,O997,O1006,O1015,O1024,O1033)</f>
        <v>20470.88</v>
      </c>
      <c r="P1035" s="107">
        <f t="shared" si="3511"/>
        <v>21192.36</v>
      </c>
      <c r="S1035" s="107">
        <f t="shared" ref="S1035:T1035" si="3512">SUM(S16,S25,S34,S43,S52,S61,S70,S79,S88,S97,S106,S115,S124,S133,S142,S151,S160,S169,S178,S187,S196,S205,S214,S223,S232,S241,S250,S259,S268,S277,S286,S295,S304,S313,S322,S331,S340,S349,S358,S367,S376,S385,S394,S403,S412,S421,S430,S439,S448,S457,S466,S475,S484,S493,S502,S511,S520,S529,S538,S547,S556,S565,S574,S583,S592,S601,S610,S619,S628,S637,S646,S655,S664,S673,S682,S691,S700,S709,S718,S727,S736,S745,S754,S763,S772,S781,S790,S799,S808,S817,S826,S835,S844,S853,S862,S871,S880,S889,S898,S907,S916,S925,S934,S943,S952,S961,S970,S979,S988,S997,S1006,S1015,S1024,S1033)</f>
        <v>18861.79</v>
      </c>
      <c r="T1035" s="107">
        <f t="shared" si="3512"/>
        <v>29780.72</v>
      </c>
      <c r="W1035" s="107">
        <f t="shared" ref="W1035:X1035" si="3513">SUM(W16,W25,W34,W43,W52,W61,W70,W79,W88,W97,W106,W115,W124,W133,W142,W151,W160,W169,W178,W187,W196,W205,W214,W223,W232,W241,W250,W259,W268,W277,W286,W295,W304,W313,W322,W331,W340,W349,W358,W367,W376,W385,W394,W403,W412,W421,W430,W439,W448,W457,W466,W475,W484,W493,W502,W511,W520,W529,W538,W547,W556,W565,W574,W583,W592,W601,W610,W619,W628,W637,W646,W655,W664,W673,W682,W691,W700,W709,W718,W727,W736,W745,W754,W763,W772,W781,W790,W799,W808,W817,W826,W835,W844,W853,W862,W871,W880,W889,W898,W907,W916,W925,W934,W943,W952,W961,W970,W979,W988,W997,W1006,W1015,W1024,W1033)</f>
        <v>16708.76</v>
      </c>
      <c r="X1035" s="107">
        <f t="shared" si="3513"/>
        <v>28985.3</v>
      </c>
      <c r="AA1035" s="107">
        <f t="shared" ref="AA1035:AB1035" si="3514">SUM(AA16,AA25,AA34,AA43,AA52,AA61,AA70,AA79,AA88,AA97,AA106,AA115,AA124,AA133,AA142,AA151,AA160,AA169,AA178,AA187,AA196,AA205,AA214,AA223,AA232,AA241,AA250,AA259,AA268,AA277,AA286,AA295,AA304,AA313,AA322,AA331,AA340,AA349,AA358,AA367,AA376,AA385,AA394,AA403,AA412,AA421,AA430,AA439,AA448,AA457,AA466,AA475,AA484,AA493,AA502,AA511,AA520,AA529,AA538,AA547,AA556,AA565,AA574,AA583,AA592,AA601,AA610,AA619,AA628,AA637,AA646,AA655,AA664,AA673,AA682,AA691,AA700,AA709,AA718,AA727,AA736,AA745,AA754,AA763,AA772,AA781,AA790,AA799,AA808,AA817,AA826,AA835,AA844,AA853,AA862,AA871,AA880,AA889,AA898,AA907,AA916,AA925,AA934,AA943,AA952,AA961,AA970,AA979,AA988,AA997,AA1006,AA1015,AA1024,AA1033)</f>
        <v>63257.076</v>
      </c>
      <c r="AB1035" s="107">
        <f t="shared" si="3514"/>
        <v>30953.91</v>
      </c>
      <c r="AE1035" s="107">
        <f t="shared" ref="AE1035:AF1035" si="3515">SUM(AE16,AE25,AE34,AE43,AE52,AE61,AE70,AE79,AE88,AE97,AE106,AE115,AE124,AE133,AE142,AE151,AE160,AE169,AE178,AE187,AE196,AE205,AE214,AE223,AE232,AE241,AE250,AE259,AE268,AE277,AE286,AE295,AE304,AE313,AE322,AE331,AE340,AE349,AE358,AE367,AE376,AE385,AE394,AE403,AE412,AE421,AE430,AE439,AE448,AE457,AE466,AE475,AE484,AE493,AE502,AE511,AE520,AE529,AE538,AE547,AE556,AE565,AE574,AE583,AE592,AE601,AE610,AE619,AE628,AE637,AE646,AE655,AE664,AE673,AE682,AE691,AE700,AE709,AE718,AE727,AE736,AE745,AE754,AE763,AE772,AE781,AE790,AE799,AE808,AE817,AE826,AE835,AE844,AE853,AE862,AE871,AE880,AE889,AE898,AE907,AE916,AE925,AE934,AE943,AE952,AE961,AE970,AE979,AE988,AE997,AE1006,AE1015,AE1024,AE1033)</f>
        <v>580274.652</v>
      </c>
      <c r="AF1035" s="107">
        <f t="shared" si="3515"/>
        <v>251198.46</v>
      </c>
      <c r="AI1035" s="107">
        <f t="shared" ref="AI1035:AJ1035" si="3516">SUM(AI16,AI25,AI34,AI43,AI52,AI61,AI70,AI79,AI88,AI97,AI106,AI115,AI124,AI133,AI142,AI151,AI160,AI169,AI178,AI187,AI196,AI205,AI214,AI223,AI232,AI241,AI250,AI259,AI268,AI277,AI286,AI295,AI304,AI313,AI322,AI331,AI340,AI349,AI358,AI367,AI376,AI385,AI394,AI403,AI412,AI421,AI430,AI439,AI448,AI457,AI466,AI475,AI484,AI493,AI502,AI511,AI520,AI529,AI538,AI547,AI556,AI565,AI574,AI583,AI592,AI601,AI610,AI619,AI628,AI637,AI646,AI655,AI664,AI673,AI682,AI691,AI700,AI709,AI718,AI727,AI736,AI745,AI754,AI763,AI772,AI781,AI790,AI799,AI808,AI817,AI826,AI835,AI844,AI853,AI862,AI871,AI880,AI889,AI898,AI907,AI916,AI925,AI934,AI943,AI952,AI961,AI970,AI979,AI988,AI997,AI1006,AI1015,AI1024,AI1033)</f>
        <v>25913.212</v>
      </c>
      <c r="AJ1035" s="107">
        <f t="shared" si="3516"/>
        <v>150975.19</v>
      </c>
      <c r="AM1035" s="107">
        <f t="shared" ref="AM1035:AN1035" si="3517">SUM(AM16,AM25,AM34,AM43,AM52,AM61,AM70,AM79,AM88,AM97,AM106,AM115,AM124,AM133,AM142,AM151,AM160,AM169,AM178,AM187,AM196,AM205,AM214,AM223,AM232,AM241,AM250,AM259,AM268,AM277,AM286,AM295,AM304,AM313,AM322,AM331,AM340,AM349,AM358,AM367,AM376,AM385,AM394,AM403,AM412,AM421,AM430,AM439,AM448,AM457,AM466,AM475,AM484,AM493,AM502,AM511,AM520,AM529,AM538,AM547,AM556,AM565,AM574,AM583,AM592,AM601,AM610,AM619,AM628,AM637,AM646,AM655,AM664,AM673,AM682,AM691,AM700,AM709,AM718,AM727,AM736,AM745,AM754,AM763,AM772,AM781,AM790,AM799,AM808,AM817,AM826,AM835,AM844,AM853,AM862,AM871,AM880,AM889,AM898,AM907,AM916,AM925,AM934,AM943,AM952,AM961,AM970,AM979,AM988,AM997,AM1006,AM1015,AM1024,AM1033)</f>
        <v>24949.25</v>
      </c>
      <c r="AN1035" s="107">
        <f t="shared" si="3517"/>
        <v>98917.15</v>
      </c>
      <c r="AQ1035" s="107">
        <f t="shared" ref="AQ1035:AR1035" si="3518">SUM(AQ16,AQ25,AQ34,AQ43,AQ52,AQ61,AQ70,AQ79,AQ88,AQ97,AQ106,AQ115,AQ124,AQ133,AQ142,AQ151,AQ160,AQ169,AQ178,AQ187,AQ196,AQ205,AQ214,AQ223,AQ232,AQ241,AQ250,AQ259,AQ268,AQ277,AQ286,AQ295,AQ304,AQ313,AQ322,AQ331,AQ340,AQ349,AQ358,AQ367,AQ376,AQ385,AQ394,AQ403,AQ412,AQ421,AQ430,AQ439,AQ448,AQ457,AQ466,AQ475,AQ484,AQ493,AQ502,AQ511,AQ520,AQ529,AQ538,AQ547,AQ556,AQ565,AQ574,AQ583,AQ592,AQ601,AQ610,AQ619,AQ628,AQ637,AQ646,AQ655,AQ664,AQ673,AQ682,AQ691,AQ700,AQ709,AQ718,AQ727,AQ736,AQ745,AQ754,AQ763,AQ772,AQ781,AQ790,AQ799,AQ808,AQ817,AQ826,AQ835,AQ844,AQ853,AQ862,AQ871,AQ880,AQ889,AQ898,AQ907,AQ916,AQ925,AQ934,AQ943,AQ952,AQ961,AQ970,AQ979,AQ988,AQ997,AQ1006,AQ1015,AQ1024,AQ1033)</f>
        <v>328011.64</v>
      </c>
      <c r="AR1035" s="107">
        <f t="shared" si="3518"/>
        <v>86814.99</v>
      </c>
      <c r="AU1035" s="107">
        <f t="shared" ref="AU1035:AV1035" si="3519">SUM(AU16,AU25,AU34,AU43,AU52,AU61,AU70,AU79,AU88,AU97,AU106,AU115,AU124,AU133,AU142,AU151,AU160,AU169,AU178,AU187,AU196,AU205,AU214,AU223,AU232,AU241,AU250,AU259,AU268,AU277,AU286,AU295,AU304,AU313,AU322,AU331,AU340,AU349,AU358,AU367,AU376,AU385,AU394,AU403,AU412,AU421,AU430,AU439,AU448,AU457,AU466,AU475,AU484,AU493,AU502,AU511,AU520,AU529,AU538,AU547,AU556,AU565,AU574,AU583,AU592,AU601,AU610,AU619,AU628,AU637,AU646,AU655,AU664,AU673,AU682,AU691,AU700,AU709,AU718,AU727,AU736,AU745,AU754,AU763,AU772,AU781,AU790,AU799,AU808,AU817,AU826,AU835,AU844,AU853,AU862,AU871,AU880,AU889,AU898,AU907,AU916,AU925,AU934,AU943,AU952,AU961,AU970,AU979,AU988,AU997,AU1006,AU1015,AU1024,AU1033)</f>
        <v>27888.69</v>
      </c>
      <c r="AV1035" s="107">
        <f t="shared" si="3519"/>
        <v>28527.69</v>
      </c>
      <c r="AY1035" s="107">
        <f t="shared" ref="AY1035:AZ1035" si="3520">SUM(AY16,AY25,AY34,AY43,AY52,AY61,AY70,AY79,AY88,AY97,AY106,AY115,AY124,AY133,AY142,AY151,AY160,AY169,AY178,AY187,AY196,AY205,AY214,AY223,AY232,AY241,AY250,AY259,AY268,AY277,AY286,AY295,AY304,AY313,AY322,AY331,AY340,AY349,AY358,AY367,AY376,AY385,AY394,AY403,AY412,AY421,AY430,AY439,AY448,AY457,AY466,AY475,AY484,AY493,AY502,AY511,AY520,AY529,AY538,AY547,AY556,AY565,AY574,AY583,AY592,AY601,AY610,AY619,AY628,AY637,AY646,AY655,AY664,AY673,AY682,AY691,AY700,AY709,AY718,AY727,AY736,AY745,AY754,AY763,AY772,AY781,AY790,AY799,AY808,AY817,AY826,AY835,AY844,AY853,AY862,AY871,AY880,AY889,AY898,AY907,AY916,AY925,AY934,AY943,AY952,AY961,AY970,AY979,AY988,AY997,AY1006,AY1015,AY1024,AY1033)</f>
        <v>28705.67</v>
      </c>
      <c r="AZ1035" s="107">
        <f t="shared" si="3520"/>
        <v>117291.04</v>
      </c>
      <c r="BC1035" s="107">
        <f t="shared" ref="BC1035:BD1035" si="3521">SUM(BC16,BC25,BC34,BC43,BC52,BC61,BC70,BC79,BC88,BC97,BC106,BC115,BC124,BC133,BC142,BC151,BC160,BC169,BC178,BC187,BC196,BC205,BC214,BC223,BC232,BC241,BC250,BC259,BC268,BC277,BC286,BC295,BC304,BC313,BC322,BC331,BC340,BC349,BC358,BC367,BC376,BC385,BC394,BC403,BC412,BC421,BC430,BC439,BC448,BC457,BC466,BC475,BC484,BC493,BC502,BC511,BC520,BC529,BC538,BC547,BC556,BC565,BC574,BC583,BC592,BC601,BC610,BC619,BC628,BC637,BC646,BC655,BC664,BC673,BC682,BC691,BC700,BC709,BC718,BC727,BC736,BC745,BC754,BC763,BC772,BC781,BC790,BC799,BC808,BC817,BC826,BC835,BC844,BC853,BC862,BC871,BC880,BC889,BC898,BC907,BC916,BC925,BC934,BC943,BC952,BC961,BC970,BC979,BC988,BC997,BC1006,BC1015,BC1024,BC1033)</f>
        <v>36926.34</v>
      </c>
      <c r="BD1035" s="107">
        <f t="shared" si="3521"/>
        <v>46580.4</v>
      </c>
      <c r="BE1035" s="107"/>
      <c r="BF1035" s="107">
        <f t="shared" ref="BF1035:BH1035" si="3522">SUM(BF16,BF25,BF34,BF43,BF52,BF61,BF70,BF79,BF88,BF97,BF106,BF115,BF124,BF133,BF142,BF151,BF160,BF169,BF178,BF187,BF196,BF205,BF214,BF223,BF232,BF241,BF250,BF259,BF268,BF277,BF286,BF295,BF304,BF313,BF322,BF331,BF340,BF349,BF358,BF367,BF376,BF385,BF394,BF403,BF412,BF421,BF430,BF439,BF448,BF457,BF466,BF475,BF484,BF493,BF502,BF511,BF520,BF529,BF538,BF547,BF556,BF565,BF574,BF583,BF592,BF601,BF610,BF619,BF628,BF637,BF646,BF655,BF664,BF673,BF682,BF691,BF700,BF709,BF718,BF727,BF736,BF745,BF754,BF763,BF772,BF781,BF790,BF799,BF808,BF817,BF826,BF835,BF844,BF853,BF862,BF871,BF880,BF889,BF898,BF907,BF916,BF925,BF934,BF943,BF952,BF961,BF970,BF979,BF988,BF997,BF1006,BF1015,BF1024,BF1033)</f>
        <v>1191650.11</v>
      </c>
      <c r="BG1035" s="107">
        <f t="shared" si="3522"/>
        <v>907764.71</v>
      </c>
      <c r="BH1035" s="107">
        <f t="shared" si="3522"/>
        <v>511612.97</v>
      </c>
      <c r="BI1035" s="34">
        <f>H1035+BF1035-BG1035</f>
        <v>511612.97</v>
      </c>
      <c r="BJ1035" s="34">
        <f>BH1035-BI1035</f>
        <v>-2.328306437e-10</v>
      </c>
      <c r="BK1035" s="34">
        <f>H1035-'2019'!BH865</f>
        <v>6.0188</v>
      </c>
    </row>
    <row r="1036" ht="15.75" customHeight="1" hidden="1" spans="3:60" x14ac:dyDescent="0.25">
      <c r="C1036" s="2" t="s">
        <v>351</v>
      </c>
      <c r="D1036" s="155" t="s">
        <v>517</v>
      </c>
      <c r="H1036" s="34">
        <f>SUM(H7,H17,H26,H35,H44,H53,H62,H71,H80,H89,H98,H107,H116,H134,H143,H152,H161,H170,H179,H197,H206,H215,H224,H233,H242,H251,H268,H278,H287,H296,H305,H314,H323,H332,H341,H350,H359,H368,H377,H386,H395,H404,H413,H422,H431,H440,H449,H458,H467,H476,H485,H494,H503,H512,H521,H530,H539,H548,H557,H566,H584,H593,H602,H611,H629,H638,H647,H656,H665,H674,H683,H692,H701,H710,H719,H728,H737,H746,H755,H764,H773,H791,H800,H809,H818,H827,H836,H845,H854,H872,H881,H890,H899,H908,H917,H926,H935,H944,H953,H962,H971,H980,H989,H998,H1007,H1016,H1025)</f>
        <v>10600.63</v>
      </c>
      <c r="K1036" s="136">
        <f t="shared" ref="K1036:L1036" si="3523">SUM(K7,K17,K26,K35,K44,K53,K62,K71,K80,K89,K98,K107,K116,K125,K134,K143,K152,K161,K170,K179,K188,K197,K206,K215,K224,K233,K242,K251,K260,K269,K278,K287,K296,K305,K314,K323,K332,K341,K350,K359,K368,K377,K386,K395,K404,K413,K422,K431,K440,K449,K458,K467,K476,K485,K494,K503,K512,K521,K530,K539,K548,K557,K566,K575,K584,K593,K602,K611,K620,K629,K638,K647,K656,K665,K674,K683,K692,K701,K710,K719,K728,K737,K746,K755,K764,K773,K782,K791,K800,K809,K818,K827,K836,K845,K854,K863,K872,K881,K890,K899,K908,K917,K926,K935,K944,K953,K962,K971,K980,K989,K998,K1007,K1016,K1025)</f>
        <v>579.65</v>
      </c>
      <c r="L1036" s="34">
        <f t="shared" si="3523"/>
        <v>0</v>
      </c>
      <c r="O1036" s="136">
        <f t="shared" ref="O1036:P1036" si="3524">SUM(O7,O17,O26,O35,O44,O53,O62,O71,O80,O89,O98,O107,O116,O125,O134,O143,O152,O161,O170,O179,O188,O197,O206,O215,O224,O233,O242,O251,O260,O269,O278,O287,O296,O305,O314,O323,O332,O341,O350,O359,O368,O377,O386,O395,O404,O413,O422,O431,O440,O449,O458,O467,O476,O485,O494,O503,O512,O521,O530,O539,O548,O557,O566,O575,O584,O593,O602,O611,O620,O629,O638,O647,O656,O665,O674,O683,O692,O701,O710,O719,O728,O737,O746,O755,O764,O773,O782,O791,O800,O809,O818,O827,O836,O845,O854,O863,O872,O881,O890,O899,O908,O917,O926,O935,O944,O953,O962,O971,O980,O989,O998,O1007,O1016,O1025)</f>
        <v>538.38</v>
      </c>
      <c r="P1036" s="34">
        <f t="shared" si="3524"/>
        <v>69.22</v>
      </c>
      <c r="S1036" s="136">
        <f t="shared" ref="S1036:T1036" si="3525">SUM(S7,S17,S26,S35,S44,S53,S62,S71,S80,S89,S98,S107,S116,S125,S134,S143,S152,S161,S170,S179,S188,S197,S206,S215,S224,S233,S242,S251,S260,S269,S278,S287,S296,S305,S314,S323,S332,S341,S350,S359,S368,S377,S386,S395,S404,S413,S422,S431,S440,S449,S458,S467,S476,S485,S494,S503,S512,S521,S530,S539,S548,S557,S566,S575,S584,S593,S602,S611,S620,S629,S638,S647,S656,S665,S674,S683,S692,S701,S710,S719,S728,S737,S746,S755,S764,S773,S782,S791,S800,S809,S818,S827,S836,S845,S854,S863,S872,S881,S890,S899,S908,S917,S926,S935,S944,S953,S962,S971,S980,S989,S998,S1007,S1016,S1025)</f>
        <v>571.79</v>
      </c>
      <c r="T1036" s="34">
        <f t="shared" si="3525"/>
        <v>0</v>
      </c>
      <c r="W1036" s="136">
        <f t="shared" ref="W1036:X1036" si="3526">SUM(W7,W17,W26,W35,W44,W53,W62,W71,W80,W89,W98,W107,W116,W125,W134,W143,W152,W161,W170,W179,W188,W197,W206,W215,W224,W233,W242,W251,W260,W269,W278,W287,W296,W305,W314,W323,W332,W341,W350,W359,W368,W377,W386,W395,W404,W413,W422,W431,W440,W449,W458,W467,W476,W485,W494,W503,W512,W521,W530,W539,W548,W557,W566,W575,W584,W593,W602,W611,W620,W629,W638,W647,W656,W665,W674,W683,W692,W701,W710,W719,W728,W737,W746,W755,W764,W773,W782,W791,W800,W809,W818,W827,W836,W845,W854,W863,W872,W881,W890,W899,W908,W917,W926,W935,W944,W953,W962,W971,W980,W989,W998,W1007,W1016,W1025)</f>
        <v>1725.22</v>
      </c>
      <c r="X1036" s="34">
        <f t="shared" si="3526"/>
        <v>2562.28</v>
      </c>
      <c r="AA1036" s="136">
        <f t="shared" ref="AA1036:AB1036" si="3527">SUM(AA7,AA17,AA26,AA35,AA44,AA53,AA62,AA71,AA80,AA89,AA98,AA107,AA116,AA125,AA134,AA143,AA152,AA161,AA170,AA179,AA188,AA197,AA206,AA215,AA224,AA233,AA242,AA251,AA260,AA269,AA278,AA287,AA296,AA305,AA314,AA323,AA332,AA341,AA350,AA359,AA368,AA377,AA386,AA395,AA404,AA413,AA422,AA431,AA440,AA449,AA458,AA467,AA476,AA485,AA494,AA503,AA512,AA521,AA530,AA539,AA548,AA557,AA566,AA575,AA584,AA593,AA602,AA611,AA620,AA629,AA638,AA647,AA656,AA665,AA674,AA683,AA692,AA701,AA710,AA719,AA728,AA737,AA746,AA755,AA764,AA773,AA782,AA791,AA800,AA809,AA818,AA827,AA836,AA845,AA854,AA863,AA872,AA881,AA890,AA899,AA908,AA917,AA926,AA935,AA944,AA953,AA962,AA971,AA980,AA989,AA998,AA1007,AA1016,AA1025)</f>
        <v>514.02</v>
      </c>
      <c r="AB1036" s="34">
        <f t="shared" si="3527"/>
        <v>296.67</v>
      </c>
      <c r="AE1036" s="136">
        <f t="shared" ref="AE1036:AF1036" si="3528">SUM(AE7,AE17,AE26,AE35,AE44,AE53,AE62,AE71,AE80,AE89,AE98,AE107,AE116,AE125,AE134,AE143,AE152,AE161,AE170,AE179,AE188,AE197,AE206,AE215,AE224,AE233,AE242,AE251,AE260,AE269,AE278,AE287,AE296,AE305,AE314,AE323,AE332,AE341,AE350,AE359,AE368,AE377,AE386,AE395,AE404,AE413,AE422,AE431,AE440,AE449,AE458,AE467,AE476,AE485,AE494,AE503,AE512,AE521,AE530,AE539,AE548,AE557,AE566,AE575,AE584,AE593,AE602,AE611,AE620,AE629,AE638,AE647,AE656,AE665,AE674,AE683,AE692,AE701,AE710,AE719,AE728,AE737,AE746,AE755,AE764,AE773,AE782,AE791,AE800,AE809,AE818,AE827,AE836,AE845,AE854,AE863,AE872,AE881,AE890,AE899,AE908,AE917,AE926,AE935,AE944,AE953,AE962,AE971,AE980,AE989,AE998,AE1007,AE1016,AE1025)</f>
        <v>468.58</v>
      </c>
      <c r="AF1036" s="34">
        <f t="shared" si="3528"/>
        <v>216.21</v>
      </c>
      <c r="AI1036" s="136">
        <f t="shared" ref="AI1036:AJ1036" si="3529">SUM(AI7,AI17,AI26,AI35,AI44,AI53,AI62,AI71,AI80,AI89,AI98,AI107,AI116,AI125,AI134,AI143,AI152,AI161,AI170,AI179,AI188,AI197,AI206,AI215,AI224,AI233,AI242,AI251,AI260,AI269,AI278,AI287,AI296,AI305,AI314,AI323,AI332,AI341,AI350,AI359,AI368,AI377,AI386,AI395,AI404,AI413,AI422,AI431,AI440,AI449,AI458,AI467,AI476,AI485,AI494,AI503,AI512,AI521,AI530,AI539,AI548,AI557,AI566,AI575,AI584,AI593,AI602,AI611,AI620,AI629,AI638,AI647,AI656,AI665,AI674,AI683,AI692,AI701,AI710,AI719,AI728,AI737,AI746,AI755,AI764,AI773,AI782,AI791,AI800,AI809,AI818,AI827,AI836,AI845,AI854,AI863,AI872,AI881,AI890,AI899,AI908,AI917,AI926,AI935,AI944,AI953,AI962,AI971,AI980,AI989,AI998,AI1007,AI1016,AI1025)</f>
        <v>478.51</v>
      </c>
      <c r="AJ1036" s="34">
        <f t="shared" si="3529"/>
        <v>170.9</v>
      </c>
      <c r="AM1036" s="136">
        <f t="shared" ref="AM1036:AN1036" si="3530">SUM(AM7,AM17,AM26,AM35,AM44,AM53,AM62,AM71,AM80,AM89,AM98,AM107,AM116,AM125,AM134,AM143,AM152,AM161,AM170,AM179,AM188,AM197,AM206,AM215,AM224,AM233,AM242,AM251,AM260,AM269,AM278,AM287,AM296,AM305,AM314,AM323,AM332,AM341,AM350,AM359,AM368,AM377,AM386,AM395,AM404,AM413,AM422,AM431,AM440,AM449,AM458,AM467,AM476,AM485,AM494,AM503,AM512,AM521,AM530,AM539,AM548,AM557,AM566,AM575,AM584,AM593,AM602,AM611,AM620,AM629,AM638,AM647,AM656,AM665,AM674,AM683,AM692,AM701,AM710,AM719,AM728,AM737,AM746,AM755,AM764,AM773,AM782,AM791,AM800,AM809,AM818,AM827,AM836,AM845,AM854,AM863,AM872,AM881,AM890,AM899,AM908,AM917,AM926,AM935,AM944,AM953,AM962,AM971,AM980,AM989,AM998,AM1007,AM1016,AM1025)</f>
        <v>477.83</v>
      </c>
      <c r="AN1036" s="34">
        <f t="shared" si="3530"/>
        <v>71.85</v>
      </c>
      <c r="AQ1036" s="136">
        <f t="shared" ref="AQ1036:AR1036" si="3531">SUM(AQ7,AQ17,AQ26,AQ35,AQ44,AQ53,AQ62,AQ71,AQ80,AQ89,AQ98,AQ107,AQ116,AQ125,AQ134,AQ143,AQ152,AQ161,AQ170,AQ179,AQ188,AQ197,AQ206,AQ215,AQ224,AQ233,AQ242,AQ251,AQ260,AQ269,AQ278,AQ287,AQ296,AQ305,AQ314,AQ323,AQ332,AQ341,AQ350,AQ359,AQ368,AQ377,AQ386,AQ395,AQ404,AQ413,AQ422,AQ431,AQ440,AQ449,AQ458,AQ467,AQ476,AQ485,AQ494,AQ503,AQ512,AQ521,AQ530,AQ539,AQ548,AQ557,AQ566,AQ575,AQ584,AQ593,AQ602,AQ611,AQ620,AQ629,AQ638,AQ647,AQ656,AQ665,AQ674,AQ683,AQ692,AQ701,AQ710,AQ719,AQ728,AQ737,AQ746,AQ755,AQ764,AQ773,AQ782,AQ791,AQ800,AQ809,AQ818,AQ827,AQ836,AQ845,AQ854,AQ863,AQ872,AQ881,AQ890,AQ899,AQ908,AQ917,AQ926,AQ935,AQ944,AQ953,AQ962,AQ971,AQ980,AQ989,AQ998,AQ1007,AQ1016,AQ1025)</f>
        <v>864.7</v>
      </c>
      <c r="AR1036" s="34">
        <f t="shared" si="3531"/>
        <v>348.06</v>
      </c>
      <c r="AU1036" s="136">
        <f t="shared" ref="AU1036:AV1036" si="3532">SUM(AU7,AU17,AU26,AU35,AU44,AU53,AU62,AU71,AU80,AU89,AU98,AU107,AU116,AU125,AU134,AU143,AU152,AU161,AU170,AU179,AU188,AU197,AU206,AU215,AU224,AU233,AU242,AU251,AU260,AU269,AU278,AU287,AU296,AU305,AU314,AU323,AU332,AU341,AU350,AU359,AU368,AU377,AU386,AU395,AU404,AU413,AU422,AU431,AU440,AU449,AU458,AU467,AU476,AU485,AU494,AU503,AU512,AU521,AU530,AU539,AU548,AU557,AU566,AU575,AU584,AU593,AU602,AU611,AU620,AU629,AU638,AU647,AU656,AU665,AU674,AU683,AU692,AU701,AU710,AU719,AU728,AU737,AU746,AU755,AU764,AU773,AU782,AU791,AU800,AU809,AU818,AU827,AU836,AU845,AU854,AU863,AU872,AU881,AU890,AU899,AU908,AU917,AU926,AU935,AU944,AU953,AU962,AU971,AU980,AU989,AU998,AU1007,AU1016,AU1025)</f>
        <v>809.01</v>
      </c>
      <c r="AV1036" s="34">
        <f t="shared" si="3532"/>
        <v>0</v>
      </c>
      <c r="AY1036" s="136">
        <f t="shared" ref="AY1036:AZ1036" si="3533">SUM(AY7,AY17,AY26,AY35,AY44,AY53,AY62,AY71,AY80,AY89,AY98,AY107,AY116,AY125,AY134,AY143,AY152,AY161,AY170,AY179,AY188,AY197,AY206,AY215,AY224,AY233,AY242,AY251,AY260,AY269,AY278,AY287,AY296,AY305,AY314,AY323,AY332,AY341,AY350,AY359,AY368,AY377,AY386,AY395,AY404,AY413,AY422,AY431,AY440,AY449,AY458,AY467,AY476,AY485,AY494,AY503,AY512,AY521,AY530,AY539,AY548,AY557,AY566,AY575,AY584,AY593,AY602,AY611,AY620,AY629,AY638,AY647,AY656,AY665,AY674,AY683,AY692,AY701,AY710,AY719,AY728,AY737,AY746,AY755,AY764,AY773,AY782,AY791,AY800,AY809,AY818,AY827,AY836,AY845,AY854,AY863,AY872,AY881,AY890,AY899,AY908,AY917,AY926,AY935,AY944,AY953,AY962,AY971,AY980,AY989,AY998,AY1007,AY1016,AY1025)</f>
        <v>698.47</v>
      </c>
      <c r="AZ1036" s="34">
        <f t="shared" si="3533"/>
        <v>2061.28</v>
      </c>
      <c r="BC1036" s="136">
        <f t="shared" ref="BC1036:BD1036" si="3534">SUM(BC7,BC17,BC26,BC35,BC44,BC53,BC62,BC71,BC80,BC89,BC98,BC107,BC116,BC125,BC134,BC143,BC152,BC161,BC170,BC179,BC188,BC197,BC206,BC215,BC224,BC233,BC242,BC251,BC260,BC269,BC278,BC287,BC296,BC305,BC314,BC323,BC332,BC341,BC350,BC359,BC368,BC377,BC386,BC395,BC404,BC413,BC422,BC431,BC440,BC449,BC458,BC467,BC476,BC485,BC494,BC503,BC512,BC521,BC530,BC539,BC548,BC557,BC566,BC575,BC584,BC593,BC602,BC611,BC620,BC629,BC638,BC647,BC656,BC665,BC674,BC683,BC692,BC701,BC710,BC719,BC728,BC737,BC746,BC755,BC764,BC773,BC782,BC791,BC800,BC809,BC818,BC827,BC836,BC845,BC854,BC863,BC872,BC881,BC890,BC899,BC908,BC917,BC926,BC935,BC944,BC953,BC962,BC971,BC980,BC989,BC998,BC1007,BC1016,BC1025)</f>
        <v>630.34</v>
      </c>
      <c r="BD1036" s="34">
        <f t="shared" si="3534"/>
        <v>0</v>
      </c>
      <c r="BE1036" s="41"/>
      <c r="BF1036" s="263">
        <f t="shared" ref="BF1036:BH1036" si="3535">SUM(BF7,BF17,BF26,BF35,BF44,BF53,BF62,BF71,BF80,BF89,BF98,BF107,BF116,BF125,BF134,BF143,BF152,BF161,BF170,BF179,BF188,BF197,BF206,BF215,BF224,BF233,BF242,BF251,BF260,BF269,BF278,BF287,BF296,BF305,BF314,BF323,BF332,BF341,BF350,BF359,BF368,BF377,BF386,BF395,BF404,BF413,BF422,BF431,BF440,BF449,BF458,BF467,BF476,BF485,BF494,BF503,BF512,BF521,BF530,BF539,BF548,BF557,BF566,BF575,BF584,BF593,BF602,BF611,BF620,BF629,BF638,BF647,BF656,BF665,BF674,BF683,BF692,BF701,BF710,BF719,BF728,BF737,BF746,BF755,BF764,BF773,BF782,BF791,BF800,BF809,BF818,BF827,BF836,BF845,BF854,BF863,BF872,BF881,BF890,BF899,BF908,BF917,BF926,BF935,BF944,BF953,BF962,BF971,BF980,BF989,BF998,BF1007,BF1016,BF1025)</f>
        <v>8356.5</v>
      </c>
      <c r="BG1036" s="170">
        <f t="shared" si="3535"/>
        <v>5796.47</v>
      </c>
      <c r="BH1036" s="172">
        <f t="shared" si="3535"/>
        <v>13160.66</v>
      </c>
    </row>
    <row r="1037" ht="15.75" customHeight="1" hidden="1" spans="4:60" x14ac:dyDescent="0.25">
      <c r="D1037" s="15" t="s">
        <v>44</v>
      </c>
      <c r="E1037" s="2" t="s">
        <v>45</v>
      </c>
      <c r="H1037" s="34">
        <f t="shared" ref="H1037:BD1037" si="3536">SUM(H8,H18,H27,H36,H45,H54,H63,H72,H81,H90,H99,H108,H117,H126,H135,H144,H153,H162,H171,H180,H189,H198,H207,H216,H225,H234,H243,H252,H261,H270,H279,H288,H297,H306,H315,H324,H333,H342,H351,H360,H369,H378,H387,H396,H405,H414,H423,H432,H441,H450,H459,H468,H477,H486,H495,H504,H513,H522,H531,H540,H549,H558,H567,H576,H585,H594,H603,H612,H621,H630,H639,H648,H657,H666,H675,H684,H693,H702,H711,H720,H729,H738,H747,H756,H765,H774,H783,H792,H801,H810,H819,H828,H837,H846,H855,H864,H873,H882,H891,H900,H909,H918,H927,H936,H945,H954,H963,H972,H981,H990,H999,H1008,H1017,H1026)</f>
        <v>14976.33</v>
      </c>
      <c r="I1037" s="37">
        <f t="shared" si="3536"/>
        <v>192950</v>
      </c>
      <c r="J1037" s="37">
        <f t="shared" si="3536"/>
        <v>7641</v>
      </c>
      <c r="K1037" s="34">
        <f t="shared" si="3536"/>
        <v>19102.5</v>
      </c>
      <c r="L1037" s="34">
        <f t="shared" si="3536"/>
        <v>14185</v>
      </c>
      <c r="M1037" s="37">
        <f t="shared" si="3536"/>
        <v>200923</v>
      </c>
      <c r="N1037" s="37">
        <f t="shared" si="3536"/>
        <v>7973</v>
      </c>
      <c r="O1037" s="34">
        <f t="shared" si="3536"/>
        <v>19932.5</v>
      </c>
      <c r="P1037" s="34">
        <f t="shared" si="3536"/>
        <v>18344.24</v>
      </c>
      <c r="Q1037" s="37">
        <f t="shared" si="3536"/>
        <v>208239</v>
      </c>
      <c r="R1037" s="37">
        <f t="shared" si="3536"/>
        <v>7316</v>
      </c>
      <c r="S1037" s="34">
        <f t="shared" si="3536"/>
        <v>18290</v>
      </c>
      <c r="T1037" s="34">
        <f t="shared" si="3536"/>
        <v>29780.71</v>
      </c>
      <c r="U1037" s="37">
        <f t="shared" si="3536"/>
        <v>213052</v>
      </c>
      <c r="V1037" s="37">
        <f t="shared" si="3536"/>
        <v>4813</v>
      </c>
      <c r="W1037" s="34">
        <f t="shared" si="3536"/>
        <v>12032.5</v>
      </c>
      <c r="X1037" s="34">
        <f t="shared" si="3536"/>
        <v>18647.15</v>
      </c>
      <c r="Y1037" s="37">
        <f t="shared" si="3536"/>
        <v>219140</v>
      </c>
      <c r="Z1037" s="37">
        <f t="shared" si="3536"/>
        <v>6088</v>
      </c>
      <c r="AA1037" s="34">
        <f t="shared" si="3536"/>
        <v>15220</v>
      </c>
      <c r="AB1037" s="34">
        <f t="shared" si="3536"/>
        <v>7456.5</v>
      </c>
      <c r="AC1037" s="37">
        <f t="shared" si="3536"/>
        <v>223634</v>
      </c>
      <c r="AD1037" s="37">
        <f t="shared" si="3536"/>
        <v>6264</v>
      </c>
      <c r="AE1037" s="34">
        <f t="shared" si="3536"/>
        <v>15726.2</v>
      </c>
      <c r="AF1037" s="34">
        <f t="shared" si="3536"/>
        <v>13606.19</v>
      </c>
      <c r="AG1037" s="37">
        <f t="shared" si="3536"/>
        <v>228410</v>
      </c>
      <c r="AH1037" s="37">
        <f t="shared" si="3536"/>
        <v>5077</v>
      </c>
      <c r="AI1037" s="34">
        <f t="shared" si="3536"/>
        <v>13200.2</v>
      </c>
      <c r="AJ1037" s="34">
        <f t="shared" si="3536"/>
        <v>25059.59</v>
      </c>
      <c r="AK1037" s="37">
        <f t="shared" si="3536"/>
        <v>234701</v>
      </c>
      <c r="AL1037" s="37">
        <f t="shared" si="3536"/>
        <v>6291</v>
      </c>
      <c r="AM1037" s="34">
        <f t="shared" si="3536"/>
        <v>16356.6</v>
      </c>
      <c r="AN1037" s="34">
        <f t="shared" si="3536"/>
        <v>13858.83</v>
      </c>
      <c r="AO1037" s="37">
        <f t="shared" si="3536"/>
        <v>241828</v>
      </c>
      <c r="AP1037" s="37">
        <f t="shared" si="3536"/>
        <v>7127</v>
      </c>
      <c r="AQ1037" s="34">
        <f t="shared" si="3536"/>
        <v>18524.2</v>
      </c>
      <c r="AR1037" s="34">
        <f t="shared" si="3536"/>
        <v>10287.06</v>
      </c>
      <c r="AS1037" s="37">
        <f t="shared" si="3536"/>
        <v>248438</v>
      </c>
      <c r="AT1037" s="37">
        <f t="shared" si="3536"/>
        <v>10055</v>
      </c>
      <c r="AU1037" s="34">
        <f t="shared" si="3536"/>
        <v>26143</v>
      </c>
      <c r="AV1037" s="34">
        <f t="shared" si="3536"/>
        <v>9002.96</v>
      </c>
      <c r="AW1037" s="37">
        <f t="shared" si="3536"/>
        <v>237732</v>
      </c>
      <c r="AX1037" s="37">
        <f t="shared" si="3536"/>
        <v>10772</v>
      </c>
      <c r="AY1037" s="34">
        <f t="shared" si="3536"/>
        <v>28007.2</v>
      </c>
      <c r="AZ1037" s="34">
        <f t="shared" si="3536"/>
        <v>35943.34</v>
      </c>
      <c r="BA1037" s="37">
        <f t="shared" si="3536"/>
        <v>251692</v>
      </c>
      <c r="BB1037" s="37">
        <f t="shared" si="3536"/>
        <v>13960</v>
      </c>
      <c r="BC1037" s="34">
        <f t="shared" si="3536"/>
        <v>36296</v>
      </c>
      <c r="BD1037" s="34">
        <f t="shared" si="3536"/>
        <v>32655.4</v>
      </c>
      <c r="BE1037" s="36">
        <f t="shared" ref="BE1037:BE1038" si="3537">J1037+N1037+R1037+V1037+Z1037+AD1037+AH1037+AL1037+AP1037+AT1037+AX1037+BB1037</f>
        <v>93377</v>
      </c>
      <c r="BF1037" s="34">
        <f t="shared" ref="BF1037:BH1037" si="3538">SUM(BF8,BF18,BF27,BF36,BF45,BF54,BF63,BF72,BF81,BF90,BF99,BF108,BF117,BF126,BF135,BF144,BF153,BF162,BF171,BF180,BF189,BF198,BF207,BF216,BF225,BF234,BF243,BF252,BF261,BF270,BF279,BF288,BF297,BF306,BF315,BF324,BF333,BF342,BF351,BF360,BF369,BF378,BF387,BF396,BF405,BF414,BF423,BF432,BF441,BF450,BF459,BF468,BF477,BF486,BF495,BF504,BF513,BF522,BF531,BF540,BF549,BF558,BF567,BF576,BF585,BF594,BF603,BF612,BF621,BF630,BF639,BF648,BF657,BF666,BF675,BF684,BF693,BF702,BF711,BF720,BF729,BF738,BF747,BF756,BF765,BF774,BF783,BF792,BF801,BF810,BF819,BF828,BF837,BF846,BF855,BF864,BF873,BF882,BF891,BF900,BF909,BF918,BF927,BF936,BF945,BF954,BF963,BF972,BF981,BF990,BF999,BF1008,BF1017,BF1026)</f>
        <v>238830.9</v>
      </c>
      <c r="BG1037" s="34">
        <f t="shared" si="3538"/>
        <v>228826.97</v>
      </c>
      <c r="BH1037" s="35">
        <f t="shared" si="3538"/>
        <v>24980.26</v>
      </c>
    </row>
    <row r="1038" ht="15.75" customHeight="1" hidden="1" spans="4:60" x14ac:dyDescent="0.25">
      <c r="D1038" s="15" t="s">
        <v>47</v>
      </c>
      <c r="E1038" s="2" t="s">
        <v>48</v>
      </c>
      <c r="H1038" s="34">
        <f t="shared" ref="H1038:BD1038" si="3539">SUM(H10,H19,H28,H37,H46,H55,H64,H73,H82,H91,H100,H109,H118,H127,H136,H145,H154,H163,H172,H181,H190,H199,H208,H217,H226,H235,H244,H253,H262,H271,H280,H289,H298,H307,H316,H325,H334,H343,H352,H361,H370,H379,H388,H397,H406,H415,H424,H433,H442,H451,H460,H469,H478,H487,H496,H505,H514,H523,H532,H541,H550,H559,H568,H577,H586,H595,H604,H613,H622,H631,H640,H649,H658,H667,H676,H685,H694,H703,H712,H721,H730,H739,H748,H757,H766,H775,H784,H793,H802,H811,H820,H829,H838,H847,H856,H865,H874,H883,H892,H901,H910,H919,H928,H937,H946,H955,H964,H973,H982,H991,H1000,H1009,H1018,H1027)</f>
        <v>-1188.52</v>
      </c>
      <c r="I1038" s="37">
        <f t="shared" si="3539"/>
        <v>10448</v>
      </c>
      <c r="J1038" s="37">
        <f t="shared" si="3539"/>
        <v>0</v>
      </c>
      <c r="K1038" s="34">
        <f t="shared" si="3539"/>
        <v>0</v>
      </c>
      <c r="L1038" s="34">
        <f t="shared" si="3539"/>
        <v>562.5</v>
      </c>
      <c r="M1038" s="37">
        <f t="shared" si="3539"/>
        <v>10448</v>
      </c>
      <c r="N1038" s="37">
        <f t="shared" si="3539"/>
        <v>0</v>
      </c>
      <c r="O1038" s="34">
        <f t="shared" si="3539"/>
        <v>0</v>
      </c>
      <c r="P1038" s="34">
        <f t="shared" si="3539"/>
        <v>940.88</v>
      </c>
      <c r="Q1038" s="37">
        <f t="shared" si="3539"/>
        <v>10395</v>
      </c>
      <c r="R1038" s="37">
        <f t="shared" si="3539"/>
        <v>0</v>
      </c>
      <c r="S1038" s="34">
        <f t="shared" si="3539"/>
        <v>0</v>
      </c>
      <c r="T1038" s="34">
        <f t="shared" si="3539"/>
        <v>0</v>
      </c>
      <c r="U1038" s="37">
        <f t="shared" si="3539"/>
        <v>10775</v>
      </c>
      <c r="V1038" s="37">
        <f t="shared" si="3539"/>
        <v>159</v>
      </c>
      <c r="W1038" s="34">
        <f t="shared" si="3539"/>
        <v>2951.04</v>
      </c>
      <c r="X1038" s="34">
        <f t="shared" si="3539"/>
        <v>37.12</v>
      </c>
      <c r="Y1038" s="37">
        <f t="shared" si="3539"/>
        <v>10606.6</v>
      </c>
      <c r="Z1038" s="37">
        <f t="shared" si="3539"/>
        <v>82.6</v>
      </c>
      <c r="AA1038" s="34">
        <f t="shared" si="3539"/>
        <v>1533.056</v>
      </c>
      <c r="AB1038" s="34">
        <f t="shared" si="3539"/>
        <v>1176.74</v>
      </c>
      <c r="AC1038" s="37">
        <f t="shared" si="3539"/>
        <v>11030.3</v>
      </c>
      <c r="AD1038" s="37">
        <f t="shared" si="3539"/>
        <v>423.7</v>
      </c>
      <c r="AE1038" s="34">
        <f t="shared" si="3539"/>
        <v>7863.872</v>
      </c>
      <c r="AF1038" s="34">
        <f t="shared" si="3539"/>
        <v>8751.47</v>
      </c>
      <c r="AG1038" s="37">
        <f t="shared" si="3539"/>
        <v>11662</v>
      </c>
      <c r="AH1038" s="37">
        <f t="shared" si="3539"/>
        <v>628.7</v>
      </c>
      <c r="AI1038" s="34">
        <f t="shared" si="3539"/>
        <v>12234.502</v>
      </c>
      <c r="AJ1038" s="34">
        <f t="shared" si="3539"/>
        <v>8893.97</v>
      </c>
      <c r="AK1038" s="37">
        <f t="shared" si="3539"/>
        <v>12079</v>
      </c>
      <c r="AL1038" s="37">
        <f t="shared" si="3539"/>
        <v>417</v>
      </c>
      <c r="AM1038" s="34">
        <f t="shared" si="3539"/>
        <v>8114.82</v>
      </c>
      <c r="AN1038" s="34">
        <f t="shared" si="3539"/>
        <v>8964.51</v>
      </c>
      <c r="AO1038" s="37">
        <f t="shared" si="3539"/>
        <v>12148</v>
      </c>
      <c r="AP1038" s="37">
        <f t="shared" si="3539"/>
        <v>69</v>
      </c>
      <c r="AQ1038" s="34">
        <f t="shared" si="3539"/>
        <v>1342.74</v>
      </c>
      <c r="AR1038" s="34">
        <f t="shared" si="3539"/>
        <v>3069.37</v>
      </c>
      <c r="AS1038" s="37">
        <f t="shared" si="3539"/>
        <v>12197</v>
      </c>
      <c r="AT1038" s="37">
        <f t="shared" si="3539"/>
        <v>49</v>
      </c>
      <c r="AU1038" s="34">
        <f t="shared" si="3539"/>
        <v>936.68</v>
      </c>
      <c r="AV1038" s="34">
        <f t="shared" si="3539"/>
        <v>870.09</v>
      </c>
      <c r="AW1038" s="37">
        <f t="shared" si="3539"/>
        <v>12197</v>
      </c>
      <c r="AX1038" s="37">
        <f t="shared" si="3539"/>
        <v>0</v>
      </c>
      <c r="AY1038" s="34">
        <f t="shared" si="3539"/>
        <v>0</v>
      </c>
      <c r="AZ1038" s="34">
        <f t="shared" si="3539"/>
        <v>1536.9</v>
      </c>
      <c r="BA1038" s="37">
        <f t="shared" si="3539"/>
        <v>12197</v>
      </c>
      <c r="BB1038" s="37">
        <f t="shared" si="3539"/>
        <v>0</v>
      </c>
      <c r="BC1038" s="34">
        <f t="shared" si="3539"/>
        <v>0</v>
      </c>
      <c r="BD1038" s="34">
        <f t="shared" si="3539"/>
        <v>0</v>
      </c>
      <c r="BE1038" s="36">
        <f t="shared" si="3537"/>
        <v>1829</v>
      </c>
      <c r="BF1038" s="34">
        <f t="shared" ref="BF1038:BH1038" si="3540">SUM(BF10,BF19,BF28,BF37,BF46,BF55,BF64,BF73,BF82,BF91,BF100,BF109,BF118,BF127,BF136,BF145,BF154,BF163,BF172,BF181,BF190,BF199,BF208,BF217,BF226,BF235,BF244,BF253,BF262,BF271,BF280,BF289,BF298,BF307,BF316,BF325,BF334,BF343,BF352,BF361,BF370,BF379,BF388,BF397,BF406,BF415,BF424,BF433,BF442,BF451,BF460,BF469,BF478,BF487,BF496,BF505,BF514,BF523,BF532,BF541,BF550,BF559,BF568,BF577,BF586,BF595,BF604,BF613,BF622,BF631,BF640,BF649,BF658,BF667,BF676,BF685,BF694,BF703,BF712,BF721,BF730,BF739,BF748,BF757,BF766,BF775,BF784,BF793,BF802,BF811,BF820,BF829,BF838,BF847,BF856,BF865,BF874,BF883,BF892,BF901,BF910,BF919,BF928,BF937,BF946,BF955,BF964,BF973,BF982,BF991,BF1000,BF1009,BF1018,BF1027)</f>
        <v>34976.71</v>
      </c>
      <c r="BG1038" s="34">
        <f t="shared" si="3540"/>
        <v>34803.55</v>
      </c>
      <c r="BH1038" s="35">
        <f t="shared" si="3540"/>
        <v>-1015.36</v>
      </c>
    </row>
    <row r="1039" ht="15.75" customHeight="1" hidden="1" spans="4:60" x14ac:dyDescent="0.25">
      <c r="D1039" s="15" t="s">
        <v>47</v>
      </c>
      <c r="E1039" s="2" t="s">
        <v>49</v>
      </c>
      <c r="H1039" s="34">
        <f t="shared" ref="H1039:H1043" si="3541">SUM(H11,H20,H29,H38,H47,H56,H65,H74,H83,H92,H101,H110,H119,H128,H137,H146,H155,H164,H173,H182,H191,H200,H209,H218,H227,H236,H245,H254,H263,H272,H281,H290,H299,H308,H317,H326,H335,H344,H353,H362,H371,H380,H389,H398,H407,H416,H425,H434,H443,H452,H461,H470,H479,H488,H497,H506,H515,H524,H533,H542,H551,H560,H569,H578,H587,H596,H605,H614,H623,H632,H641,H650,H659,H668,H677,H686,H695,H704,H713,H722,H731,H740,H749,H758,H767,H776,H785,H794,H803,H812,H821,H830,H839,H848,H857,H866,H875,H884,H893,H902,H911,H920,H929,H938,H947,H956,H965,H974,H983,H992,H1001,H1010,H1019,H1028)</f>
        <v>2419</v>
      </c>
      <c r="K1039" s="34">
        <f t="shared" ref="K1039:L1039" si="3542">SUM(K11,K20,K29,K38,K47,K56,K65,K74,K83,K92,K101,K110,K119,K128,K137,K146,K155,K164,K173,K182,K191,K200,K209,K218,K227,K236,K245,K254,K263,K272,K281,K290,K299,K308,K317,K326,K335,K344,K353,K362,K371,K380,K389,K398,K407,K416,K425,K434,K443,K452,K461,K470,K479,K488,K497,K506,K515,K524,K533,K542,K551,K560,K569,K578,K587,K596,K605,K614,K623,K632,K641,K650,K659,K668,K677,K686,K695,K704,K713,K722,K731,K740,K749,K758,K767,K776,K785,K794,K803,K812,K821,K830,K839,K848,K857,K866,K875,K884,K893,K902,K911,K920,K929,K938,K947,K956,K965,K974,K983,K992,K1001,K1010,K1019,K1028)</f>
        <v>0</v>
      </c>
      <c r="L1039" s="34">
        <f t="shared" si="3542"/>
        <v>0</v>
      </c>
      <c r="O1039" s="34">
        <f t="shared" ref="O1039:P1039" si="3543">SUM(O11,O20,O29,O38,O47,O56,O65,O74,O83,O92,O101,O110,O119,O128,O137,O146,O155,O164,O173,O182,O191,O200,O209,O218,O227,O236,O245,O254,O263,O272,O281,O290,O299,O308,O317,O326,O335,O344,O353,O362,O371,O380,O389,O398,O407,O416,O425,O434,O443,O452,O461,O470,O479,O488,O497,O506,O515,O524,O533,O542,O551,O560,O569,O578,O587,O596,O605,O614,O623,O632,O641,O650,O659,O668,O677,O686,O695,O704,O713,O722,O731,O740,O749,O758,O767,O776,O785,O794,O803,O812,O821,O830,O839,O848,O857,O866,O875,O884,O893,O902,O911,O920,O929,O938,O947,O956,O965,O974,O983,O992,O1001,O1010,O1019,O1028)</f>
        <v>0</v>
      </c>
      <c r="P1039" s="34">
        <f t="shared" si="3543"/>
        <v>0</v>
      </c>
      <c r="S1039" s="34">
        <f t="shared" ref="S1039:T1039" si="3544">SUM(S11,S20,S29,S38,S47,S56,S65,S74,S83,S92,S101,S110,S119,S128,S137,S146,S155,S164,S173,S182,S191,S200,S209,S218,S227,S236,S245,S254,S263,S272,S281,S290,S299,S308,S317,S326,S335,S344,S353,S362,S371,S380,S389,S398,S407,S416,S425,S434,S443,S452,S461,S470,S479,S488,S497,S506,S515,S524,S533,S542,S551,S560,S569,S578,S587,S596,S605,S614,S623,S632,S641,S650,S659,S668,S677,S686,S695,S704,S713,S722,S731,S740,S749,S758,S767,S776,S785,S794,S803,S812,S821,S830,S839,S848,S857,S866,S875,S884,S893,S902,S911,S920,S929,S938,S947,S956,S965,S974,S983,S992,S1001,S1010,S1019,S1028)</f>
        <v>0</v>
      </c>
      <c r="T1039" s="34">
        <f t="shared" si="3544"/>
        <v>0</v>
      </c>
      <c r="W1039" s="34">
        <f t="shared" ref="W1039:X1039" si="3545">SUM(W11,W20,W29,W38,W47,W56,W65,W74,W83,W92,W101,W110,W119,W128,W137,W146,W155,W164,W173,W182,W191,W200,W209,W218,W227,W236,W245,W254,W263,W272,W281,W290,W299,W308,W317,W326,W335,W344,W353,W362,W371,W380,W389,W398,W407,W416,W425,W434,W443,W452,W461,W470,W479,W488,W497,W506,W515,W524,W533,W542,W551,W560,W569,W578,W587,W596,W605,W614,W623,W632,W641,W650,W659,W668,W677,W686,W695,W704,W713,W722,W731,W740,W749,W758,W767,W776,W785,W794,W803,W812,W821,W830,W839,W848,W857,W866,W875,W884,W893,W902,W911,W920,W929,W938,W947,W956,W965,W974,W983,W992,W1001,W1010,W1019,W1028)</f>
        <v>0</v>
      </c>
      <c r="X1039" s="34">
        <f t="shared" si="3545"/>
        <v>0</v>
      </c>
      <c r="AA1039" s="34">
        <f t="shared" ref="AA1039:AB1039" si="3546">SUM(AA11,AA20,AA29,AA38,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,AA497,AA506,AA515,AA524,AA533,AA542,AA551,AA560,AA569,AA578,AA587,AA596,AA605,AA614,AA623,AA632,AA641,AA650,AA659,AA668,AA677,AA686,AA695,AA704,AA713,AA722,AA731,AA740,AA749,AA758,AA767,AA776,AA785,AA794,AA803,AA812,AA821,AA830,AA839,AA848,AA857,AA866,AA875,AA884,AA893,AA902,AA911,AA920,AA929,AA938,AA947,AA956,AA965,AA974,AA983,AA992,AA1001,AA1010,AA1019,AA1028)</f>
        <v>3990</v>
      </c>
      <c r="AB1039" s="34">
        <f t="shared" si="3546"/>
        <v>0</v>
      </c>
      <c r="AE1039" s="34">
        <f t="shared" ref="AE1039:AF1039" si="3547">SUM(AE11,AE20,AE29,AE38,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,AE497,AE506,AE515,AE524,AE533,AE542,AE551,AE560,AE569,AE578,AE587,AE596,AE605,AE614,AE623,AE632,AE641,AE650,AE659,AE668,AE677,AE686,AE695,AE704,AE713,AE722,AE731,AE740,AE749,AE758,AE767,AE776,AE785,AE794,AE803,AE812,AE821,AE830,AE839,AE848,AE857,AE866,AE875,AE884,AE893,AE902,AE911,AE920,AE929,AE938,AE947,AE956,AE965,AE974,AE983,AE992,AE1001,AE1010,AE1019,AE1028)</f>
        <v>0</v>
      </c>
      <c r="AF1039" s="34">
        <f t="shared" si="3547"/>
        <v>1980</v>
      </c>
      <c r="AI1039" s="34">
        <f t="shared" ref="AI1039:AJ1039" si="3548">SUM(AI11,AI20,AI29,AI38,AI47,AI56,AI65,AI74,AI83,AI92,AI101,AI110,AI119,AI128,AI137,AI146,AI155,AI164,AI173,AI182,AI191,AI200,AI209,AI218,AI227,AI236,AI245,AI254,AI263,AI272,AI281,AI290,AI299,AI308,AI317,AI326,AI335,AI344,AI353,AI362,AI371,AI380,AI389,AI398,AI407,AI416,AI425,AI434,AI443,AI452,AI461,AI470,AI479,AI488,AI497,AI506,AI515,AI524,AI533,AI542,AI551,AI560,AI569,AI578,AI587,AI596,AI605,AI614,AI623,AI632,AI641,AI650,AI659,AI668,AI677,AI686,AI695,AI704,AI713,AI722,AI731,AI740,AI749,AI758,AI767,AI776,AI785,AI794,AI803,AI812,AI821,AI830,AI839,AI848,AI857,AI866,AI875,AI884,AI893,AI902,AI911,AI920,AI929,AI938,AI947,AI956,AI965,AI974,AI983,AI992,AI1001,AI1010,AI1019,AI1028)</f>
        <v>0</v>
      </c>
      <c r="AJ1039" s="34">
        <f t="shared" si="3548"/>
        <v>0</v>
      </c>
      <c r="AM1039" s="34">
        <f t="shared" ref="AM1039:AN1039" si="3549">SUM(AM11,AM20,AM29,AM38,AM47,AM56,AM65,AM74,AM83,AM92,AM101,AM110,AM119,AM128,AM137,AM146,AM155,AM164,AM173,AM182,AM191,AM200,AM209,AM218,AM227,AM236,AM245,AM254,AM263,AM272,AM281,AM290,AM299,AM308,AM317,AM326,AM335,AM344,AM353,AM362,AM371,AM380,AM389,AM398,AM407,AM416,AM425,AM434,AM443,AM452,AM461,AM470,AM479,AM488,AM497,AM506,AM515,AM524,AM533,AM542,AM551,AM560,AM569,AM578,AM587,AM596,AM605,AM614,AM623,AM632,AM641,AM650,AM659,AM668,AM677,AM686,AM695,AM704,AM713,AM722,AM731,AM740,AM749,AM758,AM767,AM776,AM785,AM794,AM803,AM812,AM821,AM830,AM839,AM848,AM857,AM866,AM875,AM884,AM893,AM902,AM911,AM920,AM929,AM938,AM947,AM956,AM965,AM974,AM983,AM992,AM1001,AM1010,AM1019,AM1028)</f>
        <v>0</v>
      </c>
      <c r="AN1039" s="34">
        <f t="shared" si="3549"/>
        <v>0</v>
      </c>
      <c r="AQ1039" s="34">
        <f t="shared" ref="AQ1039:AR1039" si="3550">SUM(AQ11,AQ20,AQ29,AQ38,AQ47,AQ56,AQ65,AQ74,AQ83,AQ92,AQ101,AQ110,AQ119,AQ128,AQ137,AQ146,AQ155,AQ164,AQ173,AQ182,AQ191,AQ200,AQ209,AQ218,AQ227,AQ236,AQ245,AQ254,AQ263,AQ272,AQ281,AQ290,AQ299,AQ308,AQ317,AQ326,AQ335,AQ344,AQ353,AQ362,AQ371,AQ380,AQ389,AQ398,AQ407,AQ416,AQ425,AQ434,AQ443,AQ452,AQ461,AQ470,AQ479,AQ488,AQ497,AQ506,AQ515,AQ524,AQ533,AQ542,AQ551,AQ560,AQ569,AQ578,AQ587,AQ596,AQ605,AQ614,AQ623,AQ632,AQ641,AQ650,AQ659,AQ668,AQ677,AQ686,AQ695,AQ704,AQ713,AQ722,AQ731,AQ740,AQ749,AQ758,AQ767,AQ776,AQ785,AQ794,AQ803,AQ812,AQ821,AQ830,AQ839,AQ848,AQ857,AQ866,AQ875,AQ884,AQ893,AQ902,AQ911,AQ920,AQ929,AQ938,AQ947,AQ956,AQ965,AQ974,AQ983,AQ992,AQ1001,AQ1010,AQ1019,AQ1028)</f>
        <v>0</v>
      </c>
      <c r="AR1039" s="34">
        <f t="shared" si="3550"/>
        <v>3210</v>
      </c>
      <c r="AU1039" s="34">
        <f t="shared" ref="AU1039:AV1039" si="3551">SUM(AU11,AU20,AU29,AU38,AU47,AU56,AU65,AU74,AU83,AU92,AU101,AU110,AU119,AU128,AU137,AU146,AU155,AU164,AU173,AU182,AU191,AU200,AU209,AU218,AU227,AU236,AU245,AU254,AU263,AU272,AU281,AU290,AU299,AU308,AU317,AU326,AU335,AU344,AU353,AU362,AU371,AU380,AU389,AU398,AU407,AU416,AU425,AU434,AU443,AU452,AU461,AU470,AU479,AU488,AU497,AU506,AU515,AU524,AU533,AU542,AU551,AU560,AU569,AU578,AU587,AU596,AU605,AU614,AU623,AU632,AU641,AU650,AU659,AU668,AU677,AU686,AU695,AU704,AU713,AU722,AU731,AU740,AU749,AU758,AU767,AU776,AU785,AU794,AU803,AU812,AU821,AU830,AU839,AU848,AU857,AU866,AU875,AU884,AU893,AU902,AU911,AU920,AU929,AU938,AU947,AU956,AU965,AU974,AU983,AU992,AU1001,AU1010,AU1019,AU1028)</f>
        <v>0</v>
      </c>
      <c r="AV1039" s="34">
        <f t="shared" si="3551"/>
        <v>0</v>
      </c>
      <c r="AY1039" s="34">
        <f t="shared" ref="AY1039:AZ1039" si="3552">SUM(AY11,AY20,AY29,AY38,AY47,AY56,AY65,AY74,AY83,AY92,AY101,AY110,AY119,AY128,AY137,AY146,AY155,AY164,AY173,AY182,AY191,AY200,AY209,AY218,AY227,AY236,AY245,AY254,AY263,AY272,AY281,AY290,AY299,AY308,AY317,AY326,AY335,AY344,AY353,AY362,AY371,AY380,AY389,AY398,AY407,AY416,AY425,AY434,AY443,AY452,AY461,AY470,AY479,AY488,AY497,AY506,AY515,AY524,AY533,AY542,AY551,AY560,AY569,AY578,AY587,AY596,AY605,AY614,AY623,AY632,AY641,AY650,AY659,AY668,AY677,AY686,AY695,AY704,AY713,AY722,AY731,AY740,AY749,AY758,AY767,AY776,AY785,AY794,AY803,AY812,AY821,AY830,AY839,AY848,AY857,AY866,AY875,AY884,AY893,AY902,AY911,AY920,AY929,AY938,AY947,AY956,AY965,AY974,AY983,AY992,AY1001,AY1010,AY1019,AY1028)</f>
        <v>0</v>
      </c>
      <c r="AZ1039" s="34">
        <f t="shared" si="3552"/>
        <v>0</v>
      </c>
      <c r="BC1039" s="34">
        <f t="shared" ref="BC1039:BD1039" si="3553">SUM(BC11,BC20,BC29,BC38,BC47,BC56,BC65,BC74,BC83,BC92,BC101,BC110,BC119,BC128,BC137,BC146,BC155,BC164,BC173,BC182,BC191,BC200,BC209,BC218,BC227,BC236,BC245,BC254,BC263,BC272,BC281,BC290,BC299,BC308,BC317,BC326,BC335,BC344,BC353,BC362,BC371,BC380,BC389,BC398,BC407,BC416,BC425,BC434,BC443,BC452,BC461,BC470,BC479,BC488,BC497,BC506,BC515,BC524,BC533,BC542,BC551,BC560,BC569,BC578,BC587,BC596,BC605,BC614,BC623,BC632,BC641,BC650,BC659,BC668,BC677,BC686,BC695,BC704,BC713,BC722,BC731,BC740,BC749,BC758,BC767,BC776,BC785,BC794,BC803,BC812,BC821,BC830,BC839,BC848,BC857,BC866,BC875,BC884,BC893,BC902,BC911,BC920,BC929,BC938,BC947,BC956,BC965,BC974,BC983,BC992,BC1001,BC1010,BC1019,BC1028)</f>
        <v>0</v>
      </c>
      <c r="BD1039" s="34">
        <f t="shared" si="3553"/>
        <v>0</v>
      </c>
      <c r="BE1039" s="41"/>
      <c r="BF1039" s="34">
        <f t="shared" ref="BF1039:BH1039" si="3554">SUM(BF11,BF20,BF29,BF38,BF47,BF56,BF65,BF74,BF83,BF92,BF101,BF110,BF119,BF128,BF137,BF146,BF155,BF164,BF173,BF182,BF191,BF200,BF209,BF218,BF227,BF236,BF245,BF254,BF263,BF272,BF281,BF290,BF299,BF308,BF317,BF326,BF335,BF344,BF353,BF362,BF371,BF380,BF389,BF398,BF407,BF416,BF425,BF434,BF443,BF452,BF461,BF470,BF479,BF488,BF497,BF506,BF515,BF524,BF533,BF542,BF551,BF560,BF569,BF578,BF587,BF596,BF605,BF614,BF623,BF632,BF641,BF650,BF659,BF668,BF677,BF686,BF695,BF704,BF713,BF722,BF731,BF740,BF749,BF758,BF767,BF776,BF785,BF794,BF803,BF812,BF821,BF830,BF839,BF848,BF857,BF866,BF875,BF884,BF893,BF902,BF911,BF920,BF929,BF938,BF947,BF956,BF965,BF974,BF983,BF992,BF1001,BF1010,BF1019,BF1028)</f>
        <v>3990</v>
      </c>
      <c r="BG1039" s="34">
        <f t="shared" si="3554"/>
        <v>5190</v>
      </c>
      <c r="BH1039" s="35">
        <f t="shared" si="3554"/>
        <v>1219</v>
      </c>
    </row>
    <row r="1040" ht="15.75" customHeight="1" hidden="1" spans="4:60" x14ac:dyDescent="0.25">
      <c r="D1040" s="15" t="s">
        <v>50</v>
      </c>
      <c r="E1040" s="2" t="s">
        <v>49</v>
      </c>
      <c r="H1040" s="34">
        <f t="shared" si="3541"/>
        <v>129870.87</v>
      </c>
      <c r="K1040" s="34">
        <f t="shared" ref="K1040:L1040" si="3555">SUM(K12,K21,K30,K39,K48,K57,K66,K75,K84,K93,K102,K111,K120,K129,K138,K147,K156,K165,K174,K183,K192,K201,K210,K219,K228,K237,K246,K255,K264,K273,K282,K291,K300,K309,K318,K327,K336,K345,K354,K363,K372,K381,K390,K399,K408,K417,K426,K435,K444,K453,K462,K471,K480,K489,K498,K507,K516,K525,K534,K543,K552,K561,K570,K579,K588,K597,K606,K615,K624,K633,K642,K651,K660,K669,K678,K687,K696,K705,K714,K723,K732,K741,K750,K759,K768,K777,K786,K795,K804,K813,K822,K831,K840,K849,K858,K867,K876,K885,K894,K903,K912,K921,K930,K939,K948,K957,K966,K975,K984,K993,K1002,K1011,K1020,K1029)</f>
        <v>0</v>
      </c>
      <c r="L1040" s="34">
        <f t="shared" si="3555"/>
        <v>1800</v>
      </c>
      <c r="O1040" s="34">
        <f t="shared" ref="O1040:P1040" si="3556">SUM(O12,O21,O30,O39,O48,O57,O66,O75,O84,O93,O102,O111,O120,O129,O138,O147,O156,O165,O174,O183,O192,O201,O210,O219,O228,O237,O246,O255,O264,O273,O282,O291,O300,O309,O318,O327,O336,O345,O354,O363,O372,O381,O390,O399,O408,O417,O426,O435,O444,O453,O462,O471,O480,O489,O498,O507,O516,O525,O534,O543,O552,O561,O570,O579,O588,O597,O606,O615,O624,O633,O642,O651,O660,O669,O678,O687,O696,O705,O714,O723,O732,O741,O750,O759,O768,O777,O786,O795,O804,O813,O822,O831,O840,O849,O858,O867,O876,O885,O894,O903,O912,O921,O930,O939,O948,O957,O966,O975,O984,O993,O1002,O1011,O1020,O1029)</f>
        <v>0</v>
      </c>
      <c r="P1040" s="34">
        <f t="shared" si="3556"/>
        <v>1838.02</v>
      </c>
      <c r="S1040" s="34">
        <f t="shared" ref="S1040:T1040" si="3557">SUM(S12,S21,S30,S39,S48,S57,S66,S75,S84,S93,S102,S111,S120,S129,S138,S147,S156,S165,S174,S183,S192,S201,S210,S219,S228,S237,S246,S255,S264,S273,S282,S291,S300,S309,S318,S327,S336,S345,S354,S363,S372,S381,S390,S399,S408,S417,S426,S435,S444,S453,S462,S471,S480,S489,S498,S507,S516,S525,S534,S543,S552,S561,S570,S579,S588,S597,S606,S615,S624,S633,S642,S651,S660,S669,S678,S687,S696,S705,S714,S723,S732,S741,S750,S759,S768,S777,S786,S795,S804,S813,S822,S831,S840,S849,S858,S867,S876,S885,S894,S903,S912,S921,S930,S939,S948,S957,S966,S975,S984,S993,S1002,S1011,S1020,S1029)</f>
        <v>0</v>
      </c>
      <c r="T1040" s="34">
        <f t="shared" si="3557"/>
        <v>0.01</v>
      </c>
      <c r="W1040" s="34">
        <f t="shared" ref="W1040:X1040" si="3558">SUM(W12,W21,W30,W39,W48,W57,W66,W75,W84,W93,W102,W111,W120,W129,W138,W147,W156,W165,W174,W183,W192,W201,W210,W219,W228,W237,W246,W255,W264,W273,W282,W291,W300,W309,W318,W327,W336,W345,W354,W363,W372,W381,W390,W399,W408,W417,W426,W435,W444,W453,W462,W471,W480,W489,W498,W507,W516,W525,W534,W543,W552,W561,W570,W579,W588,W597,W606,W615,W624,W633,W642,W651,W660,W669,W678,W687,W696,W705,W714,W723,W732,W741,W750,W759,W768,W777,W786,W795,W804,W813,W822,W831,W840,W849,W858,W867,W876,W885,W894,W903,W912,W921,W930,W939,W948,W957,W966,W975,W984,W993,W1002,W1011,W1020,W1029)</f>
        <v>0</v>
      </c>
      <c r="X1040" s="34">
        <f t="shared" si="3558"/>
        <v>5688.75</v>
      </c>
      <c r="AA1040" s="34">
        <f t="shared" ref="AA1040:AB1040" si="3559">SUM(AA12,AA21,AA30,AA39,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,AA498,AA507,AA516,AA525,AA534,AA543,AA552,AA561,AA570,AA579,AA588,AA597,AA606,AA615,AA624,AA633,AA642,AA651,AA660,AA669,AA678,AA687,AA696,AA705,AA714,AA723,AA732,AA741,AA750,AA759,AA768,AA777,AA786,AA795,AA804,AA813,AA822,AA831,AA840,AA849,AA858,AA867,AA876,AA885,AA894,AA903,AA912,AA921,AA930,AA939,AA948,AA957,AA966,AA975,AA984,AA993,AA1002,AA1011,AA1020,AA1029)</f>
        <v>0</v>
      </c>
      <c r="AB1040" s="34">
        <f t="shared" si="3559"/>
        <v>20524</v>
      </c>
      <c r="AE1040" s="34">
        <f t="shared" ref="AE1040:AF1040" si="3560">SUM(AE12,AE21,AE30,AE39,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,AE498,AE507,AE516,AE525,AE534,AE543,AE552,AE561,AE570,AE579,AE588,AE597,AE606,AE615,AE624,AE633,AE642,AE651,AE660,AE669,AE678,AE687,AE696,AE705,AE714,AE723,AE732,AE741,AE750,AE759,AE768,AE777,AE786,AE795,AE804,AE813,AE822,AE831,AE840,AE849,AE858,AE867,AE876,AE885,AE894,AE903,AE912,AE921,AE930,AE939,AE948,AE957,AE966,AE975,AE984,AE993,AE1002,AE1011,AE1020,AE1029)</f>
        <v>556216</v>
      </c>
      <c r="AF1040" s="34">
        <f t="shared" si="3560"/>
        <v>209294.59</v>
      </c>
      <c r="AI1040" s="34">
        <f t="shared" ref="AI1040:AJ1040" si="3561">SUM(AI12,AI21,AI30,AI39,AI48,AI57,AI66,AI75,AI84,AI93,AI102,AI111,AI120,AI129,AI138,AI147,AI156,AI165,AI174,AI183,AI192,AI201,AI210,AI219,AI228,AI237,AI246,AI255,AI264,AI273,AI282,AI291,AI300,AI309,AI318,AI327,AI336,AI345,AI354,AI363,AI372,AI381,AI390,AI399,AI408,AI417,AI426,AI435,AI444,AI453,AI462,AI471,AI480,AI489,AI498,AI507,AI516,AI525,AI534,AI543,AI552,AI561,AI570,AI579,AI588,AI597,AI606,AI615,AI624,AI633,AI642,AI651,AI660,AI669,AI678,AI687,AI696,AI705,AI714,AI723,AI732,AI741,AI750,AI759,AI768,AI777,AI786,AI795,AI804,AI813,AI822,AI831,AI840,AI849,AI858,AI867,AI876,AI885,AI894,AI903,AI912,AI921,AI930,AI939,AI948,AI957,AI966,AI975,AI984,AI993,AI1002,AI1011,AI1020,AI1029)</f>
        <v>0</v>
      </c>
      <c r="AJ1040" s="34">
        <f t="shared" si="3561"/>
        <v>107376.48</v>
      </c>
      <c r="AM1040" s="34">
        <f t="shared" ref="AM1040:AN1040" si="3562">SUM(AM12,AM21,AM30,AM39,AM48,AM57,AM66,AM75,AM84,AM93,AM102,AM111,AM120,AM129,AM138,AM147,AM156,AM165,AM174,AM183,AM192,AM201,AM210,AM219,AM228,AM237,AM246,AM255,AM264,AM273,AM282,AM291,AM300,AM309,AM318,AM327,AM336,AM345,AM354,AM363,AM372,AM381,AM390,AM399,AM408,AM417,AM426,AM435,AM444,AM453,AM462,AM471,AM480,AM489,AM498,AM507,AM516,AM525,AM534,AM543,AM552,AM561,AM570,AM579,AM588,AM597,AM606,AM615,AM624,AM633,AM642,AM651,AM660,AM669,AM678,AM687,AM696,AM705,AM714,AM723,AM732,AM741,AM750,AM759,AM768,AM777,AM786,AM795,AM804,AM813,AM822,AM831,AM840,AM849,AM858,AM867,AM876,AM885,AM894,AM903,AM912,AM921,AM930,AM939,AM948,AM957,AM966,AM975,AM984,AM993,AM1002,AM1011,AM1020,AM1029)</f>
        <v>0</v>
      </c>
      <c r="AN1040" s="34">
        <f t="shared" si="3562"/>
        <v>71539.95</v>
      </c>
      <c r="AQ1040" s="34">
        <f t="shared" ref="AQ1040:AR1040" si="3563">SUM(AQ12,AQ21,AQ30,AQ39,AQ48,AQ57,AQ66,AQ75,AQ84,AQ93,AQ102,AQ111,AQ120,AQ129,AQ138,AQ147,AQ156,AQ165,AQ174,AQ183,AQ192,AQ201,AQ210,AQ219,AQ228,AQ237,AQ246,AQ255,AQ264,AQ273,AQ282,AQ291,AQ300,AQ309,AQ318,AQ327,AQ336,AQ345,AQ354,AQ363,AQ372,AQ381,AQ390,AQ399,AQ408,AQ417,AQ426,AQ435,AQ444,AQ453,AQ462,AQ471,AQ480,AQ489,AQ498,AQ507,AQ516,AQ525,AQ534,AQ543,AQ552,AQ561,AQ570,AQ579,AQ588,AQ597,AQ606,AQ615,AQ624,AQ633,AQ642,AQ651,AQ660,AQ669,AQ678,AQ687,AQ696,AQ705,AQ714,AQ723,AQ732,AQ741,AQ750,AQ759,AQ768,AQ777,AQ786,AQ795,AQ804,AQ813,AQ822,AQ831,AQ840,AQ849,AQ858,AQ867,AQ876,AQ885,AQ894,AQ903,AQ912,AQ921,AQ930,AQ939,AQ948,AQ957,AQ966,AQ975,AQ984,AQ993,AQ1002,AQ1011,AQ1020,AQ1029)</f>
        <v>0</v>
      </c>
      <c r="AR1040" s="34">
        <f t="shared" si="3563"/>
        <v>52276</v>
      </c>
      <c r="AU1040" s="34">
        <f t="shared" ref="AU1040:AV1040" si="3564">SUM(AU12,AU21,AU30,AU39,AU48,AU57,AU66,AU75,AU84,AU93,AU102,AU111,AU120,AU129,AU138,AU147,AU156,AU165,AU174,AU183,AU192,AU201,AU210,AU219,AU228,AU237,AU246,AU255,AU264,AU273,AU282,AU291,AU300,AU309,AU318,AU327,AU336,AU345,AU354,AU363,AU372,AU381,AU390,AU399,AU408,AU417,AU426,AU435,AU444,AU453,AU462,AU471,AU480,AU489,AU498,AU507,AU516,AU525,AU534,AU543,AU552,AU561,AU570,AU579,AU588,AU597,AU606,AU615,AU624,AU633,AU642,AU651,AU660,AU669,AU678,AU687,AU696,AU705,AU714,AU723,AU732,AU741,AU750,AU759,AU768,AU777,AU786,AU795,AU804,AU813,AU822,AU831,AU840,AU849,AU858,AU867,AU876,AU885,AU894,AU903,AU912,AU921,AU930,AU939,AU948,AU957,AU966,AU975,AU984,AU993,AU1002,AU1011,AU1020,AU1029)</f>
        <v>0</v>
      </c>
      <c r="AV1040" s="34">
        <f t="shared" si="3564"/>
        <v>13285</v>
      </c>
      <c r="AY1040" s="34">
        <f t="shared" ref="AY1040:AZ1040" si="3565">SUM(AY12,AY21,AY30,AY39,AY48,AY57,AY66,AY75,AY84,AY93,AY102,AY111,AY120,AY129,AY138,AY147,AY156,AY165,AY174,AY183,AY192,AY201,AY210,AY219,AY228,AY237,AY246,AY255,AY264,AY273,AY282,AY291,AY300,AY309,AY318,AY327,AY336,AY345,AY354,AY363,AY372,AY381,AY390,AY399,AY408,AY417,AY426,AY435,AY444,AY453,AY462,AY471,AY480,AY489,AY498,AY507,AY516,AY525,AY534,AY543,AY552,AY561,AY570,AY579,AY588,AY597,AY606,AY615,AY624,AY633,AY642,AY651,AY660,AY669,AY678,AY687,AY696,AY705,AY714,AY723,AY732,AY741,AY750,AY759,AY768,AY777,AY786,AY795,AY804,AY813,AY822,AY831,AY840,AY849,AY858,AY867,AY876,AY885,AY894,AY903,AY912,AY921,AY930,AY939,AY948,AY957,AY966,AY975,AY984,AY993,AY1002,AY1011,AY1020,AY1029)</f>
        <v>0</v>
      </c>
      <c r="AZ1040" s="34">
        <f t="shared" si="3565"/>
        <v>31084.52</v>
      </c>
      <c r="BC1040" s="34">
        <f t="shared" ref="BC1040:BD1040" si="3566">SUM(BC12,BC21,BC30,BC39,BC48,BC57,BC66,BC75,BC84,BC93,BC102,BC111,BC120,BC129,BC138,BC147,BC156,BC165,BC174,BC183,BC192,BC201,BC210,BC219,BC228,BC237,BC246,BC255,BC264,BC273,BC282,BC291,BC300,BC309,BC318,BC327,BC336,BC345,BC354,BC363,BC372,BC381,BC390,BC399,BC408,BC417,BC426,BC435,BC444,BC453,BC462,BC471,BC480,BC489,BC498,BC507,BC516,BC525,BC534,BC543,BC552,BC561,BC570,BC579,BC588,BC597,BC606,BC615,BC624,BC633,BC642,BC651,BC660,BC669,BC678,BC687,BC696,BC705,BC714,BC723,BC732,BC741,BC750,BC759,BC768,BC777,BC786,BC795,BC804,BC813,BC822,BC831,BC840,BC849,BC858,BC867,BC876,BC885,BC894,BC903,BC912,BC921,BC930,BC939,BC948,BC957,BC966,BC975,BC984,BC993,BC1002,BC1011,BC1020,BC1029)</f>
        <v>0</v>
      </c>
      <c r="BD1040" s="34">
        <f t="shared" si="3566"/>
        <v>4770.44</v>
      </c>
      <c r="BE1040" s="41"/>
      <c r="BF1040" s="34">
        <f t="shared" ref="BF1040:BH1040" si="3567">SUM(BF12,BF21,BF30,BF39,BF48,BF57,BF66,BF75,BF84,BF93,BF102,BF111,BF120,BF129,BF138,BF147,BF156,BF165,BF174,BF183,BF192,BF201,BF210,BF219,BF228,BF237,BF246,BF255,BF264,BF273,BF282,BF291,BF300,BF309,BF318,BF327,BF336,BF345,BF354,BF363,BF372,BF381,BF390,BF399,BF408,BF417,BF426,BF435,BF444,BF453,BF462,BF471,BF480,BF489,BF498,BF507,BF516,BF525,BF534,BF543,BF552,BF561,BF570,BF579,BF588,BF597,BF606,BF615,BF624,BF633,BF642,BF651,BF660,BF669,BF678,BF687,BF696,BF705,BF714,BF723,BF732,BF741,BF750,BF759,BF768,BF777,BF786,BF795,BF804,BF813,BF822,BF831,BF840,BF849,BF858,BF867,BF876,BF885,BF894,BF903,BF912,BF921,BF930,BF939,BF948,BF957,BF966,BF975,BF984,BF993,BF1002,BF1011,BF1020,BF1029)</f>
        <v>556216</v>
      </c>
      <c r="BG1040" s="34">
        <f t="shared" si="3567"/>
        <v>519477.76</v>
      </c>
      <c r="BH1040" s="35">
        <f t="shared" si="3567"/>
        <v>166609.11</v>
      </c>
    </row>
    <row r="1041" ht="15.75" customHeight="1" hidden="1" spans="4:60" x14ac:dyDescent="0.25">
      <c r="D1041" s="15" t="s">
        <v>51</v>
      </c>
      <c r="E1041" s="2" t="s">
        <v>39</v>
      </c>
      <c r="H1041" s="34">
        <f t="shared" si="3541"/>
        <v>57475.01</v>
      </c>
      <c r="K1041" s="34">
        <f t="shared" ref="K1041:L1041" si="3568">SUM(K13,K22,K31,K40,K49,K58,K67,K76,K85,K94,K103,K112,K121,K130,K139,K148,K157,K166,K175,K184,K193,K202,K211,K220,K229,K238,K247,K256,K265,K274,K283,K292,K301,K310,K319,K328,K337,K346,K355,K364,K373,K382,K391,K400,K409,K418,K427,K436,K445,K454,K463,K472,K481,K490,K499,K508,K517,K526,K535,K544,K553,K562,K571,K580,K589,K598,K607,K616,K625,K634,K643,K652,K661,K670,K679,K688,K697,K706,K715,K724,K733,K742,K751,K760,K769,K778,K787,K796,K805,K814,K823,K832,K841,K850,K859,K868,K877,K886,K895,K904,K913,K922,K931,K940,K949,K958,K967,K976,K985,K994,K1003,K1012,K1021,K1030)</f>
        <v>0</v>
      </c>
      <c r="L1041" s="34">
        <f t="shared" si="3568"/>
        <v>0</v>
      </c>
      <c r="O1041" s="34">
        <f t="shared" ref="O1041:P1041" si="3569">SUM(O13,O22,O31,O40,O49,O58,O67,O76,O85,O94,O103,O112,O121,O130,O139,O148,O157,O166,O175,O184,O193,O202,O211,O220,O229,O238,O247,O256,O265,O274,O283,O292,O301,O310,O319,O328,O337,O346,O355,O364,O373,O382,O391,O400,O409,O418,O427,O436,O445,O454,O463,O472,O481,O490,O499,O508,O517,O526,O535,O544,O553,O562,O571,O580,O589,O598,O607,O616,O625,O634,O643,O652,O661,O670,O679,O688,O697,O706,O715,O724,O733,O742,O751,O760,O769,O778,O787,O796,O805,O814,O823,O832,O841,O850,O859,O868,O877,O886,O895,O904,O913,O922,O931,O940,O949,O958,O967,O976,O985,O994,O1003,O1012,O1021,O1030)</f>
        <v>0</v>
      </c>
      <c r="P1041" s="34">
        <f t="shared" si="3569"/>
        <v>0</v>
      </c>
      <c r="S1041" s="34">
        <f t="shared" ref="S1041:T1041" si="3570">SUM(S13,S22,S31,S40,S49,S58,S67,S76,S85,S94,S103,S112,S121,S130,S139,S148,S157,S166,S175,S184,S193,S202,S211,S220,S229,S238,S247,S256,S265,S274,S283,S292,S301,S310,S319,S328,S337,S346,S355,S364,S373,S382,S391,S400,S409,S418,S427,S436,S445,S454,S463,S472,S481,S490,S499,S508,S517,S526,S535,S544,S553,S562,S571,S580,S589,S598,S607,S616,S625,S634,S643,S652,S661,S670,S679,S688,S697,S706,S715,S724,S733,S742,S751,S760,S769,S778,S787,S796,S805,S814,S823,S832,S841,S850,S859,S868,S877,S886,S895,S904,S913,S922,S931,S940,S949,S958,S967,S976,S985,S994,S1003,S1012,S1021,S1030)</f>
        <v>0</v>
      </c>
      <c r="T1041" s="34">
        <f t="shared" si="3570"/>
        <v>0</v>
      </c>
      <c r="W1041" s="34">
        <f t="shared" ref="W1041:X1041" si="3571">SUM(W13,W22,W31,W40,W49,W58,W67,W76,W85,W94,W103,W112,W121,W130,W139,W148,W157,W166,W175,W184,W193,W202,W211,W220,W229,W238,W247,W256,W265,W274,W283,W292,W301,W310,W319,W328,W337,W346,W355,W364,W373,W382,W391,W400,W409,W418,W427,W436,W445,W454,W463,W472,W481,W490,W499,W508,W517,W526,W535,W544,W553,W562,W571,W580,W589,W598,W607,W616,W625,W634,W643,W652,W661,W670,W679,W688,W697,W706,W715,W724,W733,W742,W751,W760,W769,W778,W787,W796,W805,W814,W823,W832,W841,W850,W859,W868,W877,W886,W895,W904,W913,W922,W931,W940,W949,W958,W967,W976,W985,W994,W1003,W1012,W1021,W1030)</f>
        <v>0</v>
      </c>
      <c r="X1041" s="34">
        <f t="shared" si="3571"/>
        <v>2050</v>
      </c>
      <c r="AA1041" s="34">
        <f t="shared" ref="AA1041:AB1041" si="3572">SUM(AA13,AA22,AA31,AA40,AA49,AA58,AA67,AA76,AA85,AA94,AA103,AA112,AA121,AA130,AA139,AA148,AA157,AA166,AA175,AA184,AA193,AA202,AA211,AA220,AA229,AA238,AA247,AA256,AA265,AA274,AA283,AA292,AA301,AA310,AA319,AA328,AA337,AA346,AA355,AA364,AA373,AA382,AA391,AA400,AA409,AA418,AA427,AA436,AA445,AA454,AA463,AA472,AA481,AA490,AA499,AA508,AA517,AA526,AA535,AA544,AA553,AA562,AA571,AA580,AA589,AA598,AA607,AA616,AA625,AA634,AA643,AA652,AA661,AA670,AA679,AA688,AA697,AA706,AA715,AA724,AA733,AA742,AA751,AA760,AA769,AA778,AA787,AA796,AA805,AA814,AA823,AA832,AA841,AA850,AA859,AA868,AA877,AA886,AA895,AA904,AA913,AA922,AA931,AA940,AA949,AA958,AA967,AA976,AA985,AA994,AA1003,AA1012,AA1021,AA1030)</f>
        <v>0</v>
      </c>
      <c r="AB1041" s="34">
        <f t="shared" si="3572"/>
        <v>1000</v>
      </c>
      <c r="AE1041" s="34">
        <f t="shared" ref="AE1041:AF1041" si="3573">SUM(AE13,AE22,AE31,AE40,AE49,AE58,AE67,AE76,AE85,AE94,AE103,AE112,AE121,AE130,AE139,AE148,AE157,AE166,AE175,AE184,AE193,AE202,AE211,AE220,AE229,AE238,AE247,AE256,AE265,AE274,AE283,AE292,AE301,AE310,AE319,AE328,AE337,AE346,AE355,AE364,AE373,AE382,AE391,AE400,AE409,AE418,AE427,AE436,AE445,AE454,AE463,AE472,AE481,AE490,AE499,AE508,AE517,AE526,AE535,AE544,AE553,AE562,AE571,AE580,AE589,AE598,AE607,AE616,AE625,AE634,AE643,AE652,AE661,AE670,AE679,AE688,AE697,AE706,AE715,AE724,AE733,AE742,AE751,AE760,AE769,AE778,AE787,AE796,AE805,AE814,AE823,AE832,AE841,AE850,AE859,AE868,AE877,AE886,AE895,AE904,AE913,AE922,AE931,AE940,AE949,AE958,AE967,AE976,AE985,AE994,AE1003,AE1012,AE1021,AE1030)</f>
        <v>0</v>
      </c>
      <c r="AF1041" s="34">
        <f t="shared" si="3573"/>
        <v>1500</v>
      </c>
      <c r="AI1041" s="34">
        <f t="shared" ref="AI1041:AJ1041" si="3574">SUM(AI13,AI22,AI31,AI40,AI49,AI58,AI67,AI76,AI85,AI94,AI103,AI112,AI121,AI130,AI139,AI148,AI157,AI166,AI175,AI184,AI193,AI202,AI211,AI220,AI229,AI238,AI247,AI256,AI265,AI274,AI283,AI292,AI301,AI310,AI319,AI328,AI337,AI346,AI355,AI364,AI373,AI382,AI391,AI400,AI409,AI418,AI427,AI436,AI445,AI454,AI463,AI472,AI481,AI490,AI499,AI508,AI517,AI526,AI535,AI544,AI553,AI562,AI571,AI580,AI589,AI598,AI607,AI616,AI625,AI634,AI643,AI652,AI661,AI670,AI679,AI688,AI697,AI706,AI715,AI724,AI733,AI742,AI751,AI760,AI769,AI778,AI787,AI796,AI805,AI814,AI823,AI832,AI841,AI850,AI859,AI868,AI877,AI886,AI895,AI904,AI913,AI922,AI931,AI940,AI949,AI958,AI967,AI976,AI985,AI994,AI1003,AI1012,AI1021,AI1030)</f>
        <v>0</v>
      </c>
      <c r="AJ1041" s="34">
        <f t="shared" si="3574"/>
        <v>0</v>
      </c>
      <c r="AM1041" s="34">
        <f t="shared" ref="AM1041:AN1041" si="3575">SUM(AM13,AM22,AM31,AM40,AM49,AM58,AM67,AM76,AM85,AM94,AM103,AM112,AM121,AM130,AM139,AM148,AM157,AM166,AM175,AM184,AM193,AM202,AM211,AM220,AM229,AM238,AM247,AM256,AM265,AM274,AM283,AM292,AM301,AM310,AM319,AM328,AM337,AM346,AM355,AM364,AM373,AM382,AM391,AM400,AM409,AM418,AM427,AM436,AM445,AM454,AM463,AM472,AM481,AM490,AM499,AM508,AM517,AM526,AM535,AM544,AM553,AM562,AM571,AM580,AM589,AM598,AM607,AM616,AM625,AM634,AM643,AM652,AM661,AM670,AM679,AM688,AM697,AM706,AM715,AM724,AM733,AM742,AM751,AM760,AM769,AM778,AM787,AM796,AM805,AM814,AM823,AM832,AM841,AM850,AM859,AM868,AM877,AM886,AM895,AM904,AM913,AM922,AM931,AM940,AM949,AM958,AM967,AM976,AM985,AM994,AM1003,AM1012,AM1021,AM1030)</f>
        <v>0</v>
      </c>
      <c r="AN1041" s="34">
        <f t="shared" si="3575"/>
        <v>982.01</v>
      </c>
      <c r="AQ1041" s="34">
        <f t="shared" ref="AQ1041:AR1041" si="3576">SUM(AQ13,AQ22,AQ31,AQ40,AQ49,AQ58,AQ67,AQ76,AQ85,AQ94,AQ103,AQ112,AQ121,AQ130,AQ139,AQ148,AQ157,AQ166,AQ175,AQ184,AQ193,AQ202,AQ211,AQ220,AQ229,AQ238,AQ247,AQ256,AQ265,AQ274,AQ283,AQ292,AQ301,AQ310,AQ319,AQ328,AQ337,AQ346,AQ355,AQ364,AQ373,AQ382,AQ391,AQ400,AQ409,AQ418,AQ427,AQ436,AQ445,AQ454,AQ463,AQ472,AQ481,AQ490,AQ499,AQ508,AQ517,AQ526,AQ535,AQ544,AQ553,AQ562,AQ571,AQ580,AQ589,AQ598,AQ607,AQ616,AQ625,AQ634,AQ643,AQ652,AQ661,AQ670,AQ679,AQ688,AQ697,AQ706,AQ715,AQ724,AQ733,AQ742,AQ751,AQ760,AQ769,AQ778,AQ787,AQ796,AQ805,AQ814,AQ823,AQ832,AQ841,AQ850,AQ859,AQ868,AQ877,AQ886,AQ895,AQ904,AQ913,AQ922,AQ931,AQ940,AQ949,AQ958,AQ967,AQ976,AQ985,AQ994,AQ1003,AQ1012,AQ1021,AQ1030)</f>
        <v>56500</v>
      </c>
      <c r="AR1041" s="34">
        <f t="shared" si="3576"/>
        <v>3500</v>
      </c>
      <c r="AU1041" s="34">
        <f t="shared" ref="AU1041:AV1041" si="3577">SUM(AU13,AU22,AU31,AU40,AU49,AU58,AU67,AU76,AU85,AU94,AU103,AU112,AU121,AU130,AU139,AU148,AU157,AU166,AU175,AU184,AU193,AU202,AU211,AU220,AU229,AU238,AU247,AU256,AU265,AU274,AU283,AU292,AU301,AU310,AU319,AU328,AU337,AU346,AU355,AU364,AU373,AU382,AU391,AU400,AU409,AU418,AU427,AU436,AU445,AU454,AU463,AU472,AU481,AU490,AU499,AU508,AU517,AU526,AU535,AU544,AU553,AU562,AU571,AU580,AU589,AU598,AU607,AU616,AU625,AU634,AU643,AU652,AU661,AU670,AU679,AU688,AU697,AU706,AU715,AU724,AU733,AU742,AU751,AU760,AU769,AU778,AU787,AU796,AU805,AU814,AU823,AU832,AU841,AU850,AU859,AU868,AU877,AU886,AU895,AU904,AU913,AU922,AU931,AU940,AU949,AU958,AU967,AU976,AU985,AU994,AU1003,AU1012,AU1021,AU1030)</f>
        <v>0</v>
      </c>
      <c r="AV1041" s="34">
        <f t="shared" si="3577"/>
        <v>1450</v>
      </c>
      <c r="AY1041" s="34">
        <f t="shared" ref="AY1041:AZ1041" si="3578">SUM(AY13,AY22,AY31,AY40,AY49,AY58,AY67,AY76,AY85,AY94,AY103,AY112,AY121,AY130,AY139,AY148,AY157,AY166,AY175,AY184,AY193,AY202,AY211,AY220,AY229,AY238,AY247,AY256,AY265,AY274,AY283,AY292,AY301,AY310,AY319,AY328,AY337,AY346,AY355,AY364,AY373,AY382,AY391,AY400,AY409,AY418,AY427,AY436,AY445,AY454,AY463,AY472,AY481,AY490,AY499,AY508,AY517,AY526,AY535,AY544,AY553,AY562,AY571,AY580,AY589,AY598,AY607,AY616,AY625,AY634,AY643,AY652,AY661,AY670,AY679,AY688,AY697,AY706,AY715,AY724,AY733,AY742,AY751,AY760,AY769,AY778,AY787,AY796,AY805,AY814,AY823,AY832,AY841,AY850,AY859,AY868,AY877,AY886,AY895,AY904,AY913,AY922,AY931,AY940,AY949,AY958,AY967,AY976,AY985,AY994,AY1003,AY1012,AY1021,AY1030)</f>
        <v>0</v>
      </c>
      <c r="AZ1041" s="34">
        <f t="shared" si="3578"/>
        <v>20000</v>
      </c>
      <c r="BC1041" s="34">
        <f t="shared" ref="BC1041:BD1041" si="3579">SUM(BC13,BC22,BC31,BC40,BC49,BC58,BC67,BC76,BC85,BC94,BC103,BC112,BC121,BC130,BC139,BC148,BC157,BC166,BC175,BC184,BC193,BC202,BC211,BC220,BC229,BC238,BC247,BC256,BC265,BC274,BC283,BC292,BC301,BC310,BC319,BC328,BC337,BC346,BC355,BC364,BC373,BC382,BC391,BC400,BC409,BC418,BC427,BC436,BC445,BC454,BC463,BC472,BC481,BC490,BC499,BC508,BC517,BC526,BC535,BC544,BC553,BC562,BC571,BC580,BC589,BC598,BC607,BC616,BC625,BC634,BC643,BC652,BC661,BC670,BC679,BC688,BC697,BC706,BC715,BC724,BC733,BC742,BC751,BC760,BC769,BC778,BC787,BC796,BC805,BC814,BC823,BC832,BC841,BC850,BC859,BC868,BC877,BC886,BC895,BC904,BC913,BC922,BC931,BC940,BC949,BC958,BC967,BC976,BC985,BC994,BC1003,BC1012,BC1021,BC1030)</f>
        <v>0</v>
      </c>
      <c r="BD1041" s="34">
        <f t="shared" si="3579"/>
        <v>529.56</v>
      </c>
      <c r="BE1041" s="41"/>
      <c r="BF1041" s="34">
        <f t="shared" ref="BF1041:BH1041" si="3580">SUM(BF13,BF22,BF31,BF40,BF49,BF58,BF67,BF76,BF85,BF94,BF103,BF112,BF121,BF130,BF139,BF148,BF157,BF166,BF175,BF184,BF193,BF202,BF211,BF220,BF229,BF238,BF247,BF256,BF265,BF274,BF283,BF292,BF301,BF310,BF319,BF328,BF337,BF346,BF355,BF364,BF373,BF382,BF391,BF400,BF409,BF418,BF427,BF436,BF445,BF454,BF463,BF472,BF481,BF490,BF499,BF508,BF517,BF526,BF535,BF544,BF553,BF562,BF571,BF580,BF589,BF598,BF607,BF616,BF625,BF634,BF643,BF652,BF661,BF670,BF679,BF688,BF697,BF706,BF715,BF724,BF733,BF742,BF751,BF760,BF769,BF778,BF787,BF796,BF805,BF814,BF823,BF832,BF841,BF850,BF859,BF868,BF877,BF886,BF895,BF904,BF913,BF922,BF931,BF940,BF949,BF958,BF967,BF976,BF985,BF994,BF1003,BF1012,BF1021,BF1030)</f>
        <v>56500</v>
      </c>
      <c r="BG1041" s="34">
        <f t="shared" si="3580"/>
        <v>31011.57</v>
      </c>
      <c r="BH1041" s="35">
        <f t="shared" si="3580"/>
        <v>82963.44</v>
      </c>
    </row>
    <row r="1042" ht="15.75" customHeight="1" hidden="1" spans="4:60" x14ac:dyDescent="0.25">
      <c r="D1042" s="15" t="s">
        <v>51</v>
      </c>
      <c r="E1042" s="2" t="s">
        <v>49</v>
      </c>
      <c r="H1042" s="34">
        <f t="shared" si="3541"/>
        <v>0</v>
      </c>
      <c r="K1042" s="34">
        <f t="shared" ref="K1042:L1042" si="3581">SUM(K14,K23,K32,K41,K50,K59,K68,K77,K86,K95,K104,K113,K122,K131,K140,K149,K158,K167,K176,K185,K194,K203,K212,K221,K230,K239,K248,K257,K266,K275,K284,K293,K302,K311,K320,K329,K338,K347,K356,K365,K374,K383,K392,K401,K410,K419,K428,K437,K446,K455,K464,K473,K482,K491,K500,K509,K518,K527,K536,K545,K554,K563,K572,K581,K590,K599,K608,K617,K626,K635,K644,K653,K662,K671,K680,K689,K698,K707,K716,K725,K734,K743,K752,K761,K770,K779,K788,K797,K806,K815,K824,K833,K842,K851,K860,K869,K878,K887,K896,K905,K914,K923,K932,K941,K950,K959,K968,K977,K986,K995,K1004,K1013,K1022,K1031)</f>
        <v>0</v>
      </c>
      <c r="L1042" s="34">
        <f t="shared" si="3581"/>
        <v>0</v>
      </c>
      <c r="O1042" s="34">
        <f t="shared" ref="O1042:P1042" si="3582">SUM(O14,O23,O32,O41,O50,O59,O68,O77,O86,O95,O104,O113,O122,O131,O140,O149,O158,O167,O176,O185,O194,O203,O212,O221,O230,O239,O248,O257,O266,O275,O284,O293,O302,O311,O320,O329,O338,O347,O356,O365,O374,O383,O392,O401,O410,O419,O428,O437,O446,O455,O464,O473,O482,O491,O500,O509,O518,O527,O536,O545,O554,O563,O572,O581,O590,O599,O608,O617,O626,O635,O644,O653,O662,O671,O680,O689,O698,O707,O716,O725,O734,O743,O752,O761,O770,O779,O788,O797,O806,O815,O824,O833,O842,O851,O860,O869,O878,O887,O896,O905,O914,O923,O932,O941,O950,O959,O968,O977,O986,O995,O1004,O1013,O1022,O1031)</f>
        <v>0</v>
      </c>
      <c r="P1042" s="34">
        <f t="shared" si="3582"/>
        <v>0</v>
      </c>
      <c r="S1042" s="34">
        <f t="shared" ref="S1042:T1042" si="3583">SUM(S14,S23,S32,S41,S50,S59,S68,S77,S86,S95,S104,S113,S122,S131,S140,S149,S158,S167,S176,S185,S194,S203,S212,S221,S230,S239,S248,S257,S266,S275,S284,S293,S302,S311,S320,S329,S338,S347,S356,S365,S374,S383,S392,S401,S410,S419,S428,S437,S446,S455,S464,S473,S482,S491,S500,S509,S518,S527,S536,S545,S554,S563,S572,S581,S590,S599,S608,S617,S626,S635,S644,S653,S662,S671,S680,S689,S698,S707,S716,S725,S734,S743,S752,S761,S770,S779,S788,S797,S806,S815,S824,S833,S842,S851,S860,S869,S878,S887,S896,S905,S914,S923,S932,S941,S950,S959,S968,S977,S986,S995,S1004,S1013,S1022,S1031)</f>
        <v>0</v>
      </c>
      <c r="T1042" s="34">
        <f t="shared" si="3583"/>
        <v>0</v>
      </c>
      <c r="W1042" s="34">
        <f t="shared" ref="W1042:X1042" si="3584">SUM(W14,W23,W32,W41,W50,W59,W68,W77,W86,W95,W104,W113,W122,W131,W140,W149,W158,W167,W176,W185,W194,W203,W212,W221,W230,W239,W248,W257,W266,W275,W284,W293,W302,W311,W320,W329,W338,W347,W356,W365,W374,W383,W392,W401,W410,W419,W428,W437,W446,W455,W464,W473,W482,W491,W500,W509,W518,W527,W536,W545,W554,W563,W572,W581,W590,W599,W608,W617,W626,W635,W644,W653,W662,W671,W680,W689,W698,W707,W716,W725,W734,W743,W752,W761,W770,W779,W788,W797,W806,W815,W824,W833,W842,W851,W860,W869,W878,W887,W896,W905,W914,W923,W932,W941,W950,W959,W968,W977,W986,W995,W1004,W1013,W1022,W1031)</f>
        <v>0</v>
      </c>
      <c r="X1042" s="34">
        <f t="shared" si="3584"/>
        <v>0</v>
      </c>
      <c r="AA1042" s="34">
        <f t="shared" ref="AA1042:AB1042" si="3585">SUM(AA14,AA23,AA32,AA41,AA50,AA59,AA68,AA77,AA86,AA95,AA104,AA113,AA122,AA131,AA140,AA149,AA158,AA167,AA176,AA185,AA194,AA203,AA212,AA221,AA230,AA239,AA248,AA257,AA266,AA275,AA284,AA293,AA302,AA311,AA320,AA329,AA338,AA347,AA356,AA365,AA374,AA383,AA392,AA401,AA410,AA419,AA428,AA437,AA446,AA455,AA464,AA473,AA482,AA491,AA500,AA509,AA518,AA527,AA536,AA545,AA554,AA563,AA572,AA581,AA590,AA599,AA608,AA617,AA626,AA635,AA644,AA653,AA662,AA671,AA680,AA689,AA698,AA707,AA716,AA725,AA734,AA743,AA752,AA761,AA770,AA779,AA788,AA797,AA806,AA815,AA824,AA833,AA842,AA851,AA860,AA869,AA878,AA887,AA896,AA905,AA914,AA923,AA932,AA941,AA950,AA959,AA968,AA977,AA986,AA995,AA1004,AA1013,AA1022,AA1031)</f>
        <v>0</v>
      </c>
      <c r="AB1042" s="34">
        <f t="shared" si="3585"/>
        <v>0</v>
      </c>
      <c r="AE1042" s="34">
        <f t="shared" ref="AE1042:AF1042" si="3586">SUM(AE14,AE23,AE32,AE41,AE50,AE59,AE68,AE77,AE86,AE95,AE104,AE113,AE122,AE131,AE140,AE149,AE158,AE167,AE176,AE185,AE194,AE203,AE212,AE221,AE230,AE239,AE248,AE257,AE266,AE275,AE284,AE293,AE302,AE311,AE320,AE329,AE338,AE347,AE356,AE365,AE374,AE383,AE392,AE401,AE410,AE419,AE428,AE437,AE446,AE455,AE464,AE473,AE482,AE491,AE500,AE509,AE518,AE527,AE536,AE545,AE554,AE563,AE572,AE581,AE590,AE599,AE608,AE617,AE626,AE635,AE644,AE653,AE662,AE671,AE680,AE689,AE698,AE707,AE716,AE725,AE734,AE743,AE752,AE761,AE770,AE779,AE788,AE797,AE806,AE815,AE824,AE833,AE842,AE851,AE860,AE869,AE878,AE887,AE896,AE905,AE914,AE923,AE932,AE941,AE950,AE959,AE968,AE977,AE986,AE995,AE1004,AE1013,AE1022,AE1031)</f>
        <v>0</v>
      </c>
      <c r="AF1042" s="34">
        <f t="shared" si="3586"/>
        <v>0</v>
      </c>
      <c r="AI1042" s="34">
        <f t="shared" ref="AI1042:AJ1042" si="3587">SUM(AI14,AI23,AI32,AI41,AI50,AI59,AI68,AI77,AI86,AI95,AI104,AI113,AI122,AI131,AI140,AI149,AI158,AI167,AI176,AI185,AI194,AI203,AI212,AI221,AI230,AI239,AI248,AI257,AI266,AI275,AI284,AI293,AI302,AI311,AI320,AI329,AI338,AI347,AI356,AI365,AI374,AI383,AI392,AI401,AI410,AI419,AI428,AI437,AI446,AI455,AI464,AI473,AI482,AI491,AI500,AI509,AI518,AI527,AI536,AI545,AI554,AI563,AI572,AI581,AI590,AI599,AI608,AI617,AI626,AI635,AI644,AI653,AI662,AI671,AI680,AI689,AI698,AI707,AI716,AI725,AI734,AI743,AI752,AI761,AI770,AI779,AI788,AI797,AI806,AI815,AI824,AI833,AI842,AI851,AI860,AI869,AI878,AI887,AI896,AI905,AI914,AI923,AI932,AI941,AI950,AI959,AI968,AI977,AI986,AI995,AI1004,AI1013,AI1022,AI1031)</f>
        <v>0</v>
      </c>
      <c r="AJ1042" s="34">
        <f t="shared" si="3587"/>
        <v>0</v>
      </c>
      <c r="AM1042" s="34">
        <f t="shared" ref="AM1042:AN1042" si="3588">SUM(AM14,AM23,AM32,AM41,AM50,AM59,AM68,AM77,AM86,AM95,AM104,AM113,AM122,AM131,AM140,AM149,AM158,AM167,AM176,AM185,AM194,AM203,AM212,AM221,AM230,AM239,AM248,AM257,AM266,AM275,AM284,AM293,AM302,AM311,AM320,AM329,AM338,AM347,AM356,AM365,AM374,AM383,AM392,AM401,AM410,AM419,AM428,AM437,AM446,AM455,AM464,AM473,AM482,AM491,AM500,AM509,AM518,AM527,AM536,AM545,AM554,AM563,AM572,AM581,AM590,AM599,AM608,AM617,AM626,AM635,AM644,AM653,AM662,AM671,AM680,AM689,AM698,AM707,AM716,AM725,AM734,AM743,AM752,AM761,AM770,AM779,AM788,AM797,AM806,AM815,AM824,AM833,AM842,AM851,AM860,AM869,AM878,AM887,AM896,AM905,AM914,AM923,AM932,AM941,AM950,AM959,AM968,AM977,AM986,AM995,AM1004,AM1013,AM1022,AM1031)</f>
        <v>0</v>
      </c>
      <c r="AN1042" s="34">
        <f t="shared" si="3588"/>
        <v>0</v>
      </c>
      <c r="AQ1042" s="34">
        <f t="shared" ref="AQ1042:AR1042" si="3589">SUM(AQ14,AQ23,AQ32,AQ41,AQ50,AQ59,AQ68,AQ77,AQ86,AQ95,AQ104,AQ113,AQ122,AQ131,AQ140,AQ149,AQ158,AQ167,AQ176,AQ185,AQ194,AQ203,AQ212,AQ221,AQ230,AQ239,AQ248,AQ257,AQ266,AQ275,AQ284,AQ293,AQ302,AQ311,AQ320,AQ329,AQ338,AQ347,AQ356,AQ365,AQ374,AQ383,AQ392,AQ401,AQ410,AQ419,AQ428,AQ437,AQ446,AQ455,AQ464,AQ473,AQ482,AQ491,AQ500,AQ509,AQ518,AQ527,AQ536,AQ545,AQ554,AQ563,AQ572,AQ581,AQ590,AQ599,AQ608,AQ617,AQ626,AQ635,AQ644,AQ653,AQ662,AQ671,AQ680,AQ689,AQ698,AQ707,AQ716,AQ725,AQ734,AQ743,AQ752,AQ761,AQ770,AQ779,AQ788,AQ797,AQ806,AQ815,AQ824,AQ833,AQ842,AQ851,AQ860,AQ869,AQ878,AQ887,AQ896,AQ905,AQ914,AQ923,AQ932,AQ941,AQ950,AQ959,AQ968,AQ977,AQ986,AQ995,AQ1004,AQ1013,AQ1022,AQ1031)</f>
        <v>250780</v>
      </c>
      <c r="AR1042" s="34">
        <f t="shared" si="3589"/>
        <v>9774.5</v>
      </c>
      <c r="AU1042" s="34">
        <f t="shared" ref="AU1042:AV1042" si="3590">SUM(AU14,AU23,AU32,AU41,AU50,AU59,AU68,AU77,AU86,AU95,AU104,AU113,AU122,AU131,AU140,AU149,AU158,AU167,AU176,AU185,AU194,AU203,AU212,AU221,AU230,AU239,AU248,AU257,AU266,AU275,AU284,AU293,AU302,AU311,AU320,AU329,AU338,AU347,AU356,AU365,AU374,AU383,AU392,AU401,AU410,AU419,AU428,AU437,AU446,AU455,AU464,AU473,AU482,AU491,AU500,AU509,AU518,AU527,AU536,AU545,AU554,AU563,AU572,AU581,AU590,AU599,AU608,AU617,AU626,AU635,AU644,AU653,AU662,AU671,AU680,AU689,AU698,AU707,AU716,AU725,AU734,AU743,AU752,AU761,AU770,AU779,AU788,AU797,AU806,AU815,AU824,AU833,AU842,AU851,AU860,AU869,AU878,AU887,AU896,AU905,AU914,AU923,AU932,AU941,AU950,AU959,AU968,AU977,AU986,AU995,AU1004,AU1013,AU1022,AU1031)</f>
        <v>0</v>
      </c>
      <c r="AV1042" s="34">
        <f t="shared" si="3590"/>
        <v>2919.64</v>
      </c>
      <c r="AY1042" s="34">
        <f t="shared" ref="AY1042:AZ1042" si="3591">SUM(AY14,AY23,AY32,AY41,AY50,AY59,AY68,AY77,AY86,AY95,AY104,AY113,AY122,AY131,AY140,AY149,AY158,AY167,AY176,AY185,AY194,AY203,AY212,AY221,AY230,AY239,AY248,AY257,AY266,AY275,AY284,AY293,AY302,AY311,AY320,AY329,AY338,AY347,AY356,AY365,AY374,AY383,AY392,AY401,AY410,AY419,AY428,AY437,AY446,AY455,AY464,AY473,AY482,AY491,AY500,AY509,AY518,AY527,AY536,AY545,AY554,AY563,AY572,AY581,AY590,AY599,AY608,AY617,AY626,AY635,AY644,AY653,AY662,AY671,AY680,AY689,AY698,AY707,AY716,AY725,AY734,AY743,AY752,AY761,AY770,AY779,AY788,AY797,AY806,AY815,AY824,AY833,AY842,AY851,AY860,AY869,AY878,AY887,AY896,AY905,AY914,AY923,AY932,AY941,AY950,AY959,AY968,AY977,AY986,AY995,AY1004,AY1013,AY1022,AY1031)</f>
        <v>0</v>
      </c>
      <c r="AZ1042" s="34">
        <f t="shared" si="3591"/>
        <v>23465</v>
      </c>
      <c r="BC1042" s="34">
        <f t="shared" ref="BC1042:BD1042" si="3592">SUM(BC14,BC23,BC32,BC41,BC50,BC59,BC68,BC77,BC86,BC95,BC104,BC113,BC122,BC131,BC140,BC149,BC158,BC167,BC176,BC185,BC194,BC203,BC212,BC221,BC230,BC239,BC248,BC257,BC266,BC275,BC284,BC293,BC302,BC311,BC320,BC329,BC338,BC347,BC356,BC365,BC374,BC383,BC392,BC401,BC410,BC419,BC428,BC437,BC446,BC455,BC464,BC473,BC482,BC491,BC500,BC509,BC518,BC527,BC536,BC545,BC554,BC563,BC572,BC581,BC590,BC599,BC608,BC617,BC626,BC635,BC644,BC653,BC662,BC671,BC680,BC689,BC698,BC707,BC716,BC725,BC734,BC743,BC752,BC761,BC770,BC779,BC788,BC797,BC806,BC815,BC824,BC833,BC842,BC851,BC860,BC869,BC878,BC887,BC896,BC905,BC914,BC923,BC932,BC941,BC950,BC959,BC968,BC977,BC986,BC995,BC1004,BC1013,BC1022,BC1031)</f>
        <v>0</v>
      </c>
      <c r="BD1042" s="34">
        <f t="shared" si="3592"/>
        <v>8625</v>
      </c>
      <c r="BE1042" s="41"/>
      <c r="BF1042" s="34">
        <f t="shared" ref="BF1042:BH1042" si="3593">SUM(BF14,BF23,BF32,BF41,BF50,BF59,BF68,BF77,BF86,BF95,BF104,BF113,BF122,BF131,BF140,BF149,BF158,BF167,BF176,BF185,BF194,BF203,BF212,BF221,BF230,BF239,BF248,BF257,BF266,BF275,BF284,BF293,BF302,BF311,BF320,BF329,BF338,BF347,BF356,BF365,BF374,BF383,BF392,BF401,BF410,BF419,BF428,BF437,BF446,BF455,BF464,BF473,BF482,BF491,BF500,BF509,BF518,BF527,BF536,BF545,BF554,BF563,BF572,BF581,BF590,BF599,BF608,BF617,BF626,BF635,BF644,BF653,BF662,BF671,BF680,BF689,BF698,BF707,BF716,BF725,BF734,BF743,BF752,BF761,BF770,BF779,BF788,BF797,BF806,BF815,BF824,BF833,BF842,BF851,BF860,BF869,BF878,BF887,BF896,BF905,BF914,BF923,BF932,BF941,BF950,BF959,BF968,BF977,BF986,BF995,BF1004,BF1013,BF1022,BF1031)</f>
        <v>250780</v>
      </c>
      <c r="BG1042" s="34">
        <f t="shared" si="3593"/>
        <v>44784.14</v>
      </c>
      <c r="BH1042" s="35">
        <f t="shared" si="3593"/>
        <v>205995.86</v>
      </c>
    </row>
    <row r="1043" ht="15.75" customHeight="1" hidden="1" spans="4:60" x14ac:dyDescent="0.25">
      <c r="D1043" s="15" t="s">
        <v>52</v>
      </c>
      <c r="E1043" s="2" t="s">
        <v>39</v>
      </c>
      <c r="H1043" s="34">
        <f t="shared" si="3541"/>
        <v>13574.25</v>
      </c>
      <c r="K1043" s="34">
        <f t="shared" ref="K1043:L1043" si="3594">SUM(K15,K24,K33,K42,K51,K60,K69,K78,K87,K96,K105,K114,K123,K132,K141,K150,K159,K168,K177,K186,K195,K204,K213,K222,K231,K240,K249,K258,K267,K276,K285,K294,K303,K312,K321,K330,K339,K348,K357,K366,K375,K384,K393,K402,K411,K420,K429,K438,K447,K456,K465,K474,K483,K492,K501,K510,K519,K528,K537,K546,K555,K564,K573,K582,K591,K600,K609,K618,K627,K636,K645,K654,K663,K672,K681,K690,K699,K708,K717,K726,K735,K744,K753,K762,K771,K780,K789,K798,K807,K816,K825,K834,K843,K852,K861,K870,K879,K888,K897,K906,K915,K924,K933,K942,K951,K960,K969,K978,K987,K996,K1005,K1014,K1023,K1032)</f>
        <v>0</v>
      </c>
      <c r="L1043" s="34">
        <f t="shared" si="3594"/>
        <v>0</v>
      </c>
      <c r="O1043" s="34">
        <f t="shared" ref="O1043:P1043" si="3595">SUM(O15,O24,O33,O42,O51,O60,O69,O78,O87,O96,O105,O114,O123,O132,O141,O150,O159,O168,O177,O186,O195,O204,O213,O222,O231,O240,O249,O258,O267,O276,O285,O294,O303,O312,O321,O330,O339,O348,O357,O366,O375,O384,O393,O402,O411,O420,O429,O438,O447,O456,O465,O474,O483,O492,O501,O510,O519,O528,O537,O546,O555,O564,O573,O582,O591,O600,O609,O618,O627,O636,O645,O654,O663,O672,O681,O690,O699,O708,O717,O726,O735,O744,O753,O762,O771,O780,O789,O798,O807,O816,O825,O834,O843,O852,O861,O870,O879,O888,O897,O906,O915,O924,O933,O942,O951,O960,O969,O978,O987,O996,O1005,O1014,O1023,O1032)</f>
        <v>0</v>
      </c>
      <c r="P1043" s="34">
        <f t="shared" si="3595"/>
        <v>0</v>
      </c>
      <c r="S1043" s="34">
        <f t="shared" ref="S1043:T1043" si="3596">SUM(S15,S24,S33,S42,S51,S60,S69,S78,S87,S96,S105,S114,S123,S132,S141,S150,S159,S168,S177,S186,S195,S204,S213,S222,S231,S240,S249,S258,S267,S276,S285,S294,S303,S312,S321,S330,S339,S348,S357,S366,S375,S384,S393,S402,S411,S420,S429,S438,S447,S456,S465,S474,S483,S492,S501,S510,S519,S528,S537,S546,S555,S564,S573,S582,S591,S600,S609,S618,S627,S636,S645,S654,S663,S672,S681,S690,S699,S708,S717,S726,S735,S744,S753,S762,S771,S780,S789,S798,S807,S816,S825,S834,S843,S852,S861,S870,S879,S888,S897,S906,S915,S924,S933,S942,S951,S960,S969,S978,S987,S996,S1005,S1014,S1023,S1032)</f>
        <v>0</v>
      </c>
      <c r="T1043" s="34">
        <f t="shared" si="3596"/>
        <v>0</v>
      </c>
      <c r="W1043" s="34">
        <f t="shared" ref="W1043:X1043" si="3597">SUM(W15,W24,W33,W42,W51,W60,W69,W78,W87,W96,W105,W114,W123,W132,W141,W150,W159,W168,W177,W186,W195,W204,W213,W222,W231,W240,W249,W258,W267,W276,W285,W294,W303,W312,W321,W330,W339,W348,W357,W366,W375,W384,W393,W402,W411,W420,W429,W438,W447,W456,W465,W474,W483,W492,W501,W510,W519,W528,W537,W546,W555,W564,W573,W582,W591,W600,W609,W618,W627,W636,W645,W654,W663,W672,W681,W690,W699,W708,W717,W726,W735,W744,W753,W762,W771,W780,W789,W798,W807,W816,W825,W834,W843,W852,W861,W870,W879,W888,W897,W906,W915,W924,W933,W942,W951,W960,W969,W978,W987,W996,W1005,W1014,W1023,W1032)</f>
        <v>0</v>
      </c>
      <c r="X1043" s="34">
        <f t="shared" si="3597"/>
        <v>0</v>
      </c>
      <c r="AA1043" s="34">
        <f t="shared" ref="AA1043:AB1043" si="3598">SUM(AA15,AA24,AA33,AA42,AA51,AA60,AA69,AA78,AA87,AA96,AA105,AA114,AA123,AA132,AA141,AA150,AA159,AA168,AA177,AA186,AA195,AA204,AA213,AA222,AA231,AA240,AA249,AA258,AA267,AA276,AA285,AA294,AA303,AA312,AA321,AA330,AA339,AA348,AA357,AA366,AA375,AA384,AA393,AA402,AA411,AA420,AA429,AA438,AA447,AA456,AA465,AA474,AA483,AA492,AA501,AA510,AA519,AA528,AA537,AA546,AA555,AA564,AA573,AA582,AA591,AA600,AA609,AA618,AA627,AA636,AA645,AA654,AA663,AA672,AA681,AA690,AA699,AA708,AA717,AA726,AA735,AA744,AA753,AA762,AA771,AA780,AA789,AA798,AA807,AA816,AA825,AA834,AA843,AA852,AA861,AA870,AA879,AA888,AA897,AA906,AA915,AA924,AA933,AA942,AA951,AA960,AA969,AA978,AA987,AA996,AA1005,AA1014,AA1023,AA1032)</f>
        <v>42000</v>
      </c>
      <c r="AB1043" s="34">
        <f t="shared" si="3598"/>
        <v>500</v>
      </c>
      <c r="AE1043" s="34">
        <f t="shared" ref="AE1043:AF1043" si="3599">SUM(AE15,AE24,AE33,AE42,AE51,AE60,AE69,AE78,AE87,AE96,AE105,AE114,AE123,AE132,AE141,AE150,AE159,AE168,AE177,AE186,AE195,AE204,AE213,AE222,AE231,AE240,AE249,AE258,AE267,AE276,AE285,AE294,AE303,AE312,AE321,AE330,AE339,AE348,AE357,AE366,AE375,AE384,AE393,AE402,AE411,AE420,AE429,AE438,AE447,AE456,AE465,AE474,AE483,AE492,AE501,AE510,AE519,AE528,AE537,AE546,AE555,AE564,AE573,AE582,AE591,AE600,AE609,AE618,AE627,AE636,AE645,AE654,AE663,AE672,AE681,AE690,AE699,AE708,AE717,AE726,AE735,AE744,AE753,AE762,AE771,AE780,AE789,AE798,AE807,AE816,AE825,AE834,AE843,AE852,AE861,AE870,AE879,AE888,AE897,AE906,AE915,AE924,AE933,AE942,AE951,AE960,AE969,AE978,AE987,AE996,AE1005,AE1014,AE1023,AE1032)</f>
        <v>0</v>
      </c>
      <c r="AF1043" s="34">
        <f t="shared" si="3599"/>
        <v>15850</v>
      </c>
      <c r="AI1043" s="34">
        <f t="shared" ref="AI1043:AJ1043" si="3600">SUM(AI15,AI24,AI33,AI42,AI51,AI60,AI69,AI78,AI87,AI96,AI105,AI114,AI123,AI132,AI141,AI150,AI159,AI168,AI177,AI186,AI195,AI204,AI213,AI222,AI231,AI240,AI249,AI258,AI267,AI276,AI285,AI294,AI303,AI312,AI321,AI330,AI339,AI348,AI357,AI366,AI375,AI384,AI393,AI402,AI411,AI420,AI429,AI438,AI447,AI456,AI465,AI474,AI483,AI492,AI501,AI510,AI519,AI528,AI537,AI546,AI555,AI564,AI573,AI582,AI591,AI600,AI609,AI618,AI627,AI636,AI645,AI654,AI663,AI672,AI681,AI690,AI699,AI708,AI717,AI726,AI735,AI744,AI753,AI762,AI771,AI780,AI789,AI798,AI807,AI816,AI825,AI834,AI843,AI852,AI861,AI870,AI879,AI888,AI897,AI906,AI915,AI924,AI933,AI942,AI951,AI960,AI969,AI978,AI987,AI996,AI1005,AI1014,AI1023,AI1032)</f>
        <v>0</v>
      </c>
      <c r="AJ1043" s="34">
        <f t="shared" si="3600"/>
        <v>9474.25</v>
      </c>
      <c r="AM1043" s="34">
        <f t="shared" ref="AM1043:AN1043" si="3601">SUM(AM15,AM24,AM33,AM42,AM51,AM60,AM69,AM78,AM87,AM96,AM105,AM114,AM123,AM132,AM141,AM150,AM159,AM168,AM177,AM186,AM195,AM204,AM213,AM222,AM231,AM240,AM249,AM258,AM267,AM276,AM285,AM294,AM303,AM312,AM321,AM330,AM339,AM348,AM357,AM366,AM375,AM384,AM393,AM402,AM411,AM420,AM429,AM438,AM447,AM456,AM465,AM474,AM483,AM492,AM501,AM510,AM519,AM528,AM537,AM546,AM555,AM564,AM573,AM582,AM591,AM600,AM609,AM618,AM627,AM636,AM645,AM654,AM663,AM672,AM681,AM690,AM699,AM708,AM717,AM726,AM735,AM744,AM753,AM762,AM771,AM780,AM789,AM798,AM807,AM816,AM825,AM834,AM843,AM852,AM861,AM870,AM879,AM888,AM897,AM906,AM915,AM924,AM933,AM942,AM951,AM960,AM969,AM978,AM987,AM996,AM1005,AM1014,AM1023,AM1032)</f>
        <v>0</v>
      </c>
      <c r="AN1043" s="34">
        <f t="shared" si="3601"/>
        <v>3500</v>
      </c>
      <c r="AQ1043" s="34">
        <f t="shared" ref="AQ1043:AR1043" si="3602">SUM(AQ15,AQ24,AQ33,AQ42,AQ51,AQ60,AQ69,AQ78,AQ87,AQ96,AQ105,AQ114,AQ123,AQ132,AQ141,AQ150,AQ159,AQ168,AQ177,AQ186,AQ195,AQ204,AQ213,AQ222,AQ231,AQ240,AQ249,AQ258,AQ267,AQ276,AQ285,AQ294,AQ303,AQ312,AQ321,AQ330,AQ339,AQ348,AQ357,AQ366,AQ375,AQ384,AQ393,AQ402,AQ411,AQ420,AQ429,AQ438,AQ447,AQ456,AQ465,AQ474,AQ483,AQ492,AQ501,AQ510,AQ519,AQ528,AQ537,AQ546,AQ555,AQ564,AQ573,AQ582,AQ591,AQ600,AQ609,AQ618,AQ627,AQ636,AQ645,AQ654,AQ663,AQ672,AQ681,AQ690,AQ699,AQ708,AQ717,AQ726,AQ735,AQ744,AQ753,AQ762,AQ771,AQ780,AQ789,AQ798,AQ807,AQ816,AQ825,AQ834,AQ843,AQ852,AQ861,AQ870,AQ879,AQ888,AQ897,AQ906,AQ915,AQ924,AQ933,AQ942,AQ951,AQ960,AQ969,AQ978,AQ987,AQ996,AQ1005,AQ1014,AQ1023,AQ1032)</f>
        <v>0</v>
      </c>
      <c r="AR1043" s="34">
        <f t="shared" si="3602"/>
        <v>4350</v>
      </c>
      <c r="AU1043" s="34">
        <f t="shared" ref="AU1043:AV1043" si="3603">SUM(AU15,AU24,AU33,AU42,AU51,AU60,AU69,AU78,AU87,AU96,AU105,AU114,AU123,AU132,AU141,AU150,AU159,AU168,AU177,AU186,AU195,AU204,AU213,AU222,AU231,AU240,AU249,AU258,AU267,AU276,AU285,AU294,AU303,AU312,AU321,AU330,AU339,AU348,AU357,AU366,AU375,AU384,AU393,AU402,AU411,AU420,AU429,AU438,AU447,AU456,AU465,AU474,AU483,AU492,AU501,AU510,AU519,AU528,AU537,AU546,AU555,AU564,AU573,AU582,AU591,AU600,AU609,AU618,AU627,AU636,AU645,AU654,AU663,AU672,AU681,AU690,AU699,AU708,AU717,AU726,AU735,AU744,AU753,AU762,AU771,AU780,AU789,AU798,AU807,AU816,AU825,AU834,AU843,AU852,AU861,AU870,AU879,AU888,AU897,AU906,AU915,AU924,AU933,AU942,AU951,AU960,AU969,AU978,AU987,AU996,AU1005,AU1014,AU1023,AU1032)</f>
        <v>0</v>
      </c>
      <c r="AV1043" s="34">
        <f t="shared" si="3603"/>
        <v>1000</v>
      </c>
      <c r="AY1043" s="34">
        <f t="shared" ref="AY1043:AZ1043" si="3604">SUM(AY15,AY24,AY33,AY42,AY51,AY60,AY69,AY78,AY87,AY96,AY105,AY114,AY123,AY132,AY141,AY150,AY159,AY168,AY177,AY186,AY195,AY204,AY213,AY222,AY231,AY240,AY249,AY258,AY267,AY276,AY285,AY294,AY303,AY312,AY321,AY330,AY339,AY348,AY357,AY366,AY375,AY384,AY393,AY402,AY411,AY420,AY429,AY438,AY447,AY456,AY465,AY474,AY483,AY492,AY501,AY510,AY519,AY528,AY537,AY546,AY555,AY564,AY573,AY582,AY591,AY600,AY609,AY618,AY627,AY636,AY645,AY654,AY663,AY672,AY681,AY690,AY699,AY708,AY717,AY726,AY735,AY744,AY753,AY762,AY771,AY780,AY789,AY798,AY807,AY816,AY825,AY834,AY843,AY852,AY861,AY870,AY879,AY888,AY897,AY906,AY915,AY924,AY933,AY942,AY951,AY960,AY969,AY978,AY987,AY996,AY1005,AY1014,AY1023,AY1032)</f>
        <v>0</v>
      </c>
      <c r="AZ1043" s="34">
        <f t="shared" si="3604"/>
        <v>3200</v>
      </c>
      <c r="BC1043" s="34">
        <f t="shared" ref="BC1043:BD1043" si="3605">SUM(BC15,BC24,BC33,BC42,BC51,BC60,BC69,BC78,BC87,BC96,BC105,BC114,BC123,BC132,BC141,BC150,BC159,BC168,BC177,BC186,BC195,BC204,BC213,BC222,BC231,BC240,BC249,BC258,BC267,BC276,BC285,BC294,BC303,BC312,BC321,BC330,BC339,BC348,BC357,BC366,BC375,BC384,BC393,BC402,BC411,BC420,BC429,BC438,BC447,BC456,BC465,BC474,BC483,BC492,BC501,BC510,BC519,BC528,BC537,BC546,BC555,BC564,BC573,BC582,BC591,BC600,BC609,BC618,BC627,BC636,BC645,BC654,BC663,BC672,BC681,BC690,BC699,BC708,BC717,BC726,BC735,BC744,BC753,BC762,BC771,BC780,BC789,BC798,BC807,BC816,BC825,BC834,BC843,BC852,BC861,BC870,BC879,BC888,BC897,BC906,BC915,BC924,BC933,BC942,BC951,BC960,BC969,BC978,BC987,BC996,BC1005,BC1014,BC1023,BC1032)</f>
        <v>0</v>
      </c>
      <c r="BD1043" s="34">
        <f t="shared" si="3605"/>
        <v>0</v>
      </c>
      <c r="BE1043" s="109"/>
      <c r="BF1043" s="110">
        <f t="shared" ref="BF1043:BH1043" si="3606">SUM(BF15,BF24,BF33,BF42,BF51,BF60,BF69,BF78,BF87,BF96,BF105,BF114,BF123,BF132,BF141,BF150,BF159,BF168,BF177,BF186,BF195,BF204,BF213,BF222,BF231,BF240,BF249,BF258,BF267,BF276,BF285,BF294,BF303,BF312,BF321,BF330,BF339,BF348,BF357,BF366,BF375,BF384,BF393,BF402,BF411,BF420,BF429,BF438,BF447,BF456,BF465,BF474,BF483,BF492,BF501,BF510,BF519,BF528,BF537,BF546,BF555,BF564,BF573,BF582,BF591,BF600,BF609,BF618,BF627,BF636,BF645,BF654,BF663,BF672,BF681,BF690,BF699,BF708,BF717,BF726,BF735,BF744,BF753,BF762,BF771,BF780,BF789,BF798,BF807,BF816,BF825,BF834,BF843,BF852,BF861,BF870,BF879,BF888,BF897,BF906,BF915,BF924,BF933,BF942,BF951,BF960,BF969,BF978,BF987,BF996,BF1005,BF1014,BF1023,BF1032)</f>
        <v>42000</v>
      </c>
      <c r="BG1043" s="110">
        <f t="shared" si="3606"/>
        <v>37874.25</v>
      </c>
      <c r="BH1043" s="111">
        <f t="shared" si="3606"/>
        <v>17700</v>
      </c>
    </row>
    <row r="1044" ht="15.75" customHeight="1" hidden="1" spans="3:56" x14ac:dyDescent="0.25">
      <c r="C1044" s="60" t="s">
        <v>351</v>
      </c>
      <c r="D1044" s="264" t="s">
        <v>518</v>
      </c>
      <c r="L1044" s="62">
        <v>16547.5</v>
      </c>
      <c r="P1044" s="60">
        <v>21192.36</v>
      </c>
      <c r="T1044" s="60">
        <v>29780.72</v>
      </c>
      <c r="X1044" s="62">
        <v>28707.8</v>
      </c>
      <c r="AB1044" s="60">
        <v>30953.91</v>
      </c>
      <c r="AF1044" s="265">
        <v>76416.46</v>
      </c>
      <c r="AJ1044" s="266">
        <v>76711.19</v>
      </c>
      <c r="AN1044" s="266">
        <v>53887.01</v>
      </c>
      <c r="AR1044" s="267">
        <v>86814.99</v>
      </c>
      <c r="AV1044" s="267">
        <v>28527.69</v>
      </c>
      <c r="AZ1044" s="153"/>
      <c r="BD1044" s="62"/>
    </row>
    <row r="1045" ht="15.75" customHeight="1" hidden="1" spans="4:49" x14ac:dyDescent="0.25">
      <c r="D1045" s="268" t="s">
        <v>519</v>
      </c>
      <c r="AF1045" s="269">
        <f>AF1035-AF1044</f>
        <v>174782</v>
      </c>
      <c r="AJ1045" s="269">
        <f>AJ1035-AJ1044</f>
        <v>74264</v>
      </c>
      <c r="AN1045" s="269">
        <f>AN1035-AN1044</f>
        <v>45030.14</v>
      </c>
      <c r="AR1045" s="117"/>
      <c r="AV1045" s="117"/>
      <c r="AW1045" s="34"/>
    </row>
    <row r="1046" ht="15.75" customHeight="1" spans="4:40" x14ac:dyDescent="0.25">
      <c r="D1046" s="270" t="s">
        <v>44</v>
      </c>
      <c r="AF1046" s="270">
        <v>5052.65</v>
      </c>
      <c r="AG1046" s="270"/>
      <c r="AJ1046" s="271">
        <v>6565.65</v>
      </c>
      <c r="AN1046" s="270">
        <v>5636.26</v>
      </c>
    </row>
    <row r="1047" ht="15.75" customHeight="1" spans="4:40" x14ac:dyDescent="0.25">
      <c r="D1047" s="270" t="s">
        <v>47</v>
      </c>
      <c r="E1047" s="270" t="s">
        <v>48</v>
      </c>
      <c r="AE1047" s="272">
        <v>8421.76</v>
      </c>
      <c r="AF1047" s="272">
        <v>6441.76</v>
      </c>
      <c r="AI1047" s="273">
        <v>6959.32</v>
      </c>
      <c r="AJ1047" s="274">
        <v>6959.32</v>
      </c>
      <c r="AN1047" s="273">
        <v>6306.02</v>
      </c>
    </row>
    <row r="1048" ht="15.75" customHeight="1" spans="4:40" x14ac:dyDescent="0.25">
      <c r="D1048" s="270" t="s">
        <v>47</v>
      </c>
      <c r="E1048" s="270" t="s">
        <v>49</v>
      </c>
      <c r="AF1048" s="272">
        <v>1980</v>
      </c>
      <c r="AG1048" s="270"/>
      <c r="AJ1048" s="272">
        <v>0</v>
      </c>
      <c r="AN1048" s="272">
        <v>0</v>
      </c>
    </row>
    <row r="1049" ht="15.75" customHeight="1" spans="4:40" x14ac:dyDescent="0.25">
      <c r="D1049" s="270" t="s">
        <v>50</v>
      </c>
      <c r="AF1049" s="270">
        <v>144307.59</v>
      </c>
      <c r="AG1049" s="270"/>
      <c r="AJ1049" s="270">
        <v>54612.54</v>
      </c>
      <c r="AN1049" s="270">
        <v>31055.95</v>
      </c>
    </row>
    <row r="1050" ht="15.75" customHeight="1" spans="4:40" x14ac:dyDescent="0.25">
      <c r="D1050" s="270" t="s">
        <v>51</v>
      </c>
      <c r="AF1050" s="275">
        <v>0</v>
      </c>
      <c r="AG1050" s="270"/>
      <c r="AJ1050" s="275">
        <v>0</v>
      </c>
      <c r="AN1050" s="275">
        <v>0</v>
      </c>
    </row>
    <row r="1051" ht="15.75" customHeight="1" spans="4:40" x14ac:dyDescent="0.25">
      <c r="D1051" s="270" t="s">
        <v>52</v>
      </c>
      <c r="AF1051" s="275">
        <v>11850</v>
      </c>
      <c r="AG1051" s="270"/>
      <c r="AJ1051" s="275">
        <v>5974.25</v>
      </c>
      <c r="AN1051" s="275">
        <v>2000</v>
      </c>
    </row>
    <row r="1052" ht="15.75" customHeight="1" spans="4:40" x14ac:dyDescent="0.25">
      <c r="D1052" s="270" t="s">
        <v>486</v>
      </c>
      <c r="AJ1052" s="275">
        <v>152.24</v>
      </c>
      <c r="AN1052" s="275">
        <v>31.91</v>
      </c>
    </row>
    <row r="1053" ht="15.75" customHeight="1" spans="32:32" x14ac:dyDescent="0.25">
      <c r="AF1053" s="34"/>
    </row>
  </sheetData>
  <autoFilter ref="$A$6:$BK$1045"/>
  <mergeCells count="15">
    <mergeCell ref="F3:G3"/>
    <mergeCell ref="I3:L3"/>
    <mergeCell ref="M3:P3"/>
    <mergeCell ref="Q3:T3"/>
    <mergeCell ref="U3:X3"/>
    <mergeCell ref="Y3:AB3"/>
    <mergeCell ref="AC3:AF3"/>
    <mergeCell ref="AG3:AJ3"/>
    <mergeCell ref="AK3:AN3"/>
    <mergeCell ref="AO3:AR3"/>
    <mergeCell ref="AS3:AV3"/>
    <mergeCell ref="AW3:AZ3"/>
    <mergeCell ref="BA3:BD3"/>
    <mergeCell ref="BE3:BH3"/>
    <mergeCell ref="BI3:BK5"/>
  </mergeCells>
  <pageMargins left="0.196527777777778" right="0" top="0.7875" bottom="0.196527777777778" header="0" footer="0"/>
  <pageSetup paperSize="9" orientation="portrait" horizontalDpi="4294967295" verticalDpi="4294967295" scale="95" fitToWidth="1" fitToHeight="1" firstPageNumber="1" useFirstPageNumber="1" copies="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  <pageSetUpPr fitToPage="1"/>
  </sheetPr>
  <dimension ref="A1:AE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14" customWidth="1"/>
    <col min="2" max="2" width="8.43" customWidth="1"/>
    <col min="3" max="3" width="6.43" outlineLevel="1" collapsed="1" customWidth="1"/>
    <col min="4" max="4" width="14.86" outlineLevel="1" collapsed="1" customWidth="1"/>
    <col min="5" max="6" width="9.86" customWidth="1"/>
    <col min="7" max="7" width="8.14" customWidth="1"/>
    <col min="8" max="8" width="8.43" customWidth="1"/>
    <col min="9" max="9" width="9.43" customWidth="1"/>
    <col min="10" max="10" width="9.57" customWidth="1"/>
    <col min="11" max="12" width="9.43" customWidth="1"/>
    <col min="13" max="13" width="10" customWidth="1"/>
    <col min="14" max="14" width="12" outlineLevel="1" collapsed="1" customWidth="1"/>
    <col min="15" max="15" width="5.57" outlineLevel="1" collapsed="1" customWidth="1"/>
    <col min="16" max="16" width="6.86" outlineLevel="1" collapsed="1" customWidth="1"/>
    <col min="17" max="17" width="9.43" outlineLevel="1" collapsed="1" customWidth="1"/>
    <col min="18" max="18" width="12.14" outlineLevel="1" collapsed="1" customWidth="1"/>
    <col min="19" max="19" width="5.86" outlineLevel="1" collapsed="1" customWidth="1"/>
    <col min="20" max="20" width="6.14" outlineLevel="1" collapsed="1" customWidth="1"/>
    <col min="21" max="22" width="8.86" outlineLevel="1" collapsed="1" customWidth="1"/>
    <col min="23" max="23" width="5.86" outlineLevel="1" collapsed="1" customWidth="1"/>
    <col min="24" max="24" width="9.86" outlineLevel="1" collapsed="1" customWidth="1"/>
    <col min="25" max="25" width="12.57" outlineLevel="1" collapsed="1" customWidth="1"/>
    <col min="26" max="26" width="12.14" outlineLevel="1" collapsed="1" customWidth="1"/>
    <col min="27" max="28" width="8.86" outlineLevel="1" collapsed="1" customWidth="1"/>
    <col min="29" max="29" width="8.86" customWidth="1"/>
    <col min="30" max="30" width="10.14" customWidth="1"/>
    <col min="31" max="31" width="8.86" customWidth="1"/>
  </cols>
  <sheetData>
    <row r="1" spans="1:28" x14ac:dyDescent="0.25">
      <c r="A1" s="15"/>
      <c r="B1" s="112"/>
      <c r="C1" s="112"/>
      <c r="E1" s="1" t="str">
        <f>'2020'!B1</f>
        <v>СВОДНАЯ ВЕДОМОСТЬ СНТ "СОЛНЫШКО"</v>
      </c>
      <c r="J1" s="2" t="str">
        <f>'2020'!F1</f>
        <v>на 01 января 2021 года</v>
      </c>
      <c r="O1" s="154">
        <v>31</v>
      </c>
      <c r="AB1" s="154" t="s">
        <v>520</v>
      </c>
    </row>
    <row r="2" spans="1:28" x14ac:dyDescent="0.25">
      <c r="A2" s="15"/>
      <c r="B2" s="112"/>
      <c r="C2" s="112"/>
      <c r="E2" s="2" t="s">
        <v>352</v>
      </c>
      <c r="P2" s="155" t="s">
        <v>464</v>
      </c>
      <c r="Y2" s="2" t="s">
        <v>521</v>
      </c>
      <c r="AB2" s="154" t="s">
        <v>522</v>
      </c>
    </row>
    <row r="3" spans="1:30" x14ac:dyDescent="0.25">
      <c r="A3" s="3"/>
      <c r="B3" s="17" t="s">
        <v>353</v>
      </c>
      <c r="C3" s="17" t="s">
        <v>354</v>
      </c>
      <c r="D3" s="16" t="s">
        <v>355</v>
      </c>
      <c r="E3" s="156" t="s">
        <v>465</v>
      </c>
      <c r="F3" s="4" t="s">
        <v>44</v>
      </c>
      <c r="G3" s="4" t="s">
        <v>466</v>
      </c>
      <c r="H3" s="4" t="s">
        <v>467</v>
      </c>
      <c r="I3" s="156" t="s">
        <v>50</v>
      </c>
      <c r="J3" s="156" t="s">
        <v>51</v>
      </c>
      <c r="K3" s="156" t="s">
        <v>523</v>
      </c>
      <c r="L3" s="4" t="s">
        <v>52</v>
      </c>
      <c r="M3" s="4" t="s">
        <v>35</v>
      </c>
      <c r="N3" s="156" t="s">
        <v>468</v>
      </c>
      <c r="O3" s="3"/>
      <c r="P3" s="276" t="s">
        <v>469</v>
      </c>
      <c r="Q3" s="157"/>
      <c r="R3" s="157"/>
      <c r="S3" s="12"/>
      <c r="T3" s="6" t="s">
        <v>470</v>
      </c>
      <c r="U3" s="9"/>
      <c r="V3" s="9"/>
      <c r="W3" s="9"/>
      <c r="X3" s="17" t="s">
        <v>471</v>
      </c>
      <c r="Y3" s="277" t="s">
        <v>524</v>
      </c>
      <c r="Z3" s="156" t="s">
        <v>468</v>
      </c>
      <c r="AB3" s="154" t="s">
        <v>525</v>
      </c>
      <c r="AC3" s="6" t="s">
        <v>526</v>
      </c>
      <c r="AD3" s="7"/>
    </row>
    <row r="4" spans="1:30" x14ac:dyDescent="0.25">
      <c r="A4" s="20"/>
      <c r="B4" s="113" t="s">
        <v>23</v>
      </c>
      <c r="C4" s="24"/>
      <c r="D4" s="23"/>
      <c r="E4" s="14" t="s">
        <v>472</v>
      </c>
      <c r="F4" s="14"/>
      <c r="G4" s="14" t="s">
        <v>48</v>
      </c>
      <c r="H4" s="14" t="s">
        <v>354</v>
      </c>
      <c r="I4" s="14"/>
      <c r="J4" s="14"/>
      <c r="K4" s="178" t="s">
        <v>354</v>
      </c>
      <c r="L4" s="14"/>
      <c r="M4" s="14" t="s">
        <v>40</v>
      </c>
      <c r="N4" s="43" t="s">
        <v>527</v>
      </c>
      <c r="O4" s="24" t="s">
        <v>474</v>
      </c>
      <c r="P4" s="115" t="s">
        <v>475</v>
      </c>
      <c r="Q4" s="115" t="s">
        <v>476</v>
      </c>
      <c r="R4" s="115" t="s">
        <v>477</v>
      </c>
      <c r="S4" s="115" t="s">
        <v>474</v>
      </c>
      <c r="T4" s="24" t="s">
        <v>475</v>
      </c>
      <c r="U4" s="24" t="s">
        <v>476</v>
      </c>
      <c r="V4" s="24" t="s">
        <v>477</v>
      </c>
      <c r="W4" s="158" t="s">
        <v>474</v>
      </c>
      <c r="X4" s="24" t="s">
        <v>478</v>
      </c>
      <c r="Y4" s="278" t="s">
        <v>528</v>
      </c>
      <c r="Z4" s="43" t="s">
        <v>529</v>
      </c>
      <c r="AB4" s="279" t="s">
        <v>379</v>
      </c>
      <c r="AC4" s="117" t="s">
        <v>39</v>
      </c>
      <c r="AD4" s="117" t="s">
        <v>49</v>
      </c>
    </row>
    <row r="5" spans="1:30" x14ac:dyDescent="0.25">
      <c r="A5" s="114" t="s">
        <v>41</v>
      </c>
      <c r="B5" s="115">
        <v>1</v>
      </c>
      <c r="C5" s="116">
        <v>4</v>
      </c>
      <c r="D5" s="117" t="s">
        <v>43</v>
      </c>
      <c r="E5" s="106">
        <f>'2020'!BH7</f>
        <v>0</v>
      </c>
      <c r="F5" s="106">
        <f>'2020'!BH8</f>
        <v>1977.11</v>
      </c>
      <c r="G5" s="106">
        <f>'2020'!BH10</f>
        <v>0</v>
      </c>
      <c r="H5" s="106">
        <f>'2020'!BH11</f>
        <v>0</v>
      </c>
      <c r="I5" s="106">
        <f>'2020'!BH12</f>
        <v>0</v>
      </c>
      <c r="J5" s="106">
        <f>'2020'!BH13</f>
        <v>0</v>
      </c>
      <c r="K5" s="106">
        <f>'2020'!BH14</f>
        <v>0</v>
      </c>
      <c r="L5" s="106">
        <f>'2020'!BH15</f>
        <v>0</v>
      </c>
      <c r="M5" s="106">
        <f t="shared" ref="M5:M118" si="0">SUM(E5:L5)</f>
        <v>1977.11</v>
      </c>
      <c r="N5" s="106">
        <v>-1</v>
      </c>
      <c r="O5" s="37"/>
      <c r="X5" s="280">
        <f t="shared" ref="X5:X118" si="1">ROUND(0.01%*(N5*O5+R5*S5+V5*W5),2)</f>
        <v>0</v>
      </c>
      <c r="Y5" s="281">
        <f t="shared" ref="Y5:Y118" si="2">N5-Q5-U5</f>
        <v>-1</v>
      </c>
      <c r="Z5" s="42">
        <f t="shared" ref="Z5:Z118" si="3">(I5+J5+K5)-AC5-AD5</f>
        <v>0</v>
      </c>
      <c r="AA5" s="2" t="b">
        <f>D5='2020'!C8</f>
        <v>1</v>
      </c>
      <c r="AB5" s="2" t="b">
        <f>X5='2020'!BC7</f>
        <v>1</v>
      </c>
      <c r="AC5" s="34">
        <f>'2020'!AQ13</f>
      </c>
      <c r="AD5" s="34">
        <f>'2020'!AQ14</f>
      </c>
    </row>
    <row r="6" spans="1:30" x14ac:dyDescent="0.25">
      <c r="A6" s="14"/>
      <c r="B6" s="115">
        <v>2</v>
      </c>
      <c r="C6" s="115">
        <v>4.12</v>
      </c>
      <c r="D6" s="117" t="s">
        <v>359</v>
      </c>
      <c r="E6" s="106">
        <f>'2020'!BH17</f>
        <v>0</v>
      </c>
      <c r="F6" s="106">
        <f>'2020'!BH18</f>
        <v>0</v>
      </c>
      <c r="G6" s="106">
        <f>'2020'!BH19</f>
        <v>-17.66</v>
      </c>
      <c r="H6" s="106">
        <f>'2020'!BH20</f>
        <v>0</v>
      </c>
      <c r="I6" s="106">
        <f>'2020'!BH21</f>
        <v>-0.01</v>
      </c>
      <c r="J6" s="106">
        <f>'2020'!BH22</f>
        <v>0</v>
      </c>
      <c r="K6" s="106">
        <f>'2020'!BH23</f>
        <v>0</v>
      </c>
      <c r="L6" s="106">
        <f>'2020'!BH24</f>
        <v>0</v>
      </c>
      <c r="M6" s="106">
        <f t="shared" si="0"/>
        <v>-17.67</v>
      </c>
      <c r="N6" s="106">
        <v>-2560.01</v>
      </c>
      <c r="O6" s="37"/>
      <c r="X6" s="280">
        <f t="shared" si="1"/>
        <v>0</v>
      </c>
      <c r="Y6" s="281">
        <f t="shared" si="2"/>
        <v>-2560.01</v>
      </c>
      <c r="Z6" s="42">
        <f t="shared" si="3"/>
        <v>-2560.01</v>
      </c>
      <c r="AA6" s="2" t="b">
        <f>D6='2020'!C18</f>
        <v>1</v>
      </c>
      <c r="AB6" s="2" t="b">
        <f>X6='2020'!BC17</f>
        <v>1</v>
      </c>
      <c r="AC6" s="34">
        <f>'2020'!AQ22</f>
        <v>500</v>
      </c>
      <c r="AD6" s="34">
        <f>'2020'!AQ23</f>
        <v>2060</v>
      </c>
    </row>
    <row r="7" spans="1:30" x14ac:dyDescent="0.25">
      <c r="A7" s="14"/>
      <c r="B7" s="115">
        <v>3</v>
      </c>
      <c r="C7" s="116">
        <v>4</v>
      </c>
      <c r="D7" s="117" t="s">
        <v>60</v>
      </c>
      <c r="E7" s="106">
        <f>'2020'!BH26</f>
        <v>0</v>
      </c>
      <c r="F7" s="106">
        <f>'2020'!BH27</f>
        <v>-5.52</v>
      </c>
      <c r="G7" s="106">
        <f>'2020'!BH28</f>
        <v>0</v>
      </c>
      <c r="H7" s="106">
        <f>'2020'!BH29</f>
        <v>0</v>
      </c>
      <c r="I7" s="106">
        <f>'2020'!BH30</f>
        <v>0</v>
      </c>
      <c r="J7" s="106">
        <f>'2020'!BH31</f>
        <v>500</v>
      </c>
      <c r="K7" s="106">
        <f>'2020'!BH32</f>
        <v>2000</v>
      </c>
      <c r="L7" s="106">
        <f>'2020'!BH33</f>
        <v>0</v>
      </c>
      <c r="M7" s="106">
        <f t="shared" si="0"/>
        <v>2494.48</v>
      </c>
      <c r="N7" s="106">
        <v>0</v>
      </c>
      <c r="O7" s="37"/>
      <c r="X7" s="280">
        <f t="shared" si="1"/>
        <v>0</v>
      </c>
      <c r="Y7" s="281">
        <f t="shared" si="2"/>
        <v>0</v>
      </c>
      <c r="Z7" s="42">
        <f t="shared" si="3"/>
        <v>0</v>
      </c>
      <c r="AA7" s="2" t="b">
        <f>D7='2020'!C27</f>
        <v>1</v>
      </c>
      <c r="AB7" s="2" t="b">
        <f>X7='2020'!BC26</f>
        <v>1</v>
      </c>
      <c r="AC7" s="34">
        <f>'2020'!AQ31</f>
        <v>500</v>
      </c>
      <c r="AD7" s="34">
        <f>'2020'!AQ32</f>
        <v>2000</v>
      </c>
    </row>
    <row r="8" spans="1:30" x14ac:dyDescent="0.25">
      <c r="A8" s="14"/>
      <c r="B8" s="115">
        <v>4</v>
      </c>
      <c r="C8" s="115">
        <v>3.95</v>
      </c>
      <c r="D8" s="117" t="s">
        <v>64</v>
      </c>
      <c r="E8" s="106">
        <f>'2020'!BH35</f>
        <v>0</v>
      </c>
      <c r="F8" s="106">
        <f>'2020'!BH36</f>
        <v>0</v>
      </c>
      <c r="G8" s="106">
        <f>'2020'!BH37</f>
        <v>-38.81</v>
      </c>
      <c r="H8" s="106">
        <f>'2020'!BH38</f>
        <v>0</v>
      </c>
      <c r="I8" s="106">
        <f>'2020'!BH39</f>
        <v>0</v>
      </c>
      <c r="J8" s="106">
        <f>'2020'!BH40</f>
        <v>500</v>
      </c>
      <c r="K8" s="106">
        <f>'2020'!BH41</f>
        <v>1975</v>
      </c>
      <c r="L8" s="106">
        <f>'2020'!BH42</f>
        <v>0</v>
      </c>
      <c r="M8" s="106">
        <f t="shared" si="0"/>
        <v>2436.19</v>
      </c>
      <c r="N8" s="106">
        <v>0</v>
      </c>
      <c r="O8" s="37"/>
      <c r="X8" s="280">
        <f t="shared" si="1"/>
        <v>0</v>
      </c>
      <c r="Y8" s="281">
        <f t="shared" si="2"/>
        <v>0</v>
      </c>
      <c r="Z8" s="42">
        <f t="shared" si="3"/>
        <v>0</v>
      </c>
      <c r="AA8" s="2" t="b">
        <f>D8='2020'!C36</f>
        <v>1</v>
      </c>
      <c r="AB8" s="2" t="b">
        <f>X8='2020'!BC35</f>
        <v>1</v>
      </c>
      <c r="AC8" s="34">
        <f>'2020'!AQ40</f>
        <v>500</v>
      </c>
      <c r="AD8" s="34">
        <f>'2020'!AQ41</f>
        <v>1975</v>
      </c>
    </row>
    <row r="9" spans="1:30" x14ac:dyDescent="0.25">
      <c r="A9" s="14"/>
      <c r="B9" s="115">
        <v>5</v>
      </c>
      <c r="C9" s="115">
        <v>5.08</v>
      </c>
      <c r="D9" s="2" t="s">
        <v>488</v>
      </c>
      <c r="E9" s="106">
        <f>'2020'!BH44</f>
        <v>0</v>
      </c>
      <c r="F9" s="106">
        <f>'2020'!BH45</f>
        <v>-234.63</v>
      </c>
      <c r="G9" s="106">
        <f>'2020'!BH46</f>
        <v>0</v>
      </c>
      <c r="H9" s="106">
        <f>'2020'!BH47</f>
        <v>0</v>
      </c>
      <c r="I9" s="106">
        <f>'2020'!BH48</f>
        <v>0</v>
      </c>
      <c r="J9" s="106">
        <f>'2020'!BH49</f>
        <v>500</v>
      </c>
      <c r="K9" s="106">
        <f>'2020'!BH50</f>
        <v>0</v>
      </c>
      <c r="L9" s="106">
        <f>'2020'!BH51</f>
        <v>0</v>
      </c>
      <c r="M9" s="106">
        <f t="shared" si="0"/>
        <v>265.37</v>
      </c>
      <c r="N9" s="106">
        <v>-2540</v>
      </c>
      <c r="O9" s="37"/>
      <c r="X9" s="280">
        <f t="shared" si="1"/>
        <v>0</v>
      </c>
      <c r="Y9" s="281">
        <f t="shared" si="2"/>
        <v>-2540</v>
      </c>
      <c r="Z9" s="42">
        <f t="shared" si="3"/>
        <v>-2540</v>
      </c>
      <c r="AA9" s="2" t="b">
        <f>D9='2020'!C45</f>
        <v>1</v>
      </c>
      <c r="AB9" s="2" t="b">
        <f>X9='2020'!BC44</f>
        <v>1</v>
      </c>
      <c r="AC9" s="34">
        <f>'2020'!AQ49</f>
        <v>500</v>
      </c>
      <c r="AD9" s="34">
        <f>'2020'!AQ50</f>
        <v>2540</v>
      </c>
    </row>
    <row r="10" spans="1:30" x14ac:dyDescent="0.25">
      <c r="A10" s="14"/>
      <c r="B10" s="115">
        <v>6</v>
      </c>
      <c r="C10" s="115">
        <v>4.01</v>
      </c>
      <c r="D10" s="117" t="s">
        <v>70</v>
      </c>
      <c r="E10" s="106">
        <f>'2020'!BH53</f>
        <v>4.41</v>
      </c>
      <c r="F10" s="106">
        <f>'2020'!BH54</f>
        <v>0</v>
      </c>
      <c r="G10" s="106">
        <f>'2020'!BH55</f>
        <v>0</v>
      </c>
      <c r="H10" s="106">
        <f>'2020'!BH56</f>
        <v>0</v>
      </c>
      <c r="I10" s="106">
        <f>'2020'!BH57</f>
        <v>0</v>
      </c>
      <c r="J10" s="106">
        <f>'2020'!BH58</f>
        <v>0</v>
      </c>
      <c r="K10" s="106">
        <f>'2020'!BH59</f>
        <v>0</v>
      </c>
      <c r="L10" s="106">
        <f>'2020'!BH60</f>
        <v>0</v>
      </c>
      <c r="M10" s="106">
        <f t="shared" si="0"/>
        <v>4.41</v>
      </c>
      <c r="N10" s="106">
        <v>-2505</v>
      </c>
      <c r="O10" s="37"/>
      <c r="U10" s="34"/>
      <c r="V10" s="34"/>
      <c r="W10" s="37"/>
      <c r="X10" s="280">
        <f t="shared" si="1"/>
        <v>0</v>
      </c>
      <c r="Y10" s="281">
        <f t="shared" si="2"/>
        <v>-2505</v>
      </c>
      <c r="Z10" s="42">
        <f t="shared" si="3"/>
        <v>-2505</v>
      </c>
      <c r="AA10" s="2" t="b">
        <f>D10='2020'!C54</f>
        <v>1</v>
      </c>
      <c r="AB10" s="2" t="b">
        <f>X10='2020'!BC53</f>
        <v>1</v>
      </c>
      <c r="AC10" s="34">
        <f>'2020'!AQ58</f>
        <v>500</v>
      </c>
      <c r="AD10" s="34">
        <f>'2020'!AQ59</f>
        <v>2005</v>
      </c>
    </row>
    <row r="11" spans="1:30" x14ac:dyDescent="0.25">
      <c r="A11" s="14"/>
      <c r="B11" s="115">
        <v>7</v>
      </c>
      <c r="C11" s="115">
        <v>4.85</v>
      </c>
      <c r="D11" s="117" t="s">
        <v>74</v>
      </c>
      <c r="E11" s="106">
        <f>'2020'!BH62</f>
        <v>8.18</v>
      </c>
      <c r="F11" s="106">
        <f>'2020'!BH63</f>
        <v>-66.73</v>
      </c>
      <c r="G11" s="106">
        <f>'2020'!BH64</f>
        <v>-612.6</v>
      </c>
      <c r="H11" s="106">
        <f>'2020'!BH65</f>
        <v>0</v>
      </c>
      <c r="I11" s="106">
        <f>'2020'!BH66</f>
        <v>0</v>
      </c>
      <c r="J11" s="106">
        <f>'2020'!BH67</f>
        <v>500</v>
      </c>
      <c r="K11" s="106">
        <f>'2020'!BH68</f>
        <v>2425</v>
      </c>
      <c r="L11" s="106">
        <f>'2020'!BH69</f>
        <v>0</v>
      </c>
      <c r="M11" s="106">
        <f t="shared" si="0"/>
        <v>2253.85</v>
      </c>
      <c r="N11" s="106">
        <v>0</v>
      </c>
      <c r="O11" s="37"/>
      <c r="P11" s="15"/>
      <c r="Q11" s="34"/>
      <c r="R11" s="34"/>
      <c r="S11" s="37"/>
      <c r="T11" s="15"/>
      <c r="U11" s="15"/>
      <c r="V11" s="15"/>
      <c r="W11" s="15"/>
      <c r="X11" s="280">
        <f t="shared" si="1"/>
        <v>0</v>
      </c>
      <c r="Y11" s="281">
        <f t="shared" si="2"/>
        <v>0</v>
      </c>
      <c r="Z11" s="42">
        <f t="shared" si="3"/>
        <v>0</v>
      </c>
      <c r="AA11" s="2" t="b">
        <f>D11='2020'!C63</f>
        <v>1</v>
      </c>
      <c r="AB11" s="2" t="b">
        <f>X11='2020'!BC62</f>
        <v>1</v>
      </c>
      <c r="AC11" s="34">
        <f>'2020'!AQ67</f>
        <v>500</v>
      </c>
      <c r="AD11" s="34">
        <f>'2020'!AQ68</f>
        <v>2425</v>
      </c>
    </row>
    <row r="12" spans="1:30" x14ac:dyDescent="0.25">
      <c r="A12" s="14"/>
      <c r="B12" s="115">
        <v>8</v>
      </c>
      <c r="C12" s="116">
        <v>4</v>
      </c>
      <c r="D12" s="2" t="s">
        <v>383</v>
      </c>
      <c r="E12" s="106">
        <f>'2020'!BH71</f>
        <v>0</v>
      </c>
      <c r="F12" s="106">
        <f>'2020'!BH72</f>
        <v>-94.9</v>
      </c>
      <c r="G12" s="106">
        <f>'2020'!BH73</f>
        <v>-118</v>
      </c>
      <c r="H12" s="106">
        <f>'2020'!BH74</f>
        <v>0</v>
      </c>
      <c r="I12" s="106">
        <f>'2020'!BH75</f>
        <v>0</v>
      </c>
      <c r="J12" s="106">
        <f>'2020'!BH76</f>
        <v>500</v>
      </c>
      <c r="K12" s="106">
        <f>'2020'!BH77</f>
        <v>2000</v>
      </c>
      <c r="L12" s="106">
        <f>'2020'!BH78</f>
        <v>0</v>
      </c>
      <c r="M12" s="106">
        <f t="shared" si="0"/>
        <v>2287.1</v>
      </c>
      <c r="N12" s="106">
        <v>0</v>
      </c>
      <c r="O12" s="37"/>
      <c r="X12" s="280">
        <f t="shared" si="1"/>
        <v>0</v>
      </c>
      <c r="Y12" s="281">
        <f t="shared" si="2"/>
        <v>0</v>
      </c>
      <c r="Z12" s="42">
        <f t="shared" si="3"/>
        <v>0</v>
      </c>
      <c r="AA12" s="2" t="b">
        <f>D12='2020'!C72</f>
        <v>1</v>
      </c>
      <c r="AB12" s="2" t="b">
        <f>X12='2020'!BC71</f>
        <v>1</v>
      </c>
      <c r="AC12" s="34">
        <f>'2020'!AQ76</f>
        <v>500</v>
      </c>
      <c r="AD12" s="34">
        <f>'2020'!AQ77</f>
        <v>2000</v>
      </c>
    </row>
    <row r="13" spans="1:30" x14ac:dyDescent="0.25">
      <c r="A13" s="14"/>
      <c r="B13" s="115">
        <v>9</v>
      </c>
      <c r="C13" s="115">
        <v>4.03</v>
      </c>
      <c r="D13" s="117" t="s">
        <v>82</v>
      </c>
      <c r="E13" s="106">
        <f>'2020'!BH80</f>
        <v>0</v>
      </c>
      <c r="F13" s="106">
        <f>'2020'!BH81</f>
        <v>-285.03</v>
      </c>
      <c r="G13" s="106">
        <f>'2020'!BH82</f>
        <v>235.86</v>
      </c>
      <c r="H13" s="106">
        <f>'2020'!BH83</f>
        <v>0</v>
      </c>
      <c r="I13" s="106">
        <f>'2020'!BH84</f>
        <v>-47</v>
      </c>
      <c r="J13" s="106">
        <f>'2020'!BH85</f>
        <v>0</v>
      </c>
      <c r="K13" s="106">
        <f>'2020'!BH86</f>
        <v>0</v>
      </c>
      <c r="L13" s="106">
        <f>'2020'!BH87</f>
        <v>0</v>
      </c>
      <c r="M13" s="106">
        <f t="shared" si="0"/>
        <v>-96.17</v>
      </c>
      <c r="N13" s="106">
        <v>-46.9999999999993</v>
      </c>
      <c r="O13" s="37"/>
      <c r="X13" s="280">
        <f t="shared" si="1"/>
        <v>0</v>
      </c>
      <c r="Y13" s="281">
        <f t="shared" si="2"/>
        <v>-47</v>
      </c>
      <c r="Z13" s="42">
        <f t="shared" si="3"/>
        <v>-2562</v>
      </c>
      <c r="AA13" s="2" t="b">
        <f>D13='2020'!C81</f>
        <v>1</v>
      </c>
      <c r="AB13" s="2" t="b">
        <f>X13='2020'!BC80</f>
        <v>1</v>
      </c>
      <c r="AC13" s="34">
        <f>'2020'!AQ85</f>
        <v>500</v>
      </c>
      <c r="AD13" s="34">
        <f>'2020'!AQ86</f>
        <v>2015</v>
      </c>
    </row>
    <row r="14" spans="1:30" x14ac:dyDescent="0.25">
      <c r="A14" s="14"/>
      <c r="B14" s="115">
        <v>10</v>
      </c>
      <c r="C14" s="115">
        <v>4.01</v>
      </c>
      <c r="D14" s="117" t="s">
        <v>86</v>
      </c>
      <c r="E14" s="106">
        <f>'2020'!BH89</f>
        <v>0</v>
      </c>
      <c r="F14" s="106">
        <f>'2020'!BH90</f>
        <v>0</v>
      </c>
      <c r="G14" s="106">
        <f>'2020'!BH91</f>
        <v>-0.39</v>
      </c>
      <c r="H14" s="106">
        <f>'2020'!BH92</f>
        <v>0</v>
      </c>
      <c r="I14" s="106">
        <f>'2020'!BH93</f>
        <v>0</v>
      </c>
      <c r="J14" s="106">
        <f>'2020'!BH94</f>
        <v>500</v>
      </c>
      <c r="K14" s="106">
        <f>'2020'!BH95</f>
        <v>2005</v>
      </c>
      <c r="L14" s="106">
        <f>'2020'!BH96</f>
        <v>0</v>
      </c>
      <c r="M14" s="106">
        <f t="shared" si="0"/>
        <v>2504.61</v>
      </c>
      <c r="N14" s="106">
        <v>0</v>
      </c>
      <c r="O14" s="37"/>
      <c r="X14" s="280">
        <f t="shared" si="1"/>
        <v>0</v>
      </c>
      <c r="Y14" s="281">
        <f t="shared" si="2"/>
        <v>0</v>
      </c>
      <c r="Z14" s="42">
        <f t="shared" si="3"/>
        <v>0</v>
      </c>
      <c r="AA14" s="2" t="b">
        <f>D14='2020'!C90</f>
        <v>1</v>
      </c>
      <c r="AB14" s="2" t="b">
        <f>X14='2020'!BC89</f>
        <v>1</v>
      </c>
      <c r="AC14" s="34">
        <f>'2020'!AQ94</f>
        <v>500</v>
      </c>
      <c r="AD14" s="34">
        <f>'2020'!AQ95</f>
        <v>2005</v>
      </c>
    </row>
    <row r="15" spans="1:30" x14ac:dyDescent="0.25">
      <c r="A15" s="14"/>
      <c r="B15" s="115">
        <v>11</v>
      </c>
      <c r="C15" s="115">
        <v>4.02</v>
      </c>
      <c r="D15" s="117" t="s">
        <v>89</v>
      </c>
      <c r="E15" s="106">
        <f>'2020'!BH98</f>
        <v>67.67</v>
      </c>
      <c r="F15" s="106">
        <f>'2020'!BH99</f>
        <v>-78</v>
      </c>
      <c r="G15" s="106">
        <f>'2020'!BH100</f>
        <v>0</v>
      </c>
      <c r="H15" s="106">
        <f>'2020'!BH101</f>
        <v>0</v>
      </c>
      <c r="I15" s="106">
        <f>'2020'!BH102</f>
        <v>4422</v>
      </c>
      <c r="J15" s="106">
        <f>'2020'!BH103</f>
        <v>500</v>
      </c>
      <c r="K15" s="106">
        <f>'2020'!BH104</f>
        <v>2010</v>
      </c>
      <c r="L15" s="106">
        <f>'2020'!BH105</f>
        <v>500</v>
      </c>
      <c r="M15" s="106">
        <f t="shared" si="0"/>
        <v>7421.67</v>
      </c>
      <c r="N15" s="106">
        <v>4422</v>
      </c>
      <c r="O15" s="37">
        <f>IF(P15&gt;0,P15-1,$O$1)</f>
        <v>31</v>
      </c>
      <c r="X15" s="282">
        <f t="shared" si="1"/>
        <v>13.71</v>
      </c>
      <c r="Y15" s="281">
        <f t="shared" si="2"/>
        <v>4422</v>
      </c>
      <c r="Z15" s="42">
        <f t="shared" si="3"/>
        <v>4422</v>
      </c>
      <c r="AA15" s="2" t="b">
        <f>D15='2020'!C99</f>
        <v>1</v>
      </c>
      <c r="AB15" s="2" t="b">
        <f>X15='2020'!BC98</f>
        <v>1</v>
      </c>
      <c r="AC15" s="34">
        <f>'2020'!AQ103</f>
        <v>500</v>
      </c>
      <c r="AD15" s="34">
        <f>'2020'!AQ104</f>
        <v>2010</v>
      </c>
    </row>
    <row r="16" spans="1:30" x14ac:dyDescent="0.25">
      <c r="A16" s="14"/>
      <c r="B16" s="115">
        <v>12</v>
      </c>
      <c r="C16" s="115">
        <v>4.02</v>
      </c>
      <c r="D16" s="117" t="s">
        <v>92</v>
      </c>
      <c r="E16" s="106">
        <f>'2020'!BH107</f>
        <v>0</v>
      </c>
      <c r="F16" s="106">
        <f>'2020'!BH108</f>
        <v>0</v>
      </c>
      <c r="G16" s="106">
        <f>'2020'!BH109</f>
        <v>0</v>
      </c>
      <c r="H16" s="106">
        <f>'2020'!BH110</f>
        <v>0</v>
      </c>
      <c r="I16" s="106">
        <f>'2020'!BH111</f>
        <v>0</v>
      </c>
      <c r="J16" s="106">
        <f>'2020'!BH112</f>
        <v>0</v>
      </c>
      <c r="K16" s="106">
        <f>'2020'!BH113</f>
        <v>0</v>
      </c>
      <c r="L16" s="106">
        <f>'2020'!BH114</f>
        <v>0</v>
      </c>
      <c r="M16" s="106">
        <f t="shared" si="0"/>
        <v>0</v>
      </c>
      <c r="N16" s="106">
        <v>-2510</v>
      </c>
      <c r="O16" s="37"/>
      <c r="P16" s="15"/>
      <c r="Q16" s="34"/>
      <c r="R16" s="34"/>
      <c r="X16" s="280">
        <f t="shared" si="1"/>
        <v>0</v>
      </c>
      <c r="Y16" s="281">
        <f t="shared" si="2"/>
        <v>-2510</v>
      </c>
      <c r="Z16" s="42">
        <f t="shared" si="3"/>
        <v>-2510</v>
      </c>
      <c r="AA16" s="2" t="b">
        <f>D16='2020'!C108</f>
        <v>1</v>
      </c>
      <c r="AB16" s="2" t="b">
        <f>X16='2020'!BC107</f>
        <v>1</v>
      </c>
      <c r="AC16" s="34">
        <f>'2020'!AQ112</f>
        <v>500</v>
      </c>
      <c r="AD16" s="34">
        <f>'2020'!AQ113</f>
        <v>2010</v>
      </c>
    </row>
    <row r="17" spans="1:30" x14ac:dyDescent="0.25">
      <c r="A17" s="14"/>
      <c r="B17" s="115" t="s">
        <v>96</v>
      </c>
      <c r="C17" s="115">
        <v>3.94</v>
      </c>
      <c r="D17" s="117" t="s">
        <v>492</v>
      </c>
      <c r="E17" s="106">
        <f>'2020'!BH116</f>
        <v>0</v>
      </c>
      <c r="F17" s="106">
        <f>'2020'!BH117</f>
        <v>-146.2</v>
      </c>
      <c r="G17" s="106">
        <f>'2020'!BH118</f>
        <v>-19.8</v>
      </c>
      <c r="H17" s="106">
        <f>'2020'!BH119</f>
        <v>0</v>
      </c>
      <c r="I17" s="106">
        <f>'2020'!BH120</f>
        <v>0</v>
      </c>
      <c r="J17" s="106">
        <f>'2020'!BH121</f>
        <v>500</v>
      </c>
      <c r="K17" s="106">
        <f>'2020'!BH122</f>
        <v>1970</v>
      </c>
      <c r="L17" s="106">
        <f>'2020'!BH123</f>
        <v>0</v>
      </c>
      <c r="M17" s="106">
        <f t="shared" si="0"/>
        <v>2304</v>
      </c>
      <c r="N17" s="106">
        <v>0</v>
      </c>
      <c r="O17" s="37"/>
      <c r="P17" s="15"/>
      <c r="Q17" s="15"/>
      <c r="R17" s="34"/>
      <c r="S17" s="37"/>
      <c r="T17" s="15"/>
      <c r="U17" s="15"/>
      <c r="V17" s="15"/>
      <c r="W17" s="15"/>
      <c r="X17" s="280">
        <f t="shared" si="1"/>
        <v>0</v>
      </c>
      <c r="Y17" s="281">
        <f t="shared" si="2"/>
        <v>0</v>
      </c>
      <c r="Z17" s="42">
        <f t="shared" si="3"/>
        <v>0</v>
      </c>
      <c r="AA17" s="2" t="b">
        <f>D17='2020'!C117</f>
        <v>1</v>
      </c>
      <c r="AB17" s="2" t="b">
        <f>X17='2020'!BC116</f>
        <v>1</v>
      </c>
      <c r="AC17" s="34">
        <f>'2020'!AQ121</f>
        <v>500</v>
      </c>
      <c r="AD17" s="34">
        <f>'2020'!AQ122</f>
        <v>1970</v>
      </c>
    </row>
    <row r="18" spans="1:30" x14ac:dyDescent="0.25">
      <c r="A18" s="14"/>
      <c r="B18" s="115" t="s">
        <v>96</v>
      </c>
      <c r="C18" s="116">
        <v>4</v>
      </c>
      <c r="D18" s="2" t="s">
        <v>492</v>
      </c>
      <c r="E18" s="106">
        <f>'2020'!BH125</f>
        <v>0</v>
      </c>
      <c r="F18" s="106">
        <f>'2020'!BH126</f>
        <v>0</v>
      </c>
      <c r="G18" s="106">
        <f>'2020'!BH127</f>
        <v>0</v>
      </c>
      <c r="H18" s="106">
        <f>'2020'!BH128</f>
        <v>0</v>
      </c>
      <c r="I18" s="106">
        <f>'2020'!BH129</f>
        <v>0</v>
      </c>
      <c r="J18" s="106">
        <f>'2020'!BH130</f>
        <v>500</v>
      </c>
      <c r="K18" s="106">
        <f>'2020'!BH131</f>
        <v>2000</v>
      </c>
      <c r="L18" s="106">
        <f>'2020'!BH132</f>
        <v>0</v>
      </c>
      <c r="M18" s="106">
        <f t="shared" si="0"/>
        <v>2500</v>
      </c>
      <c r="N18" s="106">
        <v>0</v>
      </c>
      <c r="O18" s="37"/>
      <c r="P18" s="15"/>
      <c r="Q18" s="15"/>
      <c r="R18" s="34"/>
      <c r="S18" s="37"/>
      <c r="T18" s="15"/>
      <c r="U18" s="15"/>
      <c r="V18" s="15"/>
      <c r="W18" s="15"/>
      <c r="X18" s="280">
        <f t="shared" si="1"/>
        <v>0</v>
      </c>
      <c r="Y18" s="281">
        <f t="shared" si="2"/>
        <v>0</v>
      </c>
      <c r="Z18" s="42">
        <f t="shared" si="3"/>
        <v>0</v>
      </c>
      <c r="AA18" s="2" t="b">
        <f>D18='2020'!C126</f>
        <v>1</v>
      </c>
      <c r="AB18" s="2" t="b">
        <f>X18='2020'!BC125</f>
        <v>1</v>
      </c>
      <c r="AC18" s="34">
        <f>'2020'!AQ130</f>
        <v>500</v>
      </c>
      <c r="AD18" s="34">
        <f>'2020'!AQ131</f>
        <v>2000</v>
      </c>
    </row>
    <row r="19" spans="1:30" x14ac:dyDescent="0.25">
      <c r="A19" s="14"/>
      <c r="B19" s="115">
        <v>14</v>
      </c>
      <c r="C19" s="115">
        <v>4.02</v>
      </c>
      <c r="D19" s="117" t="s">
        <v>100</v>
      </c>
      <c r="E19" s="106">
        <f>'2020'!BH134</f>
        <v>0</v>
      </c>
      <c r="F19" s="106">
        <f>'2020'!BH135</f>
        <v>0</v>
      </c>
      <c r="G19" s="106">
        <f>'2020'!BH136</f>
        <v>-25.92</v>
      </c>
      <c r="H19" s="106">
        <f>'2020'!BH137</f>
        <v>0</v>
      </c>
      <c r="I19" s="106">
        <f>'2020'!BH138</f>
        <v>0</v>
      </c>
      <c r="J19" s="106">
        <f>'2020'!BH139</f>
        <v>0</v>
      </c>
      <c r="K19" s="106">
        <f>'2020'!BH140</f>
        <v>0</v>
      </c>
      <c r="L19" s="106">
        <f>'2020'!BH141</f>
        <v>0</v>
      </c>
      <c r="M19" s="106">
        <f t="shared" si="0"/>
        <v>-25.92</v>
      </c>
      <c r="N19" s="106">
        <v>-2510</v>
      </c>
      <c r="O19" s="37"/>
      <c r="X19" s="280">
        <f t="shared" si="1"/>
        <v>0</v>
      </c>
      <c r="Y19" s="281">
        <f t="shared" si="2"/>
        <v>-2510</v>
      </c>
      <c r="Z19" s="42">
        <f t="shared" si="3"/>
        <v>-2510</v>
      </c>
      <c r="AA19" s="2" t="b">
        <f>D19='2020'!C135</f>
        <v>1</v>
      </c>
      <c r="AB19" s="2" t="b">
        <f>X19='2020'!BC134</f>
        <v>1</v>
      </c>
      <c r="AC19" s="34">
        <f>'2020'!AQ139</f>
        <v>500</v>
      </c>
      <c r="AD19" s="34">
        <f>'2020'!AQ140</f>
        <v>2010</v>
      </c>
    </row>
    <row r="20" spans="1:30" x14ac:dyDescent="0.25">
      <c r="A20" s="14"/>
      <c r="B20" s="115">
        <v>16</v>
      </c>
      <c r="C20" s="115">
        <v>3.98</v>
      </c>
      <c r="D20" s="117" t="s">
        <v>103</v>
      </c>
      <c r="E20" s="106">
        <f>'2020'!BH143</f>
        <v>0</v>
      </c>
      <c r="F20" s="106">
        <f>'2020'!BH144</f>
        <v>-113.77</v>
      </c>
      <c r="G20" s="106">
        <f>'2020'!BH145</f>
        <v>-256.92</v>
      </c>
      <c r="H20" s="106">
        <f>'2020'!BH146</f>
        <v>0</v>
      </c>
      <c r="I20" s="106">
        <f>'2020'!BH147</f>
        <v>0</v>
      </c>
      <c r="J20" s="106">
        <f>'2020'!BH148</f>
        <v>500</v>
      </c>
      <c r="K20" s="106">
        <f>'2020'!BH149</f>
        <v>1990</v>
      </c>
      <c r="L20" s="106">
        <f>'2020'!BH150</f>
        <v>0</v>
      </c>
      <c r="M20" s="106">
        <f t="shared" si="0"/>
        <v>2119.31</v>
      </c>
      <c r="N20" s="106">
        <v>0</v>
      </c>
      <c r="O20" s="37"/>
      <c r="X20" s="280">
        <f t="shared" si="1"/>
        <v>0</v>
      </c>
      <c r="Y20" s="281">
        <f t="shared" si="2"/>
        <v>0</v>
      </c>
      <c r="Z20" s="42">
        <f t="shared" si="3"/>
        <v>0</v>
      </c>
      <c r="AA20" s="2" t="b">
        <f>D20='2020'!C144</f>
        <v>1</v>
      </c>
      <c r="AB20" s="2" t="b">
        <f>X20='2020'!BC143</f>
        <v>1</v>
      </c>
      <c r="AC20" s="34">
        <f>'2020'!AQ148</f>
        <v>500</v>
      </c>
      <c r="AD20" s="34">
        <f>'2020'!AQ149</f>
        <v>1990</v>
      </c>
    </row>
    <row r="21" ht="15.75" customHeight="1" spans="1:30" x14ac:dyDescent="0.25">
      <c r="A21" s="14"/>
      <c r="B21" s="115">
        <v>17</v>
      </c>
      <c r="C21" s="116">
        <v>4</v>
      </c>
      <c r="D21" s="117" t="s">
        <v>106</v>
      </c>
      <c r="E21" s="106">
        <f>'2020'!BH152</f>
        <v>0</v>
      </c>
      <c r="F21" s="106">
        <f>'2020'!BH153</f>
        <v>-70.89</v>
      </c>
      <c r="G21" s="106">
        <f>'2020'!BH154</f>
        <v>38.02</v>
      </c>
      <c r="H21" s="106">
        <f>'2020'!BH155</f>
        <v>0</v>
      </c>
      <c r="I21" s="106">
        <f>'2020'!BH156</f>
        <v>0</v>
      </c>
      <c r="J21" s="106">
        <f>'2020'!BH157</f>
        <v>0</v>
      </c>
      <c r="K21" s="106">
        <f>'2020'!BH158</f>
        <v>0</v>
      </c>
      <c r="L21" s="106">
        <f>'2020'!BH159</f>
        <v>0</v>
      </c>
      <c r="M21" s="106">
        <f t="shared" si="0"/>
        <v>-32.87</v>
      </c>
      <c r="N21" s="106">
        <v>-2500</v>
      </c>
      <c r="O21" s="37"/>
      <c r="X21" s="280">
        <f t="shared" si="1"/>
        <v>0</v>
      </c>
      <c r="Y21" s="281">
        <f t="shared" si="2"/>
        <v>-2500</v>
      </c>
      <c r="Z21" s="42">
        <f t="shared" si="3"/>
        <v>-2500</v>
      </c>
      <c r="AA21" s="2" t="b">
        <f>D21='2020'!C153</f>
        <v>1</v>
      </c>
      <c r="AB21" s="2" t="b">
        <f>X21='2020'!BC152</f>
        <v>1</v>
      </c>
      <c r="AC21" s="34">
        <f>'2020'!AQ157</f>
        <v>500</v>
      </c>
      <c r="AD21" s="34">
        <f>'2020'!AQ158</f>
        <v>2000</v>
      </c>
    </row>
    <row r="22" ht="15.75" customHeight="1" spans="1:30" x14ac:dyDescent="0.25">
      <c r="A22" s="14"/>
      <c r="B22" s="115">
        <v>18</v>
      </c>
      <c r="C22" s="115">
        <v>4.03</v>
      </c>
      <c r="D22" s="117" t="s">
        <v>109</v>
      </c>
      <c r="E22" s="106">
        <f>'2020'!BH161</f>
        <v>0</v>
      </c>
      <c r="F22" s="106">
        <f>'2020'!BH162</f>
        <v>57.2</v>
      </c>
      <c r="G22" s="106">
        <f>'2020'!BH163</f>
        <v>-1.47</v>
      </c>
      <c r="H22" s="106">
        <f>'2020'!BH164</f>
        <v>0</v>
      </c>
      <c r="I22" s="106">
        <f>'2020'!BH165</f>
        <v>0</v>
      </c>
      <c r="J22" s="106">
        <f>'2020'!BH166</f>
        <v>500</v>
      </c>
      <c r="K22" s="106">
        <f>'2020'!BH167</f>
        <v>2015</v>
      </c>
      <c r="L22" s="106">
        <f>'2020'!BH168</f>
        <v>0</v>
      </c>
      <c r="M22" s="106">
        <f t="shared" si="0"/>
        <v>2570.73</v>
      </c>
      <c r="N22" s="106">
        <v>0</v>
      </c>
      <c r="O22" s="37"/>
      <c r="X22" s="280">
        <f t="shared" si="1"/>
        <v>0</v>
      </c>
      <c r="Y22" s="281">
        <f t="shared" si="2"/>
        <v>0</v>
      </c>
      <c r="Z22" s="42">
        <f t="shared" si="3"/>
        <v>0</v>
      </c>
      <c r="AA22" s="2" t="b">
        <f>D22='2020'!C162</f>
        <v>1</v>
      </c>
      <c r="AB22" s="2" t="b">
        <f>X22='2020'!BC161</f>
        <v>1</v>
      </c>
      <c r="AC22" s="34">
        <f>'2020'!AQ166</f>
        <v>500</v>
      </c>
      <c r="AD22" s="34">
        <f>'2020'!AQ167</f>
        <v>2015</v>
      </c>
    </row>
    <row r="23" ht="15.75" customHeight="1" spans="1:30" x14ac:dyDescent="0.25">
      <c r="A23" s="21"/>
      <c r="B23" s="115">
        <v>19</v>
      </c>
      <c r="C23" s="116">
        <v>4.1</v>
      </c>
      <c r="D23" s="117" t="s">
        <v>113</v>
      </c>
      <c r="E23" s="106">
        <f>'2020'!BH170</f>
        <v>3.58</v>
      </c>
      <c r="F23" s="106">
        <f>'2020'!BH171</f>
        <v>0</v>
      </c>
      <c r="G23" s="106">
        <f>'2020'!BH172</f>
        <v>0</v>
      </c>
      <c r="H23" s="106">
        <f>'2020'!BH173</f>
        <v>0</v>
      </c>
      <c r="I23" s="106">
        <f>'2020'!BH174</f>
        <v>292.86</v>
      </c>
      <c r="J23" s="106">
        <f>'2020'!BH175</f>
        <v>500</v>
      </c>
      <c r="K23" s="106">
        <f>'2020'!BH176</f>
        <v>2050</v>
      </c>
      <c r="L23" s="106">
        <f>'2020'!BH177</f>
        <v>0</v>
      </c>
      <c r="M23" s="106">
        <f t="shared" si="0"/>
        <v>2846.44</v>
      </c>
      <c r="N23" s="106">
        <v>292.86</v>
      </c>
      <c r="O23" s="37">
        <f>IF(P23&gt;0,P23-1,$O$1)</f>
        <v>31</v>
      </c>
      <c r="X23" s="282">
        <f t="shared" si="1"/>
        <v>0.91</v>
      </c>
      <c r="Y23" s="281">
        <f t="shared" si="2"/>
        <v>292.86</v>
      </c>
      <c r="Z23" s="42">
        <f t="shared" si="3"/>
        <v>292.86</v>
      </c>
      <c r="AA23" s="2" t="b">
        <f>D23='2020'!C171</f>
        <v>1</v>
      </c>
      <c r="AB23" s="2" t="b">
        <f>X23='2020'!BC170</f>
        <v>1</v>
      </c>
      <c r="AC23" s="34">
        <f>'2020'!AQ175</f>
        <v>500</v>
      </c>
      <c r="AD23" s="34">
        <f>'2020'!AQ176</f>
        <v>2050</v>
      </c>
    </row>
    <row r="24" ht="15.75" customHeight="1" spans="1:30" x14ac:dyDescent="0.25">
      <c r="A24" s="114" t="s">
        <v>116</v>
      </c>
      <c r="B24" s="115" t="s">
        <v>117</v>
      </c>
      <c r="C24" s="283">
        <v>4</v>
      </c>
      <c r="D24" s="117" t="s">
        <v>118</v>
      </c>
      <c r="E24" s="106">
        <f>'2020'!BH179</f>
        <v>0</v>
      </c>
      <c r="F24" s="106">
        <f>'2020'!BH180</f>
        <v>100.9</v>
      </c>
      <c r="G24" s="106">
        <f>'2020'!BH181</f>
        <v>-214.8</v>
      </c>
      <c r="H24" s="106">
        <f>'2020'!BH182</f>
        <v>0</v>
      </c>
      <c r="I24" s="106">
        <f>'2020'!BH183</f>
        <v>0</v>
      </c>
      <c r="J24" s="106">
        <f>'2020'!BH184</f>
        <v>500</v>
      </c>
      <c r="K24" s="106">
        <f>'2020'!BH185</f>
        <v>2000</v>
      </c>
      <c r="L24" s="106">
        <f>'2020'!BH186</f>
        <v>0</v>
      </c>
      <c r="M24" s="106">
        <f t="shared" si="0"/>
        <v>2386.1</v>
      </c>
      <c r="N24" s="106">
        <v>0</v>
      </c>
      <c r="O24" s="37"/>
      <c r="X24" s="280">
        <f t="shared" si="1"/>
        <v>0</v>
      </c>
      <c r="Y24" s="281">
        <f t="shared" si="2"/>
        <v>0</v>
      </c>
      <c r="Z24" s="42">
        <f t="shared" si="3"/>
        <v>0</v>
      </c>
      <c r="AA24" s="2" t="b">
        <f>D24='2020'!C180</f>
        <v>1</v>
      </c>
      <c r="AB24" s="2" t="b">
        <f>X24='2020'!BC179</f>
        <v>1</v>
      </c>
      <c r="AC24" s="34">
        <f>'2020'!AQ184</f>
        <v>500</v>
      </c>
      <c r="AD24" s="34">
        <f>'2020'!AQ185</f>
        <v>2000</v>
      </c>
    </row>
    <row r="25" ht="15.75" customHeight="1" spans="1:30" x14ac:dyDescent="0.25">
      <c r="A25" s="27"/>
      <c r="B25" s="115" t="s">
        <v>117</v>
      </c>
      <c r="C25" s="283">
        <v>4</v>
      </c>
      <c r="D25" s="117" t="s">
        <v>118</v>
      </c>
      <c r="E25" s="106">
        <f>'2020'!BH188</f>
        <v>0</v>
      </c>
      <c r="F25" s="106">
        <f>'2020'!BH189</f>
        <v>0</v>
      </c>
      <c r="G25" s="106">
        <f>'2020'!BH190</f>
        <v>0</v>
      </c>
      <c r="H25" s="106">
        <f>'2020'!BH191</f>
        <v>0</v>
      </c>
      <c r="I25" s="106">
        <f>'2020'!BH192</f>
        <v>0</v>
      </c>
      <c r="J25" s="106">
        <f>'2020'!BH193</f>
        <v>500</v>
      </c>
      <c r="K25" s="106">
        <f>'2020'!BH194</f>
        <v>2000</v>
      </c>
      <c r="L25" s="106">
        <f>'2020'!BH195</f>
        <v>0</v>
      </c>
      <c r="M25" s="106">
        <f t="shared" si="0"/>
        <v>2500</v>
      </c>
      <c r="N25" s="106">
        <v>0</v>
      </c>
      <c r="O25" s="37"/>
      <c r="X25" s="280">
        <f t="shared" si="1"/>
        <v>0</v>
      </c>
      <c r="Y25" s="281">
        <f t="shared" si="2"/>
        <v>0</v>
      </c>
      <c r="Z25" s="42">
        <f t="shared" si="3"/>
        <v>0</v>
      </c>
      <c r="AA25" s="2" t="b">
        <f>D25='2020'!C189</f>
        <v>1</v>
      </c>
      <c r="AB25" s="2" t="b">
        <f>X25='2020'!BC188</f>
        <v>1</v>
      </c>
      <c r="AC25" s="34">
        <f>'2020'!AQ193</f>
        <v>500</v>
      </c>
      <c r="AD25" s="34">
        <f>'2020'!AQ194</f>
        <v>2000</v>
      </c>
    </row>
    <row r="26" ht="15.75" customHeight="1" spans="1:30" x14ac:dyDescent="0.25">
      <c r="A26" s="14"/>
      <c r="B26" s="115">
        <v>21</v>
      </c>
      <c r="C26" s="115">
        <v>3.96</v>
      </c>
      <c r="D26" s="117" t="s">
        <v>120</v>
      </c>
      <c r="E26" s="106">
        <f>'2020'!BH197</f>
        <v>-0.1</v>
      </c>
      <c r="F26" s="106">
        <f>'2020'!BH198</f>
        <v>0</v>
      </c>
      <c r="G26" s="106">
        <f>'2020'!BH199</f>
        <v>18.88</v>
      </c>
      <c r="H26" s="106">
        <f>'2020'!BH200</f>
        <v>0</v>
      </c>
      <c r="I26" s="106">
        <f>'2020'!BH201</f>
        <v>0</v>
      </c>
      <c r="J26" s="106">
        <f>'2020'!BH202</f>
        <v>500</v>
      </c>
      <c r="K26" s="106">
        <f>'2020'!BH203</f>
        <v>1980</v>
      </c>
      <c r="L26" s="106">
        <f>'2020'!BH204</f>
        <v>0</v>
      </c>
      <c r="M26" s="106">
        <f t="shared" si="0"/>
        <v>2498.78</v>
      </c>
      <c r="N26" s="106">
        <v>0</v>
      </c>
      <c r="O26" s="37"/>
      <c r="P26" s="15"/>
      <c r="Q26" s="34"/>
      <c r="R26" s="34"/>
      <c r="S26" s="37"/>
      <c r="T26" s="15"/>
      <c r="U26" s="15"/>
      <c r="V26" s="15"/>
      <c r="W26" s="15"/>
      <c r="X26" s="280">
        <f t="shared" si="1"/>
        <v>0</v>
      </c>
      <c r="Y26" s="281">
        <f t="shared" si="2"/>
        <v>0</v>
      </c>
      <c r="Z26" s="42">
        <f t="shared" si="3"/>
        <v>0</v>
      </c>
      <c r="AA26" s="2" t="b">
        <f>D26='2020'!C198</f>
        <v>1</v>
      </c>
      <c r="AB26" s="2" t="b">
        <f>X26='2020'!BC197</f>
        <v>1</v>
      </c>
      <c r="AC26" s="34">
        <f>'2020'!AQ202</f>
        <v>500</v>
      </c>
      <c r="AD26" s="34">
        <f>'2020'!AQ203</f>
        <v>1980</v>
      </c>
    </row>
    <row r="27" ht="15.75" customHeight="1" spans="1:30" x14ac:dyDescent="0.25">
      <c r="A27" s="14"/>
      <c r="B27" s="115">
        <v>23</v>
      </c>
      <c r="C27" s="115">
        <v>3.98</v>
      </c>
      <c r="D27" s="117" t="s">
        <v>124</v>
      </c>
      <c r="E27" s="106">
        <f>'2020'!BH206</f>
        <v>0</v>
      </c>
      <c r="F27" s="106">
        <f>'2020'!BH207</f>
        <v>3572.68</v>
      </c>
      <c r="G27" s="106">
        <f>'2020'!BH208</f>
        <v>38.92</v>
      </c>
      <c r="H27" s="106">
        <f>'2020'!BH209</f>
        <v>0</v>
      </c>
      <c r="I27" s="106">
        <f>'2020'!BH210</f>
        <v>0</v>
      </c>
      <c r="J27" s="106">
        <f>'2020'!BH211</f>
        <v>500</v>
      </c>
      <c r="K27" s="106">
        <f>'2020'!BH212</f>
        <v>1990</v>
      </c>
      <c r="L27" s="106">
        <f>'2020'!BH213</f>
        <v>0</v>
      </c>
      <c r="M27" s="106">
        <f t="shared" si="0"/>
        <v>6101.6</v>
      </c>
      <c r="N27" s="106">
        <v>0</v>
      </c>
      <c r="O27" s="37"/>
      <c r="X27" s="280">
        <f t="shared" si="1"/>
        <v>0</v>
      </c>
      <c r="Y27" s="281">
        <f t="shared" si="2"/>
        <v>0</v>
      </c>
      <c r="Z27" s="42">
        <f t="shared" si="3"/>
        <v>0</v>
      </c>
      <c r="AA27" s="2" t="b">
        <f>D27='2020'!C207</f>
        <v>1</v>
      </c>
      <c r="AB27" s="2" t="b">
        <f>X27='2020'!BC206</f>
        <v>1</v>
      </c>
      <c r="AC27" s="34">
        <f>'2020'!AQ211</f>
        <v>500</v>
      </c>
      <c r="AD27" s="34">
        <f>'2020'!AQ212</f>
        <v>1990</v>
      </c>
    </row>
    <row r="28" ht="15.75" customHeight="1" spans="1:30" x14ac:dyDescent="0.25">
      <c r="A28" s="14"/>
      <c r="B28" s="115">
        <v>24</v>
      </c>
      <c r="C28" s="115">
        <v>4.01</v>
      </c>
      <c r="D28" s="117" t="s">
        <v>127</v>
      </c>
      <c r="E28" s="106">
        <f>'2020'!BH215</f>
        <v>0</v>
      </c>
      <c r="F28" s="106">
        <f>'2020'!BH216</f>
        <v>0</v>
      </c>
      <c r="G28" s="106">
        <f>'2020'!BH217</f>
        <v>0</v>
      </c>
      <c r="H28" s="106">
        <f>'2020'!BH218</f>
        <v>0</v>
      </c>
      <c r="I28" s="106">
        <f>'2020'!BH219</f>
        <v>0</v>
      </c>
      <c r="J28" s="106">
        <f>'2020'!BH220</f>
        <v>0</v>
      </c>
      <c r="K28" s="106">
        <f>'2020'!BH221</f>
        <v>0</v>
      </c>
      <c r="L28" s="106">
        <f>'2020'!BH222</f>
        <v>0</v>
      </c>
      <c r="M28" s="106">
        <f t="shared" si="0"/>
        <v>0</v>
      </c>
      <c r="N28" s="106">
        <v>-2505</v>
      </c>
      <c r="O28" s="37"/>
      <c r="X28" s="280">
        <f t="shared" si="1"/>
        <v>0</v>
      </c>
      <c r="Y28" s="281">
        <f t="shared" si="2"/>
        <v>-2505</v>
      </c>
      <c r="Z28" s="42">
        <f t="shared" si="3"/>
        <v>-2505</v>
      </c>
      <c r="AA28" s="2" t="b">
        <f>D28='2020'!C216</f>
        <v>1</v>
      </c>
      <c r="AB28" s="2" t="b">
        <f>X28='2020'!BC215</f>
        <v>1</v>
      </c>
      <c r="AC28" s="34">
        <f>'2020'!AQ220</f>
        <v>500</v>
      </c>
      <c r="AD28" s="34">
        <f>'2020'!AQ221</f>
        <v>2005</v>
      </c>
    </row>
    <row r="29" ht="15.75" customHeight="1" spans="1:30" x14ac:dyDescent="0.25">
      <c r="A29" s="14"/>
      <c r="B29" s="115">
        <v>25</v>
      </c>
      <c r="C29" s="116">
        <v>4</v>
      </c>
      <c r="D29" s="117" t="s">
        <v>131</v>
      </c>
      <c r="E29" s="106">
        <f>'2020'!BH224</f>
        <v>56.7</v>
      </c>
      <c r="F29" s="106">
        <f>'2020'!BH225</f>
        <v>-33.01</v>
      </c>
      <c r="G29" s="106">
        <f>'2020'!BH226</f>
        <v>0</v>
      </c>
      <c r="H29" s="106">
        <f>'2020'!BH227</f>
        <v>0</v>
      </c>
      <c r="I29" s="106">
        <f>'2020'!BH228</f>
        <v>4400</v>
      </c>
      <c r="J29" s="106">
        <f>'2020'!BH229</f>
        <v>500</v>
      </c>
      <c r="K29" s="106">
        <f>'2020'!BH230</f>
        <v>2000</v>
      </c>
      <c r="L29" s="106">
        <f>'2020'!BH231</f>
        <v>500</v>
      </c>
      <c r="M29" s="106">
        <f t="shared" si="0"/>
        <v>7423.69</v>
      </c>
      <c r="N29" s="106">
        <v>4400</v>
      </c>
      <c r="O29" s="37">
        <f t="shared" ref="O29:O31" si="4">IF(P29&gt;0,P29-1,$O$1)</f>
        <v>31</v>
      </c>
      <c r="P29" s="15"/>
      <c r="Q29" s="34"/>
      <c r="R29" s="34"/>
      <c r="S29" s="37"/>
      <c r="T29" s="15"/>
      <c r="U29" s="15"/>
      <c r="V29" s="15"/>
      <c r="W29" s="15"/>
      <c r="X29" s="282">
        <f t="shared" si="1"/>
        <v>13.64</v>
      </c>
      <c r="Y29" s="281">
        <f t="shared" si="2"/>
        <v>4400</v>
      </c>
      <c r="Z29" s="42">
        <f t="shared" si="3"/>
        <v>4400</v>
      </c>
      <c r="AA29" s="2" t="b">
        <f>D29='2020'!C225</f>
        <v>1</v>
      </c>
      <c r="AB29" s="2" t="b">
        <f>X29='2020'!BC224</f>
        <v>1</v>
      </c>
      <c r="AC29" s="34">
        <f>'2020'!AQ229</f>
        <v>500</v>
      </c>
      <c r="AD29" s="34">
        <f>'2020'!AQ230</f>
        <v>2000</v>
      </c>
    </row>
    <row r="30" ht="15.75" customHeight="1" spans="1:30" x14ac:dyDescent="0.25">
      <c r="A30" s="14"/>
      <c r="B30" s="115">
        <v>26</v>
      </c>
      <c r="C30" s="115">
        <v>3.98</v>
      </c>
      <c r="D30" s="117" t="s">
        <v>133</v>
      </c>
      <c r="E30" s="106">
        <f>'2020'!BH233</f>
        <v>6673.26</v>
      </c>
      <c r="F30" s="106">
        <f>'2020'!BH234</f>
        <v>0</v>
      </c>
      <c r="G30" s="106">
        <f>'2020'!BH235</f>
        <v>0</v>
      </c>
      <c r="H30" s="106">
        <f>'2020'!BH236</f>
        <v>0</v>
      </c>
      <c r="I30" s="106">
        <f>'2020'!BH237</f>
        <v>24528.26</v>
      </c>
      <c r="J30" s="106">
        <f>'2020'!BH238</f>
        <v>17027</v>
      </c>
      <c r="K30" s="106">
        <f>'2020'!BH239</f>
        <v>1990</v>
      </c>
      <c r="L30" s="106">
        <f>'2020'!BH240</f>
        <v>2450</v>
      </c>
      <c r="M30" s="106">
        <f t="shared" si="0"/>
        <v>52668.52</v>
      </c>
      <c r="N30" s="106">
        <v>41055.26</v>
      </c>
      <c r="O30" s="37">
        <f t="shared" si="4"/>
        <v>31</v>
      </c>
      <c r="P30" s="15"/>
      <c r="Q30" s="15"/>
      <c r="R30" s="15"/>
      <c r="S30" s="15"/>
      <c r="T30" s="15"/>
      <c r="U30" s="15"/>
      <c r="V30" s="15"/>
      <c r="W30" s="15"/>
      <c r="X30" s="282">
        <f t="shared" si="1"/>
        <v>127.27</v>
      </c>
      <c r="Y30" s="281">
        <f t="shared" si="2"/>
        <v>41055.26</v>
      </c>
      <c r="Z30" s="42">
        <f t="shared" si="3"/>
        <v>41055.26</v>
      </c>
      <c r="AA30" s="2" t="b">
        <f>D30='2020'!C234</f>
        <v>1</v>
      </c>
      <c r="AB30" s="2" t="b">
        <f>X30='2020'!BC233</f>
        <v>1</v>
      </c>
      <c r="AC30" s="34">
        <f>'2020'!AQ238</f>
        <v>500</v>
      </c>
      <c r="AD30" s="34">
        <f>'2020'!AQ239</f>
        <v>1990</v>
      </c>
    </row>
    <row r="31" ht="15.75" customHeight="1" spans="1:30" x14ac:dyDescent="0.25">
      <c r="A31" s="14"/>
      <c r="B31" s="115">
        <v>27</v>
      </c>
      <c r="C31" s="115">
        <v>4.04</v>
      </c>
      <c r="D31" s="117" t="s">
        <v>136</v>
      </c>
      <c r="E31" s="106">
        <f>'2020'!BH242</f>
        <v>1066.45</v>
      </c>
      <c r="F31" s="106">
        <f>'2020'!BH243</f>
        <v>0</v>
      </c>
      <c r="G31" s="106">
        <f>'2020'!BH244</f>
        <v>0</v>
      </c>
      <c r="H31" s="106">
        <f>'2020'!BH245</f>
        <v>0</v>
      </c>
      <c r="I31" s="106">
        <f>'2020'!BH246</f>
        <v>22378.03</v>
      </c>
      <c r="J31" s="106">
        <f>'2020'!BH247</f>
        <v>3308</v>
      </c>
      <c r="K31" s="106">
        <f>'2020'!BH248</f>
        <v>2020</v>
      </c>
      <c r="L31" s="106">
        <f>'2020'!BH249</f>
        <v>2200</v>
      </c>
      <c r="M31" s="106">
        <f t="shared" si="0"/>
        <v>30972.48</v>
      </c>
      <c r="N31" s="106">
        <v>25186.03</v>
      </c>
      <c r="O31" s="37">
        <f t="shared" si="4"/>
        <v>31</v>
      </c>
      <c r="P31" s="15"/>
      <c r="Q31" s="15"/>
      <c r="R31" s="15"/>
      <c r="S31" s="15"/>
      <c r="T31" s="15"/>
      <c r="U31" s="15"/>
      <c r="V31" s="15"/>
      <c r="W31" s="15"/>
      <c r="X31" s="282">
        <f t="shared" si="1"/>
        <v>78.08</v>
      </c>
      <c r="Y31" s="281">
        <f t="shared" si="2"/>
        <v>25186.03</v>
      </c>
      <c r="Z31" s="42">
        <f t="shared" si="3"/>
        <v>25186.03</v>
      </c>
      <c r="AA31" s="2" t="b">
        <f>D31='2020'!C243</f>
        <v>1</v>
      </c>
      <c r="AB31" s="2" t="b">
        <f>X31='2020'!BC242</f>
        <v>1</v>
      </c>
      <c r="AC31" s="34">
        <f>'2020'!AQ247</f>
        <v>500</v>
      </c>
      <c r="AD31" s="34">
        <f>'2020'!AQ248</f>
        <v>2020</v>
      </c>
    </row>
    <row r="32" ht="15.75" customHeight="1" spans="1:30" x14ac:dyDescent="0.25">
      <c r="A32" s="14"/>
      <c r="B32" s="115">
        <v>28</v>
      </c>
      <c r="C32" s="115">
        <v>3.96</v>
      </c>
      <c r="D32" s="117" t="s">
        <v>140</v>
      </c>
      <c r="E32" s="106">
        <f>'2020'!BH251</f>
        <v>0</v>
      </c>
      <c r="F32" s="106">
        <f>'2020'!BH252</f>
        <v>962</v>
      </c>
      <c r="G32" s="106">
        <f>'2020'!BH253</f>
        <v>0</v>
      </c>
      <c r="H32" s="106">
        <f>'2020'!BH254</f>
        <v>0</v>
      </c>
      <c r="I32" s="106">
        <f>'2020'!BH255</f>
        <v>0</v>
      </c>
      <c r="J32" s="106">
        <f>'2020'!BH256</f>
        <v>500</v>
      </c>
      <c r="K32" s="106">
        <f>'2020'!BH257</f>
        <v>1980</v>
      </c>
      <c r="L32" s="106">
        <f>'2020'!BH258</f>
        <v>0</v>
      </c>
      <c r="M32" s="106">
        <f t="shared" si="0"/>
        <v>3442</v>
      </c>
      <c r="N32" s="106">
        <v>0</v>
      </c>
      <c r="O32" s="37"/>
      <c r="X32" s="280">
        <f t="shared" si="1"/>
        <v>0</v>
      </c>
      <c r="Y32" s="281">
        <f t="shared" si="2"/>
        <v>0</v>
      </c>
      <c r="Z32" s="42">
        <f t="shared" si="3"/>
        <v>0</v>
      </c>
      <c r="AA32" s="2" t="b">
        <f>D32='2020'!C252</f>
        <v>1</v>
      </c>
      <c r="AB32" s="2" t="b">
        <f>X32='2020'!BC251</f>
        <v>1</v>
      </c>
      <c r="AC32" s="34">
        <f>'2020'!AQ256</f>
        <v>500</v>
      </c>
      <c r="AD32" s="34">
        <f>'2020'!AQ257</f>
        <v>1980</v>
      </c>
    </row>
    <row r="33" ht="15.75" customHeight="1" spans="1:30" x14ac:dyDescent="0.25">
      <c r="A33" s="14"/>
      <c r="B33" s="115">
        <v>30</v>
      </c>
      <c r="C33" s="115">
        <v>4.05</v>
      </c>
      <c r="D33" s="117" t="s">
        <v>496</v>
      </c>
      <c r="E33" s="106">
        <f>'2020'!BH260</f>
        <v>0</v>
      </c>
      <c r="F33" s="106">
        <f>'2020'!BH261</f>
        <v>5.2</v>
      </c>
      <c r="G33" s="106">
        <f>'2020'!BH262</f>
        <v>0</v>
      </c>
      <c r="H33" s="106">
        <f>'2020'!BH263</f>
        <v>0</v>
      </c>
      <c r="I33" s="106">
        <f>'2020'!BH264</f>
        <v>0</v>
      </c>
      <c r="J33" s="106">
        <f>'2020'!BH265</f>
        <v>0</v>
      </c>
      <c r="K33" s="106">
        <f>'2020'!BH266</f>
        <v>2025</v>
      </c>
      <c r="L33" s="106">
        <f>'2020'!BH267</f>
        <v>0</v>
      </c>
      <c r="M33" s="106">
        <f t="shared" si="0"/>
        <v>2030.2</v>
      </c>
      <c r="N33" s="106">
        <v>-500</v>
      </c>
      <c r="O33" s="37"/>
      <c r="X33" s="280">
        <f t="shared" si="1"/>
        <v>0</v>
      </c>
      <c r="Y33" s="281">
        <f t="shared" si="2"/>
        <v>-500</v>
      </c>
      <c r="Z33" s="42">
        <f t="shared" si="3"/>
        <v>-500</v>
      </c>
      <c r="AA33" s="2" t="b">
        <f>D33='2020'!C261</f>
        <v>1</v>
      </c>
      <c r="AB33" s="2" t="b">
        <f>X33='2020'!BC260</f>
        <v>1</v>
      </c>
      <c r="AC33" s="34">
        <f>'2020'!AQ265</f>
        <v>500</v>
      </c>
      <c r="AD33" s="34">
        <f>'2020'!AQ266</f>
        <v>2025</v>
      </c>
    </row>
    <row r="34" ht="15.75" customHeight="1" spans="1:30" x14ac:dyDescent="0.25">
      <c r="A34" s="14"/>
      <c r="B34" s="115">
        <v>29</v>
      </c>
      <c r="C34" s="115">
        <v>4.02</v>
      </c>
      <c r="D34" s="117" t="s">
        <v>146</v>
      </c>
      <c r="E34" s="106">
        <f>'2020'!BH269</f>
        <v>0</v>
      </c>
      <c r="F34" s="106">
        <f>'2020'!BH270</f>
        <v>0</v>
      </c>
      <c r="G34" s="106">
        <f>'2020'!BH271</f>
        <v>-2.84</v>
      </c>
      <c r="H34" s="106">
        <f>'2020'!BH272</f>
        <v>0</v>
      </c>
      <c r="I34" s="106">
        <f>'2020'!BH273</f>
        <v>0</v>
      </c>
      <c r="J34" s="106">
        <f>'2020'!BH274</f>
        <v>500</v>
      </c>
      <c r="K34" s="106">
        <f>'2020'!BH275</f>
        <v>2010</v>
      </c>
      <c r="L34" s="106">
        <f>'2020'!BH276</f>
        <v>0</v>
      </c>
      <c r="M34" s="106">
        <f t="shared" si="0"/>
        <v>2507.16</v>
      </c>
      <c r="N34" s="106">
        <v>0</v>
      </c>
      <c r="O34" s="37"/>
      <c r="X34" s="280">
        <f t="shared" si="1"/>
        <v>0</v>
      </c>
      <c r="Y34" s="281">
        <f t="shared" si="2"/>
        <v>0</v>
      </c>
      <c r="Z34" s="42">
        <f t="shared" si="3"/>
        <v>0</v>
      </c>
      <c r="AA34" s="2" t="b">
        <f>D34='2020'!C270</f>
        <v>1</v>
      </c>
      <c r="AB34" s="2" t="b">
        <f>X34='2020'!BC269</f>
        <v>1</v>
      </c>
      <c r="AC34" s="34">
        <f>'2020'!AQ274</f>
        <v>500</v>
      </c>
      <c r="AD34" s="34">
        <f>'2020'!AQ275</f>
        <v>2010</v>
      </c>
    </row>
    <row r="35" ht="15.75" customHeight="1" spans="1:30" x14ac:dyDescent="0.25">
      <c r="A35" s="14"/>
      <c r="B35" s="115">
        <v>31</v>
      </c>
      <c r="C35" s="116">
        <v>4</v>
      </c>
      <c r="D35" s="117" t="s">
        <v>149</v>
      </c>
      <c r="E35" s="106">
        <f>'2020'!BH278</f>
        <v>0</v>
      </c>
      <c r="F35" s="106">
        <f>'2020'!BH279</f>
        <v>0</v>
      </c>
      <c r="G35" s="106">
        <f>'2020'!BH280</f>
        <v>-8.48</v>
      </c>
      <c r="H35" s="106">
        <f>'2020'!BH281</f>
        <v>0</v>
      </c>
      <c r="I35" s="106">
        <f>'2020'!BH282</f>
        <v>0</v>
      </c>
      <c r="J35" s="106">
        <f>'2020'!BH283</f>
        <v>500</v>
      </c>
      <c r="K35" s="106">
        <f>'2020'!BH284</f>
        <v>2000</v>
      </c>
      <c r="L35" s="106">
        <f>'2020'!BH285</f>
        <v>0</v>
      </c>
      <c r="M35" s="106">
        <f t="shared" si="0"/>
        <v>2491.52</v>
      </c>
      <c r="N35" s="106">
        <v>0</v>
      </c>
      <c r="O35" s="37"/>
      <c r="X35" s="280">
        <f t="shared" si="1"/>
        <v>0</v>
      </c>
      <c r="Y35" s="281">
        <f t="shared" si="2"/>
        <v>0</v>
      </c>
      <c r="Z35" s="42">
        <f t="shared" si="3"/>
        <v>0</v>
      </c>
      <c r="AA35" s="2" t="b">
        <f>D35='2020'!C279</f>
        <v>1</v>
      </c>
      <c r="AB35" s="2" t="b">
        <f>X35='2020'!BC278</f>
        <v>1</v>
      </c>
      <c r="AC35" s="34">
        <f>'2020'!AQ283</f>
        <v>500</v>
      </c>
      <c r="AD35" s="34">
        <f>'2020'!AQ284</f>
        <v>2000</v>
      </c>
    </row>
    <row r="36" ht="15.75" customHeight="1" spans="1:30" x14ac:dyDescent="0.25">
      <c r="A36" s="14"/>
      <c r="B36" s="115">
        <v>32</v>
      </c>
      <c r="C36" s="115">
        <v>3.96</v>
      </c>
      <c r="D36" s="117" t="s">
        <v>152</v>
      </c>
      <c r="E36" s="106">
        <f>'2020'!BH287</f>
        <v>0</v>
      </c>
      <c r="F36" s="106">
        <f>'2020'!BH288</f>
        <v>327.35</v>
      </c>
      <c r="G36" s="106">
        <f>'2020'!BH289</f>
        <v>0</v>
      </c>
      <c r="H36" s="106">
        <f>'2020'!BH290</f>
        <v>0</v>
      </c>
      <c r="I36" s="106">
        <f>'2020'!BH291</f>
        <v>0</v>
      </c>
      <c r="J36" s="106">
        <f>'2020'!BH292</f>
        <v>500</v>
      </c>
      <c r="K36" s="106">
        <f>'2020'!BH293</f>
        <v>1980</v>
      </c>
      <c r="L36" s="106">
        <f>'2020'!BH294</f>
        <v>0</v>
      </c>
      <c r="M36" s="106">
        <f t="shared" si="0"/>
        <v>2807.35</v>
      </c>
      <c r="N36" s="106">
        <v>0</v>
      </c>
      <c r="O36" s="37"/>
      <c r="X36" s="280">
        <f t="shared" si="1"/>
        <v>0</v>
      </c>
      <c r="Y36" s="281">
        <f t="shared" si="2"/>
        <v>0</v>
      </c>
      <c r="Z36" s="42">
        <f t="shared" si="3"/>
        <v>0</v>
      </c>
      <c r="AA36" s="2" t="b">
        <f>D36='2020'!C288</f>
        <v>1</v>
      </c>
      <c r="AB36" s="2" t="b">
        <f>X36='2020'!BC287</f>
        <v>1</v>
      </c>
      <c r="AC36" s="34">
        <f>'2020'!AQ292</f>
        <v>500</v>
      </c>
      <c r="AD36" s="34">
        <f>'2020'!AQ293</f>
        <v>1980</v>
      </c>
    </row>
    <row r="37" ht="15.75" customHeight="1" spans="1:30" x14ac:dyDescent="0.25">
      <c r="A37" s="14"/>
      <c r="B37" s="115">
        <v>33</v>
      </c>
      <c r="C37" s="115">
        <v>4.01</v>
      </c>
      <c r="D37" s="117" t="s">
        <v>154</v>
      </c>
      <c r="E37" s="106">
        <f>'2020'!BH296</f>
        <v>138.27</v>
      </c>
      <c r="F37" s="106">
        <f>'2020'!BH297</f>
        <v>82.49</v>
      </c>
      <c r="G37" s="106">
        <f>'2020'!BH298</f>
        <v>184.18</v>
      </c>
      <c r="H37" s="106">
        <f>'2020'!BH299</f>
        <v>1203</v>
      </c>
      <c r="I37" s="106">
        <f>'2020'!BH300</f>
        <v>4315.43</v>
      </c>
      <c r="J37" s="106">
        <f>'2020'!BH301</f>
        <v>1500</v>
      </c>
      <c r="K37" s="106">
        <f>'2020'!BH302</f>
        <v>2005</v>
      </c>
      <c r="L37" s="106">
        <f>'2020'!BH303</f>
        <v>1350</v>
      </c>
      <c r="M37" s="106">
        <f t="shared" si="0"/>
        <v>10778.37</v>
      </c>
      <c r="N37" s="106">
        <v>5315.43</v>
      </c>
      <c r="O37" s="37">
        <f t="shared" ref="O37:O38" si="5">IF(P37&gt;0,P37-1,$O$1)</f>
        <v>31</v>
      </c>
      <c r="T37" s="15"/>
      <c r="U37" s="15"/>
      <c r="V37" s="15"/>
      <c r="W37" s="15"/>
      <c r="X37" s="282">
        <f t="shared" si="1"/>
        <v>16.48</v>
      </c>
      <c r="Y37" s="281">
        <f t="shared" si="2"/>
        <v>5315.43</v>
      </c>
      <c r="Z37" s="42">
        <f t="shared" si="3"/>
        <v>5315.43</v>
      </c>
      <c r="AA37" s="2" t="b">
        <f>D37='2020'!C297</f>
        <v>1</v>
      </c>
      <c r="AB37" s="2" t="b">
        <f>X37='2020'!BC296</f>
        <v>1</v>
      </c>
      <c r="AC37" s="34">
        <f>'2020'!AQ301</f>
        <v>500</v>
      </c>
      <c r="AD37" s="34">
        <f>'2020'!AQ302</f>
        <v>2005</v>
      </c>
    </row>
    <row r="38" ht="15.75" customHeight="1" spans="1:30" x14ac:dyDescent="0.25">
      <c r="A38" s="14"/>
      <c r="B38" s="115">
        <v>34</v>
      </c>
      <c r="C38" s="115">
        <v>4.01</v>
      </c>
      <c r="D38" s="117" t="s">
        <v>155</v>
      </c>
      <c r="E38" s="106">
        <f>'2020'!BH305</f>
        <v>142.33</v>
      </c>
      <c r="F38" s="106">
        <f>'2020'!BH306</f>
        <v>909.3</v>
      </c>
      <c r="G38" s="106">
        <f>'2020'!BH307</f>
        <v>-169.42</v>
      </c>
      <c r="H38" s="106">
        <f>'2020'!BH308</f>
        <v>0</v>
      </c>
      <c r="I38" s="106">
        <f>'2020'!BH309</f>
        <v>2411</v>
      </c>
      <c r="J38" s="106">
        <f>'2020'!BH310</f>
        <v>500</v>
      </c>
      <c r="K38" s="106">
        <f>'2020'!BH311</f>
        <v>2005</v>
      </c>
      <c r="L38" s="106">
        <f>'2020'!BH312</f>
        <v>0</v>
      </c>
      <c r="M38" s="106">
        <f t="shared" si="0"/>
        <v>5798.21</v>
      </c>
      <c r="N38" s="106">
        <v>2411</v>
      </c>
      <c r="O38" s="37">
        <f t="shared" si="5"/>
        <v>31</v>
      </c>
      <c r="P38" s="15"/>
      <c r="Q38" s="15"/>
      <c r="R38" s="15"/>
      <c r="S38" s="15"/>
      <c r="T38" s="15"/>
      <c r="U38" s="15"/>
      <c r="V38" s="15"/>
      <c r="W38" s="15"/>
      <c r="X38" s="284">
        <f t="shared" si="1"/>
        <v>7.47</v>
      </c>
      <c r="Y38" s="281">
        <f t="shared" si="2"/>
        <v>2411</v>
      </c>
      <c r="Z38" s="42">
        <f t="shared" si="3"/>
        <v>2411</v>
      </c>
      <c r="AA38" s="2" t="b">
        <f>D38='2020'!C306</f>
        <v>1</v>
      </c>
      <c r="AB38" s="2" t="b">
        <f>X38='2020'!BC305</f>
        <v>1</v>
      </c>
      <c r="AC38" s="34">
        <f>'2020'!AQ310</f>
        <v>500</v>
      </c>
      <c r="AD38" s="34">
        <f>'2020'!AQ311</f>
        <v>2005</v>
      </c>
    </row>
    <row r="39" ht="15.75" customHeight="1" spans="1:30" x14ac:dyDescent="0.25">
      <c r="A39" s="14"/>
      <c r="B39" s="115">
        <v>35</v>
      </c>
      <c r="C39" s="115">
        <v>4.01</v>
      </c>
      <c r="D39" s="117" t="s">
        <v>157</v>
      </c>
      <c r="E39" s="106">
        <f>'2020'!BH314</f>
        <v>0</v>
      </c>
      <c r="F39" s="106">
        <f>'2020'!BH315</f>
        <v>0</v>
      </c>
      <c r="G39" s="106">
        <f>'2020'!BH316</f>
        <v>-0.12</v>
      </c>
      <c r="H39" s="106">
        <f>'2020'!BH317</f>
        <v>0</v>
      </c>
      <c r="I39" s="106">
        <f>'2020'!BH318</f>
        <v>0</v>
      </c>
      <c r="J39" s="106">
        <f>'2020'!BH319</f>
        <v>500</v>
      </c>
      <c r="K39" s="106">
        <f>'2020'!BH320</f>
        <v>2005</v>
      </c>
      <c r="L39" s="106">
        <f>'2020'!BH321</f>
        <v>0</v>
      </c>
      <c r="M39" s="106">
        <f t="shared" si="0"/>
        <v>2504.88</v>
      </c>
      <c r="N39" s="106">
        <v>0</v>
      </c>
      <c r="O39" s="37"/>
      <c r="X39" s="285">
        <f t="shared" si="1"/>
        <v>0</v>
      </c>
      <c r="Y39" s="281">
        <f t="shared" si="2"/>
        <v>0</v>
      </c>
      <c r="Z39" s="42">
        <f t="shared" si="3"/>
        <v>0</v>
      </c>
      <c r="AA39" s="2" t="b">
        <f>D39='2020'!C315</f>
        <v>1</v>
      </c>
      <c r="AB39" s="2" t="b">
        <f>X39='2020'!BC314</f>
        <v>1</v>
      </c>
      <c r="AC39" s="34">
        <f>'2020'!AQ319</f>
        <v>500</v>
      </c>
      <c r="AD39" s="34">
        <f>'2020'!AQ320</f>
        <v>2005</v>
      </c>
    </row>
    <row r="40" ht="15.75" customHeight="1" spans="1:30" x14ac:dyDescent="0.25">
      <c r="A40" s="14"/>
      <c r="B40" s="115">
        <v>36</v>
      </c>
      <c r="C40" s="115">
        <v>4.03</v>
      </c>
      <c r="D40" s="117" t="s">
        <v>160</v>
      </c>
      <c r="E40" s="106">
        <f>'2020'!BH323</f>
        <v>0</v>
      </c>
      <c r="F40" s="106">
        <f>'2020'!BH324</f>
        <v>266.73</v>
      </c>
      <c r="G40" s="106">
        <f>'2020'!BH325</f>
        <v>105.72</v>
      </c>
      <c r="H40" s="106">
        <f>'2020'!BH326</f>
        <v>0</v>
      </c>
      <c r="I40" s="106">
        <f>'2020'!BH327</f>
        <v>0</v>
      </c>
      <c r="J40" s="106">
        <f>'2020'!BH328</f>
        <v>500</v>
      </c>
      <c r="K40" s="106">
        <f>'2020'!BH329</f>
        <v>2015</v>
      </c>
      <c r="L40" s="106">
        <f>'2020'!BH330</f>
        <v>0</v>
      </c>
      <c r="M40" s="106">
        <f t="shared" si="0"/>
        <v>2887.45</v>
      </c>
      <c r="N40" s="106">
        <v>0</v>
      </c>
      <c r="O40" s="37"/>
      <c r="X40" s="285">
        <f t="shared" si="1"/>
        <v>0</v>
      </c>
      <c r="Y40" s="281">
        <f t="shared" si="2"/>
        <v>0</v>
      </c>
      <c r="Z40" s="42">
        <f t="shared" si="3"/>
        <v>0</v>
      </c>
      <c r="AA40" s="2" t="b">
        <f>D40='2020'!C324</f>
        <v>1</v>
      </c>
      <c r="AB40" s="2" t="b">
        <f>X40='2020'!BC323</f>
        <v>1</v>
      </c>
      <c r="AC40" s="34">
        <f>'2020'!AQ328</f>
        <v>500</v>
      </c>
      <c r="AD40" s="34">
        <f>'2020'!AQ329</f>
        <v>2015</v>
      </c>
    </row>
    <row r="41" ht="15.75" customHeight="1" spans="1:30" x14ac:dyDescent="0.25">
      <c r="A41" s="14"/>
      <c r="B41" s="115">
        <v>37</v>
      </c>
      <c r="C41" s="115">
        <v>4.06</v>
      </c>
      <c r="D41" s="117" t="s">
        <v>162</v>
      </c>
      <c r="E41" s="106">
        <f>'2020'!BH332</f>
        <v>0</v>
      </c>
      <c r="F41" s="106">
        <f>'2020'!BH333</f>
        <v>0</v>
      </c>
      <c r="G41" s="106">
        <f>'2020'!BH334</f>
        <v>-11.24</v>
      </c>
      <c r="H41" s="106">
        <f>'2020'!BH335</f>
        <v>0</v>
      </c>
      <c r="I41" s="106">
        <f>'2020'!BH336</f>
        <v>0</v>
      </c>
      <c r="J41" s="106">
        <f>'2020'!BH337</f>
        <v>500</v>
      </c>
      <c r="K41" s="106">
        <f>'2020'!BH338</f>
        <v>2030</v>
      </c>
      <c r="L41" s="106">
        <f>'2020'!BH339</f>
        <v>0</v>
      </c>
      <c r="M41" s="106">
        <f t="shared" si="0"/>
        <v>2518.76</v>
      </c>
      <c r="N41" s="106">
        <v>0</v>
      </c>
      <c r="O41" s="37"/>
      <c r="X41" s="285">
        <f t="shared" si="1"/>
        <v>0</v>
      </c>
      <c r="Y41" s="281">
        <f t="shared" si="2"/>
        <v>0</v>
      </c>
      <c r="Z41" s="42">
        <f t="shared" si="3"/>
        <v>0</v>
      </c>
      <c r="AA41" s="2" t="b">
        <f>D41='2020'!C333</f>
        <v>1</v>
      </c>
      <c r="AB41" s="2" t="b">
        <f>X41='2020'!BC332</f>
        <v>1</v>
      </c>
      <c r="AC41" s="34">
        <f>'2020'!AQ337</f>
        <v>500</v>
      </c>
      <c r="AD41" s="34">
        <f>'2020'!AQ338</f>
        <v>2030</v>
      </c>
    </row>
    <row r="42" ht="15.75" customHeight="1" spans="1:30" x14ac:dyDescent="0.25">
      <c r="A42" s="14"/>
      <c r="B42" s="115">
        <v>38</v>
      </c>
      <c r="C42" s="115">
        <v>4.34</v>
      </c>
      <c r="D42" s="117" t="s">
        <v>167</v>
      </c>
      <c r="E42" s="106">
        <f>'2020'!BH341</f>
        <v>45.14</v>
      </c>
      <c r="F42" s="106">
        <f>'2020'!BH342</f>
        <v>0</v>
      </c>
      <c r="G42" s="106">
        <f>'2020'!BH343</f>
        <v>76.91</v>
      </c>
      <c r="H42" s="106">
        <f>'2020'!BH344</f>
        <v>0</v>
      </c>
      <c r="I42" s="106">
        <f>'2020'!BH345</f>
        <v>3700</v>
      </c>
      <c r="J42" s="106">
        <f>'2020'!BH346</f>
        <v>500</v>
      </c>
      <c r="K42" s="106">
        <f>'2020'!BH347</f>
        <v>2170</v>
      </c>
      <c r="L42" s="106">
        <f>'2020'!BH348</f>
        <v>0</v>
      </c>
      <c r="M42" s="106">
        <f t="shared" si="0"/>
        <v>6492.05</v>
      </c>
      <c r="N42" s="106">
        <v>3700</v>
      </c>
      <c r="O42" s="37">
        <f>IF(P42&gt;0,P42-1,$O$1)</f>
        <v>31</v>
      </c>
      <c r="X42" s="284">
        <f t="shared" si="1"/>
        <v>11.47</v>
      </c>
      <c r="Y42" s="281">
        <f t="shared" si="2"/>
        <v>3700</v>
      </c>
      <c r="Z42" s="42">
        <f t="shared" si="3"/>
        <v>3700</v>
      </c>
      <c r="AA42" s="2" t="b">
        <f>D42='2020'!C342</f>
        <v>1</v>
      </c>
      <c r="AB42" s="2" t="b">
        <f>X42='2020'!BC341</f>
        <v>1</v>
      </c>
      <c r="AC42" s="34">
        <f>'2020'!AQ346</f>
        <v>500</v>
      </c>
      <c r="AD42" s="34">
        <f>'2020'!AQ347</f>
        <v>2170</v>
      </c>
    </row>
    <row r="43" ht="15.75" customHeight="1" spans="1:30" x14ac:dyDescent="0.25">
      <c r="A43" s="21"/>
      <c r="B43" s="115">
        <v>39</v>
      </c>
      <c r="C43" s="116">
        <v>4</v>
      </c>
      <c r="D43" s="2" t="s">
        <v>402</v>
      </c>
      <c r="E43" s="106">
        <f>'2020'!BH350</f>
        <v>8.7</v>
      </c>
      <c r="F43" s="106">
        <f>'2020'!BH351</f>
        <v>-774.15</v>
      </c>
      <c r="G43" s="106">
        <f>'2020'!BH352</f>
        <v>81.66</v>
      </c>
      <c r="H43" s="106">
        <f>'2020'!BH353</f>
        <v>0</v>
      </c>
      <c r="I43" s="106">
        <f>'2020'!BH354</f>
        <v>0</v>
      </c>
      <c r="J43" s="106">
        <f>'2020'!BH355</f>
        <v>500</v>
      </c>
      <c r="K43" s="106">
        <f>'2020'!BH356</f>
        <v>0</v>
      </c>
      <c r="L43" s="106">
        <f>'2020'!BH357</f>
        <v>0</v>
      </c>
      <c r="M43" s="106">
        <f t="shared" si="0"/>
        <v>-183.79</v>
      </c>
      <c r="N43" s="106">
        <v>-2000</v>
      </c>
      <c r="O43" s="37"/>
      <c r="P43" s="15"/>
      <c r="Q43" s="15"/>
      <c r="R43" s="34"/>
      <c r="S43" s="37"/>
      <c r="T43" s="15"/>
      <c r="U43" s="15"/>
      <c r="V43" s="15"/>
      <c r="W43" s="15"/>
      <c r="X43" s="285">
        <f t="shared" si="1"/>
        <v>0</v>
      </c>
      <c r="Y43" s="281">
        <f t="shared" si="2"/>
        <v>-2000</v>
      </c>
      <c r="Z43" s="42">
        <f t="shared" si="3"/>
        <v>-2000</v>
      </c>
      <c r="AA43" s="2" t="b">
        <f>D43='2020'!C351</f>
        <v>1</v>
      </c>
      <c r="AB43" s="2" t="b">
        <f>X43='2020'!BC350</f>
        <v>1</v>
      </c>
      <c r="AC43" s="34">
        <f>'2020'!AQ355</f>
        <v>500</v>
      </c>
      <c r="AD43" s="34">
        <f>'2020'!AQ356</f>
        <v>2000</v>
      </c>
    </row>
    <row r="44" ht="15.75" customHeight="1" spans="1:30" x14ac:dyDescent="0.25">
      <c r="A44" s="114" t="s">
        <v>173</v>
      </c>
      <c r="B44" s="115">
        <v>40</v>
      </c>
      <c r="C44" s="115">
        <v>4.92</v>
      </c>
      <c r="D44" s="117" t="s">
        <v>174</v>
      </c>
      <c r="E44" s="106">
        <f>'2020'!BH359</f>
        <v>0</v>
      </c>
      <c r="F44" s="106">
        <f>'2020'!BH360</f>
        <v>1267.13</v>
      </c>
      <c r="G44" s="106">
        <f>'2020'!BH361</f>
        <v>438.61</v>
      </c>
      <c r="H44" s="106">
        <f>'2020'!BH362</f>
        <v>0</v>
      </c>
      <c r="I44" s="106">
        <f>'2020'!BH363</f>
        <v>0</v>
      </c>
      <c r="J44" s="106">
        <f>'2020'!BH364</f>
        <v>500</v>
      </c>
      <c r="K44" s="106">
        <f>'2020'!BH365</f>
        <v>2460</v>
      </c>
      <c r="L44" s="106">
        <f>'2020'!BH366</f>
        <v>0</v>
      </c>
      <c r="M44" s="106">
        <f t="shared" si="0"/>
        <v>4665.74</v>
      </c>
      <c r="N44" s="106">
        <v>0</v>
      </c>
      <c r="O44" s="37"/>
      <c r="X44" s="285">
        <f t="shared" si="1"/>
        <v>0</v>
      </c>
      <c r="Y44" s="281">
        <f t="shared" si="2"/>
        <v>0</v>
      </c>
      <c r="Z44" s="42">
        <f t="shared" si="3"/>
        <v>0</v>
      </c>
      <c r="AA44" s="2" t="b">
        <f>D44='2020'!C360</f>
        <v>1</v>
      </c>
      <c r="AB44" s="2" t="b">
        <f>X44='2020'!BC359</f>
        <v>1</v>
      </c>
      <c r="AC44" s="34">
        <f>'2020'!AQ364</f>
        <v>500</v>
      </c>
      <c r="AD44" s="34">
        <f>'2020'!AQ365</f>
        <v>2460</v>
      </c>
    </row>
    <row r="45" ht="15.75" customHeight="1" spans="1:30" x14ac:dyDescent="0.25">
      <c r="A45" s="14"/>
      <c r="B45" s="115">
        <v>41</v>
      </c>
      <c r="C45" s="115">
        <v>4.87</v>
      </c>
      <c r="D45" s="117" t="s">
        <v>177</v>
      </c>
      <c r="E45" s="106">
        <f>'2020'!BH368</f>
        <v>92.03</v>
      </c>
      <c r="F45" s="106">
        <f>'2020'!BH369</f>
        <v>-20</v>
      </c>
      <c r="G45" s="106">
        <f>'2020'!BH370</f>
        <v>55.68</v>
      </c>
      <c r="H45" s="106">
        <f>'2020'!BH371</f>
        <v>0</v>
      </c>
      <c r="I45" s="106">
        <f>'2020'!BH372</f>
        <v>5357</v>
      </c>
      <c r="J45" s="106">
        <f>'2020'!BH373</f>
        <v>500</v>
      </c>
      <c r="K45" s="106">
        <f>'2020'!BH374</f>
        <v>2435</v>
      </c>
      <c r="L45" s="106">
        <f>'2020'!BH375</f>
        <v>500</v>
      </c>
      <c r="M45" s="106">
        <f t="shared" si="0"/>
        <v>8919.71</v>
      </c>
      <c r="N45" s="106">
        <v>5357</v>
      </c>
      <c r="O45" s="37">
        <f>IF(P45&gt;0,P45-1,$O$1)</f>
        <v>31</v>
      </c>
      <c r="X45" s="284">
        <f t="shared" si="1"/>
        <v>16.61</v>
      </c>
      <c r="Y45" s="281">
        <f t="shared" si="2"/>
        <v>5357</v>
      </c>
      <c r="Z45" s="42">
        <f t="shared" si="3"/>
        <v>5357</v>
      </c>
      <c r="AA45" s="2" t="b">
        <f>D45='2020'!C369</f>
        <v>1</v>
      </c>
      <c r="AB45" s="2" t="b">
        <f>X45='2020'!BC368</f>
        <v>1</v>
      </c>
      <c r="AC45" s="34">
        <f>'2020'!AQ373</f>
        <v>500</v>
      </c>
      <c r="AD45" s="34">
        <f>'2020'!AQ374</f>
        <v>2435</v>
      </c>
    </row>
    <row r="46" ht="15.75" customHeight="1" spans="1:30" x14ac:dyDescent="0.25">
      <c r="A46" s="14"/>
      <c r="B46" s="115">
        <v>42</v>
      </c>
      <c r="C46" s="116">
        <v>4.9</v>
      </c>
      <c r="D46" s="2" t="s">
        <v>181</v>
      </c>
      <c r="E46" s="106">
        <f>'2020'!BH377</f>
        <v>7.01</v>
      </c>
      <c r="F46" s="106">
        <f>'2020'!BH378</f>
        <v>6862.64</v>
      </c>
      <c r="G46" s="106">
        <f>'2020'!BH379</f>
        <v>58.38</v>
      </c>
      <c r="H46" s="106">
        <f>'2020'!BH380</f>
        <v>0</v>
      </c>
      <c r="I46" s="106">
        <f>'2020'!BH381</f>
        <v>0</v>
      </c>
      <c r="J46" s="106">
        <f>'2020'!BH382</f>
        <v>0</v>
      </c>
      <c r="K46" s="106">
        <f>'2020'!BH383</f>
        <v>2345.5</v>
      </c>
      <c r="L46" s="106">
        <f>'2020'!BH384</f>
        <v>0</v>
      </c>
      <c r="M46" s="106">
        <f t="shared" si="0"/>
        <v>9273.53</v>
      </c>
      <c r="N46" s="106">
        <v>-604.5</v>
      </c>
      <c r="O46" s="37"/>
      <c r="Q46" s="34"/>
      <c r="R46" s="34"/>
      <c r="T46" s="15"/>
      <c r="U46" s="15"/>
      <c r="V46" s="15"/>
      <c r="W46" s="15"/>
      <c r="X46" s="280">
        <f t="shared" si="1"/>
        <v>0</v>
      </c>
      <c r="Y46" s="281">
        <f t="shared" si="2"/>
        <v>-604.5</v>
      </c>
      <c r="Z46" s="42">
        <f t="shared" si="3"/>
        <v>-604.5</v>
      </c>
      <c r="AA46" s="2" t="b">
        <f>D46='2020'!C378</f>
        <v>1</v>
      </c>
      <c r="AB46" s="2" t="b">
        <f>X46='2020'!BC377</f>
        <v>1</v>
      </c>
      <c r="AC46" s="34">
        <f>'2020'!AQ382</f>
        <v>500</v>
      </c>
      <c r="AD46" s="34">
        <f>'2020'!AQ383</f>
        <v>2450</v>
      </c>
    </row>
    <row r="47" ht="15.75" customHeight="1" spans="1:30" x14ac:dyDescent="0.25">
      <c r="A47" s="14"/>
      <c r="B47" s="115">
        <v>43</v>
      </c>
      <c r="C47" s="115">
        <v>4.96</v>
      </c>
      <c r="D47" s="117" t="s">
        <v>185</v>
      </c>
      <c r="E47" s="106">
        <f>'2020'!BH386</f>
        <v>5.65</v>
      </c>
      <c r="F47" s="106">
        <f>'2020'!BH387</f>
        <v>-20.41</v>
      </c>
      <c r="G47" s="106">
        <f>'2020'!BH388</f>
        <v>-85.94</v>
      </c>
      <c r="H47" s="106">
        <f>'2020'!BH389</f>
        <v>0</v>
      </c>
      <c r="I47" s="106">
        <f>'2020'!BH390</f>
        <v>2093</v>
      </c>
      <c r="J47" s="106">
        <f>'2020'!BH391</f>
        <v>0</v>
      </c>
      <c r="K47" s="106">
        <f>'2020'!BH392</f>
        <v>880</v>
      </c>
      <c r="L47" s="106">
        <f>'2020'!BH393</f>
        <v>0</v>
      </c>
      <c r="M47" s="106">
        <f t="shared" si="0"/>
        <v>2872.3</v>
      </c>
      <c r="N47" s="106">
        <v>-6.99999999999909</v>
      </c>
      <c r="O47" s="37"/>
      <c r="Q47" s="34"/>
      <c r="R47" s="34"/>
      <c r="X47" s="280">
        <f t="shared" si="1"/>
        <v>0</v>
      </c>
      <c r="Y47" s="281">
        <f t="shared" si="2"/>
        <v>-7</v>
      </c>
      <c r="Z47" s="42">
        <f t="shared" si="3"/>
        <v>-7</v>
      </c>
      <c r="AA47" s="2" t="b">
        <f>D47='2020'!C387</f>
        <v>1</v>
      </c>
      <c r="AB47" s="2" t="b">
        <f>X47='2020'!BC386</f>
        <v>1</v>
      </c>
      <c r="AC47" s="34">
        <f>'2020'!AQ391</f>
        <v>500</v>
      </c>
      <c r="AD47" s="34">
        <f>'2020'!AQ392</f>
        <v>2480</v>
      </c>
    </row>
    <row r="48" ht="15.75" customHeight="1" spans="1:30" x14ac:dyDescent="0.25">
      <c r="A48" s="14"/>
      <c r="B48" s="115">
        <v>44</v>
      </c>
      <c r="C48" s="115">
        <v>4.01</v>
      </c>
      <c r="D48" s="15" t="s">
        <v>412</v>
      </c>
      <c r="E48" s="106">
        <f>'2020'!BH395</f>
        <v>62.52</v>
      </c>
      <c r="F48" s="106">
        <f>'2020'!BH396</f>
        <v>63</v>
      </c>
      <c r="G48" s="106">
        <f>'2020'!BH397</f>
        <v>97.18</v>
      </c>
      <c r="H48" s="106">
        <f>'2020'!BH398</f>
        <v>0</v>
      </c>
      <c r="I48" s="106">
        <f>'2020'!BH399</f>
        <v>4411</v>
      </c>
      <c r="J48" s="106">
        <f>'2020'!BH400</f>
        <v>500</v>
      </c>
      <c r="K48" s="106">
        <f>'2020'!BH401</f>
        <v>2005</v>
      </c>
      <c r="L48" s="106">
        <f>'2020'!BH402</f>
        <v>500</v>
      </c>
      <c r="M48" s="106">
        <f t="shared" si="0"/>
        <v>7638.7</v>
      </c>
      <c r="N48" s="106">
        <v>4411</v>
      </c>
      <c r="O48" s="37">
        <f>IF(P48&gt;0,P48-1,$O$1)</f>
        <v>31</v>
      </c>
      <c r="P48" s="15"/>
      <c r="Q48" s="34"/>
      <c r="R48" s="34"/>
      <c r="S48" s="37"/>
      <c r="T48" s="15"/>
      <c r="U48" s="15"/>
      <c r="V48" s="15"/>
      <c r="W48" s="15"/>
      <c r="X48" s="282">
        <f t="shared" si="1"/>
        <v>13.67</v>
      </c>
      <c r="Y48" s="281">
        <f t="shared" si="2"/>
        <v>4411</v>
      </c>
      <c r="Z48" s="42">
        <f t="shared" si="3"/>
        <v>4411</v>
      </c>
      <c r="AA48" s="2" t="b">
        <f>D48='2020'!C396</f>
        <v>1</v>
      </c>
      <c r="AB48" s="2" t="b">
        <f>X48='2020'!BC395</f>
        <v>1</v>
      </c>
      <c r="AC48" s="34">
        <f>'2020'!AQ400</f>
        <v>500</v>
      </c>
      <c r="AD48" s="34">
        <f>'2020'!AQ401</f>
        <v>2005</v>
      </c>
    </row>
    <row r="49" ht="15.75" customHeight="1" spans="1:30" x14ac:dyDescent="0.25">
      <c r="A49" s="14"/>
      <c r="B49" s="115">
        <v>45</v>
      </c>
      <c r="C49" s="115">
        <v>5.04</v>
      </c>
      <c r="D49" s="117" t="s">
        <v>189</v>
      </c>
      <c r="E49" s="106">
        <f>'2020'!BH404</f>
        <v>0</v>
      </c>
      <c r="F49" s="106">
        <f>'2020'!BH405</f>
        <v>0</v>
      </c>
      <c r="G49" s="106">
        <f>'2020'!BH406</f>
        <v>0</v>
      </c>
      <c r="H49" s="106">
        <f>'2020'!BH407</f>
        <v>0</v>
      </c>
      <c r="I49" s="106">
        <f>'2020'!BH408</f>
        <v>-134.94</v>
      </c>
      <c r="J49" s="106">
        <f>'2020'!BH409</f>
        <v>0</v>
      </c>
      <c r="K49" s="106">
        <f>'2020'!BH410</f>
        <v>0</v>
      </c>
      <c r="L49" s="106">
        <f>'2020'!BH411</f>
        <v>0</v>
      </c>
      <c r="M49" s="106">
        <f t="shared" si="0"/>
        <v>-134.94</v>
      </c>
      <c r="N49" s="106">
        <v>-3020</v>
      </c>
      <c r="O49" s="37"/>
      <c r="X49" s="280">
        <f t="shared" si="1"/>
        <v>0</v>
      </c>
      <c r="Y49" s="281">
        <f t="shared" si="2"/>
        <v>-3020</v>
      </c>
      <c r="Z49" s="42">
        <f t="shared" si="3"/>
        <v>-3154.94</v>
      </c>
      <c r="AA49" s="2" t="b">
        <f>D49='2020'!C405</f>
        <v>1</v>
      </c>
      <c r="AB49" s="2" t="b">
        <f>X49='2020'!BC404</f>
        <v>1</v>
      </c>
      <c r="AC49" s="34">
        <f>'2020'!AQ409</f>
        <v>500</v>
      </c>
      <c r="AD49" s="34">
        <f>'2020'!AQ410</f>
        <v>2520</v>
      </c>
    </row>
    <row r="50" ht="15.75" customHeight="1" spans="1:30" x14ac:dyDescent="0.25">
      <c r="A50" s="14"/>
      <c r="B50" s="115">
        <v>46</v>
      </c>
      <c r="C50" s="116">
        <v>4</v>
      </c>
      <c r="D50" s="117" t="s">
        <v>188</v>
      </c>
      <c r="E50" s="106">
        <f>'2020'!BH413</f>
        <v>0</v>
      </c>
      <c r="F50" s="106">
        <f>'2020'!BH414</f>
        <v>522.6</v>
      </c>
      <c r="G50" s="106">
        <f>'2020'!BH415</f>
        <v>0</v>
      </c>
      <c r="H50" s="106">
        <f>'2020'!BH416</f>
        <v>0</v>
      </c>
      <c r="I50" s="106">
        <f>'2020'!BH417</f>
        <v>0</v>
      </c>
      <c r="J50" s="106">
        <f>'2020'!BH418</f>
        <v>500</v>
      </c>
      <c r="K50" s="106">
        <f>'2020'!BH419</f>
        <v>2000</v>
      </c>
      <c r="L50" s="106">
        <f>'2020'!BH420</f>
        <v>0</v>
      </c>
      <c r="M50" s="106">
        <f t="shared" si="0"/>
        <v>3022.6</v>
      </c>
      <c r="N50" s="106">
        <v>0</v>
      </c>
      <c r="O50" s="37"/>
      <c r="X50" s="280">
        <f t="shared" si="1"/>
        <v>0</v>
      </c>
      <c r="Y50" s="281">
        <f t="shared" si="2"/>
        <v>0</v>
      </c>
      <c r="Z50" s="42">
        <f t="shared" si="3"/>
        <v>0</v>
      </c>
      <c r="AA50" s="2" t="b">
        <f>D50='2020'!C414</f>
        <v>1</v>
      </c>
      <c r="AB50" s="2" t="b">
        <f>X50='2020'!BC413</f>
        <v>1</v>
      </c>
      <c r="AC50" s="34">
        <f>'2020'!AQ418</f>
        <v>500</v>
      </c>
      <c r="AD50" s="34">
        <f>'2020'!AQ419</f>
        <v>2000</v>
      </c>
    </row>
    <row r="51" ht="15.75" customHeight="1" spans="1:30" x14ac:dyDescent="0.25">
      <c r="A51" s="14"/>
      <c r="B51" s="115">
        <v>47</v>
      </c>
      <c r="C51" s="116">
        <v>5</v>
      </c>
      <c r="D51" s="117" t="s">
        <v>192</v>
      </c>
      <c r="E51" s="106">
        <f>'2020'!BH422</f>
        <v>23.65</v>
      </c>
      <c r="F51" s="106">
        <f>'2020'!BH423</f>
        <v>0</v>
      </c>
      <c r="G51" s="106">
        <f>'2020'!BH424</f>
        <v>-0.02</v>
      </c>
      <c r="H51" s="106">
        <f>'2020'!BH425</f>
        <v>0</v>
      </c>
      <c r="I51" s="106">
        <f>'2020'!BH426</f>
        <v>0</v>
      </c>
      <c r="J51" s="106">
        <f>'2020'!BH427</f>
        <v>0</v>
      </c>
      <c r="K51" s="106">
        <f>'2020'!BH428</f>
        <v>2500</v>
      </c>
      <c r="L51" s="106">
        <f>'2020'!BH429</f>
        <v>0</v>
      </c>
      <c r="M51" s="106">
        <f t="shared" si="0"/>
        <v>2523.63</v>
      </c>
      <c r="N51" s="106">
        <v>-500</v>
      </c>
      <c r="O51" s="37"/>
      <c r="Q51" s="34"/>
      <c r="R51" s="34"/>
      <c r="X51" s="280">
        <f t="shared" si="1"/>
        <v>0</v>
      </c>
      <c r="Y51" s="281">
        <f t="shared" si="2"/>
        <v>-500</v>
      </c>
      <c r="Z51" s="42">
        <f t="shared" si="3"/>
        <v>-500</v>
      </c>
      <c r="AA51" s="2" t="b">
        <f>D51='2020'!C423</f>
        <v>1</v>
      </c>
      <c r="AB51" s="2" t="b">
        <f>X51='2020'!BC422</f>
        <v>1</v>
      </c>
      <c r="AC51" s="34">
        <f>'2020'!AQ427</f>
        <v>500</v>
      </c>
      <c r="AD51" s="34">
        <f>'2020'!AQ428</f>
        <v>2500</v>
      </c>
    </row>
    <row r="52" ht="15.75" customHeight="1" spans="1:30" x14ac:dyDescent="0.25">
      <c r="A52" s="14"/>
      <c r="B52" s="115">
        <v>48</v>
      </c>
      <c r="C52" s="115">
        <v>5.93</v>
      </c>
      <c r="D52" s="117" t="s">
        <v>97</v>
      </c>
      <c r="E52" s="106">
        <f>'2020'!BH431</f>
        <v>0</v>
      </c>
      <c r="F52" s="106">
        <f>'2020'!BH432</f>
        <v>0</v>
      </c>
      <c r="G52" s="106">
        <f>'2020'!BH433</f>
        <v>-5.02</v>
      </c>
      <c r="H52" s="106">
        <f>'2020'!BH434</f>
        <v>0</v>
      </c>
      <c r="I52" s="106">
        <f>'2020'!BH435</f>
        <v>0</v>
      </c>
      <c r="J52" s="106">
        <f>'2020'!BH436</f>
        <v>500</v>
      </c>
      <c r="K52" s="106">
        <f>'2020'!BH437</f>
        <v>2965</v>
      </c>
      <c r="L52" s="106">
        <f>'2020'!BH438</f>
        <v>0</v>
      </c>
      <c r="M52" s="106">
        <f t="shared" si="0"/>
        <v>3459.98</v>
      </c>
      <c r="N52" s="106">
        <v>0</v>
      </c>
      <c r="O52" s="37"/>
      <c r="P52" s="15"/>
      <c r="Q52" s="34"/>
      <c r="R52" s="34"/>
      <c r="S52" s="37"/>
      <c r="T52" s="15"/>
      <c r="U52" s="15"/>
      <c r="V52" s="15"/>
      <c r="W52" s="15"/>
      <c r="X52" s="280">
        <f t="shared" si="1"/>
        <v>0</v>
      </c>
      <c r="Y52" s="281">
        <f t="shared" si="2"/>
        <v>0</v>
      </c>
      <c r="Z52" s="42">
        <f t="shared" si="3"/>
        <v>0</v>
      </c>
      <c r="AA52" s="2" t="b">
        <f>D52='2020'!C432</f>
        <v>1</v>
      </c>
      <c r="AB52" s="2" t="b">
        <f>X52='2020'!BC431</f>
        <v>1</v>
      </c>
      <c r="AC52" s="34">
        <f>'2020'!AQ436</f>
        <v>500</v>
      </c>
      <c r="AD52" s="34">
        <f>'2020'!AQ437</f>
        <v>2965</v>
      </c>
    </row>
    <row r="53" ht="15.75" customHeight="1" spans="1:30" x14ac:dyDescent="0.25">
      <c r="A53" s="14"/>
      <c r="B53" s="115">
        <v>49</v>
      </c>
      <c r="C53" s="115">
        <v>5.03</v>
      </c>
      <c r="D53" s="117" t="s">
        <v>197</v>
      </c>
      <c r="E53" s="106">
        <f>'2020'!BH440</f>
        <v>0</v>
      </c>
      <c r="F53" s="106">
        <f>'2020'!BH441</f>
        <v>0</v>
      </c>
      <c r="G53" s="106">
        <f>'2020'!BH442</f>
        <v>-25.42</v>
      </c>
      <c r="H53" s="106">
        <f>'2020'!BH443</f>
        <v>0</v>
      </c>
      <c r="I53" s="106">
        <f>'2020'!BH444</f>
        <v>0</v>
      </c>
      <c r="J53" s="106">
        <f>'2020'!BH445</f>
        <v>500</v>
      </c>
      <c r="K53" s="106">
        <f>'2020'!BH446</f>
        <v>2515</v>
      </c>
      <c r="L53" s="106">
        <f>'2020'!BH447</f>
        <v>0</v>
      </c>
      <c r="M53" s="106">
        <f t="shared" si="0"/>
        <v>2989.58</v>
      </c>
      <c r="N53" s="106">
        <v>0</v>
      </c>
      <c r="O53" s="37"/>
      <c r="X53" s="280">
        <f t="shared" si="1"/>
        <v>0</v>
      </c>
      <c r="Y53" s="281">
        <f t="shared" si="2"/>
        <v>0</v>
      </c>
      <c r="Z53" s="42">
        <f t="shared" si="3"/>
        <v>0</v>
      </c>
      <c r="AA53" s="2" t="b">
        <f>D53='2020'!C441</f>
        <v>1</v>
      </c>
      <c r="AB53" s="2" t="b">
        <f>X53='2020'!BC440</f>
        <v>1</v>
      </c>
      <c r="AC53" s="34">
        <f>'2020'!AQ445</f>
        <v>500</v>
      </c>
      <c r="AD53" s="34">
        <f>'2020'!AQ446</f>
        <v>2515</v>
      </c>
    </row>
    <row r="54" ht="15.75" customHeight="1" spans="1:30" x14ac:dyDescent="0.25">
      <c r="A54" s="14"/>
      <c r="B54" s="115">
        <v>50</v>
      </c>
      <c r="C54" s="115">
        <v>6.05</v>
      </c>
      <c r="D54" s="117" t="s">
        <v>200</v>
      </c>
      <c r="E54" s="106">
        <f>'2020'!BH449</f>
        <v>-0.48</v>
      </c>
      <c r="F54" s="106">
        <f>'2020'!BH450</f>
        <v>98.4</v>
      </c>
      <c r="G54" s="106">
        <f>'2020'!BH451</f>
        <v>-0.84</v>
      </c>
      <c r="H54" s="106">
        <f>'2020'!BH452</f>
        <v>0</v>
      </c>
      <c r="I54" s="106">
        <f>'2020'!BH453</f>
        <v>0</v>
      </c>
      <c r="J54" s="106">
        <f>'2020'!BH454</f>
        <v>500</v>
      </c>
      <c r="K54" s="106">
        <f>'2020'!BH455</f>
        <v>3025</v>
      </c>
      <c r="L54" s="106">
        <f>'2020'!BH456</f>
        <v>0</v>
      </c>
      <c r="M54" s="106">
        <f t="shared" si="0"/>
        <v>3622.08</v>
      </c>
      <c r="N54" s="106">
        <v>0</v>
      </c>
      <c r="O54" s="37"/>
      <c r="X54" s="280">
        <f t="shared" si="1"/>
        <v>0</v>
      </c>
      <c r="Y54" s="281">
        <f t="shared" si="2"/>
        <v>0</v>
      </c>
      <c r="Z54" s="42">
        <f t="shared" si="3"/>
        <v>0</v>
      </c>
      <c r="AA54" s="2" t="b">
        <f>D54='2020'!C450</f>
        <v>1</v>
      </c>
      <c r="AB54" s="2" t="b">
        <f>X54='2020'!BC449</f>
        <v>1</v>
      </c>
      <c r="AC54" s="34">
        <f>'2020'!AQ454</f>
        <v>500</v>
      </c>
      <c r="AD54" s="34">
        <f>'2020'!AQ455</f>
        <v>3025</v>
      </c>
    </row>
    <row r="55" ht="15.75" customHeight="1" spans="1:30" x14ac:dyDescent="0.25">
      <c r="A55" s="14"/>
      <c r="B55" s="115">
        <v>51</v>
      </c>
      <c r="C55" s="115">
        <v>4.95</v>
      </c>
      <c r="D55" s="117" t="s">
        <v>204</v>
      </c>
      <c r="E55" s="106">
        <f>'2020'!BH458</f>
        <v>-1.67</v>
      </c>
      <c r="F55" s="106">
        <f>'2020'!BH459</f>
        <v>-1047</v>
      </c>
      <c r="G55" s="106">
        <f>'2020'!BH460</f>
        <v>-67.76</v>
      </c>
      <c r="H55" s="106">
        <f>'2020'!BH461</f>
        <v>0</v>
      </c>
      <c r="I55" s="106">
        <f>'2020'!BH462</f>
        <v>0</v>
      </c>
      <c r="J55" s="106">
        <f>'2020'!BH463</f>
        <v>0</v>
      </c>
      <c r="K55" s="106">
        <f>'2020'!BH464</f>
        <v>0</v>
      </c>
      <c r="L55" s="106">
        <f>'2020'!BH465</f>
        <v>0</v>
      </c>
      <c r="M55" s="106">
        <f t="shared" si="0"/>
        <v>-1116.43</v>
      </c>
      <c r="N55" s="106">
        <v>-2975</v>
      </c>
      <c r="O55" s="37"/>
      <c r="P55" s="15"/>
      <c r="Q55" s="34"/>
      <c r="R55" s="34"/>
      <c r="S55" s="37"/>
      <c r="T55" s="15"/>
      <c r="U55" s="15"/>
      <c r="V55" s="15"/>
      <c r="W55" s="15"/>
      <c r="X55" s="280">
        <f t="shared" si="1"/>
        <v>0</v>
      </c>
      <c r="Y55" s="281">
        <f t="shared" si="2"/>
        <v>-2975</v>
      </c>
      <c r="Z55" s="42">
        <f t="shared" si="3"/>
        <v>-2975</v>
      </c>
      <c r="AA55" s="2" t="b">
        <f>D55='2020'!C459</f>
        <v>1</v>
      </c>
      <c r="AB55" s="2" t="b">
        <f>X55='2020'!BC458</f>
        <v>1</v>
      </c>
      <c r="AC55" s="34">
        <f>'2020'!AQ463</f>
        <v>500</v>
      </c>
      <c r="AD55" s="34">
        <f>'2020'!AQ464</f>
        <v>2475</v>
      </c>
    </row>
    <row r="56" ht="15.75" customHeight="1" spans="1:30" x14ac:dyDescent="0.25">
      <c r="A56" s="14"/>
      <c r="B56" s="115">
        <v>52</v>
      </c>
      <c r="C56" s="116">
        <v>5</v>
      </c>
      <c r="D56" s="117" t="s">
        <v>206</v>
      </c>
      <c r="E56" s="106">
        <f>'2020'!BH467</f>
        <v>0</v>
      </c>
      <c r="F56" s="106">
        <f>'2020'!BH468</f>
        <v>-20.24</v>
      </c>
      <c r="G56" s="106">
        <f>'2020'!BH469</f>
        <v>0</v>
      </c>
      <c r="H56" s="106">
        <f>'2020'!BH470</f>
        <v>0</v>
      </c>
      <c r="I56" s="106">
        <f>'2020'!BH471</f>
        <v>0</v>
      </c>
      <c r="J56" s="106">
        <f>'2020'!BH472</f>
        <v>500</v>
      </c>
      <c r="K56" s="106">
        <f>'2020'!BH473</f>
        <v>2500</v>
      </c>
      <c r="L56" s="106">
        <f>'2020'!BH474</f>
        <v>0</v>
      </c>
      <c r="M56" s="106">
        <f t="shared" si="0"/>
        <v>2979.76</v>
      </c>
      <c r="N56" s="106">
        <v>0</v>
      </c>
      <c r="O56" s="37"/>
      <c r="X56" s="280">
        <f t="shared" si="1"/>
        <v>0</v>
      </c>
      <c r="Y56" s="281">
        <f t="shared" si="2"/>
        <v>0</v>
      </c>
      <c r="Z56" s="42">
        <f t="shared" si="3"/>
        <v>0</v>
      </c>
      <c r="AA56" s="2" t="b">
        <f>D56='2020'!C468</f>
        <v>1</v>
      </c>
      <c r="AB56" s="2" t="b">
        <f>X56='2020'!BC467</f>
        <v>1</v>
      </c>
      <c r="AC56" s="34">
        <f>'2020'!AQ472</f>
        <v>500</v>
      </c>
      <c r="AD56" s="34">
        <f>'2020'!AQ473</f>
        <v>2500</v>
      </c>
    </row>
    <row r="57" ht="15.75" customHeight="1" spans="1:30" x14ac:dyDescent="0.25">
      <c r="A57" s="14"/>
      <c r="B57" s="115">
        <v>53</v>
      </c>
      <c r="C57" s="115">
        <v>5.05</v>
      </c>
      <c r="D57" s="117" t="s">
        <v>210</v>
      </c>
      <c r="E57" s="106">
        <f>'2020'!BH476</f>
        <v>0.5</v>
      </c>
      <c r="F57" s="106">
        <f>'2020'!BH477</f>
        <v>2726.23</v>
      </c>
      <c r="G57" s="106">
        <f>'2020'!BH478</f>
        <v>-718.56</v>
      </c>
      <c r="H57" s="106">
        <f>'2020'!BH479</f>
        <v>0</v>
      </c>
      <c r="I57" s="106">
        <f>'2020'!BH480</f>
        <v>0</v>
      </c>
      <c r="J57" s="106">
        <f>'2020'!BH481</f>
        <v>500</v>
      </c>
      <c r="K57" s="106">
        <f>'2020'!BH482</f>
        <v>2525</v>
      </c>
      <c r="L57" s="106">
        <f>'2020'!BH483</f>
        <v>0</v>
      </c>
      <c r="M57" s="106">
        <f t="shared" si="0"/>
        <v>5033.17</v>
      </c>
      <c r="N57" s="106">
        <v>0</v>
      </c>
      <c r="O57" s="37"/>
      <c r="X57" s="280">
        <f t="shared" si="1"/>
        <v>0</v>
      </c>
      <c r="Y57" s="281">
        <f t="shared" si="2"/>
        <v>0</v>
      </c>
      <c r="Z57" s="42">
        <f t="shared" si="3"/>
        <v>0</v>
      </c>
      <c r="AA57" s="2" t="b">
        <f>D57='2020'!C477</f>
        <v>1</v>
      </c>
      <c r="AB57" s="2" t="b">
        <f>X57='2020'!BC476</f>
        <v>1</v>
      </c>
      <c r="AC57" s="34">
        <f>'2020'!AQ481</f>
        <v>500</v>
      </c>
      <c r="AD57" s="34">
        <f>'2020'!AQ482</f>
        <v>2525</v>
      </c>
    </row>
    <row r="58" ht="15.75" customHeight="1" spans="1:30" x14ac:dyDescent="0.25">
      <c r="A58" s="14"/>
      <c r="B58" s="115">
        <v>54</v>
      </c>
      <c r="C58" s="115">
        <v>5.54</v>
      </c>
      <c r="D58" s="117" t="s">
        <v>212</v>
      </c>
      <c r="E58" s="106">
        <f>'2020'!BH485</f>
        <v>0</v>
      </c>
      <c r="F58" s="106">
        <f>'2020'!BH486</f>
        <v>101.64</v>
      </c>
      <c r="G58" s="106">
        <f>'2020'!BH487</f>
        <v>0</v>
      </c>
      <c r="H58" s="106">
        <f>'2020'!BH488</f>
        <v>0</v>
      </c>
      <c r="I58" s="106">
        <f>'2020'!BH489</f>
        <v>0</v>
      </c>
      <c r="J58" s="106">
        <f>'2020'!BH490</f>
        <v>500</v>
      </c>
      <c r="K58" s="106">
        <f>'2020'!BH491</f>
        <v>2770</v>
      </c>
      <c r="L58" s="106">
        <f>'2020'!BH492</f>
        <v>0</v>
      </c>
      <c r="M58" s="106">
        <f t="shared" si="0"/>
        <v>3371.64</v>
      </c>
      <c r="N58" s="106">
        <v>0</v>
      </c>
      <c r="O58" s="37"/>
      <c r="P58" s="15"/>
      <c r="Q58" s="15"/>
      <c r="R58" s="34"/>
      <c r="S58" s="37"/>
      <c r="T58" s="15"/>
      <c r="U58" s="15"/>
      <c r="V58" s="15"/>
      <c r="W58" s="15"/>
      <c r="X58" s="280">
        <f t="shared" si="1"/>
        <v>0</v>
      </c>
      <c r="Y58" s="281">
        <f t="shared" si="2"/>
        <v>0</v>
      </c>
      <c r="Z58" s="42">
        <f t="shared" si="3"/>
        <v>0</v>
      </c>
      <c r="AA58" s="2" t="b">
        <f>D58='2020'!C486</f>
        <v>1</v>
      </c>
      <c r="AB58" s="2" t="b">
        <f>X58='2020'!BC485</f>
        <v>1</v>
      </c>
      <c r="AC58" s="34">
        <f>'2020'!AQ490</f>
        <v>500</v>
      </c>
      <c r="AD58" s="34">
        <f>'2020'!AQ491</f>
        <v>2770</v>
      </c>
    </row>
    <row r="59" ht="15.75" customHeight="1" spans="1:31" x14ac:dyDescent="0.25">
      <c r="A59" s="21"/>
      <c r="B59" s="115">
        <v>55</v>
      </c>
      <c r="C59" s="116">
        <v>5.5</v>
      </c>
      <c r="D59" s="117" t="s">
        <v>214</v>
      </c>
      <c r="E59" s="106">
        <f>'2020'!BH494</f>
        <v>0</v>
      </c>
      <c r="F59" s="106">
        <f>'2020'!BH495</f>
        <v>69.98</v>
      </c>
      <c r="G59" s="106">
        <f>'2020'!BH496</f>
        <v>0</v>
      </c>
      <c r="H59" s="106">
        <f>'2020'!BH497</f>
        <v>0</v>
      </c>
      <c r="I59" s="106">
        <f>'2020'!BH498</f>
        <v>0</v>
      </c>
      <c r="J59" s="106">
        <f>'2020'!BH499</f>
        <v>500</v>
      </c>
      <c r="K59" s="106">
        <f>'2020'!BH500</f>
        <v>2750</v>
      </c>
      <c r="L59" s="106">
        <f>'2020'!BH501</f>
        <v>0</v>
      </c>
      <c r="M59" s="106">
        <f t="shared" si="0"/>
        <v>3319.98</v>
      </c>
      <c r="N59" s="106">
        <v>0</v>
      </c>
      <c r="O59" s="37"/>
      <c r="X59" s="280">
        <f t="shared" si="1"/>
        <v>0</v>
      </c>
      <c r="Y59" s="281">
        <f t="shared" si="2"/>
        <v>0</v>
      </c>
      <c r="Z59" s="42">
        <f t="shared" si="3"/>
        <v>0</v>
      </c>
      <c r="AA59" s="2" t="b">
        <f>D59='2020'!C495</f>
        <v>1</v>
      </c>
      <c r="AB59" s="2" t="b">
        <f>X59='2020'!BC494</f>
        <v>1</v>
      </c>
      <c r="AC59" s="34">
        <f>'2020'!AQ499</f>
        <v>500</v>
      </c>
      <c r="AD59" s="34">
        <f>'2020'!AQ500</f>
        <v>2750</v>
      </c>
      <c r="AE59" s="34"/>
    </row>
    <row r="60" ht="15.75" customHeight="1" spans="1:30" x14ac:dyDescent="0.25">
      <c r="A60" s="114" t="s">
        <v>217</v>
      </c>
      <c r="B60" s="115">
        <v>56</v>
      </c>
      <c r="C60" s="115">
        <v>6.23</v>
      </c>
      <c r="D60" s="117" t="s">
        <v>423</v>
      </c>
      <c r="E60" s="106">
        <f>'2020'!BH503</f>
        <v>0</v>
      </c>
      <c r="F60" s="106">
        <f>'2020'!BH504</f>
        <v>0</v>
      </c>
      <c r="G60" s="106">
        <f>'2020'!BH505</f>
        <v>0</v>
      </c>
      <c r="H60" s="106">
        <f>'2020'!BH506</f>
        <v>0</v>
      </c>
      <c r="I60" s="106">
        <f>'2020'!BH507</f>
        <v>0</v>
      </c>
      <c r="J60" s="106">
        <f>'2020'!BH508</f>
        <v>500</v>
      </c>
      <c r="K60" s="106">
        <f>'2020'!BH509</f>
        <v>2715.36</v>
      </c>
      <c r="L60" s="106">
        <f>'2020'!BH510</f>
        <v>0</v>
      </c>
      <c r="M60" s="106">
        <f t="shared" si="0"/>
        <v>3215.36</v>
      </c>
      <c r="N60" s="106">
        <v>-399.64</v>
      </c>
      <c r="O60" s="37"/>
      <c r="X60" s="280">
        <f t="shared" si="1"/>
        <v>0</v>
      </c>
      <c r="Y60" s="281">
        <f t="shared" si="2"/>
        <v>-399.64</v>
      </c>
      <c r="Z60" s="42">
        <f t="shared" si="3"/>
        <v>-399.64</v>
      </c>
      <c r="AA60" s="2" t="b">
        <f>D60='2020'!C504</f>
        <v>1</v>
      </c>
      <c r="AB60" s="2" t="b">
        <f>X60='2020'!BC503</f>
        <v>1</v>
      </c>
      <c r="AC60" s="34">
        <f>'2020'!AQ508</f>
        <v>500</v>
      </c>
      <c r="AD60" s="34">
        <f>'2020'!AQ509</f>
        <v>3115</v>
      </c>
    </row>
    <row r="61" ht="15.75" customHeight="1" spans="1:30" x14ac:dyDescent="0.25">
      <c r="A61" s="14"/>
      <c r="B61" s="115">
        <v>57</v>
      </c>
      <c r="C61" s="116">
        <v>4</v>
      </c>
      <c r="D61" s="2" t="s">
        <v>502</v>
      </c>
      <c r="E61" s="106">
        <f>'2020'!BH512</f>
        <v>7.91</v>
      </c>
      <c r="F61" s="106">
        <f>'2020'!BH513</f>
        <v>86.66</v>
      </c>
      <c r="G61" s="106">
        <f>'2020'!BH514</f>
        <v>0</v>
      </c>
      <c r="H61" s="106">
        <f>'2020'!BH515</f>
        <v>0</v>
      </c>
      <c r="I61" s="106">
        <f>'2020'!BH516</f>
        <v>-197.98</v>
      </c>
      <c r="J61" s="106">
        <f>'2020'!BH517</f>
        <v>500</v>
      </c>
      <c r="K61" s="106">
        <f>'2020'!BH518</f>
        <v>1910</v>
      </c>
      <c r="L61" s="106">
        <f>'2020'!BH519</f>
        <v>0</v>
      </c>
      <c r="M61" s="106">
        <f t="shared" si="0"/>
        <v>2306.59</v>
      </c>
      <c r="N61" s="106">
        <v>0.0200000000004366</v>
      </c>
      <c r="O61" s="37"/>
      <c r="Q61" s="34"/>
      <c r="R61" s="34"/>
      <c r="T61" s="15"/>
      <c r="U61" s="15"/>
      <c r="V61" s="15"/>
      <c r="W61" s="15"/>
      <c r="X61" s="280">
        <f t="shared" si="1"/>
        <v>0</v>
      </c>
      <c r="Y61" s="281">
        <f t="shared" si="2"/>
        <v>0.02</v>
      </c>
      <c r="Z61" s="42">
        <f t="shared" si="3"/>
        <v>-197.98</v>
      </c>
      <c r="AA61" s="2" t="b">
        <f>D61='2020'!C513</f>
        <v>1</v>
      </c>
      <c r="AB61" s="2" t="b">
        <f>X61='2020'!BC512</f>
        <v>1</v>
      </c>
      <c r="AC61" s="34">
        <f>'2020'!AQ517</f>
        <v>500</v>
      </c>
      <c r="AD61" s="34">
        <f>'2020'!AQ518</f>
        <v>1910</v>
      </c>
    </row>
    <row r="62" ht="15.75" customHeight="1" spans="1:30" x14ac:dyDescent="0.25">
      <c r="A62" s="14"/>
      <c r="B62" s="115">
        <v>59</v>
      </c>
      <c r="C62" s="116">
        <v>4</v>
      </c>
      <c r="D62" s="117" t="s">
        <v>221</v>
      </c>
      <c r="E62" s="106">
        <f>'2020'!BH521</f>
        <v>69.93</v>
      </c>
      <c r="F62" s="106">
        <f>'2020'!BH522</f>
        <v>0</v>
      </c>
      <c r="G62" s="106">
        <f>'2020'!BH523</f>
        <v>0</v>
      </c>
      <c r="H62" s="106">
        <f>'2020'!BH524</f>
        <v>0</v>
      </c>
      <c r="I62" s="106">
        <f>'2020'!BH525</f>
        <v>0</v>
      </c>
      <c r="J62" s="106">
        <f>'2020'!BH526</f>
        <v>0</v>
      </c>
      <c r="K62" s="106">
        <f>'2020'!BH527</f>
        <v>0</v>
      </c>
      <c r="L62" s="106">
        <f>'2020'!BH528</f>
        <v>0</v>
      </c>
      <c r="M62" s="106">
        <f t="shared" si="0"/>
        <v>69.93</v>
      </c>
      <c r="N62" s="106">
        <v>-2500</v>
      </c>
      <c r="O62" s="37"/>
      <c r="P62" s="15"/>
      <c r="Q62" s="15"/>
      <c r="R62" s="15"/>
      <c r="S62" s="15"/>
      <c r="T62" s="15"/>
      <c r="U62" s="15"/>
      <c r="V62" s="15"/>
      <c r="W62" s="15"/>
      <c r="X62" s="280">
        <f t="shared" si="1"/>
        <v>0</v>
      </c>
      <c r="Y62" s="281">
        <f t="shared" si="2"/>
        <v>-2500</v>
      </c>
      <c r="Z62" s="42">
        <f t="shared" si="3"/>
        <v>-2500</v>
      </c>
      <c r="AA62" s="2" t="b">
        <f>D62='2020'!C522</f>
        <v>1</v>
      </c>
      <c r="AB62" s="2" t="b">
        <f>X62='2020'!BC521</f>
        <v>1</v>
      </c>
      <c r="AC62" s="34">
        <f>'2020'!AQ526</f>
        <v>500</v>
      </c>
      <c r="AD62" s="34">
        <f>'2020'!AQ527</f>
        <v>2000</v>
      </c>
    </row>
    <row r="63" ht="15.75" customHeight="1" spans="1:30" x14ac:dyDescent="0.25">
      <c r="A63" s="14"/>
      <c r="B63" s="115">
        <v>58</v>
      </c>
      <c r="C63" s="115">
        <v>5.08</v>
      </c>
      <c r="D63" s="117" t="s">
        <v>223</v>
      </c>
      <c r="E63" s="106">
        <f>'2020'!BH530</f>
        <v>65.5</v>
      </c>
      <c r="F63" s="106">
        <f>'2020'!BH531</f>
        <v>507.89</v>
      </c>
      <c r="G63" s="106">
        <f>'2020'!BH532</f>
        <v>118.22</v>
      </c>
      <c r="H63" s="106">
        <f>'2020'!BH533</f>
        <v>0</v>
      </c>
      <c r="I63" s="106">
        <f>'2020'!BH534</f>
        <v>0</v>
      </c>
      <c r="J63" s="106">
        <f>'2020'!BH535</f>
        <v>500</v>
      </c>
      <c r="K63" s="106">
        <f>'2020'!BH536</f>
        <v>2540</v>
      </c>
      <c r="L63" s="106">
        <f>'2020'!BH537</f>
        <v>0</v>
      </c>
      <c r="M63" s="106">
        <f t="shared" si="0"/>
        <v>3731.61</v>
      </c>
      <c r="N63" s="106">
        <v>0</v>
      </c>
      <c r="O63" s="37"/>
      <c r="X63" s="280">
        <f t="shared" si="1"/>
        <v>0</v>
      </c>
      <c r="Y63" s="281">
        <f t="shared" si="2"/>
        <v>0</v>
      </c>
      <c r="Z63" s="42">
        <f t="shared" si="3"/>
        <v>0</v>
      </c>
      <c r="AA63" s="2" t="b">
        <f>D63='2020'!C531</f>
        <v>1</v>
      </c>
      <c r="AB63" s="2" t="b">
        <f>X63='2020'!BC530</f>
        <v>1</v>
      </c>
      <c r="AC63" s="34">
        <f>'2020'!AQ535</f>
        <v>500</v>
      </c>
      <c r="AD63" s="34">
        <f>'2020'!AQ536</f>
        <v>2540</v>
      </c>
    </row>
    <row r="64" ht="15.75" customHeight="1" spans="1:30" x14ac:dyDescent="0.25">
      <c r="A64" s="14"/>
      <c r="B64" s="115">
        <v>60</v>
      </c>
      <c r="C64" s="116">
        <v>4.4</v>
      </c>
      <c r="D64" s="117" t="s">
        <v>227</v>
      </c>
      <c r="E64" s="106">
        <f>'2020'!BH539</f>
        <v>0</v>
      </c>
      <c r="F64" s="106">
        <f>'2020'!BH540</f>
        <v>-3275.18</v>
      </c>
      <c r="G64" s="106">
        <f>'2020'!BH541</f>
        <v>0</v>
      </c>
      <c r="H64" s="106">
        <f>'2020'!BH542</f>
        <v>0</v>
      </c>
      <c r="I64" s="106">
        <f>'2020'!BH543</f>
        <v>0</v>
      </c>
      <c r="J64" s="106">
        <f>'2020'!BH544</f>
        <v>500</v>
      </c>
      <c r="K64" s="106">
        <f>'2020'!BH545</f>
        <v>2200</v>
      </c>
      <c r="L64" s="106">
        <f>'2020'!BH546</f>
        <v>0</v>
      </c>
      <c r="M64" s="106">
        <f t="shared" si="0"/>
        <v>-575.18</v>
      </c>
      <c r="N64" s="106">
        <v>0</v>
      </c>
      <c r="O64" s="37"/>
      <c r="X64" s="280">
        <f t="shared" si="1"/>
        <v>0</v>
      </c>
      <c r="Y64" s="281">
        <f t="shared" si="2"/>
        <v>0</v>
      </c>
      <c r="Z64" s="42">
        <f t="shared" si="3"/>
        <v>0</v>
      </c>
      <c r="AA64" s="2" t="b">
        <f>D64='2020'!C540</f>
        <v>1</v>
      </c>
      <c r="AB64" s="2" t="b">
        <f>X64='2020'!BC539</f>
        <v>1</v>
      </c>
      <c r="AC64" s="34">
        <f>'2020'!AQ544</f>
        <v>500</v>
      </c>
      <c r="AD64" s="34">
        <f>'2020'!AQ545</f>
        <v>2200</v>
      </c>
    </row>
    <row r="65" ht="15.75" customHeight="1" spans="1:30" x14ac:dyDescent="0.25">
      <c r="A65" s="14"/>
      <c r="B65" s="115">
        <v>61</v>
      </c>
      <c r="C65" s="115">
        <v>4.71</v>
      </c>
      <c r="D65" s="117" t="s">
        <v>231</v>
      </c>
      <c r="E65" s="106">
        <f>'2020'!BH548</f>
        <v>0</v>
      </c>
      <c r="F65" s="106">
        <f>'2020'!BH549</f>
        <v>242.95</v>
      </c>
      <c r="G65" s="106">
        <f>'2020'!BH550</f>
        <v>252.98</v>
      </c>
      <c r="H65" s="106">
        <f>'2020'!BH551</f>
        <v>0</v>
      </c>
      <c r="I65" s="106">
        <f>'2020'!BH552</f>
        <v>0</v>
      </c>
      <c r="J65" s="106">
        <f>'2020'!BH553</f>
        <v>500</v>
      </c>
      <c r="K65" s="106">
        <f>'2020'!BH554</f>
        <v>2355</v>
      </c>
      <c r="L65" s="106">
        <f>'2020'!BH555</f>
        <v>0</v>
      </c>
      <c r="M65" s="106">
        <f t="shared" si="0"/>
        <v>3350.93</v>
      </c>
      <c r="N65" s="106">
        <v>0</v>
      </c>
      <c r="O65" s="37"/>
      <c r="X65" s="280">
        <f t="shared" si="1"/>
        <v>0</v>
      </c>
      <c r="Y65" s="281">
        <f t="shared" si="2"/>
        <v>0</v>
      </c>
      <c r="Z65" s="42">
        <f t="shared" si="3"/>
        <v>0</v>
      </c>
      <c r="AA65" s="2" t="b">
        <f>D65='2020'!C549</f>
        <v>1</v>
      </c>
      <c r="AB65" s="2" t="b">
        <f>X65='2020'!BC548</f>
        <v>1</v>
      </c>
      <c r="AC65" s="34">
        <f>'2020'!AQ553</f>
        <v>500</v>
      </c>
      <c r="AD65" s="34">
        <f>'2020'!AQ554</f>
        <v>2355</v>
      </c>
    </row>
    <row r="66" ht="15.75" customHeight="1" spans="1:30" x14ac:dyDescent="0.25">
      <c r="A66" s="14"/>
      <c r="B66" s="115">
        <v>62</v>
      </c>
      <c r="C66" s="116">
        <v>4.6</v>
      </c>
      <c r="D66" s="15" t="s">
        <v>236</v>
      </c>
      <c r="E66" s="106">
        <f>'2020'!BH557</f>
        <v>0</v>
      </c>
      <c r="F66" s="106">
        <f>'2020'!BH558</f>
        <v>72.8</v>
      </c>
      <c r="G66" s="106">
        <f>'2020'!BH559</f>
        <v>-5.7</v>
      </c>
      <c r="H66" s="106">
        <f>'2020'!BH560</f>
        <v>0</v>
      </c>
      <c r="I66" s="106">
        <f>'2020'!BH561</f>
        <v>0</v>
      </c>
      <c r="J66" s="106">
        <f>'2020'!BH562</f>
        <v>500</v>
      </c>
      <c r="K66" s="106">
        <f>'2020'!BH563</f>
        <v>2300</v>
      </c>
      <c r="L66" s="106">
        <f>'2020'!BH564</f>
        <v>0</v>
      </c>
      <c r="M66" s="106">
        <f t="shared" si="0"/>
        <v>2867.1</v>
      </c>
      <c r="N66" s="106">
        <v>0</v>
      </c>
      <c r="O66" s="37"/>
      <c r="X66" s="280">
        <f t="shared" si="1"/>
        <v>0</v>
      </c>
      <c r="Y66" s="281">
        <f t="shared" si="2"/>
        <v>0</v>
      </c>
      <c r="Z66" s="42">
        <f t="shared" si="3"/>
        <v>0</v>
      </c>
      <c r="AA66" s="2" t="b">
        <f>D66='2020'!C558</f>
        <v>1</v>
      </c>
      <c r="AB66" s="2" t="b">
        <f>X66='2020'!BC557</f>
        <v>1</v>
      </c>
      <c r="AC66" s="34">
        <f>'2020'!AQ562</f>
        <v>500</v>
      </c>
      <c r="AD66" s="34">
        <f>'2020'!AQ563</f>
        <v>2300</v>
      </c>
    </row>
    <row r="67" ht="15.75" customHeight="1" spans="1:30" x14ac:dyDescent="0.25">
      <c r="A67" s="14"/>
      <c r="B67" s="115" t="s">
        <v>237</v>
      </c>
      <c r="C67" s="115">
        <v>4.01</v>
      </c>
      <c r="D67" s="117" t="s">
        <v>238</v>
      </c>
      <c r="E67" s="106">
        <f>'2020'!BH566</f>
        <v>0</v>
      </c>
      <c r="F67" s="106">
        <f>'2020'!BH567</f>
        <v>11.33</v>
      </c>
      <c r="G67" s="106">
        <f>'2020'!BH568</f>
        <v>0</v>
      </c>
      <c r="H67" s="106">
        <f>'2020'!BH569</f>
        <v>0</v>
      </c>
      <c r="I67" s="106">
        <f>'2020'!BH570</f>
        <v>0</v>
      </c>
      <c r="J67" s="106">
        <f>'2020'!BH571</f>
        <v>500</v>
      </c>
      <c r="K67" s="106">
        <f>'2020'!BH572</f>
        <v>2005</v>
      </c>
      <c r="L67" s="106">
        <f>'2020'!BH573</f>
        <v>0</v>
      </c>
      <c r="M67" s="106">
        <f t="shared" si="0"/>
        <v>2516.33</v>
      </c>
      <c r="N67" s="106">
        <v>0</v>
      </c>
      <c r="O67" s="37"/>
      <c r="X67" s="280">
        <f t="shared" si="1"/>
        <v>0</v>
      </c>
      <c r="Y67" s="281">
        <f t="shared" si="2"/>
        <v>0</v>
      </c>
      <c r="Z67" s="42">
        <f t="shared" si="3"/>
        <v>0</v>
      </c>
      <c r="AA67" s="2" t="b">
        <f>D67='2020'!C567</f>
        <v>1</v>
      </c>
      <c r="AB67" s="2" t="b">
        <f>X67='2020'!BC566</f>
        <v>1</v>
      </c>
      <c r="AC67" s="34">
        <f>'2020'!AQ571</f>
        <v>500</v>
      </c>
      <c r="AD67" s="34">
        <f>'2020'!AQ572</f>
        <v>2005</v>
      </c>
    </row>
    <row r="68" ht="15.75" customHeight="1" spans="1:30" x14ac:dyDescent="0.25">
      <c r="A68" s="14"/>
      <c r="B68" s="115" t="s">
        <v>237</v>
      </c>
      <c r="C68" s="115">
        <v>4.01</v>
      </c>
      <c r="D68" s="117" t="s">
        <v>238</v>
      </c>
      <c r="E68" s="106">
        <f>'2020'!BH575</f>
        <v>17.2</v>
      </c>
      <c r="F68" s="106">
        <f>'2020'!BH576</f>
        <v>0</v>
      </c>
      <c r="G68" s="106">
        <f>'2020'!BH577</f>
        <v>0</v>
      </c>
      <c r="H68" s="106">
        <f>'2020'!BH578</f>
        <v>0</v>
      </c>
      <c r="I68" s="106">
        <f>'2020'!BH579</f>
        <v>1411</v>
      </c>
      <c r="J68" s="106">
        <f>'2020'!BH580</f>
        <v>500</v>
      </c>
      <c r="K68" s="106">
        <f>'2020'!BH581</f>
        <v>2005</v>
      </c>
      <c r="L68" s="106">
        <f>'2020'!BH582</f>
        <v>500</v>
      </c>
      <c r="M68" s="106">
        <f t="shared" si="0"/>
        <v>4433.2</v>
      </c>
      <c r="N68" s="106">
        <v>1411</v>
      </c>
      <c r="O68" s="37">
        <f>IF(P68&gt;0,P68-1,$O$1)</f>
        <v>31</v>
      </c>
      <c r="X68" s="282">
        <f t="shared" si="1"/>
        <v>4.37</v>
      </c>
      <c r="Y68" s="281">
        <f t="shared" si="2"/>
        <v>1411</v>
      </c>
      <c r="Z68" s="42">
        <f t="shared" si="3"/>
        <v>1411</v>
      </c>
      <c r="AA68" s="2" t="b">
        <f>D68='2020'!C576</f>
        <v>1</v>
      </c>
      <c r="AB68" s="2" t="b">
        <f>X68='2020'!BC575</f>
        <v>1</v>
      </c>
      <c r="AC68" s="34">
        <f>'2020'!AQ580</f>
        <v>500</v>
      </c>
      <c r="AD68" s="34">
        <f>'2020'!AQ581</f>
        <v>2005</v>
      </c>
    </row>
    <row r="69" ht="15.75" customHeight="1" spans="1:30" x14ac:dyDescent="0.25">
      <c r="A69" s="14"/>
      <c r="B69" s="115">
        <v>64</v>
      </c>
      <c r="C69" s="115">
        <v>4.24</v>
      </c>
      <c r="D69" s="117" t="s">
        <v>241</v>
      </c>
      <c r="E69" s="106">
        <f>'2020'!BH584</f>
        <v>0</v>
      </c>
      <c r="F69" s="106">
        <f>'2020'!BH585</f>
        <v>-97.09</v>
      </c>
      <c r="G69" s="106">
        <f>'2020'!BH586</f>
        <v>-165.02</v>
      </c>
      <c r="H69" s="106">
        <f>'2020'!BH587</f>
        <v>0</v>
      </c>
      <c r="I69" s="106">
        <f>'2020'!BH588</f>
        <v>0</v>
      </c>
      <c r="J69" s="106">
        <f>'2020'!BH589</f>
        <v>500</v>
      </c>
      <c r="K69" s="106">
        <f>'2020'!BH590</f>
        <v>2120</v>
      </c>
      <c r="L69" s="106">
        <f>'2020'!BH591</f>
        <v>0</v>
      </c>
      <c r="M69" s="106">
        <f t="shared" si="0"/>
        <v>2357.89</v>
      </c>
      <c r="N69" s="106">
        <v>0</v>
      </c>
      <c r="O69" s="37"/>
      <c r="P69" s="15"/>
      <c r="Q69" s="15"/>
      <c r="R69" s="15"/>
      <c r="S69" s="15"/>
      <c r="T69" s="15"/>
      <c r="U69" s="15"/>
      <c r="V69" s="15"/>
      <c r="W69" s="15"/>
      <c r="X69" s="285">
        <f t="shared" si="1"/>
        <v>0</v>
      </c>
      <c r="Y69" s="281">
        <f t="shared" si="2"/>
        <v>0</v>
      </c>
      <c r="Z69" s="42">
        <f t="shared" si="3"/>
        <v>0</v>
      </c>
      <c r="AA69" s="2" t="b">
        <f>D69='2020'!C585</f>
        <v>1</v>
      </c>
      <c r="AB69" s="2" t="b">
        <f>X69='2020'!BC584</f>
        <v>1</v>
      </c>
      <c r="AC69" s="34">
        <f>'2020'!AQ589</f>
        <v>500</v>
      </c>
      <c r="AD69" s="34">
        <f>'2020'!AQ590</f>
        <v>2120</v>
      </c>
    </row>
    <row r="70" ht="15.75" customHeight="1" spans="1:30" x14ac:dyDescent="0.25">
      <c r="A70" s="14"/>
      <c r="B70" s="115">
        <v>66</v>
      </c>
      <c r="C70" s="115">
        <v>4.66</v>
      </c>
      <c r="D70" s="117" t="s">
        <v>244</v>
      </c>
      <c r="E70" s="106">
        <f>'2020'!BH593</f>
        <v>231.99</v>
      </c>
      <c r="F70" s="106">
        <f>'2020'!BH594</f>
        <v>0</v>
      </c>
      <c r="G70" s="106">
        <f>'2020'!BH595</f>
        <v>57.08</v>
      </c>
      <c r="H70" s="106">
        <f>'2020'!BH596</f>
        <v>0</v>
      </c>
      <c r="I70" s="106">
        <f>'2020'!BH597</f>
        <v>5126</v>
      </c>
      <c r="J70" s="106">
        <f>'2020'!BH598</f>
        <v>500</v>
      </c>
      <c r="K70" s="106">
        <f>'2020'!BH599</f>
        <v>2330</v>
      </c>
      <c r="L70" s="106">
        <f>'2020'!BH600</f>
        <v>500</v>
      </c>
      <c r="M70" s="106">
        <f t="shared" si="0"/>
        <v>8745.07</v>
      </c>
      <c r="N70" s="106">
        <v>5126</v>
      </c>
      <c r="O70" s="37">
        <f>IF(P70&gt;0,P70-1,$O$1)</f>
        <v>31</v>
      </c>
      <c r="P70" s="15"/>
      <c r="Q70" s="15"/>
      <c r="R70" s="15"/>
      <c r="S70" s="15"/>
      <c r="T70" s="15"/>
      <c r="U70" s="15"/>
      <c r="V70" s="15"/>
      <c r="W70" s="15"/>
      <c r="X70" s="282">
        <f t="shared" si="1"/>
        <v>15.89</v>
      </c>
      <c r="Y70" s="281">
        <f t="shared" si="2"/>
        <v>5126</v>
      </c>
      <c r="Z70" s="42">
        <f t="shared" si="3"/>
        <v>5126</v>
      </c>
      <c r="AA70" s="2" t="b">
        <f>D70='2020'!C594</f>
        <v>1</v>
      </c>
      <c r="AB70" s="2" t="b">
        <f>X70='2020'!BC593</f>
        <v>1</v>
      </c>
      <c r="AC70" s="34">
        <f>'2020'!AQ598</f>
        <v>500</v>
      </c>
      <c r="AD70" s="34">
        <f>'2020'!AQ599</f>
        <v>2330</v>
      </c>
    </row>
    <row r="71" ht="15.75" customHeight="1" spans="1:30" x14ac:dyDescent="0.25">
      <c r="A71" s="14"/>
      <c r="B71" s="115">
        <v>67</v>
      </c>
      <c r="C71" s="115">
        <v>6.08</v>
      </c>
      <c r="D71" s="117" t="s">
        <v>245</v>
      </c>
      <c r="E71" s="106">
        <f>'2020'!BH602</f>
        <v>0</v>
      </c>
      <c r="F71" s="106">
        <f>'2020'!BH603</f>
        <v>359.23</v>
      </c>
      <c r="G71" s="106">
        <f>'2020'!BH604</f>
        <v>0</v>
      </c>
      <c r="H71" s="106">
        <f>'2020'!BH605</f>
        <v>0</v>
      </c>
      <c r="I71" s="106">
        <f>'2020'!BH606</f>
        <v>0</v>
      </c>
      <c r="J71" s="106">
        <f>'2020'!BH607</f>
        <v>500</v>
      </c>
      <c r="K71" s="106">
        <f>'2020'!BH608</f>
        <v>3040</v>
      </c>
      <c r="L71" s="106">
        <f>'2020'!BH609</f>
        <v>0</v>
      </c>
      <c r="M71" s="106">
        <f t="shared" si="0"/>
        <v>3899.23</v>
      </c>
      <c r="N71" s="106">
        <v>0</v>
      </c>
      <c r="O71" s="37"/>
      <c r="X71" s="280">
        <f t="shared" si="1"/>
        <v>0</v>
      </c>
      <c r="Y71" s="281">
        <f t="shared" si="2"/>
        <v>0</v>
      </c>
      <c r="Z71" s="42">
        <f t="shared" si="3"/>
        <v>0</v>
      </c>
      <c r="AA71" s="2" t="b">
        <f>D71='2020'!C603</f>
        <v>1</v>
      </c>
      <c r="AB71" s="2" t="b">
        <f>X71='2020'!BC602</f>
        <v>1</v>
      </c>
      <c r="AC71" s="34">
        <f>'2020'!AQ607</f>
        <v>500</v>
      </c>
      <c r="AD71" s="34">
        <f>'2020'!AQ608</f>
        <v>3040</v>
      </c>
    </row>
    <row r="72" ht="15.75" customHeight="1" spans="1:30" x14ac:dyDescent="0.25">
      <c r="A72" s="14"/>
      <c r="B72" s="115" t="s">
        <v>248</v>
      </c>
      <c r="C72" s="115">
        <v>4.01</v>
      </c>
      <c r="D72" s="117" t="s">
        <v>505</v>
      </c>
      <c r="E72" s="106">
        <f>'2020'!BH611</f>
        <v>29.4</v>
      </c>
      <c r="F72" s="106">
        <f>'2020'!BH612</f>
        <v>0</v>
      </c>
      <c r="G72" s="106">
        <f>'2020'!BH613</f>
        <v>0</v>
      </c>
      <c r="H72" s="106">
        <f>'2020'!BH614</f>
        <v>0</v>
      </c>
      <c r="I72" s="106">
        <f>'2020'!BH615</f>
        <v>2411</v>
      </c>
      <c r="J72" s="106">
        <f>'2020'!BH616</f>
        <v>500</v>
      </c>
      <c r="K72" s="106">
        <f>'2020'!BH617</f>
        <v>2005</v>
      </c>
      <c r="L72" s="106">
        <f>'2020'!BH618</f>
        <v>0</v>
      </c>
      <c r="M72" s="106">
        <f t="shared" si="0"/>
        <v>4945.4</v>
      </c>
      <c r="N72" s="106">
        <v>2411</v>
      </c>
      <c r="O72" s="37">
        <f>IF(P72&gt;0,P72-1,$O$1)</f>
        <v>31</v>
      </c>
      <c r="X72" s="282">
        <f t="shared" si="1"/>
        <v>7.47</v>
      </c>
      <c r="Y72" s="281">
        <f t="shared" si="2"/>
        <v>2411</v>
      </c>
      <c r="Z72" s="42">
        <f t="shared" si="3"/>
        <v>2411</v>
      </c>
      <c r="AA72" s="2" t="b">
        <f>D72='2020'!C612</f>
        <v>1</v>
      </c>
      <c r="AB72" s="2" t="b">
        <f>X72='2020'!BC611</f>
        <v>1</v>
      </c>
      <c r="AC72" s="34">
        <f>'2020'!AQ616</f>
        <v>500</v>
      </c>
      <c r="AD72" s="34">
        <f>'2020'!AQ617</f>
        <v>2005</v>
      </c>
    </row>
    <row r="73" ht="15.75" customHeight="1" spans="1:30" x14ac:dyDescent="0.25">
      <c r="A73" s="14"/>
      <c r="B73" s="115" t="s">
        <v>248</v>
      </c>
      <c r="C73" s="115">
        <v>4.02</v>
      </c>
      <c r="D73" s="2" t="s">
        <v>505</v>
      </c>
      <c r="E73" s="106">
        <f>'2020'!BH620</f>
        <v>33.61</v>
      </c>
      <c r="F73" s="106">
        <f>'2020'!BH621</f>
        <v>0</v>
      </c>
      <c r="G73" s="106">
        <f>'2020'!BH622</f>
        <v>0</v>
      </c>
      <c r="H73" s="106">
        <f>'2020'!BH623</f>
        <v>0</v>
      </c>
      <c r="I73" s="106">
        <f>'2020'!BH624</f>
        <v>0</v>
      </c>
      <c r="J73" s="106">
        <f>'2020'!BH625</f>
        <v>500</v>
      </c>
      <c r="K73" s="106">
        <f>'2020'!BH626</f>
        <v>2010</v>
      </c>
      <c r="L73" s="106">
        <f>'2020'!BH627</f>
        <v>0</v>
      </c>
      <c r="M73" s="106">
        <f t="shared" si="0"/>
        <v>2543.61</v>
      </c>
      <c r="N73" s="106">
        <v>0</v>
      </c>
      <c r="O73" s="37"/>
      <c r="X73" s="280">
        <f t="shared" si="1"/>
        <v>0</v>
      </c>
      <c r="Y73" s="281">
        <f t="shared" si="2"/>
        <v>0</v>
      </c>
      <c r="Z73" s="42">
        <f t="shared" si="3"/>
        <v>0</v>
      </c>
      <c r="AA73" s="2" t="b">
        <f>D73='2020'!C621</f>
        <v>1</v>
      </c>
      <c r="AB73" s="2" t="b">
        <f>X73='2020'!BC620</f>
        <v>1</v>
      </c>
      <c r="AC73" s="34">
        <f>'2020'!AQ625</f>
        <v>500</v>
      </c>
      <c r="AD73" s="34">
        <f>'2020'!AQ626</f>
        <v>2010</v>
      </c>
    </row>
    <row r="74" ht="15.75" customHeight="1" spans="1:30" x14ac:dyDescent="0.25">
      <c r="A74" s="14"/>
      <c r="B74" s="115">
        <v>69</v>
      </c>
      <c r="C74" s="115">
        <v>4.03</v>
      </c>
      <c r="D74" s="117" t="s">
        <v>253</v>
      </c>
      <c r="E74" s="106">
        <f>'2020'!BH629</f>
        <v>0.4</v>
      </c>
      <c r="F74" s="106">
        <f>'2020'!BH630</f>
        <v>1011</v>
      </c>
      <c r="G74" s="106">
        <f>'2020'!BH631</f>
        <v>0</v>
      </c>
      <c r="H74" s="106">
        <f>'2020'!BH632</f>
        <v>0</v>
      </c>
      <c r="I74" s="106">
        <f>'2020'!BH633</f>
        <v>33</v>
      </c>
      <c r="J74" s="106">
        <f>'2020'!BH634</f>
        <v>500</v>
      </c>
      <c r="K74" s="106">
        <f>'2020'!BH635</f>
        <v>2015</v>
      </c>
      <c r="L74" s="106">
        <f>'2020'!BH636</f>
        <v>0</v>
      </c>
      <c r="M74" s="106">
        <f t="shared" si="0"/>
        <v>3559.4</v>
      </c>
      <c r="N74" s="106">
        <v>33.0000000000007</v>
      </c>
      <c r="O74" s="37">
        <f>IF(P74&gt;0,P74-1,$O$1)</f>
        <v>31</v>
      </c>
      <c r="P74" s="15"/>
      <c r="Q74" s="34"/>
      <c r="R74" s="34"/>
      <c r="S74" s="37"/>
      <c r="T74" s="15"/>
      <c r="U74" s="15"/>
      <c r="V74" s="15"/>
      <c r="W74" s="15"/>
      <c r="X74" s="282">
        <f t="shared" si="1"/>
        <v>0.1</v>
      </c>
      <c r="Y74" s="281">
        <f t="shared" si="2"/>
        <v>33</v>
      </c>
      <c r="Z74" s="42">
        <f t="shared" si="3"/>
        <v>33</v>
      </c>
      <c r="AA74" s="2" t="b">
        <f>D74='2020'!C630</f>
        <v>1</v>
      </c>
      <c r="AB74" s="2" t="b">
        <f>X74='2020'!BC629</f>
        <v>1</v>
      </c>
      <c r="AC74" s="34">
        <f>'2020'!AQ634</f>
        <v>500</v>
      </c>
      <c r="AD74" s="34">
        <f>'2020'!AQ635</f>
        <v>2015</v>
      </c>
    </row>
    <row r="75" ht="15.75" customHeight="1" spans="1:30" x14ac:dyDescent="0.25">
      <c r="A75" s="14"/>
      <c r="B75" s="115">
        <v>71</v>
      </c>
      <c r="C75" s="115">
        <v>5.98</v>
      </c>
      <c r="D75" s="117" t="s">
        <v>255</v>
      </c>
      <c r="E75" s="106">
        <f>'2020'!BH638</f>
        <v>0</v>
      </c>
      <c r="F75" s="106">
        <f>'2020'!BH639</f>
        <v>51.08</v>
      </c>
      <c r="G75" s="106">
        <f>'2020'!BH640</f>
        <v>0</v>
      </c>
      <c r="H75" s="106">
        <f>'2020'!BH641</f>
        <v>0</v>
      </c>
      <c r="I75" s="106">
        <f>'2020'!BH642</f>
        <v>0</v>
      </c>
      <c r="J75" s="106">
        <f>'2020'!BH643</f>
        <v>500</v>
      </c>
      <c r="K75" s="106">
        <f>'2020'!BH644</f>
        <v>2990</v>
      </c>
      <c r="L75" s="106">
        <f>'2020'!BH645</f>
        <v>0</v>
      </c>
      <c r="M75" s="106">
        <f t="shared" si="0"/>
        <v>3541.08</v>
      </c>
      <c r="N75" s="106">
        <v>0</v>
      </c>
      <c r="O75" s="37"/>
      <c r="X75" s="280">
        <f t="shared" si="1"/>
        <v>0</v>
      </c>
      <c r="Y75" s="281">
        <f t="shared" si="2"/>
        <v>0</v>
      </c>
      <c r="Z75" s="42">
        <f t="shared" si="3"/>
        <v>0</v>
      </c>
      <c r="AA75" s="2" t="b">
        <f>D75='2020'!C639</f>
        <v>1</v>
      </c>
      <c r="AB75" s="2" t="b">
        <f>X75='2020'!BC638</f>
        <v>1</v>
      </c>
      <c r="AC75" s="34">
        <f>'2020'!AQ643</f>
        <v>500</v>
      </c>
      <c r="AD75" s="34">
        <f>'2020'!AQ644</f>
        <v>2990</v>
      </c>
    </row>
    <row r="76" ht="15.75" customHeight="1" spans="1:30" x14ac:dyDescent="0.25">
      <c r="A76" s="14"/>
      <c r="B76" s="115">
        <v>72</v>
      </c>
      <c r="C76" s="115">
        <v>4.03</v>
      </c>
      <c r="D76" s="195" t="s">
        <v>506</v>
      </c>
      <c r="E76" s="106">
        <f>'2020'!BH647</f>
        <v>0</v>
      </c>
      <c r="F76" s="106">
        <f>'2020'!BH648</f>
        <v>1214.87</v>
      </c>
      <c r="G76" s="106">
        <f>'2020'!BH649</f>
        <v>-220.54</v>
      </c>
      <c r="H76" s="106">
        <f>'2020'!BH650</f>
        <v>0</v>
      </c>
      <c r="I76" s="106">
        <f>'2020'!BH651</f>
        <v>0</v>
      </c>
      <c r="J76" s="106">
        <f>'2020'!BH652</f>
        <v>500</v>
      </c>
      <c r="K76" s="106">
        <f>'2020'!BH653</f>
        <v>2015</v>
      </c>
      <c r="L76" s="106">
        <f>'2020'!BH654</f>
        <v>0</v>
      </c>
      <c r="M76" s="106">
        <f t="shared" si="0"/>
        <v>3509.33</v>
      </c>
      <c r="N76" s="106">
        <v>0</v>
      </c>
      <c r="O76" s="37"/>
      <c r="X76" s="280">
        <f t="shared" si="1"/>
        <v>0</v>
      </c>
      <c r="Y76" s="281">
        <f t="shared" si="2"/>
        <v>0</v>
      </c>
      <c r="Z76" s="42">
        <f t="shared" si="3"/>
        <v>0</v>
      </c>
      <c r="AA76" s="2" t="b">
        <f>D76='2020'!C648</f>
        <v>1</v>
      </c>
      <c r="AB76" s="2" t="b">
        <f>X76='2020'!BC647</f>
        <v>1</v>
      </c>
      <c r="AC76" s="34">
        <f>'2020'!AQ652</f>
        <v>500</v>
      </c>
      <c r="AD76" s="34">
        <f>'2020'!AQ653</f>
        <v>2015</v>
      </c>
    </row>
    <row r="77" ht="15.75" customHeight="1" spans="1:30" x14ac:dyDescent="0.25">
      <c r="A77" s="14"/>
      <c r="B77" s="115">
        <v>73</v>
      </c>
      <c r="C77" s="115">
        <v>4.02</v>
      </c>
      <c r="D77" s="117" t="s">
        <v>259</v>
      </c>
      <c r="E77" s="106">
        <f>'2020'!BH656</f>
        <v>0</v>
      </c>
      <c r="F77" s="106">
        <f>'2020'!BH657</f>
        <v>0</v>
      </c>
      <c r="G77" s="106">
        <f>'2020'!BH658</f>
        <v>-298.89</v>
      </c>
      <c r="H77" s="106">
        <f>'2020'!BH659</f>
        <v>0</v>
      </c>
      <c r="I77" s="106">
        <f>'2020'!BH660</f>
        <v>0</v>
      </c>
      <c r="J77" s="106">
        <f>'2020'!BH661</f>
        <v>500</v>
      </c>
      <c r="K77" s="106">
        <f>'2020'!BH662</f>
        <v>2010</v>
      </c>
      <c r="L77" s="106">
        <f>'2020'!BH663</f>
        <v>0</v>
      </c>
      <c r="M77" s="106">
        <f t="shared" si="0"/>
        <v>2211.11</v>
      </c>
      <c r="N77" s="106">
        <v>0</v>
      </c>
      <c r="O77" s="37"/>
      <c r="P77" s="15"/>
      <c r="Q77" s="34"/>
      <c r="R77" s="34"/>
      <c r="S77" s="37"/>
      <c r="T77" s="15"/>
      <c r="U77" s="15"/>
      <c r="V77" s="15"/>
      <c r="W77" s="15"/>
      <c r="X77" s="280">
        <f t="shared" si="1"/>
        <v>0</v>
      </c>
      <c r="Y77" s="281">
        <f t="shared" si="2"/>
        <v>0</v>
      </c>
      <c r="Z77" s="42">
        <f t="shared" si="3"/>
        <v>0</v>
      </c>
      <c r="AA77" s="2" t="b">
        <f>D77='2020'!C657</f>
        <v>1</v>
      </c>
      <c r="AB77" s="2" t="b">
        <f>X77='2020'!BC656</f>
        <v>1</v>
      </c>
      <c r="AC77" s="34">
        <f>'2020'!AQ661</f>
        <v>500</v>
      </c>
      <c r="AD77" s="34">
        <f>'2020'!AQ662</f>
        <v>2010</v>
      </c>
    </row>
    <row r="78" ht="15.75" customHeight="1" spans="1:30" x14ac:dyDescent="0.25">
      <c r="A78" s="21"/>
      <c r="B78" s="115">
        <v>74</v>
      </c>
      <c r="C78" s="115">
        <v>4.97</v>
      </c>
      <c r="D78" s="117" t="s">
        <v>262</v>
      </c>
      <c r="E78" s="106">
        <f>'2020'!BH665</f>
        <v>0</v>
      </c>
      <c r="F78" s="106">
        <f>'2020'!BH666</f>
        <v>0</v>
      </c>
      <c r="G78" s="106">
        <f>'2020'!BH667</f>
        <v>-2.02</v>
      </c>
      <c r="H78" s="106">
        <f>'2020'!BH668</f>
        <v>0</v>
      </c>
      <c r="I78" s="106">
        <f>'2020'!BH669</f>
        <v>0</v>
      </c>
      <c r="J78" s="106">
        <f>'2020'!BH670</f>
        <v>500</v>
      </c>
      <c r="K78" s="106">
        <f>'2020'!BH671</f>
        <v>2485</v>
      </c>
      <c r="L78" s="106">
        <f>'2020'!BH672</f>
        <v>0</v>
      </c>
      <c r="M78" s="106">
        <f t="shared" si="0"/>
        <v>2982.98</v>
      </c>
      <c r="N78" s="106">
        <v>0</v>
      </c>
      <c r="O78" s="37"/>
      <c r="X78" s="280">
        <f t="shared" si="1"/>
        <v>0</v>
      </c>
      <c r="Y78" s="281">
        <f t="shared" si="2"/>
        <v>0</v>
      </c>
      <c r="Z78" s="42">
        <f t="shared" si="3"/>
        <v>0</v>
      </c>
      <c r="AA78" s="2" t="b">
        <f>D78='2020'!C666</f>
        <v>1</v>
      </c>
      <c r="AB78" s="2" t="b">
        <f>X78='2020'!BC665</f>
        <v>1</v>
      </c>
      <c r="AC78" s="34">
        <f>'2020'!AQ670</f>
        <v>500</v>
      </c>
      <c r="AD78" s="34">
        <f>'2020'!AQ671</f>
        <v>2485</v>
      </c>
    </row>
    <row r="79" ht="15.75" customHeight="1" spans="1:30" x14ac:dyDescent="0.25">
      <c r="A79" s="114" t="s">
        <v>264</v>
      </c>
      <c r="B79" s="115">
        <v>75</v>
      </c>
      <c r="C79" s="115">
        <v>4.15</v>
      </c>
      <c r="D79" s="117" t="s">
        <v>265</v>
      </c>
      <c r="E79" s="106">
        <f>'2020'!BH674</f>
        <v>0</v>
      </c>
      <c r="F79" s="106">
        <f>'2020'!BH675</f>
        <v>0</v>
      </c>
      <c r="G79" s="106">
        <f>'2020'!BH676</f>
        <v>153.56</v>
      </c>
      <c r="H79" s="106">
        <f>'2020'!BH677</f>
        <v>0</v>
      </c>
      <c r="I79" s="106">
        <f>'2020'!BH678</f>
        <v>0</v>
      </c>
      <c r="J79" s="106">
        <f>'2020'!BH679</f>
        <v>500</v>
      </c>
      <c r="K79" s="106">
        <f>'2020'!BH680</f>
        <v>2075</v>
      </c>
      <c r="L79" s="106">
        <f>'2020'!BH681</f>
        <v>0</v>
      </c>
      <c r="M79" s="106">
        <f t="shared" si="0"/>
        <v>2728.56</v>
      </c>
      <c r="N79" s="106">
        <v>0</v>
      </c>
      <c r="O79" s="37"/>
      <c r="X79" s="280">
        <f t="shared" si="1"/>
        <v>0</v>
      </c>
      <c r="Y79" s="281">
        <f t="shared" si="2"/>
        <v>0</v>
      </c>
      <c r="Z79" s="42">
        <f t="shared" si="3"/>
        <v>0</v>
      </c>
      <c r="AA79" s="2" t="b">
        <f>D79='2020'!C675</f>
        <v>1</v>
      </c>
      <c r="AB79" s="2" t="b">
        <f>X79='2020'!BC674</f>
        <v>1</v>
      </c>
      <c r="AC79" s="34">
        <f>'2020'!AQ679</f>
        <v>500</v>
      </c>
      <c r="AD79" s="34">
        <f>'2020'!AQ680</f>
        <v>2075</v>
      </c>
    </row>
    <row r="80" ht="15.75" customHeight="1" spans="1:30" x14ac:dyDescent="0.25">
      <c r="A80" s="14"/>
      <c r="B80" s="115">
        <v>76</v>
      </c>
      <c r="C80" s="115">
        <v>4.15</v>
      </c>
      <c r="D80" s="117" t="s">
        <v>267</v>
      </c>
      <c r="E80" s="106">
        <f>'2020'!BH683</f>
        <v>0</v>
      </c>
      <c r="F80" s="106">
        <f>'2020'!BH684</f>
        <v>0</v>
      </c>
      <c r="G80" s="106">
        <f>'2020'!BH685</f>
        <v>90.1</v>
      </c>
      <c r="H80" s="106">
        <f>'2020'!BH686</f>
        <v>0</v>
      </c>
      <c r="I80" s="106">
        <f>'2020'!BH687</f>
        <v>0</v>
      </c>
      <c r="J80" s="106">
        <f>'2020'!BH688</f>
        <v>500</v>
      </c>
      <c r="K80" s="106">
        <f>'2020'!BH689</f>
        <v>2075</v>
      </c>
      <c r="L80" s="106">
        <f>'2020'!BH690</f>
        <v>0</v>
      </c>
      <c r="M80" s="106">
        <f t="shared" si="0"/>
        <v>2665.1</v>
      </c>
      <c r="N80" s="106">
        <v>0</v>
      </c>
      <c r="O80" s="37"/>
      <c r="X80" s="280">
        <f t="shared" si="1"/>
        <v>0</v>
      </c>
      <c r="Y80" s="281">
        <f t="shared" si="2"/>
        <v>0</v>
      </c>
      <c r="Z80" s="42">
        <f t="shared" si="3"/>
        <v>0</v>
      </c>
      <c r="AA80" s="2" t="b">
        <f>D80='2020'!C684</f>
        <v>1</v>
      </c>
      <c r="AB80" s="2" t="b">
        <f>X80='2020'!BC683</f>
        <v>1</v>
      </c>
      <c r="AC80" s="34">
        <f>'2020'!AQ688</f>
        <v>500</v>
      </c>
      <c r="AD80" s="34">
        <f>'2020'!AQ689</f>
        <v>2075</v>
      </c>
    </row>
    <row r="81" ht="15.75" customHeight="1" spans="1:30" x14ac:dyDescent="0.25">
      <c r="A81" s="14"/>
      <c r="B81" s="115">
        <v>77</v>
      </c>
      <c r="C81" s="115">
        <v>4.12</v>
      </c>
      <c r="D81" s="117" t="s">
        <v>268</v>
      </c>
      <c r="E81" s="106">
        <f>'2020'!BH692</f>
        <v>0</v>
      </c>
      <c r="F81" s="106">
        <f>'2020'!BH693</f>
        <v>0</v>
      </c>
      <c r="G81" s="106">
        <f>'2020'!BH694</f>
        <v>0</v>
      </c>
      <c r="H81" s="106">
        <f>'2020'!BH695</f>
        <v>0</v>
      </c>
      <c r="I81" s="106">
        <f>'2020'!BH696</f>
        <v>0</v>
      </c>
      <c r="J81" s="106">
        <f>'2020'!BH697</f>
        <v>500</v>
      </c>
      <c r="K81" s="106">
        <f>'2020'!BH698</f>
        <v>2060</v>
      </c>
      <c r="L81" s="106">
        <f>'2020'!BH699</f>
        <v>0</v>
      </c>
      <c r="M81" s="106">
        <f t="shared" si="0"/>
        <v>2560</v>
      </c>
      <c r="N81" s="106">
        <v>0</v>
      </c>
      <c r="O81" s="37"/>
      <c r="X81" s="280">
        <f t="shared" si="1"/>
        <v>0</v>
      </c>
      <c r="Y81" s="281">
        <f t="shared" si="2"/>
        <v>0</v>
      </c>
      <c r="Z81" s="42">
        <f t="shared" si="3"/>
        <v>0</v>
      </c>
      <c r="AA81" s="2" t="b">
        <f>D81='2020'!C693</f>
        <v>1</v>
      </c>
      <c r="AB81" s="2" t="b">
        <f>X81='2020'!BC692</f>
        <v>1</v>
      </c>
      <c r="AC81" s="34">
        <f>'2020'!AQ697</f>
        <v>500</v>
      </c>
      <c r="AD81" s="34">
        <f>'2020'!AQ698</f>
        <v>2060</v>
      </c>
    </row>
    <row r="82" ht="15.75" customHeight="1" spans="1:30" x14ac:dyDescent="0.25">
      <c r="A82" s="14"/>
      <c r="B82" s="115">
        <v>78</v>
      </c>
      <c r="C82" s="115">
        <v>4.03</v>
      </c>
      <c r="D82" s="117" t="s">
        <v>271</v>
      </c>
      <c r="E82" s="106">
        <f>'2020'!BH701</f>
        <v>0</v>
      </c>
      <c r="F82" s="106">
        <f>'2020'!BH702</f>
        <v>39.05</v>
      </c>
      <c r="G82" s="106">
        <f>'2020'!BH703</f>
        <v>0</v>
      </c>
      <c r="H82" s="106">
        <f>'2020'!BH704</f>
        <v>0</v>
      </c>
      <c r="I82" s="106">
        <f>'2020'!BH705</f>
        <v>0</v>
      </c>
      <c r="J82" s="106">
        <f>'2020'!BH706</f>
        <v>500</v>
      </c>
      <c r="K82" s="106">
        <f>'2020'!BH707</f>
        <v>2015</v>
      </c>
      <c r="L82" s="106">
        <f>'2020'!BH708</f>
        <v>0</v>
      </c>
      <c r="M82" s="106">
        <f t="shared" si="0"/>
        <v>2554.05</v>
      </c>
      <c r="N82" s="106">
        <v>0</v>
      </c>
      <c r="O82" s="37"/>
      <c r="X82" s="280">
        <f t="shared" si="1"/>
        <v>0</v>
      </c>
      <c r="Y82" s="281">
        <f t="shared" si="2"/>
        <v>0</v>
      </c>
      <c r="Z82" s="42">
        <f t="shared" si="3"/>
        <v>0</v>
      </c>
      <c r="AA82" s="2" t="b">
        <f>D82='2020'!C702</f>
        <v>1</v>
      </c>
      <c r="AB82" s="2" t="b">
        <f>X82='2020'!BC701</f>
        <v>1</v>
      </c>
      <c r="AC82" s="34">
        <f>'2020'!AQ706</f>
        <v>500</v>
      </c>
      <c r="AD82" s="34">
        <f>'2020'!AQ707</f>
        <v>2015</v>
      </c>
    </row>
    <row r="83" ht="15.75" customHeight="1" spans="1:30" x14ac:dyDescent="0.25">
      <c r="A83" s="14"/>
      <c r="B83" s="115">
        <v>79</v>
      </c>
      <c r="C83" s="115">
        <v>4.24</v>
      </c>
      <c r="D83" s="2" t="s">
        <v>508</v>
      </c>
      <c r="E83" s="106">
        <f>'2020'!BH710</f>
        <v>51.64</v>
      </c>
      <c r="F83" s="106">
        <f>'2020'!BH711</f>
        <v>0</v>
      </c>
      <c r="G83" s="106">
        <f>'2020'!BH712</f>
        <v>-18.56</v>
      </c>
      <c r="H83" s="106">
        <f>'2020'!BH713</f>
        <v>0</v>
      </c>
      <c r="I83" s="106">
        <f>'2020'!BH714</f>
        <v>4231.86</v>
      </c>
      <c r="J83" s="106">
        <f>'2020'!BH715</f>
        <v>500</v>
      </c>
      <c r="K83" s="106">
        <f>'2020'!BH716</f>
        <v>2120</v>
      </c>
      <c r="L83" s="106">
        <f>'2020'!BH717</f>
        <v>0</v>
      </c>
      <c r="M83" s="106">
        <f t="shared" si="0"/>
        <v>6884.94</v>
      </c>
      <c r="N83" s="106">
        <v>4231.86</v>
      </c>
      <c r="O83" s="37">
        <f>IF(P83&gt;0,P83-1,$O$1)</f>
        <v>31</v>
      </c>
      <c r="P83" s="15"/>
      <c r="Q83" s="34"/>
      <c r="R83" s="34"/>
      <c r="S83" s="37"/>
      <c r="T83" s="15"/>
      <c r="U83" s="15"/>
      <c r="V83" s="15"/>
      <c r="W83" s="15"/>
      <c r="X83" s="284">
        <f t="shared" si="1"/>
        <v>13.12</v>
      </c>
      <c r="Y83" s="281">
        <f t="shared" si="2"/>
        <v>4231.86</v>
      </c>
      <c r="Z83" s="42">
        <f t="shared" si="3"/>
        <v>4231.86</v>
      </c>
      <c r="AA83" s="2" t="b">
        <f>D83='2020'!C711</f>
        <v>1</v>
      </c>
      <c r="AB83" s="2" t="b">
        <f>X83='2020'!BC710</f>
        <v>1</v>
      </c>
      <c r="AC83" s="34">
        <f>'2020'!AQ715</f>
        <v>500</v>
      </c>
      <c r="AD83" s="34">
        <f>'2020'!AQ716</f>
        <v>2120</v>
      </c>
    </row>
    <row r="84" ht="15.75" customHeight="1" spans="1:30" x14ac:dyDescent="0.25">
      <c r="A84" s="14"/>
      <c r="B84" s="115">
        <v>81</v>
      </c>
      <c r="C84" s="116">
        <v>4.3</v>
      </c>
      <c r="D84" s="117" t="s">
        <v>278</v>
      </c>
      <c r="E84" s="106">
        <f>'2020'!BH719</f>
        <v>0</v>
      </c>
      <c r="F84" s="106">
        <f>'2020'!BH720</f>
        <v>0</v>
      </c>
      <c r="G84" s="106">
        <f>'2020'!BH721</f>
        <v>-0.66</v>
      </c>
      <c r="H84" s="106">
        <f>'2020'!BH722</f>
        <v>0</v>
      </c>
      <c r="I84" s="106">
        <f>'2020'!BH723</f>
        <v>0</v>
      </c>
      <c r="J84" s="106">
        <f>'2020'!BH724</f>
        <v>500</v>
      </c>
      <c r="K84" s="106">
        <f>'2020'!BH725</f>
        <v>2150</v>
      </c>
      <c r="L84" s="106">
        <f>'2020'!BH726</f>
        <v>0</v>
      </c>
      <c r="M84" s="106">
        <f t="shared" si="0"/>
        <v>2649.34</v>
      </c>
      <c r="N84" s="106">
        <v>0</v>
      </c>
      <c r="O84" s="37"/>
      <c r="X84" s="285">
        <f t="shared" si="1"/>
        <v>0</v>
      </c>
      <c r="Y84" s="281">
        <f t="shared" si="2"/>
        <v>0</v>
      </c>
      <c r="Z84" s="42">
        <f t="shared" si="3"/>
        <v>0</v>
      </c>
      <c r="AA84" s="2" t="b">
        <f>D84='2020'!C720</f>
        <v>1</v>
      </c>
      <c r="AB84" s="2" t="b">
        <f>X84='2020'!BC719</f>
        <v>1</v>
      </c>
      <c r="AC84" s="34">
        <f>'2020'!AQ724</f>
        <v>500</v>
      </c>
      <c r="AD84" s="34">
        <f>'2020'!AQ725</f>
        <v>2150</v>
      </c>
    </row>
    <row r="85" ht="15.75" customHeight="1" spans="1:30" x14ac:dyDescent="0.25">
      <c r="A85" s="14"/>
      <c r="B85" s="115">
        <v>83</v>
      </c>
      <c r="C85" s="115">
        <v>4.29</v>
      </c>
      <c r="D85" s="117" t="s">
        <v>280</v>
      </c>
      <c r="E85" s="106">
        <f>'2020'!BH728</f>
        <v>0</v>
      </c>
      <c r="F85" s="106">
        <f>'2020'!BH729</f>
        <v>175.21</v>
      </c>
      <c r="G85" s="106">
        <f>'2020'!BH730</f>
        <v>121.36</v>
      </c>
      <c r="H85" s="106">
        <f>'2020'!BH731</f>
        <v>0</v>
      </c>
      <c r="I85" s="106">
        <f>'2020'!BH732</f>
        <v>0</v>
      </c>
      <c r="J85" s="106">
        <f>'2020'!BH733</f>
        <v>500</v>
      </c>
      <c r="K85" s="106">
        <f>'2020'!BH734</f>
        <v>2145</v>
      </c>
      <c r="L85" s="106">
        <f>'2020'!BH735</f>
        <v>0</v>
      </c>
      <c r="M85" s="106">
        <f t="shared" si="0"/>
        <v>2941.57</v>
      </c>
      <c r="N85" s="106">
        <v>0</v>
      </c>
      <c r="O85" s="37"/>
      <c r="X85" s="285">
        <f t="shared" si="1"/>
        <v>0</v>
      </c>
      <c r="Y85" s="281">
        <f t="shared" si="2"/>
        <v>0</v>
      </c>
      <c r="Z85" s="42">
        <f t="shared" si="3"/>
        <v>0</v>
      </c>
      <c r="AA85" s="2" t="b">
        <f>D85='2020'!C729</f>
        <v>1</v>
      </c>
      <c r="AB85" s="2" t="b">
        <f>X85='2020'!BC728</f>
        <v>1</v>
      </c>
      <c r="AC85" s="34">
        <f>'2020'!AQ733</f>
        <v>500</v>
      </c>
      <c r="AD85" s="34">
        <f>'2020'!AQ734</f>
        <v>2145</v>
      </c>
    </row>
    <row r="86" ht="15.75" customHeight="1" spans="1:30" x14ac:dyDescent="0.25">
      <c r="A86" s="14"/>
      <c r="B86" s="115">
        <v>85</v>
      </c>
      <c r="C86" s="115">
        <v>4.27</v>
      </c>
      <c r="D86" s="117" t="s">
        <v>282</v>
      </c>
      <c r="E86" s="106">
        <f>'2020'!BH737</f>
        <v>0</v>
      </c>
      <c r="F86" s="106">
        <f>'2020'!BH738</f>
        <v>161.33</v>
      </c>
      <c r="G86" s="106">
        <f>'2020'!BH739</f>
        <v>0</v>
      </c>
      <c r="H86" s="106">
        <f>'2020'!BH740</f>
        <v>0</v>
      </c>
      <c r="I86" s="106">
        <f>'2020'!BH741</f>
        <v>0</v>
      </c>
      <c r="J86" s="106">
        <f>'2020'!BH742</f>
        <v>500</v>
      </c>
      <c r="K86" s="106">
        <f>'2020'!BH743</f>
        <v>2135</v>
      </c>
      <c r="L86" s="106">
        <f>'2020'!BH744</f>
        <v>0</v>
      </c>
      <c r="M86" s="106">
        <f t="shared" si="0"/>
        <v>2796.33</v>
      </c>
      <c r="N86" s="106">
        <v>0</v>
      </c>
      <c r="O86" s="37"/>
      <c r="X86" s="285">
        <f t="shared" si="1"/>
        <v>0</v>
      </c>
      <c r="Y86" s="281">
        <f t="shared" si="2"/>
        <v>0</v>
      </c>
      <c r="Z86" s="42">
        <f t="shared" si="3"/>
        <v>0</v>
      </c>
      <c r="AA86" s="2" t="b">
        <f>D86='2020'!C738</f>
        <v>1</v>
      </c>
      <c r="AB86" s="2" t="b">
        <f>X86='2020'!BC737</f>
        <v>1</v>
      </c>
      <c r="AC86" s="34">
        <f>'2020'!AQ742</f>
        <v>500</v>
      </c>
      <c r="AD86" s="34">
        <f>'2020'!AQ743</f>
        <v>2135</v>
      </c>
    </row>
    <row r="87" ht="15.75" customHeight="1" spans="1:30" x14ac:dyDescent="0.25">
      <c r="A87" s="14"/>
      <c r="B87" s="115">
        <v>87</v>
      </c>
      <c r="C87" s="115">
        <v>4.23</v>
      </c>
      <c r="D87" s="117" t="s">
        <v>284</v>
      </c>
      <c r="E87" s="106">
        <f>'2020'!BH746</f>
        <v>0</v>
      </c>
      <c r="F87" s="106">
        <f>'2020'!BH747</f>
        <v>-21.37</v>
      </c>
      <c r="G87" s="106">
        <f>'2020'!BH748</f>
        <v>0</v>
      </c>
      <c r="H87" s="106">
        <f>'2020'!BH749</f>
        <v>0</v>
      </c>
      <c r="I87" s="106">
        <f>'2020'!BH750</f>
        <v>0</v>
      </c>
      <c r="J87" s="106">
        <f>'2020'!BH751</f>
        <v>500</v>
      </c>
      <c r="K87" s="106">
        <f>'2020'!BH752</f>
        <v>2115</v>
      </c>
      <c r="L87" s="106">
        <f>'2020'!BH753</f>
        <v>0</v>
      </c>
      <c r="M87" s="106">
        <f t="shared" si="0"/>
        <v>2593.63</v>
      </c>
      <c r="N87" s="106">
        <v>0</v>
      </c>
      <c r="O87" s="37"/>
      <c r="X87" s="285">
        <f t="shared" si="1"/>
        <v>0</v>
      </c>
      <c r="Y87" s="281">
        <f t="shared" si="2"/>
        <v>0</v>
      </c>
      <c r="Z87" s="42">
        <f t="shared" si="3"/>
        <v>0</v>
      </c>
      <c r="AA87" s="2" t="b">
        <f>D87='2020'!C747</f>
        <v>1</v>
      </c>
      <c r="AB87" s="2" t="b">
        <f>X87='2020'!BC746</f>
        <v>1</v>
      </c>
      <c r="AC87" s="34">
        <f>'2020'!AQ751</f>
        <v>500</v>
      </c>
      <c r="AD87" s="34">
        <f>'2020'!AQ752</f>
        <v>2115</v>
      </c>
    </row>
    <row r="88" ht="15.75" customHeight="1" spans="1:30" x14ac:dyDescent="0.25">
      <c r="A88" s="14"/>
      <c r="B88" s="115">
        <v>89</v>
      </c>
      <c r="C88" s="115">
        <v>4.25</v>
      </c>
      <c r="D88" s="117" t="s">
        <v>286</v>
      </c>
      <c r="E88" s="106">
        <f>'2020'!BH755</f>
        <v>0</v>
      </c>
      <c r="F88" s="106">
        <f>'2020'!BH756</f>
        <v>0</v>
      </c>
      <c r="G88" s="106">
        <f>'2020'!BH757</f>
        <v>-255.14</v>
      </c>
      <c r="H88" s="106">
        <f>'2020'!BH758</f>
        <v>0</v>
      </c>
      <c r="I88" s="106">
        <f>'2020'!BH759</f>
        <v>0</v>
      </c>
      <c r="J88" s="106">
        <f>'2020'!BH760</f>
        <v>500</v>
      </c>
      <c r="K88" s="106">
        <f>'2020'!BH761</f>
        <v>2125</v>
      </c>
      <c r="L88" s="106">
        <f>'2020'!BH762</f>
        <v>0</v>
      </c>
      <c r="M88" s="106">
        <f t="shared" si="0"/>
        <v>2369.86</v>
      </c>
      <c r="N88" s="106">
        <v>0</v>
      </c>
      <c r="O88" s="37"/>
      <c r="X88" s="285">
        <f t="shared" si="1"/>
        <v>0</v>
      </c>
      <c r="Y88" s="281">
        <f t="shared" si="2"/>
        <v>0</v>
      </c>
      <c r="Z88" s="42">
        <f t="shared" si="3"/>
        <v>0</v>
      </c>
      <c r="AA88" s="2" t="b">
        <f>D88='2020'!C756</f>
        <v>1</v>
      </c>
      <c r="AB88" s="2" t="b">
        <f>X88='2020'!BC755</f>
        <v>1</v>
      </c>
      <c r="AC88" s="34">
        <f>'2020'!AQ760</f>
        <v>500</v>
      </c>
      <c r="AD88" s="34">
        <f>'2020'!AQ761</f>
        <v>2125</v>
      </c>
    </row>
    <row r="89" ht="15.75" customHeight="1" spans="1:30" x14ac:dyDescent="0.25">
      <c r="A89" s="14"/>
      <c r="B89" s="115">
        <v>91</v>
      </c>
      <c r="C89" s="115">
        <v>4.23</v>
      </c>
      <c r="D89" s="117" t="s">
        <v>288</v>
      </c>
      <c r="E89" s="106">
        <f>'2020'!BH764</f>
        <v>0</v>
      </c>
      <c r="F89" s="106">
        <f>'2020'!BH765</f>
        <v>5.2</v>
      </c>
      <c r="G89" s="106">
        <f>'2020'!BH766</f>
        <v>-2.7</v>
      </c>
      <c r="H89" s="106">
        <f>'2020'!BH767</f>
        <v>0</v>
      </c>
      <c r="I89" s="106">
        <f>'2020'!BH768</f>
        <v>0</v>
      </c>
      <c r="J89" s="106">
        <f>'2020'!BH769</f>
        <v>500</v>
      </c>
      <c r="K89" s="106">
        <f>'2020'!BH770</f>
        <v>2115</v>
      </c>
      <c r="L89" s="106">
        <f>'2020'!BH771</f>
        <v>0</v>
      </c>
      <c r="M89" s="106">
        <f t="shared" si="0"/>
        <v>2617.5</v>
      </c>
      <c r="N89" s="106">
        <v>0</v>
      </c>
      <c r="O89" s="37"/>
      <c r="X89" s="285">
        <f t="shared" si="1"/>
        <v>0</v>
      </c>
      <c r="Y89" s="281">
        <f t="shared" si="2"/>
        <v>0</v>
      </c>
      <c r="Z89" s="42">
        <f t="shared" si="3"/>
        <v>0</v>
      </c>
      <c r="AA89" s="2" t="b">
        <f>D89='2020'!C765</f>
        <v>1</v>
      </c>
      <c r="AB89" s="2" t="b">
        <f>X89='2020'!BC764</f>
        <v>1</v>
      </c>
      <c r="AC89" s="34">
        <f>'2020'!AQ769</f>
        <v>500</v>
      </c>
      <c r="AD89" s="34">
        <f>'2020'!AQ770</f>
        <v>2115</v>
      </c>
    </row>
    <row r="90" ht="15.75" customHeight="1" spans="1:30" x14ac:dyDescent="0.25">
      <c r="A90" s="21"/>
      <c r="B90" s="115" t="s">
        <v>292</v>
      </c>
      <c r="C90" s="115">
        <v>4.31</v>
      </c>
      <c r="D90" s="117" t="s">
        <v>436</v>
      </c>
      <c r="E90" s="106">
        <f>'2020'!BH773</f>
        <v>0</v>
      </c>
      <c r="F90" s="106">
        <f>'2020'!BH774</f>
        <v>0</v>
      </c>
      <c r="G90" s="106">
        <f>'2020'!BH775</f>
        <v>0</v>
      </c>
      <c r="H90" s="106">
        <f>'2020'!BH776</f>
        <v>0</v>
      </c>
      <c r="I90" s="106">
        <f>'2020'!BH777</f>
        <v>0</v>
      </c>
      <c r="J90" s="106">
        <f>'2020'!BH778</f>
        <v>500</v>
      </c>
      <c r="K90" s="106">
        <f>'2020'!BH779</f>
        <v>2155</v>
      </c>
      <c r="L90" s="106">
        <f>'2020'!BH780</f>
        <v>0</v>
      </c>
      <c r="M90" s="106">
        <f t="shared" si="0"/>
        <v>2655</v>
      </c>
      <c r="N90" s="106">
        <v>0</v>
      </c>
      <c r="O90" s="37"/>
      <c r="X90" s="285">
        <f t="shared" si="1"/>
        <v>0</v>
      </c>
      <c r="Y90" s="281">
        <f t="shared" si="2"/>
        <v>0</v>
      </c>
      <c r="Z90" s="42">
        <f t="shared" si="3"/>
        <v>0</v>
      </c>
      <c r="AA90" s="2" t="b">
        <f>D90='2020'!C774</f>
        <v>1</v>
      </c>
      <c r="AB90" s="2" t="b">
        <f>X90='2020'!BC773</f>
        <v>1</v>
      </c>
      <c r="AC90" s="34">
        <f>'2020'!AQ778</f>
        <v>500</v>
      </c>
      <c r="AD90" s="34">
        <f>'2020'!AQ779</f>
        <v>2155</v>
      </c>
    </row>
    <row r="91" ht="15.75" customHeight="1" spans="1:30" x14ac:dyDescent="0.25">
      <c r="A91" s="21"/>
      <c r="B91" s="115" t="s">
        <v>292</v>
      </c>
      <c r="C91" s="115">
        <v>4.25</v>
      </c>
      <c r="D91" s="15" t="s">
        <v>436</v>
      </c>
      <c r="E91" s="106">
        <f>'2020'!BH782</f>
        <v>0</v>
      </c>
      <c r="F91" s="106">
        <f>'2020'!BH783</f>
        <v>0</v>
      </c>
      <c r="G91" s="106">
        <f>'2020'!BH784</f>
        <v>0</v>
      </c>
      <c r="H91" s="106">
        <f>'2020'!BH785</f>
        <v>0</v>
      </c>
      <c r="I91" s="106">
        <f>'2020'!BH786</f>
        <v>0</v>
      </c>
      <c r="J91" s="106">
        <f>'2020'!BH787</f>
        <v>500</v>
      </c>
      <c r="K91" s="106">
        <f>'2020'!BH788</f>
        <v>2125</v>
      </c>
      <c r="L91" s="106">
        <f>'2020'!BH789</f>
        <v>0</v>
      </c>
      <c r="M91" s="106">
        <f t="shared" si="0"/>
        <v>2625</v>
      </c>
      <c r="N91" s="106">
        <v>0</v>
      </c>
      <c r="O91" s="37"/>
      <c r="X91" s="285">
        <f t="shared" si="1"/>
        <v>0</v>
      </c>
      <c r="Y91" s="281">
        <f t="shared" si="2"/>
        <v>0</v>
      </c>
      <c r="Z91" s="42">
        <f t="shared" si="3"/>
        <v>0</v>
      </c>
      <c r="AA91" s="2" t="b">
        <f>D91='2020'!C783</f>
        <v>1</v>
      </c>
      <c r="AB91" s="2" t="b">
        <f>X91='2020'!BC782</f>
        <v>1</v>
      </c>
      <c r="AC91" s="34">
        <f>'2020'!AQ787</f>
        <v>500</v>
      </c>
      <c r="AD91" s="34">
        <f>'2020'!AQ788</f>
        <v>2125</v>
      </c>
    </row>
    <row r="92" ht="15.75" customHeight="1" spans="1:30" x14ac:dyDescent="0.25">
      <c r="A92" s="114" t="s">
        <v>297</v>
      </c>
      <c r="B92" s="115">
        <v>80</v>
      </c>
      <c r="C92" s="115">
        <v>4.28</v>
      </c>
      <c r="D92" s="117" t="s">
        <v>298</v>
      </c>
      <c r="E92" s="106">
        <f>'2020'!BH791</f>
        <v>0.92</v>
      </c>
      <c r="F92" s="106">
        <f>'2020'!BH792</f>
        <v>109.07</v>
      </c>
      <c r="G92" s="106">
        <f>'2020'!BH793</f>
        <v>-75.86</v>
      </c>
      <c r="H92" s="106">
        <f>'2020'!BH794</f>
        <v>0</v>
      </c>
      <c r="I92" s="106">
        <f>'2020'!BH795</f>
        <v>0</v>
      </c>
      <c r="J92" s="106">
        <f>'2020'!BH796</f>
        <v>500</v>
      </c>
      <c r="K92" s="106">
        <f>'2020'!BH797</f>
        <v>2140</v>
      </c>
      <c r="L92" s="106">
        <f>'2020'!BH798</f>
        <v>0</v>
      </c>
      <c r="M92" s="106">
        <f t="shared" si="0"/>
        <v>2674.13</v>
      </c>
      <c r="N92" s="106">
        <v>0</v>
      </c>
      <c r="O92" s="37"/>
      <c r="Q92" s="34"/>
      <c r="R92" s="34"/>
      <c r="X92" s="285">
        <f t="shared" si="1"/>
        <v>0</v>
      </c>
      <c r="Y92" s="281">
        <f t="shared" si="2"/>
        <v>0</v>
      </c>
      <c r="Z92" s="42">
        <f t="shared" si="3"/>
        <v>0</v>
      </c>
      <c r="AA92" s="2" t="b">
        <f>D92='2020'!C792</f>
        <v>1</v>
      </c>
      <c r="AB92" s="2" t="b">
        <f>X92='2020'!BC791</f>
        <v>1</v>
      </c>
      <c r="AC92" s="34">
        <f>'2020'!AQ796</f>
        <v>500</v>
      </c>
      <c r="AD92" s="34">
        <f>'2020'!AQ797</f>
        <v>2140</v>
      </c>
    </row>
    <row r="93" ht="15.75" customHeight="1" spans="1:30" x14ac:dyDescent="0.25">
      <c r="A93" s="14"/>
      <c r="B93" s="115">
        <v>82</v>
      </c>
      <c r="C93" s="115">
        <v>4.28</v>
      </c>
      <c r="D93" s="117" t="s">
        <v>300</v>
      </c>
      <c r="E93" s="106">
        <f>'2020'!BH800</f>
        <v>0.92</v>
      </c>
      <c r="F93" s="106">
        <f>'2020'!BH801</f>
        <v>0</v>
      </c>
      <c r="G93" s="106">
        <f>'2020'!BH802</f>
        <v>-20.39</v>
      </c>
      <c r="H93" s="106">
        <f>'2020'!BH803</f>
        <v>0</v>
      </c>
      <c r="I93" s="106">
        <f>'2020'!BH804</f>
        <v>0</v>
      </c>
      <c r="J93" s="106">
        <f>'2020'!BH805</f>
        <v>500</v>
      </c>
      <c r="K93" s="106">
        <f>'2020'!BH806</f>
        <v>2140</v>
      </c>
      <c r="L93" s="106">
        <f>'2020'!BH807</f>
        <v>0</v>
      </c>
      <c r="M93" s="106">
        <f t="shared" si="0"/>
        <v>2620.53</v>
      </c>
      <c r="N93" s="106">
        <v>0</v>
      </c>
      <c r="O93" s="37"/>
      <c r="Q93" s="34"/>
      <c r="R93" s="34"/>
      <c r="X93" s="285">
        <f t="shared" si="1"/>
        <v>0</v>
      </c>
      <c r="Y93" s="281">
        <f t="shared" si="2"/>
        <v>0</v>
      </c>
      <c r="Z93" s="42">
        <f t="shared" si="3"/>
        <v>0</v>
      </c>
      <c r="AA93" s="2" t="b">
        <f>D93='2020'!C801</f>
        <v>1</v>
      </c>
      <c r="AB93" s="2" t="b">
        <f>X93='2020'!BC800</f>
        <v>1</v>
      </c>
      <c r="AC93" s="34">
        <f>'2020'!AQ805</f>
        <v>500</v>
      </c>
      <c r="AD93" s="34">
        <f>'2020'!AQ806</f>
        <v>2140</v>
      </c>
    </row>
    <row r="94" ht="15.75" customHeight="1" spans="1:30" x14ac:dyDescent="0.25">
      <c r="A94" s="14"/>
      <c r="B94" s="115">
        <v>84</v>
      </c>
      <c r="C94" s="115">
        <v>4.18</v>
      </c>
      <c r="D94" s="117" t="s">
        <v>301</v>
      </c>
      <c r="E94" s="106">
        <f>'2020'!BH809</f>
        <v>36.91</v>
      </c>
      <c r="F94" s="106">
        <f>'2020'!BH810</f>
        <v>-113.96</v>
      </c>
      <c r="G94" s="106">
        <f>'2020'!BH811</f>
        <v>-186.86</v>
      </c>
      <c r="H94" s="106">
        <f>'2020'!BH812</f>
        <v>0</v>
      </c>
      <c r="I94" s="106">
        <f>'2020'!BH813</f>
        <v>0</v>
      </c>
      <c r="J94" s="106">
        <f>'2020'!BH814</f>
        <v>0</v>
      </c>
      <c r="K94" s="106">
        <f>'2020'!BH815</f>
        <v>2040</v>
      </c>
      <c r="L94" s="106">
        <f>'2020'!BH816</f>
        <v>0</v>
      </c>
      <c r="M94" s="106">
        <f t="shared" si="0"/>
        <v>1776.09</v>
      </c>
      <c r="N94" s="106">
        <v>-550</v>
      </c>
      <c r="O94" s="37"/>
      <c r="P94" s="15"/>
      <c r="Q94" s="34"/>
      <c r="R94" s="34"/>
      <c r="S94" s="37"/>
      <c r="T94" s="15"/>
      <c r="U94" s="34"/>
      <c r="V94" s="34"/>
      <c r="W94" s="37"/>
      <c r="X94" s="285">
        <f t="shared" si="1"/>
        <v>0</v>
      </c>
      <c r="Y94" s="281">
        <f t="shared" si="2"/>
        <v>-550</v>
      </c>
      <c r="Z94" s="42">
        <f t="shared" si="3"/>
        <v>-550</v>
      </c>
      <c r="AA94" s="2" t="b">
        <f>D94='2020'!C810</f>
        <v>1</v>
      </c>
      <c r="AB94" s="2" t="b">
        <f>X94='2020'!BC809</f>
        <v>1</v>
      </c>
      <c r="AC94" s="34">
        <f>'2020'!AQ814</f>
        <v>500</v>
      </c>
      <c r="AD94" s="34">
        <f>'2020'!AQ815</f>
        <v>2090</v>
      </c>
    </row>
    <row r="95" ht="15.75" customHeight="1" spans="1:30" x14ac:dyDescent="0.25">
      <c r="A95" s="14"/>
      <c r="B95" s="115">
        <v>86</v>
      </c>
      <c r="C95" s="115">
        <v>4.23</v>
      </c>
      <c r="D95" s="117" t="s">
        <v>304</v>
      </c>
      <c r="E95" s="106">
        <f>'2020'!BH818</f>
        <v>353.32</v>
      </c>
      <c r="F95" s="106">
        <f>'2020'!BH819</f>
        <v>0</v>
      </c>
      <c r="G95" s="106">
        <f>'2020'!BH820</f>
        <v>0</v>
      </c>
      <c r="H95" s="106">
        <f>'2020'!BH821</f>
        <v>0</v>
      </c>
      <c r="I95" s="106">
        <f>'2020'!BH822</f>
        <v>9729</v>
      </c>
      <c r="J95" s="106">
        <f>'2020'!BH823</f>
        <v>1500</v>
      </c>
      <c r="K95" s="106">
        <f>'2020'!BH824</f>
        <v>2115</v>
      </c>
      <c r="L95" s="106">
        <f>'2020'!BH825</f>
        <v>1000</v>
      </c>
      <c r="M95" s="106">
        <f t="shared" si="0"/>
        <v>14697.32</v>
      </c>
      <c r="N95" s="106">
        <v>10729</v>
      </c>
      <c r="O95" s="37">
        <f>IF(P95&gt;0,P95-1,$O$1)</f>
        <v>31</v>
      </c>
      <c r="P95" s="15"/>
      <c r="Q95" s="15"/>
      <c r="R95" s="15"/>
      <c r="S95" s="15"/>
      <c r="T95" s="15"/>
      <c r="U95" s="15"/>
      <c r="V95" s="15"/>
      <c r="W95" s="15"/>
      <c r="X95" s="284">
        <f t="shared" si="1"/>
        <v>33.26</v>
      </c>
      <c r="Y95" s="281">
        <f t="shared" si="2"/>
        <v>10729</v>
      </c>
      <c r="Z95" s="42">
        <f t="shared" si="3"/>
        <v>10729</v>
      </c>
      <c r="AA95" s="2" t="b">
        <f>D95='2020'!C819</f>
        <v>1</v>
      </c>
      <c r="AB95" s="2" t="b">
        <f>X95='2020'!BC818</f>
        <v>1</v>
      </c>
      <c r="AC95" s="34">
        <f>'2020'!AQ823</f>
        <v>500</v>
      </c>
      <c r="AD95" s="34">
        <f>'2020'!AQ824</f>
        <v>2115</v>
      </c>
    </row>
    <row r="96" ht="15.75" customHeight="1" spans="1:30" x14ac:dyDescent="0.25">
      <c r="A96" s="14"/>
      <c r="B96" s="115">
        <v>88</v>
      </c>
      <c r="C96" s="115">
        <v>4.23</v>
      </c>
      <c r="D96" s="117" t="s">
        <v>308</v>
      </c>
      <c r="E96" s="106">
        <f>'2020'!BH827</f>
        <v>9.77</v>
      </c>
      <c r="F96" s="106">
        <f>'2020'!BH828</f>
        <v>0</v>
      </c>
      <c r="G96" s="106">
        <f>'2020'!BH829</f>
        <v>0</v>
      </c>
      <c r="H96" s="106">
        <f>'2020'!BH830</f>
        <v>0</v>
      </c>
      <c r="I96" s="106">
        <f>'2020'!BH831</f>
        <v>0</v>
      </c>
      <c r="J96" s="106">
        <f>'2020'!BH832</f>
        <v>500</v>
      </c>
      <c r="K96" s="106">
        <f>'2020'!BH833</f>
        <v>2115</v>
      </c>
      <c r="L96" s="106">
        <f>'2020'!BH834</f>
        <v>0</v>
      </c>
      <c r="M96" s="106">
        <f t="shared" si="0"/>
        <v>2624.77</v>
      </c>
      <c r="N96" s="106">
        <v>0</v>
      </c>
      <c r="O96" s="37"/>
      <c r="P96" s="15"/>
      <c r="Q96" s="34"/>
      <c r="R96" s="34"/>
      <c r="T96" s="15"/>
      <c r="U96" s="15"/>
      <c r="V96" s="15"/>
      <c r="W96" s="15"/>
      <c r="X96" s="285">
        <f t="shared" si="1"/>
        <v>0</v>
      </c>
      <c r="Y96" s="281">
        <f t="shared" si="2"/>
        <v>0</v>
      </c>
      <c r="Z96" s="42">
        <f t="shared" si="3"/>
        <v>0</v>
      </c>
      <c r="AA96" s="2" t="b">
        <f>D96='2020'!C828</f>
        <v>1</v>
      </c>
      <c r="AB96" s="2" t="b">
        <f>X96='2020'!BC827</f>
        <v>1</v>
      </c>
      <c r="AC96" s="34">
        <f>'2020'!AQ832</f>
        <v>500</v>
      </c>
      <c r="AD96" s="34">
        <f>'2020'!AQ833</f>
        <v>2115</v>
      </c>
    </row>
    <row r="97" ht="15.75" customHeight="1" spans="1:30" x14ac:dyDescent="0.25">
      <c r="A97" s="14"/>
      <c r="B97" s="115">
        <v>90</v>
      </c>
      <c r="C97" s="115">
        <v>4.23</v>
      </c>
      <c r="D97" s="117" t="s">
        <v>311</v>
      </c>
      <c r="E97" s="106">
        <f>'2020'!BH836</f>
        <v>9.77</v>
      </c>
      <c r="F97" s="106">
        <f>'2020'!BH837</f>
        <v>0</v>
      </c>
      <c r="G97" s="106">
        <f>'2020'!BH838</f>
        <v>0</v>
      </c>
      <c r="H97" s="106">
        <f>'2020'!BH839</f>
        <v>0</v>
      </c>
      <c r="I97" s="106">
        <f>'2020'!BH840</f>
        <v>0</v>
      </c>
      <c r="J97" s="106">
        <f>'2020'!BH841</f>
        <v>500</v>
      </c>
      <c r="K97" s="106">
        <f>'2020'!BH842</f>
        <v>2115</v>
      </c>
      <c r="L97" s="106">
        <f>'2020'!BH843</f>
        <v>0</v>
      </c>
      <c r="M97" s="106">
        <f t="shared" si="0"/>
        <v>2624.77</v>
      </c>
      <c r="N97" s="106">
        <v>0</v>
      </c>
      <c r="O97" s="37"/>
      <c r="P97" s="15"/>
      <c r="Q97" s="34"/>
      <c r="R97" s="34"/>
      <c r="T97" s="15"/>
      <c r="U97" s="15"/>
      <c r="V97" s="15"/>
      <c r="W97" s="15"/>
      <c r="X97" s="285">
        <f t="shared" si="1"/>
        <v>0</v>
      </c>
      <c r="Y97" s="281">
        <f t="shared" si="2"/>
        <v>0</v>
      </c>
      <c r="Z97" s="42">
        <f t="shared" si="3"/>
        <v>0</v>
      </c>
      <c r="AA97" s="2" t="b">
        <f>D97='2020'!C837</f>
        <v>1</v>
      </c>
      <c r="AB97" s="2" t="b">
        <f>X97='2020'!BC836</f>
        <v>1</v>
      </c>
      <c r="AC97" s="34">
        <f>'2020'!AQ841</f>
        <v>500</v>
      </c>
      <c r="AD97" s="34">
        <f>'2020'!AQ842</f>
        <v>2115</v>
      </c>
    </row>
    <row r="98" ht="15.75" customHeight="1" spans="1:30" x14ac:dyDescent="0.25">
      <c r="A98" s="14"/>
      <c r="B98" s="115">
        <v>92</v>
      </c>
      <c r="C98" s="115">
        <v>4.28</v>
      </c>
      <c r="D98" s="117" t="s">
        <v>312</v>
      </c>
      <c r="E98" s="106">
        <f>'2020'!BH845</f>
        <v>79</v>
      </c>
      <c r="F98" s="106">
        <f>'2020'!BH846</f>
        <v>-12.8</v>
      </c>
      <c r="G98" s="106">
        <f>'2020'!BH847</f>
        <v>748.14</v>
      </c>
      <c r="H98" s="106">
        <f>'2020'!BH848</f>
        <v>0</v>
      </c>
      <c r="I98" s="106">
        <f>'2020'!BH849</f>
        <v>0</v>
      </c>
      <c r="J98" s="106">
        <f>'2020'!BH850</f>
        <v>500</v>
      </c>
      <c r="K98" s="106">
        <f>'2020'!BH851</f>
        <v>2140</v>
      </c>
      <c r="L98" s="106">
        <f>'2020'!BH852</f>
        <v>500</v>
      </c>
      <c r="M98" s="106">
        <f t="shared" si="0"/>
        <v>3954.34</v>
      </c>
      <c r="N98" s="106">
        <v>0</v>
      </c>
      <c r="O98" s="37"/>
      <c r="P98" s="15"/>
      <c r="Q98" s="34"/>
      <c r="R98" s="34"/>
      <c r="S98" s="37"/>
      <c r="T98" s="15"/>
      <c r="U98" s="15"/>
      <c r="V98" s="15"/>
      <c r="W98" s="15"/>
      <c r="X98" s="285">
        <f t="shared" si="1"/>
        <v>0</v>
      </c>
      <c r="Y98" s="281">
        <f t="shared" si="2"/>
        <v>0</v>
      </c>
      <c r="Z98" s="42">
        <f t="shared" si="3"/>
        <v>0</v>
      </c>
      <c r="AA98" s="2" t="b">
        <f>D98='2020'!C846</f>
        <v>1</v>
      </c>
      <c r="AB98" s="2" t="b">
        <f>X98='2020'!BC845</f>
        <v>1</v>
      </c>
      <c r="AC98" s="34">
        <f>'2020'!AQ850</f>
        <v>500</v>
      </c>
      <c r="AD98" s="34">
        <f>'2020'!AQ851</f>
        <v>2140</v>
      </c>
    </row>
    <row r="99" ht="15.75" customHeight="1" spans="1:30" x14ac:dyDescent="0.25">
      <c r="A99" s="14"/>
      <c r="B99" s="115" t="s">
        <v>315</v>
      </c>
      <c r="C99" s="115">
        <v>4.36</v>
      </c>
      <c r="D99" s="117" t="s">
        <v>316</v>
      </c>
      <c r="E99" s="106">
        <f>'2020'!BH854</f>
        <v>0</v>
      </c>
      <c r="F99" s="106">
        <f>'2020'!BH855</f>
        <v>-193.6</v>
      </c>
      <c r="G99" s="106">
        <f>'2020'!BH856</f>
        <v>-101.74</v>
      </c>
      <c r="H99" s="106">
        <f>'2020'!BH857</f>
        <v>0</v>
      </c>
      <c r="I99" s="106">
        <f>'2020'!BH858</f>
        <v>0</v>
      </c>
      <c r="J99" s="106">
        <f>'2020'!BH859</f>
        <v>0</v>
      </c>
      <c r="K99" s="106">
        <f>'2020'!BH860</f>
        <v>0</v>
      </c>
      <c r="L99" s="106">
        <f>'2020'!BH861</f>
        <v>0</v>
      </c>
      <c r="M99" s="106">
        <f t="shared" si="0"/>
        <v>-295.34</v>
      </c>
      <c r="N99" s="106">
        <v>-500</v>
      </c>
      <c r="O99" s="37"/>
      <c r="X99" s="285">
        <f t="shared" si="1"/>
        <v>0</v>
      </c>
      <c r="Y99" s="281">
        <f t="shared" si="2"/>
        <v>-500</v>
      </c>
      <c r="Z99" s="42">
        <f t="shared" si="3"/>
        <v>-2680</v>
      </c>
      <c r="AA99" s="2" t="b">
        <f>D99='2020'!C855</f>
        <v>1</v>
      </c>
      <c r="AB99" s="2" t="b">
        <f>X99='2020'!BC854</f>
        <v>1</v>
      </c>
      <c r="AC99" s="34">
        <f>'2020'!AQ859</f>
        <v>500</v>
      </c>
      <c r="AD99" s="34">
        <f>'2020'!AQ860</f>
        <v>2180</v>
      </c>
    </row>
    <row r="100" ht="15.75" customHeight="1" spans="1:30" x14ac:dyDescent="0.25">
      <c r="A100" s="14"/>
      <c r="B100" s="115" t="s">
        <v>315</v>
      </c>
      <c r="C100" s="116">
        <v>4.4</v>
      </c>
      <c r="D100" s="117" t="s">
        <v>316</v>
      </c>
      <c r="E100" s="106">
        <f>'2020'!BH863</f>
        <v>0</v>
      </c>
      <c r="F100" s="106">
        <f>'2020'!BH864</f>
        <v>0</v>
      </c>
      <c r="G100" s="106">
        <f>'2020'!BH865</f>
        <v>97.14</v>
      </c>
      <c r="H100" s="106">
        <f>'2020'!BH866</f>
        <v>0</v>
      </c>
      <c r="I100" s="106">
        <f>'2020'!BH867</f>
        <v>0</v>
      </c>
      <c r="J100" s="106">
        <f>'2020'!BH868</f>
        <v>500</v>
      </c>
      <c r="K100" s="106">
        <f>'2020'!BH869</f>
        <v>0</v>
      </c>
      <c r="L100" s="106">
        <f>'2020'!BH870</f>
        <v>0</v>
      </c>
      <c r="M100" s="106">
        <f t="shared" si="0"/>
        <v>597.14</v>
      </c>
      <c r="N100" s="106">
        <v>0</v>
      </c>
      <c r="O100" s="37"/>
      <c r="Q100" s="34"/>
      <c r="R100" s="34"/>
      <c r="X100" s="285">
        <f t="shared" si="1"/>
        <v>0</v>
      </c>
      <c r="Y100" s="281">
        <f t="shared" si="2"/>
        <v>0</v>
      </c>
      <c r="Z100" s="42">
        <f t="shared" si="3"/>
        <v>-2200</v>
      </c>
      <c r="AA100" s="2" t="b">
        <f>D100='2020'!C864</f>
        <v>1</v>
      </c>
      <c r="AB100" s="2" t="b">
        <f>X100='2020'!BC863</f>
        <v>1</v>
      </c>
      <c r="AC100" s="34">
        <f>'2020'!AQ868</f>
        <v>500</v>
      </c>
      <c r="AD100" s="34">
        <f>'2020'!AQ869</f>
        <v>2200</v>
      </c>
    </row>
    <row r="101" ht="15.75" customHeight="1" spans="1:30" x14ac:dyDescent="0.25">
      <c r="A101" s="14"/>
      <c r="B101" s="115">
        <v>99</v>
      </c>
      <c r="C101" s="115">
        <v>4.53</v>
      </c>
      <c r="D101" s="117" t="s">
        <v>319</v>
      </c>
      <c r="E101" s="106">
        <f>'2020'!BH872</f>
        <v>2.36</v>
      </c>
      <c r="F101" s="106">
        <f>'2020'!BH873</f>
        <v>-346.16</v>
      </c>
      <c r="G101" s="106">
        <f>'2020'!BH874</f>
        <v>-224.94</v>
      </c>
      <c r="H101" s="106">
        <f>'2020'!BH875</f>
        <v>0</v>
      </c>
      <c r="I101" s="106">
        <f>'2020'!BH876</f>
        <v>0</v>
      </c>
      <c r="J101" s="106">
        <f>'2020'!BH877</f>
        <v>500</v>
      </c>
      <c r="K101" s="106">
        <f>'2020'!BH878</f>
        <v>2265</v>
      </c>
      <c r="L101" s="106">
        <f>'2020'!BH879</f>
        <v>0</v>
      </c>
      <c r="M101" s="106">
        <f t="shared" si="0"/>
        <v>2196.26</v>
      </c>
      <c r="N101" s="106">
        <v>0</v>
      </c>
      <c r="O101" s="37"/>
      <c r="Q101" s="34"/>
      <c r="R101" s="34"/>
      <c r="T101" s="15"/>
      <c r="U101" s="15"/>
      <c r="V101" s="15"/>
      <c r="W101" s="15"/>
      <c r="X101" s="280">
        <f t="shared" si="1"/>
        <v>0</v>
      </c>
      <c r="Y101" s="281">
        <f t="shared" si="2"/>
        <v>0</v>
      </c>
      <c r="Z101" s="42">
        <f t="shared" si="3"/>
        <v>0</v>
      </c>
      <c r="AA101" s="2" t="b">
        <f>D101='2020'!C873</f>
        <v>1</v>
      </c>
      <c r="AB101" s="2" t="b">
        <f>X101='2020'!BC872</f>
        <v>1</v>
      </c>
      <c r="AC101" s="34">
        <f>'2020'!AQ877</f>
        <v>500</v>
      </c>
      <c r="AD101" s="34">
        <f>'2020'!AQ878</f>
        <v>2265</v>
      </c>
    </row>
    <row r="102" ht="15.75" customHeight="1" spans="1:30" x14ac:dyDescent="0.25">
      <c r="A102" s="14"/>
      <c r="B102" s="115">
        <v>101</v>
      </c>
      <c r="C102" s="115">
        <v>4.46</v>
      </c>
      <c r="D102" s="117" t="s">
        <v>321</v>
      </c>
      <c r="E102" s="106">
        <f>'2020'!BH881</f>
        <v>0</v>
      </c>
      <c r="F102" s="106">
        <f>'2020'!BH882</f>
        <v>13</v>
      </c>
      <c r="G102" s="106">
        <f>'2020'!BH883</f>
        <v>36.29</v>
      </c>
      <c r="H102" s="106">
        <f>'2020'!BH884</f>
        <v>0</v>
      </c>
      <c r="I102" s="106">
        <f>'2020'!BH885</f>
        <v>0</v>
      </c>
      <c r="J102" s="106">
        <f>'2020'!BH886</f>
        <v>500</v>
      </c>
      <c r="K102" s="106">
        <f>'2020'!BH887</f>
        <v>2230</v>
      </c>
      <c r="L102" s="106">
        <f>'2020'!BH888</f>
        <v>0</v>
      </c>
      <c r="M102" s="106">
        <f t="shared" si="0"/>
        <v>2779.29</v>
      </c>
      <c r="N102" s="106">
        <v>0</v>
      </c>
      <c r="O102" s="37"/>
      <c r="X102" s="280">
        <f t="shared" si="1"/>
        <v>0</v>
      </c>
      <c r="Y102" s="281">
        <f t="shared" si="2"/>
        <v>0</v>
      </c>
      <c r="Z102" s="42">
        <f t="shared" si="3"/>
        <v>0</v>
      </c>
      <c r="AA102" s="2" t="b">
        <f>D102='2020'!C882</f>
        <v>1</v>
      </c>
      <c r="AB102" s="2" t="b">
        <f>X102='2020'!BC881</f>
        <v>1</v>
      </c>
      <c r="AC102" s="34">
        <f>'2020'!AQ886</f>
        <v>500</v>
      </c>
      <c r="AD102" s="34">
        <f>'2020'!AQ887</f>
        <v>2230</v>
      </c>
    </row>
    <row r="103" ht="15.75" customHeight="1" spans="1:30" x14ac:dyDescent="0.25">
      <c r="A103" s="14"/>
      <c r="B103" s="115">
        <v>103</v>
      </c>
      <c r="C103" s="115">
        <v>4.42</v>
      </c>
      <c r="D103" s="117" t="s">
        <v>322</v>
      </c>
      <c r="E103" s="106">
        <f>'2020'!BH890</f>
        <v>59.32</v>
      </c>
      <c r="F103" s="106">
        <f>'2020'!BH891</f>
        <v>0</v>
      </c>
      <c r="G103" s="106">
        <f>'2020'!BH892</f>
        <v>120.11</v>
      </c>
      <c r="H103" s="106">
        <f>'2020'!BH893</f>
        <v>0</v>
      </c>
      <c r="I103" s="106">
        <f>'2020'!BH894</f>
        <v>4862</v>
      </c>
      <c r="J103" s="106">
        <f>'2020'!BH895</f>
        <v>500</v>
      </c>
      <c r="K103" s="106">
        <f>'2020'!BH896</f>
        <v>2210</v>
      </c>
      <c r="L103" s="106">
        <f>'2020'!BH897</f>
        <v>500</v>
      </c>
      <c r="M103" s="106">
        <f t="shared" si="0"/>
        <v>8251.43</v>
      </c>
      <c r="N103" s="106">
        <v>4862</v>
      </c>
      <c r="O103" s="37">
        <f>IF(P103&gt;0,P103-1,$O$1)</f>
        <v>31</v>
      </c>
      <c r="P103" s="15"/>
      <c r="Q103" s="15"/>
      <c r="R103" s="34"/>
      <c r="S103" s="37"/>
      <c r="T103" s="15"/>
      <c r="U103" s="15"/>
      <c r="V103" s="15"/>
      <c r="W103" s="15"/>
      <c r="X103" s="284">
        <f t="shared" si="1"/>
        <v>15.07</v>
      </c>
      <c r="Y103" s="281">
        <f t="shared" si="2"/>
        <v>4862</v>
      </c>
      <c r="Z103" s="42">
        <f t="shared" si="3"/>
        <v>4862</v>
      </c>
      <c r="AA103" s="2" t="b">
        <f>D103='2020'!C891</f>
        <v>1</v>
      </c>
      <c r="AB103" s="2" t="b">
        <f>X103='2020'!BC890</f>
        <v>1</v>
      </c>
      <c r="AC103" s="34">
        <f>'2020'!AQ895</f>
        <v>500</v>
      </c>
      <c r="AD103" s="34">
        <f>'2020'!AQ896</f>
        <v>2210</v>
      </c>
    </row>
    <row r="104" ht="15.75" customHeight="1" spans="1:30" x14ac:dyDescent="0.25">
      <c r="A104" s="14"/>
      <c r="B104" s="115">
        <v>105</v>
      </c>
      <c r="C104" s="115">
        <v>4.41</v>
      </c>
      <c r="D104" s="117" t="s">
        <v>323</v>
      </c>
      <c r="E104" s="106">
        <f>'2020'!BH899</f>
        <v>21.25</v>
      </c>
      <c r="F104" s="106">
        <f>'2020'!BH900</f>
        <v>-2.02</v>
      </c>
      <c r="G104" s="106">
        <f>'2020'!BH901</f>
        <v>-1.94</v>
      </c>
      <c r="H104" s="106">
        <f>'2020'!BH902</f>
        <v>0</v>
      </c>
      <c r="I104" s="106">
        <f>'2020'!BH903</f>
        <v>0</v>
      </c>
      <c r="J104" s="106">
        <f>'2020'!BH904</f>
        <v>500</v>
      </c>
      <c r="K104" s="106">
        <f>'2020'!BH905</f>
        <v>2205</v>
      </c>
      <c r="L104" s="106">
        <f>'2020'!BH906</f>
        <v>0</v>
      </c>
      <c r="M104" s="106">
        <f t="shared" si="0"/>
        <v>2722.29</v>
      </c>
      <c r="N104" s="106">
        <v>0</v>
      </c>
      <c r="O104" s="37"/>
      <c r="P104" s="15"/>
      <c r="Q104" s="34"/>
      <c r="R104" s="34"/>
      <c r="T104" s="15"/>
      <c r="U104" s="15"/>
      <c r="V104" s="15"/>
      <c r="W104" s="15"/>
      <c r="X104" s="285">
        <f t="shared" si="1"/>
        <v>0</v>
      </c>
      <c r="Y104" s="281">
        <f t="shared" si="2"/>
        <v>0</v>
      </c>
      <c r="Z104" s="42">
        <f t="shared" si="3"/>
        <v>0</v>
      </c>
      <c r="AA104" s="2" t="b">
        <f>D104='2020'!C900</f>
        <v>1</v>
      </c>
      <c r="AB104" s="2" t="b">
        <f>X104='2020'!BC899</f>
        <v>1</v>
      </c>
      <c r="AC104" s="34">
        <f>'2020'!AQ904</f>
        <v>500</v>
      </c>
      <c r="AD104" s="34">
        <f>'2020'!AQ905</f>
        <v>2205</v>
      </c>
    </row>
    <row r="105" ht="15.75" customHeight="1" spans="1:30" x14ac:dyDescent="0.25">
      <c r="A105" s="21"/>
      <c r="B105" s="115">
        <v>107</v>
      </c>
      <c r="C105" s="115">
        <v>4.37</v>
      </c>
      <c r="D105" s="117" t="s">
        <v>325</v>
      </c>
      <c r="E105" s="106">
        <f>'2020'!BH908</f>
        <v>0</v>
      </c>
      <c r="F105" s="106">
        <f>'2020'!BH909</f>
        <v>6.6</v>
      </c>
      <c r="G105" s="106">
        <f>'2020'!BH910</f>
        <v>-197.49</v>
      </c>
      <c r="H105" s="106">
        <f>'2020'!BH911</f>
        <v>0</v>
      </c>
      <c r="I105" s="106">
        <f>'2020'!BH912</f>
        <v>0</v>
      </c>
      <c r="J105" s="106">
        <f>'2020'!BH913</f>
        <v>500</v>
      </c>
      <c r="K105" s="106">
        <f>'2020'!BH914</f>
        <v>2185</v>
      </c>
      <c r="L105" s="106">
        <f>'2020'!BH915</f>
        <v>0</v>
      </c>
      <c r="M105" s="106">
        <f t="shared" si="0"/>
        <v>2494.11</v>
      </c>
      <c r="N105" s="106">
        <v>0</v>
      </c>
      <c r="O105" s="37"/>
      <c r="X105" s="285">
        <f t="shared" si="1"/>
        <v>0</v>
      </c>
      <c r="Y105" s="281">
        <f t="shared" si="2"/>
        <v>0</v>
      </c>
      <c r="Z105" s="42">
        <f t="shared" si="3"/>
        <v>0</v>
      </c>
      <c r="AA105" s="2" t="b">
        <f>D105='2020'!C909</f>
        <v>1</v>
      </c>
      <c r="AB105" s="2" t="b">
        <f>X105='2020'!BC908</f>
        <v>1</v>
      </c>
      <c r="AC105" s="34">
        <f>'2020'!AQ913</f>
        <v>500</v>
      </c>
      <c r="AD105" s="34">
        <f>'2020'!AQ914</f>
        <v>2185</v>
      </c>
    </row>
    <row r="106" ht="15.75" customHeight="1" spans="1:30" x14ac:dyDescent="0.25">
      <c r="A106" s="114" t="s">
        <v>327</v>
      </c>
      <c r="B106" s="115">
        <v>96</v>
      </c>
      <c r="C106" s="115">
        <v>4.46</v>
      </c>
      <c r="D106" s="117" t="s">
        <v>450</v>
      </c>
      <c r="E106" s="106">
        <f>'2020'!BH917</f>
        <v>50.47</v>
      </c>
      <c r="F106" s="106">
        <f>'2020'!BH918</f>
        <v>0</v>
      </c>
      <c r="G106" s="106">
        <f>'2020'!BH919</f>
        <v>0</v>
      </c>
      <c r="H106" s="106">
        <f>'2020'!BH920</f>
        <v>0</v>
      </c>
      <c r="I106" s="106">
        <f>'2020'!BH921</f>
        <v>0</v>
      </c>
      <c r="J106" s="106">
        <f>'2020'!BH922</f>
        <v>470.44</v>
      </c>
      <c r="K106" s="106">
        <f>'2020'!BH923</f>
        <v>0</v>
      </c>
      <c r="L106" s="106">
        <f>'2020'!BH924</f>
        <v>0</v>
      </c>
      <c r="M106" s="106">
        <f t="shared" si="0"/>
        <v>520.91</v>
      </c>
      <c r="N106" s="106">
        <v>4770.44</v>
      </c>
      <c r="O106" s="37">
        <f t="shared" ref="O106:O108" si="6">IF(P106&gt;0,P106-1,$O$1)</f>
        <v>20</v>
      </c>
      <c r="P106" s="2">
        <v>21</v>
      </c>
      <c r="Q106" s="2">
        <v>7030</v>
      </c>
      <c r="R106" s="180">
        <f>N106-Q106</f>
        <v>-2259.56</v>
      </c>
      <c r="S106" s="286">
        <f>IF(T106&gt;0,T106-P106,$O$1-O106)</f>
        <v>11</v>
      </c>
      <c r="X106" s="284">
        <f t="shared" si="1"/>
        <v>7.06</v>
      </c>
      <c r="Y106" s="281">
        <f t="shared" si="2"/>
        <v>-2259.56</v>
      </c>
      <c r="Z106" s="42">
        <f t="shared" si="3"/>
        <v>-2259.56</v>
      </c>
      <c r="AA106" s="2" t="b">
        <f>D106='2020'!C918</f>
        <v>1</v>
      </c>
      <c r="AB106" s="2" t="b">
        <f>X106='2020'!BC917</f>
        <v>1</v>
      </c>
      <c r="AC106" s="34">
        <f>'2020'!AQ922</f>
        <v>500</v>
      </c>
      <c r="AD106" s="34">
        <f>'2020'!AQ923</f>
        <v>2230</v>
      </c>
    </row>
    <row r="107" ht="15.75" customHeight="1" spans="1:30" x14ac:dyDescent="0.25">
      <c r="A107" s="14"/>
      <c r="B107" s="115">
        <v>98</v>
      </c>
      <c r="C107" s="115">
        <v>4.45</v>
      </c>
      <c r="D107" s="117" t="s">
        <v>328</v>
      </c>
      <c r="E107" s="106">
        <f>'2020'!BH926</f>
        <v>722.6</v>
      </c>
      <c r="F107" s="106">
        <f>'2020'!BH927</f>
        <v>0</v>
      </c>
      <c r="G107" s="106">
        <f>'2020'!BH928</f>
        <v>-49.5</v>
      </c>
      <c r="H107" s="106">
        <f>'2020'!BH929</f>
        <v>0</v>
      </c>
      <c r="I107" s="106">
        <f>'2020'!BH930</f>
        <v>14924.82</v>
      </c>
      <c r="J107" s="106">
        <f>'2020'!BH931</f>
        <v>3390</v>
      </c>
      <c r="K107" s="106">
        <f>'2020'!BH932</f>
        <v>2225</v>
      </c>
      <c r="L107" s="106">
        <f>'2020'!BH933</f>
        <v>2200</v>
      </c>
      <c r="M107" s="106">
        <f t="shared" si="0"/>
        <v>23412.92</v>
      </c>
      <c r="N107" s="106">
        <v>17814.82</v>
      </c>
      <c r="O107" s="37">
        <f t="shared" si="6"/>
        <v>31</v>
      </c>
      <c r="P107" s="15"/>
      <c r="Q107" s="34"/>
      <c r="R107" s="34"/>
      <c r="S107" s="37"/>
      <c r="T107" s="15"/>
      <c r="U107" s="15"/>
      <c r="V107" s="15"/>
      <c r="W107" s="15"/>
      <c r="X107" s="284">
        <f t="shared" si="1"/>
        <v>55.23</v>
      </c>
      <c r="Y107" s="281">
        <f t="shared" si="2"/>
        <v>17814.82</v>
      </c>
      <c r="Z107" s="42">
        <f t="shared" si="3"/>
        <v>17814.82</v>
      </c>
      <c r="AA107" s="2" t="b">
        <f>D107='2020'!C927</f>
        <v>1</v>
      </c>
      <c r="AB107" s="2" t="b">
        <f>X107='2020'!BC926</f>
        <v>1</v>
      </c>
      <c r="AC107" s="34">
        <f>'2020'!AQ931</f>
        <v>500</v>
      </c>
      <c r="AD107" s="34">
        <f>'2020'!AQ932</f>
        <v>2225</v>
      </c>
    </row>
    <row r="108" ht="15.75" customHeight="1" spans="1:30" x14ac:dyDescent="0.25">
      <c r="A108" s="14"/>
      <c r="B108" s="115">
        <v>100</v>
      </c>
      <c r="C108" s="115">
        <v>4.47</v>
      </c>
      <c r="D108" s="117" t="s">
        <v>330</v>
      </c>
      <c r="E108" s="106">
        <f>'2020'!BH935</f>
        <v>51.89</v>
      </c>
      <c r="F108" s="106">
        <f>'2020'!BH936</f>
        <v>340.6</v>
      </c>
      <c r="G108" s="106">
        <f>'2020'!BH937</f>
        <v>0</v>
      </c>
      <c r="H108" s="106">
        <f>'2020'!BH938</f>
        <v>0</v>
      </c>
      <c r="I108" s="106">
        <f>'2020'!BH939</f>
        <v>3000</v>
      </c>
      <c r="J108" s="106">
        <f>'2020'!BH940</f>
        <v>1500</v>
      </c>
      <c r="K108" s="106">
        <f>'2020'!BH941</f>
        <v>2235</v>
      </c>
      <c r="L108" s="106">
        <f>'2020'!BH942</f>
        <v>500</v>
      </c>
      <c r="M108" s="106">
        <f t="shared" si="0"/>
        <v>7627.49</v>
      </c>
      <c r="N108" s="106">
        <v>4000</v>
      </c>
      <c r="O108" s="37">
        <f t="shared" si="6"/>
        <v>31</v>
      </c>
      <c r="P108" s="15"/>
      <c r="Q108" s="34"/>
      <c r="R108" s="34"/>
      <c r="T108" s="15"/>
      <c r="U108" s="15"/>
      <c r="V108" s="15"/>
      <c r="W108" s="15"/>
      <c r="X108" s="284">
        <f t="shared" si="1"/>
        <v>12.4</v>
      </c>
      <c r="Y108" s="281">
        <f t="shared" si="2"/>
        <v>4000</v>
      </c>
      <c r="Z108" s="42">
        <f t="shared" si="3"/>
        <v>4000</v>
      </c>
      <c r="AA108" s="2" t="b">
        <f>D108='2020'!C936</f>
        <v>1</v>
      </c>
      <c r="AB108" s="2" t="b">
        <f>X108='2020'!BC935</f>
        <v>1</v>
      </c>
      <c r="AC108" s="34">
        <f>'2020'!AQ940</f>
        <v>500</v>
      </c>
      <c r="AD108" s="34">
        <f>'2020'!AQ941</f>
        <v>2235</v>
      </c>
    </row>
    <row r="109" ht="15.75" customHeight="1" spans="1:30" x14ac:dyDescent="0.25">
      <c r="A109" s="14"/>
      <c r="B109" s="115">
        <v>102</v>
      </c>
      <c r="C109" s="115">
        <v>4.45</v>
      </c>
      <c r="D109" s="117" t="s">
        <v>331</v>
      </c>
      <c r="E109" s="106">
        <f>'2020'!BH944</f>
        <v>85.55</v>
      </c>
      <c r="F109" s="106">
        <f>'2020'!BH945</f>
        <v>203.6</v>
      </c>
      <c r="G109" s="106">
        <f>'2020'!BH946</f>
        <v>-250.81</v>
      </c>
      <c r="H109" s="106">
        <f>'2020'!BH947</f>
        <v>0</v>
      </c>
      <c r="I109" s="106">
        <f>'2020'!BH948</f>
        <v>0</v>
      </c>
      <c r="J109" s="106">
        <f>'2020'!BH949</f>
        <v>500</v>
      </c>
      <c r="K109" s="106">
        <f>'2020'!BH950</f>
        <v>2225</v>
      </c>
      <c r="L109" s="106">
        <f>'2020'!BH951</f>
        <v>0</v>
      </c>
      <c r="M109" s="106">
        <f t="shared" si="0"/>
        <v>2763.34</v>
      </c>
      <c r="N109" s="106">
        <v>0</v>
      </c>
      <c r="O109" s="37"/>
      <c r="P109" s="15"/>
      <c r="Q109" s="34"/>
      <c r="R109" s="34"/>
      <c r="T109" s="15"/>
      <c r="U109" s="15"/>
      <c r="V109" s="15"/>
      <c r="W109" s="15"/>
      <c r="X109" s="285">
        <f t="shared" si="1"/>
        <v>0</v>
      </c>
      <c r="Y109" s="281">
        <f t="shared" si="2"/>
        <v>0</v>
      </c>
      <c r="Z109" s="42">
        <f t="shared" si="3"/>
        <v>0</v>
      </c>
      <c r="AA109" s="2" t="b">
        <f>D109='2020'!C945</f>
        <v>1</v>
      </c>
      <c r="AB109" s="2" t="b">
        <f>X109='2020'!BC944</f>
        <v>1</v>
      </c>
      <c r="AC109" s="34">
        <f>'2020'!AQ949</f>
        <v>500</v>
      </c>
      <c r="AD109" s="34">
        <f>'2020'!AQ950</f>
        <v>2225</v>
      </c>
    </row>
    <row r="110" ht="15.75" customHeight="1" spans="1:30" x14ac:dyDescent="0.25">
      <c r="A110" s="14"/>
      <c r="B110" s="115">
        <v>104</v>
      </c>
      <c r="C110" s="115">
        <v>4.42</v>
      </c>
      <c r="D110" s="117" t="s">
        <v>333</v>
      </c>
      <c r="E110" s="106">
        <f>'2020'!BH953</f>
        <v>0</v>
      </c>
      <c r="F110" s="106">
        <f>'2020'!BH954</f>
        <v>-4.04</v>
      </c>
      <c r="G110" s="106">
        <f>'2020'!BH955</f>
        <v>0</v>
      </c>
      <c r="H110" s="106">
        <f>'2020'!BH956</f>
        <v>0</v>
      </c>
      <c r="I110" s="106">
        <f>'2020'!BH957</f>
        <v>0</v>
      </c>
      <c r="J110" s="106">
        <f>'2020'!BH958</f>
        <v>0</v>
      </c>
      <c r="K110" s="106">
        <f>'2020'!BH959</f>
        <v>0</v>
      </c>
      <c r="L110" s="106">
        <f>'2020'!BH960</f>
        <v>0</v>
      </c>
      <c r="M110" s="106">
        <f t="shared" si="0"/>
        <v>-4.04</v>
      </c>
      <c r="N110" s="106">
        <v>-2710</v>
      </c>
      <c r="O110" s="37"/>
      <c r="X110" s="285">
        <f t="shared" si="1"/>
        <v>0</v>
      </c>
      <c r="Y110" s="281">
        <f t="shared" si="2"/>
        <v>-2710</v>
      </c>
      <c r="Z110" s="42">
        <f t="shared" si="3"/>
        <v>-2710</v>
      </c>
      <c r="AA110" s="2" t="b">
        <f>D110='2020'!C954</f>
        <v>1</v>
      </c>
      <c r="AB110" s="2" t="b">
        <f>X110='2020'!BC953</f>
        <v>1</v>
      </c>
      <c r="AC110" s="34">
        <f>'2020'!AQ958</f>
        <v>500</v>
      </c>
      <c r="AD110" s="34">
        <f>'2020'!AQ959</f>
        <v>2210</v>
      </c>
    </row>
    <row r="111" ht="15.75" customHeight="1" spans="1:30" x14ac:dyDescent="0.25">
      <c r="A111" s="14"/>
      <c r="B111" s="115">
        <v>106</v>
      </c>
      <c r="C111" s="115">
        <v>4.57</v>
      </c>
      <c r="D111" s="117" t="s">
        <v>336</v>
      </c>
      <c r="E111" s="106">
        <f>'2020'!BH962</f>
        <v>0</v>
      </c>
      <c r="F111" s="106">
        <f>'2020'!BH963</f>
        <v>0</v>
      </c>
      <c r="G111" s="106">
        <f>'2020'!BH964</f>
        <v>227.22</v>
      </c>
      <c r="H111" s="106">
        <f>'2020'!BH965</f>
        <v>16</v>
      </c>
      <c r="I111" s="106">
        <f>'2020'!BH966</f>
        <v>-16</v>
      </c>
      <c r="J111" s="106">
        <f>'2020'!BH967</f>
        <v>500</v>
      </c>
      <c r="K111" s="106">
        <f>'2020'!BH968</f>
        <v>2285</v>
      </c>
      <c r="L111" s="106">
        <f>'2020'!BH969</f>
        <v>0</v>
      </c>
      <c r="M111" s="106">
        <f t="shared" si="0"/>
        <v>3012.22</v>
      </c>
      <c r="N111" s="106">
        <v>-15.9999999999982</v>
      </c>
      <c r="O111" s="37"/>
      <c r="X111" s="285">
        <f t="shared" si="1"/>
        <v>0</v>
      </c>
      <c r="Y111" s="281">
        <f t="shared" si="2"/>
        <v>-16</v>
      </c>
      <c r="Z111" s="42">
        <f t="shared" si="3"/>
        <v>-16</v>
      </c>
      <c r="AA111" s="2" t="b">
        <f>D111='2020'!C963</f>
        <v>1</v>
      </c>
      <c r="AB111" s="2" t="b">
        <f>X111='2020'!BC962</f>
        <v>1</v>
      </c>
      <c r="AC111" s="34">
        <f>'2020'!AQ967</f>
        <v>500</v>
      </c>
      <c r="AD111" s="34">
        <f>'2020'!AQ968</f>
        <v>2285</v>
      </c>
    </row>
    <row r="112" ht="15.75" customHeight="1" spans="1:30" x14ac:dyDescent="0.25">
      <c r="A112" s="14"/>
      <c r="B112" s="115">
        <v>108</v>
      </c>
      <c r="C112" s="115">
        <v>4.32</v>
      </c>
      <c r="D112" s="117" t="s">
        <v>511</v>
      </c>
      <c r="E112" s="106">
        <f>'2020'!BH971</f>
        <v>1787.91</v>
      </c>
      <c r="F112" s="106">
        <f>'2020'!BH972</f>
        <v>0</v>
      </c>
      <c r="G112" s="106">
        <f>'2020'!BH973</f>
        <v>0</v>
      </c>
      <c r="H112" s="106">
        <f>'2020'!BH974</f>
        <v>0</v>
      </c>
      <c r="I112" s="106">
        <f>'2020'!BH975</f>
        <v>14131.64</v>
      </c>
      <c r="J112" s="106">
        <f>'2020'!BH976</f>
        <v>10268</v>
      </c>
      <c r="K112" s="106">
        <f>'2020'!BH977</f>
        <v>2160</v>
      </c>
      <c r="L112" s="106">
        <f>'2020'!BH978</f>
        <v>1650</v>
      </c>
      <c r="M112" s="106">
        <f t="shared" si="0"/>
        <v>29997.55</v>
      </c>
      <c r="N112" s="106">
        <v>23899.64</v>
      </c>
      <c r="O112" s="37">
        <f t="shared" ref="O112:O114" si="7">IF(P112&gt;0,P112-1,$O$1)</f>
        <v>31</v>
      </c>
      <c r="P112" s="15"/>
      <c r="Q112" s="15"/>
      <c r="R112" s="15"/>
      <c r="S112" s="15"/>
      <c r="T112" s="15"/>
      <c r="U112" s="15"/>
      <c r="V112" s="15"/>
      <c r="W112" s="15"/>
      <c r="X112" s="284">
        <f t="shared" si="1"/>
        <v>74.09</v>
      </c>
      <c r="Y112" s="281">
        <f t="shared" si="2"/>
        <v>23899.64</v>
      </c>
      <c r="Z112" s="42">
        <f t="shared" si="3"/>
        <v>23899.64</v>
      </c>
      <c r="AA112" s="2" t="b">
        <f>D112='2020'!C972</f>
        <v>1</v>
      </c>
      <c r="AB112" s="2" t="b">
        <f>X112='2020'!BC971</f>
        <v>1</v>
      </c>
      <c r="AC112" s="34">
        <f>'2020'!AQ976</f>
        <v>500</v>
      </c>
      <c r="AD112" s="34">
        <f>'2020'!AQ977</f>
        <v>2160</v>
      </c>
    </row>
    <row r="113" ht="15.75" customHeight="1" spans="1:30" x14ac:dyDescent="0.25">
      <c r="A113" s="14"/>
      <c r="B113" s="115">
        <v>109</v>
      </c>
      <c r="C113" s="115">
        <v>6.22</v>
      </c>
      <c r="D113" s="2" t="s">
        <v>455</v>
      </c>
      <c r="E113" s="106">
        <f>'2020'!BH980</f>
        <v>131.22</v>
      </c>
      <c r="F113" s="106">
        <f>'2020'!BH981</f>
        <v>15.2</v>
      </c>
      <c r="G113" s="106">
        <f>'2020'!BH982</f>
        <v>76.94</v>
      </c>
      <c r="H113" s="106">
        <f>'2020'!BH983</f>
        <v>0</v>
      </c>
      <c r="I113" s="106">
        <f>'2020'!BH984</f>
        <v>6842</v>
      </c>
      <c r="J113" s="106">
        <f>'2020'!BH985</f>
        <v>500</v>
      </c>
      <c r="K113" s="106">
        <f>'2020'!BH986</f>
        <v>3110</v>
      </c>
      <c r="L113" s="106">
        <f>'2020'!BH987</f>
        <v>500</v>
      </c>
      <c r="M113" s="106">
        <f t="shared" si="0"/>
        <v>11175.36</v>
      </c>
      <c r="N113" s="106">
        <v>6842</v>
      </c>
      <c r="O113" s="37">
        <f t="shared" si="7"/>
        <v>31</v>
      </c>
      <c r="P113" s="15"/>
      <c r="Q113" s="34"/>
      <c r="R113" s="15"/>
      <c r="S113" s="15"/>
      <c r="T113" s="15"/>
      <c r="U113" s="15"/>
      <c r="V113" s="15"/>
      <c r="W113" s="15"/>
      <c r="X113" s="284">
        <f t="shared" si="1"/>
        <v>21.21</v>
      </c>
      <c r="Y113" s="281">
        <f t="shared" si="2"/>
        <v>6842</v>
      </c>
      <c r="Z113" s="42">
        <f t="shared" si="3"/>
        <v>6842</v>
      </c>
      <c r="AA113" s="2" t="b">
        <f>D113='2020'!C981</f>
        <v>1</v>
      </c>
      <c r="AB113" s="2" t="b">
        <f>X113='2020'!BC980</f>
        <v>1</v>
      </c>
      <c r="AC113" s="34">
        <f>'2020'!AQ985</f>
        <v>500</v>
      </c>
      <c r="AD113" s="34">
        <f>'2020'!AQ986</f>
        <v>3110</v>
      </c>
    </row>
    <row r="114" ht="15.75" customHeight="1" spans="1:30" x14ac:dyDescent="0.25">
      <c r="A114" s="14"/>
      <c r="B114" s="115">
        <v>110</v>
      </c>
      <c r="C114" s="115">
        <v>4.91</v>
      </c>
      <c r="D114" s="117" t="s">
        <v>342</v>
      </c>
      <c r="E114" s="106">
        <f>'2020'!BH989</f>
        <v>141.72</v>
      </c>
      <c r="F114" s="106">
        <f>'2020'!BH990</f>
        <v>101.1</v>
      </c>
      <c r="G114" s="106">
        <f>'2020'!BH991</f>
        <v>38.02</v>
      </c>
      <c r="H114" s="106">
        <f>'2020'!BH992</f>
        <v>0</v>
      </c>
      <c r="I114" s="106">
        <f>'2020'!BH993</f>
        <v>5401</v>
      </c>
      <c r="J114" s="106">
        <f>'2020'!BH994</f>
        <v>500</v>
      </c>
      <c r="K114" s="106">
        <f>'2020'!BH995</f>
        <v>2455</v>
      </c>
      <c r="L114" s="106">
        <f>'2020'!BH996</f>
        <v>500</v>
      </c>
      <c r="M114" s="106">
        <f t="shared" si="0"/>
        <v>9136.84</v>
      </c>
      <c r="N114" s="106">
        <v>5401</v>
      </c>
      <c r="O114" s="37">
        <f t="shared" si="7"/>
        <v>31</v>
      </c>
      <c r="P114" s="15"/>
      <c r="Q114" s="34"/>
      <c r="R114" s="34"/>
      <c r="S114" s="37"/>
      <c r="T114" s="15"/>
      <c r="U114" s="15"/>
      <c r="V114" s="15"/>
      <c r="W114" s="15"/>
      <c r="X114" s="284">
        <f t="shared" si="1"/>
        <v>16.74</v>
      </c>
      <c r="Y114" s="281">
        <f t="shared" si="2"/>
        <v>5401</v>
      </c>
      <c r="Z114" s="42">
        <f t="shared" si="3"/>
        <v>5401</v>
      </c>
      <c r="AA114" s="2" t="b">
        <f>D114='2020'!C990</f>
        <v>1</v>
      </c>
      <c r="AB114" s="2" t="b">
        <f>X114='2020'!BC989</f>
        <v>1</v>
      </c>
      <c r="AC114" s="34">
        <f>'2020'!AQ994</f>
        <v>500</v>
      </c>
      <c r="AD114" s="34">
        <f>'2020'!AQ995</f>
        <v>2455</v>
      </c>
    </row>
    <row r="115" ht="15.75" customHeight="1" spans="1:30" x14ac:dyDescent="0.25">
      <c r="A115" s="14"/>
      <c r="B115" s="115">
        <v>111</v>
      </c>
      <c r="C115" s="116">
        <v>6.8</v>
      </c>
      <c r="D115" s="2" t="s">
        <v>513</v>
      </c>
      <c r="E115" s="106">
        <f>'2020'!BH998</f>
        <v>0.1</v>
      </c>
      <c r="F115" s="106">
        <f>'2020'!BH999</f>
        <v>7746.4</v>
      </c>
      <c r="G115" s="106">
        <f>'2020'!BH1000</f>
        <v>-6.84</v>
      </c>
      <c r="H115" s="106">
        <f>'2020'!BH1001</f>
        <v>0</v>
      </c>
      <c r="I115" s="106">
        <f>'2020'!BH1002</f>
        <v>0</v>
      </c>
      <c r="J115" s="106">
        <f>'2020'!BH1003</f>
        <v>0</v>
      </c>
      <c r="K115" s="106">
        <f>'2020'!BH1004</f>
        <v>0</v>
      </c>
      <c r="L115" s="106">
        <f>'2020'!BH1005</f>
        <v>0</v>
      </c>
      <c r="M115" s="106">
        <f t="shared" si="0"/>
        <v>7739.66</v>
      </c>
      <c r="N115" s="106">
        <v>-3900</v>
      </c>
      <c r="O115" s="37"/>
      <c r="P115" s="15"/>
      <c r="Q115" s="34"/>
      <c r="R115" s="34"/>
      <c r="S115" s="37"/>
      <c r="T115" s="15"/>
      <c r="U115" s="15"/>
      <c r="V115" s="15"/>
      <c r="W115" s="15"/>
      <c r="X115" s="285">
        <f t="shared" si="1"/>
        <v>0</v>
      </c>
      <c r="Y115" s="281">
        <f t="shared" si="2"/>
        <v>-3900</v>
      </c>
      <c r="Z115" s="42">
        <f t="shared" si="3"/>
        <v>-3900</v>
      </c>
      <c r="AA115" s="2" t="b">
        <f>D115='2020'!C999</f>
        <v>1</v>
      </c>
      <c r="AB115" s="2" t="b">
        <f>X115='2020'!BC998</f>
        <v>1</v>
      </c>
      <c r="AC115" s="34">
        <f>'2020'!AQ1003</f>
        <v>500</v>
      </c>
      <c r="AD115" s="34">
        <f>'2020'!AQ1004</f>
        <v>3400</v>
      </c>
    </row>
    <row r="116" ht="15.75" customHeight="1" spans="1:30" x14ac:dyDescent="0.25">
      <c r="A116" s="14"/>
      <c r="B116" s="115">
        <v>112</v>
      </c>
      <c r="C116" s="115">
        <v>4.94</v>
      </c>
      <c r="D116" s="117" t="s">
        <v>347</v>
      </c>
      <c r="E116" s="106">
        <f>'2020'!BH1007</f>
        <v>28.25</v>
      </c>
      <c r="F116" s="106">
        <f>'2020'!BH1008</f>
        <v>-0.49</v>
      </c>
      <c r="G116" s="106">
        <f>'2020'!BH1009</f>
        <v>3.09</v>
      </c>
      <c r="H116" s="106">
        <f>'2020'!BH1010</f>
        <v>0</v>
      </c>
      <c r="I116" s="106">
        <f>'2020'!BH1011</f>
        <v>0</v>
      </c>
      <c r="J116" s="106">
        <f>'2020'!BH1012</f>
        <v>0</v>
      </c>
      <c r="K116" s="106">
        <f>'2020'!BH1013</f>
        <v>0</v>
      </c>
      <c r="L116" s="106">
        <f>'2020'!BH1014</f>
        <v>0</v>
      </c>
      <c r="M116" s="106">
        <f t="shared" si="0"/>
        <v>30.85</v>
      </c>
      <c r="N116" s="106">
        <v>-2970</v>
      </c>
      <c r="O116" s="37"/>
      <c r="Q116" s="34"/>
      <c r="R116" s="34"/>
      <c r="X116" s="285">
        <f t="shared" si="1"/>
        <v>0</v>
      </c>
      <c r="Y116" s="281">
        <f t="shared" si="2"/>
        <v>-2970</v>
      </c>
      <c r="Z116" s="42">
        <f t="shared" si="3"/>
        <v>-2970</v>
      </c>
      <c r="AA116" s="2" t="b">
        <f>D116='2020'!C1008</f>
        <v>1</v>
      </c>
      <c r="AB116" s="2" t="b">
        <f>X116='2020'!BC1007</f>
        <v>1</v>
      </c>
      <c r="AC116" s="34">
        <f>'2020'!AQ1012</f>
        <v>500</v>
      </c>
      <c r="AD116" s="34">
        <f>'2020'!AQ1013</f>
        <v>2470</v>
      </c>
    </row>
    <row r="117" ht="15.75" customHeight="1" spans="1:30" x14ac:dyDescent="0.25">
      <c r="A117" s="14"/>
      <c r="B117" s="115">
        <v>113</v>
      </c>
      <c r="C117" s="115">
        <v>4.98</v>
      </c>
      <c r="D117" s="117" t="s">
        <v>348</v>
      </c>
      <c r="E117" s="106">
        <f>'2020'!BH1016</f>
        <v>665.55</v>
      </c>
      <c r="F117" s="106">
        <f>'2020'!BH1017</f>
        <v>0</v>
      </c>
      <c r="G117" s="106">
        <f>'2020'!BH1018</f>
        <v>0</v>
      </c>
      <c r="H117" s="106">
        <f>'2020'!BH1019</f>
        <v>0</v>
      </c>
      <c r="I117" s="106">
        <f>'2020'!BH1020</f>
        <v>16747.14</v>
      </c>
      <c r="J117" s="106">
        <f>'2020'!BH1021</f>
        <v>1500</v>
      </c>
      <c r="K117" s="106">
        <f>'2020'!BH1022</f>
        <v>2490</v>
      </c>
      <c r="L117" s="106">
        <f>'2020'!BH1023</f>
        <v>1350</v>
      </c>
      <c r="M117" s="106">
        <f t="shared" si="0"/>
        <v>22752.69</v>
      </c>
      <c r="N117" s="106">
        <v>17747.14</v>
      </c>
      <c r="O117" s="37">
        <f>IF(P117&gt;0,P117-1,$O$1)</f>
        <v>31</v>
      </c>
      <c r="P117" s="15"/>
      <c r="Q117" s="15"/>
      <c r="R117" s="15"/>
      <c r="S117" s="15"/>
      <c r="T117" s="15"/>
      <c r="U117" s="15"/>
      <c r="V117" s="15"/>
      <c r="W117" s="15"/>
      <c r="X117" s="285">
        <f t="shared" si="1"/>
        <v>55.02</v>
      </c>
      <c r="Y117" s="281">
        <f t="shared" si="2"/>
        <v>17747.14</v>
      </c>
      <c r="Z117" s="42">
        <f t="shared" si="3"/>
        <v>17747.14</v>
      </c>
      <c r="AA117" s="2" t="b">
        <f>D117='2020'!C1017</f>
        <v>1</v>
      </c>
      <c r="AB117" s="2" t="b">
        <f>X117='2020'!BC1016</f>
        <v>1</v>
      </c>
      <c r="AC117" s="34">
        <f>'2020'!AQ1021</f>
        <v>500</v>
      </c>
      <c r="AD117" s="34">
        <f>'2020'!AQ1022</f>
        <v>2490</v>
      </c>
    </row>
    <row r="118" ht="15.75" customHeight="1" spans="1:30" x14ac:dyDescent="0.25">
      <c r="A118" s="14"/>
      <c r="B118" s="118">
        <v>114</v>
      </c>
      <c r="C118" s="115">
        <v>4.86</v>
      </c>
      <c r="D118" s="2" t="s">
        <v>515</v>
      </c>
      <c r="E118" s="106">
        <f>'2020'!BH1025</f>
        <v>10.48</v>
      </c>
      <c r="F118" s="106">
        <f>'2020'!BH1026</f>
        <v>-389.3</v>
      </c>
      <c r="G118" s="106">
        <f>'2020'!BH1027</f>
        <v>-97.98</v>
      </c>
      <c r="H118" s="106">
        <f>'2020'!BH1028</f>
        <v>0</v>
      </c>
      <c r="I118" s="106">
        <f>'2020'!BH1029</f>
        <v>-154</v>
      </c>
      <c r="J118" s="106">
        <f>'2020'!BH1030</f>
        <v>500</v>
      </c>
      <c r="K118" s="106">
        <f>'2020'!BH1031</f>
        <v>130</v>
      </c>
      <c r="L118" s="106">
        <f>'2020'!BH1032</f>
        <v>0</v>
      </c>
      <c r="M118" s="106">
        <f t="shared" si="0"/>
        <v>-0.8</v>
      </c>
      <c r="N118" s="106">
        <v>-2454</v>
      </c>
      <c r="O118" s="287"/>
      <c r="P118" s="15"/>
      <c r="Q118" s="34"/>
      <c r="R118" s="34"/>
      <c r="T118" s="15"/>
      <c r="U118" s="34"/>
      <c r="V118" s="34"/>
      <c r="W118" s="37"/>
      <c r="X118" s="285">
        <f t="shared" si="1"/>
        <v>0</v>
      </c>
      <c r="Y118" s="281">
        <f t="shared" si="2"/>
        <v>-2454</v>
      </c>
      <c r="Z118" s="42">
        <f t="shared" si="3"/>
        <v>-2454</v>
      </c>
      <c r="AA118" s="2" t="b">
        <f>D118='2020'!C1026</f>
        <v>1</v>
      </c>
      <c r="AB118" s="2" t="b">
        <f>X118='2020'!BC1025</f>
        <v>1</v>
      </c>
      <c r="AC118" s="34">
        <f>'2020'!AQ1030</f>
        <v>500</v>
      </c>
      <c r="AD118" s="34">
        <f>'2020'!AQ1031</f>
        <v>2430</v>
      </c>
    </row>
    <row r="119" ht="15.75" customHeight="1" spans="1:30" x14ac:dyDescent="0.25">
      <c r="A119" s="117"/>
      <c r="B119" s="115" t="s">
        <v>350</v>
      </c>
      <c r="C119" s="116">
        <f>SUM(C5:C118)</f>
        <v>505.74</v>
      </c>
      <c r="D119" s="117"/>
      <c r="E119" s="106">
        <f t="shared" ref="E119:N119" si="8">SUM(E5:E118)</f>
        <v>13160.66</v>
      </c>
      <c r="F119" s="106">
        <f t="shared" si="8"/>
        <v>24980.26</v>
      </c>
      <c r="G119" s="106">
        <f t="shared" si="8"/>
        <v>-1015.36</v>
      </c>
      <c r="H119" s="106">
        <f t="shared" si="8"/>
        <v>1219</v>
      </c>
      <c r="I119" s="106">
        <f t="shared" si="8"/>
        <v>166609.11</v>
      </c>
      <c r="J119" s="106">
        <f t="shared" si="8"/>
        <v>82963.44</v>
      </c>
      <c r="K119" s="106">
        <f t="shared" si="8"/>
        <v>205995.86</v>
      </c>
      <c r="L119" s="106">
        <f t="shared" si="8"/>
        <v>17700</v>
      </c>
      <c r="M119" s="288">
        <f t="shared" si="8"/>
        <v>511612.97</v>
      </c>
      <c r="N119" s="106">
        <f t="shared" si="8"/>
        <v>162545.35</v>
      </c>
      <c r="O119" s="106"/>
      <c r="P119" s="117"/>
      <c r="Q119" s="289">
        <f>SUM(Q5:Q118)</f>
        <v>7030</v>
      </c>
      <c r="R119" s="117"/>
      <c r="S119" s="117"/>
      <c r="T119" s="117"/>
      <c r="U119" s="106">
        <f>SUM(U5:U118)</f>
        <v>0</v>
      </c>
      <c r="V119" s="117"/>
      <c r="W119" s="117"/>
      <c r="X119" s="290">
        <f t="shared" ref="X119:Z119" si="9">SUM(X5:X118)</f>
        <v>630.34</v>
      </c>
      <c r="Y119" s="291">
        <f t="shared" si="9"/>
        <v>155515.35</v>
      </c>
      <c r="Z119" s="106">
        <f t="shared" si="9"/>
        <v>148288.41</v>
      </c>
      <c r="AB119" s="292" t="b">
        <f>X119='2020'!BC1036</f>
        <v>1</v>
      </c>
      <c r="AC119" s="291">
        <f t="shared" ref="AC119:AD119" si="10">SUM(AC5:AC118)</f>
        <v>56500</v>
      </c>
      <c r="AD119" s="291">
        <f t="shared" si="10"/>
        <v>250780</v>
      </c>
    </row>
    <row r="120" ht="15.75" customHeight="1" spans="1:17" x14ac:dyDescent="0.25">
      <c r="A120" s="15"/>
      <c r="B120" s="112"/>
      <c r="C120" s="112"/>
      <c r="Q120" s="34"/>
    </row>
    <row r="121" ht="15.75" customHeight="1" spans="1:30" x14ac:dyDescent="0.25" outlineLevel="1" collapsed="1">
      <c r="A121" s="15"/>
      <c r="B121" s="112"/>
      <c r="C121" s="112"/>
      <c r="E121" s="120" t="b">
        <f>E119='2020'!BH1036</f>
        <v>1</v>
      </c>
      <c r="F121" s="120" t="b">
        <f>F119='2020'!BH1037</f>
        <v>1</v>
      </c>
      <c r="G121" s="120" t="b">
        <f>G119='2020'!BH1038</f>
        <v>1</v>
      </c>
      <c r="H121" s="120" t="b">
        <f>H119='2020'!BH1039</f>
        <v>1</v>
      </c>
      <c r="I121" s="120" t="b">
        <f>I119='2020'!BH1040</f>
        <v>1</v>
      </c>
      <c r="J121" s="120" t="b">
        <f>J119='2020'!BH1041</f>
        <v>1</v>
      </c>
      <c r="K121" s="120" t="b">
        <f>K119='2020'!BH1042</f>
        <v>1</v>
      </c>
      <c r="L121" s="120" t="b">
        <f>L119='2020'!BH1043</f>
        <v>1</v>
      </c>
      <c r="M121" s="293" t="b">
        <f>M119='2020'!BH1035</f>
        <v>1</v>
      </c>
      <c r="N121" s="112"/>
      <c r="Y121" s="34" t="b">
        <f>Y119=N119-Q119-U119</f>
        <v>1</v>
      </c>
      <c r="Z121" s="2" t="b">
        <f>Z119=('2020'!BH1040+'2020'!BH1041+'2020'!BH1042)-AC119-AD119</f>
        <v>1</v>
      </c>
      <c r="AC121" s="34" t="b">
        <f>AC119='2020'!AQ1041</f>
        <v>1</v>
      </c>
      <c r="AD121" s="34" t="b">
        <f>AD119='2020'!AQ1042</f>
        <v>1</v>
      </c>
    </row>
    <row r="122" ht="15.75" customHeight="1" spans="1:25" x14ac:dyDescent="0.25">
      <c r="A122" s="15"/>
      <c r="B122" s="112"/>
      <c r="C122" s="112"/>
      <c r="Y122" s="154"/>
    </row>
    <row r="123" ht="15.75" customHeight="1" spans="1:14" x14ac:dyDescent="0.25">
      <c r="A123" s="15"/>
      <c r="B123" s="112"/>
      <c r="C123" s="112"/>
      <c r="N123" s="34"/>
    </row>
    <row r="124" ht="15.75" customHeight="1" spans="1:3" x14ac:dyDescent="0.25">
      <c r="A124" s="15"/>
      <c r="B124" s="112"/>
      <c r="C124" s="112"/>
    </row>
    <row r="125" ht="15.75" customHeight="1" spans="1:14" x14ac:dyDescent="0.25">
      <c r="A125" s="15"/>
      <c r="B125" s="112"/>
      <c r="C125" s="112"/>
      <c r="N125" s="34"/>
    </row>
    <row r="126" ht="15.75" customHeight="1" spans="1:14" x14ac:dyDescent="0.25">
      <c r="A126" s="15"/>
      <c r="B126" s="112"/>
      <c r="C126" s="112"/>
      <c r="N126" s="34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spans="1:3" x14ac:dyDescent="0.25">
      <c r="A316" s="15"/>
      <c r="B316" s="112"/>
      <c r="C316" s="112"/>
    </row>
    <row r="317" ht="15.75" customHeight="1" spans="1:3" x14ac:dyDescent="0.25">
      <c r="A317" s="15"/>
      <c r="B317" s="112"/>
      <c r="C317" s="112"/>
    </row>
    <row r="318" ht="15.75" customHeight="1" spans="1:3" x14ac:dyDescent="0.25">
      <c r="A318" s="15"/>
      <c r="B318" s="112"/>
      <c r="C318" s="112"/>
    </row>
    <row r="319" ht="15.75" customHeight="1" spans="1:3" x14ac:dyDescent="0.25">
      <c r="A319" s="15"/>
      <c r="B319" s="112"/>
      <c r="C319" s="112"/>
    </row>
    <row r="320" ht="15.75" customHeight="1" spans="1:3" x14ac:dyDescent="0.25">
      <c r="A320" s="15"/>
      <c r="B320" s="112"/>
      <c r="C320" s="112"/>
    </row>
    <row r="321" ht="15.75" customHeight="1" spans="1:3" x14ac:dyDescent="0.25">
      <c r="A321" s="15"/>
      <c r="B321" s="112"/>
      <c r="C321" s="112"/>
    </row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A$4:$AB$119"/>
  <mergeCells count="3">
    <mergeCell ref="P3:S3"/>
    <mergeCell ref="T3:W3"/>
    <mergeCell ref="AC3:AD3"/>
  </mergeCells>
  <pageMargins left="0.39375" right="0" top="0.196527777777778" bottom="0.196527777777778" header="0" footer="0"/>
  <pageSetup paperSize="9" orientation="portrait" horizontalDpi="4294967295" verticalDpi="4294967295" scale="100" fitToWidth="1" fitToHeight="0" firstPageNumber="1" useFirstPageNumber="1" copies="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</sheetPr>
  <dimension ref="A1:AF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14" customWidth="1"/>
    <col min="2" max="2" width="7.14" customWidth="1"/>
    <col min="3" max="3" width="6.43" outlineLevel="1" collapsed="1" customWidth="1"/>
    <col min="4" max="4" width="13.86" outlineLevel="1" collapsed="1" customWidth="1"/>
    <col min="5" max="6" width="7.14" customWidth="1"/>
    <col min="7" max="7" width="7.14" outlineLevel="1" collapsed="1" customWidth="1"/>
    <col min="8" max="8" width="7.14" customWidth="1"/>
    <col min="9" max="9" width="7.14" outlineLevel="1" collapsed="1" customWidth="1"/>
    <col min="10" max="10" width="7.14" customWidth="1"/>
    <col min="11" max="11" width="7.14" outlineLevel="1" collapsed="1" customWidth="1"/>
    <col min="12" max="12" width="7.14" customWidth="1"/>
    <col min="13" max="13" width="7.14" outlineLevel="1" collapsed="1" customWidth="1"/>
    <col min="14" max="14" width="7.14" customWidth="1"/>
    <col min="15" max="15" width="7.14" outlineLevel="1" collapsed="1" customWidth="1"/>
    <col min="16" max="16" width="7.14" customWidth="1"/>
    <col min="17" max="17" width="7.14" outlineLevel="1" collapsed="1" customWidth="1"/>
    <col min="18" max="18" width="7.14" customWidth="1"/>
    <col min="19" max="19" width="7.14" outlineLevel="1" collapsed="1" customWidth="1"/>
    <col min="20" max="20" width="7.14" customWidth="1"/>
    <col min="21" max="21" width="7.14" outlineLevel="1" collapsed="1" customWidth="1"/>
    <col min="22" max="22" width="7.14" customWidth="1"/>
    <col min="23" max="23" width="7.14" outlineLevel="1" collapsed="1" customWidth="1"/>
    <col min="24" max="24" width="7.14" customWidth="1"/>
    <col min="25" max="25" width="7.14" outlineLevel="1" collapsed="1" customWidth="1"/>
    <col min="26" max="26" width="7.14" customWidth="1"/>
    <col min="27" max="27" width="8.43" outlineLevel="1" collapsed="1" customWidth="1"/>
    <col min="28" max="28" width="7.14" outlineLevel="1" collapsed="1" customWidth="1"/>
    <col min="29" max="29" width="7.14" customWidth="1"/>
    <col min="30" max="30" width="7.14" outlineLevel="1" collapsed="1" customWidth="1"/>
    <col min="31" max="31" width="7.43" customWidth="1"/>
    <col min="32" max="32" width="8.86" outlineLevel="1" collapsed="1" customWidth="1"/>
  </cols>
  <sheetData>
    <row r="1" spans="1:16" x14ac:dyDescent="0.25">
      <c r="A1" s="1" t="s">
        <v>365</v>
      </c>
      <c r="B1" s="112"/>
      <c r="C1" s="112"/>
      <c r="E1" s="2" t="str">
        <f>'2020'!F1</f>
        <v>на 01 января 2021 года</v>
      </c>
      <c r="F1" s="1"/>
      <c r="G1" s="1"/>
      <c r="H1" s="1"/>
      <c r="I1" s="1"/>
      <c r="J1" s="1"/>
      <c r="L1" s="1"/>
      <c r="M1" s="1"/>
      <c r="N1" s="1"/>
      <c r="O1" s="1"/>
      <c r="P1" s="1"/>
    </row>
    <row r="2" spans="1:3" x14ac:dyDescent="0.25">
      <c r="A2" s="15" t="s">
        <v>366</v>
      </c>
      <c r="B2" s="112"/>
      <c r="C2" s="112"/>
    </row>
    <row r="3" spans="1:32" x14ac:dyDescent="0.25">
      <c r="A3" s="4"/>
      <c r="B3" s="17" t="s">
        <v>2</v>
      </c>
      <c r="C3" s="17" t="s">
        <v>354</v>
      </c>
      <c r="D3" s="16" t="s">
        <v>355</v>
      </c>
      <c r="E3" s="11" t="s">
        <v>9</v>
      </c>
      <c r="F3" s="12"/>
      <c r="G3" s="11" t="s">
        <v>10</v>
      </c>
      <c r="H3" s="12"/>
      <c r="I3" s="11" t="s">
        <v>11</v>
      </c>
      <c r="J3" s="12"/>
      <c r="K3" s="11" t="s">
        <v>12</v>
      </c>
      <c r="L3" s="12"/>
      <c r="M3" s="11" t="s">
        <v>13</v>
      </c>
      <c r="N3" s="12"/>
      <c r="O3" s="11" t="s">
        <v>14</v>
      </c>
      <c r="P3" s="12"/>
      <c r="Q3" s="11" t="s">
        <v>15</v>
      </c>
      <c r="R3" s="12"/>
      <c r="S3" s="11" t="s">
        <v>16</v>
      </c>
      <c r="T3" s="12"/>
      <c r="U3" s="11" t="s">
        <v>17</v>
      </c>
      <c r="V3" s="12"/>
      <c r="W3" s="11" t="s">
        <v>18</v>
      </c>
      <c r="X3" s="12"/>
      <c r="Y3" s="6" t="s">
        <v>19</v>
      </c>
      <c r="Z3" s="9"/>
      <c r="AA3" s="7"/>
      <c r="AB3" s="6" t="s">
        <v>20</v>
      </c>
      <c r="AC3" s="9"/>
      <c r="AD3" s="7"/>
      <c r="AE3" s="17" t="s">
        <v>367</v>
      </c>
      <c r="AF3" s="17" t="s">
        <v>368</v>
      </c>
    </row>
    <row r="4" spans="1:32" x14ac:dyDescent="0.25">
      <c r="A4" s="21"/>
      <c r="B4" s="24" t="s">
        <v>23</v>
      </c>
      <c r="C4" s="24"/>
      <c r="D4" s="23"/>
      <c r="E4" s="4" t="s">
        <v>30</v>
      </c>
      <c r="F4" s="4" t="s">
        <v>3</v>
      </c>
      <c r="G4" s="4" t="s">
        <v>30</v>
      </c>
      <c r="H4" s="4" t="s">
        <v>3</v>
      </c>
      <c r="I4" s="4" t="s">
        <v>30</v>
      </c>
      <c r="J4" s="4" t="s">
        <v>3</v>
      </c>
      <c r="K4" s="4" t="s">
        <v>30</v>
      </c>
      <c r="L4" s="4" t="s">
        <v>3</v>
      </c>
      <c r="M4" s="4" t="s">
        <v>30</v>
      </c>
      <c r="N4" s="4" t="s">
        <v>3</v>
      </c>
      <c r="O4" s="4" t="s">
        <v>30</v>
      </c>
      <c r="P4" s="4" t="s">
        <v>3</v>
      </c>
      <c r="Q4" s="4" t="s">
        <v>30</v>
      </c>
      <c r="R4" s="4" t="s">
        <v>3</v>
      </c>
      <c r="S4" s="4" t="s">
        <v>30</v>
      </c>
      <c r="T4" s="4" t="s">
        <v>3</v>
      </c>
      <c r="U4" s="4" t="s">
        <v>30</v>
      </c>
      <c r="V4" s="4" t="s">
        <v>3</v>
      </c>
      <c r="W4" s="4" t="s">
        <v>30</v>
      </c>
      <c r="X4" s="4" t="s">
        <v>3</v>
      </c>
      <c r="Y4" s="4" t="s">
        <v>30</v>
      </c>
      <c r="Z4" s="4" t="s">
        <v>3</v>
      </c>
      <c r="AA4" s="4" t="s">
        <v>369</v>
      </c>
      <c r="AB4" s="4" t="s">
        <v>30</v>
      </c>
      <c r="AC4" s="4" t="s">
        <v>3</v>
      </c>
      <c r="AD4" s="4" t="s">
        <v>369</v>
      </c>
      <c r="AE4" s="113" t="s">
        <v>370</v>
      </c>
      <c r="AF4" s="113" t="s">
        <v>370</v>
      </c>
    </row>
    <row r="5" spans="1:32" x14ac:dyDescent="0.25">
      <c r="A5" s="114" t="s">
        <v>41</v>
      </c>
      <c r="B5" s="115">
        <v>1</v>
      </c>
      <c r="C5" s="116">
        <v>4</v>
      </c>
      <c r="D5" s="117" t="s">
        <v>43</v>
      </c>
      <c r="E5" s="119">
        <f>'2020'!I8</f>
        <v>5040</v>
      </c>
      <c r="F5" s="21">
        <f>'2020'!J8</f>
        <v>358</v>
      </c>
      <c r="G5" s="119">
        <f>'2020'!M8</f>
        <v>5070</v>
      </c>
      <c r="H5" s="119">
        <f>'2020'!N8</f>
        <v>30</v>
      </c>
      <c r="I5" s="119">
        <f>'2020'!Q8</f>
        <v>5107</v>
      </c>
      <c r="J5" s="119">
        <f>'2020'!R8</f>
        <v>37</v>
      </c>
      <c r="K5" s="119">
        <f>'2020'!U8</f>
        <v>5135</v>
      </c>
      <c r="L5" s="119">
        <f>'2020'!V8</f>
        <v>28</v>
      </c>
      <c r="M5" s="119">
        <f>'2020'!Y8</f>
        <v>5166</v>
      </c>
      <c r="N5" s="119">
        <f>'2020'!Z8</f>
        <v>31</v>
      </c>
      <c r="O5" s="119">
        <f>'2020'!AC8</f>
        <v>5207</v>
      </c>
      <c r="P5" s="119">
        <f>'2020'!AD8</f>
        <v>41</v>
      </c>
      <c r="Q5" s="119">
        <f>'2020'!AG8</f>
        <v>5242</v>
      </c>
      <c r="R5" s="119">
        <f>'2020'!AH8</f>
        <v>35</v>
      </c>
      <c r="S5" s="119">
        <f>'2020'!AK8</f>
        <v>5295</v>
      </c>
      <c r="T5" s="119">
        <f>'2020'!AL8</f>
        <v>53</v>
      </c>
      <c r="U5" s="119">
        <f>'2020'!AO8</f>
        <v>5365</v>
      </c>
      <c r="V5" s="119">
        <f>'2020'!AP8</f>
        <v>70</v>
      </c>
      <c r="W5" s="119">
        <f>'2020'!AS8</f>
        <v>5442</v>
      </c>
      <c r="X5" s="119">
        <f>'2020'!AT8</f>
        <v>77</v>
      </c>
      <c r="Y5" s="119">
        <f>'2020'!AW8</f>
        <v>5508</v>
      </c>
      <c r="Z5" s="119">
        <f>'2020'!AX8</f>
        <v>66</v>
      </c>
      <c r="AA5" s="106"/>
      <c r="AB5" s="119">
        <f>'2020'!BA8</f>
        <v>5552</v>
      </c>
      <c r="AC5" s="119">
        <f>'2020'!BB8</f>
        <v>44</v>
      </c>
      <c r="AD5" s="106"/>
      <c r="AE5" s="119">
        <f>'2020'!BE8</f>
        <v>870</v>
      </c>
      <c r="AF5" s="119">
        <f t="shared" ref="AF5:AF118" si="0">AA5+AD5</f>
        <v>0</v>
      </c>
    </row>
    <row r="6" spans="1:32" x14ac:dyDescent="0.25">
      <c r="A6" s="14"/>
      <c r="B6" s="115">
        <v>2</v>
      </c>
      <c r="C6" s="115">
        <v>4.12</v>
      </c>
      <c r="D6" s="117" t="s">
        <v>359</v>
      </c>
      <c r="E6" s="119">
        <f>'2020'!I18</f>
        <v>21981</v>
      </c>
      <c r="F6" s="119">
        <f>'2020'!J18</f>
        <v>654</v>
      </c>
      <c r="G6" s="119">
        <f>'2020'!M18</f>
        <v>22617</v>
      </c>
      <c r="H6" s="119">
        <f>'2020'!N18</f>
        <v>636</v>
      </c>
      <c r="I6" s="119">
        <f>'2020'!Q18</f>
        <v>23434</v>
      </c>
      <c r="J6" s="119">
        <f>'2020'!R18</f>
        <v>817</v>
      </c>
      <c r="K6" s="119">
        <f>'2020'!U18</f>
        <v>24107</v>
      </c>
      <c r="L6" s="119">
        <f>'2020'!V18</f>
        <v>673</v>
      </c>
      <c r="M6" s="119">
        <f>'2020'!Y18</f>
        <v>24661</v>
      </c>
      <c r="N6" s="119">
        <f>'2020'!Z18</f>
        <v>554</v>
      </c>
      <c r="O6" s="119">
        <f>'2020'!AC18</f>
        <v>25160</v>
      </c>
      <c r="P6" s="119">
        <f>'2020'!AD18</f>
        <v>499</v>
      </c>
      <c r="Q6" s="119">
        <f>'2020'!AG18</f>
        <v>25682</v>
      </c>
      <c r="R6" s="119">
        <f>'2020'!AH18</f>
        <v>522</v>
      </c>
      <c r="S6" s="119">
        <f>'2020'!AK18</f>
        <v>26158</v>
      </c>
      <c r="T6" s="119">
        <f>'2020'!AL18</f>
        <v>476</v>
      </c>
      <c r="U6" s="119">
        <f>'2020'!AO18</f>
        <v>26698</v>
      </c>
      <c r="V6" s="119">
        <f>'2020'!AP18</f>
        <v>540</v>
      </c>
      <c r="W6" s="119">
        <f>'2020'!AS18</f>
        <v>27278</v>
      </c>
      <c r="X6" s="119">
        <f>'2020'!AT18</f>
        <v>580</v>
      </c>
      <c r="Y6" s="119">
        <f>'2020'!AW18</f>
        <v>27836</v>
      </c>
      <c r="Z6" s="119">
        <f>'2020'!AX18</f>
        <v>558</v>
      </c>
      <c r="AA6" s="119"/>
      <c r="AB6" s="119">
        <f>'2020'!BA18</f>
        <v>28520</v>
      </c>
      <c r="AC6" s="119">
        <f>'2020'!BB18</f>
        <v>684</v>
      </c>
      <c r="AD6" s="106"/>
      <c r="AE6" s="119">
        <f>'2020'!BE18</f>
        <v>7193</v>
      </c>
      <c r="AF6" s="119">
        <f t="shared" si="0"/>
        <v>0</v>
      </c>
    </row>
    <row r="7" spans="1:32" x14ac:dyDescent="0.25">
      <c r="A7" s="14"/>
      <c r="B7" s="115">
        <v>3</v>
      </c>
      <c r="C7" s="116">
        <v>4</v>
      </c>
      <c r="D7" s="117" t="s">
        <v>60</v>
      </c>
      <c r="E7" s="119">
        <f>'2020'!I27</f>
        <v>37</v>
      </c>
      <c r="F7" s="119">
        <f>'2020'!J27</f>
        <v>0</v>
      </c>
      <c r="G7" s="119">
        <f>'2020'!M27</f>
        <v>37</v>
      </c>
      <c r="H7" s="119">
        <f>'2020'!N27</f>
        <v>0</v>
      </c>
      <c r="I7" s="119">
        <f>'2020'!Q27</f>
        <v>37</v>
      </c>
      <c r="J7" s="119">
        <f>'2020'!R27</f>
        <v>0</v>
      </c>
      <c r="K7" s="119">
        <f>'2020'!U27</f>
        <v>38</v>
      </c>
      <c r="L7" s="119">
        <f>'2020'!V27</f>
        <v>1</v>
      </c>
      <c r="M7" s="119">
        <f>'2020'!Y27</f>
        <v>45</v>
      </c>
      <c r="N7" s="119">
        <f>'2020'!Z27</f>
        <v>7</v>
      </c>
      <c r="O7" s="119">
        <f>'2020'!AC27</f>
        <v>47</v>
      </c>
      <c r="P7" s="119">
        <f>'2020'!AD27</f>
        <v>2</v>
      </c>
      <c r="Q7" s="119">
        <f>'2020'!AG27</f>
        <v>50</v>
      </c>
      <c r="R7" s="119">
        <f>'2020'!AH27</f>
        <v>3</v>
      </c>
      <c r="S7" s="119">
        <f>'2020'!AK27</f>
        <v>54</v>
      </c>
      <c r="T7" s="119">
        <f>'2020'!AL27</f>
        <v>4</v>
      </c>
      <c r="U7" s="119">
        <f>'2020'!AO27</f>
        <v>56</v>
      </c>
      <c r="V7" s="119">
        <f>'2020'!AP27</f>
        <v>2</v>
      </c>
      <c r="W7" s="119">
        <f>'2020'!AS27</f>
        <v>56</v>
      </c>
      <c r="X7" s="119">
        <f>'2020'!AT27</f>
        <v>0</v>
      </c>
      <c r="Y7" s="119">
        <f>'2020'!AW27</f>
        <v>56</v>
      </c>
      <c r="Z7" s="119">
        <f>'2020'!AX27</f>
        <v>0</v>
      </c>
      <c r="AA7" s="106"/>
      <c r="AB7" s="119">
        <f>'2020'!BA27</f>
        <v>56</v>
      </c>
      <c r="AC7" s="119">
        <f>'2020'!BB27</f>
        <v>0</v>
      </c>
      <c r="AD7" s="106"/>
      <c r="AE7" s="119">
        <f>'2020'!BE27</f>
        <v>19</v>
      </c>
      <c r="AF7" s="119">
        <f t="shared" si="0"/>
        <v>0</v>
      </c>
    </row>
    <row r="8" spans="1:32" x14ac:dyDescent="0.25">
      <c r="A8" s="14"/>
      <c r="B8" s="115">
        <v>4</v>
      </c>
      <c r="C8" s="115">
        <v>3.95</v>
      </c>
      <c r="D8" s="117" t="s">
        <v>64</v>
      </c>
      <c r="E8" s="119">
        <f>'2020'!I36</f>
      </c>
      <c r="F8" s="119">
        <f>'2020'!J36</f>
      </c>
      <c r="G8" s="119">
        <f>'2020'!M36</f>
      </c>
      <c r="H8" s="119">
        <f>'2020'!N36</f>
      </c>
      <c r="I8" s="119">
        <f>'2020'!Q36</f>
      </c>
      <c r="J8" s="119">
        <f>'2020'!R36</f>
        <v>0</v>
      </c>
      <c r="K8" s="119">
        <f>'2020'!U36</f>
      </c>
      <c r="L8" s="119">
        <f>'2020'!V36</f>
        <v>0</v>
      </c>
      <c r="M8" s="119">
        <f>'2020'!Y36</f>
      </c>
      <c r="N8" s="119">
        <f>'2020'!Z36</f>
        <v>0</v>
      </c>
      <c r="O8" s="119">
        <f>'2020'!AC36</f>
      </c>
      <c r="P8" s="119">
        <f>'2020'!AD36</f>
        <v>0</v>
      </c>
      <c r="Q8" s="119">
        <f>'2020'!AG36</f>
        <v>0</v>
      </c>
      <c r="R8" s="119">
        <f>'2020'!AH36</f>
        <v>0</v>
      </c>
      <c r="S8" s="119">
        <f>'2020'!AK36</f>
        <v>0</v>
      </c>
      <c r="T8" s="119">
        <f>'2020'!AL36</f>
        <v>0</v>
      </c>
      <c r="U8" s="119">
        <f>'2020'!AO36</f>
        <v>0</v>
      </c>
      <c r="V8" s="119">
        <f>'2020'!AP36</f>
        <v>0</v>
      </c>
      <c r="W8" s="119">
        <f>'2020'!AS36</f>
        <v>0</v>
      </c>
      <c r="X8" s="119">
        <f>'2020'!AT36</f>
        <v>0</v>
      </c>
      <c r="Y8" s="119">
        <f>'2020'!AW36</f>
        <v>0</v>
      </c>
      <c r="Z8" s="119">
        <f>'2020'!AX36</f>
        <v>0</v>
      </c>
      <c r="AA8" s="106"/>
      <c r="AB8" s="119">
        <f>'2020'!BA36</f>
        <v>0</v>
      </c>
      <c r="AC8" s="119">
        <f>'2020'!BB36</f>
        <v>0</v>
      </c>
      <c r="AD8" s="106"/>
      <c r="AE8" s="119">
        <f>'2020'!BE36</f>
        <v>0</v>
      </c>
      <c r="AF8" s="119">
        <f t="shared" si="0"/>
        <v>0</v>
      </c>
    </row>
    <row r="9" spans="1:32" x14ac:dyDescent="0.25">
      <c r="A9" s="14"/>
      <c r="B9" s="115">
        <v>5</v>
      </c>
      <c r="C9" s="115">
        <v>5.08</v>
      </c>
      <c r="D9" s="2" t="s">
        <v>488</v>
      </c>
      <c r="E9" s="119">
        <f>'2020'!I45</f>
        <v>93</v>
      </c>
      <c r="F9" s="119">
        <f>'2020'!J45</f>
        <v>0</v>
      </c>
      <c r="G9" s="119">
        <f>'2020'!M45</f>
        <v>93</v>
      </c>
      <c r="H9" s="119">
        <f>'2020'!N45</f>
        <v>0</v>
      </c>
      <c r="I9" s="119">
        <f>'2020'!Q45</f>
        <v>93</v>
      </c>
      <c r="J9" s="119">
        <f>'2020'!R45</f>
        <v>0</v>
      </c>
      <c r="K9" s="119">
        <f>'2020'!U45</f>
        <v>93</v>
      </c>
      <c r="L9" s="119">
        <f>'2020'!V45</f>
        <v>0</v>
      </c>
      <c r="M9" s="119">
        <f>'2020'!Y45</f>
        <v>93</v>
      </c>
      <c r="N9" s="119">
        <f>'2020'!Z45</f>
        <v>0</v>
      </c>
      <c r="O9" s="119">
        <f>'2020'!AC45</f>
        <v>93</v>
      </c>
      <c r="P9" s="119">
        <f>'2020'!AD45</f>
        <v>0</v>
      </c>
      <c r="Q9" s="119">
        <f>'2020'!AG45</f>
        <v>93</v>
      </c>
      <c r="R9" s="119">
        <f>'2020'!AH45</f>
        <v>0</v>
      </c>
      <c r="S9" s="119">
        <f>'2020'!AK45</f>
        <v>93</v>
      </c>
      <c r="T9" s="119">
        <f>'2020'!AL45</f>
        <v>0</v>
      </c>
      <c r="U9" s="119">
        <f>'2020'!AO45</f>
        <v>93</v>
      </c>
      <c r="V9" s="119">
        <f>'2020'!AP45</f>
        <v>0</v>
      </c>
      <c r="W9" s="119">
        <f>'2020'!AS45</f>
        <v>93</v>
      </c>
      <c r="X9" s="119">
        <f>'2020'!AT45</f>
        <v>0</v>
      </c>
      <c r="Y9" s="119">
        <f>'2020'!AW45</f>
        <v>6</v>
      </c>
      <c r="Z9" s="119">
        <f>'2020'!AX45</f>
        <v>6</v>
      </c>
      <c r="AA9" s="119">
        <v>353</v>
      </c>
      <c r="AB9" s="119">
        <f>'2020'!BA45</f>
        <v>6</v>
      </c>
      <c r="AC9" s="119">
        <f>'2020'!BB45</f>
        <v>0</v>
      </c>
      <c r="AD9" s="119">
        <v>108</v>
      </c>
      <c r="AE9" s="119">
        <f>'2020'!BE45</f>
        <v>6</v>
      </c>
      <c r="AF9" s="119">
        <f t="shared" si="0"/>
        <v>461</v>
      </c>
    </row>
    <row r="10" spans="1:32" x14ac:dyDescent="0.25">
      <c r="A10" s="14"/>
      <c r="B10" s="115">
        <v>6</v>
      </c>
      <c r="C10" s="115">
        <v>4.01</v>
      </c>
      <c r="D10" s="117" t="s">
        <v>70</v>
      </c>
      <c r="E10" s="119">
        <f>'2020'!I54</f>
        <v>13</v>
      </c>
      <c r="F10" s="119">
        <f>'2020'!J54</f>
        <v>0</v>
      </c>
      <c r="G10" s="119">
        <f>'2020'!M54</f>
        <v>13</v>
      </c>
      <c r="H10" s="119">
        <f>'2020'!N54</f>
        <v>0</v>
      </c>
      <c r="I10" s="119">
        <f>'2020'!Q54</f>
        <v>13</v>
      </c>
      <c r="J10" s="119">
        <f>'2020'!R54</f>
        <v>0</v>
      </c>
      <c r="K10" s="119">
        <f>'2020'!U54</f>
        <v>13</v>
      </c>
      <c r="L10" s="119">
        <f>'2020'!V54</f>
        <v>0</v>
      </c>
      <c r="M10" s="119">
        <f>'2020'!Y54</f>
        <v>14</v>
      </c>
      <c r="N10" s="119">
        <f>'2020'!Z54</f>
        <v>1</v>
      </c>
      <c r="O10" s="119">
        <f>'2020'!AC54</f>
        <v>14</v>
      </c>
      <c r="P10" s="119">
        <f>'2020'!AD54</f>
        <v>0</v>
      </c>
      <c r="Q10" s="119">
        <f>'2020'!AG54</f>
        <v>14</v>
      </c>
      <c r="R10" s="119">
        <f>'2020'!AH54</f>
        <v>0</v>
      </c>
      <c r="S10" s="119">
        <f>'2020'!AK54</f>
        <v>14</v>
      </c>
      <c r="T10" s="119">
        <f>'2020'!AL54</f>
        <v>0</v>
      </c>
      <c r="U10" s="119">
        <f>'2020'!AO54</f>
        <v>14</v>
      </c>
      <c r="V10" s="119">
        <f>'2020'!AP54</f>
        <v>0</v>
      </c>
      <c r="W10" s="119">
        <f>'2020'!AS54</f>
        <v>14</v>
      </c>
      <c r="X10" s="119">
        <f>'2020'!AT54</f>
        <v>0</v>
      </c>
      <c r="Y10" s="119">
        <f>'2020'!AW54</f>
        <v>14</v>
      </c>
      <c r="Z10" s="119">
        <f>'2020'!AX54</f>
        <v>0</v>
      </c>
      <c r="AA10" s="106"/>
      <c r="AB10" s="119">
        <f>'2020'!BA54</f>
        <v>14</v>
      </c>
      <c r="AC10" s="119">
        <f>'2020'!BB54</f>
        <v>0</v>
      </c>
      <c r="AD10" s="106"/>
      <c r="AE10" s="119">
        <f>'2020'!BE54</f>
        <v>1</v>
      </c>
      <c r="AF10" s="119">
        <f t="shared" si="0"/>
        <v>0</v>
      </c>
    </row>
    <row r="11" spans="1:32" x14ac:dyDescent="0.25">
      <c r="A11" s="14"/>
      <c r="B11" s="115">
        <v>7</v>
      </c>
      <c r="C11" s="115">
        <v>4.85</v>
      </c>
      <c r="D11" s="117" t="s">
        <v>74</v>
      </c>
      <c r="E11" s="119">
        <f>'2020'!I63</f>
        <v>315</v>
      </c>
      <c r="F11" s="119">
        <f>'2020'!J63</f>
        <v>0</v>
      </c>
      <c r="G11" s="119">
        <f>'2020'!M63</f>
        <v>315</v>
      </c>
      <c r="H11" s="119">
        <f>'2020'!N63</f>
        <v>0</v>
      </c>
      <c r="I11" s="119">
        <f>'2020'!Q63</f>
        <v>315</v>
      </c>
      <c r="J11" s="119">
        <f>'2020'!R63</f>
        <v>0</v>
      </c>
      <c r="K11" s="119">
        <f>'2020'!U63</f>
        <v>315</v>
      </c>
      <c r="L11" s="119">
        <f>'2020'!V63</f>
        <v>0</v>
      </c>
      <c r="M11" s="119">
        <f>'2020'!Y63</f>
        <v>339</v>
      </c>
      <c r="N11" s="119">
        <f>'2020'!Z63</f>
        <v>24</v>
      </c>
      <c r="O11" s="119">
        <f>'2020'!AC63</f>
        <v>345</v>
      </c>
      <c r="P11" s="119">
        <f>'2020'!AD63</f>
        <v>6</v>
      </c>
      <c r="Q11" s="119">
        <f>'2020'!AG63</f>
        <v>390</v>
      </c>
      <c r="R11" s="119">
        <f>'2020'!AH63</f>
        <v>45</v>
      </c>
      <c r="S11" s="119">
        <f>'2020'!AK63</f>
        <v>425</v>
      </c>
      <c r="T11" s="119">
        <f>'2020'!AL63</f>
        <v>35</v>
      </c>
      <c r="U11" s="119">
        <f>'2020'!AO63</f>
        <v>440</v>
      </c>
      <c r="V11" s="119">
        <f>'2020'!AP63</f>
        <v>15</v>
      </c>
      <c r="W11" s="119">
        <f>'2020'!AS63</f>
        <v>448</v>
      </c>
      <c r="X11" s="119">
        <f>'2020'!AT63</f>
        <v>8</v>
      </c>
      <c r="Y11" s="119">
        <f>'2020'!AW63</f>
        <v>448</v>
      </c>
      <c r="Z11" s="119">
        <f>'2020'!AX63</f>
        <v>0</v>
      </c>
      <c r="AA11" s="106"/>
      <c r="AB11" s="119">
        <f>'2020'!BA63</f>
        <v>448</v>
      </c>
      <c r="AC11" s="119">
        <f>'2020'!BB63</f>
        <v>0</v>
      </c>
      <c r="AD11" s="106"/>
      <c r="AE11" s="119">
        <f>'2020'!BE63</f>
        <v>133</v>
      </c>
      <c r="AF11" s="119">
        <f t="shared" si="0"/>
        <v>0</v>
      </c>
    </row>
    <row r="12" spans="1:32" x14ac:dyDescent="0.25">
      <c r="A12" s="14"/>
      <c r="B12" s="115">
        <v>8</v>
      </c>
      <c r="C12" s="116">
        <v>4</v>
      </c>
      <c r="D12" s="2" t="s">
        <v>383</v>
      </c>
      <c r="E12" s="119">
        <f>'2020'!I72</f>
        <v>352</v>
      </c>
      <c r="F12" s="119">
        <f>'2020'!J72</f>
        <v>0</v>
      </c>
      <c r="G12" s="119">
        <f>'2020'!M72</f>
        <v>352</v>
      </c>
      <c r="H12" s="119">
        <f>'2020'!N72</f>
        <v>0</v>
      </c>
      <c r="I12" s="119">
        <f>'2020'!Q72</f>
        <v>352</v>
      </c>
      <c r="J12" s="119">
        <f>'2020'!R72</f>
        <v>0</v>
      </c>
      <c r="K12" s="119">
        <f>'2020'!U72</f>
        <v>357</v>
      </c>
      <c r="L12" s="119">
        <f>'2020'!V72</f>
        <v>5</v>
      </c>
      <c r="M12" s="119">
        <f>'2020'!Y72</f>
        <v>383</v>
      </c>
      <c r="N12" s="119">
        <f>'2020'!Z72</f>
        <v>26</v>
      </c>
      <c r="O12" s="119">
        <f>'2020'!AC72</f>
        <v>413</v>
      </c>
      <c r="P12" s="119">
        <f>'2020'!AD72</f>
        <v>30</v>
      </c>
      <c r="Q12" s="119">
        <f>'2020'!AG72</f>
        <v>440</v>
      </c>
      <c r="R12" s="119">
        <f>'2020'!AH72</f>
        <v>27</v>
      </c>
      <c r="S12" s="119">
        <f>'2020'!AK72</f>
        <v>464</v>
      </c>
      <c r="T12" s="119">
        <f>'2020'!AL72</f>
        <v>24</v>
      </c>
      <c r="U12" s="119">
        <f>'2020'!AO72</f>
        <v>489</v>
      </c>
      <c r="V12" s="119">
        <f>'2020'!AP72</f>
        <v>25</v>
      </c>
      <c r="W12" s="119">
        <f>'2020'!AS72</f>
        <v>509</v>
      </c>
      <c r="X12" s="119">
        <f>'2020'!AT72</f>
        <v>20</v>
      </c>
      <c r="Y12" s="119">
        <f>'2020'!AW72</f>
        <v>509</v>
      </c>
      <c r="Z12" s="119">
        <f>'2020'!AX72</f>
        <v>0</v>
      </c>
      <c r="AA12" s="106"/>
      <c r="AB12" s="119">
        <f>'2020'!BA72</f>
        <v>509</v>
      </c>
      <c r="AC12" s="119">
        <f>'2020'!BB72</f>
        <v>0</v>
      </c>
      <c r="AD12" s="106"/>
      <c r="AE12" s="119">
        <f>'2020'!BE72</f>
        <v>157</v>
      </c>
      <c r="AF12" s="119">
        <f t="shared" si="0"/>
        <v>0</v>
      </c>
    </row>
    <row r="13" spans="1:32" x14ac:dyDescent="0.25">
      <c r="A13" s="14"/>
      <c r="B13" s="115">
        <v>9</v>
      </c>
      <c r="C13" s="115">
        <v>4.03</v>
      </c>
      <c r="D13" s="117" t="s">
        <v>82</v>
      </c>
      <c r="E13" s="119">
        <f>'2020'!I81</f>
        <v>46</v>
      </c>
      <c r="F13" s="119">
        <f>'2020'!J81</f>
        <v>0</v>
      </c>
      <c r="G13" s="119">
        <f>'2020'!M81</f>
        <v>46</v>
      </c>
      <c r="H13" s="119">
        <f>'2020'!N81</f>
        <v>0</v>
      </c>
      <c r="I13" s="119">
        <f>'2020'!Q81</f>
        <v>46</v>
      </c>
      <c r="J13" s="119">
        <f>'2020'!R81</f>
        <v>0</v>
      </c>
      <c r="K13" s="119">
        <f>'2020'!U81</f>
        <v>46</v>
      </c>
      <c r="L13" s="119">
        <f>'2020'!V81</f>
        <v>0</v>
      </c>
      <c r="M13" s="119">
        <f>'2020'!Y81</f>
        <v>46</v>
      </c>
      <c r="N13" s="119">
        <f>'2020'!Z81</f>
        <v>0</v>
      </c>
      <c r="O13" s="119">
        <f>'2020'!AC81</f>
        <v>46</v>
      </c>
      <c r="P13" s="119">
        <f>'2020'!AD81</f>
        <v>0</v>
      </c>
      <c r="Q13" s="119">
        <f>'2020'!AG81</f>
        <v>46</v>
      </c>
      <c r="R13" s="119">
        <f>'2020'!AH81</f>
        <v>0</v>
      </c>
      <c r="S13" s="119">
        <f>'2020'!AK81</f>
        <v>46</v>
      </c>
      <c r="T13" s="119">
        <f>'2020'!AL81</f>
        <v>0</v>
      </c>
      <c r="U13" s="119">
        <f>'2020'!AO81</f>
        <v>46</v>
      </c>
      <c r="V13" s="119">
        <f>'2020'!AP81</f>
        <v>0</v>
      </c>
      <c r="W13" s="119">
        <f>'2020'!AS81</f>
        <v>46</v>
      </c>
      <c r="X13" s="119">
        <f>'2020'!AT81</f>
        <v>0</v>
      </c>
      <c r="Y13" s="119">
        <f>'2020'!AW81</f>
        <v>46</v>
      </c>
      <c r="Z13" s="119">
        <f>'2020'!AX81</f>
        <v>0</v>
      </c>
      <c r="AA13" s="106"/>
      <c r="AB13" s="119">
        <f>'2020'!BA81</f>
        <v>46</v>
      </c>
      <c r="AC13" s="119">
        <f>'2020'!BB81</f>
        <v>0</v>
      </c>
      <c r="AD13" s="106"/>
      <c r="AE13" s="119">
        <f>'2020'!BE81</f>
        <v>0</v>
      </c>
      <c r="AF13" s="119">
        <f t="shared" si="0"/>
        <v>0</v>
      </c>
    </row>
    <row r="14" spans="1:32" x14ac:dyDescent="0.25">
      <c r="A14" s="14"/>
      <c r="B14" s="115">
        <v>10</v>
      </c>
      <c r="C14" s="115">
        <v>4.01</v>
      </c>
      <c r="D14" s="117" t="s">
        <v>86</v>
      </c>
      <c r="E14" s="119">
        <f>'2020'!I90</f>
      </c>
      <c r="F14" s="119">
        <f>'2020'!J90</f>
      </c>
      <c r="G14" s="119">
        <f>'2020'!M90</f>
      </c>
      <c r="H14" s="119">
        <f>'2020'!N90</f>
      </c>
      <c r="I14" s="119">
        <f>'2020'!Q90</f>
      </c>
      <c r="J14" s="119">
        <f>'2020'!R90</f>
        <v>0</v>
      </c>
      <c r="K14" s="119">
        <f>'2020'!U90</f>
      </c>
      <c r="L14" s="119">
        <f>'2020'!V90</f>
        <v>0</v>
      </c>
      <c r="M14" s="119">
        <f>'2020'!Y90</f>
      </c>
      <c r="N14" s="119">
        <f>'2020'!Z90</f>
        <v>0</v>
      </c>
      <c r="O14" s="119">
        <f>'2020'!AC90</f>
      </c>
      <c r="P14" s="119">
        <f>'2020'!AD90</f>
        <v>0</v>
      </c>
      <c r="Q14" s="119">
        <f>'2020'!AG90</f>
      </c>
      <c r="R14" s="119">
        <f>'2020'!AH90</f>
        <v>0</v>
      </c>
      <c r="S14" s="119">
        <f>'2020'!AK90</f>
        <v>0</v>
      </c>
      <c r="T14" s="119">
        <f>'2020'!AL90</f>
        <v>0</v>
      </c>
      <c r="U14" s="119">
        <f>'2020'!AO90</f>
        <v>0</v>
      </c>
      <c r="V14" s="119">
        <f>'2020'!AP90</f>
        <v>0</v>
      </c>
      <c r="W14" s="119">
        <f>'2020'!AS90</f>
        <v>0</v>
      </c>
      <c r="X14" s="119">
        <f>'2020'!AT90</f>
        <v>0</v>
      </c>
      <c r="Y14" s="119">
        <f>'2020'!AW90</f>
        <v>0</v>
      </c>
      <c r="Z14" s="119">
        <f>'2020'!AX90</f>
        <v>0</v>
      </c>
      <c r="AA14" s="106"/>
      <c r="AB14" s="119">
        <f>'2020'!BA90</f>
        <v>0</v>
      </c>
      <c r="AC14" s="119">
        <f>'2020'!BB90</f>
        <v>0</v>
      </c>
      <c r="AD14" s="106"/>
      <c r="AE14" s="119">
        <f>'2020'!BE90</f>
        <v>0</v>
      </c>
      <c r="AF14" s="119">
        <f t="shared" si="0"/>
        <v>0</v>
      </c>
    </row>
    <row r="15" spans="1:32" x14ac:dyDescent="0.25">
      <c r="A15" s="14"/>
      <c r="B15" s="115">
        <v>11</v>
      </c>
      <c r="C15" s="115">
        <v>4.02</v>
      </c>
      <c r="D15" s="117" t="s">
        <v>89</v>
      </c>
      <c r="E15" s="119">
        <f>'2020'!I99</f>
        <v>35</v>
      </c>
      <c r="F15" s="119">
        <f>'2020'!J99</f>
        <v>0</v>
      </c>
      <c r="G15" s="119">
        <f>'2020'!M99</f>
        <v>35</v>
      </c>
      <c r="H15" s="119">
        <f>'2020'!N99</f>
        <v>0</v>
      </c>
      <c r="I15" s="119">
        <f>'2020'!Q99</f>
        <v>35</v>
      </c>
      <c r="J15" s="119">
        <f>'2020'!R99</f>
        <v>0</v>
      </c>
      <c r="K15" s="119">
        <f>'2020'!U99</f>
        <v>35</v>
      </c>
      <c r="L15" s="119">
        <f>'2020'!V99</f>
        <v>0</v>
      </c>
      <c r="M15" s="119">
        <f>'2020'!Y99</f>
        <v>35</v>
      </c>
      <c r="N15" s="119">
        <f>'2020'!Z99</f>
        <v>0</v>
      </c>
      <c r="O15" s="119">
        <f>'2020'!AC99</f>
        <v>35</v>
      </c>
      <c r="P15" s="119">
        <f>'2020'!AD99</f>
        <v>0</v>
      </c>
      <c r="Q15" s="119">
        <f>'2020'!AG99</f>
        <v>35</v>
      </c>
      <c r="R15" s="119">
        <f>'2020'!AH99</f>
        <v>0</v>
      </c>
      <c r="S15" s="119">
        <f>'2020'!AK99</f>
        <v>36</v>
      </c>
      <c r="T15" s="119">
        <f>'2020'!AL99</f>
        <v>1</v>
      </c>
      <c r="U15" s="119">
        <f>'2020'!AO99</f>
        <v>36</v>
      </c>
      <c r="V15" s="119">
        <f>'2020'!AP99</f>
        <v>0</v>
      </c>
      <c r="W15" s="119">
        <f>'2020'!AS99</f>
        <v>36</v>
      </c>
      <c r="X15" s="119">
        <f>'2020'!AT99</f>
        <v>0</v>
      </c>
      <c r="Y15" s="119">
        <f>'2020'!AW99</f>
        <v>36</v>
      </c>
      <c r="Z15" s="119">
        <f>'2020'!AX99</f>
        <v>0</v>
      </c>
      <c r="AA15" s="106"/>
      <c r="AB15" s="119">
        <f>'2020'!BA99</f>
        <v>36</v>
      </c>
      <c r="AC15" s="119">
        <f>'2020'!BB99</f>
        <v>0</v>
      </c>
      <c r="AD15" s="106"/>
      <c r="AE15" s="119">
        <f>'2020'!BE99</f>
        <v>1</v>
      </c>
      <c r="AF15" s="119">
        <f t="shared" si="0"/>
        <v>0</v>
      </c>
    </row>
    <row r="16" spans="1:32" x14ac:dyDescent="0.25">
      <c r="A16" s="14"/>
      <c r="B16" s="115">
        <v>12</v>
      </c>
      <c r="C16" s="115">
        <v>4.02</v>
      </c>
      <c r="D16" s="117" t="s">
        <v>92</v>
      </c>
      <c r="E16" s="119">
        <f>'2020'!I108</f>
      </c>
      <c r="F16" s="119">
        <f>'2020'!J108</f>
      </c>
      <c r="G16" s="119">
        <f>'2020'!M108</f>
      </c>
      <c r="H16" s="119">
        <f>'2020'!N108</f>
      </c>
      <c r="I16" s="119">
        <f>'2020'!Q108</f>
      </c>
      <c r="J16" s="119">
        <f>'2020'!R108</f>
        <v>0</v>
      </c>
      <c r="K16" s="119">
        <f>'2020'!U108</f>
      </c>
      <c r="L16" s="119">
        <f>'2020'!V108</f>
        <v>0</v>
      </c>
      <c r="M16" s="119">
        <f>'2020'!Y108</f>
      </c>
      <c r="N16" s="119">
        <f>'2020'!Z108</f>
        <v>0</v>
      </c>
      <c r="O16" s="119">
        <f>'2020'!AC108</f>
      </c>
      <c r="P16" s="119">
        <f>'2020'!AD108</f>
        <v>0</v>
      </c>
      <c r="Q16" s="119">
        <f>'2020'!AG108</f>
      </c>
      <c r="R16" s="119">
        <f>'2020'!AH108</f>
        <v>0</v>
      </c>
      <c r="S16" s="119">
        <f>'2020'!AK108</f>
        <v>0</v>
      </c>
      <c r="T16" s="119">
        <f>'2020'!AL108</f>
        <v>0</v>
      </c>
      <c r="U16" s="119">
        <f>'2020'!AO108</f>
        <v>0</v>
      </c>
      <c r="V16" s="119">
        <f>'2020'!AP108</f>
        <v>0</v>
      </c>
      <c r="W16" s="119">
        <f>'2020'!AS108</f>
        <v>0</v>
      </c>
      <c r="X16" s="119">
        <f>'2020'!AT108</f>
        <v>0</v>
      </c>
      <c r="Y16" s="119">
        <f>'2020'!AW108</f>
        <v>0</v>
      </c>
      <c r="Z16" s="119">
        <f>'2020'!AX108</f>
        <v>0</v>
      </c>
      <c r="AA16" s="106"/>
      <c r="AB16" s="119">
        <f>'2020'!BA108</f>
        <v>0</v>
      </c>
      <c r="AC16" s="119">
        <f>'2020'!BB108</f>
        <v>0</v>
      </c>
      <c r="AD16" s="106"/>
      <c r="AE16" s="119">
        <f>'2020'!BE108</f>
        <v>0</v>
      </c>
      <c r="AF16" s="119">
        <f t="shared" si="0"/>
        <v>0</v>
      </c>
    </row>
    <row r="17" spans="1:32" x14ac:dyDescent="0.25">
      <c r="A17" s="14"/>
      <c r="B17" s="115" t="s">
        <v>96</v>
      </c>
      <c r="C17" s="115">
        <v>3.94</v>
      </c>
      <c r="D17" s="117" t="s">
        <v>97</v>
      </c>
      <c r="E17" s="119">
        <f>'2020'!I117</f>
        <v>5523</v>
      </c>
      <c r="F17" s="119">
        <f>'2020'!J117</f>
        <v>0</v>
      </c>
      <c r="G17" s="119">
        <f>'2020'!M117</f>
        <v>5523</v>
      </c>
      <c r="H17" s="119">
        <f>'2020'!N117</f>
        <v>0</v>
      </c>
      <c r="I17" s="119">
        <f>'2020'!Q117</f>
        <v>5523</v>
      </c>
      <c r="J17" s="119">
        <f>'2020'!R117</f>
        <v>0</v>
      </c>
      <c r="K17" s="119">
        <f>'2020'!U117</f>
        <v>5529</v>
      </c>
      <c r="L17" s="119">
        <f>'2020'!V117</f>
        <v>6</v>
      </c>
      <c r="M17" s="119">
        <f>'2020'!Y117</f>
        <v>5560</v>
      </c>
      <c r="N17" s="119">
        <f>'2020'!Z117</f>
        <v>31</v>
      </c>
      <c r="O17" s="119">
        <f>'2020'!AC117</f>
        <v>5644</v>
      </c>
      <c r="P17" s="119">
        <f>'2020'!AD117</f>
        <v>84</v>
      </c>
      <c r="Q17" s="119">
        <f>'2020'!AG117</f>
        <v>5760</v>
      </c>
      <c r="R17" s="119">
        <f>'2020'!AH117</f>
        <v>116</v>
      </c>
      <c r="S17" s="119">
        <f>'2020'!AK117</f>
        <v>5892</v>
      </c>
      <c r="T17" s="119">
        <f>'2020'!AL117</f>
        <v>132</v>
      </c>
      <c r="U17" s="119">
        <f>'2020'!AO117</f>
        <v>6009</v>
      </c>
      <c r="V17" s="119">
        <f>'2020'!AP117</f>
        <v>117</v>
      </c>
      <c r="W17" s="119">
        <f>'2020'!AS117</f>
        <v>6258</v>
      </c>
      <c r="X17" s="119">
        <f>'2020'!AT117</f>
        <v>249</v>
      </c>
      <c r="Y17" s="119">
        <f>'2020'!AW117</f>
        <v>6466</v>
      </c>
      <c r="Z17" s="119">
        <f>'2020'!AX117</f>
        <v>208</v>
      </c>
      <c r="AA17" s="106"/>
      <c r="AB17" s="119">
        <f>'2020'!BA117</f>
        <v>6473</v>
      </c>
      <c r="AC17" s="119">
        <f>'2020'!BB117</f>
        <v>7</v>
      </c>
      <c r="AD17" s="106"/>
      <c r="AE17" s="119">
        <f>'2020'!BE117</f>
        <v>950</v>
      </c>
      <c r="AF17" s="119">
        <f t="shared" si="0"/>
        <v>0</v>
      </c>
    </row>
    <row r="18" spans="1:32" x14ac:dyDescent="0.25">
      <c r="A18" s="14"/>
      <c r="B18" s="115" t="s">
        <v>96</v>
      </c>
      <c r="C18" s="116">
        <v>4</v>
      </c>
      <c r="D18" s="117" t="s">
        <v>97</v>
      </c>
      <c r="E18" s="119">
        <f>'2020'!I126</f>
      </c>
      <c r="F18" s="119">
        <f>'2020'!J126</f>
      </c>
      <c r="G18" s="119">
        <f>'2020'!M126</f>
      </c>
      <c r="H18" s="119">
        <f>'2020'!N126</f>
      </c>
      <c r="I18" s="119">
        <f>'2020'!Q126</f>
      </c>
      <c r="J18" s="119">
        <f>'2020'!R126</f>
        <v>0</v>
      </c>
      <c r="K18" s="119">
        <f>'2020'!U126</f>
      </c>
      <c r="L18" s="119">
        <f>'2020'!V126</f>
        <v>0</v>
      </c>
      <c r="M18" s="119">
        <f>'2020'!Y126</f>
      </c>
      <c r="N18" s="119">
        <f>'2020'!Z126</f>
        <v>0</v>
      </c>
      <c r="O18" s="119">
        <f>'2020'!AC126</f>
      </c>
      <c r="P18" s="119">
        <f>'2020'!AD126</f>
        <v>0</v>
      </c>
      <c r="Q18" s="119">
        <f>'2020'!AG126</f>
      </c>
      <c r="R18" s="119">
        <f>'2020'!AH126</f>
        <v>0</v>
      </c>
      <c r="S18" s="119">
        <f>'2020'!AK126</f>
        <v>0</v>
      </c>
      <c r="T18" s="119">
        <f>'2020'!AL126</f>
        <v>0</v>
      </c>
      <c r="U18" s="119">
        <f>'2020'!AO126</f>
        <v>0</v>
      </c>
      <c r="V18" s="119">
        <f>'2020'!AP126</f>
        <v>0</v>
      </c>
      <c r="W18" s="119">
        <f>'2020'!AS126</f>
        <v>0</v>
      </c>
      <c r="X18" s="119">
        <f>'2020'!AT126</f>
        <v>0</v>
      </c>
      <c r="Y18" s="119">
        <f>'2020'!AW126</f>
        <v>0</v>
      </c>
      <c r="Z18" s="119">
        <f>'2020'!AX126</f>
        <v>0</v>
      </c>
      <c r="AA18" s="106"/>
      <c r="AB18" s="119">
        <f>'2020'!BA126</f>
        <v>0</v>
      </c>
      <c r="AC18" s="119">
        <f>'2020'!BB126</f>
        <v>0</v>
      </c>
      <c r="AD18" s="106"/>
      <c r="AE18" s="119">
        <f>'2020'!BE126</f>
        <v>0</v>
      </c>
      <c r="AF18" s="119">
        <f t="shared" si="0"/>
        <v>0</v>
      </c>
    </row>
    <row r="19" spans="1:32" x14ac:dyDescent="0.25">
      <c r="A19" s="14"/>
      <c r="B19" s="115">
        <v>14</v>
      </c>
      <c r="C19" s="115">
        <v>4.02</v>
      </c>
      <c r="D19" s="117" t="s">
        <v>100</v>
      </c>
      <c r="E19" s="119">
        <f>'2020'!I135</f>
      </c>
      <c r="F19" s="119">
        <f>'2020'!J135</f>
      </c>
      <c r="G19" s="119">
        <f>'2020'!M135</f>
      </c>
      <c r="H19" s="119">
        <f>'2020'!N135</f>
      </c>
      <c r="I19" s="119">
        <f>'2020'!Q135</f>
      </c>
      <c r="J19" s="119">
        <f>'2020'!R135</f>
        <v>0</v>
      </c>
      <c r="K19" s="119">
        <f>'2020'!U135</f>
      </c>
      <c r="L19" s="119">
        <f>'2020'!V135</f>
        <v>0</v>
      </c>
      <c r="M19" s="119">
        <f>'2020'!Y135</f>
      </c>
      <c r="N19" s="119">
        <f>'2020'!Z135</f>
        <v>0</v>
      </c>
      <c r="O19" s="119">
        <f>'2020'!AC135</f>
      </c>
      <c r="P19" s="119">
        <f>'2020'!AD135</f>
        <v>0</v>
      </c>
      <c r="Q19" s="119">
        <f>'2020'!AG135</f>
      </c>
      <c r="R19" s="119">
        <f>'2020'!AH135</f>
        <v>0</v>
      </c>
      <c r="S19" s="119">
        <f>'2020'!AK135</f>
        <v>0</v>
      </c>
      <c r="T19" s="119">
        <f>'2020'!AL135</f>
        <v>0</v>
      </c>
      <c r="U19" s="119">
        <f>'2020'!AO135</f>
        <v>0</v>
      </c>
      <c r="V19" s="119">
        <f>'2020'!AP135</f>
        <v>0</v>
      </c>
      <c r="W19" s="119">
        <f>'2020'!AS135</f>
        <v>0</v>
      </c>
      <c r="X19" s="119">
        <f>'2020'!AT135</f>
        <v>0</v>
      </c>
      <c r="Y19" s="119">
        <f>'2020'!AW135</f>
        <v>0</v>
      </c>
      <c r="Z19" s="119">
        <f>'2020'!AX135</f>
        <v>0</v>
      </c>
      <c r="AA19" s="106"/>
      <c r="AB19" s="119">
        <f>'2020'!BA135</f>
        <v>0</v>
      </c>
      <c r="AC19" s="119">
        <f>'2020'!BB135</f>
        <v>0</v>
      </c>
      <c r="AD19" s="106"/>
      <c r="AE19" s="119">
        <f>'2020'!BE135</f>
        <v>0</v>
      </c>
      <c r="AF19" s="119">
        <f t="shared" si="0"/>
        <v>0</v>
      </c>
    </row>
    <row r="20" spans="1:32" x14ac:dyDescent="0.25">
      <c r="A20" s="14"/>
      <c r="B20" s="115">
        <v>16</v>
      </c>
      <c r="C20" s="115">
        <v>3.98</v>
      </c>
      <c r="D20" s="117" t="s">
        <v>103</v>
      </c>
      <c r="E20" s="119">
        <f>'2020'!I144</f>
        <v>761</v>
      </c>
      <c r="F20" s="119">
        <f>'2020'!J144</f>
        <v>0</v>
      </c>
      <c r="G20" s="119">
        <f>'2020'!M144</f>
        <v>761</v>
      </c>
      <c r="H20" s="119">
        <f>'2020'!N144</f>
        <v>0</v>
      </c>
      <c r="I20" s="119">
        <f>'2020'!Q144</f>
        <v>761</v>
      </c>
      <c r="J20" s="119">
        <f>'2020'!R144</f>
        <v>0</v>
      </c>
      <c r="K20" s="119">
        <f>'2020'!U144</f>
        <v>809</v>
      </c>
      <c r="L20" s="119">
        <f>'2020'!V144</f>
        <v>48</v>
      </c>
      <c r="M20" s="119">
        <f>'2020'!Y144</f>
        <v>939</v>
      </c>
      <c r="N20" s="119">
        <f>'2020'!Z144</f>
        <v>130</v>
      </c>
      <c r="O20" s="119">
        <f>'2020'!AC144</f>
        <v>975</v>
      </c>
      <c r="P20" s="119">
        <f>'2020'!AD144</f>
        <v>36</v>
      </c>
      <c r="Q20" s="119">
        <f>'2020'!AG144</f>
        <v>1012</v>
      </c>
      <c r="R20" s="119">
        <f>'2020'!AH144</f>
        <v>37</v>
      </c>
      <c r="S20" s="119">
        <f>'2020'!AK144</f>
        <v>1055</v>
      </c>
      <c r="T20" s="119">
        <f>'2020'!AL144</f>
        <v>43</v>
      </c>
      <c r="U20" s="119">
        <f>'2020'!AO144</f>
        <v>1128</v>
      </c>
      <c r="V20" s="119">
        <f>'2020'!AP144</f>
        <v>73</v>
      </c>
      <c r="W20" s="119">
        <f>'2020'!AS144</f>
        <v>1249</v>
      </c>
      <c r="X20" s="119">
        <f>'2020'!AT144</f>
        <v>121</v>
      </c>
      <c r="Y20" s="119">
        <f>'2020'!AW144</f>
        <v>1249</v>
      </c>
      <c r="Z20" s="119">
        <f>'2020'!AX144</f>
        <v>0</v>
      </c>
      <c r="AA20" s="106"/>
      <c r="AB20" s="119">
        <f>'2020'!BA144</f>
        <v>1249</v>
      </c>
      <c r="AC20" s="119">
        <f>'2020'!BB144</f>
        <v>0</v>
      </c>
      <c r="AD20" s="106"/>
      <c r="AE20" s="119">
        <f>'2020'!BE144</f>
        <v>488</v>
      </c>
      <c r="AF20" s="119">
        <f t="shared" si="0"/>
        <v>0</v>
      </c>
    </row>
    <row r="21" ht="15.75" customHeight="1" spans="1:32" x14ac:dyDescent="0.25">
      <c r="A21" s="14"/>
      <c r="B21" s="115">
        <v>17</v>
      </c>
      <c r="C21" s="116">
        <v>4</v>
      </c>
      <c r="D21" s="117" t="s">
        <v>106</v>
      </c>
      <c r="E21" s="119">
        <f>'2020'!I153</f>
        <v>18</v>
      </c>
      <c r="F21" s="119">
        <f>'2020'!J153</f>
        <v>0</v>
      </c>
      <c r="G21" s="119">
        <f>'2020'!M153</f>
        <v>18</v>
      </c>
      <c r="H21" s="119">
        <f>'2020'!N153</f>
        <v>0</v>
      </c>
      <c r="I21" s="119">
        <f>'2020'!Q153</f>
        <v>18</v>
      </c>
      <c r="J21" s="119">
        <f>'2020'!R153</f>
        <v>0</v>
      </c>
      <c r="K21" s="119">
        <f>'2020'!U153</f>
        <v>18</v>
      </c>
      <c r="L21" s="119">
        <f>'2020'!V153</f>
        <v>0</v>
      </c>
      <c r="M21" s="119">
        <f>'2020'!Y153</f>
        <v>39</v>
      </c>
      <c r="N21" s="119">
        <f>'2020'!Z153</f>
        <v>21</v>
      </c>
      <c r="O21" s="119">
        <f>'2020'!AC153</f>
        <v>55</v>
      </c>
      <c r="P21" s="119">
        <f>'2020'!AD153</f>
        <v>16</v>
      </c>
      <c r="Q21" s="119">
        <f>'2020'!AG153</f>
        <v>76</v>
      </c>
      <c r="R21" s="119">
        <f>'2020'!AH153</f>
        <v>21</v>
      </c>
      <c r="S21" s="119">
        <f>'2020'!AK153</f>
        <v>95</v>
      </c>
      <c r="T21" s="119">
        <f>'2020'!AL153</f>
        <v>19</v>
      </c>
      <c r="U21" s="119">
        <f>'2020'!AO153</f>
        <v>95</v>
      </c>
      <c r="V21" s="119">
        <f>'2020'!AP153</f>
        <v>0</v>
      </c>
      <c r="W21" s="119">
        <f>'2020'!AS153</f>
        <v>95</v>
      </c>
      <c r="X21" s="119">
        <f>'2020'!AT153</f>
        <v>0</v>
      </c>
      <c r="Y21" s="119">
        <f>'2020'!AW153</f>
        <v>95</v>
      </c>
      <c r="Z21" s="119">
        <f>'2020'!AX153</f>
        <v>0</v>
      </c>
      <c r="AA21" s="106"/>
      <c r="AB21" s="119">
        <f>'2020'!BA153</f>
        <v>95</v>
      </c>
      <c r="AC21" s="119">
        <f>'2020'!BB153</f>
        <v>0</v>
      </c>
      <c r="AD21" s="106"/>
      <c r="AE21" s="119">
        <f>'2020'!BE153</f>
        <v>77</v>
      </c>
      <c r="AF21" s="119">
        <f t="shared" si="0"/>
        <v>0</v>
      </c>
    </row>
    <row r="22" ht="15.75" customHeight="1" spans="1:32" x14ac:dyDescent="0.25">
      <c r="A22" s="14"/>
      <c r="B22" s="115">
        <v>18</v>
      </c>
      <c r="C22" s="115">
        <v>4.03</v>
      </c>
      <c r="D22" s="117" t="s">
        <v>109</v>
      </c>
      <c r="E22" s="119">
        <f>'2020'!I162</f>
        <v>258</v>
      </c>
      <c r="F22" s="119">
        <f>'2020'!J162</f>
        <v>0</v>
      </c>
      <c r="G22" s="119">
        <f>'2020'!M162</f>
        <v>258</v>
      </c>
      <c r="H22" s="119">
        <f>'2020'!N162</f>
        <v>0</v>
      </c>
      <c r="I22" s="119">
        <f>'2020'!Q162</f>
        <v>258</v>
      </c>
      <c r="J22" s="119">
        <f>'2020'!R162</f>
        <v>0</v>
      </c>
      <c r="K22" s="119">
        <f>'2020'!U162</f>
        <v>261</v>
      </c>
      <c r="L22" s="119">
        <f>'2020'!V162</f>
        <v>3</v>
      </c>
      <c r="M22" s="119">
        <f>'2020'!Y162</f>
        <v>279</v>
      </c>
      <c r="N22" s="119">
        <f>'2020'!Z162</f>
        <v>18</v>
      </c>
      <c r="O22" s="119">
        <f>'2020'!AC162</f>
        <v>293</v>
      </c>
      <c r="P22" s="119">
        <f>'2020'!AD162</f>
        <v>14</v>
      </c>
      <c r="Q22" s="119">
        <f>'2020'!AG162</f>
        <v>317</v>
      </c>
      <c r="R22" s="119">
        <f>'2020'!AH162</f>
        <v>24</v>
      </c>
      <c r="S22" s="119">
        <f>'2020'!AK162</f>
        <v>340</v>
      </c>
      <c r="T22" s="119">
        <f>'2020'!AL162</f>
        <v>23</v>
      </c>
      <c r="U22" s="119">
        <f>'2020'!AO162</f>
        <v>353</v>
      </c>
      <c r="V22" s="119">
        <f>'2020'!AP162</f>
        <v>13</v>
      </c>
      <c r="W22" s="119">
        <f>'2020'!AS162</f>
        <v>359</v>
      </c>
      <c r="X22" s="119">
        <f>'2020'!AT162</f>
        <v>6</v>
      </c>
      <c r="Y22" s="119">
        <f>'2020'!AW162</f>
        <v>359</v>
      </c>
      <c r="Z22" s="119">
        <f>'2020'!AX162</f>
        <v>0</v>
      </c>
      <c r="AA22" s="106"/>
      <c r="AB22" s="119">
        <f>'2020'!BA162</f>
        <v>359</v>
      </c>
      <c r="AC22" s="119">
        <f>'2020'!BB162</f>
        <v>0</v>
      </c>
      <c r="AD22" s="106"/>
      <c r="AE22" s="119">
        <f>'2020'!BE162</f>
        <v>101</v>
      </c>
      <c r="AF22" s="119">
        <f t="shared" si="0"/>
        <v>0</v>
      </c>
    </row>
    <row r="23" ht="15.75" customHeight="1" spans="1:32" x14ac:dyDescent="0.25">
      <c r="A23" s="21"/>
      <c r="B23" s="115">
        <v>19</v>
      </c>
      <c r="C23" s="116">
        <v>4.1</v>
      </c>
      <c r="D23" s="117" t="s">
        <v>113</v>
      </c>
      <c r="E23" s="119">
        <f>'2020'!I171</f>
        <v>1</v>
      </c>
      <c r="F23" s="119">
        <f>'2020'!J171</f>
        <v>0</v>
      </c>
      <c r="G23" s="119">
        <f>'2020'!M171</f>
        <v>1</v>
      </c>
      <c r="H23" s="119">
        <f>'2020'!N171</f>
        <v>0</v>
      </c>
      <c r="I23" s="119">
        <f>'2020'!Q171</f>
        <v>1</v>
      </c>
      <c r="J23" s="119">
        <f>'2020'!R171</f>
        <v>0</v>
      </c>
      <c r="K23" s="119">
        <f>'2020'!U171</f>
        <v>1</v>
      </c>
      <c r="L23" s="119">
        <f>'2020'!V171</f>
        <v>0</v>
      </c>
      <c r="M23" s="119">
        <f>'2020'!Y171</f>
        <v>1</v>
      </c>
      <c r="N23" s="119">
        <f>'2020'!Z171</f>
        <v>0</v>
      </c>
      <c r="O23" s="119">
        <f>'2020'!AC171</f>
        <v>1</v>
      </c>
      <c r="P23" s="119">
        <f>'2020'!AD171</f>
        <v>0</v>
      </c>
      <c r="Q23" s="119">
        <f>'2020'!AG171</f>
        <v>1</v>
      </c>
      <c r="R23" s="119">
        <f>'2020'!AH171</f>
        <v>0</v>
      </c>
      <c r="S23" s="119">
        <f>'2020'!AK171</f>
        <v>1</v>
      </c>
      <c r="T23" s="119">
        <f>'2020'!AL171</f>
        <v>0</v>
      </c>
      <c r="U23" s="119">
        <f>'2020'!AO171</f>
        <v>1</v>
      </c>
      <c r="V23" s="119">
        <f>'2020'!AP171</f>
        <v>0</v>
      </c>
      <c r="W23" s="119">
        <f>'2020'!AS171</f>
        <v>1</v>
      </c>
      <c r="X23" s="119">
        <f>'2020'!AT171</f>
        <v>0</v>
      </c>
      <c r="Y23" s="119">
        <f>'2020'!AW171</f>
        <v>1</v>
      </c>
      <c r="Z23" s="119">
        <f>'2020'!AX171</f>
        <v>0</v>
      </c>
      <c r="AA23" s="106"/>
      <c r="AB23" s="119">
        <f>'2020'!BA171</f>
        <v>1</v>
      </c>
      <c r="AC23" s="119">
        <f>'2020'!BB171</f>
        <v>0</v>
      </c>
      <c r="AD23" s="106"/>
      <c r="AE23" s="119">
        <f>'2020'!BE171</f>
        <v>0</v>
      </c>
      <c r="AF23" s="119">
        <f t="shared" si="0"/>
        <v>0</v>
      </c>
    </row>
    <row r="24" ht="15.75" customHeight="1" spans="1:32" x14ac:dyDescent="0.25">
      <c r="A24" s="114" t="s">
        <v>116</v>
      </c>
      <c r="B24" s="115" t="s">
        <v>117</v>
      </c>
      <c r="C24" s="283">
        <v>4</v>
      </c>
      <c r="D24" s="117" t="s">
        <v>118</v>
      </c>
      <c r="E24" s="119">
        <f>'2020'!I180</f>
        <v>2985</v>
      </c>
      <c r="F24" s="119">
        <f>'2020'!J180</f>
        <v>0</v>
      </c>
      <c r="G24" s="119">
        <f>'2020'!M180</f>
        <v>2985</v>
      </c>
      <c r="H24" s="119">
        <f>'2020'!N180</f>
        <v>0</v>
      </c>
      <c r="I24" s="119">
        <f>'2020'!Q180</f>
        <v>2985</v>
      </c>
      <c r="J24" s="119">
        <f>'2020'!R180</f>
        <v>0</v>
      </c>
      <c r="K24" s="119">
        <f>'2020'!U180</f>
        <v>2990</v>
      </c>
      <c r="L24" s="119">
        <f>'2020'!V180</f>
        <v>5</v>
      </c>
      <c r="M24" s="119">
        <f>'2020'!Y180</f>
        <v>3063</v>
      </c>
      <c r="N24" s="119">
        <f>'2020'!Z180</f>
        <v>73</v>
      </c>
      <c r="O24" s="119">
        <f>'2020'!AC180</f>
        <v>3106</v>
      </c>
      <c r="P24" s="119">
        <f>'2020'!AD180</f>
        <v>43</v>
      </c>
      <c r="Q24" s="119">
        <f>'2020'!AG180</f>
        <v>3166</v>
      </c>
      <c r="R24" s="119">
        <f>'2020'!AH180</f>
        <v>60</v>
      </c>
      <c r="S24" s="119">
        <f>'2020'!AK180</f>
        <v>3215</v>
      </c>
      <c r="T24" s="119">
        <f>'2020'!AL180</f>
        <v>49</v>
      </c>
      <c r="U24" s="119">
        <f>'2020'!AO180</f>
        <v>3262</v>
      </c>
      <c r="V24" s="119">
        <f>'2020'!AP180</f>
        <v>47</v>
      </c>
      <c r="W24" s="119">
        <f>'2020'!AS180</f>
        <v>3265</v>
      </c>
      <c r="X24" s="119">
        <f>'2020'!AT180</f>
        <v>3</v>
      </c>
      <c r="Y24" s="119">
        <f>'2020'!AW180</f>
        <v>3265</v>
      </c>
      <c r="Z24" s="119">
        <f>'2020'!AX180</f>
        <v>0</v>
      </c>
      <c r="AA24" s="106"/>
      <c r="AB24" s="119">
        <f>'2020'!BA180</f>
        <v>3265</v>
      </c>
      <c r="AC24" s="119">
        <f>'2020'!BB180</f>
        <v>0</v>
      </c>
      <c r="AD24" s="106"/>
      <c r="AE24" s="119">
        <f>'2020'!BE180</f>
        <v>280</v>
      </c>
      <c r="AF24" s="119">
        <f t="shared" si="0"/>
        <v>0</v>
      </c>
    </row>
    <row r="25" ht="15.75" customHeight="1" spans="1:32" x14ac:dyDescent="0.25">
      <c r="A25" s="27"/>
      <c r="B25" s="115" t="s">
        <v>530</v>
      </c>
      <c r="C25" s="283">
        <v>4</v>
      </c>
      <c r="D25" s="117" t="s">
        <v>118</v>
      </c>
      <c r="E25" s="119">
        <f>'2020'!I189</f>
      </c>
      <c r="F25" s="119">
        <f>'2020'!J189</f>
      </c>
      <c r="G25" s="119">
        <f>'2020'!M189</f>
      </c>
      <c r="H25" s="119">
        <f>'2020'!N189</f>
      </c>
      <c r="I25" s="119">
        <f>'2020'!Q189</f>
      </c>
      <c r="J25" s="119">
        <f>'2020'!R189</f>
        <v>0</v>
      </c>
      <c r="K25" s="119">
        <f>'2020'!U189</f>
      </c>
      <c r="L25" s="119">
        <f>'2020'!V189</f>
        <v>0</v>
      </c>
      <c r="M25" s="119">
        <f>'2020'!Y189</f>
      </c>
      <c r="N25" s="119">
        <f>'2020'!Z189</f>
        <v>0</v>
      </c>
      <c r="O25" s="119">
        <f>'2020'!AC189</f>
      </c>
      <c r="P25" s="119">
        <f>'2020'!AD189</f>
        <v>0</v>
      </c>
      <c r="Q25" s="119">
        <f>'2020'!AG189</f>
      </c>
      <c r="R25" s="119">
        <f>'2020'!AH189</f>
        <v>0</v>
      </c>
      <c r="S25" s="119">
        <f>'2020'!AK189</f>
        <v>0</v>
      </c>
      <c r="T25" s="119">
        <f>'2020'!AL189</f>
        <v>0</v>
      </c>
      <c r="U25" s="119">
        <f>'2020'!AO189</f>
        <v>0</v>
      </c>
      <c r="V25" s="119">
        <f>'2020'!AP189</f>
        <v>0</v>
      </c>
      <c r="W25" s="119">
        <f>'2020'!AS189</f>
        <v>0</v>
      </c>
      <c r="X25" s="119">
        <f>'2020'!AT189</f>
        <v>0</v>
      </c>
      <c r="Y25" s="119">
        <f>'2020'!AW189</f>
        <v>0</v>
      </c>
      <c r="Z25" s="119">
        <f>'2020'!AX189</f>
        <v>0</v>
      </c>
      <c r="AA25" s="106"/>
      <c r="AB25" s="119">
        <f>'2020'!BA189</f>
        <v>0</v>
      </c>
      <c r="AC25" s="119">
        <f>'2020'!BB189</f>
        <v>0</v>
      </c>
      <c r="AD25" s="106"/>
      <c r="AE25" s="119">
        <f>'2020'!BE189</f>
        <v>0</v>
      </c>
      <c r="AF25" s="119">
        <f t="shared" si="0"/>
        <v>0</v>
      </c>
    </row>
    <row r="26" ht="15.75" customHeight="1" spans="1:32" x14ac:dyDescent="0.25">
      <c r="A26" s="14"/>
      <c r="B26" s="115">
        <v>21</v>
      </c>
      <c r="C26" s="115">
        <v>3.96</v>
      </c>
      <c r="D26" s="117" t="s">
        <v>120</v>
      </c>
      <c r="E26" s="119">
        <f>'2020'!I198</f>
        <v>1560</v>
      </c>
      <c r="F26" s="119">
        <f>'2020'!J198</f>
        <v>41</v>
      </c>
      <c r="G26" s="119">
        <f>'2020'!M198</f>
        <v>1586</v>
      </c>
      <c r="H26" s="119">
        <f>'2020'!N198</f>
        <v>26</v>
      </c>
      <c r="I26" s="119">
        <f>'2020'!Q198</f>
        <v>1612</v>
      </c>
      <c r="J26" s="119">
        <f>'2020'!R198</f>
        <v>26</v>
      </c>
      <c r="K26" s="119">
        <f>'2020'!U198</f>
        <v>1642</v>
      </c>
      <c r="L26" s="119">
        <f>'2020'!V198</f>
        <v>30</v>
      </c>
      <c r="M26" s="119">
        <f>'2020'!Y198</f>
        <v>1732</v>
      </c>
      <c r="N26" s="119">
        <f>'2020'!Z198</f>
        <v>90</v>
      </c>
      <c r="O26" s="119">
        <f>'2020'!AC198</f>
        <v>1838</v>
      </c>
      <c r="P26" s="119">
        <f>'2020'!AD198</f>
        <v>106</v>
      </c>
      <c r="Q26" s="119">
        <f>'2020'!AG198</f>
        <v>1938</v>
      </c>
      <c r="R26" s="119">
        <f>'2020'!AH198</f>
        <v>100</v>
      </c>
      <c r="S26" s="119">
        <f>'2020'!AK198</f>
        <v>2040</v>
      </c>
      <c r="T26" s="119">
        <f>'2020'!AL198</f>
        <v>102</v>
      </c>
      <c r="U26" s="119">
        <f>'2020'!AO198</f>
        <v>2087</v>
      </c>
      <c r="V26" s="119">
        <f>'2020'!AP198</f>
        <v>47</v>
      </c>
      <c r="W26" s="119">
        <f>'2020'!AS198</f>
        <v>2149</v>
      </c>
      <c r="X26" s="119">
        <f>'2020'!AT198</f>
        <v>62</v>
      </c>
      <c r="Y26" s="119">
        <f>'2020'!AW198</f>
        <v>2173</v>
      </c>
      <c r="Z26" s="119">
        <f>'2020'!AX198</f>
        <v>24</v>
      </c>
      <c r="AA26" s="119"/>
      <c r="AB26" s="119">
        <f>'2020'!BA198</f>
        <v>2193</v>
      </c>
      <c r="AC26" s="119">
        <f>'2020'!BB198</f>
        <v>20</v>
      </c>
      <c r="AD26" s="106"/>
      <c r="AE26" s="119">
        <f>'2020'!BE198</f>
        <v>674</v>
      </c>
      <c r="AF26" s="119">
        <f t="shared" si="0"/>
        <v>0</v>
      </c>
    </row>
    <row r="27" ht="15.75" customHeight="1" spans="1:32" x14ac:dyDescent="0.25">
      <c r="A27" s="14"/>
      <c r="B27" s="115">
        <v>23</v>
      </c>
      <c r="C27" s="115">
        <v>3.98</v>
      </c>
      <c r="D27" s="117" t="s">
        <v>124</v>
      </c>
      <c r="E27" s="119">
        <f>'2020'!I207</f>
        <v>3353</v>
      </c>
      <c r="F27" s="119">
        <f>'2020'!J207</f>
        <v>0</v>
      </c>
      <c r="G27" s="119">
        <f>'2020'!M207</f>
        <v>3353</v>
      </c>
      <c r="H27" s="119">
        <f>'2020'!N207</f>
        <v>0</v>
      </c>
      <c r="I27" s="119">
        <f>'2020'!Q207</f>
        <v>3353</v>
      </c>
      <c r="J27" s="119">
        <f>'2020'!R207</f>
        <v>0</v>
      </c>
      <c r="K27" s="119">
        <f>'2020'!U207</f>
        <v>3414</v>
      </c>
      <c r="L27" s="119">
        <f>'2020'!V207</f>
        <v>61</v>
      </c>
      <c r="M27" s="119">
        <f>'2020'!Y207</f>
        <v>3845</v>
      </c>
      <c r="N27" s="119">
        <f>'2020'!Z207</f>
        <v>431</v>
      </c>
      <c r="O27" s="119">
        <f>'2020'!AC207</f>
        <v>4165</v>
      </c>
      <c r="P27" s="119">
        <f>'2020'!AD207</f>
        <v>320</v>
      </c>
      <c r="Q27" s="119">
        <f>'2020'!AG207</f>
        <v>4259</v>
      </c>
      <c r="R27" s="119">
        <f>'2020'!AH207</f>
        <v>94</v>
      </c>
      <c r="S27" s="119">
        <f>'2020'!AK207</f>
        <v>4556</v>
      </c>
      <c r="T27" s="119">
        <f>'2020'!AL207</f>
        <v>297</v>
      </c>
      <c r="U27" s="119">
        <f>'2020'!AO207</f>
        <v>5352</v>
      </c>
      <c r="V27" s="119">
        <f>'2020'!AP207</f>
        <v>796</v>
      </c>
      <c r="W27" s="119">
        <f>'2020'!AS207</f>
        <v>5766</v>
      </c>
      <c r="X27" s="119">
        <f>'2020'!AT207</f>
        <v>414</v>
      </c>
      <c r="Y27" s="119">
        <f>'2020'!AW207</f>
        <v>5766</v>
      </c>
      <c r="Z27" s="119">
        <f>'2020'!AX207</f>
        <v>0</v>
      </c>
      <c r="AA27" s="106"/>
      <c r="AB27" s="119">
        <f>'2020'!BA207</f>
        <v>5766</v>
      </c>
      <c r="AC27" s="119">
        <f>'2020'!BB207</f>
        <v>0</v>
      </c>
      <c r="AD27" s="106"/>
      <c r="AE27" s="119">
        <f>'2020'!BE207</f>
        <v>2413</v>
      </c>
      <c r="AF27" s="119">
        <f t="shared" si="0"/>
        <v>0</v>
      </c>
    </row>
    <row r="28" ht="15.75" customHeight="1" spans="1:32" x14ac:dyDescent="0.25">
      <c r="A28" s="14"/>
      <c r="B28" s="115">
        <v>24</v>
      </c>
      <c r="C28" s="115">
        <v>4.01</v>
      </c>
      <c r="D28" s="117" t="s">
        <v>127</v>
      </c>
      <c r="E28" s="119">
        <f>'2020'!I216</f>
        <v>76</v>
      </c>
      <c r="F28" s="119">
        <f>'2020'!J216</f>
        <v>0</v>
      </c>
      <c r="G28" s="119">
        <f>'2020'!M216</f>
        <v>76</v>
      </c>
      <c r="H28" s="119">
        <f>'2020'!N216</f>
        <v>0</v>
      </c>
      <c r="I28" s="119">
        <f>'2020'!Q216</f>
        <v>76</v>
      </c>
      <c r="J28" s="119">
        <f>'2020'!R216</f>
        <v>0</v>
      </c>
      <c r="K28" s="119">
        <f>'2020'!U216</f>
        <v>76</v>
      </c>
      <c r="L28" s="119">
        <f>'2020'!V216</f>
        <v>0</v>
      </c>
      <c r="M28" s="119">
        <f>'2020'!Y216</f>
        <v>84</v>
      </c>
      <c r="N28" s="119">
        <f>'2020'!Z216</f>
        <v>8</v>
      </c>
      <c r="O28" s="119">
        <f>'2020'!AC216</f>
        <v>120</v>
      </c>
      <c r="P28" s="119">
        <f>'2020'!AD216</f>
        <v>36</v>
      </c>
      <c r="Q28" s="119">
        <f>'2020'!AG216</f>
        <v>161</v>
      </c>
      <c r="R28" s="119">
        <f>'2020'!AH216</f>
        <v>41</v>
      </c>
      <c r="S28" s="119">
        <f>'2020'!AK216</f>
        <v>247</v>
      </c>
      <c r="T28" s="119">
        <f>'2020'!AL216</f>
        <v>86</v>
      </c>
      <c r="U28" s="119">
        <f>'2020'!AO216</f>
        <v>257</v>
      </c>
      <c r="V28" s="119">
        <f>'2020'!AP216</f>
        <v>10</v>
      </c>
      <c r="W28" s="119">
        <f>'2020'!AS216</f>
        <v>257</v>
      </c>
      <c r="X28" s="119">
        <f>'2020'!AT216</f>
        <v>0</v>
      </c>
      <c r="Y28" s="119">
        <f>'2020'!AW216</f>
        <v>257</v>
      </c>
      <c r="Z28" s="119">
        <f>'2020'!AX216</f>
        <v>0</v>
      </c>
      <c r="AA28" s="106"/>
      <c r="AB28" s="119">
        <f>'2020'!BA216</f>
        <v>257</v>
      </c>
      <c r="AC28" s="119">
        <f>'2020'!BB216</f>
        <v>0</v>
      </c>
      <c r="AD28" s="106"/>
      <c r="AE28" s="119">
        <f>'2020'!BE216</f>
        <v>181</v>
      </c>
      <c r="AF28" s="119">
        <f t="shared" si="0"/>
        <v>0</v>
      </c>
    </row>
    <row r="29" ht="15.75" customHeight="1" spans="1:32" x14ac:dyDescent="0.25">
      <c r="A29" s="14"/>
      <c r="B29" s="115">
        <v>25</v>
      </c>
      <c r="C29" s="116">
        <v>4</v>
      </c>
      <c r="D29" s="117" t="s">
        <v>131</v>
      </c>
      <c r="E29" s="119">
        <f>'2020'!I225</f>
        <v>13</v>
      </c>
      <c r="F29" s="119">
        <f>'2020'!J225</f>
      </c>
      <c r="G29" s="119">
        <f>'2020'!M225</f>
        <v>13</v>
      </c>
      <c r="H29" s="119">
        <f>'2020'!N225</f>
        <v>0</v>
      </c>
      <c r="I29" s="119">
        <f>'2020'!Q225</f>
        <v>13</v>
      </c>
      <c r="J29" s="119">
        <f>'2020'!R225</f>
        <v>0</v>
      </c>
      <c r="K29" s="119">
        <f>'2020'!U225</f>
        <v>13</v>
      </c>
      <c r="L29" s="119">
        <f>'2020'!V225</f>
        <v>0</v>
      </c>
      <c r="M29" s="119">
        <f>'2020'!Y225</f>
        <v>13</v>
      </c>
      <c r="N29" s="119">
        <f>'2020'!Z225</f>
        <v>0</v>
      </c>
      <c r="O29" s="119">
        <f>'2020'!AC225</f>
        <v>20</v>
      </c>
      <c r="P29" s="119">
        <f>'2020'!AD225</f>
        <v>7</v>
      </c>
      <c r="Q29" s="119">
        <f>'2020'!AG225</f>
        <v>24</v>
      </c>
      <c r="R29" s="119">
        <f>'2020'!AH225</f>
        <v>4</v>
      </c>
      <c r="S29" s="119">
        <f>'2020'!AK225</f>
        <v>26</v>
      </c>
      <c r="T29" s="119">
        <f>'2020'!AL225</f>
        <v>2</v>
      </c>
      <c r="U29" s="119">
        <f>'2020'!AO225</f>
        <v>26</v>
      </c>
      <c r="V29" s="119">
        <f>'2020'!AP225</f>
        <v>0</v>
      </c>
      <c r="W29" s="119">
        <f>'2020'!AS225</f>
        <v>26</v>
      </c>
      <c r="X29" s="119">
        <f>'2020'!AT225</f>
        <v>0</v>
      </c>
      <c r="Y29" s="119">
        <f>'2020'!AW225</f>
        <v>26</v>
      </c>
      <c r="Z29" s="119">
        <f>'2020'!AX225</f>
        <v>0</v>
      </c>
      <c r="AA29" s="106"/>
      <c r="AB29" s="119">
        <f>'2020'!BA225</f>
        <v>26</v>
      </c>
      <c r="AC29" s="119">
        <f>'2020'!BB225</f>
        <v>0</v>
      </c>
      <c r="AD29" s="106"/>
      <c r="AE29" s="119">
        <f>'2020'!BE225</f>
        <v>13</v>
      </c>
      <c r="AF29" s="119">
        <f t="shared" si="0"/>
        <v>0</v>
      </c>
    </row>
    <row r="30" ht="15.75" customHeight="1" spans="1:32" x14ac:dyDescent="0.25">
      <c r="A30" s="14"/>
      <c r="B30" s="115">
        <v>26</v>
      </c>
      <c r="C30" s="115">
        <v>3.98</v>
      </c>
      <c r="D30" s="117" t="s">
        <v>133</v>
      </c>
      <c r="E30" s="119">
        <f>'2020'!I234</f>
      </c>
      <c r="F30" s="119">
        <f>'2020'!J234</f>
      </c>
      <c r="G30" s="119">
        <f>'2020'!M234</f>
      </c>
      <c r="H30" s="119">
        <f>'2020'!N234</f>
      </c>
      <c r="I30" s="119">
        <f>'2020'!Q234</f>
      </c>
      <c r="J30" s="119">
        <f>'2020'!R234</f>
        <v>0</v>
      </c>
      <c r="K30" s="119">
        <f>'2020'!U234</f>
      </c>
      <c r="L30" s="119">
        <f>'2020'!V234</f>
        <v>0</v>
      </c>
      <c r="M30" s="119">
        <f>'2020'!Y234</f>
      </c>
      <c r="N30" s="119">
        <f>'2020'!Z234</f>
        <v>0</v>
      </c>
      <c r="O30" s="119">
        <f>'2020'!AC234</f>
      </c>
      <c r="P30" s="119">
        <f>'2020'!AD234</f>
        <v>0</v>
      </c>
      <c r="Q30" s="119">
        <f>'2020'!AG234</f>
      </c>
      <c r="R30" s="119">
        <f>'2020'!AH234</f>
        <v>0</v>
      </c>
      <c r="S30" s="119">
        <f>'2020'!AK234</f>
        <v>0</v>
      </c>
      <c r="T30" s="119">
        <f>'2020'!AL234</f>
        <v>0</v>
      </c>
      <c r="U30" s="119">
        <f>'2020'!AO234</f>
        <v>0</v>
      </c>
      <c r="V30" s="119">
        <f>'2020'!AP234</f>
        <v>0</v>
      </c>
      <c r="W30" s="119">
        <f>'2020'!AS234</f>
        <v>0</v>
      </c>
      <c r="X30" s="119">
        <f>'2020'!AT234</f>
        <v>0</v>
      </c>
      <c r="Y30" s="119">
        <f>'2020'!AW234</f>
        <v>0</v>
      </c>
      <c r="Z30" s="119">
        <f>'2020'!AX234</f>
        <v>0</v>
      </c>
      <c r="AA30" s="106"/>
      <c r="AB30" s="119">
        <f>'2020'!BA234</f>
        <v>0</v>
      </c>
      <c r="AC30" s="119">
        <f>'2020'!BB234</f>
        <v>0</v>
      </c>
      <c r="AD30" s="106"/>
      <c r="AE30" s="119">
        <f>'2020'!BE234</f>
        <v>0</v>
      </c>
      <c r="AF30" s="119">
        <f t="shared" si="0"/>
        <v>0</v>
      </c>
    </row>
    <row r="31" ht="15.75" customHeight="1" spans="1:32" x14ac:dyDescent="0.25">
      <c r="A31" s="14"/>
      <c r="B31" s="115">
        <v>27</v>
      </c>
      <c r="C31" s="115">
        <v>4.04</v>
      </c>
      <c r="D31" s="117" t="s">
        <v>136</v>
      </c>
      <c r="E31" s="119">
        <f>'2020'!I243</f>
      </c>
      <c r="F31" s="119">
        <f>'2020'!J243</f>
      </c>
      <c r="G31" s="119">
        <f>'2020'!M243</f>
      </c>
      <c r="H31" s="119">
        <f>'2020'!N243</f>
      </c>
      <c r="I31" s="119">
        <f>'2020'!Q243</f>
      </c>
      <c r="J31" s="119">
        <f>'2020'!R243</f>
        <v>0</v>
      </c>
      <c r="K31" s="119">
        <f>'2020'!U243</f>
      </c>
      <c r="L31" s="119">
        <f>'2020'!V243</f>
        <v>0</v>
      </c>
      <c r="M31" s="119">
        <f>'2020'!Y243</f>
      </c>
      <c r="N31" s="119">
        <f>'2020'!Z243</f>
        <v>0</v>
      </c>
      <c r="O31" s="119">
        <f>'2020'!AC243</f>
      </c>
      <c r="P31" s="119">
        <f>'2020'!AD243</f>
        <v>0</v>
      </c>
      <c r="Q31" s="119">
        <f>'2020'!AG243</f>
      </c>
      <c r="R31" s="119">
        <f>'2020'!AH243</f>
        <v>0</v>
      </c>
      <c r="S31" s="119">
        <f>'2020'!AK243</f>
        <v>0</v>
      </c>
      <c r="T31" s="119">
        <f>'2020'!AL243</f>
        <v>0</v>
      </c>
      <c r="U31" s="119">
        <f>'2020'!AO243</f>
        <v>0</v>
      </c>
      <c r="V31" s="119">
        <f>'2020'!AP243</f>
        <v>0</v>
      </c>
      <c r="W31" s="119">
        <f>'2020'!AS243</f>
        <v>0</v>
      </c>
      <c r="X31" s="119">
        <f>'2020'!AT243</f>
        <v>0</v>
      </c>
      <c r="Y31" s="119">
        <f>'2020'!AW243</f>
        <v>0</v>
      </c>
      <c r="Z31" s="119">
        <f>'2020'!AX243</f>
        <v>0</v>
      </c>
      <c r="AA31" s="106"/>
      <c r="AB31" s="119">
        <f>'2020'!BA243</f>
        <v>0</v>
      </c>
      <c r="AC31" s="119">
        <f>'2020'!BB243</f>
        <v>0</v>
      </c>
      <c r="AD31" s="106"/>
      <c r="AE31" s="119">
        <f>'2020'!BE243</f>
        <v>0</v>
      </c>
      <c r="AF31" s="119">
        <f t="shared" si="0"/>
        <v>0</v>
      </c>
    </row>
    <row r="32" ht="15.75" customHeight="1" spans="1:32" x14ac:dyDescent="0.25">
      <c r="A32" s="14"/>
      <c r="B32" s="115">
        <v>28</v>
      </c>
      <c r="C32" s="115">
        <v>3.96</v>
      </c>
      <c r="D32" s="117" t="s">
        <v>140</v>
      </c>
      <c r="E32" s="119">
        <f>'2020'!I252</f>
        <v>18482</v>
      </c>
      <c r="F32" s="119">
        <f>'2020'!J252</f>
        <v>882</v>
      </c>
      <c r="G32" s="119">
        <f>'2020'!M252</f>
        <v>19176</v>
      </c>
      <c r="H32" s="119">
        <f>'2020'!N252</f>
        <v>694</v>
      </c>
      <c r="I32" s="119">
        <f>'2020'!Q252</f>
        <v>19681</v>
      </c>
      <c r="J32" s="119">
        <f>'2020'!R252</f>
        <v>505</v>
      </c>
      <c r="K32" s="119">
        <f>'2020'!U252</f>
        <v>20030</v>
      </c>
      <c r="L32" s="119">
        <f>'2020'!V252</f>
        <v>349</v>
      </c>
      <c r="M32" s="119">
        <f>'2020'!Y252</f>
        <v>20192</v>
      </c>
      <c r="N32" s="119">
        <f>'2020'!Z252</f>
        <v>162</v>
      </c>
      <c r="O32" s="119">
        <f>'2020'!AC252</f>
        <v>20292</v>
      </c>
      <c r="P32" s="119">
        <f>'2020'!AD252</f>
        <v>100</v>
      </c>
      <c r="Q32" s="119">
        <f>'2020'!AG252</f>
        <v>20354</v>
      </c>
      <c r="R32" s="119">
        <f>'2020'!AH252</f>
        <v>62</v>
      </c>
      <c r="S32" s="119">
        <f>'2020'!AK252</f>
        <v>20380</v>
      </c>
      <c r="T32" s="119">
        <f>'2020'!AL252</f>
        <v>26</v>
      </c>
      <c r="U32" s="119">
        <f>'2020'!AO252</f>
        <v>20396</v>
      </c>
      <c r="V32" s="119">
        <f>'2020'!AP252</f>
        <v>16</v>
      </c>
      <c r="W32" s="119">
        <f>'2020'!AS252</f>
        <v>20412</v>
      </c>
      <c r="X32" s="119">
        <f>'2020'!AT252</f>
        <v>16</v>
      </c>
      <c r="Y32" s="119">
        <f>'2020'!AW252</f>
        <v>261</v>
      </c>
      <c r="Z32" s="119">
        <f>'2020'!AX252</f>
        <v>261</v>
      </c>
      <c r="AA32" s="119">
        <v>400</v>
      </c>
      <c r="AB32" s="119">
        <f>'2020'!BA252</f>
        <v>1031</v>
      </c>
      <c r="AC32" s="119">
        <f>'2020'!BB252</f>
        <v>770</v>
      </c>
      <c r="AD32" s="119">
        <v>450</v>
      </c>
      <c r="AE32" s="119">
        <f>'2020'!BE252</f>
        <v>3843</v>
      </c>
      <c r="AF32" s="119">
        <f t="shared" si="0"/>
        <v>850</v>
      </c>
    </row>
    <row r="33" ht="15.75" customHeight="1" spans="1:32" x14ac:dyDescent="0.25">
      <c r="A33" s="14"/>
      <c r="B33" s="115">
        <v>30</v>
      </c>
      <c r="C33" s="115">
        <v>4.05</v>
      </c>
      <c r="D33" s="117" t="s">
        <v>496</v>
      </c>
      <c r="E33" s="119">
        <f>'2020'!I261</f>
      </c>
      <c r="F33" s="119">
        <f>'2020'!J261</f>
      </c>
      <c r="G33" s="119">
        <f>'2020'!M261</f>
      </c>
      <c r="H33" s="119">
        <f>'2020'!N261</f>
      </c>
      <c r="I33" s="119">
        <f>'2020'!Q261</f>
      </c>
      <c r="J33" s="119">
        <f>'2020'!R261</f>
        <v>0</v>
      </c>
      <c r="K33" s="119">
        <f>'2020'!U261</f>
      </c>
      <c r="L33" s="119">
        <f>'2020'!V261</f>
        <v>0</v>
      </c>
      <c r="M33" s="119">
        <f>'2020'!Y261</f>
      </c>
      <c r="N33" s="119">
        <f>'2020'!Z261</f>
        <v>0</v>
      </c>
      <c r="O33" s="119">
        <f>'2020'!AC261</f>
      </c>
      <c r="P33" s="119">
        <f>'2020'!AD261</f>
        <v>0</v>
      </c>
      <c r="Q33" s="119">
        <f>'2020'!AG261</f>
      </c>
      <c r="R33" s="119">
        <f>'2020'!AH261</f>
        <v>0</v>
      </c>
      <c r="S33" s="119">
        <f>'2020'!AK261</f>
        <v>0</v>
      </c>
      <c r="T33" s="119">
        <f>'2020'!AL261</f>
        <v>0</v>
      </c>
      <c r="U33" s="119">
        <f>'2020'!AO261</f>
        <v>5</v>
      </c>
      <c r="V33" s="119">
        <f>'2020'!AP261</f>
        <v>5</v>
      </c>
      <c r="W33" s="119">
        <f>'2020'!AS261</f>
        <v>7</v>
      </c>
      <c r="X33" s="119">
        <f>'2020'!AT261</f>
        <v>2</v>
      </c>
      <c r="Y33" s="119">
        <f>'2020'!AW261</f>
        <v>7</v>
      </c>
      <c r="Z33" s="119">
        <f>'2020'!AX261</f>
        <v>0</v>
      </c>
      <c r="AA33" s="119"/>
      <c r="AB33" s="119">
        <f>'2020'!BA261</f>
        <v>7</v>
      </c>
      <c r="AC33" s="119">
        <f>'2020'!BB261</f>
        <v>0</v>
      </c>
      <c r="AD33" s="106"/>
      <c r="AE33" s="119">
        <f>'2020'!BE261</f>
        <v>7</v>
      </c>
      <c r="AF33" s="119">
        <f t="shared" si="0"/>
        <v>0</v>
      </c>
    </row>
    <row r="34" ht="15.75" customHeight="1" spans="1:32" x14ac:dyDescent="0.25">
      <c r="A34" s="14"/>
      <c r="B34" s="115">
        <v>29</v>
      </c>
      <c r="C34" s="115">
        <v>4.02</v>
      </c>
      <c r="D34" s="117" t="s">
        <v>146</v>
      </c>
      <c r="E34" s="119">
        <f>'2020'!I270</f>
      </c>
      <c r="F34" s="119">
        <f>'2020'!J270</f>
      </c>
      <c r="G34" s="119">
        <f>'2020'!M270</f>
      </c>
      <c r="H34" s="119">
        <f>'2020'!N270</f>
      </c>
      <c r="I34" s="119">
        <f>'2020'!Q270</f>
      </c>
      <c r="J34" s="119">
        <f>'2020'!R270</f>
        <v>0</v>
      </c>
      <c r="K34" s="119">
        <f>'2020'!U270</f>
        <v>0</v>
      </c>
      <c r="L34" s="119">
        <f>'2020'!V270</f>
        <v>0</v>
      </c>
      <c r="M34" s="119">
        <f>'2020'!Y270</f>
        <v>0</v>
      </c>
      <c r="N34" s="119">
        <f>'2020'!Z270</f>
        <v>0</v>
      </c>
      <c r="O34" s="119">
        <f>'2020'!AC270</f>
        <v>0</v>
      </c>
      <c r="P34" s="119">
        <f>'2020'!AD270</f>
        <v>0</v>
      </c>
      <c r="Q34" s="119">
        <f>'2020'!AG270</f>
        <v>0</v>
      </c>
      <c r="R34" s="119">
        <f>'2020'!AH270</f>
        <v>0</v>
      </c>
      <c r="S34" s="119">
        <f>'2020'!AK270</f>
        <v>0</v>
      </c>
      <c r="T34" s="119">
        <f>'2020'!AL270</f>
        <v>0</v>
      </c>
      <c r="U34" s="119">
        <f>'2020'!AO270</f>
        <v>0</v>
      </c>
      <c r="V34" s="119">
        <f>'2020'!AP270</f>
        <v>0</v>
      </c>
      <c r="W34" s="119">
        <f>'2020'!AS270</f>
        <v>0</v>
      </c>
      <c r="X34" s="119">
        <f>'2020'!AT270</f>
        <v>0</v>
      </c>
      <c r="Y34" s="119">
        <f>'2020'!AW270</f>
        <v>0</v>
      </c>
      <c r="Z34" s="119">
        <f>'2020'!AX270</f>
        <v>0</v>
      </c>
      <c r="AA34" s="106"/>
      <c r="AB34" s="119">
        <f>'2020'!BA270</f>
        <v>0</v>
      </c>
      <c r="AC34" s="119">
        <f>'2020'!BB270</f>
        <v>0</v>
      </c>
      <c r="AD34" s="106"/>
      <c r="AE34" s="119">
        <f>'2020'!BE270</f>
        <v>0</v>
      </c>
      <c r="AF34" s="119">
        <f t="shared" si="0"/>
        <v>0</v>
      </c>
    </row>
    <row r="35" ht="15.75" customHeight="1" spans="1:32" x14ac:dyDescent="0.25">
      <c r="A35" s="14"/>
      <c r="B35" s="115">
        <v>31</v>
      </c>
      <c r="C35" s="116">
        <v>4</v>
      </c>
      <c r="D35" s="117" t="s">
        <v>149</v>
      </c>
      <c r="E35" s="119">
        <f>'2020'!I279</f>
        <v>5</v>
      </c>
      <c r="F35" s="119">
        <f>'2020'!J279</f>
      </c>
      <c r="G35" s="119">
        <f>'2020'!M279</f>
        <v>5</v>
      </c>
      <c r="H35" s="119">
        <f>'2020'!N279</f>
        <v>0</v>
      </c>
      <c r="I35" s="119">
        <f>'2020'!Q279</f>
        <v>5</v>
      </c>
      <c r="J35" s="119">
        <f>'2020'!R279</f>
        <v>0</v>
      </c>
      <c r="K35" s="119">
        <f>'2020'!U279</f>
        <v>5</v>
      </c>
      <c r="L35" s="119">
        <f>'2020'!V279</f>
        <v>0</v>
      </c>
      <c r="M35" s="119">
        <f>'2020'!Y279</f>
        <v>5</v>
      </c>
      <c r="N35" s="119">
        <f>'2020'!Z279</f>
        <v>0</v>
      </c>
      <c r="O35" s="119">
        <f>'2020'!AC279</f>
        <v>5</v>
      </c>
      <c r="P35" s="119">
        <f>'2020'!AD279</f>
        <v>0</v>
      </c>
      <c r="Q35" s="119">
        <f>'2020'!AG279</f>
        <v>5</v>
      </c>
      <c r="R35" s="119">
        <f>'2020'!AH279</f>
        <v>0</v>
      </c>
      <c r="S35" s="119">
        <f>'2020'!AK279</f>
        <v>5</v>
      </c>
      <c r="T35" s="119">
        <f>'2020'!AL279</f>
        <v>0</v>
      </c>
      <c r="U35" s="119">
        <f>'2020'!AO279</f>
        <v>5</v>
      </c>
      <c r="V35" s="119">
        <f>'2020'!AP279</f>
        <v>0</v>
      </c>
      <c r="W35" s="119">
        <f>'2020'!AS279</f>
        <v>5</v>
      </c>
      <c r="X35" s="119">
        <f>'2020'!AT279</f>
        <v>0</v>
      </c>
      <c r="Y35" s="119">
        <f>'2020'!AW279</f>
        <v>5</v>
      </c>
      <c r="Z35" s="119">
        <f>'2020'!AX279</f>
        <v>0</v>
      </c>
      <c r="AA35" s="106"/>
      <c r="AB35" s="119">
        <f>'2020'!BA279</f>
        <v>5</v>
      </c>
      <c r="AC35" s="119">
        <f>'2020'!BB279</f>
        <v>0</v>
      </c>
      <c r="AD35" s="106"/>
      <c r="AE35" s="119">
        <f>'2020'!BE279</f>
        <v>0</v>
      </c>
      <c r="AF35" s="119">
        <f t="shared" si="0"/>
        <v>0</v>
      </c>
    </row>
    <row r="36" ht="15.75" customHeight="1" spans="1:32" x14ac:dyDescent="0.25">
      <c r="A36" s="14"/>
      <c r="B36" s="115">
        <v>32</v>
      </c>
      <c r="C36" s="115">
        <v>3.96</v>
      </c>
      <c r="D36" s="117" t="s">
        <v>152</v>
      </c>
      <c r="E36" s="119">
        <f>'2020'!I288</f>
        <v>677</v>
      </c>
      <c r="F36" s="119">
        <f>'2020'!J288</f>
        <v>0</v>
      </c>
      <c r="G36" s="119">
        <f>'2020'!M288</f>
        <v>677</v>
      </c>
      <c r="H36" s="119">
        <f>'2020'!N288</f>
        <v>0</v>
      </c>
      <c r="I36" s="119">
        <f>'2020'!Q288</f>
        <v>677</v>
      </c>
      <c r="J36" s="119">
        <f>'2020'!R288</f>
        <v>0</v>
      </c>
      <c r="K36" s="119">
        <f>'2020'!U288</f>
        <v>689</v>
      </c>
      <c r="L36" s="119">
        <f>'2020'!V288</f>
        <v>12</v>
      </c>
      <c r="M36" s="119">
        <f>'2020'!Y288</f>
        <v>741</v>
      </c>
      <c r="N36" s="119">
        <f>'2020'!Z288</f>
        <v>52</v>
      </c>
      <c r="O36" s="119">
        <f>'2020'!AC288</f>
        <v>793</v>
      </c>
      <c r="P36" s="119">
        <f>'2020'!AD288</f>
        <v>52</v>
      </c>
      <c r="Q36" s="119">
        <f>'2020'!AG288</f>
        <v>865</v>
      </c>
      <c r="R36" s="119">
        <f>'2020'!AH288</f>
        <v>72</v>
      </c>
      <c r="S36" s="119">
        <f>'2020'!AK288</f>
        <v>932</v>
      </c>
      <c r="T36" s="119">
        <f>'2020'!AL288</f>
        <v>67</v>
      </c>
      <c r="U36" s="119">
        <f>'2020'!AO288</f>
        <v>981</v>
      </c>
      <c r="V36" s="119">
        <f>'2020'!AP288</f>
        <v>49</v>
      </c>
      <c r="W36" s="119">
        <f>'2020'!AS288</f>
        <v>991</v>
      </c>
      <c r="X36" s="119">
        <f>'2020'!AT288</f>
        <v>10</v>
      </c>
      <c r="Y36" s="119">
        <f>'2020'!AW288</f>
        <v>991</v>
      </c>
      <c r="Z36" s="119">
        <f>'2020'!AX288</f>
        <v>0</v>
      </c>
      <c r="AA36" s="106"/>
      <c r="AB36" s="119">
        <f>'2020'!BA288</f>
        <v>991</v>
      </c>
      <c r="AC36" s="119">
        <f>'2020'!BB288</f>
        <v>0</v>
      </c>
      <c r="AD36" s="106"/>
      <c r="AE36" s="119">
        <f>'2020'!BE288</f>
        <v>314</v>
      </c>
      <c r="AF36" s="119">
        <f t="shared" si="0"/>
        <v>0</v>
      </c>
    </row>
    <row r="37" ht="15.75" customHeight="1" spans="1:32" x14ac:dyDescent="0.25">
      <c r="A37" s="14"/>
      <c r="B37" s="115">
        <v>33</v>
      </c>
      <c r="C37" s="115">
        <v>4.01</v>
      </c>
      <c r="D37" s="117" t="s">
        <v>154</v>
      </c>
      <c r="E37" s="119">
        <f>'2020'!I297</f>
        <v>33</v>
      </c>
      <c r="F37" s="119">
        <f>'2020'!J297</f>
        <v>0</v>
      </c>
      <c r="G37" s="119">
        <f>'2020'!M297</f>
        <v>33</v>
      </c>
      <c r="H37" s="119">
        <f>'2020'!N297</f>
        <v>0</v>
      </c>
      <c r="I37" s="119">
        <f>'2020'!Q297</f>
        <v>33</v>
      </c>
      <c r="J37" s="119">
        <f>'2020'!R297</f>
        <v>0</v>
      </c>
      <c r="K37" s="119">
        <f>'2020'!U297</f>
        <v>33</v>
      </c>
      <c r="L37" s="119">
        <f>'2020'!V297</f>
        <v>0</v>
      </c>
      <c r="M37" s="119">
        <f>'2020'!Y297</f>
        <v>33</v>
      </c>
      <c r="N37" s="119">
        <f>'2020'!Z297</f>
        <v>0</v>
      </c>
      <c r="O37" s="119">
        <f>'2020'!AC297</f>
        <v>33</v>
      </c>
      <c r="P37" s="119">
        <f>'2020'!AD297</f>
        <v>0</v>
      </c>
      <c r="Q37" s="119">
        <f>'2020'!AG297</f>
        <v>33</v>
      </c>
      <c r="R37" s="119">
        <f>'2020'!AH297</f>
        <v>0</v>
      </c>
      <c r="S37" s="119">
        <f>'2020'!AK297</f>
        <v>33</v>
      </c>
      <c r="T37" s="119">
        <f>'2020'!AL297</f>
        <v>0</v>
      </c>
      <c r="U37" s="119">
        <f>'2020'!AO297</f>
        <v>33</v>
      </c>
      <c r="V37" s="119">
        <f>'2020'!AP297</f>
        <v>0</v>
      </c>
      <c r="W37" s="119">
        <f>'2020'!AS297</f>
        <v>33</v>
      </c>
      <c r="X37" s="119">
        <f>'2020'!AT297</f>
        <v>0</v>
      </c>
      <c r="Y37" s="119">
        <f>'2020'!AW297</f>
        <v>33</v>
      </c>
      <c r="Z37" s="119">
        <f>'2020'!AX297</f>
        <v>0</v>
      </c>
      <c r="AA37" s="106"/>
      <c r="AB37" s="119">
        <f>'2020'!BA297</f>
        <v>33</v>
      </c>
      <c r="AC37" s="119">
        <f>'2020'!BB297</f>
        <v>0</v>
      </c>
      <c r="AD37" s="106"/>
      <c r="AE37" s="119">
        <f>'2020'!BE297</f>
        <v>0</v>
      </c>
      <c r="AF37" s="119">
        <f t="shared" si="0"/>
        <v>0</v>
      </c>
    </row>
    <row r="38" ht="15.75" customHeight="1" spans="1:32" x14ac:dyDescent="0.25">
      <c r="A38" s="14"/>
      <c r="B38" s="115">
        <v>34</v>
      </c>
      <c r="C38" s="115">
        <v>4.01</v>
      </c>
      <c r="D38" s="117" t="s">
        <v>155</v>
      </c>
      <c r="E38" s="119">
        <f>'2020'!I306</f>
        <v>2306</v>
      </c>
      <c r="F38" s="119">
        <f>'2020'!J306</f>
        <v>0</v>
      </c>
      <c r="G38" s="119">
        <f>'2020'!M306</f>
        <v>2354</v>
      </c>
      <c r="H38" s="119">
        <f>'2020'!N306</f>
        <v>48</v>
      </c>
      <c r="I38" s="119">
        <f>'2020'!Q306</f>
        <v>2354</v>
      </c>
      <c r="J38" s="119">
        <f>'2020'!R306</f>
        <v>0</v>
      </c>
      <c r="K38" s="119">
        <f>'2020'!U306</f>
        <v>2373</v>
      </c>
      <c r="L38" s="119">
        <f>'2020'!V306</f>
        <v>19</v>
      </c>
      <c r="M38" s="119">
        <f>'2020'!Y306</f>
        <v>2809</v>
      </c>
      <c r="N38" s="119">
        <f>'2020'!Z306</f>
        <v>436</v>
      </c>
      <c r="O38" s="119">
        <f>'2020'!AC306</f>
        <v>3132</v>
      </c>
      <c r="P38" s="119">
        <f>'2020'!AD306</f>
        <v>323</v>
      </c>
      <c r="Q38" s="119">
        <f>'2020'!AG306</f>
        <v>3374</v>
      </c>
      <c r="R38" s="119">
        <f>'2020'!AH306</f>
        <v>242</v>
      </c>
      <c r="S38" s="119">
        <f>'2020'!AK306</f>
        <v>3766</v>
      </c>
      <c r="T38" s="119">
        <f>'2020'!AL306</f>
        <v>392</v>
      </c>
      <c r="U38" s="119">
        <f>'2020'!AO306</f>
        <v>3815</v>
      </c>
      <c r="V38" s="119">
        <f>'2020'!AP306</f>
        <v>49</v>
      </c>
      <c r="W38" s="119">
        <f>'2020'!AS306</f>
        <v>3947</v>
      </c>
      <c r="X38" s="119">
        <f>'2020'!AT306</f>
        <v>132</v>
      </c>
      <c r="Y38" s="119">
        <f>'2020'!AW306</f>
        <v>4151</v>
      </c>
      <c r="Z38" s="119">
        <f>'2020'!AX306</f>
        <v>204</v>
      </c>
      <c r="AA38" s="106"/>
      <c r="AB38" s="119">
        <f>'2020'!BA306</f>
        <v>4151</v>
      </c>
      <c r="AC38" s="119">
        <f>'2020'!BB306</f>
        <v>0</v>
      </c>
      <c r="AD38" s="106"/>
      <c r="AE38" s="119">
        <f>'2020'!BE306</f>
        <v>1845</v>
      </c>
      <c r="AF38" s="119">
        <f t="shared" si="0"/>
        <v>0</v>
      </c>
    </row>
    <row r="39" ht="15.75" customHeight="1" spans="1:32" x14ac:dyDescent="0.25">
      <c r="A39" s="14"/>
      <c r="B39" s="115">
        <v>35</v>
      </c>
      <c r="C39" s="115">
        <v>4.01</v>
      </c>
      <c r="D39" s="117" t="s">
        <v>157</v>
      </c>
      <c r="E39" s="119">
        <f>'2020'!I315</f>
        <v>33</v>
      </c>
      <c r="F39" s="119">
        <f>'2020'!J315</f>
        <v>0</v>
      </c>
      <c r="G39" s="119">
        <f>'2020'!M315</f>
        <v>33</v>
      </c>
      <c r="H39" s="119">
        <f>'2020'!N315</f>
        <v>0</v>
      </c>
      <c r="I39" s="119">
        <f>'2020'!Q315</f>
        <v>33</v>
      </c>
      <c r="J39" s="119">
        <f>'2020'!R315</f>
        <v>0</v>
      </c>
      <c r="K39" s="119">
        <f>'2020'!U315</f>
        <v>33</v>
      </c>
      <c r="L39" s="119">
        <f>'2020'!V315</f>
        <v>0</v>
      </c>
      <c r="M39" s="119">
        <f>'2020'!Y315</f>
        <v>33</v>
      </c>
      <c r="N39" s="119">
        <f>'2020'!Z315</f>
        <v>0</v>
      </c>
      <c r="O39" s="119">
        <f>'2020'!AC315</f>
        <v>33</v>
      </c>
      <c r="P39" s="119">
        <f>'2020'!AD315</f>
        <v>0</v>
      </c>
      <c r="Q39" s="119">
        <f>'2020'!AG315</f>
        <v>33</v>
      </c>
      <c r="R39" s="119">
        <f>'2020'!AH315</f>
        <v>0</v>
      </c>
      <c r="S39" s="119">
        <f>'2020'!AK315</f>
        <v>33</v>
      </c>
      <c r="T39" s="119">
        <f>'2020'!AL315</f>
        <v>0</v>
      </c>
      <c r="U39" s="119">
        <f>'2020'!AO315</f>
        <v>33</v>
      </c>
      <c r="V39" s="119">
        <f>'2020'!AP315</f>
        <v>0</v>
      </c>
      <c r="W39" s="119">
        <f>'2020'!AS315</f>
        <v>33</v>
      </c>
      <c r="X39" s="119">
        <f>'2020'!AT315</f>
        <v>0</v>
      </c>
      <c r="Y39" s="119">
        <f>'2020'!AW315</f>
        <v>33</v>
      </c>
      <c r="Z39" s="119">
        <f>'2020'!AX315</f>
        <v>0</v>
      </c>
      <c r="AA39" s="106"/>
      <c r="AB39" s="119">
        <f>'2020'!BA315</f>
        <v>33</v>
      </c>
      <c r="AC39" s="119">
        <f>'2020'!BB315</f>
        <v>0</v>
      </c>
      <c r="AD39" s="106"/>
      <c r="AE39" s="119">
        <f>'2020'!BE315</f>
        <v>0</v>
      </c>
      <c r="AF39" s="119">
        <f t="shared" si="0"/>
        <v>0</v>
      </c>
    </row>
    <row r="40" ht="15.75" customHeight="1" spans="1:32" x14ac:dyDescent="0.25">
      <c r="A40" s="14"/>
      <c r="B40" s="115">
        <v>36</v>
      </c>
      <c r="C40" s="115">
        <v>4.03</v>
      </c>
      <c r="D40" s="117" t="s">
        <v>160</v>
      </c>
      <c r="E40" s="119">
        <f>'2020'!I324</f>
        <v>299</v>
      </c>
      <c r="F40" s="119">
        <f>'2020'!J324</f>
        <v>0</v>
      </c>
      <c r="G40" s="119">
        <f>'2020'!M324</f>
        <v>299</v>
      </c>
      <c r="H40" s="119">
        <f>'2020'!N324</f>
        <v>0</v>
      </c>
      <c r="I40" s="119">
        <f>'2020'!Q324</f>
        <v>299</v>
      </c>
      <c r="J40" s="119">
        <f>'2020'!R324</f>
        <v>0</v>
      </c>
      <c r="K40" s="119">
        <f>'2020'!U324</f>
        <v>302</v>
      </c>
      <c r="L40" s="119">
        <f>'2020'!V324</f>
        <v>3</v>
      </c>
      <c r="M40" s="119">
        <f>'2020'!Y324</f>
        <v>314</v>
      </c>
      <c r="N40" s="119">
        <f>'2020'!Z324</f>
        <v>12</v>
      </c>
      <c r="O40" s="119">
        <f>'2020'!AC324</f>
        <v>322</v>
      </c>
      <c r="P40" s="119">
        <f>'2020'!AD324</f>
        <v>8</v>
      </c>
      <c r="Q40" s="119">
        <f>'2020'!AG324</f>
        <v>345</v>
      </c>
      <c r="R40" s="119">
        <f>'2020'!AH324</f>
        <v>23</v>
      </c>
      <c r="S40" s="119">
        <f>'2020'!AK324</f>
        <v>383</v>
      </c>
      <c r="T40" s="119">
        <f>'2020'!AL324</f>
        <v>38</v>
      </c>
      <c r="U40" s="119">
        <f>'2020'!AO324</f>
        <v>402</v>
      </c>
      <c r="V40" s="119">
        <f>'2020'!AP324</f>
        <v>19</v>
      </c>
      <c r="W40" s="119">
        <f>'2020'!AS324</f>
        <v>428</v>
      </c>
      <c r="X40" s="119">
        <f>'2020'!AT324</f>
        <v>26</v>
      </c>
      <c r="Y40" s="119">
        <f>'2020'!AW324</f>
        <v>428</v>
      </c>
      <c r="Z40" s="119">
        <f>'2020'!AX324</f>
        <v>0</v>
      </c>
      <c r="AA40" s="106"/>
      <c r="AB40" s="119">
        <f>'2020'!BA324</f>
        <v>428</v>
      </c>
      <c r="AC40" s="119">
        <f>'2020'!BB324</f>
        <v>0</v>
      </c>
      <c r="AD40" s="106"/>
      <c r="AE40" s="119">
        <f>'2020'!BE324</f>
        <v>129</v>
      </c>
      <c r="AF40" s="119">
        <f t="shared" si="0"/>
        <v>0</v>
      </c>
    </row>
    <row r="41" ht="15.75" customHeight="1" spans="1:32" x14ac:dyDescent="0.25">
      <c r="A41" s="14"/>
      <c r="B41" s="115">
        <v>37</v>
      </c>
      <c r="C41" s="115">
        <v>4.06</v>
      </c>
      <c r="D41" s="117" t="s">
        <v>162</v>
      </c>
      <c r="E41" s="119">
        <f>'2020'!I333</f>
      </c>
      <c r="F41" s="119">
        <f>'2020'!J333</f>
      </c>
      <c r="G41" s="119">
        <f>'2020'!M333</f>
      </c>
      <c r="H41" s="119">
        <f>'2020'!N333</f>
      </c>
      <c r="I41" s="119">
        <f>'2020'!Q333</f>
      </c>
      <c r="J41" s="119">
        <f>'2020'!R333</f>
        <v>0</v>
      </c>
      <c r="K41" s="119">
        <f>'2020'!U333</f>
      </c>
      <c r="L41" s="119">
        <f>'2020'!V333</f>
        <v>0</v>
      </c>
      <c r="M41" s="119">
        <f>'2020'!Y333</f>
      </c>
      <c r="N41" s="119">
        <f>'2020'!Z333</f>
        <v>0</v>
      </c>
      <c r="O41" s="119">
        <f>'2020'!AC333</f>
      </c>
      <c r="P41" s="119">
        <f>'2020'!AD333</f>
        <v>0</v>
      </c>
      <c r="Q41" s="119">
        <f>'2020'!AG333</f>
      </c>
      <c r="R41" s="119">
        <f>'2020'!AH333</f>
        <v>0</v>
      </c>
      <c r="S41" s="119">
        <f>'2020'!AK333</f>
        <v>0</v>
      </c>
      <c r="T41" s="119">
        <f>'2020'!AL333</f>
        <v>0</v>
      </c>
      <c r="U41" s="119">
        <f>'2020'!AO333</f>
        <v>0</v>
      </c>
      <c r="V41" s="119">
        <f>'2020'!AP333</f>
        <v>0</v>
      </c>
      <c r="W41" s="119">
        <f>'2020'!AS333</f>
        <v>0</v>
      </c>
      <c r="X41" s="119">
        <f>'2020'!AT333</f>
        <v>0</v>
      </c>
      <c r="Y41" s="119">
        <f>'2020'!AW333</f>
        <v>0</v>
      </c>
      <c r="Z41" s="119">
        <f>'2020'!AX333</f>
        <v>0</v>
      </c>
      <c r="AA41" s="106"/>
      <c r="AB41" s="119">
        <f>'2020'!BA333</f>
        <v>0</v>
      </c>
      <c r="AC41" s="119">
        <f>'2020'!BB333</f>
        <v>0</v>
      </c>
      <c r="AD41" s="106"/>
      <c r="AE41" s="119">
        <f>'2020'!BE333</f>
        <v>0</v>
      </c>
      <c r="AF41" s="119">
        <f t="shared" si="0"/>
        <v>0</v>
      </c>
    </row>
    <row r="42" ht="15.75" customHeight="1" spans="1:32" x14ac:dyDescent="0.25">
      <c r="A42" s="14"/>
      <c r="B42" s="115">
        <v>38</v>
      </c>
      <c r="C42" s="115">
        <v>4.34</v>
      </c>
      <c r="D42" s="117" t="s">
        <v>167</v>
      </c>
      <c r="E42" s="119">
        <f>'2020'!I342</f>
        <v>18</v>
      </c>
      <c r="F42" s="119">
        <f>'2020'!J342</f>
        <v>0</v>
      </c>
      <c r="G42" s="119">
        <f>'2020'!M342</f>
        <v>18</v>
      </c>
      <c r="H42" s="119">
        <f>'2020'!N342</f>
        <v>0</v>
      </c>
      <c r="I42" s="119">
        <f>'2020'!Q342</f>
        <v>18</v>
      </c>
      <c r="J42" s="119">
        <f>'2020'!R342</f>
        <v>0</v>
      </c>
      <c r="K42" s="119">
        <f>'2020'!U342</f>
        <v>18</v>
      </c>
      <c r="L42" s="119">
        <f>'2020'!V342</f>
        <v>0</v>
      </c>
      <c r="M42" s="119">
        <f>'2020'!Y342</f>
        <v>18</v>
      </c>
      <c r="N42" s="119">
        <f>'2020'!Z342</f>
        <v>0</v>
      </c>
      <c r="O42" s="119">
        <f>'2020'!AC342</f>
        <v>18</v>
      </c>
      <c r="P42" s="119">
        <f>'2020'!AD342</f>
        <v>0</v>
      </c>
      <c r="Q42" s="119">
        <f>'2020'!AG342</f>
        <v>18</v>
      </c>
      <c r="R42" s="119">
        <f>'2020'!AH342</f>
        <v>0</v>
      </c>
      <c r="S42" s="119">
        <f>'2020'!AK342</f>
        <v>18</v>
      </c>
      <c r="T42" s="119">
        <f>'2020'!AL342</f>
        <v>0</v>
      </c>
      <c r="U42" s="119">
        <f>'2020'!AO342</f>
        <v>18</v>
      </c>
      <c r="V42" s="119">
        <f>'2020'!AP342</f>
        <v>0</v>
      </c>
      <c r="W42" s="119">
        <f>'2020'!AS342</f>
        <v>18</v>
      </c>
      <c r="X42" s="119">
        <f>'2020'!AT342</f>
        <v>0</v>
      </c>
      <c r="Y42" s="119">
        <f>'2020'!AW342</f>
        <v>18</v>
      </c>
      <c r="Z42" s="119">
        <f>'2020'!AX342</f>
        <v>0</v>
      </c>
      <c r="AA42" s="106"/>
      <c r="AB42" s="119">
        <f>'2020'!BA342</f>
        <v>18</v>
      </c>
      <c r="AC42" s="119">
        <f>'2020'!BB342</f>
        <v>0</v>
      </c>
      <c r="AD42" s="106"/>
      <c r="AE42" s="119">
        <f>'2020'!BE342</f>
        <v>0</v>
      </c>
      <c r="AF42" s="119">
        <f t="shared" si="0"/>
        <v>0</v>
      </c>
    </row>
    <row r="43" ht="15.75" customHeight="1" spans="1:32" x14ac:dyDescent="0.25">
      <c r="A43" s="21"/>
      <c r="B43" s="115">
        <v>39</v>
      </c>
      <c r="C43" s="116">
        <v>4</v>
      </c>
      <c r="D43" s="117" t="s">
        <v>169</v>
      </c>
      <c r="E43" s="119">
        <f>'2020'!I351</f>
        <v>48</v>
      </c>
      <c r="F43" s="119">
        <f>'2020'!J351</f>
      </c>
      <c r="G43" s="119">
        <f>'2020'!M351</f>
        <v>48</v>
      </c>
      <c r="H43" s="119">
        <f>'2020'!N351</f>
        <v>0</v>
      </c>
      <c r="I43" s="119">
        <f>'2020'!Q351</f>
        <v>48</v>
      </c>
      <c r="J43" s="119">
        <f>'2020'!R351</f>
        <v>0</v>
      </c>
      <c r="K43" s="119">
        <f>'2020'!U351</f>
        <v>48</v>
      </c>
      <c r="L43" s="119">
        <f>'2020'!V351</f>
        <v>0</v>
      </c>
      <c r="M43" s="119">
        <f>'2020'!Y351</f>
        <v>48</v>
      </c>
      <c r="N43" s="119">
        <f>'2020'!Z351</f>
        <v>0</v>
      </c>
      <c r="O43" s="119">
        <f>'2020'!AC351</f>
        <v>301</v>
      </c>
      <c r="P43" s="119">
        <f>'2020'!AD351</f>
        <v>253</v>
      </c>
      <c r="Q43" s="119">
        <f>'2020'!AG351</f>
        <v>64</v>
      </c>
      <c r="R43" s="119">
        <f>'2020'!AH351</f>
        <v>64</v>
      </c>
      <c r="S43" s="119">
        <f>'2020'!AK351</f>
        <v>131</v>
      </c>
      <c r="T43" s="119">
        <f>'2020'!AL351</f>
        <v>67</v>
      </c>
      <c r="U43" s="119">
        <f>'2020'!AO351</f>
        <v>191</v>
      </c>
      <c r="V43" s="119">
        <f>'2020'!AP351</f>
        <v>60</v>
      </c>
      <c r="W43" s="119">
        <f>'2020'!AS351</f>
        <v>209</v>
      </c>
      <c r="X43" s="119">
        <f>'2020'!AT351</f>
        <v>18</v>
      </c>
      <c r="Y43" s="119">
        <f>'2020'!AW351</f>
        <v>209</v>
      </c>
      <c r="Z43" s="119">
        <f>'2020'!AX351</f>
        <v>0</v>
      </c>
      <c r="AA43" s="106"/>
      <c r="AB43" s="119">
        <f>'2020'!BA351</f>
        <v>209</v>
      </c>
      <c r="AC43" s="119">
        <f>'2020'!BB351</f>
        <v>0</v>
      </c>
      <c r="AD43" s="106"/>
      <c r="AE43" s="119">
        <f>'2020'!BE351</f>
        <v>462</v>
      </c>
      <c r="AF43" s="119">
        <f t="shared" si="0"/>
        <v>0</v>
      </c>
    </row>
    <row r="44" ht="15.75" customHeight="1" spans="1:32" x14ac:dyDescent="0.25">
      <c r="A44" s="114" t="s">
        <v>173</v>
      </c>
      <c r="B44" s="115">
        <v>40</v>
      </c>
      <c r="C44" s="115">
        <v>4.92</v>
      </c>
      <c r="D44" s="117" t="s">
        <v>174</v>
      </c>
      <c r="E44" s="119">
        <f>'2020'!I360</f>
        <v>28639</v>
      </c>
      <c r="F44" s="119">
        <f>'2020'!J360</f>
        <v>757</v>
      </c>
      <c r="G44" s="119">
        <f>'2020'!M360</f>
        <v>29248</v>
      </c>
      <c r="H44" s="119">
        <f>'2020'!N360</f>
        <v>609</v>
      </c>
      <c r="I44" s="119">
        <f>'2020'!Q360</f>
        <v>29808</v>
      </c>
      <c r="J44" s="119">
        <f>'2020'!R360</f>
        <v>560</v>
      </c>
      <c r="K44" s="119">
        <f>'2020'!U360</f>
        <v>30270</v>
      </c>
      <c r="L44" s="119">
        <f>'2020'!V360</f>
        <v>462</v>
      </c>
      <c r="M44" s="119">
        <f>'2020'!Y360</f>
        <v>30626</v>
      </c>
      <c r="N44" s="119">
        <f>'2020'!Z360</f>
        <v>356</v>
      </c>
      <c r="O44" s="119">
        <f>'2020'!AC360</f>
        <v>30891</v>
      </c>
      <c r="P44" s="119">
        <f>'2020'!AD360</f>
        <v>265</v>
      </c>
      <c r="Q44" s="119">
        <f>'2020'!AG360</f>
        <v>31057</v>
      </c>
      <c r="R44" s="119">
        <f>'2020'!AH360</f>
        <v>166</v>
      </c>
      <c r="S44" s="119">
        <f>'2020'!AK360</f>
        <v>31274</v>
      </c>
      <c r="T44" s="119">
        <f>'2020'!AL360</f>
        <v>217</v>
      </c>
      <c r="U44" s="119">
        <f>'2020'!AO360</f>
        <v>31518</v>
      </c>
      <c r="V44" s="119">
        <f>'2020'!AP360</f>
        <v>244</v>
      </c>
      <c r="W44" s="119">
        <f>'2020'!AS360</f>
        <v>32304</v>
      </c>
      <c r="X44" s="119">
        <f>'2020'!AT360</f>
        <v>786</v>
      </c>
      <c r="Y44" s="119">
        <f>'2020'!AW360</f>
        <v>33014</v>
      </c>
      <c r="Z44" s="119">
        <f>'2020'!AX360</f>
        <v>710</v>
      </c>
      <c r="AA44" s="119"/>
      <c r="AB44" s="119">
        <f>'2020'!BA360</f>
        <v>33505</v>
      </c>
      <c r="AC44" s="119">
        <f>'2020'!BB360</f>
        <v>491</v>
      </c>
      <c r="AD44" s="106"/>
      <c r="AE44" s="119">
        <f>'2020'!BE360</f>
        <v>5623</v>
      </c>
      <c r="AF44" s="119">
        <f t="shared" si="0"/>
        <v>0</v>
      </c>
    </row>
    <row r="45" ht="15.75" customHeight="1" spans="1:32" x14ac:dyDescent="0.25">
      <c r="A45" s="14"/>
      <c r="B45" s="115">
        <v>41</v>
      </c>
      <c r="C45" s="115">
        <v>4.87</v>
      </c>
      <c r="D45" s="117" t="s">
        <v>177</v>
      </c>
      <c r="E45" s="119">
        <f>'2020'!I369</f>
        <v>300</v>
      </c>
      <c r="F45" s="119">
        <f>'2020'!J369</f>
        <v>0</v>
      </c>
      <c r="G45" s="119">
        <f>'2020'!M369</f>
        <v>300</v>
      </c>
      <c r="H45" s="119">
        <f>'2020'!N369</f>
        <v>0</v>
      </c>
      <c r="I45" s="119">
        <f>'2020'!Q369</f>
        <v>300</v>
      </c>
      <c r="J45" s="119">
        <f>'2020'!R369</f>
        <v>0</v>
      </c>
      <c r="K45" s="119">
        <f>'2020'!U369</f>
        <v>300</v>
      </c>
      <c r="L45" s="119">
        <f>'2020'!V369</f>
        <v>0</v>
      </c>
      <c r="M45" s="119">
        <f>'2020'!Y369</f>
        <v>300</v>
      </c>
      <c r="N45" s="119">
        <f>'2020'!Z369</f>
        <v>0</v>
      </c>
      <c r="O45" s="119">
        <f>'2020'!AC369</f>
        <v>300</v>
      </c>
      <c r="P45" s="119">
        <f>'2020'!AD369</f>
        <v>0</v>
      </c>
      <c r="Q45" s="119">
        <f>'2020'!AG369</f>
        <v>300</v>
      </c>
      <c r="R45" s="119">
        <f>'2020'!AH369</f>
        <v>0</v>
      </c>
      <c r="S45" s="119">
        <f>'2020'!AK369</f>
        <v>300</v>
      </c>
      <c r="T45" s="119">
        <f>'2020'!AL369</f>
        <v>0</v>
      </c>
      <c r="U45" s="119">
        <f>'2020'!AO369</f>
        <v>300</v>
      </c>
      <c r="V45" s="119">
        <f>'2020'!AP369</f>
        <v>0</v>
      </c>
      <c r="W45" s="119">
        <f>'2020'!AS369</f>
        <v>300</v>
      </c>
      <c r="X45" s="119">
        <f>'2020'!AT369</f>
        <v>0</v>
      </c>
      <c r="Y45" s="119">
        <f>'2020'!AW369</f>
        <v>300</v>
      </c>
      <c r="Z45" s="119">
        <f>'2020'!AX369</f>
        <v>0</v>
      </c>
      <c r="AA45" s="106"/>
      <c r="AB45" s="119">
        <f>'2020'!BA369</f>
        <v>300</v>
      </c>
      <c r="AC45" s="119">
        <f>'2020'!BB369</f>
        <v>0</v>
      </c>
      <c r="AD45" s="106"/>
      <c r="AE45" s="119">
        <f>'2020'!BE369</f>
        <v>0</v>
      </c>
      <c r="AF45" s="119">
        <f t="shared" si="0"/>
        <v>0</v>
      </c>
    </row>
    <row r="46" ht="15.75" customHeight="1" spans="1:32" x14ac:dyDescent="0.25">
      <c r="A46" s="14"/>
      <c r="B46" s="115">
        <v>42</v>
      </c>
      <c r="C46" s="116">
        <v>4.9</v>
      </c>
      <c r="D46" s="2" t="s">
        <v>181</v>
      </c>
      <c r="E46" s="119">
        <f>'2020'!I378</f>
        <v>0</v>
      </c>
      <c r="F46" s="119">
        <f>'2020'!J378</f>
      </c>
      <c r="G46" s="119">
        <f>'2020'!M378</f>
        <v>0</v>
      </c>
      <c r="H46" s="119">
        <f>'2020'!N378</f>
        <v>0</v>
      </c>
      <c r="I46" s="119">
        <f>'2020'!Q378</f>
        <v>0</v>
      </c>
      <c r="J46" s="119">
        <f>'2020'!R378</f>
        <v>0</v>
      </c>
      <c r="K46" s="119">
        <f>'2020'!U378</f>
        <v>0</v>
      </c>
      <c r="L46" s="119">
        <f>'2020'!V378</f>
        <v>0</v>
      </c>
      <c r="M46" s="119">
        <f>'2020'!Y378</f>
        <v>0</v>
      </c>
      <c r="N46" s="119">
        <f>'2020'!Z378</f>
        <v>0</v>
      </c>
      <c r="O46" s="119">
        <f>'2020'!AC378</f>
        <v>0</v>
      </c>
      <c r="P46" s="119">
        <f>'2020'!AD378</f>
        <v>0</v>
      </c>
      <c r="Q46" s="119">
        <f>'2020'!AG378</f>
        <v>8</v>
      </c>
      <c r="R46" s="119">
        <f>'2020'!AH378</f>
        <v>8</v>
      </c>
      <c r="S46" s="119">
        <f>'2020'!AK378</f>
        <v>135</v>
      </c>
      <c r="T46" s="119">
        <f>'2020'!AL378</f>
        <v>127</v>
      </c>
      <c r="U46" s="119">
        <f>'2020'!AO378</f>
        <v>634</v>
      </c>
      <c r="V46" s="119">
        <f>'2020'!AP378</f>
        <v>499</v>
      </c>
      <c r="W46" s="119">
        <f>'2020'!AS378</f>
        <v>2198</v>
      </c>
      <c r="X46" s="119">
        <f>'2020'!AT378</f>
        <v>1564</v>
      </c>
      <c r="Y46" s="119">
        <f>'2020'!AW378</f>
        <v>3829</v>
      </c>
      <c r="Z46" s="119">
        <f>'2020'!AX378</f>
        <v>1631</v>
      </c>
      <c r="AA46" s="106"/>
      <c r="AB46" s="119">
        <f>'2020'!BA378</f>
        <v>6467</v>
      </c>
      <c r="AC46" s="119">
        <f>'2020'!BB378</f>
        <v>2638</v>
      </c>
      <c r="AD46" s="106"/>
      <c r="AE46" s="119">
        <f>'2020'!BE378</f>
        <v>6467</v>
      </c>
      <c r="AF46" s="119">
        <f t="shared" si="0"/>
        <v>0</v>
      </c>
    </row>
    <row r="47" ht="15.75" customHeight="1" spans="1:32" x14ac:dyDescent="0.25">
      <c r="A47" s="14"/>
      <c r="B47" s="115">
        <v>43</v>
      </c>
      <c r="C47" s="115">
        <v>4.96</v>
      </c>
      <c r="D47" s="117" t="s">
        <v>185</v>
      </c>
      <c r="E47" s="119">
        <f>'2020'!I387</f>
        <v>924</v>
      </c>
      <c r="F47" s="119">
        <f>'2020'!J387</f>
        <v>0</v>
      </c>
      <c r="G47" s="119">
        <f>'2020'!M387</f>
        <v>924</v>
      </c>
      <c r="H47" s="119">
        <f>'2020'!N387</f>
        <v>0</v>
      </c>
      <c r="I47" s="119">
        <f>'2020'!Q387</f>
        <v>924</v>
      </c>
      <c r="J47" s="119">
        <f>'2020'!R387</f>
        <v>0</v>
      </c>
      <c r="K47" s="119">
        <f>'2020'!U387</f>
        <v>970</v>
      </c>
      <c r="L47" s="119">
        <f>'2020'!V387</f>
        <v>46</v>
      </c>
      <c r="M47" s="119">
        <f>'2020'!Y387</f>
        <v>1074</v>
      </c>
      <c r="N47" s="119">
        <f>'2020'!Z387</f>
        <v>104</v>
      </c>
      <c r="O47" s="119">
        <f>'2020'!AC387</f>
        <v>1282</v>
      </c>
      <c r="P47" s="119">
        <f>'2020'!AD387</f>
        <v>208</v>
      </c>
      <c r="Q47" s="119">
        <f>'2020'!AG387</f>
        <v>1392</v>
      </c>
      <c r="R47" s="119">
        <f>'2020'!AH387</f>
        <v>110</v>
      </c>
      <c r="S47" s="119">
        <f>'2020'!AK387</f>
        <v>1437</v>
      </c>
      <c r="T47" s="119">
        <f>'2020'!AL387</f>
        <v>45</v>
      </c>
      <c r="U47" s="119">
        <f>'2020'!AO387</f>
        <v>1458</v>
      </c>
      <c r="V47" s="119">
        <f>'2020'!AP387</f>
        <v>21</v>
      </c>
      <c r="W47" s="119">
        <f>'2020'!AS387</f>
        <v>1513</v>
      </c>
      <c r="X47" s="119">
        <f>'2020'!AT387</f>
        <v>55</v>
      </c>
      <c r="Y47" s="119">
        <f>'2020'!AW387</f>
        <v>1788</v>
      </c>
      <c r="Z47" s="119">
        <f>'2020'!AX387</f>
        <v>275</v>
      </c>
      <c r="AA47" s="106"/>
      <c r="AB47" s="119">
        <f>'2020'!BA387</f>
        <v>1928</v>
      </c>
      <c r="AC47" s="119">
        <f>'2020'!BB387</f>
        <v>140</v>
      </c>
      <c r="AD47" s="106"/>
      <c r="AE47" s="119">
        <f>'2020'!BE387</f>
        <v>1004</v>
      </c>
      <c r="AF47" s="119">
        <f t="shared" si="0"/>
        <v>0</v>
      </c>
    </row>
    <row r="48" ht="15.75" customHeight="1" spans="1:32" x14ac:dyDescent="0.25">
      <c r="A48" s="14"/>
      <c r="B48" s="115">
        <v>44</v>
      </c>
      <c r="C48" s="115">
        <v>4.01</v>
      </c>
      <c r="D48" s="15" t="s">
        <v>412</v>
      </c>
      <c r="E48" s="119">
        <f>'2020'!I396</f>
        <v>10</v>
      </c>
      <c r="F48" s="119">
        <f>'2020'!J396</f>
        <v>0</v>
      </c>
      <c r="G48" s="119">
        <f>'2020'!M396</f>
        <v>10</v>
      </c>
      <c r="H48" s="119">
        <f>'2020'!N396</f>
        <v>0</v>
      </c>
      <c r="I48" s="119">
        <f>'2020'!Q396</f>
        <v>10</v>
      </c>
      <c r="J48" s="119">
        <f>'2020'!R396</f>
        <v>0</v>
      </c>
      <c r="K48" s="119">
        <f>'2020'!U396</f>
        <v>14</v>
      </c>
      <c r="L48" s="119">
        <f>'2020'!V396</f>
        <v>4</v>
      </c>
      <c r="M48" s="119">
        <f>'2020'!Y396</f>
        <v>17</v>
      </c>
      <c r="N48" s="119">
        <f>'2020'!Z396</f>
        <v>3</v>
      </c>
      <c r="O48" s="119">
        <f>'2020'!AC396</f>
        <v>20</v>
      </c>
      <c r="P48" s="119">
        <f>'2020'!AD396</f>
        <v>3</v>
      </c>
      <c r="Q48" s="119">
        <f>'2020'!AG396</f>
        <v>21</v>
      </c>
      <c r="R48" s="119">
        <f>'2020'!AH396</f>
        <v>1</v>
      </c>
      <c r="S48" s="119">
        <f>'2020'!AK396</f>
        <v>23</v>
      </c>
      <c r="T48" s="119">
        <f>'2020'!AL396</f>
        <v>2</v>
      </c>
      <c r="U48" s="119">
        <f>'2020'!AO396</f>
        <v>25</v>
      </c>
      <c r="V48" s="119">
        <f>'2020'!AP396</f>
        <v>2</v>
      </c>
      <c r="W48" s="119">
        <f>'2020'!AS396</f>
        <v>25</v>
      </c>
      <c r="X48" s="119">
        <f>'2020'!AT396</f>
        <v>0</v>
      </c>
      <c r="Y48" s="119">
        <f>'2020'!AW396</f>
        <v>25</v>
      </c>
      <c r="Z48" s="119">
        <f>'2020'!AX396</f>
        <v>0</v>
      </c>
      <c r="AA48" s="106"/>
      <c r="AB48" s="119">
        <f>'2020'!BA396</f>
        <v>25</v>
      </c>
      <c r="AC48" s="119">
        <f>'2020'!BB396</f>
        <v>0</v>
      </c>
      <c r="AD48" s="106"/>
      <c r="AE48" s="119">
        <f>'2020'!BE396</f>
        <v>15</v>
      </c>
      <c r="AF48" s="119">
        <f t="shared" si="0"/>
        <v>0</v>
      </c>
    </row>
    <row r="49" ht="15.75" customHeight="1" spans="1:32" x14ac:dyDescent="0.25">
      <c r="A49" s="14"/>
      <c r="B49" s="115">
        <v>45</v>
      </c>
      <c r="C49" s="115">
        <v>5.04</v>
      </c>
      <c r="D49" s="117" t="s">
        <v>189</v>
      </c>
      <c r="E49" s="119">
        <f>'2020'!I405</f>
        <v>13</v>
      </c>
      <c r="F49" s="119">
        <f>'2020'!J405</f>
        <v>0</v>
      </c>
      <c r="G49" s="119">
        <f>'2020'!M405</f>
        <v>13</v>
      </c>
      <c r="H49" s="119">
        <f>'2020'!N405</f>
        <v>0</v>
      </c>
      <c r="I49" s="119">
        <f>'2020'!Q405</f>
        <v>13</v>
      </c>
      <c r="J49" s="119">
        <f>'2020'!R405</f>
        <v>0</v>
      </c>
      <c r="K49" s="119">
        <f>'2020'!U405</f>
        <v>13</v>
      </c>
      <c r="L49" s="119">
        <f>'2020'!V405</f>
        <v>0</v>
      </c>
      <c r="M49" s="119">
        <f>'2020'!Y405</f>
        <v>13</v>
      </c>
      <c r="N49" s="119">
        <f>'2020'!Z405</f>
        <v>0</v>
      </c>
      <c r="O49" s="119">
        <f>'2020'!AC405</f>
        <v>13</v>
      </c>
      <c r="P49" s="119">
        <f>'2020'!AD405</f>
        <v>0</v>
      </c>
      <c r="Q49" s="119">
        <f>'2020'!AG405</f>
        <v>13</v>
      </c>
      <c r="R49" s="119">
        <f>'2020'!AH405</f>
        <v>0</v>
      </c>
      <c r="S49" s="119">
        <f>'2020'!AK405</f>
        <v>13</v>
      </c>
      <c r="T49" s="119">
        <f>'2020'!AL405</f>
        <v>0</v>
      </c>
      <c r="U49" s="119">
        <f>'2020'!AO405</f>
        <v>13</v>
      </c>
      <c r="V49" s="119">
        <f>'2020'!AP405</f>
        <v>0</v>
      </c>
      <c r="W49" s="119">
        <f>'2020'!AS405</f>
        <v>13</v>
      </c>
      <c r="X49" s="119">
        <f>'2020'!AT405</f>
        <v>0</v>
      </c>
      <c r="Y49" s="119">
        <f>'2020'!AW405</f>
        <v>13</v>
      </c>
      <c r="Z49" s="119">
        <f>'2020'!AX405</f>
        <v>0</v>
      </c>
      <c r="AA49" s="106"/>
      <c r="AB49" s="119">
        <f>'2020'!BA405</f>
        <v>13</v>
      </c>
      <c r="AC49" s="119">
        <f>'2020'!BB405</f>
        <v>0</v>
      </c>
      <c r="AD49" s="106"/>
      <c r="AE49" s="119">
        <f>'2020'!BE405</f>
        <v>0</v>
      </c>
      <c r="AF49" s="119">
        <f t="shared" si="0"/>
        <v>0</v>
      </c>
    </row>
    <row r="50" ht="15.75" customHeight="1" spans="1:32" x14ac:dyDescent="0.25">
      <c r="A50" s="14"/>
      <c r="B50" s="115">
        <v>46</v>
      </c>
      <c r="C50" s="116">
        <v>4</v>
      </c>
      <c r="D50" s="117" t="s">
        <v>188</v>
      </c>
      <c r="E50" s="119">
        <f>'2020'!I414</f>
        <v>2834</v>
      </c>
      <c r="F50" s="119">
        <f>'2020'!J414</f>
        <v>0</v>
      </c>
      <c r="G50" s="119">
        <f>'2020'!M414</f>
        <v>2834</v>
      </c>
      <c r="H50" s="119">
        <f>'2020'!N414</f>
        <v>0</v>
      </c>
      <c r="I50" s="119">
        <f>'2020'!Q414</f>
        <v>2834</v>
      </c>
      <c r="J50" s="119">
        <f>'2020'!R414</f>
        <v>0</v>
      </c>
      <c r="K50" s="119">
        <f>'2020'!U414</f>
        <v>2855</v>
      </c>
      <c r="L50" s="119">
        <f>'2020'!V414</f>
        <v>21</v>
      </c>
      <c r="M50" s="119">
        <f>'2020'!Y414</f>
        <v>2976</v>
      </c>
      <c r="N50" s="119">
        <f>'2020'!Z414</f>
        <v>121</v>
      </c>
      <c r="O50" s="119">
        <f>'2020'!AC414</f>
        <v>3083</v>
      </c>
      <c r="P50" s="119">
        <f>'2020'!AD414</f>
        <v>107</v>
      </c>
      <c r="Q50" s="119">
        <f>'2020'!AG414</f>
        <v>3203</v>
      </c>
      <c r="R50" s="119">
        <f>'2020'!AH414</f>
        <v>120</v>
      </c>
      <c r="S50" s="119">
        <f>'2020'!AK414</f>
        <v>3324</v>
      </c>
      <c r="T50" s="119">
        <f>'2020'!AL414</f>
        <v>121</v>
      </c>
      <c r="U50" s="119">
        <f>'2020'!AO414</f>
        <v>3485</v>
      </c>
      <c r="V50" s="119">
        <f>'2020'!AP414</f>
        <v>161</v>
      </c>
      <c r="W50" s="119">
        <f>'2020'!AS414</f>
        <v>3525</v>
      </c>
      <c r="X50" s="119">
        <f>'2020'!AT414</f>
        <v>40</v>
      </c>
      <c r="Y50" s="119">
        <f>'2020'!AW414</f>
        <v>3525</v>
      </c>
      <c r="Z50" s="119">
        <f>'2020'!AX414</f>
        <v>0</v>
      </c>
      <c r="AA50" s="106"/>
      <c r="AB50" s="119">
        <f>'2020'!BA414</f>
        <v>3525</v>
      </c>
      <c r="AC50" s="119">
        <f>'2020'!BB414</f>
        <v>0</v>
      </c>
      <c r="AD50" s="106"/>
      <c r="AE50" s="119">
        <f>'2020'!BE414</f>
        <v>691</v>
      </c>
      <c r="AF50" s="119">
        <f t="shared" si="0"/>
        <v>0</v>
      </c>
    </row>
    <row r="51" ht="15.75" customHeight="1" spans="1:32" x14ac:dyDescent="0.25">
      <c r="A51" s="14"/>
      <c r="B51" s="115">
        <v>47</v>
      </c>
      <c r="C51" s="116">
        <v>5</v>
      </c>
      <c r="D51" s="117" t="s">
        <v>192</v>
      </c>
      <c r="E51" s="119">
        <f>'2020'!I423</f>
        <v>165</v>
      </c>
      <c r="F51" s="119">
        <f>'2020'!J423</f>
        <v>0</v>
      </c>
      <c r="G51" s="119">
        <f>'2020'!M423</f>
        <v>165</v>
      </c>
      <c r="H51" s="119">
        <f>'2020'!N423</f>
        <v>0</v>
      </c>
      <c r="I51" s="119">
        <f>'2020'!Q423</f>
        <v>165</v>
      </c>
      <c r="J51" s="119">
        <f>'2020'!R423</f>
        <v>0</v>
      </c>
      <c r="K51" s="119">
        <f>'2020'!U423</f>
        <v>165</v>
      </c>
      <c r="L51" s="119">
        <f>'2020'!V423</f>
        <v>0</v>
      </c>
      <c r="M51" s="119">
        <f>'2020'!Y423</f>
        <v>165</v>
      </c>
      <c r="N51" s="119">
        <f>'2020'!Z423</f>
        <v>0</v>
      </c>
      <c r="O51" s="119">
        <f>'2020'!AC423</f>
        <v>165</v>
      </c>
      <c r="P51" s="119">
        <f>'2020'!AD423</f>
        <v>0</v>
      </c>
      <c r="Q51" s="119">
        <f>'2020'!AG423</f>
        <v>165</v>
      </c>
      <c r="R51" s="119">
        <f>'2020'!AH423</f>
        <v>0</v>
      </c>
      <c r="S51" s="119">
        <f>'2020'!AK423</f>
        <v>165</v>
      </c>
      <c r="T51" s="119">
        <f>'2020'!AL423</f>
        <v>0</v>
      </c>
      <c r="U51" s="119">
        <f>'2020'!AO423</f>
        <v>165</v>
      </c>
      <c r="V51" s="119">
        <f>'2020'!AP423</f>
        <v>0</v>
      </c>
      <c r="W51" s="119">
        <f>'2020'!AS423</f>
        <v>165</v>
      </c>
      <c r="X51" s="119">
        <f>'2020'!AT423</f>
        <v>0</v>
      </c>
      <c r="Y51" s="119">
        <f>'2020'!AW423</f>
        <v>165</v>
      </c>
      <c r="Z51" s="119">
        <f>'2020'!AX423</f>
        <v>0</v>
      </c>
      <c r="AA51" s="106"/>
      <c r="AB51" s="119">
        <f>'2020'!BA423</f>
        <v>165</v>
      </c>
      <c r="AC51" s="119">
        <f>'2020'!BB423</f>
        <v>0</v>
      </c>
      <c r="AD51" s="106"/>
      <c r="AE51" s="119">
        <f>'2020'!BE423</f>
        <v>0</v>
      </c>
      <c r="AF51" s="119">
        <f t="shared" si="0"/>
        <v>0</v>
      </c>
    </row>
    <row r="52" ht="15.75" customHeight="1" spans="1:32" x14ac:dyDescent="0.25">
      <c r="A52" s="14"/>
      <c r="B52" s="115">
        <v>48</v>
      </c>
      <c r="C52" s="115">
        <v>5.93</v>
      </c>
      <c r="D52" s="117" t="s">
        <v>97</v>
      </c>
      <c r="E52" s="119">
        <f>'2020'!I432</f>
      </c>
      <c r="F52" s="119">
        <f>'2020'!J432</f>
      </c>
      <c r="G52" s="119">
        <f>'2020'!M432</f>
      </c>
      <c r="H52" s="119">
        <f>'2020'!N432</f>
      </c>
      <c r="I52" s="119">
        <f>'2020'!Q432</f>
      </c>
      <c r="J52" s="119">
        <f>'2020'!R432</f>
        <v>0</v>
      </c>
      <c r="K52" s="119">
        <f>'2020'!U432</f>
      </c>
      <c r="L52" s="119">
        <f>'2020'!V432</f>
        <v>0</v>
      </c>
      <c r="M52" s="119">
        <f>'2020'!Y432</f>
      </c>
      <c r="N52" s="119">
        <f>'2020'!Z432</f>
        <v>0</v>
      </c>
      <c r="O52" s="119">
        <f>'2020'!AC432</f>
        <v>0</v>
      </c>
      <c r="P52" s="119">
        <f>'2020'!AD432</f>
        <v>0</v>
      </c>
      <c r="Q52" s="119">
        <f>'2020'!AG432</f>
      </c>
      <c r="R52" s="119">
        <f>'2020'!AH432</f>
        <v>0</v>
      </c>
      <c r="S52" s="119">
        <f>'2020'!AK432</f>
        <v>0</v>
      </c>
      <c r="T52" s="119">
        <f>'2020'!AL432</f>
        <v>0</v>
      </c>
      <c r="U52" s="119">
        <f>'2020'!AO432</f>
        <v>0</v>
      </c>
      <c r="V52" s="119">
        <f>'2020'!AP432</f>
        <v>0</v>
      </c>
      <c r="W52" s="119">
        <f>'2020'!AS432</f>
        <v>0</v>
      </c>
      <c r="X52" s="119">
        <f>'2020'!AT432</f>
        <v>0</v>
      </c>
      <c r="Y52" s="119">
        <f>'2020'!AW432</f>
        <v>0</v>
      </c>
      <c r="Z52" s="119">
        <f>'2020'!AX432</f>
        <v>0</v>
      </c>
      <c r="AA52" s="106"/>
      <c r="AB52" s="119">
        <f>'2020'!BA432</f>
        <v>0</v>
      </c>
      <c r="AC52" s="119">
        <f>'2020'!BB432</f>
        <v>0</v>
      </c>
      <c r="AD52" s="106"/>
      <c r="AE52" s="119">
        <f>'2020'!BE432</f>
        <v>0</v>
      </c>
      <c r="AF52" s="119">
        <f t="shared" si="0"/>
        <v>0</v>
      </c>
    </row>
    <row r="53" ht="15.75" customHeight="1" spans="1:32" x14ac:dyDescent="0.25">
      <c r="A53" s="14"/>
      <c r="B53" s="115">
        <v>49</v>
      </c>
      <c r="C53" s="115">
        <v>5.03</v>
      </c>
      <c r="D53" s="117" t="s">
        <v>197</v>
      </c>
      <c r="E53" s="119">
        <f>'2020'!I441</f>
      </c>
      <c r="F53" s="119">
        <f>'2020'!J441</f>
      </c>
      <c r="G53" s="119">
        <f>'2020'!M441</f>
      </c>
      <c r="H53" s="119">
        <f>'2020'!N441</f>
      </c>
      <c r="I53" s="119">
        <f>'2020'!Q441</f>
      </c>
      <c r="J53" s="119">
        <f>'2020'!R441</f>
        <v>0</v>
      </c>
      <c r="K53" s="119">
        <f>'2020'!U441</f>
      </c>
      <c r="L53" s="119">
        <f>'2020'!V441</f>
        <v>0</v>
      </c>
      <c r="M53" s="119">
        <f>'2020'!Y441</f>
      </c>
      <c r="N53" s="119">
        <f>'2020'!Z441</f>
        <v>0</v>
      </c>
      <c r="O53" s="119">
        <f>'2020'!AC441</f>
      </c>
      <c r="P53" s="119">
        <f>'2020'!AD441</f>
        <v>0</v>
      </c>
      <c r="Q53" s="119">
        <f>'2020'!AG441</f>
      </c>
      <c r="R53" s="119">
        <f>'2020'!AH441</f>
        <v>0</v>
      </c>
      <c r="S53" s="119">
        <f>'2020'!AK441</f>
        <v>0</v>
      </c>
      <c r="T53" s="119">
        <f>'2020'!AL441</f>
        <v>0</v>
      </c>
      <c r="U53" s="119">
        <f>'2020'!AO441</f>
        <v>0</v>
      </c>
      <c r="V53" s="119">
        <f>'2020'!AP441</f>
        <v>0</v>
      </c>
      <c r="W53" s="119">
        <f>'2020'!AS441</f>
        <v>0</v>
      </c>
      <c r="X53" s="119">
        <f>'2020'!AT441</f>
        <v>0</v>
      </c>
      <c r="Y53" s="119">
        <f>'2020'!AW441</f>
        <v>0</v>
      </c>
      <c r="Z53" s="119">
        <f>'2020'!AX441</f>
        <v>0</v>
      </c>
      <c r="AA53" s="106"/>
      <c r="AB53" s="119">
        <f>'2020'!BA441</f>
        <v>0</v>
      </c>
      <c r="AC53" s="119">
        <f>'2020'!BB441</f>
        <v>0</v>
      </c>
      <c r="AD53" s="106"/>
      <c r="AE53" s="119">
        <f>'2020'!BE441</f>
        <v>0</v>
      </c>
      <c r="AF53" s="119">
        <f t="shared" si="0"/>
        <v>0</v>
      </c>
    </row>
    <row r="54" ht="15.75" customHeight="1" spans="1:32" x14ac:dyDescent="0.25">
      <c r="A54" s="14"/>
      <c r="B54" s="115">
        <v>50</v>
      </c>
      <c r="C54" s="115">
        <v>6.05</v>
      </c>
      <c r="D54" s="117" t="s">
        <v>200</v>
      </c>
      <c r="E54" s="119">
        <f>'2020'!I450</f>
        <v>2469</v>
      </c>
      <c r="F54" s="119">
        <f>'2020'!J450</f>
        <v>63</v>
      </c>
      <c r="G54" s="119">
        <f>'2020'!M450</f>
        <v>2507</v>
      </c>
      <c r="H54" s="119">
        <f>'2020'!N450</f>
        <v>38</v>
      </c>
      <c r="I54" s="119">
        <f>'2020'!Q450</f>
        <v>2528</v>
      </c>
      <c r="J54" s="119">
        <f>'2020'!R450</f>
        <v>21</v>
      </c>
      <c r="K54" s="119">
        <f>'2020'!U450</f>
        <v>2552</v>
      </c>
      <c r="L54" s="119">
        <f>'2020'!V450</f>
        <v>24</v>
      </c>
      <c r="M54" s="119">
        <f>'2020'!Y450</f>
        <v>2594</v>
      </c>
      <c r="N54" s="119">
        <f>'2020'!Z450</f>
        <v>42</v>
      </c>
      <c r="O54" s="119">
        <f>'2020'!AC450</f>
        <v>2609</v>
      </c>
      <c r="P54" s="119">
        <f>'2020'!AD450</f>
        <v>15</v>
      </c>
      <c r="Q54" s="119">
        <f>'2020'!AG450</f>
        <v>2625</v>
      </c>
      <c r="R54" s="119">
        <f>'2020'!AH450</f>
        <v>16</v>
      </c>
      <c r="S54" s="119">
        <f>'2020'!AK450</f>
        <v>2633</v>
      </c>
      <c r="T54" s="119">
        <f>'2020'!AL450</f>
        <v>8</v>
      </c>
      <c r="U54" s="119">
        <f>'2020'!AO450</f>
        <v>2731</v>
      </c>
      <c r="V54" s="119">
        <f>'2020'!AP450</f>
        <v>98</v>
      </c>
      <c r="W54" s="119">
        <f>'2020'!AS450</f>
        <v>2775</v>
      </c>
      <c r="X54" s="119">
        <f>'2020'!AT450</f>
        <v>44</v>
      </c>
      <c r="Y54" s="119">
        <f>'2020'!AW450</f>
        <v>2786</v>
      </c>
      <c r="Z54" s="119">
        <f>'2020'!AX450</f>
        <v>11</v>
      </c>
      <c r="AA54" s="106"/>
      <c r="AB54" s="119">
        <f>'2020'!BA450</f>
        <v>2813</v>
      </c>
      <c r="AC54" s="119">
        <f>'2020'!BB450</f>
        <v>27</v>
      </c>
      <c r="AD54" s="106"/>
      <c r="AE54" s="119">
        <f>'2020'!BE450</f>
        <v>407</v>
      </c>
      <c r="AF54" s="119">
        <f t="shared" si="0"/>
        <v>0</v>
      </c>
    </row>
    <row r="55" ht="15.75" customHeight="1" spans="1:32" x14ac:dyDescent="0.25">
      <c r="A55" s="14"/>
      <c r="B55" s="115">
        <v>51</v>
      </c>
      <c r="C55" s="115">
        <v>4.95</v>
      </c>
      <c r="D55" s="117" t="s">
        <v>204</v>
      </c>
      <c r="E55" s="119">
        <f>'2020'!I459</f>
      </c>
      <c r="F55" s="119">
        <f>'2020'!J459</f>
      </c>
      <c r="G55" s="119">
        <f>'2020'!M459</f>
      </c>
      <c r="H55" s="119">
        <f>'2020'!N459</f>
      </c>
      <c r="I55" s="119">
        <f>'2020'!Q459</f>
      </c>
      <c r="J55" s="119">
        <f>'2020'!R459</f>
        <v>0</v>
      </c>
      <c r="K55" s="119">
        <f>'2020'!U459</f>
      </c>
      <c r="L55" s="119">
        <f>'2020'!V459</f>
        <v>0</v>
      </c>
      <c r="M55" s="119">
        <f>'2020'!Y459</f>
      </c>
      <c r="N55" s="119">
        <f>'2020'!Z459</f>
        <v>0</v>
      </c>
      <c r="O55" s="119">
        <f>'2020'!AC459</f>
      </c>
      <c r="P55" s="119">
        <f>'2020'!AD459</f>
        <v>0</v>
      </c>
      <c r="Q55" s="119">
        <f>'2020'!AG459</f>
        <v>13</v>
      </c>
      <c r="R55" s="119">
        <f>'2020'!AH459</f>
        <v>13</v>
      </c>
      <c r="S55" s="119">
        <f>'2020'!AK459</f>
        <v>88</v>
      </c>
      <c r="T55" s="119">
        <f>'2020'!AL459</f>
        <v>75</v>
      </c>
      <c r="U55" s="119">
        <f>'2020'!AO459</f>
        <v>252</v>
      </c>
      <c r="V55" s="119">
        <f>'2020'!AP459</f>
        <v>164</v>
      </c>
      <c r="W55" s="119">
        <f>'2020'!AS459</f>
        <v>518</v>
      </c>
      <c r="X55" s="119">
        <f>'2020'!AT459</f>
        <v>266</v>
      </c>
      <c r="Y55" s="119">
        <f>'2020'!AW459</f>
        <v>571</v>
      </c>
      <c r="Z55" s="119">
        <f>'2020'!AX459</f>
        <v>53</v>
      </c>
      <c r="AA55" s="106"/>
      <c r="AB55" s="119">
        <f>'2020'!BA459</f>
        <v>580</v>
      </c>
      <c r="AC55" s="119">
        <f>'2020'!BB459</f>
        <v>9</v>
      </c>
      <c r="AD55" s="106"/>
      <c r="AE55" s="119">
        <f>'2020'!BE459</f>
        <v>580</v>
      </c>
      <c r="AF55" s="119">
        <f t="shared" si="0"/>
        <v>0</v>
      </c>
    </row>
    <row r="56" ht="15.75" customHeight="1" spans="1:32" x14ac:dyDescent="0.25">
      <c r="A56" s="14"/>
      <c r="B56" s="115">
        <v>52</v>
      </c>
      <c r="C56" s="116">
        <v>5</v>
      </c>
      <c r="D56" s="117" t="s">
        <v>206</v>
      </c>
      <c r="E56" s="119">
        <f>'2020'!I468</f>
        <v>95</v>
      </c>
      <c r="F56" s="119">
        <f>'2020'!J468</f>
        <v>0</v>
      </c>
      <c r="G56" s="119">
        <f>'2020'!M468</f>
        <v>95</v>
      </c>
      <c r="H56" s="119">
        <f>'2020'!N468</f>
        <v>0</v>
      </c>
      <c r="I56" s="119">
        <f>'2020'!Q468</f>
        <v>95</v>
      </c>
      <c r="J56" s="119">
        <f>'2020'!R468</f>
        <v>0</v>
      </c>
      <c r="K56" s="119">
        <f>'2020'!U468</f>
        <v>97</v>
      </c>
      <c r="L56" s="119">
        <f>'2020'!V468</f>
        <v>2</v>
      </c>
      <c r="M56" s="119">
        <f>'2020'!Y468</f>
        <v>103</v>
      </c>
      <c r="N56" s="119">
        <f>'2020'!Z468</f>
        <v>6</v>
      </c>
      <c r="O56" s="119">
        <f>'2020'!AC468</f>
        <v>111</v>
      </c>
      <c r="P56" s="119">
        <f>'2020'!AD468</f>
        <v>8</v>
      </c>
      <c r="Q56" s="119">
        <f>'2020'!AG468</f>
        <v>120</v>
      </c>
      <c r="R56" s="119">
        <f>'2020'!AH468</f>
        <v>9</v>
      </c>
      <c r="S56" s="119">
        <f>'2020'!AK468</f>
        <v>128</v>
      </c>
      <c r="T56" s="119">
        <f>'2020'!AL468</f>
        <v>8</v>
      </c>
      <c r="U56" s="119">
        <f>'2020'!AO468</f>
        <v>136</v>
      </c>
      <c r="V56" s="119">
        <f>'2020'!AP468</f>
        <v>8</v>
      </c>
      <c r="W56" s="119">
        <f>'2020'!AS468</f>
        <v>139</v>
      </c>
      <c r="X56" s="119">
        <f>'2020'!AT468</f>
        <v>3</v>
      </c>
      <c r="Y56" s="119">
        <f>'2020'!AW468</f>
        <v>139</v>
      </c>
      <c r="Z56" s="119">
        <f>'2020'!AX468</f>
        <v>0</v>
      </c>
      <c r="AA56" s="106"/>
      <c r="AB56" s="119">
        <f>'2020'!BA468</f>
        <v>139</v>
      </c>
      <c r="AC56" s="119">
        <f>'2020'!BB468</f>
        <v>0</v>
      </c>
      <c r="AD56" s="106"/>
      <c r="AE56" s="119">
        <f>'2020'!BE468</f>
        <v>44</v>
      </c>
      <c r="AF56" s="119">
        <f t="shared" si="0"/>
        <v>0</v>
      </c>
    </row>
    <row r="57" ht="15.75" customHeight="1" spans="1:32" x14ac:dyDescent="0.25">
      <c r="A57" s="14"/>
      <c r="B57" s="115">
        <v>53</v>
      </c>
      <c r="C57" s="115">
        <v>5.05</v>
      </c>
      <c r="D57" s="117" t="s">
        <v>210</v>
      </c>
      <c r="E57" s="119">
        <f>'2020'!I477</f>
        <v>6957</v>
      </c>
      <c r="F57" s="119">
        <f>'2020'!J477</f>
        <v>176</v>
      </c>
      <c r="G57" s="119">
        <f>'2020'!M477</f>
        <v>8234</v>
      </c>
      <c r="H57" s="119">
        <f>'2020'!N477</f>
        <v>1277</v>
      </c>
      <c r="I57" s="119">
        <f>'2020'!Q477</f>
        <v>8864</v>
      </c>
      <c r="J57" s="119">
        <f>'2020'!R477</f>
        <v>630</v>
      </c>
      <c r="K57" s="119">
        <f>'2020'!U477</f>
        <v>9138</v>
      </c>
      <c r="L57" s="119">
        <f>'2020'!V477</f>
        <v>274</v>
      </c>
      <c r="M57" s="119">
        <f>'2020'!Y477</f>
        <v>9330</v>
      </c>
      <c r="N57" s="119">
        <f>'2020'!Z477</f>
        <v>192</v>
      </c>
      <c r="O57" s="119">
        <f>'2020'!AC477</f>
        <v>9458</v>
      </c>
      <c r="P57" s="119">
        <f>'2020'!AD477</f>
        <v>128</v>
      </c>
      <c r="Q57" s="119">
        <f>'2020'!AG477</f>
        <v>9571</v>
      </c>
      <c r="R57" s="119">
        <f>'2020'!AH477</f>
        <v>113</v>
      </c>
      <c r="S57" s="119">
        <f>'2020'!AK477</f>
        <v>9750</v>
      </c>
      <c r="T57" s="119">
        <f>'2020'!AL477</f>
        <v>179</v>
      </c>
      <c r="U57" s="119">
        <f>'2020'!AO477</f>
        <v>9865</v>
      </c>
      <c r="V57" s="119">
        <f>'2020'!AP477</f>
        <v>115</v>
      </c>
      <c r="W57" s="119">
        <f>'2020'!AS477</f>
        <v>9879</v>
      </c>
      <c r="X57" s="119">
        <f>'2020'!AT477</f>
        <v>14</v>
      </c>
      <c r="Y57" s="119">
        <f>'2020'!AW477</f>
        <v>10585</v>
      </c>
      <c r="Z57" s="119">
        <f>'2020'!AX477</f>
        <v>706</v>
      </c>
      <c r="AA57" s="119"/>
      <c r="AB57" s="119">
        <f>'2020'!BA477</f>
        <v>11853</v>
      </c>
      <c r="AC57" s="119">
        <f>'2020'!BB477</f>
        <v>1268</v>
      </c>
      <c r="AD57" s="106"/>
      <c r="AE57" s="119">
        <f>'2020'!BE477</f>
        <v>5072</v>
      </c>
      <c r="AF57" s="119">
        <f t="shared" si="0"/>
        <v>0</v>
      </c>
    </row>
    <row r="58" ht="15.75" customHeight="1" spans="1:32" x14ac:dyDescent="0.25">
      <c r="A58" s="14"/>
      <c r="B58" s="115">
        <v>54</v>
      </c>
      <c r="C58" s="115">
        <v>5.54</v>
      </c>
      <c r="D58" s="117" t="s">
        <v>212</v>
      </c>
      <c r="E58" s="119">
        <f>'2020'!I486</f>
        <v>243</v>
      </c>
      <c r="F58" s="119">
        <f>'2020'!J486</f>
        <v>0</v>
      </c>
      <c r="G58" s="119">
        <f>'2020'!M486</f>
        <v>243</v>
      </c>
      <c r="H58" s="119">
        <f>'2020'!N486</f>
        <v>0</v>
      </c>
      <c r="I58" s="119">
        <f>'2020'!Q486</f>
        <v>243</v>
      </c>
      <c r="J58" s="119">
        <f>'2020'!R486</f>
        <v>0</v>
      </c>
      <c r="K58" s="119">
        <f>'2020'!U486</f>
        <v>246</v>
      </c>
      <c r="L58" s="119">
        <f>'2020'!V486</f>
        <v>3</v>
      </c>
      <c r="M58" s="119">
        <f>'2020'!Y486</f>
        <v>257</v>
      </c>
      <c r="N58" s="119">
        <f>'2020'!Z486</f>
        <v>11</v>
      </c>
      <c r="O58" s="119">
        <f>'2020'!AC486</f>
        <v>266</v>
      </c>
      <c r="P58" s="119">
        <f>'2020'!AD486</f>
        <v>9</v>
      </c>
      <c r="Q58" s="119">
        <f>'2020'!AG486</f>
        <v>282</v>
      </c>
      <c r="R58" s="119">
        <f>'2020'!AH486</f>
        <v>16</v>
      </c>
      <c r="S58" s="119">
        <f>'2020'!AK486</f>
        <v>293</v>
      </c>
      <c r="T58" s="119">
        <f>'2020'!AL486</f>
        <v>11</v>
      </c>
      <c r="U58" s="119">
        <f>'2020'!AO486</f>
        <v>309</v>
      </c>
      <c r="V58" s="119">
        <f>'2020'!AP486</f>
        <v>16</v>
      </c>
      <c r="W58" s="119">
        <f>'2020'!AS486</f>
        <v>329</v>
      </c>
      <c r="X58" s="119">
        <f>'2020'!AT486</f>
        <v>20</v>
      </c>
      <c r="Y58" s="119">
        <f>'2020'!AW486</f>
        <v>346</v>
      </c>
      <c r="Z58" s="119">
        <f>'2020'!AX486</f>
        <v>17</v>
      </c>
      <c r="AA58" s="106"/>
      <c r="AB58" s="119">
        <f>'2020'!BA486</f>
        <v>346</v>
      </c>
      <c r="AC58" s="119">
        <f>'2020'!BB486</f>
        <v>0</v>
      </c>
      <c r="AD58" s="106"/>
      <c r="AE58" s="119">
        <f>'2020'!BE486</f>
        <v>103</v>
      </c>
      <c r="AF58" s="119">
        <f t="shared" si="0"/>
        <v>0</v>
      </c>
    </row>
    <row r="59" ht="15.75" customHeight="1" spans="1:32" x14ac:dyDescent="0.25">
      <c r="A59" s="21"/>
      <c r="B59" s="115">
        <v>55</v>
      </c>
      <c r="C59" s="116">
        <v>5.5</v>
      </c>
      <c r="D59" s="117" t="s">
        <v>214</v>
      </c>
      <c r="E59" s="119">
        <f>'2020'!I495</f>
        <v>369</v>
      </c>
      <c r="F59" s="119">
        <f>'2020'!J495</f>
        <v>0</v>
      </c>
      <c r="G59" s="119">
        <f>'2020'!M495</f>
        <v>369</v>
      </c>
      <c r="H59" s="119">
        <f>'2020'!N495</f>
        <v>0</v>
      </c>
      <c r="I59" s="119">
        <f>'2020'!Q495</f>
        <v>369</v>
      </c>
      <c r="J59" s="119">
        <f>'2020'!R495</f>
        <v>0</v>
      </c>
      <c r="K59" s="119">
        <f>'2020'!U495</f>
        <v>388</v>
      </c>
      <c r="L59" s="119">
        <f>'2020'!V495</f>
        <v>19</v>
      </c>
      <c r="M59" s="119">
        <f>'2020'!Y495</f>
        <v>440</v>
      </c>
      <c r="N59" s="119">
        <f>'2020'!Z495</f>
        <v>52</v>
      </c>
      <c r="O59" s="119">
        <f>'2020'!AC495</f>
        <v>470</v>
      </c>
      <c r="P59" s="119">
        <f>'2020'!AD495</f>
        <v>30</v>
      </c>
      <c r="Q59" s="119">
        <f>'2020'!AG495</f>
        <v>487</v>
      </c>
      <c r="R59" s="119">
        <f>'2020'!AH495</f>
        <v>17</v>
      </c>
      <c r="S59" s="119">
        <f>'2020'!AK495</f>
        <v>499</v>
      </c>
      <c r="T59" s="119">
        <f>'2020'!AL495</f>
        <v>12</v>
      </c>
      <c r="U59" s="119">
        <f>'2020'!AO495</f>
        <v>511</v>
      </c>
      <c r="V59" s="119">
        <f>'2020'!AP495</f>
        <v>12</v>
      </c>
      <c r="W59" s="119">
        <f>'2020'!AS495</f>
        <v>536</v>
      </c>
      <c r="X59" s="119">
        <f>'2020'!AT495</f>
        <v>25</v>
      </c>
      <c r="Y59" s="119">
        <f>'2020'!AW495</f>
        <v>536</v>
      </c>
      <c r="Z59" s="119">
        <f>'2020'!AX495</f>
        <v>0</v>
      </c>
      <c r="AA59" s="106"/>
      <c r="AB59" s="119">
        <f>'2020'!BA495</f>
        <v>536</v>
      </c>
      <c r="AC59" s="119">
        <f>'2020'!BB495</f>
        <v>0</v>
      </c>
      <c r="AD59" s="106"/>
      <c r="AE59" s="119">
        <f>'2020'!BE495</f>
        <v>167</v>
      </c>
      <c r="AF59" s="119">
        <f t="shared" si="0"/>
        <v>0</v>
      </c>
    </row>
    <row r="60" ht="15.75" customHeight="1" spans="1:32" x14ac:dyDescent="0.25">
      <c r="A60" s="114" t="s">
        <v>217</v>
      </c>
      <c r="B60" s="115">
        <v>56</v>
      </c>
      <c r="C60" s="115">
        <v>6.23</v>
      </c>
      <c r="D60" s="117" t="s">
        <v>423</v>
      </c>
      <c r="E60" s="119">
        <f>'2020'!I504</f>
        <v>6959</v>
      </c>
      <c r="F60" s="119">
        <f>'2020'!J504</f>
        <v>1525</v>
      </c>
      <c r="G60" s="119">
        <f>'2020'!M504</f>
        <v>8668</v>
      </c>
      <c r="H60" s="119">
        <f>'2020'!N504</f>
        <v>1709</v>
      </c>
      <c r="I60" s="119">
        <f>'2020'!Q504</f>
        <v>10622</v>
      </c>
      <c r="J60" s="119">
        <f>'2020'!R504</f>
        <v>1954</v>
      </c>
      <c r="K60" s="119">
        <f>'2020'!U504</f>
        <v>11283</v>
      </c>
      <c r="L60" s="119">
        <f>'2020'!V504</f>
        <v>661</v>
      </c>
      <c r="M60" s="119">
        <f>'2020'!Y504</f>
        <v>11802</v>
      </c>
      <c r="N60" s="119">
        <f>'2020'!Z504</f>
        <v>519</v>
      </c>
      <c r="O60" s="119">
        <f>'2020'!AC504</f>
        <v>12269</v>
      </c>
      <c r="P60" s="119">
        <f>'2020'!AD504</f>
        <v>467</v>
      </c>
      <c r="Q60" s="119">
        <f>'2020'!AG504</f>
        <v>12761</v>
      </c>
      <c r="R60" s="119">
        <f>'2020'!AH504</f>
        <v>492</v>
      </c>
      <c r="S60" s="119">
        <f>'2020'!AK504</f>
        <v>13324</v>
      </c>
      <c r="T60" s="119">
        <f>'2020'!AL504</f>
        <v>563</v>
      </c>
      <c r="U60" s="119">
        <f>'2020'!AO504</f>
        <v>13947</v>
      </c>
      <c r="V60" s="119">
        <f>'2020'!AP504</f>
        <v>623</v>
      </c>
      <c r="W60" s="119">
        <f>'2020'!AS504</f>
        <v>14658</v>
      </c>
      <c r="X60" s="119">
        <f>'2020'!AT504</f>
        <v>711</v>
      </c>
      <c r="Y60" s="119">
        <f>'2020'!AW504</f>
        <v>15850</v>
      </c>
      <c r="Z60" s="119">
        <f>'2020'!AX504</f>
        <v>1192</v>
      </c>
      <c r="AA60" s="106"/>
      <c r="AB60" s="119">
        <f>'2020'!BA504</f>
        <v>16359</v>
      </c>
      <c r="AC60" s="119">
        <f>'2020'!BB504</f>
        <v>509</v>
      </c>
      <c r="AD60" s="106"/>
      <c r="AE60" s="119">
        <f>'2020'!BE504</f>
        <v>10925</v>
      </c>
      <c r="AF60" s="119">
        <f t="shared" si="0"/>
        <v>0</v>
      </c>
    </row>
    <row r="61" ht="15.75" customHeight="1" spans="1:32" x14ac:dyDescent="0.25">
      <c r="A61" s="14"/>
      <c r="B61" s="115">
        <v>57</v>
      </c>
      <c r="C61" s="116">
        <v>4</v>
      </c>
      <c r="D61" s="2" t="s">
        <v>502</v>
      </c>
      <c r="E61" s="119">
        <f>'2020'!I513</f>
        <v>462</v>
      </c>
      <c r="F61" s="119">
        <f>'2020'!J513</f>
        <v>0</v>
      </c>
      <c r="G61" s="119">
        <f>'2020'!M513</f>
        <v>462</v>
      </c>
      <c r="H61" s="119">
        <f>'2020'!N513</f>
        <v>0</v>
      </c>
      <c r="I61" s="119">
        <f>'2020'!Q513</f>
        <v>462</v>
      </c>
      <c r="J61" s="119">
        <f>'2020'!R513</f>
        <v>0</v>
      </c>
      <c r="K61" s="119">
        <f>'2020'!U513</f>
        <v>462</v>
      </c>
      <c r="L61" s="119">
        <f>'2020'!V513</f>
        <v>0</v>
      </c>
      <c r="M61" s="119">
        <f>'2020'!Y513</f>
        <v>462</v>
      </c>
      <c r="N61" s="119">
        <f>'2020'!Z513</f>
        <v>0</v>
      </c>
      <c r="O61" s="119">
        <f>'2020'!AC513</f>
        <v>462</v>
      </c>
      <c r="P61" s="119">
        <f>'2020'!AD513</f>
        <v>0</v>
      </c>
      <c r="Q61" s="119">
        <f>'2020'!AG513</f>
        <v>462</v>
      </c>
      <c r="R61" s="119">
        <f>'2020'!AH513</f>
        <v>0</v>
      </c>
      <c r="S61" s="119">
        <f>'2020'!AK513</f>
        <v>462</v>
      </c>
      <c r="T61" s="119">
        <f>'2020'!AL513</f>
        <v>0</v>
      </c>
      <c r="U61" s="119">
        <f>'2020'!AO513</f>
        <v>466</v>
      </c>
      <c r="V61" s="119">
        <f>'2020'!AP513</f>
        <v>4</v>
      </c>
      <c r="W61" s="119">
        <f>'2020'!AS513</f>
        <v>483</v>
      </c>
      <c r="X61" s="119">
        <f>'2020'!AT513</f>
        <v>17</v>
      </c>
      <c r="Y61" s="119">
        <f>'2020'!AW513</f>
        <v>495</v>
      </c>
      <c r="Z61" s="119">
        <f>'2020'!AX513</f>
        <v>12</v>
      </c>
      <c r="AA61" s="106"/>
      <c r="AB61" s="119">
        <f>'2020'!BA513</f>
        <v>495</v>
      </c>
      <c r="AC61" s="119">
        <f>'2020'!BB513</f>
        <v>0</v>
      </c>
      <c r="AD61" s="106"/>
      <c r="AE61" s="119">
        <f>'2020'!BE513</f>
        <v>33</v>
      </c>
      <c r="AF61" s="119">
        <f t="shared" si="0"/>
        <v>0</v>
      </c>
    </row>
    <row r="62" ht="15.75" customHeight="1" spans="1:32" x14ac:dyDescent="0.25">
      <c r="A62" s="14"/>
      <c r="B62" s="115">
        <v>59</v>
      </c>
      <c r="C62" s="116">
        <v>4</v>
      </c>
      <c r="D62" s="117" t="s">
        <v>221</v>
      </c>
      <c r="E62" s="119">
        <f>'2020'!I522</f>
      </c>
      <c r="F62" s="119">
        <f>'2020'!J522</f>
      </c>
      <c r="G62" s="119">
        <f>'2020'!M522</f>
      </c>
      <c r="H62" s="119">
        <f>'2020'!N522</f>
      </c>
      <c r="I62" s="119">
        <f>'2020'!Q522</f>
      </c>
      <c r="J62" s="119">
        <f>'2020'!R522</f>
        <v>0</v>
      </c>
      <c r="K62" s="119">
        <f>'2020'!U522</f>
      </c>
      <c r="L62" s="119">
        <f>'2020'!V522</f>
        <v>0</v>
      </c>
      <c r="M62" s="119">
        <f>'2020'!Y522</f>
      </c>
      <c r="N62" s="119">
        <f>'2020'!Z522</f>
        <v>0</v>
      </c>
      <c r="O62" s="119">
        <f>'2020'!AC522</f>
      </c>
      <c r="P62" s="119">
        <f>'2020'!AD522</f>
        <v>0</v>
      </c>
      <c r="Q62" s="119">
        <f>'2020'!AG522</f>
      </c>
      <c r="R62" s="119">
        <f>'2020'!AH522</f>
        <v>0</v>
      </c>
      <c r="S62" s="119">
        <f>'2020'!AK522</f>
        <v>0</v>
      </c>
      <c r="T62" s="119">
        <f>'2020'!AL522</f>
        <v>0</v>
      </c>
      <c r="U62" s="119">
        <f>'2020'!AO522</f>
        <v>0</v>
      </c>
      <c r="V62" s="119">
        <f>'2020'!AP522</f>
        <v>0</v>
      </c>
      <c r="W62" s="119">
        <f>'2020'!AS522</f>
        <v>0</v>
      </c>
      <c r="X62" s="119">
        <f>'2020'!AT522</f>
        <v>0</v>
      </c>
      <c r="Y62" s="119">
        <f>'2020'!AW522</f>
        <v>0</v>
      </c>
      <c r="Z62" s="119">
        <f>'2020'!AX522</f>
        <v>0</v>
      </c>
      <c r="AA62" s="106"/>
      <c r="AB62" s="119">
        <f>'2020'!BA522</f>
        <v>0</v>
      </c>
      <c r="AC62" s="119">
        <f>'2020'!BB522</f>
        <v>0</v>
      </c>
      <c r="AD62" s="106"/>
      <c r="AE62" s="119">
        <f>'2020'!BE522</f>
        <v>0</v>
      </c>
      <c r="AF62" s="119">
        <f t="shared" si="0"/>
        <v>0</v>
      </c>
    </row>
    <row r="63" ht="15.75" customHeight="1" spans="1:32" x14ac:dyDescent="0.25">
      <c r="A63" s="14"/>
      <c r="B63" s="115">
        <v>58</v>
      </c>
      <c r="C63" s="115">
        <v>5.08</v>
      </c>
      <c r="D63" s="117" t="s">
        <v>223</v>
      </c>
      <c r="E63" s="119">
        <f>'2020'!I531</f>
        <v>3110</v>
      </c>
      <c r="F63" s="119">
        <f>'2020'!J531</f>
        <v>5</v>
      </c>
      <c r="G63" s="119">
        <f>'2020'!M531</f>
        <v>3111</v>
      </c>
      <c r="H63" s="119">
        <f>'2020'!N531</f>
        <v>1</v>
      </c>
      <c r="I63" s="119">
        <f>'2020'!Q531</f>
        <v>3112</v>
      </c>
      <c r="J63" s="119">
        <f>'2020'!R531</f>
        <v>1</v>
      </c>
      <c r="K63" s="119">
        <f>'2020'!U531</f>
        <v>3115</v>
      </c>
      <c r="L63" s="119">
        <f>'2020'!V531</f>
        <v>3</v>
      </c>
      <c r="M63" s="119">
        <f>'2020'!Y531</f>
        <v>3122</v>
      </c>
      <c r="N63" s="119">
        <f>'2020'!Z531</f>
        <v>7</v>
      </c>
      <c r="O63" s="119">
        <f>'2020'!AC531</f>
        <v>3314</v>
      </c>
      <c r="P63" s="119">
        <f>'2020'!AD531</f>
        <v>192</v>
      </c>
      <c r="Q63" s="119">
        <f>'2020'!AG531</f>
        <v>3360</v>
      </c>
      <c r="R63" s="119">
        <f>'2020'!AH531</f>
        <v>46</v>
      </c>
      <c r="S63" s="119">
        <f>'2020'!AK531</f>
        <v>3429</v>
      </c>
      <c r="T63" s="119">
        <f>'2020'!AL531</f>
        <v>69</v>
      </c>
      <c r="U63" s="119">
        <f>'2020'!AO531</f>
        <v>3445</v>
      </c>
      <c r="V63" s="119">
        <f>'2020'!AP531</f>
        <v>16</v>
      </c>
      <c r="W63" s="119">
        <f>'2020'!AS531</f>
        <v>646</v>
      </c>
      <c r="X63" s="119">
        <f>'2020'!AT531</f>
        <v>646</v>
      </c>
      <c r="Y63" s="119">
        <f>'2020'!AW531</f>
        <v>703</v>
      </c>
      <c r="Z63" s="119">
        <f>'2020'!AX531</f>
        <v>57</v>
      </c>
      <c r="AA63" s="119"/>
      <c r="AB63" s="119">
        <f>'2020'!BA531</f>
        <v>703</v>
      </c>
      <c r="AC63" s="119">
        <f>'2020'!BB531</f>
        <v>0</v>
      </c>
      <c r="AD63" s="106"/>
      <c r="AE63" s="119">
        <f>'2020'!BE531</f>
        <v>1043</v>
      </c>
      <c r="AF63" s="119">
        <f t="shared" si="0"/>
        <v>0</v>
      </c>
    </row>
    <row r="64" ht="15.75" customHeight="1" spans="1:32" x14ac:dyDescent="0.25">
      <c r="A64" s="14"/>
      <c r="B64" s="115">
        <v>60</v>
      </c>
      <c r="C64" s="116">
        <v>4.4</v>
      </c>
      <c r="D64" s="117" t="s">
        <v>227</v>
      </c>
      <c r="E64" s="119">
        <f>'2020'!I540</f>
        <v>766</v>
      </c>
      <c r="F64" s="119">
        <f>'2020'!J540</f>
        <v>3</v>
      </c>
      <c r="G64" s="119">
        <f>'2020'!M540</f>
        <v>768</v>
      </c>
      <c r="H64" s="119">
        <f>'2020'!N540</f>
        <v>2</v>
      </c>
      <c r="I64" s="119">
        <f>'2020'!Q540</f>
        <v>784</v>
      </c>
      <c r="J64" s="119">
        <f>'2020'!R540</f>
        <v>16</v>
      </c>
      <c r="K64" s="119">
        <f>'2020'!U540</f>
        <v>797</v>
      </c>
      <c r="L64" s="119">
        <f>'2020'!V540</f>
        <v>13</v>
      </c>
      <c r="M64" s="119">
        <f>'2020'!Y540</f>
        <v>814</v>
      </c>
      <c r="N64" s="119">
        <f>'2020'!Z540</f>
        <v>17</v>
      </c>
      <c r="O64" s="119">
        <f>'2020'!AC540</f>
        <v>851</v>
      </c>
      <c r="P64" s="119">
        <f>'2020'!AD540</f>
        <v>37</v>
      </c>
      <c r="Q64" s="119">
        <f>'2020'!AG540</f>
        <v>897</v>
      </c>
      <c r="R64" s="119">
        <f>'2020'!AH540</f>
        <v>46</v>
      </c>
      <c r="S64" s="119">
        <f>'2020'!AK540</f>
        <v>939</v>
      </c>
      <c r="T64" s="119">
        <f>'2020'!AL540</f>
        <v>42</v>
      </c>
      <c r="U64" s="119">
        <f>'2020'!AO540</f>
        <v>961</v>
      </c>
      <c r="V64" s="119">
        <f>'2020'!AP540</f>
        <v>22</v>
      </c>
      <c r="W64" s="119">
        <f>'2020'!AS540</f>
        <v>973</v>
      </c>
      <c r="X64" s="119">
        <f>'2020'!AT540</f>
        <v>12</v>
      </c>
      <c r="Y64" s="119">
        <f>'2020'!AW540</f>
        <v>416</v>
      </c>
      <c r="Z64" s="119">
        <f>'2020'!AX540</f>
        <v>416</v>
      </c>
      <c r="AA64" s="119">
        <v>400</v>
      </c>
      <c r="AB64" s="119">
        <f>'2020'!BA540</f>
        <v>1512</v>
      </c>
      <c r="AC64" s="119">
        <f>'2020'!BB540</f>
        <v>1096</v>
      </c>
      <c r="AD64" s="119">
        <v>718</v>
      </c>
      <c r="AE64" s="119">
        <f>'2020'!BE540</f>
        <v>1722</v>
      </c>
      <c r="AF64" s="119">
        <f t="shared" si="0"/>
        <v>1118</v>
      </c>
    </row>
    <row r="65" ht="15.75" customHeight="1" spans="1:32" x14ac:dyDescent="0.25">
      <c r="A65" s="14"/>
      <c r="B65" s="115">
        <v>61</v>
      </c>
      <c r="C65" s="115">
        <v>4.71</v>
      </c>
      <c r="D65" s="117" t="s">
        <v>231</v>
      </c>
      <c r="E65" s="119">
        <f>'2020'!I549</f>
        <v>303</v>
      </c>
      <c r="F65" s="119">
        <f>'2020'!J549</f>
        <v>0</v>
      </c>
      <c r="G65" s="119">
        <f>'2020'!M549</f>
        <v>303</v>
      </c>
      <c r="H65" s="119">
        <f>'2020'!N549</f>
        <v>0</v>
      </c>
      <c r="I65" s="119">
        <f>'2020'!Q549</f>
        <v>303</v>
      </c>
      <c r="J65" s="119">
        <f>'2020'!R549</f>
        <v>0</v>
      </c>
      <c r="K65" s="119">
        <f>'2020'!U549</f>
        <v>303</v>
      </c>
      <c r="L65" s="119">
        <f>'2020'!V549</f>
        <v>0</v>
      </c>
      <c r="M65" s="119">
        <f>'2020'!Y549</f>
        <v>308</v>
      </c>
      <c r="N65" s="119">
        <f>'2020'!Z549</f>
        <v>5</v>
      </c>
      <c r="O65" s="119">
        <f>'2020'!AC549</f>
        <v>343</v>
      </c>
      <c r="P65" s="119">
        <f>'2020'!AD549</f>
        <v>35</v>
      </c>
      <c r="Q65" s="119">
        <f>'2020'!AG549</f>
        <v>357</v>
      </c>
      <c r="R65" s="119">
        <f>'2020'!AH549</f>
        <v>14</v>
      </c>
      <c r="S65" s="119">
        <f>'2020'!AK549</f>
        <v>370</v>
      </c>
      <c r="T65" s="119">
        <f>'2020'!AL549</f>
        <v>13</v>
      </c>
      <c r="U65" s="119">
        <f>'2020'!AO549</f>
        <v>382</v>
      </c>
      <c r="V65" s="119">
        <f>'2020'!AP549</f>
        <v>12</v>
      </c>
      <c r="W65" s="119">
        <f>'2020'!AS549</f>
        <v>403</v>
      </c>
      <c r="X65" s="119">
        <f>'2020'!AT549</f>
        <v>21</v>
      </c>
      <c r="Y65" s="119">
        <f>'2020'!AW549</f>
        <v>403</v>
      </c>
      <c r="Z65" s="119">
        <f>'2020'!AX549</f>
        <v>0</v>
      </c>
      <c r="AA65" s="106"/>
      <c r="AB65" s="119">
        <f>'2020'!BA549</f>
        <v>403</v>
      </c>
      <c r="AC65" s="119">
        <f>'2020'!BB549</f>
        <v>0</v>
      </c>
      <c r="AD65" s="106"/>
      <c r="AE65" s="119">
        <f>'2020'!BE549</f>
        <v>100</v>
      </c>
      <c r="AF65" s="119">
        <f t="shared" si="0"/>
        <v>0</v>
      </c>
    </row>
    <row r="66" ht="15.75" customHeight="1" spans="1:32" x14ac:dyDescent="0.25">
      <c r="A66" s="14"/>
      <c r="B66" s="115">
        <v>62</v>
      </c>
      <c r="C66" s="116">
        <v>4.6</v>
      </c>
      <c r="D66" s="15" t="s">
        <v>236</v>
      </c>
      <c r="E66" s="119">
        <f>'2020'!I558</f>
        <v>418</v>
      </c>
      <c r="F66" s="119">
        <f>'2020'!J558</f>
        <v>0</v>
      </c>
      <c r="G66" s="119">
        <f>'2020'!M558</f>
        <v>418</v>
      </c>
      <c r="H66" s="119">
        <f>'2020'!N558</f>
        <v>0</v>
      </c>
      <c r="I66" s="119">
        <f>'2020'!Q558</f>
        <v>418</v>
      </c>
      <c r="J66" s="119">
        <f>'2020'!R558</f>
        <v>0</v>
      </c>
      <c r="K66" s="119">
        <f>'2020'!U558</f>
        <v>421</v>
      </c>
      <c r="L66" s="119">
        <f>'2020'!V558</f>
        <v>3</v>
      </c>
      <c r="M66" s="119">
        <f>'2020'!Y558</f>
        <v>445</v>
      </c>
      <c r="N66" s="119">
        <f>'2020'!Z558</f>
        <v>24</v>
      </c>
      <c r="O66" s="119">
        <f>'2020'!AC558</f>
        <v>451</v>
      </c>
      <c r="P66" s="119">
        <f>'2020'!AD558</f>
        <v>6</v>
      </c>
      <c r="Q66" s="119">
        <f>'2020'!AG558</f>
        <v>476</v>
      </c>
      <c r="R66" s="119">
        <f>'2020'!AH558</f>
        <v>25</v>
      </c>
      <c r="S66" s="119">
        <f>'2020'!AK558</f>
        <v>479</v>
      </c>
      <c r="T66" s="119">
        <f>'2020'!AL558</f>
        <v>3</v>
      </c>
      <c r="U66" s="119">
        <f>'2020'!AO558</f>
        <v>479</v>
      </c>
      <c r="V66" s="119">
        <f>'2020'!AP558</f>
        <v>0</v>
      </c>
      <c r="W66" s="119">
        <f>'2020'!AS558</f>
        <v>479</v>
      </c>
      <c r="X66" s="119">
        <f>'2020'!AT558</f>
        <v>0</v>
      </c>
      <c r="Y66" s="119">
        <f>'2020'!AW558</f>
        <v>479</v>
      </c>
      <c r="Z66" s="119">
        <f>'2020'!AX558</f>
        <v>0</v>
      </c>
      <c r="AA66" s="106"/>
      <c r="AB66" s="119">
        <f>'2020'!BA558</f>
        <v>479</v>
      </c>
      <c r="AC66" s="119">
        <f>'2020'!BB558</f>
        <v>0</v>
      </c>
      <c r="AD66" s="106"/>
      <c r="AE66" s="119">
        <f>'2020'!BE558</f>
        <v>61</v>
      </c>
      <c r="AF66" s="119">
        <f t="shared" si="0"/>
        <v>0</v>
      </c>
    </row>
    <row r="67" ht="15.75" customHeight="1" spans="1:32" x14ac:dyDescent="0.25">
      <c r="A67" s="14"/>
      <c r="B67" s="115" t="s">
        <v>237</v>
      </c>
      <c r="C67" s="115">
        <v>4.01</v>
      </c>
      <c r="D67" s="117" t="s">
        <v>238</v>
      </c>
      <c r="E67" s="119">
        <f>'2020'!I567</f>
        <v>34</v>
      </c>
      <c r="F67" s="119">
        <f>'2020'!J567</f>
        <v>0</v>
      </c>
      <c r="G67" s="119">
        <f>'2020'!M567</f>
        <v>34</v>
      </c>
      <c r="H67" s="119">
        <f>'2020'!N567</f>
        <v>0</v>
      </c>
      <c r="I67" s="119">
        <f>'2020'!Q567</f>
        <v>34</v>
      </c>
      <c r="J67" s="119">
        <f>'2020'!R567</f>
        <v>0</v>
      </c>
      <c r="K67" s="119">
        <f>'2020'!U567</f>
        <v>34</v>
      </c>
      <c r="L67" s="119">
        <f>'2020'!V567</f>
        <v>0</v>
      </c>
      <c r="M67" s="119">
        <f>'2020'!Y567</f>
        <v>38</v>
      </c>
      <c r="N67" s="119">
        <f>'2020'!Z567</f>
        <v>4</v>
      </c>
      <c r="O67" s="119">
        <f>'2020'!AC567</f>
        <v>41</v>
      </c>
      <c r="P67" s="119">
        <f>'2020'!AD567</f>
        <v>3</v>
      </c>
      <c r="Q67" s="119">
        <f>'2020'!AG567</f>
        <v>43</v>
      </c>
      <c r="R67" s="119">
        <f>'2020'!AH567</f>
        <v>2</v>
      </c>
      <c r="S67" s="119">
        <f>'2020'!AK567</f>
        <v>46</v>
      </c>
      <c r="T67" s="119">
        <f>'2020'!AL567</f>
        <v>3</v>
      </c>
      <c r="U67" s="119">
        <f>'2020'!AO567</f>
        <v>48</v>
      </c>
      <c r="V67" s="119">
        <f>'2020'!AP567</f>
        <v>2</v>
      </c>
      <c r="W67" s="119">
        <f>'2020'!AS567</f>
        <v>49</v>
      </c>
      <c r="X67" s="119">
        <f>'2020'!AT567</f>
        <v>1</v>
      </c>
      <c r="Y67" s="119">
        <f>'2020'!AW567</f>
        <v>49</v>
      </c>
      <c r="Z67" s="119">
        <f>'2020'!AX567</f>
        <v>0</v>
      </c>
      <c r="AA67" s="106"/>
      <c r="AB67" s="119">
        <f>'2020'!BA567</f>
        <v>49</v>
      </c>
      <c r="AC67" s="119">
        <f>'2020'!BB567</f>
        <v>0</v>
      </c>
      <c r="AD67" s="106"/>
      <c r="AE67" s="119">
        <f>'2020'!BE567</f>
        <v>15</v>
      </c>
      <c r="AF67" s="119">
        <f t="shared" si="0"/>
        <v>0</v>
      </c>
    </row>
    <row r="68" ht="15.75" customHeight="1" spans="1:32" x14ac:dyDescent="0.25">
      <c r="A68" s="14"/>
      <c r="B68" s="115" t="s">
        <v>237</v>
      </c>
      <c r="C68" s="115">
        <v>4.01</v>
      </c>
      <c r="D68" s="117" t="s">
        <v>238</v>
      </c>
      <c r="E68" s="119">
        <f>'2020'!I576</f>
      </c>
      <c r="F68" s="119">
        <f>'2020'!J576</f>
      </c>
      <c r="G68" s="119">
        <f>'2020'!M576</f>
      </c>
      <c r="H68" s="119">
        <f>'2020'!N576</f>
      </c>
      <c r="I68" s="119">
        <f>'2020'!Q576</f>
      </c>
      <c r="J68" s="119">
        <f>'2020'!R576</f>
        <v>0</v>
      </c>
      <c r="K68" s="119">
        <f>'2020'!U576</f>
      </c>
      <c r="L68" s="119">
        <f>'2020'!V576</f>
        <v>0</v>
      </c>
      <c r="M68" s="119">
        <f>'2020'!Y576</f>
      </c>
      <c r="N68" s="119">
        <f>'2020'!Z576</f>
        <v>0</v>
      </c>
      <c r="O68" s="119">
        <f>'2020'!AC576</f>
      </c>
      <c r="P68" s="119">
        <f>'2020'!AD576</f>
        <v>0</v>
      </c>
      <c r="Q68" s="119">
        <f>'2020'!AG576</f>
      </c>
      <c r="R68" s="119">
        <f>'2020'!AH576</f>
        <v>0</v>
      </c>
      <c r="S68" s="119">
        <f>'2020'!AK576</f>
        <v>0</v>
      </c>
      <c r="T68" s="119">
        <f>'2020'!AL576</f>
        <v>0</v>
      </c>
      <c r="U68" s="119">
        <f>'2020'!AO576</f>
        <v>0</v>
      </c>
      <c r="V68" s="119">
        <f>'2020'!AP576</f>
        <v>0</v>
      </c>
      <c r="W68" s="119">
        <f>'2020'!AS576</f>
        <v>0</v>
      </c>
      <c r="X68" s="119">
        <f>'2020'!AT576</f>
        <v>0</v>
      </c>
      <c r="Y68" s="119">
        <f>'2020'!AW576</f>
        <v>0</v>
      </c>
      <c r="Z68" s="119">
        <f>'2020'!AX576</f>
        <v>0</v>
      </c>
      <c r="AA68" s="106"/>
      <c r="AB68" s="119">
        <f>'2020'!BA576</f>
        <v>0</v>
      </c>
      <c r="AC68" s="119">
        <f>'2020'!BB576</f>
        <v>0</v>
      </c>
      <c r="AD68" s="106"/>
      <c r="AE68" s="119">
        <f>'2020'!BE576</f>
        <v>0</v>
      </c>
      <c r="AF68" s="119">
        <f t="shared" si="0"/>
        <v>0</v>
      </c>
    </row>
    <row r="69" ht="15.75" customHeight="1" spans="1:32" x14ac:dyDescent="0.25">
      <c r="A69" s="14"/>
      <c r="B69" s="115">
        <v>64</v>
      </c>
      <c r="C69" s="115">
        <v>4.24</v>
      </c>
      <c r="D69" s="117" t="s">
        <v>241</v>
      </c>
      <c r="E69" s="119">
        <f>'2020'!I585</f>
        <v>328</v>
      </c>
      <c r="F69" s="119">
        <f>'2020'!J585</f>
        <v>0</v>
      </c>
      <c r="G69" s="119">
        <f>'2020'!M585</f>
        <v>328</v>
      </c>
      <c r="H69" s="119">
        <f>'2020'!N585</f>
        <v>0</v>
      </c>
      <c r="I69" s="119">
        <f>'2020'!Q585</f>
        <v>328</v>
      </c>
      <c r="J69" s="119">
        <f>'2020'!R585</f>
        <v>0</v>
      </c>
      <c r="K69" s="119">
        <f>'2020'!U585</f>
        <v>328</v>
      </c>
      <c r="L69" s="119">
        <f>'2020'!V585</f>
        <v>0</v>
      </c>
      <c r="M69" s="119">
        <f>'2020'!Y585</f>
        <v>340</v>
      </c>
      <c r="N69" s="119">
        <f>'2020'!Z585</f>
        <v>12</v>
      </c>
      <c r="O69" s="119">
        <f>'2020'!AC585</f>
        <v>362</v>
      </c>
      <c r="P69" s="119">
        <f>'2020'!AD585</f>
        <v>22</v>
      </c>
      <c r="Q69" s="119">
        <f>'2020'!AG585</f>
        <v>383</v>
      </c>
      <c r="R69" s="119">
        <f>'2020'!AH585</f>
        <v>21</v>
      </c>
      <c r="S69" s="119">
        <f>'2020'!AK585</f>
        <v>397</v>
      </c>
      <c r="T69" s="119">
        <f>'2020'!AL585</f>
        <v>14</v>
      </c>
      <c r="U69" s="119">
        <f>'2020'!AO585</f>
        <v>406</v>
      </c>
      <c r="V69" s="119">
        <f>'2020'!AP585</f>
        <v>9</v>
      </c>
      <c r="W69" s="119">
        <f>'2020'!AS585</f>
        <v>408</v>
      </c>
      <c r="X69" s="119">
        <f>'2020'!AT585</f>
        <v>2</v>
      </c>
      <c r="Y69" s="119">
        <f>'2020'!AW585</f>
        <v>408</v>
      </c>
      <c r="Z69" s="119">
        <f>'2020'!AX585</f>
        <v>0</v>
      </c>
      <c r="AA69" s="106"/>
      <c r="AB69" s="119">
        <f>'2020'!BA585</f>
        <v>408</v>
      </c>
      <c r="AC69" s="119">
        <f>'2020'!BB585</f>
        <v>0</v>
      </c>
      <c r="AD69" s="106"/>
      <c r="AE69" s="119">
        <f>'2020'!BE585</f>
        <v>80</v>
      </c>
      <c r="AF69" s="119">
        <f t="shared" si="0"/>
        <v>0</v>
      </c>
    </row>
    <row r="70" ht="15.75" customHeight="1" spans="1:32" x14ac:dyDescent="0.25">
      <c r="A70" s="14"/>
      <c r="B70" s="115">
        <v>66</v>
      </c>
      <c r="C70" s="115">
        <v>4.66</v>
      </c>
      <c r="D70" s="117" t="s">
        <v>244</v>
      </c>
      <c r="E70" s="119">
        <f>'2020'!I594</f>
        <v>1</v>
      </c>
      <c r="F70" s="119">
        <f>'2020'!J594</f>
        <v>0</v>
      </c>
      <c r="G70" s="119">
        <f>'2020'!M594</f>
        <v>1</v>
      </c>
      <c r="H70" s="119">
        <f>'2020'!N594</f>
        <v>0</v>
      </c>
      <c r="I70" s="119">
        <f>'2020'!Q594</f>
        <v>1</v>
      </c>
      <c r="J70" s="119">
        <f>'2020'!R594</f>
        <v>0</v>
      </c>
      <c r="K70" s="119">
        <f>'2020'!U594</f>
        <v>1</v>
      </c>
      <c r="L70" s="119">
        <f>'2020'!V594</f>
        <v>0</v>
      </c>
      <c r="M70" s="119">
        <f>'2020'!Y594</f>
        <v>1</v>
      </c>
      <c r="N70" s="119">
        <f>'2020'!Z594</f>
        <v>0</v>
      </c>
      <c r="O70" s="119">
        <f>'2020'!AC594</f>
        <v>1</v>
      </c>
      <c r="P70" s="119">
        <f>'2020'!AD594</f>
        <v>0</v>
      </c>
      <c r="Q70" s="119">
        <f>'2020'!AG594</f>
        <v>1</v>
      </c>
      <c r="R70" s="119">
        <f>'2020'!AH594</f>
        <v>0</v>
      </c>
      <c r="S70" s="119">
        <f>'2020'!AK594</f>
        <v>1</v>
      </c>
      <c r="T70" s="119">
        <f>'2020'!AL594</f>
        <v>0</v>
      </c>
      <c r="U70" s="119">
        <f>'2020'!AO594</f>
        <v>1</v>
      </c>
      <c r="V70" s="119">
        <f>'2020'!AP594</f>
        <v>0</v>
      </c>
      <c r="W70" s="119">
        <f>'2020'!AS594</f>
        <v>1</v>
      </c>
      <c r="X70" s="119">
        <f>'2020'!AT594</f>
        <v>0</v>
      </c>
      <c r="Y70" s="119">
        <f>'2020'!AW594</f>
        <v>1</v>
      </c>
      <c r="Z70" s="119">
        <f>'2020'!AX594</f>
        <v>0</v>
      </c>
      <c r="AA70" s="106"/>
      <c r="AB70" s="119">
        <f>'2020'!BA594</f>
        <v>1</v>
      </c>
      <c r="AC70" s="119">
        <f>'2020'!BB594</f>
        <v>0</v>
      </c>
      <c r="AD70" s="106"/>
      <c r="AE70" s="119">
        <f>'2020'!BE594</f>
        <v>0</v>
      </c>
      <c r="AF70" s="119">
        <f t="shared" si="0"/>
        <v>0</v>
      </c>
    </row>
    <row r="71" ht="15.75" customHeight="1" spans="1:32" x14ac:dyDescent="0.25">
      <c r="A71" s="14"/>
      <c r="B71" s="115">
        <v>67</v>
      </c>
      <c r="C71" s="115">
        <v>6.08</v>
      </c>
      <c r="D71" s="117" t="s">
        <v>245</v>
      </c>
      <c r="E71" s="119">
        <f>'2020'!I603</f>
        <v>1887</v>
      </c>
      <c r="F71" s="119">
        <f>'2020'!J603</f>
        <v>0</v>
      </c>
      <c r="G71" s="119">
        <f>'2020'!M603</f>
        <v>1887</v>
      </c>
      <c r="H71" s="119">
        <f>'2020'!N603</f>
        <v>0</v>
      </c>
      <c r="I71" s="119">
        <f>'2020'!Q603</f>
        <v>1887</v>
      </c>
      <c r="J71" s="119">
        <f>'2020'!R603</f>
        <v>0</v>
      </c>
      <c r="K71" s="119">
        <f>'2020'!U603</f>
        <v>1889</v>
      </c>
      <c r="L71" s="119">
        <f>'2020'!V603</f>
        <v>2</v>
      </c>
      <c r="M71" s="119">
        <f>'2020'!Y603</f>
        <v>1952</v>
      </c>
      <c r="N71" s="119">
        <f>'2020'!Z603</f>
        <v>63</v>
      </c>
      <c r="O71" s="119">
        <f>'2020'!AC603</f>
        <v>2074</v>
      </c>
      <c r="P71" s="119">
        <f>'2020'!AD603</f>
        <v>122</v>
      </c>
      <c r="Q71" s="119">
        <f>'2020'!AG603</f>
        <v>2167</v>
      </c>
      <c r="R71" s="119">
        <f>'2020'!AH603</f>
        <v>93</v>
      </c>
      <c r="S71" s="119">
        <f>'2020'!AK603</f>
        <v>2290</v>
      </c>
      <c r="T71" s="119">
        <f>'2020'!AL603</f>
        <v>123</v>
      </c>
      <c r="U71" s="119">
        <f>'2020'!AO603</f>
        <v>2384</v>
      </c>
      <c r="V71" s="119">
        <f>'2020'!AP603</f>
        <v>94</v>
      </c>
      <c r="W71" s="119">
        <f>'2020'!AS603</f>
        <v>2412</v>
      </c>
      <c r="X71" s="119">
        <f>'2020'!AT603</f>
        <v>28</v>
      </c>
      <c r="Y71" s="119">
        <f>'2020'!AW603</f>
        <v>2412</v>
      </c>
      <c r="Z71" s="119">
        <f>'2020'!AX603</f>
        <v>0</v>
      </c>
      <c r="AA71" s="106"/>
      <c r="AB71" s="119">
        <f>'2020'!BA603</f>
        <v>2412</v>
      </c>
      <c r="AC71" s="119">
        <f>'2020'!BB603</f>
        <v>0</v>
      </c>
      <c r="AD71" s="106"/>
      <c r="AE71" s="119">
        <f>'2020'!BE603</f>
        <v>525</v>
      </c>
      <c r="AF71" s="119">
        <f t="shared" si="0"/>
        <v>0</v>
      </c>
    </row>
    <row r="72" ht="15.75" customHeight="1" spans="1:32" x14ac:dyDescent="0.25">
      <c r="A72" s="14"/>
      <c r="B72" s="115" t="s">
        <v>248</v>
      </c>
      <c r="C72" s="115">
        <v>4.01</v>
      </c>
      <c r="D72" s="117" t="s">
        <v>249</v>
      </c>
      <c r="E72" s="119">
        <f>'2020'!I612</f>
        <v>1702</v>
      </c>
      <c r="F72" s="119">
        <f>'2020'!J612</f>
        <v>0</v>
      </c>
      <c r="G72" s="119">
        <f>'2020'!M612</f>
        <v>1702</v>
      </c>
      <c r="H72" s="119">
        <f>'2020'!N612</f>
        <v>0</v>
      </c>
      <c r="I72" s="119">
        <f>'2020'!Q612</f>
        <v>1702</v>
      </c>
      <c r="J72" s="119">
        <f>'2020'!R612</f>
        <v>0</v>
      </c>
      <c r="K72" s="119">
        <f>'2020'!U612</f>
        <v>1711</v>
      </c>
      <c r="L72" s="119">
        <f>'2020'!V612</f>
        <v>9</v>
      </c>
      <c r="M72" s="119">
        <f>'2020'!Y612</f>
        <v>1817</v>
      </c>
      <c r="N72" s="119">
        <f>'2020'!Z612</f>
        <v>106</v>
      </c>
      <c r="O72" s="119">
        <f>'2020'!AC612</f>
        <v>2019</v>
      </c>
      <c r="P72" s="119">
        <f>'2020'!AD612</f>
        <v>202</v>
      </c>
      <c r="Q72" s="119">
        <f>'2020'!AG612</f>
        <v>2146</v>
      </c>
      <c r="R72" s="119">
        <f>'2020'!AH612</f>
        <v>127</v>
      </c>
      <c r="S72" s="119">
        <f>'2020'!AK612</f>
        <v>2398</v>
      </c>
      <c r="T72" s="119">
        <f>'2020'!AL612</f>
        <v>252</v>
      </c>
      <c r="U72" s="119">
        <f>'2020'!AO612</f>
        <v>3145</v>
      </c>
      <c r="V72" s="119">
        <f>'2020'!AP612</f>
        <v>747</v>
      </c>
      <c r="W72" s="119">
        <f>'2020'!AS612</f>
        <v>3291</v>
      </c>
      <c r="X72" s="119">
        <f>'2020'!AT612</f>
        <v>146</v>
      </c>
      <c r="Y72" s="119">
        <f>'2020'!AW612</f>
        <v>3291</v>
      </c>
      <c r="Z72" s="119">
        <f>'2020'!AX612</f>
        <v>0</v>
      </c>
      <c r="AA72" s="106"/>
      <c r="AB72" s="119">
        <f>'2020'!BA612</f>
        <v>3291</v>
      </c>
      <c r="AC72" s="119">
        <f>'2020'!BB612</f>
        <v>0</v>
      </c>
      <c r="AD72" s="106"/>
      <c r="AE72" s="119">
        <f>'2020'!BE612</f>
        <v>1589</v>
      </c>
      <c r="AF72" s="119">
        <f t="shared" si="0"/>
        <v>0</v>
      </c>
    </row>
    <row r="73" ht="15.75" customHeight="1" spans="1:32" x14ac:dyDescent="0.25">
      <c r="A73" s="14"/>
      <c r="B73" s="115" t="s">
        <v>248</v>
      </c>
      <c r="C73" s="115">
        <v>4.02</v>
      </c>
      <c r="D73" s="117" t="s">
        <v>249</v>
      </c>
      <c r="E73" s="119">
        <f>'2020'!I621</f>
      </c>
      <c r="F73" s="119">
        <f>'2020'!J621</f>
      </c>
      <c r="G73" s="119">
        <f>'2020'!M621</f>
      </c>
      <c r="H73" s="119">
        <f>'2020'!N621</f>
      </c>
      <c r="I73" s="119">
        <f>'2020'!Q621</f>
      </c>
      <c r="J73" s="119">
        <f>'2020'!R621</f>
        <v>0</v>
      </c>
      <c r="K73" s="119">
        <f>'2020'!U621</f>
      </c>
      <c r="L73" s="119">
        <f>'2020'!V621</f>
        <v>0</v>
      </c>
      <c r="M73" s="119">
        <f>'2020'!Y621</f>
      </c>
      <c r="N73" s="119">
        <f>'2020'!Z621</f>
        <v>0</v>
      </c>
      <c r="O73" s="119">
        <f>'2020'!AC621</f>
      </c>
      <c r="P73" s="119">
        <f>'2020'!AD621</f>
        <v>0</v>
      </c>
      <c r="Q73" s="119">
        <f>'2020'!AG621</f>
      </c>
      <c r="R73" s="119">
        <f>'2020'!AH621</f>
        <v>0</v>
      </c>
      <c r="S73" s="119">
        <f>'2020'!AK621</f>
        <v>0</v>
      </c>
      <c r="T73" s="119">
        <f>'2020'!AL621</f>
        <v>0</v>
      </c>
      <c r="U73" s="119">
        <f>'2020'!AO621</f>
        <v>0</v>
      </c>
      <c r="V73" s="119">
        <f>'2020'!AP621</f>
        <v>0</v>
      </c>
      <c r="W73" s="119">
        <f>'2020'!AS621</f>
        <v>0</v>
      </c>
      <c r="X73" s="119">
        <f>'2020'!AT621</f>
        <v>0</v>
      </c>
      <c r="Y73" s="119">
        <f>'2020'!AW621</f>
        <v>0</v>
      </c>
      <c r="Z73" s="119">
        <f>'2020'!AX621</f>
        <v>0</v>
      </c>
      <c r="AA73" s="106"/>
      <c r="AB73" s="119">
        <f>'2020'!BA621</f>
        <v>0</v>
      </c>
      <c r="AC73" s="119">
        <f>'2020'!BB621</f>
        <v>0</v>
      </c>
      <c r="AD73" s="106"/>
      <c r="AE73" s="119">
        <f>'2020'!BE621</f>
        <v>0</v>
      </c>
      <c r="AF73" s="119">
        <f t="shared" si="0"/>
        <v>0</v>
      </c>
    </row>
    <row r="74" ht="15.75" customHeight="1" spans="1:32" x14ac:dyDescent="0.25">
      <c r="A74" s="14"/>
      <c r="B74" s="115">
        <v>69</v>
      </c>
      <c r="C74" s="115">
        <v>4.03</v>
      </c>
      <c r="D74" s="117" t="s">
        <v>253</v>
      </c>
      <c r="E74" s="119">
        <f>'2020'!I630</f>
        <v>22150</v>
      </c>
      <c r="F74" s="119">
        <f>'2020'!J630</f>
        <v>685</v>
      </c>
      <c r="G74" s="119">
        <f>'2020'!M630</f>
        <v>22646</v>
      </c>
      <c r="H74" s="119">
        <f>'2020'!N630</f>
        <v>496</v>
      </c>
      <c r="I74" s="119">
        <f>'2020'!Q630</f>
        <v>23240</v>
      </c>
      <c r="J74" s="119">
        <f>'2020'!R630</f>
        <v>594</v>
      </c>
      <c r="K74" s="119">
        <f>'2020'!U630</f>
        <v>23728</v>
      </c>
      <c r="L74" s="119">
        <f>'2020'!V630</f>
        <v>488</v>
      </c>
      <c r="M74" s="119">
        <f>'2020'!Y630</f>
        <v>24035</v>
      </c>
      <c r="N74" s="119">
        <f>'2020'!Z630</f>
        <v>307</v>
      </c>
      <c r="O74" s="119">
        <f>'2020'!AC630</f>
        <v>24342</v>
      </c>
      <c r="P74" s="119">
        <f>'2020'!AD630</f>
        <v>307</v>
      </c>
      <c r="Q74" s="119">
        <f>'2020'!AG630</f>
        <v>24632</v>
      </c>
      <c r="R74" s="119">
        <f>'2020'!AH630</f>
        <v>290</v>
      </c>
      <c r="S74" s="119">
        <f>'2020'!AK630</f>
        <v>24963</v>
      </c>
      <c r="T74" s="119">
        <f>'2020'!AL630</f>
        <v>331</v>
      </c>
      <c r="U74" s="119">
        <f>'2020'!AO630</f>
        <v>25290</v>
      </c>
      <c r="V74" s="119">
        <f>'2020'!AP630</f>
        <v>327</v>
      </c>
      <c r="W74" s="119">
        <f>'2020'!AS630</f>
        <v>25638</v>
      </c>
      <c r="X74" s="119">
        <f>'2020'!AT630</f>
        <v>348</v>
      </c>
      <c r="Y74" s="119">
        <f>'2020'!AW630</f>
        <v>26084</v>
      </c>
      <c r="Z74" s="119">
        <f>'2020'!AX630</f>
        <v>446</v>
      </c>
      <c r="AA74" s="119"/>
      <c r="AB74" s="119">
        <f>'2020'!BA630</f>
        <v>26821</v>
      </c>
      <c r="AC74" s="119">
        <f>'2020'!BB630</f>
        <v>737</v>
      </c>
      <c r="AD74" s="106"/>
      <c r="AE74" s="119">
        <f>'2020'!BE630</f>
        <v>5356</v>
      </c>
      <c r="AF74" s="119">
        <f t="shared" si="0"/>
        <v>0</v>
      </c>
    </row>
    <row r="75" ht="15.75" customHeight="1" spans="1:32" x14ac:dyDescent="0.25">
      <c r="A75" s="14"/>
      <c r="B75" s="115">
        <v>71</v>
      </c>
      <c r="C75" s="115">
        <v>5.98</v>
      </c>
      <c r="D75" s="117" t="s">
        <v>255</v>
      </c>
      <c r="E75" s="119">
        <f>'2020'!I639</f>
        <v>115</v>
      </c>
      <c r="F75" s="119">
        <f>'2020'!J639</f>
        <v>0</v>
      </c>
      <c r="G75" s="119">
        <f>'2020'!M639</f>
        <v>115</v>
      </c>
      <c r="H75" s="119">
        <f>'2020'!N639</f>
        <v>0</v>
      </c>
      <c r="I75" s="119">
        <f>'2020'!Q639</f>
        <v>115</v>
      </c>
      <c r="J75" s="119">
        <f>'2020'!R639</f>
        <v>0</v>
      </c>
      <c r="K75" s="119">
        <f>'2020'!U639</f>
        <v>115</v>
      </c>
      <c r="L75" s="119">
        <f>'2020'!V639</f>
        <v>0</v>
      </c>
      <c r="M75" s="119">
        <f>'2020'!Y639</f>
        <v>118</v>
      </c>
      <c r="N75" s="119">
        <f>'2020'!Z639</f>
        <v>3</v>
      </c>
      <c r="O75" s="119">
        <f>'2020'!AC639</f>
        <v>122</v>
      </c>
      <c r="P75" s="119">
        <f>'2020'!AD639</f>
        <v>4</v>
      </c>
      <c r="Q75" s="119">
        <f>'2020'!AG639</f>
        <v>125</v>
      </c>
      <c r="R75" s="119">
        <f>'2020'!AH639</f>
        <v>3</v>
      </c>
      <c r="S75" s="119">
        <f>'2020'!AK639</f>
        <v>128</v>
      </c>
      <c r="T75" s="119">
        <f>'2020'!AL639</f>
        <v>3</v>
      </c>
      <c r="U75" s="119">
        <f>'2020'!AO639</f>
        <v>130</v>
      </c>
      <c r="V75" s="119">
        <f>'2020'!AP639</f>
        <v>2</v>
      </c>
      <c r="W75" s="119">
        <f>'2020'!AS639</f>
        <v>150</v>
      </c>
      <c r="X75" s="119">
        <f>'2020'!AT639</f>
        <v>20</v>
      </c>
      <c r="Y75" s="119">
        <f>'2020'!AW639</f>
        <v>150</v>
      </c>
      <c r="Z75" s="119">
        <f>'2020'!AX639</f>
        <v>0</v>
      </c>
      <c r="AA75" s="106"/>
      <c r="AB75" s="119">
        <f>'2020'!BA639</f>
        <v>150</v>
      </c>
      <c r="AC75" s="119">
        <f>'2020'!BB639</f>
        <v>0</v>
      </c>
      <c r="AD75" s="106"/>
      <c r="AE75" s="119">
        <f>'2020'!BE639</f>
        <v>35</v>
      </c>
      <c r="AF75" s="119">
        <f t="shared" si="0"/>
        <v>0</v>
      </c>
    </row>
    <row r="76" ht="15.75" customHeight="1" spans="1:32" x14ac:dyDescent="0.25">
      <c r="A76" s="14"/>
      <c r="B76" s="115">
        <v>72</v>
      </c>
      <c r="C76" s="115">
        <v>4.03</v>
      </c>
      <c r="D76" s="117" t="s">
        <v>257</v>
      </c>
      <c r="E76" s="119">
        <f>'2020'!I648</f>
        <v>131</v>
      </c>
      <c r="F76" s="119">
        <f>'2020'!J648</f>
        <v>0</v>
      </c>
      <c r="G76" s="119">
        <f>'2020'!M648</f>
        <v>131</v>
      </c>
      <c r="H76" s="119">
        <f>'2020'!N648</f>
        <v>0</v>
      </c>
      <c r="I76" s="119">
        <f>'2020'!Q648</f>
        <v>131</v>
      </c>
      <c r="J76" s="119">
        <f>'2020'!R648</f>
        <v>0</v>
      </c>
      <c r="K76" s="119">
        <f>'2020'!U648</f>
        <v>137</v>
      </c>
      <c r="L76" s="119">
        <f>'2020'!V648</f>
        <v>6</v>
      </c>
      <c r="M76" s="119">
        <f>'2020'!Y648</f>
        <v>680</v>
      </c>
      <c r="N76" s="119">
        <f>'2020'!Z648</f>
        <v>543</v>
      </c>
      <c r="O76" s="119">
        <f>'2020'!AC648</f>
        <v>1042</v>
      </c>
      <c r="P76" s="119">
        <f>'2020'!AD648</f>
        <v>362</v>
      </c>
      <c r="Q76" s="119">
        <f>'2020'!AG648</f>
        <v>1155</v>
      </c>
      <c r="R76" s="119">
        <f>'2020'!AH648</f>
        <v>113</v>
      </c>
      <c r="S76" s="119">
        <f>'2020'!AK648</f>
        <v>1406</v>
      </c>
      <c r="T76" s="119">
        <f>'2020'!AL648</f>
        <v>251</v>
      </c>
      <c r="U76" s="119">
        <f>'2020'!AO648</f>
        <v>1517</v>
      </c>
      <c r="V76" s="119">
        <f>'2020'!AP648</f>
        <v>111</v>
      </c>
      <c r="W76" s="119">
        <f>'2020'!AS648</f>
        <v>1517</v>
      </c>
      <c r="X76" s="119">
        <f>'2020'!AT648</f>
        <v>0</v>
      </c>
      <c r="Y76" s="119">
        <f>'2020'!AW648</f>
        <v>1517</v>
      </c>
      <c r="Z76" s="119">
        <f>'2020'!AX648</f>
        <v>0</v>
      </c>
      <c r="AA76" s="106"/>
      <c r="AB76" s="119">
        <f>'2020'!BA648</f>
        <v>1517</v>
      </c>
      <c r="AC76" s="119">
        <f>'2020'!BB648</f>
        <v>0</v>
      </c>
      <c r="AD76" s="106"/>
      <c r="AE76" s="119">
        <f>'2020'!BE648</f>
        <v>1386</v>
      </c>
      <c r="AF76" s="119">
        <f t="shared" si="0"/>
        <v>0</v>
      </c>
    </row>
    <row r="77" ht="15.75" customHeight="1" spans="1:32" x14ac:dyDescent="0.25">
      <c r="A77" s="14"/>
      <c r="B77" s="115">
        <v>73</v>
      </c>
      <c r="C77" s="115">
        <v>4.02</v>
      </c>
      <c r="D77" s="117" t="s">
        <v>259</v>
      </c>
      <c r="E77" s="119">
        <f>'2020'!I657</f>
      </c>
      <c r="F77" s="119">
        <f>'2020'!J657</f>
      </c>
      <c r="G77" s="119">
        <f>'2020'!M657</f>
      </c>
      <c r="H77" s="119">
        <f>'2020'!N657</f>
      </c>
      <c r="I77" s="119">
        <f>'2020'!Q657</f>
      </c>
      <c r="J77" s="119">
        <f>'2020'!R657</f>
        <v>0</v>
      </c>
      <c r="K77" s="119">
        <f>'2020'!U657</f>
      </c>
      <c r="L77" s="119">
        <f>'2020'!V657</f>
        <v>0</v>
      </c>
      <c r="M77" s="119">
        <f>'2020'!Y657</f>
      </c>
      <c r="N77" s="119">
        <f>'2020'!Z657</f>
        <v>0</v>
      </c>
      <c r="O77" s="119">
        <f>'2020'!AC657</f>
      </c>
      <c r="P77" s="119">
        <f>'2020'!AD657</f>
        <v>0</v>
      </c>
      <c r="Q77" s="119">
        <f>'2020'!AG657</f>
      </c>
      <c r="R77" s="119">
        <f>'2020'!AH657</f>
        <v>0</v>
      </c>
      <c r="S77" s="119">
        <f>'2020'!AK657</f>
        <v>0</v>
      </c>
      <c r="T77" s="119">
        <f>'2020'!AL657</f>
        <v>0</v>
      </c>
      <c r="U77" s="119">
        <f>'2020'!AO657</f>
        <v>0</v>
      </c>
      <c r="V77" s="119">
        <f>'2020'!AP657</f>
        <v>0</v>
      </c>
      <c r="W77" s="119">
        <f>'2020'!AS657</f>
        <v>0</v>
      </c>
      <c r="X77" s="119">
        <f>'2020'!AT657</f>
        <v>0</v>
      </c>
      <c r="Y77" s="119">
        <f>'2020'!AW657</f>
        <v>0</v>
      </c>
      <c r="Z77" s="119">
        <f>'2020'!AX657</f>
        <v>0</v>
      </c>
      <c r="AA77" s="106"/>
      <c r="AB77" s="119">
        <f>'2020'!BA657</f>
        <v>0</v>
      </c>
      <c r="AC77" s="119">
        <f>'2020'!BB657</f>
        <v>0</v>
      </c>
      <c r="AD77" s="106"/>
      <c r="AE77" s="119">
        <f>'2020'!BE657</f>
        <v>0</v>
      </c>
      <c r="AF77" s="119">
        <f t="shared" si="0"/>
        <v>0</v>
      </c>
    </row>
    <row r="78" ht="15.75" customHeight="1" spans="1:32" x14ac:dyDescent="0.25">
      <c r="A78" s="21"/>
      <c r="B78" s="115">
        <v>74</v>
      </c>
      <c r="C78" s="115">
        <v>4.97</v>
      </c>
      <c r="D78" s="117" t="s">
        <v>262</v>
      </c>
      <c r="E78" s="119">
        <f>'2020'!I666</f>
      </c>
      <c r="F78" s="119">
        <f>'2020'!J666</f>
      </c>
      <c r="G78" s="119">
        <f>'2020'!M666</f>
      </c>
      <c r="H78" s="119">
        <f>'2020'!N666</f>
      </c>
      <c r="I78" s="119">
        <f>'2020'!Q666</f>
      </c>
      <c r="J78" s="119">
        <f>'2020'!R666</f>
        <v>0</v>
      </c>
      <c r="K78" s="119">
        <f>'2020'!U666</f>
      </c>
      <c r="L78" s="119">
        <f>'2020'!V666</f>
        <v>0</v>
      </c>
      <c r="M78" s="119">
        <f>'2020'!Y666</f>
      </c>
      <c r="N78" s="119">
        <f>'2020'!Z666</f>
        <v>0</v>
      </c>
      <c r="O78" s="119">
        <f>'2020'!AC666</f>
      </c>
      <c r="P78" s="119">
        <f>'2020'!AD666</f>
        <v>0</v>
      </c>
      <c r="Q78" s="119">
        <f>'2020'!AG666</f>
      </c>
      <c r="R78" s="119">
        <f>'2020'!AH666</f>
        <v>0</v>
      </c>
      <c r="S78" s="119">
        <f>'2020'!AK666</f>
        <v>0</v>
      </c>
      <c r="T78" s="119">
        <f>'2020'!AL666</f>
        <v>0</v>
      </c>
      <c r="U78" s="119">
        <f>'2020'!AO666</f>
        <v>0</v>
      </c>
      <c r="V78" s="119">
        <f>'2020'!AP666</f>
        <v>0</v>
      </c>
      <c r="W78" s="119">
        <f>'2020'!AS666</f>
        <v>0</v>
      </c>
      <c r="X78" s="119">
        <f>'2020'!AT666</f>
        <v>0</v>
      </c>
      <c r="Y78" s="119">
        <f>'2020'!AW666</f>
        <v>0</v>
      </c>
      <c r="Z78" s="119">
        <f>'2020'!AX666</f>
        <v>0</v>
      </c>
      <c r="AA78" s="106"/>
      <c r="AB78" s="119">
        <f>'2020'!BA666</f>
        <v>0</v>
      </c>
      <c r="AC78" s="119">
        <f>'2020'!BB666</f>
        <v>0</v>
      </c>
      <c r="AD78" s="106"/>
      <c r="AE78" s="119">
        <f>'2020'!BE666</f>
        <v>0</v>
      </c>
      <c r="AF78" s="119">
        <f t="shared" si="0"/>
        <v>0</v>
      </c>
    </row>
    <row r="79" ht="15.75" customHeight="1" spans="1:32" x14ac:dyDescent="0.25">
      <c r="A79" s="114" t="s">
        <v>264</v>
      </c>
      <c r="B79" s="115">
        <v>75</v>
      </c>
      <c r="C79" s="115">
        <v>4.15</v>
      </c>
      <c r="D79" s="117" t="s">
        <v>265</v>
      </c>
      <c r="E79" s="119">
        <f>'2020'!I675</f>
      </c>
      <c r="F79" s="119">
        <f>'2020'!J675</f>
      </c>
      <c r="G79" s="119">
        <f>'2020'!M675</f>
      </c>
      <c r="H79" s="119">
        <f>'2020'!N675</f>
      </c>
      <c r="I79" s="119">
        <f>'2020'!Q675</f>
      </c>
      <c r="J79" s="119">
        <f>'2020'!R675</f>
        <v>0</v>
      </c>
      <c r="K79" s="119">
        <f>'2020'!U675</f>
      </c>
      <c r="L79" s="119">
        <f>'2020'!V675</f>
        <v>0</v>
      </c>
      <c r="M79" s="119">
        <f>'2020'!Y675</f>
      </c>
      <c r="N79" s="119">
        <f>'2020'!Z675</f>
        <v>0</v>
      </c>
      <c r="O79" s="119">
        <f>'2020'!AC675</f>
      </c>
      <c r="P79" s="119">
        <f>'2020'!AD675</f>
        <v>0</v>
      </c>
      <c r="Q79" s="119">
        <f>'2020'!AG675</f>
      </c>
      <c r="R79" s="119">
        <f>'2020'!AH675</f>
        <v>0</v>
      </c>
      <c r="S79" s="119">
        <f>'2020'!AK675</f>
        <v>0</v>
      </c>
      <c r="T79" s="119">
        <f>'2020'!AL675</f>
        <v>0</v>
      </c>
      <c r="U79" s="119">
        <f>'2020'!AO675</f>
        <v>0</v>
      </c>
      <c r="V79" s="119">
        <f>'2020'!AP675</f>
        <v>0</v>
      </c>
      <c r="W79" s="119">
        <f>'2020'!AS675</f>
        <v>0</v>
      </c>
      <c r="X79" s="119">
        <f>'2020'!AT675</f>
        <v>0</v>
      </c>
      <c r="Y79" s="119">
        <f>'2020'!AW675</f>
        <v>0</v>
      </c>
      <c r="Z79" s="119">
        <f>'2020'!AX675</f>
        <v>0</v>
      </c>
      <c r="AA79" s="106"/>
      <c r="AB79" s="119">
        <f>'2020'!BA675</f>
        <v>0</v>
      </c>
      <c r="AC79" s="119">
        <f>'2020'!BB675</f>
        <v>0</v>
      </c>
      <c r="AD79" s="106"/>
      <c r="AE79" s="119">
        <f>'2020'!BE675</f>
        <v>0</v>
      </c>
      <c r="AF79" s="119">
        <f t="shared" si="0"/>
        <v>0</v>
      </c>
    </row>
    <row r="80" ht="15.75" customHeight="1" spans="1:32" x14ac:dyDescent="0.25">
      <c r="A80" s="14"/>
      <c r="B80" s="115">
        <v>76</v>
      </c>
      <c r="C80" s="115">
        <v>4.15</v>
      </c>
      <c r="D80" s="117" t="s">
        <v>267</v>
      </c>
      <c r="E80" s="119">
        <f>'2020'!I684</f>
      </c>
      <c r="F80" s="119">
        <f>'2020'!J684</f>
      </c>
      <c r="G80" s="119">
        <f>'2020'!M684</f>
      </c>
      <c r="H80" s="119">
        <f>'2020'!N684</f>
      </c>
      <c r="I80" s="119">
        <f>'2020'!Q684</f>
      </c>
      <c r="J80" s="119">
        <f>'2020'!R684</f>
        <v>0</v>
      </c>
      <c r="K80" s="119">
        <f>'2020'!U684</f>
      </c>
      <c r="L80" s="119">
        <f>'2020'!V684</f>
        <v>0</v>
      </c>
      <c r="M80" s="119">
        <f>'2020'!Y684</f>
      </c>
      <c r="N80" s="119">
        <f>'2020'!Z684</f>
        <v>0</v>
      </c>
      <c r="O80" s="119">
        <f>'2020'!AC684</f>
      </c>
      <c r="P80" s="119">
        <f>'2020'!AD684</f>
        <v>0</v>
      </c>
      <c r="Q80" s="119">
        <f>'2020'!AG684</f>
      </c>
      <c r="R80" s="119">
        <f>'2020'!AH684</f>
        <v>0</v>
      </c>
      <c r="S80" s="119">
        <f>'2020'!AK684</f>
        <v>0</v>
      </c>
      <c r="T80" s="119">
        <f>'2020'!AL684</f>
        <v>0</v>
      </c>
      <c r="U80" s="119">
        <f>'2020'!AO684</f>
        <v>0</v>
      </c>
      <c r="V80" s="119">
        <f>'2020'!AP684</f>
        <v>0</v>
      </c>
      <c r="W80" s="119">
        <f>'2020'!AS684</f>
        <v>0</v>
      </c>
      <c r="X80" s="119">
        <f>'2020'!AT684</f>
        <v>0</v>
      </c>
      <c r="Y80" s="119">
        <f>'2020'!AW684</f>
        <v>0</v>
      </c>
      <c r="Z80" s="119">
        <f>'2020'!AX684</f>
        <v>0</v>
      </c>
      <c r="AA80" s="106"/>
      <c r="AB80" s="119">
        <f>'2020'!BA684</f>
        <v>0</v>
      </c>
      <c r="AC80" s="119">
        <f>'2020'!BB684</f>
        <v>0</v>
      </c>
      <c r="AD80" s="106"/>
      <c r="AE80" s="119">
        <f>'2020'!BE684</f>
        <v>0</v>
      </c>
      <c r="AF80" s="119">
        <f t="shared" si="0"/>
        <v>0</v>
      </c>
    </row>
    <row r="81" ht="15.75" customHeight="1" spans="1:32" x14ac:dyDescent="0.25">
      <c r="A81" s="14"/>
      <c r="B81" s="115">
        <v>77</v>
      </c>
      <c r="C81" s="115">
        <v>4.12</v>
      </c>
      <c r="D81" s="117" t="s">
        <v>268</v>
      </c>
      <c r="E81" s="119">
        <f>'2020'!I693</f>
        <v>1477</v>
      </c>
      <c r="F81" s="119">
        <f>'2020'!J693</f>
        <v>0</v>
      </c>
      <c r="G81" s="119">
        <f>'2020'!M693</f>
        <v>1477</v>
      </c>
      <c r="H81" s="119">
        <f>'2020'!N693</f>
        <v>0</v>
      </c>
      <c r="I81" s="119">
        <f>'2020'!Q693</f>
        <v>1477</v>
      </c>
      <c r="J81" s="119">
        <f>'2020'!R693</f>
        <v>0</v>
      </c>
      <c r="K81" s="119">
        <f>'2020'!U693</f>
        <v>1574</v>
      </c>
      <c r="L81" s="119">
        <f>'2020'!V693</f>
        <v>97</v>
      </c>
      <c r="M81" s="119">
        <f>'2020'!Y693</f>
        <v>1721</v>
      </c>
      <c r="N81" s="119">
        <f>'2020'!Z693</f>
        <v>147</v>
      </c>
      <c r="O81" s="119">
        <f>'2020'!AC693</f>
        <v>1841</v>
      </c>
      <c r="P81" s="119">
        <f>'2020'!AD693</f>
        <v>120</v>
      </c>
      <c r="Q81" s="119">
        <f>'2020'!AG693</f>
        <v>1946</v>
      </c>
      <c r="R81" s="119">
        <f>'2020'!AH693</f>
        <v>105</v>
      </c>
      <c r="S81" s="119">
        <f>'2020'!AK693</f>
        <v>2070</v>
      </c>
      <c r="T81" s="119">
        <f>'2020'!AL693</f>
        <v>124</v>
      </c>
      <c r="U81" s="119">
        <f>'2020'!AO693</f>
        <v>2178</v>
      </c>
      <c r="V81" s="119">
        <f>'2020'!AP693</f>
        <v>108</v>
      </c>
      <c r="W81" s="119">
        <f>'2020'!AS693</f>
        <v>2180</v>
      </c>
      <c r="X81" s="119">
        <f>'2020'!AT693</f>
        <v>2</v>
      </c>
      <c r="Y81" s="119">
        <f>'2020'!AW693</f>
        <v>2180</v>
      </c>
      <c r="Z81" s="119">
        <f>'2020'!AX693</f>
        <v>0</v>
      </c>
      <c r="AA81" s="106"/>
      <c r="AB81" s="119">
        <f>'2020'!BA693</f>
        <v>2180</v>
      </c>
      <c r="AC81" s="119">
        <f>'2020'!BB693</f>
        <v>0</v>
      </c>
      <c r="AD81" s="106"/>
      <c r="AE81" s="119">
        <f>'2020'!BE693</f>
        <v>703</v>
      </c>
      <c r="AF81" s="119">
        <f t="shared" si="0"/>
        <v>0</v>
      </c>
    </row>
    <row r="82" ht="15.75" customHeight="1" spans="1:32" x14ac:dyDescent="0.25">
      <c r="A82" s="14"/>
      <c r="B82" s="115">
        <v>78</v>
      </c>
      <c r="C82" s="115">
        <v>4.03</v>
      </c>
      <c r="D82" s="117" t="s">
        <v>271</v>
      </c>
      <c r="E82" s="119">
        <f>'2020'!I702</f>
        <v>55</v>
      </c>
      <c r="F82" s="119">
        <f>'2020'!J702</f>
        <v>0</v>
      </c>
      <c r="G82" s="119">
        <f>'2020'!M702</f>
        <v>55</v>
      </c>
      <c r="H82" s="119">
        <f>'2020'!N702</f>
        <v>0</v>
      </c>
      <c r="I82" s="119">
        <f>'2020'!Q702</f>
        <v>55</v>
      </c>
      <c r="J82" s="119">
        <f>'2020'!R702</f>
        <v>0</v>
      </c>
      <c r="K82" s="119">
        <f>'2020'!U702</f>
        <v>55</v>
      </c>
      <c r="L82" s="119">
        <f>'2020'!V702</f>
        <v>0</v>
      </c>
      <c r="M82" s="119">
        <f>'2020'!Y702</f>
        <v>56</v>
      </c>
      <c r="N82" s="119">
        <f>'2020'!Z702</f>
        <v>1</v>
      </c>
      <c r="O82" s="119">
        <f>'2020'!AC702</f>
        <v>57</v>
      </c>
      <c r="P82" s="119">
        <f>'2020'!AD702</f>
        <v>1</v>
      </c>
      <c r="Q82" s="119">
        <f>'2020'!AG702</f>
        <v>59</v>
      </c>
      <c r="R82" s="119">
        <f>'2020'!AH702</f>
        <v>2</v>
      </c>
      <c r="S82" s="119">
        <f>'2020'!AK702</f>
        <v>61</v>
      </c>
      <c r="T82" s="119">
        <f>'2020'!AL702</f>
        <v>2</v>
      </c>
      <c r="U82" s="119">
        <f>'2020'!AO702</f>
        <v>65</v>
      </c>
      <c r="V82" s="119">
        <f>'2020'!AP702</f>
        <v>4</v>
      </c>
      <c r="W82" s="119">
        <f>'2020'!AS702</f>
        <v>75</v>
      </c>
      <c r="X82" s="119">
        <f>'2020'!AT702</f>
        <v>10</v>
      </c>
      <c r="Y82" s="119">
        <f>'2020'!AW702</f>
        <v>75</v>
      </c>
      <c r="Z82" s="119">
        <f>'2020'!AX702</f>
        <v>0</v>
      </c>
      <c r="AA82" s="106"/>
      <c r="AB82" s="119">
        <f>'2020'!BA702</f>
        <v>75</v>
      </c>
      <c r="AC82" s="119">
        <f>'2020'!BB702</f>
        <v>0</v>
      </c>
      <c r="AD82" s="106"/>
      <c r="AE82" s="119">
        <f>'2020'!BE702</f>
        <v>20</v>
      </c>
      <c r="AF82" s="119">
        <f t="shared" si="0"/>
        <v>0</v>
      </c>
    </row>
    <row r="83" ht="15.75" customHeight="1" spans="1:32" x14ac:dyDescent="0.25">
      <c r="A83" s="14"/>
      <c r="B83" s="115">
        <v>79</v>
      </c>
      <c r="C83" s="115">
        <v>4.24</v>
      </c>
      <c r="D83" s="117" t="s">
        <v>275</v>
      </c>
      <c r="E83" s="119">
        <f>'2020'!I711</f>
        <v>28</v>
      </c>
      <c r="F83" s="119">
        <f>'2020'!J711</f>
        <v>0</v>
      </c>
      <c r="G83" s="119">
        <f>'2020'!M711</f>
        <v>28</v>
      </c>
      <c r="H83" s="119">
        <f>'2020'!N711</f>
        <v>0</v>
      </c>
      <c r="I83" s="119">
        <f>'2020'!Q711</f>
        <v>28</v>
      </c>
      <c r="J83" s="119">
        <f>'2020'!R711</f>
        <v>0</v>
      </c>
      <c r="K83" s="119">
        <f>'2020'!U711</f>
        <v>28</v>
      </c>
      <c r="L83" s="119">
        <f>'2020'!V711</f>
        <v>0</v>
      </c>
      <c r="M83" s="119">
        <f>'2020'!Y711</f>
        <v>28</v>
      </c>
      <c r="N83" s="119">
        <f>'2020'!Z711</f>
        <v>0</v>
      </c>
      <c r="O83" s="119">
        <f>'2020'!AC711</f>
        <v>28</v>
      </c>
      <c r="P83" s="119">
        <f>'2020'!AD711</f>
        <v>0</v>
      </c>
      <c r="Q83" s="119">
        <f>'2020'!AG711</f>
        <v>28</v>
      </c>
      <c r="R83" s="119">
        <f>'2020'!AH711</f>
        <v>0</v>
      </c>
      <c r="S83" s="119">
        <f>'2020'!AK711</f>
        <v>28</v>
      </c>
      <c r="T83" s="119">
        <f>'2020'!AL711</f>
        <v>0</v>
      </c>
      <c r="U83" s="119">
        <f>'2020'!AO711</f>
        <v>28</v>
      </c>
      <c r="V83" s="119">
        <f>'2020'!AP711</f>
        <v>0</v>
      </c>
      <c r="W83" s="119">
        <f>'2020'!AS711</f>
        <v>28</v>
      </c>
      <c r="X83" s="119">
        <f>'2020'!AT711</f>
        <v>0</v>
      </c>
      <c r="Y83" s="119">
        <f>'2020'!AW711</f>
        <v>28</v>
      </c>
      <c r="Z83" s="119">
        <f>'2020'!AX711</f>
        <v>0</v>
      </c>
      <c r="AA83" s="106"/>
      <c r="AB83" s="119">
        <f>'2020'!BA711</f>
        <v>28</v>
      </c>
      <c r="AC83" s="119">
        <f>'2020'!BB711</f>
        <v>0</v>
      </c>
      <c r="AD83" s="106"/>
      <c r="AE83" s="119">
        <f>'2020'!BE711</f>
        <v>0</v>
      </c>
      <c r="AF83" s="119">
        <f t="shared" si="0"/>
        <v>0</v>
      </c>
    </row>
    <row r="84" ht="15.75" customHeight="1" spans="1:32" x14ac:dyDescent="0.25">
      <c r="A84" s="14"/>
      <c r="B84" s="115">
        <v>81</v>
      </c>
      <c r="C84" s="116">
        <v>4.3</v>
      </c>
      <c r="D84" s="117" t="s">
        <v>278</v>
      </c>
      <c r="E84" s="119">
        <f>'2020'!I720</f>
      </c>
      <c r="F84" s="119">
        <f>'2020'!J720</f>
      </c>
      <c r="G84" s="119">
        <f>'2020'!M720</f>
      </c>
      <c r="H84" s="119">
        <f>'2020'!N720</f>
      </c>
      <c r="I84" s="119">
        <f>'2020'!Q720</f>
      </c>
      <c r="J84" s="119">
        <f>'2020'!R720</f>
        <v>0</v>
      </c>
      <c r="K84" s="119">
        <f>'2020'!U720</f>
      </c>
      <c r="L84" s="119">
        <f>'2020'!V720</f>
        <v>0</v>
      </c>
      <c r="M84" s="119">
        <f>'2020'!Y720</f>
      </c>
      <c r="N84" s="119">
        <f>'2020'!Z720</f>
        <v>0</v>
      </c>
      <c r="O84" s="119">
        <f>'2020'!AC720</f>
      </c>
      <c r="P84" s="119">
        <f>'2020'!AD720</f>
        <v>0</v>
      </c>
      <c r="Q84" s="119">
        <f>'2020'!AG720</f>
      </c>
      <c r="R84" s="119">
        <f>'2020'!AH720</f>
        <v>0</v>
      </c>
      <c r="S84" s="119">
        <f>'2020'!AK720</f>
        <v>0</v>
      </c>
      <c r="T84" s="119">
        <f>'2020'!AL720</f>
        <v>0</v>
      </c>
      <c r="U84" s="119">
        <f>'2020'!AO720</f>
        <v>0</v>
      </c>
      <c r="V84" s="119">
        <f>'2020'!AP720</f>
        <v>0</v>
      </c>
      <c r="W84" s="119">
        <f>'2020'!AS720</f>
        <v>0</v>
      </c>
      <c r="X84" s="119">
        <f>'2020'!AT720</f>
        <v>0</v>
      </c>
      <c r="Y84" s="119">
        <f>'2020'!AW720</f>
        <v>0</v>
      </c>
      <c r="Z84" s="119">
        <f>'2020'!AX720</f>
        <v>0</v>
      </c>
      <c r="AA84" s="106"/>
      <c r="AB84" s="119">
        <f>'2020'!BA720</f>
        <v>0</v>
      </c>
      <c r="AC84" s="119">
        <f>'2020'!BB720</f>
        <v>0</v>
      </c>
      <c r="AD84" s="106"/>
      <c r="AE84" s="119">
        <f>'2020'!BE720</f>
        <v>0</v>
      </c>
      <c r="AF84" s="119">
        <f t="shared" si="0"/>
        <v>0</v>
      </c>
    </row>
    <row r="85" ht="15.75" customHeight="1" spans="1:32" x14ac:dyDescent="0.25">
      <c r="A85" s="14"/>
      <c r="B85" s="115">
        <v>83</v>
      </c>
      <c r="C85" s="115">
        <v>4.29</v>
      </c>
      <c r="D85" s="117" t="s">
        <v>280</v>
      </c>
      <c r="E85" s="119">
        <f>'2020'!I729</f>
        <v>111</v>
      </c>
      <c r="F85" s="119">
        <f>'2020'!J729</f>
        <v>0</v>
      </c>
      <c r="G85" s="119">
        <f>'2020'!M729</f>
        <v>111</v>
      </c>
      <c r="H85" s="119">
        <f>'2020'!N729</f>
        <v>0</v>
      </c>
      <c r="I85" s="119">
        <f>'2020'!Q729</f>
        <v>111</v>
      </c>
      <c r="J85" s="119">
        <f>'2020'!R729</f>
        <v>0</v>
      </c>
      <c r="K85" s="119">
        <f>'2020'!U729</f>
        <v>112</v>
      </c>
      <c r="L85" s="119">
        <f>'2020'!V729</f>
        <v>1</v>
      </c>
      <c r="M85" s="119">
        <f>'2020'!Y729</f>
        <v>122</v>
      </c>
      <c r="N85" s="119">
        <f>'2020'!Z729</f>
        <v>10</v>
      </c>
      <c r="O85" s="119">
        <f>'2020'!AC729</f>
        <v>153</v>
      </c>
      <c r="P85" s="119">
        <f>'2020'!AD729</f>
        <v>31</v>
      </c>
      <c r="Q85" s="119">
        <f>'2020'!AG729</f>
        <v>184</v>
      </c>
      <c r="R85" s="119">
        <f>'2020'!AH729</f>
        <v>31</v>
      </c>
      <c r="S85" s="119">
        <f>'2020'!AK729</f>
        <v>210</v>
      </c>
      <c r="T85" s="119">
        <f>'2020'!AL729</f>
        <v>26</v>
      </c>
      <c r="U85" s="119">
        <f>'2020'!AO729</f>
        <v>226</v>
      </c>
      <c r="V85" s="119">
        <f>'2020'!AP729</f>
        <v>16</v>
      </c>
      <c r="W85" s="119">
        <f>'2020'!AS729</f>
        <v>227</v>
      </c>
      <c r="X85" s="119">
        <f>'2020'!AT729</f>
        <v>1</v>
      </c>
      <c r="Y85" s="119">
        <f>'2020'!AW729</f>
        <v>227</v>
      </c>
      <c r="Z85" s="119">
        <f>'2020'!AX729</f>
        <v>0</v>
      </c>
      <c r="AA85" s="106"/>
      <c r="AB85" s="119">
        <f>'2020'!BA729</f>
        <v>227</v>
      </c>
      <c r="AC85" s="119">
        <f>'2020'!BB729</f>
        <v>0</v>
      </c>
      <c r="AD85" s="106"/>
      <c r="AE85" s="119">
        <f>'2020'!BE729</f>
        <v>116</v>
      </c>
      <c r="AF85" s="119">
        <f t="shared" si="0"/>
        <v>0</v>
      </c>
    </row>
    <row r="86" ht="15.75" customHeight="1" spans="1:32" x14ac:dyDescent="0.25">
      <c r="A86" s="14"/>
      <c r="B86" s="115">
        <v>85</v>
      </c>
      <c r="C86" s="115">
        <v>4.27</v>
      </c>
      <c r="D86" s="117" t="s">
        <v>282</v>
      </c>
      <c r="E86" s="119">
        <f>'2020'!I738</f>
        <v>2907</v>
      </c>
      <c r="F86" s="119">
        <f>'2020'!J738</f>
        <v>0</v>
      </c>
      <c r="G86" s="119">
        <f>'2020'!M738</f>
        <v>2907</v>
      </c>
      <c r="H86" s="119">
        <f>'2020'!N738</f>
        <v>0</v>
      </c>
      <c r="I86" s="119">
        <f>'2020'!Q738</f>
        <v>2907</v>
      </c>
      <c r="J86" s="119">
        <f>'2020'!R738</f>
        <v>0</v>
      </c>
      <c r="K86" s="119">
        <f>'2020'!U738</f>
        <v>2925</v>
      </c>
      <c r="L86" s="119">
        <f>'2020'!V738</f>
        <v>18</v>
      </c>
      <c r="M86" s="119">
        <f>'2020'!Y738</f>
        <v>3059</v>
      </c>
      <c r="N86" s="119">
        <f>'2020'!Z738</f>
        <v>134</v>
      </c>
      <c r="O86" s="119">
        <f>'2020'!AC738</f>
        <v>3222</v>
      </c>
      <c r="P86" s="119">
        <f>'2020'!AD738</f>
        <v>163</v>
      </c>
      <c r="Q86" s="119">
        <f>'2020'!AG738</f>
        <v>3405</v>
      </c>
      <c r="R86" s="119">
        <f>'2020'!AH738</f>
        <v>183</v>
      </c>
      <c r="S86" s="119">
        <f>'2020'!AK738</f>
        <v>3561</v>
      </c>
      <c r="T86" s="119">
        <f>'2020'!AL738</f>
        <v>156</v>
      </c>
      <c r="U86" s="119">
        <f>'2020'!AO738</f>
        <v>3672</v>
      </c>
      <c r="V86" s="119">
        <f>'2020'!AP738</f>
        <v>111</v>
      </c>
      <c r="W86" s="119">
        <f>'2020'!AS738</f>
        <v>3681</v>
      </c>
      <c r="X86" s="119">
        <f>'2020'!AT738</f>
        <v>9</v>
      </c>
      <c r="Y86" s="119">
        <f>'2020'!AW738</f>
        <v>3681</v>
      </c>
      <c r="Z86" s="119">
        <f>'2020'!AX738</f>
        <v>0</v>
      </c>
      <c r="AA86" s="106"/>
      <c r="AB86" s="119">
        <f>'2020'!BA738</f>
        <v>3681</v>
      </c>
      <c r="AC86" s="119">
        <f>'2020'!BB738</f>
        <v>0</v>
      </c>
      <c r="AD86" s="106"/>
      <c r="AE86" s="119">
        <f>'2020'!BE738</f>
        <v>774</v>
      </c>
      <c r="AF86" s="119">
        <f t="shared" si="0"/>
        <v>0</v>
      </c>
    </row>
    <row r="87" ht="15.75" customHeight="1" spans="1:32" x14ac:dyDescent="0.25">
      <c r="A87" s="14"/>
      <c r="B87" s="115">
        <v>87</v>
      </c>
      <c r="C87" s="115">
        <v>4.23</v>
      </c>
      <c r="D87" s="117" t="s">
        <v>284</v>
      </c>
      <c r="E87" s="119">
        <f>'2020'!I747</f>
        <v>368</v>
      </c>
      <c r="F87" s="119">
        <f>'2020'!J747</f>
        <v>0</v>
      </c>
      <c r="G87" s="119">
        <f>'2020'!M747</f>
        <v>368</v>
      </c>
      <c r="H87" s="119">
        <f>'2020'!N747</f>
        <v>0</v>
      </c>
      <c r="I87" s="119">
        <f>'2020'!Q747</f>
        <v>368</v>
      </c>
      <c r="J87" s="119">
        <f>'2020'!R747</f>
        <v>0</v>
      </c>
      <c r="K87" s="119">
        <f>'2020'!U747</f>
        <v>369</v>
      </c>
      <c r="L87" s="119">
        <f>'2020'!V747</f>
        <v>1</v>
      </c>
      <c r="M87" s="119">
        <f>'2020'!Y747</f>
        <v>388</v>
      </c>
      <c r="N87" s="119">
        <f>'2020'!Z747</f>
        <v>19</v>
      </c>
      <c r="O87" s="119">
        <f>'2020'!AC747</f>
        <v>443</v>
      </c>
      <c r="P87" s="119">
        <f>'2020'!AD747</f>
        <v>55</v>
      </c>
      <c r="Q87" s="119">
        <f>'2020'!AG747</f>
        <v>488</v>
      </c>
      <c r="R87" s="119">
        <f>'2020'!AH747</f>
        <v>45</v>
      </c>
      <c r="S87" s="119">
        <f>'2020'!AK747</f>
        <v>521</v>
      </c>
      <c r="T87" s="119">
        <f>'2020'!AL747</f>
        <v>33</v>
      </c>
      <c r="U87" s="119">
        <f>'2020'!AO747</f>
        <v>538</v>
      </c>
      <c r="V87" s="119">
        <f>'2020'!AP747</f>
        <v>17</v>
      </c>
      <c r="W87" s="119">
        <f>'2020'!AS747</f>
        <v>549</v>
      </c>
      <c r="X87" s="119">
        <f>'2020'!AT747</f>
        <v>11</v>
      </c>
      <c r="Y87" s="119">
        <f>'2020'!AW747</f>
        <v>549</v>
      </c>
      <c r="Z87" s="119">
        <f>'2020'!AX747</f>
        <v>0</v>
      </c>
      <c r="AA87" s="106"/>
      <c r="AB87" s="119">
        <f>'2020'!BA747</f>
        <v>549</v>
      </c>
      <c r="AC87" s="119">
        <f>'2020'!BB747</f>
        <v>0</v>
      </c>
      <c r="AD87" s="106"/>
      <c r="AE87" s="119">
        <f>'2020'!BE747</f>
        <v>181</v>
      </c>
      <c r="AF87" s="119">
        <f t="shared" si="0"/>
        <v>0</v>
      </c>
    </row>
    <row r="88" ht="15.75" customHeight="1" spans="1:32" x14ac:dyDescent="0.25">
      <c r="A88" s="14"/>
      <c r="B88" s="115">
        <v>89</v>
      </c>
      <c r="C88" s="115">
        <v>4.25</v>
      </c>
      <c r="D88" s="117" t="s">
        <v>286</v>
      </c>
      <c r="E88" s="119">
        <f>'2020'!I756</f>
      </c>
      <c r="F88" s="119">
        <f>'2020'!J756</f>
      </c>
      <c r="G88" s="119">
        <f>'2020'!M756</f>
      </c>
      <c r="H88" s="119">
        <f>'2020'!N756</f>
      </c>
      <c r="I88" s="119">
        <f>'2020'!Q756</f>
      </c>
      <c r="J88" s="119">
        <f>'2020'!R756</f>
      </c>
      <c r="K88" s="119">
        <f>'2020'!U756</f>
      </c>
      <c r="L88" s="119">
        <f>'2020'!V756</f>
        <v>0</v>
      </c>
      <c r="M88" s="119">
        <f>'2020'!Y756</f>
      </c>
      <c r="N88" s="119">
        <f>'2020'!Z756</f>
        <v>0</v>
      </c>
      <c r="O88" s="119">
        <f>'2020'!AC756</f>
      </c>
      <c r="P88" s="119">
        <f>'2020'!AD756</f>
        <v>0</v>
      </c>
      <c r="Q88" s="119">
        <f>'2020'!AG756</f>
      </c>
      <c r="R88" s="119">
        <f>'2020'!AH756</f>
        <v>0</v>
      </c>
      <c r="S88" s="119">
        <f>'2020'!AK756</f>
        <v>0</v>
      </c>
      <c r="T88" s="119">
        <f>'2020'!AL756</f>
        <v>0</v>
      </c>
      <c r="U88" s="119">
        <f>'2020'!AO756</f>
        <v>0</v>
      </c>
      <c r="V88" s="119">
        <f>'2020'!AP756</f>
        <v>0</v>
      </c>
      <c r="W88" s="119">
        <f>'2020'!AS756</f>
        <v>0</v>
      </c>
      <c r="X88" s="119">
        <f>'2020'!AT756</f>
        <v>0</v>
      </c>
      <c r="Y88" s="119">
        <f>'2020'!AW756</f>
        <v>0</v>
      </c>
      <c r="Z88" s="119">
        <f>'2020'!AX756</f>
        <v>0</v>
      </c>
      <c r="AA88" s="106"/>
      <c r="AB88" s="119">
        <f>'2020'!BA756</f>
        <v>0</v>
      </c>
      <c r="AC88" s="119">
        <f>'2020'!BB756</f>
        <v>0</v>
      </c>
      <c r="AD88" s="106"/>
      <c r="AE88" s="119">
        <f>'2020'!BE756</f>
        <v>0</v>
      </c>
      <c r="AF88" s="119">
        <f t="shared" si="0"/>
        <v>0</v>
      </c>
    </row>
    <row r="89" ht="15.75" customHeight="1" spans="1:32" x14ac:dyDescent="0.25">
      <c r="A89" s="14"/>
      <c r="B89" s="115">
        <v>91</v>
      </c>
      <c r="C89" s="115">
        <v>4.23</v>
      </c>
      <c r="D89" s="117" t="s">
        <v>288</v>
      </c>
      <c r="E89" s="119">
        <f>'2020'!I765</f>
        <v>171</v>
      </c>
      <c r="F89" s="119">
        <f>'2020'!J765</f>
        <v>0</v>
      </c>
      <c r="G89" s="119">
        <f>'2020'!M765</f>
        <v>171</v>
      </c>
      <c r="H89" s="119">
        <f>'2020'!N765</f>
        <v>0</v>
      </c>
      <c r="I89" s="119">
        <f>'2020'!Q765</f>
        <v>171</v>
      </c>
      <c r="J89" s="119">
        <f>'2020'!R765</f>
        <v>0</v>
      </c>
      <c r="K89" s="119">
        <f>'2020'!U765</f>
        <v>171</v>
      </c>
      <c r="L89" s="119">
        <f>'2020'!V765</f>
        <v>0</v>
      </c>
      <c r="M89" s="119">
        <f>'2020'!Y765</f>
        <v>174</v>
      </c>
      <c r="N89" s="119">
        <f>'2020'!Z765</f>
        <v>3</v>
      </c>
      <c r="O89" s="119">
        <f>'2020'!AC765</f>
        <v>177</v>
      </c>
      <c r="P89" s="119">
        <f>'2020'!AD765</f>
        <v>3</v>
      </c>
      <c r="Q89" s="119">
        <f>'2020'!AG765</f>
        <v>178</v>
      </c>
      <c r="R89" s="119">
        <f>'2020'!AH765</f>
        <v>1</v>
      </c>
      <c r="S89" s="119">
        <f>'2020'!AK765</f>
        <v>179</v>
      </c>
      <c r="T89" s="119">
        <f>'2020'!AL765</f>
        <v>1</v>
      </c>
      <c r="U89" s="119">
        <f>'2020'!AO765</f>
        <v>179</v>
      </c>
      <c r="V89" s="119">
        <f>'2020'!AP765</f>
        <v>0</v>
      </c>
      <c r="W89" s="119">
        <f>'2020'!AS765</f>
        <v>179</v>
      </c>
      <c r="X89" s="119">
        <f>'2020'!AT765</f>
        <v>0</v>
      </c>
      <c r="Y89" s="119">
        <f>'2020'!AW765</f>
        <v>179</v>
      </c>
      <c r="Z89" s="119">
        <f>'2020'!AX765</f>
        <v>0</v>
      </c>
      <c r="AA89" s="106"/>
      <c r="AB89" s="119">
        <f>'2020'!BA765</f>
        <v>179</v>
      </c>
      <c r="AC89" s="119">
        <f>'2020'!BB765</f>
        <v>0</v>
      </c>
      <c r="AD89" s="106"/>
      <c r="AE89" s="119">
        <f>'2020'!BE765</f>
        <v>8</v>
      </c>
      <c r="AF89" s="119">
        <f t="shared" si="0"/>
        <v>0</v>
      </c>
    </row>
    <row r="90" ht="15.75" customHeight="1" spans="1:32" x14ac:dyDescent="0.25">
      <c r="A90" s="14"/>
      <c r="B90" s="115" t="s">
        <v>292</v>
      </c>
      <c r="C90" s="115">
        <v>4.31</v>
      </c>
      <c r="D90" s="117" t="s">
        <v>436</v>
      </c>
      <c r="E90" s="119">
        <f>'2020'!I774</f>
        <v>1732</v>
      </c>
      <c r="F90" s="119">
        <f>'2020'!J774</f>
        <v>0</v>
      </c>
      <c r="G90" s="119">
        <f>'2020'!M774</f>
        <v>1732</v>
      </c>
      <c r="H90" s="119">
        <f>'2020'!N774</f>
        <v>0</v>
      </c>
      <c r="I90" s="119">
        <f>'2020'!Q774</f>
        <v>1732</v>
      </c>
      <c r="J90" s="119">
        <f>'2020'!R774</f>
        <v>0</v>
      </c>
      <c r="K90" s="119">
        <f>'2020'!U774</f>
        <v>1748</v>
      </c>
      <c r="L90" s="119">
        <f>'2020'!V774</f>
        <v>16</v>
      </c>
      <c r="M90" s="119">
        <f>'2020'!Y774</f>
        <v>1770</v>
      </c>
      <c r="N90" s="119">
        <f>'2020'!Z774</f>
        <v>22</v>
      </c>
      <c r="O90" s="119">
        <f>'2020'!AC774</f>
        <v>85</v>
      </c>
      <c r="P90" s="119">
        <f>'2020'!AD774</f>
        <v>85</v>
      </c>
      <c r="Q90" s="119">
        <f>'2020'!AG774</f>
        <v>221</v>
      </c>
      <c r="R90" s="119">
        <f>'2020'!AH774</f>
        <v>136</v>
      </c>
      <c r="S90" s="119">
        <f>'2020'!AK774</f>
        <v>364</v>
      </c>
      <c r="T90" s="119">
        <f>'2020'!AL774</f>
        <v>143</v>
      </c>
      <c r="U90" s="119">
        <f>'2020'!AO774</f>
        <v>608</v>
      </c>
      <c r="V90" s="119">
        <f>'2020'!AP774</f>
        <v>244</v>
      </c>
      <c r="W90" s="119">
        <f>'2020'!AS774</f>
        <v>1398</v>
      </c>
      <c r="X90" s="119">
        <f>'2020'!AT774</f>
        <v>790</v>
      </c>
      <c r="Y90" s="119">
        <f>'2020'!AW774</f>
        <v>1846</v>
      </c>
      <c r="Z90" s="119">
        <f>'2020'!AX774</f>
        <v>448</v>
      </c>
      <c r="AA90" s="106"/>
      <c r="AB90" s="119">
        <f>'2020'!BA774</f>
        <v>2107</v>
      </c>
      <c r="AC90" s="119">
        <f>'2020'!BB774</f>
        <v>261</v>
      </c>
      <c r="AD90" s="106"/>
      <c r="AE90" s="119">
        <f>'2020'!BE774</f>
        <v>2145</v>
      </c>
      <c r="AF90" s="119">
        <f t="shared" si="0"/>
        <v>0</v>
      </c>
    </row>
    <row r="91" ht="15.75" customHeight="1" spans="1:32" x14ac:dyDescent="0.25">
      <c r="A91" s="21"/>
      <c r="B91" s="115" t="s">
        <v>292</v>
      </c>
      <c r="C91" s="115">
        <v>4.25</v>
      </c>
      <c r="D91" s="15" t="s">
        <v>436</v>
      </c>
      <c r="E91" s="119">
        <f>'2020'!I783</f>
      </c>
      <c r="F91" s="119">
        <f>'2020'!J783</f>
      </c>
      <c r="G91" s="119">
        <f>'2020'!M783</f>
      </c>
      <c r="H91" s="119">
        <f>'2020'!N783</f>
      </c>
      <c r="I91" s="119">
        <f>'2020'!Q783</f>
      </c>
      <c r="J91" s="119">
        <f>'2020'!R783</f>
        <v>0</v>
      </c>
      <c r="K91" s="119">
        <f>'2020'!U783</f>
      </c>
      <c r="L91" s="119">
        <f>'2020'!V783</f>
        <v>0</v>
      </c>
      <c r="M91" s="119">
        <f>'2020'!Y783</f>
      </c>
      <c r="N91" s="119">
        <f>'2020'!Z783</f>
        <v>0</v>
      </c>
      <c r="O91" s="119">
        <f>'2020'!AC783</f>
      </c>
      <c r="P91" s="119">
        <f>'2020'!AD783</f>
        <v>0</v>
      </c>
      <c r="Q91" s="119">
        <f>'2020'!AG783</f>
      </c>
      <c r="R91" s="119">
        <f>'2020'!AH783</f>
        <v>0</v>
      </c>
      <c r="S91" s="119">
        <f>'2020'!AK783</f>
        <v>0</v>
      </c>
      <c r="T91" s="119">
        <f>'2020'!AL783</f>
        <v>0</v>
      </c>
      <c r="U91" s="119">
        <f>'2020'!AO783</f>
        <v>0</v>
      </c>
      <c r="V91" s="119">
        <f>'2020'!AP783</f>
        <v>0</v>
      </c>
      <c r="W91" s="119">
        <f>'2020'!AS783</f>
        <v>0</v>
      </c>
      <c r="X91" s="119">
        <f>'2020'!AT783</f>
        <v>0</v>
      </c>
      <c r="Y91" s="119">
        <f>'2020'!AW783</f>
        <v>0</v>
      </c>
      <c r="Z91" s="119">
        <f>'2020'!AX783</f>
        <v>0</v>
      </c>
      <c r="AA91" s="106"/>
      <c r="AB91" s="119">
        <f>'2020'!BA783</f>
        <v>0</v>
      </c>
      <c r="AC91" s="119">
        <f>'2020'!BB783</f>
        <v>0</v>
      </c>
      <c r="AD91" s="106"/>
      <c r="AE91" s="119">
        <f>'2020'!BE783</f>
        <v>0</v>
      </c>
      <c r="AF91" s="119">
        <f t="shared" si="0"/>
        <v>0</v>
      </c>
    </row>
    <row r="92" ht="15.75" customHeight="1" spans="1:32" x14ac:dyDescent="0.25">
      <c r="A92" s="114" t="s">
        <v>297</v>
      </c>
      <c r="B92" s="115">
        <v>80</v>
      </c>
      <c r="C92" s="115">
        <v>4.28</v>
      </c>
      <c r="D92" s="117" t="s">
        <v>298</v>
      </c>
      <c r="E92" s="119">
        <f>'2020'!I792</f>
        <v>988</v>
      </c>
      <c r="F92" s="119">
        <f>'2020'!J792</f>
        <v>0</v>
      </c>
      <c r="G92" s="119">
        <f>'2020'!M792</f>
        <v>988</v>
      </c>
      <c r="H92" s="119">
        <f>'2020'!N792</f>
        <v>0</v>
      </c>
      <c r="I92" s="119">
        <f>'2020'!Q792</f>
        <v>988</v>
      </c>
      <c r="J92" s="119">
        <f>'2020'!R792</f>
        <v>0</v>
      </c>
      <c r="K92" s="119">
        <f>'2020'!U792</f>
        <v>988</v>
      </c>
      <c r="L92" s="119">
        <f>'2020'!V792</f>
        <v>0</v>
      </c>
      <c r="M92" s="119">
        <f>'2020'!Y792</f>
        <v>1028</v>
      </c>
      <c r="N92" s="119">
        <f>'2020'!Z792</f>
        <v>40</v>
      </c>
      <c r="O92" s="119">
        <f>'2020'!AC792</f>
        <v>1074</v>
      </c>
      <c r="P92" s="119">
        <f>'2020'!AD792</f>
        <v>46</v>
      </c>
      <c r="Q92" s="119">
        <f>'2020'!AG792</f>
        <v>1176</v>
      </c>
      <c r="R92" s="119">
        <f>'2020'!AH792</f>
        <v>102</v>
      </c>
      <c r="S92" s="119">
        <f>'2020'!AK792</f>
        <v>1264</v>
      </c>
      <c r="T92" s="119">
        <f>'2020'!AL792</f>
        <v>88</v>
      </c>
      <c r="U92" s="119">
        <f>'2020'!AO792</f>
        <v>1307</v>
      </c>
      <c r="V92" s="119">
        <f>'2020'!AP792</f>
        <v>43</v>
      </c>
      <c r="W92" s="119">
        <f>'2020'!AS792</f>
        <v>1312</v>
      </c>
      <c r="X92" s="119">
        <f>'2020'!AT792</f>
        <v>5</v>
      </c>
      <c r="Y92" s="119">
        <f>'2020'!AW792</f>
        <v>1312</v>
      </c>
      <c r="Z92" s="119">
        <f>'2020'!AX792</f>
        <v>0</v>
      </c>
      <c r="AA92" s="106"/>
      <c r="AB92" s="119">
        <f>'2020'!BA792</f>
        <v>1312</v>
      </c>
      <c r="AC92" s="119">
        <f>'2020'!BB792</f>
        <v>0</v>
      </c>
      <c r="AD92" s="106"/>
      <c r="AE92" s="119">
        <f>'2020'!BE792</f>
        <v>324</v>
      </c>
      <c r="AF92" s="119">
        <f t="shared" si="0"/>
        <v>0</v>
      </c>
    </row>
    <row r="93" ht="15.75" customHeight="1" spans="1:32" x14ac:dyDescent="0.25">
      <c r="A93" s="14"/>
      <c r="B93" s="115">
        <v>82</v>
      </c>
      <c r="C93" s="115">
        <v>4.28</v>
      </c>
      <c r="D93" s="117" t="s">
        <v>300</v>
      </c>
      <c r="E93" s="119">
        <f>'2020'!I801</f>
      </c>
      <c r="F93" s="119">
        <f>'2020'!J801</f>
      </c>
      <c r="G93" s="119">
        <f>'2020'!M801</f>
      </c>
      <c r="H93" s="119">
        <f>'2020'!N801</f>
      </c>
      <c r="I93" s="119">
        <f>'2020'!Q801</f>
      </c>
      <c r="J93" s="119">
        <f>'2020'!R801</f>
        <v>0</v>
      </c>
      <c r="K93" s="119">
        <f>'2020'!U801</f>
      </c>
      <c r="L93" s="119">
        <f>'2020'!V801</f>
        <v>0</v>
      </c>
      <c r="M93" s="119">
        <f>'2020'!Y801</f>
      </c>
      <c r="N93" s="119">
        <f>'2020'!Z801</f>
        <v>0</v>
      </c>
      <c r="O93" s="119">
        <f>'2020'!AC801</f>
      </c>
      <c r="P93" s="119">
        <f>'2020'!AD801</f>
        <v>0</v>
      </c>
      <c r="Q93" s="119">
        <f>'2020'!AG801</f>
      </c>
      <c r="R93" s="119">
        <f>'2020'!AH801</f>
        <v>0</v>
      </c>
      <c r="S93" s="119">
        <f>'2020'!AK801</f>
        <v>0</v>
      </c>
      <c r="T93" s="119">
        <f>'2020'!AL801</f>
        <v>0</v>
      </c>
      <c r="U93" s="119">
        <f>'2020'!AO801</f>
        <v>0</v>
      </c>
      <c r="V93" s="119">
        <f>'2020'!AP801</f>
        <v>0</v>
      </c>
      <c r="W93" s="119">
        <f>'2020'!AS801</f>
        <v>0</v>
      </c>
      <c r="X93" s="119">
        <f>'2020'!AT801</f>
        <v>0</v>
      </c>
      <c r="Y93" s="119">
        <f>'2020'!AW801</f>
        <v>0</v>
      </c>
      <c r="Z93" s="119">
        <f>'2020'!AX801</f>
        <v>0</v>
      </c>
      <c r="AA93" s="106"/>
      <c r="AB93" s="119">
        <f>'2020'!BA801</f>
        <v>0</v>
      </c>
      <c r="AC93" s="119">
        <f>'2020'!BB801</f>
        <v>0</v>
      </c>
      <c r="AD93" s="106"/>
      <c r="AE93" s="119">
        <f>'2020'!BE801</f>
        <v>0</v>
      </c>
      <c r="AF93" s="119">
        <f t="shared" si="0"/>
        <v>0</v>
      </c>
    </row>
    <row r="94" ht="15.75" customHeight="1" spans="1:32" x14ac:dyDescent="0.25">
      <c r="A94" s="14"/>
      <c r="B94" s="115">
        <v>84</v>
      </c>
      <c r="C94" s="115">
        <v>4.18</v>
      </c>
      <c r="D94" s="117" t="s">
        <v>301</v>
      </c>
      <c r="E94" s="119">
        <f>'2020'!I810</f>
      </c>
      <c r="F94" s="119">
        <f>'2020'!J810</f>
      </c>
      <c r="G94" s="119">
        <f>'2020'!M810</f>
      </c>
      <c r="H94" s="119">
        <f>'2020'!N810</f>
      </c>
      <c r="I94" s="119">
        <f>'2020'!Q810</f>
      </c>
      <c r="J94" s="119">
        <f>'2020'!R810</f>
        <v>0</v>
      </c>
      <c r="K94" s="119">
        <f>'2020'!U810</f>
      </c>
      <c r="L94" s="119">
        <f>'2020'!V810</f>
        <v>0</v>
      </c>
      <c r="M94" s="119">
        <f>'2020'!Y810</f>
        <v>4</v>
      </c>
      <c r="N94" s="119">
        <f>'2020'!Z810</f>
        <v>4</v>
      </c>
      <c r="O94" s="119">
        <f>'2020'!AC810</f>
        <v>22</v>
      </c>
      <c r="P94" s="119">
        <f>'2020'!AD810</f>
        <v>18</v>
      </c>
      <c r="Q94" s="119">
        <f>'2020'!AG810</f>
        <v>28</v>
      </c>
      <c r="R94" s="119">
        <f>'2020'!AH810</f>
        <v>6</v>
      </c>
      <c r="S94" s="119">
        <f>'2020'!AK810</f>
        <v>32</v>
      </c>
      <c r="T94" s="119">
        <f>'2020'!AL810</f>
        <v>4</v>
      </c>
      <c r="U94" s="119">
        <f>'2020'!AO810</f>
        <v>38</v>
      </c>
      <c r="V94" s="119">
        <f>'2020'!AP810</f>
        <v>6</v>
      </c>
      <c r="W94" s="119">
        <f>'2020'!AS810</f>
        <v>39</v>
      </c>
      <c r="X94" s="119">
        <f>'2020'!AT810</f>
        <v>1</v>
      </c>
      <c r="Y94" s="119">
        <f>'2020'!AW810</f>
        <v>39</v>
      </c>
      <c r="Z94" s="119">
        <f>'2020'!AX810</f>
        <v>0</v>
      </c>
      <c r="AA94" s="106"/>
      <c r="AB94" s="119">
        <f>'2020'!BA810</f>
        <v>39</v>
      </c>
      <c r="AC94" s="119">
        <f>'2020'!BB810</f>
        <v>0</v>
      </c>
      <c r="AD94" s="106"/>
      <c r="AE94" s="119">
        <f>'2020'!BE810</f>
        <v>39</v>
      </c>
      <c r="AF94" s="119">
        <f t="shared" si="0"/>
        <v>0</v>
      </c>
    </row>
    <row r="95" ht="15.75" customHeight="1" spans="1:32" x14ac:dyDescent="0.25">
      <c r="A95" s="14"/>
      <c r="B95" s="115">
        <v>86</v>
      </c>
      <c r="C95" s="115">
        <v>4.23</v>
      </c>
      <c r="D95" s="117" t="s">
        <v>304</v>
      </c>
      <c r="E95" s="119">
        <f>'2020'!I819</f>
      </c>
      <c r="F95" s="119">
        <f>'2020'!J819</f>
      </c>
      <c r="G95" s="119">
        <f>'2020'!M819</f>
      </c>
      <c r="H95" s="119">
        <f>'2020'!N819</f>
      </c>
      <c r="I95" s="119">
        <f>'2020'!Q819</f>
      </c>
      <c r="J95" s="119">
        <f>'2020'!R819</f>
        <v>0</v>
      </c>
      <c r="K95" s="119">
        <f>'2020'!U819</f>
      </c>
      <c r="L95" s="119">
        <f>'2020'!V819</f>
        <v>0</v>
      </c>
      <c r="M95" s="119">
        <f>'2020'!Y819</f>
      </c>
      <c r="N95" s="119">
        <f>'2020'!Z819</f>
        <v>0</v>
      </c>
      <c r="O95" s="119">
        <f>'2020'!AC819</f>
      </c>
      <c r="P95" s="119">
        <f>'2020'!AD819</f>
        <v>0</v>
      </c>
      <c r="Q95" s="119">
        <f>'2020'!AG819</f>
      </c>
      <c r="R95" s="119">
        <f>'2020'!AH819</f>
        <v>0</v>
      </c>
      <c r="S95" s="119">
        <f>'2020'!AK819</f>
        <v>0</v>
      </c>
      <c r="T95" s="119">
        <f>'2020'!AL819</f>
        <v>0</v>
      </c>
      <c r="U95" s="119">
        <f>'2020'!AO819</f>
        <v>0</v>
      </c>
      <c r="V95" s="119">
        <f>'2020'!AP819</f>
        <v>0</v>
      </c>
      <c r="W95" s="119">
        <f>'2020'!AS819</f>
        <v>0</v>
      </c>
      <c r="X95" s="119">
        <f>'2020'!AT819</f>
        <v>0</v>
      </c>
      <c r="Y95" s="119">
        <f>'2020'!AW819</f>
        <v>0</v>
      </c>
      <c r="Z95" s="119">
        <f>'2020'!AX819</f>
        <v>0</v>
      </c>
      <c r="AA95" s="106"/>
      <c r="AB95" s="119">
        <f>'2020'!BA819</f>
        <v>0</v>
      </c>
      <c r="AC95" s="119">
        <f>'2020'!BB819</f>
        <v>0</v>
      </c>
      <c r="AD95" s="106"/>
      <c r="AE95" s="119">
        <f>'2020'!BE819</f>
        <v>0</v>
      </c>
      <c r="AF95" s="119">
        <f t="shared" si="0"/>
        <v>0</v>
      </c>
    </row>
    <row r="96" ht="15.75" customHeight="1" spans="1:32" x14ac:dyDescent="0.25">
      <c r="A96" s="14"/>
      <c r="B96" s="115">
        <v>88</v>
      </c>
      <c r="C96" s="115">
        <v>4.23</v>
      </c>
      <c r="D96" s="117" t="s">
        <v>308</v>
      </c>
      <c r="E96" s="119">
        <f>'2020'!I828</f>
      </c>
      <c r="F96" s="119">
        <f>'2020'!J828</f>
      </c>
      <c r="G96" s="119">
        <f>'2020'!M828</f>
      </c>
      <c r="H96" s="119">
        <f>'2020'!N828</f>
      </c>
      <c r="I96" s="119">
        <f>'2020'!Q828</f>
      </c>
      <c r="J96" s="119">
        <f>'2020'!R828</f>
        <v>0</v>
      </c>
      <c r="K96" s="119">
        <f>'2020'!U828</f>
      </c>
      <c r="L96" s="119">
        <f>'2020'!V828</f>
        <v>0</v>
      </c>
      <c r="M96" s="119">
        <f>'2020'!Y828</f>
      </c>
      <c r="N96" s="119">
        <f>'2020'!Z828</f>
        <v>0</v>
      </c>
      <c r="O96" s="119">
        <f>'2020'!AC828</f>
      </c>
      <c r="P96" s="119">
        <f>'2020'!AD828</f>
        <v>0</v>
      </c>
      <c r="Q96" s="119">
        <f>'2020'!AG828</f>
      </c>
      <c r="R96" s="119">
        <f>'2020'!AH828</f>
        <v>0</v>
      </c>
      <c r="S96" s="119">
        <f>'2020'!AK828</f>
        <v>0</v>
      </c>
      <c r="T96" s="119">
        <f>'2020'!AL828</f>
        <v>0</v>
      </c>
      <c r="U96" s="119">
        <f>'2020'!AO828</f>
        <v>0</v>
      </c>
      <c r="V96" s="119">
        <f>'2020'!AP828</f>
        <v>0</v>
      </c>
      <c r="W96" s="119">
        <f>'2020'!AS828</f>
        <v>0</v>
      </c>
      <c r="X96" s="119">
        <f>'2020'!AT828</f>
        <v>0</v>
      </c>
      <c r="Y96" s="119">
        <f>'2020'!AW828</f>
        <v>0</v>
      </c>
      <c r="Z96" s="119">
        <f>'2020'!AX828</f>
        <v>0</v>
      </c>
      <c r="AA96" s="106"/>
      <c r="AB96" s="119">
        <f>'2020'!BA828</f>
        <v>0</v>
      </c>
      <c r="AC96" s="119">
        <f>'2020'!BB828</f>
        <v>0</v>
      </c>
      <c r="AD96" s="106"/>
      <c r="AE96" s="119">
        <f>'2020'!BE828</f>
        <v>0</v>
      </c>
      <c r="AF96" s="119">
        <f t="shared" si="0"/>
        <v>0</v>
      </c>
    </row>
    <row r="97" ht="15.75" customHeight="1" spans="1:32" x14ac:dyDescent="0.25">
      <c r="A97" s="14"/>
      <c r="B97" s="115">
        <v>90</v>
      </c>
      <c r="C97" s="115">
        <v>4.23</v>
      </c>
      <c r="D97" s="117" t="s">
        <v>311</v>
      </c>
      <c r="E97" s="119">
        <f>'2020'!I837</f>
      </c>
      <c r="F97" s="119">
        <f>'2020'!J837</f>
      </c>
      <c r="G97" s="119">
        <f>'2020'!M837</f>
      </c>
      <c r="H97" s="119">
        <f>'2020'!N837</f>
      </c>
      <c r="I97" s="119">
        <f>'2020'!Q837</f>
      </c>
      <c r="J97" s="119">
        <f>'2020'!R837</f>
        <v>0</v>
      </c>
      <c r="K97" s="119">
        <f>'2020'!U837</f>
      </c>
      <c r="L97" s="119">
        <f>'2020'!V837</f>
        <v>0</v>
      </c>
      <c r="M97" s="119">
        <f>'2020'!Y837</f>
      </c>
      <c r="N97" s="119">
        <f>'2020'!Z837</f>
        <v>0</v>
      </c>
      <c r="O97" s="119">
        <f>'2020'!AC837</f>
      </c>
      <c r="P97" s="119">
        <f>'2020'!AD837</f>
        <v>0</v>
      </c>
      <c r="Q97" s="119">
        <f>'2020'!AG837</f>
      </c>
      <c r="R97" s="119">
        <f>'2020'!AH837</f>
        <v>0</v>
      </c>
      <c r="S97" s="119">
        <f>'2020'!AK837</f>
        <v>0</v>
      </c>
      <c r="T97" s="119">
        <f>'2020'!AL837</f>
        <v>0</v>
      </c>
      <c r="U97" s="119">
        <f>'2020'!AO837</f>
        <v>0</v>
      </c>
      <c r="V97" s="119">
        <f>'2020'!AP837</f>
        <v>0</v>
      </c>
      <c r="W97" s="119">
        <f>'2020'!AS837</f>
        <v>0</v>
      </c>
      <c r="X97" s="119">
        <f>'2020'!AT837</f>
        <v>0</v>
      </c>
      <c r="Y97" s="119">
        <f>'2020'!AW837</f>
        <v>0</v>
      </c>
      <c r="Z97" s="119">
        <f>'2020'!AX837</f>
        <v>0</v>
      </c>
      <c r="AA97" s="106"/>
      <c r="AB97" s="119">
        <f>'2020'!BA837</f>
        <v>0</v>
      </c>
      <c r="AC97" s="119">
        <f>'2020'!BB837</f>
        <v>0</v>
      </c>
      <c r="AD97" s="106"/>
      <c r="AE97" s="119">
        <f>'2020'!BE837</f>
        <v>0</v>
      </c>
      <c r="AF97" s="119">
        <f t="shared" si="0"/>
        <v>0</v>
      </c>
    </row>
    <row r="98" ht="15.75" customHeight="1" spans="1:32" x14ac:dyDescent="0.25">
      <c r="A98" s="14"/>
      <c r="B98" s="115">
        <v>92</v>
      </c>
      <c r="C98" s="115">
        <v>4.28</v>
      </c>
      <c r="D98" s="117" t="s">
        <v>312</v>
      </c>
      <c r="E98" s="119">
        <f>'2020'!I846</f>
        <v>8464</v>
      </c>
      <c r="F98" s="119">
        <f>'2020'!J846</f>
        <v>595</v>
      </c>
      <c r="G98" s="119">
        <f>'2020'!M846</f>
        <v>8917</v>
      </c>
      <c r="H98" s="119">
        <f>'2020'!N846</f>
        <v>453</v>
      </c>
      <c r="I98" s="119">
        <f>'2020'!Q846</f>
        <v>9320</v>
      </c>
      <c r="J98" s="119">
        <f>'2020'!R846</f>
        <v>403</v>
      </c>
      <c r="K98" s="119">
        <f>'2020'!U846</f>
        <v>9452</v>
      </c>
      <c r="L98" s="119">
        <f>'2020'!V846</f>
        <v>132</v>
      </c>
      <c r="M98" s="119">
        <f>'2020'!Y846</f>
        <v>9587</v>
      </c>
      <c r="N98" s="119">
        <f>'2020'!Z846</f>
        <v>135</v>
      </c>
      <c r="O98" s="119">
        <f>'2020'!AC846</f>
        <v>9752</v>
      </c>
      <c r="P98" s="119">
        <f>'2020'!AD846</f>
        <v>165</v>
      </c>
      <c r="Q98" s="119">
        <f>'2020'!AG846</f>
        <v>9961</v>
      </c>
      <c r="R98" s="119">
        <f>'2020'!AH846</f>
        <v>209</v>
      </c>
      <c r="S98" s="119">
        <f>'2020'!AK846</f>
        <v>10121</v>
      </c>
      <c r="T98" s="119">
        <f>'2020'!AL846</f>
        <v>160</v>
      </c>
      <c r="U98" s="119">
        <f>'2020'!AO846</f>
        <v>10265</v>
      </c>
      <c r="V98" s="119">
        <f>'2020'!AP846</f>
        <v>144</v>
      </c>
      <c r="W98" s="119">
        <f>'2020'!AS846</f>
        <v>10512</v>
      </c>
      <c r="X98" s="119">
        <f>'2020'!AT846</f>
        <v>247</v>
      </c>
      <c r="Y98" s="119">
        <f>'2020'!AW846</f>
        <v>10952</v>
      </c>
      <c r="Z98" s="119">
        <f>'2020'!AX846</f>
        <v>440</v>
      </c>
      <c r="AA98" s="119"/>
      <c r="AB98" s="119">
        <f>'2020'!BA846</f>
        <v>11414</v>
      </c>
      <c r="AC98" s="119">
        <f>'2020'!BB846</f>
        <v>462</v>
      </c>
      <c r="AD98" s="106"/>
      <c r="AE98" s="119">
        <f>'2020'!BE846</f>
        <v>3545</v>
      </c>
      <c r="AF98" s="119">
        <f t="shared" si="0"/>
        <v>0</v>
      </c>
    </row>
    <row r="99" ht="15.75" customHeight="1" spans="1:32" x14ac:dyDescent="0.25">
      <c r="A99" s="14"/>
      <c r="B99" s="115" t="s">
        <v>315</v>
      </c>
      <c r="C99" s="115">
        <v>4.36</v>
      </c>
      <c r="D99" s="117" t="s">
        <v>316</v>
      </c>
      <c r="E99" s="119">
        <f>'2020'!I855</f>
        <v>25195</v>
      </c>
      <c r="F99" s="119">
        <f>'2020'!J855</f>
        <v>1692</v>
      </c>
      <c r="G99" s="119">
        <f>'2020'!M855</f>
        <v>26942</v>
      </c>
      <c r="H99" s="119">
        <f>'2020'!N855</f>
        <v>1747</v>
      </c>
      <c r="I99" s="119">
        <f>'2020'!Q855</f>
        <v>28455</v>
      </c>
      <c r="J99" s="119">
        <f>'2020'!R855</f>
        <v>1513</v>
      </c>
      <c r="K99" s="119">
        <f>'2020'!U855</f>
        <v>29473</v>
      </c>
      <c r="L99" s="119">
        <f>'2020'!V855</f>
        <v>1018</v>
      </c>
      <c r="M99" s="119">
        <f>'2020'!Y855</f>
        <v>30059</v>
      </c>
      <c r="N99" s="119">
        <f>'2020'!Z855</f>
        <v>586</v>
      </c>
      <c r="O99" s="119">
        <f>'2020'!AC855</f>
        <v>30469</v>
      </c>
      <c r="P99" s="119">
        <f>'2020'!AD855</f>
        <v>410</v>
      </c>
      <c r="Q99" s="119">
        <f>'2020'!AG855</f>
        <v>30817</v>
      </c>
      <c r="R99" s="119">
        <f>'2020'!AH855</f>
        <v>348</v>
      </c>
      <c r="S99" s="119">
        <f>'2020'!AK855</f>
        <v>31359</v>
      </c>
      <c r="T99" s="119">
        <f>'2020'!AL855</f>
        <v>542</v>
      </c>
      <c r="U99" s="119">
        <f>'2020'!AO855</f>
        <v>31928</v>
      </c>
      <c r="V99" s="119">
        <f>'2020'!AP855</f>
        <v>569</v>
      </c>
      <c r="W99" s="119">
        <f>'2020'!AS855</f>
        <v>33606</v>
      </c>
      <c r="X99" s="119">
        <f>'2020'!AT855</f>
        <v>1678</v>
      </c>
      <c r="Y99" s="119">
        <f>'2020'!AW855</f>
        <v>35167</v>
      </c>
      <c r="Z99" s="119">
        <f>'2020'!AX855</f>
        <v>1561</v>
      </c>
      <c r="AA99" s="119"/>
      <c r="AB99" s="119">
        <f>'2020'!BA855</f>
        <v>37623</v>
      </c>
      <c r="AC99" s="119">
        <f>'2020'!BB855</f>
        <v>2456</v>
      </c>
      <c r="AD99" s="106"/>
      <c r="AE99" s="119">
        <f>'2020'!BE855</f>
        <v>14120</v>
      </c>
      <c r="AF99" s="119">
        <f t="shared" si="0"/>
        <v>0</v>
      </c>
    </row>
    <row r="100" ht="15.75" customHeight="1" spans="1:32" x14ac:dyDescent="0.25">
      <c r="A100" s="14"/>
      <c r="B100" s="115" t="s">
        <v>315</v>
      </c>
      <c r="C100" s="116">
        <v>4.4</v>
      </c>
      <c r="D100" s="117" t="s">
        <v>316</v>
      </c>
      <c r="E100" s="119">
        <f>'2020'!I864</f>
      </c>
      <c r="F100" s="119">
        <f>'2020'!J864</f>
      </c>
      <c r="G100" s="119">
        <f>'2020'!M864</f>
      </c>
      <c r="H100" s="119">
        <f>'2020'!N864</f>
      </c>
      <c r="I100" s="119">
        <f>'2020'!Q864</f>
      </c>
      <c r="J100" s="119">
        <f>'2020'!R864</f>
        <v>0</v>
      </c>
      <c r="K100" s="119">
        <f>'2020'!U864</f>
      </c>
      <c r="L100" s="119">
        <f>'2020'!V864</f>
        <v>0</v>
      </c>
      <c r="M100" s="119">
        <f>'2020'!Y864</f>
      </c>
      <c r="N100" s="119">
        <f>'2020'!Z864</f>
        <v>0</v>
      </c>
      <c r="O100" s="119">
        <f>'2020'!AC864</f>
      </c>
      <c r="P100" s="119">
        <f>'2020'!AD864</f>
        <v>0</v>
      </c>
      <c r="Q100" s="119">
        <f>'2020'!AG864</f>
      </c>
      <c r="R100" s="119">
        <f>'2020'!AH864</f>
        <v>0</v>
      </c>
      <c r="S100" s="119">
        <f>'2020'!AK864</f>
        <v>0</v>
      </c>
      <c r="T100" s="119">
        <f>'2020'!AL864</f>
        <v>0</v>
      </c>
      <c r="U100" s="119">
        <f>'2020'!AO864</f>
        <v>0</v>
      </c>
      <c r="V100" s="119">
        <f>'2020'!AP864</f>
        <v>0</v>
      </c>
      <c r="W100" s="119">
        <f>'2020'!AS864</f>
        <v>0</v>
      </c>
      <c r="X100" s="119">
        <f>'2020'!AT864</f>
        <v>0</v>
      </c>
      <c r="Y100" s="119">
        <f>'2020'!AW864</f>
        <v>0</v>
      </c>
      <c r="Z100" s="119">
        <f>'2020'!AX864</f>
        <v>0</v>
      </c>
      <c r="AA100" s="119"/>
      <c r="AB100" s="119">
        <f>'2020'!BA864</f>
        <v>0</v>
      </c>
      <c r="AC100" s="119">
        <f>'2020'!BB864</f>
        <v>0</v>
      </c>
      <c r="AD100" s="106"/>
      <c r="AE100" s="119">
        <f>'2020'!BE864</f>
        <v>0</v>
      </c>
      <c r="AF100" s="119">
        <f t="shared" si="0"/>
        <v>0</v>
      </c>
    </row>
    <row r="101" ht="15.75" customHeight="1" spans="1:32" x14ac:dyDescent="0.25">
      <c r="A101" s="14"/>
      <c r="B101" s="115">
        <v>99</v>
      </c>
      <c r="C101" s="115">
        <v>4.53</v>
      </c>
      <c r="D101" s="117" t="s">
        <v>319</v>
      </c>
      <c r="E101" s="119">
        <f>'2020'!I873</f>
        <v>128</v>
      </c>
      <c r="F101" s="119">
        <f>'2020'!J873</f>
        <v>0</v>
      </c>
      <c r="G101" s="119">
        <f>'2020'!M873</f>
        <v>128</v>
      </c>
      <c r="H101" s="119">
        <f>'2020'!N873</f>
        <v>0</v>
      </c>
      <c r="I101" s="119">
        <f>'2020'!Q873</f>
        <v>128</v>
      </c>
      <c r="J101" s="119">
        <f>'2020'!R873</f>
        <v>0</v>
      </c>
      <c r="K101" s="119">
        <f>'2020'!U873</f>
        <v>128</v>
      </c>
      <c r="L101" s="119">
        <f>'2020'!V873</f>
        <v>0</v>
      </c>
      <c r="M101" s="119">
        <f>'2020'!Y873</f>
        <v>142</v>
      </c>
      <c r="N101" s="119">
        <f>'2020'!Z873</f>
        <v>14</v>
      </c>
      <c r="O101" s="119">
        <f>'2020'!AC873</f>
        <v>143</v>
      </c>
      <c r="P101" s="119">
        <f>'2020'!AD873</f>
        <v>1</v>
      </c>
      <c r="Q101" s="119">
        <f>'2020'!AG873</f>
        <v>143</v>
      </c>
      <c r="R101" s="119">
        <f>'2020'!AH873</f>
        <v>0</v>
      </c>
      <c r="S101" s="119">
        <f>'2020'!AK873</f>
        <v>143</v>
      </c>
      <c r="T101" s="119">
        <f>'2020'!AL873</f>
        <v>0</v>
      </c>
      <c r="U101" s="119">
        <f>'2020'!AO873</f>
        <v>144</v>
      </c>
      <c r="V101" s="119">
        <f>'2020'!AP873</f>
        <v>1</v>
      </c>
      <c r="W101" s="119">
        <f>'2020'!AS873</f>
        <v>144</v>
      </c>
      <c r="X101" s="119">
        <f>'2020'!AT873</f>
        <v>0</v>
      </c>
      <c r="Y101" s="119">
        <f>'2020'!AW873</f>
        <v>144</v>
      </c>
      <c r="Z101" s="119">
        <f>'2020'!AX873</f>
        <v>0</v>
      </c>
      <c r="AA101" s="106"/>
      <c r="AB101" s="119">
        <f>'2020'!BA873</f>
        <v>144</v>
      </c>
      <c r="AC101" s="119">
        <f>'2020'!BB873</f>
        <v>0</v>
      </c>
      <c r="AD101" s="106"/>
      <c r="AE101" s="119">
        <f>'2020'!BE873</f>
        <v>16</v>
      </c>
      <c r="AF101" s="119">
        <f t="shared" si="0"/>
        <v>0</v>
      </c>
    </row>
    <row r="102" ht="15.75" customHeight="1" spans="1:32" x14ac:dyDescent="0.25">
      <c r="A102" s="14"/>
      <c r="B102" s="115">
        <v>101</v>
      </c>
      <c r="C102" s="115">
        <v>4.46</v>
      </c>
      <c r="D102" s="117" t="s">
        <v>321</v>
      </c>
      <c r="E102" s="119">
        <f>'2020'!I882</f>
        <v>135</v>
      </c>
      <c r="F102" s="119">
        <f>'2020'!J882</f>
        <v>0</v>
      </c>
      <c r="G102" s="119">
        <f>'2020'!M882</f>
        <v>135</v>
      </c>
      <c r="H102" s="119">
        <f>'2020'!N882</f>
        <v>0</v>
      </c>
      <c r="I102" s="119">
        <f>'2020'!Q882</f>
        <v>135</v>
      </c>
      <c r="J102" s="119">
        <f>'2020'!R882</f>
        <v>0</v>
      </c>
      <c r="K102" s="119">
        <f>'2020'!U882</f>
        <v>135</v>
      </c>
      <c r="L102" s="119">
        <f>'2020'!V882</f>
        <v>0</v>
      </c>
      <c r="M102" s="119">
        <f>'2020'!Y882</f>
        <v>144</v>
      </c>
      <c r="N102" s="119">
        <f>'2020'!Z882</f>
        <v>9</v>
      </c>
      <c r="O102" s="119">
        <f>'2020'!AC882</f>
        <v>151</v>
      </c>
      <c r="P102" s="119">
        <f>'2020'!AD882</f>
        <v>7</v>
      </c>
      <c r="Q102" s="119">
        <f>'2020'!AG882</f>
        <v>160</v>
      </c>
      <c r="R102" s="119">
        <f>'2020'!AH882</f>
        <v>9</v>
      </c>
      <c r="S102" s="119">
        <f>'2020'!AK882</f>
        <v>167</v>
      </c>
      <c r="T102" s="119">
        <f>'2020'!AL882</f>
        <v>7</v>
      </c>
      <c r="U102" s="119">
        <f>'2020'!AO882</f>
        <v>172</v>
      </c>
      <c r="V102" s="119">
        <f>'2020'!AP882</f>
        <v>5</v>
      </c>
      <c r="W102" s="119">
        <f>'2020'!AS882</f>
        <v>175</v>
      </c>
      <c r="X102" s="119">
        <f>'2020'!AT882</f>
        <v>3</v>
      </c>
      <c r="Y102" s="119">
        <f>'2020'!AW882</f>
        <v>175</v>
      </c>
      <c r="Z102" s="119">
        <f>'2020'!AX882</f>
        <v>0</v>
      </c>
      <c r="AA102" s="106"/>
      <c r="AB102" s="119">
        <f>'2020'!BA882</f>
        <v>175</v>
      </c>
      <c r="AC102" s="119">
        <f>'2020'!BB882</f>
        <v>0</v>
      </c>
      <c r="AD102" s="106"/>
      <c r="AE102" s="119">
        <f>'2020'!BE882</f>
        <v>40</v>
      </c>
      <c r="AF102" s="119">
        <f t="shared" si="0"/>
        <v>0</v>
      </c>
    </row>
    <row r="103" ht="15.75" customHeight="1" spans="1:32" x14ac:dyDescent="0.25">
      <c r="A103" s="14"/>
      <c r="B103" s="115">
        <v>103</v>
      </c>
      <c r="C103" s="115">
        <v>4.42</v>
      </c>
      <c r="D103" s="117" t="s">
        <v>322</v>
      </c>
      <c r="E103" s="119">
        <f>'2020'!I891</f>
      </c>
      <c r="F103" s="119">
        <f>'2020'!J891</f>
      </c>
      <c r="G103" s="119">
        <f>'2020'!M891</f>
      </c>
      <c r="H103" s="119">
        <f>'2020'!N891</f>
      </c>
      <c r="I103" s="119">
        <f>'2020'!Q891</f>
      </c>
      <c r="J103" s="119">
        <f>'2020'!R891</f>
        <v>0</v>
      </c>
      <c r="K103" s="119">
        <f>'2020'!U891</f>
      </c>
      <c r="L103" s="119">
        <f>'2020'!V891</f>
        <v>0</v>
      </c>
      <c r="M103" s="119">
        <f>'2020'!Y891</f>
      </c>
      <c r="N103" s="119">
        <f>'2020'!Z891</f>
        <v>0</v>
      </c>
      <c r="O103" s="119">
        <f>'2020'!AC891</f>
      </c>
      <c r="P103" s="119">
        <f>'2020'!AD891</f>
        <v>0</v>
      </c>
      <c r="Q103" s="119">
        <f>'2020'!AG891</f>
      </c>
      <c r="R103" s="119">
        <f>'2020'!AH891</f>
        <v>0</v>
      </c>
      <c r="S103" s="119">
        <f>'2020'!AK891</f>
        <v>0</v>
      </c>
      <c r="T103" s="119">
        <f>'2020'!AL891</f>
        <v>0</v>
      </c>
      <c r="U103" s="119">
        <f>'2020'!AO891</f>
        <v>0</v>
      </c>
      <c r="V103" s="119">
        <f>'2020'!AP891</f>
        <v>0</v>
      </c>
      <c r="W103" s="119">
        <f>'2020'!AS891</f>
        <v>0</v>
      </c>
      <c r="X103" s="119">
        <f>'2020'!AT891</f>
        <v>0</v>
      </c>
      <c r="Y103" s="119">
        <f>'2020'!AW891</f>
        <v>0</v>
      </c>
      <c r="Z103" s="119">
        <f>'2020'!AX891</f>
        <v>0</v>
      </c>
      <c r="AA103" s="106"/>
      <c r="AB103" s="119">
        <f>'2020'!BA891</f>
        <v>0</v>
      </c>
      <c r="AC103" s="119">
        <f>'2020'!BB891</f>
        <v>0</v>
      </c>
      <c r="AD103" s="106"/>
      <c r="AE103" s="119">
        <f>'2020'!BE891</f>
        <v>0</v>
      </c>
      <c r="AF103" s="119">
        <f t="shared" si="0"/>
        <v>0</v>
      </c>
    </row>
    <row r="104" ht="15.75" customHeight="1" spans="1:32" x14ac:dyDescent="0.25">
      <c r="A104" s="14"/>
      <c r="B104" s="115">
        <v>105</v>
      </c>
      <c r="C104" s="115">
        <v>4.41</v>
      </c>
      <c r="D104" s="117" t="s">
        <v>323</v>
      </c>
      <c r="E104" s="119">
        <f>'2020'!I900</f>
        <v>946</v>
      </c>
      <c r="F104" s="119">
        <f>'2020'!J900</f>
        <v>0</v>
      </c>
      <c r="G104" s="119">
        <f>'2020'!M900</f>
        <v>946</v>
      </c>
      <c r="H104" s="119">
        <f>'2020'!N900</f>
        <v>0</v>
      </c>
      <c r="I104" s="119">
        <f>'2020'!Q900</f>
        <v>946</v>
      </c>
      <c r="J104" s="119">
        <f>'2020'!R900</f>
        <v>0</v>
      </c>
      <c r="K104" s="119">
        <f>'2020'!U900</f>
        <v>946</v>
      </c>
      <c r="L104" s="119">
        <f>'2020'!V900</f>
        <v>0</v>
      </c>
      <c r="M104" s="119">
        <f>'2020'!Y900</f>
        <v>1014</v>
      </c>
      <c r="N104" s="119">
        <f>'2020'!Z900</f>
        <v>68</v>
      </c>
      <c r="O104" s="119">
        <f>'2020'!AC900</f>
        <v>1191</v>
      </c>
      <c r="P104" s="119">
        <f>'2020'!AD900</f>
        <v>177</v>
      </c>
      <c r="Q104" s="119">
        <f>'2020'!AG900</f>
        <v>1320</v>
      </c>
      <c r="R104" s="119">
        <f>'2020'!AH900</f>
        <v>129</v>
      </c>
      <c r="S104" s="119">
        <f>'2020'!AK900</f>
        <v>1437</v>
      </c>
      <c r="T104" s="119">
        <f>'2020'!AL900</f>
        <v>117</v>
      </c>
      <c r="U104" s="119">
        <f>'2020'!AO900</f>
        <v>1574</v>
      </c>
      <c r="V104" s="119">
        <f>'2020'!AP900</f>
        <v>137</v>
      </c>
      <c r="W104" s="119">
        <f>'2020'!AS900</f>
        <v>1704</v>
      </c>
      <c r="X104" s="119">
        <f>'2020'!AT900</f>
        <v>130</v>
      </c>
      <c r="Y104" s="119">
        <f>'2020'!AW900</f>
        <v>1704</v>
      </c>
      <c r="Z104" s="119">
        <f>'2020'!AX900</f>
        <v>0</v>
      </c>
      <c r="AA104" s="106"/>
      <c r="AB104" s="119">
        <f>'2020'!BA900</f>
        <v>1704</v>
      </c>
      <c r="AC104" s="119">
        <f>'2020'!BB900</f>
        <v>0</v>
      </c>
      <c r="AD104" s="106"/>
      <c r="AE104" s="119">
        <f>'2020'!BE900</f>
        <v>758</v>
      </c>
      <c r="AF104" s="119">
        <f t="shared" si="0"/>
        <v>0</v>
      </c>
    </row>
    <row r="105" ht="15.75" customHeight="1" spans="1:32" x14ac:dyDescent="0.25">
      <c r="A105" s="21"/>
      <c r="B105" s="115">
        <v>107</v>
      </c>
      <c r="C105" s="115">
        <v>4.37</v>
      </c>
      <c r="D105" s="117" t="s">
        <v>325</v>
      </c>
      <c r="E105" s="119">
        <f>'2020'!I909</f>
        <v>118</v>
      </c>
      <c r="F105" s="119">
        <f>'2020'!J909</f>
      </c>
      <c r="G105" s="119">
        <f>'2020'!M909</f>
        <v>118</v>
      </c>
      <c r="H105" s="119">
        <f>'2020'!N909</f>
        <v>0</v>
      </c>
      <c r="I105" s="119">
        <f>'2020'!Q909</f>
        <v>118</v>
      </c>
      <c r="J105" s="119">
        <f>'2020'!R909</f>
        <v>0</v>
      </c>
      <c r="K105" s="119">
        <f>'2020'!U909</f>
        <v>120</v>
      </c>
      <c r="L105" s="119">
        <f>'2020'!V909</f>
        <v>2</v>
      </c>
      <c r="M105" s="119">
        <f>'2020'!Y909</f>
        <v>155</v>
      </c>
      <c r="N105" s="119">
        <f>'2020'!Z909</f>
        <v>35</v>
      </c>
      <c r="O105" s="119">
        <f>'2020'!AC909</f>
        <v>203</v>
      </c>
      <c r="P105" s="119">
        <f>'2020'!AD909</f>
        <v>48</v>
      </c>
      <c r="Q105" s="119">
        <f>'2020'!AG909</f>
        <v>229</v>
      </c>
      <c r="R105" s="119">
        <f>'2020'!AH909</f>
        <v>26</v>
      </c>
      <c r="S105" s="119">
        <f>'2020'!AK909</f>
        <v>281</v>
      </c>
      <c r="T105" s="119">
        <f>'2020'!AL909</f>
        <v>52</v>
      </c>
      <c r="U105" s="119">
        <f>'2020'!AO909</f>
        <v>295</v>
      </c>
      <c r="V105" s="119">
        <f>'2020'!AP909</f>
        <v>14</v>
      </c>
      <c r="W105" s="119">
        <f>'2020'!AS909</f>
        <v>295</v>
      </c>
      <c r="X105" s="119">
        <f>'2020'!AT909</f>
        <v>0</v>
      </c>
      <c r="Y105" s="119">
        <f>'2020'!AW909</f>
        <v>295</v>
      </c>
      <c r="Z105" s="119">
        <f>'2020'!AX909</f>
        <v>0</v>
      </c>
      <c r="AA105" s="106"/>
      <c r="AB105" s="119">
        <f>'2020'!BA909</f>
        <v>295</v>
      </c>
      <c r="AC105" s="119">
        <f>'2020'!BB909</f>
        <v>0</v>
      </c>
      <c r="AD105" s="106"/>
      <c r="AE105" s="119">
        <f>'2020'!BE909</f>
        <v>177</v>
      </c>
      <c r="AF105" s="119">
        <f t="shared" si="0"/>
        <v>0</v>
      </c>
    </row>
    <row r="106" ht="15.75" customHeight="1" spans="1:32" x14ac:dyDescent="0.25">
      <c r="A106" s="114" t="s">
        <v>327</v>
      </c>
      <c r="B106" s="115">
        <v>96</v>
      </c>
      <c r="C106" s="115">
        <v>4.46</v>
      </c>
      <c r="D106" s="117" t="s">
        <v>450</v>
      </c>
      <c r="E106" s="119">
        <f>'2020'!I918</f>
      </c>
      <c r="F106" s="119">
        <f>'2020'!J918</f>
      </c>
      <c r="G106" s="119">
        <f>'2020'!M918</f>
      </c>
      <c r="H106" s="119">
        <f>'2020'!N918</f>
      </c>
      <c r="I106" s="119">
        <f>'2020'!Q918</f>
      </c>
      <c r="J106" s="119">
        <f>'2020'!R918</f>
        <v>0</v>
      </c>
      <c r="K106" s="119">
        <f>'2020'!U918</f>
      </c>
      <c r="L106" s="119">
        <f>'2020'!V918</f>
        <v>0</v>
      </c>
      <c r="M106" s="119">
        <f>'2020'!Y918</f>
      </c>
      <c r="N106" s="119">
        <f>'2020'!Z918</f>
        <v>0</v>
      </c>
      <c r="O106" s="119">
        <f>'2020'!AC918</f>
      </c>
      <c r="P106" s="119">
        <f>'2020'!AD918</f>
        <v>0</v>
      </c>
      <c r="Q106" s="119">
        <f>'2020'!AG918</f>
      </c>
      <c r="R106" s="119">
        <f>'2020'!AH918</f>
        <v>0</v>
      </c>
      <c r="S106" s="119">
        <f>'2020'!AK918</f>
        <v>0</v>
      </c>
      <c r="T106" s="119">
        <f>'2020'!AL918</f>
        <v>0</v>
      </c>
      <c r="U106" s="119">
        <f>'2020'!AO918</f>
        <v>0</v>
      </c>
      <c r="V106" s="119">
        <f>'2020'!AP918</f>
        <v>0</v>
      </c>
      <c r="W106" s="119">
        <f>'2020'!AS918</f>
        <v>0</v>
      </c>
      <c r="X106" s="119">
        <f>'2020'!AT918</f>
        <v>0</v>
      </c>
      <c r="Y106" s="119">
        <f>'2020'!AW918</f>
        <v>0</v>
      </c>
      <c r="Z106" s="119">
        <f>'2020'!AX918</f>
        <v>0</v>
      </c>
      <c r="AA106" s="106"/>
      <c r="AB106" s="119">
        <f>'2020'!BA918</f>
        <v>0</v>
      </c>
      <c r="AC106" s="119">
        <f>'2020'!BB918</f>
        <v>0</v>
      </c>
      <c r="AD106" s="106"/>
      <c r="AE106" s="119">
        <f>'2020'!BE918</f>
        <v>0</v>
      </c>
      <c r="AF106" s="119">
        <f t="shared" si="0"/>
        <v>0</v>
      </c>
    </row>
    <row r="107" ht="15.75" customHeight="1" spans="1:32" x14ac:dyDescent="0.25">
      <c r="A107" s="14"/>
      <c r="B107" s="115">
        <v>98</v>
      </c>
      <c r="C107" s="115">
        <v>4.45</v>
      </c>
      <c r="D107" s="117" t="s">
        <v>328</v>
      </c>
      <c r="E107" s="119">
        <f>'2020'!I927</f>
      </c>
      <c r="F107" s="119">
        <f>'2020'!J927</f>
      </c>
      <c r="G107" s="119">
        <f>'2020'!M927</f>
      </c>
      <c r="H107" s="119">
        <f>'2020'!N927</f>
      </c>
      <c r="I107" s="119">
        <f>'2020'!Q927</f>
      </c>
      <c r="J107" s="119">
        <f>'2020'!R927</f>
        <v>0</v>
      </c>
      <c r="K107" s="119">
        <f>'2020'!U927</f>
      </c>
      <c r="L107" s="119">
        <f>'2020'!V927</f>
        <v>0</v>
      </c>
      <c r="M107" s="119">
        <f>'2020'!Y927</f>
      </c>
      <c r="N107" s="119">
        <f>'2020'!Z927</f>
        <v>0</v>
      </c>
      <c r="O107" s="119">
        <f>'2020'!AC927</f>
      </c>
      <c r="P107" s="119">
        <f>'2020'!AD927</f>
        <v>0</v>
      </c>
      <c r="Q107" s="119">
        <f>'2020'!AG927</f>
      </c>
      <c r="R107" s="119">
        <f>'2020'!AH927</f>
        <v>0</v>
      </c>
      <c r="S107" s="119">
        <f>'2020'!AK927</f>
        <v>0</v>
      </c>
      <c r="T107" s="119">
        <f>'2020'!AL927</f>
        <v>0</v>
      </c>
      <c r="U107" s="119">
        <f>'2020'!AO927</f>
        <v>0</v>
      </c>
      <c r="V107" s="119">
        <f>'2020'!AP927</f>
        <v>0</v>
      </c>
      <c r="W107" s="119">
        <f>'2020'!AS927</f>
        <v>0</v>
      </c>
      <c r="X107" s="119">
        <f>'2020'!AT927</f>
        <v>0</v>
      </c>
      <c r="Y107" s="119">
        <f>'2020'!AW927</f>
        <v>0</v>
      </c>
      <c r="Z107" s="119">
        <f>'2020'!AX927</f>
        <v>0</v>
      </c>
      <c r="AA107" s="106"/>
      <c r="AB107" s="119">
        <f>'2020'!BA927</f>
        <v>0</v>
      </c>
      <c r="AC107" s="119">
        <f>'2020'!BB927</f>
        <v>0</v>
      </c>
      <c r="AD107" s="106"/>
      <c r="AE107" s="119">
        <f>'2020'!BE927</f>
        <v>0</v>
      </c>
      <c r="AF107" s="119">
        <f t="shared" si="0"/>
        <v>0</v>
      </c>
    </row>
    <row r="108" ht="15.75" customHeight="1" spans="1:32" x14ac:dyDescent="0.25">
      <c r="A108" s="14"/>
      <c r="B108" s="115">
        <v>100</v>
      </c>
      <c r="C108" s="115">
        <v>4.47</v>
      </c>
      <c r="D108" s="117" t="s">
        <v>330</v>
      </c>
      <c r="E108" s="119">
        <f>'2020'!I936</f>
        <v>425</v>
      </c>
      <c r="F108" s="119">
        <f>'2020'!J936</f>
        <v>0</v>
      </c>
      <c r="G108" s="119">
        <f>'2020'!M936</f>
        <v>425</v>
      </c>
      <c r="H108" s="119">
        <f>'2020'!N936</f>
        <v>0</v>
      </c>
      <c r="I108" s="119">
        <f>'2020'!Q936</f>
        <v>449</v>
      </c>
      <c r="J108" s="119">
        <f>'2020'!R936</f>
        <v>24</v>
      </c>
      <c r="K108" s="119">
        <f>'2020'!U936</f>
        <v>473</v>
      </c>
      <c r="L108" s="119">
        <f>'2020'!V936</f>
        <v>24</v>
      </c>
      <c r="M108" s="119">
        <f>'2020'!Y936</f>
        <v>510</v>
      </c>
      <c r="N108" s="119">
        <f>'2020'!Z936</f>
        <v>37</v>
      </c>
      <c r="O108" s="119">
        <f>'2020'!AC936</f>
        <v>552</v>
      </c>
      <c r="P108" s="119">
        <f>'2020'!AD936</f>
        <v>42</v>
      </c>
      <c r="Q108" s="119">
        <f>'2020'!AG936</f>
        <v>574</v>
      </c>
      <c r="R108" s="119">
        <f>'2020'!AH936</f>
        <v>22</v>
      </c>
      <c r="S108" s="119">
        <f>'2020'!AK936</f>
        <v>615</v>
      </c>
      <c r="T108" s="119">
        <f>'2020'!AL936</f>
        <v>41</v>
      </c>
      <c r="U108" s="119">
        <f>'2020'!AO936</f>
        <v>666</v>
      </c>
      <c r="V108" s="119">
        <f>'2020'!AP936</f>
        <v>51</v>
      </c>
      <c r="W108" s="119">
        <f>'2020'!AS936</f>
        <v>746</v>
      </c>
      <c r="X108" s="119">
        <f>'2020'!AT936</f>
        <v>80</v>
      </c>
      <c r="Y108" s="119">
        <f>'2020'!AW936</f>
        <v>746</v>
      </c>
      <c r="Z108" s="119">
        <f>'2020'!AX936</f>
        <v>0</v>
      </c>
      <c r="AA108" s="106"/>
      <c r="AB108" s="119">
        <f>'2020'!BA936</f>
        <v>746</v>
      </c>
      <c r="AC108" s="119">
        <f>'2020'!BB936</f>
        <v>0</v>
      </c>
      <c r="AD108" s="106"/>
      <c r="AE108" s="119">
        <f>'2020'!BE936</f>
        <v>321</v>
      </c>
      <c r="AF108" s="119">
        <f t="shared" si="0"/>
        <v>0</v>
      </c>
    </row>
    <row r="109" ht="15.75" customHeight="1" spans="1:32" x14ac:dyDescent="0.25">
      <c r="A109" s="14"/>
      <c r="B109" s="115">
        <v>102</v>
      </c>
      <c r="C109" s="115">
        <v>4.45</v>
      </c>
      <c r="D109" s="117" t="s">
        <v>331</v>
      </c>
      <c r="E109" s="119">
        <f>'2020'!I945</f>
        <v>1665</v>
      </c>
      <c r="F109" s="119">
        <f>'2020'!J945</f>
        <v>15</v>
      </c>
      <c r="G109" s="119">
        <f>'2020'!M945</f>
        <v>1705</v>
      </c>
      <c r="H109" s="119">
        <f>'2020'!N945</f>
        <v>40</v>
      </c>
      <c r="I109" s="119">
        <f>'2020'!Q945</f>
        <v>1705</v>
      </c>
      <c r="J109" s="119">
        <f>'2020'!R945</f>
        <v>0</v>
      </c>
      <c r="K109" s="119">
        <f>'2020'!U945</f>
        <v>1756</v>
      </c>
      <c r="L109" s="119">
        <f>'2020'!V945</f>
        <v>51</v>
      </c>
      <c r="M109" s="119">
        <f>'2020'!Y945</f>
        <v>1834</v>
      </c>
      <c r="N109" s="119">
        <f>'2020'!Z945</f>
        <v>78</v>
      </c>
      <c r="O109" s="119">
        <f>'2020'!AC945</f>
        <v>1904</v>
      </c>
      <c r="P109" s="119">
        <f>'2020'!AD945</f>
        <v>70</v>
      </c>
      <c r="Q109" s="119">
        <f>'2020'!AG945</f>
        <v>1967</v>
      </c>
      <c r="R109" s="119">
        <f>'2020'!AH945</f>
        <v>63</v>
      </c>
      <c r="S109" s="119">
        <f>'2020'!AK945</f>
        <v>2042</v>
      </c>
      <c r="T109" s="119">
        <f>'2020'!AL945</f>
        <v>75</v>
      </c>
      <c r="U109" s="119">
        <f>'2020'!AO945</f>
        <v>2105</v>
      </c>
      <c r="V109" s="119">
        <f>'2020'!AP945</f>
        <v>63</v>
      </c>
      <c r="W109" s="119">
        <f>'2020'!AS945</f>
        <v>2163</v>
      </c>
      <c r="X109" s="119">
        <f>'2020'!AT945</f>
        <v>58</v>
      </c>
      <c r="Y109" s="119">
        <f>'2020'!AW945</f>
        <v>2165</v>
      </c>
      <c r="Z109" s="119">
        <f>'2020'!AX945</f>
        <v>2</v>
      </c>
      <c r="AA109" s="119"/>
      <c r="AB109" s="119">
        <f>'2020'!BA945</f>
        <v>2165</v>
      </c>
      <c r="AC109" s="119">
        <f>'2020'!BB945</f>
        <v>0</v>
      </c>
      <c r="AD109" s="106"/>
      <c r="AE109" s="119">
        <f>'2020'!BE945</f>
        <v>515</v>
      </c>
      <c r="AF109" s="119">
        <f t="shared" si="0"/>
        <v>0</v>
      </c>
    </row>
    <row r="110" ht="15.75" customHeight="1" spans="1:32" x14ac:dyDescent="0.25">
      <c r="A110" s="14"/>
      <c r="B110" s="115">
        <v>104</v>
      </c>
      <c r="C110" s="115">
        <v>4.42</v>
      </c>
      <c r="D110" s="117" t="s">
        <v>333</v>
      </c>
      <c r="E110" s="119">
        <f>'2020'!I954</f>
        <v>877</v>
      </c>
      <c r="F110" s="119">
        <f>'2020'!J954</f>
        <v>0</v>
      </c>
      <c r="G110" s="119">
        <f>'2020'!M954</f>
        <v>877</v>
      </c>
      <c r="H110" s="119">
        <f>'2020'!N954</f>
        <v>0</v>
      </c>
      <c r="I110" s="119">
        <f>'2020'!Q954</f>
        <v>877</v>
      </c>
      <c r="J110" s="119">
        <f>'2020'!R954</f>
        <v>0</v>
      </c>
      <c r="K110" s="119">
        <f>'2020'!U954</f>
        <v>888</v>
      </c>
      <c r="L110" s="119">
        <f>'2020'!V954</f>
        <v>11</v>
      </c>
      <c r="M110" s="119">
        <f>'2020'!Y954</f>
        <v>930</v>
      </c>
      <c r="N110" s="119">
        <f>'2020'!Z954</f>
        <v>42</v>
      </c>
      <c r="O110" s="119">
        <f>'2020'!AC954</f>
        <v>983</v>
      </c>
      <c r="P110" s="119">
        <f>'2020'!AD954</f>
        <v>53</v>
      </c>
      <c r="Q110" s="119">
        <f>'2020'!AG954</f>
        <v>1036</v>
      </c>
      <c r="R110" s="119">
        <f>'2020'!AH954</f>
        <v>53</v>
      </c>
      <c r="S110" s="119">
        <f>'2020'!AK954</f>
        <v>1101</v>
      </c>
      <c r="T110" s="119">
        <f>'2020'!AL954</f>
        <v>65</v>
      </c>
      <c r="U110" s="119">
        <f>'2020'!AO954</f>
        <v>1119</v>
      </c>
      <c r="V110" s="119">
        <f>'2020'!AP954</f>
        <v>18</v>
      </c>
      <c r="W110" s="119">
        <f>'2020'!AS954</f>
        <v>1140</v>
      </c>
      <c r="X110" s="119">
        <f>'2020'!AT954</f>
        <v>21</v>
      </c>
      <c r="Y110" s="119">
        <f>'2020'!AW954</f>
        <v>1140</v>
      </c>
      <c r="Z110" s="119">
        <f>'2020'!AX954</f>
        <v>0</v>
      </c>
      <c r="AA110" s="106"/>
      <c r="AB110" s="119">
        <f>'2020'!BA954</f>
        <v>1140</v>
      </c>
      <c r="AC110" s="119">
        <f>'2020'!BB954</f>
        <v>0</v>
      </c>
      <c r="AD110" s="106"/>
      <c r="AE110" s="119">
        <f>'2020'!BE954</f>
        <v>263</v>
      </c>
      <c r="AF110" s="119">
        <f t="shared" si="0"/>
        <v>0</v>
      </c>
    </row>
    <row r="111" ht="15.75" customHeight="1" spans="1:32" x14ac:dyDescent="0.25">
      <c r="A111" s="14"/>
      <c r="B111" s="115">
        <v>106</v>
      </c>
      <c r="C111" s="115">
        <v>4.57</v>
      </c>
      <c r="D111" s="117" t="s">
        <v>336</v>
      </c>
      <c r="E111" s="119">
        <f>'2020'!I963</f>
      </c>
      <c r="F111" s="119">
        <f>'2020'!J963</f>
      </c>
      <c r="G111" s="119">
        <f>'2020'!M963</f>
      </c>
      <c r="H111" s="119">
        <f>'2020'!N963</f>
      </c>
      <c r="I111" s="119">
        <f>'2020'!Q963</f>
      </c>
      <c r="J111" s="119">
        <f>'2020'!R963</f>
        <v>0</v>
      </c>
      <c r="K111" s="119">
        <f>'2020'!U963</f>
      </c>
      <c r="L111" s="119">
        <f>'2020'!V963</f>
        <v>0</v>
      </c>
      <c r="M111" s="119">
        <f>'2020'!Y963</f>
      </c>
      <c r="N111" s="119">
        <f>'2020'!Z963</f>
        <v>0</v>
      </c>
      <c r="O111" s="119">
        <f>'2020'!AC963</f>
      </c>
      <c r="P111" s="119">
        <f>'2020'!AD963</f>
        <v>0</v>
      </c>
      <c r="Q111" s="119">
        <f>'2020'!AG963</f>
      </c>
      <c r="R111" s="119">
        <f>'2020'!AH963</f>
        <v>0</v>
      </c>
      <c r="S111" s="119">
        <f>'2020'!AK963</f>
        <v>0</v>
      </c>
      <c r="T111" s="119">
        <f>'2020'!AL963</f>
        <v>0</v>
      </c>
      <c r="U111" s="119">
        <f>'2020'!AO963</f>
        <v>0</v>
      </c>
      <c r="V111" s="119">
        <f>'2020'!AP963</f>
        <v>0</v>
      </c>
      <c r="W111" s="119">
        <f>'2020'!AS963</f>
        <v>0</v>
      </c>
      <c r="X111" s="119">
        <f>'2020'!AT963</f>
        <v>0</v>
      </c>
      <c r="Y111" s="119">
        <f>'2020'!AW963</f>
        <v>0</v>
      </c>
      <c r="Z111" s="119">
        <f>'2020'!AX963</f>
        <v>0</v>
      </c>
      <c r="AA111" s="106"/>
      <c r="AB111" s="119">
        <f>'2020'!BA963</f>
        <v>0</v>
      </c>
      <c r="AC111" s="119">
        <f>'2020'!BB963</f>
        <v>0</v>
      </c>
      <c r="AD111" s="106"/>
      <c r="AE111" s="119">
        <f>'2020'!BE963</f>
        <v>0</v>
      </c>
      <c r="AF111" s="119">
        <f t="shared" si="0"/>
        <v>0</v>
      </c>
    </row>
    <row r="112" ht="15.75" customHeight="1" spans="1:32" x14ac:dyDescent="0.25">
      <c r="A112" s="14"/>
      <c r="B112" s="115">
        <v>108</v>
      </c>
      <c r="C112" s="115">
        <v>4.32</v>
      </c>
      <c r="D112" s="117" t="s">
        <v>339</v>
      </c>
      <c r="E112" s="119">
        <f>'2020'!I972</f>
      </c>
      <c r="F112" s="119">
        <f>'2020'!J972</f>
      </c>
      <c r="G112" s="119">
        <f>'2020'!M972</f>
      </c>
      <c r="H112" s="119">
        <f>'2020'!N972</f>
      </c>
      <c r="I112" s="119">
        <f>'2020'!Q972</f>
      </c>
      <c r="J112" s="119">
        <f>'2020'!R972</f>
        <v>0</v>
      </c>
      <c r="K112" s="119">
        <f>'2020'!U972</f>
      </c>
      <c r="L112" s="119">
        <f>'2020'!V972</f>
        <v>0</v>
      </c>
      <c r="M112" s="119">
        <f>'2020'!Y972</f>
      </c>
      <c r="N112" s="119">
        <f>'2020'!Z972</f>
        <v>0</v>
      </c>
      <c r="O112" s="119">
        <f>'2020'!AC972</f>
      </c>
      <c r="P112" s="119">
        <f>'2020'!AD972</f>
        <v>0</v>
      </c>
      <c r="Q112" s="119">
        <f>'2020'!AG972</f>
      </c>
      <c r="R112" s="119">
        <f>'2020'!AH972</f>
        <v>0</v>
      </c>
      <c r="S112" s="119">
        <f>'2020'!AK972</f>
        <v>0</v>
      </c>
      <c r="T112" s="119">
        <f>'2020'!AL972</f>
        <v>0</v>
      </c>
      <c r="U112" s="119">
        <f>'2020'!AO972</f>
        <v>0</v>
      </c>
      <c r="V112" s="119">
        <f>'2020'!AP972</f>
        <v>0</v>
      </c>
      <c r="W112" s="119">
        <f>'2020'!AS972</f>
        <v>0</v>
      </c>
      <c r="X112" s="119">
        <f>'2020'!AT972</f>
        <v>0</v>
      </c>
      <c r="Y112" s="119">
        <f>'2020'!AW972</f>
        <v>0</v>
      </c>
      <c r="Z112" s="119">
        <f>'2020'!AX972</f>
        <v>0</v>
      </c>
      <c r="AA112" s="106"/>
      <c r="AB112" s="119">
        <f>'2020'!BA972</f>
        <v>0</v>
      </c>
      <c r="AC112" s="119">
        <f>'2020'!BB972</f>
        <v>0</v>
      </c>
      <c r="AD112" s="106"/>
      <c r="AE112" s="119">
        <f>'2020'!BE972</f>
        <v>0</v>
      </c>
      <c r="AF112" s="119">
        <f t="shared" si="0"/>
        <v>0</v>
      </c>
    </row>
    <row r="113" ht="15.75" customHeight="1" spans="1:32" x14ac:dyDescent="0.25">
      <c r="A113" s="14"/>
      <c r="B113" s="115">
        <v>109</v>
      </c>
      <c r="C113" s="115">
        <v>6.22</v>
      </c>
      <c r="D113" s="2" t="s">
        <v>455</v>
      </c>
      <c r="E113" s="119">
        <f>'2020'!I981</f>
        <v>35</v>
      </c>
      <c r="F113" s="119">
        <f>'2020'!J981</f>
      </c>
      <c r="G113" s="119">
        <f>'2020'!M981</f>
        <v>35</v>
      </c>
      <c r="H113" s="119">
        <f>'2020'!N981</f>
        <v>0</v>
      </c>
      <c r="I113" s="119">
        <f>'2020'!Q981</f>
        <v>35</v>
      </c>
      <c r="J113" s="119">
        <f>'2020'!R981</f>
        <v>0</v>
      </c>
      <c r="K113" s="119">
        <f>'2020'!U981</f>
        <v>35</v>
      </c>
      <c r="L113" s="119">
        <f>'2020'!V981</f>
        <v>0</v>
      </c>
      <c r="M113" s="119">
        <f>'2020'!Y981</f>
        <v>37</v>
      </c>
      <c r="N113" s="119">
        <f>'2020'!Z981</f>
        <v>2</v>
      </c>
      <c r="O113" s="119">
        <f>'2020'!AC981</f>
        <v>39</v>
      </c>
      <c r="P113" s="119">
        <f>'2020'!AD981</f>
        <v>2</v>
      </c>
      <c r="Q113" s="119">
        <f>'2020'!AG981</f>
        <v>40</v>
      </c>
      <c r="R113" s="119">
        <f>'2020'!AH981</f>
        <v>1</v>
      </c>
      <c r="S113" s="119">
        <f>'2020'!AK981</f>
        <v>41</v>
      </c>
      <c r="T113" s="119">
        <f>'2020'!AL981</f>
        <v>1</v>
      </c>
      <c r="U113" s="119">
        <f>'2020'!AO981</f>
        <v>41</v>
      </c>
      <c r="V113" s="119">
        <f>'2020'!AP981</f>
        <v>0</v>
      </c>
      <c r="W113" s="119">
        <f>'2020'!AS981</f>
        <v>41</v>
      </c>
      <c r="X113" s="119">
        <f>'2020'!AT981</f>
        <v>0</v>
      </c>
      <c r="Y113" s="119">
        <f>'2020'!AW981</f>
        <v>41</v>
      </c>
      <c r="Z113" s="119">
        <f>'2020'!AX981</f>
        <v>0</v>
      </c>
      <c r="AA113" s="106"/>
      <c r="AB113" s="119">
        <f>'2020'!BA981</f>
        <v>41</v>
      </c>
      <c r="AC113" s="119">
        <f>'2020'!BB981</f>
        <v>0</v>
      </c>
      <c r="AD113" s="106"/>
      <c r="AE113" s="119">
        <f>'2020'!BE981</f>
        <v>6</v>
      </c>
      <c r="AF113" s="119">
        <f t="shared" si="0"/>
        <v>0</v>
      </c>
    </row>
    <row r="114" ht="15.75" customHeight="1" spans="1:32" x14ac:dyDescent="0.25">
      <c r="A114" s="14"/>
      <c r="B114" s="115">
        <v>110</v>
      </c>
      <c r="C114" s="115">
        <v>4.91</v>
      </c>
      <c r="D114" s="117" t="s">
        <v>342</v>
      </c>
      <c r="E114" s="119">
        <f>'2020'!I990</f>
        <v>139</v>
      </c>
      <c r="F114" s="119">
        <f>'2020'!J990</f>
        <v>0</v>
      </c>
      <c r="G114" s="119">
        <f>'2020'!M990</f>
        <v>139</v>
      </c>
      <c r="H114" s="119">
        <f>'2020'!N990</f>
        <v>0</v>
      </c>
      <c r="I114" s="119">
        <f>'2020'!Q990</f>
        <v>139</v>
      </c>
      <c r="J114" s="119">
        <f>'2020'!R990</f>
        <v>0</v>
      </c>
      <c r="K114" s="119">
        <f>'2020'!U990</f>
        <v>139</v>
      </c>
      <c r="L114" s="119">
        <f>'2020'!V990</f>
        <v>0</v>
      </c>
      <c r="M114" s="119">
        <f>'2020'!Y990</f>
        <v>139</v>
      </c>
      <c r="N114" s="119">
        <f>'2020'!Z990</f>
        <v>0</v>
      </c>
      <c r="O114" s="119">
        <f>'2020'!AC990</f>
        <v>140</v>
      </c>
      <c r="P114" s="119">
        <f>'2020'!AD990</f>
        <v>1</v>
      </c>
      <c r="Q114" s="119">
        <f>'2020'!AG990</f>
        <v>141</v>
      </c>
      <c r="R114" s="119">
        <f>'2020'!AH990</f>
        <v>1</v>
      </c>
      <c r="S114" s="119">
        <f>'2020'!AK990</f>
        <v>150</v>
      </c>
      <c r="T114" s="119">
        <f>'2020'!AL990</f>
        <v>9</v>
      </c>
      <c r="U114" s="119">
        <f>'2020'!AO990</f>
        <v>151</v>
      </c>
      <c r="V114" s="119">
        <f>'2020'!AP990</f>
        <v>1</v>
      </c>
      <c r="W114" s="119">
        <f>'2020'!AS990</f>
        <v>151</v>
      </c>
      <c r="X114" s="119">
        <f>'2020'!AT990</f>
        <v>0</v>
      </c>
      <c r="Y114" s="119">
        <f>'2020'!AW990</f>
        <v>151</v>
      </c>
      <c r="Z114" s="119">
        <f>'2020'!AX990</f>
        <v>0</v>
      </c>
      <c r="AA114" s="119"/>
      <c r="AB114" s="119">
        <f>'2020'!BA990</f>
        <v>151</v>
      </c>
      <c r="AC114" s="119">
        <f>'2020'!BB990</f>
        <v>0</v>
      </c>
      <c r="AD114" s="106"/>
      <c r="AE114" s="119">
        <f>'2020'!BE990</f>
        <v>12</v>
      </c>
      <c r="AF114" s="119">
        <f t="shared" si="0"/>
        <v>0</v>
      </c>
    </row>
    <row r="115" ht="15.75" customHeight="1" spans="1:32" x14ac:dyDescent="0.25">
      <c r="A115" s="14"/>
      <c r="B115" s="115">
        <v>111</v>
      </c>
      <c r="C115" s="116">
        <v>6.8</v>
      </c>
      <c r="D115" s="117" t="s">
        <v>280</v>
      </c>
      <c r="E115" s="119">
        <f>'2020'!I999</f>
        <v>1058</v>
      </c>
      <c r="F115" s="119">
        <f>'2020'!J999</f>
        <v>190</v>
      </c>
      <c r="G115" s="119">
        <f>'2020'!M999</f>
        <v>1225</v>
      </c>
      <c r="H115" s="119">
        <f>'2020'!N999</f>
        <v>167</v>
      </c>
      <c r="I115" s="119">
        <f>'2020'!Q999</f>
        <v>1440</v>
      </c>
      <c r="J115" s="119">
        <f>'2020'!R999</f>
        <v>215</v>
      </c>
      <c r="K115" s="119">
        <f>'2020'!U999</f>
        <v>1599</v>
      </c>
      <c r="L115" s="119">
        <f>'2020'!V999</f>
        <v>159</v>
      </c>
      <c r="M115" s="119">
        <f>'2020'!Y999</f>
        <v>1691</v>
      </c>
      <c r="N115" s="119">
        <f>'2020'!Z999</f>
        <v>92</v>
      </c>
      <c r="O115" s="119">
        <f>'2020'!AC999</f>
        <v>1944</v>
      </c>
      <c r="P115" s="119">
        <f>'2020'!AD999</f>
        <v>253</v>
      </c>
      <c r="Q115" s="119">
        <f>'2020'!AG999</f>
        <v>2055</v>
      </c>
      <c r="R115" s="119">
        <f>'2020'!AH999</f>
        <v>111</v>
      </c>
      <c r="S115" s="119">
        <f>'2020'!AK999</f>
        <v>2196</v>
      </c>
      <c r="T115" s="119">
        <f>'2020'!AL999</f>
        <v>141</v>
      </c>
      <c r="U115" s="119">
        <f>'2020'!AO999</f>
        <v>2433</v>
      </c>
      <c r="V115" s="119">
        <f>'2020'!AP999</f>
        <v>237</v>
      </c>
      <c r="W115" s="119">
        <f>'2020'!AS999</f>
        <v>2907</v>
      </c>
      <c r="X115" s="119">
        <f>'2020'!AT999</f>
        <v>474</v>
      </c>
      <c r="Y115" s="119">
        <f>'2020'!AW999</f>
        <v>4367</v>
      </c>
      <c r="Z115" s="119">
        <f>'2020'!AX999</f>
        <v>1460</v>
      </c>
      <c r="AA115" s="106"/>
      <c r="AB115" s="119">
        <f>'2020'!BA999</f>
        <v>6708</v>
      </c>
      <c r="AC115" s="119">
        <f>'2020'!BB999</f>
        <v>2341</v>
      </c>
      <c r="AD115" s="106"/>
      <c r="AE115" s="119">
        <f>'2020'!BE999</f>
        <v>5840</v>
      </c>
      <c r="AF115" s="119">
        <f t="shared" si="0"/>
        <v>0</v>
      </c>
    </row>
    <row r="116" ht="15.75" customHeight="1" spans="1:32" x14ac:dyDescent="0.25">
      <c r="A116" s="14"/>
      <c r="B116" s="115">
        <v>112</v>
      </c>
      <c r="C116" s="115">
        <v>4.94</v>
      </c>
      <c r="D116" s="117" t="s">
        <v>347</v>
      </c>
      <c r="E116" s="119">
        <f>'2020'!I1008</f>
        <v>155</v>
      </c>
      <c r="F116" s="119">
        <f>'2020'!J1008</f>
        <v>0</v>
      </c>
      <c r="G116" s="119">
        <f>'2020'!M1008</f>
        <v>155</v>
      </c>
      <c r="H116" s="119">
        <f>'2020'!N1008</f>
        <v>0</v>
      </c>
      <c r="I116" s="119">
        <f>'2020'!Q1008</f>
        <v>155</v>
      </c>
      <c r="J116" s="119">
        <f>'2020'!R1008</f>
        <v>0</v>
      </c>
      <c r="K116" s="119">
        <f>'2020'!U1008</f>
        <v>155</v>
      </c>
      <c r="L116" s="119">
        <f>'2020'!V1008</f>
        <v>0</v>
      </c>
      <c r="M116" s="119">
        <f>'2020'!Y1008</f>
        <v>160</v>
      </c>
      <c r="N116" s="119">
        <f>'2020'!Z1008</f>
        <v>5</v>
      </c>
      <c r="O116" s="119">
        <f>'2020'!AC1008</f>
        <v>163</v>
      </c>
      <c r="P116" s="119">
        <f>'2020'!AD1008</f>
        <v>3</v>
      </c>
      <c r="Q116" s="119">
        <f>'2020'!AG1008</f>
        <v>170</v>
      </c>
      <c r="R116" s="119">
        <f>'2020'!AH1008</f>
        <v>7</v>
      </c>
      <c r="S116" s="119">
        <f>'2020'!AK1008</f>
        <v>172</v>
      </c>
      <c r="T116" s="119">
        <f>'2020'!AL1008</f>
        <v>2</v>
      </c>
      <c r="U116" s="119">
        <f>'2020'!AO1008</f>
        <v>173</v>
      </c>
      <c r="V116" s="119">
        <f>'2020'!AP1008</f>
        <v>1</v>
      </c>
      <c r="W116" s="119">
        <f>'2020'!AS1008</f>
        <v>174</v>
      </c>
      <c r="X116" s="119">
        <f>'2020'!AT1008</f>
        <v>1</v>
      </c>
      <c r="Y116" s="119">
        <f>'2020'!AW1008</f>
        <v>174</v>
      </c>
      <c r="Z116" s="119">
        <f>'2020'!AX1008</f>
        <v>0</v>
      </c>
      <c r="AA116" s="106"/>
      <c r="AB116" s="119">
        <f>'2020'!BA1008</f>
        <v>174</v>
      </c>
      <c r="AC116" s="119">
        <f>'2020'!BB1008</f>
        <v>0</v>
      </c>
      <c r="AD116" s="106"/>
      <c r="AE116" s="119">
        <f>'2020'!BE1008</f>
        <v>19</v>
      </c>
      <c r="AF116" s="119">
        <f t="shared" si="0"/>
        <v>0</v>
      </c>
    </row>
    <row r="117" ht="15.75" customHeight="1" spans="1:32" x14ac:dyDescent="0.25">
      <c r="A117" s="14"/>
      <c r="B117" s="115">
        <v>113</v>
      </c>
      <c r="C117" s="115">
        <v>4.98</v>
      </c>
      <c r="D117" s="117" t="s">
        <v>348</v>
      </c>
      <c r="E117" s="119">
        <f>'2020'!I1017</f>
      </c>
      <c r="F117" s="119">
        <f>'2020'!J1017</f>
      </c>
      <c r="G117" s="119">
        <f>'2020'!M1017</f>
      </c>
      <c r="H117" s="119">
        <f>'2020'!N1017</f>
      </c>
      <c r="I117" s="119">
        <f>'2020'!Q1017</f>
      </c>
      <c r="J117" s="119">
        <f>'2020'!R1017</f>
        <v>0</v>
      </c>
      <c r="K117" s="119">
        <f>'2020'!U1017</f>
      </c>
      <c r="L117" s="119">
        <f>'2020'!V1017</f>
        <v>0</v>
      </c>
      <c r="M117" s="119">
        <f>'2020'!Y1017</f>
      </c>
      <c r="N117" s="119">
        <f>'2020'!Z1017</f>
        <v>0</v>
      </c>
      <c r="O117" s="119">
        <f>'2020'!AC1017</f>
      </c>
      <c r="P117" s="119">
        <f>'2020'!AD1017</f>
        <v>0</v>
      </c>
      <c r="Q117" s="119">
        <f>'2020'!AG1017</f>
      </c>
      <c r="R117" s="119">
        <f>'2020'!AH1017</f>
        <v>0</v>
      </c>
      <c r="S117" s="119">
        <f>'2020'!AK1017</f>
        <v>0</v>
      </c>
      <c r="T117" s="119">
        <f>'2020'!AL1017</f>
        <v>0</v>
      </c>
      <c r="U117" s="119">
        <f>'2020'!AO1017</f>
        <v>0</v>
      </c>
      <c r="V117" s="119">
        <f>'2020'!AP1017</f>
        <v>0</v>
      </c>
      <c r="W117" s="119">
        <f>'2020'!AS1017</f>
        <v>0</v>
      </c>
      <c r="X117" s="119">
        <f>'2020'!AT1017</f>
        <v>0</v>
      </c>
      <c r="Y117" s="119">
        <f>'2020'!AW1017</f>
        <v>0</v>
      </c>
      <c r="Z117" s="119">
        <f>'2020'!AX1017</f>
        <v>0</v>
      </c>
      <c r="AA117" s="106"/>
      <c r="AB117" s="119">
        <f>'2020'!BA1017</f>
        <v>0</v>
      </c>
      <c r="AC117" s="119">
        <f>'2020'!BB1017</f>
        <v>0</v>
      </c>
      <c r="AD117" s="106"/>
      <c r="AE117" s="119">
        <f>'2020'!BE1017</f>
        <v>0</v>
      </c>
      <c r="AF117" s="119">
        <f t="shared" si="0"/>
        <v>0</v>
      </c>
    </row>
    <row r="118" ht="15.75" customHeight="1" spans="1:32" x14ac:dyDescent="0.25">
      <c r="A118" s="14"/>
      <c r="B118" s="118">
        <v>114</v>
      </c>
      <c r="C118" s="115">
        <v>4.86</v>
      </c>
      <c r="D118" s="117" t="s">
        <v>245</v>
      </c>
      <c r="E118" s="119">
        <f>'2020'!I1026</f>
        <v>28</v>
      </c>
      <c r="F118" s="119">
        <f>'2020'!J1026</f>
        <v>0</v>
      </c>
      <c r="G118" s="119">
        <f>'2020'!M1026</f>
        <v>28</v>
      </c>
      <c r="H118" s="119">
        <f>'2020'!N1026</f>
        <v>0</v>
      </c>
      <c r="I118" s="119">
        <f>'2020'!Q1026</f>
        <v>28</v>
      </c>
      <c r="J118" s="119">
        <f>'2020'!R1026</f>
        <v>0</v>
      </c>
      <c r="K118" s="119">
        <f>'2020'!U1026</f>
        <v>28</v>
      </c>
      <c r="L118" s="119">
        <f>'2020'!V1026</f>
        <v>0</v>
      </c>
      <c r="M118" s="119">
        <f>'2020'!Y1026</f>
        <v>29</v>
      </c>
      <c r="N118" s="119">
        <f>'2020'!Z1026</f>
        <v>1</v>
      </c>
      <c r="O118" s="119">
        <f>'2020'!AC1026</f>
        <v>31</v>
      </c>
      <c r="P118" s="119">
        <f>'2020'!AD1026</f>
        <v>2</v>
      </c>
      <c r="Q118" s="119">
        <f>'2020'!AG1026</f>
        <v>65</v>
      </c>
      <c r="R118" s="119">
        <f>'2020'!AH1026</f>
        <v>34</v>
      </c>
      <c r="S118" s="119">
        <f>'2020'!AK1026</f>
        <v>159</v>
      </c>
      <c r="T118" s="119">
        <f>'2020'!AL1026</f>
        <v>94</v>
      </c>
      <c r="U118" s="119">
        <f>'2020'!AO1026</f>
        <v>234</v>
      </c>
      <c r="V118" s="119">
        <f>'2020'!AP1026</f>
        <v>75</v>
      </c>
      <c r="W118" s="119">
        <f>'2020'!AS1026</f>
        <v>255</v>
      </c>
      <c r="X118" s="119">
        <f>'2020'!AT1026</f>
        <v>21</v>
      </c>
      <c r="Y118" s="119">
        <f>'2020'!AW1026</f>
        <v>263</v>
      </c>
      <c r="Z118" s="119">
        <f>'2020'!AX1026</f>
        <v>8</v>
      </c>
      <c r="AA118" s="106"/>
      <c r="AB118" s="119">
        <f>'2020'!BA1026</f>
        <v>263</v>
      </c>
      <c r="AC118" s="119">
        <f>'2020'!BB1026</f>
        <v>0</v>
      </c>
      <c r="AD118" s="106"/>
      <c r="AE118" s="119">
        <f>'2020'!BE1026</f>
        <v>235</v>
      </c>
      <c r="AF118" s="119">
        <f t="shared" si="0"/>
        <v>0</v>
      </c>
    </row>
    <row r="119" ht="15.75" customHeight="1" spans="1:32" x14ac:dyDescent="0.25">
      <c r="A119" s="117"/>
      <c r="B119" s="115" t="s">
        <v>350</v>
      </c>
      <c r="C119" s="116">
        <f>SUM(C5:C118)</f>
        <v>505.74</v>
      </c>
      <c r="D119" s="117"/>
      <c r="E119" s="119">
        <f t="shared" ref="E119:AF119" si="1">SUM(E5:E118)</f>
        <v>192950</v>
      </c>
      <c r="F119" s="119">
        <f t="shared" si="1"/>
        <v>7641</v>
      </c>
      <c r="G119" s="119">
        <f t="shared" si="1"/>
        <v>200923</v>
      </c>
      <c r="H119" s="119">
        <f t="shared" si="1"/>
        <v>7973</v>
      </c>
      <c r="I119" s="119">
        <f t="shared" si="1"/>
        <v>208239</v>
      </c>
      <c r="J119" s="119">
        <f t="shared" si="1"/>
        <v>7316</v>
      </c>
      <c r="K119" s="119">
        <f t="shared" si="1"/>
        <v>213052</v>
      </c>
      <c r="L119" s="119">
        <f t="shared" si="1"/>
        <v>4813</v>
      </c>
      <c r="M119" s="119">
        <f t="shared" si="1"/>
        <v>219140</v>
      </c>
      <c r="N119" s="119">
        <f t="shared" si="1"/>
        <v>6088</v>
      </c>
      <c r="O119" s="119">
        <f t="shared" si="1"/>
        <v>223634</v>
      </c>
      <c r="P119" s="119">
        <f t="shared" si="1"/>
        <v>6264</v>
      </c>
      <c r="Q119" s="119">
        <f t="shared" si="1"/>
        <v>228410</v>
      </c>
      <c r="R119" s="119">
        <f t="shared" si="1"/>
        <v>5077</v>
      </c>
      <c r="S119" s="119">
        <f t="shared" si="1"/>
        <v>234701</v>
      </c>
      <c r="T119" s="119">
        <f t="shared" si="1"/>
        <v>6291</v>
      </c>
      <c r="U119" s="119">
        <f t="shared" si="1"/>
        <v>241828</v>
      </c>
      <c r="V119" s="119">
        <f t="shared" si="1"/>
        <v>7127</v>
      </c>
      <c r="W119" s="119">
        <f t="shared" si="1"/>
        <v>248438</v>
      </c>
      <c r="X119" s="119">
        <f t="shared" si="1"/>
        <v>10055</v>
      </c>
      <c r="Y119" s="119">
        <f t="shared" si="1"/>
        <v>237732</v>
      </c>
      <c r="Z119" s="119">
        <f t="shared" si="1"/>
        <v>10772</v>
      </c>
      <c r="AA119" s="119">
        <f t="shared" si="1"/>
        <v>1153</v>
      </c>
      <c r="AB119" s="119">
        <f t="shared" si="1"/>
        <v>251692</v>
      </c>
      <c r="AC119" s="119">
        <f t="shared" si="1"/>
        <v>13960</v>
      </c>
      <c r="AD119" s="119">
        <f t="shared" si="1"/>
        <v>1276</v>
      </c>
      <c r="AE119" s="119">
        <f t="shared" si="1"/>
        <v>93377</v>
      </c>
      <c r="AF119" s="119">
        <f t="shared" si="1"/>
        <v>2429</v>
      </c>
    </row>
    <row r="120" ht="15.75" customHeight="1" spans="1:3" x14ac:dyDescent="0.25">
      <c r="A120" s="15"/>
      <c r="B120" s="112"/>
      <c r="C120" s="112"/>
    </row>
    <row r="121" ht="15.75" customHeight="1" spans="1:31" x14ac:dyDescent="0.25" outlineLevel="1" collapsed="1">
      <c r="A121" s="15"/>
      <c r="B121" s="112"/>
      <c r="C121" s="112"/>
      <c r="E121" s="120" t="b">
        <f>E119='2020'!I1037</f>
        <v>1</v>
      </c>
      <c r="F121" s="120" t="b">
        <f>F119='2020'!J1037</f>
        <v>1</v>
      </c>
      <c r="G121" s="120" t="b">
        <f>G119='2020'!M1037</f>
        <v>1</v>
      </c>
      <c r="H121" s="120" t="b">
        <f>H119='2020'!N1037</f>
        <v>1</v>
      </c>
      <c r="I121" s="120" t="b">
        <f>I119='2020'!Q1037</f>
        <v>1</v>
      </c>
      <c r="J121" s="120" t="b">
        <f>J119='2020'!R1037</f>
        <v>1</v>
      </c>
      <c r="K121" s="120" t="b">
        <f>K119='2020'!U1037</f>
        <v>1</v>
      </c>
      <c r="L121" s="120" t="b">
        <f>L119='2020'!V1037</f>
        <v>1</v>
      </c>
      <c r="M121" s="120" t="b">
        <f>M119='2020'!Y1037</f>
        <v>1</v>
      </c>
      <c r="N121" s="120" t="b">
        <f>N119='2020'!Z1037</f>
        <v>1</v>
      </c>
      <c r="O121" s="120" t="b">
        <f>O119='2020'!AC1037</f>
        <v>1</v>
      </c>
      <c r="P121" s="120" t="b">
        <f>P119='2020'!AD1037</f>
        <v>1</v>
      </c>
      <c r="Q121" s="120" t="b">
        <f>Q119='2020'!AG1037</f>
        <v>1</v>
      </c>
      <c r="R121" s="120" t="b">
        <f>R119='2020'!AH1037</f>
        <v>1</v>
      </c>
      <c r="S121" s="120" t="b">
        <f>S119='2020'!AK1037</f>
        <v>1</v>
      </c>
      <c r="T121" s="120" t="b">
        <f>T119='2020'!AL1037</f>
        <v>1</v>
      </c>
      <c r="U121" s="120" t="b">
        <f>U119='2020'!AO1037</f>
        <v>1</v>
      </c>
      <c r="V121" s="120" t="b">
        <f>V119='2020'!AP1037</f>
        <v>1</v>
      </c>
      <c r="W121" s="120" t="b">
        <f>W119='2020'!AS1037</f>
        <v>1</v>
      </c>
      <c r="X121" s="120" t="b">
        <f>X119='2020'!AT1037</f>
        <v>1</v>
      </c>
      <c r="Y121" s="120" t="b">
        <f>Y119='2020'!AW1037</f>
        <v>1</v>
      </c>
      <c r="Z121" s="120" t="b">
        <f>Z119='2020'!AX1037</f>
        <v>1</v>
      </c>
      <c r="AA121" s="121"/>
      <c r="AB121" s="120" t="b">
        <f>AB119='2020'!BA1037</f>
        <v>1</v>
      </c>
      <c r="AC121" s="120" t="b">
        <f>AC119='2020'!BB1037</f>
        <v>1</v>
      </c>
      <c r="AD121" s="120"/>
      <c r="AE121" s="120" t="b">
        <f>AE119='2020'!BE1037</f>
        <v>1</v>
      </c>
    </row>
    <row r="122" ht="15.75" customHeight="1" spans="1:31" x14ac:dyDescent="0.25">
      <c r="A122" s="15"/>
      <c r="B122" s="112"/>
      <c r="C122" s="112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 t="b">
        <f>AE119=F119+H119+J119+L119+N119+P119+R119+T119+V119+X119+Z119+AC119</f>
        <v>1</v>
      </c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spans="1:3" x14ac:dyDescent="0.25">
      <c r="A316" s="15"/>
      <c r="B316" s="112"/>
      <c r="C316" s="112"/>
    </row>
    <row r="317" ht="15.75" customHeight="1" spans="1:3" x14ac:dyDescent="0.25">
      <c r="A317" s="15"/>
      <c r="B317" s="112"/>
      <c r="C317" s="112"/>
    </row>
    <row r="318" ht="15.75" customHeight="1" spans="1:3" x14ac:dyDescent="0.25">
      <c r="A318" s="15"/>
      <c r="B318" s="112"/>
      <c r="C318" s="112"/>
    </row>
    <row r="319" ht="15.75" customHeight="1" spans="1:3" x14ac:dyDescent="0.25">
      <c r="A319" s="15"/>
      <c r="B319" s="112"/>
      <c r="C319" s="112"/>
    </row>
    <row r="320" ht="15.75" customHeight="1" spans="1:3" x14ac:dyDescent="0.25">
      <c r="A320" s="15"/>
      <c r="B320" s="112"/>
      <c r="C320" s="112"/>
    </row>
    <row r="321" ht="15.75" customHeight="1" spans="1:3" x14ac:dyDescent="0.25">
      <c r="A321" s="15"/>
      <c r="B321" s="112"/>
      <c r="C321" s="112"/>
    </row>
    <row r="322" ht="15.75" customHeight="1" spans="1:3" x14ac:dyDescent="0.25">
      <c r="A322" s="15"/>
      <c r="B322" s="112"/>
      <c r="C322" s="112"/>
    </row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B$4:$AE$121"/>
  <mergeCells count="12"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AA3"/>
    <mergeCell ref="AB3:AD3"/>
  </mergeCells>
  <pageMargins left="0.196527777777778" right="0" top="0.196527777777778" bottom="0.196527777777778" header="0" footer="0"/>
  <pageSetup paperSize="9" orientation="landscape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  <pageSetUpPr fitToPage="1"/>
  </sheetPr>
  <dimension ref="A1:L1000"/>
  <sheetViews>
    <sheetView workbookViewId="0" zoomScale="100" zoomScaleNormal="100">
      <pane xSplit="4" ySplit="2" topLeftCell="E3" activePane="bottomRight" state="frozen"/>
      <selection pane="bottomRight" activeCell="E3" sqref="E3"/>
    </sheetView>
  </sheetViews>
  <sheetFormatPr defaultRowHeight="15" outlineLevelRow="1" outlineLevelCol="1" x14ac:dyDescent="0" defaultColWidth="14.43"/>
  <cols>
    <col min="1" max="1" width="9.14" customWidth="1"/>
    <col min="2" max="2" width="7.14" customWidth="1"/>
    <col min="3" max="3" width="6.43" outlineLevel="1" collapsed="1" customWidth="1"/>
    <col min="4" max="4" width="13.86" outlineLevel="1" collapsed="1" customWidth="1"/>
    <col min="5" max="5" width="8.86" customWidth="1"/>
    <col min="6" max="6" width="17.86" customWidth="1"/>
    <col min="7" max="7" width="9.14" customWidth="1"/>
    <col min="8" max="8" width="8.43" customWidth="1"/>
    <col min="9" max="9" width="8.86" outlineLevel="1" collapsed="1" customWidth="1"/>
    <col min="10" max="10" width="14.43" outlineLevel="1" collapsed="1" customWidth="1"/>
    <col min="11" max="11" width="8.43" customWidth="1"/>
    <col min="12" max="12" width="16.57" customWidth="1"/>
  </cols>
  <sheetData>
    <row r="1" spans="1:11" x14ac:dyDescent="0.25">
      <c r="A1" s="1" t="s">
        <v>365</v>
      </c>
      <c r="B1" s="112"/>
      <c r="C1" s="112"/>
      <c r="E1" s="2" t="s">
        <v>366</v>
      </c>
      <c r="K1" s="2" t="str">
        <f>'2020'!F1</f>
        <v>на 01 января 2021 года</v>
      </c>
    </row>
    <row r="2" spans="1:12" x14ac:dyDescent="0.25">
      <c r="A2" s="4"/>
      <c r="B2" s="17" t="s">
        <v>480</v>
      </c>
      <c r="C2" s="17" t="s">
        <v>354</v>
      </c>
      <c r="D2" s="16" t="s">
        <v>355</v>
      </c>
      <c r="E2" s="294" t="s">
        <v>19</v>
      </c>
      <c r="F2" s="295" t="s">
        <v>20</v>
      </c>
      <c r="G2" s="16"/>
      <c r="H2" s="17" t="s">
        <v>480</v>
      </c>
      <c r="I2" s="17" t="s">
        <v>354</v>
      </c>
      <c r="J2" s="16" t="s">
        <v>355</v>
      </c>
      <c r="K2" s="294" t="s">
        <v>19</v>
      </c>
      <c r="L2" s="295" t="s">
        <v>20</v>
      </c>
    </row>
    <row r="3" spans="1:12" x14ac:dyDescent="0.25">
      <c r="A3" s="114" t="s">
        <v>41</v>
      </c>
      <c r="B3" s="115">
        <f>'2019'!A8</f>
        <v>1</v>
      </c>
      <c r="C3" s="116">
        <v>4</v>
      </c>
      <c r="D3" s="117" t="s">
        <v>43</v>
      </c>
      <c r="E3" s="119">
        <f>'Эл.энергия (расход)_20'!Y5</f>
        <v>5508</v>
      </c>
      <c r="F3" s="296"/>
      <c r="G3" s="114" t="s">
        <v>217</v>
      </c>
      <c r="H3" s="115">
        <v>58</v>
      </c>
      <c r="I3" s="115">
        <v>5.08</v>
      </c>
      <c r="J3" s="117" t="s">
        <v>223</v>
      </c>
      <c r="K3" s="119">
        <f>'Эл.энергия (расход)_20'!Y63</f>
        <v>703</v>
      </c>
      <c r="L3" s="119"/>
    </row>
    <row r="4" spans="1:12" x14ac:dyDescent="0.25">
      <c r="A4" s="14"/>
      <c r="B4" s="115">
        <v>2</v>
      </c>
      <c r="C4" s="115">
        <v>4.12</v>
      </c>
      <c r="D4" s="117" t="s">
        <v>359</v>
      </c>
      <c r="E4" s="119">
        <f>'Эл.энергия (расход)_20'!Y6</f>
        <v>27836</v>
      </c>
      <c r="F4" s="296"/>
      <c r="G4" s="14"/>
      <c r="H4" s="115">
        <v>60</v>
      </c>
      <c r="I4" s="116">
        <v>4.4</v>
      </c>
      <c r="J4" s="117" t="s">
        <v>227</v>
      </c>
      <c r="K4" s="119">
        <f>'Эл.энергия (расход)_20'!Y64</f>
        <v>416</v>
      </c>
      <c r="L4" s="119"/>
    </row>
    <row r="5" spans="1:12" x14ac:dyDescent="0.25">
      <c r="A5" s="14"/>
      <c r="B5" s="115">
        <v>3</v>
      </c>
      <c r="C5" s="116">
        <v>4</v>
      </c>
      <c r="D5" s="117" t="s">
        <v>60</v>
      </c>
      <c r="E5" s="119">
        <f>'Эл.энергия (расход)_20'!Y7</f>
        <v>56</v>
      </c>
      <c r="F5" s="296"/>
      <c r="G5" s="14"/>
      <c r="H5" s="115">
        <v>61</v>
      </c>
      <c r="I5" s="115">
        <v>4.71</v>
      </c>
      <c r="J5" s="117" t="s">
        <v>231</v>
      </c>
      <c r="K5" s="119">
        <f>'Эл.энергия (расход)_20'!Y65</f>
        <v>403</v>
      </c>
      <c r="L5" s="119"/>
    </row>
    <row r="6" spans="1:12" x14ac:dyDescent="0.25">
      <c r="A6" s="14"/>
      <c r="B6" s="115">
        <v>4</v>
      </c>
      <c r="C6" s="115">
        <v>3.95</v>
      </c>
      <c r="D6" s="117" t="s">
        <v>64</v>
      </c>
      <c r="E6" s="119">
        <f>'Эл.энергия (расход)_20'!Y8</f>
        <v>0</v>
      </c>
      <c r="F6" s="296"/>
      <c r="G6" s="14"/>
      <c r="H6" s="115">
        <v>62</v>
      </c>
      <c r="I6" s="116">
        <v>4.6</v>
      </c>
      <c r="J6" s="15" t="s">
        <v>236</v>
      </c>
      <c r="K6" s="119">
        <f>'Эл.энергия (расход)_20'!Y66</f>
        <v>479</v>
      </c>
      <c r="L6" s="119"/>
    </row>
    <row r="7" spans="1:12" x14ac:dyDescent="0.25">
      <c r="A7" s="14"/>
      <c r="B7" s="115">
        <v>5</v>
      </c>
      <c r="C7" s="115">
        <v>5.08</v>
      </c>
      <c r="D7" s="2" t="s">
        <v>488</v>
      </c>
      <c r="E7" s="119">
        <f>'Эл.энергия (расход)_20'!Y9</f>
        <v>6</v>
      </c>
      <c r="F7" s="296"/>
      <c r="H7" s="115" t="s">
        <v>237</v>
      </c>
      <c r="I7" s="115">
        <v>4.01</v>
      </c>
      <c r="J7" s="117" t="s">
        <v>238</v>
      </c>
      <c r="K7" s="119">
        <f>'Эл.энергия (расход)_20'!Y67</f>
        <v>49</v>
      </c>
      <c r="L7" s="119"/>
    </row>
    <row r="8" spans="1:12" x14ac:dyDescent="0.25">
      <c r="A8" s="14"/>
      <c r="B8" s="115">
        <v>6</v>
      </c>
      <c r="C8" s="115">
        <v>4.01</v>
      </c>
      <c r="D8" s="117" t="s">
        <v>70</v>
      </c>
      <c r="E8" s="119">
        <f>'Эл.энергия (расход)_20'!Y10</f>
        <v>14</v>
      </c>
      <c r="F8" s="296"/>
      <c r="G8" s="14"/>
      <c r="H8" s="115" t="s">
        <v>237</v>
      </c>
      <c r="I8" s="115">
        <v>4.01</v>
      </c>
      <c r="J8" s="117" t="s">
        <v>238</v>
      </c>
      <c r="K8" s="119">
        <f>'Эл.энергия (расход)_20'!Y68</f>
        <v>0</v>
      </c>
      <c r="L8" s="119"/>
    </row>
    <row r="9" spans="1:12" x14ac:dyDescent="0.25">
      <c r="A9" s="14"/>
      <c r="B9" s="115">
        <v>7</v>
      </c>
      <c r="C9" s="115">
        <v>4.85</v>
      </c>
      <c r="D9" s="117" t="s">
        <v>74</v>
      </c>
      <c r="E9" s="119">
        <f>'Эл.энергия (расход)_20'!Y11</f>
        <v>448</v>
      </c>
      <c r="F9" s="296"/>
      <c r="G9" s="14"/>
      <c r="H9" s="115">
        <v>64</v>
      </c>
      <c r="I9" s="115">
        <v>4.24</v>
      </c>
      <c r="J9" s="117" t="s">
        <v>241</v>
      </c>
      <c r="K9" s="119">
        <f>'Эл.энергия (расход)_20'!Y69</f>
        <v>408</v>
      </c>
      <c r="L9" s="119"/>
    </row>
    <row r="10" spans="1:12" x14ac:dyDescent="0.25">
      <c r="A10" s="14"/>
      <c r="B10" s="115">
        <v>8</v>
      </c>
      <c r="C10" s="116">
        <v>4</v>
      </c>
      <c r="D10" s="2" t="s">
        <v>383</v>
      </c>
      <c r="E10" s="119">
        <f>'Эл.энергия (расход)_20'!Y12</f>
        <v>509</v>
      </c>
      <c r="F10" s="296"/>
      <c r="G10" s="14"/>
      <c r="H10" s="115">
        <v>66</v>
      </c>
      <c r="I10" s="115">
        <v>4.66</v>
      </c>
      <c r="J10" s="117" t="s">
        <v>244</v>
      </c>
      <c r="K10" s="119">
        <f>'Эл.энергия (расход)_20'!Y70</f>
        <v>1</v>
      </c>
      <c r="L10" s="119"/>
    </row>
    <row r="11" spans="1:12" x14ac:dyDescent="0.25">
      <c r="A11" s="14"/>
      <c r="B11" s="115">
        <v>9</v>
      </c>
      <c r="C11" s="115">
        <v>4.03</v>
      </c>
      <c r="D11" s="117" t="s">
        <v>82</v>
      </c>
      <c r="E11" s="119">
        <f>'Эл.энергия (расход)_20'!Y13</f>
        <v>46</v>
      </c>
      <c r="F11" s="296"/>
      <c r="G11" s="14"/>
      <c r="H11" s="115">
        <v>67</v>
      </c>
      <c r="I11" s="115">
        <v>6.08</v>
      </c>
      <c r="J11" s="117" t="s">
        <v>245</v>
      </c>
      <c r="K11" s="119">
        <f>'Эл.энергия (расход)_20'!Y71</f>
        <v>2412</v>
      </c>
      <c r="L11" s="119"/>
    </row>
    <row r="12" spans="1:12" x14ac:dyDescent="0.25">
      <c r="A12" s="14"/>
      <c r="B12" s="115">
        <v>10</v>
      </c>
      <c r="C12" s="115">
        <v>4.01</v>
      </c>
      <c r="D12" s="117" t="s">
        <v>86</v>
      </c>
      <c r="E12" s="119">
        <f>'Эл.энергия (расход)_20'!Y14</f>
        <v>0</v>
      </c>
      <c r="F12" s="296"/>
      <c r="G12" s="14"/>
      <c r="H12" s="115" t="s">
        <v>248</v>
      </c>
      <c r="I12" s="115">
        <v>4.01</v>
      </c>
      <c r="J12" s="117" t="s">
        <v>249</v>
      </c>
      <c r="K12" s="119">
        <f>'Эл.энергия (расход)_20'!Y72</f>
        <v>3291</v>
      </c>
      <c r="L12" s="119"/>
    </row>
    <row r="13" spans="1:12" x14ac:dyDescent="0.25">
      <c r="A13" s="14"/>
      <c r="B13" s="115">
        <v>11</v>
      </c>
      <c r="C13" s="115">
        <v>4.02</v>
      </c>
      <c r="D13" s="117" t="s">
        <v>89</v>
      </c>
      <c r="E13" s="119">
        <f>'Эл.энергия (расход)_20'!Y15</f>
        <v>36</v>
      </c>
      <c r="F13" s="296"/>
      <c r="H13" s="115" t="s">
        <v>248</v>
      </c>
      <c r="I13" s="115">
        <v>4.02</v>
      </c>
      <c r="J13" s="117" t="s">
        <v>249</v>
      </c>
      <c r="K13" s="119">
        <f>'Эл.энергия (расход)_20'!Y73</f>
        <v>0</v>
      </c>
      <c r="L13" s="119"/>
    </row>
    <row r="14" spans="1:12" x14ac:dyDescent="0.25">
      <c r="A14" s="14"/>
      <c r="B14" s="115">
        <v>12</v>
      </c>
      <c r="C14" s="115">
        <v>4.02</v>
      </c>
      <c r="D14" s="117" t="s">
        <v>92</v>
      </c>
      <c r="E14" s="119">
        <f>'Эл.энергия (расход)_20'!Y16</f>
        <v>0</v>
      </c>
      <c r="F14" s="296"/>
      <c r="G14" s="14"/>
      <c r="H14" s="115">
        <v>69</v>
      </c>
      <c r="I14" s="115">
        <v>4.03</v>
      </c>
      <c r="J14" s="117" t="s">
        <v>253</v>
      </c>
      <c r="K14" s="119">
        <f>'Эл.энергия (расход)_20'!Y74</f>
        <v>26084</v>
      </c>
      <c r="L14" s="119"/>
    </row>
    <row r="15" spans="1:12" x14ac:dyDescent="0.25">
      <c r="A15" s="14"/>
      <c r="B15" s="115" t="s">
        <v>96</v>
      </c>
      <c r="C15" s="115">
        <v>3.94</v>
      </c>
      <c r="D15" s="117" t="s">
        <v>97</v>
      </c>
      <c r="E15" s="119">
        <f>'Эл.энергия (расход)_20'!Y17</f>
        <v>6466</v>
      </c>
      <c r="F15" s="296"/>
      <c r="G15" s="14"/>
      <c r="H15" s="115">
        <v>71</v>
      </c>
      <c r="I15" s="115">
        <v>5.98</v>
      </c>
      <c r="J15" s="117" t="s">
        <v>255</v>
      </c>
      <c r="K15" s="119">
        <f>'Эл.энергия (расход)_20'!Y75</f>
        <v>150</v>
      </c>
      <c r="L15" s="119"/>
    </row>
    <row r="16" spans="1:12" x14ac:dyDescent="0.25">
      <c r="A16" s="14"/>
      <c r="B16" s="115" t="s">
        <v>96</v>
      </c>
      <c r="C16" s="116">
        <v>4</v>
      </c>
      <c r="D16" s="117" t="s">
        <v>97</v>
      </c>
      <c r="E16" s="119">
        <f>'Эл.энергия (расход)_20'!Y18</f>
        <v>0</v>
      </c>
      <c r="F16" s="296"/>
      <c r="G16" s="14"/>
      <c r="H16" s="115">
        <v>72</v>
      </c>
      <c r="I16" s="115">
        <v>4.03</v>
      </c>
      <c r="J16" s="117" t="s">
        <v>257</v>
      </c>
      <c r="K16" s="119">
        <f>'Эл.энергия (расход)_20'!Y76</f>
        <v>1517</v>
      </c>
      <c r="L16" s="119"/>
    </row>
    <row r="17" spans="1:12" x14ac:dyDescent="0.25">
      <c r="A17" s="14"/>
      <c r="B17" s="115">
        <v>14</v>
      </c>
      <c r="C17" s="115">
        <v>4.02</v>
      </c>
      <c r="D17" s="117" t="s">
        <v>100</v>
      </c>
      <c r="E17" s="119">
        <f>'Эл.энергия (расход)_20'!Y19</f>
        <v>0</v>
      </c>
      <c r="F17" s="296"/>
      <c r="G17" s="14"/>
      <c r="H17" s="115">
        <v>73</v>
      </c>
      <c r="I17" s="115">
        <v>4.02</v>
      </c>
      <c r="J17" s="117" t="s">
        <v>259</v>
      </c>
      <c r="K17" s="119">
        <f>'Эл.энергия (расход)_20'!Y77</f>
        <v>0</v>
      </c>
      <c r="L17" s="119"/>
    </row>
    <row r="18" spans="1:12" x14ac:dyDescent="0.25">
      <c r="A18" s="14"/>
      <c r="B18" s="115">
        <v>16</v>
      </c>
      <c r="C18" s="115">
        <v>3.98</v>
      </c>
      <c r="D18" s="117" t="s">
        <v>103</v>
      </c>
      <c r="E18" s="119">
        <f>'Эл.энергия (расход)_20'!Y20</f>
        <v>1249</v>
      </c>
      <c r="F18" s="296"/>
      <c r="G18" s="21"/>
      <c r="H18" s="115">
        <v>74</v>
      </c>
      <c r="I18" s="115">
        <v>4.97</v>
      </c>
      <c r="J18" s="117" t="s">
        <v>262</v>
      </c>
      <c r="K18" s="119">
        <f>'Эл.энергия (расход)_20'!Y78</f>
        <v>0</v>
      </c>
      <c r="L18" s="119"/>
    </row>
    <row r="19" spans="1:12" x14ac:dyDescent="0.25">
      <c r="A19" s="14"/>
      <c r="B19" s="115">
        <v>17</v>
      </c>
      <c r="C19" s="116">
        <v>4</v>
      </c>
      <c r="D19" s="117" t="s">
        <v>106</v>
      </c>
      <c r="E19" s="119">
        <f>'Эл.энергия (расход)_20'!Y21</f>
        <v>95</v>
      </c>
      <c r="F19" s="296"/>
      <c r="G19" s="114" t="s">
        <v>264</v>
      </c>
      <c r="H19" s="115">
        <v>75</v>
      </c>
      <c r="I19" s="115">
        <v>4.15</v>
      </c>
      <c r="J19" s="117" t="s">
        <v>265</v>
      </c>
      <c r="K19" s="119">
        <f>'Эл.энергия (расход)_20'!Y79</f>
        <v>0</v>
      </c>
      <c r="L19" s="119"/>
    </row>
    <row r="20" spans="1:12" x14ac:dyDescent="0.25">
      <c r="A20" s="14"/>
      <c r="B20" s="115">
        <v>18</v>
      </c>
      <c r="C20" s="115">
        <v>4.03</v>
      </c>
      <c r="D20" s="117" t="s">
        <v>109</v>
      </c>
      <c r="E20" s="119">
        <f>'Эл.энергия (расход)_20'!Y22</f>
        <v>359</v>
      </c>
      <c r="F20" s="296"/>
      <c r="G20" s="14"/>
      <c r="H20" s="115">
        <v>76</v>
      </c>
      <c r="I20" s="115">
        <v>4.15</v>
      </c>
      <c r="J20" s="117" t="s">
        <v>267</v>
      </c>
      <c r="K20" s="119">
        <f>'Эл.энергия (расход)_20'!Y80</f>
        <v>0</v>
      </c>
      <c r="L20" s="119"/>
    </row>
    <row r="21" ht="15.75" customHeight="1" spans="1:12" x14ac:dyDescent="0.25">
      <c r="A21" s="21"/>
      <c r="B21" s="115">
        <v>19</v>
      </c>
      <c r="C21" s="116">
        <v>4.1</v>
      </c>
      <c r="D21" s="117" t="s">
        <v>113</v>
      </c>
      <c r="E21" s="119">
        <f>'Эл.энергия (расход)_20'!Y23</f>
        <v>1</v>
      </c>
      <c r="F21" s="296"/>
      <c r="G21" s="14"/>
      <c r="H21" s="115">
        <v>77</v>
      </c>
      <c r="I21" s="115">
        <v>4.12</v>
      </c>
      <c r="J21" s="117" t="s">
        <v>268</v>
      </c>
      <c r="K21" s="119">
        <f>'Эл.энергия (расход)_20'!Y81</f>
        <v>2180</v>
      </c>
      <c r="L21" s="119"/>
    </row>
    <row r="22" ht="15.75" customHeight="1" spans="1:12" x14ac:dyDescent="0.25">
      <c r="A22" s="114" t="s">
        <v>116</v>
      </c>
      <c r="B22" s="115" t="s">
        <v>117</v>
      </c>
      <c r="C22" s="283">
        <v>4</v>
      </c>
      <c r="D22" s="117" t="s">
        <v>118</v>
      </c>
      <c r="E22" s="119">
        <f>'Эл.энергия (расход)_20'!Y24</f>
        <v>3265</v>
      </c>
      <c r="F22" s="296"/>
      <c r="G22" s="14"/>
      <c r="H22" s="115">
        <v>78</v>
      </c>
      <c r="I22" s="115">
        <v>4.03</v>
      </c>
      <c r="J22" s="117" t="s">
        <v>271</v>
      </c>
      <c r="K22" s="119">
        <f>'Эл.энергия (расход)_20'!Y82</f>
        <v>75</v>
      </c>
      <c r="L22" s="119"/>
    </row>
    <row r="23" ht="15.75" customHeight="1" spans="1:12" x14ac:dyDescent="0.25">
      <c r="A23" s="14"/>
      <c r="B23" s="115" t="s">
        <v>117</v>
      </c>
      <c r="C23" s="283">
        <v>4</v>
      </c>
      <c r="D23" s="117" t="s">
        <v>118</v>
      </c>
      <c r="E23" s="119">
        <f>'Эл.энергия (расход)_20'!Y25</f>
        <v>0</v>
      </c>
      <c r="F23" s="296"/>
      <c r="G23" s="14"/>
      <c r="H23" s="115">
        <v>79</v>
      </c>
      <c r="I23" s="115">
        <v>4.24</v>
      </c>
      <c r="J23" s="117" t="s">
        <v>275</v>
      </c>
      <c r="K23" s="119">
        <f>'Эл.энергия (расход)_20'!Y83</f>
        <v>28</v>
      </c>
      <c r="L23" s="119"/>
    </row>
    <row r="24" ht="15.75" customHeight="1" spans="1:12" x14ac:dyDescent="0.25">
      <c r="A24" s="14"/>
      <c r="B24" s="115">
        <v>21</v>
      </c>
      <c r="C24" s="115">
        <v>3.96</v>
      </c>
      <c r="D24" s="117" t="s">
        <v>120</v>
      </c>
      <c r="E24" s="119">
        <f>'Эл.энергия (расход)_20'!Y26</f>
        <v>2173</v>
      </c>
      <c r="F24" s="296"/>
      <c r="G24" s="14"/>
      <c r="H24" s="115">
        <v>81</v>
      </c>
      <c r="I24" s="116">
        <v>4.3</v>
      </c>
      <c r="J24" s="117" t="s">
        <v>278</v>
      </c>
      <c r="K24" s="119">
        <f>'Эл.энергия (расход)_20'!Y84</f>
        <v>0</v>
      </c>
      <c r="L24" s="119"/>
    </row>
    <row r="25" ht="15.75" customHeight="1" spans="1:12" x14ac:dyDescent="0.25">
      <c r="A25" s="14"/>
      <c r="B25" s="115">
        <v>23</v>
      </c>
      <c r="C25" s="115">
        <v>3.98</v>
      </c>
      <c r="D25" s="117" t="s">
        <v>124</v>
      </c>
      <c r="E25" s="119">
        <f>'Эл.энергия (расход)_20'!Y27</f>
        <v>5766</v>
      </c>
      <c r="F25" s="296"/>
      <c r="G25" s="14"/>
      <c r="H25" s="115">
        <v>83</v>
      </c>
      <c r="I25" s="115">
        <v>4.29</v>
      </c>
      <c r="J25" s="117" t="s">
        <v>280</v>
      </c>
      <c r="K25" s="119">
        <f>'Эл.энергия (расход)_20'!Y85</f>
        <v>227</v>
      </c>
      <c r="L25" s="119"/>
    </row>
    <row r="26" ht="15.75" customHeight="1" spans="1:12" x14ac:dyDescent="0.25">
      <c r="A26" s="14"/>
      <c r="B26" s="115">
        <v>24</v>
      </c>
      <c r="C26" s="115">
        <v>4.01</v>
      </c>
      <c r="D26" s="117" t="s">
        <v>127</v>
      </c>
      <c r="E26" s="119">
        <f>'Эл.энергия (расход)_20'!Y28</f>
        <v>257</v>
      </c>
      <c r="F26" s="296"/>
      <c r="G26" s="14"/>
      <c r="H26" s="115">
        <v>85</v>
      </c>
      <c r="I26" s="115">
        <v>4.27</v>
      </c>
      <c r="J26" s="117" t="s">
        <v>282</v>
      </c>
      <c r="K26" s="119">
        <f>'Эл.энергия (расход)_20'!Y86</f>
        <v>3681</v>
      </c>
      <c r="L26" s="119"/>
    </row>
    <row r="27" ht="15.75" customHeight="1" spans="1:12" x14ac:dyDescent="0.25">
      <c r="A27" s="14"/>
      <c r="B27" s="115">
        <v>25</v>
      </c>
      <c r="C27" s="116">
        <v>4</v>
      </c>
      <c r="D27" s="117" t="s">
        <v>131</v>
      </c>
      <c r="E27" s="119">
        <f>'Эл.энергия (расход)_20'!Y29</f>
        <v>26</v>
      </c>
      <c r="F27" s="296"/>
      <c r="G27" s="14"/>
      <c r="H27" s="115">
        <v>87</v>
      </c>
      <c r="I27" s="115">
        <v>4.23</v>
      </c>
      <c r="J27" s="117" t="s">
        <v>284</v>
      </c>
      <c r="K27" s="119">
        <f>'Эл.энергия (расход)_20'!Y87</f>
        <v>549</v>
      </c>
      <c r="L27" s="119"/>
    </row>
    <row r="28" ht="15.75" customHeight="1" spans="1:12" x14ac:dyDescent="0.25">
      <c r="A28" s="14"/>
      <c r="B28" s="115">
        <v>26</v>
      </c>
      <c r="C28" s="115">
        <v>3.98</v>
      </c>
      <c r="D28" s="117" t="s">
        <v>133</v>
      </c>
      <c r="E28" s="119">
        <f>'Эл.энергия (расход)_20'!Y30</f>
        <v>0</v>
      </c>
      <c r="F28" s="296"/>
      <c r="G28" s="14"/>
      <c r="H28" s="115">
        <v>89</v>
      </c>
      <c r="I28" s="115">
        <v>4.25</v>
      </c>
      <c r="J28" s="117" t="s">
        <v>286</v>
      </c>
      <c r="K28" s="119">
        <f>'Эл.энергия (расход)_20'!Y88</f>
        <v>0</v>
      </c>
      <c r="L28" s="119"/>
    </row>
    <row r="29" ht="15.75" customHeight="1" spans="1:12" x14ac:dyDescent="0.25">
      <c r="A29" s="14"/>
      <c r="B29" s="115">
        <v>27</v>
      </c>
      <c r="C29" s="115">
        <v>4.04</v>
      </c>
      <c r="D29" s="117" t="s">
        <v>136</v>
      </c>
      <c r="E29" s="119">
        <f>'Эл.энергия (расход)_20'!Y31</f>
        <v>0</v>
      </c>
      <c r="F29" s="296"/>
      <c r="G29" s="14"/>
      <c r="H29" s="115">
        <v>91</v>
      </c>
      <c r="I29" s="115">
        <v>4.23</v>
      </c>
      <c r="J29" s="117" t="s">
        <v>288</v>
      </c>
      <c r="K29" s="119">
        <f>'Эл.энергия (расход)_20'!Y89</f>
        <v>179</v>
      </c>
      <c r="L29" s="119"/>
    </row>
    <row r="30" ht="15.75" customHeight="1" spans="1:12" x14ac:dyDescent="0.25">
      <c r="A30" s="14"/>
      <c r="B30" s="115">
        <v>28</v>
      </c>
      <c r="C30" s="115">
        <v>3.96</v>
      </c>
      <c r="D30" s="117" t="s">
        <v>140</v>
      </c>
      <c r="E30" s="119">
        <f>'Эл.энергия (расход)_20'!Y32</f>
        <v>261</v>
      </c>
      <c r="F30" s="296"/>
      <c r="G30" s="21"/>
      <c r="H30" s="115" t="s">
        <v>292</v>
      </c>
      <c r="I30" s="115">
        <v>4.31</v>
      </c>
      <c r="J30" s="297" t="s">
        <v>436</v>
      </c>
      <c r="K30" s="119">
        <f>'Эл.энергия (расход)_20'!Y90</f>
        <v>1846</v>
      </c>
      <c r="L30" s="119"/>
    </row>
    <row r="31" ht="15.75" customHeight="1" spans="1:12" x14ac:dyDescent="0.25">
      <c r="A31" s="14"/>
      <c r="B31" s="115">
        <v>30</v>
      </c>
      <c r="C31" s="115">
        <v>4.05</v>
      </c>
      <c r="D31" s="117" t="s">
        <v>496</v>
      </c>
      <c r="E31" s="119">
        <f>'Эл.энергия (расход)_20'!Y33</f>
        <v>7</v>
      </c>
      <c r="F31" s="296"/>
      <c r="H31" s="115" t="s">
        <v>292</v>
      </c>
      <c r="I31" s="115">
        <v>4.25</v>
      </c>
      <c r="J31" s="297" t="s">
        <v>436</v>
      </c>
      <c r="K31" s="119">
        <f>'Эл.энергия (расход)_20'!Y91</f>
        <v>0</v>
      </c>
      <c r="L31" s="119"/>
    </row>
    <row r="32" ht="15.75" customHeight="1" spans="1:12" x14ac:dyDescent="0.25">
      <c r="A32" s="14"/>
      <c r="B32" s="115">
        <v>29</v>
      </c>
      <c r="C32" s="115">
        <v>4.02</v>
      </c>
      <c r="D32" s="117" t="s">
        <v>146</v>
      </c>
      <c r="E32" s="119">
        <f>'Эл.энергия (расход)_20'!Y34</f>
        <v>0</v>
      </c>
      <c r="F32" s="296"/>
      <c r="G32" s="114" t="s">
        <v>297</v>
      </c>
      <c r="H32" s="115">
        <v>80</v>
      </c>
      <c r="I32" s="115">
        <v>4.28</v>
      </c>
      <c r="J32" s="117" t="s">
        <v>298</v>
      </c>
      <c r="K32" s="119">
        <f>'Эл.энергия (расход)_20'!Y92</f>
        <v>1312</v>
      </c>
      <c r="L32" s="119"/>
    </row>
    <row r="33" ht="15.75" customHeight="1" spans="1:12" x14ac:dyDescent="0.25">
      <c r="A33" s="14"/>
      <c r="B33" s="115">
        <v>31</v>
      </c>
      <c r="C33" s="116">
        <v>4</v>
      </c>
      <c r="D33" s="117" t="s">
        <v>149</v>
      </c>
      <c r="E33" s="119">
        <f>'Эл.энергия (расход)_20'!Y35</f>
        <v>5</v>
      </c>
      <c r="F33" s="296"/>
      <c r="G33" s="14"/>
      <c r="H33" s="115">
        <v>82</v>
      </c>
      <c r="I33" s="115">
        <v>4.28</v>
      </c>
      <c r="J33" s="117" t="s">
        <v>300</v>
      </c>
      <c r="K33" s="119">
        <f>'Эл.энергия (расход)_20'!Y93</f>
        <v>0</v>
      </c>
      <c r="L33" s="119"/>
    </row>
    <row r="34" ht="15.75" customHeight="1" spans="1:12" x14ac:dyDescent="0.25">
      <c r="A34" s="14"/>
      <c r="B34" s="115">
        <v>32</v>
      </c>
      <c r="C34" s="115">
        <v>3.96</v>
      </c>
      <c r="D34" s="117" t="s">
        <v>152</v>
      </c>
      <c r="E34" s="119">
        <f>'Эл.энергия (расход)_20'!Y36</f>
        <v>991</v>
      </c>
      <c r="F34" s="296"/>
      <c r="G34" s="14"/>
      <c r="H34" s="115">
        <v>84</v>
      </c>
      <c r="I34" s="115">
        <v>4.18</v>
      </c>
      <c r="J34" s="117" t="s">
        <v>301</v>
      </c>
      <c r="K34" s="119">
        <f>'Эл.энергия (расход)_20'!Y94</f>
        <v>39</v>
      </c>
      <c r="L34" s="119"/>
    </row>
    <row r="35" ht="15.75" customHeight="1" spans="1:12" x14ac:dyDescent="0.25">
      <c r="A35" s="14"/>
      <c r="B35" s="115">
        <v>33</v>
      </c>
      <c r="C35" s="115">
        <v>4.01</v>
      </c>
      <c r="D35" s="117" t="s">
        <v>154</v>
      </c>
      <c r="E35" s="119">
        <f>'Эл.энергия (расход)_20'!Y37</f>
        <v>33</v>
      </c>
      <c r="F35" s="296"/>
      <c r="G35" s="14"/>
      <c r="H35" s="115">
        <v>86</v>
      </c>
      <c r="I35" s="115">
        <v>4.23</v>
      </c>
      <c r="J35" s="117" t="s">
        <v>304</v>
      </c>
      <c r="K35" s="119">
        <f>'Эл.энергия (расход)_20'!Y95</f>
        <v>0</v>
      </c>
      <c r="L35" s="119"/>
    </row>
    <row r="36" ht="15.75" customHeight="1" spans="1:12" x14ac:dyDescent="0.25">
      <c r="A36" s="14"/>
      <c r="B36" s="115">
        <v>34</v>
      </c>
      <c r="C36" s="115">
        <v>4.01</v>
      </c>
      <c r="D36" s="117" t="s">
        <v>155</v>
      </c>
      <c r="E36" s="119">
        <f>'Эл.энергия (расход)_20'!Y38</f>
        <v>4151</v>
      </c>
      <c r="F36" s="296"/>
      <c r="G36" s="14"/>
      <c r="H36" s="115">
        <v>88</v>
      </c>
      <c r="I36" s="115">
        <v>4.23</v>
      </c>
      <c r="J36" s="117" t="s">
        <v>308</v>
      </c>
      <c r="K36" s="119">
        <f>'Эл.энергия (расход)_20'!Y96</f>
        <v>0</v>
      </c>
      <c r="L36" s="119"/>
    </row>
    <row r="37" ht="15.75" customHeight="1" spans="1:12" x14ac:dyDescent="0.25">
      <c r="A37" s="14"/>
      <c r="B37" s="115">
        <v>35</v>
      </c>
      <c r="C37" s="115">
        <v>4.01</v>
      </c>
      <c r="D37" s="117" t="s">
        <v>157</v>
      </c>
      <c r="E37" s="119">
        <f>'Эл.энергия (расход)_20'!Y39</f>
        <v>33</v>
      </c>
      <c r="F37" s="296"/>
      <c r="G37" s="14"/>
      <c r="H37" s="115">
        <v>90</v>
      </c>
      <c r="I37" s="115">
        <v>4.23</v>
      </c>
      <c r="J37" s="117" t="s">
        <v>311</v>
      </c>
      <c r="K37" s="119">
        <f>'Эл.энергия (расход)_20'!Y97</f>
        <v>0</v>
      </c>
      <c r="L37" s="119"/>
    </row>
    <row r="38" ht="15.75" customHeight="1" spans="1:12" x14ac:dyDescent="0.25">
      <c r="A38" s="14"/>
      <c r="B38" s="115">
        <v>36</v>
      </c>
      <c r="C38" s="115">
        <v>4.03</v>
      </c>
      <c r="D38" s="117" t="s">
        <v>160</v>
      </c>
      <c r="E38" s="119">
        <f>'Эл.энергия (расход)_20'!Y40</f>
        <v>428</v>
      </c>
      <c r="F38" s="296"/>
      <c r="G38" s="14"/>
      <c r="H38" s="115">
        <v>92</v>
      </c>
      <c r="I38" s="115">
        <v>4.28</v>
      </c>
      <c r="J38" s="117" t="s">
        <v>312</v>
      </c>
      <c r="K38" s="119">
        <f>'Эл.энергия (расход)_20'!Y98</f>
        <v>10952</v>
      </c>
      <c r="L38" s="119"/>
    </row>
    <row r="39" ht="15.75" customHeight="1" spans="1:12" x14ac:dyDescent="0.25">
      <c r="A39" s="14"/>
      <c r="B39" s="115">
        <v>37</v>
      </c>
      <c r="C39" s="115">
        <v>4.06</v>
      </c>
      <c r="D39" s="117" t="s">
        <v>162</v>
      </c>
      <c r="E39" s="119">
        <f>'Эл.энергия (расход)_20'!Y41</f>
        <v>0</v>
      </c>
      <c r="F39" s="296"/>
      <c r="G39" s="14"/>
      <c r="H39" s="115" t="s">
        <v>315</v>
      </c>
      <c r="I39" s="115">
        <v>4.36</v>
      </c>
      <c r="J39" s="117" t="s">
        <v>316</v>
      </c>
      <c r="K39" s="119">
        <f>'Эл.энергия (расход)_20'!Y99</f>
        <v>35167</v>
      </c>
      <c r="L39" s="119"/>
    </row>
    <row r="40" ht="15.75" customHeight="1" spans="1:12" x14ac:dyDescent="0.25">
      <c r="A40" s="14"/>
      <c r="B40" s="115">
        <v>38</v>
      </c>
      <c r="C40" s="115">
        <v>4.34</v>
      </c>
      <c r="D40" s="117" t="s">
        <v>167</v>
      </c>
      <c r="E40" s="119">
        <f>'Эл.энергия (расход)_20'!Y42</f>
        <v>18</v>
      </c>
      <c r="F40" s="296"/>
      <c r="H40" s="115" t="s">
        <v>315</v>
      </c>
      <c r="I40" s="116">
        <v>4.4</v>
      </c>
      <c r="J40" s="117" t="s">
        <v>316</v>
      </c>
      <c r="K40" s="119">
        <f>'Эл.энергия (расход)_20'!Y100</f>
        <v>0</v>
      </c>
      <c r="L40" s="119"/>
    </row>
    <row r="41" ht="15.75" customHeight="1" spans="1:12" x14ac:dyDescent="0.25">
      <c r="A41" s="21"/>
      <c r="B41" s="115">
        <v>39</v>
      </c>
      <c r="C41" s="116">
        <v>4</v>
      </c>
      <c r="D41" s="117" t="s">
        <v>169</v>
      </c>
      <c r="E41" s="119">
        <f>'Эл.энергия (расход)_20'!Y43</f>
        <v>209</v>
      </c>
      <c r="F41" s="296"/>
      <c r="G41" s="14"/>
      <c r="H41" s="115">
        <v>99</v>
      </c>
      <c r="I41" s="115">
        <v>4.53</v>
      </c>
      <c r="J41" s="117" t="s">
        <v>319</v>
      </c>
      <c r="K41" s="119">
        <f>'Эл.энергия (расход)_20'!Y101</f>
        <v>144</v>
      </c>
      <c r="L41" s="119"/>
    </row>
    <row r="42" ht="15.75" customHeight="1" spans="1:12" x14ac:dyDescent="0.25">
      <c r="A42" s="114" t="s">
        <v>173</v>
      </c>
      <c r="B42" s="115">
        <v>40</v>
      </c>
      <c r="C42" s="115">
        <v>4.92</v>
      </c>
      <c r="D42" s="117" t="s">
        <v>174</v>
      </c>
      <c r="E42" s="119">
        <f>'Эл.энергия (расход)_20'!Y44</f>
        <v>33014</v>
      </c>
      <c r="F42" s="296"/>
      <c r="G42" s="14"/>
      <c r="H42" s="115">
        <v>101</v>
      </c>
      <c r="I42" s="115">
        <v>4.46</v>
      </c>
      <c r="J42" s="117" t="s">
        <v>321</v>
      </c>
      <c r="K42" s="119">
        <f>'Эл.энергия (расход)_20'!Y102</f>
        <v>175</v>
      </c>
      <c r="L42" s="119"/>
    </row>
    <row r="43" ht="15.75" customHeight="1" spans="1:12" x14ac:dyDescent="0.25">
      <c r="A43" s="14"/>
      <c r="B43" s="115">
        <v>41</v>
      </c>
      <c r="C43" s="115">
        <v>4.87</v>
      </c>
      <c r="D43" s="117" t="s">
        <v>177</v>
      </c>
      <c r="E43" s="119">
        <f>'Эл.энергия (расход)_20'!Y45</f>
        <v>300</v>
      </c>
      <c r="F43" s="296"/>
      <c r="G43" s="14"/>
      <c r="H43" s="115">
        <v>103</v>
      </c>
      <c r="I43" s="115">
        <v>4.42</v>
      </c>
      <c r="J43" s="117" t="s">
        <v>322</v>
      </c>
      <c r="K43" s="119">
        <f>'Эл.энергия (расход)_20'!Y103</f>
        <v>0</v>
      </c>
      <c r="L43" s="119"/>
    </row>
    <row r="44" ht="15.75" customHeight="1" spans="1:12" x14ac:dyDescent="0.25">
      <c r="A44" s="14"/>
      <c r="B44" s="115">
        <v>42</v>
      </c>
      <c r="C44" s="116">
        <v>4.9</v>
      </c>
      <c r="D44" s="2" t="s">
        <v>181</v>
      </c>
      <c r="E44" s="119">
        <f>'Эл.энергия (расход)_20'!Y46</f>
        <v>3829</v>
      </c>
      <c r="F44" s="296"/>
      <c r="G44" s="14"/>
      <c r="H44" s="115">
        <v>105</v>
      </c>
      <c r="I44" s="115">
        <v>4.41</v>
      </c>
      <c r="J44" s="117" t="s">
        <v>323</v>
      </c>
      <c r="K44" s="119">
        <f>'Эл.энергия (расход)_20'!Y104</f>
        <v>1704</v>
      </c>
      <c r="L44" s="119"/>
    </row>
    <row r="45" ht="15.75" customHeight="1" spans="1:12" x14ac:dyDescent="0.25">
      <c r="A45" s="14"/>
      <c r="B45" s="115">
        <v>43</v>
      </c>
      <c r="C45" s="115">
        <v>4.96</v>
      </c>
      <c r="D45" s="117" t="s">
        <v>185</v>
      </c>
      <c r="E45" s="119">
        <f>'Эл.энергия (расход)_20'!Y47</f>
        <v>1788</v>
      </c>
      <c r="F45" s="296"/>
      <c r="G45" s="21"/>
      <c r="H45" s="115">
        <v>107</v>
      </c>
      <c r="I45" s="115">
        <v>4.37</v>
      </c>
      <c r="J45" s="117" t="s">
        <v>325</v>
      </c>
      <c r="K45" s="119">
        <f>'Эл.энергия (расход)_20'!Y105</f>
        <v>295</v>
      </c>
      <c r="L45" s="119"/>
    </row>
    <row r="46" ht="15.75" customHeight="1" spans="1:12" x14ac:dyDescent="0.25">
      <c r="A46" s="14"/>
      <c r="B46" s="115">
        <v>44</v>
      </c>
      <c r="C46" s="115">
        <v>4.01</v>
      </c>
      <c r="D46" s="15" t="s">
        <v>412</v>
      </c>
      <c r="E46" s="119">
        <f>'Эл.энергия (расход)_20'!Y48</f>
        <v>25</v>
      </c>
      <c r="F46" s="296"/>
      <c r="G46" s="114" t="s">
        <v>327</v>
      </c>
      <c r="H46" s="115">
        <v>96</v>
      </c>
      <c r="I46" s="115">
        <v>4.46</v>
      </c>
      <c r="J46" s="117" t="s">
        <v>450</v>
      </c>
      <c r="K46" s="119">
        <f>'Эл.энергия (расход)_20'!Y106</f>
        <v>0</v>
      </c>
      <c r="L46" s="119"/>
    </row>
    <row r="47" ht="15.75" customHeight="1" spans="1:12" x14ac:dyDescent="0.25">
      <c r="A47" s="14"/>
      <c r="B47" s="115">
        <v>45</v>
      </c>
      <c r="C47" s="115">
        <v>5.04</v>
      </c>
      <c r="D47" s="117" t="s">
        <v>189</v>
      </c>
      <c r="E47" s="119">
        <f>'Эл.энергия (расход)_20'!Y49</f>
        <v>13</v>
      </c>
      <c r="F47" s="296"/>
      <c r="G47" s="14"/>
      <c r="H47" s="115">
        <v>98</v>
      </c>
      <c r="I47" s="115">
        <v>4.45</v>
      </c>
      <c r="J47" s="117" t="s">
        <v>328</v>
      </c>
      <c r="K47" s="119">
        <f>'Эл.энергия (расход)_20'!Y107</f>
        <v>0</v>
      </c>
      <c r="L47" s="119"/>
    </row>
    <row r="48" ht="15.75" customHeight="1" spans="1:12" x14ac:dyDescent="0.25">
      <c r="A48" s="14"/>
      <c r="B48" s="115">
        <v>46</v>
      </c>
      <c r="C48" s="116">
        <v>4</v>
      </c>
      <c r="D48" s="117" t="s">
        <v>188</v>
      </c>
      <c r="E48" s="119">
        <f>'Эл.энергия (расход)_20'!Y50</f>
        <v>3525</v>
      </c>
      <c r="F48" s="296"/>
      <c r="G48" s="14"/>
      <c r="H48" s="115">
        <v>100</v>
      </c>
      <c r="I48" s="115">
        <v>4.47</v>
      </c>
      <c r="J48" s="117" t="s">
        <v>330</v>
      </c>
      <c r="K48" s="119">
        <f>'Эл.энергия (расход)_20'!Y108</f>
        <v>746</v>
      </c>
      <c r="L48" s="119"/>
    </row>
    <row r="49" ht="15.75" customHeight="1" spans="1:12" x14ac:dyDescent="0.25">
      <c r="A49" s="14"/>
      <c r="B49" s="115">
        <v>47</v>
      </c>
      <c r="C49" s="116">
        <v>5</v>
      </c>
      <c r="D49" s="117" t="s">
        <v>192</v>
      </c>
      <c r="E49" s="119">
        <f>'Эл.энергия (расход)_20'!Y51</f>
        <v>165</v>
      </c>
      <c r="F49" s="296"/>
      <c r="G49" s="14"/>
      <c r="H49" s="115">
        <v>102</v>
      </c>
      <c r="I49" s="115">
        <v>4.45</v>
      </c>
      <c r="J49" s="117" t="s">
        <v>331</v>
      </c>
      <c r="K49" s="119">
        <f>'Эл.энергия (расход)_20'!Y109</f>
        <v>2165</v>
      </c>
      <c r="L49" s="119"/>
    </row>
    <row r="50" ht="15.75" customHeight="1" spans="1:12" x14ac:dyDescent="0.25">
      <c r="A50" s="14"/>
      <c r="B50" s="115">
        <v>48</v>
      </c>
      <c r="C50" s="115">
        <v>5.93</v>
      </c>
      <c r="D50" s="117" t="s">
        <v>97</v>
      </c>
      <c r="E50" s="119">
        <f>'Эл.энергия (расход)_20'!Y52</f>
        <v>0</v>
      </c>
      <c r="F50" s="296"/>
      <c r="G50" s="14"/>
      <c r="H50" s="115">
        <v>104</v>
      </c>
      <c r="I50" s="115">
        <v>4.42</v>
      </c>
      <c r="J50" s="117" t="s">
        <v>333</v>
      </c>
      <c r="K50" s="119">
        <f>'Эл.энергия (расход)_20'!Y110</f>
        <v>1140</v>
      </c>
      <c r="L50" s="119"/>
    </row>
    <row r="51" ht="15.75" customHeight="1" spans="1:12" x14ac:dyDescent="0.25">
      <c r="A51" s="14"/>
      <c r="B51" s="115">
        <v>49</v>
      </c>
      <c r="C51" s="115">
        <v>5.03</v>
      </c>
      <c r="D51" s="117" t="s">
        <v>197</v>
      </c>
      <c r="E51" s="119">
        <f>'Эл.энергия (расход)_20'!Y53</f>
        <v>0</v>
      </c>
      <c r="F51" s="296"/>
      <c r="G51" s="14"/>
      <c r="H51" s="115">
        <v>106</v>
      </c>
      <c r="I51" s="115">
        <v>4.57</v>
      </c>
      <c r="J51" s="117" t="s">
        <v>336</v>
      </c>
      <c r="K51" s="119">
        <f>'Эл.энергия (расход)_20'!Y111</f>
        <v>0</v>
      </c>
      <c r="L51" s="119"/>
    </row>
    <row r="52" ht="15.75" customHeight="1" spans="1:12" x14ac:dyDescent="0.25">
      <c r="A52" s="14"/>
      <c r="B52" s="115">
        <v>50</v>
      </c>
      <c r="C52" s="115">
        <v>6.05</v>
      </c>
      <c r="D52" s="117" t="s">
        <v>200</v>
      </c>
      <c r="E52" s="119">
        <f>'Эл.энергия (расход)_20'!Y54</f>
        <v>2786</v>
      </c>
      <c r="F52" s="296"/>
      <c r="G52" s="14"/>
      <c r="H52" s="115">
        <v>108</v>
      </c>
      <c r="I52" s="115">
        <v>4.32</v>
      </c>
      <c r="J52" s="117" t="s">
        <v>339</v>
      </c>
      <c r="K52" s="119">
        <f>'Эл.энергия (расход)_20'!Y112</f>
        <v>0</v>
      </c>
      <c r="L52" s="119"/>
    </row>
    <row r="53" ht="15.75" customHeight="1" spans="1:12" x14ac:dyDescent="0.25">
      <c r="A53" s="14"/>
      <c r="B53" s="115">
        <v>51</v>
      </c>
      <c r="C53" s="115">
        <v>4.95</v>
      </c>
      <c r="D53" s="117" t="s">
        <v>204</v>
      </c>
      <c r="E53" s="119">
        <f>'Эл.энергия (расход)_20'!Y55</f>
        <v>571</v>
      </c>
      <c r="F53" s="296"/>
      <c r="G53" s="14"/>
      <c r="H53" s="115">
        <v>109</v>
      </c>
      <c r="I53" s="115">
        <v>6.22</v>
      </c>
      <c r="J53" s="2" t="s">
        <v>455</v>
      </c>
      <c r="K53" s="119">
        <f>'Эл.энергия (расход)_20'!Y113</f>
        <v>41</v>
      </c>
      <c r="L53" s="119"/>
    </row>
    <row r="54" ht="15.75" customHeight="1" spans="1:12" x14ac:dyDescent="0.25">
      <c r="A54" s="14"/>
      <c r="B54" s="115">
        <v>52</v>
      </c>
      <c r="C54" s="116">
        <v>5</v>
      </c>
      <c r="D54" s="117" t="s">
        <v>206</v>
      </c>
      <c r="E54" s="119">
        <f>'Эл.энергия (расход)_20'!Y56</f>
        <v>139</v>
      </c>
      <c r="F54" s="296"/>
      <c r="G54" s="14"/>
      <c r="H54" s="115">
        <v>110</v>
      </c>
      <c r="I54" s="115">
        <v>4.91</v>
      </c>
      <c r="J54" s="117" t="s">
        <v>342</v>
      </c>
      <c r="K54" s="119">
        <f>'Эл.энергия (расход)_20'!Y114</f>
        <v>151</v>
      </c>
      <c r="L54" s="119"/>
    </row>
    <row r="55" ht="15.75" customHeight="1" spans="1:12" x14ac:dyDescent="0.25">
      <c r="A55" s="14"/>
      <c r="B55" s="115">
        <v>53</v>
      </c>
      <c r="C55" s="115">
        <v>5.05</v>
      </c>
      <c r="D55" s="117" t="s">
        <v>210</v>
      </c>
      <c r="E55" s="119">
        <f>'Эл.энергия (расход)_20'!Y57</f>
        <v>10585</v>
      </c>
      <c r="F55" s="296"/>
      <c r="G55" s="14"/>
      <c r="H55" s="115">
        <v>111</v>
      </c>
      <c r="I55" s="116">
        <v>6.8</v>
      </c>
      <c r="J55" s="117" t="s">
        <v>280</v>
      </c>
      <c r="K55" s="119">
        <f>'Эл.энергия (расход)_20'!Y115</f>
        <v>4367</v>
      </c>
      <c r="L55" s="119"/>
    </row>
    <row r="56" ht="15.75" customHeight="1" spans="1:12" x14ac:dyDescent="0.25">
      <c r="A56" s="14"/>
      <c r="B56" s="115">
        <v>54</v>
      </c>
      <c r="C56" s="115">
        <v>5.54</v>
      </c>
      <c r="D56" s="117" t="s">
        <v>212</v>
      </c>
      <c r="E56" s="119">
        <f>'Эл.энергия (расход)_20'!Y58</f>
        <v>346</v>
      </c>
      <c r="F56" s="296"/>
      <c r="G56" s="14"/>
      <c r="H56" s="115">
        <v>112</v>
      </c>
      <c r="I56" s="115">
        <v>4.94</v>
      </c>
      <c r="J56" s="117" t="s">
        <v>347</v>
      </c>
      <c r="K56" s="119">
        <f>'Эл.энергия (расход)_20'!Y116</f>
        <v>174</v>
      </c>
      <c r="L56" s="119"/>
    </row>
    <row r="57" ht="15.75" customHeight="1" spans="1:12" x14ac:dyDescent="0.25">
      <c r="A57" s="21"/>
      <c r="B57" s="115">
        <v>55</v>
      </c>
      <c r="C57" s="116">
        <v>5.5</v>
      </c>
      <c r="D57" s="117" t="s">
        <v>214</v>
      </c>
      <c r="E57" s="119">
        <f>'Эл.энергия (расход)_20'!Y59</f>
        <v>536</v>
      </c>
      <c r="F57" s="296"/>
      <c r="G57" s="14"/>
      <c r="H57" s="115">
        <v>113</v>
      </c>
      <c r="I57" s="115">
        <v>4.98</v>
      </c>
      <c r="J57" s="117" t="s">
        <v>348</v>
      </c>
      <c r="K57" s="119">
        <f>'Эл.энергия (расход)_20'!Y117</f>
        <v>0</v>
      </c>
      <c r="L57" s="119"/>
    </row>
    <row r="58" ht="15.75" customHeight="1" spans="1:12" x14ac:dyDescent="0.25">
      <c r="A58" s="114" t="s">
        <v>217</v>
      </c>
      <c r="B58" s="115">
        <v>56</v>
      </c>
      <c r="C58" s="115">
        <v>6.23</v>
      </c>
      <c r="D58" s="117" t="s">
        <v>423</v>
      </c>
      <c r="E58" s="119">
        <f>'Эл.энергия (расход)_20'!Y60</f>
        <v>15850</v>
      </c>
      <c r="F58" s="296"/>
      <c r="G58" s="14"/>
      <c r="H58" s="118">
        <v>114</v>
      </c>
      <c r="I58" s="115">
        <v>4.86</v>
      </c>
      <c r="J58" s="117" t="s">
        <v>245</v>
      </c>
      <c r="K58" s="119">
        <f>'Эл.энергия (расход)_20'!Y118</f>
        <v>263</v>
      </c>
      <c r="L58" s="119"/>
    </row>
    <row r="59" ht="15.75" customHeight="1" spans="1:6" x14ac:dyDescent="0.25">
      <c r="A59" s="14"/>
      <c r="B59" s="115">
        <v>57</v>
      </c>
      <c r="C59" s="116">
        <v>4</v>
      </c>
      <c r="D59" s="2" t="s">
        <v>502</v>
      </c>
      <c r="E59" s="119">
        <f>'Эл.энергия (расход)_20'!Y61</f>
        <v>495</v>
      </c>
      <c r="F59" s="296"/>
    </row>
    <row r="60" ht="15.75" customHeight="1" spans="1:12" x14ac:dyDescent="0.25">
      <c r="A60" s="21"/>
      <c r="B60" s="115">
        <v>59</v>
      </c>
      <c r="C60" s="116">
        <v>4</v>
      </c>
      <c r="D60" s="117" t="s">
        <v>221</v>
      </c>
      <c r="E60" s="119">
        <f>'Эл.энергия (расход)_20'!Y62</f>
        <v>0</v>
      </c>
      <c r="F60" s="296"/>
      <c r="G60" s="115" t="s">
        <v>350</v>
      </c>
      <c r="H60" s="117"/>
      <c r="I60" s="117"/>
      <c r="J60" s="117"/>
      <c r="K60" s="119">
        <f>SUM(E3:E60,K3:K58)</f>
        <v>237732</v>
      </c>
      <c r="L60" s="117"/>
    </row>
    <row r="61" ht="15.75" customHeight="1" spans="1:11" x14ac:dyDescent="0.25">
      <c r="A61" s="15"/>
      <c r="B61" s="112"/>
      <c r="C61" s="112"/>
      <c r="K61" s="2" t="b">
        <f>K60='Эл.энергия (расход)_20'!Y119</f>
        <v>1</v>
      </c>
    </row>
    <row r="62" ht="15.75" customHeight="1" spans="1:3" x14ac:dyDescent="0.25">
      <c r="A62" s="15"/>
      <c r="B62" s="112"/>
      <c r="C62" s="112"/>
    </row>
    <row r="63" ht="15.75" customHeight="1" spans="1:3" x14ac:dyDescent="0.25">
      <c r="A63" s="15"/>
      <c r="B63" s="112"/>
      <c r="C63" s="112"/>
    </row>
    <row r="64" ht="15.75" customHeight="1" spans="1:3" x14ac:dyDescent="0.25">
      <c r="A64" s="15"/>
      <c r="B64" s="112"/>
      <c r="C64" s="112"/>
    </row>
    <row r="65" ht="15.75" customHeight="1" spans="1:3" x14ac:dyDescent="0.25">
      <c r="A65" s="15"/>
      <c r="B65" s="112"/>
      <c r="C65" s="112"/>
    </row>
    <row r="66" ht="15.75" customHeight="1" spans="1:3" x14ac:dyDescent="0.25">
      <c r="A66" s="15"/>
      <c r="B66" s="112"/>
      <c r="C66" s="112"/>
    </row>
    <row r="67" ht="15.75" customHeight="1" spans="1:3" x14ac:dyDescent="0.25">
      <c r="A67" s="15"/>
      <c r="B67" s="112"/>
      <c r="C67" s="112"/>
    </row>
    <row r="68" ht="15.75" customHeight="1" spans="1:3" x14ac:dyDescent="0.25">
      <c r="A68" s="15"/>
      <c r="B68" s="112"/>
      <c r="C68" s="112"/>
    </row>
    <row r="69" ht="15.75" customHeight="1" spans="1:3" x14ac:dyDescent="0.25">
      <c r="A69" s="15"/>
      <c r="B69" s="112"/>
      <c r="C69" s="112"/>
    </row>
    <row r="70" ht="15.75" customHeight="1" spans="1:3" x14ac:dyDescent="0.25">
      <c r="A70" s="15"/>
      <c r="B70" s="112"/>
      <c r="C70" s="112"/>
    </row>
    <row r="71" ht="15.75" customHeight="1" spans="1:3" x14ac:dyDescent="0.25">
      <c r="A71" s="15"/>
      <c r="B71" s="112"/>
      <c r="C71" s="112"/>
    </row>
    <row r="72" ht="15.75" customHeight="1" spans="1:3" x14ac:dyDescent="0.25">
      <c r="A72" s="15"/>
      <c r="B72" s="112"/>
      <c r="C72" s="112"/>
    </row>
    <row r="73" ht="15.75" customHeight="1" spans="1:3" x14ac:dyDescent="0.25">
      <c r="A73" s="15"/>
      <c r="B73" s="112"/>
      <c r="C73" s="112"/>
    </row>
    <row r="74" ht="15.75" customHeight="1" spans="1:3" x14ac:dyDescent="0.25">
      <c r="A74" s="15"/>
      <c r="B74" s="112"/>
      <c r="C74" s="112"/>
    </row>
    <row r="75" ht="15.75" customHeight="1" spans="1:3" x14ac:dyDescent="0.25">
      <c r="A75" s="15"/>
      <c r="B75" s="112"/>
      <c r="C75" s="112"/>
    </row>
    <row r="76" ht="15.75" customHeight="1" spans="1:3" x14ac:dyDescent="0.25">
      <c r="A76" s="15"/>
      <c r="B76" s="112"/>
      <c r="C76" s="112"/>
    </row>
    <row r="77" ht="15.75" customHeight="1" spans="1:3" x14ac:dyDescent="0.25">
      <c r="A77" s="15"/>
      <c r="B77" s="112"/>
      <c r="C77" s="112"/>
    </row>
    <row r="78" ht="15.75" customHeight="1" spans="1:3" x14ac:dyDescent="0.25">
      <c r="A78" s="15"/>
      <c r="B78" s="112"/>
      <c r="C78" s="112"/>
    </row>
    <row r="79" ht="15.75" customHeight="1" spans="1:3" x14ac:dyDescent="0.25">
      <c r="A79" s="15"/>
      <c r="B79" s="112"/>
      <c r="C79" s="112"/>
    </row>
    <row r="80" ht="15.75" customHeight="1" spans="1:3" x14ac:dyDescent="0.25">
      <c r="A80" s="15"/>
      <c r="B80" s="112"/>
      <c r="C80" s="112"/>
    </row>
    <row r="81" ht="15.75" customHeight="1" spans="1:3" x14ac:dyDescent="0.25">
      <c r="A81" s="15"/>
      <c r="B81" s="112"/>
      <c r="C81" s="112"/>
    </row>
    <row r="82" ht="15.75" customHeight="1" spans="1:3" x14ac:dyDescent="0.25">
      <c r="A82" s="15"/>
      <c r="B82" s="112"/>
      <c r="C82" s="112"/>
    </row>
    <row r="83" ht="15.75" customHeight="1" spans="1:3" x14ac:dyDescent="0.25">
      <c r="A83" s="15"/>
      <c r="B83" s="112"/>
      <c r="C83" s="112"/>
    </row>
    <row r="84" ht="15.75" customHeight="1" spans="1:3" x14ac:dyDescent="0.25">
      <c r="A84" s="15"/>
      <c r="B84" s="112"/>
      <c r="C84" s="112"/>
    </row>
    <row r="85" ht="15.75" customHeight="1" spans="1:3" x14ac:dyDescent="0.25">
      <c r="A85" s="15"/>
      <c r="B85" s="112"/>
      <c r="C85" s="112"/>
    </row>
    <row r="86" ht="15.75" customHeight="1" spans="1:3" x14ac:dyDescent="0.25">
      <c r="A86" s="15"/>
      <c r="B86" s="112"/>
      <c r="C86" s="112"/>
    </row>
    <row r="87" ht="15.75" customHeight="1" spans="1:3" x14ac:dyDescent="0.25">
      <c r="A87" s="15"/>
      <c r="B87" s="112"/>
      <c r="C87" s="112"/>
    </row>
    <row r="88" ht="15.75" customHeight="1" spans="1:3" x14ac:dyDescent="0.25">
      <c r="A88" s="15"/>
      <c r="B88" s="112"/>
      <c r="C88" s="112"/>
    </row>
    <row r="89" ht="15.75" customHeight="1" spans="1:3" x14ac:dyDescent="0.25">
      <c r="A89" s="15"/>
      <c r="B89" s="112"/>
      <c r="C89" s="112"/>
    </row>
    <row r="90" ht="15.75" customHeight="1" spans="1:3" x14ac:dyDescent="0.25">
      <c r="A90" s="15"/>
      <c r="B90" s="112"/>
      <c r="C90" s="112"/>
    </row>
    <row r="91" ht="15.75" customHeight="1" spans="1:3" x14ac:dyDescent="0.25">
      <c r="A91" s="15"/>
      <c r="B91" s="112"/>
      <c r="C91" s="112"/>
    </row>
    <row r="92" ht="15.75" customHeight="1" spans="1:3" x14ac:dyDescent="0.25">
      <c r="A92" s="15"/>
      <c r="B92" s="112"/>
      <c r="C92" s="112"/>
    </row>
    <row r="93" ht="15.75" customHeight="1" spans="1:3" x14ac:dyDescent="0.25">
      <c r="A93" s="15"/>
      <c r="B93" s="112"/>
      <c r="C93" s="112"/>
    </row>
    <row r="94" ht="15.75" customHeight="1" spans="1:3" x14ac:dyDescent="0.25">
      <c r="A94" s="15"/>
      <c r="B94" s="112"/>
      <c r="C94" s="112"/>
    </row>
    <row r="95" ht="15.75" customHeight="1" spans="1:3" x14ac:dyDescent="0.25">
      <c r="A95" s="15"/>
      <c r="B95" s="112"/>
      <c r="C95" s="112"/>
    </row>
    <row r="96" ht="15.75" customHeight="1" spans="1:3" x14ac:dyDescent="0.25">
      <c r="A96" s="15"/>
      <c r="B96" s="112"/>
      <c r="C96" s="112"/>
    </row>
    <row r="97" ht="15.75" customHeight="1" spans="1:3" x14ac:dyDescent="0.25">
      <c r="A97" s="15"/>
      <c r="B97" s="112"/>
      <c r="C97" s="112"/>
    </row>
    <row r="98" ht="15.75" customHeight="1" spans="1:3" x14ac:dyDescent="0.25">
      <c r="A98" s="15"/>
      <c r="B98" s="112"/>
      <c r="C98" s="112"/>
    </row>
    <row r="99" ht="15.75" customHeight="1" spans="1:3" x14ac:dyDescent="0.25">
      <c r="A99" s="15"/>
      <c r="B99" s="112"/>
      <c r="C99" s="112"/>
    </row>
    <row r="100" ht="15.75" customHeight="1" spans="1:3" x14ac:dyDescent="0.25">
      <c r="A100" s="15"/>
      <c r="B100" s="112"/>
      <c r="C100" s="112"/>
    </row>
    <row r="101" ht="15.75" customHeight="1" spans="1:3" x14ac:dyDescent="0.25">
      <c r="A101" s="15"/>
      <c r="B101" s="112"/>
      <c r="C101" s="112"/>
    </row>
    <row r="102" ht="15.75" customHeight="1" spans="1:3" x14ac:dyDescent="0.25">
      <c r="A102" s="15"/>
      <c r="B102" s="112"/>
      <c r="C102" s="112"/>
    </row>
    <row r="103" ht="15.75" customHeight="1" spans="1:3" x14ac:dyDescent="0.25">
      <c r="A103" s="15"/>
      <c r="B103" s="112"/>
      <c r="C103" s="112"/>
    </row>
    <row r="104" ht="15.75" customHeight="1" spans="1:3" x14ac:dyDescent="0.25">
      <c r="A104" s="15"/>
      <c r="B104" s="112"/>
      <c r="C104" s="112"/>
    </row>
    <row r="105" ht="15.75" customHeight="1" spans="1:3" x14ac:dyDescent="0.25">
      <c r="A105" s="15"/>
      <c r="B105" s="112"/>
      <c r="C105" s="112"/>
    </row>
    <row r="106" ht="15.75" customHeight="1" spans="1:3" x14ac:dyDescent="0.25">
      <c r="A106" s="15"/>
      <c r="B106" s="112"/>
      <c r="C106" s="112"/>
    </row>
    <row r="107" ht="15.75" customHeight="1" spans="1:3" x14ac:dyDescent="0.25">
      <c r="A107" s="15"/>
      <c r="B107" s="112"/>
      <c r="C107" s="112"/>
    </row>
    <row r="108" ht="15.75" customHeight="1" spans="1:3" x14ac:dyDescent="0.25">
      <c r="A108" s="15"/>
      <c r="B108" s="112"/>
      <c r="C108" s="112"/>
    </row>
    <row r="109" ht="15.75" customHeight="1" spans="1:3" x14ac:dyDescent="0.25">
      <c r="A109" s="15"/>
      <c r="B109" s="112"/>
      <c r="C109" s="112"/>
    </row>
    <row r="110" ht="15.75" customHeight="1" spans="1:3" x14ac:dyDescent="0.25">
      <c r="A110" s="15"/>
      <c r="B110" s="112"/>
      <c r="C110" s="112"/>
    </row>
    <row r="111" ht="15.75" customHeight="1" spans="1:3" x14ac:dyDescent="0.25">
      <c r="A111" s="15"/>
      <c r="B111" s="112"/>
      <c r="C111" s="112"/>
    </row>
    <row r="112" ht="15.75" customHeight="1" spans="1:3" x14ac:dyDescent="0.25">
      <c r="A112" s="15"/>
      <c r="B112" s="112"/>
      <c r="C112" s="112"/>
    </row>
    <row r="113" ht="15.75" customHeight="1" hidden="1" spans="1:5" x14ac:dyDescent="0.25" outlineLevel="1" collapsed="1">
      <c r="A113" s="15"/>
      <c r="B113" s="112"/>
      <c r="C113" s="112"/>
      <c r="E113" s="120" t="b">
        <f>G101='2019'!Y867</f>
        <v>0</v>
      </c>
    </row>
    <row r="114" ht="15.75" customHeight="1" spans="1:5" x14ac:dyDescent="0.25">
      <c r="A114" s="15"/>
      <c r="B114" s="112"/>
      <c r="C114" s="112"/>
      <c r="E114" s="120"/>
    </row>
    <row r="115" ht="15.75" customHeight="1" spans="1:3" x14ac:dyDescent="0.25">
      <c r="A115" s="15"/>
      <c r="B115" s="112"/>
      <c r="C115" s="112"/>
    </row>
    <row r="116" ht="15.75" customHeight="1" spans="1:3" x14ac:dyDescent="0.25">
      <c r="A116" s="15"/>
      <c r="B116" s="112"/>
      <c r="C116" s="112"/>
    </row>
    <row r="117" ht="15.75" customHeight="1" spans="1:3" x14ac:dyDescent="0.25">
      <c r="A117" s="15"/>
      <c r="B117" s="112"/>
      <c r="C117" s="112"/>
    </row>
    <row r="118" ht="15.75" customHeight="1" spans="1:3" x14ac:dyDescent="0.25">
      <c r="A118" s="15"/>
      <c r="B118" s="112"/>
      <c r="C118" s="112"/>
    </row>
    <row r="119" ht="15.75" customHeight="1" spans="1:3" x14ac:dyDescent="0.25">
      <c r="A119" s="15"/>
      <c r="B119" s="112"/>
      <c r="C119" s="112"/>
    </row>
    <row r="120" ht="15.75" customHeight="1" spans="1:3" x14ac:dyDescent="0.25">
      <c r="A120" s="15"/>
      <c r="B120" s="112"/>
      <c r="C120" s="112"/>
    </row>
    <row r="121" ht="15.75" customHeight="1" spans="1:3" x14ac:dyDescent="0.25">
      <c r="A121" s="15"/>
      <c r="B121" s="112"/>
      <c r="C121" s="112"/>
    </row>
    <row r="122" ht="15.75" customHeight="1" spans="1:3" x14ac:dyDescent="0.25">
      <c r="A122" s="15"/>
      <c r="B122" s="112"/>
      <c r="C122" s="112"/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875" right="0" top="0.196527777777778" bottom="0" header="0" footer="0"/>
  <pageSetup paperSize="9"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</sheetPr>
  <dimension ref="A1:AC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86" customWidth="1"/>
    <col min="2" max="2" width="7.14" customWidth="1"/>
    <col min="3" max="3" width="6.43" outlineLevel="1" collapsed="1" customWidth="1"/>
    <col min="4" max="4" width="13.86" outlineLevel="1" collapsed="1" customWidth="1"/>
    <col min="5" max="5" width="7.14" outlineLevel="1" collapsed="1" customWidth="1"/>
    <col min="6" max="6" width="7.14" customWidth="1"/>
    <col min="7" max="7" width="7.14" outlineLevel="1" collapsed="1" customWidth="1"/>
    <col min="8" max="8" width="7.14" customWidth="1"/>
    <col min="9" max="9" width="7.14" outlineLevel="1" collapsed="1" customWidth="1"/>
    <col min="10" max="10" width="7.14" customWidth="1"/>
    <col min="11" max="11" width="7.14" outlineLevel="1" collapsed="1" customWidth="1"/>
    <col min="12" max="12" width="7.14" customWidth="1"/>
    <col min="13" max="13" width="7.14" outlineLevel="1" collapsed="1" customWidth="1"/>
    <col min="14" max="14" width="7.14" customWidth="1"/>
    <col min="15" max="15" width="7.14" outlineLevel="1" collapsed="1" customWidth="1"/>
    <col min="16" max="16" width="7.14" customWidth="1"/>
    <col min="17" max="17" width="7.14" outlineLevel="1" collapsed="1" customWidth="1"/>
    <col min="18" max="18" width="7.14" customWidth="1"/>
    <col min="19" max="19" width="7.14" outlineLevel="1" collapsed="1" customWidth="1"/>
    <col min="20" max="20" width="7.14" customWidth="1"/>
    <col min="21" max="21" width="7.14" outlineLevel="1" collapsed="1" customWidth="1"/>
    <col min="22" max="22" width="7.14" customWidth="1"/>
    <col min="23" max="23" width="7.14" outlineLevel="1" collapsed="1" customWidth="1"/>
    <col min="24" max="24" width="7.14" customWidth="1"/>
    <col min="25" max="25" width="7.14" outlineLevel="1" collapsed="1" customWidth="1"/>
    <col min="26" max="26" width="7.14" customWidth="1"/>
    <col min="27" max="27" width="7.14" outlineLevel="1" collapsed="1" customWidth="1"/>
    <col min="28" max="29" width="7.14" customWidth="1"/>
  </cols>
  <sheetData>
    <row r="1" spans="1:16" x14ac:dyDescent="0.25">
      <c r="A1" s="1" t="s">
        <v>375</v>
      </c>
      <c r="B1" s="112" t="str">
        <f>'2020'!F1</f>
        <v>на 01 января 2021 года</v>
      </c>
      <c r="C1" s="112"/>
      <c r="F1" s="1"/>
      <c r="G1" s="1"/>
      <c r="H1" s="1"/>
      <c r="I1" s="1"/>
      <c r="J1" s="1"/>
      <c r="K1" s="1"/>
      <c r="L1" s="1"/>
      <c r="M1" s="1"/>
      <c r="O1" s="1"/>
      <c r="P1" s="1"/>
    </row>
    <row r="2" spans="1:3" x14ac:dyDescent="0.25">
      <c r="A2" s="15" t="s">
        <v>366</v>
      </c>
      <c r="B2" s="112"/>
      <c r="C2" s="112"/>
    </row>
    <row r="3" spans="1:29" x14ac:dyDescent="0.25">
      <c r="A3" s="3"/>
      <c r="B3" s="17" t="s">
        <v>2</v>
      </c>
      <c r="C3" s="17" t="s">
        <v>354</v>
      </c>
      <c r="D3" s="16" t="s">
        <v>355</v>
      </c>
      <c r="E3" s="11" t="s">
        <v>9</v>
      </c>
      <c r="F3" s="12"/>
      <c r="G3" s="11" t="s">
        <v>10</v>
      </c>
      <c r="H3" s="12"/>
      <c r="I3" s="11" t="s">
        <v>11</v>
      </c>
      <c r="J3" s="12"/>
      <c r="K3" s="11" t="s">
        <v>12</v>
      </c>
      <c r="L3" s="12"/>
      <c r="M3" s="11" t="s">
        <v>13</v>
      </c>
      <c r="N3" s="12"/>
      <c r="O3" s="11" t="s">
        <v>14</v>
      </c>
      <c r="P3" s="12"/>
      <c r="Q3" s="11" t="s">
        <v>15</v>
      </c>
      <c r="R3" s="12"/>
      <c r="S3" s="11" t="s">
        <v>16</v>
      </c>
      <c r="T3" s="12"/>
      <c r="U3" s="11" t="s">
        <v>17</v>
      </c>
      <c r="V3" s="12"/>
      <c r="W3" s="11" t="s">
        <v>18</v>
      </c>
      <c r="X3" s="12"/>
      <c r="Y3" s="11" t="s">
        <v>19</v>
      </c>
      <c r="Z3" s="12"/>
      <c r="AA3" s="11" t="s">
        <v>20</v>
      </c>
      <c r="AB3" s="12"/>
      <c r="AC3" s="17" t="s">
        <v>367</v>
      </c>
    </row>
    <row r="4" spans="1:29" x14ac:dyDescent="0.25">
      <c r="A4" s="20"/>
      <c r="B4" s="24" t="s">
        <v>23</v>
      </c>
      <c r="C4" s="24"/>
      <c r="D4" s="23"/>
      <c r="E4" s="4" t="s">
        <v>30</v>
      </c>
      <c r="F4" s="4" t="s">
        <v>3</v>
      </c>
      <c r="G4" s="4" t="s">
        <v>30</v>
      </c>
      <c r="H4" s="4" t="s">
        <v>3</v>
      </c>
      <c r="I4" s="4" t="s">
        <v>30</v>
      </c>
      <c r="J4" s="4" t="s">
        <v>3</v>
      </c>
      <c r="K4" s="4" t="s">
        <v>30</v>
      </c>
      <c r="L4" s="4" t="s">
        <v>3</v>
      </c>
      <c r="M4" s="4" t="s">
        <v>30</v>
      </c>
      <c r="N4" s="4" t="s">
        <v>3</v>
      </c>
      <c r="O4" s="4" t="s">
        <v>30</v>
      </c>
      <c r="P4" s="4" t="s">
        <v>3</v>
      </c>
      <c r="Q4" s="4" t="s">
        <v>30</v>
      </c>
      <c r="R4" s="4" t="s">
        <v>3</v>
      </c>
      <c r="S4" s="4" t="s">
        <v>30</v>
      </c>
      <c r="T4" s="4" t="s">
        <v>3</v>
      </c>
      <c r="U4" s="4" t="s">
        <v>30</v>
      </c>
      <c r="V4" s="4" t="s">
        <v>3</v>
      </c>
      <c r="W4" s="4" t="s">
        <v>30</v>
      </c>
      <c r="X4" s="4" t="s">
        <v>3</v>
      </c>
      <c r="Y4" s="4" t="s">
        <v>30</v>
      </c>
      <c r="Z4" s="4" t="s">
        <v>3</v>
      </c>
      <c r="AA4" s="4" t="s">
        <v>30</v>
      </c>
      <c r="AB4" s="4" t="s">
        <v>3</v>
      </c>
      <c r="AC4" s="113" t="s">
        <v>48</v>
      </c>
    </row>
    <row r="5" spans="1:29" x14ac:dyDescent="0.25">
      <c r="A5" s="114" t="s">
        <v>41</v>
      </c>
      <c r="B5" s="115">
        <v>1</v>
      </c>
      <c r="C5" s="116">
        <v>4</v>
      </c>
      <c r="D5" s="117" t="s">
        <v>43</v>
      </c>
      <c r="E5" s="119">
        <f>'2020'!I10</f>
      </c>
      <c r="F5" s="119">
        <f>'2020'!J10</f>
      </c>
      <c r="G5" s="119">
        <f>'2020'!M10</f>
      </c>
      <c r="H5" s="119">
        <f>'2020'!N10</f>
      </c>
      <c r="I5" s="119">
        <f>'2020'!Q10</f>
      </c>
      <c r="J5" s="119">
        <f>'2020'!R10</f>
      </c>
      <c r="K5" s="119">
        <f>'2020'!U10</f>
      </c>
      <c r="L5" s="119">
        <f>'2020'!V10</f>
      </c>
      <c r="M5" s="119">
        <f>'2020'!Y10</f>
      </c>
      <c r="N5" s="119">
        <f>'2020'!Z10</f>
      </c>
      <c r="O5" s="119">
        <f>'2020'!AC10</f>
      </c>
      <c r="P5" s="119">
        <f>'2020'!AD10</f>
      </c>
      <c r="Q5" s="119">
        <f>'2020'!AG10</f>
      </c>
      <c r="R5" s="119">
        <f>'2020'!AH10</f>
      </c>
      <c r="S5" s="119">
        <f>'2020'!AK10</f>
      </c>
      <c r="T5" s="119">
        <f>'2020'!AL10</f>
      </c>
      <c r="U5" s="119">
        <f>'2020'!AO10</f>
      </c>
      <c r="V5" s="119">
        <f>'2020'!AP10</f>
      </c>
      <c r="W5" s="119">
        <f>'2020'!AS10</f>
      </c>
      <c r="X5" s="119">
        <f>'2020'!AT10</f>
      </c>
      <c r="Y5" s="119">
        <f>'2020'!AW10</f>
      </c>
      <c r="Z5" s="119">
        <f>'2020'!AX10</f>
      </c>
      <c r="AA5" s="119">
        <f>'2020'!BA10</f>
      </c>
      <c r="AB5" s="119">
        <f>'2020'!BB10</f>
      </c>
      <c r="AC5" s="119">
        <f>'2020'!BE10</f>
        <v>0</v>
      </c>
    </row>
    <row r="6" spans="1:29" x14ac:dyDescent="0.25">
      <c r="A6" s="14"/>
      <c r="B6" s="115">
        <v>2</v>
      </c>
      <c r="C6" s="115">
        <v>4.12</v>
      </c>
      <c r="D6" s="117" t="s">
        <v>359</v>
      </c>
      <c r="E6" s="119">
        <f>'2020'!I19</f>
        <v>145</v>
      </c>
      <c r="F6" s="119">
        <f>'2020'!J19</f>
      </c>
      <c r="G6" s="119">
        <f>'2020'!M19</f>
        <v>145</v>
      </c>
      <c r="H6" s="119">
        <f>'2020'!N19</f>
      </c>
      <c r="I6" s="119">
        <f>'2020'!Q19</f>
        <v>145</v>
      </c>
      <c r="J6" s="119">
        <f>'2020'!R19</f>
      </c>
      <c r="K6" s="119">
        <f>'2020'!U19</f>
        <v>2</v>
      </c>
      <c r="L6" s="119">
        <f>'2020'!V19</f>
      </c>
      <c r="M6" s="119">
        <f>'2020'!Y19</f>
        <v>2</v>
      </c>
      <c r="N6" s="119">
        <f>'2020'!Z19</f>
        <v>0</v>
      </c>
      <c r="O6" s="119">
        <f>'2020'!AC19</f>
        <v>4</v>
      </c>
      <c r="P6" s="119">
        <f>'2020'!AD19</f>
        <v>2</v>
      </c>
      <c r="Q6" s="119">
        <f>'2020'!AG19</f>
        <v>11</v>
      </c>
      <c r="R6" s="119">
        <f>'2020'!AH19</f>
        <v>7</v>
      </c>
      <c r="S6" s="119">
        <f>'2020'!AK19</f>
        <v>13</v>
      </c>
      <c r="T6" s="119">
        <f>'2020'!AL19</f>
        <v>2</v>
      </c>
      <c r="U6" s="119">
        <f>'2020'!AO19</f>
        <v>14</v>
      </c>
      <c r="V6" s="119">
        <f>'2020'!AP19</f>
        <v>1</v>
      </c>
      <c r="W6" s="119">
        <f>'2020'!AS19</f>
        <v>14</v>
      </c>
      <c r="X6" s="119">
        <f>'2020'!AT19</f>
        <v>0</v>
      </c>
      <c r="Y6" s="119">
        <f>'2020'!AW19</f>
        <v>14</v>
      </c>
      <c r="Z6" s="119">
        <f>'2020'!AX19</f>
        <v>0</v>
      </c>
      <c r="AA6" s="119">
        <f>'2020'!BA19</f>
        <v>14</v>
      </c>
      <c r="AB6" s="119">
        <f>'2020'!BB19</f>
        <v>0</v>
      </c>
      <c r="AC6" s="119">
        <f>'2020'!BE19</f>
        <v>12</v>
      </c>
    </row>
    <row r="7" spans="1:29" x14ac:dyDescent="0.25">
      <c r="A7" s="14"/>
      <c r="B7" s="115">
        <v>3</v>
      </c>
      <c r="C7" s="116">
        <v>4</v>
      </c>
      <c r="D7" s="117" t="s">
        <v>60</v>
      </c>
      <c r="E7" s="119">
        <f>'2020'!I28</f>
        <v>229</v>
      </c>
      <c r="F7" s="119">
        <f>'2020'!J28</f>
      </c>
      <c r="G7" s="119">
        <f>'2020'!M28</f>
        <v>229</v>
      </c>
      <c r="H7" s="119">
        <f>'2020'!N28</f>
      </c>
      <c r="I7" s="119">
        <f>'2020'!Q28</f>
        <v>229</v>
      </c>
      <c r="J7" s="119">
        <f>'2020'!R28</f>
      </c>
      <c r="K7" s="119">
        <f>'2020'!U28</f>
        <v>235</v>
      </c>
      <c r="L7" s="119">
        <f>'2020'!V28</f>
        <v>6</v>
      </c>
      <c r="M7" s="119">
        <f>'2020'!Y28</f>
        <v>235</v>
      </c>
      <c r="N7" s="119">
        <f>'2020'!Z28</f>
        <v>0</v>
      </c>
      <c r="O7" s="119">
        <f>'2020'!AC28</f>
        <v>248</v>
      </c>
      <c r="P7" s="119">
        <f>'2020'!AD28</f>
        <v>13</v>
      </c>
      <c r="Q7" s="119">
        <f>'2020'!AG28</f>
        <v>248</v>
      </c>
      <c r="R7" s="119">
        <f>'2020'!AH28</f>
        <v>0</v>
      </c>
      <c r="S7" s="119">
        <f>'2020'!AK28</f>
        <v>280</v>
      </c>
      <c r="T7" s="119">
        <f>'2020'!AL28</f>
        <v>32</v>
      </c>
      <c r="U7" s="119">
        <f>'2020'!AO28</f>
        <v>280</v>
      </c>
      <c r="V7" s="119">
        <f>'2020'!AP28</f>
        <v>0</v>
      </c>
      <c r="W7" s="119">
        <f>'2020'!AS28</f>
        <v>280</v>
      </c>
      <c r="X7" s="119">
        <f>'2020'!AT28</f>
        <v>0</v>
      </c>
      <c r="Y7" s="119">
        <f>'2020'!AW28</f>
        <v>280</v>
      </c>
      <c r="Z7" s="119">
        <f>'2020'!AX28</f>
        <v>0</v>
      </c>
      <c r="AA7" s="119">
        <f>'2020'!BA28</f>
        <v>280</v>
      </c>
      <c r="AB7" s="119">
        <f>'2020'!BB28</f>
        <v>0</v>
      </c>
      <c r="AC7" s="119">
        <f>'2020'!BE28</f>
        <v>51</v>
      </c>
    </row>
    <row r="8" spans="1:29" x14ac:dyDescent="0.25">
      <c r="A8" s="14"/>
      <c r="B8" s="115">
        <v>4</v>
      </c>
      <c r="C8" s="115">
        <v>3.95</v>
      </c>
      <c r="D8" s="117" t="s">
        <v>64</v>
      </c>
      <c r="E8" s="119">
        <f>'2020'!I37</f>
        <v>18</v>
      </c>
      <c r="F8" s="119">
        <f>'2020'!J37</f>
      </c>
      <c r="G8" s="119">
        <f>'2020'!M37</f>
        <v>18</v>
      </c>
      <c r="H8" s="119">
        <f>'2020'!N37</f>
      </c>
      <c r="I8" s="119">
        <f>'2020'!Q37</f>
        <v>18</v>
      </c>
      <c r="J8" s="119">
        <f>'2020'!R37</f>
      </c>
      <c r="K8" s="119">
        <f>'2020'!U37</f>
        <v>20</v>
      </c>
      <c r="L8" s="119">
        <f>'2020'!V37</f>
        <v>2</v>
      </c>
      <c r="M8" s="119">
        <f>'2020'!Y37</f>
        <v>21</v>
      </c>
      <c r="N8" s="119">
        <f>'2020'!Z37</f>
        <v>1</v>
      </c>
      <c r="O8" s="119">
        <f>'2020'!AC37</f>
        <v>21</v>
      </c>
      <c r="P8" s="119">
        <f>'2020'!AD37</f>
        <v>0</v>
      </c>
      <c r="Q8" s="119">
        <f>'2020'!AG37</f>
        <v>21</v>
      </c>
      <c r="R8" s="119">
        <f>'2020'!AH37</f>
        <v>0</v>
      </c>
      <c r="S8" s="119">
        <f>'2020'!AK37</f>
        <v>21</v>
      </c>
      <c r="T8" s="119">
        <f>'2020'!AL37</f>
        <v>0</v>
      </c>
      <c r="U8" s="119">
        <f>'2020'!AO37</f>
        <v>21</v>
      </c>
      <c r="V8" s="119">
        <f>'2020'!AP37</f>
        <v>0</v>
      </c>
      <c r="W8" s="119">
        <f>'2020'!AS37</f>
        <v>21</v>
      </c>
      <c r="X8" s="119">
        <f>'2020'!AT37</f>
        <v>0</v>
      </c>
      <c r="Y8" s="119">
        <f>'2020'!AW37</f>
        <v>21</v>
      </c>
      <c r="Z8" s="119">
        <f>'2020'!AX37</f>
        <v>0</v>
      </c>
      <c r="AA8" s="119">
        <f>'2020'!BA37</f>
        <v>21</v>
      </c>
      <c r="AB8" s="119">
        <f>'2020'!BB37</f>
        <v>0</v>
      </c>
      <c r="AC8" s="119">
        <f>'2020'!BE37</f>
        <v>3</v>
      </c>
    </row>
    <row r="9" spans="1:29" x14ac:dyDescent="0.25">
      <c r="A9" s="14"/>
      <c r="B9" s="115">
        <v>5</v>
      </c>
      <c r="C9" s="115">
        <v>5.08</v>
      </c>
      <c r="D9" s="2" t="s">
        <v>488</v>
      </c>
      <c r="E9" s="119">
        <f>'2020'!I46</f>
        <v>152</v>
      </c>
      <c r="F9" s="119">
        <f>'2020'!J46</f>
      </c>
      <c r="G9" s="119">
        <f>'2020'!M46</f>
        <v>152</v>
      </c>
      <c r="H9" s="119">
        <f>'2020'!N46</f>
      </c>
      <c r="I9" s="119">
        <f>'2020'!Q46</f>
        <v>152</v>
      </c>
      <c r="J9" s="119">
        <f>'2020'!R46</f>
      </c>
      <c r="K9" s="119">
        <f>'2020'!U46</f>
        <v>154</v>
      </c>
      <c r="L9" s="119">
        <f>'2020'!V46</f>
        <v>2</v>
      </c>
      <c r="M9" s="119">
        <f>'2020'!Y46</f>
        <v>156</v>
      </c>
      <c r="N9" s="119">
        <f>'2020'!Z46</f>
        <v>2</v>
      </c>
      <c r="O9" s="119">
        <f>'2020'!AC46</f>
        <v>159</v>
      </c>
      <c r="P9" s="119">
        <f>'2020'!AD46</f>
        <v>3</v>
      </c>
      <c r="Q9" s="119">
        <f>'2020'!AG46</f>
        <v>165</v>
      </c>
      <c r="R9" s="119">
        <f>'2020'!AH46</f>
        <v>6</v>
      </c>
      <c r="S9" s="119">
        <f>'2020'!AK46</f>
        <v>168</v>
      </c>
      <c r="T9" s="119">
        <f>'2020'!AL46</f>
        <v>3</v>
      </c>
      <c r="U9" s="119">
        <f>'2020'!AO46</f>
        <v>176</v>
      </c>
      <c r="V9" s="119">
        <f>'2020'!AP46</f>
        <v>8</v>
      </c>
      <c r="W9" s="119">
        <f>'2020'!AS46</f>
        <v>181</v>
      </c>
      <c r="X9" s="119">
        <f>'2020'!AT46</f>
        <v>5</v>
      </c>
      <c r="Y9" s="119">
        <f>'2020'!AW46</f>
        <v>181</v>
      </c>
      <c r="Z9" s="119">
        <f>'2020'!AX46</f>
        <v>0</v>
      </c>
      <c r="AA9" s="119">
        <f>'2020'!BA46</f>
        <v>181</v>
      </c>
      <c r="AB9" s="119">
        <f>'2020'!BB46</f>
        <v>0</v>
      </c>
      <c r="AC9" s="119">
        <f>'2020'!BE46</f>
        <v>29</v>
      </c>
    </row>
    <row r="10" spans="1:29" x14ac:dyDescent="0.25">
      <c r="A10" s="14"/>
      <c r="B10" s="115">
        <v>6</v>
      </c>
      <c r="C10" s="115">
        <v>4.01</v>
      </c>
      <c r="D10" s="117" t="s">
        <v>70</v>
      </c>
      <c r="E10" s="119">
        <f>'2020'!I55</f>
        <v>250</v>
      </c>
      <c r="F10" s="119">
        <f>'2020'!J55</f>
      </c>
      <c r="G10" s="119">
        <f>'2020'!M55</f>
        <v>250</v>
      </c>
      <c r="H10" s="119">
        <f>'2020'!N55</f>
      </c>
      <c r="I10" s="119">
        <f>'2020'!Q55</f>
        <v>250</v>
      </c>
      <c r="J10" s="119">
        <f>'2020'!R55</f>
      </c>
      <c r="K10" s="119">
        <f>'2020'!U55</f>
        <v>252</v>
      </c>
      <c r="L10" s="119">
        <f>'2020'!V55</f>
        <v>2</v>
      </c>
      <c r="M10" s="119">
        <f>'2020'!Y55</f>
        <v>252</v>
      </c>
      <c r="N10" s="119">
        <f>'2020'!Z55</f>
        <v>0</v>
      </c>
      <c r="O10" s="119">
        <f>'2020'!AC55</f>
        <v>252</v>
      </c>
      <c r="P10" s="119">
        <f>'2020'!AD55</f>
        <v>0</v>
      </c>
      <c r="Q10" s="119">
        <f>'2020'!AG55</f>
        <v>252</v>
      </c>
      <c r="R10" s="119">
        <f>'2020'!AH55</f>
        <v>0</v>
      </c>
      <c r="S10" s="119">
        <f>'2020'!AK55</f>
        <v>268</v>
      </c>
      <c r="T10" s="119">
        <f>'2020'!AL55</f>
        <v>16</v>
      </c>
      <c r="U10" s="119">
        <f>'2020'!AO55</f>
        <v>268</v>
      </c>
      <c r="V10" s="119">
        <f>'2020'!AP55</f>
        <v>0</v>
      </c>
      <c r="W10" s="119">
        <f>'2020'!AS55</f>
        <v>268</v>
      </c>
      <c r="X10" s="119">
        <f>'2020'!AT55</f>
        <v>0</v>
      </c>
      <c r="Y10" s="119">
        <f>'2020'!AW55</f>
        <v>268</v>
      </c>
      <c r="Z10" s="119">
        <f>'2020'!AX55</f>
        <v>0</v>
      </c>
      <c r="AA10" s="119">
        <f>'2020'!BA55</f>
        <v>268</v>
      </c>
      <c r="AB10" s="119">
        <f>'2020'!BB55</f>
        <v>0</v>
      </c>
      <c r="AC10" s="119">
        <f>'2020'!BE55</f>
        <v>18</v>
      </c>
    </row>
    <row r="11" spans="1:29" x14ac:dyDescent="0.25">
      <c r="A11" s="14"/>
      <c r="B11" s="115">
        <v>7</v>
      </c>
      <c r="C11" s="115">
        <v>4.85</v>
      </c>
      <c r="D11" s="117" t="s">
        <v>74</v>
      </c>
      <c r="E11" s="119">
        <f>'2020'!I64</f>
        <v>56</v>
      </c>
      <c r="F11" s="119">
        <f>'2020'!J64</f>
      </c>
      <c r="G11" s="119">
        <f>'2020'!M64</f>
        <v>56</v>
      </c>
      <c r="H11" s="119">
        <f>'2020'!N64</f>
      </c>
      <c r="I11" s="119">
        <f>'2020'!Q64</f>
        <v>56</v>
      </c>
      <c r="J11" s="119">
        <f>'2020'!R64</f>
      </c>
      <c r="K11" s="119">
        <f>'2020'!U64</f>
        <v>58</v>
      </c>
      <c r="L11" s="119">
        <f>'2020'!V64</f>
        <v>2</v>
      </c>
      <c r="M11" s="119">
        <f>'2020'!Y64</f>
        <v>58</v>
      </c>
      <c r="N11" s="119">
        <f>'2020'!Z64</f>
        <v>0</v>
      </c>
      <c r="O11" s="119">
        <f>'2020'!AC64</f>
        <v>58</v>
      </c>
      <c r="P11" s="119">
        <f>'2020'!AD64</f>
        <v>0</v>
      </c>
      <c r="Q11" s="119">
        <f>'2020'!AG64</f>
        <v>58</v>
      </c>
      <c r="R11" s="119">
        <f>'2020'!AH64</f>
        <v>0</v>
      </c>
      <c r="S11" s="119">
        <f>'2020'!AK64</f>
        <v>58</v>
      </c>
      <c r="T11" s="119">
        <f>'2020'!AL64</f>
        <v>0</v>
      </c>
      <c r="U11" s="119">
        <f>'2020'!AO64</f>
        <v>58</v>
      </c>
      <c r="V11" s="119">
        <f>'2020'!AP64</f>
        <v>0</v>
      </c>
      <c r="W11" s="119">
        <f>'2020'!AS64</f>
        <v>60</v>
      </c>
      <c r="X11" s="119">
        <f>'2020'!AT64</f>
        <v>2</v>
      </c>
      <c r="Y11" s="119">
        <f>'2020'!AW64</f>
        <v>60</v>
      </c>
      <c r="Z11" s="119">
        <f>'2020'!AX64</f>
        <v>0</v>
      </c>
      <c r="AA11" s="119">
        <f>'2020'!BA64</f>
        <v>60</v>
      </c>
      <c r="AB11" s="119">
        <f>'2020'!BB64</f>
        <v>0</v>
      </c>
      <c r="AC11" s="119">
        <f>'2020'!BE64</f>
        <v>4</v>
      </c>
    </row>
    <row r="12" spans="1:29" x14ac:dyDescent="0.25">
      <c r="A12" s="14"/>
      <c r="B12" s="115">
        <v>8</v>
      </c>
      <c r="C12" s="116">
        <v>4</v>
      </c>
      <c r="D12" s="2" t="s">
        <v>383</v>
      </c>
      <c r="E12" s="119">
        <f>'2020'!I73</f>
        <v>12</v>
      </c>
      <c r="F12" s="119">
        <f>'2020'!J73</f>
      </c>
      <c r="G12" s="119">
        <f>'2020'!M73</f>
        <v>12</v>
      </c>
      <c r="H12" s="119">
        <f>'2020'!N73</f>
      </c>
      <c r="I12" s="119">
        <f>'2020'!Q73</f>
        <v>12</v>
      </c>
      <c r="J12" s="119">
        <f>'2020'!R73</f>
      </c>
      <c r="K12" s="119">
        <f>'2020'!U73</f>
        <v>13</v>
      </c>
      <c r="L12" s="119">
        <f>'2020'!V73</f>
        <v>1</v>
      </c>
      <c r="M12" s="119">
        <f>'2020'!Y73</f>
        <v>13</v>
      </c>
      <c r="N12" s="119">
        <f>'2020'!Z73</f>
        <v>0</v>
      </c>
      <c r="O12" s="119">
        <f>'2020'!AC73</f>
        <v>20</v>
      </c>
      <c r="P12" s="119">
        <f>'2020'!AD73</f>
        <v>7</v>
      </c>
      <c r="Q12" s="119">
        <f>'2020'!AG73</f>
        <v>29</v>
      </c>
      <c r="R12" s="119">
        <f>'2020'!AH73</f>
        <v>9</v>
      </c>
      <c r="S12" s="119">
        <f>'2020'!AK73</f>
        <v>29</v>
      </c>
      <c r="T12" s="119">
        <f>'2020'!AL73</f>
        <v>0</v>
      </c>
      <c r="U12" s="119">
        <f>'2020'!AO73</f>
        <v>32</v>
      </c>
      <c r="V12" s="119">
        <f>'2020'!AP73</f>
        <v>3</v>
      </c>
      <c r="W12" s="119">
        <f>'2020'!AS73</f>
        <v>32</v>
      </c>
      <c r="X12" s="119">
        <f>'2020'!AT73</f>
        <v>0</v>
      </c>
      <c r="Y12" s="119">
        <f>'2020'!AW73</f>
        <v>32</v>
      </c>
      <c r="Z12" s="119">
        <f>'2020'!AX73</f>
        <v>0</v>
      </c>
      <c r="AA12" s="119">
        <f>'2020'!BA73</f>
        <v>32</v>
      </c>
      <c r="AB12" s="119">
        <f>'2020'!BB73</f>
        <v>0</v>
      </c>
      <c r="AC12" s="119">
        <f>'2020'!BE73</f>
        <v>20</v>
      </c>
    </row>
    <row r="13" spans="1:29" x14ac:dyDescent="0.25">
      <c r="A13" s="14"/>
      <c r="B13" s="115">
        <v>9</v>
      </c>
      <c r="C13" s="115">
        <v>4.03</v>
      </c>
      <c r="D13" s="117" t="s">
        <v>82</v>
      </c>
      <c r="E13" s="119">
        <f>'2020'!I82</f>
        <v>120</v>
      </c>
      <c r="F13" s="119">
        <f>'2020'!J82</f>
      </c>
      <c r="G13" s="119">
        <f>'2020'!M82</f>
        <v>120</v>
      </c>
      <c r="H13" s="119">
        <f>'2020'!N82</f>
      </c>
      <c r="I13" s="119">
        <f>'2020'!Q82</f>
        <v>120</v>
      </c>
      <c r="J13" s="119">
        <f>'2020'!R82</f>
      </c>
      <c r="K13" s="119">
        <f>'2020'!U82</f>
        <v>121</v>
      </c>
      <c r="L13" s="119">
        <f>'2020'!V82</f>
        <v>1</v>
      </c>
      <c r="M13" s="119">
        <f>'2020'!Y82</f>
        <v>121</v>
      </c>
      <c r="N13" s="119">
        <f>'2020'!Z82</f>
        <v>0</v>
      </c>
      <c r="O13" s="119">
        <f>'2020'!AC82</f>
        <v>132</v>
      </c>
      <c r="P13" s="119">
        <f>'2020'!AD82</f>
        <v>11</v>
      </c>
      <c r="Q13" s="119">
        <f>'2020'!AG82</f>
        <v>143</v>
      </c>
      <c r="R13" s="119">
        <f>'2020'!AH82</f>
        <v>11</v>
      </c>
      <c r="S13" s="119">
        <f>'2020'!AK82</f>
        <v>147</v>
      </c>
      <c r="T13" s="119">
        <f>'2020'!AL82</f>
        <v>4</v>
      </c>
      <c r="U13" s="119">
        <f>'2020'!AO82</f>
        <v>148</v>
      </c>
      <c r="V13" s="119">
        <f>'2020'!AP82</f>
        <v>1</v>
      </c>
      <c r="W13" s="119">
        <f>'2020'!AS82</f>
        <v>148</v>
      </c>
      <c r="X13" s="119">
        <f>'2020'!AT82</f>
        <v>0</v>
      </c>
      <c r="Y13" s="119">
        <f>'2020'!AW82</f>
        <v>148</v>
      </c>
      <c r="Z13" s="119">
        <f>'2020'!AX82</f>
        <v>0</v>
      </c>
      <c r="AA13" s="119">
        <f>'2020'!BA82</f>
        <v>148</v>
      </c>
      <c r="AB13" s="119">
        <f>'2020'!BB82</f>
        <v>0</v>
      </c>
      <c r="AC13" s="119">
        <f>'2020'!BE82</f>
        <v>28</v>
      </c>
    </row>
    <row r="14" spans="1:29" x14ac:dyDescent="0.25">
      <c r="A14" s="14"/>
      <c r="B14" s="115">
        <v>10</v>
      </c>
      <c r="C14" s="115">
        <v>4.01</v>
      </c>
      <c r="D14" s="117" t="s">
        <v>86</v>
      </c>
      <c r="E14" s="119">
        <f>'2020'!I91</f>
        <v>24</v>
      </c>
      <c r="F14" s="119">
        <f>'2020'!J91</f>
      </c>
      <c r="G14" s="119">
        <f>'2020'!M91</f>
        <v>24</v>
      </c>
      <c r="H14" s="119">
        <f>'2020'!N91</f>
      </c>
      <c r="I14" s="119">
        <f>'2020'!Q91</f>
        <v>24</v>
      </c>
      <c r="J14" s="119">
        <f>'2020'!R91</f>
      </c>
      <c r="K14" s="119">
        <f>'2020'!U91</f>
        <v>26</v>
      </c>
      <c r="L14" s="119">
        <f>'2020'!V91</f>
        <v>2</v>
      </c>
      <c r="M14" s="119">
        <f>'2020'!Y91</f>
        <v>26</v>
      </c>
      <c r="N14" s="119">
        <f>'2020'!Z91</f>
        <v>0</v>
      </c>
      <c r="O14" s="119">
        <f>'2020'!AC91</f>
        <v>26</v>
      </c>
      <c r="P14" s="119">
        <f>'2020'!AD91</f>
        <v>0</v>
      </c>
      <c r="Q14" s="119">
        <f>'2020'!AG91</f>
        <v>42</v>
      </c>
      <c r="R14" s="119">
        <f>'2020'!AH91</f>
        <v>16</v>
      </c>
      <c r="S14" s="119">
        <f>'2020'!AK91</f>
        <v>50</v>
      </c>
      <c r="T14" s="119">
        <f>'2020'!AL91</f>
        <v>8</v>
      </c>
      <c r="U14" s="119">
        <f>'2020'!AO91</f>
        <v>50</v>
      </c>
      <c r="V14" s="119">
        <f>'2020'!AP91</f>
        <v>0</v>
      </c>
      <c r="W14" s="119">
        <f>'2020'!AS91</f>
        <v>50</v>
      </c>
      <c r="X14" s="119">
        <f>'2020'!AT91</f>
        <v>0</v>
      </c>
      <c r="Y14" s="119">
        <f>'2020'!AW91</f>
        <v>50</v>
      </c>
      <c r="Z14" s="119">
        <f>'2020'!AX91</f>
        <v>0</v>
      </c>
      <c r="AA14" s="119">
        <f>'2020'!BA91</f>
        <v>50</v>
      </c>
      <c r="AB14" s="119">
        <f>'2020'!BB91</f>
        <v>0</v>
      </c>
      <c r="AC14" s="119">
        <f>'2020'!BE91</f>
        <v>26</v>
      </c>
    </row>
    <row r="15" spans="1:29" x14ac:dyDescent="0.25">
      <c r="A15" s="14"/>
      <c r="B15" s="115">
        <v>11</v>
      </c>
      <c r="C15" s="115">
        <v>4.02</v>
      </c>
      <c r="D15" s="117" t="s">
        <v>89</v>
      </c>
      <c r="E15" s="119">
        <f>'2020'!I100</f>
        <v>10</v>
      </c>
      <c r="F15" s="119">
        <f>'2020'!J100</f>
      </c>
      <c r="G15" s="119">
        <f>'2020'!M100</f>
        <v>10</v>
      </c>
      <c r="H15" s="119">
        <f>'2020'!N100</f>
      </c>
      <c r="I15" s="119">
        <f>'2020'!Q100</f>
        <v>10</v>
      </c>
      <c r="J15" s="119">
        <f>'2020'!R100</f>
      </c>
      <c r="K15" s="119">
        <f>'2020'!U100</f>
        <v>10</v>
      </c>
      <c r="L15" s="119">
        <f>'2020'!V100</f>
        <v>0</v>
      </c>
      <c r="M15" s="119">
        <f>'2020'!Y100</f>
        <v>10</v>
      </c>
      <c r="N15" s="119">
        <f>'2020'!Z100</f>
        <v>0</v>
      </c>
      <c r="O15" s="119">
        <f>'2020'!AC100</f>
        <v>10</v>
      </c>
      <c r="P15" s="119">
        <f>'2020'!AD100</f>
        <v>0</v>
      </c>
      <c r="Q15" s="119">
        <f>'2020'!AG100</f>
        <v>10</v>
      </c>
      <c r="R15" s="119">
        <f>'2020'!AH100</f>
        <v>0</v>
      </c>
      <c r="S15" s="119">
        <f>'2020'!AK100</f>
        <v>10</v>
      </c>
      <c r="T15" s="119">
        <f>'2020'!AL100</f>
        <v>0</v>
      </c>
      <c r="U15" s="119">
        <f>'2020'!AO100</f>
        <v>10</v>
      </c>
      <c r="V15" s="119">
        <f>'2020'!AP100</f>
        <v>0</v>
      </c>
      <c r="W15" s="119">
        <f>'2020'!AS100</f>
        <v>10</v>
      </c>
      <c r="X15" s="119">
        <f>'2020'!AT100</f>
        <v>0</v>
      </c>
      <c r="Y15" s="119">
        <f>'2020'!AW100</f>
        <v>10</v>
      </c>
      <c r="Z15" s="119">
        <f>'2020'!AX100</f>
        <v>0</v>
      </c>
      <c r="AA15" s="119">
        <f>'2020'!BA100</f>
        <v>10</v>
      </c>
      <c r="AB15" s="119">
        <f>'2020'!BB100</f>
        <v>0</v>
      </c>
      <c r="AC15" s="119">
        <f>'2020'!BE100</f>
        <v>0</v>
      </c>
    </row>
    <row r="16" spans="1:29" x14ac:dyDescent="0.25">
      <c r="A16" s="14"/>
      <c r="B16" s="115">
        <v>12</v>
      </c>
      <c r="C16" s="115">
        <v>4.02</v>
      </c>
      <c r="D16" s="117" t="s">
        <v>92</v>
      </c>
      <c r="E16" s="119">
        <f>'2020'!I109</f>
      </c>
      <c r="F16" s="119">
        <f>'2020'!J109</f>
      </c>
      <c r="G16" s="119">
        <f>'2020'!M109</f>
      </c>
      <c r="H16" s="119">
        <f>'2020'!N109</f>
      </c>
      <c r="I16" s="119">
        <f>'2020'!Q109</f>
      </c>
      <c r="J16" s="119">
        <f>'2020'!R109</f>
      </c>
      <c r="K16" s="119">
        <f>'2020'!U109</f>
      </c>
      <c r="L16" s="119">
        <f>'2020'!V109</f>
      </c>
      <c r="M16" s="119">
        <f>'2020'!Y109</f>
      </c>
      <c r="N16" s="119">
        <f>'2020'!Z109</f>
      </c>
      <c r="O16" s="119">
        <f>'2020'!AC109</f>
      </c>
      <c r="P16" s="119">
        <f>'2020'!AD109</f>
      </c>
      <c r="Q16" s="119">
        <f>'2020'!AG109</f>
      </c>
      <c r="R16" s="119">
        <f>'2020'!AH109</f>
      </c>
      <c r="S16" s="119">
        <f>'2020'!AK109</f>
      </c>
      <c r="T16" s="119">
        <f>'2020'!AL109</f>
      </c>
      <c r="U16" s="119">
        <f>'2020'!AO109</f>
      </c>
      <c r="V16" s="119">
        <f>'2020'!AP109</f>
        <v>0</v>
      </c>
      <c r="W16" s="119">
        <f>'2020'!AS109</f>
      </c>
      <c r="X16" s="119">
        <f>'2020'!AT109</f>
        <v>0</v>
      </c>
      <c r="Y16" s="119">
        <f>'2020'!AW109</f>
      </c>
      <c r="Z16" s="119">
        <f>'2020'!AX109</f>
        <v>0</v>
      </c>
      <c r="AA16" s="119">
        <f>'2020'!BA109</f>
      </c>
      <c r="AB16" s="119">
        <f>'2020'!BB109</f>
        <v>0</v>
      </c>
      <c r="AC16" s="119">
        <f>'2020'!BE109</f>
        <v>0</v>
      </c>
    </row>
    <row r="17" spans="1:29" x14ac:dyDescent="0.25">
      <c r="A17" s="14"/>
      <c r="B17" s="115" t="s">
        <v>96</v>
      </c>
      <c r="C17" s="115">
        <v>3.94</v>
      </c>
      <c r="D17" s="117" t="s">
        <v>97</v>
      </c>
      <c r="E17" s="119">
        <f>'2020'!I118</f>
        <v>30</v>
      </c>
      <c r="F17" s="119">
        <f>'2020'!J118</f>
      </c>
      <c r="G17" s="119">
        <f>'2020'!M118</f>
        <v>30</v>
      </c>
      <c r="H17" s="119">
        <f>'2020'!N118</f>
      </c>
      <c r="I17" s="119">
        <f>'2020'!Q118</f>
        <v>30</v>
      </c>
      <c r="J17" s="119">
        <f>'2020'!R118</f>
      </c>
      <c r="K17" s="119">
        <f>'2020'!U118</f>
        <v>30</v>
      </c>
      <c r="L17" s="119">
        <f>'2020'!V118</f>
        <v>0</v>
      </c>
      <c r="M17" s="119">
        <f>'2020'!Y118</f>
        <v>30</v>
      </c>
      <c r="N17" s="119">
        <f>'2020'!Z118</f>
        <v>0</v>
      </c>
      <c r="O17" s="119">
        <f>'2020'!AC118</f>
        <v>37</v>
      </c>
      <c r="P17" s="119">
        <f>'2020'!AD118</f>
        <v>7</v>
      </c>
      <c r="Q17" s="119">
        <f>'2020'!AG118</f>
        <v>47</v>
      </c>
      <c r="R17" s="119">
        <f>'2020'!AH118</f>
        <v>10</v>
      </c>
      <c r="S17" s="119">
        <f>'2020'!AK118</f>
        <v>51</v>
      </c>
      <c r="T17" s="119">
        <f>'2020'!AL118</f>
        <v>4</v>
      </c>
      <c r="U17" s="119">
        <f>'2020'!AO118</f>
        <v>54</v>
      </c>
      <c r="V17" s="119">
        <f>'2020'!AP118</f>
        <v>3</v>
      </c>
      <c r="W17" s="119">
        <f>'2020'!AS118</f>
        <v>55</v>
      </c>
      <c r="X17" s="119">
        <f>'2020'!AT118</f>
        <v>1</v>
      </c>
      <c r="Y17" s="119">
        <f>'2020'!AW118</f>
        <v>55</v>
      </c>
      <c r="Z17" s="119">
        <f>'2020'!AX118</f>
        <v>0</v>
      </c>
      <c r="AA17" s="119">
        <f>'2020'!BA118</f>
        <v>55</v>
      </c>
      <c r="AB17" s="119">
        <f>'2020'!BB118</f>
        <v>0</v>
      </c>
      <c r="AC17" s="119">
        <f>'2020'!BE118</f>
        <v>25</v>
      </c>
    </row>
    <row r="18" spans="1:29" x14ac:dyDescent="0.25">
      <c r="A18" s="14"/>
      <c r="B18" s="115" t="s">
        <v>96</v>
      </c>
      <c r="C18" s="116">
        <v>4</v>
      </c>
      <c r="D18" s="117" t="s">
        <v>97</v>
      </c>
      <c r="E18" s="119">
        <f>'2020'!I127</f>
        <v>38</v>
      </c>
      <c r="F18" s="119">
        <f>'2020'!J127</f>
      </c>
      <c r="G18" s="119">
        <f>'2020'!M127</f>
        <v>38</v>
      </c>
      <c r="H18" s="119">
        <f>'2020'!N127</f>
      </c>
      <c r="I18" s="119">
        <f>'2020'!Q127</f>
        <v>38</v>
      </c>
      <c r="J18" s="119">
        <f>'2020'!R127</f>
      </c>
      <c r="K18" s="119">
        <f>'2020'!U127</f>
        <v>38</v>
      </c>
      <c r="L18" s="119">
        <f>'2020'!V127</f>
        <v>0</v>
      </c>
      <c r="M18" s="119">
        <f>'2020'!Y127</f>
        <v>38</v>
      </c>
      <c r="N18" s="119">
        <f>'2020'!Z127</f>
        <v>0</v>
      </c>
      <c r="O18" s="119">
        <f>'2020'!AC127</f>
        <v>38</v>
      </c>
      <c r="P18" s="119">
        <f>'2020'!AD127</f>
        <v>0</v>
      </c>
      <c r="Q18" s="119">
        <f>'2020'!AG127</f>
        <v>38</v>
      </c>
      <c r="R18" s="119">
        <f>'2020'!AH127</f>
        <v>0</v>
      </c>
      <c r="S18" s="119">
        <f>'2020'!AK127</f>
        <v>38</v>
      </c>
      <c r="T18" s="119">
        <f>'2020'!AL127</f>
        <v>0</v>
      </c>
      <c r="U18" s="119">
        <f>'2020'!AO127</f>
        <v>38</v>
      </c>
      <c r="V18" s="119">
        <f>'2020'!AP127</f>
        <v>0</v>
      </c>
      <c r="W18" s="119">
        <f>'2020'!AS127</f>
        <v>38</v>
      </c>
      <c r="X18" s="119">
        <f>'2020'!AT127</f>
        <v>0</v>
      </c>
      <c r="Y18" s="119">
        <f>'2020'!AW127</f>
        <v>38</v>
      </c>
      <c r="Z18" s="119">
        <f>'2020'!AX127</f>
        <v>0</v>
      </c>
      <c r="AA18" s="119">
        <f>'2020'!BA127</f>
        <v>38</v>
      </c>
      <c r="AB18" s="119">
        <f>'2020'!BB127</f>
        <v>0</v>
      </c>
      <c r="AC18" s="119">
        <f>'2020'!BE127</f>
        <v>0</v>
      </c>
    </row>
    <row r="19" spans="1:29" x14ac:dyDescent="0.25">
      <c r="A19" s="14"/>
      <c r="B19" s="115">
        <v>14</v>
      </c>
      <c r="C19" s="115">
        <v>4.02</v>
      </c>
      <c r="D19" s="117" t="s">
        <v>100</v>
      </c>
      <c r="E19" s="119">
        <f>'2020'!I136</f>
      </c>
      <c r="F19" s="119">
        <f>'2020'!J136</f>
      </c>
      <c r="G19" s="119">
        <f>'2020'!M136</f>
      </c>
      <c r="H19" s="119">
        <f>'2020'!N136</f>
      </c>
      <c r="I19" s="119">
        <f>'2020'!Q136</f>
      </c>
      <c r="J19" s="119">
        <f>'2020'!R136</f>
      </c>
      <c r="K19" s="119">
        <f>'2020'!U136</f>
        <v>466</v>
      </c>
      <c r="L19" s="119">
        <f>'2020'!V136</f>
        <v>0</v>
      </c>
      <c r="M19" s="119">
        <f>'2020'!Y136</f>
        <v>468</v>
      </c>
      <c r="N19" s="119">
        <f>'2020'!Z136</f>
        <v>2</v>
      </c>
      <c r="O19" s="119">
        <f>'2020'!AC136</f>
        <v>470</v>
      </c>
      <c r="P19" s="119">
        <f>'2020'!AD136</f>
        <v>2</v>
      </c>
      <c r="Q19" s="119">
        <f>'2020'!AG136</f>
        <v>475</v>
      </c>
      <c r="R19" s="119">
        <f>'2020'!AH136</f>
        <v>2</v>
      </c>
      <c r="S19" s="119">
        <f>'2020'!AK136</f>
        <v>477</v>
      </c>
      <c r="T19" s="119">
        <f>'2020'!AL136</f>
        <v>2</v>
      </c>
      <c r="U19" s="119">
        <f>'2020'!AO136</f>
        <v>477</v>
      </c>
      <c r="V19" s="119">
        <f>'2020'!AP136</f>
        <v>0</v>
      </c>
      <c r="W19" s="119">
        <f>'2020'!AS136</f>
        <v>477</v>
      </c>
      <c r="X19" s="119">
        <f>'2020'!AT136</f>
        <v>0</v>
      </c>
      <c r="Y19" s="119">
        <f>'2020'!AW136</f>
        <v>477</v>
      </c>
      <c r="Z19" s="119">
        <f>'2020'!AX136</f>
        <v>0</v>
      </c>
      <c r="AA19" s="119">
        <f>'2020'!BA136</f>
        <v>477</v>
      </c>
      <c r="AB19" s="119">
        <f>'2020'!BB136</f>
        <v>0</v>
      </c>
      <c r="AC19" s="119">
        <f>'2020'!BE136</f>
        <v>8</v>
      </c>
    </row>
    <row r="20" spans="1:29" x14ac:dyDescent="0.25">
      <c r="A20" s="14"/>
      <c r="B20" s="115">
        <v>16</v>
      </c>
      <c r="C20" s="115">
        <v>3.98</v>
      </c>
      <c r="D20" s="117" t="s">
        <v>103</v>
      </c>
      <c r="E20" s="119">
        <f>'2020'!I145</f>
        <v>110</v>
      </c>
      <c r="F20" s="119">
        <f>'2020'!J145</f>
      </c>
      <c r="G20" s="119">
        <f>'2020'!M145</f>
        <v>110</v>
      </c>
      <c r="H20" s="119">
        <f>'2020'!N145</f>
      </c>
      <c r="I20" s="119">
        <f>'2020'!Q145</f>
        <v>110</v>
      </c>
      <c r="J20" s="119">
        <f>'2020'!R145</f>
      </c>
      <c r="K20" s="119">
        <f>'2020'!U145</f>
        <v>110</v>
      </c>
      <c r="L20" s="119">
        <f>'2020'!V145</f>
        <v>0</v>
      </c>
      <c r="M20" s="119">
        <f>'2020'!Y145</f>
        <v>112</v>
      </c>
      <c r="N20" s="119">
        <f>'2020'!Z145</f>
        <v>2</v>
      </c>
      <c r="O20" s="119">
        <f>'2020'!AC145</f>
        <v>116</v>
      </c>
      <c r="P20" s="119">
        <f>'2020'!AD145</f>
        <v>4</v>
      </c>
      <c r="Q20" s="119">
        <f>'2020'!AG145</f>
        <v>122</v>
      </c>
      <c r="R20" s="119">
        <f>'2020'!AH145</f>
        <v>6</v>
      </c>
      <c r="S20" s="119">
        <f>'2020'!AK145</f>
        <v>125</v>
      </c>
      <c r="T20" s="119">
        <f>'2020'!AL145</f>
        <v>3</v>
      </c>
      <c r="U20" s="119">
        <f>'2020'!AO145</f>
        <v>126</v>
      </c>
      <c r="V20" s="119">
        <f>'2020'!AP145</f>
        <v>1</v>
      </c>
      <c r="W20" s="119">
        <f>'2020'!AS145</f>
        <v>126</v>
      </c>
      <c r="X20" s="119">
        <f>'2020'!AT145</f>
        <v>0</v>
      </c>
      <c r="Y20" s="119">
        <f>'2020'!AW145</f>
        <v>126</v>
      </c>
      <c r="Z20" s="119">
        <f>'2020'!AX145</f>
        <v>0</v>
      </c>
      <c r="AA20" s="119">
        <f>'2020'!BA145</f>
        <v>126</v>
      </c>
      <c r="AB20" s="119">
        <f>'2020'!BB145</f>
        <v>0</v>
      </c>
      <c r="AC20" s="119">
        <f>'2020'!BE145</f>
        <v>16</v>
      </c>
    </row>
    <row r="21" ht="15.75" customHeight="1" spans="1:29" x14ac:dyDescent="0.25">
      <c r="A21" s="14"/>
      <c r="B21" s="115">
        <v>17</v>
      </c>
      <c r="C21" s="116">
        <v>4</v>
      </c>
      <c r="D21" s="117" t="s">
        <v>106</v>
      </c>
      <c r="E21" s="119">
        <f>'2020'!I154</f>
        <v>69</v>
      </c>
      <c r="F21" s="119">
        <f>'2020'!J154</f>
      </c>
      <c r="G21" s="119">
        <f>'2020'!M154</f>
        <v>69</v>
      </c>
      <c r="H21" s="119">
        <f>'2020'!N154</f>
      </c>
      <c r="I21" s="119">
        <f>'2020'!Q154</f>
        <v>69</v>
      </c>
      <c r="J21" s="119">
        <f>'2020'!R154</f>
      </c>
      <c r="K21" s="119">
        <f>'2020'!U154</f>
        <v>69</v>
      </c>
      <c r="L21" s="119">
        <f>'2020'!V154</f>
        <v>0</v>
      </c>
      <c r="M21" s="119">
        <f>'2020'!Y154</f>
        <v>70</v>
      </c>
      <c r="N21" s="119">
        <f>'2020'!Z154</f>
        <v>1</v>
      </c>
      <c r="O21" s="119">
        <f>'2020'!AC154</f>
        <v>71</v>
      </c>
      <c r="P21" s="119">
        <f>'2020'!AD154</f>
        <v>1</v>
      </c>
      <c r="Q21" s="119">
        <f>'2020'!AG154</f>
        <v>72</v>
      </c>
      <c r="R21" s="119">
        <f>'2020'!AH154</f>
        <v>1</v>
      </c>
      <c r="S21" s="119">
        <f>'2020'!AK154</f>
        <v>72</v>
      </c>
      <c r="T21" s="119">
        <f>'2020'!AL154</f>
        <v>0</v>
      </c>
      <c r="U21" s="119">
        <f>'2020'!AO154</f>
        <v>72</v>
      </c>
      <c r="V21" s="119">
        <f>'2020'!AP154</f>
        <v>0</v>
      </c>
      <c r="W21" s="119">
        <f>'2020'!AS154</f>
        <v>72</v>
      </c>
      <c r="X21" s="119">
        <f>'2020'!AT154</f>
        <v>0</v>
      </c>
      <c r="Y21" s="119">
        <f>'2020'!AW154</f>
        <v>72</v>
      </c>
      <c r="Z21" s="119">
        <f>'2020'!AX154</f>
        <v>0</v>
      </c>
      <c r="AA21" s="119">
        <f>'2020'!BA154</f>
        <v>72</v>
      </c>
      <c r="AB21" s="119">
        <f>'2020'!BB154</f>
        <v>0</v>
      </c>
      <c r="AC21" s="119">
        <f>'2020'!BE154</f>
        <v>3</v>
      </c>
    </row>
    <row r="22" ht="15.75" customHeight="1" spans="1:29" x14ac:dyDescent="0.25">
      <c r="A22" s="14"/>
      <c r="B22" s="115">
        <v>18</v>
      </c>
      <c r="C22" s="115">
        <v>4.03</v>
      </c>
      <c r="D22" s="117" t="s">
        <v>109</v>
      </c>
      <c r="E22" s="119">
        <f>'2020'!I163</f>
        <v>219</v>
      </c>
      <c r="F22" s="119">
        <f>'2020'!J163</f>
      </c>
      <c r="G22" s="119">
        <f>'2020'!M163</f>
        <v>219</v>
      </c>
      <c r="H22" s="119">
        <f>'2020'!N163</f>
      </c>
      <c r="I22" s="119">
        <f>'2020'!Q163</f>
        <v>219</v>
      </c>
      <c r="J22" s="119">
        <f>'2020'!R163</f>
      </c>
      <c r="K22" s="119">
        <f>'2020'!U163</f>
        <v>224</v>
      </c>
      <c r="L22" s="119">
        <f>'2020'!V163</f>
        <v>5</v>
      </c>
      <c r="M22" s="119">
        <f>'2020'!Y163</f>
        <v>224</v>
      </c>
      <c r="N22" s="119">
        <f>'2020'!Z163</f>
        <v>0</v>
      </c>
      <c r="O22" s="119">
        <f>'2020'!AC163</f>
        <v>224</v>
      </c>
      <c r="P22" s="119">
        <f>'2020'!AD163</f>
        <v>0</v>
      </c>
      <c r="Q22" s="119">
        <f>'2020'!AG163</f>
        <v>235</v>
      </c>
      <c r="R22" s="119">
        <f>'2020'!AH163</f>
        <v>11</v>
      </c>
      <c r="S22" s="119">
        <f>'2020'!AK163</f>
        <v>239</v>
      </c>
      <c r="T22" s="119">
        <f>'2020'!AL163</f>
        <v>4</v>
      </c>
      <c r="U22" s="119">
        <f>'2020'!AO163</f>
        <v>239</v>
      </c>
      <c r="V22" s="119">
        <f>'2020'!AP163</f>
        <v>0</v>
      </c>
      <c r="W22" s="119">
        <f>'2020'!AS163</f>
        <v>239</v>
      </c>
      <c r="X22" s="119">
        <f>'2020'!AT163</f>
        <v>0</v>
      </c>
      <c r="Y22" s="119">
        <f>'2020'!AW163</f>
        <v>239</v>
      </c>
      <c r="Z22" s="119">
        <f>'2020'!AX163</f>
        <v>0</v>
      </c>
      <c r="AA22" s="119">
        <f>'2020'!BA163</f>
        <v>239</v>
      </c>
      <c r="AB22" s="119">
        <f>'2020'!BB163</f>
        <v>0</v>
      </c>
      <c r="AC22" s="119">
        <f>'2020'!BE163</f>
        <v>20</v>
      </c>
    </row>
    <row r="23" ht="15.75" customHeight="1" spans="1:29" x14ac:dyDescent="0.25">
      <c r="A23" s="21"/>
      <c r="B23" s="115">
        <v>19</v>
      </c>
      <c r="C23" s="116">
        <v>4.1</v>
      </c>
      <c r="D23" s="117" t="s">
        <v>113</v>
      </c>
      <c r="E23" s="119">
        <f>'2020'!I172</f>
        <v>78</v>
      </c>
      <c r="F23" s="119">
        <f>'2020'!J172</f>
      </c>
      <c r="G23" s="119">
        <f>'2020'!M172</f>
        <v>78</v>
      </c>
      <c r="H23" s="119">
        <f>'2020'!N172</f>
      </c>
      <c r="I23" s="119">
        <f>'2020'!Q172</f>
        <v>78</v>
      </c>
      <c r="J23" s="119">
        <f>'2020'!R172</f>
      </c>
      <c r="K23" s="119">
        <f>'2020'!U172</f>
        <v>78</v>
      </c>
      <c r="L23" s="119">
        <f>'2020'!V172</f>
        <v>0</v>
      </c>
      <c r="M23" s="119">
        <f>'2020'!Y172</f>
        <v>78</v>
      </c>
      <c r="N23" s="119">
        <f>'2020'!Z172</f>
        <v>0</v>
      </c>
      <c r="O23" s="119">
        <f>'2020'!AC172</f>
        <v>78</v>
      </c>
      <c r="P23" s="119">
        <f>'2020'!AD172</f>
        <v>0</v>
      </c>
      <c r="Q23" s="119">
        <f>'2020'!AG172</f>
        <v>93</v>
      </c>
      <c r="R23" s="119">
        <f>'2020'!AH172</f>
        <v>15</v>
      </c>
      <c r="S23" s="119">
        <f>'2020'!AK172</f>
        <v>93</v>
      </c>
      <c r="T23" s="119">
        <f>'2020'!AL172</f>
        <v>0</v>
      </c>
      <c r="U23" s="119">
        <f>'2020'!AO172</f>
        <v>93</v>
      </c>
      <c r="V23" s="119">
        <f>'2020'!AP172</f>
        <v>0</v>
      </c>
      <c r="W23" s="119">
        <f>'2020'!AS172</f>
        <v>93</v>
      </c>
      <c r="X23" s="119">
        <f>'2020'!AT172</f>
        <v>0</v>
      </c>
      <c r="Y23" s="119">
        <f>'2020'!AW172</f>
        <v>93</v>
      </c>
      <c r="Z23" s="119">
        <f>'2020'!AX172</f>
        <v>0</v>
      </c>
      <c r="AA23" s="119">
        <f>'2020'!BA172</f>
        <v>93</v>
      </c>
      <c r="AB23" s="119">
        <f>'2020'!BB172</f>
        <v>0</v>
      </c>
      <c r="AC23" s="119">
        <f>'2020'!BE172</f>
        <v>15</v>
      </c>
    </row>
    <row r="24" ht="15.75" customHeight="1" spans="1:29" x14ac:dyDescent="0.25">
      <c r="A24" s="114" t="s">
        <v>116</v>
      </c>
      <c r="B24" s="115" t="s">
        <v>117</v>
      </c>
      <c r="C24" s="283">
        <v>4</v>
      </c>
      <c r="D24" s="117" t="s">
        <v>118</v>
      </c>
      <c r="E24" s="119">
        <f>'2020'!I181</f>
        <v>73</v>
      </c>
      <c r="F24" s="119">
        <f>'2020'!J181</f>
      </c>
      <c r="G24" s="119">
        <f>'2020'!M181</f>
        <v>73</v>
      </c>
      <c r="H24" s="119">
        <f>'2020'!N181</f>
      </c>
      <c r="I24" s="119">
        <f>'2020'!Q181</f>
        <v>73</v>
      </c>
      <c r="J24" s="119">
        <f>'2020'!R181</f>
      </c>
      <c r="K24" s="119">
        <f>'2020'!U181</f>
        <v>73</v>
      </c>
      <c r="L24" s="119">
        <f>'2020'!V181</f>
        <v>0</v>
      </c>
      <c r="M24" s="119">
        <f>'2020'!Y181</f>
        <v>73</v>
      </c>
      <c r="N24" s="119">
        <f>'2020'!Z181</f>
        <v>0</v>
      </c>
      <c r="O24" s="119">
        <f>'2020'!AC181</f>
        <v>80</v>
      </c>
      <c r="P24" s="119">
        <f>'2020'!AD181</f>
        <v>7</v>
      </c>
      <c r="Q24" s="119">
        <f>'2020'!AG181</f>
        <v>80</v>
      </c>
      <c r="R24" s="119">
        <f>'2020'!AH181</f>
        <v>0</v>
      </c>
      <c r="S24" s="119">
        <f>'2020'!AK181</f>
        <v>82</v>
      </c>
      <c r="T24" s="119">
        <f>'2020'!AL181</f>
        <v>2</v>
      </c>
      <c r="U24" s="119">
        <f>'2020'!AO181</f>
        <v>82</v>
      </c>
      <c r="V24" s="119">
        <f>'2020'!AP181</f>
        <v>0</v>
      </c>
      <c r="W24" s="119">
        <f>'2020'!AS181</f>
        <v>82</v>
      </c>
      <c r="X24" s="119">
        <f>'2020'!AT181</f>
        <v>0</v>
      </c>
      <c r="Y24" s="119">
        <f>'2020'!AW181</f>
        <v>82</v>
      </c>
      <c r="Z24" s="119">
        <f>'2020'!AX181</f>
        <v>0</v>
      </c>
      <c r="AA24" s="119">
        <f>'2020'!BA181</f>
        <v>82</v>
      </c>
      <c r="AB24" s="119">
        <f>'2020'!BB181</f>
        <v>0</v>
      </c>
      <c r="AC24" s="119">
        <f>'2020'!BE181</f>
        <v>9</v>
      </c>
    </row>
    <row r="25" ht="15.75" customHeight="1" spans="1:29" x14ac:dyDescent="0.25">
      <c r="A25" s="27"/>
      <c r="B25" s="115" t="s">
        <v>117</v>
      </c>
      <c r="C25" s="283">
        <v>4</v>
      </c>
      <c r="D25" s="117" t="s">
        <v>118</v>
      </c>
      <c r="E25" s="119">
        <f>'2020'!I190</f>
        <v>89</v>
      </c>
      <c r="F25" s="119">
        <f>'2020'!J190</f>
      </c>
      <c r="G25" s="119">
        <f>'2020'!M190</f>
        <v>89</v>
      </c>
      <c r="H25" s="119">
        <f>'2020'!N190</f>
      </c>
      <c r="I25" s="119">
        <f>'2020'!Q190</f>
        <v>89</v>
      </c>
      <c r="J25" s="119">
        <f>'2020'!R190</f>
      </c>
      <c r="K25" s="119">
        <f>'2020'!U190</f>
        <v>89</v>
      </c>
      <c r="L25" s="119">
        <f>'2020'!V190</f>
        <v>0</v>
      </c>
      <c r="M25" s="119">
        <f>'2020'!Y190</f>
        <v>89</v>
      </c>
      <c r="N25" s="119">
        <f>'2020'!Z190</f>
        <v>0</v>
      </c>
      <c r="O25" s="119">
        <f>'2020'!AC190</f>
        <v>95</v>
      </c>
      <c r="P25" s="119">
        <f>'2020'!AD190</f>
        <v>6</v>
      </c>
      <c r="Q25" s="119">
        <f>'2020'!AG190</f>
        <v>98</v>
      </c>
      <c r="R25" s="119">
        <f>'2020'!AH190</f>
        <v>3</v>
      </c>
      <c r="S25" s="119">
        <f>'2020'!AK190</f>
        <v>101</v>
      </c>
      <c r="T25" s="119">
        <f>'2020'!AL190</f>
        <v>3</v>
      </c>
      <c r="U25" s="119">
        <f>'2020'!AO190</f>
        <v>101</v>
      </c>
      <c r="V25" s="119">
        <f>'2020'!AP190</f>
        <v>0</v>
      </c>
      <c r="W25" s="119">
        <f>'2020'!AS190</f>
        <v>101</v>
      </c>
      <c r="X25" s="119">
        <f>'2020'!AT190</f>
        <v>0</v>
      </c>
      <c r="Y25" s="119">
        <f>'2020'!AW190</f>
        <v>101</v>
      </c>
      <c r="Z25" s="119">
        <f>'2020'!AX190</f>
        <v>0</v>
      </c>
      <c r="AA25" s="119">
        <f>'2020'!BA190</f>
        <v>101</v>
      </c>
      <c r="AB25" s="119">
        <f>'2020'!BB190</f>
        <v>0</v>
      </c>
      <c r="AC25" s="119">
        <f>'2020'!BE190</f>
        <v>12</v>
      </c>
    </row>
    <row r="26" ht="15.75" customHeight="1" spans="1:29" x14ac:dyDescent="0.25">
      <c r="A26" s="14"/>
      <c r="B26" s="115">
        <v>21</v>
      </c>
      <c r="C26" s="115">
        <v>3.96</v>
      </c>
      <c r="D26" s="117" t="s">
        <v>120</v>
      </c>
      <c r="E26" s="119">
        <f>'2020'!I199</f>
        <v>36</v>
      </c>
      <c r="F26" s="119">
        <f>'2020'!J199</f>
      </c>
      <c r="G26" s="119">
        <f>'2020'!M199</f>
        <v>36</v>
      </c>
      <c r="H26" s="119">
        <f>'2020'!N199</f>
      </c>
      <c r="I26" s="119">
        <f>'2020'!Q199</f>
        <v>36</v>
      </c>
      <c r="J26" s="119">
        <f>'2020'!R199</f>
      </c>
      <c r="K26" s="119">
        <f>'2020'!U199</f>
        <v>39</v>
      </c>
      <c r="L26" s="119">
        <f>'2020'!V199</f>
        <v>3</v>
      </c>
      <c r="M26" s="119">
        <f>'2020'!Y199</f>
        <v>40</v>
      </c>
      <c r="N26" s="119">
        <f>'2020'!Z199</f>
        <v>1</v>
      </c>
      <c r="O26" s="119">
        <f>'2020'!AC199</f>
        <v>42</v>
      </c>
      <c r="P26" s="119">
        <f>'2020'!AD199</f>
        <v>2</v>
      </c>
      <c r="Q26" s="119">
        <f>'2020'!AG199</f>
        <v>49</v>
      </c>
      <c r="R26" s="119">
        <f>'2020'!AH199</f>
        <v>7</v>
      </c>
      <c r="S26" s="119">
        <f>'2020'!AK199</f>
        <v>51</v>
      </c>
      <c r="T26" s="119">
        <f>'2020'!AL199</f>
        <v>2</v>
      </c>
      <c r="U26" s="119">
        <f>'2020'!AO199</f>
        <v>52</v>
      </c>
      <c r="V26" s="119">
        <f>'2020'!AP199</f>
        <v>1</v>
      </c>
      <c r="W26" s="119">
        <f>'2020'!AS199</f>
        <v>52</v>
      </c>
      <c r="X26" s="119">
        <f>'2020'!AT199</f>
        <v>0</v>
      </c>
      <c r="Y26" s="119">
        <f>'2020'!AW199</f>
        <v>52</v>
      </c>
      <c r="Z26" s="119">
        <f>'2020'!AX199</f>
        <v>0</v>
      </c>
      <c r="AA26" s="119">
        <f>'2020'!BA199</f>
        <v>52</v>
      </c>
      <c r="AB26" s="119">
        <f>'2020'!BB199</f>
        <v>0</v>
      </c>
      <c r="AC26" s="119">
        <f>'2020'!BE199</f>
        <v>16</v>
      </c>
    </row>
    <row r="27" ht="15.75" customHeight="1" spans="1:29" x14ac:dyDescent="0.25">
      <c r="A27" s="14"/>
      <c r="B27" s="115">
        <v>23</v>
      </c>
      <c r="C27" s="115">
        <v>3.98</v>
      </c>
      <c r="D27" s="117" t="s">
        <v>124</v>
      </c>
      <c r="E27" s="119">
        <f>'2020'!I208</f>
        <v>45</v>
      </c>
      <c r="F27" s="119">
        <f>'2020'!J208</f>
      </c>
      <c r="G27" s="119">
        <f>'2020'!M208</f>
        <v>45</v>
      </c>
      <c r="H27" s="119">
        <f>'2020'!N208</f>
      </c>
      <c r="I27" s="119">
        <f>'2020'!Q208</f>
        <v>45</v>
      </c>
      <c r="J27" s="119">
        <f>'2020'!R208</f>
      </c>
      <c r="K27" s="119">
        <f>'2020'!U208</f>
        <v>47</v>
      </c>
      <c r="L27" s="119">
        <f>'2020'!V208</f>
        <v>2</v>
      </c>
      <c r="M27" s="119">
        <f>'2020'!Y208</f>
        <v>49</v>
      </c>
      <c r="N27" s="119">
        <f>'2020'!Z208</f>
        <v>2</v>
      </c>
      <c r="O27" s="119">
        <f>'2020'!AC208</f>
        <v>49</v>
      </c>
      <c r="P27" s="119">
        <f>'2020'!AD208</f>
        <v>0</v>
      </c>
      <c r="Q27" s="119">
        <f>'2020'!AG208</f>
        <v>67</v>
      </c>
      <c r="R27" s="119">
        <f>'2020'!AH208</f>
        <v>18</v>
      </c>
      <c r="S27" s="119">
        <f>'2020'!AK208</f>
        <v>79</v>
      </c>
      <c r="T27" s="119">
        <f>'2020'!AL208</f>
        <v>12</v>
      </c>
      <c r="U27" s="119">
        <f>'2020'!AO208</f>
        <v>81</v>
      </c>
      <c r="V27" s="119">
        <f>'2020'!AP208</f>
        <v>2</v>
      </c>
      <c r="W27" s="119">
        <f>'2020'!AS208</f>
        <v>81</v>
      </c>
      <c r="X27" s="119">
        <f>'2020'!AT208</f>
        <v>0</v>
      </c>
      <c r="Y27" s="119">
        <f>'2020'!AW208</f>
        <v>81</v>
      </c>
      <c r="Z27" s="119">
        <f>'2020'!AX208</f>
        <v>0</v>
      </c>
      <c r="AA27" s="119">
        <f>'2020'!BA208</f>
        <v>81</v>
      </c>
      <c r="AB27" s="119">
        <f>'2020'!BB208</f>
        <v>0</v>
      </c>
      <c r="AC27" s="119">
        <f>'2020'!BE208</f>
        <v>36</v>
      </c>
    </row>
    <row r="28" ht="15.75" customHeight="1" spans="1:29" x14ac:dyDescent="0.25">
      <c r="A28" s="14"/>
      <c r="B28" s="115">
        <v>24</v>
      </c>
      <c r="C28" s="115">
        <v>4.01</v>
      </c>
      <c r="D28" s="117" t="s">
        <v>127</v>
      </c>
      <c r="E28" s="119">
        <f>'2020'!I217</f>
        <v>79</v>
      </c>
      <c r="F28" s="119">
        <f>'2020'!J217</f>
      </c>
      <c r="G28" s="119">
        <f>'2020'!M217</f>
        <v>79</v>
      </c>
      <c r="H28" s="119">
        <f>'2020'!N217</f>
      </c>
      <c r="I28" s="119">
        <f>'2020'!Q217</f>
        <v>79</v>
      </c>
      <c r="J28" s="119">
        <f>'2020'!R217</f>
      </c>
      <c r="K28" s="119">
        <f>'2020'!U217</f>
        <v>79</v>
      </c>
      <c r="L28" s="119">
        <f>'2020'!V217</f>
        <v>0</v>
      </c>
      <c r="M28" s="119">
        <f>'2020'!Y217</f>
        <v>80</v>
      </c>
      <c r="N28" s="119">
        <f>'2020'!Z217</f>
        <v>1</v>
      </c>
      <c r="O28" s="119">
        <f>'2020'!AC217</f>
        <v>84</v>
      </c>
      <c r="P28" s="119">
        <f>'2020'!AD217</f>
        <v>4</v>
      </c>
      <c r="Q28" s="119">
        <f>'2020'!AG217</f>
        <v>90</v>
      </c>
      <c r="R28" s="119">
        <f>'2020'!AH217</f>
        <v>6</v>
      </c>
      <c r="S28" s="119">
        <f>'2020'!AK217</f>
        <v>95</v>
      </c>
      <c r="T28" s="119">
        <f>'2020'!AL217</f>
        <v>5</v>
      </c>
      <c r="U28" s="119">
        <f>'2020'!AO217</f>
        <v>97</v>
      </c>
      <c r="V28" s="119">
        <f>'2020'!AP217</f>
        <v>2</v>
      </c>
      <c r="W28" s="119">
        <f>'2020'!AS217</f>
        <v>97</v>
      </c>
      <c r="X28" s="119">
        <f>'2020'!AT217</f>
        <v>0</v>
      </c>
      <c r="Y28" s="119">
        <f>'2020'!AW217</f>
        <v>97</v>
      </c>
      <c r="Z28" s="119">
        <f>'2020'!AX217</f>
        <v>0</v>
      </c>
      <c r="AA28" s="119">
        <f>'2020'!BA217</f>
        <v>97</v>
      </c>
      <c r="AB28" s="119">
        <f>'2020'!BB217</f>
        <v>0</v>
      </c>
      <c r="AC28" s="119">
        <f>'2020'!BE217</f>
        <v>18</v>
      </c>
    </row>
    <row r="29" ht="15.75" customHeight="1" spans="1:29" x14ac:dyDescent="0.25">
      <c r="A29" s="14"/>
      <c r="B29" s="115">
        <v>25</v>
      </c>
      <c r="C29" s="116">
        <v>4</v>
      </c>
      <c r="D29" s="117" t="s">
        <v>131</v>
      </c>
      <c r="E29" s="119">
        <f>'2020'!I226</f>
      </c>
      <c r="F29" s="119">
        <f>'2020'!J226</f>
      </c>
      <c r="G29" s="119">
        <f>'2020'!M226</f>
      </c>
      <c r="H29" s="119">
        <f>'2020'!N226</f>
      </c>
      <c r="I29" s="119">
        <f>'2020'!Q226</f>
      </c>
      <c r="J29" s="119">
        <f>'2020'!R226</f>
      </c>
      <c r="K29" s="119">
        <f>'2020'!U226</f>
        <v>2</v>
      </c>
      <c r="L29" s="119">
        <f>'2020'!V226</f>
      </c>
      <c r="M29" s="119">
        <f>'2020'!Y226</f>
        <v>2</v>
      </c>
      <c r="N29" s="119">
        <f>'2020'!Z226</f>
        <v>0</v>
      </c>
      <c r="O29" s="119">
        <f>'2020'!AC226</f>
        <v>2</v>
      </c>
      <c r="P29" s="119">
        <f>'2020'!AD226</f>
        <v>0</v>
      </c>
      <c r="Q29" s="119">
        <f>'2020'!AG226</f>
        <v>2</v>
      </c>
      <c r="R29" s="119">
        <f>'2020'!AH226</f>
        <v>0</v>
      </c>
      <c r="S29" s="119">
        <f>'2020'!AK226</f>
        <v>2</v>
      </c>
      <c r="T29" s="119">
        <f>'2020'!AL226</f>
        <v>0</v>
      </c>
      <c r="U29" s="119">
        <f>'2020'!AO226</f>
        <v>2</v>
      </c>
      <c r="V29" s="119">
        <f>'2020'!AP226</f>
        <v>0</v>
      </c>
      <c r="W29" s="119">
        <f>'2020'!AS226</f>
        <v>2</v>
      </c>
      <c r="X29" s="119">
        <f>'2020'!AT226</f>
        <v>0</v>
      </c>
      <c r="Y29" s="119">
        <f>'2020'!AW226</f>
        <v>2</v>
      </c>
      <c r="Z29" s="119">
        <f>'2020'!AX226</f>
        <v>0</v>
      </c>
      <c r="AA29" s="119">
        <f>'2020'!BA226</f>
        <v>2</v>
      </c>
      <c r="AB29" s="119">
        <f>'2020'!BB226</f>
        <v>0</v>
      </c>
      <c r="AC29" s="119">
        <f>'2020'!BE226</f>
        <v>0</v>
      </c>
    </row>
    <row r="30" ht="15.75" customHeight="1" spans="1:29" x14ac:dyDescent="0.25">
      <c r="A30" s="14"/>
      <c r="B30" s="115">
        <v>26</v>
      </c>
      <c r="C30" s="115">
        <v>3.98</v>
      </c>
      <c r="D30" s="117" t="s">
        <v>133</v>
      </c>
      <c r="E30" s="119">
        <f>'2020'!I235</f>
      </c>
      <c r="F30" s="119">
        <f>'2020'!J235</f>
      </c>
      <c r="G30" s="119">
        <f>'2020'!M235</f>
      </c>
      <c r="H30" s="119">
        <f>'2020'!N235</f>
      </c>
      <c r="I30" s="119">
        <f>'2020'!Q235</f>
      </c>
      <c r="J30" s="119">
        <f>'2020'!R235</f>
      </c>
      <c r="K30" s="119">
        <f>'2020'!U235</f>
      </c>
      <c r="L30" s="119">
        <f>'2020'!V235</f>
      </c>
      <c r="M30" s="119">
        <f>'2020'!Y235</f>
      </c>
      <c r="N30" s="119">
        <f>'2020'!Z235</f>
      </c>
      <c r="O30" s="119">
        <f>'2020'!AC235</f>
      </c>
      <c r="P30" s="119">
        <f>'2020'!AD235</f>
      </c>
      <c r="Q30" s="119">
        <f>'2020'!AG235</f>
      </c>
      <c r="R30" s="119">
        <f>'2020'!AH235</f>
      </c>
      <c r="S30" s="119">
        <f>'2020'!AK235</f>
      </c>
      <c r="T30" s="119">
        <f>'2020'!AL235</f>
      </c>
      <c r="U30" s="119">
        <f>'2020'!AO235</f>
      </c>
      <c r="V30" s="119">
        <f>'2020'!AP235</f>
        <v>0</v>
      </c>
      <c r="W30" s="119">
        <f>'2020'!AS235</f>
      </c>
      <c r="X30" s="119">
        <f>'2020'!AT235</f>
        <v>0</v>
      </c>
      <c r="Y30" s="119">
        <f>'2020'!AW235</f>
      </c>
      <c r="Z30" s="119">
        <f>'2020'!AX235</f>
        <v>0</v>
      </c>
      <c r="AA30" s="119">
        <f>'2020'!BA235</f>
      </c>
      <c r="AB30" s="119">
        <f>'2020'!BB235</f>
        <v>0</v>
      </c>
      <c r="AC30" s="119">
        <f>'2020'!BE235</f>
        <v>0</v>
      </c>
    </row>
    <row r="31" ht="15.75" customHeight="1" spans="1:29" x14ac:dyDescent="0.25">
      <c r="A31" s="14"/>
      <c r="B31" s="115">
        <v>27</v>
      </c>
      <c r="C31" s="115">
        <v>4.04</v>
      </c>
      <c r="D31" s="117" t="s">
        <v>136</v>
      </c>
      <c r="E31" s="119">
        <f>'2020'!I244</f>
      </c>
      <c r="F31" s="119">
        <f>'2020'!J244</f>
      </c>
      <c r="G31" s="119">
        <f>'2020'!M244</f>
      </c>
      <c r="H31" s="119">
        <f>'2020'!N244</f>
      </c>
      <c r="I31" s="119">
        <f>'2020'!Q244</f>
      </c>
      <c r="J31" s="119">
        <f>'2020'!R244</f>
      </c>
      <c r="K31" s="119">
        <f>'2020'!U244</f>
      </c>
      <c r="L31" s="119">
        <f>'2020'!V244</f>
      </c>
      <c r="M31" s="119">
        <f>'2020'!Y244</f>
      </c>
      <c r="N31" s="119">
        <f>'2020'!Z244</f>
      </c>
      <c r="O31" s="119">
        <f>'2020'!AC244</f>
      </c>
      <c r="P31" s="119">
        <f>'2020'!AD244</f>
      </c>
      <c r="Q31" s="119">
        <f>'2020'!AG244</f>
      </c>
      <c r="R31" s="119">
        <f>'2020'!AH244</f>
      </c>
      <c r="S31" s="119">
        <f>'2020'!AK244</f>
      </c>
      <c r="T31" s="119">
        <f>'2020'!AL244</f>
      </c>
      <c r="U31" s="119">
        <f>'2020'!AO244</f>
      </c>
      <c r="V31" s="119">
        <f>'2020'!AP244</f>
        <v>0</v>
      </c>
      <c r="W31" s="119">
        <f>'2020'!AS244</f>
      </c>
      <c r="X31" s="119">
        <f>'2020'!AT244</f>
        <v>0</v>
      </c>
      <c r="Y31" s="119">
        <f>'2020'!AW244</f>
      </c>
      <c r="Z31" s="119">
        <f>'2020'!AX244</f>
        <v>0</v>
      </c>
      <c r="AA31" s="119">
        <f>'2020'!BA244</f>
      </c>
      <c r="AB31" s="119">
        <f>'2020'!BB244</f>
        <v>0</v>
      </c>
      <c r="AC31" s="119">
        <f>'2020'!BE244</f>
        <v>0</v>
      </c>
    </row>
    <row r="32" ht="15.75" customHeight="1" spans="1:29" x14ac:dyDescent="0.25">
      <c r="A32" s="14"/>
      <c r="B32" s="115">
        <v>28</v>
      </c>
      <c r="C32" s="115">
        <v>3.96</v>
      </c>
      <c r="D32" s="117" t="s">
        <v>140</v>
      </c>
      <c r="E32" s="119">
        <f>'2020'!I253</f>
        <v>19</v>
      </c>
      <c r="F32" s="119">
        <f>'2020'!J253</f>
      </c>
      <c r="G32" s="119">
        <f>'2020'!M253</f>
        <v>19</v>
      </c>
      <c r="H32" s="119">
        <f>'2020'!N253</f>
      </c>
      <c r="I32" s="119">
        <f>'2020'!Q253</f>
        <v>19</v>
      </c>
      <c r="J32" s="119">
        <f>'2020'!R253</f>
      </c>
      <c r="K32" s="119">
        <f>'2020'!U253</f>
        <v>19</v>
      </c>
      <c r="L32" s="119">
        <f>'2020'!V253</f>
        <v>0</v>
      </c>
      <c r="M32" s="119">
        <f>'2020'!Y253</f>
        <v>0.8</v>
      </c>
      <c r="N32" s="119">
        <f>'2020'!Z253</f>
        <v>0.8</v>
      </c>
      <c r="O32" s="119">
        <f>'2020'!AC253</f>
        <v>1.3</v>
      </c>
      <c r="P32" s="119">
        <f>'2020'!AD253</f>
        <v>0.5</v>
      </c>
      <c r="Q32" s="119">
        <f>'2020'!AG253</f>
        <v>5</v>
      </c>
      <c r="R32" s="119">
        <f>'2020'!AH253</f>
        <v>3.7</v>
      </c>
      <c r="S32" s="119">
        <f>'2020'!AK253</f>
        <v>7</v>
      </c>
      <c r="T32" s="119">
        <f>'2020'!AL253</f>
        <v>2</v>
      </c>
      <c r="U32" s="119">
        <f>'2020'!AO253</f>
        <v>7</v>
      </c>
      <c r="V32" s="119">
        <f>'2020'!AP253</f>
        <v>0</v>
      </c>
      <c r="W32" s="119">
        <f>'2020'!AS253</f>
        <v>7</v>
      </c>
      <c r="X32" s="119">
        <f>'2020'!AT253</f>
        <v>0</v>
      </c>
      <c r="Y32" s="119">
        <f>'2020'!AW253</f>
        <v>7</v>
      </c>
      <c r="Z32" s="119">
        <f>'2020'!AX253</f>
        <v>0</v>
      </c>
      <c r="AA32" s="119">
        <f>'2020'!BA253</f>
        <v>7</v>
      </c>
      <c r="AB32" s="119">
        <f>'2020'!BB253</f>
        <v>0</v>
      </c>
      <c r="AC32" s="119">
        <f>'2020'!BE253</f>
        <v>7</v>
      </c>
    </row>
    <row r="33" ht="15.75" customHeight="1" spans="1:29" x14ac:dyDescent="0.25">
      <c r="A33" s="14"/>
      <c r="B33" s="115">
        <v>30</v>
      </c>
      <c r="C33" s="115">
        <v>4.05</v>
      </c>
      <c r="D33" s="117" t="s">
        <v>496</v>
      </c>
      <c r="E33" s="119">
        <f>'2020'!I262</f>
        <v>67</v>
      </c>
      <c r="F33" s="119">
        <f>'2020'!J262</f>
      </c>
      <c r="G33" s="119">
        <f>'2020'!M262</f>
        <v>67</v>
      </c>
      <c r="H33" s="119">
        <f>'2020'!N262</f>
      </c>
      <c r="I33" s="119">
        <f>'2020'!Q262</f>
        <v>67</v>
      </c>
      <c r="J33" s="119">
        <f>'2020'!R262</f>
      </c>
      <c r="K33" s="119">
        <f>'2020'!U262</f>
        <v>67</v>
      </c>
      <c r="L33" s="119">
        <f>'2020'!V262</f>
        <v>0</v>
      </c>
      <c r="M33" s="119">
        <f>'2020'!Y262</f>
        <v>0.8</v>
      </c>
      <c r="N33" s="119">
        <f>'2020'!Z262</f>
        <v>0.8</v>
      </c>
      <c r="O33" s="119">
        <f>'2020'!AC262</f>
        <v>3</v>
      </c>
      <c r="P33" s="119">
        <f>'2020'!AD262</f>
        <v>2.2</v>
      </c>
      <c r="Q33" s="119">
        <f>'2020'!AG262</f>
        <v>7</v>
      </c>
      <c r="R33" s="119">
        <f>'2020'!AH262</f>
        <v>4</v>
      </c>
      <c r="S33" s="119">
        <f>'2020'!AK262</f>
        <v>9</v>
      </c>
      <c r="T33" s="119">
        <f>'2020'!AL262</f>
        <v>2</v>
      </c>
      <c r="U33" s="119">
        <f>'2020'!AO262</f>
        <v>9</v>
      </c>
      <c r="V33" s="119">
        <f>'2020'!AP262</f>
        <v>0</v>
      </c>
      <c r="W33" s="119">
        <f>'2020'!AS262</f>
        <v>9</v>
      </c>
      <c r="X33" s="119">
        <f>'2020'!AT262</f>
        <v>0</v>
      </c>
      <c r="Y33" s="119">
        <f>'2020'!AW262</f>
        <v>9</v>
      </c>
      <c r="Z33" s="119">
        <f>'2020'!AX262</f>
        <v>0</v>
      </c>
      <c r="AA33" s="119">
        <f>'2020'!BA262</f>
        <v>9</v>
      </c>
      <c r="AB33" s="119">
        <f>'2020'!BB262</f>
        <v>0</v>
      </c>
      <c r="AC33" s="119">
        <f>'2020'!BE262</f>
        <v>9</v>
      </c>
    </row>
    <row r="34" ht="15.75" customHeight="1" spans="1:29" x14ac:dyDescent="0.25">
      <c r="A34" s="14"/>
      <c r="B34" s="115">
        <v>29</v>
      </c>
      <c r="C34" s="115">
        <v>4.02</v>
      </c>
      <c r="D34" s="117" t="s">
        <v>146</v>
      </c>
      <c r="E34" s="119">
        <f>'2020'!I271</f>
        <v>23</v>
      </c>
      <c r="F34" s="119">
        <f>'2020'!J271</f>
      </c>
      <c r="G34" s="119">
        <f>'2020'!M271</f>
        <v>23</v>
      </c>
      <c r="H34" s="119">
        <f>'2020'!N271</f>
      </c>
      <c r="I34" s="119">
        <f>'2020'!Q271</f>
        <v>23</v>
      </c>
      <c r="J34" s="119">
        <f>'2020'!R271</f>
      </c>
      <c r="K34" s="119">
        <f>'2020'!U271</f>
        <v>23</v>
      </c>
      <c r="L34" s="119">
        <f>'2020'!V271</f>
        <v>0</v>
      </c>
      <c r="M34" s="119">
        <f>'2020'!Y271</f>
        <v>23</v>
      </c>
      <c r="N34" s="119">
        <f>'2020'!Z271</f>
        <v>0</v>
      </c>
      <c r="O34" s="119">
        <f>'2020'!AC271</f>
        <v>23</v>
      </c>
      <c r="P34" s="119">
        <f>'2020'!AD271</f>
        <v>0</v>
      </c>
      <c r="Q34" s="119">
        <f>'2020'!AG271</f>
        <v>25</v>
      </c>
      <c r="R34" s="119">
        <f>'2020'!AH271</f>
        <v>2</v>
      </c>
      <c r="S34" s="119">
        <f>'2020'!AK271</f>
        <v>25</v>
      </c>
      <c r="T34" s="119">
        <f>'2020'!AL271</f>
        <v>0</v>
      </c>
      <c r="U34" s="119">
        <f>'2020'!AO271</f>
        <v>25</v>
      </c>
      <c r="V34" s="119">
        <f>'2020'!AP271</f>
        <v>0</v>
      </c>
      <c r="W34" s="119">
        <f>'2020'!AS271</f>
        <v>25</v>
      </c>
      <c r="X34" s="119">
        <f>'2020'!AT271</f>
        <v>0</v>
      </c>
      <c r="Y34" s="119">
        <f>'2020'!AW271</f>
        <v>25</v>
      </c>
      <c r="Z34" s="119">
        <f>'2020'!AX271</f>
        <v>0</v>
      </c>
      <c r="AA34" s="119">
        <f>'2020'!BA271</f>
        <v>25</v>
      </c>
      <c r="AB34" s="119">
        <f>'2020'!BB271</f>
        <v>0</v>
      </c>
      <c r="AC34" s="119">
        <f>'2020'!BE271</f>
        <v>2</v>
      </c>
    </row>
    <row r="35" ht="15.75" customHeight="1" spans="1:29" x14ac:dyDescent="0.25">
      <c r="A35" s="14"/>
      <c r="B35" s="115">
        <v>31</v>
      </c>
      <c r="C35" s="116">
        <v>4</v>
      </c>
      <c r="D35" s="117" t="s">
        <v>149</v>
      </c>
      <c r="E35" s="119">
        <f>'2020'!I280</f>
      </c>
      <c r="F35" s="119">
        <f>'2020'!J280</f>
      </c>
      <c r="G35" s="119">
        <f>'2020'!M280</f>
      </c>
      <c r="H35" s="119">
        <f>'2020'!N280</f>
      </c>
      <c r="I35" s="119">
        <f>'2020'!Q280</f>
      </c>
      <c r="J35" s="119">
        <f>'2020'!R280</f>
      </c>
      <c r="K35" s="119">
        <f>'2020'!U280</f>
        <v>513</v>
      </c>
      <c r="L35" s="119">
        <f>'2020'!V280</f>
      </c>
      <c r="M35" s="119">
        <f>'2020'!Y280</f>
        <v>515</v>
      </c>
      <c r="N35" s="119">
        <f>'2020'!Z280</f>
        <v>2</v>
      </c>
      <c r="O35" s="119">
        <f>'2020'!AC280</f>
        <v>515</v>
      </c>
      <c r="P35" s="119">
        <f>'2020'!AD280</f>
        <v>0</v>
      </c>
      <c r="Q35" s="119">
        <f>'2020'!AG280</f>
        <v>515</v>
      </c>
      <c r="R35" s="119">
        <f>'2020'!AH280</f>
        <v>0</v>
      </c>
      <c r="S35" s="119">
        <f>'2020'!AK280</f>
        <v>530</v>
      </c>
      <c r="T35" s="119">
        <f>'2020'!AL280</f>
        <v>15</v>
      </c>
      <c r="U35" s="119">
        <f>'2020'!AO280</f>
        <v>530</v>
      </c>
      <c r="V35" s="119">
        <f>'2020'!AP280</f>
        <v>0</v>
      </c>
      <c r="W35" s="119">
        <f>'2020'!AS280</f>
        <v>530</v>
      </c>
      <c r="X35" s="119">
        <f>'2020'!AT280</f>
        <v>0</v>
      </c>
      <c r="Y35" s="119">
        <f>'2020'!AW280</f>
        <v>530</v>
      </c>
      <c r="Z35" s="119">
        <f>'2020'!AX280</f>
        <v>0</v>
      </c>
      <c r="AA35" s="119">
        <f>'2020'!BA280</f>
        <v>530</v>
      </c>
      <c r="AB35" s="119">
        <f>'2020'!BB280</f>
        <v>0</v>
      </c>
      <c r="AC35" s="119">
        <f>'2020'!BE280</f>
        <v>17</v>
      </c>
    </row>
    <row r="36" ht="15.75" customHeight="1" spans="1:29" x14ac:dyDescent="0.25">
      <c r="A36" s="14"/>
      <c r="B36" s="115">
        <v>32</v>
      </c>
      <c r="C36" s="115">
        <v>3.96</v>
      </c>
      <c r="D36" s="117" t="s">
        <v>152</v>
      </c>
      <c r="E36" s="119">
        <f>'2020'!I289</f>
      </c>
      <c r="F36" s="119">
        <f>'2020'!J289</f>
      </c>
      <c r="G36" s="119">
        <f>'2020'!M289</f>
      </c>
      <c r="H36" s="119">
        <f>'2020'!N289</f>
      </c>
      <c r="I36" s="119">
        <f>'2020'!Q289</f>
      </c>
      <c r="J36" s="119">
        <f>'2020'!R289</f>
      </c>
      <c r="K36" s="119">
        <f>'2020'!U289</f>
      </c>
      <c r="L36" s="119">
        <f>'2020'!V289</f>
      </c>
      <c r="M36" s="119">
        <f>'2020'!Y289</f>
      </c>
      <c r="N36" s="119">
        <f>'2020'!Z289</f>
        <v>0</v>
      </c>
      <c r="O36" s="119">
        <f>'2020'!AC289</f>
      </c>
      <c r="P36" s="119">
        <f>'2020'!AD289</f>
        <v>0</v>
      </c>
      <c r="Q36" s="119">
        <f>'2020'!AG289</f>
      </c>
      <c r="R36" s="119">
        <f>'2020'!AH289</f>
        <v>0</v>
      </c>
      <c r="S36" s="119">
        <f>'2020'!AK289</f>
      </c>
      <c r="T36" s="119">
        <f>'2020'!AL289</f>
        <v>0</v>
      </c>
      <c r="U36" s="119">
        <f>'2020'!AO289</f>
      </c>
      <c r="V36" s="119">
        <f>'2020'!AP289</f>
        <v>0</v>
      </c>
      <c r="W36" s="119">
        <f>'2020'!AS289</f>
      </c>
      <c r="X36" s="119">
        <f>'2020'!AT289</f>
        <v>0</v>
      </c>
      <c r="Y36" s="119">
        <f>'2020'!AW289</f>
      </c>
      <c r="Z36" s="119">
        <f>'2020'!AX289</f>
        <v>0</v>
      </c>
      <c r="AA36" s="119">
        <f>'2020'!BA289</f>
      </c>
      <c r="AB36" s="119">
        <f>'2020'!BB289</f>
        <v>0</v>
      </c>
      <c r="AC36" s="119">
        <f>'2020'!BE289</f>
        <v>0</v>
      </c>
    </row>
    <row r="37" ht="15.75" customHeight="1" spans="1:29" x14ac:dyDescent="0.25">
      <c r="A37" s="14"/>
      <c r="B37" s="115">
        <v>33</v>
      </c>
      <c r="C37" s="115">
        <v>4.01</v>
      </c>
      <c r="D37" s="117" t="s">
        <v>154</v>
      </c>
      <c r="E37" s="119">
        <f>'2020'!I298</f>
        <v>16</v>
      </c>
      <c r="F37" s="119">
        <f>'2020'!J298</f>
      </c>
      <c r="G37" s="119">
        <f>'2020'!M298</f>
        <v>16</v>
      </c>
      <c r="H37" s="119">
        <f>'2020'!N298</f>
      </c>
      <c r="I37" s="119">
        <f>'2020'!Q298</f>
        <v>16</v>
      </c>
      <c r="J37" s="119">
        <f>'2020'!R298</f>
      </c>
      <c r="K37" s="119">
        <f>'2020'!U298</f>
        <v>21</v>
      </c>
      <c r="L37" s="119">
        <f>'2020'!V298</f>
        <v>5</v>
      </c>
      <c r="M37" s="119">
        <f>'2020'!Y298</f>
        <v>21</v>
      </c>
      <c r="N37" s="119">
        <f>'2020'!Z298</f>
        <v>0</v>
      </c>
      <c r="O37" s="119">
        <f>'2020'!AC298</f>
        <v>21</v>
      </c>
      <c r="P37" s="119">
        <f>'2020'!AD298</f>
        <v>0</v>
      </c>
      <c r="Q37" s="119">
        <f>'2020'!AG298</f>
        <v>22</v>
      </c>
      <c r="R37" s="119">
        <f>'2020'!AH298</f>
        <v>1</v>
      </c>
      <c r="S37" s="119">
        <f>'2020'!AK298</f>
        <v>22</v>
      </c>
      <c r="T37" s="119">
        <f>'2020'!AL298</f>
        <v>0</v>
      </c>
      <c r="U37" s="119">
        <f>'2020'!AO298</f>
        <v>22</v>
      </c>
      <c r="V37" s="119">
        <f>'2020'!AP298</f>
        <v>0</v>
      </c>
      <c r="W37" s="119">
        <f>'2020'!AS298</f>
        <v>22</v>
      </c>
      <c r="X37" s="119">
        <f>'2020'!AT298</f>
        <v>0</v>
      </c>
      <c r="Y37" s="119">
        <f>'2020'!AW298</f>
        <v>22</v>
      </c>
      <c r="Z37" s="119">
        <f>'2020'!AX298</f>
        <v>0</v>
      </c>
      <c r="AA37" s="119">
        <f>'2020'!BA298</f>
        <v>22</v>
      </c>
      <c r="AB37" s="119">
        <f>'2020'!BB298</f>
        <v>0</v>
      </c>
      <c r="AC37" s="119">
        <f>'2020'!BE298</f>
        <v>6</v>
      </c>
    </row>
    <row r="38" ht="15.75" customHeight="1" spans="1:29" x14ac:dyDescent="0.25">
      <c r="A38" s="14"/>
      <c r="B38" s="115">
        <v>34</v>
      </c>
      <c r="C38" s="115">
        <v>4.01</v>
      </c>
      <c r="D38" s="117" t="s">
        <v>155</v>
      </c>
      <c r="E38" s="119">
        <f>'2020'!I307</f>
        <v>67</v>
      </c>
      <c r="F38" s="119">
        <f>'2020'!J307</f>
      </c>
      <c r="G38" s="119">
        <f>'2020'!M307</f>
        <v>67</v>
      </c>
      <c r="H38" s="119">
        <f>'2020'!N307</f>
      </c>
      <c r="I38" s="119">
        <f>'2020'!Q307</f>
        <v>67</v>
      </c>
      <c r="J38" s="119">
        <f>'2020'!R307</f>
      </c>
      <c r="K38" s="119">
        <f>'2020'!U307</f>
        <v>67</v>
      </c>
      <c r="L38" s="119">
        <f>'2020'!V307</f>
        <v>0</v>
      </c>
      <c r="M38" s="119">
        <f>'2020'!Y307</f>
        <v>67</v>
      </c>
      <c r="N38" s="119">
        <f>'2020'!Z307</f>
        <v>0</v>
      </c>
      <c r="O38" s="119">
        <f>'2020'!AC307</f>
        <v>67</v>
      </c>
      <c r="P38" s="119">
        <f>'2020'!AD307</f>
        <v>0</v>
      </c>
      <c r="Q38" s="119">
        <f>'2020'!AG307</f>
        <v>67</v>
      </c>
      <c r="R38" s="119">
        <f>'2020'!AH307</f>
        <v>0</v>
      </c>
      <c r="S38" s="119">
        <f>'2020'!AK307</f>
        <v>67</v>
      </c>
      <c r="T38" s="119">
        <f>'2020'!AL307</f>
        <v>0</v>
      </c>
      <c r="U38" s="119">
        <f>'2020'!AO307</f>
        <v>67</v>
      </c>
      <c r="V38" s="119">
        <f>'2020'!AP307</f>
        <v>0</v>
      </c>
      <c r="W38" s="119">
        <f>'2020'!AS307</f>
        <v>67</v>
      </c>
      <c r="X38" s="119">
        <f>'2020'!AT307</f>
        <v>0</v>
      </c>
      <c r="Y38" s="119">
        <f>'2020'!AW307</f>
        <v>67</v>
      </c>
      <c r="Z38" s="119">
        <f>'2020'!AX307</f>
        <v>0</v>
      </c>
      <c r="AA38" s="119">
        <f>'2020'!BA307</f>
        <v>67</v>
      </c>
      <c r="AB38" s="119">
        <f>'2020'!BB307</f>
        <v>0</v>
      </c>
      <c r="AC38" s="119">
        <f>'2020'!BE307</f>
        <v>0</v>
      </c>
    </row>
    <row r="39" ht="15.75" customHeight="1" spans="1:29" x14ac:dyDescent="0.25">
      <c r="A39" s="14"/>
      <c r="B39" s="115">
        <v>35</v>
      </c>
      <c r="C39" s="115">
        <v>4.01</v>
      </c>
      <c r="D39" s="117" t="s">
        <v>157</v>
      </c>
      <c r="E39" s="119">
        <f>'2020'!I316</f>
        <v>131</v>
      </c>
      <c r="F39" s="119">
        <f>'2020'!J316</f>
      </c>
      <c r="G39" s="119">
        <f>'2020'!M316</f>
        <v>131</v>
      </c>
      <c r="H39" s="119">
        <f>'2020'!N316</f>
      </c>
      <c r="I39" s="119">
        <f>'2020'!Q316</f>
        <v>131</v>
      </c>
      <c r="J39" s="119">
        <f>'2020'!R316</f>
      </c>
      <c r="K39" s="119">
        <f>'2020'!U316</f>
        <v>135</v>
      </c>
      <c r="L39" s="119">
        <f>'2020'!V316</f>
        <v>4</v>
      </c>
      <c r="M39" s="119">
        <f>'2020'!Y316</f>
        <v>135</v>
      </c>
      <c r="N39" s="119">
        <f>'2020'!Z316</f>
        <v>0</v>
      </c>
      <c r="O39" s="119">
        <f>'2020'!AC316</f>
        <v>143</v>
      </c>
      <c r="P39" s="119">
        <f>'2020'!AD316</f>
        <v>8</v>
      </c>
      <c r="Q39" s="119">
        <f>'2020'!AG316</f>
        <v>155</v>
      </c>
      <c r="R39" s="119">
        <f>'2020'!AH316</f>
        <v>12</v>
      </c>
      <c r="S39" s="119">
        <f>'2020'!AK316</f>
        <v>155</v>
      </c>
      <c r="T39" s="119">
        <f>'2020'!AL316</f>
        <v>0</v>
      </c>
      <c r="U39" s="119">
        <f>'2020'!AO316</f>
        <v>155</v>
      </c>
      <c r="V39" s="119">
        <f>'2020'!AP316</f>
        <v>0</v>
      </c>
      <c r="W39" s="119">
        <f>'2020'!AS316</f>
        <v>155</v>
      </c>
      <c r="X39" s="119">
        <f>'2020'!AT316</f>
        <v>0</v>
      </c>
      <c r="Y39" s="119">
        <f>'2020'!AW316</f>
        <v>155</v>
      </c>
      <c r="Z39" s="119">
        <f>'2020'!AX316</f>
        <v>0</v>
      </c>
      <c r="AA39" s="119">
        <f>'2020'!BA316</f>
        <v>155</v>
      </c>
      <c r="AB39" s="119">
        <f>'2020'!BB316</f>
        <v>0</v>
      </c>
      <c r="AC39" s="119">
        <f>'2020'!BE316</f>
        <v>24</v>
      </c>
    </row>
    <row r="40" ht="15.75" customHeight="1" spans="1:29" x14ac:dyDescent="0.25">
      <c r="A40" s="14"/>
      <c r="B40" s="115">
        <v>36</v>
      </c>
      <c r="C40" s="115">
        <v>4.03</v>
      </c>
      <c r="D40" s="117" t="s">
        <v>160</v>
      </c>
      <c r="E40" s="119">
        <f>'2020'!I325</f>
        <v>25</v>
      </c>
      <c r="F40" s="119">
        <f>'2020'!J325</f>
      </c>
      <c r="G40" s="119">
        <f>'2020'!M325</f>
        <v>25</v>
      </c>
      <c r="H40" s="119">
        <f>'2020'!N325</f>
      </c>
      <c r="I40" s="119">
        <f>'2020'!Q325</f>
        <v>25</v>
      </c>
      <c r="J40" s="119">
        <f>'2020'!R325</f>
      </c>
      <c r="K40" s="119">
        <f>'2020'!U325</f>
        <v>50</v>
      </c>
      <c r="L40" s="119">
        <f>'2020'!V325</f>
        <v>25</v>
      </c>
      <c r="M40" s="119">
        <f>'2020'!Y325</f>
        <v>50</v>
      </c>
      <c r="N40" s="119">
        <f>'2020'!Z325</f>
        <v>0</v>
      </c>
      <c r="O40" s="119">
        <f>'2020'!AC325</f>
        <v>61</v>
      </c>
      <c r="P40" s="119">
        <f>'2020'!AD325</f>
        <v>11</v>
      </c>
      <c r="Q40" s="119">
        <f>'2020'!AG325</f>
        <v>71</v>
      </c>
      <c r="R40" s="119">
        <f>'2020'!AH325</f>
        <v>10</v>
      </c>
      <c r="S40" s="119">
        <f>'2020'!AK325</f>
        <v>71</v>
      </c>
      <c r="T40" s="119">
        <f>'2020'!AL325</f>
        <v>0</v>
      </c>
      <c r="U40" s="119">
        <f>'2020'!AO325</f>
        <v>71</v>
      </c>
      <c r="V40" s="119">
        <f>'2020'!AP325</f>
        <v>0</v>
      </c>
      <c r="W40" s="119">
        <f>'2020'!AS325</f>
        <v>93</v>
      </c>
      <c r="X40" s="119">
        <f>'2020'!AT325</f>
        <v>22</v>
      </c>
      <c r="Y40" s="119">
        <f>'2020'!AW325</f>
        <v>93</v>
      </c>
      <c r="Z40" s="119">
        <f>'2020'!AX325</f>
        <v>0</v>
      </c>
      <c r="AA40" s="119">
        <f>'2020'!BA325</f>
        <v>93</v>
      </c>
      <c r="AB40" s="119">
        <f>'2020'!BB325</f>
        <v>0</v>
      </c>
      <c r="AC40" s="119">
        <f>'2020'!BE325</f>
        <v>68</v>
      </c>
    </row>
    <row r="41" ht="15.75" customHeight="1" spans="1:29" x14ac:dyDescent="0.25">
      <c r="A41" s="14"/>
      <c r="B41" s="115">
        <v>37</v>
      </c>
      <c r="C41" s="115">
        <v>4.06</v>
      </c>
      <c r="D41" s="117" t="s">
        <v>162</v>
      </c>
      <c r="E41" s="119">
        <f>'2020'!I334</f>
        <v>164</v>
      </c>
      <c r="F41" s="119">
        <f>'2020'!J334</f>
      </c>
      <c r="G41" s="119">
        <f>'2020'!M334</f>
        <v>164</v>
      </c>
      <c r="H41" s="119">
        <f>'2020'!N334</f>
      </c>
      <c r="I41" s="119">
        <f>'2020'!Q334</f>
        <v>164</v>
      </c>
      <c r="J41" s="119">
        <f>'2020'!R334</f>
      </c>
      <c r="K41" s="119">
        <f>'2020'!U334</f>
        <v>165</v>
      </c>
      <c r="L41" s="119">
        <f>'2020'!V334</f>
        <v>1</v>
      </c>
      <c r="M41" s="119">
        <f>'2020'!Y334</f>
        <v>1</v>
      </c>
      <c r="N41" s="119">
        <f>'2020'!Z334</f>
        <v>1</v>
      </c>
      <c r="O41" s="119">
        <f>'2020'!AC334</f>
        <v>6</v>
      </c>
      <c r="P41" s="119">
        <f>'2020'!AD334</f>
        <v>5</v>
      </c>
      <c r="Q41" s="119">
        <f>'2020'!AG334</f>
        <v>11</v>
      </c>
      <c r="R41" s="119">
        <f>'2020'!AH334</f>
        <v>5</v>
      </c>
      <c r="S41" s="119">
        <f>'2020'!AK334</f>
        <v>11</v>
      </c>
      <c r="T41" s="119">
        <f>'2020'!AL334</f>
        <v>0</v>
      </c>
      <c r="U41" s="119">
        <f>'2020'!AO334</f>
        <v>11</v>
      </c>
      <c r="V41" s="119">
        <f>'2020'!AP334</f>
        <v>0</v>
      </c>
      <c r="W41" s="119">
        <f>'2020'!AS334</f>
        <v>11</v>
      </c>
      <c r="X41" s="119">
        <f>'2020'!AT334</f>
        <v>0</v>
      </c>
      <c r="Y41" s="119">
        <f>'2020'!AW334</f>
        <v>11</v>
      </c>
      <c r="Z41" s="119">
        <f>'2020'!AX334</f>
        <v>0</v>
      </c>
      <c r="AA41" s="119">
        <f>'2020'!BA334</f>
        <v>11</v>
      </c>
      <c r="AB41" s="119">
        <f>'2020'!BB334</f>
        <v>0</v>
      </c>
      <c r="AC41" s="119">
        <f>'2020'!BE334</f>
        <v>12</v>
      </c>
    </row>
    <row r="42" ht="15.75" customHeight="1" spans="1:29" x14ac:dyDescent="0.25">
      <c r="A42" s="14"/>
      <c r="B42" s="115">
        <v>38</v>
      </c>
      <c r="C42" s="115">
        <v>4.34</v>
      </c>
      <c r="D42" s="117" t="s">
        <v>167</v>
      </c>
      <c r="E42" s="119">
        <f>'2020'!I343</f>
        <v>112</v>
      </c>
      <c r="F42" s="119">
        <f>'2020'!J343</f>
      </c>
      <c r="G42" s="119">
        <f>'2020'!M343</f>
        <v>112</v>
      </c>
      <c r="H42" s="119">
        <f>'2020'!N343</f>
      </c>
      <c r="I42" s="119">
        <f>'2020'!Q343</f>
        <v>112</v>
      </c>
      <c r="J42" s="119">
        <f>'2020'!R343</f>
      </c>
      <c r="K42" s="119">
        <f>'2020'!U343</f>
        <v>112</v>
      </c>
      <c r="L42" s="119">
        <f>'2020'!V343</f>
        <v>0</v>
      </c>
      <c r="M42" s="119">
        <f>'2020'!Y343</f>
        <v>112</v>
      </c>
      <c r="N42" s="119">
        <f>'2020'!Z343</f>
        <v>0</v>
      </c>
      <c r="O42" s="119">
        <f>'2020'!AC343</f>
        <v>113</v>
      </c>
      <c r="P42" s="119">
        <f>'2020'!AD343</f>
        <v>1</v>
      </c>
      <c r="Q42" s="119">
        <f>'2020'!AG343</f>
        <v>125</v>
      </c>
      <c r="R42" s="119">
        <f>'2020'!AH343</f>
        <v>12</v>
      </c>
      <c r="S42" s="119">
        <f>'2020'!AK343</f>
        <v>125</v>
      </c>
      <c r="T42" s="119">
        <f>'2020'!AL343</f>
        <v>0</v>
      </c>
      <c r="U42" s="119">
        <f>'2020'!AO343</f>
        <v>129</v>
      </c>
      <c r="V42" s="119">
        <f>'2020'!AP343</f>
        <v>4</v>
      </c>
      <c r="W42" s="119">
        <f>'2020'!AS343</f>
        <v>129</v>
      </c>
      <c r="X42" s="119">
        <f>'2020'!AT343</f>
        <v>0</v>
      </c>
      <c r="Y42" s="119">
        <f>'2020'!AW343</f>
        <v>129</v>
      </c>
      <c r="Z42" s="119">
        <f>'2020'!AX343</f>
        <v>0</v>
      </c>
      <c r="AA42" s="119">
        <f>'2020'!BA343</f>
        <v>129</v>
      </c>
      <c r="AB42" s="119">
        <f>'2020'!BB343</f>
        <v>0</v>
      </c>
      <c r="AC42" s="119">
        <f>'2020'!BE343</f>
        <v>17</v>
      </c>
    </row>
    <row r="43" ht="15.75" customHeight="1" spans="1:29" x14ac:dyDescent="0.25">
      <c r="A43" s="21"/>
      <c r="B43" s="115">
        <v>39</v>
      </c>
      <c r="C43" s="116">
        <v>4</v>
      </c>
      <c r="D43" s="117" t="s">
        <v>169</v>
      </c>
      <c r="E43" s="119">
        <f>'2020'!I352</f>
        <v>29</v>
      </c>
      <c r="F43" s="119">
        <f>'2020'!J352</f>
      </c>
      <c r="G43" s="119">
        <f>'2020'!M352</f>
        <v>29</v>
      </c>
      <c r="H43" s="119">
        <f>'2020'!N352</f>
      </c>
      <c r="I43" s="119">
        <f>'2020'!Q352</f>
        <v>29</v>
      </c>
      <c r="J43" s="119">
        <f>'2020'!R352</f>
      </c>
      <c r="K43" s="119">
        <f>'2020'!U352</f>
        <v>35</v>
      </c>
      <c r="L43" s="119">
        <f>'2020'!V352</f>
        <v>6</v>
      </c>
      <c r="M43" s="119">
        <f>'2020'!Y352</f>
        <v>39</v>
      </c>
      <c r="N43" s="119">
        <f>'2020'!Z352</f>
        <v>4</v>
      </c>
      <c r="O43" s="119">
        <f>'2020'!AC352</f>
        <v>50</v>
      </c>
      <c r="P43" s="119">
        <f>'2020'!AD352</f>
        <v>11</v>
      </c>
      <c r="Q43" s="119">
        <f>'2020'!AG352</f>
        <v>56</v>
      </c>
      <c r="R43" s="119">
        <f>'2020'!AH352</f>
        <v>6</v>
      </c>
      <c r="S43" s="119">
        <f>'2020'!AK352</f>
        <v>60</v>
      </c>
      <c r="T43" s="119">
        <f>'2020'!AL352</f>
        <v>4</v>
      </c>
      <c r="U43" s="119">
        <f>'2020'!AO352</f>
        <v>65</v>
      </c>
      <c r="V43" s="119">
        <f>'2020'!AP352</f>
        <v>5</v>
      </c>
      <c r="W43" s="119">
        <f>'2020'!AS352</f>
        <v>65</v>
      </c>
      <c r="X43" s="119">
        <f>'2020'!AT352</f>
        <v>0</v>
      </c>
      <c r="Y43" s="119">
        <f>'2020'!AW352</f>
        <v>65</v>
      </c>
      <c r="Z43" s="119">
        <f>'2020'!AX352</f>
        <v>0</v>
      </c>
      <c r="AA43" s="119">
        <f>'2020'!BA352</f>
        <v>65</v>
      </c>
      <c r="AB43" s="119">
        <f>'2020'!BB352</f>
        <v>0</v>
      </c>
      <c r="AC43" s="119">
        <f>'2020'!BE352</f>
        <v>36</v>
      </c>
    </row>
    <row r="44" ht="15.75" customHeight="1" spans="1:29" x14ac:dyDescent="0.25">
      <c r="A44" s="114" t="s">
        <v>173</v>
      </c>
      <c r="B44" s="115">
        <v>40</v>
      </c>
      <c r="C44" s="115">
        <v>4.92</v>
      </c>
      <c r="D44" s="117" t="s">
        <v>174</v>
      </c>
      <c r="E44" s="119">
        <f>'2020'!I361</f>
        <v>120</v>
      </c>
      <c r="F44" s="119">
        <f>'2020'!J361</f>
      </c>
      <c r="G44" s="119">
        <f>'2020'!M361</f>
        <v>120</v>
      </c>
      <c r="H44" s="119">
        <f>'2020'!N361</f>
      </c>
      <c r="I44" s="119">
        <f>'2020'!Q361</f>
        <v>120</v>
      </c>
      <c r="J44" s="119">
        <f>'2020'!R361</f>
      </c>
      <c r="K44" s="119">
        <f>'2020'!U361</f>
        <v>124</v>
      </c>
      <c r="L44" s="119">
        <f>'2020'!V361</f>
        <v>4</v>
      </c>
      <c r="M44" s="119">
        <f>'2020'!Y361</f>
        <v>127</v>
      </c>
      <c r="N44" s="119">
        <f>'2020'!Z361</f>
        <v>3</v>
      </c>
      <c r="O44" s="119">
        <f>'2020'!AC361</f>
        <v>129</v>
      </c>
      <c r="P44" s="119">
        <f>'2020'!AD361</f>
        <v>2</v>
      </c>
      <c r="Q44" s="119">
        <f>'2020'!AG361</f>
        <v>138</v>
      </c>
      <c r="R44" s="119">
        <f>'2020'!AH361</f>
        <v>9</v>
      </c>
      <c r="S44" s="119">
        <f>'2020'!AK361</f>
        <v>142</v>
      </c>
      <c r="T44" s="119">
        <f>'2020'!AL361</f>
        <v>4</v>
      </c>
      <c r="U44" s="119">
        <f>'2020'!AO361</f>
        <v>143</v>
      </c>
      <c r="V44" s="119">
        <f>'2020'!AP361</f>
        <v>1</v>
      </c>
      <c r="W44" s="119">
        <f>'2020'!AS361</f>
        <v>143</v>
      </c>
      <c r="X44" s="119">
        <f>'2020'!AT361</f>
        <v>0</v>
      </c>
      <c r="Y44" s="119">
        <f>'2020'!AW361</f>
        <v>143</v>
      </c>
      <c r="Z44" s="119">
        <f>'2020'!AX361</f>
        <v>0</v>
      </c>
      <c r="AA44" s="119">
        <f>'2020'!BA361</f>
        <v>143</v>
      </c>
      <c r="AB44" s="119">
        <f>'2020'!BB361</f>
        <v>0</v>
      </c>
      <c r="AC44" s="119">
        <f>'2020'!BE361</f>
        <v>23</v>
      </c>
    </row>
    <row r="45" ht="15.75" customHeight="1" spans="1:29" x14ac:dyDescent="0.25">
      <c r="A45" s="14"/>
      <c r="B45" s="115">
        <v>41</v>
      </c>
      <c r="C45" s="115">
        <v>4.87</v>
      </c>
      <c r="D45" s="117" t="s">
        <v>177</v>
      </c>
      <c r="E45" s="119">
        <f>'2020'!I370</f>
        <v>35</v>
      </c>
      <c r="F45" s="119">
        <f>'2020'!J370</f>
      </c>
      <c r="G45" s="119">
        <f>'2020'!M370</f>
        <v>35</v>
      </c>
      <c r="H45" s="119">
        <f>'2020'!N370</f>
      </c>
      <c r="I45" s="119">
        <f>'2020'!Q370</f>
        <v>35</v>
      </c>
      <c r="J45" s="119">
        <f>'2020'!R370</f>
      </c>
      <c r="K45" s="119">
        <f>'2020'!U370</f>
        <v>38</v>
      </c>
      <c r="L45" s="119">
        <f>'2020'!V370</f>
        <v>3</v>
      </c>
      <c r="M45" s="119">
        <f>'2020'!Y370</f>
        <v>38</v>
      </c>
      <c r="N45" s="119">
        <f>'2020'!Z370</f>
        <v>0</v>
      </c>
      <c r="O45" s="119">
        <f>'2020'!AC370</f>
        <v>38</v>
      </c>
      <c r="P45" s="119">
        <f>'2020'!AD370</f>
        <v>0</v>
      </c>
      <c r="Q45" s="119">
        <f>'2020'!AG370</f>
        <v>38</v>
      </c>
      <c r="R45" s="119">
        <f>'2020'!AH370</f>
        <v>0</v>
      </c>
      <c r="S45" s="119">
        <f>'2020'!AK370</f>
        <v>38</v>
      </c>
      <c r="T45" s="119">
        <f>'2020'!AL370</f>
        <v>0</v>
      </c>
      <c r="U45" s="119">
        <f>'2020'!AO370</f>
        <v>38</v>
      </c>
      <c r="V45" s="119">
        <f>'2020'!AP370</f>
        <v>0</v>
      </c>
      <c r="W45" s="119">
        <f>'2020'!AS370</f>
        <v>38</v>
      </c>
      <c r="X45" s="119">
        <f>'2020'!AT370</f>
        <v>0</v>
      </c>
      <c r="Y45" s="119">
        <f>'2020'!AW370</f>
        <v>38</v>
      </c>
      <c r="Z45" s="119">
        <f>'2020'!AX370</f>
        <v>0</v>
      </c>
      <c r="AA45" s="119">
        <f>'2020'!BA370</f>
        <v>38</v>
      </c>
      <c r="AB45" s="119">
        <f>'2020'!BB370</f>
        <v>0</v>
      </c>
      <c r="AC45" s="119">
        <f>'2020'!BE370</f>
        <v>3</v>
      </c>
    </row>
    <row r="46" ht="15.75" customHeight="1" spans="1:29" x14ac:dyDescent="0.25">
      <c r="A46" s="14"/>
      <c r="B46" s="115">
        <v>42</v>
      </c>
      <c r="C46" s="116">
        <v>4.9</v>
      </c>
      <c r="D46" s="2" t="s">
        <v>181</v>
      </c>
      <c r="E46" s="119">
        <f>'2020'!I379</f>
        <v>7</v>
      </c>
      <c r="F46" s="119">
        <f>'2020'!J379</f>
      </c>
      <c r="G46" s="119">
        <f>'2020'!M379</f>
        <v>7</v>
      </c>
      <c r="H46" s="119">
        <f>'2020'!N379</f>
      </c>
      <c r="I46" s="119">
        <f>'2020'!Q379</f>
        <v>7</v>
      </c>
      <c r="J46" s="119">
        <f>'2020'!R379</f>
      </c>
      <c r="K46" s="119">
        <f>'2020'!U379</f>
        <v>7</v>
      </c>
      <c r="L46" s="119">
        <f>'2020'!V379</f>
        <v>0</v>
      </c>
      <c r="M46" s="119">
        <f>'2020'!Y379</f>
        <v>7</v>
      </c>
      <c r="N46" s="119">
        <f>'2020'!Z379</f>
        <v>0</v>
      </c>
      <c r="O46" s="119">
        <f>'2020'!AC379</f>
        <v>7</v>
      </c>
      <c r="P46" s="119">
        <f>'2020'!AD379</f>
        <v>0</v>
      </c>
      <c r="Q46" s="119">
        <f>'2020'!AG379</f>
        <v>9</v>
      </c>
      <c r="R46" s="119">
        <f>'2020'!AH379</f>
        <v>2</v>
      </c>
      <c r="S46" s="119">
        <f>'2020'!AK379</f>
        <v>9</v>
      </c>
      <c r="T46" s="119">
        <f>'2020'!AL379</f>
        <v>0</v>
      </c>
      <c r="U46" s="119">
        <f>'2020'!AO379</f>
        <v>9</v>
      </c>
      <c r="V46" s="119">
        <f>'2020'!AP379</f>
        <v>0</v>
      </c>
      <c r="W46" s="119">
        <f>'2020'!AS379</f>
        <v>10</v>
      </c>
      <c r="X46" s="119">
        <f>'2020'!AT379</f>
        <v>1</v>
      </c>
      <c r="Y46" s="119">
        <f>'2020'!AW379</f>
        <v>10</v>
      </c>
      <c r="Z46" s="119">
        <f>'2020'!AX379</f>
        <v>0</v>
      </c>
      <c r="AA46" s="119">
        <f>'2020'!BA379</f>
        <v>10</v>
      </c>
      <c r="AB46" s="119">
        <f>'2020'!BB379</f>
        <v>0</v>
      </c>
      <c r="AC46" s="119">
        <f>'2020'!BE379</f>
        <v>3</v>
      </c>
    </row>
    <row r="47" ht="15.75" customHeight="1" spans="1:29" x14ac:dyDescent="0.25">
      <c r="A47" s="14"/>
      <c r="B47" s="115">
        <v>43</v>
      </c>
      <c r="C47" s="115">
        <v>4.96</v>
      </c>
      <c r="D47" s="117" t="s">
        <v>185</v>
      </c>
      <c r="E47" s="119">
        <f>'2020'!I388</f>
        <v>68</v>
      </c>
      <c r="F47" s="119">
        <f>'2020'!J388</f>
      </c>
      <c r="G47" s="119">
        <f>'2020'!M388</f>
        <v>68</v>
      </c>
      <c r="H47" s="119">
        <f>'2020'!N388</f>
      </c>
      <c r="I47" s="119">
        <f>'2020'!Q388</f>
        <v>68</v>
      </c>
      <c r="J47" s="119">
        <f>'2020'!R388</f>
      </c>
      <c r="K47" s="119">
        <f>'2020'!U388</f>
        <v>71</v>
      </c>
      <c r="L47" s="119">
        <f>'2020'!V388</f>
        <v>3</v>
      </c>
      <c r="M47" s="119">
        <f>'2020'!Y388</f>
        <v>74</v>
      </c>
      <c r="N47" s="119">
        <f>'2020'!Z388</f>
        <v>3</v>
      </c>
      <c r="O47" s="119">
        <f>'2020'!AC388</f>
        <v>84</v>
      </c>
      <c r="P47" s="119">
        <f>'2020'!AD388</f>
        <v>10</v>
      </c>
      <c r="Q47" s="119">
        <f>'2020'!AG388</f>
        <v>96</v>
      </c>
      <c r="R47" s="119">
        <f>'2020'!AH388</f>
        <v>12</v>
      </c>
      <c r="S47" s="119">
        <f>'2020'!AK388</f>
        <v>100</v>
      </c>
      <c r="T47" s="119">
        <f>'2020'!AL388</f>
        <v>4</v>
      </c>
      <c r="U47" s="119">
        <f>'2020'!AO388</f>
        <v>101</v>
      </c>
      <c r="V47" s="119">
        <f>'2020'!AP388</f>
        <v>1</v>
      </c>
      <c r="W47" s="119">
        <f>'2020'!AS388</f>
        <v>101</v>
      </c>
      <c r="X47" s="119">
        <f>'2020'!AT388</f>
        <v>0</v>
      </c>
      <c r="Y47" s="119">
        <f>'2020'!AW388</f>
        <v>101</v>
      </c>
      <c r="Z47" s="119">
        <f>'2020'!AX388</f>
        <v>0</v>
      </c>
      <c r="AA47" s="119">
        <f>'2020'!BA388</f>
        <v>101</v>
      </c>
      <c r="AB47" s="119">
        <f>'2020'!BB388</f>
        <v>0</v>
      </c>
      <c r="AC47" s="119">
        <f>'2020'!BE388</f>
        <v>33</v>
      </c>
    </row>
    <row r="48" ht="15.75" customHeight="1" spans="1:29" x14ac:dyDescent="0.25">
      <c r="A48" s="14"/>
      <c r="B48" s="115">
        <v>44</v>
      </c>
      <c r="C48" s="115">
        <v>4.01</v>
      </c>
      <c r="D48" s="15" t="s">
        <v>412</v>
      </c>
      <c r="E48" s="119">
        <f>'2020'!I397</f>
        <v>53</v>
      </c>
      <c r="F48" s="119">
        <f>'2020'!J397</f>
      </c>
      <c r="G48" s="119">
        <f>'2020'!M397</f>
        <v>53</v>
      </c>
      <c r="H48" s="119">
        <f>'2020'!N397</f>
      </c>
      <c r="I48" s="119">
        <f>'2020'!Q397</f>
        <v>0</v>
      </c>
      <c r="J48" s="119">
        <f>'2020'!R397</f>
      </c>
      <c r="K48" s="119">
        <f>'2020'!U397</f>
        <v>0</v>
      </c>
      <c r="L48" s="119">
        <f>'2020'!V397</f>
        <v>0</v>
      </c>
      <c r="M48" s="119">
        <f>'2020'!Y397</f>
        <v>0</v>
      </c>
      <c r="N48" s="119">
        <f>'2020'!Z397</f>
        <v>0</v>
      </c>
      <c r="O48" s="119">
        <f>'2020'!AC397</f>
        <v>0</v>
      </c>
      <c r="P48" s="119">
        <f>'2020'!AD397</f>
        <v>0</v>
      </c>
      <c r="Q48" s="119">
        <f>'2020'!AG397</f>
        <v>0</v>
      </c>
      <c r="R48" s="119">
        <f>'2020'!AH397</f>
        <v>0</v>
      </c>
      <c r="S48" s="119">
        <f>'2020'!AK397</f>
        <v>5</v>
      </c>
      <c r="T48" s="119">
        <f>'2020'!AL397</f>
        <v>5</v>
      </c>
      <c r="U48" s="119">
        <f>'2020'!AO397</f>
        <v>5</v>
      </c>
      <c r="V48" s="119">
        <f>'2020'!AP397</f>
        <v>0</v>
      </c>
      <c r="W48" s="119">
        <f>'2020'!AS397</f>
        <v>5</v>
      </c>
      <c r="X48" s="119">
        <f>'2020'!AT397</f>
        <v>0</v>
      </c>
      <c r="Y48" s="119">
        <f>'2020'!AW397</f>
        <v>5</v>
      </c>
      <c r="Z48" s="119">
        <f>'2020'!AX397</f>
        <v>0</v>
      </c>
      <c r="AA48" s="119">
        <f>'2020'!BA397</f>
        <v>5</v>
      </c>
      <c r="AB48" s="119">
        <f>'2020'!BB397</f>
        <v>0</v>
      </c>
      <c r="AC48" s="119">
        <f>'2020'!BE397</f>
        <v>5</v>
      </c>
    </row>
    <row r="49" ht="15.75" customHeight="1" spans="1:29" x14ac:dyDescent="0.25">
      <c r="A49" s="14"/>
      <c r="B49" s="115">
        <v>45</v>
      </c>
      <c r="C49" s="115">
        <v>5.04</v>
      </c>
      <c r="D49" s="117" t="s">
        <v>189</v>
      </c>
      <c r="E49" s="119">
        <f>'2020'!I406</f>
        <v>2</v>
      </c>
      <c r="F49" s="119">
        <f>'2020'!J406</f>
      </c>
      <c r="G49" s="119">
        <f>'2020'!M406</f>
        <v>2</v>
      </c>
      <c r="H49" s="119">
        <f>'2020'!N406</f>
      </c>
      <c r="I49" s="119">
        <f>'2020'!Q406</f>
        <v>2</v>
      </c>
      <c r="J49" s="119">
        <f>'2020'!R406</f>
      </c>
      <c r="K49" s="119">
        <f>'2020'!U406</f>
        <v>2</v>
      </c>
      <c r="L49" s="119">
        <f>'2020'!V406</f>
        <v>0</v>
      </c>
      <c r="M49" s="119">
        <f>'2020'!Y406</f>
        <v>2</v>
      </c>
      <c r="N49" s="119">
        <f>'2020'!Z406</f>
        <v>0</v>
      </c>
      <c r="O49" s="119">
        <f>'2020'!AC406</f>
        <v>2</v>
      </c>
      <c r="P49" s="119">
        <f>'2020'!AD406</f>
        <v>0</v>
      </c>
      <c r="Q49" s="119">
        <f>'2020'!AG406</f>
        <v>2</v>
      </c>
      <c r="R49" s="119">
        <f>'2020'!AH406</f>
        <v>0</v>
      </c>
      <c r="S49" s="119">
        <f>'2020'!AK406</f>
        <v>2</v>
      </c>
      <c r="T49" s="119">
        <f>'2020'!AL406</f>
        <v>0</v>
      </c>
      <c r="U49" s="119">
        <f>'2020'!AO406</f>
        <v>2</v>
      </c>
      <c r="V49" s="119">
        <f>'2020'!AP406</f>
        <v>0</v>
      </c>
      <c r="W49" s="119">
        <f>'2020'!AS406</f>
        <v>2</v>
      </c>
      <c r="X49" s="119">
        <f>'2020'!AT406</f>
        <v>0</v>
      </c>
      <c r="Y49" s="119">
        <f>'2020'!AW406</f>
        <v>2</v>
      </c>
      <c r="Z49" s="119">
        <f>'2020'!AX406</f>
        <v>0</v>
      </c>
      <c r="AA49" s="119">
        <f>'2020'!BA406</f>
        <v>2</v>
      </c>
      <c r="AB49" s="119">
        <f>'2020'!BB406</f>
        <v>0</v>
      </c>
      <c r="AC49" s="119">
        <f>'2020'!BE406</f>
        <v>0</v>
      </c>
    </row>
    <row r="50" ht="15.75" customHeight="1" spans="1:29" x14ac:dyDescent="0.25">
      <c r="A50" s="14"/>
      <c r="B50" s="115">
        <v>46</v>
      </c>
      <c r="C50" s="116">
        <v>4</v>
      </c>
      <c r="D50" s="117" t="s">
        <v>188</v>
      </c>
      <c r="E50" s="119">
        <f>'2020'!I415</f>
        <v>117</v>
      </c>
      <c r="F50" s="119">
        <f>'2020'!J415</f>
      </c>
      <c r="G50" s="119">
        <f>'2020'!M415</f>
        <v>117</v>
      </c>
      <c r="H50" s="119">
        <f>'2020'!N415</f>
      </c>
      <c r="I50" s="119">
        <f>'2020'!Q415</f>
        <v>117</v>
      </c>
      <c r="J50" s="119">
        <f>'2020'!R415</f>
      </c>
      <c r="K50" s="119">
        <f>'2020'!U415</f>
        <v>117</v>
      </c>
      <c r="L50" s="119">
        <f>'2020'!V415</f>
        <v>0</v>
      </c>
      <c r="M50" s="119">
        <f>'2020'!Y415</f>
        <v>117</v>
      </c>
      <c r="N50" s="119">
        <f>'2020'!Z415</f>
        <v>0</v>
      </c>
      <c r="O50" s="119">
        <f>'2020'!AC415</f>
        <v>121</v>
      </c>
      <c r="P50" s="119">
        <f>'2020'!AD415</f>
        <v>4</v>
      </c>
      <c r="Q50" s="119">
        <f>'2020'!AG415</f>
        <v>129</v>
      </c>
      <c r="R50" s="119">
        <f>'2020'!AH415</f>
        <v>8</v>
      </c>
      <c r="S50" s="119">
        <f>'2020'!AK415</f>
        <v>137</v>
      </c>
      <c r="T50" s="119">
        <f>'2020'!AL415</f>
        <v>8</v>
      </c>
      <c r="U50" s="119">
        <f>'2020'!AO415</f>
        <v>137</v>
      </c>
      <c r="V50" s="119">
        <f>'2020'!AP415</f>
        <v>0</v>
      </c>
      <c r="W50" s="119">
        <f>'2020'!AS415</f>
        <v>137</v>
      </c>
      <c r="X50" s="119">
        <f>'2020'!AT415</f>
        <v>0</v>
      </c>
      <c r="Y50" s="119">
        <f>'2020'!AW415</f>
        <v>137</v>
      </c>
      <c r="Z50" s="119">
        <f>'2020'!AX415</f>
        <v>0</v>
      </c>
      <c r="AA50" s="119">
        <f>'2020'!BA415</f>
        <v>137</v>
      </c>
      <c r="AB50" s="119">
        <f>'2020'!BB415</f>
        <v>0</v>
      </c>
      <c r="AC50" s="119">
        <f>'2020'!BE415</f>
        <v>20</v>
      </c>
    </row>
    <row r="51" ht="15.75" customHeight="1" spans="1:29" x14ac:dyDescent="0.25">
      <c r="A51" s="14"/>
      <c r="B51" s="115">
        <v>47</v>
      </c>
      <c r="C51" s="116">
        <v>5</v>
      </c>
      <c r="D51" s="117" t="s">
        <v>192</v>
      </c>
      <c r="E51" s="119">
        <f>'2020'!I424</f>
        <v>12</v>
      </c>
      <c r="F51" s="119">
        <f>'2020'!J424</f>
      </c>
      <c r="G51" s="119">
        <f>'2020'!M424</f>
        <v>12</v>
      </c>
      <c r="H51" s="119">
        <f>'2020'!N424</f>
      </c>
      <c r="I51" s="119">
        <f>'2020'!Q424</f>
        <v>12</v>
      </c>
      <c r="J51" s="119">
        <f>'2020'!R424</f>
      </c>
      <c r="K51" s="119">
        <f>'2020'!U424</f>
        <v>14</v>
      </c>
      <c r="L51" s="119">
        <f>'2020'!V424</f>
        <v>2</v>
      </c>
      <c r="M51" s="119">
        <f>'2020'!Y424</f>
        <v>16</v>
      </c>
      <c r="N51" s="119">
        <f>'2020'!Z424</f>
        <v>2</v>
      </c>
      <c r="O51" s="119">
        <f>'2020'!AC424</f>
        <v>18</v>
      </c>
      <c r="P51" s="119">
        <f>'2020'!AD424</f>
        <v>2</v>
      </c>
      <c r="Q51" s="119">
        <f>'2020'!AG424</f>
        <v>23</v>
      </c>
      <c r="R51" s="119">
        <f>'2020'!AH424</f>
        <v>5</v>
      </c>
      <c r="S51" s="119">
        <f>'2020'!AK424</f>
        <v>30</v>
      </c>
      <c r="T51" s="119">
        <f>'2020'!AL424</f>
        <v>7</v>
      </c>
      <c r="U51" s="119">
        <f>'2020'!AO424</f>
        <v>30</v>
      </c>
      <c r="V51" s="119">
        <f>'2020'!AP424</f>
        <v>0</v>
      </c>
      <c r="W51" s="119">
        <f>'2020'!AS424</f>
        <v>30</v>
      </c>
      <c r="X51" s="119">
        <f>'2020'!AT424</f>
        <v>0</v>
      </c>
      <c r="Y51" s="119">
        <f>'2020'!AW424</f>
        <v>30</v>
      </c>
      <c r="Z51" s="119">
        <f>'2020'!AX424</f>
        <v>0</v>
      </c>
      <c r="AA51" s="119">
        <f>'2020'!BA424</f>
        <v>30</v>
      </c>
      <c r="AB51" s="119">
        <f>'2020'!BB424</f>
        <v>0</v>
      </c>
      <c r="AC51" s="119">
        <f>'2020'!BE424</f>
        <v>18</v>
      </c>
    </row>
    <row r="52" ht="15.75" customHeight="1" spans="1:29" x14ac:dyDescent="0.25">
      <c r="A52" s="14"/>
      <c r="B52" s="115">
        <v>48</v>
      </c>
      <c r="C52" s="115">
        <v>5.93</v>
      </c>
      <c r="D52" s="117" t="s">
        <v>97</v>
      </c>
      <c r="E52" s="119">
        <f>'2020'!I433</f>
        <v>119</v>
      </c>
      <c r="F52" s="119">
        <f>'2020'!J433</f>
      </c>
      <c r="G52" s="119">
        <f>'2020'!M433</f>
        <v>119</v>
      </c>
      <c r="H52" s="119">
        <f>'2020'!N433</f>
      </c>
      <c r="I52" s="119">
        <f>'2020'!Q433</f>
        <v>119</v>
      </c>
      <c r="J52" s="119">
        <f>'2020'!R433</f>
      </c>
      <c r="K52" s="119">
        <f>'2020'!U433</f>
        <v>133</v>
      </c>
      <c r="L52" s="119">
        <f>'2020'!V433</f>
        <v>0</v>
      </c>
      <c r="M52" s="119">
        <f>'2020'!Y433</f>
        <v>133</v>
      </c>
      <c r="N52" s="119">
        <f>'2020'!Z433</f>
        <v>0</v>
      </c>
      <c r="O52" s="119">
        <f>'2020'!AC433</f>
        <v>140</v>
      </c>
      <c r="P52" s="119">
        <f>'2020'!AD433</f>
        <v>7</v>
      </c>
      <c r="Q52" s="119">
        <f>'2020'!AG433</f>
        <v>154</v>
      </c>
      <c r="R52" s="119">
        <f>'2020'!AH433</f>
        <v>14</v>
      </c>
      <c r="S52" s="119">
        <f>'2020'!AK433</f>
        <v>160</v>
      </c>
      <c r="T52" s="119">
        <f>'2020'!AL433</f>
        <v>6</v>
      </c>
      <c r="U52" s="119">
        <f>'2020'!AO433</f>
        <v>160</v>
      </c>
      <c r="V52" s="119">
        <f>'2020'!AP433</f>
        <v>0</v>
      </c>
      <c r="W52" s="119">
        <f>'2020'!AS433</f>
        <v>160</v>
      </c>
      <c r="X52" s="119">
        <f>'2020'!AT433</f>
        <v>0</v>
      </c>
      <c r="Y52" s="119">
        <f>'2020'!AW433</f>
        <v>160</v>
      </c>
      <c r="Z52" s="119">
        <f>'2020'!AX433</f>
        <v>0</v>
      </c>
      <c r="AA52" s="119">
        <f>'2020'!BA433</f>
        <v>160</v>
      </c>
      <c r="AB52" s="119">
        <f>'2020'!BB433</f>
        <v>0</v>
      </c>
      <c r="AC52" s="119">
        <f>'2020'!BE433</f>
        <v>27</v>
      </c>
    </row>
    <row r="53" ht="15.75" customHeight="1" spans="1:29" x14ac:dyDescent="0.25">
      <c r="A53" s="14"/>
      <c r="B53" s="115">
        <v>49</v>
      </c>
      <c r="C53" s="115">
        <v>5.03</v>
      </c>
      <c r="D53" s="117" t="s">
        <v>197</v>
      </c>
      <c r="E53" s="119">
        <f>'2020'!I442</f>
        <v>167</v>
      </c>
      <c r="F53" s="119">
        <f>'2020'!J442</f>
      </c>
      <c r="G53" s="119">
        <f>'2020'!M442</f>
        <v>167</v>
      </c>
      <c r="H53" s="119">
        <f>'2020'!N442</f>
      </c>
      <c r="I53" s="119">
        <f>'2020'!Q442</f>
        <v>167</v>
      </c>
      <c r="J53" s="119">
        <f>'2020'!R442</f>
      </c>
      <c r="K53" s="119">
        <f>'2020'!U442</f>
        <v>168</v>
      </c>
      <c r="L53" s="119">
        <f>'2020'!V442</f>
        <v>1</v>
      </c>
      <c r="M53" s="119">
        <f>'2020'!Y442</f>
        <v>172</v>
      </c>
      <c r="N53" s="119">
        <f>'2020'!Z442</f>
        <v>4</v>
      </c>
      <c r="O53" s="119">
        <f>'2020'!AC442</f>
        <v>178</v>
      </c>
      <c r="P53" s="119">
        <f>'2020'!AD442</f>
        <v>6</v>
      </c>
      <c r="Q53" s="119">
        <f>'2020'!AG442</f>
        <v>193</v>
      </c>
      <c r="R53" s="119">
        <f>'2020'!AH442</f>
        <v>15</v>
      </c>
      <c r="S53" s="119">
        <f>'2020'!AK442</f>
        <v>200</v>
      </c>
      <c r="T53" s="119">
        <f>'2020'!AL442</f>
        <v>7</v>
      </c>
      <c r="U53" s="119">
        <f>'2020'!AO442</f>
        <v>200</v>
      </c>
      <c r="V53" s="119">
        <f>'2020'!AP442</f>
        <v>0</v>
      </c>
      <c r="W53" s="119">
        <f>'2020'!AS442</f>
        <v>200</v>
      </c>
      <c r="X53" s="119">
        <f>'2020'!AT442</f>
        <v>0</v>
      </c>
      <c r="Y53" s="119">
        <f>'2020'!AW442</f>
        <v>200</v>
      </c>
      <c r="Z53" s="119">
        <f>'2020'!AX442</f>
        <v>0</v>
      </c>
      <c r="AA53" s="119">
        <f>'2020'!BA442</f>
        <v>200</v>
      </c>
      <c r="AB53" s="119">
        <f>'2020'!BB442</f>
        <v>0</v>
      </c>
      <c r="AC53" s="119">
        <f>'2020'!BE442</f>
        <v>33</v>
      </c>
    </row>
    <row r="54" ht="15.75" customHeight="1" spans="1:29" x14ac:dyDescent="0.25">
      <c r="A54" s="14"/>
      <c r="B54" s="115">
        <v>50</v>
      </c>
      <c r="C54" s="115">
        <v>6.05</v>
      </c>
      <c r="D54" s="117" t="s">
        <v>200</v>
      </c>
      <c r="E54" s="119">
        <f>'2020'!I451</f>
        <v>219</v>
      </c>
      <c r="F54" s="119">
        <f>'2020'!J451</f>
      </c>
      <c r="G54" s="119">
        <f>'2020'!M451</f>
        <v>219</v>
      </c>
      <c r="H54" s="119">
        <f>'2020'!N451</f>
      </c>
      <c r="I54" s="119">
        <f>'2020'!Q451</f>
        <v>219</v>
      </c>
      <c r="J54" s="119">
        <f>'2020'!R451</f>
      </c>
      <c r="K54" s="119">
        <f>'2020'!U451</f>
        <v>223</v>
      </c>
      <c r="L54" s="119">
        <f>'2020'!V451</f>
        <v>4</v>
      </c>
      <c r="M54" s="119">
        <f>'2020'!Y451</f>
        <v>225</v>
      </c>
      <c r="N54" s="119">
        <f>'2020'!Z451</f>
        <v>2</v>
      </c>
      <c r="O54" s="119">
        <f>'2020'!AC451</f>
        <v>232</v>
      </c>
      <c r="P54" s="119">
        <f>'2020'!AD451</f>
        <v>7</v>
      </c>
      <c r="Q54" s="119">
        <f>'2020'!AG451</f>
        <v>244</v>
      </c>
      <c r="R54" s="119">
        <f>'2020'!AH451</f>
        <v>12</v>
      </c>
      <c r="S54" s="119">
        <f>'2020'!AK451</f>
        <v>249</v>
      </c>
      <c r="T54" s="119">
        <f>'2020'!AL451</f>
        <v>5</v>
      </c>
      <c r="U54" s="119">
        <f>'2020'!AO451</f>
        <v>251</v>
      </c>
      <c r="V54" s="119">
        <f>'2020'!AP451</f>
        <v>2</v>
      </c>
      <c r="W54" s="119">
        <f>'2020'!AS451</f>
        <v>252</v>
      </c>
      <c r="X54" s="119">
        <f>'2020'!AT451</f>
        <v>1</v>
      </c>
      <c r="Y54" s="119">
        <f>'2020'!AW451</f>
        <v>252</v>
      </c>
      <c r="Z54" s="119">
        <f>'2020'!AX451</f>
        <v>0</v>
      </c>
      <c r="AA54" s="119">
        <f>'2020'!BA451</f>
        <v>252</v>
      </c>
      <c r="AB54" s="119">
        <f>'2020'!BB451</f>
        <v>0</v>
      </c>
      <c r="AC54" s="119">
        <f>'2020'!BE451</f>
        <v>33</v>
      </c>
    </row>
    <row r="55" ht="15.75" customHeight="1" spans="1:29" x14ac:dyDescent="0.25">
      <c r="A55" s="14"/>
      <c r="B55" s="115">
        <v>51</v>
      </c>
      <c r="C55" s="115">
        <v>4.95</v>
      </c>
      <c r="D55" s="117" t="s">
        <v>204</v>
      </c>
      <c r="E55" s="119">
        <f>'2020'!I460</f>
        <v>27</v>
      </c>
      <c r="F55" s="119">
        <f>'2020'!J460</f>
      </c>
      <c r="G55" s="119">
        <f>'2020'!M460</f>
        <v>27</v>
      </c>
      <c r="H55" s="119">
        <f>'2020'!N460</f>
      </c>
      <c r="I55" s="119">
        <f>'2020'!Q460</f>
        <v>27</v>
      </c>
      <c r="J55" s="119">
        <f>'2020'!R460</f>
      </c>
      <c r="K55" s="119">
        <f>'2020'!U460</f>
        <v>32</v>
      </c>
      <c r="L55" s="119">
        <f>'2020'!V460</f>
        <v>5</v>
      </c>
      <c r="M55" s="119">
        <f>'2020'!Y460</f>
        <v>33</v>
      </c>
      <c r="N55" s="119">
        <f>'2020'!Z460</f>
        <v>1</v>
      </c>
      <c r="O55" s="119">
        <f>'2020'!AC460</f>
        <v>37</v>
      </c>
      <c r="P55" s="119">
        <f>'2020'!AD460</f>
        <v>4</v>
      </c>
      <c r="Q55" s="119">
        <f>'2020'!AG460</f>
        <v>47</v>
      </c>
      <c r="R55" s="119">
        <f>'2020'!AH460</f>
        <v>10</v>
      </c>
      <c r="S55" s="119">
        <f>'2020'!AK460</f>
        <v>48</v>
      </c>
      <c r="T55" s="119">
        <f>'2020'!AL460</f>
        <v>1</v>
      </c>
      <c r="U55" s="119">
        <f>'2020'!AO460</f>
        <v>48</v>
      </c>
      <c r="V55" s="119">
        <f>'2020'!AP460</f>
        <v>0</v>
      </c>
      <c r="W55" s="119">
        <f>'2020'!AS460</f>
        <v>49</v>
      </c>
      <c r="X55" s="119">
        <f>'2020'!AT460</f>
        <v>1</v>
      </c>
      <c r="Y55" s="119">
        <f>'2020'!AW460</f>
        <v>49</v>
      </c>
      <c r="Z55" s="119">
        <f>'2020'!AX460</f>
        <v>0</v>
      </c>
      <c r="AA55" s="119">
        <f>'2020'!BA460</f>
        <v>49</v>
      </c>
      <c r="AB55" s="119">
        <f>'2020'!BB460</f>
        <v>0</v>
      </c>
      <c r="AC55" s="119">
        <f>'2020'!BE460</f>
        <v>22</v>
      </c>
    </row>
    <row r="56" ht="15.75" customHeight="1" spans="1:29" x14ac:dyDescent="0.25">
      <c r="A56" s="14"/>
      <c r="B56" s="115">
        <v>52</v>
      </c>
      <c r="C56" s="116">
        <v>5</v>
      </c>
      <c r="D56" s="117" t="s">
        <v>206</v>
      </c>
      <c r="E56" s="119">
        <f>'2020'!I469</f>
        <v>196</v>
      </c>
      <c r="F56" s="119">
        <f>'2020'!J469</f>
      </c>
      <c r="G56" s="119">
        <f>'2020'!M469</f>
        <v>196</v>
      </c>
      <c r="H56" s="119">
        <f>'2020'!N469</f>
      </c>
      <c r="I56" s="119">
        <f>'2020'!Q469</f>
        <v>196</v>
      </c>
      <c r="J56" s="119">
        <f>'2020'!R469</f>
      </c>
      <c r="K56" s="119">
        <f>'2020'!U469</f>
        <v>196</v>
      </c>
      <c r="L56" s="119">
        <f>'2020'!V469</f>
        <v>0</v>
      </c>
      <c r="M56" s="119">
        <f>'2020'!Y469</f>
        <v>195</v>
      </c>
      <c r="N56" s="119">
        <f>'2020'!Z469</f>
        <v>-1</v>
      </c>
      <c r="O56" s="119">
        <f>'2020'!AC469</f>
        <v>195</v>
      </c>
      <c r="P56" s="119">
        <f>'2020'!AD469</f>
        <v>0</v>
      </c>
      <c r="Q56" s="119">
        <f>'2020'!AG469</f>
        <v>195</v>
      </c>
      <c r="R56" s="119">
        <f>'2020'!AH469</f>
        <v>0</v>
      </c>
      <c r="S56" s="119">
        <f>'2020'!AK469</f>
        <v>215</v>
      </c>
      <c r="T56" s="119">
        <f>'2020'!AL469</f>
        <v>20</v>
      </c>
      <c r="U56" s="119">
        <f>'2020'!AO469</f>
        <v>215</v>
      </c>
      <c r="V56" s="119">
        <f>'2020'!AP469</f>
        <v>0</v>
      </c>
      <c r="W56" s="119">
        <f>'2020'!AS469</f>
        <v>215</v>
      </c>
      <c r="X56" s="119">
        <f>'2020'!AT469</f>
        <v>0</v>
      </c>
      <c r="Y56" s="119">
        <f>'2020'!AW469</f>
        <v>215</v>
      </c>
      <c r="Z56" s="119">
        <f>'2020'!AX469</f>
        <v>0</v>
      </c>
      <c r="AA56" s="119">
        <f>'2020'!BA469</f>
        <v>215</v>
      </c>
      <c r="AB56" s="119">
        <f>'2020'!BB469</f>
        <v>0</v>
      </c>
      <c r="AC56" s="119">
        <f>'2020'!BE469</f>
        <v>19</v>
      </c>
    </row>
    <row r="57" ht="15.75" customHeight="1" spans="1:29" x14ac:dyDescent="0.25">
      <c r="A57" s="14"/>
      <c r="B57" s="115">
        <v>53</v>
      </c>
      <c r="C57" s="115">
        <v>5.05</v>
      </c>
      <c r="D57" s="117" t="s">
        <v>210</v>
      </c>
      <c r="E57" s="119">
        <f>'2020'!I478</f>
        <v>69</v>
      </c>
      <c r="F57" s="119">
        <f>'2020'!J478</f>
      </c>
      <c r="G57" s="119">
        <f>'2020'!M478</f>
        <v>69</v>
      </c>
      <c r="H57" s="119">
        <f>'2020'!N478</f>
      </c>
      <c r="I57" s="119">
        <f>'2020'!Q478</f>
        <v>69</v>
      </c>
      <c r="J57" s="119">
        <f>'2020'!R478</f>
      </c>
      <c r="K57" s="119">
        <f>'2020'!U478</f>
        <v>71</v>
      </c>
      <c r="L57" s="119">
        <f>'2020'!V478</f>
        <v>2</v>
      </c>
      <c r="M57" s="119">
        <f>'2020'!Y478</f>
        <v>74</v>
      </c>
      <c r="N57" s="119">
        <f>'2020'!Z478</f>
        <v>3</v>
      </c>
      <c r="O57" s="119">
        <f>'2020'!AC478</f>
        <v>80</v>
      </c>
      <c r="P57" s="119">
        <f>'2020'!AD478</f>
        <v>6</v>
      </c>
      <c r="Q57" s="119">
        <f>'2020'!AG478</f>
        <v>94</v>
      </c>
      <c r="R57" s="119">
        <f>'2020'!AH478</f>
        <v>14</v>
      </c>
      <c r="S57" s="119">
        <f>'2020'!AK478</f>
        <v>109</v>
      </c>
      <c r="T57" s="119">
        <f>'2020'!AL478</f>
        <v>15</v>
      </c>
      <c r="U57" s="119">
        <f>'2020'!AO478</f>
        <v>110</v>
      </c>
      <c r="V57" s="119">
        <f>'2020'!AP478</f>
        <v>1</v>
      </c>
      <c r="W57" s="119">
        <f>'2020'!AS478</f>
        <v>110</v>
      </c>
      <c r="X57" s="119">
        <f>'2020'!AT478</f>
        <v>0</v>
      </c>
      <c r="Y57" s="119">
        <f>'2020'!AW478</f>
        <v>110</v>
      </c>
      <c r="Z57" s="119">
        <f>'2020'!AX478</f>
        <v>0</v>
      </c>
      <c r="AA57" s="119">
        <f>'2020'!BA478</f>
        <v>110</v>
      </c>
      <c r="AB57" s="119">
        <f>'2020'!BB478</f>
        <v>0</v>
      </c>
      <c r="AC57" s="119">
        <f>'2020'!BE478</f>
        <v>41</v>
      </c>
    </row>
    <row r="58" ht="15.75" customHeight="1" spans="1:29" x14ac:dyDescent="0.25">
      <c r="A58" s="14"/>
      <c r="B58" s="115">
        <v>54</v>
      </c>
      <c r="C58" s="115">
        <v>5.54</v>
      </c>
      <c r="D58" s="117" t="s">
        <v>212</v>
      </c>
      <c r="E58" s="119">
        <f>'2020'!I487</f>
        <v>117</v>
      </c>
      <c r="F58" s="119">
        <f>'2020'!J487</f>
      </c>
      <c r="G58" s="119">
        <f>'2020'!M487</f>
        <v>117</v>
      </c>
      <c r="H58" s="119">
        <f>'2020'!N487</f>
      </c>
      <c r="I58" s="119">
        <f>'2020'!Q487</f>
        <v>117</v>
      </c>
      <c r="J58" s="119">
        <f>'2020'!R487</f>
      </c>
      <c r="K58" s="119">
        <f>'2020'!U487</f>
        <v>117</v>
      </c>
      <c r="L58" s="119">
        <f>'2020'!V487</f>
        <v>0</v>
      </c>
      <c r="M58" s="119">
        <f>'2020'!Y487</f>
        <v>117</v>
      </c>
      <c r="N58" s="119">
        <f>'2020'!Z487</f>
        <v>0</v>
      </c>
      <c r="O58" s="119">
        <f>'2020'!AC487</f>
        <v>125</v>
      </c>
      <c r="P58" s="119">
        <f>'2020'!AD487</f>
        <v>8</v>
      </c>
      <c r="Q58" s="119">
        <f>'2020'!AG487</f>
        <v>135</v>
      </c>
      <c r="R58" s="119">
        <f>'2020'!AH487</f>
        <v>10</v>
      </c>
      <c r="S58" s="119">
        <f>'2020'!AK487</f>
        <v>135</v>
      </c>
      <c r="T58" s="119">
        <f>'2020'!AL487</f>
        <v>0</v>
      </c>
      <c r="U58" s="119">
        <f>'2020'!AO487</f>
        <v>135</v>
      </c>
      <c r="V58" s="119">
        <f>'2020'!AP487</f>
        <v>0</v>
      </c>
      <c r="W58" s="119">
        <f>'2020'!AS487</f>
        <v>135</v>
      </c>
      <c r="X58" s="119">
        <f>'2020'!AT487</f>
        <v>0</v>
      </c>
      <c r="Y58" s="119">
        <f>'2020'!AW487</f>
        <v>135</v>
      </c>
      <c r="Z58" s="119">
        <f>'2020'!AX487</f>
        <v>0</v>
      </c>
      <c r="AA58" s="119">
        <f>'2020'!BA487</f>
        <v>135</v>
      </c>
      <c r="AB58" s="119">
        <f>'2020'!BB487</f>
        <v>0</v>
      </c>
      <c r="AC58" s="119">
        <f>'2020'!BE487</f>
        <v>18</v>
      </c>
    </row>
    <row r="59" ht="15.75" customHeight="1" spans="1:29" x14ac:dyDescent="0.25">
      <c r="A59" s="21"/>
      <c r="B59" s="115">
        <v>55</v>
      </c>
      <c r="C59" s="116">
        <v>5.5</v>
      </c>
      <c r="D59" s="117" t="s">
        <v>214</v>
      </c>
      <c r="E59" s="119">
        <f>'2020'!I496</f>
        <v>13</v>
      </c>
      <c r="F59" s="119">
        <f>'2020'!J496</f>
      </c>
      <c r="G59" s="119">
        <f>'2020'!M496</f>
        <v>13</v>
      </c>
      <c r="H59" s="119">
        <f>'2020'!N496</f>
      </c>
      <c r="I59" s="119">
        <f>'2020'!Q496</f>
        <v>13</v>
      </c>
      <c r="J59" s="119">
        <f>'2020'!R496</f>
      </c>
      <c r="K59" s="119">
        <f>'2020'!U496</f>
        <v>13</v>
      </c>
      <c r="L59" s="119">
        <f>'2020'!V496</f>
        <v>0</v>
      </c>
      <c r="M59" s="119">
        <f>'2020'!Y496</f>
        <v>13</v>
      </c>
      <c r="N59" s="119">
        <f>'2020'!Z496</f>
        <v>0</v>
      </c>
      <c r="O59" s="119">
        <f>'2020'!AC496</f>
        <v>17</v>
      </c>
      <c r="P59" s="119">
        <f>'2020'!AD496</f>
        <v>4</v>
      </c>
      <c r="Q59" s="119">
        <f>'2020'!AG496</f>
        <v>17</v>
      </c>
      <c r="R59" s="119">
        <f>'2020'!AH496</f>
        <v>0</v>
      </c>
      <c r="S59" s="119">
        <f>'2020'!AK496</f>
        <v>22</v>
      </c>
      <c r="T59" s="119">
        <f>'2020'!AL496</f>
        <v>5</v>
      </c>
      <c r="U59" s="119">
        <f>'2020'!AO496</f>
        <v>22</v>
      </c>
      <c r="V59" s="119">
        <f>'2020'!AP496</f>
        <v>0</v>
      </c>
      <c r="W59" s="119">
        <f>'2020'!AS496</f>
        <v>22</v>
      </c>
      <c r="X59" s="119">
        <f>'2020'!AT496</f>
        <v>0</v>
      </c>
      <c r="Y59" s="119">
        <f>'2020'!AW496</f>
        <v>22</v>
      </c>
      <c r="Z59" s="119">
        <f>'2020'!AX496</f>
        <v>0</v>
      </c>
      <c r="AA59" s="119">
        <f>'2020'!BA496</f>
        <v>22</v>
      </c>
      <c r="AB59" s="119">
        <f>'2020'!BB496</f>
        <v>0</v>
      </c>
      <c r="AC59" s="119">
        <f>'2020'!BE496</f>
        <v>9</v>
      </c>
    </row>
    <row r="60" ht="15.75" customHeight="1" spans="1:29" x14ac:dyDescent="0.25">
      <c r="A60" s="114" t="s">
        <v>217</v>
      </c>
      <c r="B60" s="115">
        <v>56</v>
      </c>
      <c r="C60" s="115">
        <v>6.23</v>
      </c>
      <c r="D60" s="117" t="s">
        <v>423</v>
      </c>
      <c r="E60" s="119">
        <f>'2020'!I505</f>
        <v>15</v>
      </c>
      <c r="F60" s="119">
        <f>'2020'!J505</f>
      </c>
      <c r="G60" s="119">
        <f>'2020'!M505</f>
        <v>15</v>
      </c>
      <c r="H60" s="119">
        <f>'2020'!N505</f>
      </c>
      <c r="I60" s="119">
        <f>'2020'!Q505</f>
        <v>15</v>
      </c>
      <c r="J60" s="119">
        <f>'2020'!R505</f>
      </c>
      <c r="K60" s="119">
        <f>'2020'!U505</f>
        <v>16</v>
      </c>
      <c r="L60" s="119">
        <f>'2020'!V505</f>
        <v>1</v>
      </c>
      <c r="M60" s="119">
        <f>'2020'!Y505</f>
        <v>18</v>
      </c>
      <c r="N60" s="119">
        <f>'2020'!Z505</f>
        <v>2</v>
      </c>
      <c r="O60" s="119">
        <f>'2020'!AC505</f>
        <v>21</v>
      </c>
      <c r="P60" s="119">
        <f>'2020'!AD505</f>
        <v>3</v>
      </c>
      <c r="Q60" s="119">
        <f>'2020'!AG505</f>
        <v>21</v>
      </c>
      <c r="R60" s="119">
        <f>'2020'!AH505</f>
        <v>0</v>
      </c>
      <c r="S60" s="119">
        <f>'2020'!AK505</f>
        <v>27</v>
      </c>
      <c r="T60" s="119">
        <f>'2020'!AL505</f>
        <v>6</v>
      </c>
      <c r="U60" s="119">
        <f>'2020'!AO505</f>
        <v>27</v>
      </c>
      <c r="V60" s="119">
        <f>'2020'!AP505</f>
        <v>0</v>
      </c>
      <c r="W60" s="119">
        <f>'2020'!AS505</f>
        <v>27</v>
      </c>
      <c r="X60" s="119">
        <f>'2020'!AT505</f>
        <v>0</v>
      </c>
      <c r="Y60" s="119">
        <f>'2020'!AW505</f>
        <v>27</v>
      </c>
      <c r="Z60" s="119">
        <f>'2020'!AX505</f>
        <v>0</v>
      </c>
      <c r="AA60" s="119">
        <f>'2020'!BA505</f>
        <v>27</v>
      </c>
      <c r="AB60" s="119">
        <f>'2020'!BB505</f>
        <v>0</v>
      </c>
      <c r="AC60" s="119">
        <f>'2020'!BE505</f>
        <v>12</v>
      </c>
    </row>
    <row r="61" ht="15.75" customHeight="1" spans="1:29" x14ac:dyDescent="0.25">
      <c r="A61" s="14"/>
      <c r="B61" s="115">
        <v>57</v>
      </c>
      <c r="C61" s="116">
        <v>4</v>
      </c>
      <c r="D61" s="2" t="s">
        <v>502</v>
      </c>
      <c r="E61" s="119">
        <f>'2020'!I514</f>
        <v>21</v>
      </c>
      <c r="F61" s="119">
        <f>'2020'!J514</f>
      </c>
      <c r="G61" s="119">
        <f>'2020'!M514</f>
        <v>21</v>
      </c>
      <c r="H61" s="119">
        <f>'2020'!N514</f>
      </c>
      <c r="I61" s="119">
        <f>'2020'!Q514</f>
        <v>21</v>
      </c>
      <c r="J61" s="119">
        <f>'2020'!R514</f>
      </c>
      <c r="K61" s="119">
        <f>'2020'!U514</f>
        <v>21</v>
      </c>
      <c r="L61" s="119">
        <f>'2020'!V514</f>
        <v>0</v>
      </c>
      <c r="M61" s="119">
        <f>'2020'!Y514</f>
        <v>21</v>
      </c>
      <c r="N61" s="119">
        <f>'2020'!Z514</f>
        <v>0</v>
      </c>
      <c r="O61" s="119">
        <f>'2020'!AC514</f>
        <v>21</v>
      </c>
      <c r="P61" s="119">
        <f>'2020'!AD514</f>
        <v>0</v>
      </c>
      <c r="Q61" s="119">
        <f>'2020'!AG514</f>
        <v>21</v>
      </c>
      <c r="R61" s="119">
        <f>'2020'!AH514</f>
        <v>0</v>
      </c>
      <c r="S61" s="119">
        <f>'2020'!AK514</f>
        <v>21</v>
      </c>
      <c r="T61" s="119">
        <f>'2020'!AL514</f>
        <v>0</v>
      </c>
      <c r="U61" s="119">
        <f>'2020'!AO514</f>
        <v>21</v>
      </c>
      <c r="V61" s="119">
        <f>'2020'!AP514</f>
        <v>0</v>
      </c>
      <c r="W61" s="119">
        <f>'2020'!AS514</f>
        <v>21</v>
      </c>
      <c r="X61" s="119">
        <f>'2020'!AT514</f>
        <v>0</v>
      </c>
      <c r="Y61" s="119">
        <f>'2020'!AW514</f>
        <v>21</v>
      </c>
      <c r="Z61" s="119">
        <f>'2020'!AX514</f>
        <v>0</v>
      </c>
      <c r="AA61" s="119">
        <f>'2020'!BA514</f>
        <v>21</v>
      </c>
      <c r="AB61" s="119">
        <f>'2020'!BB514</f>
        <v>0</v>
      </c>
      <c r="AC61" s="119">
        <f>'2020'!BE514</f>
        <v>0</v>
      </c>
    </row>
    <row r="62" ht="15.75" customHeight="1" spans="1:29" x14ac:dyDescent="0.25">
      <c r="A62" s="14"/>
      <c r="B62" s="115">
        <v>59</v>
      </c>
      <c r="C62" s="116">
        <v>4</v>
      </c>
      <c r="D62" s="117" t="s">
        <v>221</v>
      </c>
      <c r="E62" s="119">
        <f>'2020'!I523</f>
      </c>
      <c r="F62" s="119">
        <f>'2020'!J523</f>
      </c>
      <c r="G62" s="119">
        <f>'2020'!M523</f>
      </c>
      <c r="H62" s="119">
        <f>'2020'!N523</f>
      </c>
      <c r="I62" s="119">
        <f>'2020'!Q523</f>
      </c>
      <c r="J62" s="119">
        <f>'2020'!R523</f>
      </c>
      <c r="K62" s="119">
        <f>'2020'!U523</f>
      </c>
      <c r="L62" s="119">
        <f>'2020'!V523</f>
      </c>
      <c r="M62" s="119">
        <f>'2020'!Y523</f>
      </c>
      <c r="N62" s="119">
        <f>'2020'!Z523</f>
        <v>0</v>
      </c>
      <c r="O62" s="119">
        <f>'2020'!AC523</f>
      </c>
      <c r="P62" s="119">
        <f>'2020'!AD523</f>
        <v>0</v>
      </c>
      <c r="Q62" s="119">
        <f>'2020'!AG523</f>
      </c>
      <c r="R62" s="119">
        <f>'2020'!AH523</f>
        <v>0</v>
      </c>
      <c r="S62" s="119">
        <f>'2020'!AK523</f>
      </c>
      <c r="T62" s="119">
        <f>'2020'!AL523</f>
        <v>0</v>
      </c>
      <c r="U62" s="119">
        <f>'2020'!AO523</f>
      </c>
      <c r="V62" s="119">
        <f>'2020'!AP523</f>
        <v>0</v>
      </c>
      <c r="W62" s="119">
        <f>'2020'!AS523</f>
      </c>
      <c r="X62" s="119">
        <f>'2020'!AT523</f>
        <v>0</v>
      </c>
      <c r="Y62" s="119">
        <f>'2020'!AW523</f>
      </c>
      <c r="Z62" s="119">
        <f>'2020'!AX523</f>
        <v>0</v>
      </c>
      <c r="AA62" s="119">
        <f>'2020'!BA523</f>
      </c>
      <c r="AB62" s="119">
        <f>'2020'!BB523</f>
        <v>0</v>
      </c>
      <c r="AC62" s="119">
        <f>'2020'!BE523</f>
        <v>0</v>
      </c>
    </row>
    <row r="63" ht="15.75" customHeight="1" spans="1:29" x14ac:dyDescent="0.25">
      <c r="A63" s="14"/>
      <c r="B63" s="115">
        <v>58</v>
      </c>
      <c r="C63" s="115">
        <v>5.08</v>
      </c>
      <c r="D63" s="117" t="s">
        <v>223</v>
      </c>
      <c r="E63" s="119">
        <f>'2020'!I532</f>
        <v>1505</v>
      </c>
      <c r="F63" s="119">
        <f>'2020'!J532</f>
      </c>
      <c r="G63" s="119">
        <f>'2020'!M532</f>
        <v>1505</v>
      </c>
      <c r="H63" s="119">
        <f>'2020'!N532</f>
      </c>
      <c r="I63" s="119">
        <f>'2020'!Q532</f>
        <v>1505</v>
      </c>
      <c r="J63" s="119">
        <f>'2020'!R532</f>
      </c>
      <c r="K63" s="119">
        <f>'2020'!U532</f>
        <v>454</v>
      </c>
      <c r="L63" s="119">
        <f>'2020'!V532</f>
      </c>
      <c r="M63" s="119">
        <f>'2020'!Y532</f>
        <v>459</v>
      </c>
      <c r="N63" s="119">
        <f>'2020'!Z532</f>
        <v>5</v>
      </c>
      <c r="O63" s="119">
        <f>'2020'!AC532</f>
        <v>474</v>
      </c>
      <c r="P63" s="119">
        <f>'2020'!AD532</f>
        <v>15</v>
      </c>
      <c r="Q63" s="119">
        <f>'2020'!AG532</f>
        <v>490</v>
      </c>
      <c r="R63" s="119">
        <f>'2020'!AH532</f>
        <v>16</v>
      </c>
      <c r="S63" s="119">
        <f>'2020'!AK532</f>
        <v>497</v>
      </c>
      <c r="T63" s="119">
        <f>'2020'!AL532</f>
        <v>7</v>
      </c>
      <c r="U63" s="119">
        <f>'2020'!AO532</f>
        <v>500</v>
      </c>
      <c r="V63" s="119">
        <f>'2020'!AP532</f>
        <v>3</v>
      </c>
      <c r="W63" s="119">
        <f>'2020'!AS532</f>
        <v>501</v>
      </c>
      <c r="X63" s="119">
        <f>'2020'!AT532</f>
        <v>1</v>
      </c>
      <c r="Y63" s="119">
        <f>'2020'!AW532</f>
        <v>501</v>
      </c>
      <c r="Z63" s="119">
        <f>'2020'!AX532</f>
        <v>0</v>
      </c>
      <c r="AA63" s="119">
        <f>'2020'!BA532</f>
        <v>501</v>
      </c>
      <c r="AB63" s="119">
        <f>'2020'!BB532</f>
        <v>0</v>
      </c>
      <c r="AC63" s="119">
        <f>'2020'!BE532</f>
        <v>47</v>
      </c>
    </row>
    <row r="64" ht="15.75" customHeight="1" spans="1:29" x14ac:dyDescent="0.25">
      <c r="A64" s="14"/>
      <c r="B64" s="115">
        <v>60</v>
      </c>
      <c r="C64" s="116">
        <v>4.4</v>
      </c>
      <c r="D64" s="117" t="s">
        <v>227</v>
      </c>
      <c r="E64" s="119">
        <f>'2020'!I541</f>
        <v>108</v>
      </c>
      <c r="F64" s="119">
        <f>'2020'!J541</f>
      </c>
      <c r="G64" s="119">
        <f>'2020'!M541</f>
        <v>108</v>
      </c>
      <c r="H64" s="119">
        <f>'2020'!N541</f>
      </c>
      <c r="I64" s="119">
        <f>'2020'!Q541</f>
        <v>108</v>
      </c>
      <c r="J64" s="119">
        <f>'2020'!R541</f>
      </c>
      <c r="K64" s="119">
        <f>'2020'!U541</f>
        <v>109</v>
      </c>
      <c r="L64" s="119">
        <f>'2020'!V541</f>
        <v>1</v>
      </c>
      <c r="M64" s="119">
        <f>'2020'!Y541</f>
        <v>113</v>
      </c>
      <c r="N64" s="119">
        <f>'2020'!Z541</f>
        <v>4</v>
      </c>
      <c r="O64" s="119">
        <f>'2020'!AC541</f>
        <v>122</v>
      </c>
      <c r="P64" s="119">
        <f>'2020'!AD541</f>
        <v>9</v>
      </c>
      <c r="Q64" s="119">
        <f>'2020'!AG541</f>
        <v>130</v>
      </c>
      <c r="R64" s="119">
        <f>'2020'!AH541</f>
        <v>8</v>
      </c>
      <c r="S64" s="119">
        <f>'2020'!AK541</f>
        <v>133</v>
      </c>
      <c r="T64" s="119">
        <f>'2020'!AL541</f>
        <v>3</v>
      </c>
      <c r="U64" s="119">
        <f>'2020'!AO541</f>
        <v>133</v>
      </c>
      <c r="V64" s="119">
        <f>'2020'!AP541</f>
        <v>0</v>
      </c>
      <c r="W64" s="119">
        <f>'2020'!AS541</f>
        <v>133</v>
      </c>
      <c r="X64" s="119">
        <f>'2020'!AT541</f>
        <v>0</v>
      </c>
      <c r="Y64" s="119">
        <f>'2020'!AW541</f>
        <v>133</v>
      </c>
      <c r="Z64" s="119">
        <f>'2020'!AX541</f>
        <v>0</v>
      </c>
      <c r="AA64" s="119">
        <f>'2020'!BA541</f>
        <v>133</v>
      </c>
      <c r="AB64" s="119">
        <f>'2020'!BB541</f>
        <v>0</v>
      </c>
      <c r="AC64" s="119">
        <f>'2020'!BE541</f>
        <v>25</v>
      </c>
    </row>
    <row r="65" ht="15.75" customHeight="1" spans="1:29" x14ac:dyDescent="0.25">
      <c r="A65" s="14"/>
      <c r="B65" s="115">
        <v>61</v>
      </c>
      <c r="C65" s="115">
        <v>4.71</v>
      </c>
      <c r="D65" s="117" t="s">
        <v>231</v>
      </c>
      <c r="E65" s="119">
        <f>'2020'!I550</f>
        <v>262</v>
      </c>
      <c r="F65" s="119">
        <f>'2020'!J550</f>
      </c>
      <c r="G65" s="119">
        <f>'2020'!M550</f>
        <v>262</v>
      </c>
      <c r="H65" s="119">
        <f>'2020'!N550</f>
      </c>
      <c r="I65" s="119">
        <f>'2020'!Q550</f>
        <v>262</v>
      </c>
      <c r="J65" s="119">
        <f>'2020'!R550</f>
      </c>
      <c r="K65" s="119">
        <f>'2020'!U550</f>
        <v>262</v>
      </c>
      <c r="L65" s="119">
        <f>'2020'!V550</f>
        <v>0</v>
      </c>
      <c r="M65" s="119">
        <f>'2020'!Y550</f>
        <v>262</v>
      </c>
      <c r="N65" s="119">
        <f>'2020'!Z550</f>
        <v>0</v>
      </c>
      <c r="O65" s="119">
        <f>'2020'!AC550</f>
        <v>269</v>
      </c>
      <c r="P65" s="119">
        <f>'2020'!AD550</f>
        <v>7</v>
      </c>
      <c r="Q65" s="119">
        <f>'2020'!AG550</f>
        <v>269</v>
      </c>
      <c r="R65" s="119">
        <f>'2020'!AH550</f>
        <v>0</v>
      </c>
      <c r="S65" s="119">
        <f>'2020'!AK550</f>
        <v>269</v>
      </c>
      <c r="T65" s="119">
        <f>'2020'!AL550</f>
        <v>0</v>
      </c>
      <c r="U65" s="119">
        <f>'2020'!AO550</f>
        <v>269</v>
      </c>
      <c r="V65" s="119">
        <f>'2020'!AP550</f>
        <v>0</v>
      </c>
      <c r="W65" s="119">
        <f>'2020'!AS550</f>
        <v>282</v>
      </c>
      <c r="X65" s="119">
        <f>'2020'!AT550</f>
        <v>13</v>
      </c>
      <c r="Y65" s="119">
        <f>'2020'!AW550</f>
        <v>282</v>
      </c>
      <c r="Z65" s="119">
        <f>'2020'!AX550</f>
        <v>0</v>
      </c>
      <c r="AA65" s="119">
        <f>'2020'!BA550</f>
        <v>282</v>
      </c>
      <c r="AB65" s="119">
        <f>'2020'!BB550</f>
        <v>0</v>
      </c>
      <c r="AC65" s="119">
        <f>'2020'!BE550</f>
        <v>20</v>
      </c>
    </row>
    <row r="66" ht="15.75" customHeight="1" spans="1:29" x14ac:dyDescent="0.25">
      <c r="A66" s="14"/>
      <c r="B66" s="115">
        <v>62</v>
      </c>
      <c r="C66" s="116">
        <v>4.6</v>
      </c>
      <c r="D66" s="15" t="s">
        <v>236</v>
      </c>
      <c r="E66" s="119">
        <f>'2020'!I559</f>
        <v>173</v>
      </c>
      <c r="F66" s="119">
        <f>'2020'!J559</f>
      </c>
      <c r="G66" s="119">
        <f>'2020'!M559</f>
        <v>173</v>
      </c>
      <c r="H66" s="119">
        <f>'2020'!N559</f>
      </c>
      <c r="I66" s="119">
        <f>'2020'!Q559</f>
        <v>173</v>
      </c>
      <c r="J66" s="119">
        <f>'2020'!R559</f>
      </c>
      <c r="K66" s="119">
        <f>'2020'!U559</f>
        <v>178</v>
      </c>
      <c r="L66" s="119">
        <f>'2020'!V559</f>
        <v>5</v>
      </c>
      <c r="M66" s="119">
        <f>'2020'!Y559</f>
        <v>178</v>
      </c>
      <c r="N66" s="119">
        <f>'2020'!Z559</f>
        <v>0</v>
      </c>
      <c r="O66" s="119">
        <f>'2020'!AC559</f>
        <v>188</v>
      </c>
      <c r="P66" s="119">
        <f>'2020'!AD559</f>
        <v>10</v>
      </c>
      <c r="Q66" s="119">
        <f>'2020'!AG559</f>
        <v>194</v>
      </c>
      <c r="R66" s="119">
        <f>'2020'!AH559</f>
        <v>6</v>
      </c>
      <c r="S66" s="119">
        <f>'2020'!AK559</f>
        <v>194</v>
      </c>
      <c r="T66" s="119">
        <f>'2020'!AL559</f>
        <v>0</v>
      </c>
      <c r="U66" s="119">
        <f>'2020'!AO559</f>
        <v>194</v>
      </c>
      <c r="V66" s="119">
        <f>'2020'!AP559</f>
        <v>0</v>
      </c>
      <c r="W66" s="119">
        <f>'2020'!AS559</f>
        <v>194</v>
      </c>
      <c r="X66" s="119">
        <f>'2020'!AT559</f>
        <v>0</v>
      </c>
      <c r="Y66" s="119">
        <f>'2020'!AW559</f>
        <v>194</v>
      </c>
      <c r="Z66" s="119">
        <f>'2020'!AX559</f>
        <v>0</v>
      </c>
      <c r="AA66" s="119">
        <f>'2020'!BA559</f>
        <v>194</v>
      </c>
      <c r="AB66" s="119">
        <f>'2020'!BB559</f>
        <v>0</v>
      </c>
      <c r="AC66" s="119">
        <f>'2020'!BE559</f>
        <v>21</v>
      </c>
    </row>
    <row r="67" ht="15.75" customHeight="1" spans="1:29" x14ac:dyDescent="0.25">
      <c r="A67" s="14"/>
      <c r="B67" s="115" t="s">
        <v>237</v>
      </c>
      <c r="C67" s="115">
        <v>4.01</v>
      </c>
      <c r="D67" s="117" t="s">
        <v>238</v>
      </c>
      <c r="E67" s="119">
        <f>'2020'!I568</f>
        <v>132</v>
      </c>
      <c r="F67" s="119">
        <f>'2020'!J568</f>
      </c>
      <c r="G67" s="119">
        <f>'2020'!M568</f>
        <v>132</v>
      </c>
      <c r="H67" s="119">
        <f>'2020'!N568</f>
      </c>
      <c r="I67" s="119">
        <f>'2020'!Q568</f>
        <v>132</v>
      </c>
      <c r="J67" s="119">
        <f>'2020'!R568</f>
      </c>
      <c r="K67" s="119">
        <f>'2020'!U568</f>
        <v>132</v>
      </c>
      <c r="L67" s="119">
        <f>'2020'!V568</f>
        <v>0</v>
      </c>
      <c r="M67" s="119">
        <f>'2020'!Y568</f>
        <v>132</v>
      </c>
      <c r="N67" s="119">
        <f>'2020'!Z568</f>
        <v>0</v>
      </c>
      <c r="O67" s="119">
        <f>'2020'!AC568</f>
        <v>132</v>
      </c>
      <c r="P67" s="119">
        <f>'2020'!AD568</f>
        <v>0</v>
      </c>
      <c r="Q67" s="119">
        <f>'2020'!AG568</f>
        <v>132</v>
      </c>
      <c r="R67" s="119">
        <f>'2020'!AH568</f>
        <v>0</v>
      </c>
      <c r="S67" s="119">
        <f>'2020'!AK568</f>
        <v>132</v>
      </c>
      <c r="T67" s="119">
        <f>'2020'!AL568</f>
        <v>0</v>
      </c>
      <c r="U67" s="119">
        <f>'2020'!AO568</f>
        <v>132</v>
      </c>
      <c r="V67" s="119">
        <f>'2020'!AP568</f>
        <v>0</v>
      </c>
      <c r="W67" s="119">
        <f>'2020'!AS568</f>
        <v>132</v>
      </c>
      <c r="X67" s="119">
        <f>'2020'!AT568</f>
        <v>0</v>
      </c>
      <c r="Y67" s="119">
        <f>'2020'!AW568</f>
        <v>132</v>
      </c>
      <c r="Z67" s="119">
        <f>'2020'!AX568</f>
        <v>0</v>
      </c>
      <c r="AA67" s="119">
        <f>'2020'!BA568</f>
        <v>132</v>
      </c>
      <c r="AB67" s="119">
        <f>'2020'!BB568</f>
        <v>0</v>
      </c>
      <c r="AC67" s="119">
        <f>'2020'!BE568</f>
        <v>0</v>
      </c>
    </row>
    <row r="68" ht="15.75" customHeight="1" spans="1:29" x14ac:dyDescent="0.25">
      <c r="A68" s="14"/>
      <c r="B68" s="115" t="s">
        <v>237</v>
      </c>
      <c r="C68" s="115">
        <v>4.01</v>
      </c>
      <c r="D68" s="117" t="s">
        <v>238</v>
      </c>
      <c r="E68" s="119">
        <f>'2020'!I577</f>
      </c>
      <c r="F68" s="119">
        <f>'2020'!J577</f>
      </c>
      <c r="G68" s="119">
        <f>'2020'!M577</f>
      </c>
      <c r="H68" s="119">
        <f>'2020'!N577</f>
      </c>
      <c r="I68" s="119">
        <f>'2020'!Q577</f>
      </c>
      <c r="J68" s="119">
        <f>'2020'!R577</f>
      </c>
      <c r="K68" s="119">
        <f>'2020'!U577</f>
        <v>197</v>
      </c>
      <c r="L68" s="119">
        <f>'2020'!V577</f>
      </c>
      <c r="M68" s="119">
        <f>'2020'!Y577</f>
        <v>197</v>
      </c>
      <c r="N68" s="119">
        <f>'2020'!Z577</f>
        <v>0</v>
      </c>
      <c r="O68" s="119">
        <f>'2020'!AC577</f>
        <v>197</v>
      </c>
      <c r="P68" s="119">
        <f>'2020'!AD577</f>
        <v>0</v>
      </c>
      <c r="Q68" s="119">
        <f>'2020'!AG577</f>
        <v>197</v>
      </c>
      <c r="R68" s="119">
        <f>'2020'!AH577</f>
        <v>0</v>
      </c>
      <c r="S68" s="119">
        <f>'2020'!AK577</f>
        <v>197</v>
      </c>
      <c r="T68" s="119">
        <f>'2020'!AL577</f>
        <v>0</v>
      </c>
      <c r="U68" s="119">
        <f>'2020'!AO577</f>
        <v>197</v>
      </c>
      <c r="V68" s="119">
        <f>'2020'!AP577</f>
        <v>0</v>
      </c>
      <c r="W68" s="119">
        <f>'2020'!AS577</f>
        <v>197</v>
      </c>
      <c r="X68" s="119">
        <f>'2020'!AT577</f>
        <v>0</v>
      </c>
      <c r="Y68" s="119">
        <f>'2020'!AW577</f>
        <v>197</v>
      </c>
      <c r="Z68" s="119">
        <f>'2020'!AX577</f>
        <v>0</v>
      </c>
      <c r="AA68" s="119">
        <f>'2020'!BA577</f>
        <v>197</v>
      </c>
      <c r="AB68" s="119">
        <f>'2020'!BB577</f>
        <v>0</v>
      </c>
      <c r="AC68" s="119">
        <f>'2020'!BE577</f>
        <v>0</v>
      </c>
    </row>
    <row r="69" ht="15.75" customHeight="1" spans="1:29" x14ac:dyDescent="0.25">
      <c r="A69" s="14"/>
      <c r="B69" s="115">
        <v>64</v>
      </c>
      <c r="C69" s="115">
        <v>4.24</v>
      </c>
      <c r="D69" s="117" t="s">
        <v>241</v>
      </c>
      <c r="E69" s="119">
        <f>'2020'!I586</f>
        <v>67</v>
      </c>
      <c r="F69" s="119">
        <f>'2020'!J586</f>
      </c>
      <c r="G69" s="119">
        <f>'2020'!M586</f>
        <v>67</v>
      </c>
      <c r="H69" s="119">
        <f>'2020'!N586</f>
      </c>
      <c r="I69" s="119">
        <f>'2020'!Q586</f>
        <v>67</v>
      </c>
      <c r="J69" s="119">
        <f>'2020'!R586</f>
      </c>
      <c r="K69" s="119">
        <f>'2020'!U586</f>
        <v>75</v>
      </c>
      <c r="L69" s="119">
        <f>'2020'!V586</f>
        <v>8</v>
      </c>
      <c r="M69" s="119">
        <f>'2020'!Y586</f>
        <v>75</v>
      </c>
      <c r="N69" s="119">
        <f>'2020'!Z586</f>
        <v>0</v>
      </c>
      <c r="O69" s="119">
        <f>'2020'!AC586</f>
        <v>85</v>
      </c>
      <c r="P69" s="119">
        <f>'2020'!AD586</f>
        <v>10</v>
      </c>
      <c r="Q69" s="119">
        <f>'2020'!AG586</f>
        <v>85</v>
      </c>
      <c r="R69" s="119">
        <f>'2020'!AH586</f>
        <v>0</v>
      </c>
      <c r="S69" s="119">
        <f>'2020'!AK586</f>
        <v>105</v>
      </c>
      <c r="T69" s="119">
        <f>'2020'!AL586</f>
        <v>20</v>
      </c>
      <c r="U69" s="119">
        <f>'2020'!AO586</f>
        <v>105</v>
      </c>
      <c r="V69" s="119">
        <f>'2020'!AP586</f>
        <v>0</v>
      </c>
      <c r="W69" s="119">
        <f>'2020'!AS586</f>
        <v>105</v>
      </c>
      <c r="X69" s="119">
        <f>'2020'!AT586</f>
        <v>0</v>
      </c>
      <c r="Y69" s="119">
        <f>'2020'!AW586</f>
        <v>105</v>
      </c>
      <c r="Z69" s="119">
        <f>'2020'!AX586</f>
        <v>0</v>
      </c>
      <c r="AA69" s="119">
        <f>'2020'!BA586</f>
        <v>105</v>
      </c>
      <c r="AB69" s="119">
        <f>'2020'!BB586</f>
        <v>0</v>
      </c>
      <c r="AC69" s="119">
        <f>'2020'!BE586</f>
        <v>38</v>
      </c>
    </row>
    <row r="70" ht="15.75" customHeight="1" spans="1:29" x14ac:dyDescent="0.25">
      <c r="A70" s="14"/>
      <c r="B70" s="115">
        <v>66</v>
      </c>
      <c r="C70" s="115">
        <v>4.66</v>
      </c>
      <c r="D70" s="117" t="s">
        <v>244</v>
      </c>
      <c r="E70" s="119">
        <f>'2020'!I595</f>
        <v>37</v>
      </c>
      <c r="F70" s="119">
        <f>'2020'!J595</f>
      </c>
      <c r="G70" s="119">
        <f>'2020'!M595</f>
        <v>37</v>
      </c>
      <c r="H70" s="119">
        <f>'2020'!N595</f>
      </c>
      <c r="I70" s="119">
        <f>'2020'!Q595</f>
        <v>37</v>
      </c>
      <c r="J70" s="119">
        <f>'2020'!R595</f>
      </c>
      <c r="K70" s="119">
        <f>'2020'!U595</f>
        <v>41</v>
      </c>
      <c r="L70" s="119">
        <f>'2020'!V595</f>
        <v>4</v>
      </c>
      <c r="M70" s="119">
        <f>'2020'!Y595</f>
        <v>41</v>
      </c>
      <c r="N70" s="119">
        <f>'2020'!Z595</f>
        <v>0</v>
      </c>
      <c r="O70" s="119">
        <f>'2020'!AC595</f>
        <v>41</v>
      </c>
      <c r="P70" s="119">
        <f>'2020'!AD595</f>
        <v>0</v>
      </c>
      <c r="Q70" s="119">
        <f>'2020'!AG595</f>
        <v>41</v>
      </c>
      <c r="R70" s="119">
        <f>'2020'!AH595</f>
        <v>0</v>
      </c>
      <c r="S70" s="119">
        <f>'2020'!AK595</f>
        <v>41</v>
      </c>
      <c r="T70" s="119">
        <f>'2020'!AL595</f>
        <v>0</v>
      </c>
      <c r="U70" s="119">
        <f>'2020'!AO595</f>
        <v>41</v>
      </c>
      <c r="V70" s="119">
        <f>'2020'!AP595</f>
        <v>0</v>
      </c>
      <c r="W70" s="119">
        <f>'2020'!AS595</f>
        <v>41</v>
      </c>
      <c r="X70" s="119">
        <f>'2020'!AT595</f>
        <v>0</v>
      </c>
      <c r="Y70" s="119">
        <f>'2020'!AW595</f>
        <v>41</v>
      </c>
      <c r="Z70" s="119">
        <f>'2020'!AX595</f>
        <v>0</v>
      </c>
      <c r="AA70" s="119">
        <f>'2020'!BA595</f>
        <v>41</v>
      </c>
      <c r="AB70" s="119">
        <f>'2020'!BB595</f>
        <v>0</v>
      </c>
      <c r="AC70" s="119">
        <f>'2020'!BE595</f>
        <v>4</v>
      </c>
    </row>
    <row r="71" ht="15.75" customHeight="1" spans="1:29" x14ac:dyDescent="0.25">
      <c r="A71" s="14"/>
      <c r="B71" s="115">
        <v>67</v>
      </c>
      <c r="C71" s="115">
        <v>6.08</v>
      </c>
      <c r="D71" s="117" t="s">
        <v>245</v>
      </c>
      <c r="E71" s="119">
        <f>'2020'!I604</f>
        <v>121</v>
      </c>
      <c r="F71" s="119">
        <f>'2020'!J604</f>
      </c>
      <c r="G71" s="119">
        <f>'2020'!M604</f>
        <v>121</v>
      </c>
      <c r="H71" s="119">
        <f>'2020'!N604</f>
      </c>
      <c r="I71" s="119">
        <f>'2020'!Q604</f>
        <v>121</v>
      </c>
      <c r="J71" s="119">
        <f>'2020'!R604</f>
      </c>
      <c r="K71" s="119">
        <f>'2020'!U604</f>
        <v>112</v>
      </c>
      <c r="L71" s="119">
        <f>'2020'!V604</f>
        <v>4</v>
      </c>
      <c r="M71" s="119">
        <f>'2020'!Y604</f>
        <v>114</v>
      </c>
      <c r="N71" s="119">
        <f>'2020'!Z604</f>
        <v>2</v>
      </c>
      <c r="O71" s="119">
        <f>'2020'!AC604</f>
        <v>120</v>
      </c>
      <c r="P71" s="119">
        <f>'2020'!AD604</f>
        <v>6</v>
      </c>
      <c r="Q71" s="119">
        <f>'2020'!AG604</f>
        <v>130</v>
      </c>
      <c r="R71" s="119">
        <f>'2020'!AH604</f>
        <v>10</v>
      </c>
      <c r="S71" s="119">
        <f>'2020'!AK604</f>
        <v>170</v>
      </c>
      <c r="T71" s="119">
        <f>'2020'!AL604</f>
        <v>40</v>
      </c>
      <c r="U71" s="119">
        <f>'2020'!AO604</f>
        <v>170</v>
      </c>
      <c r="V71" s="119">
        <f>'2020'!AP604</f>
        <v>0</v>
      </c>
      <c r="W71" s="119">
        <f>'2020'!AS604</f>
        <v>170</v>
      </c>
      <c r="X71" s="119">
        <f>'2020'!AT604</f>
        <v>0</v>
      </c>
      <c r="Y71" s="119">
        <f>'2020'!AW604</f>
        <v>170</v>
      </c>
      <c r="Z71" s="119">
        <f>'2020'!AX604</f>
        <v>0</v>
      </c>
      <c r="AA71" s="119">
        <f>'2020'!BA604</f>
        <v>170</v>
      </c>
      <c r="AB71" s="119">
        <f>'2020'!BB604</f>
        <v>0</v>
      </c>
      <c r="AC71" s="119">
        <f>'2020'!BE604</f>
        <v>62</v>
      </c>
    </row>
    <row r="72" ht="15.75" customHeight="1" spans="1:29" x14ac:dyDescent="0.25">
      <c r="A72" s="14"/>
      <c r="B72" s="115" t="s">
        <v>248</v>
      </c>
      <c r="C72" s="115">
        <v>4.01</v>
      </c>
      <c r="D72" s="117" t="s">
        <v>249</v>
      </c>
      <c r="E72" s="119">
        <f>'2020'!I613</f>
        <v>49</v>
      </c>
      <c r="F72" s="119">
        <f>'2020'!J613</f>
      </c>
      <c r="G72" s="119">
        <f>'2020'!M613</f>
        <v>49</v>
      </c>
      <c r="H72" s="119">
        <f>'2020'!N613</f>
      </c>
      <c r="I72" s="119">
        <f>'2020'!Q613</f>
        <v>49</v>
      </c>
      <c r="J72" s="119">
        <f>'2020'!R613</f>
      </c>
      <c r="K72" s="119">
        <f>'2020'!U613</f>
        <v>53</v>
      </c>
      <c r="L72" s="119">
        <f>'2020'!V613</f>
        <v>3</v>
      </c>
      <c r="M72" s="119">
        <f>'2020'!Y613</f>
        <v>53</v>
      </c>
      <c r="N72" s="119">
        <f>'2020'!Z613</f>
        <v>0</v>
      </c>
      <c r="O72" s="119">
        <f>'2020'!AC613</f>
        <v>70</v>
      </c>
      <c r="P72" s="119">
        <f>'2020'!AD613</f>
        <v>17</v>
      </c>
      <c r="Q72" s="119">
        <f>'2020'!AG613</f>
        <v>103</v>
      </c>
      <c r="R72" s="119">
        <f>'2020'!AH613</f>
        <v>33</v>
      </c>
      <c r="S72" s="119">
        <f>'2020'!AK613</f>
        <v>113</v>
      </c>
      <c r="T72" s="119">
        <f>'2020'!AL613</f>
        <v>10</v>
      </c>
      <c r="U72" s="119">
        <f>'2020'!AO613</f>
        <v>115</v>
      </c>
      <c r="V72" s="119">
        <f>'2020'!AP613</f>
        <v>2</v>
      </c>
      <c r="W72" s="119">
        <f>'2020'!AS613</f>
        <v>115</v>
      </c>
      <c r="X72" s="119">
        <f>'2020'!AT613</f>
        <v>0</v>
      </c>
      <c r="Y72" s="119">
        <f>'2020'!AW613</f>
        <v>115</v>
      </c>
      <c r="Z72" s="119">
        <f>'2020'!AX613</f>
        <v>0</v>
      </c>
      <c r="AA72" s="119">
        <f>'2020'!BA613</f>
        <v>115</v>
      </c>
      <c r="AB72" s="119">
        <f>'2020'!BB613</f>
        <v>0</v>
      </c>
      <c r="AC72" s="119">
        <f>'2020'!BE613</f>
        <v>65</v>
      </c>
    </row>
    <row r="73" ht="15.75" customHeight="1" spans="1:29" x14ac:dyDescent="0.25">
      <c r="A73" s="14"/>
      <c r="B73" s="115" t="s">
        <v>248</v>
      </c>
      <c r="C73" s="115">
        <v>4.02</v>
      </c>
      <c r="D73" s="117" t="s">
        <v>249</v>
      </c>
      <c r="E73" s="119">
        <f>'2020'!I622</f>
      </c>
      <c r="F73" s="119">
        <f>'2020'!J622</f>
      </c>
      <c r="G73" s="119">
        <f>'2020'!M622</f>
      </c>
      <c r="H73" s="119">
        <f>'2020'!N622</f>
      </c>
      <c r="I73" s="119">
        <f>'2020'!Q622</f>
      </c>
      <c r="J73" s="119">
        <f>'2020'!R622</f>
      </c>
      <c r="K73" s="119">
        <f>'2020'!U622</f>
      </c>
      <c r="L73" s="119">
        <f>'2020'!V622</f>
        <v>0</v>
      </c>
      <c r="M73" s="119">
        <f>'2020'!Y622</f>
      </c>
      <c r="N73" s="119">
        <f>'2020'!Z622</f>
        <v>0</v>
      </c>
      <c r="O73" s="119">
        <f>'2020'!AC622</f>
      </c>
      <c r="P73" s="119">
        <f>'2020'!AD622</f>
        <v>0</v>
      </c>
      <c r="Q73" s="119">
        <f>'2020'!AG622</f>
      </c>
      <c r="R73" s="119">
        <f>'2020'!AH622</f>
        <v>0</v>
      </c>
      <c r="S73" s="119">
        <f>'2020'!AK622</f>
      </c>
      <c r="T73" s="119">
        <f>'2020'!AL622</f>
        <v>0</v>
      </c>
      <c r="U73" s="119">
        <f>'2020'!AO622</f>
      </c>
      <c r="V73" s="119">
        <f>'2020'!AP622</f>
        <v>0</v>
      </c>
      <c r="W73" s="119">
        <f>'2020'!AS622</f>
      </c>
      <c r="X73" s="119">
        <f>'2020'!AT622</f>
        <v>0</v>
      </c>
      <c r="Y73" s="119">
        <f>'2020'!AW622</f>
      </c>
      <c r="Z73" s="119">
        <f>'2020'!AX622</f>
        <v>0</v>
      </c>
      <c r="AA73" s="119">
        <f>'2020'!BA622</f>
      </c>
      <c r="AB73" s="119">
        <f>'2020'!BB622</f>
        <v>0</v>
      </c>
      <c r="AC73" s="119">
        <f>'2020'!BE622</f>
        <v>0</v>
      </c>
    </row>
    <row r="74" ht="15.75" customHeight="1" spans="1:29" x14ac:dyDescent="0.25">
      <c r="A74" s="14"/>
      <c r="B74" s="115">
        <v>69</v>
      </c>
      <c r="C74" s="115">
        <v>4.03</v>
      </c>
      <c r="D74" s="117" t="s">
        <v>253</v>
      </c>
      <c r="E74" s="119">
        <f>'2020'!I631</f>
        <v>15</v>
      </c>
      <c r="F74" s="119">
        <f>'2020'!J631</f>
      </c>
      <c r="G74" s="119">
        <f>'2020'!M631</f>
        <v>15</v>
      </c>
      <c r="H74" s="119">
        <f>'2020'!N631</f>
      </c>
      <c r="I74" s="119">
        <f>'2020'!Q631</f>
        <v>15</v>
      </c>
      <c r="J74" s="119">
        <f>'2020'!R631</f>
      </c>
      <c r="K74" s="119">
        <f>'2020'!U631</f>
        <v>15</v>
      </c>
      <c r="L74" s="119">
        <f>'2020'!V631</f>
        <v>0</v>
      </c>
      <c r="M74" s="119">
        <f>'2020'!Y631</f>
        <v>15</v>
      </c>
      <c r="N74" s="119">
        <f>'2020'!Z631</f>
        <v>0</v>
      </c>
      <c r="O74" s="119">
        <f>'2020'!AC631</f>
        <v>15</v>
      </c>
      <c r="P74" s="119">
        <f>'2020'!AD631</f>
        <v>0</v>
      </c>
      <c r="Q74" s="119">
        <f>'2020'!AG631</f>
        <v>15</v>
      </c>
      <c r="R74" s="119">
        <f>'2020'!AH631</f>
        <v>0</v>
      </c>
      <c r="S74" s="119">
        <f>'2020'!AK631</f>
        <v>15</v>
      </c>
      <c r="T74" s="119">
        <f>'2020'!AL631</f>
        <v>0</v>
      </c>
      <c r="U74" s="119">
        <f>'2020'!AO631</f>
        <v>15</v>
      </c>
      <c r="V74" s="119">
        <f>'2020'!AP631</f>
        <v>0</v>
      </c>
      <c r="W74" s="119">
        <f>'2020'!AS631</f>
        <v>15</v>
      </c>
      <c r="X74" s="119">
        <f>'2020'!AT631</f>
        <v>0</v>
      </c>
      <c r="Y74" s="119">
        <f>'2020'!AW631</f>
        <v>15</v>
      </c>
      <c r="Z74" s="119">
        <f>'2020'!AX631</f>
        <v>0</v>
      </c>
      <c r="AA74" s="119">
        <f>'2020'!BA631</f>
        <v>15</v>
      </c>
      <c r="AB74" s="119">
        <f>'2020'!BB631</f>
        <v>0</v>
      </c>
      <c r="AC74" s="119">
        <f>'2020'!BE631</f>
        <v>0</v>
      </c>
    </row>
    <row r="75" ht="15.75" customHeight="1" spans="1:29" x14ac:dyDescent="0.25">
      <c r="A75" s="14"/>
      <c r="B75" s="115">
        <v>71</v>
      </c>
      <c r="C75" s="115">
        <v>5.98</v>
      </c>
      <c r="D75" s="117" t="s">
        <v>255</v>
      </c>
      <c r="E75" s="119">
        <f>'2020'!I640</f>
        <v>219</v>
      </c>
      <c r="F75" s="119">
        <f>'2020'!J640</f>
      </c>
      <c r="G75" s="119">
        <f>'2020'!M640</f>
        <v>219</v>
      </c>
      <c r="H75" s="119">
        <f>'2020'!N640</f>
      </c>
      <c r="I75" s="119">
        <f>'2020'!Q640</f>
        <v>219</v>
      </c>
      <c r="J75" s="119">
        <f>'2020'!R640</f>
      </c>
      <c r="K75" s="119">
        <f>'2020'!U640</f>
        <v>222</v>
      </c>
      <c r="L75" s="119">
        <f>'2020'!V640</f>
        <v>3</v>
      </c>
      <c r="M75" s="119">
        <f>'2020'!Y640</f>
        <v>222</v>
      </c>
      <c r="N75" s="119">
        <f>'2020'!Z640</f>
        <v>0</v>
      </c>
      <c r="O75" s="119">
        <f>'2020'!AC640</f>
        <v>230</v>
      </c>
      <c r="P75" s="119">
        <f>'2020'!AD640</f>
        <v>8</v>
      </c>
      <c r="Q75" s="119">
        <f>'2020'!AG640</f>
        <v>244</v>
      </c>
      <c r="R75" s="119">
        <f>'2020'!AH640</f>
        <v>14</v>
      </c>
      <c r="S75" s="119">
        <f>'2020'!AK640</f>
        <v>258</v>
      </c>
      <c r="T75" s="119">
        <f>'2020'!AL640</f>
        <v>14</v>
      </c>
      <c r="U75" s="119">
        <f>'2020'!AO640</f>
        <v>258</v>
      </c>
      <c r="V75" s="119">
        <f>'2020'!AP640</f>
        <v>0</v>
      </c>
      <c r="W75" s="119">
        <f>'2020'!AS640</f>
        <v>258</v>
      </c>
      <c r="X75" s="119">
        <f>'2020'!AT640</f>
        <v>0</v>
      </c>
      <c r="Y75" s="119">
        <f>'2020'!AW640</f>
        <v>258</v>
      </c>
      <c r="Z75" s="119">
        <f>'2020'!AX640</f>
        <v>0</v>
      </c>
      <c r="AA75" s="119">
        <f>'2020'!BA640</f>
        <v>258</v>
      </c>
      <c r="AB75" s="119">
        <f>'2020'!BB640</f>
        <v>0</v>
      </c>
      <c r="AC75" s="119">
        <f>'2020'!BE640</f>
        <v>39</v>
      </c>
    </row>
    <row r="76" ht="15.75" customHeight="1" spans="1:29" x14ac:dyDescent="0.25">
      <c r="A76" s="14"/>
      <c r="B76" s="115">
        <v>72</v>
      </c>
      <c r="C76" s="115">
        <v>4.03</v>
      </c>
      <c r="D76" s="117" t="s">
        <v>257</v>
      </c>
      <c r="E76" s="119">
        <f>'2020'!I649</f>
        <v>38</v>
      </c>
      <c r="F76" s="119">
        <f>'2020'!J649</f>
      </c>
      <c r="G76" s="119">
        <f>'2020'!M649</f>
        <v>38</v>
      </c>
      <c r="H76" s="119">
        <f>'2020'!N649</f>
      </c>
      <c r="I76" s="119">
        <f>'2020'!Q649</f>
        <v>38</v>
      </c>
      <c r="J76" s="119">
        <f>'2020'!R649</f>
      </c>
      <c r="K76" s="119">
        <f>'2020'!U649</f>
        <v>38</v>
      </c>
      <c r="L76" s="119">
        <f>'2020'!V649</f>
        <v>0</v>
      </c>
      <c r="M76" s="119">
        <f>'2020'!Y649</f>
        <v>38</v>
      </c>
      <c r="N76" s="119">
        <f>'2020'!Z649</f>
        <v>0</v>
      </c>
      <c r="O76" s="119">
        <f>'2020'!AC649</f>
        <v>38</v>
      </c>
      <c r="P76" s="119">
        <f>'2020'!AD649</f>
        <v>0</v>
      </c>
      <c r="Q76" s="119">
        <f>'2020'!AG649</f>
        <v>40</v>
      </c>
      <c r="R76" s="119">
        <f>'2020'!AH649</f>
        <v>2</v>
      </c>
      <c r="S76" s="119">
        <f>'2020'!AK649</f>
        <v>40</v>
      </c>
      <c r="T76" s="119">
        <f>'2020'!AL649</f>
        <v>0</v>
      </c>
      <c r="U76" s="119">
        <f>'2020'!AO649</f>
        <v>40</v>
      </c>
      <c r="V76" s="119">
        <f>'2020'!AP649</f>
        <v>0</v>
      </c>
      <c r="W76" s="119">
        <f>'2020'!AS649</f>
        <v>40</v>
      </c>
      <c r="X76" s="119">
        <f>'2020'!AT649</f>
        <v>0</v>
      </c>
      <c r="Y76" s="119">
        <f>'2020'!AW649</f>
        <v>40</v>
      </c>
      <c r="Z76" s="119">
        <f>'2020'!AX649</f>
        <v>0</v>
      </c>
      <c r="AA76" s="119">
        <f>'2020'!BA649</f>
        <v>40</v>
      </c>
      <c r="AB76" s="119">
        <f>'2020'!BB649</f>
        <v>0</v>
      </c>
      <c r="AC76" s="119">
        <f>'2020'!BE649</f>
        <v>2</v>
      </c>
    </row>
    <row r="77" ht="15.75" customHeight="1" spans="1:29" x14ac:dyDescent="0.25">
      <c r="A77" s="14"/>
      <c r="B77" s="115">
        <v>73</v>
      </c>
      <c r="C77" s="115">
        <v>4.02</v>
      </c>
      <c r="D77" s="117" t="s">
        <v>259</v>
      </c>
      <c r="E77" s="119">
        <f>'2020'!I658</f>
        <v>77</v>
      </c>
      <c r="F77" s="119">
        <f>'2020'!J658</f>
      </c>
      <c r="G77" s="119">
        <f>'2020'!M658</f>
        <v>77</v>
      </c>
      <c r="H77" s="119">
        <f>'2020'!N658</f>
      </c>
      <c r="I77" s="119">
        <f>'2020'!Q658</f>
        <v>77</v>
      </c>
      <c r="J77" s="119">
        <f>'2020'!R658</f>
      </c>
      <c r="K77" s="119">
        <f>'2020'!U658</f>
        <v>78</v>
      </c>
      <c r="L77" s="119">
        <f>'2020'!V658</f>
        <v>1</v>
      </c>
      <c r="M77" s="119">
        <f>'2020'!Y658</f>
        <v>78</v>
      </c>
      <c r="N77" s="119">
        <f>'2020'!Z658</f>
        <v>0</v>
      </c>
      <c r="O77" s="119">
        <f>'2020'!AC658</f>
        <v>82</v>
      </c>
      <c r="P77" s="119">
        <f>'2020'!AD658</f>
        <v>4</v>
      </c>
      <c r="Q77" s="119">
        <f>'2020'!AG658</f>
        <v>82</v>
      </c>
      <c r="R77" s="119">
        <f>'2020'!AH658</f>
        <v>0</v>
      </c>
      <c r="S77" s="119">
        <f>'2020'!AK658</f>
        <v>82</v>
      </c>
      <c r="T77" s="119">
        <f>'2020'!AL658</f>
        <v>0</v>
      </c>
      <c r="U77" s="119">
        <f>'2020'!AO658</f>
        <v>82</v>
      </c>
      <c r="V77" s="119">
        <f>'2020'!AP658</f>
        <v>0</v>
      </c>
      <c r="W77" s="119">
        <f>'2020'!AS658</f>
        <v>82</v>
      </c>
      <c r="X77" s="119">
        <f>'2020'!AT658</f>
        <v>0</v>
      </c>
      <c r="Y77" s="119">
        <f>'2020'!AW658</f>
        <v>82</v>
      </c>
      <c r="Z77" s="119">
        <f>'2020'!AX658</f>
        <v>0</v>
      </c>
      <c r="AA77" s="119">
        <f>'2020'!BA658</f>
        <v>82</v>
      </c>
      <c r="AB77" s="119">
        <f>'2020'!BB658</f>
        <v>0</v>
      </c>
      <c r="AC77" s="119">
        <f>'2020'!BE658</f>
        <v>5</v>
      </c>
    </row>
    <row r="78" ht="15.75" customHeight="1" spans="1:29" x14ac:dyDescent="0.25">
      <c r="A78" s="21"/>
      <c r="B78" s="115">
        <v>74</v>
      </c>
      <c r="C78" s="115">
        <v>4.97</v>
      </c>
      <c r="D78" s="117" t="s">
        <v>262</v>
      </c>
      <c r="E78" s="119">
        <f>'2020'!I667</f>
        <v>137</v>
      </c>
      <c r="F78" s="119">
        <f>'2020'!J667</f>
      </c>
      <c r="G78" s="119">
        <f>'2020'!M667</f>
        <v>137</v>
      </c>
      <c r="H78" s="119">
        <f>'2020'!N667</f>
      </c>
      <c r="I78" s="119">
        <f>'2020'!Q667</f>
        <v>137</v>
      </c>
      <c r="J78" s="119">
        <f>'2020'!R667</f>
      </c>
      <c r="K78" s="119">
        <f>'2020'!U667</f>
        <v>131</v>
      </c>
      <c r="L78" s="119">
        <f>'2020'!V667</f>
        <v>-6</v>
      </c>
      <c r="M78" s="119">
        <f>'2020'!Y667</f>
        <v>131</v>
      </c>
      <c r="N78" s="119">
        <f>'2020'!Z667</f>
        <v>0</v>
      </c>
      <c r="O78" s="119">
        <f>'2020'!AC667</f>
        <v>140</v>
      </c>
      <c r="P78" s="119">
        <f>'2020'!AD667</f>
        <v>9</v>
      </c>
      <c r="Q78" s="119">
        <f>'2020'!AG667</f>
        <v>158</v>
      </c>
      <c r="R78" s="119">
        <f>'2020'!AH667</f>
        <v>18</v>
      </c>
      <c r="S78" s="119">
        <f>'2020'!AK667</f>
        <v>161</v>
      </c>
      <c r="T78" s="119">
        <f>'2020'!AL667</f>
        <v>3</v>
      </c>
      <c r="U78" s="119">
        <f>'2020'!AO667</f>
        <v>161</v>
      </c>
      <c r="V78" s="119">
        <f>'2020'!AP667</f>
        <v>0</v>
      </c>
      <c r="W78" s="119">
        <f>'2020'!AS667</f>
        <v>161</v>
      </c>
      <c r="X78" s="119">
        <f>'2020'!AT667</f>
        <v>0</v>
      </c>
      <c r="Y78" s="119">
        <f>'2020'!AW667</f>
        <v>161</v>
      </c>
      <c r="Z78" s="119">
        <f>'2020'!AX667</f>
        <v>0</v>
      </c>
      <c r="AA78" s="119">
        <f>'2020'!BA667</f>
        <v>161</v>
      </c>
      <c r="AB78" s="119">
        <f>'2020'!BB667</f>
        <v>0</v>
      </c>
      <c r="AC78" s="119">
        <f>'2020'!BE667</f>
        <v>24</v>
      </c>
    </row>
    <row r="79" ht="15.75" customHeight="1" spans="1:29" x14ac:dyDescent="0.25">
      <c r="A79" s="114" t="s">
        <v>264</v>
      </c>
      <c r="B79" s="115">
        <v>75</v>
      </c>
      <c r="C79" s="115">
        <v>4.15</v>
      </c>
      <c r="D79" s="117" t="s">
        <v>265</v>
      </c>
      <c r="E79" s="119">
        <f>'2020'!I676</f>
        <v>71</v>
      </c>
      <c r="F79" s="119">
        <f>'2020'!J676</f>
      </c>
      <c r="G79" s="119">
        <f>'2020'!M676</f>
        <v>71</v>
      </c>
      <c r="H79" s="119">
        <f>'2020'!N676</f>
      </c>
      <c r="I79" s="119">
        <f>'2020'!Q676</f>
        <v>71</v>
      </c>
      <c r="J79" s="119">
        <f>'2020'!R676</f>
      </c>
      <c r="K79" s="119">
        <f>'2020'!U676</f>
        <v>71</v>
      </c>
      <c r="L79" s="119">
        <f>'2020'!V676</f>
        <v>0</v>
      </c>
      <c r="M79" s="119">
        <f>'2020'!Y676</f>
        <v>71</v>
      </c>
      <c r="N79" s="119">
        <f>'2020'!Z676</f>
        <v>0</v>
      </c>
      <c r="O79" s="119">
        <f>'2020'!AC676</f>
        <v>71</v>
      </c>
      <c r="P79" s="119">
        <f>'2020'!AD676</f>
        <v>0</v>
      </c>
      <c r="Q79" s="119">
        <f>'2020'!AG676</f>
        <v>81</v>
      </c>
      <c r="R79" s="119">
        <f>'2020'!AH676</f>
        <v>10</v>
      </c>
      <c r="S79" s="119">
        <f>'2020'!AK676</f>
        <v>89</v>
      </c>
      <c r="T79" s="119">
        <f>'2020'!AL676</f>
        <v>8</v>
      </c>
      <c r="U79" s="119">
        <f>'2020'!AO676</f>
        <v>89</v>
      </c>
      <c r="V79" s="119">
        <f>'2020'!AP676</f>
        <v>0</v>
      </c>
      <c r="W79" s="119">
        <f>'2020'!AS676</f>
        <v>89</v>
      </c>
      <c r="X79" s="119">
        <f>'2020'!AT676</f>
        <v>0</v>
      </c>
      <c r="Y79" s="119">
        <f>'2020'!AW676</f>
        <v>89</v>
      </c>
      <c r="Z79" s="119">
        <f>'2020'!AX676</f>
        <v>0</v>
      </c>
      <c r="AA79" s="119">
        <f>'2020'!BA676</f>
        <v>89</v>
      </c>
      <c r="AB79" s="119">
        <f>'2020'!BB676</f>
        <v>0</v>
      </c>
      <c r="AC79" s="119">
        <f>'2020'!BE676</f>
        <v>18</v>
      </c>
    </row>
    <row r="80" ht="15.75" customHeight="1" spans="1:29" x14ac:dyDescent="0.25">
      <c r="A80" s="14"/>
      <c r="B80" s="115">
        <v>76</v>
      </c>
      <c r="C80" s="115">
        <v>4.15</v>
      </c>
      <c r="D80" s="117" t="s">
        <v>267</v>
      </c>
      <c r="E80" s="119">
        <f>'2020'!I685</f>
        <v>0</v>
      </c>
      <c r="F80" s="119">
        <f>'2020'!J685</f>
      </c>
      <c r="G80" s="119">
        <f>'2020'!M685</f>
        <v>0</v>
      </c>
      <c r="H80" s="119">
        <f>'2020'!N685</f>
      </c>
      <c r="I80" s="119">
        <f>'2020'!Q685</f>
        <v>0</v>
      </c>
      <c r="J80" s="119">
        <f>'2020'!R685</f>
      </c>
      <c r="K80" s="119">
        <f>'2020'!U685</f>
        <v>0</v>
      </c>
      <c r="L80" s="119">
        <f>'2020'!V685</f>
        <v>0</v>
      </c>
      <c r="M80" s="119">
        <f>'2020'!Y685</f>
        <v>0</v>
      </c>
      <c r="N80" s="119">
        <f>'2020'!Z685</f>
        <v>0</v>
      </c>
      <c r="O80" s="119">
        <f>'2020'!AC685</f>
        <v>8</v>
      </c>
      <c r="P80" s="119">
        <f>'2020'!AD685</f>
        <v>8</v>
      </c>
      <c r="Q80" s="119">
        <f>'2020'!AG685</f>
        <v>16</v>
      </c>
      <c r="R80" s="119">
        <f>'2020'!AH685</f>
        <v>8</v>
      </c>
      <c r="S80" s="119">
        <f>'2020'!AK685</f>
        <v>21</v>
      </c>
      <c r="T80" s="119">
        <f>'2020'!AL685</f>
        <v>5</v>
      </c>
      <c r="U80" s="119">
        <f>'2020'!AO685</f>
        <v>21</v>
      </c>
      <c r="V80" s="119">
        <f>'2020'!AP685</f>
        <v>0</v>
      </c>
      <c r="W80" s="119">
        <f>'2020'!AS685</f>
        <v>21</v>
      </c>
      <c r="X80" s="119">
        <f>'2020'!AT685</f>
        <v>0</v>
      </c>
      <c r="Y80" s="119">
        <f>'2020'!AW685</f>
        <v>21</v>
      </c>
      <c r="Z80" s="119">
        <f>'2020'!AX685</f>
        <v>0</v>
      </c>
      <c r="AA80" s="119">
        <f>'2020'!BA685</f>
        <v>21</v>
      </c>
      <c r="AB80" s="119">
        <f>'2020'!BB685</f>
        <v>0</v>
      </c>
      <c r="AC80" s="119">
        <f>'2020'!BE685</f>
        <v>21</v>
      </c>
    </row>
    <row r="81" ht="15.75" customHeight="1" spans="1:29" x14ac:dyDescent="0.25">
      <c r="A81" s="14"/>
      <c r="B81" s="115">
        <v>77</v>
      </c>
      <c r="C81" s="115">
        <v>4.12</v>
      </c>
      <c r="D81" s="117" t="s">
        <v>268</v>
      </c>
      <c r="E81" s="119">
        <f>'2020'!I694</f>
        <v>382</v>
      </c>
      <c r="F81" s="119">
        <f>'2020'!J694</f>
      </c>
      <c r="G81" s="119">
        <f>'2020'!M694</f>
        <v>382</v>
      </c>
      <c r="H81" s="119">
        <f>'2020'!N694</f>
      </c>
      <c r="I81" s="119">
        <f>'2020'!Q694</f>
        <v>382</v>
      </c>
      <c r="J81" s="119">
        <f>'2020'!R694</f>
      </c>
      <c r="K81" s="119">
        <f>'2020'!U694</f>
        <v>385</v>
      </c>
      <c r="L81" s="119">
        <f>'2020'!V694</f>
        <v>3</v>
      </c>
      <c r="M81" s="119">
        <f>'2020'!Y694</f>
        <v>386</v>
      </c>
      <c r="N81" s="119">
        <f>'2020'!Z694</f>
        <v>1</v>
      </c>
      <c r="O81" s="119">
        <f>'2020'!AC694</f>
        <v>394</v>
      </c>
      <c r="P81" s="119">
        <f>'2020'!AD694</f>
        <v>8</v>
      </c>
      <c r="Q81" s="119">
        <f>'2020'!AG694</f>
        <v>401</v>
      </c>
      <c r="R81" s="119">
        <f>'2020'!AH694</f>
        <v>7</v>
      </c>
      <c r="S81" s="119">
        <f>'2020'!AK694</f>
        <v>404</v>
      </c>
      <c r="T81" s="119">
        <f>'2020'!AL694</f>
        <v>3</v>
      </c>
      <c r="U81" s="119">
        <f>'2020'!AO694</f>
        <v>404</v>
      </c>
      <c r="V81" s="119">
        <f>'2020'!AP694</f>
        <v>0</v>
      </c>
      <c r="W81" s="119">
        <f>'2020'!AS694</f>
        <v>404</v>
      </c>
      <c r="X81" s="119">
        <f>'2020'!AT694</f>
        <v>0</v>
      </c>
      <c r="Y81" s="119">
        <f>'2020'!AW694</f>
        <v>404</v>
      </c>
      <c r="Z81" s="119">
        <f>'2020'!AX694</f>
        <v>0</v>
      </c>
      <c r="AA81" s="119">
        <f>'2020'!BA694</f>
        <v>404</v>
      </c>
      <c r="AB81" s="119">
        <f>'2020'!BB694</f>
        <v>0</v>
      </c>
      <c r="AC81" s="119">
        <f>'2020'!BE694</f>
        <v>22</v>
      </c>
    </row>
    <row r="82" ht="15.75" customHeight="1" spans="1:29" x14ac:dyDescent="0.25">
      <c r="A82" s="14"/>
      <c r="B82" s="115">
        <v>78</v>
      </c>
      <c r="C82" s="115">
        <v>4.03</v>
      </c>
      <c r="D82" s="117" t="s">
        <v>271</v>
      </c>
      <c r="E82" s="119">
        <f>'2020'!I703</f>
        <v>132</v>
      </c>
      <c r="F82" s="119">
        <f>'2020'!J703</f>
      </c>
      <c r="G82" s="119">
        <f>'2020'!M703</f>
        <v>132</v>
      </c>
      <c r="H82" s="119">
        <f>'2020'!N703</f>
      </c>
      <c r="I82" s="119">
        <f>'2020'!Q703</f>
        <v>132</v>
      </c>
      <c r="J82" s="119">
        <f>'2020'!R703</f>
      </c>
      <c r="K82" s="119">
        <f>'2020'!U703</f>
        <v>133</v>
      </c>
      <c r="L82" s="119">
        <f>'2020'!V703</f>
        <v>1</v>
      </c>
      <c r="M82" s="119">
        <f>'2020'!Y703</f>
        <v>133</v>
      </c>
      <c r="N82" s="119">
        <f>'2020'!Z703</f>
        <v>0</v>
      </c>
      <c r="O82" s="119">
        <f>'2020'!AC703</f>
        <v>146</v>
      </c>
      <c r="P82" s="119">
        <f>'2020'!AD703</f>
        <v>13</v>
      </c>
      <c r="Q82" s="119">
        <f>'2020'!AG703</f>
        <v>153</v>
      </c>
      <c r="R82" s="119">
        <f>'2020'!AH703</f>
        <v>7</v>
      </c>
      <c r="S82" s="119">
        <f>'2020'!AK703</f>
        <v>162</v>
      </c>
      <c r="T82" s="119">
        <f>'2020'!AL703</f>
        <v>9</v>
      </c>
      <c r="U82" s="119">
        <f>'2020'!AO703</f>
        <v>162</v>
      </c>
      <c r="V82" s="119">
        <f>'2020'!AP703</f>
        <v>0</v>
      </c>
      <c r="W82" s="119">
        <f>'2020'!AS703</f>
        <v>162</v>
      </c>
      <c r="X82" s="119">
        <f>'2020'!AT703</f>
        <v>0</v>
      </c>
      <c r="Y82" s="119">
        <f>'2020'!AW703</f>
        <v>162</v>
      </c>
      <c r="Z82" s="119">
        <f>'2020'!AX703</f>
        <v>0</v>
      </c>
      <c r="AA82" s="119">
        <f>'2020'!BA703</f>
        <v>162</v>
      </c>
      <c r="AB82" s="119">
        <f>'2020'!BB703</f>
        <v>0</v>
      </c>
      <c r="AC82" s="119">
        <f>'2020'!BE703</f>
        <v>30</v>
      </c>
    </row>
    <row r="83" ht="15.75" customHeight="1" spans="1:29" x14ac:dyDescent="0.25">
      <c r="A83" s="14"/>
      <c r="B83" s="115">
        <v>79</v>
      </c>
      <c r="C83" s="115">
        <v>4.24</v>
      </c>
      <c r="D83" s="117" t="s">
        <v>275</v>
      </c>
      <c r="E83" s="119">
        <f>'2020'!I712</f>
        <v>2</v>
      </c>
      <c r="F83" s="119">
        <f>'2020'!J712</f>
      </c>
      <c r="G83" s="119">
        <f>'2020'!M712</f>
        <v>2</v>
      </c>
      <c r="H83" s="119">
        <f>'2020'!N712</f>
      </c>
      <c r="I83" s="119">
        <f>'2020'!Q712</f>
        <v>2</v>
      </c>
      <c r="J83" s="119">
        <f>'2020'!R712</f>
      </c>
      <c r="K83" s="119">
        <f>'2020'!U712</f>
        <v>1</v>
      </c>
      <c r="L83" s="119">
        <f>'2020'!V712</f>
        <v>-1</v>
      </c>
      <c r="M83" s="119">
        <f>'2020'!Y712</f>
        <v>1</v>
      </c>
      <c r="N83" s="119">
        <f>'2020'!Z712</f>
        <v>0</v>
      </c>
      <c r="O83" s="119">
        <f>'2020'!AC712</f>
        <v>1</v>
      </c>
      <c r="P83" s="119">
        <f>'2020'!AD712</f>
        <v>0</v>
      </c>
      <c r="Q83" s="119">
        <f>'2020'!AG712</f>
        <v>1</v>
      </c>
      <c r="R83" s="119">
        <f>'2020'!AH712</f>
        <v>0</v>
      </c>
      <c r="S83" s="119">
        <f>'2020'!AK712</f>
        <v>1</v>
      </c>
      <c r="T83" s="119">
        <f>'2020'!AL712</f>
        <v>0</v>
      </c>
      <c r="U83" s="119">
        <f>'2020'!AO712</f>
        <v>1</v>
      </c>
      <c r="V83" s="119">
        <f>'2020'!AP712</f>
        <v>0</v>
      </c>
      <c r="W83" s="119">
        <f>'2020'!AS712</f>
        <v>1</v>
      </c>
      <c r="X83" s="119">
        <f>'2020'!AT712</f>
        <v>0</v>
      </c>
      <c r="Y83" s="119">
        <f>'2020'!AW712</f>
        <v>1</v>
      </c>
      <c r="Z83" s="119">
        <f>'2020'!AX712</f>
        <v>0</v>
      </c>
      <c r="AA83" s="119">
        <f>'2020'!BA712</f>
        <v>1</v>
      </c>
      <c r="AB83" s="119">
        <f>'2020'!BB712</f>
        <v>0</v>
      </c>
      <c r="AC83" s="119">
        <f>'2020'!BE712</f>
        <v>-1</v>
      </c>
    </row>
    <row r="84" ht="15.75" customHeight="1" spans="1:29" x14ac:dyDescent="0.25">
      <c r="A84" s="14"/>
      <c r="B84" s="115">
        <v>81</v>
      </c>
      <c r="C84" s="116">
        <v>4.3</v>
      </c>
      <c r="D84" s="117" t="s">
        <v>278</v>
      </c>
      <c r="E84" s="119">
        <f>'2020'!I721</f>
        <v>40</v>
      </c>
      <c r="F84" s="119">
        <f>'2020'!J721</f>
      </c>
      <c r="G84" s="119">
        <f>'2020'!M721</f>
        <v>40</v>
      </c>
      <c r="H84" s="119">
        <f>'2020'!N721</f>
      </c>
      <c r="I84" s="119">
        <f>'2020'!Q721</f>
        <v>40</v>
      </c>
      <c r="J84" s="119">
        <f>'2020'!R721</f>
      </c>
      <c r="K84" s="119">
        <f>'2020'!U721</f>
        <v>40</v>
      </c>
      <c r="L84" s="119">
        <f>'2020'!V721</f>
        <v>0</v>
      </c>
      <c r="M84" s="119">
        <f>'2020'!Y721</f>
        <v>40</v>
      </c>
      <c r="N84" s="119">
        <f>'2020'!Z721</f>
        <v>0</v>
      </c>
      <c r="O84" s="119">
        <f>'2020'!AC721</f>
        <v>40</v>
      </c>
      <c r="P84" s="119">
        <f>'2020'!AD721</f>
        <v>0</v>
      </c>
      <c r="Q84" s="119">
        <f>'2020'!AG721</f>
        <v>40</v>
      </c>
      <c r="R84" s="119">
        <f>'2020'!AH721</f>
        <v>0</v>
      </c>
      <c r="S84" s="119">
        <f>'2020'!AK721</f>
        <v>40</v>
      </c>
      <c r="T84" s="119">
        <f>'2020'!AL721</f>
        <v>0</v>
      </c>
      <c r="U84" s="119">
        <f>'2020'!AO721</f>
        <v>40</v>
      </c>
      <c r="V84" s="119">
        <f>'2020'!AP721</f>
        <v>0</v>
      </c>
      <c r="W84" s="119">
        <f>'2020'!AS721</f>
        <v>40</v>
      </c>
      <c r="X84" s="119">
        <f>'2020'!AT721</f>
        <v>0</v>
      </c>
      <c r="Y84" s="119">
        <f>'2020'!AW721</f>
        <v>40</v>
      </c>
      <c r="Z84" s="119">
        <f>'2020'!AX721</f>
        <v>0</v>
      </c>
      <c r="AA84" s="119">
        <f>'2020'!BA721</f>
        <v>40</v>
      </c>
      <c r="AB84" s="119">
        <f>'2020'!BB721</f>
        <v>0</v>
      </c>
      <c r="AC84" s="119">
        <f>'2020'!BE721</f>
        <v>0</v>
      </c>
    </row>
    <row r="85" ht="15.75" customHeight="1" spans="1:29" x14ac:dyDescent="0.25">
      <c r="A85" s="14"/>
      <c r="B85" s="115">
        <v>83</v>
      </c>
      <c r="C85" s="115">
        <v>4.29</v>
      </c>
      <c r="D85" s="117" t="s">
        <v>280</v>
      </c>
      <c r="E85" s="119">
        <f>'2020'!I730</f>
        <v>46</v>
      </c>
      <c r="F85" s="119">
        <f>'2020'!J730</f>
      </c>
      <c r="G85" s="119">
        <f>'2020'!M730</f>
        <v>46</v>
      </c>
      <c r="H85" s="119">
        <f>'2020'!N730</f>
      </c>
      <c r="I85" s="119">
        <f>'2020'!Q730</f>
        <v>46</v>
      </c>
      <c r="J85" s="119">
        <f>'2020'!R730</f>
      </c>
      <c r="K85" s="119">
        <f>'2020'!U730</f>
        <v>0</v>
      </c>
      <c r="L85" s="119">
        <f>'2020'!V730</f>
        <v>0</v>
      </c>
      <c r="M85" s="119">
        <f>'2020'!Y730</f>
        <v>3</v>
      </c>
      <c r="N85" s="119">
        <f>'2020'!Z730</f>
        <v>3</v>
      </c>
      <c r="O85" s="119">
        <f>'2020'!AC730</f>
        <v>3</v>
      </c>
      <c r="P85" s="119">
        <f>'2020'!AD730</f>
        <v>0</v>
      </c>
      <c r="Q85" s="119">
        <f>'2020'!AG730</f>
        <v>3</v>
      </c>
      <c r="R85" s="119">
        <f>'2020'!AH730</f>
        <v>0</v>
      </c>
      <c r="S85" s="119">
        <f>'2020'!AK730</f>
        <v>3</v>
      </c>
      <c r="T85" s="119">
        <f>'2020'!AL730</f>
        <v>0</v>
      </c>
      <c r="U85" s="119">
        <f>'2020'!AO730</f>
        <v>17</v>
      </c>
      <c r="V85" s="119">
        <f>'2020'!AP730</f>
        <v>14</v>
      </c>
      <c r="W85" s="119">
        <f>'2020'!AS730</f>
        <v>17</v>
      </c>
      <c r="X85" s="119">
        <f>'2020'!AT730</f>
        <v>0</v>
      </c>
      <c r="Y85" s="119">
        <f>'2020'!AW730</f>
        <v>17</v>
      </c>
      <c r="Z85" s="119">
        <f>'2020'!AX730</f>
        <v>0</v>
      </c>
      <c r="AA85" s="119">
        <f>'2020'!BA730</f>
        <v>17</v>
      </c>
      <c r="AB85" s="119">
        <f>'2020'!BB730</f>
        <v>0</v>
      </c>
      <c r="AC85" s="119">
        <f>'2020'!BE730</f>
        <v>17</v>
      </c>
    </row>
    <row r="86" ht="15.75" customHeight="1" spans="1:29" x14ac:dyDescent="0.25">
      <c r="A86" s="14"/>
      <c r="B86" s="115">
        <v>85</v>
      </c>
      <c r="C86" s="115">
        <v>4.27</v>
      </c>
      <c r="D86" s="117" t="s">
        <v>282</v>
      </c>
      <c r="E86" s="119">
        <f>'2020'!I739</f>
        <v>130</v>
      </c>
      <c r="F86" s="119">
        <f>'2020'!J739</f>
      </c>
      <c r="G86" s="119">
        <f>'2020'!M739</f>
        <v>130</v>
      </c>
      <c r="H86" s="119">
        <f>'2020'!N739</f>
      </c>
      <c r="I86" s="119">
        <f>'2020'!Q739</f>
        <v>130</v>
      </c>
      <c r="J86" s="119">
        <f>'2020'!R739</f>
      </c>
      <c r="K86" s="119">
        <f>'2020'!U739</f>
        <v>130</v>
      </c>
      <c r="L86" s="119">
        <f>'2020'!V739</f>
        <v>0</v>
      </c>
      <c r="M86" s="119">
        <f>'2020'!Y739</f>
        <v>134</v>
      </c>
      <c r="N86" s="119">
        <f>'2020'!Z739</f>
        <v>4</v>
      </c>
      <c r="O86" s="119">
        <f>'2020'!AC739</f>
        <v>140</v>
      </c>
      <c r="P86" s="119">
        <f>'2020'!AD739</f>
        <v>6</v>
      </c>
      <c r="Q86" s="119">
        <f>'2020'!AG739</f>
        <v>149</v>
      </c>
      <c r="R86" s="119">
        <f>'2020'!AH739</f>
        <v>9</v>
      </c>
      <c r="S86" s="119">
        <f>'2020'!AK739</f>
        <v>160</v>
      </c>
      <c r="T86" s="119">
        <f>'2020'!AL739</f>
        <v>11</v>
      </c>
      <c r="U86" s="119">
        <f>'2020'!AO739</f>
        <v>160</v>
      </c>
      <c r="V86" s="119">
        <f>'2020'!AP739</f>
        <v>0</v>
      </c>
      <c r="W86" s="119">
        <f>'2020'!AS739</f>
        <v>160</v>
      </c>
      <c r="X86" s="119">
        <f>'2020'!AT739</f>
        <v>0</v>
      </c>
      <c r="Y86" s="119">
        <f>'2020'!AW739</f>
        <v>160</v>
      </c>
      <c r="Z86" s="119">
        <f>'2020'!AX739</f>
        <v>0</v>
      </c>
      <c r="AA86" s="119">
        <f>'2020'!BA739</f>
        <v>160</v>
      </c>
      <c r="AB86" s="119">
        <f>'2020'!BB739</f>
        <v>0</v>
      </c>
      <c r="AC86" s="119">
        <f>'2020'!BE739</f>
        <v>30</v>
      </c>
    </row>
    <row r="87" ht="15.75" customHeight="1" spans="1:29" x14ac:dyDescent="0.25">
      <c r="A87" s="14"/>
      <c r="B87" s="115">
        <v>87</v>
      </c>
      <c r="C87" s="115">
        <v>4.23</v>
      </c>
      <c r="D87" s="117" t="s">
        <v>284</v>
      </c>
      <c r="E87" s="119">
        <f>'2020'!I748</f>
        <v>185</v>
      </c>
      <c r="F87" s="119">
        <f>'2020'!J748</f>
      </c>
      <c r="G87" s="119">
        <f>'2020'!M748</f>
        <v>185</v>
      </c>
      <c r="H87" s="119">
        <f>'2020'!N748</f>
      </c>
      <c r="I87" s="119">
        <f>'2020'!Q748</f>
        <v>185</v>
      </c>
      <c r="J87" s="119">
        <f>'2020'!R748</f>
      </c>
      <c r="K87" s="119">
        <f>'2020'!U748</f>
        <v>188</v>
      </c>
      <c r="L87" s="119">
        <f>'2020'!V748</f>
        <v>3</v>
      </c>
      <c r="M87" s="119">
        <f>'2020'!Y748</f>
        <v>191</v>
      </c>
      <c r="N87" s="119">
        <f>'2020'!Z748</f>
        <v>3</v>
      </c>
      <c r="O87" s="119">
        <f>'2020'!AC748</f>
        <v>206</v>
      </c>
      <c r="P87" s="119">
        <f>'2020'!AD748</f>
        <v>15</v>
      </c>
      <c r="Q87" s="119">
        <f>'2020'!AG748</f>
        <v>221</v>
      </c>
      <c r="R87" s="119">
        <f>'2020'!AH748</f>
        <v>15</v>
      </c>
      <c r="S87" s="119">
        <f>'2020'!AK748</f>
        <v>230</v>
      </c>
      <c r="T87" s="119">
        <f>'2020'!AL748</f>
        <v>9</v>
      </c>
      <c r="U87" s="119">
        <f>'2020'!AO748</f>
        <v>230</v>
      </c>
      <c r="V87" s="119">
        <f>'2020'!AP748</f>
        <v>0</v>
      </c>
      <c r="W87" s="119">
        <f>'2020'!AS748</f>
        <v>230</v>
      </c>
      <c r="X87" s="119">
        <f>'2020'!AT748</f>
        <v>0</v>
      </c>
      <c r="Y87" s="119">
        <f>'2020'!AW748</f>
        <v>230</v>
      </c>
      <c r="Z87" s="119">
        <f>'2020'!AX748</f>
        <v>0</v>
      </c>
      <c r="AA87" s="119">
        <f>'2020'!BA748</f>
        <v>230</v>
      </c>
      <c r="AB87" s="119">
        <f>'2020'!BB748</f>
        <v>0</v>
      </c>
      <c r="AC87" s="119">
        <f>'2020'!BE748</f>
        <v>45</v>
      </c>
    </row>
    <row r="88" ht="15.75" customHeight="1" spans="1:29" x14ac:dyDescent="0.25">
      <c r="A88" s="14"/>
      <c r="B88" s="115">
        <v>89</v>
      </c>
      <c r="C88" s="115">
        <v>4.25</v>
      </c>
      <c r="D88" s="117" t="s">
        <v>286</v>
      </c>
      <c r="E88" s="119">
        <f>'2020'!I757</f>
        <v>118</v>
      </c>
      <c r="F88" s="119">
        <f>'2020'!J757</f>
      </c>
      <c r="G88" s="119">
        <f>'2020'!M757</f>
        <v>118</v>
      </c>
      <c r="H88" s="119">
        <f>'2020'!N757</f>
      </c>
      <c r="I88" s="119">
        <f>'2020'!Q757</f>
        <v>118</v>
      </c>
      <c r="J88" s="119">
        <f>'2020'!R757</f>
      </c>
      <c r="K88" s="119">
        <f>'2020'!U757</f>
        <v>118</v>
      </c>
      <c r="L88" s="119">
        <f>'2020'!V757</f>
        <v>0</v>
      </c>
      <c r="M88" s="119">
        <f>'2020'!Y757</f>
        <v>118</v>
      </c>
      <c r="N88" s="119">
        <f>'2020'!Z757</f>
        <v>0</v>
      </c>
      <c r="O88" s="119">
        <f>'2020'!AC757</f>
        <v>128</v>
      </c>
      <c r="P88" s="119">
        <f>'2020'!AD757</f>
        <v>10</v>
      </c>
      <c r="Q88" s="119">
        <f>'2020'!AG757</f>
        <v>128</v>
      </c>
      <c r="R88" s="119">
        <f>'2020'!AH757</f>
        <v>0</v>
      </c>
      <c r="S88" s="119">
        <f>'2020'!AK757</f>
        <v>128</v>
      </c>
      <c r="T88" s="119">
        <f>'2020'!AL757</f>
        <v>0</v>
      </c>
      <c r="U88" s="119">
        <f>'2020'!AO757</f>
        <v>128</v>
      </c>
      <c r="V88" s="119">
        <f>'2020'!AP757</f>
        <v>0</v>
      </c>
      <c r="W88" s="119">
        <f>'2020'!AS757</f>
        <v>128</v>
      </c>
      <c r="X88" s="119">
        <f>'2020'!AT757</f>
        <v>0</v>
      </c>
      <c r="Y88" s="119">
        <f>'2020'!AW757</f>
        <v>128</v>
      </c>
      <c r="Z88" s="119">
        <f>'2020'!AX757</f>
        <v>0</v>
      </c>
      <c r="AA88" s="119">
        <f>'2020'!BA757</f>
        <v>128</v>
      </c>
      <c r="AB88" s="119">
        <f>'2020'!BB757</f>
        <v>0</v>
      </c>
      <c r="AC88" s="119">
        <f>'2020'!BE757</f>
        <v>10</v>
      </c>
    </row>
    <row r="89" ht="15.75" customHeight="1" spans="1:29" x14ac:dyDescent="0.25">
      <c r="A89" s="14"/>
      <c r="B89" s="115">
        <v>91</v>
      </c>
      <c r="C89" s="115">
        <v>4.23</v>
      </c>
      <c r="D89" s="117" t="s">
        <v>288</v>
      </c>
      <c r="E89" s="119">
        <f>'2020'!I766</f>
        <v>92</v>
      </c>
      <c r="F89" s="119">
        <f>'2020'!J766</f>
      </c>
      <c r="G89" s="119">
        <f>'2020'!M766</f>
        <v>92</v>
      </c>
      <c r="H89" s="119">
        <f>'2020'!N766</f>
      </c>
      <c r="I89" s="119">
        <f>'2020'!Q766</f>
        <v>92</v>
      </c>
      <c r="J89" s="119">
        <f>'2020'!R766</f>
      </c>
      <c r="K89" s="119">
        <f>'2020'!U766</f>
        <v>94</v>
      </c>
      <c r="L89" s="119">
        <f>'2020'!V766</f>
        <v>2</v>
      </c>
      <c r="M89" s="119">
        <f>'2020'!Y766</f>
        <v>94</v>
      </c>
      <c r="N89" s="119">
        <f>'2020'!Z766</f>
        <v>0</v>
      </c>
      <c r="O89" s="119">
        <f>'2020'!AC766</f>
        <v>94</v>
      </c>
      <c r="P89" s="119">
        <f>'2020'!AD766</f>
        <v>0</v>
      </c>
      <c r="Q89" s="119">
        <f>'2020'!AG766</f>
        <v>99</v>
      </c>
      <c r="R89" s="119">
        <f>'2020'!AH766</f>
        <v>5</v>
      </c>
      <c r="S89" s="119">
        <f>'2020'!AK766</f>
        <v>99</v>
      </c>
      <c r="T89" s="119">
        <f>'2020'!AL766</f>
        <v>0</v>
      </c>
      <c r="U89" s="119">
        <f>'2020'!AO766</f>
        <v>99</v>
      </c>
      <c r="V89" s="119">
        <f>'2020'!AP766</f>
        <v>0</v>
      </c>
      <c r="W89" s="119">
        <f>'2020'!AS766</f>
        <v>99</v>
      </c>
      <c r="X89" s="119">
        <f>'2020'!AT766</f>
        <v>0</v>
      </c>
      <c r="Y89" s="119">
        <f>'2020'!AW766</f>
        <v>99</v>
      </c>
      <c r="Z89" s="119">
        <f>'2020'!AX766</f>
        <v>0</v>
      </c>
      <c r="AA89" s="119">
        <f>'2020'!BA766</f>
        <v>99</v>
      </c>
      <c r="AB89" s="119">
        <f>'2020'!BB766</f>
        <v>0</v>
      </c>
      <c r="AC89" s="119">
        <f>'2020'!BE766</f>
        <v>7</v>
      </c>
    </row>
    <row r="90" ht="15.75" customHeight="1" spans="1:29" x14ac:dyDescent="0.25">
      <c r="A90" s="14"/>
      <c r="B90" s="115" t="s">
        <v>292</v>
      </c>
      <c r="C90" s="115">
        <v>4.31</v>
      </c>
      <c r="D90" s="117" t="s">
        <v>436</v>
      </c>
      <c r="E90" s="119">
        <f>'2020'!I775</f>
        <v>6</v>
      </c>
      <c r="F90" s="119">
        <f>'2020'!J775</f>
      </c>
      <c r="G90" s="119">
        <f>'2020'!M775</f>
        <v>6</v>
      </c>
      <c r="H90" s="119">
        <f>'2020'!N775</f>
      </c>
      <c r="I90" s="119">
        <f>'2020'!Q775</f>
        <v>6</v>
      </c>
      <c r="J90" s="119">
        <f>'2020'!R775</f>
      </c>
      <c r="K90" s="119">
        <f>'2020'!U775</f>
        <v>7</v>
      </c>
      <c r="L90" s="119">
        <f>'2020'!V775</f>
        <v>1</v>
      </c>
      <c r="M90" s="119">
        <f>'2020'!Y775</f>
        <v>7</v>
      </c>
      <c r="N90" s="119">
        <f>'2020'!Z775</f>
        <v>0</v>
      </c>
      <c r="O90" s="119">
        <f>'2020'!AC775</f>
        <v>8</v>
      </c>
      <c r="P90" s="119">
        <f>'2020'!AD775</f>
        <v>1</v>
      </c>
      <c r="Q90" s="119">
        <f>'2020'!AG775</f>
        <v>18</v>
      </c>
      <c r="R90" s="119">
        <f>'2020'!AH775</f>
        <v>10</v>
      </c>
      <c r="S90" s="119">
        <f>'2020'!AK775</f>
        <v>22</v>
      </c>
      <c r="T90" s="119">
        <f>'2020'!AL775</f>
        <v>4</v>
      </c>
      <c r="U90" s="119">
        <f>'2020'!AO775</f>
        <v>23</v>
      </c>
      <c r="V90" s="119">
        <f>'2020'!AP775</f>
        <v>1</v>
      </c>
      <c r="W90" s="119">
        <f>'2020'!AS775</f>
        <v>23</v>
      </c>
      <c r="X90" s="119">
        <f>'2020'!AT775</f>
        <v>0</v>
      </c>
      <c r="Y90" s="119">
        <f>'2020'!AW775</f>
        <v>23</v>
      </c>
      <c r="Z90" s="119">
        <f>'2020'!AX775</f>
        <v>0</v>
      </c>
      <c r="AA90" s="119">
        <f>'2020'!BA775</f>
        <v>23</v>
      </c>
      <c r="AB90" s="119">
        <f>'2020'!BB775</f>
        <v>0</v>
      </c>
      <c r="AC90" s="119">
        <f>'2020'!BE775</f>
        <v>17</v>
      </c>
    </row>
    <row r="91" ht="15.75" customHeight="1" spans="1:29" x14ac:dyDescent="0.25">
      <c r="A91" s="21"/>
      <c r="B91" s="115" t="s">
        <v>292</v>
      </c>
      <c r="C91" s="115">
        <v>4.25</v>
      </c>
      <c r="D91" s="15" t="s">
        <v>436</v>
      </c>
      <c r="E91" s="119">
        <f>'2020'!I784</f>
        <v>4</v>
      </c>
      <c r="F91" s="119">
        <f>'2020'!J784</f>
      </c>
      <c r="G91" s="119">
        <f>'2020'!M784</f>
        <v>4</v>
      </c>
      <c r="H91" s="119">
        <f>'2020'!N784</f>
      </c>
      <c r="I91" s="119">
        <f>'2020'!Q784</f>
        <v>4</v>
      </c>
      <c r="J91" s="119">
        <f>'2020'!R784</f>
      </c>
      <c r="K91" s="119">
        <f>'2020'!U784</f>
        <v>4</v>
      </c>
      <c r="L91" s="119">
        <f>'2020'!V784</f>
        <v>0</v>
      </c>
      <c r="M91" s="119">
        <f>'2020'!Y784</f>
        <v>4</v>
      </c>
      <c r="N91" s="119">
        <f>'2020'!Z784</f>
        <v>0</v>
      </c>
      <c r="O91" s="119">
        <f>'2020'!AC784</f>
        <v>5</v>
      </c>
      <c r="P91" s="119">
        <f>'2020'!AD784</f>
        <v>1</v>
      </c>
      <c r="Q91" s="119">
        <f>'2020'!AG784</f>
        <v>7</v>
      </c>
      <c r="R91" s="119">
        <f>'2020'!AH784</f>
        <v>2</v>
      </c>
      <c r="S91" s="119">
        <f>'2020'!AK784</f>
        <v>8</v>
      </c>
      <c r="T91" s="119">
        <f>'2020'!AL784</f>
        <v>1</v>
      </c>
      <c r="U91" s="119">
        <f>'2020'!AO784</f>
        <v>9</v>
      </c>
      <c r="V91" s="119">
        <f>'2020'!AP784</f>
        <v>1</v>
      </c>
      <c r="W91" s="119">
        <f>'2020'!AS784</f>
        <v>9</v>
      </c>
      <c r="X91" s="119">
        <f>'2020'!AT784</f>
        <v>0</v>
      </c>
      <c r="Y91" s="119">
        <f>'2020'!AW784</f>
        <v>9</v>
      </c>
      <c r="Z91" s="119">
        <f>'2020'!AX784</f>
        <v>0</v>
      </c>
      <c r="AA91" s="119">
        <f>'2020'!BA784</f>
        <v>9</v>
      </c>
      <c r="AB91" s="119">
        <f>'2020'!BB784</f>
        <v>0</v>
      </c>
      <c r="AC91" s="119">
        <f>'2020'!BE784</f>
        <v>5</v>
      </c>
    </row>
    <row r="92" ht="15.75" customHeight="1" spans="1:29" x14ac:dyDescent="0.25">
      <c r="A92" s="114" t="s">
        <v>297</v>
      </c>
      <c r="B92" s="115">
        <v>80</v>
      </c>
      <c r="C92" s="115">
        <v>4.28</v>
      </c>
      <c r="D92" s="117" t="s">
        <v>298</v>
      </c>
      <c r="E92" s="119">
        <f>'2020'!I793</f>
        <v>21</v>
      </c>
      <c r="F92" s="119">
        <f>'2020'!J793</f>
      </c>
      <c r="G92" s="119">
        <f>'2020'!M793</f>
        <v>21</v>
      </c>
      <c r="H92" s="119">
        <f>'2020'!N793</f>
      </c>
      <c r="I92" s="119">
        <f>'2020'!Q793</f>
        <v>21</v>
      </c>
      <c r="J92" s="119">
        <f>'2020'!R793</f>
      </c>
      <c r="K92" s="119">
        <f>'2020'!U793</f>
        <v>21</v>
      </c>
      <c r="L92" s="119">
        <f>'2020'!V793</f>
        <v>0</v>
      </c>
      <c r="M92" s="119">
        <f>'2020'!Y793</f>
        <v>26</v>
      </c>
      <c r="N92" s="119">
        <f>'2020'!Z793</f>
        <v>5</v>
      </c>
      <c r="O92" s="119">
        <f>'2020'!AC793</f>
        <v>27</v>
      </c>
      <c r="P92" s="119">
        <f>'2020'!AD793</f>
        <v>1</v>
      </c>
      <c r="Q92" s="119">
        <f>'2020'!AG793</f>
        <v>33</v>
      </c>
      <c r="R92" s="119">
        <f>'2020'!AH793</f>
        <v>6</v>
      </c>
      <c r="S92" s="119">
        <f>'2020'!AK793</f>
        <v>34</v>
      </c>
      <c r="T92" s="119">
        <f>'2020'!AL793</f>
        <v>1</v>
      </c>
      <c r="U92" s="119">
        <f>'2020'!AO793</f>
        <v>34</v>
      </c>
      <c r="V92" s="119">
        <f>'2020'!AP793</f>
        <v>0</v>
      </c>
      <c r="W92" s="119">
        <f>'2020'!AS793</f>
        <v>34</v>
      </c>
      <c r="X92" s="119">
        <f>'2020'!AT793</f>
        <v>0</v>
      </c>
      <c r="Y92" s="119">
        <f>'2020'!AW793</f>
        <v>34</v>
      </c>
      <c r="Z92" s="119">
        <f>'2020'!AX793</f>
        <v>0</v>
      </c>
      <c r="AA92" s="119">
        <f>'2020'!BA793</f>
        <v>34</v>
      </c>
      <c r="AB92" s="119">
        <f>'2020'!BB793</f>
        <v>0</v>
      </c>
      <c r="AC92" s="119">
        <f>'2020'!BE793</f>
        <v>13</v>
      </c>
    </row>
    <row r="93" ht="15.75" customHeight="1" spans="1:29" x14ac:dyDescent="0.25">
      <c r="A93" s="14"/>
      <c r="B93" s="115">
        <v>82</v>
      </c>
      <c r="C93" s="115">
        <v>4.28</v>
      </c>
      <c r="D93" s="117" t="s">
        <v>300</v>
      </c>
      <c r="E93" s="119">
        <f>'2020'!I802</f>
        <v>52</v>
      </c>
      <c r="F93" s="119">
        <f>'2020'!J802</f>
      </c>
      <c r="G93" s="119">
        <f>'2020'!M802</f>
        <v>52</v>
      </c>
      <c r="H93" s="119">
        <f>'2020'!N802</f>
      </c>
      <c r="I93" s="119">
        <f>'2020'!Q802</f>
        <v>52</v>
      </c>
      <c r="J93" s="119">
        <f>'2020'!R802</f>
      </c>
      <c r="K93" s="119">
        <f>'2020'!U802</f>
        <v>52</v>
      </c>
      <c r="L93" s="119">
        <f>'2020'!V802</f>
        <v>0</v>
      </c>
      <c r="M93" s="119">
        <f>'2020'!Y802</f>
        <v>53</v>
      </c>
      <c r="N93" s="119">
        <f>'2020'!Z802</f>
        <v>1</v>
      </c>
      <c r="O93" s="119">
        <f>'2020'!AC802</f>
        <v>55</v>
      </c>
      <c r="P93" s="119">
        <f>'2020'!AD802</f>
        <v>2</v>
      </c>
      <c r="Q93" s="119">
        <f>'2020'!AG802</f>
        <v>59</v>
      </c>
      <c r="R93" s="119">
        <f>'2020'!AH802</f>
        <v>4</v>
      </c>
      <c r="S93" s="119">
        <f>'2020'!AK802</f>
        <v>60</v>
      </c>
      <c r="T93" s="119">
        <f>'2020'!AL802</f>
        <v>1</v>
      </c>
      <c r="U93" s="119">
        <f>'2020'!AO802</f>
        <v>61</v>
      </c>
      <c r="V93" s="119">
        <f>'2020'!AP802</f>
        <v>1</v>
      </c>
      <c r="W93" s="119">
        <f>'2020'!AS802</f>
        <v>61</v>
      </c>
      <c r="X93" s="119">
        <f>'2020'!AT802</f>
        <v>0</v>
      </c>
      <c r="Y93" s="119">
        <f>'2020'!AW802</f>
        <v>61</v>
      </c>
      <c r="Z93" s="119">
        <f>'2020'!AX802</f>
        <v>0</v>
      </c>
      <c r="AA93" s="119">
        <f>'2020'!BA802</f>
        <v>61</v>
      </c>
      <c r="AB93" s="119">
        <f>'2020'!BB802</f>
        <v>0</v>
      </c>
      <c r="AC93" s="119">
        <f>'2020'!BE802</f>
        <v>9</v>
      </c>
    </row>
    <row r="94" ht="15.75" customHeight="1" spans="1:29" x14ac:dyDescent="0.25">
      <c r="A94" s="14"/>
      <c r="B94" s="115">
        <v>84</v>
      </c>
      <c r="C94" s="115">
        <v>4.18</v>
      </c>
      <c r="D94" s="117" t="s">
        <v>301</v>
      </c>
      <c r="E94" s="119">
        <f>'2020'!I811</f>
        <v>23</v>
      </c>
      <c r="F94" s="119">
        <f>'2020'!J811</f>
      </c>
      <c r="G94" s="119">
        <f>'2020'!M811</f>
        <v>23</v>
      </c>
      <c r="H94" s="119">
        <f>'2020'!N811</f>
      </c>
      <c r="I94" s="119">
        <f>'2020'!Q811</f>
        <v>23</v>
      </c>
      <c r="J94" s="119">
        <f>'2020'!R811</f>
      </c>
      <c r="K94" s="119">
        <f>'2020'!U811</f>
        <v>18</v>
      </c>
      <c r="L94" s="119">
        <f>'2020'!V811</f>
        <v>-5</v>
      </c>
      <c r="M94" s="119">
        <f>'2020'!Y811</f>
        <v>19</v>
      </c>
      <c r="N94" s="119">
        <f>'2020'!Z811</f>
        <v>1</v>
      </c>
      <c r="O94" s="119">
        <f>'2020'!AC811</f>
        <v>21</v>
      </c>
      <c r="P94" s="119">
        <f>'2020'!AD811</f>
        <v>2</v>
      </c>
      <c r="Q94" s="119">
        <f>'2020'!AG811</f>
        <v>26</v>
      </c>
      <c r="R94" s="119">
        <f>'2020'!AH811</f>
        <v>5</v>
      </c>
      <c r="S94" s="119">
        <f>'2020'!AK811</f>
        <v>30</v>
      </c>
      <c r="T94" s="119">
        <f>'2020'!AL811</f>
        <v>4</v>
      </c>
      <c r="U94" s="119">
        <f>'2020'!AO811</f>
        <v>30</v>
      </c>
      <c r="V94" s="119">
        <f>'2020'!AP811</f>
        <v>0</v>
      </c>
      <c r="W94" s="119">
        <f>'2020'!AS811</f>
        <v>30</v>
      </c>
      <c r="X94" s="119">
        <f>'2020'!AT811</f>
        <v>0</v>
      </c>
      <c r="Y94" s="119">
        <f>'2020'!AW811</f>
        <v>30</v>
      </c>
      <c r="Z94" s="119">
        <f>'2020'!AX811</f>
        <v>0</v>
      </c>
      <c r="AA94" s="119">
        <f>'2020'!BA811</f>
        <v>30</v>
      </c>
      <c r="AB94" s="119">
        <f>'2020'!BB811</f>
        <v>0</v>
      </c>
      <c r="AC94" s="119">
        <f>'2020'!BE811</f>
        <v>7</v>
      </c>
    </row>
    <row r="95" ht="15.75" customHeight="1" spans="1:29" x14ac:dyDescent="0.25">
      <c r="A95" s="14"/>
      <c r="B95" s="115">
        <v>86</v>
      </c>
      <c r="C95" s="115">
        <v>4.23</v>
      </c>
      <c r="D95" s="117" t="s">
        <v>304</v>
      </c>
      <c r="E95" s="119">
        <f>'2020'!I820</f>
      </c>
      <c r="F95" s="119">
        <f>'2020'!J820</f>
      </c>
      <c r="G95" s="119">
        <f>'2020'!M820</f>
      </c>
      <c r="H95" s="119">
        <f>'2020'!N820</f>
      </c>
      <c r="I95" s="119">
        <f>'2020'!Q820</f>
      </c>
      <c r="J95" s="119">
        <f>'2020'!R820</f>
      </c>
      <c r="K95" s="119">
        <f>'2020'!U820</f>
      </c>
      <c r="L95" s="119">
        <f>'2020'!V820</f>
      </c>
      <c r="M95" s="119">
        <f>'2020'!Y820</f>
      </c>
      <c r="N95" s="119">
        <f>'2020'!Z820</f>
        <v>0</v>
      </c>
      <c r="O95" s="119">
        <f>'2020'!AC820</f>
      </c>
      <c r="P95" s="119">
        <f>'2020'!AD820</f>
        <v>0</v>
      </c>
      <c r="Q95" s="119">
        <f>'2020'!AG820</f>
      </c>
      <c r="R95" s="119">
        <f>'2020'!AH820</f>
        <v>0</v>
      </c>
      <c r="S95" s="119">
        <f>'2020'!AK820</f>
      </c>
      <c r="T95" s="119">
        <f>'2020'!AL820</f>
        <v>0</v>
      </c>
      <c r="U95" s="119">
        <f>'2020'!AO820</f>
      </c>
      <c r="V95" s="119">
        <f>'2020'!AP820</f>
        <v>0</v>
      </c>
      <c r="W95" s="119">
        <f>'2020'!AS820</f>
      </c>
      <c r="X95" s="119">
        <f>'2020'!AT820</f>
        <v>0</v>
      </c>
      <c r="Y95" s="119">
        <f>'2020'!AW820</f>
      </c>
      <c r="Z95" s="119">
        <f>'2020'!AX820</f>
        <v>0</v>
      </c>
      <c r="AA95" s="119">
        <f>'2020'!BA820</f>
      </c>
      <c r="AB95" s="119">
        <f>'2020'!BB820</f>
        <v>0</v>
      </c>
      <c r="AC95" s="119">
        <f>'2020'!BE820</f>
        <v>0</v>
      </c>
    </row>
    <row r="96" ht="15.75" customHeight="1" spans="1:29" x14ac:dyDescent="0.25">
      <c r="A96" s="14"/>
      <c r="B96" s="115">
        <v>88</v>
      </c>
      <c r="C96" s="115">
        <v>4.23</v>
      </c>
      <c r="D96" s="117" t="s">
        <v>308</v>
      </c>
      <c r="E96" s="119">
        <f>'2020'!I829</f>
      </c>
      <c r="F96" s="119">
        <f>'2020'!J829</f>
      </c>
      <c r="G96" s="119">
        <f>'2020'!M829</f>
      </c>
      <c r="H96" s="119">
        <f>'2020'!N829</f>
      </c>
      <c r="I96" s="119">
        <f>'2020'!Q829</f>
      </c>
      <c r="J96" s="119">
        <f>'2020'!R829</f>
      </c>
      <c r="K96" s="119">
        <f>'2020'!U829</f>
      </c>
      <c r="L96" s="119">
        <f>'2020'!V829</f>
      </c>
      <c r="M96" s="119">
        <f>'2020'!Y829</f>
      </c>
      <c r="N96" s="119">
        <f>'2020'!Z829</f>
        <v>0</v>
      </c>
      <c r="O96" s="119">
        <f>'2020'!AC829</f>
      </c>
      <c r="P96" s="119">
        <f>'2020'!AD829</f>
        <v>0</v>
      </c>
      <c r="Q96" s="119">
        <f>'2020'!AG829</f>
      </c>
      <c r="R96" s="119">
        <f>'2020'!AH829</f>
        <v>0</v>
      </c>
      <c r="S96" s="119">
        <f>'2020'!AK829</f>
      </c>
      <c r="T96" s="119">
        <f>'2020'!AL829</f>
        <v>0</v>
      </c>
      <c r="U96" s="119">
        <f>'2020'!AO829</f>
      </c>
      <c r="V96" s="119">
        <f>'2020'!AP829</f>
        <v>0</v>
      </c>
      <c r="W96" s="119">
        <f>'2020'!AS829</f>
      </c>
      <c r="X96" s="119">
        <f>'2020'!AT829</f>
        <v>0</v>
      </c>
      <c r="Y96" s="119">
        <f>'2020'!AW829</f>
      </c>
      <c r="Z96" s="119">
        <f>'2020'!AX829</f>
        <v>0</v>
      </c>
      <c r="AA96" s="119">
        <f>'2020'!BA829</f>
      </c>
      <c r="AB96" s="119">
        <f>'2020'!BB829</f>
        <v>0</v>
      </c>
      <c r="AC96" s="119">
        <f>'2020'!BE829</f>
        <v>0</v>
      </c>
    </row>
    <row r="97" ht="15.75" customHeight="1" spans="1:29" x14ac:dyDescent="0.25">
      <c r="A97" s="14"/>
      <c r="B97" s="115">
        <v>90</v>
      </c>
      <c r="C97" s="115">
        <v>4.23</v>
      </c>
      <c r="D97" s="117" t="s">
        <v>311</v>
      </c>
      <c r="E97" s="119">
        <f>'2020'!I838</f>
      </c>
      <c r="F97" s="119">
        <f>'2020'!J838</f>
      </c>
      <c r="G97" s="119">
        <f>'2020'!M838</f>
      </c>
      <c r="H97" s="119">
        <f>'2020'!N838</f>
      </c>
      <c r="I97" s="119">
        <f>'2020'!Q838</f>
      </c>
      <c r="J97" s="119">
        <f>'2020'!R838</f>
      </c>
      <c r="K97" s="119">
        <f>'2020'!U838</f>
      </c>
      <c r="L97" s="119">
        <f>'2020'!V838</f>
      </c>
      <c r="M97" s="119">
        <f>'2020'!Y838</f>
      </c>
      <c r="N97" s="119">
        <f>'2020'!Z838</f>
        <v>0</v>
      </c>
      <c r="O97" s="119">
        <f>'2020'!AC838</f>
      </c>
      <c r="P97" s="119">
        <f>'2020'!AD838</f>
        <v>0</v>
      </c>
      <c r="Q97" s="119">
        <f>'2020'!AG838</f>
      </c>
      <c r="R97" s="119">
        <f>'2020'!AH838</f>
        <v>0</v>
      </c>
      <c r="S97" s="119">
        <f>'2020'!AK838</f>
      </c>
      <c r="T97" s="119">
        <f>'2020'!AL838</f>
        <v>0</v>
      </c>
      <c r="U97" s="119">
        <f>'2020'!AO838</f>
      </c>
      <c r="V97" s="119">
        <f>'2020'!AP838</f>
        <v>0</v>
      </c>
      <c r="W97" s="119">
        <f>'2020'!AS838</f>
      </c>
      <c r="X97" s="119">
        <f>'2020'!AT838</f>
        <v>0</v>
      </c>
      <c r="Y97" s="119">
        <f>'2020'!AW838</f>
      </c>
      <c r="Z97" s="119">
        <f>'2020'!AX838</f>
        <v>0</v>
      </c>
      <c r="AA97" s="119">
        <f>'2020'!BA838</f>
      </c>
      <c r="AB97" s="119">
        <f>'2020'!BB838</f>
        <v>0</v>
      </c>
      <c r="AC97" s="119">
        <f>'2020'!BE838</f>
        <v>0</v>
      </c>
    </row>
    <row r="98" ht="15.75" customHeight="1" spans="1:29" x14ac:dyDescent="0.25">
      <c r="A98" s="14"/>
      <c r="B98" s="115">
        <v>92</v>
      </c>
      <c r="C98" s="115">
        <v>4.28</v>
      </c>
      <c r="D98" s="117" t="s">
        <v>312</v>
      </c>
      <c r="E98" s="119">
        <f>'2020'!I847</f>
        <v>211</v>
      </c>
      <c r="F98" s="119">
        <f>'2020'!J847</f>
      </c>
      <c r="G98" s="119">
        <f>'2020'!M847</f>
        <v>211</v>
      </c>
      <c r="H98" s="119">
        <f>'2020'!N847</f>
      </c>
      <c r="I98" s="119">
        <f>'2020'!Q847</f>
        <v>211</v>
      </c>
      <c r="J98" s="119">
        <f>'2020'!R847</f>
      </c>
      <c r="K98" s="119">
        <f>'2020'!U847</f>
        <v>212</v>
      </c>
      <c r="L98" s="119">
        <f>'2020'!V847</f>
        <v>1</v>
      </c>
      <c r="M98" s="119">
        <f>'2020'!Y847</f>
        <v>213</v>
      </c>
      <c r="N98" s="119">
        <f>'2020'!Z847</f>
        <v>1</v>
      </c>
      <c r="O98" s="119">
        <f>'2020'!AC847</f>
        <v>228</v>
      </c>
      <c r="P98" s="119">
        <f>'2020'!AD847</f>
        <v>15</v>
      </c>
      <c r="Q98" s="119">
        <f>'2020'!AG847</f>
        <v>232</v>
      </c>
      <c r="R98" s="119">
        <f>'2020'!AH847</f>
        <v>4</v>
      </c>
      <c r="S98" s="119">
        <f>'2020'!AK847</f>
        <v>234</v>
      </c>
      <c r="T98" s="119">
        <f>'2020'!AL847</f>
        <v>2</v>
      </c>
      <c r="U98" s="119">
        <f>'2020'!AO847</f>
        <v>235</v>
      </c>
      <c r="V98" s="119">
        <f>'2020'!AP847</f>
        <v>1</v>
      </c>
      <c r="W98" s="119">
        <f>'2020'!AS847</f>
        <v>235</v>
      </c>
      <c r="X98" s="119">
        <f>'2020'!AT847</f>
        <v>0</v>
      </c>
      <c r="Y98" s="119">
        <f>'2020'!AW847</f>
        <v>235</v>
      </c>
      <c r="Z98" s="119">
        <f>'2020'!AX847</f>
        <v>0</v>
      </c>
      <c r="AA98" s="119">
        <f>'2020'!BA847</f>
        <v>235</v>
      </c>
      <c r="AB98" s="119">
        <f>'2020'!BB847</f>
        <v>0</v>
      </c>
      <c r="AC98" s="119">
        <f>'2020'!BE847</f>
        <v>24</v>
      </c>
    </row>
    <row r="99" ht="15.75" customHeight="1" spans="1:29" x14ac:dyDescent="0.25">
      <c r="A99" s="14"/>
      <c r="B99" s="115" t="s">
        <v>315</v>
      </c>
      <c r="C99" s="115">
        <v>4.36</v>
      </c>
      <c r="D99" s="117" t="s">
        <v>316</v>
      </c>
      <c r="E99" s="119">
        <f>'2020'!I856</f>
        <v>169</v>
      </c>
      <c r="F99" s="119">
        <f>'2020'!J856</f>
      </c>
      <c r="G99" s="119">
        <f>'2020'!M856</f>
        <v>169</v>
      </c>
      <c r="H99" s="119">
        <f>'2020'!N856</f>
      </c>
      <c r="I99" s="119">
        <f>'2020'!Q856</f>
        <v>169</v>
      </c>
      <c r="J99" s="119">
        <f>'2020'!R856</f>
      </c>
      <c r="K99" s="119">
        <f>'2020'!U856</f>
        <v>169</v>
      </c>
      <c r="L99" s="119">
        <f>'2020'!V856</f>
        <v>0</v>
      </c>
      <c r="M99" s="119">
        <f>'2020'!Y856</f>
        <v>170</v>
      </c>
      <c r="N99" s="119">
        <f>'2020'!Z856</f>
        <v>1</v>
      </c>
      <c r="O99" s="119">
        <f>'2020'!AC856</f>
        <v>172</v>
      </c>
      <c r="P99" s="119">
        <f>'2020'!AD856</f>
        <v>2</v>
      </c>
      <c r="Q99" s="119">
        <f>'2020'!AG856</f>
        <v>177</v>
      </c>
      <c r="R99" s="119">
        <f>'2020'!AH856</f>
        <v>5</v>
      </c>
      <c r="S99" s="119">
        <f>'2020'!AK856</f>
        <v>179</v>
      </c>
      <c r="T99" s="119">
        <f>'2020'!AL856</f>
        <v>2</v>
      </c>
      <c r="U99" s="119">
        <f>'2020'!AO856</f>
        <v>181</v>
      </c>
      <c r="V99" s="119">
        <f>'2020'!AP856</f>
        <v>2</v>
      </c>
      <c r="W99" s="119">
        <f>'2020'!AS856</f>
        <v>181</v>
      </c>
      <c r="X99" s="119">
        <f>'2020'!AT856</f>
        <v>0</v>
      </c>
      <c r="Y99" s="119">
        <f>'2020'!AW856</f>
        <v>181</v>
      </c>
      <c r="Z99" s="119">
        <f>'2020'!AX856</f>
        <v>0</v>
      </c>
      <c r="AA99" s="119">
        <f>'2020'!BA856</f>
        <v>181</v>
      </c>
      <c r="AB99" s="119">
        <f>'2020'!BB856</f>
        <v>0</v>
      </c>
      <c r="AC99" s="119">
        <f>'2020'!BE856</f>
        <v>12</v>
      </c>
    </row>
    <row r="100" ht="15.75" customHeight="1" spans="1:29" x14ac:dyDescent="0.25">
      <c r="A100" s="14"/>
      <c r="B100" s="115" t="s">
        <v>315</v>
      </c>
      <c r="C100" s="116">
        <v>4.4</v>
      </c>
      <c r="D100" s="117" t="s">
        <v>316</v>
      </c>
      <c r="E100" s="119">
        <f>'2020'!I865</f>
        <v>28</v>
      </c>
      <c r="F100" s="119">
        <f>'2020'!J865</f>
      </c>
      <c r="G100" s="119">
        <f>'2020'!M865</f>
        <v>28</v>
      </c>
      <c r="H100" s="119">
        <f>'2020'!N865</f>
      </c>
      <c r="I100" s="119">
        <f>'2020'!Q865</f>
        <v>28</v>
      </c>
      <c r="J100" s="119">
        <f>'2020'!R865</f>
      </c>
      <c r="K100" s="119">
        <f>'2020'!U865</f>
        <v>30</v>
      </c>
      <c r="L100" s="119">
        <f>'2020'!V865</f>
        <v>2</v>
      </c>
      <c r="M100" s="119">
        <f>'2020'!Y865</f>
        <v>30</v>
      </c>
      <c r="N100" s="119">
        <f>'2020'!Z865</f>
        <v>0</v>
      </c>
      <c r="O100" s="119">
        <f>'2020'!AC865</f>
        <v>35</v>
      </c>
      <c r="P100" s="119">
        <f>'2020'!AD865</f>
        <v>5</v>
      </c>
      <c r="Q100" s="119">
        <f>'2020'!AG865</f>
        <v>51</v>
      </c>
      <c r="R100" s="119">
        <f>'2020'!AH865</f>
        <v>16</v>
      </c>
      <c r="S100" s="119">
        <f>'2020'!AK865</f>
        <v>56</v>
      </c>
      <c r="T100" s="119">
        <f>'2020'!AL865</f>
        <v>5</v>
      </c>
      <c r="U100" s="119">
        <f>'2020'!AO865</f>
        <v>56</v>
      </c>
      <c r="V100" s="119">
        <f>'2020'!AP865</f>
        <v>0</v>
      </c>
      <c r="W100" s="119">
        <f>'2020'!AS865</f>
        <v>56</v>
      </c>
      <c r="X100" s="119">
        <f>'2020'!AT865</f>
        <v>0</v>
      </c>
      <c r="Y100" s="119">
        <f>'2020'!AW865</f>
        <v>56</v>
      </c>
      <c r="Z100" s="119">
        <f>'2020'!AX865</f>
        <v>0</v>
      </c>
      <c r="AA100" s="119">
        <f>'2020'!BA865</f>
        <v>56</v>
      </c>
      <c r="AB100" s="119">
        <f>'2020'!BB865</f>
        <v>0</v>
      </c>
      <c r="AC100" s="119">
        <f>'2020'!BE865</f>
        <v>28</v>
      </c>
    </row>
    <row r="101" ht="15.75" customHeight="1" spans="1:29" x14ac:dyDescent="0.25">
      <c r="A101" s="14"/>
      <c r="B101" s="115">
        <v>99</v>
      </c>
      <c r="C101" s="115">
        <v>4.53</v>
      </c>
      <c r="D101" s="117" t="s">
        <v>319</v>
      </c>
      <c r="E101" s="119">
        <f>'2020'!I874</f>
        <v>262</v>
      </c>
      <c r="F101" s="119">
        <f>'2020'!J874</f>
      </c>
      <c r="G101" s="119">
        <f>'2020'!M874</f>
        <v>262</v>
      </c>
      <c r="H101" s="119">
        <f>'2020'!N874</f>
      </c>
      <c r="I101" s="119">
        <f>'2020'!Q874</f>
        <v>262</v>
      </c>
      <c r="J101" s="119">
        <f>'2020'!R874</f>
      </c>
      <c r="K101" s="119">
        <f>'2020'!U874</f>
        <v>270</v>
      </c>
      <c r="L101" s="119">
        <f>'2020'!V874</f>
        <v>8</v>
      </c>
      <c r="M101" s="119">
        <f>'2020'!Y874</f>
        <v>270</v>
      </c>
      <c r="N101" s="119">
        <f>'2020'!Z874</f>
        <v>0</v>
      </c>
      <c r="O101" s="119">
        <f>'2020'!AC874</f>
        <v>270</v>
      </c>
      <c r="P101" s="119">
        <f>'2020'!AD874</f>
        <v>0</v>
      </c>
      <c r="Q101" s="119">
        <f>'2020'!AG874</f>
        <v>270</v>
      </c>
      <c r="R101" s="119">
        <f>'2020'!AH874</f>
        <v>0</v>
      </c>
      <c r="S101" s="119">
        <f>'2020'!AK874</f>
        <v>270</v>
      </c>
      <c r="T101" s="119">
        <f>'2020'!AL874</f>
        <v>0</v>
      </c>
      <c r="U101" s="119">
        <f>'2020'!AO874</f>
        <v>270</v>
      </c>
      <c r="V101" s="119">
        <f>'2020'!AP874</f>
        <v>0</v>
      </c>
      <c r="W101" s="119">
        <f>'2020'!AS874</f>
        <v>270</v>
      </c>
      <c r="X101" s="119">
        <f>'2020'!AT874</f>
        <v>0</v>
      </c>
      <c r="Y101" s="119">
        <f>'2020'!AW874</f>
        <v>270</v>
      </c>
      <c r="Z101" s="119">
        <f>'2020'!AX874</f>
        <v>0</v>
      </c>
      <c r="AA101" s="119">
        <f>'2020'!BA874</f>
        <v>270</v>
      </c>
      <c r="AB101" s="119">
        <f>'2020'!BB874</f>
        <v>0</v>
      </c>
      <c r="AC101" s="119">
        <f>'2020'!BE874</f>
        <v>8</v>
      </c>
    </row>
    <row r="102" ht="15.75" customHeight="1" spans="1:29" x14ac:dyDescent="0.25">
      <c r="A102" s="14"/>
      <c r="B102" s="115">
        <v>101</v>
      </c>
      <c r="C102" s="115">
        <v>4.46</v>
      </c>
      <c r="D102" s="117" t="s">
        <v>321</v>
      </c>
      <c r="E102" s="119">
        <f>'2020'!I883</f>
        <v>700</v>
      </c>
      <c r="F102" s="119">
        <f>'2020'!J883</f>
      </c>
      <c r="G102" s="119">
        <f>'2020'!M883</f>
        <v>700</v>
      </c>
      <c r="H102" s="119">
        <f>'2020'!N883</f>
      </c>
      <c r="I102" s="119">
        <f>'2020'!Q883</f>
        <v>700</v>
      </c>
      <c r="J102" s="119">
        <f>'2020'!R883</f>
      </c>
      <c r="K102" s="119">
        <f>'2020'!U883</f>
        <v>612</v>
      </c>
      <c r="L102" s="119">
        <f>'2020'!V883</f>
        <v>3</v>
      </c>
      <c r="M102" s="119">
        <f>'2020'!Y883</f>
        <v>615</v>
      </c>
      <c r="N102" s="119">
        <f>'2020'!Z883</f>
        <v>3</v>
      </c>
      <c r="O102" s="119">
        <f>'2020'!AC883</f>
        <v>620</v>
      </c>
      <c r="P102" s="119">
        <f>'2020'!AD883</f>
        <v>5</v>
      </c>
      <c r="Q102" s="119">
        <f>'2020'!AG883</f>
        <v>626</v>
      </c>
      <c r="R102" s="119">
        <f>'2020'!AH883</f>
        <v>6</v>
      </c>
      <c r="S102" s="119">
        <f>'2020'!AK883</f>
        <v>639</v>
      </c>
      <c r="T102" s="119">
        <f>'2020'!AL883</f>
        <v>13</v>
      </c>
      <c r="U102" s="119">
        <f>'2020'!AO883</f>
        <v>641</v>
      </c>
      <c r="V102" s="119">
        <f>'2020'!AP883</f>
        <v>2</v>
      </c>
      <c r="W102" s="119">
        <f>'2020'!AS883</f>
        <v>641</v>
      </c>
      <c r="X102" s="119">
        <f>'2020'!AT883</f>
        <v>0</v>
      </c>
      <c r="Y102" s="119">
        <f>'2020'!AW883</f>
        <v>641</v>
      </c>
      <c r="Z102" s="119">
        <f>'2020'!AX883</f>
        <v>0</v>
      </c>
      <c r="AA102" s="119">
        <f>'2020'!BA883</f>
        <v>641</v>
      </c>
      <c r="AB102" s="119">
        <f>'2020'!BB883</f>
        <v>0</v>
      </c>
      <c r="AC102" s="119">
        <f>'2020'!BE883</f>
        <v>32</v>
      </c>
    </row>
    <row r="103" ht="15.75" customHeight="1" spans="1:29" x14ac:dyDescent="0.25">
      <c r="A103" s="14"/>
      <c r="B103" s="115">
        <v>103</v>
      </c>
      <c r="C103" s="115">
        <v>4.42</v>
      </c>
      <c r="D103" s="117" t="s">
        <v>322</v>
      </c>
      <c r="E103" s="119">
        <f>'2020'!I892</f>
        <v>19</v>
      </c>
      <c r="F103" s="119">
        <f>'2020'!J892</f>
      </c>
      <c r="G103" s="119">
        <f>'2020'!M892</f>
        <v>19</v>
      </c>
      <c r="H103" s="119">
        <f>'2020'!N892</f>
      </c>
      <c r="I103" s="119">
        <f>'2020'!Q892</f>
        <v>19</v>
      </c>
      <c r="J103" s="119">
        <f>'2020'!R892</f>
      </c>
      <c r="K103" s="119">
        <f>'2020'!U892</f>
        <v>19</v>
      </c>
      <c r="L103" s="119">
        <f>'2020'!V892</f>
        <v>0</v>
      </c>
      <c r="M103" s="119">
        <f>'2020'!Y892</f>
        <v>19</v>
      </c>
      <c r="N103" s="119">
        <f>'2020'!Z892</f>
        <v>0</v>
      </c>
      <c r="O103" s="119">
        <f>'2020'!AC892</f>
        <v>21</v>
      </c>
      <c r="P103" s="119">
        <f>'2020'!AD892</f>
        <v>2</v>
      </c>
      <c r="Q103" s="119">
        <f>'2020'!AG892</f>
        <v>26</v>
      </c>
      <c r="R103" s="119">
        <f>'2020'!AH892</f>
        <v>5</v>
      </c>
      <c r="S103" s="119">
        <f>'2020'!AK892</f>
        <v>26</v>
      </c>
      <c r="T103" s="119">
        <f>'2020'!AL892</f>
        <v>0</v>
      </c>
      <c r="U103" s="119">
        <f>'2020'!AO892</f>
        <v>26</v>
      </c>
      <c r="V103" s="119">
        <f>'2020'!AP892</f>
        <v>0</v>
      </c>
      <c r="W103" s="119">
        <f>'2020'!AS892</f>
        <v>26</v>
      </c>
      <c r="X103" s="119">
        <f>'2020'!AT892</f>
        <v>0</v>
      </c>
      <c r="Y103" s="119">
        <f>'2020'!AW892</f>
        <v>26</v>
      </c>
      <c r="Z103" s="119">
        <f>'2020'!AX892</f>
        <v>0</v>
      </c>
      <c r="AA103" s="119">
        <f>'2020'!BA892</f>
        <v>26</v>
      </c>
      <c r="AB103" s="119">
        <f>'2020'!BB892</f>
        <v>0</v>
      </c>
      <c r="AC103" s="119">
        <f>'2020'!BE892</f>
        <v>7</v>
      </c>
    </row>
    <row r="104" ht="15.75" customHeight="1" spans="1:29" x14ac:dyDescent="0.25">
      <c r="A104" s="14"/>
      <c r="B104" s="115">
        <v>105</v>
      </c>
      <c r="C104" s="115">
        <v>4.41</v>
      </c>
      <c r="D104" s="117" t="s">
        <v>323</v>
      </c>
      <c r="E104" s="119">
        <f>'2020'!I901</f>
        <v>177</v>
      </c>
      <c r="F104" s="119">
        <f>'2020'!J901</f>
      </c>
      <c r="G104" s="119">
        <f>'2020'!M901</f>
        <v>177</v>
      </c>
      <c r="H104" s="119">
        <f>'2020'!N901</f>
      </c>
      <c r="I104" s="119">
        <f>'2020'!Q901</f>
        <v>177</v>
      </c>
      <c r="J104" s="119">
        <f>'2020'!R901</f>
      </c>
      <c r="K104" s="119">
        <f>'2020'!U901</f>
        <v>180</v>
      </c>
      <c r="L104" s="119">
        <f>'2020'!V901</f>
        <v>3</v>
      </c>
      <c r="M104" s="119">
        <f>'2020'!Y901</f>
        <v>183</v>
      </c>
      <c r="N104" s="119">
        <f>'2020'!Z901</f>
        <v>3</v>
      </c>
      <c r="O104" s="119">
        <f>'2020'!AC901</f>
        <v>197</v>
      </c>
      <c r="P104" s="119">
        <f>'2020'!AD901</f>
        <v>14</v>
      </c>
      <c r="Q104" s="119">
        <f>'2020'!AG901</f>
        <v>220</v>
      </c>
      <c r="R104" s="119">
        <f>'2020'!AH901</f>
        <v>23</v>
      </c>
      <c r="S104" s="119">
        <f>'2020'!AK901</f>
        <v>224</v>
      </c>
      <c r="T104" s="119">
        <f>'2020'!AL901</f>
        <v>4</v>
      </c>
      <c r="U104" s="119">
        <f>'2020'!AO901</f>
        <v>226</v>
      </c>
      <c r="V104" s="119">
        <f>'2020'!AP901</f>
        <v>2</v>
      </c>
      <c r="W104" s="119">
        <f>'2020'!AS901</f>
        <v>226</v>
      </c>
      <c r="X104" s="119">
        <f>'2020'!AT901</f>
        <v>0</v>
      </c>
      <c r="Y104" s="119">
        <f>'2020'!AW901</f>
        <v>226</v>
      </c>
      <c r="Z104" s="119">
        <f>'2020'!AX901</f>
        <v>0</v>
      </c>
      <c r="AA104" s="119">
        <f>'2020'!BA901</f>
        <v>226</v>
      </c>
      <c r="AB104" s="119">
        <f>'2020'!BB901</f>
        <v>0</v>
      </c>
      <c r="AC104" s="119">
        <f>'2020'!BE901</f>
        <v>49</v>
      </c>
    </row>
    <row r="105" ht="15.75" customHeight="1" spans="1:29" x14ac:dyDescent="0.25">
      <c r="A105" s="21"/>
      <c r="B105" s="115">
        <v>107</v>
      </c>
      <c r="C105" s="115">
        <v>4.37</v>
      </c>
      <c r="D105" s="117" t="s">
        <v>325</v>
      </c>
      <c r="E105" s="119">
        <f>'2020'!I910</f>
        <v>99</v>
      </c>
      <c r="F105" s="119">
        <f>'2020'!J910</f>
      </c>
      <c r="G105" s="119">
        <f>'2020'!M910</f>
        <v>99</v>
      </c>
      <c r="H105" s="119">
        <f>'2020'!N910</f>
      </c>
      <c r="I105" s="119">
        <f>'2020'!Q910</f>
        <v>99</v>
      </c>
      <c r="J105" s="119">
        <f>'2020'!R910</f>
      </c>
      <c r="K105" s="119">
        <f>'2020'!U910</f>
        <v>103</v>
      </c>
      <c r="L105" s="119">
        <f>'2020'!V910</f>
        <v>4</v>
      </c>
      <c r="M105" s="119">
        <f>'2020'!Y910</f>
        <v>105</v>
      </c>
      <c r="N105" s="119">
        <f>'2020'!Z910</f>
        <v>2</v>
      </c>
      <c r="O105" s="119">
        <f>'2020'!AC910</f>
        <v>109</v>
      </c>
      <c r="P105" s="119">
        <f>'2020'!AD910</f>
        <v>4</v>
      </c>
      <c r="Q105" s="119">
        <f>'2020'!AG910</f>
        <v>127</v>
      </c>
      <c r="R105" s="119">
        <f>'2020'!AH910</f>
        <v>18</v>
      </c>
      <c r="S105" s="119">
        <f>'2020'!AK910</f>
        <v>132</v>
      </c>
      <c r="T105" s="119">
        <f>'2020'!AL910</f>
        <v>5</v>
      </c>
      <c r="U105" s="119">
        <f>'2020'!AO910</f>
        <v>132</v>
      </c>
      <c r="V105" s="119">
        <f>'2020'!AP910</f>
        <v>0</v>
      </c>
      <c r="W105" s="119">
        <f>'2020'!AS910</f>
        <v>133</v>
      </c>
      <c r="X105" s="119">
        <f>'2020'!AT910</f>
        <v>1</v>
      </c>
      <c r="Y105" s="119">
        <f>'2020'!AW910</f>
        <v>133</v>
      </c>
      <c r="Z105" s="119">
        <f>'2020'!AX910</f>
        <v>0</v>
      </c>
      <c r="AA105" s="119">
        <f>'2020'!BA910</f>
        <v>133</v>
      </c>
      <c r="AB105" s="119">
        <f>'2020'!BB910</f>
        <v>0</v>
      </c>
      <c r="AC105" s="119">
        <f>'2020'!BE910</f>
        <v>34</v>
      </c>
    </row>
    <row r="106" ht="15.75" customHeight="1" spans="1:29" x14ac:dyDescent="0.25">
      <c r="A106" s="114" t="s">
        <v>327</v>
      </c>
      <c r="B106" s="115">
        <v>96</v>
      </c>
      <c r="C106" s="115">
        <v>4.46</v>
      </c>
      <c r="D106" s="117" t="s">
        <v>450</v>
      </c>
      <c r="E106" s="119">
        <f>'2020'!I919</f>
      </c>
      <c r="F106" s="119">
        <f>'2020'!J919</f>
      </c>
      <c r="G106" s="119">
        <f>'2020'!M919</f>
      </c>
      <c r="H106" s="119">
        <f>'2020'!N919</f>
      </c>
      <c r="I106" s="119">
        <f>'2020'!Q919</f>
      </c>
      <c r="J106" s="119">
        <f>'2020'!R919</f>
      </c>
      <c r="K106" s="119">
        <f>'2020'!U919</f>
      </c>
      <c r="L106" s="119">
        <f>'2020'!V919</f>
      </c>
      <c r="M106" s="119">
        <f>'2020'!Y919</f>
      </c>
      <c r="N106" s="119">
        <f>'2020'!Z919</f>
        <v>0</v>
      </c>
      <c r="O106" s="119">
        <f>'2020'!AC919</f>
      </c>
      <c r="P106" s="119">
        <f>'2020'!AD919</f>
        <v>0</v>
      </c>
      <c r="Q106" s="119">
        <f>'2020'!AG919</f>
      </c>
      <c r="R106" s="119">
        <f>'2020'!AH919</f>
        <v>0</v>
      </c>
      <c r="S106" s="119">
        <f>'2020'!AK919</f>
      </c>
      <c r="T106" s="119">
        <f>'2020'!AL919</f>
        <v>0</v>
      </c>
      <c r="U106" s="119">
        <f>'2020'!AO919</f>
      </c>
      <c r="V106" s="119">
        <f>'2020'!AP919</f>
        <v>0</v>
      </c>
      <c r="W106" s="119">
        <f>'2020'!AS919</f>
      </c>
      <c r="X106" s="119">
        <f>'2020'!AT919</f>
        <v>0</v>
      </c>
      <c r="Y106" s="119">
        <f>'2020'!AW919</f>
      </c>
      <c r="Z106" s="119">
        <f>'2020'!AX919</f>
        <v>0</v>
      </c>
      <c r="AA106" s="119">
        <f>'2020'!BA919</f>
      </c>
      <c r="AB106" s="119">
        <f>'2020'!BB919</f>
        <v>0</v>
      </c>
      <c r="AC106" s="119">
        <f>'2020'!BE919</f>
        <v>0</v>
      </c>
    </row>
    <row r="107" ht="15.75" customHeight="1" spans="1:29" x14ac:dyDescent="0.25">
      <c r="A107" s="14"/>
      <c r="B107" s="115">
        <v>98</v>
      </c>
      <c r="C107" s="115">
        <v>4.45</v>
      </c>
      <c r="D107" s="117" t="s">
        <v>328</v>
      </c>
      <c r="E107" s="119">
        <f>'2020'!I928</f>
        <v>166</v>
      </c>
      <c r="F107" s="119">
        <f>'2020'!J928</f>
      </c>
      <c r="G107" s="119">
        <f>'2020'!M928</f>
        <v>166</v>
      </c>
      <c r="H107" s="119">
        <f>'2020'!N928</f>
      </c>
      <c r="I107" s="119">
        <f>'2020'!Q928</f>
        <v>166</v>
      </c>
      <c r="J107" s="119">
        <f>'2020'!R928</f>
      </c>
      <c r="K107" s="119">
        <f>'2020'!U928</f>
        <v>166</v>
      </c>
      <c r="L107" s="119">
        <f>'2020'!V928</f>
        <v>0</v>
      </c>
      <c r="M107" s="119">
        <f>'2020'!Y928</f>
        <v>166</v>
      </c>
      <c r="N107" s="119">
        <f>'2020'!Z928</f>
        <v>0</v>
      </c>
      <c r="O107" s="119">
        <f>'2020'!AC928</f>
        <v>166</v>
      </c>
      <c r="P107" s="119">
        <f>'2020'!AD928</f>
        <v>0</v>
      </c>
      <c r="Q107" s="119">
        <f>'2020'!AG928</f>
        <v>166</v>
      </c>
      <c r="R107" s="119">
        <f>'2020'!AH928</f>
        <v>0</v>
      </c>
      <c r="S107" s="119">
        <f>'2020'!AK928</f>
        <v>166</v>
      </c>
      <c r="T107" s="119">
        <f>'2020'!AL928</f>
        <v>0</v>
      </c>
      <c r="U107" s="119">
        <f>'2020'!AO928</f>
        <v>166</v>
      </c>
      <c r="V107" s="119">
        <f>'2020'!AP928</f>
        <v>0</v>
      </c>
      <c r="W107" s="119">
        <f>'2020'!AS928</f>
        <v>166</v>
      </c>
      <c r="X107" s="119">
        <f>'2020'!AT928</f>
        <v>0</v>
      </c>
      <c r="Y107" s="119">
        <f>'2020'!AW928</f>
        <v>166</v>
      </c>
      <c r="Z107" s="119">
        <f>'2020'!AX928</f>
        <v>0</v>
      </c>
      <c r="AA107" s="119">
        <f>'2020'!BA928</f>
        <v>166</v>
      </c>
      <c r="AB107" s="119">
        <f>'2020'!BB928</f>
        <v>0</v>
      </c>
      <c r="AC107" s="119">
        <f>'2020'!BE928</f>
        <v>0</v>
      </c>
    </row>
    <row r="108" ht="15.75" customHeight="1" spans="1:29" x14ac:dyDescent="0.25">
      <c r="A108" s="14"/>
      <c r="B108" s="115">
        <v>100</v>
      </c>
      <c r="C108" s="115">
        <v>4.47</v>
      </c>
      <c r="D108" s="117" t="s">
        <v>330</v>
      </c>
      <c r="E108" s="119">
        <f>'2020'!I937</f>
        <v>118</v>
      </c>
      <c r="F108" s="119">
        <f>'2020'!J937</f>
      </c>
      <c r="G108" s="119">
        <f>'2020'!M937</f>
        <v>118</v>
      </c>
      <c r="H108" s="119">
        <f>'2020'!N937</f>
      </c>
      <c r="I108" s="119">
        <f>'2020'!Q937</f>
        <v>118</v>
      </c>
      <c r="J108" s="119">
        <f>'2020'!R937</f>
      </c>
      <c r="K108" s="119">
        <f>'2020'!U937</f>
        <v>120</v>
      </c>
      <c r="L108" s="119">
        <f>'2020'!V937</f>
        <v>2</v>
      </c>
      <c r="M108" s="119">
        <f>'2020'!Y937</f>
        <v>120</v>
      </c>
      <c r="N108" s="119">
        <f>'2020'!Z937</f>
        <v>0</v>
      </c>
      <c r="O108" s="119">
        <f>'2020'!AC937</f>
        <v>128</v>
      </c>
      <c r="P108" s="119">
        <f>'2020'!AD937</f>
        <v>8</v>
      </c>
      <c r="Q108" s="119">
        <f>'2020'!AG937</f>
        <v>128</v>
      </c>
      <c r="R108" s="119">
        <f>'2020'!AH937</f>
        <v>0</v>
      </c>
      <c r="S108" s="119">
        <f>'2020'!AK937</f>
        <v>128</v>
      </c>
      <c r="T108" s="119">
        <f>'2020'!AL937</f>
        <v>0</v>
      </c>
      <c r="U108" s="119">
        <f>'2020'!AO937</f>
        <v>128</v>
      </c>
      <c r="V108" s="119">
        <f>'2020'!AP937</f>
        <v>0</v>
      </c>
      <c r="W108" s="119">
        <f>'2020'!AS937</f>
        <v>128</v>
      </c>
      <c r="X108" s="119">
        <f>'2020'!AT937</f>
        <v>0</v>
      </c>
      <c r="Y108" s="119">
        <f>'2020'!AW937</f>
        <v>128</v>
      </c>
      <c r="Z108" s="119">
        <f>'2020'!AX937</f>
        <v>0</v>
      </c>
      <c r="AA108" s="119">
        <f>'2020'!BA937</f>
        <v>128</v>
      </c>
      <c r="AB108" s="119">
        <f>'2020'!BB937</f>
        <v>0</v>
      </c>
      <c r="AC108" s="119">
        <f>'2020'!BE937</f>
        <v>10</v>
      </c>
    </row>
    <row r="109" ht="15.75" customHeight="1" spans="1:29" x14ac:dyDescent="0.25">
      <c r="A109" s="14"/>
      <c r="B109" s="115">
        <v>102</v>
      </c>
      <c r="C109" s="115">
        <v>4.45</v>
      </c>
      <c r="D109" s="117" t="s">
        <v>331</v>
      </c>
      <c r="E109" s="119">
        <f>'2020'!I946</f>
        <v>41</v>
      </c>
      <c r="F109" s="119">
        <f>'2020'!J946</f>
      </c>
      <c r="G109" s="119">
        <f>'2020'!M946</f>
        <v>41</v>
      </c>
      <c r="H109" s="119">
        <f>'2020'!N946</f>
      </c>
      <c r="I109" s="119">
        <f>'2020'!Q946</f>
        <v>41</v>
      </c>
      <c r="J109" s="119">
        <f>'2020'!R946</f>
      </c>
      <c r="K109" s="119">
        <f>'2020'!U946</f>
        <v>41</v>
      </c>
      <c r="L109" s="119">
        <f>'2020'!V946</f>
        <v>0</v>
      </c>
      <c r="M109" s="119">
        <f>'2020'!Y946</f>
        <v>41</v>
      </c>
      <c r="N109" s="119">
        <f>'2020'!Z946</f>
        <v>0</v>
      </c>
      <c r="O109" s="119">
        <f>'2020'!AC946</f>
        <v>41</v>
      </c>
      <c r="P109" s="119">
        <f>'2020'!AD946</f>
        <v>0</v>
      </c>
      <c r="Q109" s="119">
        <f>'2020'!AG946</f>
        <v>41</v>
      </c>
      <c r="R109" s="119">
        <f>'2020'!AH946</f>
        <v>0</v>
      </c>
      <c r="S109" s="119">
        <f>'2020'!AK946</f>
        <v>41</v>
      </c>
      <c r="T109" s="119">
        <f>'2020'!AL946</f>
        <v>0</v>
      </c>
      <c r="U109" s="119">
        <f>'2020'!AO946</f>
        <v>41</v>
      </c>
      <c r="V109" s="119">
        <f>'2020'!AP946</f>
        <v>0</v>
      </c>
      <c r="W109" s="119">
        <f>'2020'!AS946</f>
        <v>41</v>
      </c>
      <c r="X109" s="119">
        <f>'2020'!AT946</f>
        <v>0</v>
      </c>
      <c r="Y109" s="119">
        <f>'2020'!AW946</f>
        <v>41</v>
      </c>
      <c r="Z109" s="119">
        <f>'2020'!AX946</f>
        <v>0</v>
      </c>
      <c r="AA109" s="119">
        <f>'2020'!BA946</f>
        <v>41</v>
      </c>
      <c r="AB109" s="119">
        <f>'2020'!BB946</f>
        <v>0</v>
      </c>
      <c r="AC109" s="119">
        <f>'2020'!BE946</f>
        <v>0</v>
      </c>
    </row>
    <row r="110" ht="15.75" customHeight="1" spans="1:29" x14ac:dyDescent="0.25">
      <c r="A110" s="14"/>
      <c r="B110" s="115">
        <v>104</v>
      </c>
      <c r="C110" s="115">
        <v>4.42</v>
      </c>
      <c r="D110" s="117" t="s">
        <v>333</v>
      </c>
      <c r="E110" s="119">
        <f>'2020'!I955</f>
        <v>202</v>
      </c>
      <c r="F110" s="119">
        <f>'2020'!J955</f>
      </c>
      <c r="G110" s="119">
        <f>'2020'!M955</f>
        <v>202</v>
      </c>
      <c r="H110" s="119">
        <f>'2020'!N955</f>
      </c>
      <c r="I110" s="119">
        <f>'2020'!Q955</f>
        <v>202</v>
      </c>
      <c r="J110" s="119">
        <f>'2020'!R955</f>
      </c>
      <c r="K110" s="119">
        <f>'2020'!U955</f>
        <v>203</v>
      </c>
      <c r="L110" s="119">
        <f>'2020'!V955</f>
        <v>1</v>
      </c>
      <c r="M110" s="119">
        <f>'2020'!Y955</f>
        <v>203</v>
      </c>
      <c r="N110" s="119">
        <f>'2020'!Z955</f>
        <v>0</v>
      </c>
      <c r="O110" s="119">
        <f>'2020'!AC955</f>
        <v>220</v>
      </c>
      <c r="P110" s="119">
        <f>'2020'!AD955</f>
        <v>17</v>
      </c>
      <c r="Q110" s="119">
        <f>'2020'!AG955</f>
        <v>235</v>
      </c>
      <c r="R110" s="119">
        <f>'2020'!AH955</f>
        <v>15</v>
      </c>
      <c r="S110" s="119">
        <f>'2020'!AK955</f>
        <v>235</v>
      </c>
      <c r="T110" s="119">
        <f>'2020'!AL955</f>
        <v>0</v>
      </c>
      <c r="U110" s="119">
        <f>'2020'!AO955</f>
        <v>238</v>
      </c>
      <c r="V110" s="119">
        <f>'2020'!AP955</f>
        <v>3</v>
      </c>
      <c r="W110" s="119">
        <f>'2020'!AS955</f>
        <v>238</v>
      </c>
      <c r="X110" s="119">
        <f>'2020'!AT955</f>
        <v>0</v>
      </c>
      <c r="Y110" s="119">
        <f>'2020'!AW955</f>
        <v>238</v>
      </c>
      <c r="Z110" s="119">
        <f>'2020'!AX955</f>
        <v>0</v>
      </c>
      <c r="AA110" s="119">
        <f>'2020'!BA955</f>
        <v>238</v>
      </c>
      <c r="AB110" s="119">
        <f>'2020'!BB955</f>
        <v>0</v>
      </c>
      <c r="AC110" s="119">
        <f>'2020'!BE955</f>
        <v>36</v>
      </c>
    </row>
    <row r="111" ht="15.75" customHeight="1" spans="1:29" x14ac:dyDescent="0.25">
      <c r="A111" s="14"/>
      <c r="B111" s="115">
        <v>106</v>
      </c>
      <c r="C111" s="115">
        <v>4.57</v>
      </c>
      <c r="D111" s="117" t="s">
        <v>336</v>
      </c>
      <c r="E111" s="119">
        <f>'2020'!I964</f>
      </c>
      <c r="F111" s="119">
        <f>'2020'!J964</f>
      </c>
      <c r="G111" s="119">
        <f>'2020'!M964</f>
      </c>
      <c r="H111" s="119">
        <f>'2020'!N964</f>
      </c>
      <c r="I111" s="119">
        <f>'2020'!Q964</f>
      </c>
      <c r="J111" s="119">
        <f>'2020'!R964</f>
      </c>
      <c r="K111" s="119">
        <f>'2020'!U964</f>
        <v>391</v>
      </c>
      <c r="L111" s="119">
        <f>'2020'!V964</f>
      </c>
      <c r="M111" s="119">
        <f>'2020'!Y964</f>
        <v>392</v>
      </c>
      <c r="N111" s="119">
        <f>'2020'!Z964</f>
        <v>1</v>
      </c>
      <c r="O111" s="119">
        <f>'2020'!AC964</f>
        <v>398</v>
      </c>
      <c r="P111" s="119">
        <f>'2020'!AD964</f>
        <v>6</v>
      </c>
      <c r="Q111" s="119">
        <f>'2020'!AG964</f>
        <v>419</v>
      </c>
      <c r="R111" s="119">
        <f>'2020'!AH964</f>
        <v>21</v>
      </c>
      <c r="S111" s="119">
        <f>'2020'!AK964</f>
        <v>423</v>
      </c>
      <c r="T111" s="119">
        <f>'2020'!AL964</f>
        <v>4</v>
      </c>
      <c r="U111" s="119">
        <f>'2020'!AO964</f>
        <v>423</v>
      </c>
      <c r="V111" s="119">
        <f>'2020'!AP964</f>
        <v>0</v>
      </c>
      <c r="W111" s="119">
        <f>'2020'!AS964</f>
        <v>423</v>
      </c>
      <c r="X111" s="119">
        <f>'2020'!AT964</f>
        <v>0</v>
      </c>
      <c r="Y111" s="119">
        <f>'2020'!AW964</f>
        <v>423</v>
      </c>
      <c r="Z111" s="119">
        <f>'2020'!AX964</f>
        <v>0</v>
      </c>
      <c r="AA111" s="119">
        <f>'2020'!BA964</f>
        <v>423</v>
      </c>
      <c r="AB111" s="119">
        <f>'2020'!BB964</f>
        <v>0</v>
      </c>
      <c r="AC111" s="119">
        <f>'2020'!BE964</f>
        <v>32</v>
      </c>
    </row>
    <row r="112" ht="15.75" customHeight="1" spans="1:29" x14ac:dyDescent="0.25">
      <c r="A112" s="14"/>
      <c r="B112" s="115">
        <v>108</v>
      </c>
      <c r="C112" s="115">
        <v>4.32</v>
      </c>
      <c r="D112" s="117" t="s">
        <v>339</v>
      </c>
      <c r="E112" s="119">
        <f>'2020'!I973</f>
      </c>
      <c r="F112" s="119">
        <f>'2020'!J973</f>
      </c>
      <c r="G112" s="119">
        <f>'2020'!M973</f>
      </c>
      <c r="H112" s="119">
        <f>'2020'!N973</f>
      </c>
      <c r="I112" s="119">
        <f>'2020'!Q973</f>
      </c>
      <c r="J112" s="119">
        <f>'2020'!R973</f>
      </c>
      <c r="K112" s="119">
        <f>'2020'!U973</f>
      </c>
      <c r="L112" s="119">
        <f>'2020'!V973</f>
      </c>
      <c r="M112" s="119">
        <f>'2020'!Y973</f>
      </c>
      <c r="N112" s="119">
        <f>'2020'!Z973</f>
        <v>0</v>
      </c>
      <c r="O112" s="119">
        <f>'2020'!AC973</f>
      </c>
      <c r="P112" s="119">
        <f>'2020'!AD973</f>
        <v>0</v>
      </c>
      <c r="Q112" s="119">
        <f>'2020'!AG973</f>
      </c>
      <c r="R112" s="119">
        <f>'2020'!AH973</f>
        <v>0</v>
      </c>
      <c r="S112" s="119">
        <f>'2020'!AK973</f>
      </c>
      <c r="T112" s="119">
        <f>'2020'!AL973</f>
        <v>0</v>
      </c>
      <c r="U112" s="119">
        <f>'2020'!AO973</f>
      </c>
      <c r="V112" s="119">
        <f>'2020'!AP973</f>
        <v>0</v>
      </c>
      <c r="W112" s="119">
        <f>'2020'!AS973</f>
      </c>
      <c r="X112" s="119">
        <f>'2020'!AT973</f>
        <v>0</v>
      </c>
      <c r="Y112" s="119">
        <f>'2020'!AW973</f>
      </c>
      <c r="Z112" s="119">
        <f>'2020'!AX973</f>
        <v>0</v>
      </c>
      <c r="AA112" s="119">
        <f>'2020'!BA973</f>
      </c>
      <c r="AB112" s="119">
        <f>'2020'!BB973</f>
        <v>0</v>
      </c>
      <c r="AC112" s="119">
        <f>'2020'!BE973</f>
        <v>0</v>
      </c>
    </row>
    <row r="113" ht="15.75" customHeight="1" spans="1:29" x14ac:dyDescent="0.25">
      <c r="A113" s="14"/>
      <c r="B113" s="115">
        <v>109</v>
      </c>
      <c r="C113" s="115">
        <v>6.22</v>
      </c>
      <c r="D113" s="2" t="s">
        <v>455</v>
      </c>
      <c r="E113" s="119">
        <f>'2020'!I982</f>
        <v>4</v>
      </c>
      <c r="F113" s="119">
        <f>'2020'!J982</f>
      </c>
      <c r="G113" s="119">
        <f>'2020'!M982</f>
        <v>4</v>
      </c>
      <c r="H113" s="119">
        <f>'2020'!N982</f>
      </c>
      <c r="I113" s="119">
        <f>'2020'!Q982</f>
        <v>4</v>
      </c>
      <c r="J113" s="119">
        <f>'2020'!R982</f>
      </c>
      <c r="K113" s="119">
        <f>'2020'!U982</f>
        <v>5</v>
      </c>
      <c r="L113" s="119">
        <f>'2020'!V982</f>
        <v>1</v>
      </c>
      <c r="M113" s="119">
        <f>'2020'!Y982</f>
        <v>5</v>
      </c>
      <c r="N113" s="119">
        <f>'2020'!Z982</f>
        <v>0</v>
      </c>
      <c r="O113" s="119">
        <f>'2020'!AC982</f>
        <v>5</v>
      </c>
      <c r="P113" s="119">
        <f>'2020'!AD982</f>
        <v>0</v>
      </c>
      <c r="Q113" s="119">
        <f>'2020'!AG982</f>
        <v>7</v>
      </c>
      <c r="R113" s="119">
        <f>'2020'!AH982</f>
        <v>2</v>
      </c>
      <c r="S113" s="119">
        <f>'2020'!AK982</f>
        <v>8</v>
      </c>
      <c r="T113" s="119">
        <f>'2020'!AL982</f>
        <v>1</v>
      </c>
      <c r="U113" s="119">
        <f>'2020'!AO982</f>
        <v>8</v>
      </c>
      <c r="V113" s="119">
        <f>'2020'!AP982</f>
        <v>0</v>
      </c>
      <c r="W113" s="119">
        <f>'2020'!AS982</f>
        <v>8</v>
      </c>
      <c r="X113" s="119">
        <f>'2020'!AT982</f>
        <v>0</v>
      </c>
      <c r="Y113" s="119">
        <f>'2020'!AW982</f>
        <v>8</v>
      </c>
      <c r="Z113" s="119">
        <f>'2020'!AX982</f>
        <v>0</v>
      </c>
      <c r="AA113" s="119">
        <f>'2020'!BA982</f>
        <v>8</v>
      </c>
      <c r="AB113" s="119">
        <f>'2020'!BB982</f>
        <v>0</v>
      </c>
      <c r="AC113" s="119">
        <f>'2020'!BE982</f>
        <v>4</v>
      </c>
    </row>
    <row r="114" ht="15.75" customHeight="1" spans="1:29" x14ac:dyDescent="0.25">
      <c r="A114" s="14"/>
      <c r="B114" s="115">
        <v>110</v>
      </c>
      <c r="C114" s="115">
        <v>4.91</v>
      </c>
      <c r="D114" s="117" t="s">
        <v>342</v>
      </c>
      <c r="E114" s="119">
        <f>'2020'!I991</f>
        <v>40</v>
      </c>
      <c r="F114" s="119">
        <f>'2020'!J991</f>
      </c>
      <c r="G114" s="119">
        <f>'2020'!M991</f>
        <v>40</v>
      </c>
      <c r="H114" s="119">
        <f>'2020'!N991</f>
      </c>
      <c r="I114" s="119">
        <f>'2020'!Q991</f>
        <v>40</v>
      </c>
      <c r="J114" s="119">
        <f>'2020'!R991</f>
      </c>
      <c r="K114" s="119">
        <f>'2020'!U991</f>
        <v>40</v>
      </c>
      <c r="L114" s="119">
        <f>'2020'!V991</f>
        <v>0</v>
      </c>
      <c r="M114" s="119">
        <f>'2020'!Y991</f>
        <v>40</v>
      </c>
      <c r="N114" s="119">
        <f>'2020'!Z991</f>
        <v>0</v>
      </c>
      <c r="O114" s="119">
        <f>'2020'!AC991</f>
        <v>40</v>
      </c>
      <c r="P114" s="119">
        <f>'2020'!AD991</f>
        <v>0</v>
      </c>
      <c r="Q114" s="119">
        <f>'2020'!AG991</f>
        <v>40</v>
      </c>
      <c r="R114" s="119">
        <f>'2020'!AH991</f>
        <v>0</v>
      </c>
      <c r="S114" s="119">
        <f>'2020'!AK991</f>
        <v>40</v>
      </c>
      <c r="T114" s="119">
        <f>'2020'!AL991</f>
        <v>0</v>
      </c>
      <c r="U114" s="119">
        <f>'2020'!AO991</f>
        <v>40</v>
      </c>
      <c r="V114" s="119">
        <f>'2020'!AP991</f>
        <v>0</v>
      </c>
      <c r="W114" s="119">
        <f>'2020'!AS991</f>
        <v>41</v>
      </c>
      <c r="X114" s="119">
        <f>'2020'!AT991</f>
        <v>1</v>
      </c>
      <c r="Y114" s="119">
        <f>'2020'!AW991</f>
        <v>41</v>
      </c>
      <c r="Z114" s="119">
        <f>'2020'!AX991</f>
        <v>0</v>
      </c>
      <c r="AA114" s="119">
        <f>'2020'!BA991</f>
        <v>41</v>
      </c>
      <c r="AB114" s="119">
        <f>'2020'!BB991</f>
        <v>0</v>
      </c>
      <c r="AC114" s="119">
        <f>'2020'!BE991</f>
        <v>1</v>
      </c>
    </row>
    <row r="115" ht="15.75" customHeight="1" spans="1:29" x14ac:dyDescent="0.25">
      <c r="A115" s="14"/>
      <c r="B115" s="115">
        <v>111</v>
      </c>
      <c r="C115" s="116">
        <v>6.8</v>
      </c>
      <c r="D115" s="117" t="s">
        <v>280</v>
      </c>
      <c r="E115" s="119">
        <f>'2020'!I1000</f>
        <v>6</v>
      </c>
      <c r="F115" s="119">
        <f>'2020'!J1000</f>
      </c>
      <c r="G115" s="119">
        <f>'2020'!M1000</f>
        <v>6</v>
      </c>
      <c r="H115" s="119">
        <f>'2020'!N1000</f>
      </c>
      <c r="I115" s="119">
        <f>'2020'!Q1000</f>
        <v>6</v>
      </c>
      <c r="J115" s="119">
        <f>'2020'!R1000</f>
      </c>
      <c r="K115" s="119">
        <f>'2020'!U1000</f>
        <v>2</v>
      </c>
      <c r="L115" s="119">
        <f>'2020'!V1000</f>
        <v>2</v>
      </c>
      <c r="M115" s="119">
        <f>'2020'!Y1000</f>
        <v>3</v>
      </c>
      <c r="N115" s="119">
        <f>'2020'!Z1000</f>
        <v>1</v>
      </c>
      <c r="O115" s="119">
        <f>'2020'!AC1000</f>
        <v>4</v>
      </c>
      <c r="P115" s="119">
        <f>'2020'!AD1000</f>
        <v>1</v>
      </c>
      <c r="Q115" s="119">
        <f>'2020'!AG1000</f>
        <v>5</v>
      </c>
      <c r="R115" s="119">
        <f>'2020'!AH1000</f>
        <v>1</v>
      </c>
      <c r="S115" s="119">
        <f>'2020'!AK1000</f>
        <v>6</v>
      </c>
      <c r="T115" s="119">
        <f>'2020'!AL1000</f>
        <v>1</v>
      </c>
      <c r="U115" s="119">
        <f>'2020'!AO1000</f>
        <v>6</v>
      </c>
      <c r="V115" s="119">
        <f>'2020'!AP1000</f>
        <v>0</v>
      </c>
      <c r="W115" s="119">
        <f>'2020'!AS1000</f>
        <v>6</v>
      </c>
      <c r="X115" s="119">
        <f>'2020'!AT1000</f>
        <v>0</v>
      </c>
      <c r="Y115" s="119">
        <f>'2020'!AW1000</f>
        <v>6</v>
      </c>
      <c r="Z115" s="119">
        <f>'2020'!AX1000</f>
        <v>0</v>
      </c>
      <c r="AA115" s="119">
        <f>'2020'!BA1000</f>
        <v>6</v>
      </c>
      <c r="AB115" s="119">
        <f>'2020'!BB1000</f>
        <v>0</v>
      </c>
      <c r="AC115" s="119">
        <f>'2020'!BE1000</f>
        <v>6</v>
      </c>
    </row>
    <row r="116" ht="15.75" customHeight="1" spans="1:29" x14ac:dyDescent="0.25">
      <c r="A116" s="14"/>
      <c r="B116" s="115">
        <v>112</v>
      </c>
      <c r="C116" s="115">
        <v>4.94</v>
      </c>
      <c r="D116" s="117" t="s">
        <v>347</v>
      </c>
      <c r="E116" s="119">
        <f>'2020'!I1009</f>
        <v>37</v>
      </c>
      <c r="F116" s="119">
        <f>'2020'!J1009</f>
      </c>
      <c r="G116" s="119">
        <f>'2020'!M1009</f>
        <v>37</v>
      </c>
      <c r="H116" s="119">
        <f>'2020'!N1009</f>
      </c>
      <c r="I116" s="119">
        <f>'2020'!Q1009</f>
        <v>37</v>
      </c>
      <c r="J116" s="119">
        <f>'2020'!R1009</f>
      </c>
      <c r="K116" s="119">
        <f>'2020'!U1009</f>
        <v>48</v>
      </c>
      <c r="L116" s="119">
        <f>'2020'!V1009</f>
        <v>11</v>
      </c>
      <c r="M116" s="119">
        <f>'2020'!Y1009</f>
        <v>48</v>
      </c>
      <c r="N116" s="119">
        <f>'2020'!Z1009</f>
        <v>0</v>
      </c>
      <c r="O116" s="119">
        <f>'2020'!AC1009</f>
        <v>48</v>
      </c>
      <c r="P116" s="119">
        <f>'2020'!AD1009</f>
        <v>0</v>
      </c>
      <c r="Q116" s="119">
        <f>'2020'!AG1009</f>
        <v>48</v>
      </c>
      <c r="R116" s="119">
        <f>'2020'!AH1009</f>
        <v>0</v>
      </c>
      <c r="S116" s="119">
        <f>'2020'!AK1009</f>
        <v>48</v>
      </c>
      <c r="T116" s="119">
        <f>'2020'!AL1009</f>
        <v>0</v>
      </c>
      <c r="U116" s="119">
        <f>'2020'!AO1009</f>
        <v>48</v>
      </c>
      <c r="V116" s="119">
        <f>'2020'!AP1009</f>
        <v>0</v>
      </c>
      <c r="W116" s="119">
        <f>'2020'!AS1009</f>
        <v>48</v>
      </c>
      <c r="X116" s="119">
        <f>'2020'!AT1009</f>
        <v>0</v>
      </c>
      <c r="Y116" s="119">
        <f>'2020'!AW1009</f>
        <v>48</v>
      </c>
      <c r="Z116" s="119">
        <f>'2020'!AX1009</f>
        <v>0</v>
      </c>
      <c r="AA116" s="119">
        <f>'2020'!BA1009</f>
        <v>48</v>
      </c>
      <c r="AB116" s="119">
        <f>'2020'!BB1009</f>
        <v>0</v>
      </c>
      <c r="AC116" s="119">
        <f>'2020'!BE1009</f>
        <v>11</v>
      </c>
    </row>
    <row r="117" ht="15.75" customHeight="1" spans="1:29" x14ac:dyDescent="0.25">
      <c r="A117" s="14"/>
      <c r="B117" s="115">
        <v>113</v>
      </c>
      <c r="C117" s="115">
        <v>4.98</v>
      </c>
      <c r="D117" s="117" t="s">
        <v>348</v>
      </c>
      <c r="E117" s="119">
        <f>'2020'!I1018</f>
      </c>
      <c r="F117" s="119">
        <f>'2020'!J1018</f>
      </c>
      <c r="G117" s="119">
        <f>'2020'!M1018</f>
      </c>
      <c r="H117" s="119">
        <f>'2020'!N1018</f>
      </c>
      <c r="I117" s="119">
        <f>'2020'!Q1018</f>
      </c>
      <c r="J117" s="119">
        <f>'2020'!R1018</f>
      </c>
      <c r="K117" s="119">
        <f>'2020'!U1018</f>
      </c>
      <c r="L117" s="119">
        <f>'2020'!V1018</f>
      </c>
      <c r="M117" s="119">
        <f>'2020'!Y1018</f>
      </c>
      <c r="N117" s="119">
        <f>'2020'!Z1018</f>
        <v>0</v>
      </c>
      <c r="O117" s="119">
        <f>'2020'!AC1018</f>
      </c>
      <c r="P117" s="119">
        <f>'2020'!AD1018</f>
        <v>0</v>
      </c>
      <c r="Q117" s="119">
        <f>'2020'!AG1018</f>
      </c>
      <c r="R117" s="119">
        <f>'2020'!AH1018</f>
        <v>0</v>
      </c>
      <c r="S117" s="119">
        <f>'2020'!AK1018</f>
      </c>
      <c r="T117" s="119">
        <f>'2020'!AL1018</f>
        <v>0</v>
      </c>
      <c r="U117" s="119">
        <f>'2020'!AO1018</f>
      </c>
      <c r="V117" s="119">
        <f>'2020'!AP1018</f>
        <v>0</v>
      </c>
      <c r="W117" s="119">
        <f>'2020'!AS1018</f>
      </c>
      <c r="X117" s="119">
        <f>'2020'!AT1018</f>
        <v>0</v>
      </c>
      <c r="Y117" s="119">
        <f>'2020'!AW1018</f>
      </c>
      <c r="Z117" s="119">
        <f>'2020'!AX1018</f>
        <v>0</v>
      </c>
      <c r="AA117" s="119">
        <f>'2020'!BA1018</f>
      </c>
      <c r="AB117" s="119">
        <f>'2020'!BB1018</f>
        <v>0</v>
      </c>
      <c r="AC117" s="119">
        <f>'2020'!BE1018</f>
        <v>0</v>
      </c>
    </row>
    <row r="118" ht="15.75" customHeight="1" spans="1:29" x14ac:dyDescent="0.25">
      <c r="A118" s="14"/>
      <c r="B118" s="118">
        <v>114</v>
      </c>
      <c r="C118" s="115">
        <v>4.86</v>
      </c>
      <c r="D118" s="117" t="s">
        <v>245</v>
      </c>
      <c r="E118" s="119">
        <f>'2020'!I1027</f>
        <v>13</v>
      </c>
      <c r="F118" s="119">
        <f>'2020'!J1027</f>
      </c>
      <c r="G118" s="119">
        <f>'2020'!M1027</f>
        <v>13</v>
      </c>
      <c r="H118" s="119">
        <f>'2020'!N1027</f>
      </c>
      <c r="I118" s="119">
        <f>'2020'!Q1027</f>
        <v>13</v>
      </c>
      <c r="J118" s="119">
        <f>'2020'!R1027</f>
      </c>
      <c r="K118" s="119">
        <f>'2020'!U1027</f>
        <v>0</v>
      </c>
      <c r="L118" s="119">
        <f>'2020'!V1027</f>
      </c>
      <c r="M118" s="119">
        <f>'2020'!Y1027</f>
        <v>2</v>
      </c>
      <c r="N118" s="119">
        <f>'2020'!Z1027</f>
        <v>2</v>
      </c>
      <c r="O118" s="119">
        <f>'2020'!AC1027</f>
        <v>14</v>
      </c>
      <c r="P118" s="119">
        <f>'2020'!AD1027</f>
        <v>12</v>
      </c>
      <c r="Q118" s="119">
        <f>'2020'!AG1027</f>
        <v>37</v>
      </c>
      <c r="R118" s="119">
        <f>'2020'!AH1027</f>
        <v>23</v>
      </c>
      <c r="S118" s="119">
        <f>'2020'!AK1027</f>
        <v>46</v>
      </c>
      <c r="T118" s="119">
        <f>'2020'!AL1027</f>
        <v>9</v>
      </c>
      <c r="U118" s="119">
        <f>'2020'!AO1027</f>
        <v>47</v>
      </c>
      <c r="V118" s="119">
        <f>'2020'!AP1027</f>
        <v>1</v>
      </c>
      <c r="W118" s="119">
        <f>'2020'!AS1027</f>
        <v>47</v>
      </c>
      <c r="X118" s="119">
        <f>'2020'!AT1027</f>
        <v>0</v>
      </c>
      <c r="Y118" s="119">
        <f>'2020'!AW1027</f>
        <v>47</v>
      </c>
      <c r="Z118" s="119">
        <f>'2020'!AX1027</f>
        <v>0</v>
      </c>
      <c r="AA118" s="119">
        <f>'2020'!BA1027</f>
        <v>47</v>
      </c>
      <c r="AB118" s="119">
        <f>'2020'!BB1027</f>
        <v>0</v>
      </c>
      <c r="AC118" s="119">
        <f>'2020'!BE1027</f>
        <v>47</v>
      </c>
    </row>
    <row r="119" ht="15.75" customHeight="1" spans="1:29" x14ac:dyDescent="0.25">
      <c r="A119" s="117"/>
      <c r="B119" s="115" t="s">
        <v>350</v>
      </c>
      <c r="C119" s="116">
        <f>SUM(C5:C118)</f>
        <v>505.74</v>
      </c>
      <c r="D119" s="117"/>
      <c r="E119" s="119">
        <f t="shared" ref="E119:AC119" si="0">SUM(E5:E118)</f>
        <v>10448</v>
      </c>
      <c r="F119" s="119">
        <f t="shared" si="0"/>
        <v>0</v>
      </c>
      <c r="G119" s="119">
        <f t="shared" si="0"/>
        <v>10448</v>
      </c>
      <c r="H119" s="119">
        <f t="shared" si="0"/>
        <v>0</v>
      </c>
      <c r="I119" s="119">
        <f t="shared" si="0"/>
        <v>10395</v>
      </c>
      <c r="J119" s="119">
        <f t="shared" si="0"/>
        <v>0</v>
      </c>
      <c r="K119" s="119">
        <f t="shared" si="0"/>
        <v>10775</v>
      </c>
      <c r="L119" s="119">
        <f t="shared" si="0"/>
        <v>159</v>
      </c>
      <c r="M119" s="119">
        <f t="shared" si="0"/>
        <v>10606.6</v>
      </c>
      <c r="N119" s="119">
        <f t="shared" si="0"/>
        <v>82.6</v>
      </c>
      <c r="O119" s="119">
        <f t="shared" si="0"/>
        <v>11030.3</v>
      </c>
      <c r="P119" s="119">
        <f t="shared" si="0"/>
        <v>423.7</v>
      </c>
      <c r="Q119" s="119">
        <f t="shared" si="0"/>
        <v>11662</v>
      </c>
      <c r="R119" s="119">
        <f t="shared" si="0"/>
        <v>628.7</v>
      </c>
      <c r="S119" s="119">
        <f t="shared" si="0"/>
        <v>12079</v>
      </c>
      <c r="T119" s="119">
        <f t="shared" si="0"/>
        <v>417</v>
      </c>
      <c r="U119" s="119">
        <f t="shared" si="0"/>
        <v>12148</v>
      </c>
      <c r="V119" s="119">
        <f t="shared" si="0"/>
        <v>69</v>
      </c>
      <c r="W119" s="119">
        <f t="shared" si="0"/>
        <v>12197</v>
      </c>
      <c r="X119" s="119">
        <f t="shared" si="0"/>
        <v>49</v>
      </c>
      <c r="Y119" s="119">
        <f t="shared" si="0"/>
        <v>12197</v>
      </c>
      <c r="Z119" s="119">
        <f t="shared" si="0"/>
        <v>0</v>
      </c>
      <c r="AA119" s="119">
        <f t="shared" si="0"/>
        <v>12197</v>
      </c>
      <c r="AB119" s="119">
        <f t="shared" si="0"/>
        <v>0</v>
      </c>
      <c r="AC119" s="119">
        <f t="shared" si="0"/>
        <v>1829</v>
      </c>
    </row>
    <row r="120" ht="15.75" customHeight="1" spans="1:3" x14ac:dyDescent="0.25">
      <c r="A120" s="15"/>
      <c r="B120" s="112"/>
      <c r="C120" s="112"/>
    </row>
    <row r="121" ht="15.75" customHeight="1" spans="1:29" x14ac:dyDescent="0.25" outlineLevel="1" collapsed="1">
      <c r="A121" s="15"/>
      <c r="B121" s="112"/>
      <c r="C121" s="112"/>
      <c r="E121" s="120" t="b">
        <f>E119='2020'!I1038</f>
        <v>1</v>
      </c>
      <c r="F121" s="120" t="b">
        <f>F119='2020'!J1038</f>
        <v>1</v>
      </c>
      <c r="G121" s="120" t="b">
        <f>G119='2020'!M1038</f>
        <v>1</v>
      </c>
      <c r="H121" s="120" t="b">
        <f>H119='2020'!N1038</f>
        <v>1</v>
      </c>
      <c r="I121" s="120" t="b">
        <f>I119='2020'!Q1038</f>
        <v>1</v>
      </c>
      <c r="J121" s="120" t="b">
        <f>J119='2020'!R1038</f>
        <v>1</v>
      </c>
      <c r="K121" s="120" t="b">
        <f>K119='2020'!U1038</f>
        <v>1</v>
      </c>
      <c r="L121" s="120" t="b">
        <f>L119='2020'!V1038</f>
        <v>1</v>
      </c>
      <c r="M121" s="120" t="b">
        <f>M119='2020'!Y1038</f>
        <v>1</v>
      </c>
      <c r="N121" s="120" t="b">
        <f>N119='2020'!Z1038</f>
        <v>1</v>
      </c>
      <c r="O121" s="120" t="b">
        <f>O119='2020'!AC1038</f>
        <v>1</v>
      </c>
      <c r="P121" s="120" t="b">
        <f>P119='2020'!AD1038</f>
        <v>1</v>
      </c>
      <c r="Q121" s="120" t="b">
        <f>Q119='2020'!AG1038</f>
        <v>1</v>
      </c>
      <c r="R121" s="120" t="b">
        <f>R119='2020'!AH1038</f>
        <v>1</v>
      </c>
      <c r="S121" s="120" t="b">
        <f>S119='2020'!AK1038</f>
        <v>1</v>
      </c>
      <c r="T121" s="120" t="b">
        <f>T119='2020'!AL1038</f>
        <v>1</v>
      </c>
      <c r="U121" s="120" t="b">
        <f>U119='2020'!AO1038</f>
        <v>1</v>
      </c>
      <c r="V121" s="120" t="b">
        <f>V119='2020'!AP1038</f>
        <v>1</v>
      </c>
      <c r="W121" s="120" t="b">
        <f>W119='2020'!AS1038</f>
        <v>1</v>
      </c>
      <c r="X121" s="120" t="b">
        <f>X119='2020'!AT1038</f>
        <v>1</v>
      </c>
      <c r="Y121" s="120" t="b">
        <f>Y119='2020'!AW1038</f>
        <v>1</v>
      </c>
      <c r="Z121" s="120" t="b">
        <f>Z119='2020'!AX1038</f>
        <v>1</v>
      </c>
      <c r="AA121" s="120" t="b">
        <f>AA119='2020'!BA1038</f>
        <v>1</v>
      </c>
      <c r="AB121" s="120" t="b">
        <f>AB119='2020'!BB1038</f>
        <v>1</v>
      </c>
      <c r="AC121" s="120" t="b">
        <f>AC119='2020'!BE1038</f>
        <v>1</v>
      </c>
    </row>
    <row r="122" ht="15.75" customHeight="1" spans="1:29" x14ac:dyDescent="0.25">
      <c r="A122" s="15"/>
      <c r="B122" s="112"/>
      <c r="C122" s="112"/>
      <c r="AC122" s="120" t="b">
        <f>AC119=F119+H119+J119+L119+N119+P119+R119+T119+V119+X119+Z119+AB119</f>
        <v>1</v>
      </c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spans="1:3" x14ac:dyDescent="0.25">
      <c r="A316" s="15"/>
      <c r="B316" s="112"/>
      <c r="C316" s="112"/>
    </row>
    <row r="317" ht="15.75" customHeight="1" spans="1:3" x14ac:dyDescent="0.25">
      <c r="A317" s="15"/>
      <c r="B317" s="112"/>
      <c r="C317" s="112"/>
    </row>
    <row r="318" ht="15.75" customHeight="1" spans="1:3" x14ac:dyDescent="0.25">
      <c r="A318" s="15"/>
      <c r="B318" s="112"/>
      <c r="C318" s="112"/>
    </row>
    <row r="319" ht="15.75" customHeight="1" spans="1:3" x14ac:dyDescent="0.25">
      <c r="A319" s="15"/>
      <c r="B319" s="112"/>
      <c r="C319" s="112"/>
    </row>
    <row r="320" ht="15.75" customHeight="1" spans="1:3" x14ac:dyDescent="0.25">
      <c r="A320" s="15"/>
      <c r="B320" s="112"/>
      <c r="C320" s="112"/>
    </row>
    <row r="321" ht="15.75" customHeight="1" spans="1:3" x14ac:dyDescent="0.25">
      <c r="A321" s="15"/>
      <c r="B321" s="112"/>
      <c r="C321" s="112"/>
    </row>
    <row r="322" ht="15.75" customHeight="1" spans="1:3" x14ac:dyDescent="0.25">
      <c r="A322" s="15"/>
      <c r="B322" s="112"/>
      <c r="C322" s="112"/>
    </row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B$4:$AC$121"/>
  <mergeCells count="12"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</mergeCells>
  <pageMargins left="0.196527777777778" right="0" top="0.196527777777778" bottom="0.196527777777778" header="0" footer="0"/>
  <pageSetup paperSize="9" orientation="landscape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K1054"/>
  <sheetViews>
    <sheetView workbookViewId="0" zoomScale="100" zoomScaleNormal="100">
      <pane xSplit="8" ySplit="6" topLeftCell="I7" activePane="bottomRight" state="frozen"/>
      <selection pane="bottomRight" activeCell="I7" sqref="I7"/>
    </sheetView>
  </sheetViews>
  <sheetFormatPr defaultRowHeight="15" outlineLevelRow="0" outlineLevelCol="2" x14ac:dyDescent="0" defaultColWidth="14.43"/>
  <cols>
    <col min="1" max="2" width="7.14" customWidth="1"/>
    <col min="3" max="3" width="18" customWidth="1"/>
    <col min="4" max="4" width="11" customWidth="1"/>
    <col min="5" max="7" width="8.86" customWidth="1"/>
    <col min="8" max="8" width="10.43" customWidth="1"/>
    <col min="9" max="10" width="7.86" outlineLevel="1" customWidth="1"/>
    <col min="11" max="12" width="9.14" customWidth="1"/>
    <col min="13" max="14" width="7.86" outlineLevel="1" customWidth="1"/>
    <col min="15" max="15" width="10" customWidth="1"/>
    <col min="16" max="16" width="9.14" customWidth="1"/>
    <col min="17" max="18" width="7.86" outlineLevel="1" customWidth="1"/>
    <col min="19" max="20" width="9.14" customWidth="1"/>
    <col min="21" max="22" width="7.86" outlineLevel="1" customWidth="1"/>
    <col min="23" max="24" width="9.14" customWidth="1"/>
    <col min="25" max="26" width="7.86" outlineLevel="2" collapsed="1" customWidth="1"/>
    <col min="27" max="27" width="10.86" customWidth="1"/>
    <col min="28" max="28" width="9.14" customWidth="1"/>
    <col min="29" max="30" width="7.86" outlineLevel="1" customWidth="1"/>
    <col min="31" max="32" width="10.14" customWidth="1"/>
    <col min="33" max="34" width="7.86" outlineLevel="1" customWidth="1"/>
    <col min="35" max="35" width="8.86" customWidth="1"/>
    <col min="36" max="36" width="9.57" customWidth="1"/>
    <col min="37" max="38" width="7.86" outlineLevel="2" collapsed="1" customWidth="1"/>
    <col min="39" max="39" width="10.86" customWidth="1"/>
    <col min="40" max="40" width="9.86" customWidth="1"/>
    <col min="41" max="42" width="7.86" outlineLevel="1" customWidth="1"/>
    <col min="43" max="44" width="10.86" customWidth="1"/>
    <col min="45" max="46" width="10.86" outlineLevel="1" customWidth="1"/>
    <col min="47" max="48" width="10.86" customWidth="1"/>
    <col min="49" max="50" width="10.86" outlineLevel="2" collapsed="1" customWidth="1"/>
    <col min="51" max="52" width="10.86" outlineLevel="1" customWidth="1"/>
    <col min="53" max="54" width="10.86" outlineLevel="2" collapsed="1" customWidth="1"/>
    <col min="55" max="56" width="10.86" outlineLevel="1" customWidth="1"/>
    <col min="57" max="58" width="10.86" customWidth="1"/>
    <col min="59" max="59" width="11.57" customWidth="1"/>
    <col min="60" max="60" width="11.14" customWidth="1"/>
    <col min="61" max="61" width="10.43" outlineLevel="1" customWidth="1"/>
    <col min="62" max="62" width="8.14" outlineLevel="1" customWidth="1"/>
    <col min="63" max="63" width="8.86" outlineLevel="1" customWidth="1"/>
  </cols>
  <sheetData>
    <row r="1" spans="2:29" x14ac:dyDescent="0.25">
      <c r="B1" s="1" t="s">
        <v>0</v>
      </c>
      <c r="F1" s="2" t="s">
        <v>531</v>
      </c>
      <c r="AC1" s="154" t="s">
        <v>484</v>
      </c>
    </row>
    <row r="2" spans="2:29" x14ac:dyDescent="0.25">
      <c r="B2" s="1"/>
      <c r="AC2" s="2" t="s">
        <v>485</v>
      </c>
    </row>
    <row r="3" spans="1:63" x14ac:dyDescent="0.25">
      <c r="A3" s="3" t="s">
        <v>2</v>
      </c>
      <c r="B3" s="4" t="s">
        <v>3</v>
      </c>
      <c r="C3" s="5" t="s">
        <v>4</v>
      </c>
      <c r="D3" s="4" t="s">
        <v>5</v>
      </c>
      <c r="E3" s="5" t="s">
        <v>6</v>
      </c>
      <c r="F3" s="6" t="s">
        <v>7</v>
      </c>
      <c r="G3" s="7"/>
      <c r="H3" s="128" t="s">
        <v>8</v>
      </c>
      <c r="I3" s="8" t="s">
        <v>9</v>
      </c>
      <c r="J3" s="9"/>
      <c r="K3" s="9"/>
      <c r="L3" s="7"/>
      <c r="M3" s="10" t="s">
        <v>10</v>
      </c>
      <c r="N3" s="9"/>
      <c r="O3" s="9"/>
      <c r="P3" s="9"/>
      <c r="Q3" s="8" t="s">
        <v>11</v>
      </c>
      <c r="R3" s="9"/>
      <c r="S3" s="9"/>
      <c r="T3" s="7"/>
      <c r="U3" s="10" t="s">
        <v>12</v>
      </c>
      <c r="V3" s="9"/>
      <c r="W3" s="9"/>
      <c r="X3" s="9"/>
      <c r="Y3" s="129" t="s">
        <v>13</v>
      </c>
      <c r="Z3" s="9"/>
      <c r="AA3" s="9"/>
      <c r="AB3" s="7"/>
      <c r="AC3" s="130" t="s">
        <v>14</v>
      </c>
      <c r="AD3" s="9"/>
      <c r="AE3" s="9"/>
      <c r="AF3" s="9"/>
      <c r="AG3" s="8" t="s">
        <v>15</v>
      </c>
      <c r="AH3" s="9"/>
      <c r="AI3" s="9"/>
      <c r="AJ3" s="7"/>
      <c r="AK3" s="8" t="s">
        <v>16</v>
      </c>
      <c r="AL3" s="9"/>
      <c r="AM3" s="9"/>
      <c r="AN3" s="7"/>
      <c r="AO3" s="173" t="s">
        <v>17</v>
      </c>
      <c r="AP3" s="9"/>
      <c r="AQ3" s="9"/>
      <c r="AR3" s="7"/>
      <c r="AS3" s="10" t="s">
        <v>18</v>
      </c>
      <c r="AT3" s="9"/>
      <c r="AU3" s="9"/>
      <c r="AV3" s="9"/>
      <c r="AW3" s="8" t="s">
        <v>19</v>
      </c>
      <c r="AX3" s="9"/>
      <c r="AY3" s="9"/>
      <c r="AZ3" s="7"/>
      <c r="BA3" s="10" t="s">
        <v>20</v>
      </c>
      <c r="BB3" s="9"/>
      <c r="BC3" s="9"/>
      <c r="BD3" s="9"/>
      <c r="BE3" s="8" t="s">
        <v>21</v>
      </c>
      <c r="BF3" s="9"/>
      <c r="BG3" s="9"/>
      <c r="BH3" s="7"/>
      <c r="BI3" s="11" t="s">
        <v>22</v>
      </c>
      <c r="BJ3" s="157"/>
      <c r="BK3" s="12"/>
    </row>
    <row r="4" spans="1:63" x14ac:dyDescent="0.25">
      <c r="A4" s="13" t="s">
        <v>23</v>
      </c>
      <c r="B4" s="14" t="s">
        <v>24</v>
      </c>
      <c r="C4" s="15" t="s">
        <v>25</v>
      </c>
      <c r="D4" s="14" t="s">
        <v>26</v>
      </c>
      <c r="E4" s="15"/>
      <c r="F4" s="14" t="s">
        <v>27</v>
      </c>
      <c r="G4" s="14" t="s">
        <v>377</v>
      </c>
      <c r="H4" s="81" t="s">
        <v>29</v>
      </c>
      <c r="I4" s="4" t="s">
        <v>30</v>
      </c>
      <c r="J4" s="4" t="s">
        <v>3</v>
      </c>
      <c r="K4" s="4" t="s">
        <v>31</v>
      </c>
      <c r="L4" s="4" t="s">
        <v>32</v>
      </c>
      <c r="M4" s="5" t="s">
        <v>30</v>
      </c>
      <c r="N4" s="4" t="s">
        <v>3</v>
      </c>
      <c r="O4" s="16" t="s">
        <v>31</v>
      </c>
      <c r="P4" s="3" t="s">
        <v>32</v>
      </c>
      <c r="Q4" s="4" t="s">
        <v>30</v>
      </c>
      <c r="R4" s="4" t="s">
        <v>3</v>
      </c>
      <c r="S4" s="4" t="s">
        <v>31</v>
      </c>
      <c r="T4" s="4" t="s">
        <v>32</v>
      </c>
      <c r="U4" s="16" t="s">
        <v>30</v>
      </c>
      <c r="V4" s="4" t="s">
        <v>3</v>
      </c>
      <c r="W4" s="4" t="s">
        <v>31</v>
      </c>
      <c r="X4" s="3" t="s">
        <v>32</v>
      </c>
      <c r="Y4" s="4" t="s">
        <v>30</v>
      </c>
      <c r="Z4" s="4" t="s">
        <v>3</v>
      </c>
      <c r="AA4" s="4" t="s">
        <v>31</v>
      </c>
      <c r="AB4" s="4" t="s">
        <v>32</v>
      </c>
      <c r="AC4" s="16" t="s">
        <v>30</v>
      </c>
      <c r="AD4" s="4" t="s">
        <v>3</v>
      </c>
      <c r="AE4" s="4" t="s">
        <v>31</v>
      </c>
      <c r="AF4" s="3" t="s">
        <v>32</v>
      </c>
      <c r="AG4" s="4" t="s">
        <v>30</v>
      </c>
      <c r="AH4" s="4" t="s">
        <v>3</v>
      </c>
      <c r="AI4" s="4" t="s">
        <v>31</v>
      </c>
      <c r="AJ4" s="4" t="s">
        <v>32</v>
      </c>
      <c r="AK4" s="4" t="s">
        <v>30</v>
      </c>
      <c r="AL4" s="4" t="s">
        <v>3</v>
      </c>
      <c r="AM4" s="4" t="s">
        <v>31</v>
      </c>
      <c r="AN4" s="4" t="s">
        <v>32</v>
      </c>
      <c r="AO4" s="4" t="s">
        <v>30</v>
      </c>
      <c r="AP4" s="4" t="s">
        <v>3</v>
      </c>
      <c r="AQ4" s="4" t="s">
        <v>31</v>
      </c>
      <c r="AR4" s="4" t="s">
        <v>32</v>
      </c>
      <c r="AS4" s="16" t="s">
        <v>30</v>
      </c>
      <c r="AT4" s="4" t="s">
        <v>3</v>
      </c>
      <c r="AU4" s="4" t="s">
        <v>31</v>
      </c>
      <c r="AV4" s="3" t="s">
        <v>32</v>
      </c>
      <c r="AW4" s="4" t="s">
        <v>30</v>
      </c>
      <c r="AX4" s="4" t="s">
        <v>3</v>
      </c>
      <c r="AY4" s="4" t="s">
        <v>31</v>
      </c>
      <c r="AZ4" s="4" t="s">
        <v>32</v>
      </c>
      <c r="BA4" s="16" t="s">
        <v>30</v>
      </c>
      <c r="BB4" s="4" t="s">
        <v>3</v>
      </c>
      <c r="BC4" s="4" t="s">
        <v>31</v>
      </c>
      <c r="BD4" s="3" t="s">
        <v>32</v>
      </c>
      <c r="BE4" s="4" t="s">
        <v>3</v>
      </c>
      <c r="BF4" s="17" t="s">
        <v>33</v>
      </c>
      <c r="BG4" s="17" t="s">
        <v>34</v>
      </c>
      <c r="BH4" s="17" t="s">
        <v>35</v>
      </c>
      <c r="BI4" s="18"/>
      <c r="BJ4"/>
      <c r="BK4" s="19"/>
    </row>
    <row r="5" spans="1:63" x14ac:dyDescent="0.25">
      <c r="A5" s="20"/>
      <c r="B5" s="21" t="s">
        <v>36</v>
      </c>
      <c r="C5" s="22"/>
      <c r="D5" s="21"/>
      <c r="E5" s="22"/>
      <c r="F5" s="21" t="s">
        <v>378</v>
      </c>
      <c r="G5" s="21" t="s">
        <v>378</v>
      </c>
      <c r="H5" s="131" t="s">
        <v>38</v>
      </c>
      <c r="I5" s="21"/>
      <c r="J5" s="21"/>
      <c r="K5" s="21" t="s">
        <v>39</v>
      </c>
      <c r="L5" s="21"/>
      <c r="M5" s="22"/>
      <c r="N5" s="21"/>
      <c r="O5" s="23" t="s">
        <v>39</v>
      </c>
      <c r="P5" s="20"/>
      <c r="Q5" s="21"/>
      <c r="R5" s="21"/>
      <c r="S5" s="21" t="s">
        <v>39</v>
      </c>
      <c r="T5" s="21"/>
      <c r="U5" s="23"/>
      <c r="V5" s="21"/>
      <c r="W5" s="21" t="s">
        <v>39</v>
      </c>
      <c r="X5" s="20"/>
      <c r="Y5" s="21"/>
      <c r="Z5" s="21"/>
      <c r="AA5" s="21" t="s">
        <v>39</v>
      </c>
      <c r="AB5" s="21"/>
      <c r="AC5" s="23"/>
      <c r="AD5" s="21"/>
      <c r="AE5" s="21" t="s">
        <v>39</v>
      </c>
      <c r="AF5" s="20"/>
      <c r="AG5" s="21"/>
      <c r="AH5" s="21"/>
      <c r="AI5" s="21" t="s">
        <v>39</v>
      </c>
      <c r="AJ5" s="21"/>
      <c r="AK5" s="21"/>
      <c r="AL5" s="21"/>
      <c r="AM5" s="21" t="s">
        <v>39</v>
      </c>
      <c r="AN5" s="21"/>
      <c r="AO5" s="21"/>
      <c r="AP5" s="21"/>
      <c r="AQ5" s="21" t="s">
        <v>39</v>
      </c>
      <c r="AR5" s="21"/>
      <c r="AS5" s="23"/>
      <c r="AT5" s="21"/>
      <c r="AU5" s="21" t="s">
        <v>39</v>
      </c>
      <c r="AV5" s="20"/>
      <c r="AW5" s="21"/>
      <c r="AX5" s="21"/>
      <c r="AY5" s="21" t="s">
        <v>39</v>
      </c>
      <c r="AZ5" s="21"/>
      <c r="BA5" s="23"/>
      <c r="BB5" s="21"/>
      <c r="BC5" s="21" t="s">
        <v>39</v>
      </c>
      <c r="BD5" s="20"/>
      <c r="BE5" s="21"/>
      <c r="BF5" s="21"/>
      <c r="BG5" s="21"/>
      <c r="BH5" s="24" t="s">
        <v>40</v>
      </c>
      <c r="BI5" s="25"/>
      <c r="BJ5" s="174"/>
      <c r="BK5" s="26"/>
    </row>
    <row r="6" spans="1:60" x14ac:dyDescent="0.25">
      <c r="A6" s="1" t="s">
        <v>41</v>
      </c>
      <c r="B6" s="27"/>
      <c r="C6" s="15"/>
      <c r="D6" s="14"/>
      <c r="E6" s="15"/>
      <c r="F6" s="13"/>
      <c r="G6" s="28"/>
      <c r="H6" s="15"/>
      <c r="I6" s="13"/>
      <c r="J6" s="15"/>
      <c r="K6" s="15"/>
      <c r="L6" s="28"/>
      <c r="M6" s="15"/>
      <c r="N6" s="15"/>
      <c r="O6" s="15"/>
      <c r="P6" s="15"/>
      <c r="Q6" s="13"/>
      <c r="R6" s="15"/>
      <c r="S6" s="15"/>
      <c r="T6" s="28"/>
      <c r="U6" s="15"/>
      <c r="V6" s="15"/>
      <c r="W6" s="15"/>
      <c r="X6" s="15"/>
      <c r="Y6" s="13"/>
      <c r="Z6" s="15"/>
      <c r="AA6" s="15"/>
      <c r="AB6" s="28"/>
      <c r="AC6" s="15"/>
      <c r="AD6" s="15"/>
      <c r="AE6" s="15"/>
      <c r="AF6" s="15"/>
      <c r="AG6" s="13"/>
      <c r="AH6" s="15"/>
      <c r="AI6" s="15"/>
      <c r="AJ6" s="15"/>
      <c r="AK6" s="3"/>
      <c r="AL6" s="15"/>
      <c r="AM6" s="3"/>
      <c r="AN6" s="28"/>
      <c r="AO6" s="13"/>
      <c r="AP6" s="15"/>
      <c r="AQ6" s="15"/>
      <c r="AR6" s="15"/>
      <c r="AS6" s="3"/>
      <c r="AT6" s="15"/>
      <c r="AU6" s="15"/>
      <c r="AV6" s="15"/>
      <c r="AW6" s="13"/>
      <c r="AX6" s="15"/>
      <c r="AY6" s="15"/>
      <c r="AZ6" s="28"/>
      <c r="BA6" s="15"/>
      <c r="BB6" s="15"/>
      <c r="BC6" s="15"/>
      <c r="BD6" s="15"/>
      <c r="BE6" s="14"/>
      <c r="BF6" s="13"/>
      <c r="BG6" s="15"/>
      <c r="BH6" s="28"/>
    </row>
    <row r="7" ht="14.25" customHeight="1" spans="1:63" x14ac:dyDescent="0.25">
      <c r="A7" s="175">
        <v>1</v>
      </c>
      <c r="B7" s="27"/>
      <c r="C7" s="15"/>
      <c r="D7" s="14" t="s">
        <v>379</v>
      </c>
      <c r="E7" s="15"/>
      <c r="F7" s="13"/>
      <c r="G7" s="28"/>
      <c r="H7" s="34">
        <f>'2020'!BH7</f>
        <v>0</v>
      </c>
      <c r="I7" s="13"/>
      <c r="J7" s="15"/>
      <c r="K7" s="15"/>
      <c r="L7" s="28"/>
      <c r="M7" s="13"/>
      <c r="N7" s="15"/>
      <c r="O7" s="15"/>
      <c r="P7" s="15"/>
      <c r="Q7" s="13"/>
      <c r="R7" s="15"/>
      <c r="S7" s="15"/>
      <c r="T7" s="28"/>
      <c r="U7" s="13"/>
      <c r="V7" s="15"/>
      <c r="W7" s="15"/>
      <c r="X7" s="15"/>
      <c r="Y7" s="186"/>
      <c r="Z7" s="2"/>
      <c r="AA7" s="15"/>
      <c r="AB7" s="28"/>
      <c r="AC7" s="15"/>
      <c r="AD7" s="15"/>
      <c r="AE7" s="15"/>
      <c r="AF7" s="15"/>
      <c r="AG7" s="15"/>
      <c r="AH7" s="2"/>
      <c r="AI7" s="15"/>
      <c r="AJ7" s="15"/>
      <c r="AK7" s="13"/>
      <c r="AL7" s="15"/>
      <c r="AM7" s="15"/>
      <c r="AN7" s="15"/>
      <c r="AO7" s="13"/>
      <c r="AP7" s="15"/>
      <c r="AQ7" s="15"/>
      <c r="AR7" s="15"/>
      <c r="AS7" s="13"/>
      <c r="AT7" s="15"/>
      <c r="AU7" s="15"/>
      <c r="AV7" s="15"/>
      <c r="AW7" s="13"/>
      <c r="AX7" s="15"/>
      <c r="AZ7" s="28"/>
      <c r="BA7" s="13"/>
      <c r="BB7" s="15"/>
      <c r="BC7" s="15"/>
      <c r="BD7" s="15"/>
      <c r="BE7" s="14"/>
      <c r="BF7" s="41">
        <f t="shared" ref="BF7:BG7" si="0">K7+O7+S7+W7+AA7+AE7+AI7+AM7+AQ7+AU7+AY7+BC7</f>
        <v>0</v>
      </c>
      <c r="BG7" s="34">
        <f t="shared" si="0"/>
        <v>0</v>
      </c>
      <c r="BH7" s="35">
        <f t="shared" ref="BH7:BH15" si="1">H7+BF7-BG7</f>
        <v>0</v>
      </c>
      <c r="BK7" s="2" t="b">
        <f>H7='2020'!BH7</f>
        <v>1</v>
      </c>
    </row>
    <row r="8" ht="14.25" customHeight="1" spans="1:63" x14ac:dyDescent="0.25">
      <c r="A8" s="176">
        <v>1</v>
      </c>
      <c r="B8" s="30">
        <v>4</v>
      </c>
      <c r="C8" s="2" t="s">
        <v>43</v>
      </c>
      <c r="D8" s="14" t="s">
        <v>44</v>
      </c>
      <c r="E8" s="2" t="s">
        <v>45</v>
      </c>
      <c r="F8" s="46">
        <v>2.6</v>
      </c>
      <c r="G8" s="298">
        <v>2.7</v>
      </c>
      <c r="H8" s="34">
        <f>'2020'!BH8</f>
        <v>1977.11</v>
      </c>
      <c r="I8" s="75">
        <v>5601</v>
      </c>
      <c r="J8" s="15">
        <f>I8-'2020'!BA8</f>
        <v>49</v>
      </c>
      <c r="K8" s="34">
        <f t="shared" ref="K8:K9" si="2">J8*$F$8</f>
        <v>127.4</v>
      </c>
      <c r="L8" s="28"/>
      <c r="M8" s="75">
        <v>5691</v>
      </c>
      <c r="N8" s="15">
        <f t="shared" ref="N8:N9" si="3">M8-I8</f>
        <v>90</v>
      </c>
      <c r="O8" s="34">
        <f t="shared" ref="O8:O9" si="4">N8*$F$8</f>
        <v>234</v>
      </c>
      <c r="P8" s="15"/>
      <c r="Q8" s="13">
        <v>5744</v>
      </c>
      <c r="R8" s="15">
        <f t="shared" ref="R8:R9" si="5">Q8-M8</f>
        <v>53</v>
      </c>
      <c r="S8" s="34">
        <f t="shared" ref="S8:S9" si="6">R8*$F$8</f>
        <v>137.8</v>
      </c>
      <c r="T8" s="35"/>
      <c r="U8" s="13">
        <v>5806</v>
      </c>
      <c r="V8" s="15">
        <f t="shared" ref="V8:V9" si="7">U8-Q8</f>
        <v>62</v>
      </c>
      <c r="W8" s="34">
        <f t="shared" ref="W8:W9" si="8">V8*$F$8</f>
        <v>161.2</v>
      </c>
      <c r="X8" s="34"/>
      <c r="Y8" s="186">
        <v>5809</v>
      </c>
      <c r="Z8" s="2">
        <f t="shared" ref="Z8:Z9" si="9">Y8-U8</f>
        <v>3</v>
      </c>
      <c r="AA8" s="34">
        <f t="shared" ref="AA8:AA9" si="10">Z8*$F$8</f>
        <v>7.8</v>
      </c>
      <c r="AB8" s="35"/>
      <c r="AC8" s="13">
        <v>5853</v>
      </c>
      <c r="AD8" s="15">
        <f t="shared" ref="AD8:AD9" si="11">AC8-Y8</f>
        <v>44</v>
      </c>
      <c r="AE8" s="180">
        <f>AD8*$F$8</f>
        <v>114.4</v>
      </c>
      <c r="AF8" s="180"/>
      <c r="AG8" s="13">
        <v>5909</v>
      </c>
      <c r="AH8" s="2">
        <f t="shared" ref="AH8:AH9" si="12">AG8-AC8</f>
        <v>56</v>
      </c>
      <c r="AI8" s="45">
        <f t="shared" ref="AI8:AI9" si="13">AH8*$G$8</f>
        <v>151.2</v>
      </c>
      <c r="AJ8" s="39"/>
      <c r="AK8" s="13">
        <v>5965</v>
      </c>
      <c r="AL8" s="15">
        <f t="shared" ref="AL8:AL9" si="14">AK8-AG8</f>
        <v>56</v>
      </c>
      <c r="AM8" s="45">
        <f t="shared" ref="AM8:AM9" si="15">AL8*$G$8</f>
        <v>151.2</v>
      </c>
      <c r="AN8" s="34"/>
      <c r="AO8" s="13">
        <v>6012</v>
      </c>
      <c r="AP8" s="15">
        <f t="shared" ref="AP8:AP9" si="16">AO8-AK8</f>
        <v>47</v>
      </c>
      <c r="AQ8" s="45">
        <f t="shared" ref="AQ8:AQ9" si="17">AP8*$G$8</f>
        <v>126.9</v>
      </c>
      <c r="AR8" s="34"/>
      <c r="AS8" s="13">
        <v>6067</v>
      </c>
      <c r="AT8" s="15">
        <f t="shared" ref="AT8:AT9" si="18">AS8-AO8</f>
        <v>55</v>
      </c>
      <c r="AU8" s="45">
        <f t="shared" ref="AU8:AU9" si="19">AT8*$G$8</f>
        <v>148.5</v>
      </c>
      <c r="AV8" s="34"/>
      <c r="AW8" s="13">
        <v>6159</v>
      </c>
      <c r="AX8" s="15">
        <f t="shared" ref="AX8:AX9" si="20">AW8-AS8</f>
        <v>92</v>
      </c>
      <c r="AY8" s="45">
        <f t="shared" ref="AY8:AY9" si="21">AX8*$G$8</f>
        <v>248.4</v>
      </c>
      <c r="AZ8" s="35"/>
      <c r="BA8" s="13">
        <v>6215</v>
      </c>
      <c r="BB8" s="15">
        <f t="shared" ref="BB8:BB9" si="22">BA8-AW8</f>
        <v>56</v>
      </c>
      <c r="BC8" s="45">
        <f t="shared" ref="BC8:BC9" si="23">BB8*$G$8</f>
        <v>151.2</v>
      </c>
      <c r="BD8" s="34"/>
      <c r="BE8" s="40">
        <f t="shared" ref="BE8:BG8" si="24">J8+N8+R8+V8+Z8+AD8+AH8+AL8+AP8+AT8+AX8+BB8</f>
        <v>663</v>
      </c>
      <c r="BF8" s="41">
        <f t="shared" si="24"/>
        <v>1760</v>
      </c>
      <c r="BG8" s="34">
        <f t="shared" si="24"/>
        <v>0</v>
      </c>
      <c r="BH8" s="35">
        <f t="shared" si="1"/>
        <v>3737.11</v>
      </c>
      <c r="BK8" s="2" t="b">
        <f>H8='2020'!BH8</f>
        <v>1</v>
      </c>
    </row>
    <row r="9" ht="14.25" customHeight="1" spans="1:63" x14ac:dyDescent="0.25">
      <c r="A9" s="176">
        <v>1</v>
      </c>
      <c r="B9" s="42"/>
      <c r="D9" s="43" t="s">
        <v>46</v>
      </c>
      <c r="E9" s="2" t="s">
        <v>45</v>
      </c>
      <c r="F9" s="46">
        <v>2.6</v>
      </c>
      <c r="G9" s="298">
        <v>2.7</v>
      </c>
      <c r="H9" s="34">
        <f>'2020'!BH9</f>
        <v>-255.89</v>
      </c>
      <c r="I9" s="13"/>
      <c r="J9" s="81"/>
      <c r="K9" s="34">
        <f t="shared" si="2"/>
        <v>0</v>
      </c>
      <c r="L9" s="28"/>
      <c r="M9" s="13"/>
      <c r="N9" s="15">
        <f t="shared" si="3"/>
        <v>0</v>
      </c>
      <c r="O9" s="34">
        <f t="shared" si="4"/>
        <v>0</v>
      </c>
      <c r="P9" s="15"/>
      <c r="Q9" s="13"/>
      <c r="R9" s="15">
        <f t="shared" si="5"/>
        <v>0</v>
      </c>
      <c r="S9" s="34">
        <f t="shared" si="6"/>
        <v>0</v>
      </c>
      <c r="T9" s="28"/>
      <c r="U9" s="13"/>
      <c r="V9" s="15">
        <f t="shared" si="7"/>
        <v>0</v>
      </c>
      <c r="W9" s="34">
        <f t="shared" si="8"/>
        <v>0</v>
      </c>
      <c r="X9" s="34"/>
      <c r="Y9" s="186"/>
      <c r="Z9" s="2">
        <f t="shared" si="9"/>
        <v>0</v>
      </c>
      <c r="AA9" s="34">
        <f t="shared" si="10"/>
        <v>0</v>
      </c>
      <c r="AB9" s="35"/>
      <c r="AC9" s="15"/>
      <c r="AD9" s="15">
        <f t="shared" si="11"/>
        <v>0</v>
      </c>
      <c r="AE9" s="45">
        <f>AD9*$G$8</f>
        <v>0</v>
      </c>
      <c r="AF9" s="34"/>
      <c r="AG9" s="15">
        <v>0</v>
      </c>
      <c r="AH9" s="2">
        <f t="shared" si="12"/>
        <v>0</v>
      </c>
      <c r="AI9" s="45">
        <f t="shared" si="13"/>
        <v>0</v>
      </c>
      <c r="AJ9" s="39"/>
      <c r="AK9" s="13">
        <v>0</v>
      </c>
      <c r="AL9" s="15">
        <f t="shared" si="14"/>
        <v>0</v>
      </c>
      <c r="AM9" s="45">
        <f t="shared" si="15"/>
        <v>0</v>
      </c>
      <c r="AN9" s="34"/>
      <c r="AO9" s="13">
        <v>0</v>
      </c>
      <c r="AP9" s="15">
        <f t="shared" si="16"/>
        <v>0</v>
      </c>
      <c r="AQ9" s="45">
        <f t="shared" si="17"/>
        <v>0</v>
      </c>
      <c r="AR9" s="34"/>
      <c r="AS9" s="13"/>
      <c r="AT9" s="15">
        <f t="shared" si="18"/>
        <v>0</v>
      </c>
      <c r="AU9" s="45">
        <f t="shared" si="19"/>
        <v>0</v>
      </c>
      <c r="AV9" s="34"/>
      <c r="AW9" s="13"/>
      <c r="AX9" s="15">
        <f t="shared" si="20"/>
        <v>0</v>
      </c>
      <c r="AY9" s="45">
        <f t="shared" si="21"/>
        <v>0</v>
      </c>
      <c r="AZ9" s="35"/>
      <c r="BA9" s="13"/>
      <c r="BB9" s="15">
        <f t="shared" si="22"/>
        <v>0</v>
      </c>
      <c r="BC9" s="45">
        <f t="shared" si="23"/>
        <v>0</v>
      </c>
      <c r="BD9" s="34"/>
      <c r="BE9" s="44">
        <f t="shared" ref="BE9:BG9" si="25">J9+N9+R9+V9+Z9+AD9+AH9+AL9+AP9+AT9+AX9+BB9</f>
        <v>0</v>
      </c>
      <c r="BF9" s="41">
        <f t="shared" si="25"/>
        <v>0</v>
      </c>
      <c r="BG9" s="34">
        <f t="shared" si="25"/>
        <v>0</v>
      </c>
      <c r="BH9" s="35">
        <f t="shared" si="1"/>
        <v>-255.89</v>
      </c>
      <c r="BK9" s="2" t="b">
        <f>H9='2020'!BH9</f>
        <v>1</v>
      </c>
    </row>
    <row r="10" ht="14.25" customHeight="1" spans="1:63" x14ac:dyDescent="0.25">
      <c r="A10" s="176">
        <v>1</v>
      </c>
      <c r="B10" s="14"/>
      <c r="D10" s="14" t="s">
        <v>47</v>
      </c>
      <c r="E10" s="2" t="s">
        <v>48</v>
      </c>
      <c r="F10" s="31">
        <v>19.46</v>
      </c>
      <c r="G10" s="85">
        <v>20.35</v>
      </c>
      <c r="H10" s="34">
        <f>'2020'!BH10</f>
        <v>0</v>
      </c>
      <c r="I10" s="13"/>
      <c r="J10" s="15"/>
      <c r="K10" s="34"/>
      <c r="L10" s="28"/>
      <c r="M10" s="13"/>
      <c r="N10" s="15"/>
      <c r="O10" s="34"/>
      <c r="P10" s="15"/>
      <c r="Q10" s="13"/>
      <c r="R10" s="15"/>
      <c r="S10" s="34"/>
      <c r="T10" s="28"/>
      <c r="U10" s="13"/>
      <c r="V10" s="15"/>
      <c r="W10" s="34"/>
      <c r="X10" s="15"/>
      <c r="Y10" s="186"/>
      <c r="Z10" s="2"/>
      <c r="AA10" s="34">
        <f>Z10*$F$10</f>
        <v>0</v>
      </c>
      <c r="AB10" s="28"/>
      <c r="AC10" s="15"/>
      <c r="AD10" s="15"/>
      <c r="AE10" s="34">
        <f>AD10*$F$10</f>
        <v>0</v>
      </c>
      <c r="AF10" s="15"/>
      <c r="AG10" s="15"/>
      <c r="AH10" s="2"/>
      <c r="AI10" s="45">
        <f>AH10*$G$10</f>
        <v>0</v>
      </c>
      <c r="AJ10" s="15"/>
      <c r="AK10" s="13"/>
      <c r="AL10" s="15"/>
      <c r="AM10" s="45">
        <f>AL10*$G$10</f>
        <v>0</v>
      </c>
      <c r="AN10" s="15"/>
      <c r="AO10" s="13"/>
      <c r="AP10" s="15"/>
      <c r="AQ10" s="45">
        <f>AP10*$G$10</f>
        <v>0</v>
      </c>
      <c r="AR10" s="15"/>
      <c r="AS10" s="13"/>
      <c r="AT10" s="15"/>
      <c r="AU10" s="45">
        <f>AT10*$G$10</f>
        <v>0</v>
      </c>
      <c r="AV10" s="15"/>
      <c r="AW10" s="13"/>
      <c r="AX10" s="15"/>
      <c r="AY10" s="34"/>
      <c r="AZ10" s="28"/>
      <c r="BA10" s="13"/>
      <c r="BB10" s="15"/>
      <c r="BC10" s="34"/>
      <c r="BD10" s="15"/>
      <c r="BE10" s="40">
        <f t="shared" ref="BE10:BG10" si="26">J10+N10+R10+V10+Z10+AD10+AH10+AL10+AP10+AT10+AX10+BB10</f>
        <v>0</v>
      </c>
      <c r="BF10" s="41">
        <f t="shared" si="26"/>
        <v>0</v>
      </c>
      <c r="BG10" s="34">
        <f t="shared" si="26"/>
        <v>0</v>
      </c>
      <c r="BH10" s="35">
        <f t="shared" si="1"/>
        <v>0</v>
      </c>
      <c r="BK10" s="2" t="b">
        <f>H10='2020'!BH10</f>
        <v>1</v>
      </c>
    </row>
    <row r="11" ht="14.25" customHeight="1" spans="1:63" x14ac:dyDescent="0.25">
      <c r="A11" s="176">
        <v>1</v>
      </c>
      <c r="B11" s="14"/>
      <c r="D11" s="14" t="s">
        <v>47</v>
      </c>
      <c r="E11" s="2" t="s">
        <v>49</v>
      </c>
      <c r="F11" s="299">
        <v>500</v>
      </c>
      <c r="G11" s="38">
        <v>500</v>
      </c>
      <c r="H11" s="34">
        <f>'2020'!BH11</f>
        <v>0</v>
      </c>
      <c r="I11" s="13"/>
      <c r="J11" s="15"/>
      <c r="K11" s="34"/>
      <c r="L11" s="28"/>
      <c r="M11" s="13"/>
      <c r="N11" s="15"/>
      <c r="O11" s="34"/>
      <c r="P11" s="15"/>
      <c r="Q11" s="13"/>
      <c r="R11" s="15"/>
      <c r="S11" s="34"/>
      <c r="T11" s="28"/>
      <c r="U11" s="13"/>
      <c r="V11" s="15"/>
      <c r="W11" s="34"/>
      <c r="X11" s="15"/>
      <c r="Y11" s="186"/>
      <c r="Z11" s="2"/>
      <c r="AA11" s="34"/>
      <c r="AB11" s="28"/>
      <c r="AC11" s="15"/>
      <c r="AD11" s="15"/>
      <c r="AE11" s="34"/>
      <c r="AF11" s="15"/>
      <c r="AG11" s="15"/>
      <c r="AH11" s="2"/>
      <c r="AI11" s="34"/>
      <c r="AJ11" s="15"/>
      <c r="AK11" s="13"/>
      <c r="AL11" s="15"/>
      <c r="AM11" s="34"/>
      <c r="AN11" s="15"/>
      <c r="AO11" s="13"/>
      <c r="AP11" s="15"/>
      <c r="AQ11" s="34"/>
      <c r="AR11" s="15"/>
      <c r="AS11" s="13"/>
      <c r="AT11" s="15"/>
      <c r="AU11" s="34"/>
      <c r="AV11" s="15"/>
      <c r="AW11" s="13"/>
      <c r="AX11" s="15"/>
      <c r="AY11" s="34"/>
      <c r="AZ11" s="28"/>
      <c r="BA11" s="13"/>
      <c r="BB11" s="15"/>
      <c r="BC11" s="34"/>
      <c r="BD11" s="15"/>
      <c r="BE11" s="14"/>
      <c r="BF11" s="41">
        <f t="shared" ref="BF11:BG11" si="27">K11+O11+S11+W11+AA11+AE11+AI11+AM11+AQ11+AU11+AY11+BC11</f>
        <v>0</v>
      </c>
      <c r="BG11" s="34">
        <f t="shared" si="27"/>
        <v>0</v>
      </c>
      <c r="BH11" s="35">
        <f t="shared" si="1"/>
        <v>0</v>
      </c>
      <c r="BK11" s="2" t="b">
        <f>H11='2020'!BH11</f>
        <v>1</v>
      </c>
    </row>
    <row r="12" ht="14.25" customHeight="1" spans="1:63" x14ac:dyDescent="0.25">
      <c r="A12" s="176">
        <v>1</v>
      </c>
      <c r="B12" s="14"/>
      <c r="D12" s="14" t="s">
        <v>50</v>
      </c>
      <c r="E12" s="2" t="s">
        <v>49</v>
      </c>
      <c r="F12" s="299">
        <v>1100</v>
      </c>
      <c r="G12" s="38" t="s">
        <v>532</v>
      </c>
      <c r="H12" s="34">
        <f>'2020'!BH12</f>
        <v>0</v>
      </c>
      <c r="I12" s="13"/>
      <c r="J12" s="15"/>
      <c r="K12" s="15"/>
      <c r="L12" s="28"/>
      <c r="M12" s="13"/>
      <c r="N12" s="15"/>
      <c r="O12" s="15"/>
      <c r="P12" s="15"/>
      <c r="Q12" s="13"/>
      <c r="R12" s="15"/>
      <c r="S12" s="15"/>
      <c r="T12" s="28"/>
      <c r="U12" s="13"/>
      <c r="V12" s="15"/>
      <c r="W12" s="15"/>
      <c r="X12" s="15"/>
      <c r="Y12" s="186"/>
      <c r="Z12" s="2"/>
      <c r="AA12" s="15"/>
      <c r="AB12" s="28"/>
      <c r="AC12" s="15"/>
      <c r="AD12" s="15"/>
      <c r="AE12" s="34"/>
      <c r="AF12" s="180"/>
      <c r="AG12" s="15"/>
      <c r="AH12" s="2"/>
      <c r="AI12" s="15"/>
      <c r="AJ12" s="15"/>
      <c r="AK12" s="13"/>
      <c r="AL12" s="15"/>
      <c r="AM12" s="15"/>
      <c r="AN12" s="15"/>
      <c r="AO12" s="13"/>
      <c r="AP12" s="15"/>
      <c r="AQ12" s="15"/>
      <c r="AR12" s="15"/>
      <c r="AS12" s="13"/>
      <c r="AT12" s="15"/>
      <c r="AU12" s="15"/>
      <c r="AV12" s="15"/>
      <c r="AW12" s="13"/>
      <c r="AX12" s="15"/>
      <c r="AZ12" s="28"/>
      <c r="BA12" s="13"/>
      <c r="BB12" s="15"/>
      <c r="BC12" s="15"/>
      <c r="BD12" s="15"/>
      <c r="BE12" s="14"/>
      <c r="BF12" s="41">
        <f t="shared" ref="BF12:BG12" si="28">K12+O12+S12+W12+AA12+AE12+AI12+AM12+AQ12+AU12+AY12+BC12</f>
        <v>0</v>
      </c>
      <c r="BG12" s="34">
        <f t="shared" si="28"/>
        <v>0</v>
      </c>
      <c r="BH12" s="35">
        <f t="shared" si="1"/>
        <v>0</v>
      </c>
      <c r="BK12" s="2" t="b">
        <f>H12='2020'!BH12</f>
        <v>1</v>
      </c>
    </row>
    <row r="13" ht="14.25" customHeight="1" spans="1:63" x14ac:dyDescent="0.25">
      <c r="A13" s="176">
        <v>1</v>
      </c>
      <c r="B13" s="14"/>
      <c r="D13" s="14" t="s">
        <v>51</v>
      </c>
      <c r="E13" s="2" t="s">
        <v>39</v>
      </c>
      <c r="F13" s="299"/>
      <c r="G13" s="38"/>
      <c r="H13" s="34">
        <f>'2020'!BH13</f>
        <v>0</v>
      </c>
      <c r="I13" s="13"/>
      <c r="J13" s="15"/>
      <c r="K13" s="34"/>
      <c r="L13" s="28"/>
      <c r="M13" s="13"/>
      <c r="N13" s="15"/>
      <c r="O13" s="34"/>
      <c r="P13" s="34"/>
      <c r="Q13" s="13"/>
      <c r="R13" s="15"/>
      <c r="S13" s="34"/>
      <c r="T13" s="35"/>
      <c r="U13" s="13"/>
      <c r="V13" s="15"/>
      <c r="W13" s="15"/>
      <c r="X13" s="34"/>
      <c r="Y13" s="186"/>
      <c r="Z13" s="2"/>
      <c r="AA13" s="15"/>
      <c r="AB13" s="28"/>
      <c r="AC13" s="15"/>
      <c r="AD13" s="15"/>
      <c r="AE13" s="15"/>
      <c r="AF13" s="15"/>
      <c r="AG13" s="15"/>
      <c r="AH13" s="2"/>
      <c r="AI13" s="15"/>
      <c r="AJ13" s="15"/>
      <c r="AK13" s="13"/>
      <c r="AL13" s="15"/>
      <c r="AM13" s="15"/>
      <c r="AN13" s="15"/>
      <c r="AO13" s="13"/>
      <c r="AP13" s="15"/>
      <c r="AQ13" s="15"/>
      <c r="AR13" s="15"/>
      <c r="AS13" s="13"/>
      <c r="AT13" s="15"/>
      <c r="AU13" s="15"/>
      <c r="AV13" s="15"/>
      <c r="AW13" s="13"/>
      <c r="AX13" s="15"/>
      <c r="AZ13" s="28"/>
      <c r="BA13" s="13"/>
      <c r="BB13" s="15"/>
      <c r="BC13" s="34"/>
      <c r="BD13" s="34"/>
      <c r="BE13" s="14"/>
      <c r="BF13" s="82">
        <f t="shared" ref="BF13:BG13" si="29">K13+O13+S13+W13+AA13+AE13+AI13+AM13+AQ13+AU13+AY13+BC13</f>
        <v>0</v>
      </c>
      <c r="BG13" s="34">
        <f t="shared" si="29"/>
        <v>0</v>
      </c>
      <c r="BH13" s="35">
        <f t="shared" si="1"/>
        <v>0</v>
      </c>
      <c r="BK13" s="2" t="b">
        <f>H13='2020'!BH13</f>
        <v>1</v>
      </c>
    </row>
    <row r="14" ht="14.25" customHeight="1" spans="1:63" x14ac:dyDescent="0.25">
      <c r="A14" s="176">
        <v>1</v>
      </c>
      <c r="B14" s="14"/>
      <c r="D14" s="14" t="s">
        <v>51</v>
      </c>
      <c r="E14" s="2" t="s">
        <v>49</v>
      </c>
      <c r="F14" s="299"/>
      <c r="G14" s="38"/>
      <c r="H14" s="34">
        <f>'2020'!BH14</f>
        <v>0</v>
      </c>
      <c r="I14" s="13"/>
      <c r="J14" s="15"/>
      <c r="K14" s="34"/>
      <c r="L14" s="28"/>
      <c r="M14" s="13"/>
      <c r="N14" s="15"/>
      <c r="O14" s="34"/>
      <c r="P14" s="34"/>
      <c r="Q14" s="13"/>
      <c r="R14" s="15"/>
      <c r="S14" s="34"/>
      <c r="T14" s="35"/>
      <c r="U14" s="13"/>
      <c r="V14" s="15"/>
      <c r="W14" s="15"/>
      <c r="X14" s="34"/>
      <c r="Y14" s="186"/>
      <c r="Z14" s="2"/>
      <c r="AA14" s="15"/>
      <c r="AB14" s="28"/>
      <c r="AC14" s="15"/>
      <c r="AD14" s="15"/>
      <c r="AE14" s="15"/>
      <c r="AF14" s="15"/>
      <c r="AG14" s="15"/>
      <c r="AH14" s="2"/>
      <c r="AI14" s="15"/>
      <c r="AJ14" s="15"/>
      <c r="AK14" s="13"/>
      <c r="AL14" s="15"/>
      <c r="AM14" s="15"/>
      <c r="AN14" s="15"/>
      <c r="AO14" s="13"/>
      <c r="AP14" s="15"/>
      <c r="AQ14" s="34"/>
      <c r="AR14" s="15"/>
      <c r="AS14" s="13"/>
      <c r="AT14" s="15"/>
      <c r="AU14" s="15"/>
      <c r="AV14" s="15"/>
      <c r="AW14" s="13"/>
      <c r="AX14" s="15"/>
      <c r="AZ14" s="28"/>
      <c r="BA14" s="13"/>
      <c r="BB14" s="15"/>
      <c r="BC14" s="34"/>
      <c r="BD14" s="34"/>
      <c r="BE14" s="14"/>
      <c r="BF14" s="82">
        <f t="shared" ref="BF14:BG14" si="30">K14+O14+S14+W14+AA14+AE14+AI14+AM14+AQ14+AU14+AY14+BC14</f>
        <v>0</v>
      </c>
      <c r="BG14" s="34">
        <f t="shared" si="30"/>
        <v>0</v>
      </c>
      <c r="BH14" s="35">
        <f t="shared" si="1"/>
        <v>0</v>
      </c>
      <c r="BK14" s="2" t="b">
        <f>H14='2020'!BH14</f>
        <v>1</v>
      </c>
    </row>
    <row r="15" ht="14.25" customHeight="1" spans="1:63" x14ac:dyDescent="0.25">
      <c r="A15" s="176">
        <v>1</v>
      </c>
      <c r="B15" s="14"/>
      <c r="D15" s="14" t="s">
        <v>52</v>
      </c>
      <c r="E15" s="2" t="s">
        <v>39</v>
      </c>
      <c r="F15" s="299"/>
      <c r="G15" s="38"/>
      <c r="H15" s="34">
        <f>'2020'!BH15</f>
        <v>0</v>
      </c>
      <c r="I15" s="13"/>
      <c r="J15" s="15"/>
      <c r="K15" s="15"/>
      <c r="L15" s="28"/>
      <c r="M15" s="13"/>
      <c r="N15" s="15"/>
      <c r="O15" s="15"/>
      <c r="P15" s="15"/>
      <c r="Q15" s="13"/>
      <c r="R15" s="15"/>
      <c r="S15" s="15"/>
      <c r="T15" s="28"/>
      <c r="U15" s="13"/>
      <c r="V15" s="15"/>
      <c r="W15" s="15"/>
      <c r="X15" s="15"/>
      <c r="Y15" s="186"/>
      <c r="Z15" s="2"/>
      <c r="AA15" s="34"/>
      <c r="AB15" s="28"/>
      <c r="AC15" s="15"/>
      <c r="AD15" s="15"/>
      <c r="AE15" s="15"/>
      <c r="AF15" s="15"/>
      <c r="AG15" s="15"/>
      <c r="AH15" s="2"/>
      <c r="AI15" s="15"/>
      <c r="AJ15" s="15"/>
      <c r="AK15" s="13"/>
      <c r="AL15" s="15"/>
      <c r="AM15" s="15"/>
      <c r="AN15" s="15"/>
      <c r="AO15" s="13"/>
      <c r="AP15" s="15"/>
      <c r="AQ15" s="15"/>
      <c r="AR15" s="15"/>
      <c r="AS15" s="13"/>
      <c r="AT15" s="15"/>
      <c r="AU15" s="15"/>
      <c r="AV15" s="15"/>
      <c r="AW15" s="13"/>
      <c r="AX15" s="15"/>
      <c r="AZ15" s="28"/>
      <c r="BA15" s="13"/>
      <c r="BB15" s="15"/>
      <c r="BC15" s="15"/>
      <c r="BD15" s="15"/>
      <c r="BE15" s="14"/>
      <c r="BF15" s="82">
        <f t="shared" ref="BF15:BG15" si="31">K15+O15+S15+W15+AA15+AE15+AI15+AM15+AQ15+AU15+AY15+BC15</f>
        <v>0</v>
      </c>
      <c r="BG15" s="34">
        <f t="shared" si="31"/>
        <v>0</v>
      </c>
      <c r="BH15" s="35">
        <f t="shared" si="1"/>
        <v>0</v>
      </c>
      <c r="BK15" s="2" t="b">
        <f>H15='2020'!BH15</f>
        <v>1</v>
      </c>
    </row>
    <row r="16" ht="14.25" customHeight="1" spans="1:63" x14ac:dyDescent="0.25">
      <c r="A16" s="177">
        <v>1</v>
      </c>
      <c r="B16" s="21"/>
      <c r="C16" s="22" t="s">
        <v>53</v>
      </c>
      <c r="D16" s="21"/>
      <c r="E16" s="22"/>
      <c r="F16" s="20"/>
      <c r="G16" s="23"/>
      <c r="H16" s="51">
        <f>SUM(H6:H15)-H9</f>
        <v>1977.11</v>
      </c>
      <c r="I16" s="52"/>
      <c r="J16" s="53"/>
      <c r="K16" s="54">
        <f t="shared" ref="K16:L16" si="32">SUM(K8:K15)-K9</f>
        <v>127.4</v>
      </c>
      <c r="L16" s="55">
        <f t="shared" si="32"/>
        <v>0</v>
      </c>
      <c r="M16" s="52"/>
      <c r="N16" s="53"/>
      <c r="O16" s="54">
        <f t="shared" ref="O16:P16" si="33">SUM(O8:O15)-O9</f>
        <v>234</v>
      </c>
      <c r="P16" s="54">
        <f t="shared" si="33"/>
        <v>0</v>
      </c>
      <c r="Q16" s="52"/>
      <c r="R16" s="53"/>
      <c r="S16" s="54">
        <f t="shared" ref="S16:T16" si="34">SUM(S8:S15)-S9</f>
        <v>137.8</v>
      </c>
      <c r="T16" s="55">
        <f t="shared" si="34"/>
        <v>0</v>
      </c>
      <c r="U16" s="52"/>
      <c r="V16" s="53"/>
      <c r="W16" s="54">
        <f t="shared" ref="W16:X16" si="35">SUM(W8:W15)-W9</f>
        <v>161.2</v>
      </c>
      <c r="X16" s="54">
        <f t="shared" si="35"/>
        <v>0</v>
      </c>
      <c r="Y16" s="300"/>
      <c r="Z16" s="301"/>
      <c r="AA16" s="54">
        <f t="shared" ref="AA16:AB16" si="36">SUM(AA8:AA15)-AA9</f>
        <v>7.8</v>
      </c>
      <c r="AB16" s="55">
        <f t="shared" si="36"/>
        <v>0</v>
      </c>
      <c r="AC16" s="53"/>
      <c r="AD16" s="53"/>
      <c r="AE16" s="54">
        <f t="shared" ref="AE16:AF16" si="37">SUM(AE8:AE15)-AE9</f>
        <v>114.4</v>
      </c>
      <c r="AF16" s="54">
        <f t="shared" si="37"/>
        <v>0</v>
      </c>
      <c r="AG16" s="53"/>
      <c r="AH16" s="301"/>
      <c r="AI16" s="54">
        <f t="shared" ref="AI16:AJ16" si="38">SUM(AI8:AI15)-AI9</f>
        <v>151.2</v>
      </c>
      <c r="AJ16" s="54">
        <f t="shared" si="38"/>
        <v>0</v>
      </c>
      <c r="AK16" s="52"/>
      <c r="AL16" s="53"/>
      <c r="AM16" s="54">
        <f t="shared" ref="AM16:AN16" si="39">SUM(AM8:AM15)-AM9</f>
        <v>151.2</v>
      </c>
      <c r="AN16" s="54">
        <f t="shared" si="39"/>
        <v>0</v>
      </c>
      <c r="AO16" s="52"/>
      <c r="AP16" s="53"/>
      <c r="AQ16" s="54">
        <f t="shared" ref="AQ16:AR16" si="40">SUM(AQ7:AQ15)-AQ9</f>
        <v>126.9</v>
      </c>
      <c r="AR16" s="54">
        <f t="shared" si="40"/>
        <v>0</v>
      </c>
      <c r="AS16" s="52"/>
      <c r="AT16" s="53"/>
      <c r="AU16" s="54">
        <f t="shared" ref="AU16:AV16" si="41">SUM(AU7:AU15)-AU9</f>
        <v>148.5</v>
      </c>
      <c r="AV16" s="55">
        <f t="shared" si="41"/>
        <v>0</v>
      </c>
      <c r="AW16" s="52"/>
      <c r="AX16" s="53"/>
      <c r="AY16" s="54">
        <f t="shared" ref="AY16:AZ16" si="42">SUM(AY7:AY15)-AY9</f>
        <v>248.4</v>
      </c>
      <c r="AZ16" s="55">
        <f t="shared" si="42"/>
        <v>0</v>
      </c>
      <c r="BA16" s="52"/>
      <c r="BB16" s="53"/>
      <c r="BC16" s="54">
        <f t="shared" ref="BC16:BD16" si="43">SUM(BC7:BC15)-BC9</f>
        <v>151.2</v>
      </c>
      <c r="BD16" s="55">
        <f t="shared" si="43"/>
        <v>0</v>
      </c>
      <c r="BE16" s="56"/>
      <c r="BF16" s="57">
        <f t="shared" ref="BF16:BG16" si="44">SUM(BF7:BF15)-BF9</f>
        <v>1760</v>
      </c>
      <c r="BG16" s="58">
        <f t="shared" si="44"/>
        <v>0</v>
      </c>
      <c r="BH16" s="59">
        <f>SUM(BH8:BH15)-BH9</f>
        <v>3737.11</v>
      </c>
      <c r="BI16" s="34">
        <f>H16+BF16-BG16</f>
        <v>3737.11</v>
      </c>
      <c r="BJ16" s="34">
        <f>BH16-BI16</f>
        <v>0</v>
      </c>
      <c r="BK16" s="2" t="b">
        <f>H16='2020'!BH16</f>
        <v>1</v>
      </c>
    </row>
    <row r="17" ht="14.25" customHeight="1" hidden="1" spans="1:63" x14ac:dyDescent="0.25">
      <c r="A17" s="2">
        <v>2</v>
      </c>
      <c r="B17" s="14"/>
      <c r="D17" s="178" t="s">
        <v>486</v>
      </c>
      <c r="F17" s="31"/>
      <c r="G17" s="28"/>
      <c r="H17" s="34">
        <f>'2020'!BH17</f>
        <v>0</v>
      </c>
      <c r="I17" s="61"/>
      <c r="J17" s="60"/>
      <c r="K17" s="62"/>
      <c r="L17" s="28"/>
      <c r="M17" s="61"/>
      <c r="N17" s="60"/>
      <c r="O17" s="62"/>
      <c r="P17" s="62"/>
      <c r="Q17" s="61"/>
      <c r="R17" s="60"/>
      <c r="S17" s="62"/>
      <c r="T17" s="63"/>
      <c r="U17" s="61"/>
      <c r="V17" s="60"/>
      <c r="W17" s="153"/>
      <c r="X17" s="34"/>
      <c r="Y17" s="302"/>
      <c r="Z17" s="303"/>
      <c r="AA17" s="64"/>
      <c r="AB17" s="179"/>
      <c r="AC17" s="60"/>
      <c r="AD17" s="60"/>
      <c r="AE17" s="64"/>
      <c r="AF17" s="62"/>
      <c r="AG17" s="60"/>
      <c r="AH17" s="303"/>
      <c r="AI17" s="64"/>
      <c r="AJ17" s="62"/>
      <c r="AK17" s="61"/>
      <c r="AL17" s="60"/>
      <c r="AM17" s="64"/>
      <c r="AN17" s="62"/>
      <c r="AO17" s="61"/>
      <c r="AP17" s="60"/>
      <c r="AQ17" s="64"/>
      <c r="AR17" s="62"/>
      <c r="AS17" s="61"/>
      <c r="AT17" s="60"/>
      <c r="AU17" s="64"/>
      <c r="AV17" s="62"/>
      <c r="AW17" s="61"/>
      <c r="AX17" s="60"/>
      <c r="AY17" s="64"/>
      <c r="AZ17" s="63"/>
      <c r="BA17" s="61"/>
      <c r="BB17" s="60"/>
      <c r="BC17" s="64"/>
      <c r="BD17" s="62"/>
      <c r="BE17" s="65"/>
      <c r="BF17" s="41">
        <f t="shared" ref="BF17:BG17" si="45">K17+O17+S17+W17+AA17+AE17+AI17+AM17+AQ17+AU17+AY17+BC17</f>
        <v>0</v>
      </c>
      <c r="BG17" s="34">
        <f t="shared" si="45"/>
        <v>0</v>
      </c>
      <c r="BH17" s="35">
        <f t="shared" ref="BH17:BH24" si="46">H17+BF17-BG17</f>
        <v>0</v>
      </c>
      <c r="BK17" s="2" t="b">
        <f>H17='2020'!BH17</f>
        <v>1</v>
      </c>
    </row>
    <row r="18" ht="14.25" customHeight="1" hidden="1" spans="1:63" x14ac:dyDescent="0.25">
      <c r="A18" s="147">
        <v>2</v>
      </c>
      <c r="B18" s="14">
        <v>4.12</v>
      </c>
      <c r="C18" s="2" t="s">
        <v>359</v>
      </c>
      <c r="D18" s="14" t="s">
        <v>44</v>
      </c>
      <c r="E18" s="2" t="s">
        <v>45</v>
      </c>
      <c r="F18" s="41">
        <v>2.5</v>
      </c>
      <c r="G18" s="35">
        <v>2.6</v>
      </c>
      <c r="H18" s="180">
        <f>'2020'!BH18</f>
        <v>0</v>
      </c>
      <c r="I18" s="13">
        <v>29520</v>
      </c>
      <c r="J18" s="15">
        <f>I18-'2020'!BA18</f>
        <v>1000</v>
      </c>
      <c r="K18" s="34">
        <f>J18*$F$8</f>
        <v>2600</v>
      </c>
      <c r="L18" s="35"/>
      <c r="M18" s="13">
        <v>30384</v>
      </c>
      <c r="N18" s="15">
        <f t="shared" ref="N18:N19" si="47">M18-I18</f>
        <v>864</v>
      </c>
      <c r="O18" s="34">
        <f>N18*$F$8</f>
        <v>2246.4</v>
      </c>
      <c r="P18" s="1">
        <v>2600</v>
      </c>
      <c r="Q18" s="13">
        <v>31034</v>
      </c>
      <c r="R18" s="15">
        <f t="shared" ref="R18:R19" si="48">Q18-M18</f>
        <v>650</v>
      </c>
      <c r="S18" s="34">
        <f>R18*$F$8</f>
        <v>1690</v>
      </c>
      <c r="T18" s="32">
        <f>2246.4+1690</f>
        <v>3936.4</v>
      </c>
      <c r="U18" s="13">
        <v>31661</v>
      </c>
      <c r="V18" s="15">
        <f t="shared" ref="V18:V19" si="49">U18-Q18</f>
        <v>627</v>
      </c>
      <c r="W18" s="34">
        <f>V18*$F$8</f>
        <v>1630.2</v>
      </c>
      <c r="X18" s="39">
        <v>1630.2</v>
      </c>
      <c r="Y18" s="186">
        <v>32280</v>
      </c>
      <c r="Z18" s="2">
        <f t="shared" ref="Z18:Z19" si="50">Y18-U18</f>
        <v>619</v>
      </c>
      <c r="AA18" s="34">
        <f>Z18*$F$8</f>
        <v>1609.4</v>
      </c>
      <c r="AB18" s="179">
        <v>1609.4</v>
      </c>
      <c r="AC18" s="13">
        <v>32772</v>
      </c>
      <c r="AD18" s="15">
        <f t="shared" ref="AD18:AD19" si="51">AC18-Y18</f>
        <v>492</v>
      </c>
      <c r="AE18" s="180">
        <f>AD18*$F$8</f>
        <v>1279.2</v>
      </c>
      <c r="AF18" s="180"/>
      <c r="AG18" s="13">
        <v>33338</v>
      </c>
      <c r="AH18" s="2">
        <f t="shared" ref="AH18:AH19" si="52">AG18-AC18</f>
        <v>566</v>
      </c>
      <c r="AI18" s="45">
        <f>AH18*$G$8</f>
        <v>1528.2</v>
      </c>
      <c r="AJ18" s="187">
        <f>1279.2+1471.6+56.6</f>
        <v>2807.4</v>
      </c>
      <c r="AK18" s="13">
        <v>33845</v>
      </c>
      <c r="AL18" s="15">
        <f t="shared" ref="AL18:AL19" si="53">AK18-AG18</f>
        <v>507</v>
      </c>
      <c r="AM18" s="45">
        <f>AL18*$G$8</f>
        <v>1368.9</v>
      </c>
      <c r="AN18" s="1">
        <v>1368.9</v>
      </c>
      <c r="AO18" s="13">
        <v>34224</v>
      </c>
      <c r="AP18" s="15">
        <f t="shared" ref="AP18:AP19" si="54">AO18-AK18</f>
        <v>379</v>
      </c>
      <c r="AQ18" s="45">
        <f>AP18*$G$8</f>
        <v>1023.3</v>
      </c>
      <c r="AR18" s="1"/>
      <c r="AS18" s="13">
        <v>34636</v>
      </c>
      <c r="AT18" s="15">
        <f t="shared" ref="AT18:AT19" si="55">AS18-AO18</f>
        <v>412</v>
      </c>
      <c r="AU18" s="45">
        <f>AT18*$G$8</f>
        <v>1112.4</v>
      </c>
      <c r="AV18" s="1">
        <v>1023.3</v>
      </c>
      <c r="AW18" s="13">
        <v>35166</v>
      </c>
      <c r="AX18" s="15">
        <f t="shared" ref="AX18:AX19" si="56">AW18-AS18</f>
        <v>530</v>
      </c>
      <c r="AY18" s="45">
        <f>AX18*$G$8</f>
        <v>1431</v>
      </c>
      <c r="AZ18" s="38">
        <f>1112.4+1317.6</f>
        <v>2430</v>
      </c>
      <c r="BA18" s="13">
        <v>35593</v>
      </c>
      <c r="BB18" s="15">
        <f t="shared" ref="BB18:BB19" si="57">BA18-AW18</f>
        <v>427</v>
      </c>
      <c r="BC18" s="45">
        <f>BB18*$G$8</f>
        <v>1152.9</v>
      </c>
      <c r="BD18" s="34">
        <v>1266.3</v>
      </c>
      <c r="BE18" s="40">
        <f t="shared" ref="BE18:BG18" si="58">J18+N18+R18+V18+Z18+AD18+AH18+AL18+AP18+AT18+AX18+BB18</f>
        <v>7073</v>
      </c>
      <c r="BF18" s="41">
        <f t="shared" si="58"/>
        <v>18671.9</v>
      </c>
      <c r="BG18" s="34">
        <f t="shared" si="58"/>
        <v>18671.9</v>
      </c>
      <c r="BH18" s="35">
        <f t="shared" si="46"/>
        <v>0</v>
      </c>
      <c r="BK18" s="2" t="b">
        <f>H18='2020'!BH18</f>
        <v>1</v>
      </c>
    </row>
    <row r="19" ht="14.25" customHeight="1" hidden="1" spans="1:63" x14ac:dyDescent="0.25">
      <c r="A19" s="2">
        <v>2</v>
      </c>
      <c r="B19" s="14"/>
      <c r="C19" s="2" t="s">
        <v>487</v>
      </c>
      <c r="D19" s="14" t="s">
        <v>47</v>
      </c>
      <c r="E19" s="2" t="s">
        <v>48</v>
      </c>
      <c r="F19" s="13">
        <v>18.56</v>
      </c>
      <c r="G19" s="35">
        <v>19.46</v>
      </c>
      <c r="H19" s="34">
        <f>'2020'!BH19</f>
        <v>-17.66</v>
      </c>
      <c r="I19" s="13">
        <v>14</v>
      </c>
      <c r="J19" s="15"/>
      <c r="K19" s="34"/>
      <c r="L19" s="28"/>
      <c r="M19" s="13">
        <v>14</v>
      </c>
      <c r="N19" s="15">
        <f t="shared" si="47"/>
        <v>0</v>
      </c>
      <c r="O19" s="15"/>
      <c r="P19" s="15"/>
      <c r="Q19" s="13">
        <v>14</v>
      </c>
      <c r="R19" s="15">
        <f t="shared" si="48"/>
        <v>0</v>
      </c>
      <c r="S19" s="15"/>
      <c r="T19" s="28"/>
      <c r="U19" s="13">
        <v>14</v>
      </c>
      <c r="V19" s="15">
        <f t="shared" si="49"/>
        <v>0</v>
      </c>
      <c r="W19" s="180">
        <f>V19*$F$10</f>
        <v>0</v>
      </c>
      <c r="X19" s="15"/>
      <c r="Y19" s="186">
        <v>15</v>
      </c>
      <c r="Z19" s="2">
        <f t="shared" si="50"/>
        <v>1</v>
      </c>
      <c r="AA19" s="34">
        <f>Z19*$F$10</f>
        <v>19.46</v>
      </c>
      <c r="AB19" s="63"/>
      <c r="AC19" s="15">
        <v>24</v>
      </c>
      <c r="AD19" s="15">
        <f t="shared" si="51"/>
        <v>9</v>
      </c>
      <c r="AE19" s="34">
        <f>AD19*$F$10</f>
        <v>175.14</v>
      </c>
      <c r="AF19" s="34"/>
      <c r="AG19" s="15">
        <v>30</v>
      </c>
      <c r="AH19" s="2">
        <f t="shared" si="52"/>
        <v>6</v>
      </c>
      <c r="AI19" s="45">
        <f>AH19*$G$10</f>
        <v>122.1</v>
      </c>
      <c r="AJ19" s="304">
        <v>176.94</v>
      </c>
      <c r="AK19" s="13">
        <v>32</v>
      </c>
      <c r="AL19" s="15">
        <f t="shared" si="53"/>
        <v>2</v>
      </c>
      <c r="AM19" s="45">
        <f>AL19*$G$10</f>
        <v>40.7</v>
      </c>
      <c r="AN19" s="1">
        <v>122.1</v>
      </c>
      <c r="AO19" s="13">
        <v>33</v>
      </c>
      <c r="AP19" s="15">
        <f t="shared" si="54"/>
        <v>1</v>
      </c>
      <c r="AQ19" s="45">
        <f>AP19*$G$10</f>
        <v>20.35</v>
      </c>
      <c r="AR19" s="1">
        <v>40.7</v>
      </c>
      <c r="AS19" s="13">
        <v>33</v>
      </c>
      <c r="AT19" s="15">
        <f t="shared" si="55"/>
        <v>0</v>
      </c>
      <c r="AU19" s="45">
        <f>AT19*$G$10</f>
        <v>0</v>
      </c>
      <c r="AV19" s="15"/>
      <c r="AW19" s="13">
        <v>33</v>
      </c>
      <c r="AX19" s="15">
        <f t="shared" si="56"/>
        <v>0</v>
      </c>
      <c r="AY19" s="45"/>
      <c r="AZ19" s="32">
        <v>20.35</v>
      </c>
      <c r="BA19" s="13">
        <v>33</v>
      </c>
      <c r="BB19" s="15">
        <f t="shared" si="57"/>
        <v>0</v>
      </c>
      <c r="BC19" s="45"/>
      <c r="BD19" s="15"/>
      <c r="BE19" s="40">
        <f t="shared" ref="BE19:BG19" si="59">J19+N19+R19+V19+Z19+AD19+AH19+AL19+AP19+AT19+AX19+BB19</f>
        <v>19</v>
      </c>
      <c r="BF19" s="41">
        <f t="shared" si="59"/>
        <v>377.75</v>
      </c>
      <c r="BG19" s="34">
        <f t="shared" si="59"/>
        <v>360.09</v>
      </c>
      <c r="BH19" s="35">
        <f t="shared" si="46"/>
        <v>0</v>
      </c>
      <c r="BK19" s="2" t="b">
        <f>H19='2020'!BH19</f>
        <v>1</v>
      </c>
    </row>
    <row r="20" ht="14.25" customHeight="1" hidden="1" spans="1:63" x14ac:dyDescent="0.25">
      <c r="A20" s="2">
        <v>2</v>
      </c>
      <c r="B20" s="14"/>
      <c r="C20" s="2" t="s">
        <v>56</v>
      </c>
      <c r="D20" s="14" t="s">
        <v>47</v>
      </c>
      <c r="E20" s="2" t="s">
        <v>49</v>
      </c>
      <c r="F20" s="41">
        <v>500</v>
      </c>
      <c r="G20" s="38"/>
      <c r="H20" s="34">
        <f>'2020'!BH20</f>
        <v>0</v>
      </c>
      <c r="I20" s="13"/>
      <c r="J20" s="15"/>
      <c r="K20" s="15"/>
      <c r="L20" s="28"/>
      <c r="M20" s="13"/>
      <c r="N20" s="15"/>
      <c r="O20" s="15"/>
      <c r="P20" s="15"/>
      <c r="Q20" s="13"/>
      <c r="R20" s="15"/>
      <c r="S20" s="15"/>
      <c r="T20" s="28"/>
      <c r="U20" s="13"/>
      <c r="V20" s="15"/>
      <c r="W20" s="15"/>
      <c r="X20" s="15"/>
      <c r="Y20" s="186"/>
      <c r="Z20" s="2"/>
      <c r="AA20" s="15"/>
      <c r="AB20" s="179"/>
      <c r="AC20" s="15"/>
      <c r="AD20" s="15"/>
      <c r="AE20" s="34"/>
      <c r="AF20" s="15"/>
      <c r="AG20" s="15"/>
      <c r="AH20" s="2"/>
      <c r="AI20" s="45"/>
      <c r="AJ20" s="1"/>
      <c r="AK20" s="13"/>
      <c r="AL20" s="15"/>
      <c r="AM20" s="45"/>
      <c r="AN20" s="15"/>
      <c r="AO20" s="13"/>
      <c r="AP20" s="15"/>
      <c r="AQ20" s="45"/>
      <c r="AR20" s="15"/>
      <c r="AS20" s="13"/>
      <c r="AT20" s="15"/>
      <c r="AU20" s="45"/>
      <c r="AV20" s="15"/>
      <c r="AW20" s="13"/>
      <c r="AX20" s="15"/>
      <c r="AY20" s="45"/>
      <c r="AZ20" s="28"/>
      <c r="BA20" s="13"/>
      <c r="BB20" s="15"/>
      <c r="BC20" s="45"/>
      <c r="BD20" s="15"/>
      <c r="BE20" s="14"/>
      <c r="BF20" s="41">
        <f t="shared" ref="BF20:BG20" si="60">K20+O20+S20+W20+AA20+AE20+AI20+AM20+AQ20+AU20+AY20+BC20</f>
        <v>0</v>
      </c>
      <c r="BG20" s="34">
        <f t="shared" si="60"/>
        <v>0</v>
      </c>
      <c r="BH20" s="35">
        <f t="shared" si="46"/>
        <v>0</v>
      </c>
      <c r="BK20" s="2" t="b">
        <f>H20='2020'!BH20</f>
        <v>1</v>
      </c>
    </row>
    <row r="21" ht="14.25" customHeight="1" hidden="1" spans="1:63" x14ac:dyDescent="0.25">
      <c r="A21" s="2">
        <v>2</v>
      </c>
      <c r="B21" s="14"/>
      <c r="C21" s="2" t="s">
        <v>57</v>
      </c>
      <c r="D21" s="14" t="s">
        <v>50</v>
      </c>
      <c r="E21" s="2" t="s">
        <v>49</v>
      </c>
      <c r="F21" s="41">
        <v>1100</v>
      </c>
      <c r="G21" s="38"/>
      <c r="H21" s="180">
        <f>'2020'!BH21</f>
        <v>-0.01</v>
      </c>
      <c r="I21" s="13"/>
      <c r="J21" s="15"/>
      <c r="K21" s="15"/>
      <c r="L21" s="28"/>
      <c r="M21" s="13"/>
      <c r="N21" s="15"/>
      <c r="O21" s="15"/>
      <c r="P21" s="15"/>
      <c r="Q21" s="13"/>
      <c r="R21" s="15"/>
      <c r="S21" s="15"/>
      <c r="T21" s="28"/>
      <c r="U21" s="13"/>
      <c r="V21" s="15"/>
      <c r="W21" s="15"/>
      <c r="X21" s="15"/>
      <c r="Y21" s="186"/>
      <c r="Z21" s="2"/>
      <c r="AA21" s="15"/>
      <c r="AB21" s="63"/>
      <c r="AC21" s="15"/>
      <c r="AD21" s="15"/>
      <c r="AE21" s="34">
        <f>B18*$F$12</f>
        <v>4532</v>
      </c>
      <c r="AF21" s="15"/>
      <c r="AG21" s="15"/>
      <c r="AH21" s="2"/>
      <c r="AI21" s="45"/>
      <c r="AJ21" s="304">
        <v>4531.99</v>
      </c>
      <c r="AK21" s="13"/>
      <c r="AL21" s="15"/>
      <c r="AM21" s="45"/>
      <c r="AN21" s="15"/>
      <c r="AO21" s="13"/>
      <c r="AP21" s="15"/>
      <c r="AQ21" s="34"/>
      <c r="AR21" s="15"/>
      <c r="AS21" s="13"/>
      <c r="AT21" s="15"/>
      <c r="AU21" s="45"/>
      <c r="AV21" s="15"/>
      <c r="AW21" s="13"/>
      <c r="AX21" s="15"/>
      <c r="AY21" s="45"/>
      <c r="AZ21" s="28"/>
      <c r="BA21" s="13"/>
      <c r="BB21" s="15"/>
      <c r="BC21" s="45"/>
      <c r="BD21" s="15"/>
      <c r="BE21" s="14"/>
      <c r="BF21" s="41">
        <f t="shared" ref="BF21:BG21" si="61">K21+O21+S21+W21+AA21+AE21+AI21+AM21+AQ21+AU21+AY21+BC21</f>
        <v>4532</v>
      </c>
      <c r="BG21" s="34">
        <f t="shared" si="61"/>
        <v>4531.99</v>
      </c>
      <c r="BH21" s="35">
        <f t="shared" si="46"/>
        <v>0</v>
      </c>
      <c r="BK21" s="2" t="b">
        <f>H21='2020'!BH21</f>
        <v>1</v>
      </c>
    </row>
    <row r="22" ht="14.25" customHeight="1" hidden="1" spans="1:63" x14ac:dyDescent="0.25">
      <c r="A22" s="2">
        <v>2</v>
      </c>
      <c r="B22" s="14"/>
      <c r="C22" s="2" t="s">
        <v>58</v>
      </c>
      <c r="D22" s="14" t="s">
        <v>51</v>
      </c>
      <c r="E22" s="2" t="s">
        <v>39</v>
      </c>
      <c r="F22" s="41">
        <v>500</v>
      </c>
      <c r="G22" s="38"/>
      <c r="H22" s="34">
        <f>'2020'!BH22</f>
        <v>0</v>
      </c>
      <c r="I22" s="13"/>
      <c r="J22" s="15"/>
      <c r="K22" s="15"/>
      <c r="L22" s="28"/>
      <c r="M22" s="13"/>
      <c r="N22" s="15"/>
      <c r="O22" s="15"/>
      <c r="P22" s="15"/>
      <c r="Q22" s="13"/>
      <c r="R22" s="15"/>
      <c r="S22" s="15"/>
      <c r="T22" s="28"/>
      <c r="U22" s="13"/>
      <c r="V22" s="15"/>
      <c r="W22" s="15"/>
      <c r="X22" s="15"/>
      <c r="Y22" s="186"/>
      <c r="Z22" s="2"/>
      <c r="AA22" s="15"/>
      <c r="AB22" s="179"/>
      <c r="AC22" s="15"/>
      <c r="AD22" s="15"/>
      <c r="AE22" s="180">
        <f>$F$13</f>
      </c>
      <c r="AF22" s="15"/>
      <c r="AG22" s="15"/>
      <c r="AH22" s="2"/>
      <c r="AI22" s="45"/>
      <c r="AJ22" s="15"/>
      <c r="AK22" s="13"/>
      <c r="AL22" s="15"/>
      <c r="AM22" s="45"/>
      <c r="AN22" s="15"/>
      <c r="AO22" s="13"/>
      <c r="AP22" s="15"/>
      <c r="AQ22" s="180"/>
      <c r="AR22" s="34"/>
      <c r="AS22" s="13"/>
      <c r="AT22" s="15"/>
      <c r="AU22" s="45"/>
      <c r="AV22" s="15"/>
      <c r="AW22" s="13"/>
      <c r="AX22" s="15"/>
      <c r="AY22" s="45"/>
      <c r="AZ22" s="28"/>
      <c r="BA22" s="13"/>
      <c r="BB22" s="15"/>
      <c r="BC22" s="45"/>
      <c r="BD22" s="15"/>
      <c r="BE22" s="14"/>
      <c r="BF22" s="41">
        <f t="shared" ref="BF22:BG22" si="62">K22+O22+S22+W22+AA22+AE22+AI22+AM22+AQ22+AU22+AY22+BC22</f>
        <v>0</v>
      </c>
      <c r="BG22" s="34">
        <f t="shared" si="62"/>
        <v>0</v>
      </c>
      <c r="BH22" s="35">
        <f t="shared" si="46"/>
        <v>0</v>
      </c>
      <c r="BK22" s="2" t="b">
        <f>H22='2020'!BH22</f>
        <v>1</v>
      </c>
    </row>
    <row r="23" ht="14.25" customHeight="1" hidden="1" spans="1:63" x14ac:dyDescent="0.25">
      <c r="A23" s="2">
        <v>2</v>
      </c>
      <c r="B23" s="14"/>
      <c r="D23" s="14" t="s">
        <v>51</v>
      </c>
      <c r="E23" s="2" t="s">
        <v>49</v>
      </c>
      <c r="F23" s="41">
        <v>500</v>
      </c>
      <c r="G23" s="38"/>
      <c r="H23" s="34">
        <f>'2020'!BH23</f>
        <v>0</v>
      </c>
      <c r="I23" s="13"/>
      <c r="J23" s="15"/>
      <c r="K23" s="15"/>
      <c r="L23" s="28"/>
      <c r="M23" s="13"/>
      <c r="N23" s="15"/>
      <c r="O23" s="15"/>
      <c r="P23" s="15"/>
      <c r="Q23" s="13"/>
      <c r="R23" s="15"/>
      <c r="S23" s="15"/>
      <c r="T23" s="28"/>
      <c r="U23" s="13"/>
      <c r="V23" s="15"/>
      <c r="W23" s="15"/>
      <c r="X23" s="15"/>
      <c r="Y23" s="186"/>
      <c r="Z23" s="2"/>
      <c r="AA23" s="15"/>
      <c r="AB23" s="179"/>
      <c r="AC23" s="15"/>
      <c r="AD23" s="15"/>
      <c r="AE23" s="34"/>
      <c r="AF23" s="15"/>
      <c r="AG23" s="15"/>
      <c r="AH23" s="2"/>
      <c r="AI23" s="45"/>
      <c r="AJ23" s="15"/>
      <c r="AK23" s="13"/>
      <c r="AL23" s="15"/>
      <c r="AM23" s="45"/>
      <c r="AN23" s="15"/>
      <c r="AO23" s="13"/>
      <c r="AP23" s="15"/>
      <c r="AQ23" s="180">
        <f>B18*$F$14</f>
        <v>0</v>
      </c>
      <c r="AR23" s="34"/>
      <c r="AS23" s="13"/>
      <c r="AT23" s="15"/>
      <c r="AU23" s="45"/>
      <c r="AV23" s="15"/>
      <c r="AW23" s="13"/>
      <c r="AX23" s="15"/>
      <c r="AY23" s="45"/>
      <c r="AZ23" s="28"/>
      <c r="BA23" s="13"/>
      <c r="BB23" s="15"/>
      <c r="BC23" s="45"/>
      <c r="BD23" s="15"/>
      <c r="BE23" s="14"/>
      <c r="BF23" s="41">
        <f t="shared" ref="BF23:BG23" si="63">K23+O23+S23+W23+AA23+AE23+AI23+AM23+AQ23+AU23+AY23+BC23</f>
        <v>0</v>
      </c>
      <c r="BG23" s="34">
        <f t="shared" si="63"/>
        <v>0</v>
      </c>
      <c r="BH23" s="35">
        <f t="shared" si="46"/>
        <v>0</v>
      </c>
      <c r="BK23" s="2" t="b">
        <f>H23='2020'!BH23</f>
        <v>1</v>
      </c>
    </row>
    <row r="24" ht="14.25" customHeight="1" hidden="1" spans="1:63" x14ac:dyDescent="0.25">
      <c r="A24" s="2">
        <v>2</v>
      </c>
      <c r="B24" s="14"/>
      <c r="C24" s="2" t="s">
        <v>59</v>
      </c>
      <c r="D24" s="14" t="s">
        <v>52</v>
      </c>
      <c r="E24" s="2" t="s">
        <v>39</v>
      </c>
      <c r="F24" s="41">
        <v>500</v>
      </c>
      <c r="G24" s="38"/>
      <c r="H24" s="34">
        <f>'2020'!BH24</f>
        <v>0</v>
      </c>
      <c r="I24" s="13"/>
      <c r="J24" s="15"/>
      <c r="K24" s="15"/>
      <c r="L24" s="28"/>
      <c r="M24" s="13"/>
      <c r="N24" s="15"/>
      <c r="O24" s="15"/>
      <c r="P24" s="15"/>
      <c r="Q24" s="13"/>
      <c r="R24" s="15"/>
      <c r="S24" s="15"/>
      <c r="T24" s="28"/>
      <c r="U24" s="13"/>
      <c r="V24" s="15"/>
      <c r="W24" s="15"/>
      <c r="X24" s="15"/>
      <c r="Y24" s="186"/>
      <c r="Z24" s="2"/>
      <c r="AA24" s="84"/>
      <c r="AB24" s="35"/>
      <c r="AC24" s="15"/>
      <c r="AD24" s="15"/>
      <c r="AE24" s="15"/>
      <c r="AF24" s="15"/>
      <c r="AG24" s="15"/>
      <c r="AH24" s="2"/>
      <c r="AI24" s="45"/>
      <c r="AJ24" s="15"/>
      <c r="AK24" s="13"/>
      <c r="AL24" s="15"/>
      <c r="AM24" s="45"/>
      <c r="AN24" s="15"/>
      <c r="AO24" s="13"/>
      <c r="AP24" s="15"/>
      <c r="AQ24" s="45"/>
      <c r="AR24" s="15"/>
      <c r="AS24" s="13"/>
      <c r="AT24" s="15"/>
      <c r="AU24" s="45"/>
      <c r="AV24" s="15"/>
      <c r="AW24" s="13"/>
      <c r="AX24" s="15"/>
      <c r="AY24" s="45"/>
      <c r="AZ24" s="28"/>
      <c r="BA24" s="13"/>
      <c r="BB24" s="15"/>
      <c r="BC24" s="45"/>
      <c r="BD24" s="15"/>
      <c r="BE24" s="14"/>
      <c r="BF24" s="41">
        <f t="shared" ref="BF24:BG24" si="64">K24+O24+S24+W24+AA24+AE24+AI24+AM24+AQ24+AU24+AY24+BC24</f>
        <v>0</v>
      </c>
      <c r="BG24" s="34">
        <f t="shared" si="64"/>
        <v>0</v>
      </c>
      <c r="BH24" s="35">
        <f t="shared" si="46"/>
        <v>0</v>
      </c>
      <c r="BK24" s="2" t="b">
        <f>H24='2020'!BH24</f>
        <v>1</v>
      </c>
    </row>
    <row r="25" ht="14.25" customHeight="1" hidden="1" spans="1:63" x14ac:dyDescent="0.25">
      <c r="A25" s="2">
        <v>2</v>
      </c>
      <c r="B25" s="21"/>
      <c r="C25" s="22" t="s">
        <v>53</v>
      </c>
      <c r="D25" s="21"/>
      <c r="E25" s="22"/>
      <c r="F25" s="20"/>
      <c r="G25" s="23"/>
      <c r="H25" s="51">
        <f>SUM(H17:H24)</f>
        <v>-17.67</v>
      </c>
      <c r="I25" s="52"/>
      <c r="J25" s="53"/>
      <c r="K25" s="51">
        <f t="shared" ref="K25:L25" si="65">SUM(K17:K24)</f>
        <v>2600</v>
      </c>
      <c r="L25" s="68">
        <f t="shared" si="65"/>
        <v>0</v>
      </c>
      <c r="M25" s="52"/>
      <c r="N25" s="53"/>
      <c r="O25" s="51">
        <f t="shared" ref="O25:P25" si="66">SUM(O17:O24)</f>
        <v>2246.4</v>
      </c>
      <c r="P25" s="68">
        <f t="shared" si="66"/>
        <v>2600</v>
      </c>
      <c r="Q25" s="52"/>
      <c r="R25" s="53"/>
      <c r="S25" s="51">
        <f t="shared" ref="S25:T25" si="67">SUM(S17:S24)</f>
        <v>1690</v>
      </c>
      <c r="T25" s="68">
        <f t="shared" si="67"/>
        <v>3936.4</v>
      </c>
      <c r="U25" s="52"/>
      <c r="V25" s="53"/>
      <c r="W25" s="51">
        <f t="shared" ref="W25:X25" si="68">SUM(W17:W24)</f>
        <v>1630.2</v>
      </c>
      <c r="X25" s="68">
        <f t="shared" si="68"/>
        <v>1630.2</v>
      </c>
      <c r="Y25" s="300"/>
      <c r="Z25" s="301"/>
      <c r="AA25" s="51">
        <f t="shared" ref="AA25:AB25" si="69">SUM(AA17:AA24)</f>
        <v>1628.86</v>
      </c>
      <c r="AB25" s="68">
        <f t="shared" si="69"/>
        <v>1609.4</v>
      </c>
      <c r="AC25" s="53"/>
      <c r="AD25" s="53"/>
      <c r="AE25" s="51">
        <f t="shared" ref="AE25:AF25" si="70">SUM(AE17:AE24)</f>
        <v>5986.34</v>
      </c>
      <c r="AF25" s="68">
        <f t="shared" si="70"/>
        <v>0</v>
      </c>
      <c r="AG25" s="53"/>
      <c r="AH25" s="301"/>
      <c r="AI25" s="183">
        <f t="shared" ref="AI25:AJ25" si="71">SUM(AI17:AI24)</f>
        <v>1650.3</v>
      </c>
      <c r="AJ25" s="51">
        <f t="shared" si="71"/>
        <v>7516.33</v>
      </c>
      <c r="AK25" s="52"/>
      <c r="AL25" s="53"/>
      <c r="AM25" s="183">
        <f t="shared" ref="AM25:AN25" si="72">SUM(AM17:AM24)</f>
        <v>1409.6</v>
      </c>
      <c r="AN25" s="51">
        <f t="shared" si="72"/>
        <v>1491</v>
      </c>
      <c r="AO25" s="52"/>
      <c r="AP25" s="53"/>
      <c r="AQ25" s="183">
        <f t="shared" ref="AQ25:AR25" si="73">SUM(AQ17:AQ24)</f>
        <v>1043.65</v>
      </c>
      <c r="AR25" s="51">
        <f t="shared" si="73"/>
        <v>40.7</v>
      </c>
      <c r="AS25" s="52"/>
      <c r="AT25" s="53"/>
      <c r="AU25" s="183">
        <f t="shared" ref="AU25:AV25" si="74">SUM(AU17:AU24)</f>
        <v>1112.4</v>
      </c>
      <c r="AV25" s="68">
        <f t="shared" si="74"/>
        <v>1023.3</v>
      </c>
      <c r="AW25" s="52"/>
      <c r="AX25" s="53"/>
      <c r="AY25" s="183">
        <f t="shared" ref="AY25:AZ25" si="75">SUM(AY17:AY24)</f>
        <v>1431</v>
      </c>
      <c r="AZ25" s="68">
        <f t="shared" si="75"/>
        <v>2450.35</v>
      </c>
      <c r="BA25" s="52"/>
      <c r="BB25" s="53"/>
      <c r="BC25" s="183">
        <f t="shared" ref="BC25:BD25" si="76">SUM(BC17:BC24)</f>
        <v>1152.9</v>
      </c>
      <c r="BD25" s="68">
        <f t="shared" si="76"/>
        <v>1266.3</v>
      </c>
      <c r="BE25" s="69"/>
      <c r="BF25" s="70">
        <f t="shared" ref="BF25:BH25" si="77">SUM(BF17:BF24)</f>
        <v>23581.65</v>
      </c>
      <c r="BG25" s="71">
        <f t="shared" si="77"/>
        <v>23563.98</v>
      </c>
      <c r="BH25" s="72">
        <f t="shared" si="77"/>
        <v>0</v>
      </c>
      <c r="BI25" s="34">
        <f>H25+BF25-BG25</f>
        <v>0</v>
      </c>
      <c r="BJ25" s="34">
        <f>BH25-BI25</f>
        <v>0</v>
      </c>
      <c r="BK25" s="2" t="b">
        <f>H25='2020'!BH25</f>
        <v>1</v>
      </c>
    </row>
    <row r="26" ht="14.25" customHeight="1" hidden="1" spans="1:63" x14ac:dyDescent="0.25">
      <c r="A26" s="175">
        <v>3</v>
      </c>
      <c r="B26" s="14"/>
      <c r="D26" s="14" t="s">
        <v>379</v>
      </c>
      <c r="F26" s="13"/>
      <c r="G26" s="28"/>
      <c r="H26" s="34">
        <f>'2020'!BH26</f>
        <v>0</v>
      </c>
      <c r="I26" s="61"/>
      <c r="J26" s="60"/>
      <c r="K26" s="60"/>
      <c r="L26" s="63"/>
      <c r="M26" s="61"/>
      <c r="N26" s="60"/>
      <c r="O26" s="60"/>
      <c r="P26" s="62"/>
      <c r="Q26" s="61"/>
      <c r="R26" s="60"/>
      <c r="S26" s="62"/>
      <c r="T26" s="63"/>
      <c r="U26" s="61"/>
      <c r="V26" s="60"/>
      <c r="W26" s="62"/>
      <c r="X26" s="62"/>
      <c r="Y26" s="302"/>
      <c r="Z26" s="303"/>
      <c r="AA26" s="62"/>
      <c r="AB26" s="63"/>
      <c r="AC26" s="60"/>
      <c r="AD26" s="60"/>
      <c r="AE26" s="62"/>
      <c r="AF26" s="62"/>
      <c r="AG26" s="60"/>
      <c r="AH26" s="303"/>
      <c r="AI26" s="45"/>
      <c r="AJ26" s="62"/>
      <c r="AK26" s="61"/>
      <c r="AL26" s="60"/>
      <c r="AM26" s="45"/>
      <c r="AN26" s="62"/>
      <c r="AO26" s="61"/>
      <c r="AP26" s="60"/>
      <c r="AQ26" s="45"/>
      <c r="AR26" s="62"/>
      <c r="AS26" s="61"/>
      <c r="AT26" s="60"/>
      <c r="AU26" s="45"/>
      <c r="AV26" s="62"/>
      <c r="AW26" s="61"/>
      <c r="AX26" s="60"/>
      <c r="AY26" s="45"/>
      <c r="AZ26" s="63"/>
      <c r="BA26" s="61"/>
      <c r="BB26" s="60"/>
      <c r="BC26" s="45"/>
      <c r="BD26" s="62"/>
      <c r="BE26" s="65"/>
      <c r="BF26" s="41">
        <f t="shared" ref="BF26:BG26" si="78">K26+O26+S26+W26+AA26+AE26+AI26+AM26+AQ26+AU26+AY26+BC26</f>
        <v>0</v>
      </c>
      <c r="BG26" s="34">
        <f t="shared" si="78"/>
        <v>0</v>
      </c>
      <c r="BH26" s="35">
        <f t="shared" ref="BH26:BH33" si="79">H26+BF26-BG26</f>
        <v>0</v>
      </c>
      <c r="BK26" s="2" t="b">
        <f>H26='2020'!BH26</f>
        <v>1</v>
      </c>
    </row>
    <row r="27" ht="14.25" customHeight="1" hidden="1" spans="1:63" x14ac:dyDescent="0.25">
      <c r="A27" s="176">
        <v>3</v>
      </c>
      <c r="B27" s="42">
        <v>4</v>
      </c>
      <c r="C27" s="2" t="s">
        <v>60</v>
      </c>
      <c r="D27" s="14" t="s">
        <v>44</v>
      </c>
      <c r="E27" s="2" t="s">
        <v>45</v>
      </c>
      <c r="F27" s="41">
        <v>2.5</v>
      </c>
      <c r="G27" s="35">
        <v>2.6</v>
      </c>
      <c r="H27" s="34">
        <f>'2020'!BH27</f>
        <v>-5.52</v>
      </c>
      <c r="I27" s="13">
        <v>56</v>
      </c>
      <c r="J27" s="15">
        <f>I27-'2020'!BA27</f>
        <v>0</v>
      </c>
      <c r="K27" s="34">
        <f>J27*$F$8</f>
        <v>0</v>
      </c>
      <c r="L27" s="28"/>
      <c r="M27" s="13">
        <v>56</v>
      </c>
      <c r="N27" s="15">
        <f t="shared" ref="N27:N28" si="80">M27-I27</f>
        <v>0</v>
      </c>
      <c r="O27" s="34">
        <f>N27*$F$8</f>
        <v>0</v>
      </c>
      <c r="P27" s="15"/>
      <c r="Q27" s="13">
        <v>56</v>
      </c>
      <c r="R27" s="15">
        <f t="shared" ref="R27:R28" si="81">Q27-M27</f>
        <v>0</v>
      </c>
      <c r="S27" s="34">
        <f>R27*$F$8</f>
        <v>0</v>
      </c>
      <c r="T27" s="28"/>
      <c r="U27" s="13">
        <v>56</v>
      </c>
      <c r="V27" s="15">
        <f t="shared" ref="V27:V28" si="82">U27-Q27</f>
        <v>0</v>
      </c>
      <c r="W27" s="34">
        <f>V27*$F$8</f>
        <v>0</v>
      </c>
      <c r="X27" s="15"/>
      <c r="Y27" s="186">
        <v>59</v>
      </c>
      <c r="Z27" s="2">
        <f t="shared" ref="Z27:Z28" si="83">Y27-U27</f>
        <v>3</v>
      </c>
      <c r="AA27" s="34">
        <f>Z27*$F$8</f>
        <v>7.8</v>
      </c>
      <c r="AB27" s="28"/>
      <c r="AC27" s="13">
        <v>61</v>
      </c>
      <c r="AD27" s="15">
        <f t="shared" ref="AD27:AD28" si="84">AC27-Y27</f>
        <v>2</v>
      </c>
      <c r="AE27" s="180">
        <f>AD27*$F$8</f>
        <v>5.2</v>
      </c>
      <c r="AF27" s="182">
        <v>7.48</v>
      </c>
      <c r="AG27" s="13">
        <v>62</v>
      </c>
      <c r="AH27" s="2">
        <f t="shared" ref="AH27:AH28" si="85">AG27-AC27</f>
        <v>1</v>
      </c>
      <c r="AI27" s="45">
        <f>AH27*$G$8</f>
        <v>2.7</v>
      </c>
      <c r="AJ27" s="15"/>
      <c r="AK27" s="13">
        <v>62</v>
      </c>
      <c r="AL27" s="15">
        <f t="shared" ref="AL27:AL28" si="86">AK27-AG27</f>
        <v>0</v>
      </c>
      <c r="AM27" s="45">
        <f>AL27*$G$8</f>
        <v>0</v>
      </c>
      <c r="AN27" s="305">
        <v>2.7</v>
      </c>
      <c r="AO27" s="13">
        <v>62</v>
      </c>
      <c r="AP27" s="15">
        <f t="shared" ref="AP27:AP28" si="87">AO27-AK27</f>
        <v>0</v>
      </c>
      <c r="AQ27" s="45">
        <f>AP27*$G$8</f>
        <v>0</v>
      </c>
      <c r="AR27" s="15"/>
      <c r="AS27" s="13">
        <v>63</v>
      </c>
      <c r="AT27" s="15">
        <f t="shared" ref="AT27:AT28" si="88">AS27-AO27</f>
        <v>1</v>
      </c>
      <c r="AU27" s="45">
        <f>AT27*$G$8</f>
        <v>2.7</v>
      </c>
      <c r="AV27" s="15"/>
      <c r="AW27" s="13">
        <v>63</v>
      </c>
      <c r="AX27" s="15">
        <f t="shared" ref="AX27:AX28" si="89">AW27-AS27</f>
        <v>0</v>
      </c>
      <c r="AY27" s="45">
        <f>AX27*$G$8</f>
        <v>0</v>
      </c>
      <c r="AZ27" s="28"/>
      <c r="BA27" s="13">
        <v>63</v>
      </c>
      <c r="BB27" s="15">
        <f t="shared" ref="BB27:BB28" si="90">BA27-AW27</f>
        <v>0</v>
      </c>
      <c r="BC27" s="45">
        <f>BB27*$G$8</f>
        <v>0</v>
      </c>
      <c r="BD27" s="15"/>
      <c r="BE27" s="40">
        <f t="shared" ref="BE27:BG27" si="91">J27+N27+R27+V27+Z27+AD27+AH27+AL27+AP27+AT27+AX27+BB27</f>
        <v>7</v>
      </c>
      <c r="BF27" s="41">
        <f t="shared" si="91"/>
        <v>18.4</v>
      </c>
      <c r="BG27" s="34">
        <f t="shared" si="91"/>
        <v>10.18</v>
      </c>
      <c r="BH27" s="35">
        <f t="shared" si="79"/>
        <v>2.7</v>
      </c>
      <c r="BK27" s="2" t="b">
        <f>H27='2020'!BH27</f>
        <v>1</v>
      </c>
    </row>
    <row r="28" ht="14.25" customHeight="1" hidden="1" spans="1:63" x14ac:dyDescent="0.25">
      <c r="A28" s="176">
        <v>3</v>
      </c>
      <c r="B28" s="14"/>
      <c r="C28" s="2" t="s">
        <v>61</v>
      </c>
      <c r="D28" s="14" t="s">
        <v>47</v>
      </c>
      <c r="E28" s="2" t="s">
        <v>48</v>
      </c>
      <c r="F28" s="13">
        <v>18.56</v>
      </c>
      <c r="G28" s="35">
        <v>19.46</v>
      </c>
      <c r="H28" s="34">
        <f>'2020'!BH28</f>
        <v>0</v>
      </c>
      <c r="I28" s="13">
        <v>280</v>
      </c>
      <c r="J28" s="15"/>
      <c r="K28" s="34"/>
      <c r="L28" s="28"/>
      <c r="M28" s="13">
        <v>280</v>
      </c>
      <c r="N28" s="15">
        <f t="shared" si="80"/>
        <v>0</v>
      </c>
      <c r="O28" s="15"/>
      <c r="P28" s="15"/>
      <c r="Q28" s="13">
        <v>280</v>
      </c>
      <c r="R28" s="15">
        <f t="shared" si="81"/>
        <v>0</v>
      </c>
      <c r="S28" s="15"/>
      <c r="T28" s="28"/>
      <c r="U28" s="13">
        <v>280</v>
      </c>
      <c r="V28" s="15">
        <f t="shared" si="82"/>
        <v>0</v>
      </c>
      <c r="W28" s="180">
        <f>V28*$F$10</f>
        <v>0</v>
      </c>
      <c r="X28" s="15"/>
      <c r="Y28" s="186">
        <v>283</v>
      </c>
      <c r="Z28" s="2">
        <f t="shared" si="83"/>
        <v>3</v>
      </c>
      <c r="AA28" s="34">
        <f>Z28*$F$10</f>
        <v>58.38</v>
      </c>
      <c r="AB28" s="28"/>
      <c r="AC28" s="13">
        <v>297</v>
      </c>
      <c r="AD28" s="15">
        <f t="shared" si="84"/>
        <v>14</v>
      </c>
      <c r="AE28" s="34">
        <f>AD28*$F$10</f>
        <v>272.44</v>
      </c>
      <c r="AF28" s="182">
        <v>330.82</v>
      </c>
      <c r="AG28" s="13">
        <v>297</v>
      </c>
      <c r="AH28" s="2">
        <f t="shared" si="85"/>
        <v>0</v>
      </c>
      <c r="AI28" s="45">
        <f>AH28*$G$10</f>
        <v>0</v>
      </c>
      <c r="AJ28" s="34"/>
      <c r="AK28" s="13">
        <v>308</v>
      </c>
      <c r="AL28" s="15">
        <f t="shared" si="86"/>
        <v>11</v>
      </c>
      <c r="AM28" s="45">
        <f>AL28*$G$10</f>
        <v>223.85</v>
      </c>
      <c r="AN28" s="305">
        <v>223.85</v>
      </c>
      <c r="AO28" s="13">
        <v>308</v>
      </c>
      <c r="AP28" s="15">
        <f t="shared" si="87"/>
        <v>0</v>
      </c>
      <c r="AQ28" s="45">
        <f>AP28*$G$10</f>
        <v>0</v>
      </c>
      <c r="AR28" s="15"/>
      <c r="AS28" s="13">
        <v>308</v>
      </c>
      <c r="AT28" s="15">
        <f t="shared" si="88"/>
        <v>0</v>
      </c>
      <c r="AU28" s="45">
        <f>AT28*$G$10</f>
        <v>0</v>
      </c>
      <c r="AV28" s="15"/>
      <c r="AW28" s="13">
        <v>308</v>
      </c>
      <c r="AX28" s="15">
        <f t="shared" si="89"/>
        <v>0</v>
      </c>
      <c r="AY28" s="45"/>
      <c r="AZ28" s="28"/>
      <c r="BA28" s="13">
        <v>308</v>
      </c>
      <c r="BB28" s="15">
        <f t="shared" si="90"/>
        <v>0</v>
      </c>
      <c r="BC28" s="45"/>
      <c r="BD28" s="15"/>
      <c r="BE28" s="40">
        <f t="shared" ref="BE28:BG28" si="92">J28+N28+R28+V28+Z28+AD28+AH28+AL28+AP28+AT28+AX28+BB28</f>
        <v>28</v>
      </c>
      <c r="BF28" s="41">
        <f t="shared" si="92"/>
        <v>554.67</v>
      </c>
      <c r="BG28" s="34">
        <f t="shared" si="92"/>
        <v>554.67</v>
      </c>
      <c r="BH28" s="35">
        <f t="shared" si="79"/>
        <v>0</v>
      </c>
      <c r="BK28" s="2" t="b">
        <f>H28='2020'!BH28</f>
        <v>1</v>
      </c>
    </row>
    <row r="29" ht="14.25" customHeight="1" hidden="1" spans="1:63" x14ac:dyDescent="0.25">
      <c r="A29" s="176">
        <v>3</v>
      </c>
      <c r="B29" s="14"/>
      <c r="C29" s="2" t="s">
        <v>62</v>
      </c>
      <c r="D29" s="14" t="s">
        <v>47</v>
      </c>
      <c r="E29" s="2" t="s">
        <v>49</v>
      </c>
      <c r="F29" s="41">
        <v>500</v>
      </c>
      <c r="G29" s="35"/>
      <c r="H29" s="34">
        <f>'2020'!BH29</f>
        <v>0</v>
      </c>
      <c r="I29" s="13"/>
      <c r="J29" s="15"/>
      <c r="K29" s="15"/>
      <c r="L29" s="28"/>
      <c r="M29" s="13"/>
      <c r="N29" s="15"/>
      <c r="O29" s="15"/>
      <c r="P29" s="15"/>
      <c r="Q29" s="13"/>
      <c r="R29" s="15"/>
      <c r="S29" s="15"/>
      <c r="T29" s="28"/>
      <c r="U29" s="13"/>
      <c r="V29" s="15"/>
      <c r="W29" s="15"/>
      <c r="X29" s="15"/>
      <c r="Y29" s="186"/>
      <c r="Z29" s="2"/>
      <c r="AA29" s="15"/>
      <c r="AB29" s="28"/>
      <c r="AC29" s="15"/>
      <c r="AD29" s="15"/>
      <c r="AE29" s="34"/>
      <c r="AF29" s="154"/>
      <c r="AG29" s="15"/>
      <c r="AH29" s="2"/>
      <c r="AI29" s="45"/>
      <c r="AJ29" s="15"/>
      <c r="AK29" s="13"/>
      <c r="AL29" s="15"/>
      <c r="AM29" s="45"/>
      <c r="AN29" s="15"/>
      <c r="AO29" s="13"/>
      <c r="AP29" s="15"/>
      <c r="AQ29" s="45"/>
      <c r="AR29" s="15"/>
      <c r="AS29" s="13"/>
      <c r="AT29" s="15"/>
      <c r="AU29" s="45"/>
      <c r="AV29" s="15"/>
      <c r="AW29" s="13"/>
      <c r="AX29" s="15"/>
      <c r="AY29" s="45"/>
      <c r="AZ29" s="28"/>
      <c r="BA29" s="13"/>
      <c r="BB29" s="15"/>
      <c r="BC29" s="45"/>
      <c r="BD29" s="15"/>
      <c r="BE29" s="14"/>
      <c r="BF29" s="41">
        <f t="shared" ref="BF29:BG29" si="93">K29+O29+S29+W29+AA29+AE29+AI29+AM29+AQ29+AU29+AY29+BC29</f>
        <v>0</v>
      </c>
      <c r="BG29" s="34">
        <f t="shared" si="93"/>
        <v>0</v>
      </c>
      <c r="BH29" s="35">
        <f t="shared" si="79"/>
        <v>0</v>
      </c>
      <c r="BK29" s="2" t="b">
        <f>H29='2020'!BH29</f>
        <v>1</v>
      </c>
    </row>
    <row r="30" ht="14.25" customHeight="1" hidden="1" spans="1:63" x14ac:dyDescent="0.25">
      <c r="A30" s="176">
        <v>3</v>
      </c>
      <c r="B30" s="14"/>
      <c r="C30" s="2" t="s">
        <v>63</v>
      </c>
      <c r="D30" s="14" t="s">
        <v>50</v>
      </c>
      <c r="E30" s="2" t="s">
        <v>49</v>
      </c>
      <c r="F30" s="41">
        <v>1100</v>
      </c>
      <c r="G30" s="35"/>
      <c r="H30" s="34">
        <f>'2020'!BH30</f>
        <v>0</v>
      </c>
      <c r="I30" s="13"/>
      <c r="J30" s="15"/>
      <c r="K30" s="15"/>
      <c r="L30" s="28"/>
      <c r="M30" s="13"/>
      <c r="N30" s="15"/>
      <c r="O30" s="15"/>
      <c r="P30" s="15"/>
      <c r="Q30" s="13"/>
      <c r="R30" s="15"/>
      <c r="S30" s="15"/>
      <c r="T30" s="28"/>
      <c r="U30" s="13"/>
      <c r="V30" s="15"/>
      <c r="W30" s="15"/>
      <c r="X30" s="15"/>
      <c r="Y30" s="186"/>
      <c r="Z30" s="2"/>
      <c r="AA30" s="15"/>
      <c r="AB30" s="28"/>
      <c r="AC30" s="15"/>
      <c r="AD30" s="15"/>
      <c r="AE30" s="182">
        <v>4400</v>
      </c>
      <c r="AF30" s="182">
        <v>4400</v>
      </c>
      <c r="AG30" s="15"/>
      <c r="AH30" s="2"/>
      <c r="AI30" s="45"/>
      <c r="AJ30" s="15"/>
      <c r="AK30" s="13"/>
      <c r="AL30" s="15"/>
      <c r="AM30" s="45"/>
      <c r="AN30" s="15"/>
      <c r="AO30" s="13"/>
      <c r="AP30" s="15"/>
      <c r="AQ30" s="45"/>
      <c r="AR30" s="15"/>
      <c r="AS30" s="13"/>
      <c r="AT30" s="15"/>
      <c r="AU30" s="45"/>
      <c r="AV30" s="15"/>
      <c r="AW30" s="13"/>
      <c r="AX30" s="15"/>
      <c r="AY30" s="45"/>
      <c r="AZ30" s="28"/>
      <c r="BA30" s="13"/>
      <c r="BB30" s="15"/>
      <c r="BC30" s="45"/>
      <c r="BD30" s="15"/>
      <c r="BE30" s="14"/>
      <c r="BF30" s="41">
        <f t="shared" ref="BF30:BG30" si="94">K30+O30+S30+W30+AA30+AE30+AI30+AM30+AQ30+AU30+AY30+BC30</f>
        <v>4400</v>
      </c>
      <c r="BG30" s="34">
        <f t="shared" si="94"/>
        <v>4400</v>
      </c>
      <c r="BH30" s="35">
        <f t="shared" si="79"/>
        <v>0</v>
      </c>
      <c r="BK30" s="2" t="b">
        <f>H30='2020'!BH30</f>
        <v>1</v>
      </c>
    </row>
    <row r="31" ht="14.25" customHeight="1" hidden="1" spans="1:63" x14ac:dyDescent="0.25">
      <c r="A31" s="176">
        <v>3</v>
      </c>
      <c r="B31" s="14"/>
      <c r="D31" s="14" t="s">
        <v>51</v>
      </c>
      <c r="E31" s="2" t="s">
        <v>39</v>
      </c>
      <c r="F31" s="41">
        <v>500</v>
      </c>
      <c r="G31" s="35"/>
      <c r="H31" s="34">
        <f>'2020'!BH31</f>
        <v>500</v>
      </c>
      <c r="I31" s="13"/>
      <c r="J31" s="15"/>
      <c r="K31" s="15"/>
      <c r="L31" s="28"/>
      <c r="M31" s="13"/>
      <c r="N31" s="15"/>
      <c r="O31" s="15"/>
      <c r="P31" s="15"/>
      <c r="Q31" s="13"/>
      <c r="R31" s="15"/>
      <c r="S31" s="15"/>
      <c r="T31" s="28"/>
      <c r="U31" s="13"/>
      <c r="V31" s="15"/>
      <c r="W31" s="15"/>
      <c r="X31" s="15"/>
      <c r="Y31" s="186"/>
      <c r="Z31" s="2"/>
      <c r="AA31" s="15"/>
      <c r="AB31" s="28"/>
      <c r="AC31" s="15"/>
      <c r="AD31" s="15"/>
      <c r="AE31" s="180">
        <f>$F$13</f>
      </c>
      <c r="AF31" s="182">
        <v>500</v>
      </c>
      <c r="AG31" s="15"/>
      <c r="AH31" s="2"/>
      <c r="AI31" s="45"/>
      <c r="AJ31" s="15"/>
      <c r="AK31" s="13"/>
      <c r="AL31" s="15"/>
      <c r="AM31" s="45"/>
      <c r="AN31" s="15"/>
      <c r="AO31" s="13"/>
      <c r="AP31" s="15"/>
      <c r="AQ31" s="180"/>
      <c r="AR31" s="15"/>
      <c r="AS31" s="13"/>
      <c r="AT31" s="15"/>
      <c r="AU31" s="45"/>
      <c r="AV31" s="15"/>
      <c r="AW31" s="13"/>
      <c r="AX31" s="15"/>
      <c r="AY31" s="45"/>
      <c r="AZ31" s="28"/>
      <c r="BA31" s="13"/>
      <c r="BB31" s="15"/>
      <c r="BC31" s="45"/>
      <c r="BD31" s="15"/>
      <c r="BE31" s="14"/>
      <c r="BF31" s="41">
        <f t="shared" ref="BF31:BG31" si="95">K31+O31+S31+W31+AA31+AE31+AI31+AM31+AQ31+AU31+AY31+BC31</f>
        <v>0</v>
      </c>
      <c r="BG31" s="34">
        <f t="shared" si="95"/>
        <v>500</v>
      </c>
      <c r="BH31" s="35">
        <f t="shared" si="79"/>
        <v>0</v>
      </c>
      <c r="BK31" s="2" t="b">
        <f>H31='2020'!BH31</f>
        <v>1</v>
      </c>
    </row>
    <row r="32" ht="14.25" customHeight="1" hidden="1" spans="1:63" x14ac:dyDescent="0.25">
      <c r="A32" s="176">
        <v>3</v>
      </c>
      <c r="B32" s="14"/>
      <c r="D32" s="14" t="s">
        <v>51</v>
      </c>
      <c r="E32" s="2" t="s">
        <v>49</v>
      </c>
      <c r="F32" s="41">
        <v>500</v>
      </c>
      <c r="G32" s="35"/>
      <c r="H32" s="34">
        <f>'2020'!BH32</f>
        <v>2000</v>
      </c>
      <c r="I32" s="13"/>
      <c r="J32" s="15"/>
      <c r="K32" s="15"/>
      <c r="L32" s="28"/>
      <c r="M32" s="13"/>
      <c r="N32" s="15"/>
      <c r="O32" s="15"/>
      <c r="P32" s="15"/>
      <c r="Q32" s="13"/>
      <c r="R32" s="15"/>
      <c r="S32" s="15"/>
      <c r="T32" s="28"/>
      <c r="U32" s="13"/>
      <c r="V32" s="15"/>
      <c r="W32" s="15"/>
      <c r="X32" s="15"/>
      <c r="Y32" s="186"/>
      <c r="Z32" s="2"/>
      <c r="AA32" s="15"/>
      <c r="AB32" s="28"/>
      <c r="AC32" s="15"/>
      <c r="AD32" s="15"/>
      <c r="AE32" s="34"/>
      <c r="AF32" s="182">
        <v>2000</v>
      </c>
      <c r="AG32" s="15"/>
      <c r="AH32" s="2"/>
      <c r="AI32" s="45"/>
      <c r="AJ32" s="15"/>
      <c r="AK32" s="13"/>
      <c r="AL32" s="15"/>
      <c r="AM32" s="45"/>
      <c r="AN32" s="15"/>
      <c r="AO32" s="13"/>
      <c r="AP32" s="15"/>
      <c r="AQ32" s="180">
        <f>B27*$F$14</f>
        <v>0</v>
      </c>
      <c r="AR32" s="15"/>
      <c r="AS32" s="13"/>
      <c r="AT32" s="15"/>
      <c r="AU32" s="45"/>
      <c r="AV32" s="15"/>
      <c r="AW32" s="13"/>
      <c r="AX32" s="15"/>
      <c r="AY32" s="45"/>
      <c r="AZ32" s="28"/>
      <c r="BA32" s="13"/>
      <c r="BB32" s="15"/>
      <c r="BC32" s="45"/>
      <c r="BD32" s="15"/>
      <c r="BE32" s="14"/>
      <c r="BF32" s="41">
        <f t="shared" ref="BF32:BG32" si="96">K32+O32+S32+W32+AA32+AE32+AI32+AM32+AQ32+AU32+AY32+BC32</f>
        <v>0</v>
      </c>
      <c r="BG32" s="34">
        <f t="shared" si="96"/>
        <v>2000</v>
      </c>
      <c r="BH32" s="35">
        <f t="shared" si="79"/>
        <v>0</v>
      </c>
      <c r="BK32" s="2" t="b">
        <f>H32='2020'!BH32</f>
        <v>1</v>
      </c>
    </row>
    <row r="33" ht="14.25" customHeight="1" hidden="1" spans="1:63" x14ac:dyDescent="0.25">
      <c r="A33" s="176">
        <v>3</v>
      </c>
      <c r="B33" s="14"/>
      <c r="D33" s="14" t="s">
        <v>52</v>
      </c>
      <c r="E33" s="2" t="s">
        <v>39</v>
      </c>
      <c r="F33" s="41">
        <v>500</v>
      </c>
      <c r="G33" s="35"/>
      <c r="H33" s="34">
        <f>'2020'!BH33</f>
        <v>0</v>
      </c>
      <c r="I33" s="13"/>
      <c r="J33" s="15"/>
      <c r="K33" s="15"/>
      <c r="L33" s="28"/>
      <c r="M33" s="13"/>
      <c r="N33" s="15"/>
      <c r="O33" s="15"/>
      <c r="P33" s="15"/>
      <c r="Q33" s="13"/>
      <c r="R33" s="15"/>
      <c r="S33" s="15"/>
      <c r="T33" s="28"/>
      <c r="U33" s="13"/>
      <c r="V33" s="15"/>
      <c r="W33" s="15"/>
      <c r="X33" s="15"/>
      <c r="Y33" s="186"/>
      <c r="Z33" s="2"/>
      <c r="AA33" s="34">
        <f>$F$15</f>
      </c>
      <c r="AB33" s="35"/>
      <c r="AC33" s="15"/>
      <c r="AD33" s="15"/>
      <c r="AE33" s="15"/>
      <c r="AF33" s="34"/>
      <c r="AG33" s="15"/>
      <c r="AH33" s="2"/>
      <c r="AI33" s="45"/>
      <c r="AJ33" s="15"/>
      <c r="AK33" s="13"/>
      <c r="AL33" s="15"/>
      <c r="AM33" s="45"/>
      <c r="AN33" s="15"/>
      <c r="AO33" s="13"/>
      <c r="AP33" s="15"/>
      <c r="AQ33" s="45"/>
      <c r="AR33" s="15"/>
      <c r="AS33" s="13"/>
      <c r="AT33" s="15"/>
      <c r="AU33" s="45"/>
      <c r="AV33" s="15"/>
      <c r="AW33" s="13"/>
      <c r="AX33" s="15"/>
      <c r="AY33" s="45"/>
      <c r="AZ33" s="28"/>
      <c r="BA33" s="13"/>
      <c r="BB33" s="15"/>
      <c r="BC33" s="45"/>
      <c r="BD33" s="15"/>
      <c r="BE33" s="14"/>
      <c r="BF33" s="41">
        <f t="shared" ref="BF33:BG33" si="97">K33+O33+S33+W33+AA33+AE33+AI33+AM33+AQ33+AU33+AY33+BC33</f>
        <v>0</v>
      </c>
      <c r="BG33" s="34">
        <f t="shared" si="97"/>
        <v>0</v>
      </c>
      <c r="BH33" s="35">
        <f t="shared" si="79"/>
        <v>0</v>
      </c>
      <c r="BK33" s="2" t="b">
        <f>H33='2020'!BH33</f>
        <v>1</v>
      </c>
    </row>
    <row r="34" ht="14.25" customHeight="1" hidden="1" spans="1:63" x14ac:dyDescent="0.25">
      <c r="A34" s="177">
        <v>3</v>
      </c>
      <c r="B34" s="21"/>
      <c r="C34" s="22" t="s">
        <v>53</v>
      </c>
      <c r="D34" s="21"/>
      <c r="E34" s="22"/>
      <c r="F34" s="20"/>
      <c r="G34" s="23"/>
      <c r="H34" s="51">
        <f>SUM(H26:H33)</f>
        <v>2494.48</v>
      </c>
      <c r="I34" s="52"/>
      <c r="J34" s="53"/>
      <c r="K34" s="51">
        <f t="shared" ref="K34:L34" si="98">SUM(K26:K33)</f>
        <v>0</v>
      </c>
      <c r="L34" s="68">
        <f t="shared" si="98"/>
        <v>0</v>
      </c>
      <c r="M34" s="52"/>
      <c r="N34" s="53"/>
      <c r="O34" s="51">
        <f t="shared" ref="O34:P34" si="99">SUM(O26:O33)</f>
        <v>0</v>
      </c>
      <c r="P34" s="68">
        <f t="shared" si="99"/>
        <v>0</v>
      </c>
      <c r="Q34" s="52"/>
      <c r="R34" s="53"/>
      <c r="S34" s="51">
        <f t="shared" ref="S34:T34" si="100">SUM(S26:S33)</f>
        <v>0</v>
      </c>
      <c r="T34" s="68">
        <f t="shared" si="100"/>
        <v>0</v>
      </c>
      <c r="U34" s="52"/>
      <c r="V34" s="53"/>
      <c r="W34" s="51">
        <f t="shared" ref="W34:X34" si="101">SUM(W26:W33)</f>
        <v>0</v>
      </c>
      <c r="X34" s="68">
        <f t="shared" si="101"/>
        <v>0</v>
      </c>
      <c r="Y34" s="300"/>
      <c r="Z34" s="301"/>
      <c r="AA34" s="51">
        <f t="shared" ref="AA34:AB34" si="102">SUM(AA26:AA33)</f>
        <v>66.18</v>
      </c>
      <c r="AB34" s="68">
        <f t="shared" si="102"/>
        <v>0</v>
      </c>
      <c r="AC34" s="53"/>
      <c r="AD34" s="53"/>
      <c r="AE34" s="51">
        <f t="shared" ref="AE34:AF34" si="103">SUM(AE26:AE33)</f>
        <v>4677.64</v>
      </c>
      <c r="AF34" s="68">
        <f t="shared" si="103"/>
        <v>7238.3</v>
      </c>
      <c r="AG34" s="53"/>
      <c r="AH34" s="301"/>
      <c r="AI34" s="183">
        <f t="shared" ref="AI34:AJ34" si="104">SUM(AI26:AI33)</f>
        <v>2.7</v>
      </c>
      <c r="AJ34" s="51">
        <f t="shared" si="104"/>
        <v>0</v>
      </c>
      <c r="AK34" s="52"/>
      <c r="AL34" s="53"/>
      <c r="AM34" s="183">
        <f t="shared" ref="AM34:AN34" si="105">SUM(AM26:AM33)</f>
        <v>223.85</v>
      </c>
      <c r="AN34" s="51">
        <f t="shared" si="105"/>
        <v>226.55</v>
      </c>
      <c r="AO34" s="52"/>
      <c r="AP34" s="53"/>
      <c r="AQ34" s="183">
        <f t="shared" ref="AQ34:AR34" si="106">SUM(AQ26:AQ33)</f>
        <v>0</v>
      </c>
      <c r="AR34" s="51">
        <f t="shared" si="106"/>
        <v>0</v>
      </c>
      <c r="AS34" s="52"/>
      <c r="AT34" s="53"/>
      <c r="AU34" s="183">
        <f t="shared" ref="AU34:AV34" si="107">SUM(AU26:AU33)</f>
        <v>2.7</v>
      </c>
      <c r="AV34" s="68">
        <f t="shared" si="107"/>
        <v>0</v>
      </c>
      <c r="AW34" s="52"/>
      <c r="AX34" s="53"/>
      <c r="AY34" s="183">
        <f t="shared" ref="AY34:AZ34" si="108">SUM(AY26:AY33)</f>
        <v>0</v>
      </c>
      <c r="AZ34" s="68">
        <f t="shared" si="108"/>
        <v>0</v>
      </c>
      <c r="BA34" s="52"/>
      <c r="BB34" s="53"/>
      <c r="BC34" s="183">
        <f t="shared" ref="BC34:BD34" si="109">SUM(BC26:BC33)</f>
        <v>0</v>
      </c>
      <c r="BD34" s="68">
        <f t="shared" si="109"/>
        <v>0</v>
      </c>
      <c r="BE34" s="69"/>
      <c r="BF34" s="70">
        <f t="shared" ref="BF34:BH34" si="110">SUM(BF26:BF33)</f>
        <v>4973.07</v>
      </c>
      <c r="BG34" s="71">
        <f t="shared" si="110"/>
        <v>7464.85</v>
      </c>
      <c r="BH34" s="72">
        <f t="shared" si="110"/>
        <v>2.7</v>
      </c>
      <c r="BI34" s="34">
        <f>H34+BF34-BG34</f>
        <v>2.7</v>
      </c>
      <c r="BJ34" s="34">
        <f>BH34-BI34</f>
        <v>0</v>
      </c>
      <c r="BK34" s="2" t="b">
        <f>H34='2020'!BH34</f>
        <v>1</v>
      </c>
    </row>
    <row r="35" ht="14.25" customHeight="1" hidden="1" spans="1:63" x14ac:dyDescent="0.25">
      <c r="A35" s="175">
        <v>4</v>
      </c>
      <c r="B35" s="14"/>
      <c r="D35" s="14" t="s">
        <v>379</v>
      </c>
      <c r="F35" s="13"/>
      <c r="G35" s="28"/>
      <c r="H35" s="34">
        <f>'2020'!BH35</f>
        <v>0</v>
      </c>
      <c r="I35" s="13"/>
      <c r="J35" s="15"/>
      <c r="K35" s="15"/>
      <c r="L35" s="28"/>
      <c r="M35" s="13"/>
      <c r="N35" s="15"/>
      <c r="O35" s="15"/>
      <c r="P35" s="15"/>
      <c r="Q35" s="13"/>
      <c r="R35" s="15"/>
      <c r="S35" s="15"/>
      <c r="T35" s="28"/>
      <c r="U35" s="13"/>
      <c r="V35" s="15"/>
      <c r="W35" s="15"/>
      <c r="X35" s="15"/>
      <c r="Y35" s="186"/>
      <c r="Z35" s="2"/>
      <c r="AA35" s="15"/>
      <c r="AB35" s="28"/>
      <c r="AC35" s="15"/>
      <c r="AD35" s="15"/>
      <c r="AE35" s="15"/>
      <c r="AF35" s="15"/>
      <c r="AG35" s="15"/>
      <c r="AH35" s="2"/>
      <c r="AI35" s="45"/>
      <c r="AJ35" s="15"/>
      <c r="AK35" s="13"/>
      <c r="AL35" s="15"/>
      <c r="AM35" s="45"/>
      <c r="AN35" s="15"/>
      <c r="AO35" s="13"/>
      <c r="AP35" s="15"/>
      <c r="AQ35" s="45">
        <v>20.46</v>
      </c>
      <c r="AR35" s="15"/>
      <c r="AS35" s="13"/>
      <c r="AT35" s="15"/>
      <c r="AU35" s="45"/>
      <c r="AV35" s="15"/>
      <c r="AW35" s="13"/>
      <c r="AX35" s="15"/>
      <c r="AY35" s="45"/>
      <c r="AZ35" s="28"/>
      <c r="BA35" s="13"/>
      <c r="BB35" s="15"/>
      <c r="BC35" s="45"/>
      <c r="BD35" s="15"/>
      <c r="BE35" s="14"/>
      <c r="BF35" s="41">
        <f t="shared" ref="BF35:BG35" si="111">K35+O35+S35+W35+AA35+AE35+AI35+AM35+AQ35+AU35+AY35+BC35</f>
        <v>20.46</v>
      </c>
      <c r="BG35" s="34">
        <f t="shared" si="111"/>
        <v>0</v>
      </c>
      <c r="BH35" s="35">
        <f t="shared" ref="BH35:BH42" si="112">H35+BF35-BG35</f>
        <v>20.46</v>
      </c>
      <c r="BK35" s="2" t="b">
        <f>H35='2020'!BH35</f>
        <v>1</v>
      </c>
    </row>
    <row r="36" ht="14.25" customHeight="1" hidden="1" spans="1:63" x14ac:dyDescent="0.25">
      <c r="A36" s="176">
        <v>4</v>
      </c>
      <c r="B36" s="14">
        <v>3.95</v>
      </c>
      <c r="C36" s="2" t="s">
        <v>64</v>
      </c>
      <c r="D36" s="14" t="s">
        <v>44</v>
      </c>
      <c r="E36" s="2" t="s">
        <v>45</v>
      </c>
      <c r="F36" s="41">
        <v>2.5</v>
      </c>
      <c r="G36" s="35">
        <v>2.6</v>
      </c>
      <c r="H36" s="104">
        <f>'2020'!BH36</f>
        <v>0</v>
      </c>
      <c r="I36" s="13">
        <v>0</v>
      </c>
      <c r="J36" s="15">
        <f>I36-'2020'!BA36</f>
        <v>0</v>
      </c>
      <c r="K36" s="34">
        <f>J36*$F$8</f>
        <v>0</v>
      </c>
      <c r="L36" s="28"/>
      <c r="M36" s="13">
        <v>0</v>
      </c>
      <c r="N36" s="15">
        <f t="shared" ref="N36:N37" si="113">M36-I36</f>
        <v>0</v>
      </c>
      <c r="O36" s="34">
        <f>N36*$F$8</f>
        <v>0</v>
      </c>
      <c r="P36" s="15"/>
      <c r="Q36" s="13">
        <v>0</v>
      </c>
      <c r="R36" s="15">
        <f t="shared" ref="R36:R37" si="114">Q36-M36</f>
        <v>0</v>
      </c>
      <c r="S36" s="34">
        <f>R36*$F$8</f>
        <v>0</v>
      </c>
      <c r="T36" s="28"/>
      <c r="U36" s="13">
        <v>0</v>
      </c>
      <c r="V36" s="15">
        <f t="shared" ref="V36:V37" si="115">U36-Q36</f>
        <v>0</v>
      </c>
      <c r="W36" s="34">
        <f>V36*$F$8</f>
        <v>0</v>
      </c>
      <c r="X36" s="15"/>
      <c r="Y36" s="186"/>
      <c r="Z36" s="2">
        <f t="shared" ref="Z36:Z37" si="116">Y36-U36</f>
        <v>0</v>
      </c>
      <c r="AA36" s="34">
        <f>Z36*$F$8</f>
        <v>0</v>
      </c>
      <c r="AB36" s="28"/>
      <c r="AC36" s="13"/>
      <c r="AD36" s="15">
        <f t="shared" ref="AD36:AD37" si="117">AC36-Y36</f>
        <v>0</v>
      </c>
      <c r="AE36" s="180">
        <f>AD36*$F$8</f>
        <v>0</v>
      </c>
      <c r="AF36" s="15"/>
      <c r="AG36" s="13"/>
      <c r="AH36" s="2">
        <f t="shared" ref="AH36:AH37" si="118">AG36-AC36</f>
        <v>0</v>
      </c>
      <c r="AI36" s="45">
        <f>AH36*$G$8</f>
        <v>0</v>
      </c>
      <c r="AJ36" s="15"/>
      <c r="AK36" s="13"/>
      <c r="AL36" s="37">
        <f t="shared" ref="AL36:AL37" si="119">AK36-AG36</f>
        <v>0</v>
      </c>
      <c r="AM36" s="45">
        <f>AL36*$G$8</f>
        <v>0</v>
      </c>
      <c r="AN36" s="15"/>
      <c r="AO36" s="13"/>
      <c r="AP36" s="37">
        <f t="shared" ref="AP36:AP37" si="120">AO36-AK36</f>
        <v>0</v>
      </c>
      <c r="AQ36" s="45">
        <f>AP36*$G$8</f>
        <v>0</v>
      </c>
      <c r="AR36" s="15"/>
      <c r="AS36" s="13"/>
      <c r="AT36" s="37">
        <f t="shared" ref="AT36:AT37" si="121">AS36-AO36</f>
        <v>0</v>
      </c>
      <c r="AU36" s="45">
        <f t="shared" ref="AU36:AU37" si="122">AT36*$G$8</f>
        <v>0</v>
      </c>
      <c r="AV36" s="15"/>
      <c r="AW36" s="13"/>
      <c r="AX36" s="37">
        <f t="shared" ref="AX36:AX37" si="123">AW36-AS36</f>
        <v>0</v>
      </c>
      <c r="AY36" s="45">
        <f>AX36*$G$8</f>
        <v>0</v>
      </c>
      <c r="AZ36" s="28"/>
      <c r="BA36" s="13"/>
      <c r="BB36" s="37">
        <f t="shared" ref="BB36:BB37" si="124">BA36-AW36</f>
        <v>0</v>
      </c>
      <c r="BC36" s="45">
        <f>BB36*$G$8</f>
        <v>0</v>
      </c>
      <c r="BD36" s="15"/>
      <c r="BE36" s="40">
        <f t="shared" ref="BE36:BG36" si="125">J36+N36+R36+V36+Z36+AD36+AH36+AL36+AP36+AT36+AX36+BB36</f>
        <v>0</v>
      </c>
      <c r="BF36" s="41">
        <f t="shared" si="125"/>
        <v>0</v>
      </c>
      <c r="BG36" s="34">
        <f t="shared" si="125"/>
        <v>0</v>
      </c>
      <c r="BH36" s="35">
        <f t="shared" si="112"/>
        <v>0</v>
      </c>
      <c r="BK36" s="2" t="b">
        <f>H36='2020'!BH36</f>
        <v>1</v>
      </c>
    </row>
    <row r="37" ht="14.25" customHeight="1" hidden="1" spans="1:63" x14ac:dyDescent="0.25">
      <c r="A37" s="176">
        <v>4</v>
      </c>
      <c r="B37" s="14"/>
      <c r="C37" s="2" t="s">
        <v>65</v>
      </c>
      <c r="D37" s="14" t="s">
        <v>47</v>
      </c>
      <c r="E37" s="2" t="s">
        <v>48</v>
      </c>
      <c r="F37" s="13">
        <v>18.56</v>
      </c>
      <c r="G37" s="35">
        <v>19.46</v>
      </c>
      <c r="H37" s="34">
        <f>'2020'!BH37</f>
        <v>-38.81</v>
      </c>
      <c r="I37" s="13">
        <v>21</v>
      </c>
      <c r="J37" s="15"/>
      <c r="K37" s="15"/>
      <c r="L37" s="28"/>
      <c r="M37" s="13">
        <v>21</v>
      </c>
      <c r="N37" s="15">
        <f t="shared" si="113"/>
        <v>0</v>
      </c>
      <c r="O37" s="15"/>
      <c r="P37" s="15"/>
      <c r="Q37" s="13">
        <v>21</v>
      </c>
      <c r="R37" s="15">
        <f t="shared" si="114"/>
        <v>0</v>
      </c>
      <c r="S37" s="15"/>
      <c r="T37" s="28"/>
      <c r="U37" s="13">
        <v>21</v>
      </c>
      <c r="V37" s="15">
        <f t="shared" si="115"/>
        <v>0</v>
      </c>
      <c r="W37" s="180">
        <f>V37*$F$10</f>
        <v>0</v>
      </c>
      <c r="X37" s="15"/>
      <c r="Y37" s="186">
        <v>21</v>
      </c>
      <c r="Z37" s="2">
        <f t="shared" si="116"/>
        <v>0</v>
      </c>
      <c r="AA37" s="34">
        <f>Z37*$F$10</f>
        <v>0</v>
      </c>
      <c r="AB37" s="28"/>
      <c r="AC37" s="15">
        <v>21</v>
      </c>
      <c r="AD37" s="15">
        <f t="shared" si="117"/>
        <v>0</v>
      </c>
      <c r="AE37" s="34">
        <f>AD37*$F$10</f>
        <v>0</v>
      </c>
      <c r="AF37" s="180"/>
      <c r="AG37" s="15">
        <v>21</v>
      </c>
      <c r="AH37" s="2">
        <f t="shared" si="118"/>
        <v>0</v>
      </c>
      <c r="AI37" s="45">
        <f>AH37*$G$10</f>
        <v>0</v>
      </c>
      <c r="AJ37" s="39"/>
      <c r="AK37" s="13">
        <v>21</v>
      </c>
      <c r="AL37" s="37">
        <f t="shared" si="119"/>
        <v>0</v>
      </c>
      <c r="AM37" s="45">
        <f>AL37*$G$10</f>
        <v>0</v>
      </c>
      <c r="AN37" s="15"/>
      <c r="AO37" s="13">
        <v>21</v>
      </c>
      <c r="AP37" s="37">
        <f t="shared" si="120"/>
        <v>0</v>
      </c>
      <c r="AQ37" s="45">
        <f>AP37*$G$10</f>
        <v>0</v>
      </c>
      <c r="AR37" s="15"/>
      <c r="AS37" s="13">
        <v>21</v>
      </c>
      <c r="AT37" s="37">
        <f t="shared" si="121"/>
        <v>0</v>
      </c>
      <c r="AU37" s="45">
        <f t="shared" si="122"/>
        <v>0</v>
      </c>
      <c r="AV37" s="15"/>
      <c r="AW37" s="13">
        <v>21</v>
      </c>
      <c r="AX37" s="37">
        <f t="shared" si="123"/>
        <v>0</v>
      </c>
      <c r="AY37" s="45"/>
      <c r="AZ37" s="28"/>
      <c r="BA37" s="13">
        <v>21</v>
      </c>
      <c r="BB37" s="15">
        <f t="shared" si="124"/>
        <v>0</v>
      </c>
      <c r="BC37" s="45"/>
      <c r="BD37" s="15"/>
      <c r="BE37" s="40">
        <f t="shared" ref="BE37:BG37" si="126">J37+N37+R37+V37+Z37+AD37+AH37+AL37+AP37+AT37+AX37+BB37</f>
        <v>0</v>
      </c>
      <c r="BF37" s="41">
        <f t="shared" si="126"/>
        <v>0</v>
      </c>
      <c r="BG37" s="34">
        <f t="shared" si="126"/>
        <v>0</v>
      </c>
      <c r="BH37" s="35">
        <f t="shared" si="112"/>
        <v>-38.81</v>
      </c>
      <c r="BK37" s="2" t="b">
        <f>H37='2020'!BH37</f>
        <v>1</v>
      </c>
    </row>
    <row r="38" ht="14.25" customHeight="1" hidden="1" spans="1:63" x14ac:dyDescent="0.25">
      <c r="A38" s="176">
        <v>4</v>
      </c>
      <c r="B38" s="14"/>
      <c r="C38" s="2" t="s">
        <v>58</v>
      </c>
      <c r="D38" s="14" t="s">
        <v>47</v>
      </c>
      <c r="E38" s="2" t="s">
        <v>49</v>
      </c>
      <c r="F38" s="41">
        <v>500</v>
      </c>
      <c r="G38" s="35"/>
      <c r="H38" s="34">
        <f>'2020'!BH38</f>
        <v>0</v>
      </c>
      <c r="I38" s="13"/>
      <c r="J38" s="15"/>
      <c r="K38" s="15"/>
      <c r="L38" s="28"/>
      <c r="M38" s="13"/>
      <c r="N38" s="15"/>
      <c r="O38" s="15"/>
      <c r="P38" s="15"/>
      <c r="Q38" s="13"/>
      <c r="R38" s="15"/>
      <c r="S38" s="15"/>
      <c r="T38" s="28"/>
      <c r="U38" s="13"/>
      <c r="V38" s="15"/>
      <c r="W38" s="15"/>
      <c r="X38" s="15"/>
      <c r="Y38" s="186"/>
      <c r="Z38" s="2"/>
      <c r="AA38" s="15"/>
      <c r="AB38" s="28"/>
      <c r="AC38" s="15"/>
      <c r="AD38" s="15"/>
      <c r="AE38" s="34"/>
      <c r="AF38" s="15"/>
      <c r="AG38" s="15"/>
      <c r="AH38" s="2"/>
      <c r="AI38" s="45"/>
      <c r="AJ38" s="15"/>
      <c r="AK38" s="13"/>
      <c r="AL38" s="15"/>
      <c r="AM38" s="45"/>
      <c r="AN38" s="15"/>
      <c r="AO38" s="13"/>
      <c r="AP38" s="15"/>
      <c r="AQ38" s="45"/>
      <c r="AR38" s="15"/>
      <c r="AS38" s="13"/>
      <c r="AT38" s="15"/>
      <c r="AU38" s="45"/>
      <c r="AV38" s="15"/>
      <c r="AW38" s="13"/>
      <c r="AX38" s="15"/>
      <c r="AY38" s="45"/>
      <c r="AZ38" s="28"/>
      <c r="BA38" s="13"/>
      <c r="BB38" s="15"/>
      <c r="BC38" s="45"/>
      <c r="BD38" s="15"/>
      <c r="BE38" s="14"/>
      <c r="BF38" s="41">
        <f t="shared" ref="BF38:BG38" si="127">K38+O38+S38+W38+AA38+AE38+AI38+AM38+AQ38+AU38+AY38+BC38</f>
        <v>0</v>
      </c>
      <c r="BG38" s="34">
        <f t="shared" si="127"/>
        <v>0</v>
      </c>
      <c r="BH38" s="35">
        <f t="shared" si="112"/>
        <v>0</v>
      </c>
      <c r="BK38" s="2" t="b">
        <f>H38='2020'!BH38</f>
        <v>1</v>
      </c>
    </row>
    <row r="39" ht="14.25" customHeight="1" hidden="1" spans="1:63" x14ac:dyDescent="0.25">
      <c r="A39" s="176">
        <v>4</v>
      </c>
      <c r="B39" s="14"/>
      <c r="C39" s="15" t="s">
        <v>380</v>
      </c>
      <c r="D39" s="14" t="s">
        <v>50</v>
      </c>
      <c r="E39" s="2" t="s">
        <v>49</v>
      </c>
      <c r="F39" s="41">
        <v>1100</v>
      </c>
      <c r="G39" s="35"/>
      <c r="H39" s="34">
        <f>'2020'!BH39</f>
        <v>0</v>
      </c>
      <c r="I39" s="13"/>
      <c r="J39" s="15"/>
      <c r="K39" s="15"/>
      <c r="L39" s="28"/>
      <c r="M39" s="13"/>
      <c r="N39" s="15"/>
      <c r="O39" s="15"/>
      <c r="P39" s="15"/>
      <c r="Q39" s="13"/>
      <c r="R39" s="15"/>
      <c r="S39" s="15"/>
      <c r="T39" s="28"/>
      <c r="U39" s="13"/>
      <c r="V39" s="15"/>
      <c r="W39" s="15"/>
      <c r="X39" s="15"/>
      <c r="Y39" s="186"/>
      <c r="Z39" s="2"/>
      <c r="AA39" s="15"/>
      <c r="AB39" s="28"/>
      <c r="AC39" s="15"/>
      <c r="AD39" s="15"/>
      <c r="AE39" s="34">
        <f>B36*$F$12</f>
        <v>4345</v>
      </c>
      <c r="AF39" s="180"/>
      <c r="AG39" s="15"/>
      <c r="AH39" s="2"/>
      <c r="AI39" s="45"/>
      <c r="AJ39" s="15"/>
      <c r="AK39" s="13"/>
      <c r="AL39" s="15"/>
      <c r="AM39" s="45"/>
      <c r="AN39" s="15"/>
      <c r="AO39" s="13"/>
      <c r="AP39" s="15"/>
      <c r="AQ39" s="45"/>
      <c r="AR39" s="15"/>
      <c r="AS39" s="13"/>
      <c r="AT39" s="15"/>
      <c r="AU39" s="45"/>
      <c r="AV39" s="15"/>
      <c r="AW39" s="13"/>
      <c r="AX39" s="15"/>
      <c r="AY39" s="45"/>
      <c r="AZ39" s="28"/>
      <c r="BA39" s="13"/>
      <c r="BB39" s="15"/>
      <c r="BC39" s="45"/>
      <c r="BD39" s="15"/>
      <c r="BE39" s="14"/>
      <c r="BF39" s="41">
        <f t="shared" ref="BF39:BG39" si="128">K39+O39+S39+W39+AA39+AE39+AI39+AM39+AQ39+AU39+AY39+BC39</f>
        <v>4345</v>
      </c>
      <c r="BG39" s="34">
        <f t="shared" si="128"/>
        <v>0</v>
      </c>
      <c r="BH39" s="35">
        <f t="shared" si="112"/>
        <v>4345</v>
      </c>
      <c r="BK39" s="2" t="b">
        <f>H39='2020'!BH39</f>
        <v>1</v>
      </c>
    </row>
    <row r="40" ht="14.25" customHeight="1" hidden="1" spans="1:63" x14ac:dyDescent="0.25">
      <c r="A40" s="176">
        <v>4</v>
      </c>
      <c r="B40" s="14"/>
      <c r="C40" s="73" t="s">
        <v>381</v>
      </c>
      <c r="D40" s="14" t="s">
        <v>51</v>
      </c>
      <c r="E40" s="2" t="s">
        <v>39</v>
      </c>
      <c r="F40" s="41">
        <v>500</v>
      </c>
      <c r="G40" s="35"/>
      <c r="H40" s="34">
        <f>'2020'!BH40</f>
        <v>500</v>
      </c>
      <c r="I40" s="13"/>
      <c r="J40" s="15"/>
      <c r="K40" s="15"/>
      <c r="L40" s="28"/>
      <c r="M40" s="13"/>
      <c r="N40" s="15"/>
      <c r="O40" s="15"/>
      <c r="P40" s="15"/>
      <c r="Q40" s="13"/>
      <c r="R40" s="15"/>
      <c r="S40" s="15"/>
      <c r="T40" s="28"/>
      <c r="U40" s="13"/>
      <c r="V40" s="15"/>
      <c r="W40" s="15"/>
      <c r="X40" s="15"/>
      <c r="Y40" s="186"/>
      <c r="Z40" s="2"/>
      <c r="AA40" s="15"/>
      <c r="AB40" s="28"/>
      <c r="AC40" s="15"/>
      <c r="AD40" s="15"/>
      <c r="AE40" s="180">
        <f>$F$13</f>
      </c>
      <c r="AF40" s="34"/>
      <c r="AG40" s="15"/>
      <c r="AH40" s="2"/>
      <c r="AI40" s="45"/>
      <c r="AJ40" s="15"/>
      <c r="AK40" s="13"/>
      <c r="AL40" s="15"/>
      <c r="AM40" s="45"/>
      <c r="AN40" s="15"/>
      <c r="AO40" s="13"/>
      <c r="AP40" s="15"/>
      <c r="AQ40" s="180"/>
      <c r="AR40" s="15"/>
      <c r="AS40" s="13"/>
      <c r="AT40" s="15"/>
      <c r="AU40" s="45"/>
      <c r="AV40" s="15"/>
      <c r="AW40" s="13"/>
      <c r="AX40" s="15"/>
      <c r="AY40" s="45"/>
      <c r="AZ40" s="28"/>
      <c r="BA40" s="13"/>
      <c r="BB40" s="15"/>
      <c r="BC40" s="45"/>
      <c r="BD40" s="15"/>
      <c r="BE40" s="14"/>
      <c r="BF40" s="41">
        <f t="shared" ref="BF40:BG40" si="129">K40+O40+S40+W40+AA40+AE40+AI40+AM40+AQ40+AU40+AY40+BC40</f>
        <v>0</v>
      </c>
      <c r="BG40" s="34">
        <f t="shared" si="129"/>
        <v>0</v>
      </c>
      <c r="BH40" s="35">
        <f t="shared" si="112"/>
        <v>500</v>
      </c>
      <c r="BK40" s="2" t="b">
        <f>H40='2020'!BH40</f>
        <v>1</v>
      </c>
    </row>
    <row r="41" ht="14.25" customHeight="1" hidden="1" spans="1:63" x14ac:dyDescent="0.25">
      <c r="A41" s="176">
        <v>4</v>
      </c>
      <c r="B41" s="14"/>
      <c r="C41" s="15"/>
      <c r="D41" s="14" t="s">
        <v>51</v>
      </c>
      <c r="E41" s="2" t="s">
        <v>49</v>
      </c>
      <c r="F41" s="41">
        <v>500</v>
      </c>
      <c r="G41" s="35"/>
      <c r="H41" s="34">
        <f>'2020'!BH41</f>
        <v>1975</v>
      </c>
      <c r="I41" s="13"/>
      <c r="J41" s="15"/>
      <c r="K41" s="15"/>
      <c r="L41" s="28"/>
      <c r="M41" s="13"/>
      <c r="N41" s="15"/>
      <c r="O41" s="15"/>
      <c r="P41" s="15"/>
      <c r="Q41" s="13"/>
      <c r="R41" s="15"/>
      <c r="S41" s="15"/>
      <c r="T41" s="28"/>
      <c r="U41" s="13"/>
      <c r="V41" s="15"/>
      <c r="W41" s="15"/>
      <c r="X41" s="15"/>
      <c r="Y41" s="186"/>
      <c r="Z41" s="2"/>
      <c r="AA41" s="15"/>
      <c r="AB41" s="28"/>
      <c r="AC41" s="15"/>
      <c r="AD41" s="15"/>
      <c r="AE41" s="34"/>
      <c r="AF41" s="34"/>
      <c r="AG41" s="15"/>
      <c r="AH41" s="2"/>
      <c r="AI41" s="45"/>
      <c r="AJ41" s="15"/>
      <c r="AK41" s="13"/>
      <c r="AL41" s="15"/>
      <c r="AM41" s="45"/>
      <c r="AN41" s="15"/>
      <c r="AO41" s="13"/>
      <c r="AP41" s="15"/>
      <c r="AQ41" s="180">
        <f>B36*$F$14</f>
        <v>0</v>
      </c>
      <c r="AR41" s="15"/>
      <c r="AS41" s="13"/>
      <c r="AT41" s="15"/>
      <c r="AU41" s="45"/>
      <c r="AV41" s="15"/>
      <c r="AW41" s="13"/>
      <c r="AX41" s="15"/>
      <c r="AY41" s="45"/>
      <c r="AZ41" s="28"/>
      <c r="BA41" s="13"/>
      <c r="BB41" s="15"/>
      <c r="BC41" s="45"/>
      <c r="BD41" s="15"/>
      <c r="BE41" s="14"/>
      <c r="BF41" s="41">
        <f t="shared" ref="BF41:BG41" si="130">K41+O41+S41+W41+AA41+AE41+AI41+AM41+AQ41+AU41+AY41+BC41</f>
        <v>0</v>
      </c>
      <c r="BG41" s="34">
        <f t="shared" si="130"/>
        <v>0</v>
      </c>
      <c r="BH41" s="35">
        <f t="shared" si="112"/>
        <v>1975</v>
      </c>
      <c r="BK41" s="2" t="b">
        <f>H41='2020'!BH41</f>
        <v>1</v>
      </c>
    </row>
    <row r="42" ht="14.25" customHeight="1" hidden="1" spans="1:63" x14ac:dyDescent="0.25">
      <c r="A42" s="176">
        <v>4</v>
      </c>
      <c r="B42" s="14"/>
      <c r="C42" s="2" t="s">
        <v>382</v>
      </c>
      <c r="D42" s="14" t="s">
        <v>52</v>
      </c>
      <c r="E42" s="2" t="s">
        <v>39</v>
      </c>
      <c r="F42" s="41">
        <v>500</v>
      </c>
      <c r="G42" s="35"/>
      <c r="H42" s="34">
        <f>'2020'!BH42</f>
        <v>0</v>
      </c>
      <c r="I42" s="13"/>
      <c r="J42" s="15"/>
      <c r="K42" s="15"/>
      <c r="L42" s="28"/>
      <c r="M42" s="13"/>
      <c r="N42" s="15"/>
      <c r="O42" s="15"/>
      <c r="P42" s="15"/>
      <c r="Q42" s="13"/>
      <c r="R42" s="15"/>
      <c r="S42" s="15"/>
      <c r="T42" s="28"/>
      <c r="U42" s="13"/>
      <c r="V42" s="15"/>
      <c r="W42" s="15"/>
      <c r="X42" s="15"/>
      <c r="Y42" s="186"/>
      <c r="Z42" s="2"/>
      <c r="AA42" s="34">
        <f>$F$15</f>
      </c>
      <c r="AB42" s="35"/>
      <c r="AC42" s="15"/>
      <c r="AD42" s="15"/>
      <c r="AE42" s="15"/>
      <c r="AF42" s="180"/>
      <c r="AG42" s="15"/>
      <c r="AH42" s="2"/>
      <c r="AI42" s="45"/>
      <c r="AJ42" s="15"/>
      <c r="AK42" s="13"/>
      <c r="AL42" s="15"/>
      <c r="AM42" s="45"/>
      <c r="AN42" s="15"/>
      <c r="AO42" s="13"/>
      <c r="AP42" s="15"/>
      <c r="AQ42" s="45"/>
      <c r="AR42" s="15"/>
      <c r="AS42" s="13"/>
      <c r="AT42" s="15"/>
      <c r="AU42" s="45"/>
      <c r="AV42" s="15"/>
      <c r="AW42" s="13"/>
      <c r="AX42" s="15"/>
      <c r="AY42" s="45"/>
      <c r="AZ42" s="28"/>
      <c r="BA42" s="13"/>
      <c r="BB42" s="15"/>
      <c r="BC42" s="45"/>
      <c r="BD42" s="15"/>
      <c r="BE42" s="14"/>
      <c r="BF42" s="41">
        <f t="shared" ref="BF42:BG42" si="131">K42+O42+S42+W42+AA42+AE42+AI42+AM42+AQ42+AU42+AY42+BC42</f>
        <v>0</v>
      </c>
      <c r="BG42" s="34">
        <f t="shared" si="131"/>
        <v>0</v>
      </c>
      <c r="BH42" s="35">
        <f t="shared" si="112"/>
        <v>0</v>
      </c>
      <c r="BK42" s="2" t="b">
        <f>H42='2020'!BH42</f>
        <v>1</v>
      </c>
    </row>
    <row r="43" ht="14.25" customHeight="1" hidden="1" spans="1:63" x14ac:dyDescent="0.25">
      <c r="A43" s="177">
        <v>4</v>
      </c>
      <c r="B43" s="21"/>
      <c r="C43" s="22" t="s">
        <v>53</v>
      </c>
      <c r="D43" s="21"/>
      <c r="E43" s="22"/>
      <c r="F43" s="20"/>
      <c r="G43" s="23"/>
      <c r="H43" s="51">
        <f>SUM(H35:H42)</f>
        <v>2436.19</v>
      </c>
      <c r="I43" s="52"/>
      <c r="J43" s="53"/>
      <c r="K43" s="51">
        <f t="shared" ref="K43:L43" si="132">SUM(K35:K42)</f>
        <v>0</v>
      </c>
      <c r="L43" s="68">
        <f t="shared" si="132"/>
        <v>0</v>
      </c>
      <c r="M43" s="52"/>
      <c r="N43" s="53"/>
      <c r="O43" s="51">
        <f t="shared" ref="O43:P43" si="133">SUM(O35:O42)</f>
        <v>0</v>
      </c>
      <c r="P43" s="68">
        <f t="shared" si="133"/>
        <v>0</v>
      </c>
      <c r="Q43" s="52"/>
      <c r="R43" s="53"/>
      <c r="S43" s="51">
        <f t="shared" ref="S43:T43" si="134">SUM(S35:S42)</f>
        <v>0</v>
      </c>
      <c r="T43" s="68">
        <f t="shared" si="134"/>
        <v>0</v>
      </c>
      <c r="U43" s="52"/>
      <c r="V43" s="53"/>
      <c r="W43" s="51">
        <f t="shared" ref="W43:X43" si="135">SUM(W35:W42)</f>
        <v>0</v>
      </c>
      <c r="X43" s="68">
        <f t="shared" si="135"/>
        <v>0</v>
      </c>
      <c r="Y43" s="300"/>
      <c r="Z43" s="301"/>
      <c r="AA43" s="51">
        <f t="shared" ref="AA43:AB43" si="136">SUM(AA35:AA42)</f>
        <v>0</v>
      </c>
      <c r="AB43" s="68">
        <f t="shared" si="136"/>
        <v>0</v>
      </c>
      <c r="AC43" s="53"/>
      <c r="AD43" s="53"/>
      <c r="AE43" s="51">
        <f t="shared" ref="AE43:AF43" si="137">SUM(AE35:AE42)</f>
        <v>4345</v>
      </c>
      <c r="AF43" s="68">
        <f t="shared" si="137"/>
        <v>0</v>
      </c>
      <c r="AG43" s="53"/>
      <c r="AH43" s="301"/>
      <c r="AI43" s="183">
        <f t="shared" ref="AI43:AJ43" si="138">SUM(AI35:AI42)</f>
        <v>0</v>
      </c>
      <c r="AJ43" s="51">
        <f t="shared" si="138"/>
        <v>0</v>
      </c>
      <c r="AK43" s="52"/>
      <c r="AL43" s="53"/>
      <c r="AM43" s="183">
        <f t="shared" ref="AM43:AN43" si="139">SUM(AM35:AM42)</f>
        <v>0</v>
      </c>
      <c r="AN43" s="51">
        <f t="shared" si="139"/>
        <v>0</v>
      </c>
      <c r="AO43" s="52"/>
      <c r="AP43" s="53"/>
      <c r="AQ43" s="183">
        <f t="shared" ref="AQ43:AR43" si="140">SUM(AQ35:AQ42)</f>
        <v>20.46</v>
      </c>
      <c r="AR43" s="51">
        <f t="shared" si="140"/>
        <v>0</v>
      </c>
      <c r="AS43" s="52"/>
      <c r="AT43" s="53"/>
      <c r="AU43" s="183">
        <f t="shared" ref="AU43:AV43" si="141">SUM(AU35:AU42)</f>
        <v>0</v>
      </c>
      <c r="AV43" s="68">
        <f t="shared" si="141"/>
        <v>0</v>
      </c>
      <c r="AW43" s="52"/>
      <c r="AX43" s="53"/>
      <c r="AY43" s="183">
        <f t="shared" ref="AY43:AZ43" si="142">SUM(AY35:AY42)</f>
        <v>0</v>
      </c>
      <c r="AZ43" s="68">
        <f t="shared" si="142"/>
        <v>0</v>
      </c>
      <c r="BA43" s="52"/>
      <c r="BB43" s="53"/>
      <c r="BC43" s="183">
        <f t="shared" ref="BC43:BD43" si="143">SUM(BC35:BC42)</f>
        <v>0</v>
      </c>
      <c r="BD43" s="68">
        <f t="shared" si="143"/>
        <v>0</v>
      </c>
      <c r="BE43" s="69"/>
      <c r="BF43" s="70">
        <f t="shared" ref="BF43:BH43" si="144">SUM(BF35:BF42)</f>
        <v>4365.46</v>
      </c>
      <c r="BG43" s="71">
        <f t="shared" si="144"/>
        <v>0</v>
      </c>
      <c r="BH43" s="72">
        <f t="shared" si="144"/>
        <v>6801.65</v>
      </c>
      <c r="BI43" s="34">
        <f>H43+BF43-BG43</f>
        <v>6801.65</v>
      </c>
      <c r="BJ43" s="34">
        <f>BH43-BI43</f>
        <v>0</v>
      </c>
      <c r="BK43" s="2" t="b">
        <f>H43='2020'!BH43</f>
        <v>1</v>
      </c>
    </row>
    <row r="44" ht="14.25" customHeight="1" hidden="1" spans="1:63" x14ac:dyDescent="0.25">
      <c r="A44" s="175">
        <v>5</v>
      </c>
      <c r="B44" s="14"/>
      <c r="D44" s="14" t="s">
        <v>379</v>
      </c>
      <c r="F44" s="13"/>
      <c r="G44" s="28"/>
      <c r="H44" s="34">
        <f>'2020'!BH44</f>
        <v>0</v>
      </c>
      <c r="I44" s="13"/>
      <c r="J44" s="15"/>
      <c r="K44" s="15"/>
      <c r="L44" s="28"/>
      <c r="M44" s="13"/>
      <c r="N44" s="15"/>
      <c r="O44" s="15"/>
      <c r="P44" s="15"/>
      <c r="Q44" s="13"/>
      <c r="R44" s="15"/>
      <c r="S44" s="15"/>
      <c r="T44" s="28"/>
      <c r="U44" s="13"/>
      <c r="V44" s="15"/>
      <c r="W44" s="15"/>
      <c r="X44" s="15"/>
      <c r="Y44" s="186"/>
      <c r="Z44" s="2"/>
      <c r="AA44" s="15"/>
      <c r="AB44" s="28"/>
      <c r="AC44" s="15"/>
      <c r="AD44" s="15"/>
      <c r="AE44" s="15"/>
      <c r="AF44" s="15"/>
      <c r="AG44" s="15"/>
      <c r="AH44" s="2"/>
      <c r="AI44" s="45"/>
      <c r="AJ44" s="15"/>
      <c r="AK44" s="13"/>
      <c r="AL44" s="15"/>
      <c r="AM44" s="45"/>
      <c r="AN44" s="15"/>
      <c r="AO44" s="13"/>
      <c r="AP44" s="15"/>
      <c r="AQ44" s="45"/>
      <c r="AR44" s="15"/>
      <c r="AS44" s="13"/>
      <c r="AT44" s="15"/>
      <c r="AU44" s="45"/>
      <c r="AV44" s="15"/>
      <c r="AW44" s="13"/>
      <c r="AX44" s="15"/>
      <c r="AY44" s="45"/>
      <c r="AZ44" s="28"/>
      <c r="BA44" s="13"/>
      <c r="BB44" s="15"/>
      <c r="BC44" s="45"/>
      <c r="BD44" s="15"/>
      <c r="BE44" s="14"/>
      <c r="BF44" s="41">
        <f t="shared" ref="BF44:BG44" si="145">K44+O44+S44+W44+AA44+AE44+AI44+AM44+AQ44+AU44+AY44+BC44</f>
        <v>0</v>
      </c>
      <c r="BG44" s="34">
        <f t="shared" si="145"/>
        <v>0</v>
      </c>
      <c r="BH44" s="35">
        <f t="shared" ref="BH44:BH51" si="146">H44+BF44-BG44</f>
        <v>0</v>
      </c>
      <c r="BK44" s="2" t="b">
        <f>H44='2020'!BH44</f>
        <v>1</v>
      </c>
    </row>
    <row r="45" ht="14.25" customHeight="1" hidden="1" spans="1:63" x14ac:dyDescent="0.25">
      <c r="A45" s="176">
        <v>5</v>
      </c>
      <c r="B45" s="14">
        <v>5.08</v>
      </c>
      <c r="C45" s="2" t="s">
        <v>488</v>
      </c>
      <c r="D45" s="14" t="s">
        <v>44</v>
      </c>
      <c r="E45" s="2" t="s">
        <v>45</v>
      </c>
      <c r="F45" s="41">
        <v>2.5</v>
      </c>
      <c r="G45" s="35">
        <v>2.6</v>
      </c>
      <c r="H45" s="34">
        <f>'2020'!BH45+1198.6</f>
        <v>963.97</v>
      </c>
      <c r="I45" s="13">
        <v>6</v>
      </c>
      <c r="J45" s="15">
        <f>I45-'2020'!BA45</f>
        <v>0</v>
      </c>
      <c r="K45" s="34">
        <f>J45*$F$8</f>
        <v>0</v>
      </c>
      <c r="L45" s="28"/>
      <c r="M45" s="13">
        <v>6</v>
      </c>
      <c r="N45" s="15">
        <f t="shared" ref="N45:N46" si="147">M45-I45</f>
        <v>0</v>
      </c>
      <c r="O45" s="34">
        <f>N45*$F$8</f>
        <v>0</v>
      </c>
      <c r="P45" s="15"/>
      <c r="Q45" s="13">
        <v>6</v>
      </c>
      <c r="R45" s="15">
        <f t="shared" ref="R45:R46" si="148">Q45-M45</f>
        <v>0</v>
      </c>
      <c r="S45" s="34">
        <f>R45*$F$8</f>
        <v>0</v>
      </c>
      <c r="T45" s="28"/>
      <c r="U45" s="13">
        <v>6</v>
      </c>
      <c r="V45" s="15">
        <f t="shared" ref="V45:V46" si="149">U45-Q45</f>
        <v>0</v>
      </c>
      <c r="W45" s="34">
        <f>V45*$F$8</f>
        <v>0</v>
      </c>
      <c r="X45" s="15"/>
      <c r="Y45" s="186">
        <v>57</v>
      </c>
      <c r="Z45" s="2">
        <f t="shared" ref="Z45:Z46" si="150">Y45-U45</f>
        <v>51</v>
      </c>
      <c r="AA45" s="34">
        <f>Z45*$F$8</f>
        <v>132.6</v>
      </c>
      <c r="AB45" s="28">
        <v>963.97</v>
      </c>
      <c r="AC45" s="13">
        <v>264</v>
      </c>
      <c r="AD45" s="15">
        <f t="shared" ref="AD45:AD46" si="151">AC45-Y45</f>
        <v>207</v>
      </c>
      <c r="AE45" s="180">
        <f>AD45*$F$8</f>
        <v>538.2</v>
      </c>
      <c r="AF45" s="1">
        <v>132.6</v>
      </c>
      <c r="AG45" s="13">
        <v>547</v>
      </c>
      <c r="AH45" s="2">
        <f t="shared" ref="AH45:AH46" si="152">AG45-AC45</f>
        <v>283</v>
      </c>
      <c r="AI45" s="45">
        <f>AH45*$G$8</f>
        <v>764.1</v>
      </c>
      <c r="AJ45" s="187">
        <v>538.2</v>
      </c>
      <c r="AK45" s="13">
        <v>776</v>
      </c>
      <c r="AL45" s="15">
        <f t="shared" ref="AL45:AL46" si="153">AK45-AG45</f>
        <v>229</v>
      </c>
      <c r="AM45" s="45">
        <f>AL45*$G$8</f>
        <v>618.3</v>
      </c>
      <c r="AN45" s="1">
        <v>764.1</v>
      </c>
      <c r="AO45" s="13">
        <v>980</v>
      </c>
      <c r="AP45" s="15">
        <f t="shared" ref="AP45:AP46" si="154">AO45-AK45</f>
        <v>204</v>
      </c>
      <c r="AQ45" s="45">
        <f>AP45*$G$8</f>
        <v>550.8</v>
      </c>
      <c r="AR45" s="1">
        <v>618.3</v>
      </c>
      <c r="AS45" s="13">
        <v>1005</v>
      </c>
      <c r="AT45" s="15">
        <f t="shared" ref="AT45:AT46" si="155">AS45-AO45</f>
        <v>25</v>
      </c>
      <c r="AU45" s="45">
        <f>AT45*$G$8</f>
        <v>67.5</v>
      </c>
      <c r="AV45" s="15"/>
      <c r="AW45" s="13">
        <v>1005</v>
      </c>
      <c r="AX45" s="15">
        <f t="shared" ref="AX45:AX46" si="156">AW45-AS45</f>
        <v>0</v>
      </c>
      <c r="AY45" s="45">
        <f>AX45*$G$8</f>
        <v>0</v>
      </c>
      <c r="AZ45" s="28">
        <v>618.3</v>
      </c>
      <c r="BA45" s="13">
        <v>1005</v>
      </c>
      <c r="BB45" s="15">
        <f t="shared" ref="BB45:BB46" si="157">BA45-AW45</f>
        <v>0</v>
      </c>
      <c r="BC45" s="45">
        <f>BB45*$G$8</f>
        <v>0</v>
      </c>
      <c r="BD45" s="15"/>
      <c r="BE45" s="40">
        <f t="shared" ref="BE45:BG45" si="158">J45+N45+R45+V45+Z45+AD45+AH45+AL45+AP45+AT45+AX45+BB45</f>
        <v>999</v>
      </c>
      <c r="BF45" s="41">
        <f t="shared" si="158"/>
        <v>2671.5</v>
      </c>
      <c r="BG45" s="34">
        <f t="shared" si="158"/>
        <v>3635.47</v>
      </c>
      <c r="BH45" s="35">
        <f t="shared" si="146"/>
        <v>0</v>
      </c>
      <c r="BK45" s="2" t="b">
        <f>H45='2020'!BH45</f>
        <v>0</v>
      </c>
    </row>
    <row r="46" ht="14.25" customHeight="1" hidden="1" spans="1:63" x14ac:dyDescent="0.25">
      <c r="A46" s="176">
        <v>5</v>
      </c>
      <c r="B46" s="14"/>
      <c r="C46" s="2" t="s">
        <v>61</v>
      </c>
      <c r="D46" s="14" t="s">
        <v>47</v>
      </c>
      <c r="E46" s="2" t="s">
        <v>48</v>
      </c>
      <c r="F46" s="13">
        <v>18.56</v>
      </c>
      <c r="G46" s="35">
        <v>19.46</v>
      </c>
      <c r="H46" s="34">
        <f>'2020'!BH46</f>
        <v>0</v>
      </c>
      <c r="I46" s="13">
        <v>181</v>
      </c>
      <c r="J46" s="15"/>
      <c r="K46" s="15"/>
      <c r="L46" s="28"/>
      <c r="M46" s="13">
        <v>181</v>
      </c>
      <c r="N46" s="15">
        <f t="shared" si="147"/>
        <v>0</v>
      </c>
      <c r="O46" s="15"/>
      <c r="P46" s="15"/>
      <c r="Q46" s="13">
        <v>181</v>
      </c>
      <c r="R46" s="15">
        <f t="shared" si="148"/>
        <v>0</v>
      </c>
      <c r="S46" s="15"/>
      <c r="T46" s="28"/>
      <c r="U46" s="13">
        <v>181</v>
      </c>
      <c r="V46" s="15">
        <f t="shared" si="149"/>
        <v>0</v>
      </c>
      <c r="W46" s="180">
        <f>V46*$F$10</f>
        <v>0</v>
      </c>
      <c r="X46" s="15"/>
      <c r="Y46" s="186">
        <v>187</v>
      </c>
      <c r="Z46" s="2">
        <f t="shared" si="150"/>
        <v>6</v>
      </c>
      <c r="AA46" s="34">
        <f>Z46*$F$10</f>
        <v>116.76</v>
      </c>
      <c r="AB46" s="28"/>
      <c r="AC46" s="15">
        <v>200</v>
      </c>
      <c r="AD46" s="15">
        <f t="shared" si="151"/>
        <v>13</v>
      </c>
      <c r="AE46" s="34">
        <f>AD46*$F$10</f>
        <v>252.98</v>
      </c>
      <c r="AF46" s="1">
        <v>116.76</v>
      </c>
      <c r="AG46" s="15">
        <v>219</v>
      </c>
      <c r="AH46" s="2">
        <f t="shared" si="152"/>
        <v>19</v>
      </c>
      <c r="AI46" s="45">
        <f>AH46*$G$10</f>
        <v>386.65</v>
      </c>
      <c r="AJ46" s="187">
        <v>252.98</v>
      </c>
      <c r="AK46" s="13">
        <v>232</v>
      </c>
      <c r="AL46" s="15">
        <f t="shared" si="153"/>
        <v>13</v>
      </c>
      <c r="AM46" s="45">
        <f>AL46*$G$10</f>
        <v>264.55</v>
      </c>
      <c r="AN46" s="1">
        <v>386.65</v>
      </c>
      <c r="AO46" s="13">
        <v>244</v>
      </c>
      <c r="AP46" s="15">
        <f t="shared" si="154"/>
        <v>12</v>
      </c>
      <c r="AQ46" s="45">
        <f>AP46*$G$10</f>
        <v>244.2</v>
      </c>
      <c r="AR46" s="1">
        <v>264.55</v>
      </c>
      <c r="AS46" s="13">
        <v>244</v>
      </c>
      <c r="AT46" s="15">
        <f t="shared" si="155"/>
        <v>0</v>
      </c>
      <c r="AU46" s="45">
        <f>AT46*$G$10</f>
        <v>0</v>
      </c>
      <c r="AV46" s="15"/>
      <c r="AW46" s="13">
        <v>244</v>
      </c>
      <c r="AX46" s="15">
        <f t="shared" si="156"/>
        <v>0</v>
      </c>
      <c r="AY46" s="45"/>
      <c r="AZ46" s="28">
        <v>244.2</v>
      </c>
      <c r="BA46" s="13">
        <v>244</v>
      </c>
      <c r="BB46" s="15">
        <f t="shared" si="157"/>
        <v>0</v>
      </c>
      <c r="BC46" s="45"/>
      <c r="BD46" s="15"/>
      <c r="BE46" s="40">
        <f t="shared" ref="BE46:BG46" si="159">J46+N46+R46+V46+Z46+AD46+AH46+AL46+AP46+AT46+AX46+BB46</f>
        <v>63</v>
      </c>
      <c r="BF46" s="41">
        <f t="shared" si="159"/>
        <v>1265.14</v>
      </c>
      <c r="BG46" s="34">
        <f t="shared" si="159"/>
        <v>1265.14</v>
      </c>
      <c r="BH46" s="35">
        <f t="shared" si="146"/>
        <v>0</v>
      </c>
      <c r="BK46" s="2" t="b">
        <f>H46='2020'!BH46</f>
        <v>1</v>
      </c>
    </row>
    <row r="47" ht="14.25" customHeight="1" hidden="1" spans="1:63" x14ac:dyDescent="0.25">
      <c r="A47" s="176">
        <v>5</v>
      </c>
      <c r="B47" s="14"/>
      <c r="C47" s="2" t="s">
        <v>102</v>
      </c>
      <c r="D47" s="14" t="s">
        <v>47</v>
      </c>
      <c r="E47" s="2" t="s">
        <v>49</v>
      </c>
      <c r="F47" s="41">
        <v>500</v>
      </c>
      <c r="G47" s="35"/>
      <c r="H47" s="34">
        <f>'2020'!BH47</f>
        <v>0</v>
      </c>
      <c r="I47" s="13"/>
      <c r="J47" s="15"/>
      <c r="K47" s="15"/>
      <c r="L47" s="28"/>
      <c r="M47" s="13"/>
      <c r="N47" s="15"/>
      <c r="O47" s="15"/>
      <c r="P47" s="15"/>
      <c r="Q47" s="13"/>
      <c r="R47" s="15"/>
      <c r="S47" s="15"/>
      <c r="T47" s="28"/>
      <c r="U47" s="13"/>
      <c r="V47" s="15"/>
      <c r="W47" s="15"/>
      <c r="X47" s="15"/>
      <c r="Y47" s="186"/>
      <c r="Z47" s="2"/>
      <c r="AA47" s="15"/>
      <c r="AB47" s="28"/>
      <c r="AC47" s="15"/>
      <c r="AD47" s="15"/>
      <c r="AE47" s="34"/>
      <c r="AF47" s="15"/>
      <c r="AG47" s="15"/>
      <c r="AH47" s="2"/>
      <c r="AI47" s="45"/>
      <c r="AJ47" s="15"/>
      <c r="AK47" s="13"/>
      <c r="AL47" s="15"/>
      <c r="AM47" s="45"/>
      <c r="AN47" s="15"/>
      <c r="AO47" s="13"/>
      <c r="AP47" s="15"/>
      <c r="AQ47" s="45"/>
      <c r="AR47" s="15"/>
      <c r="AS47" s="13"/>
      <c r="AT47" s="15"/>
      <c r="AU47" s="45"/>
      <c r="AV47" s="15"/>
      <c r="AW47" s="13"/>
      <c r="AX47" s="15"/>
      <c r="AY47" s="45"/>
      <c r="AZ47" s="32"/>
      <c r="BA47" s="13"/>
      <c r="BB47" s="15"/>
      <c r="BC47" s="45"/>
      <c r="BD47" s="15"/>
      <c r="BE47" s="14"/>
      <c r="BF47" s="41">
        <f t="shared" ref="BF47:BG47" si="160">K47+O47+S47+W47+AA47+AE47+AI47+AM47+AQ47+AU47+AY47+BC47</f>
        <v>0</v>
      </c>
      <c r="BG47" s="34">
        <f t="shared" si="160"/>
        <v>0</v>
      </c>
      <c r="BH47" s="35">
        <f t="shared" si="146"/>
        <v>0</v>
      </c>
      <c r="BK47" s="2" t="b">
        <f>H47='2020'!BH47</f>
        <v>1</v>
      </c>
    </row>
    <row r="48" ht="14.25" customHeight="1" hidden="1" spans="1:63" x14ac:dyDescent="0.25">
      <c r="A48" s="176">
        <v>5</v>
      </c>
      <c r="B48" s="14"/>
      <c r="C48" s="2" t="s">
        <v>489</v>
      </c>
      <c r="D48" s="14" t="s">
        <v>50</v>
      </c>
      <c r="E48" s="2" t="s">
        <v>49</v>
      </c>
      <c r="F48" s="41">
        <v>1100</v>
      </c>
      <c r="G48" s="35"/>
      <c r="H48" s="34">
        <f>'2020'!BH48</f>
        <v>0</v>
      </c>
      <c r="I48" s="13"/>
      <c r="J48" s="15"/>
      <c r="K48" s="15"/>
      <c r="L48" s="28"/>
      <c r="M48" s="13"/>
      <c r="N48" s="15"/>
      <c r="O48" s="15"/>
      <c r="P48" s="15"/>
      <c r="Q48" s="13"/>
      <c r="R48" s="15"/>
      <c r="S48" s="15"/>
      <c r="T48" s="28"/>
      <c r="U48" s="13"/>
      <c r="V48" s="15"/>
      <c r="W48" s="15"/>
      <c r="X48" s="15"/>
      <c r="Y48" s="186"/>
      <c r="Z48" s="2"/>
      <c r="AA48" s="15"/>
      <c r="AB48" s="28"/>
      <c r="AC48" s="15"/>
      <c r="AD48" s="15"/>
      <c r="AE48" s="34">
        <f>B45*$F$12</f>
        <v>5588</v>
      </c>
      <c r="AF48" s="15"/>
      <c r="AG48" s="15"/>
      <c r="AH48" s="2"/>
      <c r="AI48" s="45"/>
      <c r="AJ48" s="187">
        <v>2588</v>
      </c>
      <c r="AK48" s="13"/>
      <c r="AL48" s="15"/>
      <c r="AM48" s="45"/>
      <c r="AN48" s="1">
        <v>3000</v>
      </c>
      <c r="AO48" s="13"/>
      <c r="AP48" s="15"/>
      <c r="AQ48" s="45"/>
      <c r="AR48" s="15"/>
      <c r="AS48" s="13"/>
      <c r="AT48" s="15"/>
      <c r="AU48" s="45"/>
      <c r="AV48" s="15"/>
      <c r="AW48" s="13"/>
      <c r="AX48" s="15"/>
      <c r="AY48" s="45"/>
      <c r="AZ48" s="32"/>
      <c r="BA48" s="13"/>
      <c r="BB48" s="15"/>
      <c r="BC48" s="45"/>
      <c r="BD48" s="15"/>
      <c r="BE48" s="14"/>
      <c r="BF48" s="41">
        <f t="shared" ref="BF48:BG48" si="161">K48+O48+S48+W48+AA48+AE48+AI48+AM48+AQ48+AU48+AY48+BC48</f>
        <v>5588</v>
      </c>
      <c r="BG48" s="34">
        <f t="shared" si="161"/>
        <v>5588</v>
      </c>
      <c r="BH48" s="35">
        <f t="shared" si="146"/>
        <v>0</v>
      </c>
      <c r="BK48" s="2" t="b">
        <f>H48='2020'!BH48</f>
        <v>1</v>
      </c>
    </row>
    <row r="49" ht="14.25" customHeight="1" hidden="1" spans="1:63" x14ac:dyDescent="0.25">
      <c r="A49" s="176">
        <v>5</v>
      </c>
      <c r="B49" s="14"/>
      <c r="D49" s="14" t="s">
        <v>51</v>
      </c>
      <c r="E49" s="2" t="s">
        <v>39</v>
      </c>
      <c r="F49" s="41">
        <v>500</v>
      </c>
      <c r="G49" s="35"/>
      <c r="H49" s="34">
        <f>'2020'!BH49</f>
        <v>500</v>
      </c>
      <c r="I49" s="13"/>
      <c r="J49" s="15"/>
      <c r="K49" s="15"/>
      <c r="L49" s="28"/>
      <c r="M49" s="13"/>
      <c r="N49" s="15"/>
      <c r="O49" s="15"/>
      <c r="P49" s="15"/>
      <c r="Q49" s="13"/>
      <c r="R49" s="15"/>
      <c r="S49" s="15"/>
      <c r="T49" s="28"/>
      <c r="U49" s="13"/>
      <c r="V49" s="15"/>
      <c r="W49" s="15"/>
      <c r="X49" s="15"/>
      <c r="Y49" s="186"/>
      <c r="Z49" s="2"/>
      <c r="AA49" s="15"/>
      <c r="AB49" s="28">
        <v>500</v>
      </c>
      <c r="AC49" s="15"/>
      <c r="AD49" s="15"/>
      <c r="AE49" s="180">
        <f>$F$13</f>
      </c>
      <c r="AF49" s="15"/>
      <c r="AG49" s="15"/>
      <c r="AH49" s="2"/>
      <c r="AI49" s="45"/>
      <c r="AJ49" s="180"/>
      <c r="AK49" s="13"/>
      <c r="AL49" s="15"/>
      <c r="AM49" s="45"/>
      <c r="AN49" s="15"/>
      <c r="AO49" s="13"/>
      <c r="AP49" s="15"/>
      <c r="AQ49" s="180"/>
      <c r="AR49" s="15"/>
      <c r="AS49" s="13"/>
      <c r="AT49" s="15"/>
      <c r="AU49" s="45"/>
      <c r="AV49" s="15"/>
      <c r="AW49" s="13"/>
      <c r="AX49" s="15"/>
      <c r="AY49" s="45"/>
      <c r="AZ49" s="32"/>
      <c r="BA49" s="13"/>
      <c r="BB49" s="15"/>
      <c r="BC49" s="45"/>
      <c r="BD49" s="15"/>
      <c r="BE49" s="14"/>
      <c r="BF49" s="41">
        <f t="shared" ref="BF49:BG49" si="162">K49+O49+S49+W49+AA49+AE49+AI49+AM49+AQ49+AU49+AY49+BC49</f>
        <v>0</v>
      </c>
      <c r="BG49" s="34">
        <f t="shared" si="162"/>
        <v>500</v>
      </c>
      <c r="BH49" s="35">
        <f t="shared" si="146"/>
        <v>0</v>
      </c>
      <c r="BK49" s="2" t="b">
        <f>H49='2020'!BH49</f>
        <v>1</v>
      </c>
    </row>
    <row r="50" ht="14.25" customHeight="1" hidden="1" spans="1:63" x14ac:dyDescent="0.25">
      <c r="A50" s="176">
        <v>5</v>
      </c>
      <c r="B50" s="14"/>
      <c r="D50" s="14" t="s">
        <v>51</v>
      </c>
      <c r="E50" s="2" t="s">
        <v>49</v>
      </c>
      <c r="F50" s="41">
        <v>500</v>
      </c>
      <c r="G50" s="35"/>
      <c r="H50" s="34">
        <f>'2020'!BH50</f>
        <v>0</v>
      </c>
      <c r="I50" s="13"/>
      <c r="J50" s="15"/>
      <c r="K50" s="15"/>
      <c r="L50" s="28"/>
      <c r="M50" s="13"/>
      <c r="N50" s="15"/>
      <c r="O50" s="15"/>
      <c r="P50" s="15"/>
      <c r="Q50" s="13"/>
      <c r="R50" s="15"/>
      <c r="S50" s="15"/>
      <c r="T50" s="28"/>
      <c r="U50" s="13"/>
      <c r="V50" s="15"/>
      <c r="W50" s="15"/>
      <c r="X50" s="15"/>
      <c r="Y50" s="186"/>
      <c r="Z50" s="2"/>
      <c r="AA50" s="15"/>
      <c r="AB50" s="28"/>
      <c r="AC50" s="15"/>
      <c r="AD50" s="15"/>
      <c r="AE50" s="34"/>
      <c r="AF50" s="15"/>
      <c r="AG50" s="15"/>
      <c r="AH50" s="2"/>
      <c r="AI50" s="45"/>
      <c r="AJ50" s="180"/>
      <c r="AK50" s="13"/>
      <c r="AL50" s="15"/>
      <c r="AM50" s="45"/>
      <c r="AN50" s="15"/>
      <c r="AO50" s="13"/>
      <c r="AP50" s="15"/>
      <c r="AQ50" s="180">
        <f>B45*$F$14</f>
        <v>0</v>
      </c>
      <c r="AR50" s="15"/>
      <c r="AS50" s="13"/>
      <c r="AT50" s="15"/>
      <c r="AU50" s="45"/>
      <c r="AV50" s="15"/>
      <c r="AW50" s="13"/>
      <c r="AX50" s="15"/>
      <c r="AY50" s="45"/>
      <c r="AZ50" s="35"/>
      <c r="BA50" s="13"/>
      <c r="BB50" s="15"/>
      <c r="BC50" s="45"/>
      <c r="BD50" s="15"/>
      <c r="BE50" s="14"/>
      <c r="BF50" s="41">
        <f t="shared" ref="BF50:BG50" si="163">K50+O50+S50+W50+AA50+AE50+AI50+AM50+AQ50+AU50+AY50+BC50</f>
        <v>0</v>
      </c>
      <c r="BG50" s="34">
        <f t="shared" si="163"/>
        <v>0</v>
      </c>
      <c r="BH50" s="35">
        <f t="shared" si="146"/>
        <v>0</v>
      </c>
      <c r="BK50" s="2" t="b">
        <f>H50='2020'!BH50</f>
        <v>1</v>
      </c>
    </row>
    <row r="51" ht="14.25" customHeight="1" hidden="1" spans="1:63" x14ac:dyDescent="0.25">
      <c r="A51" s="176">
        <v>5</v>
      </c>
      <c r="B51" s="14"/>
      <c r="D51" s="14" t="s">
        <v>52</v>
      </c>
      <c r="E51" s="2" t="s">
        <v>39</v>
      </c>
      <c r="F51" s="41">
        <v>500</v>
      </c>
      <c r="G51" s="35"/>
      <c r="H51" s="34">
        <f>'2020'!BH51</f>
        <v>0</v>
      </c>
      <c r="I51" s="13"/>
      <c r="J51" s="15"/>
      <c r="K51" s="15"/>
      <c r="L51" s="28"/>
      <c r="M51" s="13"/>
      <c r="N51" s="15"/>
      <c r="O51" s="15"/>
      <c r="P51" s="15"/>
      <c r="Q51" s="13"/>
      <c r="R51" s="15"/>
      <c r="S51" s="15"/>
      <c r="T51" s="28"/>
      <c r="U51" s="13"/>
      <c r="V51" s="15"/>
      <c r="W51" s="15"/>
      <c r="X51" s="15"/>
      <c r="Y51" s="186"/>
      <c r="Z51" s="2"/>
      <c r="AA51" s="34">
        <f>$F$15</f>
      </c>
      <c r="AB51" s="28"/>
      <c r="AC51" s="15"/>
      <c r="AD51" s="15"/>
      <c r="AE51" s="15"/>
      <c r="AF51" s="15"/>
      <c r="AG51" s="15"/>
      <c r="AH51" s="2"/>
      <c r="AI51" s="45"/>
      <c r="AJ51" s="180"/>
      <c r="AK51" s="13"/>
      <c r="AL51" s="15"/>
      <c r="AM51" s="45"/>
      <c r="AN51" s="15"/>
      <c r="AO51" s="13"/>
      <c r="AP51" s="15"/>
      <c r="AQ51" s="45"/>
      <c r="AR51" s="15"/>
      <c r="AS51" s="13"/>
      <c r="AT51" s="15"/>
      <c r="AU51" s="45"/>
      <c r="AV51" s="15"/>
      <c r="AW51" s="13"/>
      <c r="AX51" s="15"/>
      <c r="AY51" s="45"/>
      <c r="AZ51" s="28"/>
      <c r="BA51" s="13"/>
      <c r="BB51" s="15"/>
      <c r="BC51" s="45"/>
      <c r="BD51" s="15"/>
      <c r="BE51" s="14"/>
      <c r="BF51" s="41">
        <f t="shared" ref="BF51:BG51" si="164">K51+O51+S51+W51+AA51+AE51+AI51+AM51+AQ51+AU51+AY51+BC51</f>
        <v>0</v>
      </c>
      <c r="BG51" s="34">
        <f t="shared" si="164"/>
        <v>0</v>
      </c>
      <c r="BH51" s="35">
        <f t="shared" si="146"/>
        <v>0</v>
      </c>
      <c r="BK51" s="2" t="b">
        <f>H51='2020'!BH51</f>
        <v>1</v>
      </c>
    </row>
    <row r="52" ht="14.25" customHeight="1" hidden="1" spans="1:63" x14ac:dyDescent="0.25">
      <c r="A52" s="177">
        <v>5</v>
      </c>
      <c r="B52" s="21"/>
      <c r="C52" s="22" t="s">
        <v>53</v>
      </c>
      <c r="D52" s="21"/>
      <c r="E52" s="22"/>
      <c r="F52" s="20"/>
      <c r="G52" s="23"/>
      <c r="H52" s="51">
        <f>SUM(H44:H51)</f>
        <v>1463.97</v>
      </c>
      <c r="I52" s="52"/>
      <c r="J52" s="53"/>
      <c r="K52" s="51">
        <f t="shared" ref="K52:L52" si="165">SUM(K44:K51)</f>
        <v>0</v>
      </c>
      <c r="L52" s="68">
        <f t="shared" si="165"/>
        <v>0</v>
      </c>
      <c r="M52" s="52"/>
      <c r="N52" s="53"/>
      <c r="O52" s="51">
        <f t="shared" ref="O52:P52" si="166">SUM(O44:O51)</f>
        <v>0</v>
      </c>
      <c r="P52" s="68">
        <f t="shared" si="166"/>
        <v>0</v>
      </c>
      <c r="Q52" s="52"/>
      <c r="R52" s="53"/>
      <c r="S52" s="51">
        <f t="shared" ref="S52:T52" si="167">SUM(S44:S51)</f>
        <v>0</v>
      </c>
      <c r="T52" s="68">
        <f t="shared" si="167"/>
        <v>0</v>
      </c>
      <c r="U52" s="52"/>
      <c r="V52" s="53"/>
      <c r="W52" s="51">
        <f t="shared" ref="W52:X52" si="168">SUM(W44:W51)</f>
        <v>0</v>
      </c>
      <c r="X52" s="68">
        <f t="shared" si="168"/>
        <v>0</v>
      </c>
      <c r="Y52" s="300"/>
      <c r="Z52" s="301"/>
      <c r="AA52" s="51">
        <f t="shared" ref="AA52:AB52" si="169">SUM(AA44:AA51)</f>
        <v>249.36</v>
      </c>
      <c r="AB52" s="68">
        <f t="shared" si="169"/>
        <v>1463.97</v>
      </c>
      <c r="AC52" s="53"/>
      <c r="AD52" s="53"/>
      <c r="AE52" s="51">
        <f t="shared" ref="AE52:AF52" si="170">SUM(AE44:AE51)</f>
        <v>6379.18</v>
      </c>
      <c r="AF52" s="68">
        <f t="shared" si="170"/>
        <v>249.36</v>
      </c>
      <c r="AG52" s="53"/>
      <c r="AH52" s="301"/>
      <c r="AI52" s="183">
        <f t="shared" ref="AI52:AJ52" si="171">SUM(AI44:AI51)</f>
        <v>1150.75</v>
      </c>
      <c r="AJ52" s="51">
        <f t="shared" si="171"/>
        <v>3379.18</v>
      </c>
      <c r="AK52" s="52"/>
      <c r="AL52" s="53"/>
      <c r="AM52" s="183">
        <f t="shared" ref="AM52:AN52" si="172">SUM(AM44:AM51)</f>
        <v>882.85</v>
      </c>
      <c r="AN52" s="51">
        <f t="shared" si="172"/>
        <v>4150.75</v>
      </c>
      <c r="AO52" s="52"/>
      <c r="AP52" s="53"/>
      <c r="AQ52" s="183">
        <f t="shared" ref="AQ52:AR52" si="173">SUM(AQ44:AQ51)</f>
        <v>795</v>
      </c>
      <c r="AR52" s="51">
        <f t="shared" si="173"/>
        <v>882.85</v>
      </c>
      <c r="AS52" s="52"/>
      <c r="AT52" s="53"/>
      <c r="AU52" s="183">
        <f t="shared" ref="AU52:AV52" si="174">SUM(AU44:AU51)</f>
        <v>67.5</v>
      </c>
      <c r="AV52" s="68">
        <f t="shared" si="174"/>
        <v>0</v>
      </c>
      <c r="AW52" s="52"/>
      <c r="AX52" s="53"/>
      <c r="AY52" s="183">
        <f t="shared" ref="AY52:AZ52" si="175">SUM(AY44:AY51)</f>
        <v>0</v>
      </c>
      <c r="AZ52" s="68">
        <f t="shared" si="175"/>
        <v>862.5</v>
      </c>
      <c r="BA52" s="52"/>
      <c r="BB52" s="53"/>
      <c r="BC52" s="183">
        <f t="shared" ref="BC52:BD52" si="176">SUM(BC44:BC51)</f>
        <v>0</v>
      </c>
      <c r="BD52" s="68">
        <f t="shared" si="176"/>
        <v>0</v>
      </c>
      <c r="BE52" s="69"/>
      <c r="BF52" s="70">
        <f t="shared" ref="BF52:BH52" si="177">SUM(BF44:BF51)</f>
        <v>9524.64</v>
      </c>
      <c r="BG52" s="71">
        <f t="shared" si="177"/>
        <v>10988.61</v>
      </c>
      <c r="BH52" s="72">
        <f t="shared" si="177"/>
        <v>0</v>
      </c>
      <c r="BI52" s="34">
        <f>H52+BF52-BG52</f>
        <v>0</v>
      </c>
      <c r="BJ52" s="34">
        <f>BH52-BI52</f>
        <v>0</v>
      </c>
      <c r="BK52" s="2" t="b">
        <f>H52='2020'!BH52</f>
        <v>0</v>
      </c>
    </row>
    <row r="53" ht="14.25" customHeight="1" hidden="1" spans="1:63" x14ac:dyDescent="0.25">
      <c r="A53" s="175">
        <v>6</v>
      </c>
      <c r="B53" s="14"/>
      <c r="C53" s="2"/>
      <c r="D53" s="14" t="s">
        <v>379</v>
      </c>
      <c r="F53" s="13"/>
      <c r="G53" s="28"/>
      <c r="H53" s="34">
        <f>'2020'!BH53</f>
        <v>4.41</v>
      </c>
      <c r="I53" s="13"/>
      <c r="J53" s="15"/>
      <c r="K53" s="15"/>
      <c r="L53" s="28"/>
      <c r="M53" s="13"/>
      <c r="N53" s="15"/>
      <c r="O53" s="15"/>
      <c r="P53" s="15"/>
      <c r="Q53" s="13"/>
      <c r="R53" s="15"/>
      <c r="S53" s="15"/>
      <c r="T53" s="28"/>
      <c r="U53" s="13"/>
      <c r="V53" s="15"/>
      <c r="W53" s="15"/>
      <c r="X53" s="15"/>
      <c r="Y53" s="186"/>
      <c r="Z53" s="2"/>
      <c r="AA53" s="15"/>
      <c r="AB53" s="28"/>
      <c r="AC53" s="15"/>
      <c r="AD53" s="15"/>
      <c r="AE53" s="15"/>
      <c r="AF53" s="154">
        <v>4.41</v>
      </c>
      <c r="AG53" s="15"/>
      <c r="AH53" s="2"/>
      <c r="AI53" s="45"/>
      <c r="AJ53" s="15"/>
      <c r="AK53" s="13"/>
      <c r="AL53" s="15"/>
      <c r="AM53" s="45"/>
      <c r="AN53" s="306">
        <v>1.64</v>
      </c>
      <c r="AO53" s="13"/>
      <c r="AP53" s="15"/>
      <c r="AQ53" s="307">
        <v>1.64</v>
      </c>
      <c r="AR53" s="15"/>
      <c r="AS53" s="13"/>
      <c r="AT53" s="15"/>
      <c r="AU53" s="180"/>
      <c r="AV53" s="15"/>
      <c r="AW53" s="13"/>
      <c r="AX53" s="15"/>
      <c r="AY53" s="180"/>
      <c r="AZ53" s="35"/>
      <c r="BA53" s="13"/>
      <c r="BB53" s="15"/>
      <c r="BC53" s="45"/>
      <c r="BD53" s="15"/>
      <c r="BE53" s="14"/>
      <c r="BF53" s="41">
        <f t="shared" ref="BF53:BG53" si="178">K53+O53+S53+W53+AA53+AE53+AI53+AM53+AQ53+AU53+AY53+BC53</f>
        <v>1.64</v>
      </c>
      <c r="BG53" s="34">
        <f t="shared" si="178"/>
        <v>6.05</v>
      </c>
      <c r="BH53" s="35">
        <f t="shared" ref="BH53:BH60" si="179">H53+BF53-BG53</f>
        <v>0</v>
      </c>
      <c r="BK53" s="2" t="b">
        <f>H53='2020'!BH53</f>
        <v>1</v>
      </c>
    </row>
    <row r="54" ht="14.25" customHeight="1" hidden="1" spans="1:63" x14ac:dyDescent="0.25">
      <c r="A54" s="176">
        <v>6</v>
      </c>
      <c r="B54" s="14">
        <v>4.01</v>
      </c>
      <c r="C54" s="2" t="s">
        <v>70</v>
      </c>
      <c r="D54" s="14" t="s">
        <v>44</v>
      </c>
      <c r="E54" s="2" t="s">
        <v>45</v>
      </c>
      <c r="F54" s="41">
        <v>2.5</v>
      </c>
      <c r="G54" s="35">
        <v>2.6</v>
      </c>
      <c r="H54" s="34">
        <f>'2020'!BH54</f>
        <v>0</v>
      </c>
      <c r="I54" s="13">
        <v>14</v>
      </c>
      <c r="J54" s="15">
        <f>I54-'2020'!BA54</f>
        <v>0</v>
      </c>
      <c r="K54" s="34">
        <f>J54*$F$8</f>
        <v>0</v>
      </c>
      <c r="L54" s="28"/>
      <c r="M54" s="13">
        <v>14</v>
      </c>
      <c r="N54" s="15">
        <f t="shared" ref="N54:N55" si="180">M54-I54</f>
        <v>0</v>
      </c>
      <c r="O54" s="34">
        <f>N54*$F$8</f>
        <v>0</v>
      </c>
      <c r="P54" s="15"/>
      <c r="Q54" s="13">
        <v>14</v>
      </c>
      <c r="R54" s="15">
        <f t="shared" ref="R54:R55" si="181">Q54-M54</f>
        <v>0</v>
      </c>
      <c r="S54" s="34">
        <f>R54*$F$8</f>
        <v>0</v>
      </c>
      <c r="T54" s="28"/>
      <c r="U54" s="13">
        <v>14</v>
      </c>
      <c r="V54" s="15">
        <f t="shared" ref="V54:V55" si="182">U54-Q54</f>
        <v>0</v>
      </c>
      <c r="W54" s="34">
        <f>V54*$F$8</f>
        <v>0</v>
      </c>
      <c r="X54" s="15"/>
      <c r="Y54" s="186">
        <v>16</v>
      </c>
      <c r="Z54" s="2">
        <f t="shared" ref="Z54:Z55" si="183">Y54-U54</f>
        <v>2</v>
      </c>
      <c r="AA54" s="34">
        <f>Z54*$F$8</f>
        <v>5.2</v>
      </c>
      <c r="AB54" s="28"/>
      <c r="AC54" s="13">
        <v>19</v>
      </c>
      <c r="AD54" s="15">
        <f t="shared" ref="AD54:AD55" si="184">AC54-Y54</f>
        <v>3</v>
      </c>
      <c r="AE54" s="180">
        <f>AD54*$F$8</f>
        <v>7.8</v>
      </c>
      <c r="AF54" s="154">
        <v>13</v>
      </c>
      <c r="AG54" s="13">
        <v>21</v>
      </c>
      <c r="AH54" s="2">
        <f t="shared" ref="AH54:AH55" si="185">AG54-AC54</f>
        <v>2</v>
      </c>
      <c r="AI54" s="45">
        <f>AH54*$G$8</f>
        <v>5.4</v>
      </c>
      <c r="AJ54" s="15"/>
      <c r="AK54" s="13">
        <v>22</v>
      </c>
      <c r="AL54" s="15">
        <f t="shared" ref="AL54:AL55" si="186">AK54-AG54</f>
        <v>1</v>
      </c>
      <c r="AM54" s="45">
        <f>AL54*$G$8</f>
        <v>2.7</v>
      </c>
      <c r="AN54" s="306">
        <v>10.8</v>
      </c>
      <c r="AO54" s="13">
        <v>23</v>
      </c>
      <c r="AP54" s="15">
        <f t="shared" ref="AP54:AP55" si="187">AO54-AK54</f>
        <v>1</v>
      </c>
      <c r="AQ54" s="45">
        <f>AP54*$G$8</f>
        <v>2.7</v>
      </c>
      <c r="AR54" s="15"/>
      <c r="AS54" s="13">
        <v>23</v>
      </c>
      <c r="AT54" s="15">
        <f t="shared" ref="AT54:AT55" si="188">AS54-AO54</f>
        <v>0</v>
      </c>
      <c r="AU54" s="45">
        <f>AT54*$G$8</f>
        <v>0</v>
      </c>
      <c r="AV54" s="15"/>
      <c r="AW54" s="13">
        <v>23</v>
      </c>
      <c r="AX54" s="15">
        <f t="shared" ref="AX54:AX55" si="189">AW54-AS54</f>
        <v>0</v>
      </c>
      <c r="AY54" s="45">
        <f>AX54*$G$8</f>
        <v>0</v>
      </c>
      <c r="AZ54" s="35"/>
      <c r="BA54" s="13">
        <v>23</v>
      </c>
      <c r="BB54" s="15">
        <f t="shared" ref="BB54:BB55" si="190">BA54-AW54</f>
        <v>0</v>
      </c>
      <c r="BC54" s="45">
        <f>BB54*$G$8</f>
        <v>0</v>
      </c>
      <c r="BD54" s="15"/>
      <c r="BE54" s="40">
        <f t="shared" ref="BE54:BG54" si="191">J54+N54+R54+V54+Z54+AD54+AH54+AL54+AP54+AT54+AX54+BB54</f>
        <v>9</v>
      </c>
      <c r="BF54" s="41">
        <f t="shared" si="191"/>
        <v>23.8</v>
      </c>
      <c r="BG54" s="34">
        <f t="shared" si="191"/>
        <v>23.8</v>
      </c>
      <c r="BH54" s="35">
        <f t="shared" si="179"/>
        <v>0</v>
      </c>
      <c r="BK54" s="2" t="b">
        <f>H54='2020'!BH54</f>
        <v>1</v>
      </c>
    </row>
    <row r="55" ht="14.25" customHeight="1" hidden="1" spans="1:63" x14ac:dyDescent="0.25">
      <c r="A55" s="176">
        <v>6</v>
      </c>
      <c r="B55" s="14"/>
      <c r="C55" s="2" t="s">
        <v>71</v>
      </c>
      <c r="D55" s="14" t="s">
        <v>47</v>
      </c>
      <c r="E55" s="2" t="s">
        <v>48</v>
      </c>
      <c r="F55" s="13">
        <v>18.56</v>
      </c>
      <c r="G55" s="35">
        <v>19.46</v>
      </c>
      <c r="H55" s="34">
        <f>'2020'!BH55</f>
        <v>0</v>
      </c>
      <c r="I55" s="13">
        <v>268</v>
      </c>
      <c r="J55" s="15"/>
      <c r="K55" s="15"/>
      <c r="L55" s="28"/>
      <c r="M55" s="13">
        <v>268</v>
      </c>
      <c r="N55" s="15">
        <f t="shared" si="180"/>
        <v>0</v>
      </c>
      <c r="O55" s="15"/>
      <c r="P55" s="15"/>
      <c r="Q55" s="184">
        <v>268</v>
      </c>
      <c r="R55" s="15">
        <f t="shared" si="181"/>
        <v>0</v>
      </c>
      <c r="S55" s="15"/>
      <c r="T55" s="28"/>
      <c r="U55" s="184">
        <v>268</v>
      </c>
      <c r="V55" s="15">
        <f t="shared" si="182"/>
        <v>0</v>
      </c>
      <c r="W55" s="34">
        <f>V55*$F$10</f>
        <v>0</v>
      </c>
      <c r="X55" s="15"/>
      <c r="Y55" s="186">
        <v>271</v>
      </c>
      <c r="Z55" s="2">
        <f t="shared" si="183"/>
        <v>3</v>
      </c>
      <c r="AA55" s="34">
        <f>Z55*$F$10</f>
        <v>58.38</v>
      </c>
      <c r="AB55" s="28"/>
      <c r="AC55" s="13">
        <v>274</v>
      </c>
      <c r="AD55" s="15">
        <f t="shared" si="184"/>
        <v>3</v>
      </c>
      <c r="AE55" s="34">
        <f>AD55*$F$10</f>
        <v>58.38</v>
      </c>
      <c r="AF55" s="154">
        <v>116.76</v>
      </c>
      <c r="AG55" s="13">
        <v>274</v>
      </c>
      <c r="AH55" s="2">
        <f t="shared" si="185"/>
        <v>0</v>
      </c>
      <c r="AI55" s="45">
        <f>AH55*$G$10</f>
        <v>0</v>
      </c>
      <c r="AJ55" s="15"/>
      <c r="AK55" s="13">
        <v>274</v>
      </c>
      <c r="AL55" s="15">
        <f t="shared" si="186"/>
        <v>0</v>
      </c>
      <c r="AM55" s="45">
        <f>AL55*$G$10</f>
        <v>0</v>
      </c>
      <c r="AN55" s="154"/>
      <c r="AO55" s="13">
        <v>274</v>
      </c>
      <c r="AP55" s="15">
        <f t="shared" si="187"/>
        <v>0</v>
      </c>
      <c r="AQ55" s="45">
        <f>AP55*$G$10</f>
        <v>0</v>
      </c>
      <c r="AR55" s="15"/>
      <c r="AS55" s="13">
        <v>274</v>
      </c>
      <c r="AT55" s="15">
        <f t="shared" si="188"/>
        <v>0</v>
      </c>
      <c r="AU55" s="45">
        <f>AT55*$G$10</f>
        <v>0</v>
      </c>
      <c r="AV55" s="15"/>
      <c r="AW55" s="13">
        <v>274</v>
      </c>
      <c r="AX55" s="15">
        <f t="shared" si="189"/>
        <v>0</v>
      </c>
      <c r="AY55" s="45"/>
      <c r="AZ55" s="28"/>
      <c r="BA55" s="13">
        <v>274</v>
      </c>
      <c r="BB55" s="15">
        <f t="shared" si="190"/>
        <v>0</v>
      </c>
      <c r="BC55" s="45"/>
      <c r="BD55" s="15"/>
      <c r="BE55" s="40">
        <f t="shared" ref="BE55:BG55" si="192">J55+N55+R55+V55+Z55+AD55+AH55+AL55+AP55+AT55+AX55+BB55</f>
        <v>6</v>
      </c>
      <c r="BF55" s="41">
        <f t="shared" si="192"/>
        <v>116.76</v>
      </c>
      <c r="BG55" s="34">
        <f t="shared" si="192"/>
        <v>116.76</v>
      </c>
      <c r="BH55" s="35">
        <f t="shared" si="179"/>
        <v>0</v>
      </c>
      <c r="BK55" s="2" t="b">
        <f>H55='2020'!BH55</f>
        <v>1</v>
      </c>
    </row>
    <row r="56" ht="14.25" customHeight="1" hidden="1" spans="1:63" x14ac:dyDescent="0.25">
      <c r="A56" s="176">
        <v>6</v>
      </c>
      <c r="B56" s="14"/>
      <c r="C56" s="2" t="s">
        <v>72</v>
      </c>
      <c r="D56" s="14" t="s">
        <v>47</v>
      </c>
      <c r="E56" s="2" t="s">
        <v>49</v>
      </c>
      <c r="F56" s="41">
        <v>500</v>
      </c>
      <c r="G56" s="35"/>
      <c r="H56" s="34">
        <f>'2020'!BH56</f>
        <v>0</v>
      </c>
      <c r="I56" s="13"/>
      <c r="J56" s="15"/>
      <c r="K56" s="15"/>
      <c r="L56" s="28"/>
      <c r="M56" s="13"/>
      <c r="N56" s="15"/>
      <c r="O56" s="15"/>
      <c r="P56" s="15"/>
      <c r="Q56" s="13"/>
      <c r="R56" s="15"/>
      <c r="S56" s="15"/>
      <c r="T56" s="28"/>
      <c r="U56" s="13"/>
      <c r="V56" s="15"/>
      <c r="W56" s="15"/>
      <c r="X56" s="15"/>
      <c r="Y56" s="186"/>
      <c r="Z56" s="2"/>
      <c r="AA56" s="15"/>
      <c r="AB56" s="28"/>
      <c r="AC56" s="15"/>
      <c r="AD56" s="15"/>
      <c r="AE56" s="34"/>
      <c r="AF56" s="154"/>
      <c r="AG56" s="15"/>
      <c r="AH56" s="2"/>
      <c r="AI56" s="45"/>
      <c r="AJ56" s="15"/>
      <c r="AK56" s="13"/>
      <c r="AL56" s="15"/>
      <c r="AM56" s="45"/>
      <c r="AN56" s="154"/>
      <c r="AO56" s="13"/>
      <c r="AP56" s="15"/>
      <c r="AQ56" s="45"/>
      <c r="AR56" s="15"/>
      <c r="AS56" s="13"/>
      <c r="AT56" s="15"/>
      <c r="AU56" s="45"/>
      <c r="AV56" s="15"/>
      <c r="AW56" s="13"/>
      <c r="AX56" s="15"/>
      <c r="AY56" s="45"/>
      <c r="AZ56" s="32"/>
      <c r="BA56" s="13"/>
      <c r="BB56" s="15"/>
      <c r="BC56" s="45"/>
      <c r="BD56" s="15"/>
      <c r="BE56" s="14"/>
      <c r="BF56" s="41">
        <f t="shared" ref="BF56:BG56" si="193">K56+O56+S56+W56+AA56+AE56+AI56+AM56+AQ56+AU56+AY56+BC56</f>
        <v>0</v>
      </c>
      <c r="BG56" s="34">
        <f t="shared" si="193"/>
        <v>0</v>
      </c>
      <c r="BH56" s="35">
        <f t="shared" si="179"/>
        <v>0</v>
      </c>
      <c r="BK56" s="2" t="b">
        <f>H56='2020'!BH56</f>
        <v>1</v>
      </c>
    </row>
    <row r="57" ht="14.25" customHeight="1" hidden="1" spans="1:63" x14ac:dyDescent="0.25">
      <c r="A57" s="176">
        <v>6</v>
      </c>
      <c r="B57" s="14"/>
      <c r="C57" s="15" t="s">
        <v>73</v>
      </c>
      <c r="D57" s="14" t="s">
        <v>50</v>
      </c>
      <c r="E57" s="2" t="s">
        <v>49</v>
      </c>
      <c r="F57" s="41">
        <v>1100</v>
      </c>
      <c r="G57" s="35"/>
      <c r="H57" s="34">
        <f>'2020'!BH57</f>
        <v>0</v>
      </c>
      <c r="I57" s="13"/>
      <c r="J57" s="15"/>
      <c r="K57" s="15"/>
      <c r="L57" s="28"/>
      <c r="M57" s="13"/>
      <c r="N57" s="15"/>
      <c r="O57" s="15"/>
      <c r="P57" s="15"/>
      <c r="Q57" s="13"/>
      <c r="R57" s="15"/>
      <c r="S57" s="15"/>
      <c r="T57" s="28"/>
      <c r="U57" s="13"/>
      <c r="V57" s="15"/>
      <c r="W57" s="15"/>
      <c r="X57" s="15"/>
      <c r="Y57" s="186"/>
      <c r="Z57" s="2"/>
      <c r="AA57" s="15"/>
      <c r="AB57" s="28"/>
      <c r="AC57" s="15"/>
      <c r="AD57" s="15"/>
      <c r="AE57" s="182">
        <v>4411</v>
      </c>
      <c r="AF57" s="182">
        <v>3865.83</v>
      </c>
      <c r="AG57" s="15"/>
      <c r="AH57" s="2"/>
      <c r="AI57" s="45"/>
      <c r="AJ57" s="15"/>
      <c r="AK57" s="13"/>
      <c r="AL57" s="15"/>
      <c r="AM57" s="45"/>
      <c r="AN57" s="306">
        <v>545.17</v>
      </c>
      <c r="AO57" s="13"/>
      <c r="AP57" s="15"/>
      <c r="AQ57" s="45"/>
      <c r="AR57" s="15"/>
      <c r="AS57" s="13"/>
      <c r="AT57" s="15"/>
      <c r="AU57" s="45"/>
      <c r="AV57" s="15"/>
      <c r="AW57" s="13"/>
      <c r="AX57" s="15"/>
      <c r="AY57" s="45"/>
      <c r="AZ57" s="35"/>
      <c r="BA57" s="13"/>
      <c r="BB57" s="15"/>
      <c r="BC57" s="45"/>
      <c r="BD57" s="15"/>
      <c r="BE57" s="14"/>
      <c r="BF57" s="41">
        <f t="shared" ref="BF57:BG57" si="194">K57+O57+S57+W57+AA57+AE57+AI57+AM57+AQ57+AU57+AY57+BC57</f>
        <v>4411</v>
      </c>
      <c r="BG57" s="34">
        <f t="shared" si="194"/>
        <v>4411</v>
      </c>
      <c r="BH57" s="35">
        <f t="shared" si="179"/>
        <v>0</v>
      </c>
      <c r="BK57" s="2" t="b">
        <f>H57='2020'!BH57</f>
        <v>1</v>
      </c>
    </row>
    <row r="58" ht="14.25" customHeight="1" hidden="1" spans="1:63" x14ac:dyDescent="0.25">
      <c r="A58" s="176">
        <v>6</v>
      </c>
      <c r="B58" s="14"/>
      <c r="D58" s="14" t="s">
        <v>51</v>
      </c>
      <c r="E58" s="2" t="s">
        <v>39</v>
      </c>
      <c r="F58" s="41">
        <v>500</v>
      </c>
      <c r="G58" s="35"/>
      <c r="H58" s="34">
        <f>'2020'!BH58</f>
        <v>0</v>
      </c>
      <c r="I58" s="13"/>
      <c r="J58" s="15"/>
      <c r="K58" s="15"/>
      <c r="L58" s="28"/>
      <c r="M58" s="13"/>
      <c r="N58" s="15"/>
      <c r="O58" s="15"/>
      <c r="P58" s="15"/>
      <c r="Q58" s="13"/>
      <c r="R58" s="15"/>
      <c r="S58" s="15"/>
      <c r="T58" s="28"/>
      <c r="U58" s="13"/>
      <c r="V58" s="15"/>
      <c r="W58" s="15"/>
      <c r="X58" s="15"/>
      <c r="Y58" s="186"/>
      <c r="Z58" s="2"/>
      <c r="AA58" s="15"/>
      <c r="AB58" s="28"/>
      <c r="AC58" s="15"/>
      <c r="AD58" s="15"/>
      <c r="AE58" s="180">
        <f>$F$13</f>
      </c>
      <c r="AF58" s="15"/>
      <c r="AG58" s="15"/>
      <c r="AH58" s="2"/>
      <c r="AI58" s="45"/>
      <c r="AJ58" s="15"/>
      <c r="AK58" s="13"/>
      <c r="AL58" s="15"/>
      <c r="AM58" s="45"/>
      <c r="AN58" s="154"/>
      <c r="AO58" s="13"/>
      <c r="AP58" s="15"/>
      <c r="AQ58" s="180"/>
      <c r="AR58" s="15"/>
      <c r="AS58" s="13"/>
      <c r="AT58" s="15"/>
      <c r="AU58" s="45"/>
      <c r="AV58" s="15"/>
      <c r="AW58" s="13"/>
      <c r="AX58" s="15"/>
      <c r="AY58" s="45"/>
      <c r="AZ58" s="35"/>
      <c r="BA58" s="13"/>
      <c r="BB58" s="15"/>
      <c r="BC58" s="45"/>
      <c r="BD58" s="15"/>
      <c r="BE58" s="14"/>
      <c r="BF58" s="41">
        <f t="shared" ref="BF58:BG58" si="195">K58+O58+S58+W58+AA58+AE58+AI58+AM58+AQ58+AU58+AY58+BC58</f>
        <v>0</v>
      </c>
      <c r="BG58" s="34">
        <f t="shared" si="195"/>
        <v>0</v>
      </c>
      <c r="BH58" s="35">
        <f t="shared" si="179"/>
        <v>0</v>
      </c>
      <c r="BK58" s="2" t="b">
        <f>H58='2020'!BH58</f>
        <v>1</v>
      </c>
    </row>
    <row r="59" ht="14.25" customHeight="1" hidden="1" spans="1:63" x14ac:dyDescent="0.25">
      <c r="A59" s="176">
        <v>6</v>
      </c>
      <c r="B59" s="14"/>
      <c r="D59" s="14" t="s">
        <v>51</v>
      </c>
      <c r="E59" s="2" t="s">
        <v>49</v>
      </c>
      <c r="F59" s="41">
        <v>500</v>
      </c>
      <c r="G59" s="35"/>
      <c r="H59" s="34">
        <f>'2020'!BH59</f>
        <v>0</v>
      </c>
      <c r="I59" s="13"/>
      <c r="J59" s="15"/>
      <c r="K59" s="15"/>
      <c r="L59" s="28"/>
      <c r="M59" s="13"/>
      <c r="N59" s="15"/>
      <c r="O59" s="15"/>
      <c r="P59" s="15"/>
      <c r="Q59" s="13"/>
      <c r="R59" s="15"/>
      <c r="S59" s="15"/>
      <c r="T59" s="28"/>
      <c r="U59" s="13"/>
      <c r="V59" s="15"/>
      <c r="W59" s="15"/>
      <c r="X59" s="15"/>
      <c r="Y59" s="186"/>
      <c r="Z59" s="2"/>
      <c r="AA59" s="15"/>
      <c r="AB59" s="28"/>
      <c r="AC59" s="15"/>
      <c r="AD59" s="15"/>
      <c r="AE59" s="34"/>
      <c r="AF59" s="15"/>
      <c r="AG59" s="15"/>
      <c r="AH59" s="2"/>
      <c r="AI59" s="45"/>
      <c r="AJ59" s="15"/>
      <c r="AK59" s="13"/>
      <c r="AL59" s="15"/>
      <c r="AM59" s="45"/>
      <c r="AN59" s="15"/>
      <c r="AO59" s="13"/>
      <c r="AP59" s="15"/>
      <c r="AQ59" s="180">
        <f>B54*$F$14</f>
        <v>0</v>
      </c>
      <c r="AR59" s="15"/>
      <c r="AS59" s="13"/>
      <c r="AT59" s="15"/>
      <c r="AU59" s="45"/>
      <c r="AV59" s="15"/>
      <c r="AW59" s="13"/>
      <c r="AX59" s="15"/>
      <c r="AY59" s="45"/>
      <c r="AZ59" s="35"/>
      <c r="BA59" s="13"/>
      <c r="BB59" s="15"/>
      <c r="BC59" s="45"/>
      <c r="BD59" s="15"/>
      <c r="BE59" s="14"/>
      <c r="BF59" s="41">
        <f t="shared" ref="BF59:BG59" si="196">K59+O59+S59+W59+AA59+AE59+AI59+AM59+AQ59+AU59+AY59+BC59</f>
        <v>0</v>
      </c>
      <c r="BG59" s="34">
        <f t="shared" si="196"/>
        <v>0</v>
      </c>
      <c r="BH59" s="35">
        <f t="shared" si="179"/>
        <v>0</v>
      </c>
      <c r="BK59" s="2" t="b">
        <f>H59='2020'!BH59</f>
        <v>1</v>
      </c>
    </row>
    <row r="60" ht="14.25" customHeight="1" hidden="1" spans="1:63" x14ac:dyDescent="0.25">
      <c r="A60" s="176">
        <v>6</v>
      </c>
      <c r="B60" s="14"/>
      <c r="D60" s="14" t="s">
        <v>52</v>
      </c>
      <c r="E60" s="2" t="s">
        <v>39</v>
      </c>
      <c r="F60" s="41">
        <v>500</v>
      </c>
      <c r="G60" s="35"/>
      <c r="H60" s="34">
        <f>'2020'!BH60</f>
        <v>0</v>
      </c>
      <c r="I60" s="13"/>
      <c r="J60" s="15"/>
      <c r="K60" s="15"/>
      <c r="L60" s="28"/>
      <c r="M60" s="13"/>
      <c r="N60" s="15"/>
      <c r="O60" s="15"/>
      <c r="P60" s="15"/>
      <c r="Q60" s="13"/>
      <c r="R60" s="15"/>
      <c r="S60" s="15"/>
      <c r="T60" s="28"/>
      <c r="U60" s="13"/>
      <c r="V60" s="15"/>
      <c r="W60" s="15"/>
      <c r="X60" s="15"/>
      <c r="Y60" s="186"/>
      <c r="Z60" s="2"/>
      <c r="AA60" s="34">
        <f>$F$15</f>
      </c>
      <c r="AB60" s="35"/>
      <c r="AC60" s="15"/>
      <c r="AD60" s="15"/>
      <c r="AE60" s="15"/>
      <c r="AF60" s="34"/>
      <c r="AG60" s="15"/>
      <c r="AH60" s="2"/>
      <c r="AI60" s="45"/>
      <c r="AJ60" s="15"/>
      <c r="AK60" s="13"/>
      <c r="AL60" s="15"/>
      <c r="AM60" s="45"/>
      <c r="AN60" s="15"/>
      <c r="AO60" s="13"/>
      <c r="AP60" s="15"/>
      <c r="AQ60" s="45"/>
      <c r="AR60" s="15"/>
      <c r="AS60" s="13"/>
      <c r="AT60" s="15"/>
      <c r="AU60" s="45"/>
      <c r="AV60" s="15"/>
      <c r="AW60" s="13"/>
      <c r="AX60" s="15"/>
      <c r="AY60" s="45"/>
      <c r="AZ60" s="35"/>
      <c r="BA60" s="13"/>
      <c r="BB60" s="15"/>
      <c r="BC60" s="45"/>
      <c r="BD60" s="15"/>
      <c r="BE60" s="14"/>
      <c r="BF60" s="41">
        <f t="shared" ref="BF60:BG60" si="197">K60+O60+S60+W60+AA60+AE60+AI60+AM60+AQ60+AU60+AY60+BC60</f>
        <v>0</v>
      </c>
      <c r="BG60" s="34">
        <f t="shared" si="197"/>
        <v>0</v>
      </c>
      <c r="BH60" s="35">
        <f t="shared" si="179"/>
        <v>0</v>
      </c>
      <c r="BK60" s="2" t="b">
        <f>H60='2020'!BH60</f>
        <v>1</v>
      </c>
    </row>
    <row r="61" ht="14.25" customHeight="1" hidden="1" spans="1:63" x14ac:dyDescent="0.25">
      <c r="A61" s="177">
        <v>6</v>
      </c>
      <c r="B61" s="21"/>
      <c r="C61" s="22" t="s">
        <v>53</v>
      </c>
      <c r="D61" s="21"/>
      <c r="E61" s="22"/>
      <c r="F61" s="20"/>
      <c r="G61" s="23"/>
      <c r="H61" s="51">
        <f>SUM(H53:H60)</f>
        <v>4.41</v>
      </c>
      <c r="I61" s="52"/>
      <c r="J61" s="53"/>
      <c r="K61" s="51">
        <f t="shared" ref="K61:L61" si="198">SUM(K53:K60)</f>
        <v>0</v>
      </c>
      <c r="L61" s="68">
        <f t="shared" si="198"/>
        <v>0</v>
      </c>
      <c r="M61" s="52"/>
      <c r="N61" s="53"/>
      <c r="O61" s="51">
        <f t="shared" ref="O61:P61" si="199">SUM(O53:O60)</f>
        <v>0</v>
      </c>
      <c r="P61" s="68">
        <f t="shared" si="199"/>
        <v>0</v>
      </c>
      <c r="Q61" s="52"/>
      <c r="R61" s="53"/>
      <c r="S61" s="51">
        <f t="shared" ref="S61:T61" si="200">SUM(S53:S60)</f>
        <v>0</v>
      </c>
      <c r="T61" s="68">
        <f t="shared" si="200"/>
        <v>0</v>
      </c>
      <c r="U61" s="52"/>
      <c r="V61" s="53"/>
      <c r="W61" s="51">
        <f t="shared" ref="W61:X61" si="201">SUM(W53:W60)</f>
        <v>0</v>
      </c>
      <c r="X61" s="68">
        <f t="shared" si="201"/>
        <v>0</v>
      </c>
      <c r="Y61" s="300"/>
      <c r="Z61" s="301"/>
      <c r="AA61" s="51">
        <f t="shared" ref="AA61:AB61" si="202">SUM(AA53:AA60)</f>
        <v>63.58</v>
      </c>
      <c r="AB61" s="68">
        <f t="shared" si="202"/>
        <v>0</v>
      </c>
      <c r="AC61" s="53"/>
      <c r="AD61" s="53"/>
      <c r="AE61" s="51">
        <f t="shared" ref="AE61:AF61" si="203">SUM(AE53:AE60)</f>
        <v>4477.18</v>
      </c>
      <c r="AF61" s="68">
        <f t="shared" si="203"/>
        <v>4000</v>
      </c>
      <c r="AG61" s="53"/>
      <c r="AH61" s="301"/>
      <c r="AI61" s="183">
        <f t="shared" ref="AI61:AJ61" si="204">SUM(AI53:AI60)</f>
        <v>5.4</v>
      </c>
      <c r="AJ61" s="51">
        <f t="shared" si="204"/>
        <v>0</v>
      </c>
      <c r="AK61" s="52"/>
      <c r="AL61" s="53"/>
      <c r="AM61" s="183">
        <f t="shared" ref="AM61:AN61" si="205">SUM(AM53:AM60)</f>
        <v>2.7</v>
      </c>
      <c r="AN61" s="51">
        <f t="shared" si="205"/>
        <v>557.61</v>
      </c>
      <c r="AO61" s="52"/>
      <c r="AP61" s="53"/>
      <c r="AQ61" s="183">
        <f t="shared" ref="AQ61:AR61" si="206">SUM(AQ53:AQ60)</f>
        <v>4.34</v>
      </c>
      <c r="AR61" s="51">
        <f t="shared" si="206"/>
        <v>0</v>
      </c>
      <c r="AS61" s="52"/>
      <c r="AT61" s="53"/>
      <c r="AU61" s="183">
        <f t="shared" ref="AU61:AV61" si="207">SUM(AU53:AU60)</f>
        <v>0</v>
      </c>
      <c r="AV61" s="68">
        <f t="shared" si="207"/>
        <v>0</v>
      </c>
      <c r="AW61" s="52"/>
      <c r="AX61" s="53"/>
      <c r="AY61" s="183">
        <f t="shared" ref="AY61:AZ61" si="208">SUM(AY53:AY60)</f>
        <v>0</v>
      </c>
      <c r="AZ61" s="68">
        <f t="shared" si="208"/>
        <v>0</v>
      </c>
      <c r="BA61" s="52"/>
      <c r="BB61" s="53"/>
      <c r="BC61" s="183">
        <f t="shared" ref="BC61:BD61" si="209">SUM(BC53:BC60)</f>
        <v>0</v>
      </c>
      <c r="BD61" s="68">
        <f t="shared" si="209"/>
        <v>0</v>
      </c>
      <c r="BE61" s="69"/>
      <c r="BF61" s="70">
        <f t="shared" ref="BF61:BH61" si="210">SUM(BF53:BF60)</f>
        <v>4553.2</v>
      </c>
      <c r="BG61" s="71">
        <f t="shared" si="210"/>
        <v>4557.61</v>
      </c>
      <c r="BH61" s="72">
        <f t="shared" si="210"/>
        <v>0</v>
      </c>
      <c r="BI61" s="34">
        <f>H61+BF61-BG61</f>
        <v>0</v>
      </c>
      <c r="BJ61" s="34">
        <f>BH61-BI61</f>
        <v>0</v>
      </c>
      <c r="BK61" s="2" t="b">
        <f>H61='2020'!BH61</f>
        <v>1</v>
      </c>
    </row>
    <row r="62" ht="14.25" customHeight="1" hidden="1" spans="1:63" x14ac:dyDescent="0.25">
      <c r="A62" s="175">
        <v>7</v>
      </c>
      <c r="B62" s="14"/>
      <c r="D62" s="14" t="s">
        <v>379</v>
      </c>
      <c r="F62" s="13"/>
      <c r="G62" s="28"/>
      <c r="H62" s="34">
        <f>'2020'!BH62</f>
        <v>8.18</v>
      </c>
      <c r="I62" s="13"/>
      <c r="J62" s="15"/>
      <c r="K62" s="15"/>
      <c r="L62" s="28"/>
      <c r="M62" s="13"/>
      <c r="N62" s="15"/>
      <c r="O62" s="15"/>
      <c r="P62" s="15"/>
      <c r="Q62" s="13"/>
      <c r="R62" s="15"/>
      <c r="S62" s="15"/>
      <c r="T62" s="28"/>
      <c r="U62" s="13"/>
      <c r="V62" s="15"/>
      <c r="W62" s="15"/>
      <c r="X62" s="15"/>
      <c r="Y62" s="186"/>
      <c r="Z62" s="2"/>
      <c r="AA62" s="15"/>
      <c r="AB62" s="28"/>
      <c r="AC62" s="15"/>
      <c r="AD62" s="15"/>
      <c r="AE62" s="15"/>
      <c r="AF62" s="15"/>
      <c r="AG62" s="15"/>
      <c r="AH62" s="2"/>
      <c r="AI62" s="45"/>
      <c r="AJ62" s="15"/>
      <c r="AK62" s="13"/>
      <c r="AL62" s="15"/>
      <c r="AM62" s="45"/>
      <c r="AN62" s="15"/>
      <c r="AO62" s="13"/>
      <c r="AP62" s="15"/>
      <c r="AQ62" s="45"/>
      <c r="AR62" s="15">
        <v>8.18</v>
      </c>
      <c r="AS62" s="13"/>
      <c r="AT62" s="15"/>
      <c r="AU62" s="45"/>
      <c r="AV62" s="15"/>
      <c r="AW62" s="13"/>
      <c r="AX62" s="15"/>
      <c r="AY62" s="45"/>
      <c r="AZ62" s="28"/>
      <c r="BA62" s="13"/>
      <c r="BB62" s="15"/>
      <c r="BC62" s="45"/>
      <c r="BD62" s="15"/>
      <c r="BE62" s="14"/>
      <c r="BF62" s="41">
        <f t="shared" ref="BF62:BG62" si="211">K62+O62+S62+W62+AA62+AE62+AI62+AM62+AQ62+AU62+AY62+BC62</f>
        <v>0</v>
      </c>
      <c r="BG62" s="34">
        <f t="shared" si="211"/>
        <v>8.18</v>
      </c>
      <c r="BH62" s="35">
        <f t="shared" ref="BH62:BH69" si="212">H62+BF62-BG62</f>
        <v>0</v>
      </c>
      <c r="BK62" s="2" t="b">
        <f>H62='2020'!BH62</f>
        <v>1</v>
      </c>
    </row>
    <row r="63" ht="14.25" customHeight="1" hidden="1" spans="1:63" x14ac:dyDescent="0.25">
      <c r="A63" s="176">
        <v>7</v>
      </c>
      <c r="B63" s="14">
        <v>4.85</v>
      </c>
      <c r="C63" s="2" t="s">
        <v>74</v>
      </c>
      <c r="D63" s="14" t="s">
        <v>44</v>
      </c>
      <c r="E63" s="2" t="s">
        <v>45</v>
      </c>
      <c r="F63" s="41">
        <v>2.5</v>
      </c>
      <c r="G63" s="35">
        <v>2.6</v>
      </c>
      <c r="H63" s="34">
        <f>'2020'!BH63</f>
        <v>-66.73</v>
      </c>
      <c r="I63" s="13">
        <v>448</v>
      </c>
      <c r="J63" s="15">
        <f>I63-'2020'!BA63</f>
        <v>0</v>
      </c>
      <c r="K63" s="34">
        <f>J63*$F$8</f>
        <v>0</v>
      </c>
      <c r="L63" s="28"/>
      <c r="M63" s="13">
        <v>448</v>
      </c>
      <c r="N63" s="15">
        <f t="shared" ref="N63:N64" si="213">M63-I63</f>
        <v>0</v>
      </c>
      <c r="O63" s="34">
        <f>N63*$F$8</f>
        <v>0</v>
      </c>
      <c r="P63" s="15"/>
      <c r="Q63" s="13">
        <v>448</v>
      </c>
      <c r="R63" s="15">
        <f t="shared" ref="R63:R64" si="214">Q63-M63</f>
        <v>0</v>
      </c>
      <c r="S63" s="34">
        <f>R63*$F$8</f>
        <v>0</v>
      </c>
      <c r="T63" s="28"/>
      <c r="U63" s="13">
        <v>448</v>
      </c>
      <c r="V63" s="15">
        <f t="shared" ref="V63:V64" si="215">U63-Q63</f>
        <v>0</v>
      </c>
      <c r="W63" s="34">
        <f>V63*$F$8</f>
        <v>0</v>
      </c>
      <c r="X63" s="15"/>
      <c r="Y63" s="186">
        <v>449</v>
      </c>
      <c r="Z63" s="2">
        <f t="shared" ref="Z63:Z64" si="216">Y63-U63</f>
        <v>1</v>
      </c>
      <c r="AA63" s="34">
        <f>Z63*$F$8</f>
        <v>2.6</v>
      </c>
      <c r="AB63" s="28"/>
      <c r="AC63" s="13">
        <v>461</v>
      </c>
      <c r="AD63" s="15">
        <f t="shared" ref="AD63:AD64" si="217">AC63-Y63</f>
        <v>12</v>
      </c>
      <c r="AE63" s="180">
        <f>AD63*$F$8</f>
        <v>31.2</v>
      </c>
      <c r="AF63" s="248">
        <v>200</v>
      </c>
      <c r="AG63" s="13">
        <v>486</v>
      </c>
      <c r="AH63" s="2">
        <f t="shared" ref="AH63:AH64" si="218">AG63-AC63</f>
        <v>25</v>
      </c>
      <c r="AI63" s="45">
        <f>AH63*$G$8</f>
        <v>67.5</v>
      </c>
      <c r="AJ63" s="1"/>
      <c r="AK63" s="13">
        <v>532</v>
      </c>
      <c r="AL63" s="15">
        <f t="shared" ref="AL63:AL64" si="219">AK63-AG63</f>
        <v>46</v>
      </c>
      <c r="AM63" s="45">
        <f>AL63*$G$8</f>
        <v>124.2</v>
      </c>
      <c r="AN63" s="15"/>
      <c r="AO63" s="13">
        <v>558</v>
      </c>
      <c r="AP63" s="15">
        <f t="shared" ref="AP63:AP64" si="220">AO63-AK63</f>
        <v>26</v>
      </c>
      <c r="AQ63" s="45">
        <f>AP63*$G$8</f>
        <v>70.2</v>
      </c>
      <c r="AR63" s="15">
        <v>28.97</v>
      </c>
      <c r="AS63" s="13">
        <v>562</v>
      </c>
      <c r="AT63" s="15">
        <f t="shared" ref="AT63:AT64" si="221">AS63-AO63</f>
        <v>4</v>
      </c>
      <c r="AU63" s="45">
        <f>AT63*$G$8</f>
        <v>10.8</v>
      </c>
      <c r="AV63" s="15"/>
      <c r="AW63" s="13">
        <v>562</v>
      </c>
      <c r="AX63" s="15">
        <f t="shared" ref="AX63:AX64" si="222">AW63-AS63</f>
        <v>0</v>
      </c>
      <c r="AY63" s="45">
        <f>AX63*$G$8</f>
        <v>0</v>
      </c>
      <c r="AZ63" s="28"/>
      <c r="BA63" s="13">
        <v>562</v>
      </c>
      <c r="BB63" s="15">
        <f t="shared" ref="BB63:BB64" si="223">BA63-AW63</f>
        <v>0</v>
      </c>
      <c r="BC63" s="45">
        <f>BB63*$G$8</f>
        <v>0</v>
      </c>
      <c r="BD63" s="15"/>
      <c r="BE63" s="40">
        <f t="shared" ref="BE63:BG63" si="224">J63+N63+R63+V63+Z63+AD63+AH63+AL63+AP63+AT63+AX63+BB63</f>
        <v>114</v>
      </c>
      <c r="BF63" s="41">
        <f t="shared" si="224"/>
        <v>306.5</v>
      </c>
      <c r="BG63" s="34">
        <f t="shared" si="224"/>
        <v>228.97</v>
      </c>
      <c r="BH63" s="35">
        <f t="shared" si="212"/>
        <v>10.8</v>
      </c>
      <c r="BK63" s="2" t="b">
        <f>H63='2020'!BH63</f>
        <v>1</v>
      </c>
    </row>
    <row r="64" ht="14.25" customHeight="1" hidden="1" spans="1:63" x14ac:dyDescent="0.25">
      <c r="A64" s="176">
        <v>7</v>
      </c>
      <c r="B64" s="14"/>
      <c r="C64" s="2" t="s">
        <v>75</v>
      </c>
      <c r="D64" s="14" t="s">
        <v>47</v>
      </c>
      <c r="E64" s="2" t="s">
        <v>48</v>
      </c>
      <c r="F64" s="13">
        <v>18.56</v>
      </c>
      <c r="G64" s="35">
        <v>19.46</v>
      </c>
      <c r="H64" s="34">
        <f>'2020'!BH64</f>
        <v>-612.6</v>
      </c>
      <c r="I64" s="13">
        <v>60</v>
      </c>
      <c r="J64" s="15"/>
      <c r="K64" s="15"/>
      <c r="L64" s="28"/>
      <c r="M64" s="13">
        <v>60</v>
      </c>
      <c r="N64" s="15">
        <f t="shared" si="213"/>
        <v>0</v>
      </c>
      <c r="O64" s="15"/>
      <c r="P64" s="15"/>
      <c r="Q64" s="184">
        <v>60</v>
      </c>
      <c r="R64" s="15">
        <f t="shared" si="214"/>
        <v>0</v>
      </c>
      <c r="S64" s="15"/>
      <c r="T64" s="28"/>
      <c r="U64" s="184">
        <v>60</v>
      </c>
      <c r="V64" s="15">
        <f t="shared" si="215"/>
        <v>0</v>
      </c>
      <c r="W64" s="34">
        <f>V64*$F$10</f>
        <v>0</v>
      </c>
      <c r="X64" s="15"/>
      <c r="Y64" s="186">
        <v>60</v>
      </c>
      <c r="Z64" s="2">
        <f t="shared" si="216"/>
        <v>0</v>
      </c>
      <c r="AA64" s="34">
        <f>Z64*$F$10</f>
        <v>0</v>
      </c>
      <c r="AB64" s="28"/>
      <c r="AC64" s="15">
        <v>60</v>
      </c>
      <c r="AD64" s="15">
        <f t="shared" si="217"/>
        <v>0</v>
      </c>
      <c r="AE64" s="34">
        <f>AD64*$F$10</f>
        <v>0</v>
      </c>
      <c r="AF64" s="248"/>
      <c r="AG64" s="15">
        <v>60</v>
      </c>
      <c r="AH64" s="2">
        <f t="shared" si="218"/>
        <v>0</v>
      </c>
      <c r="AI64" s="45">
        <f>AH64*$G$10</f>
        <v>0</v>
      </c>
      <c r="AJ64" s="39"/>
      <c r="AK64" s="13">
        <v>60</v>
      </c>
      <c r="AL64" s="15">
        <f t="shared" si="219"/>
        <v>0</v>
      </c>
      <c r="AM64" s="45">
        <f>AL64*$G$10</f>
        <v>0</v>
      </c>
      <c r="AN64" s="15"/>
      <c r="AO64" s="13">
        <v>76</v>
      </c>
      <c r="AP64" s="15">
        <f t="shared" si="220"/>
        <v>16</v>
      </c>
      <c r="AQ64" s="45">
        <f>AP64*$G$10</f>
        <v>325.6</v>
      </c>
      <c r="AR64" s="15"/>
      <c r="AS64" s="13">
        <v>76</v>
      </c>
      <c r="AT64" s="15">
        <f t="shared" si="221"/>
        <v>0</v>
      </c>
      <c r="AU64" s="45">
        <f>AT64*$G$10</f>
        <v>0</v>
      </c>
      <c r="AV64" s="15"/>
      <c r="AW64" s="13">
        <v>76</v>
      </c>
      <c r="AX64" s="15">
        <f t="shared" si="222"/>
        <v>0</v>
      </c>
      <c r="AY64" s="45"/>
      <c r="AZ64" s="28"/>
      <c r="BA64" s="13">
        <v>76</v>
      </c>
      <c r="BB64" s="15">
        <f t="shared" si="223"/>
        <v>0</v>
      </c>
      <c r="BC64" s="45"/>
      <c r="BD64" s="15"/>
      <c r="BE64" s="40">
        <f t="shared" ref="BE64:BG64" si="225">J64+N64+R64+V64+Z64+AD64+AH64+AL64+AP64+AT64+AX64+BB64</f>
        <v>16</v>
      </c>
      <c r="BF64" s="41">
        <f t="shared" si="225"/>
        <v>325.6</v>
      </c>
      <c r="BG64" s="34">
        <f t="shared" si="225"/>
        <v>0</v>
      </c>
      <c r="BH64" s="35">
        <f t="shared" si="212"/>
        <v>-287</v>
      </c>
      <c r="BK64" s="2" t="b">
        <f>H64='2020'!BH64</f>
        <v>1</v>
      </c>
    </row>
    <row r="65" ht="14.25" customHeight="1" hidden="1" spans="1:63" x14ac:dyDescent="0.25">
      <c r="A65" s="176">
        <v>7</v>
      </c>
      <c r="B65" s="14"/>
      <c r="C65" s="2" t="s">
        <v>76</v>
      </c>
      <c r="D65" s="14" t="s">
        <v>47</v>
      </c>
      <c r="E65" s="2" t="s">
        <v>49</v>
      </c>
      <c r="F65" s="41">
        <v>500</v>
      </c>
      <c r="G65" s="35"/>
      <c r="H65" s="34">
        <f>'2020'!BH65</f>
        <v>0</v>
      </c>
      <c r="I65" s="13"/>
      <c r="J65" s="15"/>
      <c r="K65" s="15"/>
      <c r="L65" s="28"/>
      <c r="M65" s="13"/>
      <c r="N65" s="15"/>
      <c r="O65" s="15"/>
      <c r="P65" s="15"/>
      <c r="Q65" s="13"/>
      <c r="R65" s="15"/>
      <c r="S65" s="15"/>
      <c r="T65" s="28"/>
      <c r="U65" s="13"/>
      <c r="V65" s="15"/>
      <c r="W65" s="15"/>
      <c r="X65" s="15"/>
      <c r="Y65" s="186"/>
      <c r="Z65" s="2"/>
      <c r="AA65" s="15"/>
      <c r="AB65" s="28"/>
      <c r="AC65" s="15"/>
      <c r="AD65" s="15"/>
      <c r="AE65" s="34"/>
      <c r="AF65" s="39"/>
      <c r="AG65" s="15"/>
      <c r="AH65" s="2"/>
      <c r="AI65" s="45"/>
      <c r="AJ65" s="15"/>
      <c r="AK65" s="13"/>
      <c r="AL65" s="15"/>
      <c r="AM65" s="45"/>
      <c r="AN65" s="15"/>
      <c r="AO65" s="13"/>
      <c r="AP65" s="15"/>
      <c r="AQ65" s="45"/>
      <c r="AR65" s="15"/>
      <c r="AS65" s="13"/>
      <c r="AT65" s="15"/>
      <c r="AU65" s="45"/>
      <c r="AV65" s="15"/>
      <c r="AW65" s="13"/>
      <c r="AX65" s="15"/>
      <c r="AY65" s="45"/>
      <c r="AZ65" s="28"/>
      <c r="BA65" s="13"/>
      <c r="BB65" s="15"/>
      <c r="BC65" s="45"/>
      <c r="BD65" s="15"/>
      <c r="BE65" s="14"/>
      <c r="BF65" s="41">
        <f t="shared" ref="BF65:BG65" si="226">K65+O65+S65+W65+AA65+AE65+AI65+AM65+AQ65+AU65+AY65+BC65</f>
        <v>0</v>
      </c>
      <c r="BG65" s="34">
        <f t="shared" si="226"/>
        <v>0</v>
      </c>
      <c r="BH65" s="35">
        <f t="shared" si="212"/>
        <v>0</v>
      </c>
      <c r="BK65" s="2" t="b">
        <f>H65='2020'!BH65</f>
        <v>1</v>
      </c>
    </row>
    <row r="66" ht="14.25" customHeight="1" hidden="1" spans="1:63" x14ac:dyDescent="0.25">
      <c r="A66" s="176">
        <v>7</v>
      </c>
      <c r="B66" s="14"/>
      <c r="C66" s="15" t="s">
        <v>77</v>
      </c>
      <c r="D66" s="14" t="s">
        <v>50</v>
      </c>
      <c r="E66" s="2" t="s">
        <v>49</v>
      </c>
      <c r="F66" s="41">
        <v>1100</v>
      </c>
      <c r="G66" s="35"/>
      <c r="H66" s="34">
        <f>'2020'!BH66</f>
        <v>0</v>
      </c>
      <c r="I66" s="13"/>
      <c r="J66" s="15"/>
      <c r="K66" s="15"/>
      <c r="L66" s="28"/>
      <c r="M66" s="13"/>
      <c r="N66" s="15"/>
      <c r="O66" s="15"/>
      <c r="P66" s="15"/>
      <c r="Q66" s="13"/>
      <c r="R66" s="15"/>
      <c r="S66" s="15"/>
      <c r="T66" s="28"/>
      <c r="U66" s="13"/>
      <c r="V66" s="15"/>
      <c r="W66" s="15"/>
      <c r="X66" s="15"/>
      <c r="Y66" s="186"/>
      <c r="Z66" s="2"/>
      <c r="AA66" s="15"/>
      <c r="AB66" s="28"/>
      <c r="AC66" s="15"/>
      <c r="AD66" s="15"/>
      <c r="AE66" s="34">
        <v>5335</v>
      </c>
      <c r="AF66" s="248">
        <v>5200</v>
      </c>
      <c r="AG66" s="15"/>
      <c r="AH66" s="2"/>
      <c r="AI66" s="45"/>
      <c r="AJ66" s="180"/>
      <c r="AK66" s="13"/>
      <c r="AL66" s="15"/>
      <c r="AM66" s="45"/>
      <c r="AN66" s="15"/>
      <c r="AO66" s="13"/>
      <c r="AP66" s="15"/>
      <c r="AQ66" s="45"/>
      <c r="AR66" s="15">
        <v>1487.85</v>
      </c>
      <c r="AS66" s="13"/>
      <c r="AT66" s="15"/>
      <c r="AU66" s="45"/>
      <c r="AV66" s="15"/>
      <c r="AW66" s="13"/>
      <c r="AX66" s="15"/>
      <c r="AY66" s="45"/>
      <c r="AZ66" s="28"/>
      <c r="BA66" s="13"/>
      <c r="BB66" s="15"/>
      <c r="BC66" s="45"/>
      <c r="BD66" s="15"/>
      <c r="BE66" s="14"/>
      <c r="BF66" s="41">
        <f t="shared" ref="BF66:BG66" si="227">K66+O66+S66+W66+AA66+AE66+AI66+AM66+AQ66+AU66+AY66+BC66</f>
        <v>5335</v>
      </c>
      <c r="BG66" s="34">
        <f t="shared" si="227"/>
        <v>6687.85</v>
      </c>
      <c r="BH66" s="35">
        <f t="shared" si="212"/>
        <v>-1352.85</v>
      </c>
      <c r="BK66" s="2" t="b">
        <f>H66='2020'!BH66</f>
        <v>1</v>
      </c>
    </row>
    <row r="67" ht="14.25" customHeight="1" hidden="1" spans="1:63" x14ac:dyDescent="0.25">
      <c r="A67" s="176">
        <v>7</v>
      </c>
      <c r="B67" s="14"/>
      <c r="D67" s="14" t="s">
        <v>51</v>
      </c>
      <c r="E67" s="2" t="s">
        <v>39</v>
      </c>
      <c r="F67" s="41">
        <v>500</v>
      </c>
      <c r="G67" s="35"/>
      <c r="H67" s="34">
        <f>'2020'!BH67</f>
        <v>500</v>
      </c>
      <c r="I67" s="13"/>
      <c r="J67" s="15"/>
      <c r="K67" s="15"/>
      <c r="L67" s="28"/>
      <c r="M67" s="13"/>
      <c r="N67" s="15"/>
      <c r="O67" s="15"/>
      <c r="P67" s="15"/>
      <c r="Q67" s="13"/>
      <c r="R67" s="15"/>
      <c r="S67" s="15"/>
      <c r="T67" s="28"/>
      <c r="U67" s="13"/>
      <c r="V67" s="15"/>
      <c r="W67" s="15"/>
      <c r="X67" s="15"/>
      <c r="Y67" s="186"/>
      <c r="Z67" s="2"/>
      <c r="AA67" s="15"/>
      <c r="AB67" s="28"/>
      <c r="AC67" s="15"/>
      <c r="AD67" s="15"/>
      <c r="AE67" s="180">
        <f>$F$13</f>
      </c>
      <c r="AF67" s="248">
        <v>500</v>
      </c>
      <c r="AG67" s="15"/>
      <c r="AH67" s="2"/>
      <c r="AI67" s="45"/>
      <c r="AJ67" s="15"/>
      <c r="AK67" s="13"/>
      <c r="AL67" s="15"/>
      <c r="AM67" s="45"/>
      <c r="AN67" s="15"/>
      <c r="AO67" s="13"/>
      <c r="AP67" s="15"/>
      <c r="AQ67" s="180"/>
      <c r="AR67" s="15"/>
      <c r="AS67" s="13"/>
      <c r="AT67" s="15"/>
      <c r="AU67" s="45"/>
      <c r="AV67" s="15"/>
      <c r="AW67" s="13"/>
      <c r="AX67" s="15"/>
      <c r="AY67" s="45"/>
      <c r="AZ67" s="28"/>
      <c r="BA67" s="13"/>
      <c r="BB67" s="15"/>
      <c r="BC67" s="45"/>
      <c r="BD67" s="15"/>
      <c r="BE67" s="14"/>
      <c r="BF67" s="41">
        <f t="shared" ref="BF67:BG67" si="228">K67+O67+S67+W67+AA67+AE67+AI67+AM67+AQ67+AU67+AY67+BC67</f>
        <v>0</v>
      </c>
      <c r="BG67" s="34">
        <f t="shared" si="228"/>
        <v>500</v>
      </c>
      <c r="BH67" s="35">
        <f t="shared" si="212"/>
        <v>0</v>
      </c>
      <c r="BK67" s="2" t="b">
        <f>H67='2020'!BH67</f>
        <v>1</v>
      </c>
    </row>
    <row r="68" ht="14.25" customHeight="1" hidden="1" spans="1:63" x14ac:dyDescent="0.25">
      <c r="A68" s="176">
        <v>7</v>
      </c>
      <c r="B68" s="14"/>
      <c r="D68" s="14" t="s">
        <v>51</v>
      </c>
      <c r="E68" s="2" t="s">
        <v>49</v>
      </c>
      <c r="F68" s="41">
        <v>500</v>
      </c>
      <c r="G68" s="35"/>
      <c r="H68" s="34">
        <f>'2020'!BH68</f>
        <v>2425</v>
      </c>
      <c r="I68" s="13"/>
      <c r="J68" s="15"/>
      <c r="K68" s="15"/>
      <c r="L68" s="28"/>
      <c r="M68" s="13"/>
      <c r="N68" s="15"/>
      <c r="O68" s="15"/>
      <c r="P68" s="15"/>
      <c r="Q68" s="13"/>
      <c r="R68" s="15"/>
      <c r="S68" s="15"/>
      <c r="T68" s="28"/>
      <c r="U68" s="13"/>
      <c r="V68" s="15"/>
      <c r="W68" s="15"/>
      <c r="X68" s="15"/>
      <c r="Y68" s="186"/>
      <c r="Z68" s="2"/>
      <c r="AA68" s="15"/>
      <c r="AB68" s="28"/>
      <c r="AC68" s="15"/>
      <c r="AD68" s="15"/>
      <c r="AE68" s="34"/>
      <c r="AF68" s="187"/>
      <c r="AG68" s="15"/>
      <c r="AH68" s="2"/>
      <c r="AI68" s="45"/>
      <c r="AJ68" s="15"/>
      <c r="AK68" s="13"/>
      <c r="AL68" s="15"/>
      <c r="AM68" s="45"/>
      <c r="AN68" s="15"/>
      <c r="AO68" s="13"/>
      <c r="AP68" s="15"/>
      <c r="AQ68" s="180">
        <f>B63*$F$14</f>
        <v>0</v>
      </c>
      <c r="AR68" s="15">
        <v>2425</v>
      </c>
      <c r="AS68" s="13"/>
      <c r="AT68" s="15"/>
      <c r="AU68" s="45"/>
      <c r="AV68" s="15"/>
      <c r="AW68" s="13"/>
      <c r="AX68" s="15"/>
      <c r="AY68" s="45"/>
      <c r="AZ68" s="28"/>
      <c r="BA68" s="13"/>
      <c r="BB68" s="15"/>
      <c r="BC68" s="45"/>
      <c r="BD68" s="15"/>
      <c r="BE68" s="14"/>
      <c r="BF68" s="41">
        <f t="shared" ref="BF68:BG68" si="229">K68+O68+S68+W68+AA68+AE68+AI68+AM68+AQ68+AU68+AY68+BC68</f>
        <v>0</v>
      </c>
      <c r="BG68" s="34">
        <f t="shared" si="229"/>
        <v>2425</v>
      </c>
      <c r="BH68" s="35">
        <f t="shared" si="212"/>
        <v>0</v>
      </c>
      <c r="BK68" s="2" t="b">
        <f>H68='2020'!BH68</f>
        <v>1</v>
      </c>
    </row>
    <row r="69" ht="14.25" customHeight="1" hidden="1" spans="1:63" x14ac:dyDescent="0.25">
      <c r="A69" s="176">
        <v>7</v>
      </c>
      <c r="B69" s="14"/>
      <c r="D69" s="14" t="s">
        <v>52</v>
      </c>
      <c r="E69" s="2" t="s">
        <v>39</v>
      </c>
      <c r="F69" s="41">
        <v>500</v>
      </c>
      <c r="G69" s="35"/>
      <c r="H69" s="34">
        <f>'2020'!BH69</f>
        <v>0</v>
      </c>
      <c r="I69" s="13"/>
      <c r="J69" s="15"/>
      <c r="K69" s="15"/>
      <c r="L69" s="28"/>
      <c r="M69" s="13"/>
      <c r="N69" s="15"/>
      <c r="O69" s="15"/>
      <c r="P69" s="15"/>
      <c r="Q69" s="13"/>
      <c r="R69" s="15"/>
      <c r="S69" s="15"/>
      <c r="T69" s="28"/>
      <c r="U69" s="13"/>
      <c r="V69" s="15"/>
      <c r="W69" s="15"/>
      <c r="X69" s="15"/>
      <c r="Y69" s="186"/>
      <c r="Z69" s="2"/>
      <c r="AA69" s="34">
        <f>$F$15</f>
      </c>
      <c r="AB69" s="28"/>
      <c r="AC69" s="15"/>
      <c r="AD69" s="15"/>
      <c r="AE69" s="15"/>
      <c r="AF69" s="180"/>
      <c r="AG69" s="15"/>
      <c r="AH69" s="2"/>
      <c r="AI69" s="45"/>
      <c r="AJ69" s="39"/>
      <c r="AK69" s="13"/>
      <c r="AL69" s="15"/>
      <c r="AM69" s="45"/>
      <c r="AN69" s="15"/>
      <c r="AO69" s="13"/>
      <c r="AP69" s="15"/>
      <c r="AQ69" s="45"/>
      <c r="AR69" s="15"/>
      <c r="AS69" s="13"/>
      <c r="AT69" s="15"/>
      <c r="AU69" s="45"/>
      <c r="AV69" s="15"/>
      <c r="AW69" s="13"/>
      <c r="AX69" s="15"/>
      <c r="AY69" s="45"/>
      <c r="AZ69" s="28"/>
      <c r="BA69" s="13"/>
      <c r="BB69" s="15"/>
      <c r="BC69" s="45"/>
      <c r="BD69" s="15"/>
      <c r="BE69" s="14"/>
      <c r="BF69" s="41">
        <f t="shared" ref="BF69:BG69" si="230">K69+O69+S69+W69+AA69+AE69+AI69+AM69+AQ69+AU69+AY69+BC69</f>
        <v>0</v>
      </c>
      <c r="BG69" s="34">
        <f t="shared" si="230"/>
        <v>0</v>
      </c>
      <c r="BH69" s="35">
        <f t="shared" si="212"/>
        <v>0</v>
      </c>
      <c r="BK69" s="2" t="b">
        <f>H69='2020'!BH69</f>
        <v>1</v>
      </c>
    </row>
    <row r="70" ht="14.25" customHeight="1" hidden="1" spans="1:63" x14ac:dyDescent="0.25">
      <c r="A70" s="177">
        <v>7</v>
      </c>
      <c r="B70" s="21"/>
      <c r="C70" s="22" t="s">
        <v>53</v>
      </c>
      <c r="D70" s="21"/>
      <c r="E70" s="22"/>
      <c r="F70" s="20"/>
      <c r="G70" s="23"/>
      <c r="H70" s="51">
        <f>SUM(H62:H69)</f>
        <v>2253.85</v>
      </c>
      <c r="I70" s="52"/>
      <c r="J70" s="53"/>
      <c r="K70" s="51">
        <f t="shared" ref="K70:L70" si="231">SUM(K62:K69)</f>
        <v>0</v>
      </c>
      <c r="L70" s="68">
        <f t="shared" si="231"/>
        <v>0</v>
      </c>
      <c r="M70" s="52"/>
      <c r="N70" s="53"/>
      <c r="O70" s="51">
        <f t="shared" ref="O70:P70" si="232">SUM(O62:O69)</f>
        <v>0</v>
      </c>
      <c r="P70" s="68">
        <f t="shared" si="232"/>
        <v>0</v>
      </c>
      <c r="Q70" s="52"/>
      <c r="R70" s="53"/>
      <c r="S70" s="51">
        <f t="shared" ref="S70:T70" si="233">SUM(S62:S69)</f>
        <v>0</v>
      </c>
      <c r="T70" s="68">
        <f t="shared" si="233"/>
        <v>0</v>
      </c>
      <c r="U70" s="52"/>
      <c r="V70" s="53"/>
      <c r="W70" s="51">
        <f t="shared" ref="W70:X70" si="234">SUM(W62:W69)</f>
        <v>0</v>
      </c>
      <c r="X70" s="68">
        <f t="shared" si="234"/>
        <v>0</v>
      </c>
      <c r="Y70" s="300"/>
      <c r="Z70" s="301"/>
      <c r="AA70" s="51">
        <f t="shared" ref="AA70:AB70" si="235">SUM(AA62:AA69)</f>
        <v>2.6</v>
      </c>
      <c r="AB70" s="68">
        <f t="shared" si="235"/>
        <v>0</v>
      </c>
      <c r="AC70" s="53"/>
      <c r="AD70" s="53"/>
      <c r="AE70" s="51">
        <f t="shared" ref="AE70:AF70" si="236">SUM(AE62:AE69)</f>
        <v>5366.2</v>
      </c>
      <c r="AF70" s="68">
        <f t="shared" si="236"/>
        <v>5900</v>
      </c>
      <c r="AG70" s="53"/>
      <c r="AH70" s="301"/>
      <c r="AI70" s="183">
        <f t="shared" ref="AI70:AJ70" si="237">SUM(AI62:AI69)</f>
        <v>67.5</v>
      </c>
      <c r="AJ70" s="51">
        <f t="shared" si="237"/>
        <v>0</v>
      </c>
      <c r="AK70" s="52"/>
      <c r="AL70" s="53"/>
      <c r="AM70" s="183">
        <f t="shared" ref="AM70:AN70" si="238">SUM(AM62:AM69)</f>
        <v>124.2</v>
      </c>
      <c r="AN70" s="51">
        <f t="shared" si="238"/>
        <v>0</v>
      </c>
      <c r="AO70" s="52"/>
      <c r="AP70" s="53"/>
      <c r="AQ70" s="183">
        <f t="shared" ref="AQ70:AR70" si="239">SUM(AQ62:AQ69)</f>
        <v>395.8</v>
      </c>
      <c r="AR70" s="51">
        <f t="shared" si="239"/>
        <v>3950</v>
      </c>
      <c r="AS70" s="52"/>
      <c r="AT70" s="53"/>
      <c r="AU70" s="183">
        <f t="shared" ref="AU70:AV70" si="240">SUM(AU62:AU69)</f>
        <v>10.8</v>
      </c>
      <c r="AV70" s="68">
        <f t="shared" si="240"/>
        <v>0</v>
      </c>
      <c r="AW70" s="52"/>
      <c r="AX70" s="53"/>
      <c r="AY70" s="183">
        <f t="shared" ref="AY70:AZ70" si="241">SUM(AY62:AY69)</f>
        <v>0</v>
      </c>
      <c r="AZ70" s="68">
        <f t="shared" si="241"/>
        <v>0</v>
      </c>
      <c r="BA70" s="52"/>
      <c r="BB70" s="53"/>
      <c r="BC70" s="183">
        <f t="shared" ref="BC70:BD70" si="242">SUM(BC62:BC69)</f>
        <v>0</v>
      </c>
      <c r="BD70" s="68">
        <f t="shared" si="242"/>
        <v>0</v>
      </c>
      <c r="BE70" s="69"/>
      <c r="BF70" s="70">
        <f t="shared" ref="BF70:BH70" si="243">SUM(BF62:BF69)</f>
        <v>5967.1</v>
      </c>
      <c r="BG70" s="71">
        <f t="shared" si="243"/>
        <v>9850</v>
      </c>
      <c r="BH70" s="72">
        <f t="shared" si="243"/>
        <v>-1629.05</v>
      </c>
      <c r="BI70" s="34">
        <f>H70+BF70-BG70</f>
        <v>-1629.05</v>
      </c>
      <c r="BJ70" s="34">
        <f>BH70-BI70</f>
        <v>0</v>
      </c>
      <c r="BK70" s="2" t="b">
        <f>H70='2020'!BH70</f>
        <v>1</v>
      </c>
    </row>
    <row r="71" ht="14.25" customHeight="1" hidden="1" spans="1:63" x14ac:dyDescent="0.25">
      <c r="A71" s="2">
        <v>8</v>
      </c>
      <c r="B71" s="14"/>
      <c r="D71" s="14" t="s">
        <v>379</v>
      </c>
      <c r="F71" s="13"/>
      <c r="G71" s="28"/>
      <c r="H71" s="34">
        <f>'2020'!BH71</f>
        <v>0</v>
      </c>
      <c r="I71" s="13"/>
      <c r="J71" s="15"/>
      <c r="K71" s="15"/>
      <c r="L71" s="28"/>
      <c r="M71" s="13"/>
      <c r="N71" s="15"/>
      <c r="O71" s="15"/>
      <c r="P71" s="15"/>
      <c r="Q71" s="13"/>
      <c r="R71" s="15"/>
      <c r="S71" s="15"/>
      <c r="T71" s="28"/>
      <c r="U71" s="13"/>
      <c r="V71" s="15"/>
      <c r="W71" s="15"/>
      <c r="X71" s="15"/>
      <c r="Y71" s="186"/>
      <c r="Z71" s="2"/>
      <c r="AA71" s="15"/>
      <c r="AB71" s="28"/>
      <c r="AC71" s="15"/>
      <c r="AD71" s="15"/>
      <c r="AE71" s="15"/>
      <c r="AF71" s="15"/>
      <c r="AG71" s="15"/>
      <c r="AH71" s="2"/>
      <c r="AI71" s="45"/>
      <c r="AJ71" s="15"/>
      <c r="AK71" s="13"/>
      <c r="AL71" s="15"/>
      <c r="AM71" s="45"/>
      <c r="AN71" s="15"/>
      <c r="AO71" s="13"/>
      <c r="AP71" s="15"/>
      <c r="AQ71" s="45"/>
      <c r="AR71" s="15"/>
      <c r="AS71" s="13"/>
      <c r="AT71" s="15"/>
      <c r="AU71" s="45"/>
      <c r="AV71" s="15"/>
      <c r="AW71" s="13"/>
      <c r="AX71" s="15"/>
      <c r="AY71" s="45"/>
      <c r="AZ71" s="28"/>
      <c r="BA71" s="13"/>
      <c r="BB71" s="15"/>
      <c r="BC71" s="45"/>
      <c r="BD71" s="15"/>
      <c r="BE71" s="14"/>
      <c r="BF71" s="41">
        <f t="shared" ref="BF71:BG71" si="244">K71+O71+S71+W71+AA71+AE71+AI71+AM71+AQ71+AU71+AY71+BC71</f>
        <v>0</v>
      </c>
      <c r="BG71" s="34">
        <f t="shared" si="244"/>
        <v>0</v>
      </c>
      <c r="BH71" s="35">
        <f t="shared" ref="BH71:BH78" si="245">H71+BF71-BG71</f>
        <v>0</v>
      </c>
      <c r="BK71" s="2" t="b">
        <f>H71='2020'!BH71</f>
        <v>1</v>
      </c>
    </row>
    <row r="72" ht="14.25" customHeight="1" hidden="1" spans="1:63" x14ac:dyDescent="0.25">
      <c r="A72" s="2">
        <v>8</v>
      </c>
      <c r="B72" s="42">
        <v>4</v>
      </c>
      <c r="C72" s="2" t="s">
        <v>383</v>
      </c>
      <c r="D72" s="14" t="s">
        <v>44</v>
      </c>
      <c r="E72" s="2" t="s">
        <v>45</v>
      </c>
      <c r="F72" s="41">
        <v>2.5</v>
      </c>
      <c r="G72" s="35">
        <v>2.6</v>
      </c>
      <c r="H72" s="34">
        <f>'2020'!BH72</f>
        <v>-94.9</v>
      </c>
      <c r="I72" s="13">
        <v>509</v>
      </c>
      <c r="J72" s="15">
        <f>I72-'2020'!BA72</f>
        <v>0</v>
      </c>
      <c r="K72" s="34">
        <f>J72*$F$8</f>
        <v>0</v>
      </c>
      <c r="L72" s="35"/>
      <c r="M72" s="13">
        <v>509</v>
      </c>
      <c r="N72" s="15">
        <f t="shared" ref="N72:N73" si="246">M72-I72</f>
        <v>0</v>
      </c>
      <c r="O72" s="34">
        <f>N72*$F$8</f>
        <v>0</v>
      </c>
      <c r="P72" s="15"/>
      <c r="Q72" s="13">
        <v>509</v>
      </c>
      <c r="R72" s="15">
        <f t="shared" ref="R72:R73" si="247">Q72-M72</f>
        <v>0</v>
      </c>
      <c r="S72" s="34">
        <f>R72*$F$8</f>
        <v>0</v>
      </c>
      <c r="T72" s="28"/>
      <c r="U72" s="13">
        <v>509</v>
      </c>
      <c r="V72" s="15">
        <f t="shared" ref="V72:V73" si="248">U72-Q72</f>
        <v>0</v>
      </c>
      <c r="W72" s="34">
        <f>V72*$F$8</f>
        <v>0</v>
      </c>
      <c r="X72" s="34"/>
      <c r="Y72" s="186">
        <v>543</v>
      </c>
      <c r="Z72" s="2">
        <f t="shared" ref="Z72:Z73" si="249">Y72-U72</f>
        <v>34</v>
      </c>
      <c r="AA72" s="34">
        <f>Z72*$F$8</f>
        <v>88.4</v>
      </c>
      <c r="AB72" s="28"/>
      <c r="AC72" s="15">
        <v>602</v>
      </c>
      <c r="AD72" s="15">
        <f t="shared" ref="AD72:AD73" si="250">AC72-Y72</f>
        <v>59</v>
      </c>
      <c r="AE72" s="180">
        <f>AD72*$F$8</f>
        <v>153.4</v>
      </c>
      <c r="AF72" s="180"/>
      <c r="AG72" s="15">
        <v>654</v>
      </c>
      <c r="AH72" s="2">
        <f t="shared" ref="AH72:AH73" si="251">AG72-AC72</f>
        <v>52</v>
      </c>
      <c r="AI72" s="45">
        <f>AH72*$G$8</f>
        <v>140.4</v>
      </c>
      <c r="AJ72" s="306">
        <v>700</v>
      </c>
      <c r="AK72" s="13">
        <v>696</v>
      </c>
      <c r="AL72" s="15">
        <f t="shared" ref="AL72:AL73" si="252">AK72-AG72</f>
        <v>42</v>
      </c>
      <c r="AM72" s="45">
        <f>AL72*$G$8</f>
        <v>113.4</v>
      </c>
      <c r="AN72" s="15"/>
      <c r="AO72" s="13">
        <v>728</v>
      </c>
      <c r="AP72" s="15">
        <f t="shared" ref="AP72:AP73" si="253">AO72-AK72</f>
        <v>32</v>
      </c>
      <c r="AQ72" s="45">
        <f>AP72*$G$8</f>
        <v>86.4</v>
      </c>
      <c r="AR72" s="15"/>
      <c r="AS72" s="13">
        <v>731</v>
      </c>
      <c r="AT72" s="15">
        <f t="shared" ref="AT72:AT73" si="254">AS72-AO72</f>
        <v>3</v>
      </c>
      <c r="AU72" s="45">
        <f>AT72*$G$8</f>
        <v>8.1</v>
      </c>
      <c r="AV72" s="15"/>
      <c r="AW72" s="13">
        <v>731</v>
      </c>
      <c r="AX72" s="15">
        <f t="shared" ref="AX72:AX73" si="255">AW72-AS72</f>
        <v>0</v>
      </c>
      <c r="AY72" s="45">
        <f>AX72*$G$8</f>
        <v>0</v>
      </c>
      <c r="AZ72" s="28"/>
      <c r="BA72" s="13">
        <v>731</v>
      </c>
      <c r="BB72" s="15">
        <f t="shared" ref="BB72:BB73" si="256">BA72-AW72</f>
        <v>0</v>
      </c>
      <c r="BC72" s="45">
        <f>BB72*$G$8</f>
        <v>0</v>
      </c>
      <c r="BD72" s="15"/>
      <c r="BE72" s="40">
        <f t="shared" ref="BE72:BG72" si="257">J72+N72+R72+V72+Z72+AD72+AH72+AL72+AP72+AT72+AX72+BB72</f>
        <v>222</v>
      </c>
      <c r="BF72" s="41">
        <f t="shared" si="257"/>
        <v>590.1</v>
      </c>
      <c r="BG72" s="34">
        <f t="shared" si="257"/>
        <v>700</v>
      </c>
      <c r="BH72" s="35">
        <f t="shared" si="245"/>
        <v>-204.8</v>
      </c>
      <c r="BK72" s="2" t="b">
        <f>H72='2020'!BH72</f>
        <v>1</v>
      </c>
    </row>
    <row r="73" ht="14.25" customHeight="1" hidden="1" spans="1:63" x14ac:dyDescent="0.25">
      <c r="A73" s="2">
        <v>8</v>
      </c>
      <c r="B73" s="14"/>
      <c r="C73" s="2" t="s">
        <v>71</v>
      </c>
      <c r="D73" s="14" t="s">
        <v>47</v>
      </c>
      <c r="E73" s="2" t="s">
        <v>48</v>
      </c>
      <c r="F73" s="13">
        <v>18.56</v>
      </c>
      <c r="G73" s="35">
        <v>19.46</v>
      </c>
      <c r="H73" s="34">
        <f>'2020'!BH73</f>
        <v>-118</v>
      </c>
      <c r="I73" s="13">
        <v>32</v>
      </c>
      <c r="J73" s="15"/>
      <c r="K73" s="15"/>
      <c r="L73" s="28"/>
      <c r="M73" s="13">
        <v>32</v>
      </c>
      <c r="N73" s="15">
        <f t="shared" si="246"/>
        <v>0</v>
      </c>
      <c r="O73" s="15"/>
      <c r="P73" s="15"/>
      <c r="Q73" s="184">
        <v>32</v>
      </c>
      <c r="R73" s="15">
        <f t="shared" si="247"/>
        <v>0</v>
      </c>
      <c r="S73" s="15"/>
      <c r="T73" s="28"/>
      <c r="U73" s="184">
        <v>32</v>
      </c>
      <c r="V73" s="15">
        <f t="shared" si="248"/>
        <v>0</v>
      </c>
      <c r="W73" s="34">
        <f>V73*$F$10</f>
        <v>0</v>
      </c>
      <c r="X73" s="15"/>
      <c r="Y73" s="186">
        <v>33</v>
      </c>
      <c r="Z73" s="2">
        <f t="shared" si="249"/>
        <v>1</v>
      </c>
      <c r="AA73" s="34">
        <f>Z73*$F$10</f>
        <v>19.46</v>
      </c>
      <c r="AB73" s="35"/>
      <c r="AC73" s="15">
        <v>33</v>
      </c>
      <c r="AD73" s="15">
        <f t="shared" si="250"/>
        <v>0</v>
      </c>
      <c r="AE73" s="34">
        <f>AD73*$F$10</f>
        <v>0</v>
      </c>
      <c r="AF73" s="1"/>
      <c r="AG73" s="15">
        <v>46</v>
      </c>
      <c r="AH73" s="2">
        <f t="shared" si="251"/>
        <v>13</v>
      </c>
      <c r="AI73" s="45">
        <f>AH73*$G$10</f>
        <v>264.55</v>
      </c>
      <c r="AJ73" s="306">
        <v>400</v>
      </c>
      <c r="AK73" s="13">
        <v>46</v>
      </c>
      <c r="AL73" s="15">
        <f t="shared" si="252"/>
        <v>0</v>
      </c>
      <c r="AM73" s="45">
        <f>AL73*$G$10</f>
        <v>0</v>
      </c>
      <c r="AN73" s="15"/>
      <c r="AO73" s="13">
        <v>51</v>
      </c>
      <c r="AP73" s="15">
        <f t="shared" si="253"/>
        <v>5</v>
      </c>
      <c r="AQ73" s="45">
        <f>AP73*$G$10</f>
        <v>101.75</v>
      </c>
      <c r="AR73" s="15"/>
      <c r="AS73" s="13">
        <v>51</v>
      </c>
      <c r="AT73" s="15">
        <f t="shared" si="254"/>
        <v>0</v>
      </c>
      <c r="AU73" s="45">
        <f>AT73*$G$10</f>
        <v>0</v>
      </c>
      <c r="AV73" s="15"/>
      <c r="AW73" s="13">
        <v>51</v>
      </c>
      <c r="AX73" s="15">
        <f t="shared" si="255"/>
        <v>0</v>
      </c>
      <c r="AY73" s="45"/>
      <c r="AZ73" s="28"/>
      <c r="BA73" s="13">
        <v>51</v>
      </c>
      <c r="BB73" s="15">
        <f t="shared" si="256"/>
        <v>0</v>
      </c>
      <c r="BC73" s="45"/>
      <c r="BD73" s="15"/>
      <c r="BE73" s="40">
        <f t="shared" ref="BE73:BG73" si="258">J73+N73+R73+V73+Z73+AD73+AH73+AL73+AP73+AT73+AX73+BB73</f>
        <v>19</v>
      </c>
      <c r="BF73" s="41">
        <f t="shared" si="258"/>
        <v>385.76</v>
      </c>
      <c r="BG73" s="34">
        <f t="shared" si="258"/>
        <v>400</v>
      </c>
      <c r="BH73" s="35">
        <f t="shared" si="245"/>
        <v>-132.24</v>
      </c>
      <c r="BK73" s="2" t="b">
        <f>H73='2020'!BH73</f>
        <v>1</v>
      </c>
    </row>
    <row r="74" ht="14.25" customHeight="1" hidden="1" spans="1:63" x14ac:dyDescent="0.25">
      <c r="A74" s="2">
        <v>8</v>
      </c>
      <c r="B74" s="14"/>
      <c r="C74" s="2" t="s">
        <v>164</v>
      </c>
      <c r="D74" s="14" t="s">
        <v>47</v>
      </c>
      <c r="E74" s="2" t="s">
        <v>49</v>
      </c>
      <c r="F74" s="41">
        <v>500</v>
      </c>
      <c r="G74" s="35"/>
      <c r="H74" s="34">
        <f>'2020'!BH74</f>
        <v>0</v>
      </c>
      <c r="I74" s="13"/>
      <c r="J74" s="15"/>
      <c r="K74" s="15"/>
      <c r="L74" s="28"/>
      <c r="M74" s="13"/>
      <c r="N74" s="15"/>
      <c r="O74" s="15"/>
      <c r="P74" s="15"/>
      <c r="Q74" s="13"/>
      <c r="R74" s="15"/>
      <c r="S74" s="15"/>
      <c r="T74" s="28"/>
      <c r="U74" s="13"/>
      <c r="V74" s="15"/>
      <c r="W74" s="15"/>
      <c r="X74" s="15"/>
      <c r="Y74" s="186"/>
      <c r="Z74" s="2"/>
      <c r="AA74" s="15"/>
      <c r="AB74" s="28"/>
      <c r="AC74" s="15"/>
      <c r="AD74" s="15"/>
      <c r="AE74" s="34"/>
      <c r="AF74" s="1"/>
      <c r="AG74" s="15"/>
      <c r="AH74" s="2"/>
      <c r="AI74" s="45"/>
      <c r="AJ74" s="154"/>
      <c r="AK74" s="13"/>
      <c r="AL74" s="15"/>
      <c r="AM74" s="45"/>
      <c r="AN74" s="15"/>
      <c r="AO74" s="13"/>
      <c r="AP74" s="15"/>
      <c r="AQ74" s="45"/>
      <c r="AR74" s="15"/>
      <c r="AS74" s="13"/>
      <c r="AT74" s="15"/>
      <c r="AU74" s="45"/>
      <c r="AV74" s="15"/>
      <c r="AW74" s="13"/>
      <c r="AX74" s="15"/>
      <c r="AY74" s="45"/>
      <c r="AZ74" s="28"/>
      <c r="BA74" s="13"/>
      <c r="BB74" s="15"/>
      <c r="BC74" s="45"/>
      <c r="BD74" s="15"/>
      <c r="BE74" s="14"/>
      <c r="BF74" s="41">
        <f t="shared" ref="BF74:BG74" si="259">K74+O74+S74+W74+AA74+AE74+AI74+AM74+AQ74+AU74+AY74+BC74</f>
        <v>0</v>
      </c>
      <c r="BG74" s="34">
        <f t="shared" si="259"/>
        <v>0</v>
      </c>
      <c r="BH74" s="35">
        <f t="shared" si="245"/>
        <v>0</v>
      </c>
      <c r="BK74" s="2" t="b">
        <f>H74='2020'!BH74</f>
        <v>1</v>
      </c>
    </row>
    <row r="75" ht="14.25" customHeight="1" hidden="1" spans="1:63" x14ac:dyDescent="0.25">
      <c r="A75" s="2">
        <v>8</v>
      </c>
      <c r="B75" s="14"/>
      <c r="C75" s="15" t="s">
        <v>384</v>
      </c>
      <c r="D75" s="14" t="s">
        <v>50</v>
      </c>
      <c r="E75" s="2" t="s">
        <v>49</v>
      </c>
      <c r="F75" s="41">
        <v>1100</v>
      </c>
      <c r="G75" s="35"/>
      <c r="H75" s="34">
        <f>'2020'!BH75</f>
        <v>0</v>
      </c>
      <c r="I75" s="13"/>
      <c r="J75" s="15"/>
      <c r="K75" s="15"/>
      <c r="L75" s="28"/>
      <c r="M75" s="13"/>
      <c r="N75" s="15"/>
      <c r="O75" s="15"/>
      <c r="P75" s="15"/>
      <c r="Q75" s="13"/>
      <c r="R75" s="15"/>
      <c r="S75" s="15"/>
      <c r="T75" s="28"/>
      <c r="U75" s="13"/>
      <c r="V75" s="15"/>
      <c r="W75" s="15"/>
      <c r="X75" s="15"/>
      <c r="Y75" s="186"/>
      <c r="Z75" s="2"/>
      <c r="AA75" s="15"/>
      <c r="AB75" s="28"/>
      <c r="AC75" s="15"/>
      <c r="AD75" s="15"/>
      <c r="AE75" s="34">
        <f>B72*$F$12</f>
        <v>4400</v>
      </c>
      <c r="AF75" s="180"/>
      <c r="AG75" s="15"/>
      <c r="AH75" s="2"/>
      <c r="AI75" s="45"/>
      <c r="AJ75" s="306">
        <v>4400</v>
      </c>
      <c r="AK75" s="13"/>
      <c r="AL75" s="15"/>
      <c r="AM75" s="45"/>
      <c r="AN75" s="15"/>
      <c r="AO75" s="13"/>
      <c r="AP75" s="15"/>
      <c r="AQ75" s="45"/>
      <c r="AR75" s="15"/>
      <c r="AS75" s="13"/>
      <c r="AT75" s="15"/>
      <c r="AU75" s="45"/>
      <c r="AV75" s="15"/>
      <c r="AW75" s="13"/>
      <c r="AX75" s="15"/>
      <c r="AY75" s="45"/>
      <c r="AZ75" s="28"/>
      <c r="BA75" s="13"/>
      <c r="BB75" s="15"/>
      <c r="BC75" s="45"/>
      <c r="BD75" s="15"/>
      <c r="BE75" s="14"/>
      <c r="BF75" s="41">
        <f t="shared" ref="BF75:BG75" si="260">K75+O75+S75+W75+AA75+AE75+AI75+AM75+AQ75+AU75+AY75+BC75</f>
        <v>4400</v>
      </c>
      <c r="BG75" s="34">
        <f t="shared" si="260"/>
        <v>4400</v>
      </c>
      <c r="BH75" s="35">
        <f t="shared" si="245"/>
        <v>0</v>
      </c>
      <c r="BK75" s="2" t="b">
        <f>H75='2020'!BH75</f>
        <v>1</v>
      </c>
    </row>
    <row r="76" ht="14.25" customHeight="1" hidden="1" spans="1:63" x14ac:dyDescent="0.25">
      <c r="A76" s="2">
        <v>8</v>
      </c>
      <c r="B76" s="14"/>
      <c r="C76" s="2"/>
      <c r="D76" s="14" t="s">
        <v>51</v>
      </c>
      <c r="E76" s="2" t="s">
        <v>39</v>
      </c>
      <c r="F76" s="41">
        <v>500</v>
      </c>
      <c r="G76" s="35"/>
      <c r="H76" s="34">
        <f>'2020'!BH76</f>
        <v>500</v>
      </c>
      <c r="I76" s="13"/>
      <c r="J76" s="15"/>
      <c r="K76" s="15"/>
      <c r="L76" s="28"/>
      <c r="M76" s="13"/>
      <c r="N76" s="15"/>
      <c r="O76" s="15"/>
      <c r="P76" s="15"/>
      <c r="Q76" s="13"/>
      <c r="R76" s="15"/>
      <c r="S76" s="15"/>
      <c r="T76" s="28"/>
      <c r="U76" s="13"/>
      <c r="V76" s="15"/>
      <c r="W76" s="15"/>
      <c r="X76" s="15"/>
      <c r="Y76" s="186"/>
      <c r="Z76" s="2"/>
      <c r="AA76" s="15"/>
      <c r="AB76" s="28"/>
      <c r="AC76" s="15"/>
      <c r="AD76" s="15"/>
      <c r="AE76" s="180">
        <f>$F$13</f>
      </c>
      <c r="AF76" s="39"/>
      <c r="AG76" s="15"/>
      <c r="AH76" s="2"/>
      <c r="AI76" s="45"/>
      <c r="AJ76" s="306">
        <v>500</v>
      </c>
      <c r="AK76" s="13"/>
      <c r="AL76" s="15"/>
      <c r="AM76" s="45"/>
      <c r="AN76" s="15"/>
      <c r="AO76" s="13"/>
      <c r="AP76" s="15"/>
      <c r="AQ76" s="180"/>
      <c r="AR76" s="15"/>
      <c r="AS76" s="13"/>
      <c r="AT76" s="15"/>
      <c r="AU76" s="45"/>
      <c r="AV76" s="15"/>
      <c r="AW76" s="13"/>
      <c r="AX76" s="15"/>
      <c r="AY76" s="45"/>
      <c r="AZ76" s="28"/>
      <c r="BA76" s="13"/>
      <c r="BB76" s="15"/>
      <c r="BC76" s="45"/>
      <c r="BD76" s="15"/>
      <c r="BE76" s="14"/>
      <c r="BF76" s="41">
        <f t="shared" ref="BF76:BG76" si="261">K76+O76+S76+W76+AA76+AE76+AI76+AM76+AQ76+AU76+AY76+BC76</f>
        <v>0</v>
      </c>
      <c r="BG76" s="34">
        <f t="shared" si="261"/>
        <v>500</v>
      </c>
      <c r="BH76" s="35">
        <f t="shared" si="245"/>
        <v>0</v>
      </c>
      <c r="BK76" s="2" t="b">
        <f>H76='2020'!BH76</f>
        <v>1</v>
      </c>
    </row>
    <row r="77" ht="14.25" customHeight="1" hidden="1" spans="1:63" x14ac:dyDescent="0.25">
      <c r="A77" s="2">
        <v>8</v>
      </c>
      <c r="B77" s="14"/>
      <c r="C77" s="2"/>
      <c r="D77" s="14" t="s">
        <v>51</v>
      </c>
      <c r="E77" s="2" t="s">
        <v>49</v>
      </c>
      <c r="F77" s="41">
        <v>500</v>
      </c>
      <c r="G77" s="35"/>
      <c r="H77" s="34">
        <f>'2020'!BH77</f>
        <v>2000</v>
      </c>
      <c r="I77" s="13"/>
      <c r="J77" s="15"/>
      <c r="K77" s="15"/>
      <c r="L77" s="28"/>
      <c r="M77" s="13"/>
      <c r="N77" s="15"/>
      <c r="O77" s="15"/>
      <c r="P77" s="15"/>
      <c r="Q77" s="13"/>
      <c r="R77" s="15"/>
      <c r="S77" s="15"/>
      <c r="T77" s="28"/>
      <c r="U77" s="13"/>
      <c r="V77" s="15"/>
      <c r="W77" s="15"/>
      <c r="X77" s="15"/>
      <c r="Y77" s="186"/>
      <c r="Z77" s="2"/>
      <c r="AA77" s="15"/>
      <c r="AB77" s="28"/>
      <c r="AC77" s="15"/>
      <c r="AD77" s="15"/>
      <c r="AE77" s="34"/>
      <c r="AF77" s="39"/>
      <c r="AG77" s="15"/>
      <c r="AH77" s="2"/>
      <c r="AI77" s="45"/>
      <c r="AJ77" s="306">
        <v>2000</v>
      </c>
      <c r="AK77" s="13"/>
      <c r="AL77" s="15"/>
      <c r="AM77" s="45"/>
      <c r="AN77" s="15"/>
      <c r="AO77" s="13"/>
      <c r="AP77" s="15"/>
      <c r="AQ77" s="180">
        <f>B72*$F$14</f>
        <v>0</v>
      </c>
      <c r="AR77" s="15"/>
      <c r="AS77" s="13"/>
      <c r="AT77" s="15"/>
      <c r="AU77" s="45"/>
      <c r="AV77" s="15"/>
      <c r="AW77" s="13"/>
      <c r="AX77" s="15"/>
      <c r="AY77" s="45"/>
      <c r="AZ77" s="28"/>
      <c r="BA77" s="13"/>
      <c r="BB77" s="15"/>
      <c r="BC77" s="45"/>
      <c r="BD77" s="15"/>
      <c r="BE77" s="14"/>
      <c r="BF77" s="41">
        <f t="shared" ref="BF77:BG77" si="262">K77+O77+S77+W77+AA77+AE77+AI77+AM77+AQ77+AU77+AY77+BC77</f>
        <v>0</v>
      </c>
      <c r="BG77" s="34">
        <f t="shared" si="262"/>
        <v>2000</v>
      </c>
      <c r="BH77" s="35">
        <f t="shared" si="245"/>
        <v>0</v>
      </c>
      <c r="BK77" s="2" t="b">
        <f>H77='2020'!BH77</f>
        <v>1</v>
      </c>
    </row>
    <row r="78" ht="14.25" customHeight="1" hidden="1" spans="1:63" x14ac:dyDescent="0.25">
      <c r="A78" s="2">
        <v>8</v>
      </c>
      <c r="B78" s="14"/>
      <c r="C78" s="15"/>
      <c r="D78" s="14" t="s">
        <v>52</v>
      </c>
      <c r="E78" s="2" t="s">
        <v>39</v>
      </c>
      <c r="F78" s="41">
        <v>500</v>
      </c>
      <c r="G78" s="35"/>
      <c r="H78" s="34">
        <f>'2020'!BH78</f>
        <v>0</v>
      </c>
      <c r="I78" s="13"/>
      <c r="J78" s="15"/>
      <c r="K78" s="15"/>
      <c r="L78" s="28"/>
      <c r="M78" s="13"/>
      <c r="N78" s="15"/>
      <c r="O78" s="15"/>
      <c r="P78" s="15"/>
      <c r="Q78" s="13"/>
      <c r="R78" s="15"/>
      <c r="S78" s="15"/>
      <c r="T78" s="28"/>
      <c r="U78" s="13"/>
      <c r="V78" s="15"/>
      <c r="W78" s="15"/>
      <c r="X78" s="15"/>
      <c r="Y78" s="186"/>
      <c r="Z78" s="2"/>
      <c r="AA78" s="34">
        <f>$F$15</f>
      </c>
      <c r="AB78" s="28"/>
      <c r="AC78" s="15"/>
      <c r="AD78" s="15"/>
      <c r="AE78" s="15"/>
      <c r="AF78" s="180"/>
      <c r="AG78" s="15"/>
      <c r="AH78" s="2"/>
      <c r="AI78" s="45"/>
      <c r="AJ78" s="15"/>
      <c r="AK78" s="13"/>
      <c r="AL78" s="15"/>
      <c r="AM78" s="45"/>
      <c r="AN78" s="15"/>
      <c r="AO78" s="13"/>
      <c r="AP78" s="15"/>
      <c r="AQ78" s="45"/>
      <c r="AR78" s="15"/>
      <c r="AS78" s="13"/>
      <c r="AT78" s="15"/>
      <c r="AU78" s="45"/>
      <c r="AV78" s="15"/>
      <c r="AW78" s="13"/>
      <c r="AX78" s="15"/>
      <c r="AY78" s="45"/>
      <c r="AZ78" s="28"/>
      <c r="BA78" s="13"/>
      <c r="BB78" s="15"/>
      <c r="BC78" s="45"/>
      <c r="BD78" s="15"/>
      <c r="BE78" s="14"/>
      <c r="BF78" s="41">
        <f t="shared" ref="BF78:BG78" si="263">K78+O78+S78+W78+AA78+AE78+AI78+AM78+AQ78+AU78+AY78+BC78</f>
        <v>0</v>
      </c>
      <c r="BG78" s="34">
        <f t="shared" si="263"/>
        <v>0</v>
      </c>
      <c r="BH78" s="35">
        <f t="shared" si="245"/>
        <v>0</v>
      </c>
      <c r="BK78" s="2" t="b">
        <f>H78='2020'!BH78</f>
        <v>1</v>
      </c>
    </row>
    <row r="79" ht="14.25" customHeight="1" hidden="1" spans="1:63" x14ac:dyDescent="0.25">
      <c r="A79" s="2">
        <v>8</v>
      </c>
      <c r="B79" s="21"/>
      <c r="C79" s="22" t="s">
        <v>53</v>
      </c>
      <c r="D79" s="21"/>
      <c r="E79" s="22"/>
      <c r="F79" s="20"/>
      <c r="G79" s="23"/>
      <c r="H79" s="51">
        <f>SUM(H71:H78)</f>
        <v>2287.1</v>
      </c>
      <c r="I79" s="52"/>
      <c r="J79" s="53"/>
      <c r="K79" s="51">
        <f t="shared" ref="K79:L79" si="264">SUM(K71:K78)</f>
        <v>0</v>
      </c>
      <c r="L79" s="68">
        <f t="shared" si="264"/>
        <v>0</v>
      </c>
      <c r="M79" s="52"/>
      <c r="N79" s="53"/>
      <c r="O79" s="51">
        <f t="shared" ref="O79:P79" si="265">SUM(O71:O78)</f>
        <v>0</v>
      </c>
      <c r="P79" s="68">
        <f t="shared" si="265"/>
        <v>0</v>
      </c>
      <c r="Q79" s="52"/>
      <c r="R79" s="53"/>
      <c r="S79" s="51">
        <f t="shared" ref="S79:T79" si="266">SUM(S71:S78)</f>
        <v>0</v>
      </c>
      <c r="T79" s="68">
        <f t="shared" si="266"/>
        <v>0</v>
      </c>
      <c r="U79" s="52"/>
      <c r="V79" s="53"/>
      <c r="W79" s="51">
        <f t="shared" ref="W79:X79" si="267">SUM(W71:W78)</f>
        <v>0</v>
      </c>
      <c r="X79" s="68">
        <f t="shared" si="267"/>
        <v>0</v>
      </c>
      <c r="Y79" s="300"/>
      <c r="Z79" s="301"/>
      <c r="AA79" s="51">
        <f t="shared" ref="AA79:AB79" si="268">SUM(AA71:AA78)</f>
        <v>107.86</v>
      </c>
      <c r="AB79" s="68">
        <f t="shared" si="268"/>
        <v>0</v>
      </c>
      <c r="AC79" s="53"/>
      <c r="AD79" s="53"/>
      <c r="AE79" s="51">
        <f t="shared" ref="AE79:AF79" si="269">SUM(AE71:AE78)</f>
        <v>4553.4</v>
      </c>
      <c r="AF79" s="68">
        <f t="shared" si="269"/>
        <v>0</v>
      </c>
      <c r="AG79" s="53"/>
      <c r="AH79" s="301"/>
      <c r="AI79" s="183">
        <f t="shared" ref="AI79:AJ79" si="270">SUM(AI71:AI78)</f>
        <v>404.95</v>
      </c>
      <c r="AJ79" s="51">
        <f t="shared" si="270"/>
        <v>8000</v>
      </c>
      <c r="AK79" s="52"/>
      <c r="AL79" s="53"/>
      <c r="AM79" s="183">
        <f t="shared" ref="AM79:AN79" si="271">SUM(AM71:AM78)</f>
        <v>113.4</v>
      </c>
      <c r="AN79" s="51">
        <f t="shared" si="271"/>
        <v>0</v>
      </c>
      <c r="AO79" s="52"/>
      <c r="AP79" s="53"/>
      <c r="AQ79" s="183">
        <f t="shared" ref="AQ79:AR79" si="272">SUM(AQ71:AQ78)</f>
        <v>188.15</v>
      </c>
      <c r="AR79" s="51">
        <f t="shared" si="272"/>
        <v>0</v>
      </c>
      <c r="AS79" s="52"/>
      <c r="AT79" s="53"/>
      <c r="AU79" s="183">
        <f t="shared" ref="AU79:AV79" si="273">SUM(AU71:AU78)</f>
        <v>8.1</v>
      </c>
      <c r="AV79" s="68">
        <f t="shared" si="273"/>
        <v>0</v>
      </c>
      <c r="AW79" s="52"/>
      <c r="AX79" s="53"/>
      <c r="AY79" s="183">
        <f t="shared" ref="AY79:AZ79" si="274">SUM(AY71:AY78)</f>
        <v>0</v>
      </c>
      <c r="AZ79" s="68">
        <f t="shared" si="274"/>
        <v>0</v>
      </c>
      <c r="BA79" s="52"/>
      <c r="BB79" s="53"/>
      <c r="BC79" s="183">
        <f t="shared" ref="BC79:BD79" si="275">SUM(BC71:BC78)</f>
        <v>0</v>
      </c>
      <c r="BD79" s="68">
        <f t="shared" si="275"/>
        <v>0</v>
      </c>
      <c r="BE79" s="69"/>
      <c r="BF79" s="70">
        <f t="shared" ref="BF79:BH79" si="276">SUM(BF71:BF78)</f>
        <v>5375.86</v>
      </c>
      <c r="BG79" s="71">
        <f t="shared" si="276"/>
        <v>8000</v>
      </c>
      <c r="BH79" s="72">
        <f t="shared" si="276"/>
        <v>-337.04</v>
      </c>
      <c r="BI79" s="34">
        <f>H79+BF79-BG79</f>
        <v>-337.04</v>
      </c>
      <c r="BJ79" s="34">
        <f>BH79-BI79</f>
        <v>0</v>
      </c>
      <c r="BK79" s="2" t="b">
        <f>H79='2020'!BH79</f>
        <v>1</v>
      </c>
    </row>
    <row r="80" ht="14.25" customHeight="1" hidden="1" spans="1:63" x14ac:dyDescent="0.25">
      <c r="A80" s="188">
        <v>9</v>
      </c>
      <c r="B80" s="189"/>
      <c r="C80" s="189"/>
      <c r="D80" s="189" t="s">
        <v>379</v>
      </c>
      <c r="E80" s="189"/>
      <c r="F80" s="13"/>
      <c r="G80" s="28"/>
      <c r="H80" s="190">
        <f>'2020'!BH80</f>
        <v>0</v>
      </c>
      <c r="I80" s="13"/>
      <c r="J80" s="192"/>
      <c r="K80" s="192"/>
      <c r="L80" s="193"/>
      <c r="M80" s="13"/>
      <c r="N80" s="308"/>
      <c r="O80" s="192"/>
      <c r="P80" s="193"/>
      <c r="Q80" s="309"/>
      <c r="R80" s="308"/>
      <c r="S80" s="194"/>
      <c r="T80" s="193"/>
      <c r="U80" s="309"/>
      <c r="V80" s="308"/>
      <c r="W80" s="194"/>
      <c r="X80" s="193"/>
      <c r="Y80" s="310"/>
      <c r="Z80" s="311"/>
      <c r="AA80" s="194"/>
      <c r="AB80" s="193"/>
      <c r="AC80" s="309"/>
      <c r="AD80" s="308"/>
      <c r="AE80" s="194"/>
      <c r="AF80" s="193"/>
      <c r="AG80" s="309"/>
      <c r="AH80" s="2"/>
      <c r="AI80" s="45"/>
      <c r="AJ80" s="15"/>
      <c r="AK80" s="13"/>
      <c r="AL80" s="15"/>
      <c r="AM80" s="45"/>
      <c r="AN80" s="15"/>
      <c r="AO80" s="13"/>
      <c r="AP80" s="15"/>
      <c r="AQ80" s="45"/>
      <c r="AR80" s="15"/>
      <c r="AS80" s="13"/>
      <c r="AT80" s="15"/>
      <c r="AU80" s="45"/>
      <c r="AV80" s="28"/>
      <c r="AW80" s="13"/>
      <c r="AX80" s="15"/>
      <c r="AY80" s="45"/>
      <c r="AZ80" s="28"/>
      <c r="BA80" s="13"/>
      <c r="BB80" s="15"/>
      <c r="BC80" s="45"/>
      <c r="BD80" s="28"/>
      <c r="BE80" s="189"/>
      <c r="BF80" s="196">
        <f t="shared" ref="BF80:BG80" si="277">K80+O80+S80+W80+AA80+AE80+AI80+AM80+AQ80+AU80+AY80+BC80</f>
        <v>0</v>
      </c>
      <c r="BG80" s="197">
        <f t="shared" si="277"/>
        <v>0</v>
      </c>
      <c r="BH80" s="198">
        <f t="shared" ref="BH80:BH87" si="278">H80+BF80-BG80</f>
        <v>0</v>
      </c>
      <c r="BI80" s="195"/>
      <c r="BJ80" s="195"/>
      <c r="BK80" s="195" t="b">
        <f>H80='2020'!BH80</f>
        <v>1</v>
      </c>
    </row>
    <row r="81" ht="14.25" customHeight="1" hidden="1" spans="1:63" x14ac:dyDescent="0.25">
      <c r="A81" s="199">
        <v>9</v>
      </c>
      <c r="B81" s="200">
        <v>4.03</v>
      </c>
      <c r="C81" s="200" t="s">
        <v>82</v>
      </c>
      <c r="D81" s="200" t="s">
        <v>44</v>
      </c>
      <c r="E81" s="200" t="s">
        <v>45</v>
      </c>
      <c r="F81" s="41">
        <v>2.5</v>
      </c>
      <c r="G81" s="35">
        <v>2.6</v>
      </c>
      <c r="H81" s="201">
        <f>'2020'!BH81</f>
        <v>-285.03</v>
      </c>
      <c r="I81" s="13">
        <v>46</v>
      </c>
      <c r="J81" s="15">
        <f>I81-'2020'!BA81</f>
        <v>0</v>
      </c>
      <c r="K81" s="204">
        <f>J81*$F$8</f>
        <v>0</v>
      </c>
      <c r="L81" s="205"/>
      <c r="M81" s="13">
        <v>46</v>
      </c>
      <c r="N81" s="312">
        <f t="shared" ref="N81:N82" si="279">M81-I81</f>
        <v>0</v>
      </c>
      <c r="O81" s="204">
        <f>N81*$F$8</f>
        <v>0</v>
      </c>
      <c r="P81" s="205"/>
      <c r="Q81" s="313">
        <v>46</v>
      </c>
      <c r="R81" s="15">
        <f t="shared" ref="R81:R82" si="280">Q81-M81</f>
        <v>0</v>
      </c>
      <c r="S81" s="204">
        <f>R81*$F$8</f>
        <v>0</v>
      </c>
      <c r="T81" s="205"/>
      <c r="U81" s="313">
        <v>46</v>
      </c>
      <c r="V81" s="15">
        <f t="shared" ref="V81:V82" si="281">U81-Q81</f>
        <v>0</v>
      </c>
      <c r="W81" s="204">
        <f>V81*$F$8</f>
        <v>0</v>
      </c>
      <c r="X81" s="205"/>
      <c r="Y81" s="314">
        <v>46</v>
      </c>
      <c r="Z81" s="315">
        <f t="shared" ref="Z81:Z82" si="282">Y81-U81</f>
        <v>0</v>
      </c>
      <c r="AA81" s="204">
        <f>Z81*$F$8</f>
        <v>0</v>
      </c>
      <c r="AB81" s="205"/>
      <c r="AC81" s="313">
        <v>46</v>
      </c>
      <c r="AD81" s="312">
        <f t="shared" ref="AD81:AD82" si="283">AC81-Y81</f>
        <v>0</v>
      </c>
      <c r="AE81" s="180">
        <f>AD81*$F$8</f>
        <v>0</v>
      </c>
      <c r="AF81" s="316"/>
      <c r="AG81" s="313">
        <v>46</v>
      </c>
      <c r="AH81" s="2">
        <f t="shared" ref="AH81:AH82" si="284">AG81-AC81</f>
        <v>0</v>
      </c>
      <c r="AI81" s="45">
        <f>AH81*$G$8</f>
        <v>0</v>
      </c>
      <c r="AJ81" s="317"/>
      <c r="AK81" s="13">
        <v>46</v>
      </c>
      <c r="AL81" s="15">
        <f t="shared" ref="AL81:AL82" si="285">AK81-AG81</f>
        <v>0</v>
      </c>
      <c r="AM81" s="45">
        <f>AL81*$G$8</f>
        <v>0</v>
      </c>
      <c r="AN81" s="2"/>
      <c r="AO81" s="13">
        <v>46</v>
      </c>
      <c r="AP81" s="15">
        <f t="shared" ref="AP81:AP82" si="286">AO81-AK81</f>
        <v>0</v>
      </c>
      <c r="AQ81" s="45">
        <f>AP81*$G$8</f>
        <v>0</v>
      </c>
      <c r="AR81" s="2"/>
      <c r="AS81" s="13">
        <v>46</v>
      </c>
      <c r="AT81" s="15">
        <f t="shared" ref="AT81:AT82" si="287">AS81-AO81</f>
        <v>0</v>
      </c>
      <c r="AU81" s="45">
        <f t="shared" ref="AU81:AU82" si="288">AT81*$G$8</f>
        <v>0</v>
      </c>
      <c r="AV81" s="208"/>
      <c r="AW81" s="13">
        <v>46</v>
      </c>
      <c r="AX81" s="15">
        <f t="shared" ref="AX81:AX82" si="289">AW81-AS81</f>
        <v>0</v>
      </c>
      <c r="AY81" s="45">
        <f>AX81*$G$8</f>
        <v>0</v>
      </c>
      <c r="AZ81" s="208"/>
      <c r="BA81" s="13">
        <v>46</v>
      </c>
      <c r="BB81" s="15">
        <f t="shared" ref="BB81:BB82" si="290">BA81-AW81</f>
        <v>0</v>
      </c>
      <c r="BC81" s="45">
        <f>BB81*$G$8</f>
        <v>0</v>
      </c>
      <c r="BD81" s="208"/>
      <c r="BE81" s="209">
        <f t="shared" ref="BE81:BG81" si="291">J81+N81+R81+V81+Z81+AD81+AH81+AL81+AP81+AT81+AX81+BB81</f>
        <v>0</v>
      </c>
      <c r="BF81" s="210">
        <f t="shared" si="291"/>
        <v>0</v>
      </c>
      <c r="BG81" s="204">
        <f t="shared" si="291"/>
        <v>0</v>
      </c>
      <c r="BH81" s="211">
        <f t="shared" si="278"/>
        <v>-285.03</v>
      </c>
      <c r="BI81" s="212"/>
      <c r="BJ81" s="203"/>
      <c r="BK81" s="203" t="b">
        <f>H81='2020'!BH81</f>
        <v>1</v>
      </c>
    </row>
    <row r="82" ht="14.25" customHeight="1" hidden="1" spans="1:63" x14ac:dyDescent="0.25">
      <c r="A82" s="199">
        <v>9</v>
      </c>
      <c r="B82" s="200"/>
      <c r="C82" s="200" t="s">
        <v>83</v>
      </c>
      <c r="D82" s="200" t="s">
        <v>47</v>
      </c>
      <c r="E82" s="200" t="s">
        <v>48</v>
      </c>
      <c r="F82" s="13">
        <v>18.56</v>
      </c>
      <c r="G82" s="35">
        <v>19.46</v>
      </c>
      <c r="H82" s="201">
        <f>'2020'!BH82</f>
        <v>235.86</v>
      </c>
      <c r="I82" s="13">
        <v>148</v>
      </c>
      <c r="J82" s="203"/>
      <c r="K82" s="203"/>
      <c r="L82" s="205"/>
      <c r="M82" s="13">
        <v>148</v>
      </c>
      <c r="N82" s="312">
        <f t="shared" si="279"/>
        <v>0</v>
      </c>
      <c r="O82" s="203"/>
      <c r="P82" s="205"/>
      <c r="Q82" s="318">
        <v>148</v>
      </c>
      <c r="R82" s="15">
        <f t="shared" si="280"/>
        <v>0</v>
      </c>
      <c r="S82" s="203"/>
      <c r="T82" s="205"/>
      <c r="U82" s="318">
        <v>148</v>
      </c>
      <c r="V82" s="15">
        <f t="shared" si="281"/>
        <v>0</v>
      </c>
      <c r="W82" s="204">
        <f>V82*$F$10</f>
        <v>0</v>
      </c>
      <c r="X82" s="205"/>
      <c r="Y82" s="314">
        <v>149</v>
      </c>
      <c r="Z82" s="315">
        <f t="shared" si="282"/>
        <v>1</v>
      </c>
      <c r="AA82" s="204">
        <f>Z82*$F$10</f>
        <v>19.46</v>
      </c>
      <c r="AB82" s="205"/>
      <c r="AC82" s="313">
        <v>158</v>
      </c>
      <c r="AD82" s="312">
        <f t="shared" si="283"/>
        <v>9</v>
      </c>
      <c r="AE82" s="204">
        <f>AD82*$F$10</f>
        <v>175.14</v>
      </c>
      <c r="AF82" s="316"/>
      <c r="AG82" s="313">
        <v>159</v>
      </c>
      <c r="AH82" s="315">
        <f t="shared" si="284"/>
        <v>1</v>
      </c>
      <c r="AI82" s="45">
        <f>AH82*$G$10</f>
        <v>20.35</v>
      </c>
      <c r="AJ82" s="304">
        <v>430.46</v>
      </c>
      <c r="AK82" s="13">
        <v>160</v>
      </c>
      <c r="AL82" s="15">
        <f t="shared" si="285"/>
        <v>1</v>
      </c>
      <c r="AM82" s="45">
        <f>AL82*$G$10</f>
        <v>20.35</v>
      </c>
      <c r="AN82" s="2"/>
      <c r="AO82" s="13">
        <v>161</v>
      </c>
      <c r="AP82" s="15">
        <f t="shared" si="286"/>
        <v>1</v>
      </c>
      <c r="AQ82" s="45">
        <f>AP82*$G$10</f>
        <v>20.35</v>
      </c>
      <c r="AR82" s="2"/>
      <c r="AS82" s="13">
        <v>161</v>
      </c>
      <c r="AT82" s="15">
        <f t="shared" si="287"/>
        <v>0</v>
      </c>
      <c r="AU82" s="45">
        <f t="shared" si="288"/>
        <v>0</v>
      </c>
      <c r="AV82" s="208"/>
      <c r="AW82" s="13">
        <v>161</v>
      </c>
      <c r="AX82" s="15">
        <f t="shared" si="289"/>
        <v>0</v>
      </c>
      <c r="AY82" s="45"/>
      <c r="AZ82" s="208"/>
      <c r="BA82" s="13">
        <v>161</v>
      </c>
      <c r="BB82" s="15">
        <f t="shared" si="290"/>
        <v>0</v>
      </c>
      <c r="BC82" s="45"/>
      <c r="BD82" s="208"/>
      <c r="BE82" s="209">
        <f t="shared" ref="BE82:BG82" si="292">J82+N82+R82+V82+Z82+AD82+AH82+AL82+AP82+AT82+AX82+BB82</f>
        <v>13</v>
      </c>
      <c r="BF82" s="210">
        <f t="shared" si="292"/>
        <v>255.65</v>
      </c>
      <c r="BG82" s="204">
        <f t="shared" si="292"/>
        <v>430.46</v>
      </c>
      <c r="BH82" s="211">
        <f t="shared" si="278"/>
        <v>61.05</v>
      </c>
      <c r="BI82" s="212"/>
      <c r="BJ82" s="203"/>
      <c r="BK82" s="203" t="b">
        <f>H82='2020'!BH82</f>
        <v>1</v>
      </c>
    </row>
    <row r="83" ht="14.25" customHeight="1" hidden="1" spans="1:63" x14ac:dyDescent="0.25">
      <c r="A83" s="199">
        <v>9</v>
      </c>
      <c r="B83" s="200"/>
      <c r="C83" s="200" t="s">
        <v>84</v>
      </c>
      <c r="D83" s="200" t="s">
        <v>47</v>
      </c>
      <c r="E83" s="200" t="s">
        <v>49</v>
      </c>
      <c r="F83" s="41">
        <v>500</v>
      </c>
      <c r="G83" s="35"/>
      <c r="H83" s="201">
        <f>'2020'!BH83</f>
        <v>0</v>
      </c>
      <c r="I83" s="13"/>
      <c r="J83" s="203"/>
      <c r="K83" s="203"/>
      <c r="L83" s="205"/>
      <c r="M83" s="13"/>
      <c r="N83" s="312"/>
      <c r="O83" s="203"/>
      <c r="P83" s="205"/>
      <c r="Q83" s="313"/>
      <c r="R83" s="312"/>
      <c r="S83" s="203"/>
      <c r="T83" s="205"/>
      <c r="U83" s="313"/>
      <c r="V83" s="312"/>
      <c r="W83" s="203"/>
      <c r="X83" s="205"/>
      <c r="Y83" s="314"/>
      <c r="Z83" s="315"/>
      <c r="AA83" s="203"/>
      <c r="AB83" s="205"/>
      <c r="AC83" s="313"/>
      <c r="AD83" s="312"/>
      <c r="AE83" s="204"/>
      <c r="AF83" s="214"/>
      <c r="AG83" s="313"/>
      <c r="AH83" s="2"/>
      <c r="AI83" s="45"/>
      <c r="AJ83" s="304"/>
      <c r="AK83" s="13"/>
      <c r="AL83" s="15"/>
      <c r="AM83" s="45"/>
      <c r="AN83" s="15"/>
      <c r="AO83" s="13"/>
      <c r="AP83" s="15"/>
      <c r="AQ83" s="45"/>
      <c r="AR83" s="15"/>
      <c r="AS83" s="13"/>
      <c r="AT83" s="15"/>
      <c r="AU83" s="45"/>
      <c r="AV83" s="28"/>
      <c r="AW83" s="13"/>
      <c r="AX83" s="15"/>
      <c r="AY83" s="45"/>
      <c r="AZ83" s="28"/>
      <c r="BA83" s="13"/>
      <c r="BB83" s="15"/>
      <c r="BC83" s="45"/>
      <c r="BD83" s="28"/>
      <c r="BE83" s="200"/>
      <c r="BF83" s="210">
        <f t="shared" ref="BF83:BG83" si="293">K83+O83+S83+W83+AA83+AE83+AI83+AM83+AQ83+AU83+AY83+BC83</f>
        <v>0</v>
      </c>
      <c r="BG83" s="204">
        <f t="shared" si="293"/>
        <v>0</v>
      </c>
      <c r="BH83" s="211">
        <f t="shared" si="278"/>
        <v>0</v>
      </c>
      <c r="BI83" s="212"/>
      <c r="BJ83" s="203"/>
      <c r="BK83" s="203" t="b">
        <f>H83='2020'!BH83</f>
        <v>1</v>
      </c>
    </row>
    <row r="84" ht="14.25" customHeight="1" hidden="1" spans="1:63" x14ac:dyDescent="0.25">
      <c r="A84" s="199">
        <v>9</v>
      </c>
      <c r="B84" s="200"/>
      <c r="C84" s="200" t="s">
        <v>85</v>
      </c>
      <c r="D84" s="200" t="s">
        <v>50</v>
      </c>
      <c r="E84" s="200" t="s">
        <v>49</v>
      </c>
      <c r="F84" s="41">
        <v>1100</v>
      </c>
      <c r="G84" s="35"/>
      <c r="H84" s="201">
        <f>'2020'!BH84</f>
        <v>-47</v>
      </c>
      <c r="I84" s="13"/>
      <c r="J84" s="203"/>
      <c r="K84" s="203"/>
      <c r="L84" s="205"/>
      <c r="M84" s="13"/>
      <c r="N84" s="312"/>
      <c r="O84" s="203"/>
      <c r="P84" s="205"/>
      <c r="Q84" s="313"/>
      <c r="R84" s="312"/>
      <c r="S84" s="203"/>
      <c r="T84" s="205"/>
      <c r="U84" s="313"/>
      <c r="V84" s="312"/>
      <c r="W84" s="203"/>
      <c r="X84" s="205"/>
      <c r="Y84" s="314"/>
      <c r="Z84" s="315"/>
      <c r="AA84" s="203"/>
      <c r="AB84" s="205"/>
      <c r="AC84" s="313"/>
      <c r="AD84" s="312"/>
      <c r="AE84" s="34">
        <f>B81*$F$12</f>
        <v>4433</v>
      </c>
      <c r="AF84" s="316"/>
      <c r="AG84" s="313"/>
      <c r="AH84" s="2"/>
      <c r="AI84" s="45"/>
      <c r="AJ84" s="187">
        <v>4386</v>
      </c>
      <c r="AK84" s="13"/>
      <c r="AL84" s="15"/>
      <c r="AM84" s="45"/>
      <c r="AN84" s="15"/>
      <c r="AO84" s="13"/>
      <c r="AP84" s="15"/>
      <c r="AQ84" s="45"/>
      <c r="AR84" s="15"/>
      <c r="AS84" s="13"/>
      <c r="AT84" s="15"/>
      <c r="AU84" s="45"/>
      <c r="AV84" s="28"/>
      <c r="AW84" s="13"/>
      <c r="AX84" s="15"/>
      <c r="AY84" s="45"/>
      <c r="AZ84" s="28"/>
      <c r="BA84" s="13"/>
      <c r="BB84" s="15"/>
      <c r="BC84" s="45"/>
      <c r="BD84" s="28"/>
      <c r="BE84" s="200"/>
      <c r="BF84" s="210">
        <f t="shared" ref="BF84:BG84" si="294">K84+O84+S84+W84+AA84+AE84+AI84+AM84+AQ84+AU84+AY84+BC84</f>
        <v>4433</v>
      </c>
      <c r="BG84" s="204">
        <f t="shared" si="294"/>
        <v>4386</v>
      </c>
      <c r="BH84" s="211">
        <f t="shared" si="278"/>
        <v>0</v>
      </c>
      <c r="BI84" s="212"/>
      <c r="BJ84" s="203"/>
      <c r="BK84" s="203" t="b">
        <f>H84='2020'!BH84</f>
        <v>1</v>
      </c>
    </row>
    <row r="85" ht="14.25" customHeight="1" hidden="1" spans="1:63" x14ac:dyDescent="0.25">
      <c r="A85" s="199">
        <v>9</v>
      </c>
      <c r="B85" s="200"/>
      <c r="C85" s="200" t="s">
        <v>490</v>
      </c>
      <c r="D85" s="200" t="s">
        <v>51</v>
      </c>
      <c r="E85" s="203" t="s">
        <v>39</v>
      </c>
      <c r="F85" s="41">
        <v>500</v>
      </c>
      <c r="G85" s="35"/>
      <c r="H85" s="201">
        <f>'2020'!BH85</f>
        <v>0</v>
      </c>
      <c r="I85" s="13"/>
      <c r="J85" s="203"/>
      <c r="K85" s="203"/>
      <c r="L85" s="205"/>
      <c r="M85" s="13"/>
      <c r="N85" s="312"/>
      <c r="O85" s="203"/>
      <c r="P85" s="205"/>
      <c r="Q85" s="313"/>
      <c r="R85" s="312"/>
      <c r="S85" s="203"/>
      <c r="T85" s="205"/>
      <c r="U85" s="313"/>
      <c r="V85" s="312"/>
      <c r="W85" s="203"/>
      <c r="X85" s="205"/>
      <c r="Y85" s="314"/>
      <c r="Z85" s="315"/>
      <c r="AA85" s="203"/>
      <c r="AB85" s="205"/>
      <c r="AC85" s="313"/>
      <c r="AD85" s="312"/>
      <c r="AE85" s="180">
        <f>$F$13</f>
      </c>
      <c r="AF85" s="39"/>
      <c r="AG85" s="313"/>
      <c r="AH85" s="2"/>
      <c r="AI85" s="45"/>
      <c r="AJ85" s="1"/>
      <c r="AK85" s="13"/>
      <c r="AL85" s="15"/>
      <c r="AM85" s="45"/>
      <c r="AN85" s="15"/>
      <c r="AO85" s="13"/>
      <c r="AP85" s="15"/>
      <c r="AQ85" s="180"/>
      <c r="AR85" s="15"/>
      <c r="AS85" s="13"/>
      <c r="AT85" s="15"/>
      <c r="AU85" s="45"/>
      <c r="AV85" s="28"/>
      <c r="AW85" s="13"/>
      <c r="AX85" s="15"/>
      <c r="AY85" s="45"/>
      <c r="AZ85" s="28"/>
      <c r="BA85" s="13"/>
      <c r="BB85" s="15"/>
      <c r="BC85" s="45"/>
      <c r="BD85" s="35"/>
      <c r="BE85" s="200"/>
      <c r="BF85" s="210">
        <f t="shared" ref="BF85:BG85" si="295">K85+O85+S85+W85+AA85+AE85+AI85+AM85+AQ85+AU85+AY85+BC85</f>
        <v>0</v>
      </c>
      <c r="BG85" s="204">
        <f t="shared" si="295"/>
        <v>0</v>
      </c>
      <c r="BH85" s="211">
        <f t="shared" si="278"/>
        <v>0</v>
      </c>
      <c r="BI85" s="212"/>
      <c r="BJ85" s="203"/>
      <c r="BK85" s="203" t="b">
        <f>H85='2020'!BH85</f>
        <v>1</v>
      </c>
    </row>
    <row r="86" ht="14.25" customHeight="1" hidden="1" spans="1:63" x14ac:dyDescent="0.25">
      <c r="A86" s="199">
        <v>9</v>
      </c>
      <c r="B86" s="200"/>
      <c r="C86" s="200"/>
      <c r="D86" s="200" t="s">
        <v>51</v>
      </c>
      <c r="E86" s="200" t="s">
        <v>49</v>
      </c>
      <c r="F86" s="41">
        <v>500</v>
      </c>
      <c r="G86" s="35"/>
      <c r="H86" s="201">
        <f>'2020'!BH86</f>
        <v>0</v>
      </c>
      <c r="I86" s="13"/>
      <c r="J86" s="203"/>
      <c r="K86" s="203"/>
      <c r="L86" s="205"/>
      <c r="M86" s="13"/>
      <c r="N86" s="312"/>
      <c r="O86" s="203"/>
      <c r="P86" s="205"/>
      <c r="Q86" s="313"/>
      <c r="R86" s="312"/>
      <c r="S86" s="203"/>
      <c r="T86" s="205"/>
      <c r="U86" s="313"/>
      <c r="V86" s="312"/>
      <c r="W86" s="203"/>
      <c r="X86" s="205"/>
      <c r="Y86" s="314"/>
      <c r="Z86" s="315"/>
      <c r="AA86" s="203"/>
      <c r="AB86" s="205"/>
      <c r="AC86" s="313"/>
      <c r="AD86" s="312"/>
      <c r="AE86" s="204"/>
      <c r="AF86" s="39"/>
      <c r="AG86" s="313"/>
      <c r="AH86" s="2"/>
      <c r="AI86" s="45"/>
      <c r="AJ86" s="15"/>
      <c r="AK86" s="13"/>
      <c r="AL86" s="15"/>
      <c r="AM86" s="45"/>
      <c r="AN86" s="15"/>
      <c r="AO86" s="13"/>
      <c r="AP86" s="15"/>
      <c r="AQ86" s="180">
        <f>B81*$F$14</f>
        <v>0</v>
      </c>
      <c r="AR86" s="15"/>
      <c r="AS86" s="13"/>
      <c r="AT86" s="15"/>
      <c r="AU86" s="45"/>
      <c r="AV86" s="28"/>
      <c r="AW86" s="13"/>
      <c r="AX86" s="15"/>
      <c r="AY86" s="45"/>
      <c r="AZ86" s="28"/>
      <c r="BA86" s="13"/>
      <c r="BB86" s="15"/>
      <c r="BC86" s="45"/>
      <c r="BD86" s="35"/>
      <c r="BE86" s="200"/>
      <c r="BF86" s="210">
        <f t="shared" ref="BF86:BG86" si="296">K86+O86+S86+W86+AA86+AE86+AI86+AM86+AQ86+AU86+AY86+BC86</f>
        <v>0</v>
      </c>
      <c r="BG86" s="204">
        <f t="shared" si="296"/>
        <v>0</v>
      </c>
      <c r="BH86" s="211">
        <f t="shared" si="278"/>
        <v>0</v>
      </c>
      <c r="BI86" s="212"/>
      <c r="BJ86" s="203"/>
      <c r="BK86" s="203" t="b">
        <f>H86='2020'!BH86</f>
        <v>1</v>
      </c>
    </row>
    <row r="87" ht="14.25" customHeight="1" hidden="1" spans="1:63" x14ac:dyDescent="0.25">
      <c r="A87" s="199">
        <v>9</v>
      </c>
      <c r="B87" s="200"/>
      <c r="C87" s="200"/>
      <c r="D87" s="200" t="s">
        <v>52</v>
      </c>
      <c r="E87" s="200" t="s">
        <v>39</v>
      </c>
      <c r="F87" s="41">
        <v>500</v>
      </c>
      <c r="G87" s="35"/>
      <c r="H87" s="201">
        <f>'2020'!BH87</f>
        <v>0</v>
      </c>
      <c r="I87" s="13"/>
      <c r="J87" s="203"/>
      <c r="K87" s="203"/>
      <c r="L87" s="205"/>
      <c r="M87" s="13"/>
      <c r="N87" s="312"/>
      <c r="O87" s="203"/>
      <c r="P87" s="205"/>
      <c r="Q87" s="313"/>
      <c r="R87" s="312"/>
      <c r="S87" s="203"/>
      <c r="T87" s="205"/>
      <c r="U87" s="313"/>
      <c r="V87" s="312"/>
      <c r="W87" s="203"/>
      <c r="X87" s="205"/>
      <c r="Y87" s="314"/>
      <c r="Z87" s="315"/>
      <c r="AA87" s="34">
        <f>$F$15</f>
      </c>
      <c r="AB87" s="211"/>
      <c r="AC87" s="313"/>
      <c r="AD87" s="312"/>
      <c r="AE87" s="203"/>
      <c r="AF87" s="316"/>
      <c r="AG87" s="313"/>
      <c r="AH87" s="2"/>
      <c r="AI87" s="45"/>
      <c r="AJ87" s="15"/>
      <c r="AK87" s="13"/>
      <c r="AL87" s="15"/>
      <c r="AM87" s="45"/>
      <c r="AN87" s="34"/>
      <c r="AO87" s="13"/>
      <c r="AP87" s="15"/>
      <c r="AQ87" s="45"/>
      <c r="AR87" s="34"/>
      <c r="AS87" s="13"/>
      <c r="AT87" s="15"/>
      <c r="AU87" s="45"/>
      <c r="AV87" s="35"/>
      <c r="AW87" s="13"/>
      <c r="AX87" s="15"/>
      <c r="AY87" s="45"/>
      <c r="AZ87" s="35"/>
      <c r="BA87" s="13"/>
      <c r="BB87" s="15"/>
      <c r="BC87" s="45"/>
      <c r="BD87" s="35"/>
      <c r="BE87" s="200"/>
      <c r="BF87" s="210">
        <f t="shared" ref="BF87:BG87" si="297">K87+O87+S87+W87+AA87+AE87+AI87+AM87+AQ87+AU87+AY87+BC87</f>
        <v>0</v>
      </c>
      <c r="BG87" s="204">
        <f t="shared" si="297"/>
        <v>0</v>
      </c>
      <c r="BH87" s="211">
        <f t="shared" si="278"/>
        <v>0</v>
      </c>
      <c r="BI87" s="212"/>
      <c r="BJ87" s="203"/>
      <c r="BK87" s="203" t="b">
        <f>H87='2020'!BH87</f>
        <v>1</v>
      </c>
    </row>
    <row r="88" ht="14.25" customHeight="1" hidden="1" spans="1:63" x14ac:dyDescent="0.25">
      <c r="A88" s="216">
        <v>9</v>
      </c>
      <c r="B88" s="217"/>
      <c r="C88" s="217" t="s">
        <v>53</v>
      </c>
      <c r="D88" s="217"/>
      <c r="E88" s="217"/>
      <c r="F88" s="20"/>
      <c r="G88" s="23"/>
      <c r="H88" s="218">
        <f>SUM(H80:H87)</f>
        <v>-96.17</v>
      </c>
      <c r="I88" s="52"/>
      <c r="J88" s="220"/>
      <c r="K88" s="221">
        <f t="shared" ref="K88:L88" si="298">SUM(K80:K87)</f>
        <v>0</v>
      </c>
      <c r="L88" s="222">
        <f t="shared" si="298"/>
        <v>0</v>
      </c>
      <c r="M88" s="52"/>
      <c r="N88" s="319"/>
      <c r="O88" s="221">
        <f t="shared" ref="O88:P88" si="299">SUM(O80:O87)</f>
        <v>0</v>
      </c>
      <c r="P88" s="222">
        <f t="shared" si="299"/>
        <v>0</v>
      </c>
      <c r="Q88" s="320"/>
      <c r="R88" s="319"/>
      <c r="S88" s="221">
        <f t="shared" ref="S88:T88" si="300">SUM(S80:S87)</f>
        <v>0</v>
      </c>
      <c r="T88" s="222">
        <f t="shared" si="300"/>
        <v>0</v>
      </c>
      <c r="U88" s="320"/>
      <c r="V88" s="319"/>
      <c r="W88" s="221">
        <f t="shared" ref="W88:X88" si="301">SUM(W80:W87)</f>
        <v>0</v>
      </c>
      <c r="X88" s="222">
        <f t="shared" si="301"/>
        <v>0</v>
      </c>
      <c r="Y88" s="321"/>
      <c r="Z88" s="322"/>
      <c r="AA88" s="221">
        <f t="shared" ref="AA88:AB88" si="302">SUM(AA80:AA87)</f>
        <v>19.46</v>
      </c>
      <c r="AB88" s="222">
        <f t="shared" si="302"/>
        <v>0</v>
      </c>
      <c r="AC88" s="320"/>
      <c r="AD88" s="319"/>
      <c r="AE88" s="221">
        <f t="shared" ref="AE88:AF88" si="303">SUM(AE80:AE87)</f>
        <v>4608.14</v>
      </c>
      <c r="AF88" s="222">
        <f t="shared" si="303"/>
        <v>0</v>
      </c>
      <c r="AG88" s="320"/>
      <c r="AH88" s="301"/>
      <c r="AI88" s="183">
        <f t="shared" ref="AI88:AJ88" si="304">SUM(AI80:AI87)</f>
        <v>20.35</v>
      </c>
      <c r="AJ88" s="51">
        <f t="shared" si="304"/>
        <v>4816.46</v>
      </c>
      <c r="AK88" s="52"/>
      <c r="AL88" s="53"/>
      <c r="AM88" s="183">
        <f t="shared" ref="AM88:AN88" si="305">SUM(AM80:AM87)</f>
        <v>20.35</v>
      </c>
      <c r="AN88" s="51">
        <f t="shared" si="305"/>
        <v>0</v>
      </c>
      <c r="AO88" s="52"/>
      <c r="AP88" s="53"/>
      <c r="AQ88" s="183">
        <f t="shared" ref="AQ88:AR88" si="306">SUM(AQ80:AQ87)</f>
        <v>20.35</v>
      </c>
      <c r="AR88" s="51">
        <f t="shared" si="306"/>
        <v>0</v>
      </c>
      <c r="AS88" s="52"/>
      <c r="AT88" s="53"/>
      <c r="AU88" s="183">
        <f t="shared" ref="AU88:AV88" si="307">SUM(AU80:AU87)</f>
        <v>0</v>
      </c>
      <c r="AV88" s="68">
        <f t="shared" si="307"/>
        <v>0</v>
      </c>
      <c r="AW88" s="52"/>
      <c r="AX88" s="53"/>
      <c r="AY88" s="183">
        <f t="shared" ref="AY88:AZ88" si="308">SUM(AY80:AY87)</f>
        <v>0</v>
      </c>
      <c r="AZ88" s="68">
        <f t="shared" si="308"/>
        <v>0</v>
      </c>
      <c r="BA88" s="52"/>
      <c r="BB88" s="53"/>
      <c r="BC88" s="183">
        <f t="shared" ref="BC88:BD88" si="309">SUM(BC80:BC87)</f>
        <v>0</v>
      </c>
      <c r="BD88" s="68">
        <f t="shared" si="309"/>
        <v>0</v>
      </c>
      <c r="BE88" s="223"/>
      <c r="BF88" s="224">
        <f t="shared" ref="BF88:BH88" si="310">SUM(BF80:BF87)</f>
        <v>4688.65</v>
      </c>
      <c r="BG88" s="225">
        <f t="shared" si="310"/>
        <v>4816.46</v>
      </c>
      <c r="BH88" s="226">
        <f t="shared" si="310"/>
        <v>-223.98</v>
      </c>
      <c r="BI88" s="227">
        <f>H88+BF88-BG88</f>
        <v>-223.98</v>
      </c>
      <c r="BJ88" s="204">
        <f>BH88-BI88</f>
        <v>0</v>
      </c>
      <c r="BK88" s="203" t="b">
        <f>H88='2020'!BH88</f>
        <v>1</v>
      </c>
    </row>
    <row r="89" ht="14.25" customHeight="1" hidden="1" spans="1:63" x14ac:dyDescent="0.25">
      <c r="A89" s="228">
        <v>10</v>
      </c>
      <c r="B89" s="229"/>
      <c r="C89" s="229"/>
      <c r="D89" s="229" t="s">
        <v>379</v>
      </c>
      <c r="E89" s="228"/>
      <c r="F89" s="230"/>
      <c r="G89" s="231"/>
      <c r="H89" s="232">
        <f>'2020'!BH89</f>
        <v>0</v>
      </c>
      <c r="I89" s="13"/>
      <c r="J89" s="192"/>
      <c r="K89" s="192"/>
      <c r="L89" s="193"/>
      <c r="M89" s="13"/>
      <c r="N89" s="308"/>
      <c r="O89" s="192"/>
      <c r="P89" s="193"/>
      <c r="Q89" s="309"/>
      <c r="R89" s="308"/>
      <c r="S89" s="194"/>
      <c r="T89" s="193"/>
      <c r="U89" s="309"/>
      <c r="V89" s="308"/>
      <c r="W89" s="194"/>
      <c r="X89" s="193"/>
      <c r="Y89" s="310"/>
      <c r="Z89" s="311"/>
      <c r="AA89" s="194"/>
      <c r="AB89" s="193"/>
      <c r="AC89" s="309"/>
      <c r="AD89" s="308"/>
      <c r="AE89" s="194"/>
      <c r="AF89" s="193"/>
      <c r="AG89" s="309"/>
      <c r="AH89" s="2"/>
      <c r="AI89" s="45"/>
      <c r="AJ89" s="15"/>
      <c r="AK89" s="13"/>
      <c r="AL89" s="15"/>
      <c r="AM89" s="45"/>
      <c r="AN89" s="15"/>
      <c r="AO89" s="13"/>
      <c r="AP89" s="15"/>
      <c r="AQ89" s="45"/>
      <c r="AR89" s="15"/>
      <c r="AS89" s="13"/>
      <c r="AT89" s="15"/>
      <c r="AU89" s="45"/>
      <c r="AV89" s="28"/>
      <c r="AW89" s="13"/>
      <c r="AX89" s="15"/>
      <c r="AY89" s="45"/>
      <c r="AZ89" s="28"/>
      <c r="BA89" s="13"/>
      <c r="BB89" s="15"/>
      <c r="BC89" s="45"/>
      <c r="BD89" s="28"/>
      <c r="BE89" s="233"/>
      <c r="BF89" s="234">
        <f t="shared" ref="BF89:BG89" si="311">K89+O89+S89+W89+AA89+AE89+AI89+AM89+AQ89+AU89+AY89+BC89</f>
        <v>0</v>
      </c>
      <c r="BG89" s="235">
        <f t="shared" si="311"/>
        <v>0</v>
      </c>
      <c r="BH89" s="236">
        <f t="shared" ref="BH89:BH96" si="312">H89+BF89-BG89</f>
        <v>0</v>
      </c>
      <c r="BI89" s="212"/>
      <c r="BJ89" s="203"/>
      <c r="BK89" s="203" t="b">
        <f>H89='2020'!BH89</f>
        <v>1</v>
      </c>
    </row>
    <row r="90" ht="14.25" customHeight="1" hidden="1" spans="1:63" x14ac:dyDescent="0.25">
      <c r="A90" s="199">
        <v>10</v>
      </c>
      <c r="B90" s="200">
        <v>4.01</v>
      </c>
      <c r="C90" s="200" t="s">
        <v>86</v>
      </c>
      <c r="D90" s="200" t="s">
        <v>44</v>
      </c>
      <c r="E90" s="199" t="s">
        <v>45</v>
      </c>
      <c r="F90" s="41">
        <v>2.5</v>
      </c>
      <c r="G90" s="35">
        <v>2.6</v>
      </c>
      <c r="H90" s="237">
        <f>'2020'!BH90</f>
        <v>0</v>
      </c>
      <c r="I90" s="13">
        <v>0</v>
      </c>
      <c r="J90" s="15">
        <f>I90-'2020'!BA90</f>
        <v>0</v>
      </c>
      <c r="K90" s="204">
        <f>J90*$F$8</f>
        <v>0</v>
      </c>
      <c r="L90" s="205"/>
      <c r="M90" s="13">
        <v>0</v>
      </c>
      <c r="N90" s="312">
        <f t="shared" ref="N90:N91" si="313">M90-I90</f>
        <v>0</v>
      </c>
      <c r="O90" s="204">
        <f>N90*$F$8</f>
        <v>0</v>
      </c>
      <c r="P90" s="205"/>
      <c r="Q90" s="313">
        <v>0</v>
      </c>
      <c r="R90" s="15">
        <f t="shared" ref="R90:R91" si="314">Q90-M90</f>
        <v>0</v>
      </c>
      <c r="S90" s="204">
        <f>R90*$F$8</f>
        <v>0</v>
      </c>
      <c r="T90" s="205"/>
      <c r="U90" s="313">
        <v>0</v>
      </c>
      <c r="V90" s="15">
        <f t="shared" ref="V90:V91" si="315">U90-Q90</f>
        <v>0</v>
      </c>
      <c r="W90" s="204">
        <f>V90*$F$8</f>
        <v>0</v>
      </c>
      <c r="X90" s="205"/>
      <c r="Y90" s="314"/>
      <c r="Z90" s="315">
        <f t="shared" ref="Z90:Z91" si="316">Y90-U90</f>
        <v>0</v>
      </c>
      <c r="AA90" s="204">
        <f>Z90*$F$8</f>
        <v>0</v>
      </c>
      <c r="AB90" s="205"/>
      <c r="AC90" s="313"/>
      <c r="AD90" s="312">
        <f t="shared" ref="AD90:AD91" si="317">AC90-Y90</f>
        <v>0</v>
      </c>
      <c r="AE90" s="180">
        <f>AD90*$F$8</f>
        <v>0</v>
      </c>
      <c r="AF90" s="323"/>
      <c r="AG90" s="313"/>
      <c r="AH90" s="2">
        <f t="shared" ref="AH90:AH91" si="318">AG90-AC90</f>
        <v>0</v>
      </c>
      <c r="AI90" s="45">
        <f>AH90*$G$8</f>
        <v>0</v>
      </c>
      <c r="AJ90" s="2"/>
      <c r="AK90" s="13"/>
      <c r="AL90" s="15">
        <f t="shared" ref="AL90:AL91" si="319">AK90-AG90</f>
        <v>0</v>
      </c>
      <c r="AM90" s="45">
        <f>AL90*$G$8</f>
        <v>0</v>
      </c>
      <c r="AN90" s="2"/>
      <c r="AO90" s="13"/>
      <c r="AP90" s="15">
        <f t="shared" ref="AP90:AP91" si="320">AO90-AK90</f>
        <v>0</v>
      </c>
      <c r="AQ90" s="45">
        <f>AP90*$G$8</f>
        <v>0</v>
      </c>
      <c r="AR90" s="2"/>
      <c r="AS90" s="13"/>
      <c r="AT90" s="15">
        <f t="shared" ref="AT90:AT91" si="321">AS90-AO90</f>
        <v>0</v>
      </c>
      <c r="AU90" s="45">
        <f>AT90*$G$8</f>
        <v>0</v>
      </c>
      <c r="AV90" s="208"/>
      <c r="AW90" s="13"/>
      <c r="AX90" s="15">
        <f t="shared" ref="AX90:AX91" si="322">AW90-AS90</f>
        <v>0</v>
      </c>
      <c r="AY90" s="45">
        <f>AX90*$G$8</f>
        <v>0</v>
      </c>
      <c r="AZ90" s="208"/>
      <c r="BA90" s="13"/>
      <c r="BB90" s="15">
        <f t="shared" ref="BB90:BB91" si="323">BA90-AW90</f>
        <v>0</v>
      </c>
      <c r="BC90" s="45">
        <f>BB90*$G$8</f>
        <v>0</v>
      </c>
      <c r="BD90" s="208"/>
      <c r="BE90" s="209">
        <f t="shared" ref="BE90:BG90" si="324">J90+N90+R90+V90+Z90+AD90+AH90+AL90+AP90+AT90+AX90+BB90</f>
        <v>0</v>
      </c>
      <c r="BF90" s="210">
        <f t="shared" si="324"/>
        <v>0</v>
      </c>
      <c r="BG90" s="204">
        <f t="shared" si="324"/>
        <v>0</v>
      </c>
      <c r="BH90" s="211">
        <f t="shared" si="312"/>
        <v>0</v>
      </c>
      <c r="BI90" s="212"/>
      <c r="BJ90" s="203"/>
      <c r="BK90" s="203" t="b">
        <f>H90='2020'!BH90</f>
        <v>1</v>
      </c>
    </row>
    <row r="91" ht="14.25" customHeight="1" hidden="1" spans="1:63" x14ac:dyDescent="0.25">
      <c r="A91" s="199">
        <v>10</v>
      </c>
      <c r="B91" s="200"/>
      <c r="C91" s="200" t="s">
        <v>87</v>
      </c>
      <c r="D91" s="200" t="s">
        <v>47</v>
      </c>
      <c r="E91" s="199" t="s">
        <v>48</v>
      </c>
      <c r="F91" s="13">
        <v>18.56</v>
      </c>
      <c r="G91" s="35">
        <v>19.46</v>
      </c>
      <c r="H91" s="238">
        <f>'2020'!BH91</f>
        <v>-0.39</v>
      </c>
      <c r="I91" s="13">
        <v>50</v>
      </c>
      <c r="J91" s="203"/>
      <c r="K91" s="203"/>
      <c r="L91" s="205"/>
      <c r="M91" s="13">
        <v>50</v>
      </c>
      <c r="N91" s="312">
        <f t="shared" si="313"/>
        <v>0</v>
      </c>
      <c r="O91" s="203"/>
      <c r="P91" s="205"/>
      <c r="Q91" s="313">
        <v>50</v>
      </c>
      <c r="R91" s="15">
        <f t="shared" si="314"/>
        <v>0</v>
      </c>
      <c r="S91" s="203"/>
      <c r="T91" s="205"/>
      <c r="U91" s="313">
        <v>50</v>
      </c>
      <c r="V91" s="15">
        <f t="shared" si="315"/>
        <v>0</v>
      </c>
      <c r="W91" s="324">
        <f>V91*$F$10</f>
        <v>0</v>
      </c>
      <c r="X91" s="205"/>
      <c r="Y91" s="314">
        <v>50</v>
      </c>
      <c r="Z91" s="315">
        <f t="shared" si="316"/>
        <v>0</v>
      </c>
      <c r="AA91" s="204">
        <f>Z91*$F$10</f>
        <v>0</v>
      </c>
      <c r="AB91" s="205"/>
      <c r="AC91" s="313">
        <v>60</v>
      </c>
      <c r="AD91" s="312">
        <f t="shared" si="317"/>
        <v>10</v>
      </c>
      <c r="AE91" s="204">
        <f>AD91*$F$10</f>
        <v>194.6</v>
      </c>
      <c r="AF91" s="325">
        <v>204</v>
      </c>
      <c r="AG91" s="313">
        <v>60</v>
      </c>
      <c r="AH91" s="315">
        <f t="shared" si="318"/>
        <v>0</v>
      </c>
      <c r="AI91" s="45">
        <f>AH91*$G$10</f>
        <v>0</v>
      </c>
      <c r="AJ91" s="180"/>
      <c r="AK91" s="13">
        <v>60</v>
      </c>
      <c r="AL91" s="15">
        <f t="shared" si="319"/>
        <v>0</v>
      </c>
      <c r="AM91" s="45">
        <f>AL91*$G$10</f>
        <v>0</v>
      </c>
      <c r="AN91" s="180"/>
      <c r="AO91" s="13">
        <v>60</v>
      </c>
      <c r="AP91" s="15">
        <f t="shared" si="320"/>
        <v>0</v>
      </c>
      <c r="AQ91" s="45">
        <f>AP91*$G$10</f>
        <v>0</v>
      </c>
      <c r="AR91" s="2"/>
      <c r="AS91" s="13">
        <v>60</v>
      </c>
      <c r="AT91" s="15">
        <f t="shared" si="321"/>
        <v>0</v>
      </c>
      <c r="AU91" s="45">
        <f>AT91*$G$10</f>
        <v>0</v>
      </c>
      <c r="AV91" s="249">
        <v>235</v>
      </c>
      <c r="AW91" s="13">
        <v>60</v>
      </c>
      <c r="AX91" s="15">
        <f t="shared" si="322"/>
        <v>0</v>
      </c>
      <c r="AY91" s="45"/>
      <c r="AZ91" s="208"/>
      <c r="BA91" s="13">
        <v>60</v>
      </c>
      <c r="BB91" s="15">
        <f t="shared" si="323"/>
        <v>0</v>
      </c>
      <c r="BC91" s="45"/>
      <c r="BD91" s="208"/>
      <c r="BE91" s="209">
        <f t="shared" ref="BE91:BG91" si="325">J91+N91+R91+V91+Z91+AD91+AH91+AL91+AP91+AT91+AX91+BB91</f>
        <v>10</v>
      </c>
      <c r="BF91" s="210">
        <f t="shared" si="325"/>
        <v>194.6</v>
      </c>
      <c r="BG91" s="204">
        <f t="shared" si="325"/>
        <v>439</v>
      </c>
      <c r="BH91" s="211">
        <f t="shared" si="312"/>
        <v>-244.79</v>
      </c>
      <c r="BI91" s="212"/>
      <c r="BJ91" s="203"/>
      <c r="BK91" s="203" t="b">
        <f>H91='2020'!BH91</f>
        <v>1</v>
      </c>
    </row>
    <row r="92" ht="14.25" customHeight="1" hidden="1" spans="1:63" x14ac:dyDescent="0.25">
      <c r="A92" s="199">
        <v>10</v>
      </c>
      <c r="B92" s="200"/>
      <c r="C92" s="200" t="s">
        <v>68</v>
      </c>
      <c r="D92" s="200" t="s">
        <v>47</v>
      </c>
      <c r="E92" s="199" t="s">
        <v>49</v>
      </c>
      <c r="F92" s="210">
        <v>500</v>
      </c>
      <c r="G92" s="211"/>
      <c r="H92" s="238">
        <f>'2020'!BH92</f>
        <v>0</v>
      </c>
      <c r="I92" s="13"/>
      <c r="J92" s="203"/>
      <c r="K92" s="203"/>
      <c r="L92" s="205"/>
      <c r="M92" s="13"/>
      <c r="N92" s="312"/>
      <c r="O92" s="203"/>
      <c r="P92" s="205"/>
      <c r="Q92" s="313"/>
      <c r="R92" s="312"/>
      <c r="S92" s="203"/>
      <c r="T92" s="205"/>
      <c r="U92" s="313"/>
      <c r="V92" s="312"/>
      <c r="W92" s="203"/>
      <c r="X92" s="205"/>
      <c r="Y92" s="314"/>
      <c r="Z92" s="315"/>
      <c r="AA92" s="203"/>
      <c r="AB92" s="205"/>
      <c r="AC92" s="313"/>
      <c r="AD92" s="312"/>
      <c r="AE92" s="204"/>
      <c r="AF92" s="323"/>
      <c r="AG92" s="313"/>
      <c r="AH92" s="2"/>
      <c r="AI92" s="45"/>
      <c r="AJ92" s="15"/>
      <c r="AK92" s="13"/>
      <c r="AL92" s="15"/>
      <c r="AM92" s="45"/>
      <c r="AN92" s="15"/>
      <c r="AO92" s="13"/>
      <c r="AP92" s="15"/>
      <c r="AQ92" s="45"/>
      <c r="AR92" s="15"/>
      <c r="AS92" s="13"/>
      <c r="AT92" s="15"/>
      <c r="AU92" s="45"/>
      <c r="AV92" s="28"/>
      <c r="AW92" s="13"/>
      <c r="AX92" s="15"/>
      <c r="AY92" s="45"/>
      <c r="AZ92" s="28"/>
      <c r="BA92" s="13"/>
      <c r="BB92" s="15"/>
      <c r="BC92" s="45"/>
      <c r="BD92" s="28"/>
      <c r="BE92" s="200"/>
      <c r="BF92" s="210">
        <f t="shared" ref="BF92:BG92" si="326">K92+O92+S92+W92+AA92+AE92+AI92+AM92+AQ92+AU92+AY92+BC92</f>
        <v>0</v>
      </c>
      <c r="BG92" s="204">
        <f t="shared" si="326"/>
        <v>0</v>
      </c>
      <c r="BH92" s="211">
        <f t="shared" si="312"/>
        <v>0</v>
      </c>
      <c r="BI92" s="212"/>
      <c r="BJ92" s="203"/>
      <c r="BK92" s="203" t="b">
        <f>H92='2020'!BH92</f>
        <v>1</v>
      </c>
    </row>
    <row r="93" ht="14.25" customHeight="1" hidden="1" spans="1:63" x14ac:dyDescent="0.25">
      <c r="A93" s="199">
        <v>10</v>
      </c>
      <c r="B93" s="200"/>
      <c r="C93" s="200" t="s">
        <v>88</v>
      </c>
      <c r="D93" s="200" t="s">
        <v>50</v>
      </c>
      <c r="E93" s="199" t="s">
        <v>49</v>
      </c>
      <c r="F93" s="41">
        <v>1100</v>
      </c>
      <c r="G93" s="211"/>
      <c r="H93" s="238">
        <f>'2020'!BH93</f>
        <v>0</v>
      </c>
      <c r="I93" s="13"/>
      <c r="J93" s="203"/>
      <c r="K93" s="203"/>
      <c r="L93" s="205"/>
      <c r="M93" s="13"/>
      <c r="N93" s="312"/>
      <c r="O93" s="203"/>
      <c r="P93" s="205"/>
      <c r="Q93" s="313"/>
      <c r="R93" s="312"/>
      <c r="S93" s="203"/>
      <c r="T93" s="205"/>
      <c r="U93" s="313"/>
      <c r="V93" s="312"/>
      <c r="W93" s="203"/>
      <c r="X93" s="205"/>
      <c r="Y93" s="314"/>
      <c r="Z93" s="315"/>
      <c r="AA93" s="203"/>
      <c r="AB93" s="205"/>
      <c r="AC93" s="313"/>
      <c r="AD93" s="312"/>
      <c r="AE93" s="182">
        <v>4411</v>
      </c>
      <c r="AF93" s="323">
        <v>4411</v>
      </c>
      <c r="AG93" s="313"/>
      <c r="AH93" s="2"/>
      <c r="AI93" s="45"/>
      <c r="AJ93" s="180"/>
      <c r="AK93" s="13"/>
      <c r="AL93" s="15"/>
      <c r="AM93" s="45"/>
      <c r="AN93" s="15"/>
      <c r="AO93" s="13"/>
      <c r="AP93" s="15"/>
      <c r="AQ93" s="45"/>
      <c r="AR93" s="15"/>
      <c r="AS93" s="13"/>
      <c r="AT93" s="15"/>
      <c r="AU93" s="45"/>
      <c r="AV93" s="28"/>
      <c r="AW93" s="13"/>
      <c r="AX93" s="15"/>
      <c r="AY93" s="45"/>
      <c r="AZ93" s="28"/>
      <c r="BA93" s="13"/>
      <c r="BB93" s="15"/>
      <c r="BC93" s="45"/>
      <c r="BD93" s="28"/>
      <c r="BE93" s="200"/>
      <c r="BF93" s="210">
        <f t="shared" ref="BF93:BG93" si="327">K93+O93+S93+W93+AA93+AE93+AI93+AM93+AQ93+AU93+AY93+BC93</f>
        <v>4411</v>
      </c>
      <c r="BG93" s="204">
        <f t="shared" si="327"/>
        <v>4411</v>
      </c>
      <c r="BH93" s="211">
        <f t="shared" si="312"/>
        <v>0</v>
      </c>
      <c r="BI93" s="212"/>
      <c r="BJ93" s="203"/>
      <c r="BK93" s="203" t="b">
        <f>H93='2020'!BH93</f>
        <v>1</v>
      </c>
    </row>
    <row r="94" ht="14.25" customHeight="1" hidden="1" spans="1:63" x14ac:dyDescent="0.25">
      <c r="A94" s="199">
        <v>10</v>
      </c>
      <c r="B94" s="200"/>
      <c r="C94" s="200"/>
      <c r="D94" s="200" t="s">
        <v>51</v>
      </c>
      <c r="E94" s="203" t="s">
        <v>39</v>
      </c>
      <c r="F94" s="210">
        <v>500</v>
      </c>
      <c r="G94" s="211"/>
      <c r="H94" s="238">
        <f>'2020'!BH94</f>
        <v>500</v>
      </c>
      <c r="I94" s="13"/>
      <c r="J94" s="203"/>
      <c r="K94" s="203"/>
      <c r="L94" s="205"/>
      <c r="M94" s="13"/>
      <c r="N94" s="312"/>
      <c r="O94" s="203"/>
      <c r="P94" s="205"/>
      <c r="Q94" s="313"/>
      <c r="R94" s="312"/>
      <c r="S94" s="203"/>
      <c r="T94" s="205"/>
      <c r="U94" s="313"/>
      <c r="V94" s="312"/>
      <c r="W94" s="203"/>
      <c r="X94" s="205"/>
      <c r="Y94" s="314"/>
      <c r="Z94" s="315"/>
      <c r="AA94" s="203"/>
      <c r="AB94" s="205"/>
      <c r="AC94" s="313"/>
      <c r="AD94" s="312"/>
      <c r="AE94" s="180">
        <f>$F$13</f>
      </c>
      <c r="AF94" s="182">
        <v>500</v>
      </c>
      <c r="AG94" s="313"/>
      <c r="AH94" s="2"/>
      <c r="AI94" s="45"/>
      <c r="AJ94" s="15"/>
      <c r="AK94" s="13"/>
      <c r="AL94" s="15"/>
      <c r="AM94" s="45"/>
      <c r="AN94" s="15"/>
      <c r="AO94" s="13"/>
      <c r="AP94" s="15"/>
      <c r="AQ94" s="180"/>
      <c r="AR94" s="15"/>
      <c r="AS94" s="13"/>
      <c r="AT94" s="15"/>
      <c r="AU94" s="45"/>
      <c r="AV94" s="28"/>
      <c r="AW94" s="13"/>
      <c r="AX94" s="15"/>
      <c r="AY94" s="45"/>
      <c r="AZ94" s="28"/>
      <c r="BA94" s="13"/>
      <c r="BB94" s="15"/>
      <c r="BC94" s="45"/>
      <c r="BD94" s="28"/>
      <c r="BE94" s="200"/>
      <c r="BF94" s="210">
        <f t="shared" ref="BF94:BG94" si="328">K94+O94+S94+W94+AA94+AE94+AI94+AM94+AQ94+AU94+AY94+BC94</f>
        <v>0</v>
      </c>
      <c r="BG94" s="204">
        <f t="shared" si="328"/>
        <v>500</v>
      </c>
      <c r="BH94" s="211">
        <f t="shared" si="312"/>
        <v>0</v>
      </c>
      <c r="BI94" s="212"/>
      <c r="BJ94" s="203"/>
      <c r="BK94" s="203" t="b">
        <f>H94='2020'!BH94</f>
        <v>1</v>
      </c>
    </row>
    <row r="95" ht="14.25" customHeight="1" hidden="1" spans="1:63" x14ac:dyDescent="0.25">
      <c r="A95" s="199">
        <v>10</v>
      </c>
      <c r="B95" s="200"/>
      <c r="C95" s="200"/>
      <c r="D95" s="200" t="s">
        <v>51</v>
      </c>
      <c r="E95" s="199" t="s">
        <v>49</v>
      </c>
      <c r="F95" s="210">
        <v>500</v>
      </c>
      <c r="G95" s="211"/>
      <c r="H95" s="238">
        <f>'2020'!BH95</f>
        <v>2005</v>
      </c>
      <c r="I95" s="13"/>
      <c r="J95" s="203"/>
      <c r="K95" s="203"/>
      <c r="L95" s="205"/>
      <c r="M95" s="13"/>
      <c r="N95" s="312"/>
      <c r="O95" s="203"/>
      <c r="P95" s="205"/>
      <c r="Q95" s="313"/>
      <c r="R95" s="312"/>
      <c r="S95" s="203"/>
      <c r="T95" s="205"/>
      <c r="U95" s="313"/>
      <c r="V95" s="312"/>
      <c r="W95" s="203"/>
      <c r="X95" s="205"/>
      <c r="Y95" s="314"/>
      <c r="Z95" s="315"/>
      <c r="AA95" s="203"/>
      <c r="AB95" s="205"/>
      <c r="AC95" s="313"/>
      <c r="AD95" s="312"/>
      <c r="AE95" s="204"/>
      <c r="AF95" s="182">
        <v>2005</v>
      </c>
      <c r="AG95" s="313"/>
      <c r="AH95" s="2"/>
      <c r="AI95" s="45"/>
      <c r="AJ95" s="15"/>
      <c r="AK95" s="13"/>
      <c r="AL95" s="15"/>
      <c r="AM95" s="45"/>
      <c r="AN95" s="15"/>
      <c r="AO95" s="13"/>
      <c r="AP95" s="15"/>
      <c r="AQ95" s="180">
        <f>B90*$F$14</f>
        <v>0</v>
      </c>
      <c r="AR95" s="15"/>
      <c r="AS95" s="13"/>
      <c r="AT95" s="15"/>
      <c r="AU95" s="45"/>
      <c r="AV95" s="28"/>
      <c r="AW95" s="13"/>
      <c r="AX95" s="15"/>
      <c r="AY95" s="45"/>
      <c r="AZ95" s="28"/>
      <c r="BA95" s="13"/>
      <c r="BB95" s="15"/>
      <c r="BC95" s="45"/>
      <c r="BD95" s="28"/>
      <c r="BE95" s="200"/>
      <c r="BF95" s="210">
        <f t="shared" ref="BF95:BG95" si="329">K95+O95+S95+W95+AA95+AE95+AI95+AM95+AQ95+AU95+AY95+BC95</f>
        <v>0</v>
      </c>
      <c r="BG95" s="204">
        <f t="shared" si="329"/>
        <v>2005</v>
      </c>
      <c r="BH95" s="211">
        <f t="shared" si="312"/>
        <v>0</v>
      </c>
      <c r="BI95" s="212"/>
      <c r="BJ95" s="203"/>
      <c r="BK95" s="203" t="b">
        <f>H95='2020'!BH95</f>
        <v>1</v>
      </c>
    </row>
    <row r="96" ht="14.25" customHeight="1" hidden="1" spans="1:63" x14ac:dyDescent="0.25">
      <c r="A96" s="199">
        <v>10</v>
      </c>
      <c r="B96" s="200"/>
      <c r="C96" s="200"/>
      <c r="D96" s="200" t="s">
        <v>52</v>
      </c>
      <c r="E96" s="199" t="s">
        <v>39</v>
      </c>
      <c r="F96" s="210">
        <v>500</v>
      </c>
      <c r="G96" s="211"/>
      <c r="H96" s="238">
        <f>'2020'!BH96</f>
        <v>0</v>
      </c>
      <c r="I96" s="13"/>
      <c r="J96" s="203"/>
      <c r="K96" s="203"/>
      <c r="L96" s="205"/>
      <c r="M96" s="13"/>
      <c r="N96" s="312"/>
      <c r="O96" s="203"/>
      <c r="P96" s="205"/>
      <c r="Q96" s="313"/>
      <c r="R96" s="312"/>
      <c r="S96" s="203"/>
      <c r="T96" s="205"/>
      <c r="U96" s="313"/>
      <c r="V96" s="312"/>
      <c r="W96" s="203"/>
      <c r="X96" s="205"/>
      <c r="Y96" s="314"/>
      <c r="Z96" s="315"/>
      <c r="AA96" s="34">
        <f>$F$15</f>
      </c>
      <c r="AB96" s="211"/>
      <c r="AC96" s="313"/>
      <c r="AD96" s="312"/>
      <c r="AE96" s="203"/>
      <c r="AF96" s="211"/>
      <c r="AG96" s="313"/>
      <c r="AH96" s="2"/>
      <c r="AI96" s="45"/>
      <c r="AJ96" s="180"/>
      <c r="AK96" s="13"/>
      <c r="AL96" s="15"/>
      <c r="AM96" s="45"/>
      <c r="AN96" s="34"/>
      <c r="AO96" s="13"/>
      <c r="AP96" s="15"/>
      <c r="AQ96" s="45"/>
      <c r="AR96" s="34"/>
      <c r="AS96" s="13"/>
      <c r="AT96" s="15"/>
      <c r="AU96" s="45"/>
      <c r="AV96" s="35"/>
      <c r="AW96" s="13"/>
      <c r="AX96" s="15"/>
      <c r="AY96" s="45"/>
      <c r="AZ96" s="35"/>
      <c r="BA96" s="13"/>
      <c r="BB96" s="15"/>
      <c r="BC96" s="45"/>
      <c r="BD96" s="35"/>
      <c r="BE96" s="200"/>
      <c r="BF96" s="210">
        <f t="shared" ref="BF96:BG96" si="330">K96+O96+S96+W96+AA96+AE96+AI96+AM96+AQ96+AU96+AY96+BC96</f>
        <v>0</v>
      </c>
      <c r="BG96" s="204">
        <f t="shared" si="330"/>
        <v>0</v>
      </c>
      <c r="BH96" s="211">
        <f t="shared" si="312"/>
        <v>0</v>
      </c>
      <c r="BI96" s="212"/>
      <c r="BJ96" s="203"/>
      <c r="BK96" s="203" t="b">
        <f>H96='2020'!BH96</f>
        <v>1</v>
      </c>
    </row>
    <row r="97" ht="14.25" customHeight="1" hidden="1" spans="1:63" x14ac:dyDescent="0.25">
      <c r="A97" s="216">
        <v>10</v>
      </c>
      <c r="B97" s="217"/>
      <c r="C97" s="217" t="s">
        <v>53</v>
      </c>
      <c r="D97" s="217"/>
      <c r="E97" s="216"/>
      <c r="F97" s="240"/>
      <c r="G97" s="241"/>
      <c r="H97" s="223">
        <f>SUM(H89:H96)</f>
        <v>2504.61</v>
      </c>
      <c r="I97" s="52"/>
      <c r="J97" s="220"/>
      <c r="K97" s="221">
        <f t="shared" ref="K97:L97" si="331">SUM(K89:K96)</f>
        <v>0</v>
      </c>
      <c r="L97" s="222">
        <f t="shared" si="331"/>
        <v>0</v>
      </c>
      <c r="M97" s="52"/>
      <c r="N97" s="319"/>
      <c r="O97" s="221">
        <f t="shared" ref="O97:P97" si="332">SUM(O89:O96)</f>
        <v>0</v>
      </c>
      <c r="P97" s="222">
        <f t="shared" si="332"/>
        <v>0</v>
      </c>
      <c r="Q97" s="320"/>
      <c r="R97" s="319"/>
      <c r="S97" s="221">
        <f t="shared" ref="S97:T97" si="333">SUM(S89:S96)</f>
        <v>0</v>
      </c>
      <c r="T97" s="222">
        <f t="shared" si="333"/>
        <v>0</v>
      </c>
      <c r="U97" s="320"/>
      <c r="V97" s="319"/>
      <c r="W97" s="221">
        <f t="shared" ref="W97:X97" si="334">SUM(W89:W96)</f>
        <v>0</v>
      </c>
      <c r="X97" s="222">
        <f t="shared" si="334"/>
        <v>0</v>
      </c>
      <c r="Y97" s="321"/>
      <c r="Z97" s="322"/>
      <c r="AA97" s="221">
        <f t="shared" ref="AA97:AB97" si="335">SUM(AA89:AA96)</f>
        <v>0</v>
      </c>
      <c r="AB97" s="222">
        <f t="shared" si="335"/>
        <v>0</v>
      </c>
      <c r="AC97" s="320"/>
      <c r="AD97" s="319"/>
      <c r="AE97" s="221">
        <f t="shared" ref="AE97:AF97" si="336">SUM(AE89:AE96)</f>
        <v>4605.6</v>
      </c>
      <c r="AF97" s="222">
        <f t="shared" si="336"/>
        <v>7120</v>
      </c>
      <c r="AG97" s="320"/>
      <c r="AH97" s="301"/>
      <c r="AI97" s="183">
        <f t="shared" ref="AI97:AJ97" si="337">SUM(AI89:AI96)</f>
        <v>0</v>
      </c>
      <c r="AJ97" s="51">
        <f t="shared" si="337"/>
        <v>0</v>
      </c>
      <c r="AK97" s="52"/>
      <c r="AL97" s="53"/>
      <c r="AM97" s="183">
        <f t="shared" ref="AM97:AN97" si="338">SUM(AM89:AM96)</f>
        <v>0</v>
      </c>
      <c r="AN97" s="51">
        <f t="shared" si="338"/>
        <v>0</v>
      </c>
      <c r="AO97" s="52"/>
      <c r="AP97" s="53"/>
      <c r="AQ97" s="183">
        <f t="shared" ref="AQ97:AR97" si="339">SUM(AQ89:AQ96)</f>
        <v>0</v>
      </c>
      <c r="AR97" s="51">
        <f t="shared" si="339"/>
        <v>0</v>
      </c>
      <c r="AS97" s="52"/>
      <c r="AT97" s="53"/>
      <c r="AU97" s="183">
        <f t="shared" ref="AU97:AV97" si="340">SUM(AU89:AU96)</f>
        <v>0</v>
      </c>
      <c r="AV97" s="68">
        <f t="shared" si="340"/>
        <v>235</v>
      </c>
      <c r="AW97" s="52"/>
      <c r="AX97" s="53"/>
      <c r="AY97" s="183">
        <f t="shared" ref="AY97:AZ97" si="341">SUM(AY89:AY96)</f>
        <v>0</v>
      </c>
      <c r="AZ97" s="68">
        <f t="shared" si="341"/>
        <v>0</v>
      </c>
      <c r="BA97" s="52"/>
      <c r="BB97" s="53"/>
      <c r="BC97" s="183">
        <f t="shared" ref="BC97:BD97" si="342">SUM(BC89:BC96)</f>
        <v>0</v>
      </c>
      <c r="BD97" s="68">
        <f t="shared" si="342"/>
        <v>0</v>
      </c>
      <c r="BE97" s="223"/>
      <c r="BF97" s="224">
        <f t="shared" ref="BF97:BH97" si="343">SUM(BF89:BF96)</f>
        <v>4605.6</v>
      </c>
      <c r="BG97" s="225">
        <f t="shared" si="343"/>
        <v>7355</v>
      </c>
      <c r="BH97" s="226">
        <f t="shared" si="343"/>
        <v>-244.79</v>
      </c>
      <c r="BI97" s="227">
        <f>H97+BF97-BG97</f>
        <v>-244.79</v>
      </c>
      <c r="BJ97" s="204">
        <f>BH97-BI97</f>
        <v>0</v>
      </c>
      <c r="BK97" s="203" t="b">
        <f>H97='2020'!BH97</f>
        <v>1</v>
      </c>
    </row>
    <row r="98" ht="14.25" customHeight="1" hidden="1" spans="1:63" x14ac:dyDescent="0.25">
      <c r="A98" s="175">
        <v>11</v>
      </c>
      <c r="B98" s="14"/>
      <c r="D98" s="14" t="s">
        <v>379</v>
      </c>
      <c r="F98" s="13"/>
      <c r="G98" s="28"/>
      <c r="H98" s="34">
        <f>'2020'!BH98</f>
        <v>67.67</v>
      </c>
      <c r="I98" s="13"/>
      <c r="J98" s="15"/>
      <c r="K98" s="15">
        <v>13.71</v>
      </c>
      <c r="L98" s="28"/>
      <c r="M98" s="13"/>
      <c r="N98" s="15"/>
      <c r="O98" s="15">
        <v>12.38</v>
      </c>
      <c r="P98" s="15"/>
      <c r="Q98" s="13"/>
      <c r="R98" s="15"/>
      <c r="S98" s="15">
        <v>13.71</v>
      </c>
      <c r="T98" s="28"/>
      <c r="U98" s="13"/>
      <c r="V98" s="15"/>
      <c r="W98" s="15">
        <v>13.27</v>
      </c>
      <c r="X98" s="15"/>
      <c r="Y98" s="186"/>
      <c r="Z98" s="2"/>
      <c r="AA98" s="15">
        <v>13.71</v>
      </c>
      <c r="AB98" s="28"/>
      <c r="AC98" s="15"/>
      <c r="AD98" s="15"/>
      <c r="AE98" s="15">
        <v>13.27</v>
      </c>
      <c r="AF98" s="15"/>
      <c r="AG98" s="15"/>
      <c r="AH98" s="2"/>
      <c r="AI98" s="45"/>
      <c r="AJ98" s="306">
        <v>147.72</v>
      </c>
      <c r="AK98" s="13"/>
      <c r="AL98" s="15"/>
      <c r="AM98" s="45"/>
      <c r="AN98" s="15"/>
      <c r="AO98" s="13"/>
      <c r="AP98" s="15"/>
      <c r="AQ98" s="180"/>
      <c r="AR98" s="15"/>
      <c r="AS98" s="13"/>
      <c r="AT98" s="15"/>
      <c r="AU98" s="180"/>
      <c r="AV98" s="15"/>
      <c r="AW98" s="13"/>
      <c r="AX98" s="15"/>
      <c r="AY98" s="180"/>
      <c r="AZ98" s="28"/>
      <c r="BA98" s="13"/>
      <c r="BB98" s="15"/>
      <c r="BC98" s="180"/>
      <c r="BD98" s="28"/>
      <c r="BE98" s="14"/>
      <c r="BF98" s="41">
        <f t="shared" ref="BF98:BG98" si="344">K98+O98+S98+W98+AA98+AE98+AI98+AM98+AQ98+AU98+AY98+BC98</f>
        <v>80.05</v>
      </c>
      <c r="BG98" s="34">
        <f t="shared" si="344"/>
        <v>147.72</v>
      </c>
      <c r="BH98" s="35">
        <f t="shared" ref="BH98:BH105" si="345">H98+BF98-BG98</f>
        <v>0</v>
      </c>
      <c r="BK98" s="2" t="b">
        <f>H98='2020'!BH98</f>
        <v>1</v>
      </c>
    </row>
    <row r="99" ht="14.25" customHeight="1" hidden="1" spans="1:63" x14ac:dyDescent="0.25">
      <c r="A99" s="176">
        <v>11</v>
      </c>
      <c r="B99" s="14">
        <v>4.02</v>
      </c>
      <c r="C99" s="2" t="s">
        <v>89</v>
      </c>
      <c r="D99" s="14" t="s">
        <v>44</v>
      </c>
      <c r="E99" s="2" t="s">
        <v>45</v>
      </c>
      <c r="F99" s="41">
        <v>2.5</v>
      </c>
      <c r="G99" s="35">
        <v>2.6</v>
      </c>
      <c r="H99" s="34">
        <f>'2020'!BH99</f>
        <v>-78</v>
      </c>
      <c r="I99" s="13">
        <v>36</v>
      </c>
      <c r="J99" s="15">
        <f>I99-'2020'!BA99</f>
        <v>0</v>
      </c>
      <c r="K99" s="34">
        <f>J99*$F$8</f>
        <v>0</v>
      </c>
      <c r="L99" s="28"/>
      <c r="M99" s="13">
        <v>36</v>
      </c>
      <c r="N99" s="15">
        <f t="shared" ref="N99:N100" si="346">M99-I99</f>
        <v>0</v>
      </c>
      <c r="O99" s="34">
        <f>N99*$F$8</f>
        <v>0</v>
      </c>
      <c r="P99" s="15"/>
      <c r="Q99" s="13">
        <v>36</v>
      </c>
      <c r="R99" s="15">
        <f t="shared" ref="R99:R100" si="347">Q99-M99</f>
        <v>0</v>
      </c>
      <c r="S99" s="34">
        <f>R99*$F$8</f>
        <v>0</v>
      </c>
      <c r="T99" s="28"/>
      <c r="U99" s="13">
        <v>36</v>
      </c>
      <c r="V99" s="15">
        <f t="shared" ref="V99:V100" si="348">U99-Q99</f>
        <v>0</v>
      </c>
      <c r="W99" s="34">
        <f>V99*$F$8</f>
        <v>0</v>
      </c>
      <c r="X99" s="15"/>
      <c r="Y99" s="186">
        <v>36</v>
      </c>
      <c r="Z99" s="2">
        <f t="shared" ref="Z99:Z100" si="349">Y99-U99</f>
        <v>0</v>
      </c>
      <c r="AA99" s="34">
        <f>Z99*$F$8</f>
        <v>0</v>
      </c>
      <c r="AB99" s="35"/>
      <c r="AC99" s="13">
        <v>36</v>
      </c>
      <c r="AD99" s="15">
        <f t="shared" ref="AD99:AD100" si="350">AC99-Y99</f>
        <v>0</v>
      </c>
      <c r="AE99" s="180">
        <f>AD99*$F$8</f>
        <v>0</v>
      </c>
      <c r="AF99" s="15"/>
      <c r="AG99" s="13">
        <v>36</v>
      </c>
      <c r="AH99" s="2">
        <f t="shared" ref="AH99:AH100" si="351">AG99-AC99</f>
        <v>0</v>
      </c>
      <c r="AI99" s="45">
        <f>AH99*$G$8</f>
        <v>0</v>
      </c>
      <c r="AJ99" s="154"/>
      <c r="AK99" s="13">
        <v>36</v>
      </c>
      <c r="AL99" s="15">
        <f t="shared" ref="AL99:AL100" si="352">AK99-AG99</f>
        <v>0</v>
      </c>
      <c r="AM99" s="45">
        <f>AL99*$G$8</f>
        <v>0</v>
      </c>
      <c r="AN99" s="15"/>
      <c r="AO99" s="13">
        <v>36</v>
      </c>
      <c r="AP99" s="15">
        <f t="shared" ref="AP99:AP100" si="353">AO99-AK99</f>
        <v>0</v>
      </c>
      <c r="AQ99" s="45">
        <f>AP99*$G$8</f>
        <v>0</v>
      </c>
      <c r="AR99" s="15"/>
      <c r="AS99" s="13">
        <v>36</v>
      </c>
      <c r="AT99" s="15">
        <f t="shared" ref="AT99:AT100" si="354">AS99-AO99</f>
        <v>0</v>
      </c>
      <c r="AU99" s="45">
        <f>AT99*$G$8</f>
        <v>0</v>
      </c>
      <c r="AV99" s="15"/>
      <c r="AW99" s="13">
        <v>36</v>
      </c>
      <c r="AX99" s="15">
        <f t="shared" ref="AX99:AX100" si="355">AW99-AS99</f>
        <v>0</v>
      </c>
      <c r="AY99" s="45">
        <f>AX99*$G$8</f>
        <v>0</v>
      </c>
      <c r="AZ99" s="208"/>
      <c r="BA99" s="13">
        <v>36</v>
      </c>
      <c r="BB99" s="15">
        <f t="shared" ref="BB99:BB100" si="356">BA99-AW99</f>
        <v>0</v>
      </c>
      <c r="BC99" s="45">
        <f>BB99*$G$8</f>
        <v>0</v>
      </c>
      <c r="BD99" s="208"/>
      <c r="BE99" s="40">
        <f t="shared" ref="BE99:BG99" si="357">J99+N99+R99+V99+Z99+AD99+AH99+AL99+AP99+AT99+AX99+BB99</f>
        <v>0</v>
      </c>
      <c r="BF99" s="41">
        <f t="shared" si="357"/>
        <v>0</v>
      </c>
      <c r="BG99" s="34">
        <f t="shared" si="357"/>
        <v>0</v>
      </c>
      <c r="BH99" s="35">
        <f t="shared" si="345"/>
        <v>-78</v>
      </c>
      <c r="BK99" s="2" t="b">
        <f>H99='2020'!BH99</f>
        <v>1</v>
      </c>
    </row>
    <row r="100" ht="14.25" customHeight="1" hidden="1" spans="1:63" x14ac:dyDescent="0.25">
      <c r="A100" s="176">
        <v>11</v>
      </c>
      <c r="B100" s="14"/>
      <c r="C100" s="2" t="s">
        <v>90</v>
      </c>
      <c r="D100" s="14" t="s">
        <v>47</v>
      </c>
      <c r="E100" s="2" t="s">
        <v>48</v>
      </c>
      <c r="F100" s="13">
        <v>18.56</v>
      </c>
      <c r="G100" s="35">
        <v>19.46</v>
      </c>
      <c r="H100" s="34">
        <f>'2020'!BH100</f>
        <v>0</v>
      </c>
      <c r="I100" s="13">
        <v>10</v>
      </c>
      <c r="J100" s="15"/>
      <c r="K100" s="15"/>
      <c r="L100" s="28"/>
      <c r="M100" s="13">
        <v>10</v>
      </c>
      <c r="N100" s="15">
        <f t="shared" si="346"/>
        <v>0</v>
      </c>
      <c r="O100" s="15"/>
      <c r="P100" s="15"/>
      <c r="Q100" s="13">
        <v>10</v>
      </c>
      <c r="R100" s="15">
        <f t="shared" si="347"/>
        <v>0</v>
      </c>
      <c r="S100" s="15"/>
      <c r="T100" s="28"/>
      <c r="U100" s="13">
        <v>10</v>
      </c>
      <c r="V100" s="15">
        <f t="shared" si="348"/>
        <v>0</v>
      </c>
      <c r="W100" s="34">
        <f>V100*$F$10</f>
        <v>0</v>
      </c>
      <c r="X100" s="15"/>
      <c r="Y100" s="186">
        <v>10</v>
      </c>
      <c r="Z100" s="2">
        <f t="shared" si="349"/>
        <v>0</v>
      </c>
      <c r="AA100" s="34">
        <f>Z100*$F$10</f>
        <v>0</v>
      </c>
      <c r="AB100" s="28"/>
      <c r="AC100" s="15">
        <v>10</v>
      </c>
      <c r="AD100" s="15">
        <f t="shared" si="350"/>
        <v>0</v>
      </c>
      <c r="AE100" s="34">
        <f>AD100*$F$10</f>
        <v>0</v>
      </c>
      <c r="AF100" s="15"/>
      <c r="AG100" s="15">
        <v>10</v>
      </c>
      <c r="AH100" s="2">
        <f t="shared" si="351"/>
        <v>0</v>
      </c>
      <c r="AI100" s="45">
        <f>AH100*$G$10</f>
        <v>0</v>
      </c>
      <c r="AJ100" s="154"/>
      <c r="AK100" s="13">
        <v>10</v>
      </c>
      <c r="AL100" s="15">
        <f t="shared" si="352"/>
        <v>0</v>
      </c>
      <c r="AM100" s="45">
        <f>AL100*$G$10</f>
        <v>0</v>
      </c>
      <c r="AN100" s="15"/>
      <c r="AO100" s="13">
        <v>10</v>
      </c>
      <c r="AP100" s="15">
        <f t="shared" si="353"/>
        <v>0</v>
      </c>
      <c r="AQ100" s="45">
        <f>AP100*$G$10</f>
        <v>0</v>
      </c>
      <c r="AR100" s="15"/>
      <c r="AS100" s="13">
        <v>10</v>
      </c>
      <c r="AT100" s="15">
        <f t="shared" si="354"/>
        <v>0</v>
      </c>
      <c r="AU100" s="45">
        <f>AT100*$G$10</f>
        <v>0</v>
      </c>
      <c r="AV100" s="15"/>
      <c r="AW100" s="13">
        <v>10</v>
      </c>
      <c r="AX100" s="15">
        <f t="shared" si="355"/>
        <v>0</v>
      </c>
      <c r="AY100" s="45"/>
      <c r="AZ100" s="208"/>
      <c r="BA100" s="13">
        <v>10</v>
      </c>
      <c r="BB100" s="15">
        <f t="shared" si="356"/>
        <v>0</v>
      </c>
      <c r="BC100" s="45"/>
      <c r="BD100" s="208"/>
      <c r="BE100" s="40">
        <f t="shared" ref="BE100:BG100" si="358">J100+N100+R100+V100+Z100+AD100+AH100+AL100+AP100+AT100+AX100+BB100</f>
        <v>0</v>
      </c>
      <c r="BF100" s="41">
        <f t="shared" si="358"/>
        <v>0</v>
      </c>
      <c r="BG100" s="34">
        <f t="shared" si="358"/>
        <v>0</v>
      </c>
      <c r="BH100" s="35">
        <f t="shared" si="345"/>
        <v>0</v>
      </c>
      <c r="BK100" s="2" t="b">
        <f>H100='2020'!BH100</f>
        <v>1</v>
      </c>
    </row>
    <row r="101" ht="14.25" customHeight="1" hidden="1" spans="1:63" x14ac:dyDescent="0.25">
      <c r="A101" s="176">
        <v>11</v>
      </c>
      <c r="B101" s="14"/>
      <c r="C101" s="2" t="s">
        <v>91</v>
      </c>
      <c r="D101" s="14" t="s">
        <v>47</v>
      </c>
      <c r="E101" s="2" t="s">
        <v>49</v>
      </c>
      <c r="F101" s="41">
        <v>500</v>
      </c>
      <c r="G101" s="35"/>
      <c r="H101" s="34">
        <f>'2020'!BH101</f>
        <v>0</v>
      </c>
      <c r="I101" s="13"/>
      <c r="J101" s="15"/>
      <c r="K101" s="15"/>
      <c r="L101" s="28"/>
      <c r="M101" s="13"/>
      <c r="N101" s="15"/>
      <c r="O101" s="15"/>
      <c r="P101" s="15"/>
      <c r="Q101" s="13"/>
      <c r="R101" s="15"/>
      <c r="S101" s="15"/>
      <c r="T101" s="28"/>
      <c r="U101" s="13"/>
      <c r="V101" s="15"/>
      <c r="W101" s="15"/>
      <c r="X101" s="15"/>
      <c r="Y101" s="186"/>
      <c r="Z101" s="2"/>
      <c r="AA101" s="15"/>
      <c r="AB101" s="28"/>
      <c r="AC101" s="15"/>
      <c r="AD101" s="15"/>
      <c r="AE101" s="34"/>
      <c r="AF101" s="15"/>
      <c r="AG101" s="15"/>
      <c r="AH101" s="2"/>
      <c r="AI101" s="45"/>
      <c r="AJ101" s="154"/>
      <c r="AK101" s="13"/>
      <c r="AL101" s="15"/>
      <c r="AM101" s="45"/>
      <c r="AN101" s="15"/>
      <c r="AO101" s="13"/>
      <c r="AP101" s="15"/>
      <c r="AQ101" s="45"/>
      <c r="AR101" s="15"/>
      <c r="AS101" s="13"/>
      <c r="AT101" s="15"/>
      <c r="AU101" s="45"/>
      <c r="AV101" s="15"/>
      <c r="AW101" s="13"/>
      <c r="AX101" s="15"/>
      <c r="AY101" s="45"/>
      <c r="AZ101" s="28"/>
      <c r="BA101" s="13"/>
      <c r="BB101" s="15"/>
      <c r="BC101" s="45"/>
      <c r="BD101" s="28"/>
      <c r="BE101" s="14"/>
      <c r="BF101" s="41">
        <f t="shared" ref="BF101:BG101" si="359">K101+O101+S101+W101+AA101+AE101+AI101+AM101+AQ101+AU101+AY101+BC101</f>
        <v>0</v>
      </c>
      <c r="BG101" s="34">
        <f t="shared" si="359"/>
        <v>0</v>
      </c>
      <c r="BH101" s="35">
        <f t="shared" si="345"/>
        <v>0</v>
      </c>
      <c r="BK101" s="2" t="b">
        <f>H101='2020'!BH101</f>
        <v>1</v>
      </c>
    </row>
    <row r="102" ht="14.25" customHeight="1" hidden="1" spans="1:63" x14ac:dyDescent="0.25">
      <c r="A102" s="176">
        <v>11</v>
      </c>
      <c r="B102" s="14"/>
      <c r="C102" s="73" t="s">
        <v>491</v>
      </c>
      <c r="D102" s="14" t="s">
        <v>50</v>
      </c>
      <c r="E102" s="2" t="s">
        <v>49</v>
      </c>
      <c r="F102" s="41">
        <v>1100</v>
      </c>
      <c r="G102" s="35"/>
      <c r="H102" s="34">
        <f>'2020'!BH102</f>
        <v>4422</v>
      </c>
      <c r="I102" s="13"/>
      <c r="J102" s="15"/>
      <c r="K102" s="15"/>
      <c r="L102" s="28"/>
      <c r="M102" s="13"/>
      <c r="N102" s="15"/>
      <c r="O102" s="15"/>
      <c r="P102" s="15"/>
      <c r="Q102" s="13"/>
      <c r="R102" s="15"/>
      <c r="S102" s="15"/>
      <c r="T102" s="28"/>
      <c r="U102" s="13"/>
      <c r="V102" s="15"/>
      <c r="W102" s="15"/>
      <c r="X102" s="15"/>
      <c r="Y102" s="186"/>
      <c r="Z102" s="2"/>
      <c r="AA102" s="15"/>
      <c r="AB102" s="28"/>
      <c r="AC102" s="15"/>
      <c r="AD102" s="15"/>
      <c r="AE102" s="34">
        <f>B99*$F$12</f>
        <v>4422</v>
      </c>
      <c r="AF102" s="15"/>
      <c r="AG102" s="15"/>
      <c r="AH102" s="2"/>
      <c r="AI102" s="45"/>
      <c r="AJ102" s="306">
        <v>8844</v>
      </c>
      <c r="AK102" s="13"/>
      <c r="AL102" s="15"/>
      <c r="AM102" s="45"/>
      <c r="AN102" s="15"/>
      <c r="AO102" s="13"/>
      <c r="AP102" s="15"/>
      <c r="AQ102" s="45"/>
      <c r="AR102" s="15"/>
      <c r="AS102" s="13"/>
      <c r="AT102" s="15"/>
      <c r="AU102" s="45"/>
      <c r="AV102" s="15"/>
      <c r="AW102" s="13"/>
      <c r="AX102" s="15"/>
      <c r="AY102" s="45"/>
      <c r="AZ102" s="28"/>
      <c r="BA102" s="13"/>
      <c r="BB102" s="15"/>
      <c r="BC102" s="45"/>
      <c r="BD102" s="28"/>
      <c r="BE102" s="14"/>
      <c r="BF102" s="41">
        <f t="shared" ref="BF102:BG102" si="360">K102+O102+S102+W102+AA102+AE102+AI102+AM102+AQ102+AU102+AY102+BC102</f>
        <v>4422</v>
      </c>
      <c r="BG102" s="34">
        <f t="shared" si="360"/>
        <v>8844</v>
      </c>
      <c r="BH102" s="35">
        <f t="shared" si="345"/>
        <v>0</v>
      </c>
      <c r="BK102" s="2" t="b">
        <f>H102='2020'!BH102</f>
        <v>1</v>
      </c>
    </row>
    <row r="103" ht="14.25" customHeight="1" hidden="1" spans="1:63" x14ac:dyDescent="0.25">
      <c r="A103" s="176">
        <v>11</v>
      </c>
      <c r="B103" s="14"/>
      <c r="D103" s="14" t="s">
        <v>51</v>
      </c>
      <c r="E103" s="2" t="s">
        <v>39</v>
      </c>
      <c r="F103" s="41">
        <v>500</v>
      </c>
      <c r="G103" s="35"/>
      <c r="H103" s="34">
        <f>'2020'!BH103</f>
        <v>500</v>
      </c>
      <c r="I103" s="13"/>
      <c r="J103" s="15"/>
      <c r="K103" s="15"/>
      <c r="L103" s="28"/>
      <c r="M103" s="13"/>
      <c r="N103" s="15"/>
      <c r="O103" s="15"/>
      <c r="P103" s="15"/>
      <c r="Q103" s="13"/>
      <c r="R103" s="15"/>
      <c r="S103" s="15"/>
      <c r="T103" s="28"/>
      <c r="U103" s="13"/>
      <c r="V103" s="15"/>
      <c r="W103" s="15"/>
      <c r="X103" s="15"/>
      <c r="Y103" s="186"/>
      <c r="Z103" s="2"/>
      <c r="AA103" s="15"/>
      <c r="AB103" s="28"/>
      <c r="AC103" s="15"/>
      <c r="AD103" s="15"/>
      <c r="AE103" s="180">
        <f>$F$13</f>
      </c>
      <c r="AF103" s="15"/>
      <c r="AG103" s="15"/>
      <c r="AH103" s="2"/>
      <c r="AI103" s="45"/>
      <c r="AJ103" s="306">
        <v>500</v>
      </c>
      <c r="AK103" s="13"/>
      <c r="AL103" s="15"/>
      <c r="AM103" s="45"/>
      <c r="AN103" s="15"/>
      <c r="AO103" s="13"/>
      <c r="AP103" s="15"/>
      <c r="AQ103" s="180"/>
      <c r="AR103" s="15"/>
      <c r="AS103" s="13"/>
      <c r="AT103" s="15"/>
      <c r="AU103" s="45"/>
      <c r="AV103" s="15"/>
      <c r="AW103" s="13"/>
      <c r="AX103" s="15"/>
      <c r="AY103" s="45"/>
      <c r="AZ103" s="28"/>
      <c r="BA103" s="13"/>
      <c r="BB103" s="15"/>
      <c r="BC103" s="45"/>
      <c r="BD103" s="28"/>
      <c r="BE103" s="14"/>
      <c r="BF103" s="41">
        <f t="shared" ref="BF103:BG103" si="361">K103+O103+S103+W103+AA103+AE103+AI103+AM103+AQ103+AU103+AY103+BC103</f>
        <v>0</v>
      </c>
      <c r="BG103" s="34">
        <f t="shared" si="361"/>
        <v>500</v>
      </c>
      <c r="BH103" s="35">
        <f t="shared" si="345"/>
        <v>0</v>
      </c>
      <c r="BK103" s="2" t="b">
        <f>H103='2020'!BH103</f>
        <v>1</v>
      </c>
    </row>
    <row r="104" ht="14.25" customHeight="1" hidden="1" spans="1:63" x14ac:dyDescent="0.25">
      <c r="A104" s="176">
        <v>11</v>
      </c>
      <c r="B104" s="14"/>
      <c r="D104" s="14" t="s">
        <v>51</v>
      </c>
      <c r="E104" s="2" t="s">
        <v>49</v>
      </c>
      <c r="F104" s="41">
        <v>500</v>
      </c>
      <c r="G104" s="35"/>
      <c r="H104" s="34">
        <f>'2020'!BH104</f>
        <v>2010</v>
      </c>
      <c r="I104" s="13"/>
      <c r="J104" s="15"/>
      <c r="K104" s="15"/>
      <c r="L104" s="28"/>
      <c r="M104" s="13"/>
      <c r="N104" s="15"/>
      <c r="O104" s="15"/>
      <c r="P104" s="15"/>
      <c r="Q104" s="13"/>
      <c r="R104" s="15"/>
      <c r="S104" s="15"/>
      <c r="T104" s="28"/>
      <c r="U104" s="13"/>
      <c r="V104" s="15"/>
      <c r="W104" s="15"/>
      <c r="X104" s="15"/>
      <c r="Y104" s="186"/>
      <c r="Z104" s="2"/>
      <c r="AA104" s="15"/>
      <c r="AB104" s="28"/>
      <c r="AC104" s="15"/>
      <c r="AD104" s="15"/>
      <c r="AE104" s="34"/>
      <c r="AF104" s="15"/>
      <c r="AG104" s="15"/>
      <c r="AH104" s="2"/>
      <c r="AI104" s="45"/>
      <c r="AJ104" s="306">
        <v>2010</v>
      </c>
      <c r="AK104" s="13"/>
      <c r="AL104" s="15"/>
      <c r="AM104" s="45"/>
      <c r="AN104" s="15"/>
      <c r="AO104" s="13"/>
      <c r="AP104" s="15"/>
      <c r="AQ104" s="180">
        <f>B99*$F$14</f>
        <v>0</v>
      </c>
      <c r="AR104" s="15"/>
      <c r="AS104" s="13"/>
      <c r="AT104" s="15"/>
      <c r="AU104" s="45"/>
      <c r="AV104" s="15"/>
      <c r="AW104" s="13"/>
      <c r="AX104" s="15"/>
      <c r="AY104" s="45"/>
      <c r="AZ104" s="28"/>
      <c r="BA104" s="13"/>
      <c r="BB104" s="15"/>
      <c r="BC104" s="45"/>
      <c r="BD104" s="28"/>
      <c r="BE104" s="14"/>
      <c r="BF104" s="41">
        <f t="shared" ref="BF104:BG104" si="362">K104+O104+S104+W104+AA104+AE104+AI104+AM104+AQ104+AU104+AY104+BC104</f>
        <v>0</v>
      </c>
      <c r="BG104" s="34">
        <f t="shared" si="362"/>
        <v>2010</v>
      </c>
      <c r="BH104" s="35">
        <f t="shared" si="345"/>
        <v>0</v>
      </c>
      <c r="BK104" s="2" t="b">
        <f>H104='2020'!BH104</f>
        <v>1</v>
      </c>
    </row>
    <row r="105" ht="14.25" customHeight="1" hidden="1" spans="1:63" x14ac:dyDescent="0.25">
      <c r="A105" s="176">
        <v>11</v>
      </c>
      <c r="B105" s="14"/>
      <c r="D105" s="14" t="s">
        <v>52</v>
      </c>
      <c r="E105" s="2" t="s">
        <v>39</v>
      </c>
      <c r="F105" s="41">
        <v>500</v>
      </c>
      <c r="G105" s="35"/>
      <c r="H105" s="34">
        <f>'2020'!BH105</f>
        <v>500</v>
      </c>
      <c r="I105" s="13"/>
      <c r="J105" s="15"/>
      <c r="K105" s="15"/>
      <c r="L105" s="28"/>
      <c r="M105" s="13"/>
      <c r="N105" s="15"/>
      <c r="O105" s="15"/>
      <c r="P105" s="15"/>
      <c r="Q105" s="13"/>
      <c r="R105" s="15"/>
      <c r="S105" s="15"/>
      <c r="T105" s="28"/>
      <c r="U105" s="13"/>
      <c r="V105" s="15"/>
      <c r="W105" s="15"/>
      <c r="X105" s="15"/>
      <c r="Y105" s="186"/>
      <c r="Z105" s="2"/>
      <c r="AA105" s="34">
        <f>$F$15</f>
      </c>
      <c r="AB105" s="35"/>
      <c r="AC105" s="15"/>
      <c r="AD105" s="15"/>
      <c r="AE105" s="15"/>
      <c r="AF105" s="15"/>
      <c r="AG105" s="15"/>
      <c r="AH105" s="2"/>
      <c r="AI105" s="45"/>
      <c r="AJ105" s="2">
        <v>500</v>
      </c>
      <c r="AK105" s="13"/>
      <c r="AL105" s="15"/>
      <c r="AM105" s="45"/>
      <c r="AN105" s="15"/>
      <c r="AO105" s="13"/>
      <c r="AP105" s="15"/>
      <c r="AQ105" s="45"/>
      <c r="AR105" s="15"/>
      <c r="AS105" s="13"/>
      <c r="AT105" s="15"/>
      <c r="AU105" s="45"/>
      <c r="AV105" s="15"/>
      <c r="AW105" s="13"/>
      <c r="AX105" s="15"/>
      <c r="AY105" s="45"/>
      <c r="AZ105" s="35"/>
      <c r="BA105" s="13"/>
      <c r="BB105" s="15"/>
      <c r="BC105" s="45"/>
      <c r="BD105" s="35"/>
      <c r="BE105" s="14"/>
      <c r="BF105" s="41">
        <f t="shared" ref="BF105:BG105" si="363">K105+O105+S105+W105+AA105+AE105+AI105+AM105+AQ105+AU105+AY105+BC105</f>
        <v>0</v>
      </c>
      <c r="BG105" s="34">
        <f t="shared" si="363"/>
        <v>500</v>
      </c>
      <c r="BH105" s="35">
        <f t="shared" si="345"/>
        <v>0</v>
      </c>
      <c r="BK105" s="2" t="b">
        <f>H105='2020'!BH105</f>
        <v>1</v>
      </c>
    </row>
    <row r="106" ht="14.25" customHeight="1" hidden="1" spans="1:63" x14ac:dyDescent="0.25">
      <c r="A106" s="177">
        <v>11</v>
      </c>
      <c r="B106" s="21"/>
      <c r="C106" s="22" t="s">
        <v>53</v>
      </c>
      <c r="D106" s="21"/>
      <c r="E106" s="22"/>
      <c r="F106" s="20"/>
      <c r="G106" s="23"/>
      <c r="H106" s="51">
        <f>SUM(H98:H105)</f>
        <v>7421.67</v>
      </c>
      <c r="I106" s="52"/>
      <c r="J106" s="53"/>
      <c r="K106" s="51">
        <f t="shared" ref="K106:L106" si="364">SUM(K98:K105)</f>
        <v>13.71</v>
      </c>
      <c r="L106" s="68">
        <f t="shared" si="364"/>
        <v>0</v>
      </c>
      <c r="M106" s="52"/>
      <c r="N106" s="53"/>
      <c r="O106" s="51">
        <f t="shared" ref="O106:P106" si="365">SUM(O98:O105)</f>
        <v>12.38</v>
      </c>
      <c r="P106" s="68">
        <f t="shared" si="365"/>
        <v>0</v>
      </c>
      <c r="Q106" s="52"/>
      <c r="R106" s="53"/>
      <c r="S106" s="51">
        <f t="shared" ref="S106:T106" si="366">SUM(S98:S105)</f>
        <v>13.71</v>
      </c>
      <c r="T106" s="68">
        <f t="shared" si="366"/>
        <v>0</v>
      </c>
      <c r="U106" s="52"/>
      <c r="V106" s="53"/>
      <c r="W106" s="51">
        <f t="shared" ref="W106:X106" si="367">SUM(W98:W105)</f>
        <v>13.27</v>
      </c>
      <c r="X106" s="68">
        <f t="shared" si="367"/>
        <v>0</v>
      </c>
      <c r="Y106" s="300"/>
      <c r="Z106" s="301"/>
      <c r="AA106" s="51">
        <f t="shared" ref="AA106:AB106" si="368">SUM(AA98:AA105)</f>
        <v>13.71</v>
      </c>
      <c r="AB106" s="68">
        <f t="shared" si="368"/>
        <v>0</v>
      </c>
      <c r="AC106" s="53"/>
      <c r="AD106" s="53"/>
      <c r="AE106" s="51">
        <f t="shared" ref="AE106:AF106" si="369">SUM(AE98:AE105)</f>
        <v>4435.27</v>
      </c>
      <c r="AF106" s="68">
        <f t="shared" si="369"/>
        <v>0</v>
      </c>
      <c r="AG106" s="53"/>
      <c r="AH106" s="301"/>
      <c r="AI106" s="183">
        <f t="shared" ref="AI106:AJ106" si="370">SUM(AI98:AI105)</f>
        <v>0</v>
      </c>
      <c r="AJ106" s="51">
        <f t="shared" si="370"/>
        <v>12001.72</v>
      </c>
      <c r="AK106" s="52"/>
      <c r="AL106" s="53"/>
      <c r="AM106" s="183">
        <f t="shared" ref="AM106:AN106" si="371">SUM(AM98:AM105)</f>
        <v>0</v>
      </c>
      <c r="AN106" s="51">
        <f t="shared" si="371"/>
        <v>0</v>
      </c>
      <c r="AO106" s="52"/>
      <c r="AP106" s="53"/>
      <c r="AQ106" s="183">
        <f t="shared" ref="AQ106:AR106" si="372">SUM(AQ98:AQ105)</f>
        <v>0</v>
      </c>
      <c r="AR106" s="51">
        <f t="shared" si="372"/>
        <v>0</v>
      </c>
      <c r="AS106" s="52"/>
      <c r="AT106" s="53"/>
      <c r="AU106" s="183">
        <f t="shared" ref="AU106:AV106" si="373">SUM(AU98:AU105)</f>
        <v>0</v>
      </c>
      <c r="AV106" s="68">
        <f t="shared" si="373"/>
        <v>0</v>
      </c>
      <c r="AW106" s="52"/>
      <c r="AX106" s="53"/>
      <c r="AY106" s="183">
        <f t="shared" ref="AY106:AZ106" si="374">SUM(AY98:AY105)</f>
        <v>0</v>
      </c>
      <c r="AZ106" s="68">
        <f t="shared" si="374"/>
        <v>0</v>
      </c>
      <c r="BA106" s="52"/>
      <c r="BB106" s="53"/>
      <c r="BC106" s="183">
        <f t="shared" ref="BC106:BD106" si="375">SUM(BC98:BC105)</f>
        <v>0</v>
      </c>
      <c r="BD106" s="68">
        <f t="shared" si="375"/>
        <v>0</v>
      </c>
      <c r="BE106" s="69"/>
      <c r="BF106" s="70">
        <f t="shared" ref="BF106:BH106" si="376">SUM(BF98:BF105)</f>
        <v>4502.05</v>
      </c>
      <c r="BG106" s="71">
        <f t="shared" si="376"/>
        <v>12001.72</v>
      </c>
      <c r="BH106" s="72">
        <f t="shared" si="376"/>
        <v>-78</v>
      </c>
      <c r="BI106" s="34">
        <f>H106+BF106-BG106</f>
        <v>-78</v>
      </c>
      <c r="BJ106" s="34">
        <f>BH106-BI106</f>
        <v>0</v>
      </c>
      <c r="BK106" s="2" t="b">
        <f>H106='2020'!BH106</f>
        <v>1</v>
      </c>
    </row>
    <row r="107" ht="14.25" customHeight="1" hidden="1" spans="1:63" x14ac:dyDescent="0.25">
      <c r="A107" s="175">
        <v>12</v>
      </c>
      <c r="B107" s="14"/>
      <c r="D107" s="14" t="s">
        <v>379</v>
      </c>
      <c r="F107" s="13"/>
      <c r="G107" s="28"/>
      <c r="H107" s="34">
        <f>'2020'!BH107</f>
        <v>0</v>
      </c>
      <c r="I107" s="13"/>
      <c r="J107" s="15"/>
      <c r="K107" s="15"/>
      <c r="L107" s="28"/>
      <c r="M107" s="13"/>
      <c r="N107" s="15"/>
      <c r="O107" s="15"/>
      <c r="P107" s="15"/>
      <c r="Q107" s="13"/>
      <c r="R107" s="15"/>
      <c r="S107" s="15"/>
      <c r="T107" s="28"/>
      <c r="U107" s="13"/>
      <c r="V107" s="15"/>
      <c r="W107" s="15"/>
      <c r="X107" s="15"/>
      <c r="Y107" s="186"/>
      <c r="Z107" s="2"/>
      <c r="AA107" s="15"/>
      <c r="AB107" s="28"/>
      <c r="AC107" s="15"/>
      <c r="AD107" s="15"/>
      <c r="AE107" s="15"/>
      <c r="AF107" s="15"/>
      <c r="AG107" s="15"/>
      <c r="AH107" s="2"/>
      <c r="AI107" s="45"/>
      <c r="AJ107" s="15"/>
      <c r="AK107" s="13"/>
      <c r="AL107" s="15"/>
      <c r="AM107" s="45"/>
      <c r="AN107" s="15"/>
      <c r="AO107" s="13"/>
      <c r="AP107" s="15"/>
      <c r="AQ107" s="45"/>
      <c r="AR107" s="15"/>
      <c r="AS107" s="13"/>
      <c r="AT107" s="15"/>
      <c r="AU107" s="45"/>
      <c r="AV107" s="15"/>
      <c r="AW107" s="13"/>
      <c r="AX107" s="15"/>
      <c r="AY107" s="45"/>
      <c r="AZ107" s="28"/>
      <c r="BA107" s="13"/>
      <c r="BB107" s="15"/>
      <c r="BC107" s="45"/>
      <c r="BD107" s="28"/>
      <c r="BE107" s="14"/>
      <c r="BF107" s="41">
        <f t="shared" ref="BF107:BG107" si="377">K107+O107+S107+W107+AA107+AE107+AI107+AM107+AQ107+AU107+AY107+BC107</f>
        <v>0</v>
      </c>
      <c r="BG107" s="34">
        <f t="shared" si="377"/>
        <v>0</v>
      </c>
      <c r="BH107" s="35">
        <f t="shared" ref="BH107:BH114" si="378">H107+BF107-BG107</f>
        <v>0</v>
      </c>
      <c r="BK107" s="2" t="b">
        <f>H107='2020'!BH107</f>
        <v>1</v>
      </c>
    </row>
    <row r="108" ht="14.25" customHeight="1" hidden="1" spans="1:63" x14ac:dyDescent="0.25">
      <c r="A108" s="176">
        <v>12</v>
      </c>
      <c r="B108" s="14">
        <v>4.02</v>
      </c>
      <c r="C108" s="15" t="s">
        <v>92</v>
      </c>
      <c r="D108" s="14" t="s">
        <v>44</v>
      </c>
      <c r="E108" s="2" t="s">
        <v>45</v>
      </c>
      <c r="F108" s="41">
        <v>2.5</v>
      </c>
      <c r="G108" s="35">
        <v>2.6</v>
      </c>
      <c r="H108" s="104">
        <f>'2020'!BH108</f>
        <v>0</v>
      </c>
      <c r="I108" s="13">
        <v>0</v>
      </c>
      <c r="J108" s="15">
        <f>I108-'2020'!BA108</f>
        <v>0</v>
      </c>
      <c r="K108" s="34">
        <f>J108*$F$8</f>
        <v>0</v>
      </c>
      <c r="L108" s="28"/>
      <c r="M108" s="13">
        <v>0</v>
      </c>
      <c r="N108" s="15">
        <f t="shared" ref="N108:N109" si="379">M108-I108</f>
        <v>0</v>
      </c>
      <c r="O108" s="34">
        <f>N108*$F$8</f>
        <v>0</v>
      </c>
      <c r="P108" s="15"/>
      <c r="Q108" s="13">
        <v>0</v>
      </c>
      <c r="R108" s="15">
        <f t="shared" ref="R108:R109" si="380">Q108-M108</f>
        <v>0</v>
      </c>
      <c r="S108" s="34">
        <f>R108*$F$8</f>
        <v>0</v>
      </c>
      <c r="T108" s="28"/>
      <c r="U108" s="13">
        <v>0</v>
      </c>
      <c r="V108" s="15">
        <f t="shared" ref="V108:V109" si="381">U108-Q108</f>
        <v>0</v>
      </c>
      <c r="W108" s="34">
        <f>V108*$F$8</f>
        <v>0</v>
      </c>
      <c r="X108" s="15"/>
      <c r="Y108" s="186"/>
      <c r="Z108" s="2">
        <f t="shared" ref="Z108:Z109" si="382">Y108-U108</f>
        <v>0</v>
      </c>
      <c r="AA108" s="34">
        <f>Z108*$F$8</f>
        <v>0</v>
      </c>
      <c r="AB108" s="28"/>
      <c r="AC108" s="15"/>
      <c r="AD108" s="15">
        <f t="shared" ref="AD108:AD109" si="383">AC108-Y108</f>
        <v>0</v>
      </c>
      <c r="AE108" s="180">
        <f>AD108*$F$8</f>
        <v>0</v>
      </c>
      <c r="AF108" s="15"/>
      <c r="AG108" s="15"/>
      <c r="AH108" s="2">
        <f t="shared" ref="AH108:AH109" si="384">AG108-AC108</f>
        <v>0</v>
      </c>
      <c r="AI108" s="45">
        <f>AH108*$G$8</f>
        <v>0</v>
      </c>
      <c r="AJ108" s="15"/>
      <c r="AK108" s="13"/>
      <c r="AL108" s="15">
        <f t="shared" ref="AL108:AL109" si="385">AK108-AG108</f>
        <v>0</v>
      </c>
      <c r="AM108" s="45">
        <f>AL108*$G$8</f>
        <v>0</v>
      </c>
      <c r="AN108" s="15"/>
      <c r="AO108" s="13"/>
      <c r="AP108" s="15">
        <f t="shared" ref="AP108:AP109" si="386">AO108-AK108</f>
        <v>0</v>
      </c>
      <c r="AQ108" s="45">
        <f>AP108*$G$8</f>
        <v>0</v>
      </c>
      <c r="AR108" s="15"/>
      <c r="AS108" s="13"/>
      <c r="AT108" s="15">
        <f t="shared" ref="AT108:AT109" si="387">AS108-AO108</f>
        <v>0</v>
      </c>
      <c r="AU108" s="45">
        <f>AT108*$G$8</f>
        <v>0</v>
      </c>
      <c r="AV108" s="15"/>
      <c r="AW108" s="13"/>
      <c r="AX108" s="15">
        <f t="shared" ref="AX108:AX109" si="388">AW108-AS108</f>
        <v>0</v>
      </c>
      <c r="AY108" s="45">
        <f>AX108*$G$8</f>
        <v>0</v>
      </c>
      <c r="AZ108" s="208"/>
      <c r="BA108" s="13"/>
      <c r="BB108" s="15">
        <f t="shared" ref="BB108:BB109" si="389">BA108-AW108</f>
        <v>0</v>
      </c>
      <c r="BC108" s="45">
        <f>BB108*$G$8</f>
        <v>0</v>
      </c>
      <c r="BD108" s="208"/>
      <c r="BE108" s="40">
        <f t="shared" ref="BE108:BG108" si="390">J108+N108+R108+V108+Z108+AD108+AH108+AL108+AP108+AT108+AX108+BB108</f>
        <v>0</v>
      </c>
      <c r="BF108" s="41">
        <f t="shared" si="390"/>
        <v>0</v>
      </c>
      <c r="BG108" s="34">
        <f t="shared" si="390"/>
        <v>0</v>
      </c>
      <c r="BH108" s="35">
        <f t="shared" si="378"/>
        <v>0</v>
      </c>
      <c r="BK108" s="2" t="b">
        <f>H108='2020'!BH108</f>
        <v>1</v>
      </c>
    </row>
    <row r="109" ht="14.25" customHeight="1" hidden="1" spans="1:63" x14ac:dyDescent="0.25">
      <c r="A109" s="176">
        <v>12</v>
      </c>
      <c r="B109" s="14"/>
      <c r="C109" s="15" t="s">
        <v>93</v>
      </c>
      <c r="D109" s="14" t="s">
        <v>47</v>
      </c>
      <c r="E109" s="2" t="s">
        <v>48</v>
      </c>
      <c r="F109" s="13">
        <v>18.56</v>
      </c>
      <c r="G109" s="35">
        <v>19.46</v>
      </c>
      <c r="H109" s="34">
        <f>'2020'!BH109</f>
        <v>0</v>
      </c>
      <c r="I109" s="13"/>
      <c r="J109" s="15"/>
      <c r="K109" s="15"/>
      <c r="L109" s="28"/>
      <c r="M109" s="13"/>
      <c r="N109" s="15">
        <f t="shared" si="379"/>
        <v>0</v>
      </c>
      <c r="O109" s="15"/>
      <c r="P109" s="15"/>
      <c r="Q109" s="13"/>
      <c r="R109" s="15">
        <f t="shared" si="380"/>
        <v>0</v>
      </c>
      <c r="S109" s="15"/>
      <c r="T109" s="28"/>
      <c r="U109" s="13"/>
      <c r="V109" s="15">
        <f t="shared" si="381"/>
        <v>0</v>
      </c>
      <c r="W109" s="34">
        <f>V109*$F$10</f>
        <v>0</v>
      </c>
      <c r="X109" s="15"/>
      <c r="Y109" s="186"/>
      <c r="Z109" s="2">
        <f t="shared" si="382"/>
        <v>0</v>
      </c>
      <c r="AA109" s="34">
        <f>Z109*$F$10</f>
        <v>0</v>
      </c>
      <c r="AB109" s="28"/>
      <c r="AC109" s="15"/>
      <c r="AD109" s="15">
        <f t="shared" si="383"/>
        <v>0</v>
      </c>
      <c r="AE109" s="34">
        <f>AD109*$F$10</f>
        <v>0</v>
      </c>
      <c r="AF109" s="15"/>
      <c r="AG109" s="15"/>
      <c r="AH109" s="2">
        <f t="shared" si="384"/>
        <v>0</v>
      </c>
      <c r="AI109" s="45">
        <f>AH109*$G$10</f>
        <v>0</v>
      </c>
      <c r="AJ109" s="15"/>
      <c r="AK109" s="13"/>
      <c r="AL109" s="15">
        <f t="shared" si="385"/>
        <v>0</v>
      </c>
      <c r="AM109" s="45">
        <f>AL109*$G$10</f>
        <v>0</v>
      </c>
      <c r="AN109" s="15"/>
      <c r="AO109" s="13"/>
      <c r="AP109" s="15">
        <f t="shared" si="386"/>
        <v>0</v>
      </c>
      <c r="AQ109" s="45">
        <f>AP109*$G$10</f>
        <v>0</v>
      </c>
      <c r="AR109" s="15"/>
      <c r="AS109" s="13"/>
      <c r="AT109" s="15">
        <f t="shared" si="387"/>
        <v>0</v>
      </c>
      <c r="AU109" s="45">
        <f>AT109*$G$10</f>
        <v>0</v>
      </c>
      <c r="AV109" s="15"/>
      <c r="AW109" s="13"/>
      <c r="AX109" s="15">
        <f t="shared" si="388"/>
        <v>0</v>
      </c>
      <c r="AY109" s="45"/>
      <c r="AZ109" s="208"/>
      <c r="BA109" s="13"/>
      <c r="BB109" s="15">
        <f t="shared" si="389"/>
        <v>0</v>
      </c>
      <c r="BC109" s="45"/>
      <c r="BD109" s="208"/>
      <c r="BE109" s="40">
        <f t="shared" ref="BE109:BG109" si="391">J109+N109+R109+V109+Z109+AD109+AH109+AL109+AP109+AT109+AX109+BB109</f>
        <v>0</v>
      </c>
      <c r="BF109" s="41">
        <f t="shared" si="391"/>
        <v>0</v>
      </c>
      <c r="BG109" s="34">
        <f t="shared" si="391"/>
        <v>0</v>
      </c>
      <c r="BH109" s="35">
        <f t="shared" si="378"/>
        <v>0</v>
      </c>
      <c r="BK109" s="2" t="b">
        <f>H109='2020'!BH109</f>
        <v>1</v>
      </c>
    </row>
    <row r="110" ht="14.25" customHeight="1" hidden="1" spans="1:63" x14ac:dyDescent="0.25">
      <c r="A110" s="176">
        <v>12</v>
      </c>
      <c r="B110" s="14"/>
      <c r="C110" s="15" t="s">
        <v>94</v>
      </c>
      <c r="D110" s="14" t="s">
        <v>47</v>
      </c>
      <c r="E110" s="2" t="s">
        <v>49</v>
      </c>
      <c r="F110" s="41">
        <v>500</v>
      </c>
      <c r="G110" s="35"/>
      <c r="H110" s="77">
        <f>'2020'!BH110</f>
        <v>0</v>
      </c>
      <c r="I110" s="13"/>
      <c r="J110" s="15"/>
      <c r="K110" s="15"/>
      <c r="L110" s="28"/>
      <c r="M110" s="13"/>
      <c r="N110" s="15"/>
      <c r="O110" s="15"/>
      <c r="P110" s="15"/>
      <c r="Q110" s="13"/>
      <c r="R110" s="15"/>
      <c r="S110" s="15"/>
      <c r="T110" s="28"/>
      <c r="U110" s="13"/>
      <c r="V110" s="15"/>
      <c r="W110" s="15"/>
      <c r="X110" s="15"/>
      <c r="Y110" s="186"/>
      <c r="Z110" s="2"/>
      <c r="AA110" s="34">
        <f>B108*$F$11</f>
        <v>2010</v>
      </c>
      <c r="AB110" s="28"/>
      <c r="AC110" s="15"/>
      <c r="AD110" s="15"/>
      <c r="AE110" s="34"/>
      <c r="AF110" s="15"/>
      <c r="AG110" s="15"/>
      <c r="AH110" s="2"/>
      <c r="AI110" s="45"/>
      <c r="AJ110" s="15"/>
      <c r="AK110" s="13"/>
      <c r="AL110" s="15"/>
      <c r="AM110" s="45"/>
      <c r="AN110" s="305">
        <v>2010</v>
      </c>
      <c r="AO110" s="13"/>
      <c r="AP110" s="15"/>
      <c r="AQ110" s="45"/>
      <c r="AR110" s="34"/>
      <c r="AS110" s="13"/>
      <c r="AT110" s="15"/>
      <c r="AU110" s="45"/>
      <c r="AV110" s="15"/>
      <c r="AW110" s="13"/>
      <c r="AX110" s="15"/>
      <c r="AY110" s="45"/>
      <c r="AZ110" s="28"/>
      <c r="BA110" s="13"/>
      <c r="BB110" s="15"/>
      <c r="BC110" s="45"/>
      <c r="BD110" s="28"/>
      <c r="BE110" s="14"/>
      <c r="BF110" s="41">
        <f t="shared" ref="BF110:BG110" si="392">K110+O110+S110+W110+AA110+AE110+AI110+AM110+AQ110+AU110+AY110+BC110</f>
        <v>2010</v>
      </c>
      <c r="BG110" s="34">
        <f t="shared" si="392"/>
        <v>2010</v>
      </c>
      <c r="BH110" s="35">
        <f t="shared" si="378"/>
        <v>0</v>
      </c>
      <c r="BK110" s="2" t="b">
        <f>H110='2020'!BH110</f>
        <v>1</v>
      </c>
    </row>
    <row r="111" ht="14.25" customHeight="1" hidden="1" spans="1:63" x14ac:dyDescent="0.25">
      <c r="A111" s="176">
        <v>12</v>
      </c>
      <c r="B111" s="14"/>
      <c r="C111" s="15" t="s">
        <v>95</v>
      </c>
      <c r="D111" s="14" t="s">
        <v>50</v>
      </c>
      <c r="E111" s="2" t="s">
        <v>49</v>
      </c>
      <c r="F111" s="41">
        <v>1100</v>
      </c>
      <c r="G111" s="35"/>
      <c r="H111" s="180">
        <f>'2020'!BH111</f>
        <v>0</v>
      </c>
      <c r="I111" s="13"/>
      <c r="J111" s="15"/>
      <c r="K111" s="15"/>
      <c r="L111" s="28"/>
      <c r="M111" s="13"/>
      <c r="N111" s="15"/>
      <c r="O111" s="15"/>
      <c r="P111" s="15"/>
      <c r="Q111" s="13"/>
      <c r="R111" s="15"/>
      <c r="S111" s="15"/>
      <c r="T111" s="28"/>
      <c r="U111" s="13"/>
      <c r="V111" s="15"/>
      <c r="W111" s="15"/>
      <c r="X111" s="15"/>
      <c r="Y111" s="186"/>
      <c r="Z111" s="2"/>
      <c r="AA111" s="15"/>
      <c r="AB111" s="28"/>
      <c r="AC111" s="15"/>
      <c r="AD111" s="15"/>
      <c r="AE111" s="34">
        <f>B108*$F$12</f>
        <v>4422</v>
      </c>
      <c r="AF111" s="15"/>
      <c r="AG111" s="15"/>
      <c r="AH111" s="2"/>
      <c r="AI111" s="45"/>
      <c r="AJ111" s="15"/>
      <c r="AK111" s="13"/>
      <c r="AL111" s="15"/>
      <c r="AM111" s="45"/>
      <c r="AN111" s="305">
        <v>4422</v>
      </c>
      <c r="AO111" s="13"/>
      <c r="AP111" s="15"/>
      <c r="AQ111" s="45"/>
      <c r="AR111" s="34"/>
      <c r="AS111" s="13"/>
      <c r="AT111" s="15"/>
      <c r="AU111" s="45"/>
      <c r="AV111" s="15"/>
      <c r="AW111" s="13"/>
      <c r="AX111" s="15"/>
      <c r="AY111" s="45"/>
      <c r="AZ111" s="28"/>
      <c r="BA111" s="13"/>
      <c r="BB111" s="15"/>
      <c r="BC111" s="45"/>
      <c r="BD111" s="28"/>
      <c r="BE111" s="14"/>
      <c r="BF111" s="41">
        <f t="shared" ref="BF111:BG111" si="393">K111+O111+S111+W111+AA111+AE111+AI111+AM111+AQ111+AU111+AY111+BC111</f>
        <v>4422</v>
      </c>
      <c r="BG111" s="34">
        <f t="shared" si="393"/>
        <v>4422</v>
      </c>
      <c r="BH111" s="35">
        <f t="shared" si="378"/>
        <v>0</v>
      </c>
      <c r="BK111" s="2" t="b">
        <f>H111='2020'!BH111</f>
        <v>1</v>
      </c>
    </row>
    <row r="112" ht="14.25" customHeight="1" hidden="1" spans="1:63" x14ac:dyDescent="0.25">
      <c r="A112" s="176">
        <v>12</v>
      </c>
      <c r="B112" s="14"/>
      <c r="C112" s="15" t="s">
        <v>385</v>
      </c>
      <c r="D112" s="14" t="s">
        <v>51</v>
      </c>
      <c r="E112" s="2" t="s">
        <v>39</v>
      </c>
      <c r="F112" s="41">
        <v>500</v>
      </c>
      <c r="G112" s="35"/>
      <c r="H112" s="180">
        <f>'2020'!BH112</f>
        <v>0</v>
      </c>
      <c r="I112" s="13"/>
      <c r="J112" s="15"/>
      <c r="K112" s="15"/>
      <c r="L112" s="28"/>
      <c r="M112" s="13"/>
      <c r="N112" s="15"/>
      <c r="O112" s="15"/>
      <c r="P112" s="15"/>
      <c r="Q112" s="13"/>
      <c r="R112" s="15"/>
      <c r="S112" s="15"/>
      <c r="T112" s="28"/>
      <c r="U112" s="13"/>
      <c r="V112" s="15"/>
      <c r="W112" s="15"/>
      <c r="X112" s="15"/>
      <c r="Y112" s="186"/>
      <c r="Z112" s="2"/>
      <c r="AA112" s="15"/>
      <c r="AB112" s="28"/>
      <c r="AC112" s="15"/>
      <c r="AD112" s="15"/>
      <c r="AE112" s="180">
        <f>$F$13</f>
      </c>
      <c r="AF112" s="15"/>
      <c r="AG112" s="15"/>
      <c r="AH112" s="2"/>
      <c r="AI112" s="45"/>
      <c r="AJ112" s="15"/>
      <c r="AK112" s="13"/>
      <c r="AL112" s="15"/>
      <c r="AM112" s="45"/>
      <c r="AN112" s="15"/>
      <c r="AO112" s="13"/>
      <c r="AP112" s="15"/>
      <c r="AQ112" s="180"/>
      <c r="AR112" s="34"/>
      <c r="AS112" s="13"/>
      <c r="AT112" s="15"/>
      <c r="AU112" s="45"/>
      <c r="AV112" s="15"/>
      <c r="AW112" s="13"/>
      <c r="AX112" s="15"/>
      <c r="AY112" s="45"/>
      <c r="AZ112" s="28"/>
      <c r="BA112" s="13"/>
      <c r="BB112" s="15"/>
      <c r="BC112" s="45"/>
      <c r="BD112" s="28"/>
      <c r="BE112" s="14"/>
      <c r="BF112" s="41">
        <f t="shared" ref="BF112:BG112" si="394">K112+O112+S112+W112+AA112+AE112+AI112+AM112+AQ112+AU112+AY112+BC112</f>
        <v>0</v>
      </c>
      <c r="BG112" s="34">
        <f t="shared" si="394"/>
        <v>0</v>
      </c>
      <c r="BH112" s="35">
        <f t="shared" si="378"/>
        <v>0</v>
      </c>
      <c r="BK112" s="2" t="b">
        <f>H112='2020'!BH112</f>
        <v>1</v>
      </c>
    </row>
    <row r="113" ht="14.25" customHeight="1" hidden="1" spans="1:63" x14ac:dyDescent="0.25">
      <c r="A113" s="176">
        <v>12</v>
      </c>
      <c r="B113" s="14"/>
      <c r="C113" s="15"/>
      <c r="D113" s="14" t="s">
        <v>51</v>
      </c>
      <c r="E113" s="2" t="s">
        <v>49</v>
      </c>
      <c r="F113" s="41">
        <v>500</v>
      </c>
      <c r="G113" s="35"/>
      <c r="H113" s="180">
        <f>'2020'!BH113</f>
        <v>0</v>
      </c>
      <c r="I113" s="13"/>
      <c r="J113" s="15"/>
      <c r="K113" s="15"/>
      <c r="L113" s="28"/>
      <c r="M113" s="13"/>
      <c r="N113" s="15"/>
      <c r="O113" s="15"/>
      <c r="P113" s="15"/>
      <c r="Q113" s="13"/>
      <c r="R113" s="15"/>
      <c r="S113" s="15"/>
      <c r="T113" s="28"/>
      <c r="U113" s="13"/>
      <c r="V113" s="15"/>
      <c r="W113" s="15"/>
      <c r="X113" s="15"/>
      <c r="Y113" s="186"/>
      <c r="Z113" s="2"/>
      <c r="AA113" s="15"/>
      <c r="AB113" s="28"/>
      <c r="AC113" s="15"/>
      <c r="AD113" s="15"/>
      <c r="AE113" s="34"/>
      <c r="AF113" s="15"/>
      <c r="AG113" s="15"/>
      <c r="AH113" s="2"/>
      <c r="AI113" s="45"/>
      <c r="AJ113" s="15"/>
      <c r="AK113" s="13"/>
      <c r="AL113" s="15"/>
      <c r="AM113" s="45"/>
      <c r="AN113" s="15"/>
      <c r="AO113" s="13"/>
      <c r="AP113" s="15"/>
      <c r="AQ113" s="180">
        <f>B108*$F$14</f>
        <v>0</v>
      </c>
      <c r="AR113" s="34"/>
      <c r="AS113" s="13"/>
      <c r="AT113" s="15"/>
      <c r="AU113" s="45"/>
      <c r="AV113" s="15"/>
      <c r="AW113" s="13"/>
      <c r="AX113" s="15"/>
      <c r="AY113" s="45"/>
      <c r="AZ113" s="28"/>
      <c r="BA113" s="13"/>
      <c r="BB113" s="15"/>
      <c r="BC113" s="45"/>
      <c r="BD113" s="28"/>
      <c r="BE113" s="14"/>
      <c r="BF113" s="41">
        <f t="shared" ref="BF113:BG113" si="395">K113+O113+S113+W113+AA113+AE113+AI113+AM113+AQ113+AU113+AY113+BC113</f>
        <v>0</v>
      </c>
      <c r="BG113" s="34">
        <f t="shared" si="395"/>
        <v>0</v>
      </c>
      <c r="BH113" s="35">
        <f t="shared" si="378"/>
        <v>0</v>
      </c>
      <c r="BK113" s="2" t="b">
        <f>H113='2020'!BH113</f>
        <v>1</v>
      </c>
    </row>
    <row r="114" ht="14.25" customHeight="1" hidden="1" spans="1:63" x14ac:dyDescent="0.25">
      <c r="A114" s="176">
        <v>12</v>
      </c>
      <c r="B114" s="14"/>
      <c r="D114" s="14" t="s">
        <v>52</v>
      </c>
      <c r="E114" s="2" t="s">
        <v>39</v>
      </c>
      <c r="F114" s="41">
        <v>500</v>
      </c>
      <c r="G114" s="35"/>
      <c r="H114" s="180">
        <f>'2020'!BH114</f>
        <v>0</v>
      </c>
      <c r="I114" s="13"/>
      <c r="J114" s="15"/>
      <c r="K114" s="15"/>
      <c r="L114" s="28"/>
      <c r="M114" s="13"/>
      <c r="N114" s="15"/>
      <c r="O114" s="15"/>
      <c r="P114" s="15"/>
      <c r="Q114" s="13"/>
      <c r="R114" s="15"/>
      <c r="S114" s="15"/>
      <c r="T114" s="28"/>
      <c r="U114" s="13"/>
      <c r="V114" s="15"/>
      <c r="W114" s="15"/>
      <c r="X114" s="15"/>
      <c r="Y114" s="186"/>
      <c r="Z114" s="2"/>
      <c r="AA114" s="34">
        <f>$F$15</f>
      </c>
      <c r="AB114" s="28"/>
      <c r="AC114" s="15"/>
      <c r="AD114" s="15"/>
      <c r="AE114" s="15"/>
      <c r="AF114" s="15"/>
      <c r="AG114" s="15"/>
      <c r="AH114" s="2"/>
      <c r="AI114" s="45"/>
      <c r="AJ114" s="15"/>
      <c r="AK114" s="13"/>
      <c r="AL114" s="15"/>
      <c r="AM114" s="45"/>
      <c r="AN114" s="15"/>
      <c r="AO114" s="13"/>
      <c r="AP114" s="15"/>
      <c r="AQ114" s="45"/>
      <c r="AR114" s="34"/>
      <c r="AS114" s="13"/>
      <c r="AT114" s="15"/>
      <c r="AU114" s="45"/>
      <c r="AV114" s="15"/>
      <c r="AW114" s="13"/>
      <c r="AX114" s="15"/>
      <c r="AY114" s="45"/>
      <c r="AZ114" s="35"/>
      <c r="BA114" s="13"/>
      <c r="BB114" s="15"/>
      <c r="BC114" s="45"/>
      <c r="BD114" s="35"/>
      <c r="BE114" s="14"/>
      <c r="BF114" s="41">
        <f t="shared" ref="BF114:BG114" si="396">K114+O114+S114+W114+AA114+AE114+AI114+AM114+AQ114+AU114+AY114+BC114</f>
        <v>0</v>
      </c>
      <c r="BG114" s="34">
        <f t="shared" si="396"/>
        <v>0</v>
      </c>
      <c r="BH114" s="35">
        <f t="shared" si="378"/>
        <v>0</v>
      </c>
      <c r="BK114" s="2" t="b">
        <f>H114='2020'!BH114</f>
        <v>1</v>
      </c>
    </row>
    <row r="115" ht="14.25" customHeight="1" hidden="1" spans="1:63" x14ac:dyDescent="0.25">
      <c r="A115" s="177">
        <v>12</v>
      </c>
      <c r="B115" s="21"/>
      <c r="C115" s="22" t="s">
        <v>53</v>
      </c>
      <c r="D115" s="21"/>
      <c r="E115" s="22"/>
      <c r="F115" s="20"/>
      <c r="G115" s="23"/>
      <c r="H115" s="51">
        <f>SUM(H107:H114)</f>
        <v>0</v>
      </c>
      <c r="I115" s="52"/>
      <c r="J115" s="53"/>
      <c r="K115" s="51">
        <f t="shared" ref="K115:L115" si="397">SUM(K107:K114)</f>
        <v>0</v>
      </c>
      <c r="L115" s="68">
        <f t="shared" si="397"/>
        <v>0</v>
      </c>
      <c r="M115" s="52"/>
      <c r="N115" s="53"/>
      <c r="O115" s="51">
        <f t="shared" ref="O115:P115" si="398">SUM(O107:O114)</f>
        <v>0</v>
      </c>
      <c r="P115" s="68">
        <f t="shared" si="398"/>
        <v>0</v>
      </c>
      <c r="Q115" s="52"/>
      <c r="R115" s="53"/>
      <c r="S115" s="51">
        <f t="shared" ref="S115:T115" si="399">SUM(S107:S114)</f>
        <v>0</v>
      </c>
      <c r="T115" s="68">
        <f t="shared" si="399"/>
        <v>0</v>
      </c>
      <c r="U115" s="52"/>
      <c r="V115" s="53"/>
      <c r="W115" s="51">
        <f t="shared" ref="W115:X115" si="400">SUM(W107:W114)</f>
        <v>0</v>
      </c>
      <c r="X115" s="68">
        <f t="shared" si="400"/>
        <v>0</v>
      </c>
      <c r="Y115" s="300"/>
      <c r="Z115" s="301"/>
      <c r="AA115" s="51">
        <f t="shared" ref="AA115:AB115" si="401">SUM(AA107:AA114)</f>
        <v>2010</v>
      </c>
      <c r="AB115" s="68">
        <f t="shared" si="401"/>
        <v>0</v>
      </c>
      <c r="AC115" s="53"/>
      <c r="AD115" s="53"/>
      <c r="AE115" s="51">
        <f t="shared" ref="AE115:AF115" si="402">SUM(AE107:AE114)</f>
        <v>4422</v>
      </c>
      <c r="AF115" s="68">
        <f t="shared" si="402"/>
        <v>0</v>
      </c>
      <c r="AG115" s="53"/>
      <c r="AH115" s="301"/>
      <c r="AI115" s="183">
        <f t="shared" ref="AI115:AJ115" si="403">SUM(AI107:AI114)</f>
        <v>0</v>
      </c>
      <c r="AJ115" s="51">
        <f t="shared" si="403"/>
        <v>0</v>
      </c>
      <c r="AK115" s="52"/>
      <c r="AL115" s="53"/>
      <c r="AM115" s="183">
        <f t="shared" ref="AM115:AN115" si="404">SUM(AM107:AM114)</f>
        <v>0</v>
      </c>
      <c r="AN115" s="51">
        <f t="shared" si="404"/>
        <v>6432</v>
      </c>
      <c r="AO115" s="52"/>
      <c r="AP115" s="53"/>
      <c r="AQ115" s="183">
        <f t="shared" ref="AQ115:AR115" si="405">SUM(AQ107:AQ114)</f>
        <v>0</v>
      </c>
      <c r="AR115" s="51">
        <f t="shared" si="405"/>
        <v>0</v>
      </c>
      <c r="AS115" s="52"/>
      <c r="AT115" s="53"/>
      <c r="AU115" s="183">
        <f t="shared" ref="AU115:AV115" si="406">SUM(AU107:AU114)</f>
        <v>0</v>
      </c>
      <c r="AV115" s="68">
        <f t="shared" si="406"/>
        <v>0</v>
      </c>
      <c r="AW115" s="52"/>
      <c r="AX115" s="53"/>
      <c r="AY115" s="183">
        <f t="shared" ref="AY115:AZ115" si="407">SUM(AY107:AY114)</f>
        <v>0</v>
      </c>
      <c r="AZ115" s="68">
        <f t="shared" si="407"/>
        <v>0</v>
      </c>
      <c r="BA115" s="52"/>
      <c r="BB115" s="53"/>
      <c r="BC115" s="183">
        <f t="shared" ref="BC115:BD115" si="408">SUM(BC107:BC114)</f>
        <v>0</v>
      </c>
      <c r="BD115" s="68">
        <f t="shared" si="408"/>
        <v>0</v>
      </c>
      <c r="BE115" s="69"/>
      <c r="BF115" s="70">
        <f t="shared" ref="BF115:BH115" si="409">SUM(BF107:BF114)</f>
        <v>6432</v>
      </c>
      <c r="BG115" s="71">
        <f t="shared" si="409"/>
        <v>6432</v>
      </c>
      <c r="BH115" s="72">
        <f t="shared" si="409"/>
        <v>0</v>
      </c>
      <c r="BI115" s="34">
        <f>H115+BF115-BG115</f>
        <v>0</v>
      </c>
      <c r="BJ115" s="34">
        <f>BH115-BI115</f>
        <v>0</v>
      </c>
      <c r="BK115" s="2" t="b">
        <f>H115='2020'!BH115</f>
        <v>1</v>
      </c>
    </row>
    <row r="116" ht="14.25" customHeight="1" hidden="1" spans="1:63" x14ac:dyDescent="0.25">
      <c r="A116" s="89" t="s">
        <v>96</v>
      </c>
      <c r="B116" s="14"/>
      <c r="D116" s="14" t="s">
        <v>379</v>
      </c>
      <c r="F116" s="13"/>
      <c r="G116" s="28"/>
      <c r="H116" s="34">
        <f>'2020'!BH116</f>
        <v>0</v>
      </c>
      <c r="I116" s="13"/>
      <c r="J116" s="15"/>
      <c r="K116" s="15"/>
      <c r="L116" s="28"/>
      <c r="M116" s="13"/>
      <c r="N116" s="15"/>
      <c r="O116" s="15"/>
      <c r="P116" s="15"/>
      <c r="Q116" s="13"/>
      <c r="R116" s="15"/>
      <c r="S116" s="15"/>
      <c r="T116" s="28"/>
      <c r="U116" s="13"/>
      <c r="V116" s="15"/>
      <c r="W116" s="15"/>
      <c r="X116" s="15"/>
      <c r="Y116" s="186"/>
      <c r="Z116" s="2"/>
      <c r="AA116" s="15"/>
      <c r="AB116" s="28"/>
      <c r="AC116" s="15"/>
      <c r="AD116" s="15"/>
      <c r="AE116" s="15"/>
      <c r="AF116" s="1"/>
      <c r="AG116" s="15"/>
      <c r="AH116" s="2"/>
      <c r="AI116" s="45"/>
      <c r="AJ116" s="180"/>
      <c r="AK116" s="13"/>
      <c r="AL116" s="15"/>
      <c r="AM116" s="45"/>
      <c r="AN116" s="15"/>
      <c r="AO116" s="13"/>
      <c r="AP116" s="15"/>
      <c r="AQ116" s="45">
        <v>13</v>
      </c>
      <c r="AR116" s="15"/>
      <c r="AS116" s="13"/>
      <c r="AT116" s="15"/>
      <c r="AU116" s="45"/>
      <c r="AV116" s="15">
        <v>13</v>
      </c>
      <c r="AW116" s="13"/>
      <c r="AX116" s="15"/>
      <c r="AY116" s="45"/>
      <c r="AZ116" s="28"/>
      <c r="BA116" s="13"/>
      <c r="BB116" s="15"/>
      <c r="BC116" s="45"/>
      <c r="BD116" s="28"/>
      <c r="BE116" s="14"/>
      <c r="BF116" s="41">
        <f t="shared" ref="BF116:BG116" si="410">K116+O116+S116+W116+AA116+AE116+AI116+AM116+AQ116+AU116+AY116+BC116</f>
        <v>13</v>
      </c>
      <c r="BG116" s="34">
        <f t="shared" si="410"/>
        <v>13</v>
      </c>
      <c r="BH116" s="35">
        <f t="shared" ref="BH116:BH123" si="411">H116+BF116-BG116</f>
        <v>0</v>
      </c>
      <c r="BK116" s="2" t="b">
        <f>H116='2020'!BH116</f>
        <v>1</v>
      </c>
    </row>
    <row r="117" ht="14.25" customHeight="1" hidden="1" spans="1:63" x14ac:dyDescent="0.25">
      <c r="A117" s="89" t="s">
        <v>96</v>
      </c>
      <c r="B117" s="14">
        <v>3.94</v>
      </c>
      <c r="C117" s="2" t="s">
        <v>492</v>
      </c>
      <c r="D117" s="14" t="s">
        <v>44</v>
      </c>
      <c r="E117" s="2" t="s">
        <v>45</v>
      </c>
      <c r="F117" s="41">
        <v>2.5</v>
      </c>
      <c r="G117" s="35">
        <v>2.6</v>
      </c>
      <c r="H117" s="34">
        <f>'2020'!BH117</f>
        <v>-146.2</v>
      </c>
      <c r="I117" s="75">
        <v>6537</v>
      </c>
      <c r="J117" s="15">
        <f>I117-'2020'!BA117</f>
        <v>64</v>
      </c>
      <c r="K117" s="34">
        <f>J117*$F$8</f>
        <v>166.4</v>
      </c>
      <c r="L117" s="28"/>
      <c r="M117" s="75">
        <v>6537</v>
      </c>
      <c r="N117" s="15">
        <f t="shared" ref="N117:N118" si="412">M117-I117</f>
        <v>0</v>
      </c>
      <c r="O117" s="34">
        <f>N117*$F$8</f>
        <v>0</v>
      </c>
      <c r="P117" s="15"/>
      <c r="Q117" s="13">
        <v>6537</v>
      </c>
      <c r="R117" s="15">
        <f t="shared" ref="R117:R118" si="413">Q117-M117</f>
        <v>0</v>
      </c>
      <c r="S117" s="34">
        <f>R117*$F$8</f>
        <v>0</v>
      </c>
      <c r="T117" s="28"/>
      <c r="U117" s="13">
        <v>6541</v>
      </c>
      <c r="V117" s="15">
        <f t="shared" ref="V117:V118" si="414">U117-Q117</f>
        <v>4</v>
      </c>
      <c r="W117" s="34">
        <f>V117*$F$8</f>
        <v>10.4</v>
      </c>
      <c r="X117" s="15"/>
      <c r="Y117" s="186">
        <v>6607</v>
      </c>
      <c r="Z117" s="2">
        <f t="shared" ref="Z117:Z118" si="415">Y117-U117</f>
        <v>66</v>
      </c>
      <c r="AA117" s="34">
        <f>Z117*$F$8</f>
        <v>171.6</v>
      </c>
      <c r="AB117" s="28"/>
      <c r="AC117" s="15">
        <v>6708</v>
      </c>
      <c r="AD117" s="15">
        <f t="shared" ref="AD117:AD118" si="416">AC117-Y117</f>
        <v>101</v>
      </c>
      <c r="AE117" s="180">
        <f>AD117*$F$8</f>
        <v>262.6</v>
      </c>
      <c r="AF117" s="1">
        <v>1411.06</v>
      </c>
      <c r="AG117" s="15">
        <v>6788</v>
      </c>
      <c r="AH117" s="2">
        <f t="shared" ref="AH117:AH118" si="417">AG117-AC117</f>
        <v>80</v>
      </c>
      <c r="AI117" s="45">
        <f>AH117*$G$8</f>
        <v>216</v>
      </c>
      <c r="AJ117" s="180"/>
      <c r="AK117" s="13">
        <v>6952</v>
      </c>
      <c r="AL117" s="15">
        <f t="shared" ref="AL117:AL118" si="418">AK117-AG117</f>
        <v>164</v>
      </c>
      <c r="AM117" s="45">
        <f>AL117*$G$8</f>
        <v>442.8</v>
      </c>
      <c r="AN117" s="15"/>
      <c r="AO117" s="13">
        <v>7199</v>
      </c>
      <c r="AP117" s="15">
        <f t="shared" ref="AP117:AP118" si="419">AO117-AK117</f>
        <v>247</v>
      </c>
      <c r="AQ117" s="45">
        <f>AP117*$G$8</f>
        <v>666.9</v>
      </c>
      <c r="AR117" s="15"/>
      <c r="AS117" s="13">
        <v>7797</v>
      </c>
      <c r="AT117" s="15">
        <f t="shared" ref="AT117:AT118" si="420">AS117-AO117</f>
        <v>598</v>
      </c>
      <c r="AU117" s="45">
        <f>AT117*$G$8</f>
        <v>1614.6</v>
      </c>
      <c r="AV117" s="1">
        <v>1397.56</v>
      </c>
      <c r="AW117" s="13">
        <v>8068</v>
      </c>
      <c r="AX117" s="15">
        <f t="shared" ref="AX117:AX118" si="421">AW117-AS117</f>
        <v>271</v>
      </c>
      <c r="AY117" s="45">
        <f>AX117*$G$8</f>
        <v>731.7</v>
      </c>
      <c r="AZ117" s="246">
        <f>1000+500</f>
        <v>1500</v>
      </c>
      <c r="BA117" s="13">
        <v>8068</v>
      </c>
      <c r="BB117" s="15">
        <f t="shared" ref="BB117:BB118" si="422">BA117-AW117</f>
        <v>0</v>
      </c>
      <c r="BC117" s="45">
        <f>BB117*$G$8</f>
        <v>0</v>
      </c>
      <c r="BD117" s="208"/>
      <c r="BE117" s="40">
        <f t="shared" ref="BE117:BG117" si="423">J117+N117+R117+V117+Z117+AD117+AH117+AL117+AP117+AT117+AX117+BB117</f>
        <v>1595</v>
      </c>
      <c r="BF117" s="41">
        <f t="shared" si="423"/>
        <v>4283</v>
      </c>
      <c r="BG117" s="34">
        <f t="shared" si="423"/>
        <v>4308.62</v>
      </c>
      <c r="BH117" s="35">
        <f t="shared" si="411"/>
        <v>-171.82</v>
      </c>
      <c r="BK117" s="2" t="b">
        <f>H117='2020'!BH117</f>
        <v>1</v>
      </c>
    </row>
    <row r="118" ht="14.25" customHeight="1" hidden="1" spans="1:63" x14ac:dyDescent="0.25">
      <c r="A118" s="89" t="s">
        <v>96</v>
      </c>
      <c r="B118" s="14"/>
      <c r="C118" s="2" t="s">
        <v>65</v>
      </c>
      <c r="D118" s="14" t="s">
        <v>47</v>
      </c>
      <c r="E118" s="2" t="s">
        <v>48</v>
      </c>
      <c r="F118" s="13">
        <v>18.56</v>
      </c>
      <c r="G118" s="35">
        <v>19.46</v>
      </c>
      <c r="H118" s="34">
        <f>'2020'!BH118</f>
        <v>-19.8</v>
      </c>
      <c r="I118" s="13">
        <v>55</v>
      </c>
      <c r="J118" s="15"/>
      <c r="K118" s="15"/>
      <c r="L118" s="28"/>
      <c r="M118" s="13">
        <v>55</v>
      </c>
      <c r="N118" s="15">
        <f t="shared" si="412"/>
        <v>0</v>
      </c>
      <c r="O118" s="15"/>
      <c r="P118" s="15"/>
      <c r="Q118" s="13">
        <v>55</v>
      </c>
      <c r="R118" s="15">
        <f t="shared" si="413"/>
        <v>0</v>
      </c>
      <c r="S118" s="15"/>
      <c r="T118" s="28"/>
      <c r="U118" s="13">
        <v>55</v>
      </c>
      <c r="V118" s="15">
        <f t="shared" si="414"/>
        <v>0</v>
      </c>
      <c r="W118" s="34">
        <f>V118*$F$10</f>
        <v>0</v>
      </c>
      <c r="X118" s="15"/>
      <c r="Y118" s="186">
        <v>57</v>
      </c>
      <c r="Z118" s="2">
        <f t="shared" si="415"/>
        <v>2</v>
      </c>
      <c r="AA118" s="34">
        <f>Z118*$F$10</f>
        <v>38.92</v>
      </c>
      <c r="AB118" s="28"/>
      <c r="AC118" s="13">
        <v>69</v>
      </c>
      <c r="AD118" s="15">
        <f t="shared" si="416"/>
        <v>12</v>
      </c>
      <c r="AE118" s="34">
        <f>AD118*$F$10</f>
        <v>233.52</v>
      </c>
      <c r="AF118" s="1">
        <v>618.94</v>
      </c>
      <c r="AG118" s="13">
        <v>73</v>
      </c>
      <c r="AH118" s="2">
        <f t="shared" si="417"/>
        <v>4</v>
      </c>
      <c r="AI118" s="45">
        <f>AH118*$G$10</f>
        <v>81.4</v>
      </c>
      <c r="AJ118" s="1"/>
      <c r="AK118" s="13">
        <v>83</v>
      </c>
      <c r="AL118" s="15">
        <f t="shared" si="418"/>
        <v>10</v>
      </c>
      <c r="AM118" s="45">
        <f>AL118*$G$10</f>
        <v>203.5</v>
      </c>
      <c r="AN118" s="15"/>
      <c r="AO118" s="13">
        <v>87</v>
      </c>
      <c r="AP118" s="15">
        <f t="shared" si="419"/>
        <v>4</v>
      </c>
      <c r="AQ118" s="45">
        <f>AP118*$G$10</f>
        <v>81.4</v>
      </c>
      <c r="AR118" s="15"/>
      <c r="AS118" s="13">
        <v>87</v>
      </c>
      <c r="AT118" s="15">
        <f t="shared" si="420"/>
        <v>0</v>
      </c>
      <c r="AU118" s="45">
        <f>AT118*$G$10</f>
        <v>0</v>
      </c>
      <c r="AV118" s="15"/>
      <c r="AW118" s="13">
        <v>87</v>
      </c>
      <c r="AX118" s="15">
        <f t="shared" si="421"/>
        <v>0</v>
      </c>
      <c r="AY118" s="45"/>
      <c r="AZ118" s="246"/>
      <c r="BA118" s="13">
        <v>87</v>
      </c>
      <c r="BB118" s="15">
        <f t="shared" si="422"/>
        <v>0</v>
      </c>
      <c r="BC118" s="45"/>
      <c r="BD118" s="208"/>
      <c r="BE118" s="40">
        <f t="shared" ref="BE118:BG118" si="424">J118+N118+R118+V118+Z118+AD118+AH118+AL118+AP118+AT118+AX118+BB118</f>
        <v>32</v>
      </c>
      <c r="BF118" s="41">
        <f t="shared" si="424"/>
        <v>638.74</v>
      </c>
      <c r="BG118" s="34">
        <f t="shared" si="424"/>
        <v>618.94</v>
      </c>
      <c r="BH118" s="35">
        <f t="shared" si="411"/>
        <v>0</v>
      </c>
      <c r="BK118" s="2" t="b">
        <f>H118='2020'!BH118</f>
        <v>1</v>
      </c>
    </row>
    <row r="119" ht="14.25" customHeight="1" hidden="1" spans="1:63" x14ac:dyDescent="0.25">
      <c r="A119" s="89" t="s">
        <v>96</v>
      </c>
      <c r="B119" s="14"/>
      <c r="C119" s="2" t="s">
        <v>115</v>
      </c>
      <c r="D119" s="14" t="s">
        <v>47</v>
      </c>
      <c r="E119" s="2" t="s">
        <v>49</v>
      </c>
      <c r="F119" s="41">
        <v>500</v>
      </c>
      <c r="G119" s="35"/>
      <c r="H119" s="34">
        <f>'2020'!BH119</f>
        <v>0</v>
      </c>
      <c r="I119" s="13"/>
      <c r="J119" s="15"/>
      <c r="K119" s="15"/>
      <c r="L119" s="28"/>
      <c r="M119" s="13"/>
      <c r="N119" s="15"/>
      <c r="O119" s="15"/>
      <c r="P119" s="15"/>
      <c r="Q119" s="13"/>
      <c r="R119" s="15"/>
      <c r="S119" s="15"/>
      <c r="T119" s="28"/>
      <c r="U119" s="13"/>
      <c r="V119" s="15"/>
      <c r="W119" s="15"/>
      <c r="X119" s="15"/>
      <c r="Y119" s="186"/>
      <c r="Z119" s="2"/>
      <c r="AA119" s="15"/>
      <c r="AB119" s="28"/>
      <c r="AC119" s="15"/>
      <c r="AD119" s="15"/>
      <c r="AE119" s="34"/>
      <c r="AF119" s="1"/>
      <c r="AG119" s="15"/>
      <c r="AH119" s="2"/>
      <c r="AI119" s="45"/>
      <c r="AJ119" s="1"/>
      <c r="AK119" s="13"/>
      <c r="AL119" s="15"/>
      <c r="AM119" s="45"/>
      <c r="AN119" s="15"/>
      <c r="AO119" s="13"/>
      <c r="AP119" s="15"/>
      <c r="AQ119" s="45"/>
      <c r="AR119" s="15"/>
      <c r="AS119" s="13"/>
      <c r="AT119" s="15"/>
      <c r="AU119" s="45"/>
      <c r="AV119" s="15"/>
      <c r="AW119" s="13"/>
      <c r="AX119" s="15"/>
      <c r="AY119" s="45"/>
      <c r="AZ119" s="28"/>
      <c r="BA119" s="13"/>
      <c r="BB119" s="15"/>
      <c r="BC119" s="45"/>
      <c r="BD119" s="28"/>
      <c r="BE119" s="14"/>
      <c r="BF119" s="41">
        <f t="shared" ref="BF119:BG119" si="425">K119+O119+S119+W119+AA119+AE119+AI119+AM119+AQ119+AU119+AY119+BC119</f>
        <v>0</v>
      </c>
      <c r="BG119" s="34">
        <f t="shared" si="425"/>
        <v>0</v>
      </c>
      <c r="BH119" s="35">
        <f t="shared" si="411"/>
        <v>0</v>
      </c>
      <c r="BK119" s="2" t="b">
        <f>H119='2020'!BH119</f>
        <v>1</v>
      </c>
    </row>
    <row r="120" ht="14.25" customHeight="1" hidden="1" spans="1:63" x14ac:dyDescent="0.25">
      <c r="A120" s="89" t="s">
        <v>96</v>
      </c>
      <c r="B120" s="14"/>
      <c r="C120" s="73" t="s">
        <v>493</v>
      </c>
      <c r="D120" s="14" t="s">
        <v>50</v>
      </c>
      <c r="E120" s="2" t="s">
        <v>49</v>
      </c>
      <c r="F120" s="41">
        <v>1100</v>
      </c>
      <c r="G120" s="35"/>
      <c r="H120" s="34">
        <f>'2020'!BH120</f>
        <v>0</v>
      </c>
      <c r="I120" s="13"/>
      <c r="J120" s="15"/>
      <c r="K120" s="15"/>
      <c r="L120" s="28"/>
      <c r="M120" s="13"/>
      <c r="N120" s="15"/>
      <c r="O120" s="15"/>
      <c r="P120" s="15"/>
      <c r="Q120" s="13"/>
      <c r="R120" s="15"/>
      <c r="S120" s="15"/>
      <c r="T120" s="28"/>
      <c r="U120" s="13"/>
      <c r="V120" s="15"/>
      <c r="W120" s="15"/>
      <c r="X120" s="15"/>
      <c r="Y120" s="186"/>
      <c r="Z120" s="2"/>
      <c r="AA120" s="15"/>
      <c r="AB120" s="28"/>
      <c r="AC120" s="15"/>
      <c r="AD120" s="15"/>
      <c r="AE120" s="34">
        <f>B117*$F$12</f>
        <v>4334</v>
      </c>
      <c r="AF120" s="1"/>
      <c r="AG120" s="15"/>
      <c r="AH120" s="2"/>
      <c r="AI120" s="45"/>
      <c r="AJ120" s="180"/>
      <c r="AK120" s="13"/>
      <c r="AL120" s="15"/>
      <c r="AM120" s="45"/>
      <c r="AN120" s="15"/>
      <c r="AO120" s="13"/>
      <c r="AP120" s="15"/>
      <c r="AQ120" s="45"/>
      <c r="AR120" s="15"/>
      <c r="AS120" s="13"/>
      <c r="AT120" s="15"/>
      <c r="AU120" s="45"/>
      <c r="AV120" s="1">
        <v>4334</v>
      </c>
      <c r="AW120" s="13"/>
      <c r="AX120" s="15"/>
      <c r="AY120" s="45"/>
      <c r="AZ120" s="28"/>
      <c r="BA120" s="13"/>
      <c r="BB120" s="15"/>
      <c r="BC120" s="45"/>
      <c r="BD120" s="28"/>
      <c r="BE120" s="14"/>
      <c r="BF120" s="41">
        <f t="shared" ref="BF120:BG120" si="426">K120+O120+S120+W120+AA120+AE120+AI120+AM120+AQ120+AU120+AY120+BC120</f>
        <v>4334</v>
      </c>
      <c r="BG120" s="34">
        <f t="shared" si="426"/>
        <v>4334</v>
      </c>
      <c r="BH120" s="35">
        <f t="shared" si="411"/>
        <v>0</v>
      </c>
      <c r="BK120" s="2" t="b">
        <f>H120='2020'!BH120</f>
        <v>1</v>
      </c>
    </row>
    <row r="121" ht="14.25" customHeight="1" hidden="1" spans="1:63" x14ac:dyDescent="0.25">
      <c r="A121" s="89" t="s">
        <v>96</v>
      </c>
      <c r="B121" s="14"/>
      <c r="D121" s="14" t="s">
        <v>51</v>
      </c>
      <c r="E121" s="2" t="s">
        <v>39</v>
      </c>
      <c r="F121" s="41">
        <v>500</v>
      </c>
      <c r="G121" s="35"/>
      <c r="H121" s="34">
        <f>'2020'!BH121</f>
        <v>500</v>
      </c>
      <c r="I121" s="13"/>
      <c r="J121" s="15"/>
      <c r="K121" s="15"/>
      <c r="L121" s="28"/>
      <c r="M121" s="13"/>
      <c r="N121" s="15"/>
      <c r="O121" s="15"/>
      <c r="P121" s="15"/>
      <c r="Q121" s="13"/>
      <c r="R121" s="15"/>
      <c r="S121" s="15"/>
      <c r="T121" s="28"/>
      <c r="U121" s="13"/>
      <c r="V121" s="15"/>
      <c r="W121" s="15"/>
      <c r="X121" s="15"/>
      <c r="Y121" s="186"/>
      <c r="Z121" s="2"/>
      <c r="AA121" s="15"/>
      <c r="AB121" s="28"/>
      <c r="AC121" s="15"/>
      <c r="AD121" s="15"/>
      <c r="AE121" s="180">
        <f>$F$13</f>
      </c>
      <c r="AF121" s="1">
        <v>500</v>
      </c>
      <c r="AG121" s="15"/>
      <c r="AH121" s="2"/>
      <c r="AI121" s="45"/>
      <c r="AJ121" s="15"/>
      <c r="AK121" s="13"/>
      <c r="AL121" s="15"/>
      <c r="AM121" s="45"/>
      <c r="AN121" s="15"/>
      <c r="AO121" s="13"/>
      <c r="AP121" s="15"/>
      <c r="AQ121" s="180"/>
      <c r="AR121" s="15"/>
      <c r="AS121" s="13"/>
      <c r="AT121" s="15"/>
      <c r="AU121" s="45"/>
      <c r="AV121" s="15"/>
      <c r="AW121" s="13"/>
      <c r="AX121" s="15"/>
      <c r="AY121" s="45"/>
      <c r="AZ121" s="28"/>
      <c r="BA121" s="13"/>
      <c r="BB121" s="15"/>
      <c r="BC121" s="45"/>
      <c r="BD121" s="28"/>
      <c r="BE121" s="14"/>
      <c r="BF121" s="41">
        <f t="shared" ref="BF121:BG121" si="427">K121+O121+S121+W121+AA121+AE121+AI121+AM121+AQ121+AU121+AY121+BC121</f>
        <v>0</v>
      </c>
      <c r="BG121" s="34">
        <f t="shared" si="427"/>
        <v>500</v>
      </c>
      <c r="BH121" s="35">
        <f t="shared" si="411"/>
        <v>0</v>
      </c>
      <c r="BK121" s="2" t="b">
        <f>H121='2020'!BH121</f>
        <v>1</v>
      </c>
    </row>
    <row r="122" ht="14.25" customHeight="1" hidden="1" spans="1:63" x14ac:dyDescent="0.25">
      <c r="A122" s="89" t="s">
        <v>96</v>
      </c>
      <c r="B122" s="14"/>
      <c r="D122" s="14" t="s">
        <v>51</v>
      </c>
      <c r="E122" s="2" t="s">
        <v>49</v>
      </c>
      <c r="F122" s="41">
        <v>500</v>
      </c>
      <c r="G122" s="35"/>
      <c r="H122" s="34">
        <f>'2020'!BH122</f>
        <v>1970</v>
      </c>
      <c r="I122" s="13"/>
      <c r="J122" s="15"/>
      <c r="K122" s="15"/>
      <c r="L122" s="28"/>
      <c r="M122" s="13"/>
      <c r="N122" s="15"/>
      <c r="O122" s="15"/>
      <c r="P122" s="15"/>
      <c r="Q122" s="13"/>
      <c r="R122" s="15"/>
      <c r="S122" s="15"/>
      <c r="T122" s="28"/>
      <c r="U122" s="13"/>
      <c r="V122" s="15"/>
      <c r="W122" s="15"/>
      <c r="X122" s="15"/>
      <c r="Y122" s="186"/>
      <c r="Z122" s="2"/>
      <c r="AA122" s="15"/>
      <c r="AB122" s="28"/>
      <c r="AC122" s="15"/>
      <c r="AD122" s="15"/>
      <c r="AE122" s="34"/>
      <c r="AF122" s="1">
        <v>1970</v>
      </c>
      <c r="AG122" s="15"/>
      <c r="AH122" s="2"/>
      <c r="AI122" s="45"/>
      <c r="AJ122" s="15"/>
      <c r="AK122" s="13"/>
      <c r="AL122" s="15"/>
      <c r="AM122" s="45"/>
      <c r="AN122" s="15"/>
      <c r="AO122" s="13"/>
      <c r="AP122" s="15"/>
      <c r="AQ122" s="180">
        <f>B117*$F$14</f>
        <v>0</v>
      </c>
      <c r="AR122" s="15"/>
      <c r="AS122" s="13"/>
      <c r="AT122" s="15"/>
      <c r="AU122" s="45"/>
      <c r="AV122" s="15"/>
      <c r="AW122" s="13"/>
      <c r="AX122" s="15"/>
      <c r="AY122" s="45"/>
      <c r="AZ122" s="28"/>
      <c r="BA122" s="13"/>
      <c r="BB122" s="15"/>
      <c r="BC122" s="45"/>
      <c r="BD122" s="28"/>
      <c r="BE122" s="14"/>
      <c r="BF122" s="41">
        <f t="shared" ref="BF122:BG122" si="428">K122+O122+S122+W122+AA122+AE122+AI122+AM122+AQ122+AU122+AY122+BC122</f>
        <v>0</v>
      </c>
      <c r="BG122" s="34">
        <f t="shared" si="428"/>
        <v>1970</v>
      </c>
      <c r="BH122" s="35">
        <f t="shared" si="411"/>
        <v>0</v>
      </c>
      <c r="BK122" s="2" t="b">
        <f>H122='2020'!BH122</f>
        <v>1</v>
      </c>
    </row>
    <row r="123" ht="14.25" customHeight="1" hidden="1" spans="1:63" x14ac:dyDescent="0.25">
      <c r="A123" s="89" t="s">
        <v>96</v>
      </c>
      <c r="B123" s="14"/>
      <c r="D123" s="14" t="s">
        <v>52</v>
      </c>
      <c r="E123" s="2" t="s">
        <v>39</v>
      </c>
      <c r="F123" s="41">
        <v>500</v>
      </c>
      <c r="G123" s="35"/>
      <c r="H123" s="34">
        <f>'2020'!BH123</f>
        <v>0</v>
      </c>
      <c r="I123" s="13"/>
      <c r="J123" s="15"/>
      <c r="K123" s="15"/>
      <c r="L123" s="28"/>
      <c r="M123" s="13"/>
      <c r="N123" s="15"/>
      <c r="O123" s="15"/>
      <c r="P123" s="15"/>
      <c r="Q123" s="13"/>
      <c r="R123" s="15"/>
      <c r="S123" s="15"/>
      <c r="T123" s="28"/>
      <c r="U123" s="13"/>
      <c r="V123" s="15"/>
      <c r="W123" s="15"/>
      <c r="X123" s="15"/>
      <c r="Y123" s="186"/>
      <c r="Z123" s="2"/>
      <c r="AA123" s="34">
        <f>$F$15</f>
      </c>
      <c r="AB123" s="28"/>
      <c r="AC123" s="15"/>
      <c r="AD123" s="15"/>
      <c r="AE123" s="15"/>
      <c r="AF123" s="39"/>
      <c r="AG123" s="15"/>
      <c r="AH123" s="2"/>
      <c r="AI123" s="45"/>
      <c r="AJ123" s="15"/>
      <c r="AK123" s="13"/>
      <c r="AL123" s="15"/>
      <c r="AM123" s="45"/>
      <c r="AN123" s="15"/>
      <c r="AO123" s="13"/>
      <c r="AP123" s="15"/>
      <c r="AQ123" s="45"/>
      <c r="AR123" s="15"/>
      <c r="AS123" s="13"/>
      <c r="AT123" s="15"/>
      <c r="AU123" s="45"/>
      <c r="AV123" s="15"/>
      <c r="AW123" s="13"/>
      <c r="AX123" s="15"/>
      <c r="AY123" s="45"/>
      <c r="AZ123" s="35"/>
      <c r="BA123" s="13"/>
      <c r="BB123" s="15"/>
      <c r="BC123" s="45"/>
      <c r="BD123" s="35"/>
      <c r="BE123" s="14"/>
      <c r="BF123" s="41">
        <f t="shared" ref="BF123:BG123" si="429">K123+O123+S123+W123+AA123+AE123+AI123+AM123+AQ123+AU123+AY123+BC123</f>
        <v>0</v>
      </c>
      <c r="BG123" s="34">
        <f t="shared" si="429"/>
        <v>0</v>
      </c>
      <c r="BH123" s="35">
        <f t="shared" si="411"/>
        <v>0</v>
      </c>
      <c r="BK123" s="2" t="b">
        <f>H123='2020'!BH123</f>
        <v>1</v>
      </c>
    </row>
    <row r="124" ht="14.25" customHeight="1" hidden="1" spans="1:63" x14ac:dyDescent="0.25">
      <c r="A124" s="243" t="s">
        <v>96</v>
      </c>
      <c r="B124" s="21"/>
      <c r="C124" s="22" t="s">
        <v>53</v>
      </c>
      <c r="D124" s="21"/>
      <c r="E124" s="22"/>
      <c r="F124" s="20"/>
      <c r="G124" s="23"/>
      <c r="H124" s="51">
        <f>SUM(H116:H123)</f>
        <v>2304</v>
      </c>
      <c r="I124" s="52"/>
      <c r="J124" s="53"/>
      <c r="K124" s="51">
        <f t="shared" ref="K124:L124" si="430">SUM(K116:K123)</f>
        <v>166.4</v>
      </c>
      <c r="L124" s="68">
        <f t="shared" si="430"/>
        <v>0</v>
      </c>
      <c r="M124" s="52"/>
      <c r="N124" s="53"/>
      <c r="O124" s="51">
        <f t="shared" ref="O124:P124" si="431">SUM(O116:O123)</f>
        <v>0</v>
      </c>
      <c r="P124" s="68">
        <f t="shared" si="431"/>
        <v>0</v>
      </c>
      <c r="Q124" s="52"/>
      <c r="R124" s="53"/>
      <c r="S124" s="51">
        <f t="shared" ref="S124:T124" si="432">SUM(S116:S123)</f>
        <v>0</v>
      </c>
      <c r="T124" s="68">
        <f t="shared" si="432"/>
        <v>0</v>
      </c>
      <c r="U124" s="52"/>
      <c r="V124" s="53"/>
      <c r="W124" s="51">
        <f t="shared" ref="W124:X124" si="433">SUM(W116:W123)</f>
        <v>10.4</v>
      </c>
      <c r="X124" s="68">
        <f t="shared" si="433"/>
        <v>0</v>
      </c>
      <c r="Y124" s="300"/>
      <c r="Z124" s="301"/>
      <c r="AA124" s="51">
        <f t="shared" ref="AA124:AB124" si="434">SUM(AA116:AA123)</f>
        <v>210.52</v>
      </c>
      <c r="AB124" s="68">
        <f t="shared" si="434"/>
        <v>0</v>
      </c>
      <c r="AC124" s="53"/>
      <c r="AD124" s="53"/>
      <c r="AE124" s="51">
        <f t="shared" ref="AE124:AF124" si="435">SUM(AE116:AE123)</f>
        <v>4830.12</v>
      </c>
      <c r="AF124" s="68">
        <f t="shared" si="435"/>
        <v>4500</v>
      </c>
      <c r="AG124" s="53"/>
      <c r="AH124" s="301"/>
      <c r="AI124" s="183">
        <f t="shared" ref="AI124:AJ124" si="436">SUM(AI116:AI123)</f>
        <v>297.4</v>
      </c>
      <c r="AJ124" s="51">
        <f t="shared" si="436"/>
        <v>0</v>
      </c>
      <c r="AK124" s="52"/>
      <c r="AL124" s="53"/>
      <c r="AM124" s="183">
        <f t="shared" ref="AM124:AN124" si="437">SUM(AM116:AM123)</f>
        <v>646.3</v>
      </c>
      <c r="AN124" s="51">
        <f t="shared" si="437"/>
        <v>0</v>
      </c>
      <c r="AO124" s="52"/>
      <c r="AP124" s="53"/>
      <c r="AQ124" s="183">
        <f t="shared" ref="AQ124:AR124" si="438">SUM(AQ116:AQ123)</f>
        <v>761.3</v>
      </c>
      <c r="AR124" s="51">
        <f t="shared" si="438"/>
        <v>0</v>
      </c>
      <c r="AS124" s="52"/>
      <c r="AT124" s="53"/>
      <c r="AU124" s="183">
        <f t="shared" ref="AU124:AV124" si="439">SUM(AU116:AU123)</f>
        <v>1614.6</v>
      </c>
      <c r="AV124" s="68">
        <f t="shared" si="439"/>
        <v>5744.56</v>
      </c>
      <c r="AW124" s="52"/>
      <c r="AX124" s="53"/>
      <c r="AY124" s="183">
        <f t="shared" ref="AY124:AZ124" si="440">SUM(AY116:AY123)</f>
        <v>731.7</v>
      </c>
      <c r="AZ124" s="68">
        <f t="shared" si="440"/>
        <v>1500</v>
      </c>
      <c r="BA124" s="52"/>
      <c r="BB124" s="53"/>
      <c r="BC124" s="183">
        <f t="shared" ref="BC124:BD124" si="441">SUM(BC116:BC123)</f>
        <v>0</v>
      </c>
      <c r="BD124" s="68">
        <f t="shared" si="441"/>
        <v>0</v>
      </c>
      <c r="BE124" s="69"/>
      <c r="BF124" s="70">
        <f t="shared" ref="BF124:BH124" si="442">SUM(BF116:BF123)</f>
        <v>9268.74</v>
      </c>
      <c r="BG124" s="71">
        <f t="shared" si="442"/>
        <v>11744.56</v>
      </c>
      <c r="BH124" s="72">
        <f t="shared" si="442"/>
        <v>-171.82</v>
      </c>
      <c r="BI124" s="34">
        <f>H124+BF124-BG124</f>
        <v>-171.82</v>
      </c>
      <c r="BJ124" s="34">
        <f>BH124-BI124</f>
        <v>0</v>
      </c>
      <c r="BK124" s="2" t="b">
        <f>H124='2020'!BH124</f>
        <v>1</v>
      </c>
    </row>
    <row r="125" ht="14.25" customHeight="1" hidden="1" spans="1:63" x14ac:dyDescent="0.25">
      <c r="A125" s="89" t="s">
        <v>96</v>
      </c>
      <c r="B125" s="14"/>
      <c r="D125" s="14" t="s">
        <v>379</v>
      </c>
      <c r="F125" s="13"/>
      <c r="G125" s="28"/>
      <c r="H125" s="34">
        <f>'2020'!BH125</f>
        <v>0</v>
      </c>
      <c r="I125" s="13"/>
      <c r="J125" s="15"/>
      <c r="K125" s="15"/>
      <c r="L125" s="28"/>
      <c r="M125" s="13"/>
      <c r="N125" s="15"/>
      <c r="O125" s="15"/>
      <c r="P125" s="15"/>
      <c r="Q125" s="13"/>
      <c r="R125" s="15"/>
      <c r="S125" s="15"/>
      <c r="T125" s="28"/>
      <c r="U125" s="13"/>
      <c r="V125" s="15"/>
      <c r="W125" s="15"/>
      <c r="X125" s="15"/>
      <c r="Y125" s="186"/>
      <c r="Z125" s="2"/>
      <c r="AA125" s="15"/>
      <c r="AB125" s="28"/>
      <c r="AC125" s="15"/>
      <c r="AD125" s="15"/>
      <c r="AE125" s="15"/>
      <c r="AF125" s="1"/>
      <c r="AG125" s="15"/>
      <c r="AH125" s="2"/>
      <c r="AI125" s="45"/>
      <c r="AJ125" s="15"/>
      <c r="AK125" s="13"/>
      <c r="AL125" s="15"/>
      <c r="AM125" s="45"/>
      <c r="AN125" s="15"/>
      <c r="AO125" s="13"/>
      <c r="AP125" s="15"/>
      <c r="AQ125" s="45">
        <v>13.2</v>
      </c>
      <c r="AR125" s="15"/>
      <c r="AS125" s="13"/>
      <c r="AT125" s="15"/>
      <c r="AU125" s="45"/>
      <c r="AV125" s="15">
        <v>13.2</v>
      </c>
      <c r="AW125" s="13"/>
      <c r="AX125" s="15"/>
      <c r="AY125" s="45"/>
      <c r="AZ125" s="28"/>
      <c r="BA125" s="13"/>
      <c r="BB125" s="15"/>
      <c r="BC125" s="45"/>
      <c r="BD125" s="28"/>
      <c r="BE125" s="14"/>
      <c r="BF125" s="41">
        <f t="shared" ref="BF125:BG125" si="443">K125+O125+S125+W125+AA125+AE125+AI125+AM125+AQ125+AU125+AY125+BC125</f>
        <v>13.2</v>
      </c>
      <c r="BG125" s="34">
        <f t="shared" si="443"/>
        <v>13.2</v>
      </c>
      <c r="BH125" s="35">
        <f t="shared" ref="BH125:BH132" si="444">H125+BF125-BG125</f>
        <v>0</v>
      </c>
      <c r="BK125" s="2" t="b">
        <f>H125='2020'!BH125</f>
        <v>1</v>
      </c>
    </row>
    <row r="126" ht="14.25" customHeight="1" hidden="1" spans="1:63" x14ac:dyDescent="0.25">
      <c r="A126" s="89" t="s">
        <v>96</v>
      </c>
      <c r="B126" s="42">
        <v>4</v>
      </c>
      <c r="C126" s="2" t="s">
        <v>492</v>
      </c>
      <c r="D126" s="14" t="s">
        <v>44</v>
      </c>
      <c r="E126" s="2" t="s">
        <v>45</v>
      </c>
      <c r="F126" s="41">
        <v>2.5</v>
      </c>
      <c r="G126" s="35">
        <v>2.6</v>
      </c>
      <c r="H126" s="34">
        <f>'2020'!BH126</f>
        <v>0</v>
      </c>
      <c r="I126" s="13">
        <v>0</v>
      </c>
      <c r="J126" s="15">
        <f>I126-'2020'!BA126</f>
        <v>0</v>
      </c>
      <c r="K126" s="34">
        <f>J126*$F$8</f>
        <v>0</v>
      </c>
      <c r="L126" s="28"/>
      <c r="M126" s="13">
        <v>0</v>
      </c>
      <c r="N126" s="15">
        <f t="shared" ref="N126:N127" si="445">M126-I126</f>
        <v>0</v>
      </c>
      <c r="O126" s="34">
        <f>N126*$F$8</f>
        <v>0</v>
      </c>
      <c r="P126" s="15"/>
      <c r="Q126" s="13">
        <v>0</v>
      </c>
      <c r="R126" s="15">
        <f t="shared" ref="R126:R127" si="446">Q126-M126</f>
        <v>0</v>
      </c>
      <c r="S126" s="34">
        <f>R126*$F$8</f>
        <v>0</v>
      </c>
      <c r="T126" s="28"/>
      <c r="U126" s="13">
        <v>0</v>
      </c>
      <c r="V126" s="15">
        <f t="shared" ref="V126:V127" si="447">U126-Q126</f>
        <v>0</v>
      </c>
      <c r="W126" s="34">
        <f>V126*$F$8</f>
        <v>0</v>
      </c>
      <c r="X126" s="15"/>
      <c r="Y126" s="186"/>
      <c r="Z126" s="2">
        <f>Y126-U126</f>
        <v>0</v>
      </c>
      <c r="AA126" s="34">
        <f>Z126*$F$8</f>
        <v>0</v>
      </c>
      <c r="AB126" s="28"/>
      <c r="AC126" s="15"/>
      <c r="AD126" s="15">
        <f t="shared" ref="AD126:AD127" si="448">AC126-Y126</f>
        <v>0</v>
      </c>
      <c r="AE126" s="180">
        <f>AD126*$F$8</f>
        <v>0</v>
      </c>
      <c r="AF126" s="1"/>
      <c r="AG126" s="15"/>
      <c r="AH126" s="2">
        <f t="shared" ref="AH126:AH127" si="449">AG126-AC126</f>
        <v>0</v>
      </c>
      <c r="AI126" s="45">
        <f>AH126*$G$8</f>
        <v>0</v>
      </c>
      <c r="AJ126" s="15"/>
      <c r="AK126" s="13"/>
      <c r="AL126" s="15">
        <f t="shared" ref="AL126:AL127" si="450">AK126-AG126</f>
        <v>0</v>
      </c>
      <c r="AM126" s="45">
        <f>AL126*$G$8</f>
        <v>0</v>
      </c>
      <c r="AN126" s="15"/>
      <c r="AO126" s="13"/>
      <c r="AP126" s="15">
        <f t="shared" ref="AP126:AP127" si="451">AO126-AK126</f>
        <v>0</v>
      </c>
      <c r="AQ126" s="45">
        <f>AP126*$G$8</f>
        <v>0</v>
      </c>
      <c r="AR126" s="15"/>
      <c r="AS126" s="13"/>
      <c r="AT126" s="15">
        <f t="shared" ref="AT126:AT127" si="452">AS126-AO126</f>
        <v>0</v>
      </c>
      <c r="AU126" s="45">
        <f t="shared" ref="AU126:AU127" si="453">AT126*$G$8</f>
        <v>0</v>
      </c>
      <c r="AV126" s="15"/>
      <c r="AW126" s="13"/>
      <c r="AX126" s="15">
        <f t="shared" ref="AX126:AX127" si="454">AW126-AS126</f>
        <v>0</v>
      </c>
      <c r="AY126" s="45">
        <f>AX126*$G$8</f>
        <v>0</v>
      </c>
      <c r="AZ126" s="208"/>
      <c r="BA126" s="13"/>
      <c r="BB126" s="15">
        <f t="shared" ref="BB126:BB127" si="455">BA126-AW126</f>
        <v>0</v>
      </c>
      <c r="BC126" s="45">
        <f>BB126*$G$8</f>
        <v>0</v>
      </c>
      <c r="BD126" s="208"/>
      <c r="BE126" s="40">
        <f t="shared" ref="BE126:BG126" si="456">J126+N126+R126+V126+Z126+AD126+AH126+AL126+AP126+AT126+AX126+BB126</f>
        <v>0</v>
      </c>
      <c r="BF126" s="41">
        <f t="shared" si="456"/>
        <v>0</v>
      </c>
      <c r="BG126" s="34">
        <f t="shared" si="456"/>
        <v>0</v>
      </c>
      <c r="BH126" s="35">
        <f t="shared" si="444"/>
        <v>0</v>
      </c>
      <c r="BK126" s="2" t="b">
        <f>H126='2020'!BH126</f>
        <v>1</v>
      </c>
    </row>
    <row r="127" ht="14.25" customHeight="1" hidden="1" spans="1:63" x14ac:dyDescent="0.25">
      <c r="A127" s="89" t="s">
        <v>96</v>
      </c>
      <c r="B127" s="14"/>
      <c r="C127" s="2" t="s">
        <v>65</v>
      </c>
      <c r="D127" s="14" t="s">
        <v>47</v>
      </c>
      <c r="E127" s="2" t="s">
        <v>48</v>
      </c>
      <c r="F127" s="13">
        <v>18.56</v>
      </c>
      <c r="G127" s="35">
        <v>19.46</v>
      </c>
      <c r="H127" s="34">
        <f>'2020'!BH127</f>
        <v>0</v>
      </c>
      <c r="I127" s="13">
        <v>38</v>
      </c>
      <c r="J127" s="15"/>
      <c r="K127" s="15"/>
      <c r="L127" s="28"/>
      <c r="M127" s="13">
        <v>38</v>
      </c>
      <c r="N127" s="15">
        <f t="shared" si="445"/>
        <v>0</v>
      </c>
      <c r="O127" s="15"/>
      <c r="P127" s="15"/>
      <c r="Q127" s="13">
        <v>38</v>
      </c>
      <c r="R127" s="15">
        <f t="shared" si="446"/>
        <v>0</v>
      </c>
      <c r="S127" s="15"/>
      <c r="T127" s="28"/>
      <c r="U127" s="13">
        <v>38</v>
      </c>
      <c r="V127" s="15">
        <f t="shared" si="447"/>
        <v>0</v>
      </c>
      <c r="W127" s="34">
        <f>V127*$F$10</f>
        <v>0</v>
      </c>
      <c r="X127" s="15"/>
      <c r="Y127" s="186">
        <v>2</v>
      </c>
      <c r="Z127" s="2">
        <v>1</v>
      </c>
      <c r="AA127" s="34">
        <f>Z127*$F$10</f>
        <v>19.46</v>
      </c>
      <c r="AB127" s="28"/>
      <c r="AC127" s="13">
        <v>15</v>
      </c>
      <c r="AD127" s="15">
        <f t="shared" si="448"/>
        <v>13</v>
      </c>
      <c r="AE127" s="34">
        <f>AD127*$F$10</f>
        <v>252.98</v>
      </c>
      <c r="AF127" s="1">
        <v>842.24</v>
      </c>
      <c r="AG127" s="13">
        <v>21</v>
      </c>
      <c r="AH127" s="2">
        <f t="shared" si="449"/>
        <v>6</v>
      </c>
      <c r="AI127" s="45">
        <f>AH127*$G$10</f>
        <v>122.1</v>
      </c>
      <c r="AJ127" s="15"/>
      <c r="AK127" s="13">
        <v>35</v>
      </c>
      <c r="AL127" s="15">
        <f t="shared" si="450"/>
        <v>14</v>
      </c>
      <c r="AM127" s="45">
        <f>AL127*$G$10</f>
        <v>284.9</v>
      </c>
      <c r="AN127" s="15"/>
      <c r="AO127" s="13">
        <v>43</v>
      </c>
      <c r="AP127" s="15">
        <f t="shared" si="451"/>
        <v>8</v>
      </c>
      <c r="AQ127" s="45">
        <f>AP127*$G$10</f>
        <v>162.8</v>
      </c>
      <c r="AR127" s="15"/>
      <c r="AS127" s="13">
        <v>43</v>
      </c>
      <c r="AT127" s="15">
        <f t="shared" si="452"/>
        <v>0</v>
      </c>
      <c r="AU127" s="45">
        <f t="shared" si="453"/>
        <v>0</v>
      </c>
      <c r="AV127" s="15"/>
      <c r="AW127" s="13">
        <v>43</v>
      </c>
      <c r="AX127" s="15">
        <f t="shared" si="454"/>
        <v>0</v>
      </c>
      <c r="AY127" s="45"/>
      <c r="AZ127" s="208"/>
      <c r="BA127" s="13">
        <v>43</v>
      </c>
      <c r="BB127" s="15">
        <f t="shared" si="455"/>
        <v>0</v>
      </c>
      <c r="BC127" s="45"/>
      <c r="BD127" s="208"/>
      <c r="BE127" s="40">
        <f t="shared" ref="BE127:BG127" si="457">J127+N127+R127+V127+Z127+AD127+AH127+AL127+AP127+AT127+AX127+BB127</f>
        <v>42</v>
      </c>
      <c r="BF127" s="41">
        <f t="shared" si="457"/>
        <v>842.24</v>
      </c>
      <c r="BG127" s="34">
        <f t="shared" si="457"/>
        <v>842.24</v>
      </c>
      <c r="BH127" s="35">
        <f t="shared" si="444"/>
        <v>0</v>
      </c>
      <c r="BK127" s="2" t="b">
        <f>H127='2020'!BH127</f>
        <v>1</v>
      </c>
    </row>
    <row r="128" ht="14.25" customHeight="1" hidden="1" spans="1:63" x14ac:dyDescent="0.25">
      <c r="A128" s="89" t="s">
        <v>96</v>
      </c>
      <c r="B128" s="14"/>
      <c r="C128" s="2" t="s">
        <v>115</v>
      </c>
      <c r="D128" s="14" t="s">
        <v>47</v>
      </c>
      <c r="E128" s="2" t="s">
        <v>49</v>
      </c>
      <c r="F128" s="41">
        <v>500</v>
      </c>
      <c r="G128" s="35"/>
      <c r="H128" s="34">
        <f>'2020'!BH128</f>
        <v>0</v>
      </c>
      <c r="I128" s="13"/>
      <c r="J128" s="15"/>
      <c r="K128" s="15"/>
      <c r="L128" s="28"/>
      <c r="M128" s="13"/>
      <c r="N128" s="15"/>
      <c r="O128" s="15"/>
      <c r="P128" s="15"/>
      <c r="Q128" s="13"/>
      <c r="R128" s="15"/>
      <c r="S128" s="15"/>
      <c r="T128" s="28"/>
      <c r="U128" s="13"/>
      <c r="V128" s="15"/>
      <c r="W128" s="15"/>
      <c r="X128" s="15"/>
      <c r="Y128" s="186"/>
      <c r="Z128" s="2"/>
      <c r="AA128" s="15"/>
      <c r="AB128" s="28"/>
      <c r="AC128" s="15"/>
      <c r="AD128" s="15"/>
      <c r="AE128" s="34"/>
      <c r="AF128" s="1"/>
      <c r="AG128" s="15"/>
      <c r="AH128" s="2"/>
      <c r="AI128" s="45"/>
      <c r="AJ128" s="15"/>
      <c r="AK128" s="13"/>
      <c r="AL128" s="15"/>
      <c r="AM128" s="45"/>
      <c r="AN128" s="15"/>
      <c r="AO128" s="13"/>
      <c r="AP128" s="15"/>
      <c r="AQ128" s="45"/>
      <c r="AR128" s="15"/>
      <c r="AS128" s="13"/>
      <c r="AT128" s="15"/>
      <c r="AU128" s="45"/>
      <c r="AV128" s="15"/>
      <c r="AW128" s="13"/>
      <c r="AX128" s="15"/>
      <c r="AY128" s="45"/>
      <c r="AZ128" s="28"/>
      <c r="BA128" s="13"/>
      <c r="BB128" s="15"/>
      <c r="BC128" s="45"/>
      <c r="BD128" s="28"/>
      <c r="BE128" s="14"/>
      <c r="BF128" s="41">
        <f t="shared" ref="BF128:BG128" si="458">K128+O128+S128+W128+AA128+AE128+AI128+AM128+AQ128+AU128+AY128+BC128</f>
        <v>0</v>
      </c>
      <c r="BG128" s="34">
        <f t="shared" si="458"/>
        <v>0</v>
      </c>
      <c r="BH128" s="35">
        <f t="shared" si="444"/>
        <v>0</v>
      </c>
      <c r="BK128" s="2" t="b">
        <f>H128='2020'!BH128</f>
        <v>1</v>
      </c>
    </row>
    <row r="129" ht="14.25" customHeight="1" hidden="1" spans="1:63" x14ac:dyDescent="0.25">
      <c r="A129" s="89" t="s">
        <v>96</v>
      </c>
      <c r="B129" s="14"/>
      <c r="C129" s="73" t="s">
        <v>493</v>
      </c>
      <c r="D129" s="14" t="s">
        <v>50</v>
      </c>
      <c r="E129" s="2" t="s">
        <v>49</v>
      </c>
      <c r="F129" s="41">
        <v>1100</v>
      </c>
      <c r="G129" s="35"/>
      <c r="H129" s="34">
        <f>'2020'!BH129</f>
        <v>0</v>
      </c>
      <c r="I129" s="13"/>
      <c r="J129" s="15"/>
      <c r="K129" s="15"/>
      <c r="L129" s="28"/>
      <c r="M129" s="13"/>
      <c r="N129" s="15"/>
      <c r="O129" s="15"/>
      <c r="P129" s="15"/>
      <c r="Q129" s="13"/>
      <c r="R129" s="15"/>
      <c r="S129" s="15"/>
      <c r="T129" s="28"/>
      <c r="U129" s="13"/>
      <c r="V129" s="15"/>
      <c r="W129" s="15"/>
      <c r="X129" s="15"/>
      <c r="Y129" s="186"/>
      <c r="Z129" s="2"/>
      <c r="AA129" s="15"/>
      <c r="AB129" s="28"/>
      <c r="AC129" s="15"/>
      <c r="AD129" s="15"/>
      <c r="AE129" s="34">
        <f>B126*$F$12</f>
        <v>4400</v>
      </c>
      <c r="AF129" s="1">
        <v>157.76</v>
      </c>
      <c r="AG129" s="15"/>
      <c r="AH129" s="2"/>
      <c r="AI129" s="45"/>
      <c r="AJ129" s="180"/>
      <c r="AK129" s="13"/>
      <c r="AL129" s="15"/>
      <c r="AM129" s="45"/>
      <c r="AN129" s="15"/>
      <c r="AO129" s="13"/>
      <c r="AP129" s="15"/>
      <c r="AQ129" s="45"/>
      <c r="AR129" s="15"/>
      <c r="AS129" s="13"/>
      <c r="AT129" s="15"/>
      <c r="AU129" s="45"/>
      <c r="AV129" s="1">
        <v>4242.24</v>
      </c>
      <c r="AW129" s="13"/>
      <c r="AX129" s="15"/>
      <c r="AY129" s="45"/>
      <c r="AZ129" s="28"/>
      <c r="BA129" s="13"/>
      <c r="BB129" s="15"/>
      <c r="BC129" s="45"/>
      <c r="BD129" s="28"/>
      <c r="BE129" s="14"/>
      <c r="BF129" s="41">
        <f t="shared" ref="BF129:BG129" si="459">K129+O129+S129+W129+AA129+AE129+AI129+AM129+AQ129+AU129+AY129+BC129</f>
        <v>4400</v>
      </c>
      <c r="BG129" s="34">
        <f t="shared" si="459"/>
        <v>4400</v>
      </c>
      <c r="BH129" s="35">
        <f t="shared" si="444"/>
        <v>0</v>
      </c>
      <c r="BK129" s="2" t="b">
        <f>H129='2020'!BH129</f>
        <v>1</v>
      </c>
    </row>
    <row r="130" ht="14.25" customHeight="1" hidden="1" spans="1:63" x14ac:dyDescent="0.25">
      <c r="A130" s="89" t="s">
        <v>96</v>
      </c>
      <c r="B130" s="14"/>
      <c r="D130" s="14" t="s">
        <v>51</v>
      </c>
      <c r="E130" s="2" t="s">
        <v>39</v>
      </c>
      <c r="F130" s="41">
        <v>500</v>
      </c>
      <c r="G130" s="35"/>
      <c r="H130" s="34">
        <f>'2020'!BH130</f>
        <v>500</v>
      </c>
      <c r="I130" s="13"/>
      <c r="J130" s="15"/>
      <c r="K130" s="15"/>
      <c r="L130" s="28"/>
      <c r="M130" s="13"/>
      <c r="N130" s="15"/>
      <c r="O130" s="15"/>
      <c r="P130" s="15"/>
      <c r="Q130" s="13"/>
      <c r="R130" s="15"/>
      <c r="S130" s="15"/>
      <c r="T130" s="28"/>
      <c r="U130" s="13"/>
      <c r="V130" s="15"/>
      <c r="W130" s="15"/>
      <c r="X130" s="15"/>
      <c r="Y130" s="186"/>
      <c r="Z130" s="2"/>
      <c r="AA130" s="15"/>
      <c r="AB130" s="28"/>
      <c r="AC130" s="15"/>
      <c r="AD130" s="15"/>
      <c r="AE130" s="180">
        <f>$F$13</f>
      </c>
      <c r="AF130" s="1">
        <v>500</v>
      </c>
      <c r="AG130" s="15"/>
      <c r="AH130" s="2"/>
      <c r="AI130" s="45"/>
      <c r="AJ130" s="15"/>
      <c r="AK130" s="13"/>
      <c r="AL130" s="15"/>
      <c r="AM130" s="45"/>
      <c r="AN130" s="15"/>
      <c r="AO130" s="13"/>
      <c r="AP130" s="15"/>
      <c r="AQ130" s="180"/>
      <c r="AR130" s="15"/>
      <c r="AS130" s="13"/>
      <c r="AT130" s="15"/>
      <c r="AU130" s="45"/>
      <c r="AV130" s="15"/>
      <c r="AW130" s="13"/>
      <c r="AX130" s="15"/>
      <c r="AY130" s="45"/>
      <c r="AZ130" s="28"/>
      <c r="BA130" s="13"/>
      <c r="BB130" s="15"/>
      <c r="BC130" s="45"/>
      <c r="BD130" s="28"/>
      <c r="BE130" s="14"/>
      <c r="BF130" s="41">
        <f t="shared" ref="BF130:BG130" si="460">K130+O130+S130+W130+AA130+AE130+AI130+AM130+AQ130+AU130+AY130+BC130</f>
        <v>0</v>
      </c>
      <c r="BG130" s="34">
        <f t="shared" si="460"/>
        <v>500</v>
      </c>
      <c r="BH130" s="35">
        <f t="shared" si="444"/>
        <v>0</v>
      </c>
      <c r="BK130" s="2" t="b">
        <f>H130='2020'!BH130</f>
        <v>1</v>
      </c>
    </row>
    <row r="131" ht="14.25" customHeight="1" hidden="1" spans="1:63" x14ac:dyDescent="0.25">
      <c r="A131" s="89" t="s">
        <v>96</v>
      </c>
      <c r="B131" s="14"/>
      <c r="D131" s="14" t="s">
        <v>51</v>
      </c>
      <c r="E131" s="2" t="s">
        <v>49</v>
      </c>
      <c r="F131" s="41">
        <v>500</v>
      </c>
      <c r="G131" s="35"/>
      <c r="H131" s="34">
        <f>'2020'!BH131</f>
        <v>2000</v>
      </c>
      <c r="I131" s="13"/>
      <c r="J131" s="15"/>
      <c r="K131" s="15"/>
      <c r="L131" s="28"/>
      <c r="M131" s="13"/>
      <c r="N131" s="15"/>
      <c r="O131" s="15"/>
      <c r="P131" s="15"/>
      <c r="Q131" s="13"/>
      <c r="R131" s="15"/>
      <c r="S131" s="15"/>
      <c r="T131" s="28"/>
      <c r="U131" s="13"/>
      <c r="V131" s="15"/>
      <c r="W131" s="15"/>
      <c r="X131" s="15"/>
      <c r="Y131" s="186"/>
      <c r="Z131" s="2"/>
      <c r="AA131" s="15"/>
      <c r="AB131" s="28"/>
      <c r="AC131" s="15"/>
      <c r="AD131" s="15"/>
      <c r="AE131" s="34"/>
      <c r="AF131" s="1">
        <v>2000</v>
      </c>
      <c r="AG131" s="15"/>
      <c r="AH131" s="2"/>
      <c r="AI131" s="45"/>
      <c r="AJ131" s="15"/>
      <c r="AK131" s="13"/>
      <c r="AL131" s="15"/>
      <c r="AM131" s="45"/>
      <c r="AN131" s="15"/>
      <c r="AO131" s="13"/>
      <c r="AP131" s="15"/>
      <c r="AQ131" s="180">
        <f>B126*$F$14</f>
        <v>0</v>
      </c>
      <c r="AR131" s="15"/>
      <c r="AS131" s="13"/>
      <c r="AT131" s="15"/>
      <c r="AU131" s="45"/>
      <c r="AV131" s="15"/>
      <c r="AW131" s="13"/>
      <c r="AX131" s="15"/>
      <c r="AY131" s="45"/>
      <c r="AZ131" s="28"/>
      <c r="BA131" s="13"/>
      <c r="BB131" s="15"/>
      <c r="BC131" s="45"/>
      <c r="BD131" s="28"/>
      <c r="BE131" s="14"/>
      <c r="BF131" s="41">
        <f t="shared" ref="BF131:BG131" si="461">K131+O131+S131+W131+AA131+AE131+AI131+AM131+AQ131+AU131+AY131+BC131</f>
        <v>0</v>
      </c>
      <c r="BG131" s="34">
        <f t="shared" si="461"/>
        <v>2000</v>
      </c>
      <c r="BH131" s="35">
        <f t="shared" si="444"/>
        <v>0</v>
      </c>
      <c r="BK131" s="2" t="b">
        <f>H131='2020'!BH131</f>
        <v>1</v>
      </c>
    </row>
    <row r="132" ht="14.25" customHeight="1" hidden="1" spans="1:63" x14ac:dyDescent="0.25">
      <c r="A132" s="89" t="s">
        <v>96</v>
      </c>
      <c r="B132" s="14"/>
      <c r="D132" s="14" t="s">
        <v>52</v>
      </c>
      <c r="E132" s="2" t="s">
        <v>39</v>
      </c>
      <c r="F132" s="41">
        <v>500</v>
      </c>
      <c r="G132" s="35"/>
      <c r="H132" s="34">
        <f>'2020'!BH132</f>
        <v>0</v>
      </c>
      <c r="I132" s="13"/>
      <c r="J132" s="15"/>
      <c r="K132" s="15"/>
      <c r="L132" s="28"/>
      <c r="M132" s="13"/>
      <c r="N132" s="15"/>
      <c r="O132" s="15"/>
      <c r="P132" s="15"/>
      <c r="Q132" s="13"/>
      <c r="R132" s="15"/>
      <c r="S132" s="15"/>
      <c r="T132" s="28"/>
      <c r="U132" s="13"/>
      <c r="V132" s="15"/>
      <c r="W132" s="15"/>
      <c r="X132" s="15"/>
      <c r="Y132" s="186"/>
      <c r="Z132" s="2"/>
      <c r="AA132" s="34">
        <f>$F$15</f>
      </c>
      <c r="AB132" s="28"/>
      <c r="AC132" s="15"/>
      <c r="AD132" s="15"/>
      <c r="AE132" s="15"/>
      <c r="AF132" s="34"/>
      <c r="AG132" s="15"/>
      <c r="AH132" s="2"/>
      <c r="AI132" s="45"/>
      <c r="AJ132" s="15"/>
      <c r="AK132" s="13"/>
      <c r="AL132" s="15"/>
      <c r="AM132" s="45"/>
      <c r="AN132" s="15"/>
      <c r="AO132" s="13"/>
      <c r="AP132" s="15"/>
      <c r="AQ132" s="45"/>
      <c r="AR132" s="15"/>
      <c r="AS132" s="13"/>
      <c r="AT132" s="15"/>
      <c r="AU132" s="45"/>
      <c r="AV132" s="15"/>
      <c r="AW132" s="13"/>
      <c r="AX132" s="15"/>
      <c r="AY132" s="45"/>
      <c r="AZ132" s="35"/>
      <c r="BA132" s="13"/>
      <c r="BB132" s="15"/>
      <c r="BC132" s="45"/>
      <c r="BD132" s="35"/>
      <c r="BE132" s="14"/>
      <c r="BF132" s="41">
        <f t="shared" ref="BF132:BG132" si="462">K132+O132+S132+W132+AA132+AE132+AI132+AM132+AQ132+AU132+AY132+BC132</f>
        <v>0</v>
      </c>
      <c r="BG132" s="34">
        <f t="shared" si="462"/>
        <v>0</v>
      </c>
      <c r="BH132" s="35">
        <f t="shared" si="444"/>
        <v>0</v>
      </c>
      <c r="BK132" s="2" t="b">
        <f>H132='2020'!BH132</f>
        <v>1</v>
      </c>
    </row>
    <row r="133" ht="14.25" customHeight="1" hidden="1" spans="1:63" x14ac:dyDescent="0.25">
      <c r="A133" s="89" t="s">
        <v>96</v>
      </c>
      <c r="B133" s="21"/>
      <c r="C133" s="22" t="s">
        <v>53</v>
      </c>
      <c r="D133" s="21"/>
      <c r="E133" s="22"/>
      <c r="F133" s="20"/>
      <c r="G133" s="23"/>
      <c r="H133" s="51">
        <f>SUM(H125:H132)</f>
        <v>2500</v>
      </c>
      <c r="I133" s="52"/>
      <c r="J133" s="53"/>
      <c r="K133" s="51">
        <f t="shared" ref="K133:L133" si="463">SUM(K125:K132)</f>
        <v>0</v>
      </c>
      <c r="L133" s="68">
        <f t="shared" si="463"/>
        <v>0</v>
      </c>
      <c r="M133" s="52"/>
      <c r="N133" s="53"/>
      <c r="O133" s="51">
        <f t="shared" ref="O133:P133" si="464">SUM(O125:O132)</f>
        <v>0</v>
      </c>
      <c r="P133" s="68">
        <f t="shared" si="464"/>
        <v>0</v>
      </c>
      <c r="Q133" s="52"/>
      <c r="R133" s="53"/>
      <c r="S133" s="51">
        <f t="shared" ref="S133:T133" si="465">SUM(S125:S132)</f>
        <v>0</v>
      </c>
      <c r="T133" s="68">
        <f t="shared" si="465"/>
        <v>0</v>
      </c>
      <c r="U133" s="52"/>
      <c r="V133" s="53"/>
      <c r="W133" s="51">
        <f t="shared" ref="W133:X133" si="466">SUM(W125:W132)</f>
        <v>0</v>
      </c>
      <c r="X133" s="68">
        <f t="shared" si="466"/>
        <v>0</v>
      </c>
      <c r="Y133" s="300"/>
      <c r="Z133" s="301"/>
      <c r="AA133" s="51">
        <f t="shared" ref="AA133:AB133" si="467">SUM(AA125:AA132)</f>
        <v>19.46</v>
      </c>
      <c r="AB133" s="68">
        <f t="shared" si="467"/>
        <v>0</v>
      </c>
      <c r="AC133" s="53"/>
      <c r="AD133" s="53"/>
      <c r="AE133" s="51">
        <f t="shared" ref="AE133:AF133" si="468">SUM(AE125:AE132)</f>
        <v>4652.98</v>
      </c>
      <c r="AF133" s="68">
        <f t="shared" si="468"/>
        <v>3500</v>
      </c>
      <c r="AG133" s="53"/>
      <c r="AH133" s="301"/>
      <c r="AI133" s="183">
        <f t="shared" ref="AI133:AJ133" si="469">SUM(AI125:AI132)</f>
        <v>122.1</v>
      </c>
      <c r="AJ133" s="51">
        <f t="shared" si="469"/>
        <v>0</v>
      </c>
      <c r="AK133" s="52"/>
      <c r="AL133" s="53"/>
      <c r="AM133" s="183">
        <f t="shared" ref="AM133:AN133" si="470">SUM(AM125:AM132)</f>
        <v>284.9</v>
      </c>
      <c r="AN133" s="51">
        <f t="shared" si="470"/>
        <v>0</v>
      </c>
      <c r="AO133" s="52"/>
      <c r="AP133" s="53"/>
      <c r="AQ133" s="183">
        <f t="shared" ref="AQ133:AR133" si="471">SUM(AQ125:AQ132)</f>
        <v>176</v>
      </c>
      <c r="AR133" s="51">
        <f t="shared" si="471"/>
        <v>0</v>
      </c>
      <c r="AS133" s="52"/>
      <c r="AT133" s="53"/>
      <c r="AU133" s="183">
        <f t="shared" ref="AU133:AV133" si="472">SUM(AU125:AU132)</f>
        <v>0</v>
      </c>
      <c r="AV133" s="68">
        <f t="shared" si="472"/>
        <v>4255.44</v>
      </c>
      <c r="AW133" s="52"/>
      <c r="AX133" s="53"/>
      <c r="AY133" s="183">
        <f t="shared" ref="AY133:AZ133" si="473">SUM(AY125:AY132)</f>
        <v>0</v>
      </c>
      <c r="AZ133" s="68">
        <f t="shared" si="473"/>
        <v>0</v>
      </c>
      <c r="BA133" s="52"/>
      <c r="BB133" s="53"/>
      <c r="BC133" s="183">
        <f t="shared" ref="BC133:BD133" si="474">SUM(BC125:BC132)</f>
        <v>0</v>
      </c>
      <c r="BD133" s="68">
        <f t="shared" si="474"/>
        <v>0</v>
      </c>
      <c r="BE133" s="69"/>
      <c r="BF133" s="70">
        <f t="shared" ref="BF133:BH133" si="475">SUM(BF125:BF132)</f>
        <v>5255.44</v>
      </c>
      <c r="BG133" s="71">
        <f t="shared" si="475"/>
        <v>7755.44</v>
      </c>
      <c r="BH133" s="72">
        <f t="shared" si="475"/>
        <v>0</v>
      </c>
      <c r="BI133" s="34">
        <f>H133+BF133-BG133</f>
        <v>0</v>
      </c>
      <c r="BJ133" s="34">
        <f>BH133-BI133</f>
        <v>0</v>
      </c>
      <c r="BK133" s="2" t="b">
        <f>H133='2020'!BH133</f>
        <v>1</v>
      </c>
    </row>
    <row r="134" ht="14.25" customHeight="1" hidden="1" spans="1:63" x14ac:dyDescent="0.25">
      <c r="A134" s="175">
        <v>14</v>
      </c>
      <c r="B134" s="14"/>
      <c r="D134" s="14" t="s">
        <v>379</v>
      </c>
      <c r="F134" s="13"/>
      <c r="G134" s="28"/>
      <c r="H134" s="34">
        <f>'2020'!BH134</f>
        <v>0</v>
      </c>
      <c r="I134" s="13"/>
      <c r="J134" s="15"/>
      <c r="K134" s="15"/>
      <c r="L134" s="28"/>
      <c r="M134" s="13"/>
      <c r="N134" s="15"/>
      <c r="O134" s="15"/>
      <c r="P134" s="15"/>
      <c r="Q134" s="13"/>
      <c r="R134" s="15"/>
      <c r="S134" s="15"/>
      <c r="T134" s="28"/>
      <c r="U134" s="13"/>
      <c r="V134" s="15"/>
      <c r="W134" s="15"/>
      <c r="X134" s="15"/>
      <c r="Y134" s="186"/>
      <c r="Z134" s="2"/>
      <c r="AA134" s="15"/>
      <c r="AB134" s="28"/>
      <c r="AC134" s="15"/>
      <c r="AD134" s="15"/>
      <c r="AE134" s="15"/>
      <c r="AF134" s="15"/>
      <c r="AG134" s="15"/>
      <c r="AH134" s="2"/>
      <c r="AI134" s="45"/>
      <c r="AJ134" s="15"/>
      <c r="AK134" s="13"/>
      <c r="AL134" s="15"/>
      <c r="AM134" s="45"/>
      <c r="AN134" s="15"/>
      <c r="AO134" s="13"/>
      <c r="AP134" s="15"/>
      <c r="AQ134" s="45"/>
      <c r="AR134" s="15"/>
      <c r="AS134" s="13"/>
      <c r="AT134" s="15"/>
      <c r="AU134" s="45"/>
      <c r="AV134" s="15"/>
      <c r="AW134" s="13"/>
      <c r="AX134" s="15"/>
      <c r="AY134" s="45"/>
      <c r="AZ134" s="28"/>
      <c r="BA134" s="13"/>
      <c r="BB134" s="15"/>
      <c r="BC134" s="45"/>
      <c r="BD134" s="28"/>
      <c r="BE134" s="14"/>
      <c r="BF134" s="41">
        <f t="shared" ref="BF134:BG134" si="476">K134+O134+S134+W134+AA134+AE134+AI134+AM134+AQ134+AU134+AY134+BC134</f>
        <v>0</v>
      </c>
      <c r="BG134" s="34">
        <f t="shared" si="476"/>
        <v>0</v>
      </c>
      <c r="BH134" s="35">
        <f t="shared" ref="BH134:BH141" si="477">H134+BF134-BG134</f>
        <v>0</v>
      </c>
      <c r="BK134" s="2" t="b">
        <f>H134='2020'!BH134</f>
        <v>1</v>
      </c>
    </row>
    <row r="135" ht="14.25" customHeight="1" hidden="1" spans="1:63" x14ac:dyDescent="0.25">
      <c r="A135" s="176">
        <v>14</v>
      </c>
      <c r="B135" s="14">
        <v>4.02</v>
      </c>
      <c r="C135" s="15" t="s">
        <v>100</v>
      </c>
      <c r="D135" s="14" t="s">
        <v>44</v>
      </c>
      <c r="E135" s="2" t="s">
        <v>45</v>
      </c>
      <c r="F135" s="41">
        <v>2.5</v>
      </c>
      <c r="G135" s="35">
        <v>2.6</v>
      </c>
      <c r="H135" s="104">
        <f>'2020'!BH135</f>
        <v>0</v>
      </c>
      <c r="I135" s="13">
        <v>0</v>
      </c>
      <c r="J135" s="15">
        <f>I135-'2020'!BA135</f>
        <v>0</v>
      </c>
      <c r="K135" s="34">
        <f>J135*$F$8</f>
        <v>0</v>
      </c>
      <c r="L135" s="28"/>
      <c r="M135" s="13">
        <v>0</v>
      </c>
      <c r="N135" s="15">
        <f t="shared" ref="N135:N136" si="478">M135-I135</f>
        <v>0</v>
      </c>
      <c r="O135" s="34">
        <f>N135*$F$8</f>
        <v>0</v>
      </c>
      <c r="P135" s="15"/>
      <c r="Q135" s="13">
        <v>0</v>
      </c>
      <c r="R135" s="15">
        <f t="shared" ref="R135:R136" si="479">Q135-M135</f>
        <v>0</v>
      </c>
      <c r="S135" s="34">
        <f>R135*$F$8</f>
        <v>0</v>
      </c>
      <c r="T135" s="28"/>
      <c r="U135" s="13">
        <v>0</v>
      </c>
      <c r="V135" s="15">
        <f t="shared" ref="V135:V136" si="480">U135-Q135</f>
        <v>0</v>
      </c>
      <c r="W135" s="34">
        <f>V135*$F$8</f>
        <v>0</v>
      </c>
      <c r="X135" s="15"/>
      <c r="Y135" s="186"/>
      <c r="Z135" s="2">
        <f t="shared" ref="Z135:Z136" si="481">Y135-U135</f>
        <v>0</v>
      </c>
      <c r="AA135" s="34">
        <f>Z135*$F$8</f>
        <v>0</v>
      </c>
      <c r="AB135" s="28"/>
      <c r="AC135" s="15"/>
      <c r="AD135" s="15">
        <f t="shared" ref="AD135:AD136" si="482">AC135-Y135</f>
        <v>0</v>
      </c>
      <c r="AE135" s="180">
        <f>AD135*$F$8</f>
        <v>0</v>
      </c>
      <c r="AF135" s="154"/>
      <c r="AG135" s="15"/>
      <c r="AH135" s="2">
        <f t="shared" ref="AH135:AH136" si="483">AG135-AC135</f>
        <v>0</v>
      </c>
      <c r="AI135" s="45">
        <f>AH135*$G$8</f>
        <v>0</v>
      </c>
      <c r="AJ135" s="15"/>
      <c r="AK135" s="13"/>
      <c r="AL135" s="15">
        <f t="shared" ref="AL135:AL136" si="484">AK135-AG135</f>
        <v>0</v>
      </c>
      <c r="AM135" s="45">
        <f>AL135*$G$8</f>
        <v>0</v>
      </c>
      <c r="AN135" s="15"/>
      <c r="AO135" s="13"/>
      <c r="AP135" s="15">
        <f t="shared" ref="AP135:AP136" si="485">AO135-AK135</f>
        <v>0</v>
      </c>
      <c r="AQ135" s="45">
        <f>AP135*$G$8</f>
        <v>0</v>
      </c>
      <c r="AR135" s="15"/>
      <c r="AS135" s="13"/>
      <c r="AT135" s="15">
        <f t="shared" ref="AT135:AT136" si="486">AS135-AO135</f>
        <v>0</v>
      </c>
      <c r="AU135" s="45">
        <f>AT135*$G$8</f>
        <v>0</v>
      </c>
      <c r="AV135" s="15"/>
      <c r="AW135" s="13"/>
      <c r="AX135" s="15">
        <f t="shared" ref="AX135:AX136" si="487">AW135-AS135</f>
        <v>0</v>
      </c>
      <c r="AY135" s="45">
        <f>AX135*$G$8</f>
        <v>0</v>
      </c>
      <c r="AZ135" s="208"/>
      <c r="BA135" s="13"/>
      <c r="BB135" s="15">
        <f t="shared" ref="BB135:BB136" si="488">BA135-AW135</f>
        <v>0</v>
      </c>
      <c r="BC135" s="45">
        <f>BB135*$G$8</f>
        <v>0</v>
      </c>
      <c r="BD135" s="208"/>
      <c r="BE135" s="40">
        <f t="shared" ref="BE135:BG135" si="489">J135+N135+R135+V135+Z135+AD135+AH135+AL135+AP135+AT135+AX135+BB135</f>
        <v>0</v>
      </c>
      <c r="BF135" s="41">
        <f t="shared" si="489"/>
        <v>0</v>
      </c>
      <c r="BG135" s="34">
        <f t="shared" si="489"/>
        <v>0</v>
      </c>
      <c r="BH135" s="35">
        <f t="shared" si="477"/>
        <v>0</v>
      </c>
      <c r="BK135" s="2" t="b">
        <f>H135='2020'!BH135</f>
        <v>1</v>
      </c>
    </row>
    <row r="136" ht="14.25" customHeight="1" hidden="1" spans="1:63" x14ac:dyDescent="0.25">
      <c r="A136" s="176">
        <v>14</v>
      </c>
      <c r="B136" s="14"/>
      <c r="C136" s="2" t="s">
        <v>101</v>
      </c>
      <c r="D136" s="14" t="s">
        <v>47</v>
      </c>
      <c r="E136" s="2" t="s">
        <v>48</v>
      </c>
      <c r="F136" s="13">
        <v>18.56</v>
      </c>
      <c r="G136" s="35">
        <v>19.46</v>
      </c>
      <c r="H136" s="34">
        <f>'2020'!BH136</f>
        <v>-25.92</v>
      </c>
      <c r="I136" s="13">
        <v>477</v>
      </c>
      <c r="J136" s="15"/>
      <c r="K136" s="15"/>
      <c r="L136" s="28"/>
      <c r="M136" s="13">
        <v>477</v>
      </c>
      <c r="N136" s="15">
        <f t="shared" si="478"/>
        <v>0</v>
      </c>
      <c r="O136" s="15"/>
      <c r="P136" s="15"/>
      <c r="Q136" s="13">
        <v>477</v>
      </c>
      <c r="R136" s="15">
        <f t="shared" si="479"/>
        <v>0</v>
      </c>
      <c r="S136" s="15"/>
      <c r="T136" s="28"/>
      <c r="U136" s="13">
        <v>477</v>
      </c>
      <c r="V136" s="15">
        <f t="shared" si="480"/>
        <v>0</v>
      </c>
      <c r="W136" s="34">
        <f>V136*$F$10</f>
        <v>0</v>
      </c>
      <c r="X136" s="15"/>
      <c r="Y136" s="186">
        <v>479</v>
      </c>
      <c r="Z136" s="2">
        <f t="shared" si="481"/>
        <v>2</v>
      </c>
      <c r="AA136" s="34">
        <f>Z136*$F$10</f>
        <v>38.92</v>
      </c>
      <c r="AB136" s="28"/>
      <c r="AC136" s="15">
        <v>491</v>
      </c>
      <c r="AD136" s="15">
        <f t="shared" si="482"/>
        <v>12</v>
      </c>
      <c r="AE136" s="34">
        <f>AD136*$F$10</f>
        <v>233.52</v>
      </c>
      <c r="AF136" s="182">
        <v>246.52</v>
      </c>
      <c r="AG136" s="15">
        <v>491</v>
      </c>
      <c r="AH136" s="2">
        <f t="shared" si="483"/>
        <v>0</v>
      </c>
      <c r="AI136" s="45">
        <f>AH136*$G$10</f>
        <v>0</v>
      </c>
      <c r="AJ136" s="15"/>
      <c r="AK136" s="13">
        <v>491</v>
      </c>
      <c r="AL136" s="15">
        <f t="shared" si="484"/>
        <v>0</v>
      </c>
      <c r="AM136" s="45">
        <f>AL136*$G$10</f>
        <v>0</v>
      </c>
      <c r="AN136" s="15"/>
      <c r="AO136" s="13">
        <v>492</v>
      </c>
      <c r="AP136" s="15">
        <f t="shared" si="485"/>
        <v>1</v>
      </c>
      <c r="AQ136" s="45">
        <f>AP136*$G$10</f>
        <v>20.35</v>
      </c>
      <c r="AR136" s="15"/>
      <c r="AS136" s="13">
        <v>492</v>
      </c>
      <c r="AT136" s="15">
        <f t="shared" si="486"/>
        <v>0</v>
      </c>
      <c r="AU136" s="45">
        <f>AT136*$G$10</f>
        <v>0</v>
      </c>
      <c r="AV136" s="15"/>
      <c r="AW136" s="13">
        <v>492</v>
      </c>
      <c r="AX136" s="15">
        <f t="shared" si="487"/>
        <v>0</v>
      </c>
      <c r="AY136" s="45"/>
      <c r="AZ136" s="208"/>
      <c r="BA136" s="13">
        <v>492</v>
      </c>
      <c r="BB136" s="15">
        <f t="shared" si="488"/>
        <v>0</v>
      </c>
      <c r="BC136" s="45"/>
      <c r="BD136" s="208"/>
      <c r="BE136" s="40">
        <f t="shared" ref="BE136:BG136" si="490">J136+N136+R136+V136+Z136+AD136+AH136+AL136+AP136+AT136+AX136+BB136</f>
        <v>15</v>
      </c>
      <c r="BF136" s="41">
        <f t="shared" si="490"/>
        <v>292.79</v>
      </c>
      <c r="BG136" s="34">
        <f t="shared" si="490"/>
        <v>246.52</v>
      </c>
      <c r="BH136" s="35">
        <f t="shared" si="477"/>
        <v>20.35</v>
      </c>
      <c r="BK136" s="2" t="b">
        <f>H136='2020'!BH136</f>
        <v>1</v>
      </c>
    </row>
    <row r="137" ht="14.25" customHeight="1" hidden="1" spans="1:63" x14ac:dyDescent="0.25">
      <c r="A137" s="176">
        <v>14</v>
      </c>
      <c r="B137" s="14"/>
      <c r="C137" s="2" t="s">
        <v>102</v>
      </c>
      <c r="D137" s="14" t="s">
        <v>47</v>
      </c>
      <c r="E137" s="2" t="s">
        <v>49</v>
      </c>
      <c r="F137" s="41">
        <v>500</v>
      </c>
      <c r="G137" s="35"/>
      <c r="H137" s="34">
        <f>'2020'!BH137</f>
        <v>0</v>
      </c>
      <c r="I137" s="13"/>
      <c r="J137" s="15"/>
      <c r="K137" s="15"/>
      <c r="L137" s="28"/>
      <c r="M137" s="13"/>
      <c r="N137" s="15"/>
      <c r="O137" s="15"/>
      <c r="P137" s="15"/>
      <c r="Q137" s="13"/>
      <c r="R137" s="15"/>
      <c r="S137" s="15"/>
      <c r="T137" s="28"/>
      <c r="U137" s="13"/>
      <c r="V137" s="15"/>
      <c r="W137" s="15"/>
      <c r="X137" s="15"/>
      <c r="Y137" s="186"/>
      <c r="Z137" s="2"/>
      <c r="AA137" s="34"/>
      <c r="AB137" s="28"/>
      <c r="AC137" s="15"/>
      <c r="AD137" s="15"/>
      <c r="AE137" s="34"/>
      <c r="AF137" s="182"/>
      <c r="AG137" s="15"/>
      <c r="AH137" s="2"/>
      <c r="AI137" s="45"/>
      <c r="AJ137" s="39"/>
      <c r="AK137" s="13"/>
      <c r="AL137" s="15"/>
      <c r="AM137" s="45"/>
      <c r="AN137" s="15"/>
      <c r="AO137" s="13"/>
      <c r="AP137" s="15"/>
      <c r="AQ137" s="45"/>
      <c r="AR137" s="15"/>
      <c r="AS137" s="13"/>
      <c r="AT137" s="15"/>
      <c r="AU137" s="45"/>
      <c r="AV137" s="15"/>
      <c r="AW137" s="13"/>
      <c r="AX137" s="15"/>
      <c r="AY137" s="45"/>
      <c r="AZ137" s="28"/>
      <c r="BA137" s="13"/>
      <c r="BB137" s="15"/>
      <c r="BC137" s="45"/>
      <c r="BD137" s="28"/>
      <c r="BE137" s="14"/>
      <c r="BF137" s="41">
        <f t="shared" ref="BF137:BG137" si="491">K137+O137+S137+W137+AA137+AE137+AI137+AM137+AQ137+AU137+AY137+BC137</f>
        <v>0</v>
      </c>
      <c r="BG137" s="34">
        <f t="shared" si="491"/>
        <v>0</v>
      </c>
      <c r="BH137" s="35">
        <f t="shared" si="477"/>
        <v>0</v>
      </c>
      <c r="BK137" s="2" t="b">
        <f>H137='2020'!BH137</f>
        <v>1</v>
      </c>
    </row>
    <row r="138" ht="14.25" customHeight="1" hidden="1" spans="1:63" x14ac:dyDescent="0.25">
      <c r="A138" s="176">
        <v>14</v>
      </c>
      <c r="B138" s="14"/>
      <c r="C138" s="15" t="s">
        <v>387</v>
      </c>
      <c r="D138" s="14" t="s">
        <v>50</v>
      </c>
      <c r="E138" s="2" t="s">
        <v>49</v>
      </c>
      <c r="F138" s="41">
        <v>1100</v>
      </c>
      <c r="G138" s="35"/>
      <c r="H138" s="34">
        <f>'2020'!BH138</f>
        <v>0</v>
      </c>
      <c r="I138" s="13"/>
      <c r="J138" s="15"/>
      <c r="K138" s="15"/>
      <c r="L138" s="28"/>
      <c r="M138" s="13"/>
      <c r="N138" s="15"/>
      <c r="O138" s="15"/>
      <c r="P138" s="15"/>
      <c r="Q138" s="13"/>
      <c r="R138" s="15"/>
      <c r="S138" s="15"/>
      <c r="T138" s="28"/>
      <c r="U138" s="13"/>
      <c r="V138" s="15"/>
      <c r="W138" s="15"/>
      <c r="X138" s="15"/>
      <c r="Y138" s="186"/>
      <c r="Z138" s="2"/>
      <c r="AA138" s="15"/>
      <c r="AB138" s="28"/>
      <c r="AC138" s="15"/>
      <c r="AD138" s="15"/>
      <c r="AE138" s="182">
        <v>4422</v>
      </c>
      <c r="AF138" s="182">
        <v>4422</v>
      </c>
      <c r="AG138" s="15"/>
      <c r="AH138" s="2"/>
      <c r="AI138" s="45"/>
      <c r="AJ138" s="15"/>
      <c r="AK138" s="13"/>
      <c r="AL138" s="15"/>
      <c r="AM138" s="45"/>
      <c r="AN138" s="15"/>
      <c r="AO138" s="13"/>
      <c r="AP138" s="15"/>
      <c r="AQ138" s="45"/>
      <c r="AR138" s="15"/>
      <c r="AS138" s="13"/>
      <c r="AT138" s="15"/>
      <c r="AU138" s="45"/>
      <c r="AV138" s="15"/>
      <c r="AW138" s="13"/>
      <c r="AX138" s="15"/>
      <c r="AY138" s="45"/>
      <c r="AZ138" s="28"/>
      <c r="BA138" s="13"/>
      <c r="BB138" s="15"/>
      <c r="BC138" s="45"/>
      <c r="BD138" s="28"/>
      <c r="BE138" s="14"/>
      <c r="BF138" s="41">
        <f t="shared" ref="BF138:BG138" si="492">K138+O138+S138+W138+AA138+AE138+AI138+AM138+AQ138+AU138+AY138+BC138</f>
        <v>4422</v>
      </c>
      <c r="BG138" s="34">
        <f t="shared" si="492"/>
        <v>4422</v>
      </c>
      <c r="BH138" s="35">
        <f t="shared" si="477"/>
        <v>0</v>
      </c>
      <c r="BK138" s="2" t="b">
        <f>H138='2020'!BH138</f>
        <v>1</v>
      </c>
    </row>
    <row r="139" ht="14.25" customHeight="1" hidden="1" spans="1:63" x14ac:dyDescent="0.25">
      <c r="A139" s="176">
        <v>14</v>
      </c>
      <c r="B139" s="14"/>
      <c r="C139" s="15" t="s">
        <v>388</v>
      </c>
      <c r="D139" s="14" t="s">
        <v>51</v>
      </c>
      <c r="E139" s="2" t="s">
        <v>39</v>
      </c>
      <c r="F139" s="41">
        <v>500</v>
      </c>
      <c r="G139" s="35"/>
      <c r="H139" s="34">
        <f>'2020'!BH139</f>
        <v>0</v>
      </c>
      <c r="I139" s="13"/>
      <c r="J139" s="15"/>
      <c r="K139" s="15"/>
      <c r="L139" s="28"/>
      <c r="M139" s="13"/>
      <c r="N139" s="15"/>
      <c r="O139" s="15"/>
      <c r="P139" s="15"/>
      <c r="Q139" s="13"/>
      <c r="R139" s="15"/>
      <c r="S139" s="15"/>
      <c r="T139" s="28"/>
      <c r="U139" s="13"/>
      <c r="V139" s="15"/>
      <c r="W139" s="15"/>
      <c r="X139" s="15"/>
      <c r="Y139" s="186"/>
      <c r="Z139" s="2"/>
      <c r="AA139" s="15"/>
      <c r="AB139" s="28"/>
      <c r="AC139" s="15"/>
      <c r="AD139" s="15"/>
      <c r="AE139" s="180">
        <f>$F$13</f>
      </c>
      <c r="AF139" s="34"/>
      <c r="AG139" s="15"/>
      <c r="AH139" s="2"/>
      <c r="AI139" s="45"/>
      <c r="AJ139" s="15"/>
      <c r="AK139" s="13"/>
      <c r="AL139" s="15"/>
      <c r="AM139" s="45"/>
      <c r="AN139" s="15"/>
      <c r="AO139" s="13"/>
      <c r="AP139" s="15"/>
      <c r="AQ139" s="180"/>
      <c r="AR139" s="15"/>
      <c r="AS139" s="13"/>
      <c r="AT139" s="15"/>
      <c r="AU139" s="45"/>
      <c r="AV139" s="15"/>
      <c r="AW139" s="13"/>
      <c r="AX139" s="15"/>
      <c r="AY139" s="45"/>
      <c r="AZ139" s="35"/>
      <c r="BA139" s="13"/>
      <c r="BB139" s="15"/>
      <c r="BC139" s="45"/>
      <c r="BD139" s="28"/>
      <c r="BE139" s="14"/>
      <c r="BF139" s="41">
        <f t="shared" ref="BF139:BG139" si="493">K139+O139+S139+W139+AA139+AE139+AI139+AM139+AQ139+AU139+AY139+BC139</f>
        <v>0</v>
      </c>
      <c r="BG139" s="34">
        <f t="shared" si="493"/>
        <v>0</v>
      </c>
      <c r="BH139" s="35">
        <f t="shared" si="477"/>
        <v>0</v>
      </c>
      <c r="BK139" s="2" t="b">
        <f>H139='2020'!BH139</f>
        <v>1</v>
      </c>
    </row>
    <row r="140" ht="14.25" customHeight="1" hidden="1" spans="1:63" x14ac:dyDescent="0.25">
      <c r="A140" s="176">
        <v>14</v>
      </c>
      <c r="B140" s="14"/>
      <c r="C140" s="15"/>
      <c r="D140" s="14" t="s">
        <v>51</v>
      </c>
      <c r="E140" s="2" t="s">
        <v>49</v>
      </c>
      <c r="F140" s="41">
        <v>500</v>
      </c>
      <c r="G140" s="35"/>
      <c r="H140" s="34">
        <f>'2020'!BH140</f>
        <v>0</v>
      </c>
      <c r="I140" s="13"/>
      <c r="J140" s="15"/>
      <c r="K140" s="15"/>
      <c r="L140" s="28"/>
      <c r="M140" s="13"/>
      <c r="N140" s="15"/>
      <c r="O140" s="15"/>
      <c r="P140" s="15"/>
      <c r="Q140" s="13"/>
      <c r="R140" s="15"/>
      <c r="S140" s="15"/>
      <c r="T140" s="28"/>
      <c r="U140" s="13"/>
      <c r="V140" s="15"/>
      <c r="W140" s="15"/>
      <c r="X140" s="15"/>
      <c r="Y140" s="186"/>
      <c r="Z140" s="2"/>
      <c r="AA140" s="15"/>
      <c r="AB140" s="28"/>
      <c r="AC140" s="15"/>
      <c r="AD140" s="15"/>
      <c r="AE140" s="34"/>
      <c r="AF140" s="34"/>
      <c r="AG140" s="15"/>
      <c r="AH140" s="2"/>
      <c r="AI140" s="45"/>
      <c r="AJ140" s="15"/>
      <c r="AK140" s="13"/>
      <c r="AL140" s="15"/>
      <c r="AM140" s="45"/>
      <c r="AN140" s="15"/>
      <c r="AO140" s="13"/>
      <c r="AP140" s="15"/>
      <c r="AQ140" s="180">
        <f>B135*$F$14</f>
        <v>0</v>
      </c>
      <c r="AR140" s="15"/>
      <c r="AS140" s="13"/>
      <c r="AT140" s="15"/>
      <c r="AU140" s="45"/>
      <c r="AV140" s="15"/>
      <c r="AW140" s="13"/>
      <c r="AX140" s="15"/>
      <c r="AY140" s="45"/>
      <c r="AZ140" s="35"/>
      <c r="BA140" s="13"/>
      <c r="BB140" s="15"/>
      <c r="BC140" s="45"/>
      <c r="BD140" s="28"/>
      <c r="BE140" s="14"/>
      <c r="BF140" s="41">
        <f t="shared" ref="BF140:BG140" si="494">K140+O140+S140+W140+AA140+AE140+AI140+AM140+AQ140+AU140+AY140+BC140</f>
        <v>0</v>
      </c>
      <c r="BG140" s="34">
        <f t="shared" si="494"/>
        <v>0</v>
      </c>
      <c r="BH140" s="35">
        <f t="shared" si="477"/>
        <v>0</v>
      </c>
      <c r="BK140" s="2" t="b">
        <f>H140='2020'!BH140</f>
        <v>1</v>
      </c>
    </row>
    <row r="141" ht="14.25" customHeight="1" hidden="1" spans="1:63" x14ac:dyDescent="0.25">
      <c r="A141" s="176">
        <v>14</v>
      </c>
      <c r="B141" s="14"/>
      <c r="C141" s="15" t="s">
        <v>389</v>
      </c>
      <c r="D141" s="14" t="s">
        <v>52</v>
      </c>
      <c r="E141" s="2" t="s">
        <v>39</v>
      </c>
      <c r="F141" s="41">
        <v>500</v>
      </c>
      <c r="G141" s="35"/>
      <c r="H141" s="34">
        <f>'2020'!BH141</f>
        <v>0</v>
      </c>
      <c r="I141" s="13"/>
      <c r="J141" s="15"/>
      <c r="K141" s="15"/>
      <c r="L141" s="28"/>
      <c r="M141" s="13"/>
      <c r="N141" s="15"/>
      <c r="O141" s="15"/>
      <c r="P141" s="15"/>
      <c r="Q141" s="13"/>
      <c r="R141" s="15"/>
      <c r="S141" s="15"/>
      <c r="T141" s="28"/>
      <c r="U141" s="13"/>
      <c r="V141" s="15"/>
      <c r="W141" s="15"/>
      <c r="X141" s="15"/>
      <c r="Y141" s="186"/>
      <c r="Z141" s="2"/>
      <c r="AA141" s="34">
        <f>$F$15</f>
      </c>
      <c r="AB141" s="35"/>
      <c r="AC141" s="15"/>
      <c r="AD141" s="15"/>
      <c r="AE141" s="15"/>
      <c r="AF141" s="180"/>
      <c r="AG141" s="15"/>
      <c r="AH141" s="2"/>
      <c r="AI141" s="45"/>
      <c r="AJ141" s="15"/>
      <c r="AK141" s="13"/>
      <c r="AL141" s="15"/>
      <c r="AM141" s="45"/>
      <c r="AN141" s="15"/>
      <c r="AO141" s="13"/>
      <c r="AP141" s="15"/>
      <c r="AQ141" s="45"/>
      <c r="AR141" s="15"/>
      <c r="AS141" s="13"/>
      <c r="AT141" s="15"/>
      <c r="AU141" s="45"/>
      <c r="AV141" s="15"/>
      <c r="AW141" s="13"/>
      <c r="AX141" s="15"/>
      <c r="AY141" s="45"/>
      <c r="AZ141" s="35"/>
      <c r="BA141" s="13"/>
      <c r="BB141" s="15"/>
      <c r="BC141" s="45"/>
      <c r="BD141" s="35"/>
      <c r="BE141" s="14"/>
      <c r="BF141" s="41">
        <f t="shared" ref="BF141:BG141" si="495">K141+O141+S141+W141+AA141+AE141+AI141+AM141+AQ141+AU141+AY141+BC141</f>
        <v>0</v>
      </c>
      <c r="BG141" s="34">
        <f t="shared" si="495"/>
        <v>0</v>
      </c>
      <c r="BH141" s="35">
        <f t="shared" si="477"/>
        <v>0</v>
      </c>
      <c r="BK141" s="2" t="b">
        <f>H141='2020'!BH141</f>
        <v>1</v>
      </c>
    </row>
    <row r="142" ht="14.25" customHeight="1" hidden="1" spans="1:63" x14ac:dyDescent="0.25">
      <c r="A142" s="177">
        <v>14</v>
      </c>
      <c r="B142" s="21"/>
      <c r="C142" s="22" t="s">
        <v>53</v>
      </c>
      <c r="D142" s="21"/>
      <c r="E142" s="22"/>
      <c r="F142" s="20"/>
      <c r="G142" s="23"/>
      <c r="H142" s="51">
        <f>SUM(H134:H141)</f>
        <v>-25.92</v>
      </c>
      <c r="I142" s="52"/>
      <c r="J142" s="53"/>
      <c r="K142" s="51">
        <f t="shared" ref="K142:L142" si="496">SUM(K134:K141)</f>
        <v>0</v>
      </c>
      <c r="L142" s="68">
        <f t="shared" si="496"/>
        <v>0</v>
      </c>
      <c r="M142" s="52"/>
      <c r="N142" s="53"/>
      <c r="O142" s="51">
        <f t="shared" ref="O142:P142" si="497">SUM(O134:O141)</f>
        <v>0</v>
      </c>
      <c r="P142" s="68">
        <f t="shared" si="497"/>
        <v>0</v>
      </c>
      <c r="Q142" s="52"/>
      <c r="R142" s="53"/>
      <c r="S142" s="51">
        <f t="shared" ref="S142:T142" si="498">SUM(S134:S141)</f>
        <v>0</v>
      </c>
      <c r="T142" s="68">
        <f t="shared" si="498"/>
        <v>0</v>
      </c>
      <c r="U142" s="52"/>
      <c r="V142" s="53"/>
      <c r="W142" s="51">
        <f t="shared" ref="W142:X142" si="499">SUM(W134:W141)</f>
        <v>0</v>
      </c>
      <c r="X142" s="68">
        <f t="shared" si="499"/>
        <v>0</v>
      </c>
      <c r="Y142" s="300"/>
      <c r="Z142" s="301"/>
      <c r="AA142" s="51">
        <f t="shared" ref="AA142:AB142" si="500">SUM(AA134:AA141)</f>
        <v>38.92</v>
      </c>
      <c r="AB142" s="68">
        <f t="shared" si="500"/>
        <v>0</v>
      </c>
      <c r="AC142" s="53"/>
      <c r="AD142" s="53"/>
      <c r="AE142" s="51">
        <f t="shared" ref="AE142:AF142" si="501">SUM(AE134:AE141)</f>
        <v>4655.52</v>
      </c>
      <c r="AF142" s="68">
        <f t="shared" si="501"/>
        <v>4668.52</v>
      </c>
      <c r="AG142" s="53"/>
      <c r="AH142" s="301"/>
      <c r="AI142" s="183">
        <f t="shared" ref="AI142:AJ142" si="502">SUM(AI134:AI141)</f>
        <v>0</v>
      </c>
      <c r="AJ142" s="51">
        <f t="shared" si="502"/>
        <v>0</v>
      </c>
      <c r="AK142" s="52"/>
      <c r="AL142" s="53"/>
      <c r="AM142" s="183">
        <f t="shared" ref="AM142:AN142" si="503">SUM(AM134:AM141)</f>
        <v>0</v>
      </c>
      <c r="AN142" s="51">
        <f t="shared" si="503"/>
        <v>0</v>
      </c>
      <c r="AO142" s="52"/>
      <c r="AP142" s="53"/>
      <c r="AQ142" s="183">
        <f t="shared" ref="AQ142:AR142" si="504">SUM(AQ134:AQ141)</f>
        <v>20.35</v>
      </c>
      <c r="AR142" s="51">
        <f t="shared" si="504"/>
        <v>0</v>
      </c>
      <c r="AS142" s="52"/>
      <c r="AT142" s="53"/>
      <c r="AU142" s="183">
        <f t="shared" ref="AU142:AV142" si="505">SUM(AU134:AU141)</f>
        <v>0</v>
      </c>
      <c r="AV142" s="68">
        <f t="shared" si="505"/>
        <v>0</v>
      </c>
      <c r="AW142" s="52"/>
      <c r="AX142" s="53"/>
      <c r="AY142" s="183">
        <f t="shared" ref="AY142:AZ142" si="506">SUM(AY134:AY141)</f>
        <v>0</v>
      </c>
      <c r="AZ142" s="68">
        <f t="shared" si="506"/>
        <v>0</v>
      </c>
      <c r="BA142" s="52"/>
      <c r="BB142" s="53"/>
      <c r="BC142" s="183">
        <f t="shared" ref="BC142:BD142" si="507">SUM(BC134:BC141)</f>
        <v>0</v>
      </c>
      <c r="BD142" s="68">
        <f t="shared" si="507"/>
        <v>0</v>
      </c>
      <c r="BE142" s="69"/>
      <c r="BF142" s="70">
        <f t="shared" ref="BF142:BH142" si="508">SUM(BF134:BF141)</f>
        <v>4714.79</v>
      </c>
      <c r="BG142" s="71">
        <f t="shared" si="508"/>
        <v>4668.52</v>
      </c>
      <c r="BH142" s="72">
        <f t="shared" si="508"/>
        <v>20.35</v>
      </c>
      <c r="BI142" s="34">
        <f>H142+BF142-BG142</f>
        <v>20.35</v>
      </c>
      <c r="BJ142" s="34">
        <f>BH142-BI142</f>
        <v>0</v>
      </c>
      <c r="BK142" s="2" t="b">
        <f>H142='2020'!BH142</f>
        <v>1</v>
      </c>
    </row>
    <row r="143" ht="14.25" customHeight="1" hidden="1" spans="1:63" x14ac:dyDescent="0.25">
      <c r="A143" s="175">
        <v>16</v>
      </c>
      <c r="B143" s="14"/>
      <c r="D143" s="14" t="s">
        <v>379</v>
      </c>
      <c r="F143" s="41"/>
      <c r="G143" s="28"/>
      <c r="H143" s="34">
        <f>'2020'!BH143</f>
        <v>0</v>
      </c>
      <c r="I143" s="13"/>
      <c r="J143" s="15"/>
      <c r="K143" s="34"/>
      <c r="L143" s="35"/>
      <c r="M143" s="13"/>
      <c r="N143" s="15"/>
      <c r="O143" s="15"/>
      <c r="P143" s="15"/>
      <c r="Q143" s="13"/>
      <c r="R143" s="15"/>
      <c r="S143" s="15"/>
      <c r="T143" s="28"/>
      <c r="U143" s="13"/>
      <c r="V143" s="15"/>
      <c r="W143" s="15"/>
      <c r="X143" s="15"/>
      <c r="Y143" s="186"/>
      <c r="Z143" s="2"/>
      <c r="AA143" s="15"/>
      <c r="AB143" s="28"/>
      <c r="AC143" s="15"/>
      <c r="AD143" s="15"/>
      <c r="AE143" s="15"/>
      <c r="AF143" s="15"/>
      <c r="AG143" s="15"/>
      <c r="AH143" s="2"/>
      <c r="AI143" s="45"/>
      <c r="AJ143" s="39"/>
      <c r="AK143" s="13"/>
      <c r="AL143" s="15"/>
      <c r="AM143" s="45"/>
      <c r="AN143" s="15"/>
      <c r="AO143" s="13"/>
      <c r="AP143" s="15"/>
      <c r="AQ143" s="45">
        <v>11.6</v>
      </c>
      <c r="AR143" s="15"/>
      <c r="AS143" s="13"/>
      <c r="AT143" s="15"/>
      <c r="AU143" s="45"/>
      <c r="AV143" s="15"/>
      <c r="AW143" s="13"/>
      <c r="AX143" s="15"/>
      <c r="AY143" s="45"/>
      <c r="AZ143" s="28"/>
      <c r="BA143" s="13"/>
      <c r="BB143" s="15"/>
      <c r="BC143" s="45"/>
      <c r="BD143" s="28"/>
      <c r="BE143" s="14"/>
      <c r="BF143" s="41">
        <f t="shared" ref="BF143:BG143" si="509">K143+O143+S143+W143+AA143+AE143+AI143+AM143+AQ143+AU143+AY143+BC143</f>
        <v>11.6</v>
      </c>
      <c r="BG143" s="34">
        <f t="shared" si="509"/>
        <v>0</v>
      </c>
      <c r="BH143" s="35">
        <f t="shared" ref="BH143:BH150" si="510">H143+BF143-BG143</f>
        <v>11.6</v>
      </c>
      <c r="BK143" s="2" t="b">
        <f>H143='2020'!BH143</f>
        <v>1</v>
      </c>
    </row>
    <row r="144" ht="14.25" customHeight="1" hidden="1" spans="1:63" x14ac:dyDescent="0.25">
      <c r="A144" s="176">
        <v>16</v>
      </c>
      <c r="B144" s="14">
        <v>3.98</v>
      </c>
      <c r="C144" s="2" t="s">
        <v>103</v>
      </c>
      <c r="D144" s="14" t="s">
        <v>44</v>
      </c>
      <c r="E144" s="2" t="s">
        <v>45</v>
      </c>
      <c r="F144" s="41">
        <v>2.5</v>
      </c>
      <c r="G144" s="35">
        <v>2.6</v>
      </c>
      <c r="H144" s="34">
        <f>'2020'!BH144</f>
        <v>-113.77</v>
      </c>
      <c r="I144" s="13">
        <v>1249</v>
      </c>
      <c r="J144" s="15">
        <f>I144-'2020'!BA144</f>
        <v>0</v>
      </c>
      <c r="K144" s="34">
        <f>J144*$F$8</f>
        <v>0</v>
      </c>
      <c r="L144" s="28"/>
      <c r="M144" s="13">
        <v>1249</v>
      </c>
      <c r="N144" s="15">
        <f t="shared" ref="N144:N145" si="511">M144-I144</f>
        <v>0</v>
      </c>
      <c r="O144" s="34">
        <f>N144*$F$8</f>
        <v>0</v>
      </c>
      <c r="P144" s="15"/>
      <c r="Q144" s="13">
        <v>1249</v>
      </c>
      <c r="R144" s="15">
        <f t="shared" ref="R144:R145" si="512">Q144-M144</f>
        <v>0</v>
      </c>
      <c r="S144" s="34">
        <f>R144*$F$8</f>
        <v>0</v>
      </c>
      <c r="T144" s="28"/>
      <c r="U144" s="13">
        <v>1249</v>
      </c>
      <c r="V144" s="15">
        <f t="shared" ref="V144:V145" si="513">U144-Q144</f>
        <v>0</v>
      </c>
      <c r="W144" s="34">
        <f>V144*$F$8</f>
        <v>0</v>
      </c>
      <c r="X144" s="15"/>
      <c r="Y144" s="186">
        <v>1265</v>
      </c>
      <c r="Z144" s="2">
        <f t="shared" ref="Z144:Z145" si="514">Y144-U144</f>
        <v>16</v>
      </c>
      <c r="AA144" s="34">
        <f>Z144*$F$8</f>
        <v>41.6</v>
      </c>
      <c r="AB144" s="35"/>
      <c r="AC144" s="15">
        <v>1278</v>
      </c>
      <c r="AD144" s="15">
        <f t="shared" ref="AD144:AD145" si="515">AC144-Y144</f>
        <v>13</v>
      </c>
      <c r="AE144" s="180">
        <f>AD144*$F$8</f>
        <v>33.8</v>
      </c>
      <c r="AF144" s="154">
        <v>500</v>
      </c>
      <c r="AG144" s="15">
        <v>1312</v>
      </c>
      <c r="AH144" s="2">
        <f t="shared" ref="AH144:AH145" si="516">AG144-AC144</f>
        <v>34</v>
      </c>
      <c r="AI144" s="45">
        <f>AH144*$G$8</f>
        <v>91.8</v>
      </c>
      <c r="AJ144" s="180"/>
      <c r="AK144" s="13">
        <v>1319</v>
      </c>
      <c r="AL144" s="15">
        <f t="shared" ref="AL144:AL145" si="517">AK144-AG144</f>
        <v>7</v>
      </c>
      <c r="AM144" s="45">
        <f>AL144*$G$8</f>
        <v>18.9</v>
      </c>
      <c r="AN144" s="15"/>
      <c r="AO144" s="13">
        <v>1321</v>
      </c>
      <c r="AP144" s="15">
        <f t="shared" ref="AP144:AP145" si="518">AO144-AK144</f>
        <v>2</v>
      </c>
      <c r="AQ144" s="45">
        <f>AP144*$G$8</f>
        <v>5.4</v>
      </c>
      <c r="AR144" s="15"/>
      <c r="AS144" s="13">
        <v>1328</v>
      </c>
      <c r="AT144" s="15">
        <f t="shared" ref="AT144:AT145" si="519">AS144-AO144</f>
        <v>7</v>
      </c>
      <c r="AU144" s="45">
        <f>AT144*$G$8</f>
        <v>18.9</v>
      </c>
      <c r="AV144" s="15"/>
      <c r="AW144" s="13">
        <v>1328</v>
      </c>
      <c r="AX144" s="15">
        <f t="shared" ref="AX144:AX145" si="520">AW144-AS144</f>
        <v>0</v>
      </c>
      <c r="AY144" s="45">
        <f>AX144*$G$8</f>
        <v>0</v>
      </c>
      <c r="AZ144" s="208"/>
      <c r="BA144" s="13">
        <v>1328</v>
      </c>
      <c r="BB144" s="15">
        <f t="shared" ref="BB144:BB145" si="521">BA144-AW144</f>
        <v>0</v>
      </c>
      <c r="BC144" s="45">
        <f>BB144*$G$8</f>
        <v>0</v>
      </c>
      <c r="BD144" s="208"/>
      <c r="BE144" s="40">
        <f t="shared" ref="BE144:BG144" si="522">J144+N144+R144+V144+Z144+AD144+AH144+AL144+AP144+AT144+AX144+BB144</f>
        <v>79</v>
      </c>
      <c r="BF144" s="41">
        <f t="shared" si="522"/>
        <v>210.4</v>
      </c>
      <c r="BG144" s="34">
        <f t="shared" si="522"/>
        <v>500</v>
      </c>
      <c r="BH144" s="35">
        <f t="shared" si="510"/>
        <v>-403.37</v>
      </c>
      <c r="BK144" s="2" t="b">
        <f>H144='2020'!BH144</f>
        <v>1</v>
      </c>
    </row>
    <row r="145" ht="14.25" customHeight="1" hidden="1" spans="1:63" x14ac:dyDescent="0.25">
      <c r="A145" s="176">
        <v>16</v>
      </c>
      <c r="B145" s="14"/>
      <c r="C145" s="2" t="s">
        <v>104</v>
      </c>
      <c r="D145" s="14" t="s">
        <v>47</v>
      </c>
      <c r="E145" s="2" t="s">
        <v>48</v>
      </c>
      <c r="F145" s="13">
        <v>18.56</v>
      </c>
      <c r="G145" s="35">
        <v>19.46</v>
      </c>
      <c r="H145" s="34">
        <f>'2020'!BH145</f>
        <v>-256.92</v>
      </c>
      <c r="I145" s="13">
        <v>126</v>
      </c>
      <c r="J145" s="15"/>
      <c r="K145" s="15"/>
      <c r="L145" s="28"/>
      <c r="M145" s="13">
        <v>126</v>
      </c>
      <c r="N145" s="15">
        <f t="shared" si="511"/>
        <v>0</v>
      </c>
      <c r="O145" s="15"/>
      <c r="P145" s="15"/>
      <c r="Q145" s="13">
        <v>126</v>
      </c>
      <c r="R145" s="15">
        <f t="shared" si="512"/>
        <v>0</v>
      </c>
      <c r="S145" s="15"/>
      <c r="T145" s="28"/>
      <c r="U145" s="13">
        <v>126</v>
      </c>
      <c r="V145" s="15">
        <f t="shared" si="513"/>
        <v>0</v>
      </c>
      <c r="W145" s="34">
        <f>V145*$F$10</f>
        <v>0</v>
      </c>
      <c r="X145" s="15"/>
      <c r="Y145" s="186">
        <v>126</v>
      </c>
      <c r="Z145" s="2">
        <f t="shared" si="514"/>
        <v>0</v>
      </c>
      <c r="AA145" s="34">
        <f>Z145*$F$10</f>
        <v>0</v>
      </c>
      <c r="AB145" s="35"/>
      <c r="AC145" s="15">
        <v>129</v>
      </c>
      <c r="AD145" s="15">
        <f t="shared" si="515"/>
        <v>3</v>
      </c>
      <c r="AE145" s="34">
        <f>AD145*$F$10</f>
        <v>58.38</v>
      </c>
      <c r="AF145" s="182">
        <v>500</v>
      </c>
      <c r="AG145" s="15">
        <v>130</v>
      </c>
      <c r="AH145" s="2">
        <f t="shared" si="516"/>
        <v>1</v>
      </c>
      <c r="AI145" s="45">
        <f>AH145*$G$10</f>
        <v>20.35</v>
      </c>
      <c r="AJ145" s="180"/>
      <c r="AK145" s="13">
        <v>130</v>
      </c>
      <c r="AL145" s="15">
        <f t="shared" si="517"/>
        <v>0</v>
      </c>
      <c r="AM145" s="45">
        <f>AL145*$G$10</f>
        <v>0</v>
      </c>
      <c r="AN145" s="15"/>
      <c r="AO145" s="13">
        <v>132</v>
      </c>
      <c r="AP145" s="15">
        <f t="shared" si="518"/>
        <v>2</v>
      </c>
      <c r="AQ145" s="45">
        <f>AP145*$G$10</f>
        <v>40.7</v>
      </c>
      <c r="AR145" s="15"/>
      <c r="AS145" s="13">
        <v>132</v>
      </c>
      <c r="AT145" s="15">
        <f t="shared" si="519"/>
        <v>0</v>
      </c>
      <c r="AU145" s="45">
        <f>AT145*$G$10</f>
        <v>0</v>
      </c>
      <c r="AV145" s="15"/>
      <c r="AW145" s="13">
        <v>132</v>
      </c>
      <c r="AX145" s="15">
        <f t="shared" si="520"/>
        <v>0</v>
      </c>
      <c r="AY145" s="45"/>
      <c r="AZ145" s="208"/>
      <c r="BA145" s="13">
        <v>132</v>
      </c>
      <c r="BB145" s="15">
        <f t="shared" si="521"/>
        <v>0</v>
      </c>
      <c r="BC145" s="45"/>
      <c r="BD145" s="208"/>
      <c r="BE145" s="40">
        <f t="shared" ref="BE145:BG145" si="523">J145+N145+R145+V145+Z145+AD145+AH145+AL145+AP145+AT145+AX145+BB145</f>
        <v>6</v>
      </c>
      <c r="BF145" s="41">
        <f t="shared" si="523"/>
        <v>119.43</v>
      </c>
      <c r="BG145" s="34">
        <f t="shared" si="523"/>
        <v>500</v>
      </c>
      <c r="BH145" s="35">
        <f t="shared" si="510"/>
        <v>-637.49</v>
      </c>
      <c r="BK145" s="2" t="b">
        <f>H145='2020'!BH145</f>
        <v>1</v>
      </c>
    </row>
    <row r="146" ht="14.25" customHeight="1" hidden="1" spans="1:63" x14ac:dyDescent="0.25">
      <c r="A146" s="176">
        <v>16</v>
      </c>
      <c r="B146" s="14"/>
      <c r="C146" s="2" t="s">
        <v>91</v>
      </c>
      <c r="D146" s="14" t="s">
        <v>47</v>
      </c>
      <c r="E146" s="2" t="s">
        <v>49</v>
      </c>
      <c r="F146" s="41">
        <v>500</v>
      </c>
      <c r="G146" s="35"/>
      <c r="H146" s="34">
        <f>'2020'!BH146</f>
        <v>0</v>
      </c>
      <c r="I146" s="13"/>
      <c r="J146" s="15"/>
      <c r="K146" s="15"/>
      <c r="L146" s="28"/>
      <c r="M146" s="13"/>
      <c r="N146" s="15"/>
      <c r="O146" s="15"/>
      <c r="P146" s="15"/>
      <c r="Q146" s="13"/>
      <c r="R146" s="15"/>
      <c r="S146" s="15"/>
      <c r="T146" s="28"/>
      <c r="U146" s="13"/>
      <c r="V146" s="15"/>
      <c r="W146" s="15"/>
      <c r="X146" s="15"/>
      <c r="Y146" s="186"/>
      <c r="Z146" s="2"/>
      <c r="AA146" s="15"/>
      <c r="AB146" s="28"/>
      <c r="AC146" s="15"/>
      <c r="AD146" s="15"/>
      <c r="AE146" s="15"/>
      <c r="AF146" s="15"/>
      <c r="AG146" s="15"/>
      <c r="AH146" s="2"/>
      <c r="AI146" s="45"/>
      <c r="AJ146" s="15"/>
      <c r="AK146" s="13"/>
      <c r="AL146" s="15"/>
      <c r="AM146" s="45"/>
      <c r="AN146" s="15"/>
      <c r="AO146" s="13"/>
      <c r="AP146" s="15"/>
      <c r="AQ146" s="45"/>
      <c r="AR146" s="15"/>
      <c r="AS146" s="13"/>
      <c r="AT146" s="15"/>
      <c r="AU146" s="45"/>
      <c r="AV146" s="15"/>
      <c r="AW146" s="13"/>
      <c r="AX146" s="15"/>
      <c r="AY146" s="45"/>
      <c r="AZ146" s="28"/>
      <c r="BA146" s="13"/>
      <c r="BB146" s="15"/>
      <c r="BC146" s="45"/>
      <c r="BD146" s="28"/>
      <c r="BE146" s="14"/>
      <c r="BF146" s="41">
        <f t="shared" ref="BF146:BG146" si="524">K146+O146+S146+W146+AA146+AE146+AI146+AM146+AQ146+AU146+AY146+BC146</f>
        <v>0</v>
      </c>
      <c r="BG146" s="34">
        <f t="shared" si="524"/>
        <v>0</v>
      </c>
      <c r="BH146" s="35">
        <f t="shared" si="510"/>
        <v>0</v>
      </c>
      <c r="BK146" s="2" t="b">
        <f>H146='2020'!BH146</f>
        <v>1</v>
      </c>
    </row>
    <row r="147" ht="14.25" customHeight="1" hidden="1" spans="1:63" x14ac:dyDescent="0.25">
      <c r="A147" s="176">
        <v>16</v>
      </c>
      <c r="B147" s="14"/>
      <c r="C147" s="2" t="s">
        <v>105</v>
      </c>
      <c r="D147" s="14" t="s">
        <v>50</v>
      </c>
      <c r="E147" s="2" t="s">
        <v>49</v>
      </c>
      <c r="F147" s="41">
        <v>1100</v>
      </c>
      <c r="G147" s="35"/>
      <c r="H147" s="34">
        <f>'2020'!BH147</f>
        <v>0</v>
      </c>
      <c r="I147" s="13"/>
      <c r="J147" s="15"/>
      <c r="K147" s="15"/>
      <c r="L147" s="28"/>
      <c r="M147" s="13"/>
      <c r="N147" s="15"/>
      <c r="O147" s="15"/>
      <c r="P147" s="15"/>
      <c r="Q147" s="13"/>
      <c r="R147" s="15"/>
      <c r="S147" s="15"/>
      <c r="T147" s="28"/>
      <c r="U147" s="13"/>
      <c r="V147" s="15"/>
      <c r="W147" s="15"/>
      <c r="X147" s="15"/>
      <c r="Y147" s="186"/>
      <c r="Z147" s="2"/>
      <c r="AA147" s="15"/>
      <c r="AB147" s="28"/>
      <c r="AC147" s="15"/>
      <c r="AD147" s="15"/>
      <c r="AE147" s="182">
        <v>4378</v>
      </c>
      <c r="AF147" s="182">
        <v>510</v>
      </c>
      <c r="AG147" s="15"/>
      <c r="AH147" s="2"/>
      <c r="AI147" s="45"/>
      <c r="AJ147" s="39"/>
      <c r="AK147" s="13"/>
      <c r="AL147" s="15"/>
      <c r="AM147" s="45"/>
      <c r="AN147" s="34"/>
      <c r="AO147" s="13"/>
      <c r="AP147" s="15"/>
      <c r="AQ147" s="45"/>
      <c r="AR147" s="15"/>
      <c r="AS147" s="13"/>
      <c r="AT147" s="15"/>
      <c r="AU147" s="45"/>
      <c r="AV147" s="15"/>
      <c r="AW147" s="13"/>
      <c r="AX147" s="15"/>
      <c r="AY147" s="45"/>
      <c r="AZ147" s="28"/>
      <c r="BA147" s="13"/>
      <c r="BB147" s="15"/>
      <c r="BC147" s="45"/>
      <c r="BD147" s="28"/>
      <c r="BE147" s="14"/>
      <c r="BF147" s="41">
        <f t="shared" ref="BF147:BG147" si="525">K147+O147+S147+W147+AA147+AE147+AI147+AM147+AQ147+AU147+AY147+BC147</f>
        <v>4378</v>
      </c>
      <c r="BG147" s="34">
        <f t="shared" si="525"/>
        <v>510</v>
      </c>
      <c r="BH147" s="35">
        <f t="shared" si="510"/>
        <v>3868</v>
      </c>
      <c r="BK147" s="2" t="b">
        <f>H147='2020'!BH147</f>
        <v>1</v>
      </c>
    </row>
    <row r="148" ht="14.25" customHeight="1" hidden="1" spans="1:63" x14ac:dyDescent="0.25">
      <c r="A148" s="176">
        <v>16</v>
      </c>
      <c r="B148" s="14"/>
      <c r="C148" s="2" t="s">
        <v>93</v>
      </c>
      <c r="D148" s="14" t="s">
        <v>51</v>
      </c>
      <c r="E148" s="2" t="s">
        <v>39</v>
      </c>
      <c r="F148" s="41">
        <v>500</v>
      </c>
      <c r="G148" s="35"/>
      <c r="H148" s="34">
        <f>'2020'!BH148</f>
        <v>500</v>
      </c>
      <c r="I148" s="13"/>
      <c r="J148" s="15"/>
      <c r="K148" s="15"/>
      <c r="L148" s="28"/>
      <c r="M148" s="13"/>
      <c r="N148" s="15"/>
      <c r="O148" s="15"/>
      <c r="P148" s="15"/>
      <c r="Q148" s="13"/>
      <c r="R148" s="15"/>
      <c r="S148" s="15"/>
      <c r="T148" s="28"/>
      <c r="U148" s="13"/>
      <c r="V148" s="15"/>
      <c r="W148" s="15"/>
      <c r="X148" s="15"/>
      <c r="Y148" s="186"/>
      <c r="Z148" s="2"/>
      <c r="AA148" s="15"/>
      <c r="AB148" s="28"/>
      <c r="AC148" s="15"/>
      <c r="AD148" s="15"/>
      <c r="AE148" s="180">
        <f>$F$13</f>
      </c>
      <c r="AF148" s="182">
        <v>500</v>
      </c>
      <c r="AG148" s="15"/>
      <c r="AH148" s="2"/>
      <c r="AI148" s="45"/>
      <c r="AJ148" s="15"/>
      <c r="AK148" s="13"/>
      <c r="AL148" s="15"/>
      <c r="AM148" s="45"/>
      <c r="AN148" s="15"/>
      <c r="AO148" s="13"/>
      <c r="AP148" s="15"/>
      <c r="AQ148" s="180"/>
      <c r="AR148" s="15"/>
      <c r="AS148" s="13"/>
      <c r="AT148" s="15"/>
      <c r="AU148" s="45"/>
      <c r="AV148" s="15"/>
      <c r="AW148" s="13"/>
      <c r="AX148" s="15"/>
      <c r="AY148" s="45"/>
      <c r="AZ148" s="28"/>
      <c r="BA148" s="13"/>
      <c r="BB148" s="15"/>
      <c r="BC148" s="45"/>
      <c r="BD148" s="28"/>
      <c r="BE148" s="14"/>
      <c r="BF148" s="41">
        <f t="shared" ref="BF148:BG148" si="526">K148+O148+S148+W148+AA148+AE148+AI148+AM148+AQ148+AU148+AY148+BC148</f>
        <v>0</v>
      </c>
      <c r="BG148" s="34">
        <f t="shared" si="526"/>
        <v>500</v>
      </c>
      <c r="BH148" s="35">
        <f t="shared" si="510"/>
        <v>0</v>
      </c>
      <c r="BK148" s="2" t="b">
        <f>H148='2020'!BH148</f>
        <v>1</v>
      </c>
    </row>
    <row r="149" ht="14.25" customHeight="1" hidden="1" spans="1:63" x14ac:dyDescent="0.25">
      <c r="A149" s="176">
        <v>16</v>
      </c>
      <c r="B149" s="14"/>
      <c r="D149" s="14" t="s">
        <v>51</v>
      </c>
      <c r="E149" s="2" t="s">
        <v>49</v>
      </c>
      <c r="F149" s="41">
        <v>500</v>
      </c>
      <c r="G149" s="35"/>
      <c r="H149" s="34">
        <f>'2020'!BH149</f>
        <v>1990</v>
      </c>
      <c r="I149" s="13"/>
      <c r="J149" s="15"/>
      <c r="K149" s="15"/>
      <c r="L149" s="28"/>
      <c r="M149" s="13"/>
      <c r="N149" s="15"/>
      <c r="O149" s="15"/>
      <c r="P149" s="15"/>
      <c r="Q149" s="13"/>
      <c r="R149" s="15"/>
      <c r="S149" s="15"/>
      <c r="T149" s="28"/>
      <c r="U149" s="13"/>
      <c r="V149" s="15"/>
      <c r="W149" s="15"/>
      <c r="X149" s="15"/>
      <c r="Y149" s="186"/>
      <c r="Z149" s="2"/>
      <c r="AA149" s="15"/>
      <c r="AB149" s="28"/>
      <c r="AC149" s="15"/>
      <c r="AD149" s="15"/>
      <c r="AE149" s="34"/>
      <c r="AF149" s="182">
        <v>1990</v>
      </c>
      <c r="AG149" s="15"/>
      <c r="AH149" s="2"/>
      <c r="AI149" s="45"/>
      <c r="AJ149" s="15"/>
      <c r="AK149" s="13"/>
      <c r="AL149" s="15"/>
      <c r="AM149" s="45"/>
      <c r="AN149" s="15"/>
      <c r="AO149" s="13"/>
      <c r="AP149" s="15"/>
      <c r="AQ149" s="180">
        <f>B144*$F$14</f>
        <v>0</v>
      </c>
      <c r="AR149" s="15"/>
      <c r="AS149" s="13"/>
      <c r="AT149" s="15"/>
      <c r="AU149" s="45"/>
      <c r="AV149" s="15"/>
      <c r="AW149" s="13"/>
      <c r="AX149" s="15"/>
      <c r="AY149" s="45"/>
      <c r="AZ149" s="28"/>
      <c r="BA149" s="13"/>
      <c r="BB149" s="15"/>
      <c r="BC149" s="45"/>
      <c r="BD149" s="28"/>
      <c r="BE149" s="14"/>
      <c r="BF149" s="41">
        <f t="shared" ref="BF149:BG149" si="527">K149+O149+S149+W149+AA149+AE149+AI149+AM149+AQ149+AU149+AY149+BC149</f>
        <v>0</v>
      </c>
      <c r="BG149" s="34">
        <f t="shared" si="527"/>
        <v>1990</v>
      </c>
      <c r="BH149" s="35">
        <f t="shared" si="510"/>
        <v>0</v>
      </c>
      <c r="BK149" s="2" t="b">
        <f>H149='2020'!BH149</f>
        <v>1</v>
      </c>
    </row>
    <row r="150" ht="14.25" customHeight="1" hidden="1" spans="1:63" x14ac:dyDescent="0.25">
      <c r="A150" s="176">
        <v>16</v>
      </c>
      <c r="B150" s="14"/>
      <c r="C150" s="2" t="s">
        <v>390</v>
      </c>
      <c r="D150" s="14" t="s">
        <v>52</v>
      </c>
      <c r="E150" s="2" t="s">
        <v>39</v>
      </c>
      <c r="F150" s="41">
        <v>500</v>
      </c>
      <c r="G150" s="35"/>
      <c r="H150" s="34">
        <f>'2020'!BH150</f>
        <v>0</v>
      </c>
      <c r="I150" s="13"/>
      <c r="J150" s="15"/>
      <c r="K150" s="15"/>
      <c r="L150" s="28"/>
      <c r="M150" s="13"/>
      <c r="N150" s="15"/>
      <c r="O150" s="15"/>
      <c r="P150" s="15"/>
      <c r="Q150" s="13"/>
      <c r="R150" s="15"/>
      <c r="S150" s="15"/>
      <c r="T150" s="28"/>
      <c r="U150" s="13"/>
      <c r="V150" s="15"/>
      <c r="W150" s="15"/>
      <c r="X150" s="15"/>
      <c r="Y150" s="186"/>
      <c r="Z150" s="2"/>
      <c r="AA150" s="34">
        <f>$F$15</f>
      </c>
      <c r="AB150" s="35"/>
      <c r="AC150" s="15"/>
      <c r="AD150" s="15"/>
      <c r="AE150" s="15"/>
      <c r="AF150" s="34"/>
      <c r="AG150" s="15"/>
      <c r="AH150" s="2"/>
      <c r="AI150" s="45"/>
      <c r="AJ150" s="15"/>
      <c r="AK150" s="13"/>
      <c r="AL150" s="15"/>
      <c r="AM150" s="45"/>
      <c r="AN150" s="34"/>
      <c r="AO150" s="13"/>
      <c r="AP150" s="15"/>
      <c r="AQ150" s="45"/>
      <c r="AR150" s="15"/>
      <c r="AS150" s="13"/>
      <c r="AT150" s="15"/>
      <c r="AU150" s="45"/>
      <c r="AV150" s="15"/>
      <c r="AW150" s="13"/>
      <c r="AX150" s="15"/>
      <c r="AY150" s="45"/>
      <c r="AZ150" s="35"/>
      <c r="BA150" s="13"/>
      <c r="BB150" s="15"/>
      <c r="BC150" s="45"/>
      <c r="BD150" s="35"/>
      <c r="BE150" s="14"/>
      <c r="BF150" s="41">
        <f t="shared" ref="BF150:BG150" si="528">K150+O150+S150+W150+AA150+AE150+AI150+AM150+AQ150+AU150+AY150+BC150</f>
        <v>0</v>
      </c>
      <c r="BG150" s="34">
        <f t="shared" si="528"/>
        <v>0</v>
      </c>
      <c r="BH150" s="35">
        <f t="shared" si="510"/>
        <v>0</v>
      </c>
      <c r="BK150" s="2" t="b">
        <f>H150='2020'!BH150</f>
        <v>1</v>
      </c>
    </row>
    <row r="151" ht="14.25" customHeight="1" hidden="1" spans="1:63" x14ac:dyDescent="0.25">
      <c r="A151" s="177">
        <v>16</v>
      </c>
      <c r="B151" s="21"/>
      <c r="C151" s="22" t="s">
        <v>53</v>
      </c>
      <c r="D151" s="21"/>
      <c r="E151" s="22"/>
      <c r="F151" s="20"/>
      <c r="G151" s="23"/>
      <c r="H151" s="51">
        <f>SUM(H143:H150)</f>
        <v>2119.31</v>
      </c>
      <c r="I151" s="52"/>
      <c r="J151" s="53"/>
      <c r="K151" s="51">
        <f t="shared" ref="K151:L151" si="529">SUM(K143:K150)</f>
        <v>0</v>
      </c>
      <c r="L151" s="68">
        <f t="shared" si="529"/>
        <v>0</v>
      </c>
      <c r="M151" s="52"/>
      <c r="N151" s="53"/>
      <c r="O151" s="51">
        <f t="shared" ref="O151:P151" si="530">SUM(O143:O150)</f>
        <v>0</v>
      </c>
      <c r="P151" s="68">
        <f t="shared" si="530"/>
        <v>0</v>
      </c>
      <c r="Q151" s="52"/>
      <c r="R151" s="53"/>
      <c r="S151" s="51">
        <f t="shared" ref="S151:T151" si="531">SUM(S143:S150)</f>
        <v>0</v>
      </c>
      <c r="T151" s="68">
        <f t="shared" si="531"/>
        <v>0</v>
      </c>
      <c r="U151" s="52"/>
      <c r="V151" s="53"/>
      <c r="W151" s="51">
        <f t="shared" ref="W151:X151" si="532">SUM(W143:W150)</f>
        <v>0</v>
      </c>
      <c r="X151" s="68">
        <f t="shared" si="532"/>
        <v>0</v>
      </c>
      <c r="Y151" s="300"/>
      <c r="Z151" s="301"/>
      <c r="AA151" s="51">
        <f t="shared" ref="AA151:AB151" si="533">SUM(AA143:AA150)</f>
        <v>41.6</v>
      </c>
      <c r="AB151" s="68">
        <f t="shared" si="533"/>
        <v>0</v>
      </c>
      <c r="AC151" s="53"/>
      <c r="AD151" s="53"/>
      <c r="AE151" s="51">
        <f t="shared" ref="AE151:AF151" si="534">SUM(AE143:AE150)</f>
        <v>4470.18</v>
      </c>
      <c r="AF151" s="68">
        <f t="shared" si="534"/>
        <v>4000</v>
      </c>
      <c r="AG151" s="53"/>
      <c r="AH151" s="301"/>
      <c r="AI151" s="183">
        <f t="shared" ref="AI151:AJ151" si="535">SUM(AI143:AI150)</f>
        <v>112.15</v>
      </c>
      <c r="AJ151" s="51">
        <f t="shared" si="535"/>
        <v>0</v>
      </c>
      <c r="AK151" s="52"/>
      <c r="AL151" s="53"/>
      <c r="AM151" s="183">
        <f t="shared" ref="AM151:AN151" si="536">SUM(AM143:AM150)</f>
        <v>18.9</v>
      </c>
      <c r="AN151" s="51">
        <f t="shared" si="536"/>
        <v>0</v>
      </c>
      <c r="AO151" s="52"/>
      <c r="AP151" s="53"/>
      <c r="AQ151" s="183">
        <f t="shared" ref="AQ151:AR151" si="537">SUM(AQ143:AQ150)</f>
        <v>57.7</v>
      </c>
      <c r="AR151" s="51">
        <f t="shared" si="537"/>
        <v>0</v>
      </c>
      <c r="AS151" s="52"/>
      <c r="AT151" s="53"/>
      <c r="AU151" s="183">
        <f t="shared" ref="AU151:AV151" si="538">SUM(AU143:AU150)</f>
        <v>18.9</v>
      </c>
      <c r="AV151" s="68">
        <f t="shared" si="538"/>
        <v>0</v>
      </c>
      <c r="AW151" s="52"/>
      <c r="AX151" s="53"/>
      <c r="AY151" s="183">
        <f t="shared" ref="AY151:AZ151" si="539">SUM(AY143:AY150)</f>
        <v>0</v>
      </c>
      <c r="AZ151" s="68">
        <f t="shared" si="539"/>
        <v>0</v>
      </c>
      <c r="BA151" s="52"/>
      <c r="BB151" s="53"/>
      <c r="BC151" s="183">
        <f t="shared" ref="BC151:BD151" si="540">SUM(BC143:BC150)</f>
        <v>0</v>
      </c>
      <c r="BD151" s="68">
        <f t="shared" si="540"/>
        <v>0</v>
      </c>
      <c r="BE151" s="69"/>
      <c r="BF151" s="70">
        <f t="shared" ref="BF151:BH151" si="541">SUM(BF143:BF150)</f>
        <v>4719.43</v>
      </c>
      <c r="BG151" s="71">
        <f t="shared" si="541"/>
        <v>4000</v>
      </c>
      <c r="BH151" s="72">
        <f t="shared" si="541"/>
        <v>2838.74</v>
      </c>
      <c r="BI151" s="34">
        <f>H151+BF151-BG151</f>
        <v>2838.74</v>
      </c>
      <c r="BJ151" s="34">
        <f>BH151-BI151</f>
        <v>0</v>
      </c>
      <c r="BK151" s="2" t="b">
        <f>H151='2020'!BH151</f>
        <v>1</v>
      </c>
    </row>
    <row r="152" ht="14.25" customHeight="1" hidden="1" spans="1:63" x14ac:dyDescent="0.25">
      <c r="A152" s="175">
        <v>17</v>
      </c>
      <c r="B152" s="14"/>
      <c r="D152" s="14" t="s">
        <v>379</v>
      </c>
      <c r="F152" s="13"/>
      <c r="G152" s="28"/>
      <c r="H152" s="34">
        <f>'2020'!BH152</f>
        <v>0</v>
      </c>
      <c r="I152" s="13"/>
      <c r="J152" s="15"/>
      <c r="K152" s="15"/>
      <c r="L152" s="28"/>
      <c r="M152" s="13"/>
      <c r="N152" s="15"/>
      <c r="Q152" s="13"/>
      <c r="R152" s="15"/>
      <c r="S152" s="15"/>
      <c r="T152" s="28"/>
      <c r="U152" s="13"/>
      <c r="V152" s="15"/>
      <c r="Y152" s="186"/>
      <c r="Z152" s="2"/>
      <c r="AA152" s="15"/>
      <c r="AB152" s="28"/>
      <c r="AC152" s="15"/>
      <c r="AD152" s="15"/>
      <c r="AG152" s="15"/>
      <c r="AH152" s="2"/>
      <c r="AI152" s="45"/>
      <c r="AJ152" s="15"/>
      <c r="AK152" s="13"/>
      <c r="AM152" s="45"/>
      <c r="AO152" s="13"/>
      <c r="AQ152" s="45"/>
      <c r="AS152" s="13"/>
      <c r="AU152" s="45"/>
      <c r="AW152" s="13"/>
      <c r="AY152" s="45"/>
      <c r="AZ152" s="28"/>
      <c r="BA152" s="13"/>
      <c r="BB152" s="15"/>
      <c r="BC152" s="45"/>
      <c r="BD152" s="28"/>
      <c r="BE152" s="14"/>
      <c r="BF152" s="41">
        <f t="shared" ref="BF152:BG152" si="542">K152+O152+S152+W152+AA152+AE152+AI152+AM152+AQ152+AU152+AY152+BC152</f>
        <v>0</v>
      </c>
      <c r="BG152" s="34">
        <f t="shared" si="542"/>
        <v>0</v>
      </c>
      <c r="BH152" s="35">
        <f t="shared" ref="BH152:BH159" si="543">H152+BF152-BG152</f>
        <v>0</v>
      </c>
      <c r="BK152" s="2" t="b">
        <f>H152='2020'!BH152</f>
        <v>1</v>
      </c>
    </row>
    <row r="153" ht="14.25" customHeight="1" hidden="1" spans="1:63" x14ac:dyDescent="0.25">
      <c r="A153" s="176">
        <v>17</v>
      </c>
      <c r="B153" s="86">
        <v>4</v>
      </c>
      <c r="C153" s="2" t="s">
        <v>106</v>
      </c>
      <c r="D153" s="14" t="s">
        <v>44</v>
      </c>
      <c r="E153" s="2" t="s">
        <v>45</v>
      </c>
      <c r="F153" s="41">
        <v>2.5</v>
      </c>
      <c r="G153" s="35">
        <v>2.6</v>
      </c>
      <c r="H153" s="34">
        <f>'2020'!BH153</f>
        <v>-70.89</v>
      </c>
      <c r="I153" s="13">
        <v>95</v>
      </c>
      <c r="J153" s="15">
        <f>I153-'2020'!BA153</f>
        <v>0</v>
      </c>
      <c r="K153" s="34">
        <f>J153*$F$8</f>
        <v>0</v>
      </c>
      <c r="L153" s="28"/>
      <c r="M153" s="13">
        <v>95</v>
      </c>
      <c r="N153" s="15">
        <f t="shared" ref="N153:N154" si="544">M153-I153</f>
        <v>0</v>
      </c>
      <c r="O153" s="34">
        <f>N153*$F$8</f>
        <v>0</v>
      </c>
      <c r="Q153" s="13">
        <v>95</v>
      </c>
      <c r="R153" s="15">
        <f t="shared" ref="R153:R154" si="545">Q153-M153</f>
        <v>0</v>
      </c>
      <c r="S153" s="34">
        <f>R153*$F$8</f>
        <v>0</v>
      </c>
      <c r="T153" s="28"/>
      <c r="U153" s="13">
        <v>95</v>
      </c>
      <c r="V153" s="15">
        <f t="shared" ref="V153:V154" si="546">U153-Q153</f>
        <v>0</v>
      </c>
      <c r="W153" s="34">
        <f>V153*$F$8</f>
        <v>0</v>
      </c>
      <c r="Y153" s="186">
        <v>103</v>
      </c>
      <c r="Z153" s="2">
        <f>Y153-U153</f>
        <v>8</v>
      </c>
      <c r="AA153" s="34">
        <f>Z153*$F$8</f>
        <v>20.8</v>
      </c>
      <c r="AB153" s="28"/>
      <c r="AC153" s="13">
        <v>120</v>
      </c>
      <c r="AD153" s="15">
        <f t="shared" ref="AD153:AD154" si="547">AC153-Y153</f>
        <v>17</v>
      </c>
      <c r="AE153" s="180">
        <f>AD153*$F$8</f>
        <v>44.2</v>
      </c>
      <c r="AF153" s="180"/>
      <c r="AG153" s="13">
        <v>141</v>
      </c>
      <c r="AH153" s="2">
        <f t="shared" ref="AH153:AH154" si="548">AG153-AC153</f>
        <v>21</v>
      </c>
      <c r="AI153" s="45">
        <f>AH153*$G$8</f>
        <v>56.7</v>
      </c>
      <c r="AJ153" s="15"/>
      <c r="AK153" s="13">
        <v>155</v>
      </c>
      <c r="AL153" s="15">
        <f t="shared" ref="AL153:AL154" si="549">AK153-AG153</f>
        <v>14</v>
      </c>
      <c r="AM153" s="45">
        <f>AL153*$G$8</f>
        <v>37.8</v>
      </c>
      <c r="AN153" s="15"/>
      <c r="AO153" s="13">
        <v>180</v>
      </c>
      <c r="AP153" s="15">
        <f t="shared" ref="AP153:AP154" si="550">AO153-AK153</f>
        <v>25</v>
      </c>
      <c r="AQ153" s="45">
        <f>AP153*$G$8</f>
        <v>67.5</v>
      </c>
      <c r="AR153" s="39">
        <v>100</v>
      </c>
      <c r="AS153" s="13">
        <v>192</v>
      </c>
      <c r="AT153" s="15">
        <f t="shared" ref="AT153:AT154" si="551">AS153-AO153</f>
        <v>12</v>
      </c>
      <c r="AU153" s="45">
        <f>AT153*$G$8</f>
        <v>32.4</v>
      </c>
      <c r="AV153" s="15"/>
      <c r="AW153" s="13">
        <v>192</v>
      </c>
      <c r="AX153" s="15">
        <f t="shared" ref="AX153:AX154" si="552">AW153-AS153</f>
        <v>0</v>
      </c>
      <c r="AY153" s="45">
        <f>AX153*$G$8</f>
        <v>0</v>
      </c>
      <c r="AZ153" s="249">
        <v>100</v>
      </c>
      <c r="BA153" s="13">
        <v>192</v>
      </c>
      <c r="BB153" s="15">
        <f t="shared" ref="BB153:BB154" si="553">BA153-AW153</f>
        <v>0</v>
      </c>
      <c r="BC153" s="45">
        <f>BB153*$G$8</f>
        <v>0</v>
      </c>
      <c r="BD153" s="208"/>
      <c r="BE153" s="40">
        <f t="shared" ref="BE153:BG153" si="554">J153+N153+R153+V153+Z153+AD153+AH153+AL153+AP153+AT153+AX153+BB153</f>
        <v>97</v>
      </c>
      <c r="BF153" s="41">
        <f t="shared" si="554"/>
        <v>259.4</v>
      </c>
      <c r="BG153" s="34">
        <f t="shared" si="554"/>
        <v>200</v>
      </c>
      <c r="BH153" s="35">
        <f t="shared" si="543"/>
        <v>-11.49</v>
      </c>
      <c r="BK153" s="2" t="b">
        <f>H153='2020'!BH153</f>
        <v>1</v>
      </c>
    </row>
    <row r="154" ht="14.25" customHeight="1" hidden="1" spans="1:63" x14ac:dyDescent="0.25">
      <c r="A154" s="176">
        <v>17</v>
      </c>
      <c r="B154" s="14"/>
      <c r="C154" s="2" t="s">
        <v>83</v>
      </c>
      <c r="D154" s="14" t="s">
        <v>47</v>
      </c>
      <c r="E154" s="2" t="s">
        <v>48</v>
      </c>
      <c r="F154" s="13">
        <v>18.56</v>
      </c>
      <c r="G154" s="35">
        <v>19.46</v>
      </c>
      <c r="H154" s="34">
        <f>'2020'!BH154</f>
        <v>38.02</v>
      </c>
      <c r="I154" s="13">
        <v>72</v>
      </c>
      <c r="J154" s="15"/>
      <c r="K154" s="15"/>
      <c r="L154" s="28"/>
      <c r="M154" s="13">
        <v>72</v>
      </c>
      <c r="N154" s="15">
        <f t="shared" si="544"/>
        <v>0</v>
      </c>
      <c r="Q154" s="13">
        <v>72</v>
      </c>
      <c r="R154" s="15">
        <f t="shared" si="545"/>
        <v>0</v>
      </c>
      <c r="S154" s="15"/>
      <c r="T154" s="28"/>
      <c r="U154" s="13">
        <v>72</v>
      </c>
      <c r="V154" s="15">
        <f t="shared" si="546"/>
        <v>0</v>
      </c>
      <c r="W154" s="34">
        <f>V154*$F$10</f>
        <v>0</v>
      </c>
      <c r="Y154" s="186">
        <v>1</v>
      </c>
      <c r="Z154" s="2">
        <v>1</v>
      </c>
      <c r="AA154" s="34">
        <f>Z154*$F$10</f>
        <v>19.46</v>
      </c>
      <c r="AB154" s="28"/>
      <c r="AC154" s="15">
        <v>1</v>
      </c>
      <c r="AD154" s="15">
        <f t="shared" si="547"/>
        <v>0</v>
      </c>
      <c r="AE154" s="34">
        <f>AD154*$F$10</f>
        <v>0</v>
      </c>
      <c r="AF154" s="1"/>
      <c r="AG154" s="15">
        <v>2</v>
      </c>
      <c r="AH154" s="2">
        <f t="shared" si="548"/>
        <v>1</v>
      </c>
      <c r="AI154" s="45">
        <f>AH154*$G$10</f>
        <v>20.35</v>
      </c>
      <c r="AJ154" s="304">
        <v>58</v>
      </c>
      <c r="AK154" s="13">
        <v>3</v>
      </c>
      <c r="AL154" s="15">
        <f t="shared" si="549"/>
        <v>1</v>
      </c>
      <c r="AM154" s="45">
        <f>AL154*$G$10</f>
        <v>20.35</v>
      </c>
      <c r="AN154" s="15"/>
      <c r="AO154" s="13">
        <v>3</v>
      </c>
      <c r="AP154" s="15">
        <f t="shared" si="550"/>
        <v>0</v>
      </c>
      <c r="AQ154" s="45">
        <f>AP154*$G$10</f>
        <v>0</v>
      </c>
      <c r="AR154" s="1">
        <v>50</v>
      </c>
      <c r="AS154" s="13">
        <v>3</v>
      </c>
      <c r="AT154" s="15">
        <f t="shared" si="551"/>
        <v>0</v>
      </c>
      <c r="AU154" s="45">
        <f>AT154*$G$10</f>
        <v>0</v>
      </c>
      <c r="AV154" s="15"/>
      <c r="AW154" s="13">
        <v>3</v>
      </c>
      <c r="AX154" s="15">
        <f t="shared" si="552"/>
        <v>0</v>
      </c>
      <c r="AY154" s="45"/>
      <c r="AZ154" s="208"/>
      <c r="BA154" s="13">
        <v>3</v>
      </c>
      <c r="BB154" s="15">
        <f t="shared" si="553"/>
        <v>0</v>
      </c>
      <c r="BC154" s="45"/>
      <c r="BD154" s="208"/>
      <c r="BE154" s="40">
        <f t="shared" ref="BE154:BG154" si="555">J154+N154+R154+V154+Z154+AD154+AH154+AL154+AP154+AT154+AX154+BB154</f>
        <v>3</v>
      </c>
      <c r="BF154" s="41">
        <f t="shared" si="555"/>
        <v>60.16</v>
      </c>
      <c r="BG154" s="34">
        <f t="shared" si="555"/>
        <v>108</v>
      </c>
      <c r="BH154" s="35">
        <f t="shared" si="543"/>
        <v>-9.82</v>
      </c>
      <c r="BK154" s="2" t="b">
        <f>H154='2020'!BH154</f>
        <v>1</v>
      </c>
    </row>
    <row r="155" ht="14.25" customHeight="1" hidden="1" spans="1:63" x14ac:dyDescent="0.25">
      <c r="A155" s="176">
        <v>17</v>
      </c>
      <c r="B155" s="14"/>
      <c r="C155" s="2" t="s">
        <v>107</v>
      </c>
      <c r="D155" s="14" t="s">
        <v>47</v>
      </c>
      <c r="E155" s="2" t="s">
        <v>49</v>
      </c>
      <c r="F155" s="41">
        <v>500</v>
      </c>
      <c r="G155" s="35"/>
      <c r="H155" s="34">
        <f>'2020'!BH155</f>
        <v>0</v>
      </c>
      <c r="I155" s="13"/>
      <c r="J155" s="15"/>
      <c r="K155" s="15"/>
      <c r="L155" s="28"/>
      <c r="M155" s="13"/>
      <c r="N155" s="15"/>
      <c r="Q155" s="13"/>
      <c r="R155" s="15"/>
      <c r="S155" s="15"/>
      <c r="T155" s="28"/>
      <c r="U155" s="13"/>
      <c r="V155" s="15"/>
      <c r="Y155" s="186"/>
      <c r="Z155" s="2"/>
      <c r="AA155" s="15"/>
      <c r="AB155" s="28"/>
      <c r="AC155" s="15"/>
      <c r="AD155" s="15"/>
      <c r="AF155" s="1"/>
      <c r="AG155" s="15"/>
      <c r="AH155" s="2"/>
      <c r="AI155" s="45"/>
      <c r="AJ155" s="304"/>
      <c r="AK155" s="13"/>
      <c r="AL155" s="15"/>
      <c r="AM155" s="45"/>
      <c r="AN155" s="15"/>
      <c r="AO155" s="13"/>
      <c r="AP155" s="15"/>
      <c r="AQ155" s="45"/>
      <c r="AR155" s="1"/>
      <c r="AS155" s="13"/>
      <c r="AT155" s="15"/>
      <c r="AU155" s="45"/>
      <c r="AV155" s="15"/>
      <c r="AW155" s="13"/>
      <c r="AX155" s="15"/>
      <c r="AY155" s="45"/>
      <c r="AZ155" s="28"/>
      <c r="BA155" s="13"/>
      <c r="BB155" s="15"/>
      <c r="BC155" s="45"/>
      <c r="BD155" s="28"/>
      <c r="BE155" s="14"/>
      <c r="BF155" s="41">
        <f t="shared" ref="BF155:BG155" si="556">K155+O155+S155+W155+AA155+AE155+AI155+AM155+AQ155+AU155+AY155+BC155</f>
        <v>0</v>
      </c>
      <c r="BG155" s="34">
        <f t="shared" si="556"/>
        <v>0</v>
      </c>
      <c r="BH155" s="35">
        <f t="shared" si="543"/>
        <v>0</v>
      </c>
      <c r="BK155" s="2" t="b">
        <f>H155='2020'!BH155</f>
        <v>1</v>
      </c>
    </row>
    <row r="156" ht="14.25" customHeight="1" hidden="1" spans="1:63" x14ac:dyDescent="0.25">
      <c r="A156" s="176">
        <v>17</v>
      </c>
      <c r="B156" s="14"/>
      <c r="C156" s="15" t="s">
        <v>108</v>
      </c>
      <c r="D156" s="14" t="s">
        <v>50</v>
      </c>
      <c r="E156" s="2" t="s">
        <v>49</v>
      </c>
      <c r="F156" s="41">
        <v>1100</v>
      </c>
      <c r="G156" s="35"/>
      <c r="H156" s="34">
        <f>'2020'!BH156</f>
        <v>0</v>
      </c>
      <c r="I156" s="13"/>
      <c r="J156" s="15"/>
      <c r="K156" s="15"/>
      <c r="L156" s="28"/>
      <c r="M156" s="13"/>
      <c r="N156" s="15"/>
      <c r="Q156" s="13"/>
      <c r="R156" s="15"/>
      <c r="S156" s="15"/>
      <c r="T156" s="28"/>
      <c r="U156" s="13"/>
      <c r="V156" s="15"/>
      <c r="Y156" s="186"/>
      <c r="Z156" s="2"/>
      <c r="AA156" s="15"/>
      <c r="AB156" s="28"/>
      <c r="AC156" s="15"/>
      <c r="AD156" s="15"/>
      <c r="AE156" s="34">
        <f>B153*$F$12</f>
        <v>4400</v>
      </c>
      <c r="AF156" s="180"/>
      <c r="AG156" s="15"/>
      <c r="AH156" s="2"/>
      <c r="AI156" s="45"/>
      <c r="AJ156" s="304">
        <v>4400</v>
      </c>
      <c r="AK156" s="13"/>
      <c r="AL156" s="15"/>
      <c r="AM156" s="45"/>
      <c r="AN156" s="15"/>
      <c r="AO156" s="13"/>
      <c r="AP156" s="15"/>
      <c r="AQ156" s="45"/>
      <c r="AR156" s="1"/>
      <c r="AS156" s="13"/>
      <c r="AT156" s="15"/>
      <c r="AU156" s="45"/>
      <c r="AV156" s="15"/>
      <c r="AW156" s="13"/>
      <c r="AX156" s="15"/>
      <c r="AY156" s="45"/>
      <c r="AZ156" s="28"/>
      <c r="BA156" s="13"/>
      <c r="BB156" s="15"/>
      <c r="BC156" s="45"/>
      <c r="BD156" s="28"/>
      <c r="BE156" s="14"/>
      <c r="BF156" s="41">
        <f t="shared" ref="BF156:BG156" si="557">K156+O156+S156+W156+AA156+AE156+AI156+AM156+AQ156+AU156+AY156+BC156</f>
        <v>4400</v>
      </c>
      <c r="BG156" s="34">
        <f t="shared" si="557"/>
        <v>4400</v>
      </c>
      <c r="BH156" s="35">
        <f t="shared" si="543"/>
        <v>0</v>
      </c>
      <c r="BK156" s="2" t="b">
        <f>H156='2020'!BH156</f>
        <v>1</v>
      </c>
    </row>
    <row r="157" ht="14.25" customHeight="1" hidden="1" spans="1:63" x14ac:dyDescent="0.25">
      <c r="A157" s="176">
        <v>17</v>
      </c>
      <c r="B157" s="14"/>
      <c r="D157" s="14" t="s">
        <v>51</v>
      </c>
      <c r="E157" s="2" t="s">
        <v>39</v>
      </c>
      <c r="F157" s="41">
        <v>500</v>
      </c>
      <c r="G157" s="35"/>
      <c r="H157" s="34">
        <f>'2020'!BH157</f>
        <v>0</v>
      </c>
      <c r="I157" s="13"/>
      <c r="J157" s="15"/>
      <c r="K157" s="15"/>
      <c r="L157" s="28"/>
      <c r="M157" s="13"/>
      <c r="N157" s="15"/>
      <c r="Q157" s="13"/>
      <c r="R157" s="15"/>
      <c r="S157" s="15"/>
      <c r="T157" s="28"/>
      <c r="U157" s="13"/>
      <c r="V157" s="15"/>
      <c r="Y157" s="186"/>
      <c r="Z157" s="2"/>
      <c r="AA157" s="15"/>
      <c r="AB157" s="28"/>
      <c r="AC157" s="15"/>
      <c r="AD157" s="15"/>
      <c r="AE157" s="180">
        <f>$F$13</f>
      </c>
      <c r="AF157" s="39"/>
      <c r="AG157" s="15"/>
      <c r="AH157" s="2"/>
      <c r="AI157" s="45"/>
      <c r="AJ157" s="306"/>
      <c r="AK157" s="13"/>
      <c r="AL157" s="15"/>
      <c r="AM157" s="45"/>
      <c r="AN157" s="15"/>
      <c r="AO157" s="13"/>
      <c r="AP157" s="15"/>
      <c r="AQ157" s="180"/>
      <c r="AR157" s="34"/>
      <c r="AS157" s="13"/>
      <c r="AT157" s="15"/>
      <c r="AU157" s="45"/>
      <c r="AV157" s="15"/>
      <c r="AW157" s="13"/>
      <c r="AX157" s="15"/>
      <c r="AY157" s="45"/>
      <c r="AZ157" s="28"/>
      <c r="BA157" s="13"/>
      <c r="BB157" s="15"/>
      <c r="BC157" s="45"/>
      <c r="BD157" s="28"/>
      <c r="BE157" s="14"/>
      <c r="BF157" s="41">
        <f t="shared" ref="BF157:BG157" si="558">K157+O157+S157+W157+AA157+AE157+AI157+AM157+AQ157+AU157+AY157+BC157</f>
        <v>0</v>
      </c>
      <c r="BG157" s="34">
        <f t="shared" si="558"/>
        <v>0</v>
      </c>
      <c r="BH157" s="35">
        <f t="shared" si="543"/>
        <v>0</v>
      </c>
      <c r="BK157" s="2" t="b">
        <f>H157='2020'!BH157</f>
        <v>1</v>
      </c>
    </row>
    <row r="158" ht="14.25" customHeight="1" hidden="1" spans="1:63" x14ac:dyDescent="0.25">
      <c r="A158" s="176">
        <v>17</v>
      </c>
      <c r="B158" s="14"/>
      <c r="D158" s="14" t="s">
        <v>51</v>
      </c>
      <c r="E158" s="2" t="s">
        <v>49</v>
      </c>
      <c r="F158" s="41">
        <v>500</v>
      </c>
      <c r="G158" s="35"/>
      <c r="H158" s="34">
        <f>'2020'!BH158</f>
        <v>0</v>
      </c>
      <c r="I158" s="13"/>
      <c r="J158" s="15"/>
      <c r="K158" s="15"/>
      <c r="L158" s="28"/>
      <c r="M158" s="13"/>
      <c r="N158" s="15"/>
      <c r="Q158" s="13"/>
      <c r="R158" s="15"/>
      <c r="S158" s="15"/>
      <c r="T158" s="28"/>
      <c r="U158" s="13"/>
      <c r="V158" s="15"/>
      <c r="Y158" s="186"/>
      <c r="Z158" s="2"/>
      <c r="AA158" s="15"/>
      <c r="AB158" s="28"/>
      <c r="AC158" s="15"/>
      <c r="AD158" s="15"/>
      <c r="AE158" s="34"/>
      <c r="AF158" s="39"/>
      <c r="AG158" s="15"/>
      <c r="AH158" s="2"/>
      <c r="AI158" s="45"/>
      <c r="AJ158" s="15"/>
      <c r="AK158" s="13"/>
      <c r="AL158" s="15"/>
      <c r="AM158" s="45"/>
      <c r="AN158" s="15"/>
      <c r="AO158" s="13"/>
      <c r="AP158" s="15"/>
      <c r="AQ158" s="180">
        <f>B153*$F$14</f>
        <v>0</v>
      </c>
      <c r="AR158" s="34"/>
      <c r="AS158" s="13"/>
      <c r="AT158" s="15"/>
      <c r="AU158" s="45"/>
      <c r="AV158" s="15"/>
      <c r="AW158" s="13"/>
      <c r="AX158" s="15"/>
      <c r="AY158" s="45"/>
      <c r="AZ158" s="28"/>
      <c r="BA158" s="13"/>
      <c r="BB158" s="15"/>
      <c r="BC158" s="45"/>
      <c r="BD158" s="28"/>
      <c r="BE158" s="14"/>
      <c r="BF158" s="41">
        <f t="shared" ref="BF158:BG158" si="559">K158+O158+S158+W158+AA158+AE158+AI158+AM158+AQ158+AU158+AY158+BC158</f>
        <v>0</v>
      </c>
      <c r="BG158" s="34">
        <f t="shared" si="559"/>
        <v>0</v>
      </c>
      <c r="BH158" s="35">
        <f t="shared" si="543"/>
        <v>0</v>
      </c>
      <c r="BK158" s="2" t="b">
        <f>H158='2020'!BH158</f>
        <v>1</v>
      </c>
    </row>
    <row r="159" ht="14.25" customHeight="1" hidden="1" spans="1:63" x14ac:dyDescent="0.25">
      <c r="A159" s="176">
        <v>17</v>
      </c>
      <c r="B159" s="14"/>
      <c r="D159" s="14" t="s">
        <v>52</v>
      </c>
      <c r="E159" s="2" t="s">
        <v>39</v>
      </c>
      <c r="F159" s="41">
        <v>500</v>
      </c>
      <c r="G159" s="35"/>
      <c r="H159" s="34">
        <f>'2020'!BH159</f>
        <v>0</v>
      </c>
      <c r="I159" s="13"/>
      <c r="J159" s="15"/>
      <c r="K159" s="15"/>
      <c r="L159" s="28"/>
      <c r="M159" s="13"/>
      <c r="N159" s="15"/>
      <c r="Q159" s="13"/>
      <c r="R159" s="15"/>
      <c r="S159" s="15"/>
      <c r="T159" s="28"/>
      <c r="U159" s="13"/>
      <c r="V159" s="15"/>
      <c r="Y159" s="186"/>
      <c r="Z159" s="2"/>
      <c r="AA159" s="34">
        <f>$F$15</f>
      </c>
      <c r="AB159" s="35"/>
      <c r="AC159" s="15"/>
      <c r="AD159" s="15"/>
      <c r="AF159" s="180"/>
      <c r="AG159" s="15"/>
      <c r="AH159" s="2"/>
      <c r="AI159" s="45"/>
      <c r="AJ159" s="15"/>
      <c r="AK159" s="13"/>
      <c r="AL159" s="15"/>
      <c r="AM159" s="45"/>
      <c r="AN159" s="15"/>
      <c r="AO159" s="13"/>
      <c r="AP159" s="15"/>
      <c r="AQ159" s="45"/>
      <c r="AR159" s="15"/>
      <c r="AS159" s="13"/>
      <c r="AT159" s="15"/>
      <c r="AU159" s="45"/>
      <c r="AV159" s="15"/>
      <c r="AW159" s="13"/>
      <c r="AX159" s="15"/>
      <c r="AY159" s="45"/>
      <c r="AZ159" s="35"/>
      <c r="BA159" s="13"/>
      <c r="BB159" s="15"/>
      <c r="BC159" s="45"/>
      <c r="BD159" s="35"/>
      <c r="BE159" s="14"/>
      <c r="BF159" s="41">
        <f t="shared" ref="BF159:BG159" si="560">K159+O159+S159+W159+AA159+AE159+AI159+AM159+AQ159+AU159+AY159+BC159</f>
        <v>0</v>
      </c>
      <c r="BG159" s="34">
        <f t="shared" si="560"/>
        <v>0</v>
      </c>
      <c r="BH159" s="35">
        <f t="shared" si="543"/>
        <v>0</v>
      </c>
      <c r="BK159" s="2" t="b">
        <f>H159='2020'!BH159</f>
        <v>1</v>
      </c>
    </row>
    <row r="160" ht="14.25" customHeight="1" hidden="1" spans="1:63" x14ac:dyDescent="0.25">
      <c r="A160" s="177">
        <v>17</v>
      </c>
      <c r="B160" s="21"/>
      <c r="C160" s="22" t="s">
        <v>53</v>
      </c>
      <c r="D160" s="21"/>
      <c r="E160" s="22"/>
      <c r="F160" s="20"/>
      <c r="G160" s="23"/>
      <c r="H160" s="51">
        <f>SUM(H152:H159)</f>
        <v>-32.87</v>
      </c>
      <c r="I160" s="52"/>
      <c r="J160" s="53"/>
      <c r="K160" s="51">
        <f t="shared" ref="K160:L160" si="561">SUM(K152:K159)</f>
        <v>0</v>
      </c>
      <c r="L160" s="68">
        <f t="shared" si="561"/>
        <v>0</v>
      </c>
      <c r="M160" s="52"/>
      <c r="N160" s="53"/>
      <c r="O160" s="51">
        <f t="shared" ref="O160:P160" si="562">SUM(O152:O159)</f>
        <v>0</v>
      </c>
      <c r="P160" s="68">
        <f t="shared" si="562"/>
        <v>0</v>
      </c>
      <c r="Q160" s="52"/>
      <c r="R160" s="53"/>
      <c r="S160" s="51">
        <f t="shared" ref="S160:T160" si="563">SUM(S152:S159)</f>
        <v>0</v>
      </c>
      <c r="T160" s="68">
        <f t="shared" si="563"/>
        <v>0</v>
      </c>
      <c r="U160" s="52"/>
      <c r="V160" s="53"/>
      <c r="W160" s="51">
        <f t="shared" ref="W160:X160" si="564">SUM(W152:W159)</f>
        <v>0</v>
      </c>
      <c r="X160" s="68">
        <f t="shared" si="564"/>
        <v>0</v>
      </c>
      <c r="Y160" s="300"/>
      <c r="Z160" s="301"/>
      <c r="AA160" s="51">
        <f t="shared" ref="AA160:AB160" si="565">SUM(AA152:AA159)</f>
        <v>40.26</v>
      </c>
      <c r="AB160" s="68">
        <f t="shared" si="565"/>
        <v>0</v>
      </c>
      <c r="AC160" s="53"/>
      <c r="AD160" s="53"/>
      <c r="AE160" s="51">
        <f t="shared" ref="AE160:AF160" si="566">SUM(AE152:AE159)</f>
        <v>4444.2</v>
      </c>
      <c r="AF160" s="68">
        <f t="shared" si="566"/>
        <v>0</v>
      </c>
      <c r="AG160" s="53"/>
      <c r="AH160" s="301"/>
      <c r="AI160" s="183">
        <f t="shared" ref="AI160:AJ160" si="567">SUM(AI152:AI159)</f>
        <v>77.05</v>
      </c>
      <c r="AJ160" s="51">
        <f t="shared" si="567"/>
        <v>4458</v>
      </c>
      <c r="AK160" s="52"/>
      <c r="AL160" s="53"/>
      <c r="AM160" s="183">
        <f t="shared" ref="AM160:AN160" si="568">SUM(AM152:AM159)</f>
        <v>58.15</v>
      </c>
      <c r="AN160" s="51">
        <f t="shared" si="568"/>
        <v>0</v>
      </c>
      <c r="AO160" s="52"/>
      <c r="AP160" s="53"/>
      <c r="AQ160" s="183">
        <f t="shared" ref="AQ160:AR160" si="569">SUM(AQ152:AQ159)</f>
        <v>67.5</v>
      </c>
      <c r="AR160" s="51">
        <f t="shared" si="569"/>
        <v>150</v>
      </c>
      <c r="AS160" s="52"/>
      <c r="AT160" s="53"/>
      <c r="AU160" s="183">
        <f t="shared" ref="AU160:AV160" si="570">SUM(AU152:AU159)</f>
        <v>32.4</v>
      </c>
      <c r="AV160" s="68">
        <f t="shared" si="570"/>
        <v>0</v>
      </c>
      <c r="AW160" s="52"/>
      <c r="AX160" s="53"/>
      <c r="AY160" s="183">
        <f t="shared" ref="AY160:AZ160" si="571">SUM(AY152:AY159)</f>
        <v>0</v>
      </c>
      <c r="AZ160" s="68">
        <f t="shared" si="571"/>
        <v>100</v>
      </c>
      <c r="BA160" s="52"/>
      <c r="BB160" s="53"/>
      <c r="BC160" s="183">
        <f t="shared" ref="BC160:BD160" si="572">SUM(BC152:BC159)</f>
        <v>0</v>
      </c>
      <c r="BD160" s="68">
        <f t="shared" si="572"/>
        <v>0</v>
      </c>
      <c r="BE160" s="69"/>
      <c r="BF160" s="70">
        <f t="shared" ref="BF160:BH160" si="573">SUM(BF152:BF159)</f>
        <v>4719.56</v>
      </c>
      <c r="BG160" s="71">
        <f t="shared" si="573"/>
        <v>4708</v>
      </c>
      <c r="BH160" s="72">
        <f t="shared" si="573"/>
        <v>-21.31</v>
      </c>
      <c r="BI160" s="34">
        <f>H160+BF160-BG160</f>
        <v>-21.31</v>
      </c>
      <c r="BJ160" s="34">
        <f>BH160-BI160</f>
        <v>0</v>
      </c>
      <c r="BK160" s="2" t="b">
        <f>H160='2020'!BH160</f>
        <v>1</v>
      </c>
    </row>
    <row r="161" ht="14.25" customHeight="1" hidden="1" spans="1:63" x14ac:dyDescent="0.25">
      <c r="A161" s="175">
        <v>18</v>
      </c>
      <c r="B161" s="14"/>
      <c r="D161" s="14" t="s">
        <v>379</v>
      </c>
      <c r="F161" s="13"/>
      <c r="G161" s="28"/>
      <c r="H161" s="34">
        <f>'2020'!BH161</f>
        <v>0</v>
      </c>
      <c r="I161" s="13"/>
      <c r="J161" s="15"/>
      <c r="K161" s="15"/>
      <c r="L161" s="28"/>
      <c r="M161" s="13"/>
      <c r="N161" s="15"/>
      <c r="Q161" s="13"/>
      <c r="R161" s="15"/>
      <c r="S161" s="15"/>
      <c r="T161" s="28"/>
      <c r="U161" s="13"/>
      <c r="V161" s="15"/>
      <c r="Y161" s="186"/>
      <c r="Z161" s="2"/>
      <c r="AA161" s="15"/>
      <c r="AB161" s="28"/>
      <c r="AC161" s="15"/>
      <c r="AD161" s="15"/>
      <c r="AG161" s="15"/>
      <c r="AH161" s="2"/>
      <c r="AI161" s="45"/>
      <c r="AJ161" s="15"/>
      <c r="AK161" s="13"/>
      <c r="AM161" s="45"/>
      <c r="AO161" s="13"/>
      <c r="AQ161" s="45"/>
      <c r="AS161" s="13"/>
      <c r="AU161" s="45"/>
      <c r="AW161" s="13"/>
      <c r="AY161" s="45"/>
      <c r="AZ161" s="28"/>
      <c r="BA161" s="13"/>
      <c r="BB161" s="15"/>
      <c r="BC161" s="45"/>
      <c r="BD161" s="28"/>
      <c r="BE161" s="14"/>
      <c r="BF161" s="41">
        <f t="shared" ref="BF161:BG161" si="574">K161+O161+S161+W161+AA161+AE161+AI161+AM161+AQ161+AU161+AY161+BC161</f>
        <v>0</v>
      </c>
      <c r="BG161" s="34">
        <f t="shared" si="574"/>
        <v>0</v>
      </c>
      <c r="BH161" s="35">
        <f t="shared" ref="BH161:BH168" si="575">H161+BF161-BG161</f>
        <v>0</v>
      </c>
      <c r="BK161" s="2" t="b">
        <f>H161='2020'!BH161</f>
        <v>1</v>
      </c>
    </row>
    <row r="162" ht="14.25" customHeight="1" hidden="1" spans="1:63" x14ac:dyDescent="0.25">
      <c r="A162" s="176">
        <v>18</v>
      </c>
      <c r="B162" s="14">
        <v>4.03</v>
      </c>
      <c r="C162" s="2" t="s">
        <v>109</v>
      </c>
      <c r="D162" s="14" t="s">
        <v>44</v>
      </c>
      <c r="E162" s="2" t="s">
        <v>45</v>
      </c>
      <c r="F162" s="41">
        <v>2.5</v>
      </c>
      <c r="G162" s="35">
        <v>2.6</v>
      </c>
      <c r="H162" s="34">
        <f>'2020'!BH162</f>
        <v>57.2</v>
      </c>
      <c r="I162" s="13">
        <v>359</v>
      </c>
      <c r="J162" s="15">
        <f>I162-'2020'!BA162</f>
        <v>0</v>
      </c>
      <c r="K162" s="34">
        <f>J162*$F$8</f>
        <v>0</v>
      </c>
      <c r="L162" s="28"/>
      <c r="M162" s="13">
        <v>359</v>
      </c>
      <c r="N162" s="15">
        <f t="shared" ref="N162:N163" si="576">M162-I162</f>
        <v>0</v>
      </c>
      <c r="O162" s="34">
        <f>N162*$F$8</f>
        <v>0</v>
      </c>
      <c r="Q162" s="13">
        <v>359</v>
      </c>
      <c r="R162" s="15">
        <f t="shared" ref="R162:R163" si="577">Q162-M162</f>
        <v>0</v>
      </c>
      <c r="S162" s="34">
        <f>R162*$F$8</f>
        <v>0</v>
      </c>
      <c r="T162" s="28"/>
      <c r="U162" s="13">
        <v>359</v>
      </c>
      <c r="V162" s="15">
        <f t="shared" ref="V162:V163" si="578">U162-Q162</f>
        <v>0</v>
      </c>
      <c r="W162" s="34">
        <f>V162*$F$8</f>
        <v>0</v>
      </c>
      <c r="Y162" s="186">
        <v>372</v>
      </c>
      <c r="Z162" s="2">
        <f>Y162-U162</f>
        <v>13</v>
      </c>
      <c r="AA162" s="34">
        <f>Z162*$F$8</f>
        <v>33.8</v>
      </c>
      <c r="AB162" s="28"/>
      <c r="AC162" s="15">
        <v>382</v>
      </c>
      <c r="AD162" s="15">
        <f t="shared" ref="AD162:AD163" si="579">AC162-Y162</f>
        <v>10</v>
      </c>
      <c r="AE162" s="180">
        <f>AD162*$F$8</f>
        <v>26</v>
      </c>
      <c r="AF162" s="154">
        <v>117</v>
      </c>
      <c r="AG162" s="15">
        <v>395</v>
      </c>
      <c r="AH162" s="2">
        <f t="shared" ref="AH162:AH163" si="580">AG162-AC162</f>
        <v>13</v>
      </c>
      <c r="AI162" s="45">
        <f>AH162*$G$8</f>
        <v>35.1</v>
      </c>
      <c r="AJ162" s="326">
        <v>35.82</v>
      </c>
      <c r="AK162" s="13">
        <v>404</v>
      </c>
      <c r="AL162" s="15">
        <f t="shared" ref="AL162:AL163" si="581">AK162-AG162</f>
        <v>9</v>
      </c>
      <c r="AM162" s="45">
        <f>AL162*$G$8</f>
        <v>24.3</v>
      </c>
      <c r="AN162" s="327">
        <v>24.3</v>
      </c>
      <c r="AO162" s="13">
        <v>428</v>
      </c>
      <c r="AP162" s="15">
        <f t="shared" ref="AP162:AP163" si="582">AO162-AK162</f>
        <v>24</v>
      </c>
      <c r="AQ162" s="45">
        <f>AP162*$G$8</f>
        <v>64.8</v>
      </c>
      <c r="AR162" s="15"/>
      <c r="AS162" s="13">
        <v>487</v>
      </c>
      <c r="AT162" s="15">
        <f t="shared" ref="AT162:AT163" si="583">AS162-AO162</f>
        <v>59</v>
      </c>
      <c r="AU162" s="45">
        <f>AT162*$G$8</f>
        <v>159.3</v>
      </c>
      <c r="AV162" s="15"/>
      <c r="AW162" s="13">
        <v>489</v>
      </c>
      <c r="AX162" s="15">
        <f t="shared" ref="AX162:AX163" si="584">AW162-AS162</f>
        <v>2</v>
      </c>
      <c r="AY162" s="45">
        <f>AX162*$G$8</f>
        <v>5.4</v>
      </c>
      <c r="AZ162" s="208"/>
      <c r="BA162" s="13">
        <v>489</v>
      </c>
      <c r="BB162" s="15">
        <f t="shared" ref="BB162:BB163" si="585">BA162-AW162</f>
        <v>0</v>
      </c>
      <c r="BC162" s="45">
        <f>BB162*$G$8</f>
        <v>0</v>
      </c>
      <c r="BD162" s="208"/>
      <c r="BE162" s="40">
        <f t="shared" ref="BE162:BG162" si="586">J162+N162+R162+V162+Z162+AD162+AH162+AL162+AP162+AT162+AX162+BB162</f>
        <v>130</v>
      </c>
      <c r="BF162" s="41">
        <f t="shared" si="586"/>
        <v>348.7</v>
      </c>
      <c r="BG162" s="34">
        <f t="shared" si="586"/>
        <v>177.12</v>
      </c>
      <c r="BH162" s="35">
        <f t="shared" si="575"/>
        <v>228.78</v>
      </c>
      <c r="BK162" s="2" t="b">
        <f>H162='2020'!BH162</f>
        <v>1</v>
      </c>
    </row>
    <row r="163" ht="14.25" customHeight="1" hidden="1" spans="1:63" x14ac:dyDescent="0.25">
      <c r="A163" s="176">
        <v>18</v>
      </c>
      <c r="B163" s="14"/>
      <c r="C163" s="2" t="s">
        <v>110</v>
      </c>
      <c r="D163" s="14" t="s">
        <v>47</v>
      </c>
      <c r="E163" s="2" t="s">
        <v>48</v>
      </c>
      <c r="F163" s="13">
        <v>18.56</v>
      </c>
      <c r="G163" s="35">
        <v>19.46</v>
      </c>
      <c r="H163" s="34">
        <f>'2020'!BH163</f>
        <v>-1.47</v>
      </c>
      <c r="I163" s="13">
        <v>239</v>
      </c>
      <c r="J163" s="15"/>
      <c r="K163" s="15"/>
      <c r="L163" s="28"/>
      <c r="M163" s="13">
        <v>239</v>
      </c>
      <c r="N163" s="15">
        <f t="shared" si="576"/>
        <v>0</v>
      </c>
      <c r="Q163" s="13">
        <v>239</v>
      </c>
      <c r="R163" s="15">
        <f t="shared" si="577"/>
        <v>0</v>
      </c>
      <c r="S163" s="15"/>
      <c r="T163" s="28"/>
      <c r="U163" s="13">
        <v>241</v>
      </c>
      <c r="V163" s="15">
        <f t="shared" si="578"/>
        <v>2</v>
      </c>
      <c r="W163" s="34">
        <f>V163*$F$10</f>
        <v>38.92</v>
      </c>
      <c r="Y163" s="186">
        <v>19</v>
      </c>
      <c r="Z163" s="2">
        <v>0</v>
      </c>
      <c r="AA163" s="34">
        <f>Z163*$F$10</f>
        <v>0</v>
      </c>
      <c r="AB163" s="28"/>
      <c r="AC163" s="15">
        <v>27</v>
      </c>
      <c r="AD163" s="15">
        <f t="shared" si="579"/>
        <v>8</v>
      </c>
      <c r="AE163" s="34">
        <f>AD163*$F$10</f>
        <v>155.68</v>
      </c>
      <c r="AF163" s="154">
        <v>193.13</v>
      </c>
      <c r="AG163" s="15">
        <v>30</v>
      </c>
      <c r="AH163" s="2">
        <f t="shared" si="580"/>
        <v>3</v>
      </c>
      <c r="AI163" s="45">
        <f>AH163*$G$10</f>
        <v>61.05</v>
      </c>
      <c r="AJ163" s="326">
        <v>61.05</v>
      </c>
      <c r="AK163" s="13">
        <v>34</v>
      </c>
      <c r="AL163" s="15">
        <f t="shared" si="581"/>
        <v>4</v>
      </c>
      <c r="AM163" s="45">
        <f>AL163*$G$10</f>
        <v>81.4</v>
      </c>
      <c r="AN163" s="327">
        <v>81.4</v>
      </c>
      <c r="AO163" s="13">
        <v>34</v>
      </c>
      <c r="AP163" s="15">
        <f t="shared" si="582"/>
        <v>0</v>
      </c>
      <c r="AQ163" s="45">
        <f>AP163*$G$10</f>
        <v>0</v>
      </c>
      <c r="AR163" s="15"/>
      <c r="AS163" s="13">
        <v>34</v>
      </c>
      <c r="AT163" s="15">
        <f t="shared" si="583"/>
        <v>0</v>
      </c>
      <c r="AU163" s="45">
        <f>AT163*$G$10</f>
        <v>0</v>
      </c>
      <c r="AV163" s="15"/>
      <c r="AW163" s="13">
        <v>34</v>
      </c>
      <c r="AX163" s="15">
        <f t="shared" si="584"/>
        <v>0</v>
      </c>
      <c r="AY163" s="45"/>
      <c r="AZ163" s="208"/>
      <c r="BA163" s="13">
        <v>34</v>
      </c>
      <c r="BB163" s="15">
        <f t="shared" si="585"/>
        <v>0</v>
      </c>
      <c r="BC163" s="45"/>
      <c r="BD163" s="208"/>
      <c r="BE163" s="40">
        <f t="shared" ref="BE163:BG163" si="587">J163+N163+R163+V163+Z163+AD163+AH163+AL163+AP163+AT163+AX163+BB163</f>
        <v>17</v>
      </c>
      <c r="BF163" s="41">
        <f t="shared" si="587"/>
        <v>337.05</v>
      </c>
      <c r="BG163" s="34">
        <f t="shared" si="587"/>
        <v>335.58</v>
      </c>
      <c r="BH163" s="35">
        <f t="shared" si="575"/>
        <v>0</v>
      </c>
      <c r="BK163" s="2" t="b">
        <f>H163='2020'!BH163</f>
        <v>1</v>
      </c>
    </row>
    <row r="164" ht="14.25" customHeight="1" hidden="1" spans="1:63" x14ac:dyDescent="0.25">
      <c r="A164" s="176">
        <v>18</v>
      </c>
      <c r="B164" s="14"/>
      <c r="C164" s="2" t="s">
        <v>111</v>
      </c>
      <c r="D164" s="14" t="s">
        <v>47</v>
      </c>
      <c r="E164" s="2" t="s">
        <v>49</v>
      </c>
      <c r="F164" s="41">
        <v>500</v>
      </c>
      <c r="G164" s="35"/>
      <c r="H164" s="34">
        <f>'2020'!BH164</f>
        <v>0</v>
      </c>
      <c r="I164" s="13"/>
      <c r="J164" s="15"/>
      <c r="K164" s="15"/>
      <c r="L164" s="28"/>
      <c r="M164" s="13"/>
      <c r="N164" s="15"/>
      <c r="Q164" s="13"/>
      <c r="R164" s="15"/>
      <c r="S164" s="15"/>
      <c r="T164" s="28"/>
      <c r="U164" s="13"/>
      <c r="V164" s="15"/>
      <c r="Y164" s="186"/>
      <c r="Z164" s="2"/>
      <c r="AA164" s="15"/>
      <c r="AB164" s="28"/>
      <c r="AC164" s="15"/>
      <c r="AD164" s="15"/>
      <c r="AF164" s="154"/>
      <c r="AG164" s="15"/>
      <c r="AH164" s="2"/>
      <c r="AI164" s="45"/>
      <c r="AJ164" s="154"/>
      <c r="AK164" s="13"/>
      <c r="AL164" s="15"/>
      <c r="AM164" s="45"/>
      <c r="AN164" s="15"/>
      <c r="AO164" s="13"/>
      <c r="AP164" s="15"/>
      <c r="AQ164" s="45"/>
      <c r="AR164" s="15"/>
      <c r="AS164" s="13"/>
      <c r="AT164" s="15"/>
      <c r="AU164" s="45"/>
      <c r="AV164" s="15"/>
      <c r="AW164" s="13"/>
      <c r="AX164" s="15"/>
      <c r="AY164" s="45"/>
      <c r="AZ164" s="28"/>
      <c r="BA164" s="13"/>
      <c r="BB164" s="15"/>
      <c r="BC164" s="45"/>
      <c r="BD164" s="28"/>
      <c r="BE164" s="14"/>
      <c r="BF164" s="41">
        <f t="shared" ref="BF164:BG164" si="588">K164+O164+S164+W164+AA164+AE164+AI164+AM164+AQ164+AU164+AY164+BC164</f>
        <v>0</v>
      </c>
      <c r="BG164" s="34">
        <f t="shared" si="588"/>
        <v>0</v>
      </c>
      <c r="BH164" s="35">
        <f t="shared" si="575"/>
        <v>0</v>
      </c>
      <c r="BK164" s="2" t="b">
        <f>H164='2020'!BH164</f>
        <v>1</v>
      </c>
    </row>
    <row r="165" ht="14.25" customHeight="1" hidden="1" spans="1:63" x14ac:dyDescent="0.25">
      <c r="A165" s="176">
        <v>18</v>
      </c>
      <c r="B165" s="14"/>
      <c r="C165" s="15" t="s">
        <v>112</v>
      </c>
      <c r="D165" s="14" t="s">
        <v>50</v>
      </c>
      <c r="E165" s="2" t="s">
        <v>49</v>
      </c>
      <c r="F165" s="41">
        <v>1100</v>
      </c>
      <c r="G165" s="35"/>
      <c r="H165" s="34">
        <f>'2020'!BH165</f>
        <v>0</v>
      </c>
      <c r="I165" s="13"/>
      <c r="J165" s="15"/>
      <c r="K165" s="15"/>
      <c r="L165" s="28"/>
      <c r="M165" s="13"/>
      <c r="N165" s="15"/>
      <c r="Q165" s="13"/>
      <c r="R165" s="15"/>
      <c r="S165" s="15"/>
      <c r="T165" s="28"/>
      <c r="U165" s="13"/>
      <c r="V165" s="15"/>
      <c r="Y165" s="186"/>
      <c r="Z165" s="2"/>
      <c r="AA165" s="15"/>
      <c r="AB165" s="28"/>
      <c r="AC165" s="15"/>
      <c r="AD165" s="15"/>
      <c r="AE165" s="182">
        <v>4433</v>
      </c>
      <c r="AF165" s="182">
        <v>4433</v>
      </c>
      <c r="AG165" s="15"/>
      <c r="AH165" s="2"/>
      <c r="AI165" s="45"/>
      <c r="AJ165" s="182"/>
      <c r="AK165" s="13"/>
      <c r="AL165" s="15"/>
      <c r="AM165" s="45"/>
      <c r="AN165" s="15"/>
      <c r="AO165" s="13"/>
      <c r="AP165" s="15"/>
      <c r="AQ165" s="45"/>
      <c r="AR165" s="15"/>
      <c r="AS165" s="13"/>
      <c r="AT165" s="15"/>
      <c r="AU165" s="45"/>
      <c r="AV165" s="15"/>
      <c r="AW165" s="13"/>
      <c r="AX165" s="15"/>
      <c r="AY165" s="45"/>
      <c r="AZ165" s="28"/>
      <c r="BA165" s="13"/>
      <c r="BB165" s="15"/>
      <c r="BC165" s="45"/>
      <c r="BD165" s="28"/>
      <c r="BE165" s="14"/>
      <c r="BF165" s="41">
        <f t="shared" ref="BF165:BG165" si="589">K165+O165+S165+W165+AA165+AE165+AI165+AM165+AQ165+AU165+AY165+BC165</f>
        <v>4433</v>
      </c>
      <c r="BG165" s="34">
        <f t="shared" si="589"/>
        <v>4433</v>
      </c>
      <c r="BH165" s="35">
        <f t="shared" si="575"/>
        <v>0</v>
      </c>
      <c r="BK165" s="2" t="b">
        <f>H165='2020'!BH165</f>
        <v>1</v>
      </c>
    </row>
    <row r="166" ht="14.25" customHeight="1" hidden="1" spans="1:63" x14ac:dyDescent="0.25">
      <c r="A166" s="176">
        <v>18</v>
      </c>
      <c r="B166" s="14"/>
      <c r="D166" s="14" t="s">
        <v>51</v>
      </c>
      <c r="E166" s="2" t="s">
        <v>39</v>
      </c>
      <c r="F166" s="41">
        <v>500</v>
      </c>
      <c r="G166" s="35"/>
      <c r="H166" s="34">
        <f>'2020'!BH166</f>
        <v>500</v>
      </c>
      <c r="I166" s="13"/>
      <c r="J166" s="15"/>
      <c r="K166" s="15"/>
      <c r="L166" s="28"/>
      <c r="M166" s="13"/>
      <c r="N166" s="15"/>
      <c r="Q166" s="13"/>
      <c r="R166" s="15"/>
      <c r="S166" s="15"/>
      <c r="T166" s="28"/>
      <c r="U166" s="13"/>
      <c r="V166" s="15"/>
      <c r="Y166" s="186"/>
      <c r="Z166" s="2"/>
      <c r="AA166" s="15"/>
      <c r="AB166" s="28"/>
      <c r="AC166" s="15"/>
      <c r="AD166" s="15"/>
      <c r="AE166" s="180">
        <f>$F$13</f>
      </c>
      <c r="AF166" s="182"/>
      <c r="AG166" s="15"/>
      <c r="AH166" s="2"/>
      <c r="AI166" s="45"/>
      <c r="AJ166" s="306">
        <v>500</v>
      </c>
      <c r="AK166" s="13"/>
      <c r="AL166" s="15"/>
      <c r="AM166" s="45"/>
      <c r="AN166" s="15"/>
      <c r="AO166" s="13"/>
      <c r="AP166" s="15"/>
      <c r="AQ166" s="180"/>
      <c r="AR166" s="15"/>
      <c r="AS166" s="13"/>
      <c r="AT166" s="15"/>
      <c r="AU166" s="45"/>
      <c r="AV166" s="15"/>
      <c r="AW166" s="13"/>
      <c r="AX166" s="15"/>
      <c r="AY166" s="45"/>
      <c r="AZ166" s="28"/>
      <c r="BA166" s="13"/>
      <c r="BB166" s="15"/>
      <c r="BC166" s="45"/>
      <c r="BD166" s="28"/>
      <c r="BE166" s="14"/>
      <c r="BF166" s="41">
        <f t="shared" ref="BF166:BG166" si="590">K166+O166+S166+W166+AA166+AE166+AI166+AM166+AQ166+AU166+AY166+BC166</f>
        <v>0</v>
      </c>
      <c r="BG166" s="34">
        <f t="shared" si="590"/>
        <v>500</v>
      </c>
      <c r="BH166" s="35">
        <f t="shared" si="575"/>
        <v>0</v>
      </c>
      <c r="BK166" s="2" t="b">
        <f>H166='2020'!BH166</f>
        <v>1</v>
      </c>
    </row>
    <row r="167" ht="14.25" customHeight="1" hidden="1" spans="1:63" x14ac:dyDescent="0.25">
      <c r="A167" s="176">
        <v>18</v>
      </c>
      <c r="B167" s="14"/>
      <c r="D167" s="14" t="s">
        <v>51</v>
      </c>
      <c r="E167" s="2" t="s">
        <v>49</v>
      </c>
      <c r="F167" s="41">
        <v>500</v>
      </c>
      <c r="G167" s="35"/>
      <c r="H167" s="34">
        <f>'2020'!BH167</f>
        <v>2015</v>
      </c>
      <c r="I167" s="13"/>
      <c r="J167" s="15"/>
      <c r="K167" s="15"/>
      <c r="L167" s="28"/>
      <c r="M167" s="13"/>
      <c r="N167" s="15"/>
      <c r="Q167" s="13"/>
      <c r="R167" s="15"/>
      <c r="S167" s="15"/>
      <c r="T167" s="28"/>
      <c r="U167" s="13"/>
      <c r="V167" s="15"/>
      <c r="Y167" s="186"/>
      <c r="Z167" s="2"/>
      <c r="AA167" s="15"/>
      <c r="AB167" s="28"/>
      <c r="AC167" s="15"/>
      <c r="AD167" s="15"/>
      <c r="AE167" s="34"/>
      <c r="AF167" s="182">
        <v>1256.87</v>
      </c>
      <c r="AG167" s="15"/>
      <c r="AH167" s="2"/>
      <c r="AI167" s="45"/>
      <c r="AJ167" s="306">
        <v>758.13</v>
      </c>
      <c r="AK167" s="13"/>
      <c r="AL167" s="15"/>
      <c r="AM167" s="45"/>
      <c r="AN167" s="15"/>
      <c r="AO167" s="13"/>
      <c r="AP167" s="15"/>
      <c r="AQ167" s="180">
        <f>B162*$F$14</f>
        <v>0</v>
      </c>
      <c r="AR167" s="15"/>
      <c r="AS167" s="13"/>
      <c r="AT167" s="15"/>
      <c r="AU167" s="45"/>
      <c r="AV167" s="15"/>
      <c r="AW167" s="13"/>
      <c r="AX167" s="15"/>
      <c r="AY167" s="45"/>
      <c r="AZ167" s="28"/>
      <c r="BA167" s="13"/>
      <c r="BB167" s="15"/>
      <c r="BC167" s="45"/>
      <c r="BD167" s="28"/>
      <c r="BE167" s="14"/>
      <c r="BF167" s="41">
        <f t="shared" ref="BF167:BG167" si="591">K167+O167+S167+W167+AA167+AE167+AI167+AM167+AQ167+AU167+AY167+BC167</f>
        <v>0</v>
      </c>
      <c r="BG167" s="34">
        <f t="shared" si="591"/>
        <v>2015</v>
      </c>
      <c r="BH167" s="35">
        <f t="shared" si="575"/>
        <v>0</v>
      </c>
      <c r="BK167" s="2" t="b">
        <f>H167='2020'!BH167</f>
        <v>1</v>
      </c>
    </row>
    <row r="168" ht="14.25" customHeight="1" hidden="1" spans="1:63" x14ac:dyDescent="0.25">
      <c r="A168" s="176">
        <v>18</v>
      </c>
      <c r="B168" s="14"/>
      <c r="D168" s="14" t="s">
        <v>52</v>
      </c>
      <c r="E168" s="2" t="s">
        <v>39</v>
      </c>
      <c r="F168" s="41">
        <v>500</v>
      </c>
      <c r="G168" s="35"/>
      <c r="H168" s="34">
        <f>'2020'!BH168</f>
        <v>0</v>
      </c>
      <c r="I168" s="13"/>
      <c r="J168" s="15"/>
      <c r="K168" s="15"/>
      <c r="L168" s="28"/>
      <c r="M168" s="13"/>
      <c r="N168" s="15"/>
      <c r="Q168" s="13"/>
      <c r="R168" s="15"/>
      <c r="S168" s="15"/>
      <c r="T168" s="28"/>
      <c r="U168" s="13"/>
      <c r="V168" s="15"/>
      <c r="Y168" s="186"/>
      <c r="Z168" s="2"/>
      <c r="AA168" s="34">
        <f>$F$15</f>
      </c>
      <c r="AB168" s="28"/>
      <c r="AC168" s="15"/>
      <c r="AD168" s="15"/>
      <c r="AF168" s="34"/>
      <c r="AG168" s="15"/>
      <c r="AH168" s="2"/>
      <c r="AI168" s="45"/>
      <c r="AJ168" s="180"/>
      <c r="AK168" s="13"/>
      <c r="AL168" s="15"/>
      <c r="AM168" s="45"/>
      <c r="AN168" s="15"/>
      <c r="AO168" s="13"/>
      <c r="AP168" s="15"/>
      <c r="AQ168" s="45"/>
      <c r="AR168" s="15"/>
      <c r="AS168" s="13"/>
      <c r="AT168" s="15"/>
      <c r="AU168" s="45"/>
      <c r="AV168" s="15"/>
      <c r="AW168" s="13"/>
      <c r="AX168" s="15"/>
      <c r="AY168" s="45"/>
      <c r="AZ168" s="35"/>
      <c r="BA168" s="13"/>
      <c r="BB168" s="15"/>
      <c r="BC168" s="45"/>
      <c r="BD168" s="35"/>
      <c r="BE168" s="14"/>
      <c r="BF168" s="41">
        <f t="shared" ref="BF168:BG168" si="592">K168+O168+S168+W168+AA168+AE168+AI168+AM168+AQ168+AU168+AY168+BC168</f>
        <v>0</v>
      </c>
      <c r="BG168" s="34">
        <f t="shared" si="592"/>
        <v>0</v>
      </c>
      <c r="BH168" s="35">
        <f t="shared" si="575"/>
        <v>0</v>
      </c>
      <c r="BK168" s="2" t="b">
        <f>H168='2020'!BH168</f>
        <v>1</v>
      </c>
    </row>
    <row r="169" ht="14.25" customHeight="1" hidden="1" spans="1:63" x14ac:dyDescent="0.25">
      <c r="A169" s="177">
        <v>18</v>
      </c>
      <c r="B169" s="21"/>
      <c r="C169" s="22" t="s">
        <v>53</v>
      </c>
      <c r="D169" s="21"/>
      <c r="E169" s="22"/>
      <c r="F169" s="20"/>
      <c r="G169" s="23"/>
      <c r="H169" s="51">
        <f>SUM(H161:H168)</f>
        <v>2570.73</v>
      </c>
      <c r="I169" s="52"/>
      <c r="J169" s="53"/>
      <c r="K169" s="51">
        <f t="shared" ref="K169:L169" si="593">SUM(K161:K168)</f>
        <v>0</v>
      </c>
      <c r="L169" s="68">
        <f t="shared" si="593"/>
        <v>0</v>
      </c>
      <c r="M169" s="52"/>
      <c r="N169" s="53"/>
      <c r="O169" s="51">
        <f t="shared" ref="O169:P169" si="594">SUM(O161:O168)</f>
        <v>0</v>
      </c>
      <c r="P169" s="68">
        <f t="shared" si="594"/>
        <v>0</v>
      </c>
      <c r="Q169" s="52"/>
      <c r="R169" s="53"/>
      <c r="S169" s="51">
        <f t="shared" ref="S169:T169" si="595">SUM(S161:S168)</f>
        <v>0</v>
      </c>
      <c r="T169" s="68">
        <f t="shared" si="595"/>
        <v>0</v>
      </c>
      <c r="U169" s="52"/>
      <c r="V169" s="53"/>
      <c r="W169" s="51">
        <f t="shared" ref="W169:X169" si="596">SUM(W161:W168)</f>
        <v>38.92</v>
      </c>
      <c r="X169" s="68">
        <f t="shared" si="596"/>
        <v>0</v>
      </c>
      <c r="Y169" s="300"/>
      <c r="Z169" s="301"/>
      <c r="AA169" s="51">
        <f t="shared" ref="AA169:AB169" si="597">SUM(AA161:AA168)</f>
        <v>33.8</v>
      </c>
      <c r="AB169" s="68">
        <f t="shared" si="597"/>
        <v>0</v>
      </c>
      <c r="AC169" s="53"/>
      <c r="AD169" s="53"/>
      <c r="AE169" s="51">
        <f t="shared" ref="AE169:AF169" si="598">SUM(AE161:AE168)</f>
        <v>4614.68</v>
      </c>
      <c r="AF169" s="68">
        <f t="shared" si="598"/>
        <v>6000</v>
      </c>
      <c r="AG169" s="53"/>
      <c r="AH169" s="301"/>
      <c r="AI169" s="183">
        <f t="shared" ref="AI169:AJ169" si="599">SUM(AI161:AI168)</f>
        <v>96.15</v>
      </c>
      <c r="AJ169" s="51">
        <f t="shared" si="599"/>
        <v>1355</v>
      </c>
      <c r="AK169" s="52"/>
      <c r="AL169" s="53"/>
      <c r="AM169" s="183">
        <f t="shared" ref="AM169:AN169" si="600">SUM(AM161:AM168)</f>
        <v>105.7</v>
      </c>
      <c r="AN169" s="51">
        <f t="shared" si="600"/>
        <v>105.7</v>
      </c>
      <c r="AO169" s="52"/>
      <c r="AP169" s="53"/>
      <c r="AQ169" s="183">
        <f t="shared" ref="AQ169:AR169" si="601">SUM(AQ161:AQ168)</f>
        <v>64.8</v>
      </c>
      <c r="AR169" s="51">
        <f t="shared" si="601"/>
        <v>0</v>
      </c>
      <c r="AS169" s="52"/>
      <c r="AT169" s="53"/>
      <c r="AU169" s="183">
        <f t="shared" ref="AU169:AV169" si="602">SUM(AU161:AU168)</f>
        <v>159.3</v>
      </c>
      <c r="AV169" s="68">
        <f t="shared" si="602"/>
        <v>0</v>
      </c>
      <c r="AW169" s="52"/>
      <c r="AX169" s="53"/>
      <c r="AY169" s="183">
        <f t="shared" ref="AY169:AZ169" si="603">SUM(AY161:AY168)</f>
        <v>5.4</v>
      </c>
      <c r="AZ169" s="68">
        <f t="shared" si="603"/>
        <v>0</v>
      </c>
      <c r="BA169" s="52"/>
      <c r="BB169" s="53"/>
      <c r="BC169" s="183">
        <f t="shared" ref="BC169:BD169" si="604">SUM(BC161:BC168)</f>
        <v>0</v>
      </c>
      <c r="BD169" s="68">
        <f t="shared" si="604"/>
        <v>0</v>
      </c>
      <c r="BE169" s="69"/>
      <c r="BF169" s="70">
        <f t="shared" ref="BF169:BH169" si="605">SUM(BF161:BF168)</f>
        <v>5118.75</v>
      </c>
      <c r="BG169" s="71">
        <f t="shared" si="605"/>
        <v>7460.7</v>
      </c>
      <c r="BH169" s="72">
        <f t="shared" si="605"/>
        <v>228.78</v>
      </c>
      <c r="BI169" s="34">
        <f>H169+BF169-BG169</f>
        <v>228.78</v>
      </c>
      <c r="BJ169" s="34">
        <f>BH169-BI169</f>
        <v>0</v>
      </c>
      <c r="BK169" s="2" t="b">
        <f>H169='2020'!BH169</f>
        <v>1</v>
      </c>
    </row>
    <row r="170" ht="14.25" customHeight="1" hidden="1" spans="1:63" x14ac:dyDescent="0.25">
      <c r="A170" s="2">
        <v>19</v>
      </c>
      <c r="B170" s="14"/>
      <c r="D170" s="14" t="s">
        <v>379</v>
      </c>
      <c r="F170" s="13"/>
      <c r="G170" s="28"/>
      <c r="H170" s="34">
        <f>'2020'!BH170</f>
        <v>3.58</v>
      </c>
      <c r="I170" s="13"/>
      <c r="J170" s="15"/>
      <c r="K170" s="15">
        <v>0.91</v>
      </c>
      <c r="L170" s="28"/>
      <c r="M170" s="13"/>
      <c r="N170" s="15"/>
      <c r="O170" s="2">
        <v>0.82</v>
      </c>
      <c r="Q170" s="13"/>
      <c r="R170" s="15"/>
      <c r="S170" s="15">
        <v>0.91</v>
      </c>
      <c r="T170" s="28"/>
      <c r="U170" s="13"/>
      <c r="V170" s="15"/>
      <c r="W170" s="2">
        <v>0.88</v>
      </c>
      <c r="Y170" s="186"/>
      <c r="Z170" s="2"/>
      <c r="AA170" s="15">
        <v>0.91</v>
      </c>
      <c r="AB170" s="28"/>
      <c r="AC170" s="15"/>
      <c r="AD170" s="15"/>
      <c r="AE170" s="2">
        <v>0.73</v>
      </c>
      <c r="AF170" s="154">
        <v>8.01</v>
      </c>
      <c r="AG170" s="15"/>
      <c r="AH170" s="2"/>
      <c r="AI170" s="45"/>
      <c r="AJ170" s="180"/>
      <c r="AK170" s="13"/>
      <c r="AM170" s="45"/>
      <c r="AO170" s="13"/>
      <c r="AQ170" s="180"/>
      <c r="AS170" s="13"/>
      <c r="AU170" s="180"/>
      <c r="AW170" s="13"/>
      <c r="AY170" s="180"/>
      <c r="AZ170" s="28"/>
      <c r="BA170" s="13"/>
      <c r="BB170" s="15"/>
      <c r="BC170" s="180"/>
      <c r="BD170" s="28"/>
      <c r="BE170" s="14"/>
      <c r="BF170" s="41">
        <f t="shared" ref="BF170:BG170" si="606">K170+O170+S170+W170+AA170+AE170+AI170+AM170+AQ170+AU170+AY170+BC170</f>
        <v>5.16</v>
      </c>
      <c r="BG170" s="34">
        <f t="shared" si="606"/>
        <v>8.01</v>
      </c>
      <c r="BH170" s="35">
        <f t="shared" ref="BH170:BH177" si="607">H170+BF170-BG170</f>
        <v>0.73</v>
      </c>
      <c r="BK170" s="2" t="b">
        <f>H170='2020'!BH170</f>
        <v>1</v>
      </c>
    </row>
    <row r="171" ht="14.25" customHeight="1" hidden="1" spans="1:63" x14ac:dyDescent="0.25">
      <c r="A171" s="2">
        <v>19</v>
      </c>
      <c r="B171" s="42">
        <v>4.1</v>
      </c>
      <c r="C171" s="2" t="s">
        <v>113</v>
      </c>
      <c r="D171" s="14" t="s">
        <v>44</v>
      </c>
      <c r="E171" s="2" t="s">
        <v>45</v>
      </c>
      <c r="F171" s="41">
        <v>2.5</v>
      </c>
      <c r="G171" s="35">
        <v>2.6</v>
      </c>
      <c r="H171" s="34">
        <f>'2020'!BH171</f>
        <v>0</v>
      </c>
      <c r="I171" s="13">
        <v>1</v>
      </c>
      <c r="J171" s="15">
        <f>I171-'2020'!BA171</f>
        <v>0</v>
      </c>
      <c r="K171" s="34">
        <f>J171*$F$8</f>
        <v>0</v>
      </c>
      <c r="L171" s="28"/>
      <c r="M171" s="13">
        <v>1</v>
      </c>
      <c r="N171" s="15">
        <f t="shared" ref="N171:N172" si="608">M171-I171</f>
        <v>0</v>
      </c>
      <c r="O171" s="34">
        <f>N171*$F$8</f>
        <v>0</v>
      </c>
      <c r="Q171" s="13">
        <v>1</v>
      </c>
      <c r="R171" s="15">
        <f t="shared" ref="R171:R172" si="609">Q171-M171</f>
        <v>0</v>
      </c>
      <c r="S171" s="34">
        <f>R171*$F$8</f>
        <v>0</v>
      </c>
      <c r="T171" s="28"/>
      <c r="U171" s="13">
        <v>1</v>
      </c>
      <c r="V171" s="15">
        <f t="shared" ref="V171:V172" si="610">U171-Q171</f>
        <v>0</v>
      </c>
      <c r="W171" s="34">
        <f>V171*$F$8</f>
        <v>0</v>
      </c>
      <c r="Y171" s="186">
        <v>1</v>
      </c>
      <c r="Z171" s="2">
        <f>Y171-U171</f>
        <v>0</v>
      </c>
      <c r="AA171" s="34">
        <f>Z171*$F$8</f>
        <v>0</v>
      </c>
      <c r="AB171" s="28"/>
      <c r="AC171" s="15">
        <v>1</v>
      </c>
      <c r="AD171" s="15">
        <f>AC171-Y171</f>
        <v>0</v>
      </c>
      <c r="AE171" s="180">
        <f>AD171*$F$8</f>
        <v>0</v>
      </c>
      <c r="AF171" s="154"/>
      <c r="AG171" s="15">
        <v>1</v>
      </c>
      <c r="AH171" s="2">
        <f>AG171-AC171</f>
        <v>0</v>
      </c>
      <c r="AI171" s="45">
        <f>AH171*$G$8</f>
        <v>0</v>
      </c>
      <c r="AJ171" s="15"/>
      <c r="AK171" s="13">
        <v>1</v>
      </c>
      <c r="AL171" s="15">
        <f>AK171-AG171</f>
        <v>0</v>
      </c>
      <c r="AM171" s="45">
        <f>AL171*$G$8</f>
        <v>0</v>
      </c>
      <c r="AN171" s="15"/>
      <c r="AO171" s="13">
        <v>1</v>
      </c>
      <c r="AP171" s="15">
        <f>AO171-AK171</f>
        <v>0</v>
      </c>
      <c r="AQ171" s="45">
        <f>AP171*$G$8</f>
        <v>0</v>
      </c>
      <c r="AR171" s="15"/>
      <c r="AS171" s="13">
        <v>1</v>
      </c>
      <c r="AT171" s="15">
        <f>AS171-AO171</f>
        <v>0</v>
      </c>
      <c r="AU171" s="45">
        <f>AT171*$G$8</f>
        <v>0</v>
      </c>
      <c r="AV171" s="15"/>
      <c r="AW171" s="13">
        <v>1</v>
      </c>
      <c r="AX171" s="15">
        <f>AW171-AS171</f>
        <v>0</v>
      </c>
      <c r="AY171" s="45">
        <f>AX171*$G$8</f>
        <v>0</v>
      </c>
      <c r="AZ171" s="208"/>
      <c r="BA171" s="13">
        <v>1</v>
      </c>
      <c r="BB171" s="15">
        <f>BA171-AW171</f>
        <v>0</v>
      </c>
      <c r="BC171" s="45">
        <f>BB171*$G$8</f>
        <v>0</v>
      </c>
      <c r="BD171" s="208"/>
      <c r="BE171" s="40">
        <f t="shared" ref="BE171:BG171" si="611">J171+N171+R171+V171+Z171+AD171+AH171+AL171+AP171+AT171+AX171+BB171</f>
        <v>0</v>
      </c>
      <c r="BF171" s="41">
        <f t="shared" si="611"/>
        <v>0</v>
      </c>
      <c r="BG171" s="34">
        <f t="shared" si="611"/>
        <v>0</v>
      </c>
      <c r="BH171" s="35">
        <f t="shared" si="607"/>
        <v>0</v>
      </c>
      <c r="BK171" s="2" t="b">
        <f>H171='2020'!BH171</f>
        <v>1</v>
      </c>
    </row>
    <row r="172" ht="14.25" customHeight="1" hidden="1" spans="1:63" x14ac:dyDescent="0.25">
      <c r="A172" s="2">
        <v>19</v>
      </c>
      <c r="B172" s="14"/>
      <c r="C172" s="2" t="s">
        <v>114</v>
      </c>
      <c r="D172" s="14" t="s">
        <v>47</v>
      </c>
      <c r="E172" s="2" t="s">
        <v>48</v>
      </c>
      <c r="F172" s="13">
        <v>18.56</v>
      </c>
      <c r="G172" s="35">
        <v>19.46</v>
      </c>
      <c r="H172" s="34">
        <f>'2020'!BH172</f>
        <v>0</v>
      </c>
      <c r="I172" s="13">
        <v>93</v>
      </c>
      <c r="J172" s="15"/>
      <c r="K172" s="15"/>
      <c r="L172" s="28"/>
      <c r="M172" s="13">
        <v>93</v>
      </c>
      <c r="N172" s="15">
        <f t="shared" si="608"/>
        <v>0</v>
      </c>
      <c r="Q172" s="13">
        <v>93</v>
      </c>
      <c r="R172" s="15">
        <f t="shared" si="609"/>
        <v>0</v>
      </c>
      <c r="S172" s="15"/>
      <c r="T172" s="28"/>
      <c r="U172" s="13">
        <v>93</v>
      </c>
      <c r="V172" s="15">
        <f t="shared" si="610"/>
        <v>0</v>
      </c>
      <c r="W172" s="34">
        <f>V172*$F$10</f>
        <v>0</v>
      </c>
      <c r="Y172" s="186">
        <v>202</v>
      </c>
      <c r="Z172" s="2">
        <v>0</v>
      </c>
      <c r="AA172" s="34">
        <f>Z172*$F$10</f>
        <v>0</v>
      </c>
      <c r="AB172" s="28"/>
      <c r="AC172" s="15">
        <v>210</v>
      </c>
      <c r="AD172" s="15">
        <v>0</v>
      </c>
      <c r="AE172" s="34">
        <f>AD172*$F$10</f>
        <v>0</v>
      </c>
      <c r="AF172" s="154">
        <v>239.13</v>
      </c>
      <c r="AG172" s="15">
        <v>210</v>
      </c>
      <c r="AH172" s="2">
        <v>0</v>
      </c>
      <c r="AI172" s="45">
        <f>AH172*$G$10</f>
        <v>0</v>
      </c>
      <c r="AJ172" s="180"/>
      <c r="AK172" s="13">
        <v>210</v>
      </c>
      <c r="AL172" s="15">
        <v>0</v>
      </c>
      <c r="AM172" s="45">
        <f>AL172*$G$10</f>
        <v>0</v>
      </c>
      <c r="AN172" s="15"/>
      <c r="AO172" s="13">
        <v>210</v>
      </c>
      <c r="AP172" s="15">
        <v>0</v>
      </c>
      <c r="AQ172" s="45">
        <f>AP172*$G$10</f>
        <v>0</v>
      </c>
      <c r="AR172" s="15"/>
      <c r="AS172" s="13">
        <v>210</v>
      </c>
      <c r="AT172" s="15">
        <v>0</v>
      </c>
      <c r="AU172" s="45">
        <f>AT172*$G$10</f>
        <v>0</v>
      </c>
      <c r="AV172" s="15"/>
      <c r="AW172" s="13">
        <v>210</v>
      </c>
      <c r="AX172" s="15">
        <v>0</v>
      </c>
      <c r="AY172" s="45"/>
      <c r="AZ172" s="208"/>
      <c r="BA172" s="13">
        <v>210</v>
      </c>
      <c r="BB172" s="15">
        <v>0</v>
      </c>
      <c r="BC172" s="45"/>
      <c r="BD172" s="208"/>
      <c r="BE172" s="40">
        <f t="shared" ref="BE172:BG172" si="612">J172+N172+R172+V172+Z172+AD172+AH172+AL172+AP172+AT172+AX172+BB172</f>
        <v>0</v>
      </c>
      <c r="BF172" s="41">
        <f t="shared" si="612"/>
        <v>0</v>
      </c>
      <c r="BG172" s="34">
        <f t="shared" si="612"/>
        <v>239.13</v>
      </c>
      <c r="BH172" s="35">
        <f t="shared" si="607"/>
        <v>-239.13</v>
      </c>
      <c r="BK172" s="2" t="b">
        <f>H172='2020'!BH172</f>
        <v>1</v>
      </c>
    </row>
    <row r="173" ht="14.25" customHeight="1" hidden="1" spans="1:63" x14ac:dyDescent="0.25">
      <c r="A173" s="2">
        <v>19</v>
      </c>
      <c r="B173" s="14"/>
      <c r="C173" s="2" t="s">
        <v>115</v>
      </c>
      <c r="D173" s="14" t="s">
        <v>47</v>
      </c>
      <c r="E173" s="2" t="s">
        <v>49</v>
      </c>
      <c r="F173" s="41">
        <v>500</v>
      </c>
      <c r="G173" s="35"/>
      <c r="H173" s="34">
        <f>'2020'!BH173</f>
        <v>0</v>
      </c>
      <c r="I173" s="13"/>
      <c r="J173" s="15"/>
      <c r="K173" s="15"/>
      <c r="L173" s="28"/>
      <c r="M173" s="13"/>
      <c r="N173" s="15"/>
      <c r="Q173" s="13"/>
      <c r="R173" s="15"/>
      <c r="S173" s="15"/>
      <c r="T173" s="28"/>
      <c r="U173" s="13"/>
      <c r="V173" s="15"/>
      <c r="Y173" s="186"/>
      <c r="Z173" s="2"/>
      <c r="AA173" s="15"/>
      <c r="AB173" s="28"/>
      <c r="AC173" s="15"/>
      <c r="AD173" s="15"/>
      <c r="AF173" s="154"/>
      <c r="AG173" s="15"/>
      <c r="AH173" s="2"/>
      <c r="AI173" s="45"/>
      <c r="AJ173" s="15"/>
      <c r="AK173" s="13"/>
      <c r="AL173" s="15"/>
      <c r="AM173" s="45"/>
      <c r="AN173" s="15"/>
      <c r="AO173" s="13"/>
      <c r="AP173" s="15"/>
      <c r="AQ173" s="45"/>
      <c r="AR173" s="15"/>
      <c r="AS173" s="13"/>
      <c r="AT173" s="15"/>
      <c r="AU173" s="45"/>
      <c r="AV173" s="15"/>
      <c r="AW173" s="13"/>
      <c r="AX173" s="15"/>
      <c r="AY173" s="45"/>
      <c r="AZ173" s="28"/>
      <c r="BA173" s="13"/>
      <c r="BB173" s="15"/>
      <c r="BC173" s="45"/>
      <c r="BD173" s="28"/>
      <c r="BE173" s="14"/>
      <c r="BF173" s="41">
        <f t="shared" ref="BF173:BG173" si="613">K173+O173+S173+W173+AA173+AE173+AI173+AM173+AQ173+AU173+AY173+BC173</f>
        <v>0</v>
      </c>
      <c r="BG173" s="34">
        <f t="shared" si="613"/>
        <v>0</v>
      </c>
      <c r="BH173" s="35">
        <f t="shared" si="607"/>
        <v>0</v>
      </c>
      <c r="BK173" s="2" t="b">
        <f>H173='2020'!BH173</f>
        <v>1</v>
      </c>
    </row>
    <row r="174" ht="14.25" customHeight="1" hidden="1" spans="1:63" x14ac:dyDescent="0.25">
      <c r="A174" s="2">
        <v>19</v>
      </c>
      <c r="B174" s="14"/>
      <c r="C174" s="73"/>
      <c r="D174" s="14" t="s">
        <v>50</v>
      </c>
      <c r="E174" s="2" t="s">
        <v>49</v>
      </c>
      <c r="F174" s="41">
        <v>1100</v>
      </c>
      <c r="G174" s="35"/>
      <c r="H174" s="34">
        <f>'2020'!BH174</f>
        <v>292.86</v>
      </c>
      <c r="I174" s="13"/>
      <c r="J174" s="15"/>
      <c r="K174" s="15"/>
      <c r="L174" s="28"/>
      <c r="M174" s="13"/>
      <c r="N174" s="15"/>
      <c r="Q174" s="13"/>
      <c r="R174" s="15"/>
      <c r="S174" s="15"/>
      <c r="T174" s="28"/>
      <c r="U174" s="13"/>
      <c r="V174" s="15"/>
      <c r="Y174" s="186"/>
      <c r="Z174" s="2"/>
      <c r="AA174" s="15"/>
      <c r="AB174" s="28"/>
      <c r="AC174" s="15"/>
      <c r="AD174" s="15"/>
      <c r="AE174" s="182">
        <v>4510</v>
      </c>
      <c r="AF174" s="182">
        <v>4802.86</v>
      </c>
      <c r="AG174" s="15"/>
      <c r="AH174" s="2"/>
      <c r="AI174" s="45"/>
      <c r="AJ174" s="180"/>
      <c r="AK174" s="13"/>
      <c r="AL174" s="15"/>
      <c r="AM174" s="45"/>
      <c r="AN174" s="15"/>
      <c r="AO174" s="13"/>
      <c r="AP174" s="15"/>
      <c r="AQ174" s="45"/>
      <c r="AR174" s="15"/>
      <c r="AS174" s="13"/>
      <c r="AT174" s="15"/>
      <c r="AU174" s="45"/>
      <c r="AV174" s="15"/>
      <c r="AW174" s="13"/>
      <c r="AX174" s="15"/>
      <c r="AY174" s="45"/>
      <c r="AZ174" s="28"/>
      <c r="BA174" s="13"/>
      <c r="BB174" s="15"/>
      <c r="BC174" s="45"/>
      <c r="BD174" s="28"/>
      <c r="BE174" s="14"/>
      <c r="BF174" s="41">
        <f t="shared" ref="BF174:BG174" si="614">K174+O174+S174+W174+AA174+AE174+AI174+AM174+AQ174+AU174+AY174+BC174</f>
        <v>4510</v>
      </c>
      <c r="BG174" s="34">
        <f t="shared" si="614"/>
        <v>4802.86</v>
      </c>
      <c r="BH174" s="35">
        <f t="shared" si="607"/>
        <v>0</v>
      </c>
      <c r="BK174" s="2" t="b">
        <f>H174='2020'!BH174</f>
        <v>1</v>
      </c>
    </row>
    <row r="175" ht="14.25" customHeight="1" hidden="1" spans="1:63" x14ac:dyDescent="0.25">
      <c r="A175" s="2">
        <v>19</v>
      </c>
      <c r="B175" s="14"/>
      <c r="C175" s="2" t="s">
        <v>494</v>
      </c>
      <c r="D175" s="14" t="s">
        <v>51</v>
      </c>
      <c r="E175" s="2" t="s">
        <v>39</v>
      </c>
      <c r="F175" s="41">
        <v>500</v>
      </c>
      <c r="G175" s="35"/>
      <c r="H175" s="34">
        <f>'2020'!BH175</f>
        <v>500</v>
      </c>
      <c r="I175" s="13"/>
      <c r="J175" s="15"/>
      <c r="K175" s="15"/>
      <c r="L175" s="28"/>
      <c r="M175" s="13"/>
      <c r="N175" s="15"/>
      <c r="Q175" s="13"/>
      <c r="R175" s="15"/>
      <c r="S175" s="15"/>
      <c r="T175" s="28"/>
      <c r="U175" s="13"/>
      <c r="V175" s="15"/>
      <c r="Y175" s="186"/>
      <c r="Z175" s="2"/>
      <c r="AA175" s="15"/>
      <c r="AB175" s="28"/>
      <c r="AC175" s="15"/>
      <c r="AD175" s="15"/>
      <c r="AE175" s="180">
        <f>$F$13</f>
      </c>
      <c r="AF175" s="154">
        <v>500</v>
      </c>
      <c r="AG175" s="15"/>
      <c r="AH175" s="2"/>
      <c r="AI175" s="45"/>
      <c r="AJ175" s="15"/>
      <c r="AK175" s="13"/>
      <c r="AL175" s="15"/>
      <c r="AM175" s="45"/>
      <c r="AN175" s="15"/>
      <c r="AO175" s="13"/>
      <c r="AP175" s="15"/>
      <c r="AQ175" s="180"/>
      <c r="AR175" s="15"/>
      <c r="AS175" s="13"/>
      <c r="AT175" s="15"/>
      <c r="AU175" s="45"/>
      <c r="AV175" s="15"/>
      <c r="AW175" s="13"/>
      <c r="AX175" s="15"/>
      <c r="AY175" s="45"/>
      <c r="AZ175" s="28"/>
      <c r="BA175" s="13"/>
      <c r="BB175" s="15"/>
      <c r="BC175" s="45"/>
      <c r="BD175" s="28"/>
      <c r="BE175" s="14"/>
      <c r="BF175" s="41">
        <f t="shared" ref="BF175:BG175" si="615">K175+O175+S175+W175+AA175+AE175+AI175+AM175+AQ175+AU175+AY175+BC175</f>
        <v>0</v>
      </c>
      <c r="BG175" s="34">
        <f t="shared" si="615"/>
        <v>500</v>
      </c>
      <c r="BH175" s="35">
        <f t="shared" si="607"/>
        <v>0</v>
      </c>
      <c r="BK175" s="2" t="b">
        <f>H175='2020'!BH175</f>
        <v>1</v>
      </c>
    </row>
    <row r="176" ht="14.25" customHeight="1" hidden="1" spans="1:63" x14ac:dyDescent="0.25">
      <c r="A176" s="2">
        <v>19</v>
      </c>
      <c r="B176" s="14"/>
      <c r="D176" s="14" t="s">
        <v>51</v>
      </c>
      <c r="E176" s="2" t="s">
        <v>49</v>
      </c>
      <c r="F176" s="41">
        <v>500</v>
      </c>
      <c r="G176" s="35"/>
      <c r="H176" s="34">
        <f>'2020'!BH176</f>
        <v>2050</v>
      </c>
      <c r="I176" s="13"/>
      <c r="J176" s="15"/>
      <c r="K176" s="15"/>
      <c r="L176" s="28"/>
      <c r="M176" s="13"/>
      <c r="N176" s="15"/>
      <c r="Q176" s="13"/>
      <c r="R176" s="15"/>
      <c r="S176" s="15"/>
      <c r="T176" s="28"/>
      <c r="U176" s="13"/>
      <c r="V176" s="15"/>
      <c r="Y176" s="186"/>
      <c r="Z176" s="2"/>
      <c r="AA176" s="15"/>
      <c r="AB176" s="28"/>
      <c r="AC176" s="15"/>
      <c r="AD176" s="15"/>
      <c r="AE176" s="34"/>
      <c r="AF176" s="154">
        <v>2050</v>
      </c>
      <c r="AG176" s="15"/>
      <c r="AH176" s="2"/>
      <c r="AI176" s="45"/>
      <c r="AJ176" s="15"/>
      <c r="AK176" s="13"/>
      <c r="AL176" s="15"/>
      <c r="AM176" s="45"/>
      <c r="AN176" s="15"/>
      <c r="AO176" s="13"/>
      <c r="AP176" s="15"/>
      <c r="AQ176" s="180">
        <f>B171*$F$14</f>
        <v>0</v>
      </c>
      <c r="AR176" s="15"/>
      <c r="AS176" s="13"/>
      <c r="AT176" s="15"/>
      <c r="AU176" s="45"/>
      <c r="AV176" s="15"/>
      <c r="AW176" s="13"/>
      <c r="AX176" s="15"/>
      <c r="AY176" s="45"/>
      <c r="AZ176" s="28"/>
      <c r="BA176" s="13"/>
      <c r="BB176" s="15"/>
      <c r="BC176" s="45"/>
      <c r="BD176" s="28"/>
      <c r="BE176" s="14"/>
      <c r="BF176" s="41">
        <f t="shared" ref="BF176:BG176" si="616">K176+O176+S176+W176+AA176+AE176+AI176+AM176+AQ176+AU176+AY176+BC176</f>
        <v>0</v>
      </c>
      <c r="BG176" s="34">
        <f t="shared" si="616"/>
        <v>2050</v>
      </c>
      <c r="BH176" s="35">
        <f t="shared" si="607"/>
        <v>0</v>
      </c>
      <c r="BK176" s="2" t="b">
        <f>H176='2020'!BH176</f>
        <v>1</v>
      </c>
    </row>
    <row r="177" ht="14.25" customHeight="1" hidden="1" spans="1:63" x14ac:dyDescent="0.25">
      <c r="A177" s="2">
        <v>19</v>
      </c>
      <c r="B177" s="14"/>
      <c r="C177" s="15" t="s">
        <v>495</v>
      </c>
      <c r="D177" s="14" t="s">
        <v>52</v>
      </c>
      <c r="E177" s="2" t="s">
        <v>39</v>
      </c>
      <c r="F177" s="41">
        <v>500</v>
      </c>
      <c r="G177" s="35"/>
      <c r="H177" s="34">
        <f>'2020'!BH177</f>
        <v>0</v>
      </c>
      <c r="I177" s="13"/>
      <c r="J177" s="15"/>
      <c r="K177" s="15"/>
      <c r="L177" s="28"/>
      <c r="M177" s="13"/>
      <c r="N177" s="15"/>
      <c r="Q177" s="13"/>
      <c r="R177" s="15"/>
      <c r="S177" s="15"/>
      <c r="T177" s="28"/>
      <c r="U177" s="13"/>
      <c r="V177" s="15"/>
      <c r="Y177" s="186"/>
      <c r="Z177" s="2"/>
      <c r="AA177" s="34">
        <f>$F$15</f>
      </c>
      <c r="AB177" s="28"/>
      <c r="AC177" s="15"/>
      <c r="AD177" s="15"/>
      <c r="AG177" s="15"/>
      <c r="AH177" s="2"/>
      <c r="AI177" s="45"/>
      <c r="AJ177" s="180"/>
      <c r="AK177" s="13"/>
      <c r="AL177" s="15"/>
      <c r="AM177" s="45"/>
      <c r="AN177" s="15"/>
      <c r="AO177" s="13"/>
      <c r="AP177" s="15"/>
      <c r="AQ177" s="45"/>
      <c r="AR177" s="15"/>
      <c r="AS177" s="13"/>
      <c r="AT177" s="15"/>
      <c r="AU177" s="45"/>
      <c r="AV177" s="15"/>
      <c r="AW177" s="13"/>
      <c r="AX177" s="15"/>
      <c r="AY177" s="45"/>
      <c r="AZ177" s="35"/>
      <c r="BA177" s="13"/>
      <c r="BB177" s="15"/>
      <c r="BC177" s="45"/>
      <c r="BD177" s="35"/>
      <c r="BE177" s="14"/>
      <c r="BF177" s="41">
        <f t="shared" ref="BF177:BG177" si="617">K177+O177+S177+W177+AA177+AE177+AI177+AM177+AQ177+AU177+AY177+BC177</f>
        <v>0</v>
      </c>
      <c r="BG177" s="34">
        <f t="shared" si="617"/>
        <v>0</v>
      </c>
      <c r="BH177" s="35">
        <f t="shared" si="607"/>
        <v>0</v>
      </c>
      <c r="BK177" s="2" t="b">
        <f>H177='2020'!BH177</f>
        <v>1</v>
      </c>
    </row>
    <row r="178" ht="14.25" customHeight="1" hidden="1" spans="1:63" x14ac:dyDescent="0.25">
      <c r="A178" s="244" t="s">
        <v>116</v>
      </c>
      <c r="B178" s="21"/>
      <c r="C178" s="22" t="s">
        <v>53</v>
      </c>
      <c r="D178" s="21"/>
      <c r="E178" s="22"/>
      <c r="F178" s="20"/>
      <c r="G178" s="23"/>
      <c r="H178" s="51">
        <f>SUM(H170:H177)</f>
        <v>2846.44</v>
      </c>
      <c r="I178" s="52"/>
      <c r="J178" s="53"/>
      <c r="K178" s="51">
        <f t="shared" ref="K178:L178" si="618">SUM(K170:K177)</f>
        <v>0.91</v>
      </c>
      <c r="L178" s="68">
        <f t="shared" si="618"/>
        <v>0</v>
      </c>
      <c r="M178" s="52"/>
      <c r="N178" s="53"/>
      <c r="O178" s="51">
        <f t="shared" ref="O178:P178" si="619">SUM(O170:O177)</f>
        <v>0.82</v>
      </c>
      <c r="P178" s="68">
        <f t="shared" si="619"/>
        <v>0</v>
      </c>
      <c r="Q178" s="52"/>
      <c r="R178" s="53"/>
      <c r="S178" s="51">
        <f t="shared" ref="S178:T178" si="620">SUM(S170:S177)</f>
        <v>0.91</v>
      </c>
      <c r="T178" s="68">
        <f t="shared" si="620"/>
        <v>0</v>
      </c>
      <c r="U178" s="52"/>
      <c r="V178" s="53"/>
      <c r="W178" s="51">
        <f t="shared" ref="W178:X178" si="621">SUM(W170:W177)</f>
        <v>0.88</v>
      </c>
      <c r="X178" s="68">
        <f t="shared" si="621"/>
        <v>0</v>
      </c>
      <c r="Y178" s="300"/>
      <c r="Z178" s="301"/>
      <c r="AA178" s="51">
        <f t="shared" ref="AA178:AB178" si="622">SUM(AA170:AA177)</f>
        <v>0.91</v>
      </c>
      <c r="AB178" s="68">
        <f t="shared" si="622"/>
        <v>0</v>
      </c>
      <c r="AC178" s="53"/>
      <c r="AD178" s="53"/>
      <c r="AE178" s="51">
        <f t="shared" ref="AE178:AF178" si="623">SUM(AE170:AE177)</f>
        <v>4510.73</v>
      </c>
      <c r="AF178" s="68">
        <f t="shared" si="623"/>
        <v>7600</v>
      </c>
      <c r="AG178" s="53"/>
      <c r="AH178" s="301"/>
      <c r="AI178" s="183">
        <f t="shared" ref="AI178:AJ178" si="624">SUM(AI170:AI177)</f>
        <v>0</v>
      </c>
      <c r="AJ178" s="51">
        <f t="shared" si="624"/>
        <v>0</v>
      </c>
      <c r="AK178" s="52"/>
      <c r="AL178" s="53"/>
      <c r="AM178" s="183">
        <f t="shared" ref="AM178:AN178" si="625">SUM(AM170:AM177)</f>
        <v>0</v>
      </c>
      <c r="AN178" s="51">
        <f t="shared" si="625"/>
        <v>0</v>
      </c>
      <c r="AO178" s="52"/>
      <c r="AP178" s="53"/>
      <c r="AQ178" s="183">
        <f t="shared" ref="AQ178:AR178" si="626">SUM(AQ170:AQ177)</f>
        <v>0</v>
      </c>
      <c r="AR178" s="51">
        <f t="shared" si="626"/>
        <v>0</v>
      </c>
      <c r="AS178" s="52"/>
      <c r="AT178" s="53"/>
      <c r="AU178" s="183">
        <f t="shared" ref="AU178:AV178" si="627">SUM(AU170:AU177)</f>
        <v>0</v>
      </c>
      <c r="AV178" s="68">
        <f t="shared" si="627"/>
        <v>0</v>
      </c>
      <c r="AW178" s="52"/>
      <c r="AX178" s="53"/>
      <c r="AY178" s="183">
        <f t="shared" ref="AY178:AZ178" si="628">SUM(AY170:AY177)</f>
        <v>0</v>
      </c>
      <c r="AZ178" s="68">
        <f t="shared" si="628"/>
        <v>0</v>
      </c>
      <c r="BA178" s="52"/>
      <c r="BB178" s="53"/>
      <c r="BC178" s="183">
        <f t="shared" ref="BC178:BD178" si="629">SUM(BC170:BC177)</f>
        <v>0</v>
      </c>
      <c r="BD178" s="68">
        <f t="shared" si="629"/>
        <v>0</v>
      </c>
      <c r="BE178" s="69"/>
      <c r="BF178" s="70">
        <f t="shared" ref="BF178:BH178" si="630">SUM(BF170:BF177)</f>
        <v>4515.16</v>
      </c>
      <c r="BG178" s="71">
        <f t="shared" si="630"/>
        <v>7600</v>
      </c>
      <c r="BH178" s="72">
        <f t="shared" si="630"/>
        <v>-238.4</v>
      </c>
      <c r="BI178" s="34">
        <f>H178+BF178-BG178</f>
        <v>-238.4</v>
      </c>
      <c r="BJ178" s="34">
        <f>BH178-BI178</f>
        <v>0</v>
      </c>
      <c r="BK178" s="2" t="b">
        <f>H178='2020'!BH178</f>
        <v>1</v>
      </c>
    </row>
    <row r="179" ht="14.25" customHeight="1" hidden="1" spans="1:63" x14ac:dyDescent="0.25">
      <c r="A179" s="89" t="s">
        <v>117</v>
      </c>
      <c r="B179" s="14"/>
      <c r="D179" s="14" t="s">
        <v>379</v>
      </c>
      <c r="F179" s="13"/>
      <c r="G179" s="28"/>
      <c r="H179" s="34">
        <f>'2020'!BH179</f>
        <v>0</v>
      </c>
      <c r="I179" s="13"/>
      <c r="J179" s="15"/>
      <c r="K179" s="15"/>
      <c r="L179" s="28"/>
      <c r="M179" s="13"/>
      <c r="N179" s="15"/>
      <c r="Q179" s="13"/>
      <c r="R179" s="15"/>
      <c r="S179" s="15"/>
      <c r="T179" s="28"/>
      <c r="U179" s="13"/>
      <c r="V179" s="15"/>
      <c r="Y179" s="186"/>
      <c r="Z179" s="2"/>
      <c r="AA179" s="15"/>
      <c r="AB179" s="28"/>
      <c r="AC179" s="15"/>
      <c r="AD179" s="15"/>
      <c r="AG179" s="15"/>
      <c r="AH179" s="2"/>
      <c r="AI179" s="45"/>
      <c r="AJ179" s="15"/>
      <c r="AK179" s="13"/>
      <c r="AM179" s="45"/>
      <c r="AO179" s="13"/>
      <c r="AQ179" s="45"/>
      <c r="AS179" s="13"/>
      <c r="AU179" s="45"/>
      <c r="AW179" s="13"/>
      <c r="AY179" s="45"/>
      <c r="AZ179" s="28"/>
      <c r="BA179" s="13"/>
      <c r="BB179" s="15"/>
      <c r="BC179" s="45"/>
      <c r="BD179" s="28"/>
      <c r="BE179" s="14"/>
      <c r="BF179" s="41">
        <f t="shared" ref="BF179:BG179" si="631">K179+O179+S179+W179+AA179+AE179+AI179+AM179+AQ179+AU179+AY179+BC179</f>
        <v>0</v>
      </c>
      <c r="BG179" s="34">
        <f t="shared" si="631"/>
        <v>0</v>
      </c>
      <c r="BH179" s="35">
        <f t="shared" ref="BH179:BH186" si="632">H179+BF179-BG179</f>
        <v>0</v>
      </c>
      <c r="BK179" s="2" t="b">
        <f>H179='2020'!BH179</f>
        <v>1</v>
      </c>
    </row>
    <row r="180" ht="14.25" customHeight="1" hidden="1" spans="1:63" x14ac:dyDescent="0.25">
      <c r="A180" s="89" t="s">
        <v>117</v>
      </c>
      <c r="B180" s="30">
        <v>4</v>
      </c>
      <c r="C180" s="2" t="s">
        <v>118</v>
      </c>
      <c r="D180" s="14" t="s">
        <v>44</v>
      </c>
      <c r="E180" s="2" t="s">
        <v>45</v>
      </c>
      <c r="F180" s="41">
        <v>2.5</v>
      </c>
      <c r="G180" s="35">
        <v>2.6</v>
      </c>
      <c r="H180" s="34">
        <f>'2020'!BH180</f>
        <v>100.9</v>
      </c>
      <c r="I180" s="13">
        <v>3265</v>
      </c>
      <c r="J180" s="15">
        <f>I180-'2020'!BA180</f>
        <v>0</v>
      </c>
      <c r="K180" s="34">
        <f>J180*$F$8</f>
        <v>0</v>
      </c>
      <c r="L180" s="28"/>
      <c r="M180" s="13">
        <v>3265</v>
      </c>
      <c r="N180" s="15">
        <f t="shared" ref="N180:N181" si="633">M180-I180</f>
        <v>0</v>
      </c>
      <c r="O180" s="34">
        <f>N180*$F$8</f>
        <v>0</v>
      </c>
      <c r="Q180" s="13">
        <v>3265</v>
      </c>
      <c r="R180" s="15">
        <f t="shared" ref="R180:R181" si="634">Q180-M180</f>
        <v>0</v>
      </c>
      <c r="S180" s="34">
        <f>R180*$F$8</f>
        <v>0</v>
      </c>
      <c r="T180" s="28"/>
      <c r="U180" s="13">
        <v>3265</v>
      </c>
      <c r="V180" s="15">
        <f t="shared" ref="V180:V181" si="635">U180-Q180</f>
        <v>0</v>
      </c>
      <c r="W180" s="34">
        <f>V180*$F$8</f>
        <v>0</v>
      </c>
      <c r="X180" s="34"/>
      <c r="Y180" s="186">
        <v>3270</v>
      </c>
      <c r="Z180" s="2">
        <f t="shared" ref="Z180:Z181" si="636">Y180-U180</f>
        <v>5</v>
      </c>
      <c r="AA180" s="34">
        <f>Z180*$F$8</f>
        <v>13</v>
      </c>
      <c r="AB180" s="32"/>
      <c r="AC180" s="15">
        <v>3270</v>
      </c>
      <c r="AD180" s="15">
        <f t="shared" ref="AD180:AD181" si="637">AC180-Y180</f>
        <v>0</v>
      </c>
      <c r="AE180" s="180">
        <f>AD180*$F$8</f>
        <v>0</v>
      </c>
      <c r="AF180" s="180">
        <v>113.9</v>
      </c>
      <c r="AG180" s="15">
        <v>3271</v>
      </c>
      <c r="AH180" s="2">
        <f t="shared" ref="AH180:AH181" si="638">AG180-AC180</f>
        <v>1</v>
      </c>
      <c r="AI180" s="45">
        <f>AH180*$G$8</f>
        <v>2.7</v>
      </c>
      <c r="AJ180" s="326">
        <v>2.7</v>
      </c>
      <c r="AK180" s="13">
        <v>3271</v>
      </c>
      <c r="AL180" s="15">
        <f t="shared" ref="AL180:AL181" si="639">AK180-AG180</f>
        <v>0</v>
      </c>
      <c r="AM180" s="45">
        <f>AL180*$G$8</f>
        <v>0</v>
      </c>
      <c r="AN180" s="15"/>
      <c r="AO180" s="13">
        <v>3271</v>
      </c>
      <c r="AP180" s="15">
        <f t="shared" ref="AP180:AP181" si="640">AO180-AK180</f>
        <v>0</v>
      </c>
      <c r="AQ180" s="45">
        <f>AP180*$G$8</f>
        <v>0</v>
      </c>
      <c r="AR180" s="15"/>
      <c r="AS180" s="13">
        <v>3271</v>
      </c>
      <c r="AT180" s="15">
        <f t="shared" ref="AT180:AT181" si="641">AS180-AO180</f>
        <v>0</v>
      </c>
      <c r="AU180" s="45">
        <f t="shared" ref="AU180:AU181" si="642">AT180*$G$8</f>
        <v>0</v>
      </c>
      <c r="AV180" s="15"/>
      <c r="AW180" s="13">
        <v>3271</v>
      </c>
      <c r="AX180" s="15">
        <f t="shared" ref="AX180:AX181" si="643">AW180-AS180</f>
        <v>0</v>
      </c>
      <c r="AY180" s="45">
        <f>AX180*$G$8</f>
        <v>0</v>
      </c>
      <c r="AZ180" s="208"/>
      <c r="BA180" s="13">
        <v>3271</v>
      </c>
      <c r="BB180" s="15">
        <f t="shared" ref="BB180:BB181" si="644">BA180-AW180</f>
        <v>0</v>
      </c>
      <c r="BC180" s="45">
        <f>BB180*$G$8</f>
        <v>0</v>
      </c>
      <c r="BD180" s="208"/>
      <c r="BE180" s="40">
        <f t="shared" ref="BE180:BG180" si="645">J180+N180+R180+V180+Z180+AD180+AH180+AL180+AP180+AT180+AX180+BB180</f>
        <v>6</v>
      </c>
      <c r="BF180" s="41">
        <f t="shared" si="645"/>
        <v>15.7</v>
      </c>
      <c r="BG180" s="34">
        <f t="shared" si="645"/>
        <v>116.6</v>
      </c>
      <c r="BH180" s="35">
        <f t="shared" si="632"/>
        <v>0</v>
      </c>
      <c r="BK180" s="2" t="b">
        <f>H180='2020'!BH180</f>
        <v>1</v>
      </c>
    </row>
    <row r="181" ht="14.25" customHeight="1" hidden="1" spans="1:63" x14ac:dyDescent="0.25">
      <c r="A181" s="89" t="s">
        <v>117</v>
      </c>
      <c r="B181" s="14"/>
      <c r="C181" s="2" t="s">
        <v>75</v>
      </c>
      <c r="D181" s="14" t="s">
        <v>47</v>
      </c>
      <c r="E181" s="2" t="s">
        <v>48</v>
      </c>
      <c r="F181" s="13">
        <v>18.56</v>
      </c>
      <c r="G181" s="35">
        <v>19.46</v>
      </c>
      <c r="H181" s="34">
        <f>'2020'!BH181</f>
        <v>-214.8</v>
      </c>
      <c r="I181" s="13">
        <v>82</v>
      </c>
      <c r="J181" s="15"/>
      <c r="K181" s="15"/>
      <c r="L181" s="28"/>
      <c r="M181" s="13">
        <v>82</v>
      </c>
      <c r="N181" s="15">
        <f t="shared" si="633"/>
        <v>0</v>
      </c>
      <c r="Q181" s="13">
        <v>82</v>
      </c>
      <c r="R181" s="15">
        <f t="shared" si="634"/>
        <v>0</v>
      </c>
      <c r="S181" s="15"/>
      <c r="T181" s="28"/>
      <c r="U181" s="13">
        <v>82</v>
      </c>
      <c r="V181" s="15">
        <f t="shared" si="635"/>
        <v>0</v>
      </c>
      <c r="W181" s="34">
        <f>V181*$F$10</f>
        <v>0</v>
      </c>
      <c r="Y181" s="186">
        <v>82</v>
      </c>
      <c r="Z181" s="2">
        <f t="shared" si="636"/>
        <v>0</v>
      </c>
      <c r="AA181" s="34">
        <f>Z181*$F$10</f>
        <v>0</v>
      </c>
      <c r="AB181" s="32"/>
      <c r="AC181" s="13">
        <v>82</v>
      </c>
      <c r="AD181" s="15">
        <f t="shared" si="637"/>
        <v>0</v>
      </c>
      <c r="AE181" s="34">
        <f>AD181*$F$10</f>
        <v>0</v>
      </c>
      <c r="AF181" s="34"/>
      <c r="AG181" s="13">
        <v>82</v>
      </c>
      <c r="AH181" s="2">
        <f t="shared" si="638"/>
        <v>0</v>
      </c>
      <c r="AI181" s="45">
        <f>AH181*$G$10</f>
        <v>0</v>
      </c>
      <c r="AJ181" s="2"/>
      <c r="AK181" s="13">
        <v>83</v>
      </c>
      <c r="AL181" s="15">
        <f t="shared" si="639"/>
        <v>1</v>
      </c>
      <c r="AM181" s="45">
        <f>AL181*$G$10</f>
        <v>20.35</v>
      </c>
      <c r="AN181" s="15"/>
      <c r="AO181" s="13">
        <v>83</v>
      </c>
      <c r="AP181" s="15">
        <f t="shared" si="640"/>
        <v>0</v>
      </c>
      <c r="AQ181" s="45">
        <f>AP181*$G$10</f>
        <v>0</v>
      </c>
      <c r="AR181" s="15"/>
      <c r="AS181" s="13">
        <v>83</v>
      </c>
      <c r="AT181" s="15">
        <f t="shared" si="641"/>
        <v>0</v>
      </c>
      <c r="AU181" s="45">
        <f t="shared" si="642"/>
        <v>0</v>
      </c>
      <c r="AV181" s="15"/>
      <c r="AW181" s="13">
        <v>83</v>
      </c>
      <c r="AX181" s="15">
        <f t="shared" si="643"/>
        <v>0</v>
      </c>
      <c r="AY181" s="45"/>
      <c r="AZ181" s="208"/>
      <c r="BA181" s="13">
        <v>83</v>
      </c>
      <c r="BB181" s="15">
        <f t="shared" si="644"/>
        <v>0</v>
      </c>
      <c r="BC181" s="45"/>
      <c r="BD181" s="208"/>
      <c r="BE181" s="40">
        <f t="shared" ref="BE181:BG181" si="646">J181+N181+R181+V181+Z181+AD181+AH181+AL181+AP181+AT181+AX181+BB181</f>
        <v>1</v>
      </c>
      <c r="BF181" s="41">
        <f t="shared" si="646"/>
        <v>20.35</v>
      </c>
      <c r="BG181" s="34">
        <f t="shared" si="646"/>
        <v>0</v>
      </c>
      <c r="BH181" s="35">
        <f t="shared" si="632"/>
        <v>-194.45</v>
      </c>
      <c r="BK181" s="2" t="b">
        <f>H181='2020'!BH181</f>
        <v>1</v>
      </c>
    </row>
    <row r="182" ht="14.25" customHeight="1" hidden="1" spans="1:63" x14ac:dyDescent="0.25">
      <c r="A182" s="89" t="s">
        <v>117</v>
      </c>
      <c r="B182" s="14"/>
      <c r="C182" s="2" t="s">
        <v>119</v>
      </c>
      <c r="D182" s="14" t="s">
        <v>47</v>
      </c>
      <c r="E182" s="2" t="s">
        <v>49</v>
      </c>
      <c r="F182" s="41">
        <v>500</v>
      </c>
      <c r="G182" s="35"/>
      <c r="H182" s="34">
        <f>'2020'!BH182</f>
        <v>0</v>
      </c>
      <c r="I182" s="13"/>
      <c r="J182" s="15"/>
      <c r="K182" s="15"/>
      <c r="L182" s="28"/>
      <c r="M182" s="13"/>
      <c r="N182" s="15"/>
      <c r="Q182" s="13"/>
      <c r="R182" s="15"/>
      <c r="S182" s="15"/>
      <c r="T182" s="28"/>
      <c r="U182" s="13"/>
      <c r="V182" s="15"/>
      <c r="Y182" s="186"/>
      <c r="Z182" s="2"/>
      <c r="AA182" s="15"/>
      <c r="AB182" s="32"/>
      <c r="AC182" s="15"/>
      <c r="AD182" s="15"/>
      <c r="AG182" s="15"/>
      <c r="AH182" s="2"/>
      <c r="AI182" s="45"/>
      <c r="AJ182" s="15"/>
      <c r="AK182" s="13"/>
      <c r="AL182" s="15"/>
      <c r="AM182" s="45"/>
      <c r="AN182" s="15"/>
      <c r="AO182" s="13"/>
      <c r="AP182" s="15"/>
      <c r="AQ182" s="45"/>
      <c r="AR182" s="15"/>
      <c r="AS182" s="13"/>
      <c r="AT182" s="15"/>
      <c r="AU182" s="45"/>
      <c r="AV182" s="15"/>
      <c r="AW182" s="13"/>
      <c r="AX182" s="15"/>
      <c r="AY182" s="45"/>
      <c r="AZ182" s="28"/>
      <c r="BA182" s="13"/>
      <c r="BB182" s="15"/>
      <c r="BC182" s="45"/>
      <c r="BD182" s="28"/>
      <c r="BE182" s="14"/>
      <c r="BF182" s="41">
        <f t="shared" ref="BF182:BG182" si="647">K182+O182+S182+W182+AA182+AE182+AI182+AM182+AQ182+AU182+AY182+BC182</f>
        <v>0</v>
      </c>
      <c r="BG182" s="34">
        <f t="shared" si="647"/>
        <v>0</v>
      </c>
      <c r="BH182" s="35">
        <f t="shared" si="632"/>
        <v>0</v>
      </c>
      <c r="BK182" s="2" t="b">
        <f>H182='2020'!BH182</f>
        <v>1</v>
      </c>
    </row>
    <row r="183" ht="14.25" customHeight="1" hidden="1" spans="1:63" x14ac:dyDescent="0.25">
      <c r="A183" s="89" t="s">
        <v>117</v>
      </c>
      <c r="B183" s="14"/>
      <c r="C183" s="2" t="s">
        <v>391</v>
      </c>
      <c r="D183" s="14" t="s">
        <v>50</v>
      </c>
      <c r="E183" s="2" t="s">
        <v>49</v>
      </c>
      <c r="F183" s="41">
        <v>1100</v>
      </c>
      <c r="G183" s="35"/>
      <c r="H183" s="34">
        <f>'2020'!BH183</f>
        <v>0</v>
      </c>
      <c r="I183" s="13"/>
      <c r="J183" s="15"/>
      <c r="K183" s="15"/>
      <c r="L183" s="28"/>
      <c r="M183" s="13"/>
      <c r="N183" s="15"/>
      <c r="Q183" s="13"/>
      <c r="R183" s="15"/>
      <c r="S183" s="15"/>
      <c r="T183" s="28"/>
      <c r="U183" s="13"/>
      <c r="V183" s="15"/>
      <c r="Y183" s="186"/>
      <c r="Z183" s="2"/>
      <c r="AA183" s="15"/>
      <c r="AB183" s="32"/>
      <c r="AC183" s="15"/>
      <c r="AD183" s="15"/>
      <c r="AE183" s="34">
        <f>B180*$F$12</f>
        <v>4400</v>
      </c>
      <c r="AF183" s="180">
        <v>4400</v>
      </c>
      <c r="AG183" s="15"/>
      <c r="AH183" s="2"/>
      <c r="AI183" s="45"/>
      <c r="AJ183" s="1"/>
      <c r="AK183" s="13"/>
      <c r="AL183" s="15"/>
      <c r="AM183" s="45"/>
      <c r="AN183" s="15"/>
      <c r="AO183" s="13"/>
      <c r="AP183" s="15"/>
      <c r="AQ183" s="45"/>
      <c r="AR183" s="15"/>
      <c r="AS183" s="13"/>
      <c r="AT183" s="15"/>
      <c r="AU183" s="45"/>
      <c r="AV183" s="15"/>
      <c r="AW183" s="13"/>
      <c r="AX183" s="15"/>
      <c r="AY183" s="45"/>
      <c r="AZ183" s="28"/>
      <c r="BA183" s="13"/>
      <c r="BB183" s="15"/>
      <c r="BC183" s="45"/>
      <c r="BD183" s="28"/>
      <c r="BE183" s="14"/>
      <c r="BF183" s="41">
        <f t="shared" ref="BF183:BG183" si="648">K183+O183+S183+W183+AA183+AE183+AI183+AM183+AQ183+AU183+AY183+BC183</f>
        <v>4400</v>
      </c>
      <c r="BG183" s="34">
        <f t="shared" si="648"/>
        <v>4400</v>
      </c>
      <c r="BH183" s="35">
        <f t="shared" si="632"/>
        <v>0</v>
      </c>
      <c r="BK183" s="2" t="b">
        <f>H183='2020'!BH183</f>
        <v>1</v>
      </c>
    </row>
    <row r="184" ht="14.25" customHeight="1" hidden="1" spans="1:63" x14ac:dyDescent="0.25">
      <c r="A184" s="89" t="s">
        <v>117</v>
      </c>
      <c r="B184" s="14"/>
      <c r="C184" s="2" t="s">
        <v>392</v>
      </c>
      <c r="D184" s="14" t="s">
        <v>51</v>
      </c>
      <c r="E184" s="2" t="s">
        <v>39</v>
      </c>
      <c r="F184" s="41">
        <v>500</v>
      </c>
      <c r="G184" s="35"/>
      <c r="H184" s="34">
        <f>'2020'!BH184</f>
        <v>500</v>
      </c>
      <c r="I184" s="13"/>
      <c r="J184" s="15"/>
      <c r="K184" s="15"/>
      <c r="L184" s="28"/>
      <c r="M184" s="13"/>
      <c r="N184" s="15"/>
      <c r="Q184" s="13"/>
      <c r="R184" s="15"/>
      <c r="S184" s="15"/>
      <c r="T184" s="28"/>
      <c r="U184" s="13"/>
      <c r="V184" s="15"/>
      <c r="Y184" s="186"/>
      <c r="Z184" s="2"/>
      <c r="AA184" s="15"/>
      <c r="AB184" s="32">
        <v>500</v>
      </c>
      <c r="AC184" s="15"/>
      <c r="AD184" s="15"/>
      <c r="AE184" s="182"/>
      <c r="AF184" s="34"/>
      <c r="AG184" s="15"/>
      <c r="AH184" s="2"/>
      <c r="AI184" s="45"/>
      <c r="AJ184" s="15"/>
      <c r="AK184" s="13"/>
      <c r="AL184" s="15"/>
      <c r="AM184" s="45"/>
      <c r="AN184" s="15"/>
      <c r="AO184" s="13"/>
      <c r="AP184" s="15"/>
      <c r="AQ184" s="180"/>
      <c r="AR184" s="15"/>
      <c r="AS184" s="13"/>
      <c r="AT184" s="15"/>
      <c r="AU184" s="45"/>
      <c r="AV184" s="15"/>
      <c r="AW184" s="13"/>
      <c r="AX184" s="15"/>
      <c r="AY184" s="45"/>
      <c r="AZ184" s="28"/>
      <c r="BA184" s="13"/>
      <c r="BB184" s="15"/>
      <c r="BC184" s="45"/>
      <c r="BD184" s="28"/>
      <c r="BE184" s="14"/>
      <c r="BF184" s="41">
        <f t="shared" ref="BF184:BG184" si="649">K184+O184+S184+W184+AA184+AE184+AI184+AM184+AQ184+AU184+AY184+BC184</f>
        <v>0</v>
      </c>
      <c r="BG184" s="34">
        <f t="shared" si="649"/>
        <v>500</v>
      </c>
      <c r="BH184" s="35">
        <f t="shared" si="632"/>
        <v>0</v>
      </c>
      <c r="BK184" s="2" t="b">
        <f>H184='2020'!BH184</f>
        <v>1</v>
      </c>
    </row>
    <row r="185" ht="14.25" customHeight="1" hidden="1" spans="1:63" x14ac:dyDescent="0.25">
      <c r="A185" s="89" t="s">
        <v>117</v>
      </c>
      <c r="B185" s="14"/>
      <c r="D185" s="14" t="s">
        <v>51</v>
      </c>
      <c r="E185" s="2" t="s">
        <v>49</v>
      </c>
      <c r="F185" s="41">
        <v>500</v>
      </c>
      <c r="G185" s="35"/>
      <c r="H185" s="34">
        <f>'2020'!BH185</f>
        <v>2000</v>
      </c>
      <c r="I185" s="13"/>
      <c r="J185" s="15"/>
      <c r="K185" s="15"/>
      <c r="L185" s="28"/>
      <c r="M185" s="13"/>
      <c r="N185" s="15"/>
      <c r="Q185" s="13"/>
      <c r="R185" s="15"/>
      <c r="S185" s="15"/>
      <c r="T185" s="28"/>
      <c r="U185" s="13"/>
      <c r="V185" s="15"/>
      <c r="Y185" s="186"/>
      <c r="Z185" s="2"/>
      <c r="AA185" s="15"/>
      <c r="AB185" s="32">
        <v>2000</v>
      </c>
      <c r="AC185" s="15"/>
      <c r="AD185" s="15"/>
      <c r="AE185" s="34"/>
      <c r="AF185" s="34"/>
      <c r="AG185" s="15"/>
      <c r="AH185" s="2"/>
      <c r="AI185" s="45"/>
      <c r="AJ185" s="15"/>
      <c r="AK185" s="13"/>
      <c r="AL185" s="15"/>
      <c r="AM185" s="45"/>
      <c r="AN185" s="15"/>
      <c r="AO185" s="13"/>
      <c r="AP185" s="15"/>
      <c r="AQ185" s="180">
        <f>B180*$F$14</f>
        <v>0</v>
      </c>
      <c r="AR185" s="15"/>
      <c r="AS185" s="13"/>
      <c r="AT185" s="15"/>
      <c r="AU185" s="45"/>
      <c r="AV185" s="15"/>
      <c r="AW185" s="13"/>
      <c r="AX185" s="15"/>
      <c r="AY185" s="45"/>
      <c r="AZ185" s="28"/>
      <c r="BA185" s="13"/>
      <c r="BB185" s="15"/>
      <c r="BC185" s="45"/>
      <c r="BD185" s="28"/>
      <c r="BE185" s="14"/>
      <c r="BF185" s="41">
        <f t="shared" ref="BF185:BG185" si="650">K185+O185+S185+W185+AA185+AE185+AI185+AM185+AQ185+AU185+AY185+BC185</f>
        <v>0</v>
      </c>
      <c r="BG185" s="34">
        <f t="shared" si="650"/>
        <v>2000</v>
      </c>
      <c r="BH185" s="35">
        <f t="shared" si="632"/>
        <v>0</v>
      </c>
      <c r="BK185" s="2" t="b">
        <f>H185='2020'!BH185</f>
        <v>1</v>
      </c>
    </row>
    <row r="186" ht="14.25" customHeight="1" hidden="1" spans="1:63" x14ac:dyDescent="0.25">
      <c r="A186" s="89" t="s">
        <v>117</v>
      </c>
      <c r="B186" s="14"/>
      <c r="D186" s="14" t="s">
        <v>52</v>
      </c>
      <c r="E186" s="2" t="s">
        <v>39</v>
      </c>
      <c r="F186" s="41">
        <v>500</v>
      </c>
      <c r="G186" s="35"/>
      <c r="H186" s="34">
        <f>'2020'!BH186</f>
        <v>0</v>
      </c>
      <c r="I186" s="13"/>
      <c r="J186" s="15"/>
      <c r="K186" s="15"/>
      <c r="L186" s="28"/>
      <c r="M186" s="13"/>
      <c r="N186" s="15"/>
      <c r="Q186" s="13"/>
      <c r="R186" s="15"/>
      <c r="S186" s="15"/>
      <c r="T186" s="28"/>
      <c r="U186" s="13"/>
      <c r="V186" s="15"/>
      <c r="Y186" s="186"/>
      <c r="Z186" s="2"/>
      <c r="AA186" s="34">
        <f>$F$15</f>
      </c>
      <c r="AB186" s="28"/>
      <c r="AC186" s="15"/>
      <c r="AD186" s="15"/>
      <c r="AF186" s="180"/>
      <c r="AG186" s="15"/>
      <c r="AH186" s="2"/>
      <c r="AI186" s="45"/>
      <c r="AJ186" s="39"/>
      <c r="AK186" s="13"/>
      <c r="AL186" s="15"/>
      <c r="AM186" s="45"/>
      <c r="AN186" s="15"/>
      <c r="AO186" s="13"/>
      <c r="AP186" s="15"/>
      <c r="AQ186" s="45"/>
      <c r="AR186" s="15"/>
      <c r="AS186" s="13"/>
      <c r="AT186" s="15"/>
      <c r="AU186" s="45"/>
      <c r="AV186" s="15"/>
      <c r="AW186" s="13"/>
      <c r="AX186" s="15"/>
      <c r="AY186" s="45"/>
      <c r="AZ186" s="35"/>
      <c r="BA186" s="13"/>
      <c r="BB186" s="15"/>
      <c r="BC186" s="45"/>
      <c r="BD186" s="35"/>
      <c r="BE186" s="14"/>
      <c r="BF186" s="41">
        <f t="shared" ref="BF186:BG186" si="651">K186+O186+S186+W186+AA186+AE186+AI186+AM186+AQ186+AU186+AY186+BC186</f>
        <v>0</v>
      </c>
      <c r="BG186" s="34">
        <f t="shared" si="651"/>
        <v>0</v>
      </c>
      <c r="BH186" s="35">
        <f t="shared" si="632"/>
        <v>0</v>
      </c>
      <c r="BK186" s="2" t="b">
        <f>H186='2020'!BH186</f>
        <v>1</v>
      </c>
    </row>
    <row r="187" ht="14.25" customHeight="1" hidden="1" spans="1:63" x14ac:dyDescent="0.25">
      <c r="A187" s="243" t="s">
        <v>117</v>
      </c>
      <c r="B187" s="21"/>
      <c r="C187" s="22" t="s">
        <v>53</v>
      </c>
      <c r="D187" s="21"/>
      <c r="E187" s="22"/>
      <c r="F187" s="20"/>
      <c r="G187" s="23"/>
      <c r="H187" s="51">
        <f>SUM(H179:H186)</f>
        <v>2386.1</v>
      </c>
      <c r="I187" s="52"/>
      <c r="J187" s="53"/>
      <c r="K187" s="51">
        <f t="shared" ref="K187:L187" si="652">SUM(K179:K186)</f>
        <v>0</v>
      </c>
      <c r="L187" s="68">
        <f t="shared" si="652"/>
        <v>0</v>
      </c>
      <c r="M187" s="52"/>
      <c r="N187" s="53"/>
      <c r="O187" s="51">
        <f t="shared" ref="O187:P187" si="653">SUM(O179:O186)</f>
        <v>0</v>
      </c>
      <c r="P187" s="68">
        <f t="shared" si="653"/>
        <v>0</v>
      </c>
      <c r="Q187" s="52"/>
      <c r="R187" s="53"/>
      <c r="S187" s="51">
        <f t="shared" ref="S187:T187" si="654">SUM(S179:S186)</f>
        <v>0</v>
      </c>
      <c r="T187" s="68">
        <f t="shared" si="654"/>
        <v>0</v>
      </c>
      <c r="U187" s="52"/>
      <c r="V187" s="53"/>
      <c r="W187" s="51">
        <f t="shared" ref="W187:X187" si="655">SUM(W179:W186)</f>
        <v>0</v>
      </c>
      <c r="X187" s="68">
        <f t="shared" si="655"/>
        <v>0</v>
      </c>
      <c r="Y187" s="300"/>
      <c r="Z187" s="301"/>
      <c r="AA187" s="51">
        <f t="shared" ref="AA187:AB187" si="656">SUM(AA179:AA186)</f>
        <v>13</v>
      </c>
      <c r="AB187" s="68">
        <f t="shared" si="656"/>
        <v>2500</v>
      </c>
      <c r="AC187" s="53"/>
      <c r="AD187" s="53"/>
      <c r="AE187" s="51">
        <f t="shared" ref="AE187:AF187" si="657">SUM(AE179:AE186)</f>
        <v>4400</v>
      </c>
      <c r="AF187" s="68">
        <f t="shared" si="657"/>
        <v>4513.9</v>
      </c>
      <c r="AG187" s="53"/>
      <c r="AH187" s="301"/>
      <c r="AI187" s="183">
        <f t="shared" ref="AI187:AJ187" si="658">SUM(AI179:AI186)</f>
        <v>2.7</v>
      </c>
      <c r="AJ187" s="51">
        <f t="shared" si="658"/>
        <v>2.7</v>
      </c>
      <c r="AK187" s="52"/>
      <c r="AL187" s="53"/>
      <c r="AM187" s="183">
        <f t="shared" ref="AM187:AN187" si="659">SUM(AM179:AM186)</f>
        <v>20.35</v>
      </c>
      <c r="AN187" s="51">
        <f t="shared" si="659"/>
        <v>0</v>
      </c>
      <c r="AO187" s="52"/>
      <c r="AP187" s="53"/>
      <c r="AQ187" s="183">
        <f t="shared" ref="AQ187:AR187" si="660">SUM(AQ179:AQ186)</f>
        <v>0</v>
      </c>
      <c r="AR187" s="51">
        <f t="shared" si="660"/>
        <v>0</v>
      </c>
      <c r="AS187" s="52"/>
      <c r="AT187" s="53"/>
      <c r="AU187" s="183">
        <f t="shared" ref="AU187:AV187" si="661">SUM(AU179:AU186)</f>
        <v>0</v>
      </c>
      <c r="AV187" s="68">
        <f t="shared" si="661"/>
        <v>0</v>
      </c>
      <c r="AW187" s="52"/>
      <c r="AX187" s="53"/>
      <c r="AY187" s="183">
        <f t="shared" ref="AY187:AZ187" si="662">SUM(AY179:AY186)</f>
        <v>0</v>
      </c>
      <c r="AZ187" s="68">
        <f t="shared" si="662"/>
        <v>0</v>
      </c>
      <c r="BA187" s="52"/>
      <c r="BB187" s="53"/>
      <c r="BC187" s="183">
        <f t="shared" ref="BC187:BD187" si="663">SUM(BC179:BC186)</f>
        <v>0</v>
      </c>
      <c r="BD187" s="68">
        <f t="shared" si="663"/>
        <v>0</v>
      </c>
      <c r="BE187" s="69"/>
      <c r="BF187" s="70">
        <f t="shared" ref="BF187:BH187" si="664">SUM(BF179:BF186)</f>
        <v>4436.05</v>
      </c>
      <c r="BG187" s="71">
        <f t="shared" si="664"/>
        <v>7016.6</v>
      </c>
      <c r="BH187" s="72">
        <f t="shared" si="664"/>
        <v>-194.45</v>
      </c>
      <c r="BI187" s="34">
        <f>H187+BF187-BG187</f>
        <v>-194.45</v>
      </c>
      <c r="BJ187" s="34">
        <f>BH187-BI187</f>
        <v>0</v>
      </c>
      <c r="BK187" s="2" t="b">
        <f>H187='2020'!BH187</f>
        <v>1</v>
      </c>
    </row>
    <row r="188" ht="14.25" customHeight="1" hidden="1" spans="1:63" x14ac:dyDescent="0.25">
      <c r="A188" s="89" t="s">
        <v>117</v>
      </c>
      <c r="B188" s="14"/>
      <c r="D188" s="14" t="s">
        <v>379</v>
      </c>
      <c r="F188" s="13"/>
      <c r="G188" s="28"/>
      <c r="H188" s="34">
        <f>'2020'!BH188</f>
        <v>0</v>
      </c>
      <c r="I188" s="13"/>
      <c r="J188" s="15"/>
      <c r="K188" s="15"/>
      <c r="L188" s="28"/>
      <c r="M188" s="13"/>
      <c r="N188" s="15"/>
      <c r="Q188" s="13"/>
      <c r="R188" s="15"/>
      <c r="S188" s="15"/>
      <c r="T188" s="28"/>
      <c r="U188" s="13"/>
      <c r="V188" s="15"/>
      <c r="Y188" s="186"/>
      <c r="Z188" s="2"/>
      <c r="AA188" s="15"/>
      <c r="AB188" s="28"/>
      <c r="AC188" s="15"/>
      <c r="AD188" s="15"/>
      <c r="AG188" s="15"/>
      <c r="AH188" s="2"/>
      <c r="AI188" s="45"/>
      <c r="AJ188" s="15"/>
      <c r="AK188" s="13"/>
      <c r="AM188" s="45"/>
      <c r="AO188" s="13"/>
      <c r="AQ188" s="45"/>
      <c r="AS188" s="13"/>
      <c r="AU188" s="45"/>
      <c r="AW188" s="13"/>
      <c r="AY188" s="45"/>
      <c r="AZ188" s="28"/>
      <c r="BA188" s="13"/>
      <c r="BB188" s="15"/>
      <c r="BC188" s="45"/>
      <c r="BD188" s="28"/>
      <c r="BE188" s="14"/>
      <c r="BF188" s="41">
        <f t="shared" ref="BF188:BG188" si="665">K188+O188+S188+W188+AA188+AE188+AI188+AM188+AQ188+AU188+AY188+BC188</f>
        <v>0</v>
      </c>
      <c r="BG188" s="34">
        <f t="shared" si="665"/>
        <v>0</v>
      </c>
      <c r="BH188" s="35">
        <f t="shared" ref="BH188:BH195" si="666">H188+BF188-BG188</f>
        <v>0</v>
      </c>
      <c r="BK188" s="2" t="b">
        <f>H188='2020'!BH188</f>
        <v>1</v>
      </c>
    </row>
    <row r="189" ht="14.25" customHeight="1" hidden="1" spans="1:63" x14ac:dyDescent="0.25">
      <c r="A189" s="89" t="s">
        <v>117</v>
      </c>
      <c r="B189" s="30">
        <v>4</v>
      </c>
      <c r="C189" s="2" t="s">
        <v>118</v>
      </c>
      <c r="D189" s="14" t="s">
        <v>44</v>
      </c>
      <c r="E189" s="2" t="s">
        <v>45</v>
      </c>
      <c r="F189" s="41">
        <v>2.5</v>
      </c>
      <c r="G189" s="35">
        <v>2.6</v>
      </c>
      <c r="H189" s="34">
        <f>'2020'!BH189</f>
        <v>0</v>
      </c>
      <c r="I189" s="13">
        <v>0</v>
      </c>
      <c r="J189" s="15">
        <f>I189-'2020'!BA189</f>
        <v>0</v>
      </c>
      <c r="K189" s="34">
        <f>J189*$F$8</f>
        <v>0</v>
      </c>
      <c r="L189" s="28"/>
      <c r="M189" s="13">
        <v>0</v>
      </c>
      <c r="N189" s="15">
        <f t="shared" ref="N189:N190" si="667">M189-I189</f>
        <v>0</v>
      </c>
      <c r="O189" s="34">
        <f>N189*$F$8</f>
        <v>0</v>
      </c>
      <c r="Q189" s="13">
        <v>0</v>
      </c>
      <c r="R189" s="15">
        <f t="shared" ref="R189:R190" si="668">Q189-M189</f>
        <v>0</v>
      </c>
      <c r="S189" s="34">
        <f>R189*$F$8</f>
        <v>0</v>
      </c>
      <c r="T189" s="28"/>
      <c r="U189" s="13">
        <v>0</v>
      </c>
      <c r="V189" s="15">
        <f t="shared" ref="V189:V190" si="669">U189-Q189</f>
        <v>0</v>
      </c>
      <c r="W189" s="34">
        <f>V189*$F$8</f>
        <v>0</v>
      </c>
      <c r="X189" s="34"/>
      <c r="Y189" s="186"/>
      <c r="Z189" s="2">
        <f t="shared" ref="Z189:Z190" si="670">Y189-U189</f>
        <v>0</v>
      </c>
      <c r="AA189" s="34">
        <f>Z189*$F$8</f>
        <v>0</v>
      </c>
      <c r="AB189" s="32"/>
      <c r="AC189" s="15"/>
      <c r="AD189" s="15">
        <f t="shared" ref="AD189:AD190" si="671">AC189-Y189</f>
        <v>0</v>
      </c>
      <c r="AE189" s="180">
        <f>AD189*$F$8</f>
        <v>0</v>
      </c>
      <c r="AF189" s="34"/>
      <c r="AG189" s="15"/>
      <c r="AH189" s="2">
        <f t="shared" ref="AH189:AH190" si="672">AG189-AC189</f>
        <v>0</v>
      </c>
      <c r="AI189" s="45">
        <f>AH189*$G$8</f>
        <v>0</v>
      </c>
      <c r="AJ189" s="2"/>
      <c r="AK189" s="13"/>
      <c r="AL189" s="15">
        <f t="shared" ref="AL189:AL190" si="673">AK189-AG189</f>
        <v>0</v>
      </c>
      <c r="AM189" s="45">
        <f>AL189*$G$8</f>
        <v>0</v>
      </c>
      <c r="AN189" s="15"/>
      <c r="AO189" s="13"/>
      <c r="AP189" s="15">
        <f t="shared" ref="AP189:AP190" si="674">AO189-AK189</f>
        <v>0</v>
      </c>
      <c r="AQ189" s="45">
        <f>AP189*$G$8</f>
        <v>0</v>
      </c>
      <c r="AR189" s="15"/>
      <c r="AS189" s="13"/>
      <c r="AT189" s="15">
        <f t="shared" ref="AT189:AT190" si="675">AS189-AO189</f>
        <v>0</v>
      </c>
      <c r="AU189" s="45">
        <f t="shared" ref="AU189:AU190" si="676">AT189*$G$8</f>
        <v>0</v>
      </c>
      <c r="AV189" s="15"/>
      <c r="AW189" s="13"/>
      <c r="AX189" s="15">
        <f t="shared" ref="AX189:AX190" si="677">AW189-AS189</f>
        <v>0</v>
      </c>
      <c r="AY189" s="45">
        <f>AX189*$G$8</f>
        <v>0</v>
      </c>
      <c r="AZ189" s="208"/>
      <c r="BA189" s="13"/>
      <c r="BB189" s="15">
        <f t="shared" ref="BB189:BB190" si="678">BA189-AW189</f>
        <v>0</v>
      </c>
      <c r="BC189" s="45">
        <f>BB189*$G$8</f>
        <v>0</v>
      </c>
      <c r="BD189" s="208"/>
      <c r="BE189" s="40">
        <f t="shared" ref="BE189:BG189" si="679">J189+N189+R189+V189+Z189+AD189+AH189+AL189+AP189+AT189+AX189+BB189</f>
        <v>0</v>
      </c>
      <c r="BF189" s="41">
        <f t="shared" si="679"/>
        <v>0</v>
      </c>
      <c r="BG189" s="34">
        <f t="shared" si="679"/>
        <v>0</v>
      </c>
      <c r="BH189" s="35">
        <f t="shared" si="666"/>
        <v>0</v>
      </c>
      <c r="BK189" s="2" t="b">
        <f>H189='2020'!BH189</f>
        <v>1</v>
      </c>
    </row>
    <row r="190" ht="14.25" customHeight="1" hidden="1" spans="1:63" x14ac:dyDescent="0.25">
      <c r="A190" s="89" t="s">
        <v>117</v>
      </c>
      <c r="B190" s="14"/>
      <c r="C190" s="2" t="s">
        <v>75</v>
      </c>
      <c r="D190" s="14" t="s">
        <v>47</v>
      </c>
      <c r="E190" s="2" t="s">
        <v>48</v>
      </c>
      <c r="F190" s="13">
        <v>18.56</v>
      </c>
      <c r="G190" s="35">
        <v>19.46</v>
      </c>
      <c r="H190" s="34">
        <f>'2020'!BH190</f>
        <v>0</v>
      </c>
      <c r="I190" s="13">
        <v>101</v>
      </c>
      <c r="J190" s="15"/>
      <c r="K190" s="15"/>
      <c r="L190" s="28"/>
      <c r="M190" s="13">
        <v>101</v>
      </c>
      <c r="N190" s="15">
        <f t="shared" si="667"/>
        <v>0</v>
      </c>
      <c r="Q190" s="13">
        <v>101</v>
      </c>
      <c r="R190" s="15">
        <f t="shared" si="668"/>
        <v>0</v>
      </c>
      <c r="S190" s="15"/>
      <c r="T190" s="28"/>
      <c r="U190" s="13">
        <v>101</v>
      </c>
      <c r="V190" s="15">
        <f t="shared" si="669"/>
        <v>0</v>
      </c>
      <c r="W190" s="34">
        <f>V190*$F$10</f>
        <v>0</v>
      </c>
      <c r="Y190" s="186">
        <v>101</v>
      </c>
      <c r="Z190" s="2">
        <f t="shared" si="670"/>
        <v>0</v>
      </c>
      <c r="AA190" s="34">
        <f>Z190*$F$10</f>
        <v>0</v>
      </c>
      <c r="AB190" s="32"/>
      <c r="AC190" s="13">
        <v>102</v>
      </c>
      <c r="AD190" s="15">
        <f t="shared" si="671"/>
        <v>1</v>
      </c>
      <c r="AE190" s="34">
        <f>AD190*$F$10</f>
        <v>19.46</v>
      </c>
      <c r="AF190" s="180">
        <v>19.46</v>
      </c>
      <c r="AG190" s="13">
        <v>102</v>
      </c>
      <c r="AH190" s="2">
        <f t="shared" si="672"/>
        <v>0</v>
      </c>
      <c r="AI190" s="45">
        <f>AH190*$G$10</f>
        <v>0</v>
      </c>
      <c r="AJ190" s="180"/>
      <c r="AK190" s="13">
        <v>102</v>
      </c>
      <c r="AL190" s="15">
        <f t="shared" si="673"/>
        <v>0</v>
      </c>
      <c r="AM190" s="45">
        <f>AL190*$G$10</f>
        <v>0</v>
      </c>
      <c r="AN190" s="15"/>
      <c r="AO190" s="13">
        <v>102</v>
      </c>
      <c r="AP190" s="15">
        <f t="shared" si="674"/>
        <v>0</v>
      </c>
      <c r="AQ190" s="45">
        <f>AP190*$G$10</f>
        <v>0</v>
      </c>
      <c r="AR190" s="15"/>
      <c r="AS190" s="13">
        <v>102</v>
      </c>
      <c r="AT190" s="15">
        <f t="shared" si="675"/>
        <v>0</v>
      </c>
      <c r="AU190" s="45">
        <f t="shared" si="676"/>
        <v>0</v>
      </c>
      <c r="AV190" s="15"/>
      <c r="AW190" s="13">
        <v>102</v>
      </c>
      <c r="AX190" s="15">
        <f t="shared" si="677"/>
        <v>0</v>
      </c>
      <c r="AY190" s="45"/>
      <c r="AZ190" s="208"/>
      <c r="BA190" s="13">
        <v>102</v>
      </c>
      <c r="BB190" s="15">
        <f t="shared" si="678"/>
        <v>0</v>
      </c>
      <c r="BC190" s="45"/>
      <c r="BD190" s="208"/>
      <c r="BE190" s="40">
        <f t="shared" ref="BE190:BG190" si="680">J190+N190+R190+V190+Z190+AD190+AH190+AL190+AP190+AT190+AX190+BB190</f>
        <v>1</v>
      </c>
      <c r="BF190" s="41">
        <f t="shared" si="680"/>
        <v>19.46</v>
      </c>
      <c r="BG190" s="34">
        <f t="shared" si="680"/>
        <v>19.46</v>
      </c>
      <c r="BH190" s="35">
        <f t="shared" si="666"/>
        <v>0</v>
      </c>
      <c r="BK190" s="2" t="b">
        <f>H190='2020'!BH190</f>
        <v>1</v>
      </c>
    </row>
    <row r="191" ht="14.25" customHeight="1" hidden="1" spans="1:63" x14ac:dyDescent="0.25">
      <c r="A191" s="89" t="s">
        <v>117</v>
      </c>
      <c r="B191" s="14"/>
      <c r="C191" s="2" t="s">
        <v>119</v>
      </c>
      <c r="D191" s="14" t="s">
        <v>47</v>
      </c>
      <c r="E191" s="2" t="s">
        <v>49</v>
      </c>
      <c r="F191" s="41">
        <v>500</v>
      </c>
      <c r="G191" s="35"/>
      <c r="H191" s="34">
        <f>'2020'!BH191</f>
        <v>0</v>
      </c>
      <c r="I191" s="13"/>
      <c r="J191" s="15"/>
      <c r="K191" s="15"/>
      <c r="L191" s="28"/>
      <c r="M191" s="13"/>
      <c r="N191" s="15"/>
      <c r="Q191" s="13"/>
      <c r="R191" s="15"/>
      <c r="S191" s="15"/>
      <c r="T191" s="28"/>
      <c r="U191" s="13"/>
      <c r="V191" s="15"/>
      <c r="Y191" s="186"/>
      <c r="Z191" s="2"/>
      <c r="AA191" s="15"/>
      <c r="AB191" s="32"/>
      <c r="AC191" s="15"/>
      <c r="AD191" s="15"/>
      <c r="AG191" s="15"/>
      <c r="AH191" s="2"/>
      <c r="AI191" s="45"/>
      <c r="AJ191" s="15"/>
      <c r="AK191" s="13"/>
      <c r="AL191" s="15"/>
      <c r="AM191" s="45"/>
      <c r="AN191" s="15"/>
      <c r="AO191" s="13"/>
      <c r="AP191" s="15"/>
      <c r="AQ191" s="45"/>
      <c r="AR191" s="15"/>
      <c r="AS191" s="13"/>
      <c r="AT191" s="15"/>
      <c r="AU191" s="45"/>
      <c r="AV191" s="15"/>
      <c r="AW191" s="13"/>
      <c r="AX191" s="15"/>
      <c r="AY191" s="45"/>
      <c r="AZ191" s="28"/>
      <c r="BA191" s="13"/>
      <c r="BB191" s="15"/>
      <c r="BC191" s="45"/>
      <c r="BD191" s="28"/>
      <c r="BE191" s="14"/>
      <c r="BF191" s="41">
        <f t="shared" ref="BF191:BG191" si="681">K191+O191+S191+W191+AA191+AE191+AI191+AM191+AQ191+AU191+AY191+BC191</f>
        <v>0</v>
      </c>
      <c r="BG191" s="34">
        <f t="shared" si="681"/>
        <v>0</v>
      </c>
      <c r="BH191" s="35">
        <f t="shared" si="666"/>
        <v>0</v>
      </c>
      <c r="BK191" s="2" t="b">
        <f>H191='2020'!BH191</f>
        <v>1</v>
      </c>
    </row>
    <row r="192" ht="14.25" customHeight="1" hidden="1" spans="1:63" x14ac:dyDescent="0.25">
      <c r="A192" s="89" t="s">
        <v>117</v>
      </c>
      <c r="B192" s="14"/>
      <c r="C192" s="2" t="s">
        <v>391</v>
      </c>
      <c r="D192" s="14" t="s">
        <v>50</v>
      </c>
      <c r="E192" s="2" t="s">
        <v>49</v>
      </c>
      <c r="F192" s="41">
        <v>1100</v>
      </c>
      <c r="G192" s="35"/>
      <c r="H192" s="34">
        <f>'2020'!BH192</f>
        <v>0</v>
      </c>
      <c r="I192" s="13"/>
      <c r="J192" s="15"/>
      <c r="K192" s="15"/>
      <c r="L192" s="28"/>
      <c r="M192" s="13"/>
      <c r="N192" s="15"/>
      <c r="Q192" s="13"/>
      <c r="R192" s="15"/>
      <c r="S192" s="15"/>
      <c r="T192" s="28"/>
      <c r="U192" s="13"/>
      <c r="V192" s="15"/>
      <c r="Y192" s="186"/>
      <c r="Z192" s="2"/>
      <c r="AA192" s="15"/>
      <c r="AB192" s="32"/>
      <c r="AC192" s="15"/>
      <c r="AD192" s="15"/>
      <c r="AE192" s="34">
        <f>B189*$F$12</f>
        <v>4400</v>
      </c>
      <c r="AF192" s="180">
        <v>4400</v>
      </c>
      <c r="AG192" s="15"/>
      <c r="AH192" s="2"/>
      <c r="AI192" s="45"/>
      <c r="AJ192" s="1"/>
      <c r="AK192" s="13"/>
      <c r="AL192" s="15"/>
      <c r="AM192" s="45"/>
      <c r="AN192" s="15"/>
      <c r="AO192" s="13"/>
      <c r="AP192" s="15"/>
      <c r="AQ192" s="45"/>
      <c r="AR192" s="15"/>
      <c r="AS192" s="13"/>
      <c r="AT192" s="15"/>
      <c r="AU192" s="45"/>
      <c r="AV192" s="15"/>
      <c r="AW192" s="13"/>
      <c r="AX192" s="15"/>
      <c r="AY192" s="45"/>
      <c r="AZ192" s="28"/>
      <c r="BA192" s="13"/>
      <c r="BB192" s="15"/>
      <c r="BC192" s="45"/>
      <c r="BD192" s="28"/>
      <c r="BE192" s="14"/>
      <c r="BF192" s="41">
        <f t="shared" ref="BF192:BG192" si="682">K192+O192+S192+W192+AA192+AE192+AI192+AM192+AQ192+AU192+AY192+BC192</f>
        <v>4400</v>
      </c>
      <c r="BG192" s="34">
        <f t="shared" si="682"/>
        <v>4400</v>
      </c>
      <c r="BH192" s="35">
        <f t="shared" si="666"/>
        <v>0</v>
      </c>
      <c r="BK192" s="2" t="b">
        <f>H192='2020'!BH192</f>
        <v>1</v>
      </c>
    </row>
    <row r="193" ht="14.25" customHeight="1" hidden="1" spans="1:63" x14ac:dyDescent="0.25">
      <c r="A193" s="89" t="s">
        <v>117</v>
      </c>
      <c r="B193" s="14"/>
      <c r="C193" s="2" t="s">
        <v>392</v>
      </c>
      <c r="D193" s="14" t="s">
        <v>51</v>
      </c>
      <c r="E193" s="2" t="s">
        <v>39</v>
      </c>
      <c r="F193" s="41">
        <v>500</v>
      </c>
      <c r="G193" s="35"/>
      <c r="H193" s="34">
        <f>'2020'!BH193</f>
        <v>500</v>
      </c>
      <c r="I193" s="13"/>
      <c r="J193" s="15"/>
      <c r="K193" s="15"/>
      <c r="L193" s="28"/>
      <c r="M193" s="13"/>
      <c r="N193" s="15"/>
      <c r="Q193" s="13"/>
      <c r="R193" s="15"/>
      <c r="S193" s="15"/>
      <c r="T193" s="28"/>
      <c r="U193" s="13"/>
      <c r="V193" s="15"/>
      <c r="Y193" s="186"/>
      <c r="Z193" s="2"/>
      <c r="AA193" s="15"/>
      <c r="AB193" s="32">
        <v>500</v>
      </c>
      <c r="AC193" s="15"/>
      <c r="AD193" s="15"/>
      <c r="AE193" s="182"/>
      <c r="AF193" s="34"/>
      <c r="AG193" s="15"/>
      <c r="AH193" s="2"/>
      <c r="AI193" s="45"/>
      <c r="AJ193" s="15"/>
      <c r="AK193" s="13"/>
      <c r="AL193" s="15"/>
      <c r="AM193" s="45"/>
      <c r="AN193" s="15"/>
      <c r="AO193" s="13"/>
      <c r="AP193" s="15"/>
      <c r="AQ193" s="180"/>
      <c r="AR193" s="15"/>
      <c r="AS193" s="13"/>
      <c r="AT193" s="15"/>
      <c r="AU193" s="45"/>
      <c r="AV193" s="15"/>
      <c r="AW193" s="13"/>
      <c r="AX193" s="15"/>
      <c r="AY193" s="45"/>
      <c r="AZ193" s="28"/>
      <c r="BA193" s="13"/>
      <c r="BB193" s="15"/>
      <c r="BC193" s="45"/>
      <c r="BD193" s="28"/>
      <c r="BE193" s="14"/>
      <c r="BF193" s="41">
        <f t="shared" ref="BF193:BG193" si="683">K193+O193+S193+W193+AA193+AE193+AI193+AM193+AQ193+AU193+AY193+BC193</f>
        <v>0</v>
      </c>
      <c r="BG193" s="34">
        <f t="shared" si="683"/>
        <v>500</v>
      </c>
      <c r="BH193" s="35">
        <f t="shared" si="666"/>
        <v>0</v>
      </c>
      <c r="BK193" s="2" t="b">
        <f>H193='2020'!BH193</f>
        <v>1</v>
      </c>
    </row>
    <row r="194" ht="14.25" customHeight="1" hidden="1" spans="1:63" x14ac:dyDescent="0.25">
      <c r="A194" s="89" t="s">
        <v>117</v>
      </c>
      <c r="B194" s="14"/>
      <c r="D194" s="14" t="s">
        <v>51</v>
      </c>
      <c r="E194" s="2" t="s">
        <v>49</v>
      </c>
      <c r="F194" s="41">
        <v>500</v>
      </c>
      <c r="G194" s="35"/>
      <c r="H194" s="34">
        <f>'2020'!BH194</f>
        <v>2000</v>
      </c>
      <c r="I194" s="13"/>
      <c r="J194" s="15"/>
      <c r="K194" s="15"/>
      <c r="L194" s="28"/>
      <c r="M194" s="13"/>
      <c r="N194" s="15"/>
      <c r="Q194" s="13"/>
      <c r="R194" s="15"/>
      <c r="S194" s="15"/>
      <c r="T194" s="28"/>
      <c r="U194" s="13"/>
      <c r="V194" s="15"/>
      <c r="Y194" s="186"/>
      <c r="Z194" s="2"/>
      <c r="AA194" s="15"/>
      <c r="AB194" s="32">
        <v>2000</v>
      </c>
      <c r="AC194" s="15"/>
      <c r="AD194" s="15"/>
      <c r="AE194" s="34"/>
      <c r="AF194" s="34"/>
      <c r="AG194" s="15"/>
      <c r="AH194" s="2"/>
      <c r="AI194" s="45"/>
      <c r="AJ194" s="15"/>
      <c r="AK194" s="13"/>
      <c r="AL194" s="15"/>
      <c r="AM194" s="45"/>
      <c r="AN194" s="15"/>
      <c r="AO194" s="13"/>
      <c r="AP194" s="15"/>
      <c r="AQ194" s="180">
        <f>B189*$F$14</f>
        <v>0</v>
      </c>
      <c r="AR194" s="15"/>
      <c r="AS194" s="13"/>
      <c r="AT194" s="15"/>
      <c r="AU194" s="45"/>
      <c r="AV194" s="15"/>
      <c r="AW194" s="13"/>
      <c r="AX194" s="15"/>
      <c r="AY194" s="45"/>
      <c r="AZ194" s="28"/>
      <c r="BA194" s="13"/>
      <c r="BB194" s="15"/>
      <c r="BC194" s="45"/>
      <c r="BD194" s="28"/>
      <c r="BE194" s="14"/>
      <c r="BF194" s="41">
        <f t="shared" ref="BF194:BG194" si="684">K194+O194+S194+W194+AA194+AE194+AI194+AM194+AQ194+AU194+AY194+BC194</f>
        <v>0</v>
      </c>
      <c r="BG194" s="34">
        <f t="shared" si="684"/>
        <v>2000</v>
      </c>
      <c r="BH194" s="35">
        <f t="shared" si="666"/>
        <v>0</v>
      </c>
      <c r="BK194" s="2" t="b">
        <f>H194='2020'!BH194</f>
        <v>1</v>
      </c>
    </row>
    <row r="195" ht="14.25" customHeight="1" hidden="1" spans="1:63" x14ac:dyDescent="0.25">
      <c r="A195" s="89" t="s">
        <v>117</v>
      </c>
      <c r="B195" s="14"/>
      <c r="D195" s="14" t="s">
        <v>52</v>
      </c>
      <c r="E195" s="2" t="s">
        <v>39</v>
      </c>
      <c r="F195" s="41">
        <v>500</v>
      </c>
      <c r="G195" s="35"/>
      <c r="H195" s="34">
        <f>'2020'!BH195</f>
        <v>0</v>
      </c>
      <c r="I195" s="13"/>
      <c r="J195" s="15"/>
      <c r="K195" s="15"/>
      <c r="L195" s="28"/>
      <c r="M195" s="13"/>
      <c r="N195" s="15"/>
      <c r="Q195" s="13"/>
      <c r="R195" s="15"/>
      <c r="S195" s="15"/>
      <c r="T195" s="28"/>
      <c r="U195" s="13"/>
      <c r="V195" s="15"/>
      <c r="Y195" s="186"/>
      <c r="Z195" s="2"/>
      <c r="AA195" s="34">
        <f>$F$15</f>
      </c>
      <c r="AB195" s="28"/>
      <c r="AC195" s="15"/>
      <c r="AD195" s="15"/>
      <c r="AF195" s="180"/>
      <c r="AG195" s="15"/>
      <c r="AH195" s="2"/>
      <c r="AI195" s="45"/>
      <c r="AJ195" s="39"/>
      <c r="AK195" s="13"/>
      <c r="AL195" s="15"/>
      <c r="AM195" s="45"/>
      <c r="AN195" s="15"/>
      <c r="AO195" s="13"/>
      <c r="AP195" s="15"/>
      <c r="AQ195" s="45"/>
      <c r="AR195" s="15"/>
      <c r="AS195" s="13"/>
      <c r="AT195" s="15"/>
      <c r="AU195" s="45"/>
      <c r="AV195" s="15"/>
      <c r="AW195" s="13"/>
      <c r="AX195" s="15"/>
      <c r="AY195" s="45"/>
      <c r="AZ195" s="35"/>
      <c r="BA195" s="13"/>
      <c r="BB195" s="15"/>
      <c r="BC195" s="45"/>
      <c r="BD195" s="35"/>
      <c r="BE195" s="14"/>
      <c r="BF195" s="41">
        <f t="shared" ref="BF195:BG195" si="685">K195+O195+S195+W195+AA195+AE195+AI195+AM195+AQ195+AU195+AY195+BC195</f>
        <v>0</v>
      </c>
      <c r="BG195" s="34">
        <f t="shared" si="685"/>
        <v>0</v>
      </c>
      <c r="BH195" s="35">
        <f t="shared" si="666"/>
        <v>0</v>
      </c>
      <c r="BK195" s="2" t="b">
        <f>H195='2020'!BH195</f>
        <v>1</v>
      </c>
    </row>
    <row r="196" ht="14.25" customHeight="1" hidden="1" spans="1:63" x14ac:dyDescent="0.25">
      <c r="A196" s="243" t="s">
        <v>117</v>
      </c>
      <c r="B196" s="21"/>
      <c r="C196" s="22" t="s">
        <v>53</v>
      </c>
      <c r="D196" s="21"/>
      <c r="E196" s="22"/>
      <c r="F196" s="20"/>
      <c r="G196" s="23"/>
      <c r="H196" s="51">
        <f>SUM(H188:H195)</f>
        <v>2500</v>
      </c>
      <c r="I196" s="52"/>
      <c r="J196" s="53"/>
      <c r="K196" s="51">
        <f t="shared" ref="K196:L196" si="686">SUM(K188:K195)</f>
        <v>0</v>
      </c>
      <c r="L196" s="68">
        <f t="shared" si="686"/>
        <v>0</v>
      </c>
      <c r="M196" s="52"/>
      <c r="N196" s="53"/>
      <c r="O196" s="51">
        <f t="shared" ref="O196:P196" si="687">SUM(O188:O195)</f>
        <v>0</v>
      </c>
      <c r="P196" s="68">
        <f t="shared" si="687"/>
        <v>0</v>
      </c>
      <c r="Q196" s="52"/>
      <c r="R196" s="53"/>
      <c r="S196" s="51">
        <f t="shared" ref="S196:T196" si="688">SUM(S188:S195)</f>
        <v>0</v>
      </c>
      <c r="T196" s="68">
        <f t="shared" si="688"/>
        <v>0</v>
      </c>
      <c r="U196" s="52"/>
      <c r="V196" s="53"/>
      <c r="W196" s="51">
        <f t="shared" ref="W196:X196" si="689">SUM(W188:W195)</f>
        <v>0</v>
      </c>
      <c r="X196" s="68">
        <f t="shared" si="689"/>
        <v>0</v>
      </c>
      <c r="Y196" s="300"/>
      <c r="Z196" s="301"/>
      <c r="AA196" s="51">
        <f t="shared" ref="AA196:AB196" si="690">SUM(AA188:AA195)</f>
        <v>0</v>
      </c>
      <c r="AB196" s="68">
        <f t="shared" si="690"/>
        <v>2500</v>
      </c>
      <c r="AC196" s="53"/>
      <c r="AD196" s="53"/>
      <c r="AE196" s="51">
        <f t="shared" ref="AE196:AF196" si="691">SUM(AE188:AE195)</f>
        <v>4419.46</v>
      </c>
      <c r="AF196" s="68">
        <f t="shared" si="691"/>
        <v>4419.46</v>
      </c>
      <c r="AG196" s="53"/>
      <c r="AH196" s="301"/>
      <c r="AI196" s="183">
        <f t="shared" ref="AI196:AJ196" si="692">SUM(AI188:AI195)</f>
        <v>0</v>
      </c>
      <c r="AJ196" s="51">
        <f t="shared" si="692"/>
        <v>0</v>
      </c>
      <c r="AK196" s="52"/>
      <c r="AL196" s="53"/>
      <c r="AM196" s="183">
        <f t="shared" ref="AM196:AN196" si="693">SUM(AM188:AM195)</f>
        <v>0</v>
      </c>
      <c r="AN196" s="51">
        <f t="shared" si="693"/>
        <v>0</v>
      </c>
      <c r="AO196" s="52"/>
      <c r="AP196" s="53"/>
      <c r="AQ196" s="183">
        <f t="shared" ref="AQ196:AR196" si="694">SUM(AQ188:AQ195)</f>
        <v>0</v>
      </c>
      <c r="AR196" s="51">
        <f t="shared" si="694"/>
        <v>0</v>
      </c>
      <c r="AS196" s="52"/>
      <c r="AT196" s="53"/>
      <c r="AU196" s="183">
        <f t="shared" ref="AU196:AV196" si="695">SUM(AU188:AU195)</f>
        <v>0</v>
      </c>
      <c r="AV196" s="68">
        <f t="shared" si="695"/>
        <v>0</v>
      </c>
      <c r="AW196" s="52"/>
      <c r="AX196" s="53"/>
      <c r="AY196" s="183">
        <f t="shared" ref="AY196:AZ196" si="696">SUM(AY188:AY195)</f>
        <v>0</v>
      </c>
      <c r="AZ196" s="68">
        <f t="shared" si="696"/>
        <v>0</v>
      </c>
      <c r="BA196" s="52"/>
      <c r="BB196" s="53"/>
      <c r="BC196" s="183">
        <f t="shared" ref="BC196:BD196" si="697">SUM(BC188:BC195)</f>
        <v>0</v>
      </c>
      <c r="BD196" s="68">
        <f t="shared" si="697"/>
        <v>0</v>
      </c>
      <c r="BE196" s="69"/>
      <c r="BF196" s="70">
        <f t="shared" ref="BF196:BH196" si="698">SUM(BF188:BF195)</f>
        <v>4419.46</v>
      </c>
      <c r="BG196" s="71">
        <f t="shared" si="698"/>
        <v>6919.46</v>
      </c>
      <c r="BH196" s="72">
        <f t="shared" si="698"/>
        <v>0</v>
      </c>
      <c r="BI196" s="34">
        <f>H196+BF196-BG196</f>
        <v>0</v>
      </c>
      <c r="BJ196" s="34">
        <f>BH196-BI196</f>
        <v>0</v>
      </c>
      <c r="BK196" s="2" t="b">
        <f>H196='2020'!BH196</f>
        <v>1</v>
      </c>
    </row>
    <row r="197" ht="14.25" customHeight="1" hidden="1" spans="1:63" x14ac:dyDescent="0.25">
      <c r="A197" s="2">
        <v>21</v>
      </c>
      <c r="B197" s="14"/>
      <c r="C197" s="15"/>
      <c r="D197" s="178" t="s">
        <v>486</v>
      </c>
      <c r="E197" s="15"/>
      <c r="F197" s="13"/>
      <c r="G197" s="28"/>
      <c r="H197" s="34">
        <f>'2020'!BH197</f>
        <v>-0.1</v>
      </c>
      <c r="I197" s="61"/>
      <c r="J197" s="60"/>
      <c r="K197" s="60"/>
      <c r="L197" s="63"/>
      <c r="M197" s="61"/>
      <c r="N197" s="60"/>
      <c r="O197" s="60"/>
      <c r="P197" s="62"/>
      <c r="Q197" s="61"/>
      <c r="R197" s="60"/>
      <c r="S197" s="62"/>
      <c r="T197" s="63"/>
      <c r="U197" s="61"/>
      <c r="V197" s="60"/>
      <c r="W197" s="153"/>
      <c r="X197" s="34"/>
      <c r="Y197" s="302"/>
      <c r="Z197" s="303"/>
      <c r="AA197" s="62"/>
      <c r="AB197" s="63"/>
      <c r="AC197" s="60"/>
      <c r="AD197" s="60"/>
      <c r="AE197" s="62"/>
      <c r="AF197" s="62"/>
      <c r="AG197" s="60"/>
      <c r="AH197" s="303"/>
      <c r="AI197" s="45"/>
      <c r="AJ197" s="62"/>
      <c r="AK197" s="61"/>
      <c r="AL197" s="60"/>
      <c r="AM197" s="45"/>
      <c r="AN197" s="15"/>
      <c r="AO197" s="61"/>
      <c r="AP197" s="60"/>
      <c r="AQ197" s="45"/>
      <c r="AR197" s="15"/>
      <c r="AS197" s="61"/>
      <c r="AT197" s="60"/>
      <c r="AU197" s="45"/>
      <c r="AV197" s="15"/>
      <c r="AW197" s="61"/>
      <c r="AX197" s="60"/>
      <c r="AY197" s="45"/>
      <c r="AZ197" s="28"/>
      <c r="BA197" s="61"/>
      <c r="BB197" s="15"/>
      <c r="BC197" s="45"/>
      <c r="BD197" s="28"/>
      <c r="BE197" s="65"/>
      <c r="BF197" s="41">
        <f t="shared" ref="BF197:BG197" si="699">K197+O197+S197+W197+AA197+AE197+AI197+AM197+AQ197+AU197+AY197+BC197</f>
        <v>0</v>
      </c>
      <c r="BG197" s="34">
        <f t="shared" si="699"/>
        <v>0</v>
      </c>
      <c r="BH197" s="35">
        <f t="shared" ref="BH197:BH204" si="700">H197+BF197-BG197</f>
        <v>-0.1</v>
      </c>
      <c r="BK197" s="2" t="b">
        <f>H197='2020'!BH197</f>
        <v>1</v>
      </c>
    </row>
    <row r="198" ht="14.25" customHeight="1" hidden="1" spans="1:63" x14ac:dyDescent="0.25">
      <c r="A198" s="147">
        <v>21</v>
      </c>
      <c r="B198" s="14">
        <v>3.96</v>
      </c>
      <c r="C198" s="15" t="s">
        <v>120</v>
      </c>
      <c r="D198" s="14" t="s">
        <v>44</v>
      </c>
      <c r="E198" s="2" t="s">
        <v>45</v>
      </c>
      <c r="F198" s="41">
        <v>2.5</v>
      </c>
      <c r="G198" s="35">
        <v>2.6</v>
      </c>
      <c r="H198" s="34">
        <f>'2020'!BH198</f>
        <v>0</v>
      </c>
      <c r="I198" s="13">
        <v>2216</v>
      </c>
      <c r="J198" s="15">
        <f>I198-'2020'!BA198</f>
        <v>23</v>
      </c>
      <c r="K198" s="34">
        <f>J198*$F$8</f>
        <v>59.8</v>
      </c>
      <c r="L198" s="28"/>
      <c r="M198" s="13">
        <v>2237</v>
      </c>
      <c r="N198" s="15">
        <f t="shared" ref="N198:N199" si="701">M198-I198</f>
        <v>21</v>
      </c>
      <c r="O198" s="34">
        <f>N198*$F$8</f>
        <v>54.6</v>
      </c>
      <c r="P198" s="1">
        <v>57.2</v>
      </c>
      <c r="Q198" s="13">
        <v>2257</v>
      </c>
      <c r="R198" s="15">
        <f t="shared" ref="R198:R199" si="702">Q198-M198</f>
        <v>20</v>
      </c>
      <c r="S198" s="34">
        <f>R198*$F$8</f>
        <v>52</v>
      </c>
      <c r="T198" s="38">
        <v>110</v>
      </c>
      <c r="U198" s="13">
        <v>2280</v>
      </c>
      <c r="V198" s="15">
        <f t="shared" ref="V198:V199" si="703">U198-Q198</f>
        <v>23</v>
      </c>
      <c r="W198" s="34">
        <f>V198*$F$8</f>
        <v>59.8</v>
      </c>
      <c r="X198" s="34"/>
      <c r="Y198" s="186">
        <v>2376</v>
      </c>
      <c r="Z198" s="2">
        <f t="shared" ref="Z198:Z199" si="704">Y198-U198</f>
        <v>96</v>
      </c>
      <c r="AA198" s="34">
        <f>Z198*$F$8</f>
        <v>249.6</v>
      </c>
      <c r="AB198" s="28"/>
      <c r="AC198" s="15">
        <v>2458</v>
      </c>
      <c r="AD198" s="15">
        <f t="shared" ref="AD198:AD199" si="705">AC198-Y198</f>
        <v>82</v>
      </c>
      <c r="AE198" s="180">
        <f>AD198*$F$8</f>
        <v>213.2</v>
      </c>
      <c r="AF198" s="248">
        <v>308.6</v>
      </c>
      <c r="AG198" s="15">
        <v>2542</v>
      </c>
      <c r="AH198" s="2">
        <f t="shared" ref="AH198:AH199" si="706">AG198-AC198</f>
        <v>84</v>
      </c>
      <c r="AI198" s="45">
        <f>AH198*$G$8</f>
        <v>226.8</v>
      </c>
      <c r="AJ198" s="187">
        <v>300</v>
      </c>
      <c r="AK198" s="13">
        <v>2617</v>
      </c>
      <c r="AL198" s="15">
        <f t="shared" ref="AL198:AL199" si="707">AK198-AG198</f>
        <v>75</v>
      </c>
      <c r="AM198" s="45">
        <f>AL198*$G$8</f>
        <v>202.5</v>
      </c>
      <c r="AN198" s="305">
        <v>140</v>
      </c>
      <c r="AO198" s="13">
        <v>2658</v>
      </c>
      <c r="AP198" s="15">
        <f t="shared" ref="AP198:AP199" si="708">AO198-AK198</f>
        <v>41</v>
      </c>
      <c r="AQ198" s="45">
        <f>AP198*$G$8</f>
        <v>110.7</v>
      </c>
      <c r="AR198" s="39">
        <v>202.5</v>
      </c>
      <c r="AS198" s="13">
        <v>2684</v>
      </c>
      <c r="AT198" s="15">
        <f t="shared" ref="AT198:AT199" si="709">AS198-AO198</f>
        <v>26</v>
      </c>
      <c r="AU198" s="45">
        <f t="shared" ref="AU198:AU199" si="710">AT198*$G$8</f>
        <v>70.2</v>
      </c>
      <c r="AV198" s="39">
        <v>203</v>
      </c>
      <c r="AW198" s="13">
        <v>2711</v>
      </c>
      <c r="AX198" s="15">
        <f t="shared" ref="AX198:AX199" si="711">AW198-AS198</f>
        <v>27</v>
      </c>
      <c r="AY198" s="45">
        <f>AX198*$G$8</f>
        <v>72.9</v>
      </c>
      <c r="AZ198" s="246"/>
      <c r="BA198" s="13">
        <v>2726</v>
      </c>
      <c r="BB198" s="15">
        <f t="shared" ref="BB198:BB199" si="712">BA198-AW198</f>
        <v>15</v>
      </c>
      <c r="BC198" s="45">
        <f>BB198*$G$8</f>
        <v>40.5</v>
      </c>
      <c r="BD198" s="246">
        <v>51</v>
      </c>
      <c r="BE198" s="40">
        <f t="shared" ref="BE198:BG198" si="713">J198+N198+R198+V198+Z198+AD198+AH198+AL198+AP198+AT198+AX198+BB198</f>
        <v>533</v>
      </c>
      <c r="BF198" s="41">
        <f t="shared" si="713"/>
        <v>1412.6</v>
      </c>
      <c r="BG198" s="34">
        <f t="shared" si="713"/>
        <v>1372.3</v>
      </c>
      <c r="BH198" s="35">
        <f t="shared" si="700"/>
        <v>40.3</v>
      </c>
      <c r="BK198" s="2" t="b">
        <f>H198='2020'!BH198</f>
        <v>1</v>
      </c>
    </row>
    <row r="199" ht="14.25" customHeight="1" hidden="1" spans="1:63" x14ac:dyDescent="0.25">
      <c r="A199" s="2">
        <v>21</v>
      </c>
      <c r="B199" s="14"/>
      <c r="C199" s="15" t="s">
        <v>121</v>
      </c>
      <c r="D199" s="14" t="s">
        <v>47</v>
      </c>
      <c r="E199" s="2" t="s">
        <v>48</v>
      </c>
      <c r="F199" s="13">
        <v>18.56</v>
      </c>
      <c r="G199" s="35">
        <v>19.46</v>
      </c>
      <c r="H199" s="34">
        <f>'2020'!BH199</f>
        <v>18.88</v>
      </c>
      <c r="I199" s="13">
        <v>52</v>
      </c>
      <c r="J199" s="15"/>
      <c r="K199" s="15"/>
      <c r="L199" s="28"/>
      <c r="M199" s="13">
        <v>52</v>
      </c>
      <c r="N199" s="15">
        <f t="shared" si="701"/>
        <v>0</v>
      </c>
      <c r="Q199" s="13">
        <v>52</v>
      </c>
      <c r="R199" s="15">
        <f t="shared" si="702"/>
        <v>0</v>
      </c>
      <c r="S199" s="15"/>
      <c r="T199" s="28"/>
      <c r="U199" s="13">
        <v>52</v>
      </c>
      <c r="V199" s="15">
        <f t="shared" si="703"/>
        <v>0</v>
      </c>
      <c r="W199" s="180">
        <f>V199*$F$10</f>
        <v>0</v>
      </c>
      <c r="Y199" s="186">
        <v>53</v>
      </c>
      <c r="Z199" s="2">
        <f t="shared" si="704"/>
        <v>1</v>
      </c>
      <c r="AA199" s="34">
        <f>Z199*$F$10</f>
        <v>19.46</v>
      </c>
      <c r="AB199" s="28"/>
      <c r="AC199" s="15">
        <v>56</v>
      </c>
      <c r="AD199" s="15">
        <f t="shared" si="705"/>
        <v>3</v>
      </c>
      <c r="AE199" s="34">
        <f>AD199*$F$10</f>
        <v>58.38</v>
      </c>
      <c r="AF199" s="1">
        <v>38.34</v>
      </c>
      <c r="AG199" s="15">
        <v>57</v>
      </c>
      <c r="AH199" s="2">
        <f t="shared" si="706"/>
        <v>1</v>
      </c>
      <c r="AI199" s="45">
        <f>AH199*$G$10</f>
        <v>20.35</v>
      </c>
      <c r="AJ199" s="304">
        <v>100</v>
      </c>
      <c r="AK199" s="13">
        <v>58</v>
      </c>
      <c r="AL199" s="15">
        <f t="shared" si="707"/>
        <v>1</v>
      </c>
      <c r="AM199" s="45">
        <f>AL199*$G$10</f>
        <v>20.35</v>
      </c>
      <c r="AN199" s="15"/>
      <c r="AO199" s="13">
        <v>60</v>
      </c>
      <c r="AP199" s="15">
        <f t="shared" si="708"/>
        <v>2</v>
      </c>
      <c r="AQ199" s="45">
        <f>AP199*$G$10</f>
        <v>40.7</v>
      </c>
      <c r="AR199" s="39"/>
      <c r="AS199" s="13">
        <v>60</v>
      </c>
      <c r="AT199" s="15">
        <f t="shared" si="709"/>
        <v>0</v>
      </c>
      <c r="AU199" s="45">
        <f t="shared" si="710"/>
        <v>0</v>
      </c>
      <c r="AV199" s="15"/>
      <c r="AW199" s="13">
        <v>60</v>
      </c>
      <c r="AX199" s="15">
        <f t="shared" si="711"/>
        <v>0</v>
      </c>
      <c r="AY199" s="45"/>
      <c r="AZ199" s="208"/>
      <c r="BA199" s="13">
        <v>60</v>
      </c>
      <c r="BB199" s="15">
        <f t="shared" si="712"/>
        <v>0</v>
      </c>
      <c r="BC199" s="45"/>
      <c r="BD199" s="208"/>
      <c r="BE199" s="40">
        <f t="shared" ref="BE199:BG199" si="714">J199+N199+R199+V199+Z199+AD199+AH199+AL199+AP199+AT199+AX199+BB199</f>
        <v>8</v>
      </c>
      <c r="BF199" s="41">
        <f t="shared" si="714"/>
        <v>159.24</v>
      </c>
      <c r="BG199" s="34">
        <f t="shared" si="714"/>
        <v>138.34</v>
      </c>
      <c r="BH199" s="35">
        <f t="shared" si="700"/>
        <v>39.78</v>
      </c>
      <c r="BK199" s="2" t="b">
        <f>H199='2020'!BH199</f>
        <v>1</v>
      </c>
    </row>
    <row r="200" ht="14.25" customHeight="1" hidden="1" spans="1:63" x14ac:dyDescent="0.25">
      <c r="A200" s="2">
        <v>21</v>
      </c>
      <c r="B200" s="14"/>
      <c r="C200" s="15" t="s">
        <v>122</v>
      </c>
      <c r="D200" s="14" t="s">
        <v>47</v>
      </c>
      <c r="E200" s="2" t="s">
        <v>49</v>
      </c>
      <c r="F200" s="41">
        <v>500</v>
      </c>
      <c r="G200" s="28"/>
      <c r="H200" s="34">
        <f>'2020'!BH200</f>
        <v>0</v>
      </c>
      <c r="I200" s="13"/>
      <c r="J200" s="15"/>
      <c r="K200" s="15"/>
      <c r="L200" s="28"/>
      <c r="M200" s="13"/>
      <c r="N200" s="15"/>
      <c r="Q200" s="13"/>
      <c r="R200" s="15"/>
      <c r="S200" s="15"/>
      <c r="T200" s="28"/>
      <c r="U200" s="13"/>
      <c r="V200" s="15"/>
      <c r="Y200" s="186"/>
      <c r="Z200" s="2"/>
      <c r="AA200" s="15"/>
      <c r="AB200" s="28"/>
      <c r="AC200" s="15"/>
      <c r="AD200" s="15"/>
      <c r="AG200" s="15"/>
      <c r="AH200" s="2"/>
      <c r="AI200" s="45"/>
      <c r="AJ200" s="15"/>
      <c r="AK200" s="13"/>
      <c r="AL200" s="15"/>
      <c r="AM200" s="45"/>
      <c r="AN200" s="15"/>
      <c r="AO200" s="13"/>
      <c r="AP200" s="15"/>
      <c r="AQ200" s="45"/>
      <c r="AR200" s="15"/>
      <c r="AS200" s="13"/>
      <c r="AT200" s="15"/>
      <c r="AU200" s="45"/>
      <c r="AV200" s="15"/>
      <c r="AW200" s="13"/>
      <c r="AX200" s="15"/>
      <c r="AY200" s="45"/>
      <c r="AZ200" s="28"/>
      <c r="BA200" s="13"/>
      <c r="BB200" s="15"/>
      <c r="BC200" s="45"/>
      <c r="BD200" s="28"/>
      <c r="BE200" s="14"/>
      <c r="BF200" s="41">
        <f t="shared" ref="BF200:BG200" si="715">K200+O200+S200+W200+AA200+AE200+AI200+AM200+AQ200+AU200+AY200+BC200</f>
        <v>0</v>
      </c>
      <c r="BG200" s="34">
        <f t="shared" si="715"/>
        <v>0</v>
      </c>
      <c r="BH200" s="35">
        <f t="shared" si="700"/>
        <v>0</v>
      </c>
      <c r="BK200" s="2" t="b">
        <f>H200='2020'!BH200</f>
        <v>1</v>
      </c>
    </row>
    <row r="201" ht="14.25" customHeight="1" hidden="1" spans="1:63" x14ac:dyDescent="0.25">
      <c r="A201" s="2">
        <v>21</v>
      </c>
      <c r="B201" s="14"/>
      <c r="C201" s="15" t="s">
        <v>123</v>
      </c>
      <c r="D201" s="14" t="s">
        <v>50</v>
      </c>
      <c r="E201" s="2" t="s">
        <v>49</v>
      </c>
      <c r="F201" s="41">
        <v>1100</v>
      </c>
      <c r="G201" s="28"/>
      <c r="H201" s="34">
        <f>'2020'!BH201</f>
        <v>0</v>
      </c>
      <c r="I201" s="13"/>
      <c r="J201" s="15"/>
      <c r="K201" s="15"/>
      <c r="L201" s="28"/>
      <c r="M201" s="13"/>
      <c r="N201" s="15"/>
      <c r="Q201" s="13"/>
      <c r="R201" s="15"/>
      <c r="S201" s="15"/>
      <c r="T201" s="28"/>
      <c r="U201" s="13"/>
      <c r="V201" s="15"/>
      <c r="Y201" s="186"/>
      <c r="Z201" s="2"/>
      <c r="AA201" s="15"/>
      <c r="AB201" s="28"/>
      <c r="AC201" s="15"/>
      <c r="AD201" s="15"/>
      <c r="AE201" s="34">
        <f>B198*$F$12</f>
        <v>4356</v>
      </c>
      <c r="AF201" s="34"/>
      <c r="AG201" s="15"/>
      <c r="AH201" s="2"/>
      <c r="AI201" s="45"/>
      <c r="AJ201" s="15"/>
      <c r="AK201" s="13"/>
      <c r="AL201" s="15"/>
      <c r="AM201" s="45"/>
      <c r="AN201" s="39">
        <f>2000+2356</f>
        <v>4356</v>
      </c>
      <c r="AO201" s="13"/>
      <c r="AP201" s="15"/>
      <c r="AQ201" s="45"/>
      <c r="AR201" s="15"/>
      <c r="AS201" s="13"/>
      <c r="AT201" s="15"/>
      <c r="AU201" s="45"/>
      <c r="AV201" s="15"/>
      <c r="AW201" s="13"/>
      <c r="AX201" s="15"/>
      <c r="AY201" s="45"/>
      <c r="AZ201" s="28"/>
      <c r="BA201" s="13"/>
      <c r="BB201" s="15"/>
      <c r="BC201" s="45"/>
      <c r="BD201" s="28"/>
      <c r="BE201" s="14"/>
      <c r="BF201" s="41">
        <f t="shared" ref="BF201:BG201" si="716">K201+O201+S201+W201+AA201+AE201+AI201+AM201+AQ201+AU201+AY201+BC201</f>
        <v>4356</v>
      </c>
      <c r="BG201" s="34">
        <f t="shared" si="716"/>
        <v>4356</v>
      </c>
      <c r="BH201" s="35">
        <f t="shared" si="700"/>
        <v>0</v>
      </c>
      <c r="BK201" s="2" t="b">
        <f>H201='2020'!BH201</f>
        <v>1</v>
      </c>
    </row>
    <row r="202" ht="14.25" customHeight="1" hidden="1" spans="1:63" x14ac:dyDescent="0.25">
      <c r="A202" s="2">
        <v>21</v>
      </c>
      <c r="B202" s="14"/>
      <c r="D202" s="14" t="s">
        <v>51</v>
      </c>
      <c r="E202" s="2" t="s">
        <v>39</v>
      </c>
      <c r="F202" s="41">
        <v>500</v>
      </c>
      <c r="G202" s="28"/>
      <c r="H202" s="34">
        <f>'2020'!BH202</f>
        <v>500</v>
      </c>
      <c r="I202" s="13"/>
      <c r="J202" s="15"/>
      <c r="K202" s="15"/>
      <c r="L202" s="28"/>
      <c r="M202" s="13"/>
      <c r="N202" s="15"/>
      <c r="Q202" s="13"/>
      <c r="R202" s="15"/>
      <c r="S202" s="15"/>
      <c r="T202" s="28"/>
      <c r="U202" s="13"/>
      <c r="V202" s="15"/>
      <c r="X202" s="1">
        <v>500</v>
      </c>
      <c r="Y202" s="186"/>
      <c r="Z202" s="2"/>
      <c r="AA202" s="15"/>
      <c r="AB202" s="28"/>
      <c r="AC202" s="15"/>
      <c r="AD202" s="15"/>
      <c r="AE202" s="180">
        <f>$F$13</f>
      </c>
      <c r="AF202" s="34"/>
      <c r="AG202" s="15"/>
      <c r="AH202" s="2"/>
      <c r="AI202" s="45"/>
      <c r="AJ202" s="15"/>
      <c r="AK202" s="13"/>
      <c r="AL202" s="15"/>
      <c r="AM202" s="45"/>
      <c r="AN202" s="15"/>
      <c r="AO202" s="13"/>
      <c r="AP202" s="15"/>
      <c r="AQ202" s="180"/>
      <c r="AR202" s="15"/>
      <c r="AS202" s="13"/>
      <c r="AT202" s="15"/>
      <c r="AU202" s="45"/>
      <c r="AV202" s="15"/>
      <c r="AW202" s="13"/>
      <c r="AX202" s="15"/>
      <c r="AY202" s="45"/>
      <c r="AZ202" s="28"/>
      <c r="BA202" s="13"/>
      <c r="BB202" s="15"/>
      <c r="BC202" s="45"/>
      <c r="BD202" s="28"/>
      <c r="BE202" s="14"/>
      <c r="BF202" s="41">
        <f t="shared" ref="BF202:BG202" si="717">K202+O202+S202+W202+AA202+AE202+AI202+AM202+AQ202+AU202+AY202+BC202</f>
        <v>0</v>
      </c>
      <c r="BG202" s="34">
        <f t="shared" si="717"/>
        <v>500</v>
      </c>
      <c r="BH202" s="35">
        <f t="shared" si="700"/>
        <v>0</v>
      </c>
      <c r="BK202" s="2" t="b">
        <f>H202='2020'!BH202</f>
        <v>1</v>
      </c>
    </row>
    <row r="203" ht="14.25" customHeight="1" hidden="1" spans="1:63" x14ac:dyDescent="0.25">
      <c r="A203" s="2">
        <v>21</v>
      </c>
      <c r="B203" s="14"/>
      <c r="D203" s="14" t="s">
        <v>51</v>
      </c>
      <c r="E203" s="2" t="s">
        <v>49</v>
      </c>
      <c r="F203" s="41">
        <v>500</v>
      </c>
      <c r="G203" s="28"/>
      <c r="H203" s="34">
        <f>'2020'!BH203</f>
        <v>1980</v>
      </c>
      <c r="I203" s="13"/>
      <c r="J203" s="15"/>
      <c r="K203" s="15"/>
      <c r="L203" s="28"/>
      <c r="M203" s="13"/>
      <c r="N203" s="15"/>
      <c r="Q203" s="13"/>
      <c r="R203" s="15"/>
      <c r="S203" s="15"/>
      <c r="T203" s="28"/>
      <c r="U203" s="13"/>
      <c r="V203" s="15"/>
      <c r="X203" s="1">
        <v>1980</v>
      </c>
      <c r="Y203" s="186"/>
      <c r="Z203" s="2"/>
      <c r="AA203" s="15"/>
      <c r="AB203" s="28"/>
      <c r="AC203" s="15"/>
      <c r="AD203" s="15"/>
      <c r="AE203" s="34"/>
      <c r="AF203" s="34"/>
      <c r="AG203" s="15"/>
      <c r="AH203" s="2"/>
      <c r="AI203" s="45"/>
      <c r="AJ203" s="15"/>
      <c r="AK203" s="13"/>
      <c r="AL203" s="15"/>
      <c r="AM203" s="45"/>
      <c r="AN203" s="15"/>
      <c r="AO203" s="13"/>
      <c r="AP203" s="15"/>
      <c r="AQ203" s="180">
        <f>B198*$F$14</f>
        <v>0</v>
      </c>
      <c r="AR203" s="15"/>
      <c r="AS203" s="13"/>
      <c r="AT203" s="15"/>
      <c r="AU203" s="45"/>
      <c r="AV203" s="15"/>
      <c r="AW203" s="13"/>
      <c r="AX203" s="15"/>
      <c r="AY203" s="45"/>
      <c r="AZ203" s="28"/>
      <c r="BA203" s="13"/>
      <c r="BB203" s="15"/>
      <c r="BC203" s="45"/>
      <c r="BD203" s="28"/>
      <c r="BE203" s="14"/>
      <c r="BF203" s="41">
        <f t="shared" ref="BF203:BG203" si="718">K203+O203+S203+W203+AA203+AE203+AI203+AM203+AQ203+AU203+AY203+BC203</f>
        <v>0</v>
      </c>
      <c r="BG203" s="34">
        <f t="shared" si="718"/>
        <v>1980</v>
      </c>
      <c r="BH203" s="35">
        <f t="shared" si="700"/>
        <v>0</v>
      </c>
      <c r="BK203" s="2" t="b">
        <f>H203='2020'!BH203</f>
        <v>1</v>
      </c>
    </row>
    <row r="204" ht="14.25" customHeight="1" hidden="1" spans="1:63" x14ac:dyDescent="0.25">
      <c r="A204" s="2">
        <v>21</v>
      </c>
      <c r="B204" s="14"/>
      <c r="D204" s="14" t="s">
        <v>52</v>
      </c>
      <c r="E204" s="2" t="s">
        <v>39</v>
      </c>
      <c r="F204" s="41">
        <v>500</v>
      </c>
      <c r="G204" s="28"/>
      <c r="H204" s="34">
        <f>'2020'!BH204</f>
        <v>0</v>
      </c>
      <c r="I204" s="13"/>
      <c r="J204" s="15"/>
      <c r="K204" s="15"/>
      <c r="L204" s="28"/>
      <c r="M204" s="13"/>
      <c r="N204" s="15"/>
      <c r="Q204" s="13"/>
      <c r="R204" s="15"/>
      <c r="S204" s="15"/>
      <c r="T204" s="28"/>
      <c r="U204" s="13"/>
      <c r="V204" s="15"/>
      <c r="Y204" s="186"/>
      <c r="Z204" s="2"/>
      <c r="AA204" s="84"/>
      <c r="AB204" s="35"/>
      <c r="AC204" s="15"/>
      <c r="AD204" s="15"/>
      <c r="AF204" s="34"/>
      <c r="AG204" s="15"/>
      <c r="AH204" s="2"/>
      <c r="AI204" s="45"/>
      <c r="AJ204" s="15"/>
      <c r="AK204" s="13"/>
      <c r="AL204" s="15"/>
      <c r="AM204" s="45"/>
      <c r="AN204" s="15"/>
      <c r="AO204" s="13"/>
      <c r="AP204" s="15"/>
      <c r="AQ204" s="45"/>
      <c r="AR204" s="15"/>
      <c r="AS204" s="13"/>
      <c r="AT204" s="15"/>
      <c r="AU204" s="45"/>
      <c r="AV204" s="15"/>
      <c r="AW204" s="13"/>
      <c r="AX204" s="15"/>
      <c r="AY204" s="45"/>
      <c r="AZ204" s="35"/>
      <c r="BA204" s="13"/>
      <c r="BB204" s="15"/>
      <c r="BC204" s="45"/>
      <c r="BD204" s="35"/>
      <c r="BE204" s="14"/>
      <c r="BF204" s="41">
        <f t="shared" ref="BF204:BG204" si="719">K204+O204+S204+W204+AA204+AE204+AI204+AM204+AQ204+AU204+AY204+BC204</f>
        <v>0</v>
      </c>
      <c r="BG204" s="34">
        <f t="shared" si="719"/>
        <v>0</v>
      </c>
      <c r="BH204" s="35">
        <f t="shared" si="700"/>
        <v>0</v>
      </c>
      <c r="BK204" s="2" t="b">
        <f>H204='2020'!BH204</f>
        <v>1</v>
      </c>
    </row>
    <row r="205" ht="14.25" customHeight="1" hidden="1" spans="1:63" x14ac:dyDescent="0.25">
      <c r="A205" s="247">
        <v>21</v>
      </c>
      <c r="B205" s="21"/>
      <c r="C205" s="22" t="s">
        <v>53</v>
      </c>
      <c r="D205" s="21"/>
      <c r="E205" s="22"/>
      <c r="F205" s="20"/>
      <c r="G205" s="23"/>
      <c r="H205" s="51">
        <f>SUM(H197:H204)</f>
        <v>2498.78</v>
      </c>
      <c r="I205" s="52"/>
      <c r="J205" s="53"/>
      <c r="K205" s="51">
        <f t="shared" ref="K205:L205" si="720">SUM(K197:K204)</f>
        <v>59.8</v>
      </c>
      <c r="L205" s="68">
        <f t="shared" si="720"/>
        <v>0</v>
      </c>
      <c r="M205" s="52"/>
      <c r="N205" s="53"/>
      <c r="O205" s="51">
        <f t="shared" ref="O205:P205" si="721">SUM(O197:O204)</f>
        <v>54.6</v>
      </c>
      <c r="P205" s="68">
        <f t="shared" si="721"/>
        <v>57.2</v>
      </c>
      <c r="Q205" s="52"/>
      <c r="R205" s="53"/>
      <c r="S205" s="51">
        <f t="shared" ref="S205:T205" si="722">SUM(S197:S204)</f>
        <v>52</v>
      </c>
      <c r="T205" s="68">
        <f t="shared" si="722"/>
        <v>110</v>
      </c>
      <c r="U205" s="52"/>
      <c r="V205" s="53"/>
      <c r="W205" s="51">
        <f t="shared" ref="W205:X205" si="723">SUM(W197:W204)</f>
        <v>59.8</v>
      </c>
      <c r="X205" s="68">
        <f t="shared" si="723"/>
        <v>2480</v>
      </c>
      <c r="Y205" s="300"/>
      <c r="Z205" s="301"/>
      <c r="AA205" s="51">
        <f t="shared" ref="AA205:AB205" si="724">SUM(AA197:AA204)</f>
        <v>269.06</v>
      </c>
      <c r="AB205" s="68">
        <f t="shared" si="724"/>
        <v>0</v>
      </c>
      <c r="AC205" s="53"/>
      <c r="AD205" s="53"/>
      <c r="AE205" s="51">
        <f t="shared" ref="AE205:AF205" si="725">SUM(AE197:AE204)</f>
        <v>4627.58</v>
      </c>
      <c r="AF205" s="68">
        <f t="shared" si="725"/>
        <v>346.94</v>
      </c>
      <c r="AG205" s="53"/>
      <c r="AH205" s="301"/>
      <c r="AI205" s="183">
        <f t="shared" ref="AI205:AJ205" si="726">SUM(AI197:AI204)</f>
        <v>247.15</v>
      </c>
      <c r="AJ205" s="51">
        <f t="shared" si="726"/>
        <v>400</v>
      </c>
      <c r="AK205" s="52"/>
      <c r="AL205" s="53"/>
      <c r="AM205" s="183">
        <f t="shared" ref="AM205:AN205" si="727">SUM(AM197:AM204)</f>
        <v>222.85</v>
      </c>
      <c r="AN205" s="51">
        <f t="shared" si="727"/>
        <v>4496</v>
      </c>
      <c r="AO205" s="52"/>
      <c r="AP205" s="53"/>
      <c r="AQ205" s="183">
        <f t="shared" ref="AQ205:AR205" si="728">SUM(AQ197:AQ204)</f>
        <v>151.4</v>
      </c>
      <c r="AR205" s="51">
        <f t="shared" si="728"/>
        <v>202.5</v>
      </c>
      <c r="AS205" s="52"/>
      <c r="AT205" s="53"/>
      <c r="AU205" s="183">
        <f t="shared" ref="AU205:AV205" si="729">SUM(AU197:AU204)</f>
        <v>70.2</v>
      </c>
      <c r="AV205" s="68">
        <f t="shared" si="729"/>
        <v>203</v>
      </c>
      <c r="AW205" s="52"/>
      <c r="AX205" s="53"/>
      <c r="AY205" s="183">
        <f t="shared" ref="AY205:AZ205" si="730">SUM(AY197:AY204)</f>
        <v>72.9</v>
      </c>
      <c r="AZ205" s="68">
        <f t="shared" si="730"/>
        <v>0</v>
      </c>
      <c r="BA205" s="52"/>
      <c r="BB205" s="53"/>
      <c r="BC205" s="183">
        <f t="shared" ref="BC205:BD205" si="731">SUM(BC197:BC204)</f>
        <v>40.5</v>
      </c>
      <c r="BD205" s="68">
        <f t="shared" si="731"/>
        <v>51</v>
      </c>
      <c r="BE205" s="69"/>
      <c r="BF205" s="70">
        <f t="shared" ref="BF205:BH205" si="732">SUM(BF197:BF204)</f>
        <v>5927.84</v>
      </c>
      <c r="BG205" s="71">
        <f t="shared" si="732"/>
        <v>8346.64</v>
      </c>
      <c r="BH205" s="72">
        <f t="shared" si="732"/>
        <v>79.98</v>
      </c>
      <c r="BI205" s="34">
        <f>H205+BF205-BG205</f>
        <v>79.98</v>
      </c>
      <c r="BJ205" s="34">
        <f>BH205-BI205</f>
        <v>0</v>
      </c>
      <c r="BK205" s="2" t="b">
        <f>H205='2020'!BH205</f>
        <v>1</v>
      </c>
    </row>
    <row r="206" ht="14.25" customHeight="1" hidden="1" spans="1:63" x14ac:dyDescent="0.25">
      <c r="A206" s="2">
        <v>23</v>
      </c>
      <c r="B206" s="14"/>
      <c r="D206" s="14" t="s">
        <v>379</v>
      </c>
      <c r="F206" s="13"/>
      <c r="G206" s="28"/>
      <c r="H206" s="34">
        <f>'2020'!BH206</f>
        <v>0</v>
      </c>
      <c r="I206" s="13"/>
      <c r="J206" s="15"/>
      <c r="K206" s="15"/>
      <c r="L206" s="28"/>
      <c r="M206" s="13"/>
      <c r="N206" s="15"/>
      <c r="Q206" s="13"/>
      <c r="R206" s="15"/>
      <c r="S206" s="15"/>
      <c r="T206" s="28"/>
      <c r="U206" s="13"/>
      <c r="V206" s="15"/>
      <c r="Y206" s="186"/>
      <c r="Z206" s="2"/>
      <c r="AA206" s="15"/>
      <c r="AB206" s="28"/>
      <c r="AC206" s="15"/>
      <c r="AD206" s="15"/>
      <c r="AG206" s="15"/>
      <c r="AH206" s="2"/>
      <c r="AI206" s="45"/>
      <c r="AJ206" s="15"/>
      <c r="AK206" s="13"/>
      <c r="AM206" s="45"/>
      <c r="AO206" s="13"/>
      <c r="AQ206" s="45"/>
      <c r="AS206" s="13"/>
      <c r="AU206" s="45"/>
      <c r="AW206" s="13"/>
      <c r="AY206" s="45"/>
      <c r="AZ206" s="28"/>
      <c r="BA206" s="13"/>
      <c r="BB206" s="15"/>
      <c r="BC206" s="45"/>
      <c r="BD206" s="28"/>
      <c r="BE206" s="14"/>
      <c r="BF206" s="41">
        <f t="shared" ref="BF206:BG206" si="733">K206+O206+S206+W206+AA206+AE206+AI206+AM206+AQ206+AU206+AY206+BC206</f>
        <v>0</v>
      </c>
      <c r="BG206" s="34">
        <f t="shared" si="733"/>
        <v>0</v>
      </c>
      <c r="BH206" s="35">
        <f t="shared" ref="BH206:BH213" si="734">H206+BF206-BG206</f>
        <v>0</v>
      </c>
      <c r="BK206" s="2" t="b">
        <f>H206='2020'!BH206</f>
        <v>1</v>
      </c>
    </row>
    <row r="207" ht="14.25" customHeight="1" hidden="1" spans="1:63" x14ac:dyDescent="0.25">
      <c r="A207" s="2">
        <v>23</v>
      </c>
      <c r="B207" s="14">
        <v>3.98</v>
      </c>
      <c r="C207" s="2" t="s">
        <v>124</v>
      </c>
      <c r="D207" s="14" t="s">
        <v>44</v>
      </c>
      <c r="E207" s="2" t="s">
        <v>45</v>
      </c>
      <c r="F207" s="41">
        <v>2.5</v>
      </c>
      <c r="G207" s="35">
        <v>2.6</v>
      </c>
      <c r="H207" s="34">
        <f>'2020'!BH207</f>
        <v>3572.68</v>
      </c>
      <c r="I207" s="13">
        <v>5766</v>
      </c>
      <c r="J207" s="15">
        <f>I207-'2020'!BA207</f>
        <v>0</v>
      </c>
      <c r="K207" s="34">
        <f>J207*$F$8</f>
        <v>0</v>
      </c>
      <c r="L207" s="28"/>
      <c r="M207" s="13">
        <v>5766</v>
      </c>
      <c r="N207" s="15">
        <f t="shared" ref="N207:N208" si="735">M207-I207</f>
        <v>0</v>
      </c>
      <c r="O207" s="34">
        <f>N207*$F$8</f>
        <v>0</v>
      </c>
      <c r="P207" s="34"/>
      <c r="Q207" s="13">
        <v>5766</v>
      </c>
      <c r="R207" s="15">
        <f t="shared" ref="R207:R208" si="736">Q207-M207</f>
        <v>0</v>
      </c>
      <c r="S207" s="34">
        <f>R207*$F$8</f>
        <v>0</v>
      </c>
      <c r="T207" s="28"/>
      <c r="U207" s="13">
        <v>5766</v>
      </c>
      <c r="V207" s="15">
        <f t="shared" ref="V207:V208" si="737">U207-Q207</f>
        <v>0</v>
      </c>
      <c r="W207" s="34">
        <f>V207*$F$8</f>
        <v>0</v>
      </c>
      <c r="Y207" s="186">
        <v>6185</v>
      </c>
      <c r="Z207" s="2">
        <f t="shared" ref="Z207:Z208" si="738">Y207-U207</f>
        <v>419</v>
      </c>
      <c r="AA207" s="34">
        <f>Z207*$F$8</f>
        <v>1089.4</v>
      </c>
      <c r="AB207" s="38">
        <v>3573</v>
      </c>
      <c r="AC207" s="15">
        <v>6576</v>
      </c>
      <c r="AD207" s="15">
        <f t="shared" ref="AD207:AD208" si="739">AC207-Y207</f>
        <v>391</v>
      </c>
      <c r="AE207" s="180">
        <f>AD207*$F$8</f>
        <v>1016.6</v>
      </c>
      <c r="AF207" s="317">
        <v>1089</v>
      </c>
      <c r="AG207" s="15">
        <v>6818</v>
      </c>
      <c r="AH207" s="2">
        <f t="shared" ref="AH207:AH208" si="740">AG207-AC207</f>
        <v>242</v>
      </c>
      <c r="AI207" s="45">
        <f>AH207*$G$8</f>
        <v>653.4</v>
      </c>
      <c r="AJ207" s="187">
        <v>1016</v>
      </c>
      <c r="AK207" s="13">
        <v>7085</v>
      </c>
      <c r="AL207" s="15">
        <f t="shared" ref="AL207:AL208" si="741">AK207-AG207</f>
        <v>267</v>
      </c>
      <c r="AM207" s="45">
        <f>AL207*$G$8</f>
        <v>720.9</v>
      </c>
      <c r="AN207" s="15"/>
      <c r="AO207" s="13">
        <v>7872</v>
      </c>
      <c r="AP207" s="15">
        <f t="shared" ref="AP207:AP208" si="742">AO207-AK207</f>
        <v>787</v>
      </c>
      <c r="AQ207" s="45">
        <f>AP207*$G$8</f>
        <v>2124.9</v>
      </c>
      <c r="AR207" s="1">
        <v>1375</v>
      </c>
      <c r="AS207" s="13">
        <v>7944</v>
      </c>
      <c r="AT207" s="15">
        <f t="shared" ref="AT207:AT208" si="743">AS207-AO207</f>
        <v>72</v>
      </c>
      <c r="AU207" s="45">
        <f>AT207*$G$8</f>
        <v>194.4</v>
      </c>
      <c r="AV207" s="15"/>
      <c r="AW207" s="13">
        <v>7944</v>
      </c>
      <c r="AX207" s="15">
        <f t="shared" ref="AX207:AX208" si="744">AW207-AS207</f>
        <v>0</v>
      </c>
      <c r="AY207" s="45">
        <f>AX207*$G$8</f>
        <v>0</v>
      </c>
      <c r="AZ207" s="208"/>
      <c r="BA207" s="13">
        <v>7944</v>
      </c>
      <c r="BB207" s="15">
        <f t="shared" ref="BB207:BB208" si="745">BA207-AW207</f>
        <v>0</v>
      </c>
      <c r="BC207" s="45">
        <f>BB207*$G$8</f>
        <v>0</v>
      </c>
      <c r="BD207" s="208"/>
      <c r="BE207" s="40">
        <f t="shared" ref="BE207:BG207" si="746">J207+N207+R207+V207+Z207+AD207+AH207+AL207+AP207+AT207+AX207+BB207</f>
        <v>2178</v>
      </c>
      <c r="BF207" s="41">
        <f t="shared" si="746"/>
        <v>5799.6</v>
      </c>
      <c r="BG207" s="34">
        <f t="shared" si="746"/>
        <v>7053</v>
      </c>
      <c r="BH207" s="35">
        <f t="shared" si="734"/>
        <v>2319.28</v>
      </c>
      <c r="BK207" s="2" t="b">
        <f>H207='2020'!BH207</f>
        <v>1</v>
      </c>
    </row>
    <row r="208" ht="14.25" customHeight="1" hidden="1" spans="1:63" x14ac:dyDescent="0.25">
      <c r="A208" s="2">
        <v>23</v>
      </c>
      <c r="B208" s="14"/>
      <c r="C208" s="2" t="s">
        <v>93</v>
      </c>
      <c r="D208" s="14" t="s">
        <v>47</v>
      </c>
      <c r="E208" s="2" t="s">
        <v>48</v>
      </c>
      <c r="F208" s="13">
        <v>18.56</v>
      </c>
      <c r="G208" s="35">
        <v>19.46</v>
      </c>
      <c r="H208" s="34">
        <f>'2020'!BH208</f>
        <v>38.92</v>
      </c>
      <c r="I208" s="13">
        <v>81</v>
      </c>
      <c r="J208" s="15"/>
      <c r="K208" s="15"/>
      <c r="L208" s="28"/>
      <c r="M208" s="13">
        <v>81</v>
      </c>
      <c r="N208" s="15">
        <f t="shared" si="735"/>
        <v>0</v>
      </c>
      <c r="Q208" s="13">
        <v>81</v>
      </c>
      <c r="R208" s="15">
        <f t="shared" si="736"/>
        <v>0</v>
      </c>
      <c r="S208" s="15"/>
      <c r="T208" s="28"/>
      <c r="U208" s="13">
        <v>81</v>
      </c>
      <c r="V208" s="15">
        <f t="shared" si="737"/>
        <v>0</v>
      </c>
      <c r="W208" s="180">
        <f>V208*$F$10</f>
        <v>0</v>
      </c>
      <c r="Y208" s="186">
        <v>90</v>
      </c>
      <c r="Z208" s="2">
        <f t="shared" si="738"/>
        <v>9</v>
      </c>
      <c r="AA208" s="34">
        <f>Z208*$F$10</f>
        <v>175.14</v>
      </c>
      <c r="AB208" s="28"/>
      <c r="AC208" s="15">
        <v>90</v>
      </c>
      <c r="AD208" s="15">
        <f t="shared" si="739"/>
        <v>0</v>
      </c>
      <c r="AE208" s="34">
        <f>AD208*$F$10</f>
        <v>0</v>
      </c>
      <c r="AF208" s="317">
        <v>215</v>
      </c>
      <c r="AG208" s="15">
        <v>92</v>
      </c>
      <c r="AH208" s="2">
        <f t="shared" si="740"/>
        <v>2</v>
      </c>
      <c r="AI208" s="45">
        <f>AH208*$G$10</f>
        <v>40.7</v>
      </c>
      <c r="AJ208" s="187"/>
      <c r="AK208" s="13">
        <v>92</v>
      </c>
      <c r="AL208" s="15">
        <f t="shared" si="741"/>
        <v>0</v>
      </c>
      <c r="AM208" s="45">
        <f>AL208*$G$10</f>
        <v>0</v>
      </c>
      <c r="AN208" s="15"/>
      <c r="AO208" s="13">
        <v>98</v>
      </c>
      <c r="AP208" s="15">
        <f t="shared" si="742"/>
        <v>6</v>
      </c>
      <c r="AQ208" s="45">
        <f>AP208*$G$10</f>
        <v>122.1</v>
      </c>
      <c r="AR208" s="15"/>
      <c r="AS208" s="13">
        <v>98</v>
      </c>
      <c r="AT208" s="15">
        <f t="shared" si="743"/>
        <v>0</v>
      </c>
      <c r="AU208" s="45">
        <f>AT208*$G$10</f>
        <v>0</v>
      </c>
      <c r="AV208" s="15"/>
      <c r="AW208" s="13">
        <v>98</v>
      </c>
      <c r="AX208" s="15">
        <f t="shared" si="744"/>
        <v>0</v>
      </c>
      <c r="AY208" s="45"/>
      <c r="AZ208" s="208"/>
      <c r="BA208" s="13">
        <v>98</v>
      </c>
      <c r="BB208" s="15">
        <f t="shared" si="745"/>
        <v>0</v>
      </c>
      <c r="BC208" s="45"/>
      <c r="BD208" s="208"/>
      <c r="BE208" s="40">
        <f t="shared" ref="BE208:BG208" si="747">J208+N208+R208+V208+Z208+AD208+AH208+AL208+AP208+AT208+AX208+BB208</f>
        <v>17</v>
      </c>
      <c r="BF208" s="41">
        <f t="shared" si="747"/>
        <v>337.94</v>
      </c>
      <c r="BG208" s="34">
        <f t="shared" si="747"/>
        <v>215</v>
      </c>
      <c r="BH208" s="35">
        <f t="shared" si="734"/>
        <v>161.86</v>
      </c>
      <c r="BK208" s="2" t="b">
        <f>H208='2020'!BH208</f>
        <v>1</v>
      </c>
    </row>
    <row r="209" ht="14.25" customHeight="1" hidden="1" spans="1:63" x14ac:dyDescent="0.25">
      <c r="A209" s="2">
        <v>23</v>
      </c>
      <c r="B209" s="14"/>
      <c r="C209" s="2" t="s">
        <v>125</v>
      </c>
      <c r="D209" s="14" t="s">
        <v>47</v>
      </c>
      <c r="E209" s="2" t="s">
        <v>49</v>
      </c>
      <c r="F209" s="41">
        <v>500</v>
      </c>
      <c r="G209" s="28"/>
      <c r="H209" s="34">
        <f>'2020'!BH209</f>
        <v>0</v>
      </c>
      <c r="I209" s="13"/>
      <c r="J209" s="15"/>
      <c r="K209" s="15"/>
      <c r="L209" s="28"/>
      <c r="M209" s="13"/>
      <c r="N209" s="15"/>
      <c r="Q209" s="13"/>
      <c r="R209" s="15"/>
      <c r="S209" s="15"/>
      <c r="T209" s="28"/>
      <c r="U209" s="13"/>
      <c r="V209" s="15"/>
      <c r="Y209" s="186"/>
      <c r="Z209" s="2"/>
      <c r="AA209" s="15"/>
      <c r="AB209" s="28"/>
      <c r="AC209" s="15"/>
      <c r="AD209" s="15"/>
      <c r="AG209" s="15"/>
      <c r="AH209" s="2"/>
      <c r="AI209" s="45"/>
      <c r="AJ209" s="304"/>
      <c r="AK209" s="13"/>
      <c r="AL209" s="15"/>
      <c r="AM209" s="45"/>
      <c r="AN209" s="15"/>
      <c r="AO209" s="13"/>
      <c r="AP209" s="15"/>
      <c r="AQ209" s="45"/>
      <c r="AR209" s="15"/>
      <c r="AS209" s="13"/>
      <c r="AT209" s="15"/>
      <c r="AU209" s="45"/>
      <c r="AV209" s="15"/>
      <c r="AW209" s="13"/>
      <c r="AX209" s="15"/>
      <c r="AY209" s="45"/>
      <c r="AZ209" s="28"/>
      <c r="BA209" s="13"/>
      <c r="BB209" s="15"/>
      <c r="BC209" s="45"/>
      <c r="BD209" s="28"/>
      <c r="BE209" s="14"/>
      <c r="BF209" s="41">
        <f t="shared" ref="BF209:BG209" si="748">K209+O209+S209+W209+AA209+AE209+AI209+AM209+AQ209+AU209+AY209+BC209</f>
        <v>0</v>
      </c>
      <c r="BG209" s="34">
        <f t="shared" si="748"/>
        <v>0</v>
      </c>
      <c r="BH209" s="35">
        <f t="shared" si="734"/>
        <v>0</v>
      </c>
      <c r="BK209" s="2" t="b">
        <f>H209='2020'!BH209</f>
        <v>1</v>
      </c>
    </row>
    <row r="210" ht="14.25" customHeight="1" hidden="1" spans="1:63" x14ac:dyDescent="0.25">
      <c r="A210" s="2">
        <v>23</v>
      </c>
      <c r="B210" s="14"/>
      <c r="C210" s="15" t="s">
        <v>126</v>
      </c>
      <c r="D210" s="14" t="s">
        <v>50</v>
      </c>
      <c r="E210" s="2" t="s">
        <v>49</v>
      </c>
      <c r="F210" s="41">
        <v>1100</v>
      </c>
      <c r="G210" s="28"/>
      <c r="H210" s="34">
        <f>'2020'!BH210</f>
        <v>0</v>
      </c>
      <c r="I210" s="13"/>
      <c r="J210" s="15"/>
      <c r="K210" s="15"/>
      <c r="L210" s="28"/>
      <c r="M210" s="13"/>
      <c r="N210" s="15"/>
      <c r="Q210" s="13"/>
      <c r="R210" s="15"/>
      <c r="S210" s="15"/>
      <c r="T210" s="28"/>
      <c r="U210" s="13"/>
      <c r="V210" s="15"/>
      <c r="Y210" s="186"/>
      <c r="Z210" s="2"/>
      <c r="AA210" s="15"/>
      <c r="AB210" s="28"/>
      <c r="AC210" s="15"/>
      <c r="AD210" s="15"/>
      <c r="AE210" s="34">
        <f>B207*$F$12</f>
        <v>4378</v>
      </c>
      <c r="AF210" s="180"/>
      <c r="AG210" s="15"/>
      <c r="AH210" s="2"/>
      <c r="AI210" s="45"/>
      <c r="AJ210" s="304">
        <v>4378</v>
      </c>
      <c r="AK210" s="13"/>
      <c r="AL210" s="15"/>
      <c r="AM210" s="45"/>
      <c r="AN210" s="15"/>
      <c r="AO210" s="13"/>
      <c r="AP210" s="15"/>
      <c r="AQ210" s="45"/>
      <c r="AR210" s="15"/>
      <c r="AS210" s="13"/>
      <c r="AT210" s="15"/>
      <c r="AU210" s="45"/>
      <c r="AV210" s="15"/>
      <c r="AW210" s="13"/>
      <c r="AX210" s="15"/>
      <c r="AY210" s="45"/>
      <c r="AZ210" s="28"/>
      <c r="BA210" s="13"/>
      <c r="BB210" s="15"/>
      <c r="BC210" s="45"/>
      <c r="BD210" s="28"/>
      <c r="BE210" s="14"/>
      <c r="BF210" s="41">
        <f t="shared" ref="BF210:BG210" si="749">K210+O210+S210+W210+AA210+AE210+AI210+AM210+AQ210+AU210+AY210+BC210</f>
        <v>4378</v>
      </c>
      <c r="BG210" s="34">
        <f t="shared" si="749"/>
        <v>4378</v>
      </c>
      <c r="BH210" s="35">
        <f t="shared" si="734"/>
        <v>0</v>
      </c>
      <c r="BK210" s="2" t="b">
        <f>H210='2020'!BH210</f>
        <v>1</v>
      </c>
    </row>
    <row r="211" ht="14.25" customHeight="1" hidden="1" spans="1:63" x14ac:dyDescent="0.25">
      <c r="A211" s="2">
        <v>23</v>
      </c>
      <c r="B211" s="14"/>
      <c r="D211" s="14" t="s">
        <v>51</v>
      </c>
      <c r="E211" s="2" t="s">
        <v>39</v>
      </c>
      <c r="F211" s="41">
        <v>500</v>
      </c>
      <c r="G211" s="28"/>
      <c r="H211" s="34">
        <f>'2020'!BH211</f>
        <v>500</v>
      </c>
      <c r="I211" s="13"/>
      <c r="J211" s="15"/>
      <c r="K211" s="15"/>
      <c r="L211" s="28"/>
      <c r="M211" s="13"/>
      <c r="N211" s="15"/>
      <c r="Q211" s="13"/>
      <c r="R211" s="15"/>
      <c r="S211" s="15"/>
      <c r="T211" s="28"/>
      <c r="U211" s="13"/>
      <c r="V211" s="15"/>
      <c r="Y211" s="186"/>
      <c r="Z211" s="2"/>
      <c r="AA211" s="15"/>
      <c r="AB211" s="32">
        <v>500</v>
      </c>
      <c r="AC211" s="15"/>
      <c r="AD211" s="15"/>
      <c r="AE211" s="180">
        <f>$F$13</f>
      </c>
      <c r="AF211" s="34"/>
      <c r="AG211" s="15"/>
      <c r="AH211" s="2"/>
      <c r="AI211" s="45"/>
      <c r="AJ211" s="304"/>
      <c r="AK211" s="13"/>
      <c r="AL211" s="15"/>
      <c r="AM211" s="45"/>
      <c r="AN211" s="15"/>
      <c r="AO211" s="13"/>
      <c r="AP211" s="15"/>
      <c r="AQ211" s="180"/>
      <c r="AR211" s="15"/>
      <c r="AS211" s="13"/>
      <c r="AT211" s="15"/>
      <c r="AU211" s="45"/>
      <c r="AV211" s="15"/>
      <c r="AW211" s="13"/>
      <c r="AX211" s="15"/>
      <c r="AY211" s="45"/>
      <c r="AZ211" s="28"/>
      <c r="BA211" s="13"/>
      <c r="BB211" s="15"/>
      <c r="BC211" s="45"/>
      <c r="BD211" s="28"/>
      <c r="BE211" s="14"/>
      <c r="BF211" s="41">
        <f t="shared" ref="BF211:BG211" si="750">K211+O211+S211+W211+AA211+AE211+AI211+AM211+AQ211+AU211+AY211+BC211</f>
        <v>0</v>
      </c>
      <c r="BG211" s="34">
        <f t="shared" si="750"/>
        <v>500</v>
      </c>
      <c r="BH211" s="35">
        <f t="shared" si="734"/>
        <v>0</v>
      </c>
      <c r="BK211" s="2" t="b">
        <f>H211='2020'!BH211</f>
        <v>1</v>
      </c>
    </row>
    <row r="212" ht="14.25" customHeight="1" hidden="1" spans="1:63" x14ac:dyDescent="0.25">
      <c r="A212" s="2">
        <v>23</v>
      </c>
      <c r="B212" s="14"/>
      <c r="D212" s="14" t="s">
        <v>51</v>
      </c>
      <c r="E212" s="2" t="s">
        <v>49</v>
      </c>
      <c r="F212" s="41">
        <v>500</v>
      </c>
      <c r="G212" s="28"/>
      <c r="H212" s="34">
        <f>'2020'!BH212</f>
        <v>1990</v>
      </c>
      <c r="I212" s="13"/>
      <c r="J212" s="15"/>
      <c r="K212" s="15"/>
      <c r="L212" s="28"/>
      <c r="M212" s="13"/>
      <c r="N212" s="15"/>
      <c r="Q212" s="13"/>
      <c r="R212" s="15"/>
      <c r="S212" s="15"/>
      <c r="T212" s="28"/>
      <c r="U212" s="13"/>
      <c r="V212" s="15"/>
      <c r="Y212" s="186"/>
      <c r="Z212" s="2"/>
      <c r="AA212" s="15"/>
      <c r="AB212" s="32">
        <v>1990</v>
      </c>
      <c r="AC212" s="15"/>
      <c r="AD212" s="15"/>
      <c r="AE212" s="34"/>
      <c r="AF212" s="34"/>
      <c r="AG212" s="15"/>
      <c r="AH212" s="2"/>
      <c r="AI212" s="45"/>
      <c r="AJ212" s="15"/>
      <c r="AK212" s="13"/>
      <c r="AL212" s="15"/>
      <c r="AM212" s="45"/>
      <c r="AN212" s="15"/>
      <c r="AO212" s="13"/>
      <c r="AP212" s="15"/>
      <c r="AQ212" s="180">
        <f>B207*$F$14</f>
        <v>0</v>
      </c>
      <c r="AR212" s="15"/>
      <c r="AS212" s="13"/>
      <c r="AT212" s="15"/>
      <c r="AU212" s="45"/>
      <c r="AV212" s="15"/>
      <c r="AW212" s="13"/>
      <c r="AX212" s="15"/>
      <c r="AY212" s="45"/>
      <c r="AZ212" s="28"/>
      <c r="BA212" s="13"/>
      <c r="BB212" s="15"/>
      <c r="BC212" s="45"/>
      <c r="BD212" s="28"/>
      <c r="BE212" s="14"/>
      <c r="BF212" s="41">
        <f t="shared" ref="BF212:BG212" si="751">K212+O212+S212+W212+AA212+AE212+AI212+AM212+AQ212+AU212+AY212+BC212</f>
        <v>0</v>
      </c>
      <c r="BG212" s="34">
        <f t="shared" si="751"/>
        <v>1990</v>
      </c>
      <c r="BH212" s="35">
        <f t="shared" si="734"/>
        <v>0</v>
      </c>
      <c r="BK212" s="2" t="b">
        <f>H212='2020'!BH212</f>
        <v>1</v>
      </c>
    </row>
    <row r="213" ht="14.25" customHeight="1" hidden="1" spans="1:63" x14ac:dyDescent="0.25">
      <c r="A213" s="2">
        <v>23</v>
      </c>
      <c r="B213" s="14"/>
      <c r="D213" s="14" t="s">
        <v>52</v>
      </c>
      <c r="E213" s="2" t="s">
        <v>39</v>
      </c>
      <c r="F213" s="41">
        <v>500</v>
      </c>
      <c r="G213" s="28"/>
      <c r="H213" s="34">
        <f>'2020'!BH213</f>
        <v>0</v>
      </c>
      <c r="I213" s="13"/>
      <c r="J213" s="15"/>
      <c r="K213" s="15"/>
      <c r="L213" s="28"/>
      <c r="M213" s="13"/>
      <c r="N213" s="15"/>
      <c r="Q213" s="13"/>
      <c r="R213" s="15"/>
      <c r="S213" s="15"/>
      <c r="T213" s="28"/>
      <c r="U213" s="13"/>
      <c r="V213" s="15"/>
      <c r="Y213" s="186"/>
      <c r="Z213" s="2"/>
      <c r="AA213" s="34">
        <f>$F$15</f>
      </c>
      <c r="AB213" s="35"/>
      <c r="AC213" s="15"/>
      <c r="AD213" s="15"/>
      <c r="AF213" s="180"/>
      <c r="AG213" s="15"/>
      <c r="AH213" s="2"/>
      <c r="AI213" s="45"/>
      <c r="AJ213" s="15"/>
      <c r="AK213" s="13"/>
      <c r="AL213" s="15"/>
      <c r="AM213" s="45"/>
      <c r="AN213" s="15"/>
      <c r="AO213" s="13"/>
      <c r="AP213" s="15"/>
      <c r="AQ213" s="45"/>
      <c r="AR213" s="15"/>
      <c r="AS213" s="13"/>
      <c r="AT213" s="15"/>
      <c r="AU213" s="45"/>
      <c r="AV213" s="15"/>
      <c r="AW213" s="13"/>
      <c r="AX213" s="15"/>
      <c r="AY213" s="45"/>
      <c r="AZ213" s="35"/>
      <c r="BA213" s="13"/>
      <c r="BB213" s="15"/>
      <c r="BC213" s="45"/>
      <c r="BD213" s="35"/>
      <c r="BE213" s="14"/>
      <c r="BF213" s="41">
        <f t="shared" ref="BF213:BG213" si="752">K213+O213+S213+W213+AA213+AE213+AI213+AM213+AQ213+AU213+AY213+BC213</f>
        <v>0</v>
      </c>
      <c r="BG213" s="34">
        <f t="shared" si="752"/>
        <v>0</v>
      </c>
      <c r="BH213" s="35">
        <f t="shared" si="734"/>
        <v>0</v>
      </c>
      <c r="BK213" s="2" t="b">
        <f>H213='2020'!BH213</f>
        <v>1</v>
      </c>
    </row>
    <row r="214" ht="14.25" customHeight="1" hidden="1" spans="1:63" x14ac:dyDescent="0.25">
      <c r="A214" s="247">
        <v>23</v>
      </c>
      <c r="B214" s="21"/>
      <c r="C214" s="22" t="s">
        <v>53</v>
      </c>
      <c r="D214" s="21"/>
      <c r="E214" s="22"/>
      <c r="F214" s="20"/>
      <c r="G214" s="23"/>
      <c r="H214" s="51">
        <f>SUM(H206:H213)</f>
        <v>6101.6</v>
      </c>
      <c r="I214" s="52"/>
      <c r="J214" s="53"/>
      <c r="K214" s="51">
        <f t="shared" ref="K214:L214" si="753">SUM(K206:K213)</f>
        <v>0</v>
      </c>
      <c r="L214" s="68">
        <f t="shared" si="753"/>
        <v>0</v>
      </c>
      <c r="M214" s="52"/>
      <c r="N214" s="53"/>
      <c r="O214" s="51">
        <f t="shared" ref="O214:P214" si="754">SUM(O206:O213)</f>
        <v>0</v>
      </c>
      <c r="P214" s="68">
        <f t="shared" si="754"/>
        <v>0</v>
      </c>
      <c r="Q214" s="52"/>
      <c r="R214" s="53"/>
      <c r="S214" s="51">
        <f t="shared" ref="S214:T214" si="755">SUM(S206:S213)</f>
        <v>0</v>
      </c>
      <c r="T214" s="68">
        <f t="shared" si="755"/>
        <v>0</v>
      </c>
      <c r="U214" s="52"/>
      <c r="V214" s="53"/>
      <c r="W214" s="51">
        <f t="shared" ref="W214:X214" si="756">SUM(W206:W213)</f>
        <v>0</v>
      </c>
      <c r="X214" s="68">
        <f t="shared" si="756"/>
        <v>0</v>
      </c>
      <c r="Y214" s="300"/>
      <c r="Z214" s="301"/>
      <c r="AA214" s="51">
        <f t="shared" ref="AA214:AB214" si="757">SUM(AA206:AA213)</f>
        <v>1264.54</v>
      </c>
      <c r="AB214" s="68">
        <f t="shared" si="757"/>
        <v>6063</v>
      </c>
      <c r="AC214" s="53"/>
      <c r="AD214" s="53"/>
      <c r="AE214" s="51">
        <f t="shared" ref="AE214:AF214" si="758">SUM(AE206:AE213)</f>
        <v>5394.6</v>
      </c>
      <c r="AF214" s="68">
        <f t="shared" si="758"/>
        <v>1304</v>
      </c>
      <c r="AG214" s="53"/>
      <c r="AH214" s="301"/>
      <c r="AI214" s="183">
        <f t="shared" ref="AI214:AJ214" si="759">SUM(AI206:AI213)</f>
        <v>694.1</v>
      </c>
      <c r="AJ214" s="51">
        <f t="shared" si="759"/>
        <v>5394</v>
      </c>
      <c r="AK214" s="52"/>
      <c r="AL214" s="53"/>
      <c r="AM214" s="183">
        <f t="shared" ref="AM214:AN214" si="760">SUM(AM206:AM213)</f>
        <v>720.9</v>
      </c>
      <c r="AN214" s="51">
        <f t="shared" si="760"/>
        <v>0</v>
      </c>
      <c r="AO214" s="52"/>
      <c r="AP214" s="53"/>
      <c r="AQ214" s="183">
        <f t="shared" ref="AQ214:AR214" si="761">SUM(AQ206:AQ213)</f>
        <v>2247</v>
      </c>
      <c r="AR214" s="51">
        <f t="shared" si="761"/>
        <v>1375</v>
      </c>
      <c r="AS214" s="52"/>
      <c r="AT214" s="53"/>
      <c r="AU214" s="183">
        <f t="shared" ref="AU214:AV214" si="762">SUM(AU206:AU213)</f>
        <v>194.4</v>
      </c>
      <c r="AV214" s="68">
        <f t="shared" si="762"/>
        <v>0</v>
      </c>
      <c r="AW214" s="52"/>
      <c r="AX214" s="53"/>
      <c r="AY214" s="183">
        <f t="shared" ref="AY214:AZ214" si="763">SUM(AY206:AY213)</f>
        <v>0</v>
      </c>
      <c r="AZ214" s="68">
        <f t="shared" si="763"/>
        <v>0</v>
      </c>
      <c r="BA214" s="52"/>
      <c r="BB214" s="53"/>
      <c r="BC214" s="183">
        <f t="shared" ref="BC214:BD214" si="764">SUM(BC206:BC213)</f>
        <v>0</v>
      </c>
      <c r="BD214" s="68">
        <f t="shared" si="764"/>
        <v>0</v>
      </c>
      <c r="BE214" s="69"/>
      <c r="BF214" s="70">
        <f t="shared" ref="BF214:BH214" si="765">SUM(BF206:BF213)</f>
        <v>10515.54</v>
      </c>
      <c r="BG214" s="71">
        <f t="shared" si="765"/>
        <v>14136</v>
      </c>
      <c r="BH214" s="72">
        <f t="shared" si="765"/>
        <v>2481.14</v>
      </c>
      <c r="BI214" s="34">
        <f>H214+BF214-BG214</f>
        <v>2481.14</v>
      </c>
      <c r="BJ214" s="34">
        <f>BH214-BI214</f>
        <v>0</v>
      </c>
      <c r="BK214" s="2" t="b">
        <f>H214='2020'!BH214</f>
        <v>1</v>
      </c>
    </row>
    <row r="215" ht="14.25" customHeight="1" hidden="1" spans="1:63" x14ac:dyDescent="0.25">
      <c r="A215" s="2">
        <v>24</v>
      </c>
      <c r="B215" s="14"/>
      <c r="D215" s="14" t="s">
        <v>379</v>
      </c>
      <c r="F215" s="13"/>
      <c r="G215" s="28"/>
      <c r="H215" s="34">
        <f>'2020'!BH215</f>
        <v>0</v>
      </c>
      <c r="I215" s="13"/>
      <c r="J215" s="15"/>
      <c r="K215" s="15"/>
      <c r="L215" s="28"/>
      <c r="M215" s="13"/>
      <c r="N215" s="15"/>
      <c r="Q215" s="13"/>
      <c r="R215" s="15"/>
      <c r="S215" s="15"/>
      <c r="T215" s="28"/>
      <c r="U215" s="13"/>
      <c r="V215" s="15"/>
      <c r="Y215" s="186"/>
      <c r="Z215" s="2"/>
      <c r="AA215" s="15"/>
      <c r="AB215" s="28"/>
      <c r="AC215" s="15"/>
      <c r="AD215" s="15"/>
      <c r="AG215" s="15"/>
      <c r="AH215" s="2"/>
      <c r="AI215" s="45"/>
      <c r="AJ215" s="15"/>
      <c r="AK215" s="13"/>
      <c r="AM215" s="45"/>
      <c r="AO215" s="13"/>
      <c r="AQ215" s="45"/>
      <c r="AR215" s="1"/>
      <c r="AS215" s="13"/>
      <c r="AU215" s="45"/>
      <c r="AW215" s="13"/>
      <c r="AY215" s="45"/>
      <c r="AZ215" s="28"/>
      <c r="BA215" s="13"/>
      <c r="BB215" s="15"/>
      <c r="BC215" s="45"/>
      <c r="BD215" s="28"/>
      <c r="BE215" s="14"/>
      <c r="BF215" s="41">
        <f t="shared" ref="BF215:BG215" si="766">K215+O215+S215+W215+AA215+AE215+AI215+AM215+AQ215+AU215+AY215+BC215</f>
        <v>0</v>
      </c>
      <c r="BG215" s="34">
        <f t="shared" si="766"/>
        <v>0</v>
      </c>
      <c r="BH215" s="35">
        <f t="shared" ref="BH215:BH222" si="767">H215+BF215-BG215</f>
        <v>0</v>
      </c>
      <c r="BK215" s="2" t="b">
        <f>H215='2020'!BH215</f>
        <v>1</v>
      </c>
    </row>
    <row r="216" ht="14.25" customHeight="1" hidden="1" spans="1:63" x14ac:dyDescent="0.25">
      <c r="A216" s="2">
        <v>24</v>
      </c>
      <c r="B216" s="14">
        <v>4.01</v>
      </c>
      <c r="C216" s="2" t="s">
        <v>127</v>
      </c>
      <c r="D216" s="14" t="s">
        <v>44</v>
      </c>
      <c r="E216" s="2" t="s">
        <v>45</v>
      </c>
      <c r="F216" s="41">
        <v>2.5</v>
      </c>
      <c r="G216" s="35">
        <v>2.6</v>
      </c>
      <c r="H216" s="34">
        <f>'2020'!BH216</f>
        <v>0</v>
      </c>
      <c r="I216" s="13">
        <v>257</v>
      </c>
      <c r="J216" s="15">
        <f>I216-'2020'!BA216</f>
        <v>0</v>
      </c>
      <c r="K216" s="34">
        <f>J216*$F$8</f>
        <v>0</v>
      </c>
      <c r="L216" s="28"/>
      <c r="M216" s="13">
        <v>257</v>
      </c>
      <c r="N216" s="15">
        <f t="shared" ref="N216:N217" si="768">M216-I216</f>
        <v>0</v>
      </c>
      <c r="O216" s="34">
        <f>N216*$F$8</f>
        <v>0</v>
      </c>
      <c r="Q216" s="13">
        <v>257</v>
      </c>
      <c r="R216" s="15">
        <f t="shared" ref="R216:R217" si="769">Q216-M216</f>
        <v>0</v>
      </c>
      <c r="S216" s="34">
        <f>R216*$F$8</f>
        <v>0</v>
      </c>
      <c r="T216" s="28"/>
      <c r="U216" s="13">
        <v>257</v>
      </c>
      <c r="V216" s="15">
        <f t="shared" ref="V216:V217" si="770">U216-Q216</f>
        <v>0</v>
      </c>
      <c r="W216" s="34">
        <f>V216*$F$8</f>
        <v>0</v>
      </c>
      <c r="Y216" s="186">
        <v>335</v>
      </c>
      <c r="Z216" s="2">
        <f t="shared" ref="Z216:Z217" si="771">Y216-U216</f>
        <v>78</v>
      </c>
      <c r="AA216" s="34">
        <f>Z216*$F$8</f>
        <v>202.8</v>
      </c>
      <c r="AB216" s="32">
        <v>202.8</v>
      </c>
      <c r="AC216" s="15">
        <v>493</v>
      </c>
      <c r="AD216" s="15">
        <f t="shared" ref="AD216:AD217" si="772">AC216-Y216</f>
        <v>158</v>
      </c>
      <c r="AE216" s="180">
        <f>AD216*$F$8</f>
        <v>410.8</v>
      </c>
      <c r="AG216" s="15">
        <v>597</v>
      </c>
      <c r="AH216" s="2">
        <f t="shared" ref="AH216:AH217" si="773">AG216-AC216</f>
        <v>104</v>
      </c>
      <c r="AI216" s="45">
        <f>AH216*$G$8</f>
        <v>280.8</v>
      </c>
      <c r="AJ216" s="187">
        <v>410.8</v>
      </c>
      <c r="AK216" s="13">
        <v>741</v>
      </c>
      <c r="AL216" s="15">
        <f t="shared" ref="AL216:AL217" si="774">AK216-AG216</f>
        <v>144</v>
      </c>
      <c r="AM216" s="45">
        <f>AL216*$G$8</f>
        <v>388.8</v>
      </c>
      <c r="AN216" s="39">
        <v>280.8</v>
      </c>
      <c r="AO216" s="13">
        <v>774</v>
      </c>
      <c r="AP216" s="15">
        <f t="shared" ref="AP216:AP217" si="775">AO216-AK216</f>
        <v>33</v>
      </c>
      <c r="AQ216" s="45">
        <f>AP216*$G$8</f>
        <v>89.1</v>
      </c>
      <c r="AR216" s="39">
        <v>388.8</v>
      </c>
      <c r="AS216" s="13">
        <v>774</v>
      </c>
      <c r="AT216" s="15">
        <f t="shared" ref="AT216:AT217" si="776">AS216-AO216</f>
        <v>0</v>
      </c>
      <c r="AU216" s="45">
        <f>AT216*$G$8</f>
        <v>0</v>
      </c>
      <c r="AV216" s="15"/>
      <c r="AW216" s="13">
        <v>774</v>
      </c>
      <c r="AX216" s="15">
        <f t="shared" ref="AX216:AX217" si="777">AW216-AS216</f>
        <v>0</v>
      </c>
      <c r="AY216" s="45">
        <f>AX216*$G$8</f>
        <v>0</v>
      </c>
      <c r="AZ216" s="246">
        <v>89.1</v>
      </c>
      <c r="BA216" s="13">
        <v>774</v>
      </c>
      <c r="BB216" s="15">
        <f t="shared" ref="BB216:BB217" si="778">BA216-AW216</f>
        <v>0</v>
      </c>
      <c r="BC216" s="45">
        <f>BB216*$G$8</f>
        <v>0</v>
      </c>
      <c r="BD216" s="208"/>
      <c r="BE216" s="40">
        <f t="shared" ref="BE216:BG216" si="779">J216+N216+R216+V216+Z216+AD216+AH216+AL216+AP216+AT216+AX216+BB216</f>
        <v>517</v>
      </c>
      <c r="BF216" s="41">
        <f t="shared" si="779"/>
        <v>1372.3</v>
      </c>
      <c r="BG216" s="34">
        <f t="shared" si="779"/>
        <v>1372.3</v>
      </c>
      <c r="BH216" s="35">
        <f t="shared" si="767"/>
        <v>0</v>
      </c>
      <c r="BK216" s="2" t="b">
        <f>H216='2020'!BH216</f>
        <v>1</v>
      </c>
    </row>
    <row r="217" ht="14.25" customHeight="1" hidden="1" spans="1:63" x14ac:dyDescent="0.25">
      <c r="A217" s="2">
        <v>24</v>
      </c>
      <c r="B217" s="14"/>
      <c r="C217" s="2" t="s">
        <v>128</v>
      </c>
      <c r="D217" s="14" t="s">
        <v>47</v>
      </c>
      <c r="E217" s="2" t="s">
        <v>48</v>
      </c>
      <c r="F217" s="13">
        <v>18.56</v>
      </c>
      <c r="G217" s="35">
        <v>19.46</v>
      </c>
      <c r="H217" s="34">
        <f>'2020'!BH217</f>
        <v>0</v>
      </c>
      <c r="I217" s="13">
        <v>97</v>
      </c>
      <c r="J217" s="15"/>
      <c r="K217" s="15"/>
      <c r="L217" s="28"/>
      <c r="M217" s="13">
        <v>97</v>
      </c>
      <c r="N217" s="15">
        <f t="shared" si="768"/>
        <v>0</v>
      </c>
      <c r="Q217" s="13">
        <v>97</v>
      </c>
      <c r="R217" s="15">
        <f t="shared" si="769"/>
        <v>0</v>
      </c>
      <c r="S217" s="15"/>
      <c r="T217" s="28"/>
      <c r="U217" s="13">
        <v>97</v>
      </c>
      <c r="V217" s="15">
        <f t="shared" si="770"/>
        <v>0</v>
      </c>
      <c r="W217" s="34">
        <f>V217*$F$10</f>
        <v>0</v>
      </c>
      <c r="Y217" s="186">
        <v>98</v>
      </c>
      <c r="Z217" s="2">
        <f t="shared" si="771"/>
        <v>1</v>
      </c>
      <c r="AA217" s="34">
        <f>Z217*$F$10</f>
        <v>19.46</v>
      </c>
      <c r="AB217" s="28"/>
      <c r="AC217" s="15">
        <v>103</v>
      </c>
      <c r="AD217" s="15">
        <f t="shared" si="772"/>
        <v>5</v>
      </c>
      <c r="AE217" s="34">
        <f>AD217*$F$10</f>
        <v>97.3</v>
      </c>
      <c r="AF217" s="39">
        <v>19.46</v>
      </c>
      <c r="AG217" s="15">
        <v>106</v>
      </c>
      <c r="AH217" s="2">
        <f t="shared" si="773"/>
        <v>3</v>
      </c>
      <c r="AI217" s="45">
        <f>AH217*$G$10</f>
        <v>61.05</v>
      </c>
      <c r="AJ217" s="187">
        <v>97.3</v>
      </c>
      <c r="AK217" s="13">
        <v>110</v>
      </c>
      <c r="AL217" s="15">
        <f t="shared" si="774"/>
        <v>4</v>
      </c>
      <c r="AM217" s="45">
        <f>AL217*$G$10</f>
        <v>81.4</v>
      </c>
      <c r="AN217" s="1">
        <v>61.05</v>
      </c>
      <c r="AO217" s="13">
        <v>113</v>
      </c>
      <c r="AP217" s="15">
        <f t="shared" si="775"/>
        <v>3</v>
      </c>
      <c r="AQ217" s="45">
        <f>AP217*$G$10</f>
        <v>61.05</v>
      </c>
      <c r="AR217" s="39">
        <v>81.4</v>
      </c>
      <c r="AS217" s="13">
        <v>113</v>
      </c>
      <c r="AT217" s="15">
        <f t="shared" si="776"/>
        <v>0</v>
      </c>
      <c r="AU217" s="45">
        <f>AT217*$G$10</f>
        <v>0</v>
      </c>
      <c r="AV217" s="15"/>
      <c r="AW217" s="13">
        <v>113</v>
      </c>
      <c r="AX217" s="15">
        <f t="shared" si="777"/>
        <v>0</v>
      </c>
      <c r="AY217" s="45"/>
      <c r="AZ217" s="208">
        <v>61.05</v>
      </c>
      <c r="BA217" s="13">
        <v>113</v>
      </c>
      <c r="BB217" s="15">
        <f t="shared" si="778"/>
        <v>0</v>
      </c>
      <c r="BC217" s="45"/>
      <c r="BD217" s="208"/>
      <c r="BE217" s="40">
        <f t="shared" ref="BE217:BG217" si="780">J217+N217+R217+V217+Z217+AD217+AH217+AL217+AP217+AT217+AX217+BB217</f>
        <v>16</v>
      </c>
      <c r="BF217" s="41">
        <f t="shared" si="780"/>
        <v>320.26</v>
      </c>
      <c r="BG217" s="34">
        <f t="shared" si="780"/>
        <v>320.26</v>
      </c>
      <c r="BH217" s="35">
        <f t="shared" si="767"/>
        <v>0</v>
      </c>
      <c r="BK217" s="2" t="b">
        <f>H217='2020'!BH217</f>
        <v>1</v>
      </c>
    </row>
    <row r="218" ht="14.25" customHeight="1" hidden="1" spans="1:63" x14ac:dyDescent="0.25">
      <c r="A218" s="2">
        <v>24</v>
      </c>
      <c r="B218" s="14"/>
      <c r="C218" s="2" t="s">
        <v>129</v>
      </c>
      <c r="D218" s="14" t="s">
        <v>47</v>
      </c>
      <c r="E218" s="2" t="s">
        <v>49</v>
      </c>
      <c r="F218" s="41">
        <v>500</v>
      </c>
      <c r="G218" s="28"/>
      <c r="H218" s="34">
        <f>'2020'!BH218</f>
        <v>0</v>
      </c>
      <c r="I218" s="13"/>
      <c r="J218" s="15"/>
      <c r="K218" s="15"/>
      <c r="L218" s="28"/>
      <c r="M218" s="13"/>
      <c r="N218" s="15"/>
      <c r="Q218" s="13"/>
      <c r="R218" s="15"/>
      <c r="S218" s="15"/>
      <c r="T218" s="28"/>
      <c r="U218" s="13"/>
      <c r="V218" s="15"/>
      <c r="Y218" s="186"/>
      <c r="Z218" s="2"/>
      <c r="AA218" s="15"/>
      <c r="AB218" s="28"/>
      <c r="AC218" s="15"/>
      <c r="AD218" s="15"/>
      <c r="AG218" s="15"/>
      <c r="AH218" s="2"/>
      <c r="AI218" s="45"/>
      <c r="AJ218" s="304"/>
      <c r="AK218" s="13"/>
      <c r="AL218" s="15"/>
      <c r="AM218" s="45"/>
      <c r="AN218" s="15"/>
      <c r="AO218" s="13"/>
      <c r="AP218" s="15"/>
      <c r="AQ218" s="45"/>
      <c r="AR218" s="15"/>
      <c r="AS218" s="13"/>
      <c r="AT218" s="15"/>
      <c r="AU218" s="45"/>
      <c r="AV218" s="15"/>
      <c r="AW218" s="13"/>
      <c r="AX218" s="15"/>
      <c r="AY218" s="45"/>
      <c r="AZ218" s="32"/>
      <c r="BA218" s="13"/>
      <c r="BB218" s="15"/>
      <c r="BC218" s="45"/>
      <c r="BD218" s="28"/>
      <c r="BE218" s="14"/>
      <c r="BF218" s="41">
        <f t="shared" ref="BF218:BG218" si="781">K218+O218+S218+W218+AA218+AE218+AI218+AM218+AQ218+AU218+AY218+BC218</f>
        <v>0</v>
      </c>
      <c r="BG218" s="34">
        <f t="shared" si="781"/>
        <v>0</v>
      </c>
      <c r="BH218" s="35">
        <f t="shared" si="767"/>
        <v>0</v>
      </c>
      <c r="BK218" s="2" t="b">
        <f>H218='2020'!BH218</f>
        <v>1</v>
      </c>
    </row>
    <row r="219" ht="14.25" customHeight="1" hidden="1" spans="1:63" x14ac:dyDescent="0.25">
      <c r="A219" s="2">
        <v>24</v>
      </c>
      <c r="B219" s="14"/>
      <c r="C219" s="2" t="s">
        <v>393</v>
      </c>
      <c r="D219" s="14" t="s">
        <v>50</v>
      </c>
      <c r="E219" s="2" t="s">
        <v>49</v>
      </c>
      <c r="F219" s="41">
        <v>1100</v>
      </c>
      <c r="G219" s="28"/>
      <c r="H219" s="34">
        <f>'2020'!BH219</f>
        <v>0</v>
      </c>
      <c r="I219" s="13"/>
      <c r="J219" s="15"/>
      <c r="K219" s="15"/>
      <c r="L219" s="28"/>
      <c r="M219" s="13"/>
      <c r="N219" s="15"/>
      <c r="Q219" s="13"/>
      <c r="R219" s="15"/>
      <c r="S219" s="15"/>
      <c r="T219" s="28"/>
      <c r="U219" s="13"/>
      <c r="V219" s="15"/>
      <c r="Y219" s="186"/>
      <c r="Z219" s="2"/>
      <c r="AA219" s="15"/>
      <c r="AB219" s="35"/>
      <c r="AC219" s="15"/>
      <c r="AD219" s="15"/>
      <c r="AE219" s="34">
        <f>B216*$F$12</f>
        <v>4411</v>
      </c>
      <c r="AF219" s="180"/>
      <c r="AG219" s="15"/>
      <c r="AH219" s="2"/>
      <c r="AI219" s="45"/>
      <c r="AJ219" s="187">
        <v>4411</v>
      </c>
      <c r="AK219" s="13"/>
      <c r="AL219" s="15"/>
      <c r="AM219" s="45"/>
      <c r="AN219" s="15"/>
      <c r="AO219" s="13"/>
      <c r="AP219" s="15"/>
      <c r="AQ219" s="45"/>
      <c r="AR219" s="15"/>
      <c r="AS219" s="13"/>
      <c r="AT219" s="15"/>
      <c r="AU219" s="45"/>
      <c r="AV219" s="15"/>
      <c r="AW219" s="13"/>
      <c r="AX219" s="15"/>
      <c r="AY219" s="45"/>
      <c r="AZ219" s="32"/>
      <c r="BA219" s="13"/>
      <c r="BB219" s="15"/>
      <c r="BC219" s="45"/>
      <c r="BD219" s="28"/>
      <c r="BE219" s="14"/>
      <c r="BF219" s="41">
        <f t="shared" ref="BF219:BG219" si="782">K219+O219+S219+W219+AA219+AE219+AI219+AM219+AQ219+AU219+AY219+BC219</f>
        <v>4411</v>
      </c>
      <c r="BG219" s="34">
        <f t="shared" si="782"/>
        <v>4411</v>
      </c>
      <c r="BH219" s="35">
        <f t="shared" si="767"/>
        <v>0</v>
      </c>
      <c r="BK219" s="2" t="b">
        <f>H219='2020'!BH219</f>
        <v>1</v>
      </c>
    </row>
    <row r="220" ht="14.25" customHeight="1" hidden="1" spans="1:63" x14ac:dyDescent="0.25">
      <c r="A220" s="2">
        <v>24</v>
      </c>
      <c r="B220" s="14"/>
      <c r="C220" s="73" t="s">
        <v>130</v>
      </c>
      <c r="D220" s="14" t="s">
        <v>51</v>
      </c>
      <c r="E220" s="2" t="s">
        <v>39</v>
      </c>
      <c r="F220" s="41">
        <v>500</v>
      </c>
      <c r="G220" s="28"/>
      <c r="H220" s="34">
        <f>'2020'!BH220</f>
        <v>0</v>
      </c>
      <c r="I220" s="13"/>
      <c r="J220" s="15"/>
      <c r="K220" s="15"/>
      <c r="L220" s="28"/>
      <c r="M220" s="13"/>
      <c r="N220" s="15"/>
      <c r="Q220" s="13"/>
      <c r="R220" s="15"/>
      <c r="S220" s="15"/>
      <c r="T220" s="28"/>
      <c r="U220" s="13"/>
      <c r="V220" s="15"/>
      <c r="Y220" s="186"/>
      <c r="Z220" s="2"/>
      <c r="AA220" s="15"/>
      <c r="AB220" s="28"/>
      <c r="AC220" s="15"/>
      <c r="AD220" s="15"/>
      <c r="AE220" s="180">
        <f>$F$13</f>
      </c>
      <c r="AF220" s="34"/>
      <c r="AG220" s="15"/>
      <c r="AH220" s="2"/>
      <c r="AI220" s="45"/>
      <c r="AJ220" s="182"/>
      <c r="AK220" s="13"/>
      <c r="AL220" s="15"/>
      <c r="AM220" s="45"/>
      <c r="AN220" s="15"/>
      <c r="AO220" s="13"/>
      <c r="AP220" s="15"/>
      <c r="AQ220" s="180"/>
      <c r="AR220" s="15"/>
      <c r="AS220" s="13"/>
      <c r="AT220" s="15"/>
      <c r="AU220" s="45"/>
      <c r="AV220" s="15"/>
      <c r="AW220" s="13"/>
      <c r="AX220" s="15"/>
      <c r="AY220" s="45"/>
      <c r="AZ220" s="35"/>
      <c r="BA220" s="13"/>
      <c r="BB220" s="15"/>
      <c r="BC220" s="45"/>
      <c r="BD220" s="28"/>
      <c r="BE220" s="14"/>
      <c r="BF220" s="41">
        <f t="shared" ref="BF220:BG220" si="783">K220+O220+S220+W220+AA220+AE220+AI220+AM220+AQ220+AU220+AY220+BC220</f>
        <v>0</v>
      </c>
      <c r="BG220" s="34">
        <f t="shared" si="783"/>
        <v>0</v>
      </c>
      <c r="BH220" s="35">
        <f t="shared" si="767"/>
        <v>0</v>
      </c>
      <c r="BK220" s="2" t="b">
        <f>H220='2020'!BH220</f>
        <v>1</v>
      </c>
    </row>
    <row r="221" ht="14.25" customHeight="1" hidden="1" spans="1:63" x14ac:dyDescent="0.25">
      <c r="A221" s="2">
        <v>24</v>
      </c>
      <c r="B221" s="14"/>
      <c r="C221" s="73"/>
      <c r="D221" s="14" t="s">
        <v>51</v>
      </c>
      <c r="E221" s="2" t="s">
        <v>49</v>
      </c>
      <c r="F221" s="41">
        <v>500</v>
      </c>
      <c r="G221" s="28"/>
      <c r="H221" s="34">
        <f>'2020'!BH221</f>
        <v>0</v>
      </c>
      <c r="I221" s="13"/>
      <c r="J221" s="15"/>
      <c r="K221" s="15"/>
      <c r="L221" s="28"/>
      <c r="M221" s="13"/>
      <c r="N221" s="15"/>
      <c r="Q221" s="13"/>
      <c r="R221" s="15"/>
      <c r="S221" s="15"/>
      <c r="T221" s="28"/>
      <c r="U221" s="13"/>
      <c r="V221" s="15"/>
      <c r="Y221" s="186"/>
      <c r="Z221" s="2"/>
      <c r="AA221" s="15"/>
      <c r="AB221" s="28"/>
      <c r="AC221" s="15"/>
      <c r="AD221" s="15"/>
      <c r="AE221" s="34"/>
      <c r="AF221" s="34"/>
      <c r="AG221" s="15"/>
      <c r="AH221" s="2"/>
      <c r="AI221" s="45"/>
      <c r="AJ221" s="180"/>
      <c r="AK221" s="13"/>
      <c r="AL221" s="15"/>
      <c r="AM221" s="45"/>
      <c r="AN221" s="15"/>
      <c r="AO221" s="13"/>
      <c r="AP221" s="15"/>
      <c r="AQ221" s="180">
        <f>B216*$F$14</f>
        <v>0</v>
      </c>
      <c r="AR221" s="15"/>
      <c r="AS221" s="13"/>
      <c r="AT221" s="15"/>
      <c r="AU221" s="45"/>
      <c r="AV221" s="15"/>
      <c r="AW221" s="13"/>
      <c r="AX221" s="15"/>
      <c r="AY221" s="45"/>
      <c r="AZ221" s="35"/>
      <c r="BA221" s="13"/>
      <c r="BB221" s="15"/>
      <c r="BC221" s="45"/>
      <c r="BD221" s="28"/>
      <c r="BE221" s="14"/>
      <c r="BF221" s="41">
        <f t="shared" ref="BF221:BG221" si="784">K221+O221+S221+W221+AA221+AE221+AI221+AM221+AQ221+AU221+AY221+BC221</f>
        <v>0</v>
      </c>
      <c r="BG221" s="34">
        <f t="shared" si="784"/>
        <v>0</v>
      </c>
      <c r="BH221" s="35">
        <f t="shared" si="767"/>
        <v>0</v>
      </c>
      <c r="BK221" s="2" t="b">
        <f>H221='2020'!BH221</f>
        <v>1</v>
      </c>
    </row>
    <row r="222" ht="14.25" customHeight="1" hidden="1" spans="1:63" x14ac:dyDescent="0.25">
      <c r="A222" s="2">
        <v>24</v>
      </c>
      <c r="B222" s="14"/>
      <c r="D222" s="14" t="s">
        <v>52</v>
      </c>
      <c r="E222" s="2" t="s">
        <v>39</v>
      </c>
      <c r="F222" s="41">
        <v>500</v>
      </c>
      <c r="G222" s="28"/>
      <c r="H222" s="34">
        <f>'2020'!BH222</f>
        <v>0</v>
      </c>
      <c r="I222" s="13"/>
      <c r="J222" s="15"/>
      <c r="K222" s="15"/>
      <c r="L222" s="28"/>
      <c r="M222" s="13"/>
      <c r="N222" s="15"/>
      <c r="Q222" s="13"/>
      <c r="R222" s="15"/>
      <c r="S222" s="15"/>
      <c r="T222" s="28"/>
      <c r="U222" s="13"/>
      <c r="V222" s="15"/>
      <c r="Y222" s="186"/>
      <c r="Z222" s="2"/>
      <c r="AA222" s="34">
        <f>$F$15</f>
      </c>
      <c r="AB222" s="35"/>
      <c r="AC222" s="15"/>
      <c r="AD222" s="15"/>
      <c r="AG222" s="15"/>
      <c r="AH222" s="2"/>
      <c r="AI222" s="45"/>
      <c r="AJ222" s="180"/>
      <c r="AK222" s="13"/>
      <c r="AL222" s="15"/>
      <c r="AM222" s="45"/>
      <c r="AN222" s="15"/>
      <c r="AO222" s="13"/>
      <c r="AP222" s="15"/>
      <c r="AQ222" s="45"/>
      <c r="AR222" s="15"/>
      <c r="AS222" s="13"/>
      <c r="AT222" s="15"/>
      <c r="AU222" s="45"/>
      <c r="AV222" s="15"/>
      <c r="AW222" s="13"/>
      <c r="AX222" s="15"/>
      <c r="AY222" s="45"/>
      <c r="AZ222" s="38"/>
      <c r="BA222" s="13"/>
      <c r="BB222" s="15"/>
      <c r="BC222" s="45"/>
      <c r="BD222" s="35"/>
      <c r="BE222" s="14"/>
      <c r="BF222" s="41">
        <f t="shared" ref="BF222:BG222" si="785">K222+O222+S222+W222+AA222+AE222+AI222+AM222+AQ222+AU222+AY222+BC222</f>
        <v>0</v>
      </c>
      <c r="BG222" s="34">
        <f t="shared" si="785"/>
        <v>0</v>
      </c>
      <c r="BH222" s="35">
        <f t="shared" si="767"/>
        <v>0</v>
      </c>
      <c r="BK222" s="2" t="b">
        <f>H222='2020'!BH222</f>
        <v>1</v>
      </c>
    </row>
    <row r="223" ht="14.25" customHeight="1" hidden="1" spans="1:63" x14ac:dyDescent="0.25">
      <c r="A223" s="247">
        <v>24</v>
      </c>
      <c r="B223" s="21"/>
      <c r="C223" s="22" t="s">
        <v>53</v>
      </c>
      <c r="D223" s="21"/>
      <c r="E223" s="22"/>
      <c r="F223" s="20"/>
      <c r="G223" s="23"/>
      <c r="H223" s="51">
        <f>SUM(H215:H222)</f>
        <v>0</v>
      </c>
      <c r="I223" s="52"/>
      <c r="J223" s="53"/>
      <c r="K223" s="51">
        <f t="shared" ref="K223:L223" si="786">SUM(K215:K222)</f>
        <v>0</v>
      </c>
      <c r="L223" s="68">
        <f t="shared" si="786"/>
        <v>0</v>
      </c>
      <c r="M223" s="52"/>
      <c r="N223" s="53"/>
      <c r="O223" s="51">
        <f t="shared" ref="O223:P223" si="787">SUM(O215:O222)</f>
        <v>0</v>
      </c>
      <c r="P223" s="68">
        <f t="shared" si="787"/>
        <v>0</v>
      </c>
      <c r="Q223" s="52"/>
      <c r="R223" s="53"/>
      <c r="S223" s="51">
        <f t="shared" ref="S223:T223" si="788">SUM(S215:S222)</f>
        <v>0</v>
      </c>
      <c r="T223" s="68">
        <f t="shared" si="788"/>
        <v>0</v>
      </c>
      <c r="U223" s="52"/>
      <c r="V223" s="53"/>
      <c r="W223" s="51">
        <f t="shared" ref="W223:X223" si="789">SUM(W215:W222)</f>
        <v>0</v>
      </c>
      <c r="X223" s="68">
        <f t="shared" si="789"/>
        <v>0</v>
      </c>
      <c r="Y223" s="300"/>
      <c r="Z223" s="301"/>
      <c r="AA223" s="51">
        <f t="shared" ref="AA223:AB223" si="790">SUM(AA215:AA222)</f>
        <v>222.26</v>
      </c>
      <c r="AB223" s="68">
        <f t="shared" si="790"/>
        <v>202.8</v>
      </c>
      <c r="AC223" s="53"/>
      <c r="AD223" s="53"/>
      <c r="AE223" s="51">
        <f t="shared" ref="AE223:AF223" si="791">SUM(AE215:AE222)</f>
        <v>4919.1</v>
      </c>
      <c r="AF223" s="68">
        <f t="shared" si="791"/>
        <v>19.46</v>
      </c>
      <c r="AG223" s="53"/>
      <c r="AH223" s="301"/>
      <c r="AI223" s="183">
        <f t="shared" ref="AI223:AJ223" si="792">SUM(AI215:AI222)</f>
        <v>341.85</v>
      </c>
      <c r="AJ223" s="51">
        <f t="shared" si="792"/>
        <v>4919.1</v>
      </c>
      <c r="AK223" s="52"/>
      <c r="AL223" s="53"/>
      <c r="AM223" s="183">
        <f t="shared" ref="AM223:AN223" si="793">SUM(AM215:AM222)</f>
        <v>470.2</v>
      </c>
      <c r="AN223" s="51">
        <f t="shared" si="793"/>
        <v>341.85</v>
      </c>
      <c r="AO223" s="52"/>
      <c r="AP223" s="53"/>
      <c r="AQ223" s="183">
        <f t="shared" ref="AQ223:AR223" si="794">SUM(AQ215:AQ222)</f>
        <v>150.15</v>
      </c>
      <c r="AR223" s="51">
        <f t="shared" si="794"/>
        <v>470.2</v>
      </c>
      <c r="AS223" s="52"/>
      <c r="AT223" s="53"/>
      <c r="AU223" s="183">
        <f t="shared" ref="AU223:AV223" si="795">SUM(AU215:AU222)</f>
        <v>0</v>
      </c>
      <c r="AV223" s="68">
        <f t="shared" si="795"/>
        <v>0</v>
      </c>
      <c r="AW223" s="52"/>
      <c r="AX223" s="53"/>
      <c r="AY223" s="183">
        <f t="shared" ref="AY223:AZ223" si="796">SUM(AY215:AY222)</f>
        <v>0</v>
      </c>
      <c r="AZ223" s="68">
        <f t="shared" si="796"/>
        <v>150.15</v>
      </c>
      <c r="BA223" s="52"/>
      <c r="BB223" s="53"/>
      <c r="BC223" s="183">
        <f t="shared" ref="BC223:BD223" si="797">SUM(BC215:BC222)</f>
        <v>0</v>
      </c>
      <c r="BD223" s="68">
        <f t="shared" si="797"/>
        <v>0</v>
      </c>
      <c r="BE223" s="69"/>
      <c r="BF223" s="70">
        <f t="shared" ref="BF223:BH223" si="798">SUM(BF215:BF222)</f>
        <v>6103.56</v>
      </c>
      <c r="BG223" s="71">
        <f t="shared" si="798"/>
        <v>6103.56</v>
      </c>
      <c r="BH223" s="72">
        <f t="shared" si="798"/>
        <v>0</v>
      </c>
      <c r="BI223" s="34">
        <f>H223+BF223-BG223</f>
        <v>0</v>
      </c>
      <c r="BJ223" s="34">
        <f>BH223-BI223</f>
        <v>0</v>
      </c>
      <c r="BK223" s="2" t="b">
        <f>H223='2020'!BH223</f>
        <v>1</v>
      </c>
    </row>
    <row r="224" ht="14.25" customHeight="1" hidden="1" spans="1:63" x14ac:dyDescent="0.25">
      <c r="A224" s="2">
        <v>25</v>
      </c>
      <c r="B224" s="14"/>
      <c r="D224" s="14" t="s">
        <v>379</v>
      </c>
      <c r="F224" s="41"/>
      <c r="G224" s="28"/>
      <c r="H224" s="34">
        <f>'2020'!BH224</f>
        <v>56.7</v>
      </c>
      <c r="I224" s="13"/>
      <c r="J224" s="15"/>
      <c r="K224" s="34">
        <v>13.64</v>
      </c>
      <c r="L224" s="35"/>
      <c r="M224" s="13"/>
      <c r="N224" s="15"/>
      <c r="O224" s="2">
        <v>12.32</v>
      </c>
      <c r="Q224" s="13"/>
      <c r="R224" s="15"/>
      <c r="S224" s="15">
        <v>13.64</v>
      </c>
      <c r="T224" s="28"/>
      <c r="U224" s="13"/>
      <c r="V224" s="15"/>
      <c r="W224" s="2">
        <v>13.2</v>
      </c>
      <c r="Y224" s="186"/>
      <c r="Z224" s="2"/>
      <c r="AA224" s="15">
        <v>13.64</v>
      </c>
      <c r="AB224" s="28"/>
      <c r="AC224" s="15"/>
      <c r="AD224" s="15"/>
      <c r="AE224" s="2">
        <v>13.2</v>
      </c>
      <c r="AG224" s="15"/>
      <c r="AH224" s="2"/>
      <c r="AI224" s="45"/>
      <c r="AJ224" s="15"/>
      <c r="AK224" s="13"/>
      <c r="AM224" s="45">
        <v>13.64</v>
      </c>
      <c r="AO224" s="13"/>
      <c r="AQ224" s="307">
        <v>33.9</v>
      </c>
      <c r="AS224" s="13"/>
      <c r="AU224" s="180"/>
      <c r="AW224" s="13"/>
      <c r="AY224" s="180"/>
      <c r="AZ224" s="28"/>
      <c r="BA224" s="13"/>
      <c r="BB224" s="15"/>
      <c r="BC224" s="180"/>
      <c r="BD224" s="28"/>
      <c r="BE224" s="14"/>
      <c r="BF224" s="41">
        <f t="shared" ref="BF224:BG224" si="799">K224+O224+S224+W224+AA224+AE224+AI224+AM224+AQ224+AU224+AY224+BC224</f>
        <v>127.18</v>
      </c>
      <c r="BG224" s="34">
        <f t="shared" si="799"/>
        <v>0</v>
      </c>
      <c r="BH224" s="35">
        <f t="shared" ref="BH224:BH231" si="800">H224+BF224-BG224</f>
        <v>183.88</v>
      </c>
      <c r="BK224" s="2" t="b">
        <f>H224='2020'!BH224</f>
        <v>1</v>
      </c>
    </row>
    <row r="225" ht="14.25" customHeight="1" hidden="1" spans="1:63" x14ac:dyDescent="0.25">
      <c r="A225" s="2">
        <v>25</v>
      </c>
      <c r="B225" s="30">
        <v>4</v>
      </c>
      <c r="C225" s="2" t="s">
        <v>131</v>
      </c>
      <c r="D225" s="14" t="s">
        <v>44</v>
      </c>
      <c r="E225" s="2" t="s">
        <v>45</v>
      </c>
      <c r="F225" s="41">
        <v>2.5</v>
      </c>
      <c r="G225" s="35">
        <v>2.6</v>
      </c>
      <c r="H225" s="34">
        <f>'2020'!BH225</f>
        <v>-33.01</v>
      </c>
      <c r="I225" s="13">
        <v>26</v>
      </c>
      <c r="J225" s="15">
        <f>I225-'2020'!BA225</f>
        <v>0</v>
      </c>
      <c r="K225" s="34">
        <f>J225*$F$8</f>
        <v>0</v>
      </c>
      <c r="L225" s="28"/>
      <c r="M225" s="13">
        <v>26</v>
      </c>
      <c r="N225" s="15">
        <f t="shared" ref="N225:N226" si="801">M225-I225</f>
        <v>0</v>
      </c>
      <c r="O225" s="34">
        <f>N225*$F$8</f>
        <v>0</v>
      </c>
      <c r="Q225" s="13">
        <v>26</v>
      </c>
      <c r="R225" s="15">
        <f t="shared" ref="R225:R226" si="802">Q225-M225</f>
        <v>0</v>
      </c>
      <c r="S225" s="34">
        <f>R225*$F$8</f>
        <v>0</v>
      </c>
      <c r="T225" s="28"/>
      <c r="U225" s="13">
        <v>26</v>
      </c>
      <c r="V225" s="15">
        <f t="shared" ref="V225:V226" si="803">U225-Q225</f>
        <v>0</v>
      </c>
      <c r="W225" s="34">
        <f>V225*$F$8</f>
        <v>0</v>
      </c>
      <c r="Y225" s="186">
        <v>36</v>
      </c>
      <c r="Z225" s="2">
        <f t="shared" ref="Z225:Z226" si="804">Y225-U225</f>
        <v>10</v>
      </c>
      <c r="AA225" s="34">
        <f>Z225*$F$8</f>
        <v>26</v>
      </c>
      <c r="AB225" s="28"/>
      <c r="AC225" s="13">
        <v>36</v>
      </c>
      <c r="AD225" s="15">
        <f t="shared" ref="AD225:AD226" si="805">AC225-Y225</f>
        <v>0</v>
      </c>
      <c r="AE225" s="180">
        <f>AD225*$F$8</f>
        <v>0</v>
      </c>
      <c r="AG225" s="13">
        <v>37</v>
      </c>
      <c r="AH225" s="2">
        <f t="shared" ref="AH225:AH226" si="806">AG225-AC225</f>
        <v>1</v>
      </c>
      <c r="AI225" s="45">
        <f>AH225*$G$8</f>
        <v>2.7</v>
      </c>
      <c r="AJ225" s="15"/>
      <c r="AK225" s="13">
        <v>41</v>
      </c>
      <c r="AL225" s="15">
        <f t="shared" ref="AL225:AL226" si="807">AK225-AG225</f>
        <v>4</v>
      </c>
      <c r="AM225" s="45">
        <f>AL225*$G$8</f>
        <v>10.8</v>
      </c>
      <c r="AN225" s="15"/>
      <c r="AO225" s="13">
        <v>47</v>
      </c>
      <c r="AP225" s="15">
        <f t="shared" ref="AP225:AP226" si="808">AO225-AK225</f>
        <v>6</v>
      </c>
      <c r="AQ225" s="45">
        <f>AP225*$G$8</f>
        <v>16.2</v>
      </c>
      <c r="AR225" s="15"/>
      <c r="AS225" s="13">
        <v>47</v>
      </c>
      <c r="AT225" s="15">
        <f t="shared" ref="AT225:AT226" si="809">AS225-AO225</f>
        <v>0</v>
      </c>
      <c r="AU225" s="45">
        <f>AT225*$G$8</f>
        <v>0</v>
      </c>
      <c r="AV225" s="15"/>
      <c r="AW225" s="13">
        <v>48</v>
      </c>
      <c r="AX225" s="15">
        <f t="shared" ref="AX225:AX226" si="810">AW225-AS225</f>
        <v>1</v>
      </c>
      <c r="AY225" s="45">
        <f>AX225*$G$8</f>
        <v>2.7</v>
      </c>
      <c r="AZ225" s="208"/>
      <c r="BA225" s="13">
        <v>48</v>
      </c>
      <c r="BB225" s="15">
        <f t="shared" ref="BB225:BB226" si="811">BA225-AW225</f>
        <v>0</v>
      </c>
      <c r="BC225" s="45">
        <f>BB225*$G$8</f>
        <v>0</v>
      </c>
      <c r="BD225" s="208"/>
      <c r="BE225" s="40">
        <f t="shared" ref="BE225:BG225" si="812">J225+N225+R225+V225+Z225+AD225+AH225+AL225+AP225+AT225+AX225+BB225</f>
        <v>22</v>
      </c>
      <c r="BF225" s="41">
        <f t="shared" si="812"/>
        <v>58.4</v>
      </c>
      <c r="BG225" s="34">
        <f t="shared" si="812"/>
        <v>0</v>
      </c>
      <c r="BH225" s="35">
        <f t="shared" si="800"/>
        <v>25.39</v>
      </c>
      <c r="BK225" s="2" t="b">
        <f>H225='2020'!BH225</f>
        <v>1</v>
      </c>
    </row>
    <row r="226" ht="14.25" customHeight="1" hidden="1" spans="1:63" x14ac:dyDescent="0.25">
      <c r="A226" s="2">
        <v>25</v>
      </c>
      <c r="B226" s="14"/>
      <c r="C226" s="15" t="s">
        <v>394</v>
      </c>
      <c r="D226" s="14" t="s">
        <v>47</v>
      </c>
      <c r="E226" s="2" t="s">
        <v>48</v>
      </c>
      <c r="F226" s="13">
        <v>18.56</v>
      </c>
      <c r="G226" s="35">
        <v>19.46</v>
      </c>
      <c r="H226" s="34">
        <f>'2020'!BH226</f>
        <v>0</v>
      </c>
      <c r="I226" s="13">
        <v>2</v>
      </c>
      <c r="J226" s="15"/>
      <c r="K226" s="15"/>
      <c r="L226" s="28"/>
      <c r="M226" s="13">
        <v>2</v>
      </c>
      <c r="N226" s="15">
        <f t="shared" si="801"/>
        <v>0</v>
      </c>
      <c r="Q226" s="13">
        <v>2</v>
      </c>
      <c r="R226" s="15">
        <f t="shared" si="802"/>
        <v>0</v>
      </c>
      <c r="S226" s="15"/>
      <c r="T226" s="28"/>
      <c r="U226" s="13">
        <v>2</v>
      </c>
      <c r="V226" s="15">
        <f t="shared" si="803"/>
        <v>0</v>
      </c>
      <c r="W226" s="34">
        <f>V226*$F$10</f>
        <v>0</v>
      </c>
      <c r="Y226" s="186">
        <v>2</v>
      </c>
      <c r="Z226" s="2">
        <f t="shared" si="804"/>
        <v>0</v>
      </c>
      <c r="AA226" s="34">
        <f>Z226*$F$10</f>
        <v>0</v>
      </c>
      <c r="AB226" s="28"/>
      <c r="AC226" s="13">
        <v>2</v>
      </c>
      <c r="AD226" s="15">
        <f t="shared" si="805"/>
        <v>0</v>
      </c>
      <c r="AE226" s="34">
        <f>AD226*$F$10</f>
        <v>0</v>
      </c>
      <c r="AG226" s="13">
        <v>2</v>
      </c>
      <c r="AH226" s="2">
        <f t="shared" si="806"/>
        <v>0</v>
      </c>
      <c r="AI226" s="45">
        <f>AH226*$G$10</f>
        <v>0</v>
      </c>
      <c r="AJ226" s="15"/>
      <c r="AK226" s="13">
        <v>2</v>
      </c>
      <c r="AL226" s="15">
        <f t="shared" si="807"/>
        <v>0</v>
      </c>
      <c r="AM226" s="45">
        <f>AL226*$G$10</f>
        <v>0</v>
      </c>
      <c r="AN226" s="15"/>
      <c r="AO226" s="13">
        <v>2</v>
      </c>
      <c r="AP226" s="15">
        <f t="shared" si="808"/>
        <v>0</v>
      </c>
      <c r="AQ226" s="45">
        <f>AP226*$G$10</f>
        <v>0</v>
      </c>
      <c r="AR226" s="15"/>
      <c r="AS226" s="13">
        <v>2</v>
      </c>
      <c r="AT226" s="15">
        <f t="shared" si="809"/>
        <v>0</v>
      </c>
      <c r="AU226" s="45">
        <f>AT226*$G$10</f>
        <v>0</v>
      </c>
      <c r="AV226" s="15"/>
      <c r="AW226" s="13">
        <v>2</v>
      </c>
      <c r="AX226" s="15">
        <f t="shared" si="810"/>
        <v>0</v>
      </c>
      <c r="AY226" s="45"/>
      <c r="AZ226" s="208"/>
      <c r="BA226" s="13">
        <v>2</v>
      </c>
      <c r="BB226" s="15">
        <f t="shared" si="811"/>
        <v>0</v>
      </c>
      <c r="BC226" s="45"/>
      <c r="BD226" s="208"/>
      <c r="BE226" s="40">
        <f t="shared" ref="BE226:BG226" si="813">J226+N226+R226+V226+Z226+AD226+AH226+AL226+AP226+AT226+AX226+BB226</f>
        <v>0</v>
      </c>
      <c r="BF226" s="41">
        <f t="shared" si="813"/>
        <v>0</v>
      </c>
      <c r="BG226" s="34">
        <f t="shared" si="813"/>
        <v>0</v>
      </c>
      <c r="BH226" s="35">
        <f t="shared" si="800"/>
        <v>0</v>
      </c>
      <c r="BK226" s="2" t="b">
        <f>H226='2020'!BH226</f>
        <v>1</v>
      </c>
    </row>
    <row r="227" ht="14.25" customHeight="1" hidden="1" spans="1:63" x14ac:dyDescent="0.25">
      <c r="A227" s="2">
        <v>25</v>
      </c>
      <c r="B227" s="14"/>
      <c r="C227" s="15" t="s">
        <v>151</v>
      </c>
      <c r="D227" s="14" t="s">
        <v>47</v>
      </c>
      <c r="E227" s="2" t="s">
        <v>49</v>
      </c>
      <c r="F227" s="41">
        <v>500</v>
      </c>
      <c r="G227" s="28"/>
      <c r="H227" s="144">
        <f>'2020'!BH227</f>
        <v>0</v>
      </c>
      <c r="I227" s="13"/>
      <c r="J227" s="15"/>
      <c r="K227" s="15"/>
      <c r="L227" s="28"/>
      <c r="M227" s="13"/>
      <c r="N227" s="15"/>
      <c r="Q227" s="13"/>
      <c r="R227" s="15"/>
      <c r="S227" s="15"/>
      <c r="T227" s="28"/>
      <c r="U227" s="13"/>
      <c r="V227" s="15"/>
      <c r="Y227" s="186"/>
      <c r="Z227" s="2"/>
      <c r="AA227" s="34"/>
      <c r="AB227" s="28"/>
      <c r="AC227" s="15"/>
      <c r="AD227" s="15"/>
      <c r="AG227" s="15"/>
      <c r="AH227" s="2"/>
      <c r="AI227" s="45"/>
      <c r="AJ227" s="15"/>
      <c r="AK227" s="13"/>
      <c r="AL227" s="15"/>
      <c r="AM227" s="45"/>
      <c r="AN227" s="15"/>
      <c r="AO227" s="13"/>
      <c r="AP227" s="15"/>
      <c r="AQ227" s="45"/>
      <c r="AR227" s="15"/>
      <c r="AS227" s="13"/>
      <c r="AT227" s="15"/>
      <c r="AU227" s="45"/>
      <c r="AV227" s="15"/>
      <c r="AW227" s="13"/>
      <c r="AX227" s="15"/>
      <c r="AY227" s="45"/>
      <c r="AZ227" s="28"/>
      <c r="BA227" s="13"/>
      <c r="BB227" s="15"/>
      <c r="BC227" s="45"/>
      <c r="BD227" s="28"/>
      <c r="BE227" s="40">
        <f t="shared" ref="BE227:BG227" si="814">J227+N227+R227+V227+Z227+AD227+AH227+AL227+AP227+AT227+AX227+BB227</f>
        <v>0</v>
      </c>
      <c r="BF227" s="41">
        <f t="shared" si="814"/>
        <v>0</v>
      </c>
      <c r="BG227" s="34">
        <f t="shared" si="814"/>
        <v>0</v>
      </c>
      <c r="BH227" s="35">
        <f t="shared" si="800"/>
        <v>0</v>
      </c>
      <c r="BK227" s="2" t="b">
        <f>H227='2020'!BH227</f>
        <v>1</v>
      </c>
    </row>
    <row r="228" ht="14.25" customHeight="1" hidden="1" spans="1:63" x14ac:dyDescent="0.25">
      <c r="A228" s="2">
        <v>25</v>
      </c>
      <c r="B228" s="14"/>
      <c r="C228" s="73"/>
      <c r="D228" s="14" t="s">
        <v>50</v>
      </c>
      <c r="E228" s="2" t="s">
        <v>49</v>
      </c>
      <c r="F228" s="41">
        <v>1100</v>
      </c>
      <c r="G228" s="28"/>
      <c r="H228" s="34">
        <f>'2020'!BH228</f>
        <v>4400</v>
      </c>
      <c r="I228" s="13"/>
      <c r="J228" s="15"/>
      <c r="K228" s="15"/>
      <c r="L228" s="28"/>
      <c r="M228" s="13"/>
      <c r="N228" s="15"/>
      <c r="Q228" s="13"/>
      <c r="R228" s="15"/>
      <c r="S228" s="15"/>
      <c r="T228" s="28"/>
      <c r="U228" s="13"/>
      <c r="V228" s="15"/>
      <c r="Y228" s="186"/>
      <c r="Z228" s="2"/>
      <c r="AA228" s="15"/>
      <c r="AB228" s="28"/>
      <c r="AC228" s="15"/>
      <c r="AD228" s="15"/>
      <c r="AE228" s="34">
        <f>B225*$F$12</f>
        <v>4400</v>
      </c>
      <c r="AG228" s="15"/>
      <c r="AH228" s="2"/>
      <c r="AI228" s="45"/>
      <c r="AJ228" s="15"/>
      <c r="AK228" s="13"/>
      <c r="AL228" s="15"/>
      <c r="AM228" s="45"/>
      <c r="AN228" s="15"/>
      <c r="AO228" s="13"/>
      <c r="AP228" s="15"/>
      <c r="AQ228" s="45"/>
      <c r="AR228" s="15"/>
      <c r="AS228" s="13"/>
      <c r="AT228" s="15"/>
      <c r="AU228" s="45"/>
      <c r="AV228" s="15"/>
      <c r="AW228" s="13"/>
      <c r="AX228" s="15"/>
      <c r="AY228" s="45"/>
      <c r="AZ228" s="28"/>
      <c r="BA228" s="13"/>
      <c r="BB228" s="15"/>
      <c r="BC228" s="45"/>
      <c r="BD228" s="28"/>
      <c r="BE228" s="14"/>
      <c r="BF228" s="41">
        <f t="shared" ref="BF228:BG228" si="815">K228+O228+S228+W228+AA228+AE228+AI228+AM228+AQ228+AU228+AY228+BC228</f>
        <v>4400</v>
      </c>
      <c r="BG228" s="34">
        <f t="shared" si="815"/>
        <v>0</v>
      </c>
      <c r="BH228" s="35">
        <f t="shared" si="800"/>
        <v>8800</v>
      </c>
      <c r="BK228" s="2" t="b">
        <f>H228='2020'!BH228</f>
        <v>1</v>
      </c>
    </row>
    <row r="229" ht="14.25" customHeight="1" hidden="1" spans="1:63" x14ac:dyDescent="0.25">
      <c r="A229" s="2">
        <v>25</v>
      </c>
      <c r="B229" s="14"/>
      <c r="C229" s="15" t="s">
        <v>250</v>
      </c>
      <c r="D229" s="14" t="s">
        <v>51</v>
      </c>
      <c r="E229" s="2" t="s">
        <v>39</v>
      </c>
      <c r="F229" s="41">
        <v>500</v>
      </c>
      <c r="G229" s="28"/>
      <c r="H229" s="34">
        <f>'2020'!BH229</f>
        <v>500</v>
      </c>
      <c r="I229" s="13"/>
      <c r="J229" s="15"/>
      <c r="K229" s="15"/>
      <c r="L229" s="28"/>
      <c r="M229" s="13"/>
      <c r="N229" s="15"/>
      <c r="Q229" s="13"/>
      <c r="R229" s="15"/>
      <c r="S229" s="15"/>
      <c r="T229" s="28"/>
      <c r="U229" s="13"/>
      <c r="V229" s="15"/>
      <c r="Y229" s="186"/>
      <c r="Z229" s="2"/>
      <c r="AA229" s="15"/>
      <c r="AB229" s="28"/>
      <c r="AC229" s="15"/>
      <c r="AD229" s="15"/>
      <c r="AE229" s="180">
        <f>$F$13</f>
      </c>
      <c r="AG229" s="15"/>
      <c r="AH229" s="2"/>
      <c r="AI229" s="45"/>
      <c r="AJ229" s="15"/>
      <c r="AK229" s="13"/>
      <c r="AL229" s="15"/>
      <c r="AM229" s="45"/>
      <c r="AN229" s="15"/>
      <c r="AO229" s="13"/>
      <c r="AP229" s="15"/>
      <c r="AQ229" s="180"/>
      <c r="AR229" s="15"/>
      <c r="AS229" s="13"/>
      <c r="AT229" s="15"/>
      <c r="AU229" s="45"/>
      <c r="AV229" s="15"/>
      <c r="AW229" s="13"/>
      <c r="AX229" s="15"/>
      <c r="AY229" s="45"/>
      <c r="AZ229" s="28"/>
      <c r="BA229" s="13"/>
      <c r="BB229" s="15"/>
      <c r="BC229" s="45"/>
      <c r="BD229" s="28"/>
      <c r="BE229" s="14"/>
      <c r="BF229" s="41">
        <f t="shared" ref="BF229:BG229" si="816">K229+O229+S229+W229+AA229+AE229+AI229+AM229+AQ229+AU229+AY229+BC229</f>
        <v>0</v>
      </c>
      <c r="BG229" s="34">
        <f t="shared" si="816"/>
        <v>0</v>
      </c>
      <c r="BH229" s="35">
        <f t="shared" si="800"/>
        <v>500</v>
      </c>
      <c r="BK229" s="2" t="b">
        <f>H229='2020'!BH229</f>
        <v>1</v>
      </c>
    </row>
    <row r="230" ht="14.25" customHeight="1" hidden="1" spans="1:63" x14ac:dyDescent="0.25">
      <c r="A230" s="2">
        <v>25</v>
      </c>
      <c r="B230" s="14"/>
      <c r="C230" s="15"/>
      <c r="D230" s="14" t="s">
        <v>51</v>
      </c>
      <c r="E230" s="2" t="s">
        <v>49</v>
      </c>
      <c r="F230" s="41">
        <v>500</v>
      </c>
      <c r="G230" s="28"/>
      <c r="H230" s="34">
        <f>'2020'!BH230</f>
        <v>2000</v>
      </c>
      <c r="I230" s="13"/>
      <c r="J230" s="15"/>
      <c r="K230" s="15"/>
      <c r="L230" s="28"/>
      <c r="M230" s="13"/>
      <c r="N230" s="15"/>
      <c r="Q230" s="13"/>
      <c r="R230" s="15"/>
      <c r="S230" s="15"/>
      <c r="T230" s="28"/>
      <c r="U230" s="13"/>
      <c r="V230" s="15"/>
      <c r="Y230" s="186"/>
      <c r="Z230" s="2"/>
      <c r="AA230" s="15"/>
      <c r="AB230" s="28"/>
      <c r="AC230" s="15"/>
      <c r="AD230" s="15"/>
      <c r="AE230" s="34"/>
      <c r="AG230" s="15"/>
      <c r="AH230" s="2"/>
      <c r="AI230" s="45"/>
      <c r="AJ230" s="15"/>
      <c r="AK230" s="13"/>
      <c r="AL230" s="15"/>
      <c r="AM230" s="45"/>
      <c r="AN230" s="15"/>
      <c r="AO230" s="13"/>
      <c r="AP230" s="15"/>
      <c r="AQ230" s="180">
        <f>B225*$F$14</f>
        <v>0</v>
      </c>
      <c r="AR230" s="15"/>
      <c r="AS230" s="13"/>
      <c r="AT230" s="15"/>
      <c r="AU230" s="45"/>
      <c r="AV230" s="15"/>
      <c r="AW230" s="13"/>
      <c r="AX230" s="15"/>
      <c r="AY230" s="45"/>
      <c r="AZ230" s="28"/>
      <c r="BA230" s="13"/>
      <c r="BB230" s="15"/>
      <c r="BC230" s="45"/>
      <c r="BD230" s="28"/>
      <c r="BE230" s="14"/>
      <c r="BF230" s="41">
        <f t="shared" ref="BF230:BG230" si="817">K230+O230+S230+W230+AA230+AE230+AI230+AM230+AQ230+AU230+AY230+BC230</f>
        <v>0</v>
      </c>
      <c r="BG230" s="34">
        <f t="shared" si="817"/>
        <v>0</v>
      </c>
      <c r="BH230" s="35">
        <f t="shared" si="800"/>
        <v>2000</v>
      </c>
      <c r="BK230" s="2" t="b">
        <f>H230='2020'!BH230</f>
        <v>1</v>
      </c>
    </row>
    <row r="231" ht="14.25" customHeight="1" hidden="1" spans="1:63" x14ac:dyDescent="0.25">
      <c r="A231" s="2">
        <v>25</v>
      </c>
      <c r="B231" s="14"/>
      <c r="C231" s="15" t="s">
        <v>395</v>
      </c>
      <c r="D231" s="14" t="s">
        <v>52</v>
      </c>
      <c r="E231" s="2" t="s">
        <v>39</v>
      </c>
      <c r="F231" s="41">
        <v>500</v>
      </c>
      <c r="G231" s="28"/>
      <c r="H231" s="34">
        <f>'2020'!BH231</f>
        <v>500</v>
      </c>
      <c r="I231" s="13"/>
      <c r="J231" s="15"/>
      <c r="K231" s="15"/>
      <c r="L231" s="28"/>
      <c r="M231" s="13"/>
      <c r="N231" s="15"/>
      <c r="Q231" s="13"/>
      <c r="R231" s="15"/>
      <c r="S231" s="15"/>
      <c r="T231" s="28"/>
      <c r="U231" s="13"/>
      <c r="V231" s="15"/>
      <c r="Y231" s="186"/>
      <c r="Z231" s="2"/>
      <c r="AA231" s="34">
        <f>$F$15</f>
      </c>
      <c r="AB231" s="28"/>
      <c r="AC231" s="15"/>
      <c r="AD231" s="15"/>
      <c r="AG231" s="15"/>
      <c r="AH231" s="2"/>
      <c r="AI231" s="45"/>
      <c r="AJ231" s="15"/>
      <c r="AK231" s="13"/>
      <c r="AL231" s="15"/>
      <c r="AM231" s="45"/>
      <c r="AN231" s="15"/>
      <c r="AO231" s="13"/>
      <c r="AP231" s="15"/>
      <c r="AQ231" s="45"/>
      <c r="AR231" s="15"/>
      <c r="AS231" s="13"/>
      <c r="AT231" s="15"/>
      <c r="AU231" s="45"/>
      <c r="AV231" s="15"/>
      <c r="AW231" s="13"/>
      <c r="AX231" s="15"/>
      <c r="AY231" s="45"/>
      <c r="AZ231" s="35"/>
      <c r="BA231" s="13"/>
      <c r="BB231" s="15"/>
      <c r="BC231" s="45"/>
      <c r="BD231" s="35"/>
      <c r="BE231" s="14"/>
      <c r="BF231" s="41">
        <f t="shared" ref="BF231:BG231" si="818">K231+O231+S231+W231+AA231+AE231+AI231+AM231+AQ231+AU231+AY231+BC231</f>
        <v>0</v>
      </c>
      <c r="BG231" s="34">
        <f t="shared" si="818"/>
        <v>0</v>
      </c>
      <c r="BH231" s="35">
        <f t="shared" si="800"/>
        <v>500</v>
      </c>
      <c r="BK231" s="2" t="b">
        <f>H231='2020'!BH231</f>
        <v>1</v>
      </c>
    </row>
    <row r="232" ht="14.25" customHeight="1" hidden="1" spans="1:63" x14ac:dyDescent="0.25">
      <c r="A232" s="247">
        <v>25</v>
      </c>
      <c r="B232" s="21"/>
      <c r="C232" s="22" t="s">
        <v>53</v>
      </c>
      <c r="D232" s="21"/>
      <c r="E232" s="22"/>
      <c r="F232" s="20"/>
      <c r="G232" s="23"/>
      <c r="H232" s="51">
        <f>SUM(H224:H231)</f>
        <v>7423.69</v>
      </c>
      <c r="I232" s="52"/>
      <c r="J232" s="53"/>
      <c r="K232" s="51">
        <f t="shared" ref="K232:L232" si="819">SUM(K224:K231)</f>
        <v>13.64</v>
      </c>
      <c r="L232" s="68">
        <f t="shared" si="819"/>
        <v>0</v>
      </c>
      <c r="M232" s="52"/>
      <c r="N232" s="53"/>
      <c r="O232" s="51">
        <f t="shared" ref="O232:P232" si="820">SUM(O224:O231)</f>
        <v>12.32</v>
      </c>
      <c r="P232" s="51">
        <f t="shared" si="820"/>
        <v>0</v>
      </c>
      <c r="Q232" s="52"/>
      <c r="R232" s="53"/>
      <c r="S232" s="51">
        <f t="shared" ref="S232:T232" si="821">SUM(S224:S231)</f>
        <v>13.64</v>
      </c>
      <c r="T232" s="51">
        <f t="shared" si="821"/>
        <v>0</v>
      </c>
      <c r="U232" s="52"/>
      <c r="V232" s="53"/>
      <c r="W232" s="51">
        <f t="shared" ref="W232:X232" si="822">SUM(W224:W231)</f>
        <v>13.2</v>
      </c>
      <c r="X232" s="51">
        <f t="shared" si="822"/>
        <v>0</v>
      </c>
      <c r="Y232" s="300"/>
      <c r="Z232" s="301"/>
      <c r="AA232" s="51">
        <f t="shared" ref="AA232:AB232" si="823">SUM(AA224:AA231)</f>
        <v>39.64</v>
      </c>
      <c r="AB232" s="51">
        <f t="shared" si="823"/>
        <v>0</v>
      </c>
      <c r="AC232" s="52"/>
      <c r="AD232" s="53"/>
      <c r="AE232" s="51">
        <f t="shared" ref="AE232:AF232" si="824">SUM(AE224:AE231)</f>
        <v>4413.2</v>
      </c>
      <c r="AF232" s="51">
        <f t="shared" si="824"/>
        <v>0</v>
      </c>
      <c r="AG232" s="52"/>
      <c r="AH232" s="301"/>
      <c r="AI232" s="183">
        <f t="shared" ref="AI232:AJ232" si="825">SUM(AI224:AI231)</f>
        <v>2.7</v>
      </c>
      <c r="AJ232" s="51">
        <f t="shared" si="825"/>
        <v>0</v>
      </c>
      <c r="AK232" s="52"/>
      <c r="AL232" s="53"/>
      <c r="AM232" s="183">
        <f t="shared" ref="AM232:AN232" si="826">SUM(AM224:AM231)</f>
        <v>24.44</v>
      </c>
      <c r="AN232" s="51">
        <f t="shared" si="826"/>
        <v>0</v>
      </c>
      <c r="AO232" s="52"/>
      <c r="AP232" s="53"/>
      <c r="AQ232" s="183">
        <f t="shared" ref="AQ232:AR232" si="827">SUM(AQ224:AQ231)</f>
        <v>50.1</v>
      </c>
      <c r="AR232" s="51">
        <f t="shared" si="827"/>
        <v>0</v>
      </c>
      <c r="AS232" s="52"/>
      <c r="AT232" s="53"/>
      <c r="AU232" s="183">
        <f t="shared" ref="AU232:AV232" si="828">SUM(AU224:AU231)</f>
        <v>0</v>
      </c>
      <c r="AV232" s="68">
        <f t="shared" si="828"/>
        <v>0</v>
      </c>
      <c r="AW232" s="52"/>
      <c r="AX232" s="53"/>
      <c r="AY232" s="183">
        <f t="shared" ref="AY232:AZ232" si="829">SUM(AY224:AY231)</f>
        <v>2.7</v>
      </c>
      <c r="AZ232" s="68">
        <f t="shared" si="829"/>
        <v>0</v>
      </c>
      <c r="BA232" s="52"/>
      <c r="BB232" s="53"/>
      <c r="BC232" s="183">
        <f t="shared" ref="BC232:BD232" si="830">SUM(BC224:BC231)</f>
        <v>0</v>
      </c>
      <c r="BD232" s="68">
        <f t="shared" si="830"/>
        <v>0</v>
      </c>
      <c r="BE232" s="69"/>
      <c r="BF232" s="70">
        <f t="shared" ref="BF232:BH232" si="831">SUM(BF224:BF231)</f>
        <v>4585.58</v>
      </c>
      <c r="BG232" s="71">
        <f t="shared" si="831"/>
        <v>0</v>
      </c>
      <c r="BH232" s="72">
        <f t="shared" si="831"/>
        <v>12009.27</v>
      </c>
      <c r="BI232" s="34">
        <f>H232+BF232-BG232</f>
        <v>12009.27</v>
      </c>
      <c r="BJ232" s="34">
        <f>BH232-BI232</f>
        <v>0</v>
      </c>
      <c r="BK232" s="2" t="b">
        <f>H232='2020'!BH232</f>
        <v>1</v>
      </c>
    </row>
    <row r="233" ht="14.25" customHeight="1" hidden="1" spans="1:63" x14ac:dyDescent="0.25">
      <c r="A233" s="2">
        <v>26</v>
      </c>
      <c r="B233" s="14"/>
      <c r="D233" s="14" t="s">
        <v>132</v>
      </c>
      <c r="F233" s="13"/>
      <c r="G233" s="28"/>
      <c r="H233" s="34">
        <f>'2020'!BH233</f>
        <v>6673.26</v>
      </c>
      <c r="I233" s="13"/>
      <c r="J233" s="15"/>
      <c r="K233" s="34">
        <v>127.27</v>
      </c>
      <c r="L233" s="28"/>
      <c r="M233" s="13"/>
      <c r="N233" s="15"/>
      <c r="O233" s="2">
        <v>114.95</v>
      </c>
      <c r="Q233" s="13"/>
      <c r="R233" s="15"/>
      <c r="S233" s="34">
        <v>127.27</v>
      </c>
      <c r="T233" s="28"/>
      <c r="U233" s="13"/>
      <c r="V233" s="15"/>
      <c r="W233" s="2">
        <v>123.17</v>
      </c>
      <c r="Y233" s="186"/>
      <c r="Z233" s="2"/>
      <c r="AA233" s="34">
        <v>127.27</v>
      </c>
      <c r="AB233" s="28"/>
      <c r="AC233" s="15"/>
      <c r="AD233" s="15"/>
      <c r="AE233" s="2">
        <v>123.17</v>
      </c>
      <c r="AG233" s="15"/>
      <c r="AH233" s="2"/>
      <c r="AI233" s="45"/>
      <c r="AJ233" s="15"/>
      <c r="AK233" s="13"/>
      <c r="AM233" s="45">
        <v>127.27</v>
      </c>
      <c r="AO233" s="13"/>
      <c r="AQ233" s="307">
        <v>143.77</v>
      </c>
      <c r="AS233" s="13"/>
      <c r="AU233" s="180"/>
      <c r="AW233" s="13"/>
      <c r="AY233" s="180"/>
      <c r="AZ233" s="28"/>
      <c r="BA233" s="13"/>
      <c r="BB233" s="15"/>
      <c r="BC233" s="180"/>
      <c r="BD233" s="28"/>
      <c r="BE233" s="14"/>
      <c r="BF233" s="41">
        <f t="shared" ref="BF233:BG233" si="832">K233+O233+S233+W233+AA233+AE233+AI233+AM233+AQ233+AU233+AY233+BC233</f>
        <v>1014.14</v>
      </c>
      <c r="BG233" s="34">
        <f t="shared" si="832"/>
        <v>0</v>
      </c>
      <c r="BH233" s="35">
        <f t="shared" ref="BH233:BH240" si="833">H233+BF233-BG233</f>
        <v>7687.4</v>
      </c>
      <c r="BK233" s="2" t="b">
        <f>H233='2020'!BH233</f>
        <v>1</v>
      </c>
    </row>
    <row r="234" ht="14.25" customHeight="1" hidden="1" spans="1:63" x14ac:dyDescent="0.25">
      <c r="A234" s="2">
        <v>26</v>
      </c>
      <c r="B234" s="14">
        <v>3.98</v>
      </c>
      <c r="C234" s="154" t="s">
        <v>133</v>
      </c>
      <c r="D234" s="14" t="s">
        <v>44</v>
      </c>
      <c r="E234" s="2" t="s">
        <v>45</v>
      </c>
      <c r="F234" s="41">
        <v>2.5</v>
      </c>
      <c r="G234" s="35">
        <v>2.6</v>
      </c>
      <c r="H234" s="104">
        <f>'2020'!BH234</f>
        <v>0</v>
      </c>
      <c r="I234" s="13">
        <v>0</v>
      </c>
      <c r="J234" s="15">
        <f>I234-'2020'!BA234</f>
        <v>0</v>
      </c>
      <c r="K234" s="34">
        <f>J234*$F$8</f>
        <v>0</v>
      </c>
      <c r="L234" s="28"/>
      <c r="M234" s="13">
        <v>0</v>
      </c>
      <c r="N234" s="15">
        <f t="shared" ref="N234:N235" si="834">M234-I234</f>
        <v>0</v>
      </c>
      <c r="O234" s="34">
        <f>N234*$F$8</f>
        <v>0</v>
      </c>
      <c r="Q234" s="13">
        <v>0</v>
      </c>
      <c r="R234" s="15">
        <f t="shared" ref="R234:R235" si="835">Q234-M234</f>
        <v>0</v>
      </c>
      <c r="S234" s="34">
        <f>R234*$F$8</f>
        <v>0</v>
      </c>
      <c r="T234" s="28"/>
      <c r="U234" s="13">
        <v>0</v>
      </c>
      <c r="V234" s="15">
        <f t="shared" ref="V234:V235" si="836">U234-Q234</f>
        <v>0</v>
      </c>
      <c r="W234" s="34">
        <f>V234*$F$8</f>
        <v>0</v>
      </c>
      <c r="Y234" s="186"/>
      <c r="Z234" s="2">
        <f t="shared" ref="Z234:Z235" si="837">Y234-U234</f>
        <v>0</v>
      </c>
      <c r="AA234" s="34">
        <f>Z234*$F$8</f>
        <v>0</v>
      </c>
      <c r="AB234" s="28"/>
      <c r="AC234" s="15"/>
      <c r="AD234" s="15">
        <f t="shared" ref="AD234:AD235" si="838">AC234-Y234</f>
        <v>0</v>
      </c>
      <c r="AE234" s="180">
        <f>AD234*$F$8</f>
        <v>0</v>
      </c>
      <c r="AG234" s="15"/>
      <c r="AH234" s="2">
        <f t="shared" ref="AH234:AH235" si="839">AG234-AC234</f>
        <v>0</v>
      </c>
      <c r="AI234" s="45">
        <f>AH234*$G$8</f>
        <v>0</v>
      </c>
      <c r="AJ234" s="15"/>
      <c r="AK234" s="13"/>
      <c r="AL234" s="15">
        <f t="shared" ref="AL234:AL235" si="840">AK234-AG234</f>
        <v>0</v>
      </c>
      <c r="AM234" s="45">
        <f>AL234*$G$8</f>
        <v>0</v>
      </c>
      <c r="AN234" s="15"/>
      <c r="AO234" s="13"/>
      <c r="AP234" s="15">
        <f t="shared" ref="AP234:AP235" si="841">AO234-AK234</f>
        <v>0</v>
      </c>
      <c r="AQ234" s="45">
        <f>AP234*$G$8</f>
        <v>0</v>
      </c>
      <c r="AR234" s="15"/>
      <c r="AS234" s="13"/>
      <c r="AT234" s="15">
        <f t="shared" ref="AT234:AT235" si="842">AS234-AO234</f>
        <v>0</v>
      </c>
      <c r="AU234" s="45">
        <f>AT234*$G$8</f>
        <v>0</v>
      </c>
      <c r="AV234" s="15"/>
      <c r="AW234" s="13"/>
      <c r="AX234" s="15">
        <f t="shared" ref="AX234:AX235" si="843">AW234-AS234</f>
        <v>0</v>
      </c>
      <c r="AY234" s="45">
        <f>AX234*$G$8</f>
        <v>0</v>
      </c>
      <c r="AZ234" s="208"/>
      <c r="BA234" s="13"/>
      <c r="BB234" s="15">
        <f t="shared" ref="BB234:BB235" si="844">BA234-AW234</f>
        <v>0</v>
      </c>
      <c r="BC234" s="45">
        <f>BB234*$G$8</f>
        <v>0</v>
      </c>
      <c r="BD234" s="208"/>
      <c r="BE234" s="40">
        <f t="shared" ref="BE234:BG234" si="845">J234+N234+R234+V234+Z234+AD234+AH234+AL234+AP234+AT234+AX234+BB234</f>
        <v>0</v>
      </c>
      <c r="BF234" s="41">
        <f t="shared" si="845"/>
        <v>0</v>
      </c>
      <c r="BG234" s="34">
        <f t="shared" si="845"/>
        <v>0</v>
      </c>
      <c r="BH234" s="35">
        <f t="shared" si="833"/>
        <v>0</v>
      </c>
      <c r="BK234" s="2" t="b">
        <f>H234='2020'!BH234</f>
        <v>1</v>
      </c>
    </row>
    <row r="235" ht="14.25" customHeight="1" hidden="1" spans="1:63" x14ac:dyDescent="0.25">
      <c r="A235" s="2">
        <v>26</v>
      </c>
      <c r="B235" s="14"/>
      <c r="C235" s="154" t="s">
        <v>134</v>
      </c>
      <c r="D235" s="14" t="s">
        <v>47</v>
      </c>
      <c r="E235" s="2" t="s">
        <v>48</v>
      </c>
      <c r="F235" s="13">
        <v>18.56</v>
      </c>
      <c r="G235" s="35">
        <v>19.46</v>
      </c>
      <c r="H235" s="34">
        <f>'2020'!BH235</f>
        <v>0</v>
      </c>
      <c r="I235" s="13"/>
      <c r="J235" s="15"/>
      <c r="K235" s="15"/>
      <c r="L235" s="28"/>
      <c r="M235" s="13"/>
      <c r="N235" s="15">
        <f t="shared" si="834"/>
        <v>0</v>
      </c>
      <c r="Q235" s="13"/>
      <c r="R235" s="15">
        <f t="shared" si="835"/>
        <v>0</v>
      </c>
      <c r="S235" s="15"/>
      <c r="T235" s="28"/>
      <c r="U235" s="13"/>
      <c r="V235" s="15">
        <f t="shared" si="836"/>
        <v>0</v>
      </c>
      <c r="W235" s="34">
        <f>V235*$F$10</f>
        <v>0</v>
      </c>
      <c r="Y235" s="186"/>
      <c r="Z235" s="2">
        <f t="shared" si="837"/>
        <v>0</v>
      </c>
      <c r="AA235" s="34">
        <f>Z235*$F$10</f>
        <v>0</v>
      </c>
      <c r="AB235" s="28"/>
      <c r="AC235" s="15"/>
      <c r="AD235" s="15">
        <f t="shared" si="838"/>
        <v>0</v>
      </c>
      <c r="AE235" s="34">
        <f>AD235*$F$10</f>
        <v>0</v>
      </c>
      <c r="AG235" s="15"/>
      <c r="AH235" s="2">
        <f t="shared" si="839"/>
        <v>0</v>
      </c>
      <c r="AI235" s="45">
        <f>AH235*$G$10</f>
        <v>0</v>
      </c>
      <c r="AJ235" s="15"/>
      <c r="AK235" s="13"/>
      <c r="AL235" s="15">
        <f t="shared" si="840"/>
        <v>0</v>
      </c>
      <c r="AM235" s="45">
        <f>AL235*$G$10</f>
        <v>0</v>
      </c>
      <c r="AN235" s="15"/>
      <c r="AO235" s="13"/>
      <c r="AP235" s="15">
        <f t="shared" si="841"/>
        <v>0</v>
      </c>
      <c r="AQ235" s="45">
        <f>AP235*$G$10</f>
        <v>0</v>
      </c>
      <c r="AR235" s="15"/>
      <c r="AS235" s="13"/>
      <c r="AT235" s="15">
        <f t="shared" si="842"/>
        <v>0</v>
      </c>
      <c r="AU235" s="45">
        <f>AT235*$G$10</f>
        <v>0</v>
      </c>
      <c r="AV235" s="15"/>
      <c r="AW235" s="13"/>
      <c r="AX235" s="15">
        <f t="shared" si="843"/>
        <v>0</v>
      </c>
      <c r="AY235" s="45"/>
      <c r="AZ235" s="208"/>
      <c r="BA235" s="13"/>
      <c r="BB235" s="15">
        <f t="shared" si="844"/>
        <v>0</v>
      </c>
      <c r="BC235" s="45"/>
      <c r="BD235" s="208"/>
      <c r="BE235" s="40">
        <f t="shared" ref="BE235:BG235" si="846">J235+N235+R235+V235+Z235+AD235+AH235+AL235+AP235+AT235+AX235+BB235</f>
        <v>0</v>
      </c>
      <c r="BF235" s="41">
        <f t="shared" si="846"/>
        <v>0</v>
      </c>
      <c r="BG235" s="34">
        <f t="shared" si="846"/>
        <v>0</v>
      </c>
      <c r="BH235" s="35">
        <f t="shared" si="833"/>
        <v>0</v>
      </c>
      <c r="BK235" s="2" t="b">
        <f>H235='2020'!BH235</f>
        <v>1</v>
      </c>
    </row>
    <row r="236" ht="14.25" customHeight="1" hidden="1" spans="1:63" x14ac:dyDescent="0.25">
      <c r="A236" s="2">
        <v>26</v>
      </c>
      <c r="B236" s="14"/>
      <c r="C236" s="154" t="s">
        <v>135</v>
      </c>
      <c r="D236" s="14" t="s">
        <v>47</v>
      </c>
      <c r="E236" s="2" t="s">
        <v>49</v>
      </c>
      <c r="F236" s="41">
        <v>500</v>
      </c>
      <c r="G236" s="28"/>
      <c r="H236" s="144">
        <f>'2020'!BH236</f>
        <v>0</v>
      </c>
      <c r="I236" s="13"/>
      <c r="J236" s="15"/>
      <c r="K236" s="15"/>
      <c r="L236" s="28"/>
      <c r="M236" s="13"/>
      <c r="N236" s="15"/>
      <c r="Q236" s="13"/>
      <c r="R236" s="15"/>
      <c r="S236" s="15"/>
      <c r="T236" s="28"/>
      <c r="U236" s="13"/>
      <c r="V236" s="15"/>
      <c r="Y236" s="186"/>
      <c r="Z236" s="2"/>
      <c r="AA236" s="34"/>
      <c r="AB236" s="28"/>
      <c r="AC236" s="15"/>
      <c r="AD236" s="15"/>
      <c r="AG236" s="15"/>
      <c r="AH236" s="2"/>
      <c r="AI236" s="45"/>
      <c r="AJ236" s="15"/>
      <c r="AK236" s="13"/>
      <c r="AL236" s="15"/>
      <c r="AM236" s="45"/>
      <c r="AN236" s="15"/>
      <c r="AO236" s="13"/>
      <c r="AP236" s="15"/>
      <c r="AQ236" s="45"/>
      <c r="AR236" s="15"/>
      <c r="AS236" s="13"/>
      <c r="AT236" s="15"/>
      <c r="AU236" s="45"/>
      <c r="AV236" s="15"/>
      <c r="AW236" s="13"/>
      <c r="AX236" s="15"/>
      <c r="AY236" s="45"/>
      <c r="AZ236" s="28"/>
      <c r="BA236" s="13"/>
      <c r="BB236" s="15"/>
      <c r="BC236" s="45"/>
      <c r="BD236" s="28"/>
      <c r="BE236" s="40">
        <f t="shared" ref="BE236:BG236" si="847">J236+N236+R236+V236+Z236+AD236+AH236+AL236+AP236+AT236+AX236+BB236</f>
        <v>0</v>
      </c>
      <c r="BF236" s="41">
        <f t="shared" si="847"/>
        <v>0</v>
      </c>
      <c r="BG236" s="34">
        <f t="shared" si="847"/>
        <v>0</v>
      </c>
      <c r="BH236" s="35">
        <f t="shared" si="833"/>
        <v>0</v>
      </c>
      <c r="BK236" s="2" t="b">
        <f>H236='2020'!BH236</f>
        <v>1</v>
      </c>
    </row>
    <row r="237" ht="14.25" customHeight="1" hidden="1" spans="1:63" x14ac:dyDescent="0.25">
      <c r="A237" s="2">
        <v>26</v>
      </c>
      <c r="B237" s="14"/>
      <c r="C237" s="154"/>
      <c r="D237" s="14" t="s">
        <v>50</v>
      </c>
      <c r="E237" s="2" t="s">
        <v>49</v>
      </c>
      <c r="F237" s="41">
        <v>1100</v>
      </c>
      <c r="G237" s="28"/>
      <c r="H237" s="180">
        <f>'2020'!BH237</f>
        <v>24528.26</v>
      </c>
      <c r="I237" s="13"/>
      <c r="J237" s="15"/>
      <c r="K237" s="15"/>
      <c r="L237" s="28"/>
      <c r="M237" s="13"/>
      <c r="N237" s="15"/>
      <c r="Q237" s="13"/>
      <c r="R237" s="15"/>
      <c r="S237" s="15"/>
      <c r="T237" s="28"/>
      <c r="U237" s="13"/>
      <c r="V237" s="15"/>
      <c r="Y237" s="186"/>
      <c r="Z237" s="2"/>
      <c r="AA237" s="15"/>
      <c r="AB237" s="28"/>
      <c r="AC237" s="15"/>
      <c r="AD237" s="15"/>
      <c r="AE237" s="34">
        <f>B234*$F$12</f>
        <v>4378</v>
      </c>
      <c r="AG237" s="15"/>
      <c r="AH237" s="2"/>
      <c r="AI237" s="45"/>
      <c r="AJ237" s="15"/>
      <c r="AK237" s="13"/>
      <c r="AL237" s="15"/>
      <c r="AM237" s="45"/>
      <c r="AN237" s="15"/>
      <c r="AO237" s="13"/>
      <c r="AP237" s="15"/>
      <c r="AQ237" s="45"/>
      <c r="AR237" s="15"/>
      <c r="AS237" s="13"/>
      <c r="AT237" s="15"/>
      <c r="AU237" s="45"/>
      <c r="AV237" s="15"/>
      <c r="AW237" s="13"/>
      <c r="AX237" s="15"/>
      <c r="AY237" s="45"/>
      <c r="AZ237" s="28"/>
      <c r="BA237" s="13"/>
      <c r="BB237" s="15"/>
      <c r="BC237" s="45"/>
      <c r="BD237" s="28"/>
      <c r="BE237" s="14"/>
      <c r="BF237" s="41">
        <f t="shared" ref="BF237:BG237" si="848">K237+O237+S237+W237+AA237+AE237+AI237+AM237+AQ237+AU237+AY237+BC237</f>
        <v>4378</v>
      </c>
      <c r="BG237" s="34">
        <f t="shared" si="848"/>
        <v>0</v>
      </c>
      <c r="BH237" s="35">
        <f t="shared" si="833"/>
        <v>28906.26</v>
      </c>
      <c r="BK237" s="2" t="b">
        <f>H237='2020'!BH237</f>
        <v>1</v>
      </c>
    </row>
    <row r="238" ht="14.25" customHeight="1" hidden="1" spans="1:63" x14ac:dyDescent="0.25">
      <c r="A238" s="2">
        <v>26</v>
      </c>
      <c r="B238" s="14"/>
      <c r="D238" s="14" t="s">
        <v>51</v>
      </c>
      <c r="E238" s="2" t="s">
        <v>39</v>
      </c>
      <c r="F238" s="41">
        <v>500</v>
      </c>
      <c r="G238" s="28"/>
      <c r="H238" s="180">
        <f>'2020'!BH238</f>
        <v>17027</v>
      </c>
      <c r="I238" s="13"/>
      <c r="J238" s="15"/>
      <c r="K238" s="15"/>
      <c r="L238" s="28"/>
      <c r="M238" s="13"/>
      <c r="N238" s="15"/>
      <c r="Q238" s="13"/>
      <c r="R238" s="15"/>
      <c r="S238" s="15"/>
      <c r="T238" s="28"/>
      <c r="U238" s="13"/>
      <c r="V238" s="15"/>
      <c r="Y238" s="186"/>
      <c r="Z238" s="2"/>
      <c r="AA238" s="15"/>
      <c r="AB238" s="28"/>
      <c r="AC238" s="15"/>
      <c r="AD238" s="15"/>
      <c r="AE238" s="180">
        <f>$F$13</f>
      </c>
      <c r="AG238" s="15"/>
      <c r="AH238" s="2"/>
      <c r="AI238" s="45"/>
      <c r="AJ238" s="15"/>
      <c r="AK238" s="13"/>
      <c r="AL238" s="15"/>
      <c r="AM238" s="45"/>
      <c r="AN238" s="15"/>
      <c r="AO238" s="13"/>
      <c r="AP238" s="15"/>
      <c r="AQ238" s="180"/>
      <c r="AR238" s="15"/>
      <c r="AS238" s="13"/>
      <c r="AT238" s="15"/>
      <c r="AU238" s="45"/>
      <c r="AV238" s="15"/>
      <c r="AW238" s="13"/>
      <c r="AX238" s="15"/>
      <c r="AY238" s="45"/>
      <c r="AZ238" s="28"/>
      <c r="BA238" s="13"/>
      <c r="BB238" s="15"/>
      <c r="BC238" s="45"/>
      <c r="BD238" s="28"/>
      <c r="BE238" s="14"/>
      <c r="BF238" s="41">
        <f t="shared" ref="BF238:BG238" si="849">K238+O238+S238+W238+AA238+AE238+AI238+AM238+AQ238+AU238+AY238+BC238</f>
        <v>0</v>
      </c>
      <c r="BG238" s="34">
        <f t="shared" si="849"/>
        <v>0</v>
      </c>
      <c r="BH238" s="35">
        <f t="shared" si="833"/>
        <v>17027</v>
      </c>
      <c r="BK238" s="2" t="b">
        <f>H238='2020'!BH238</f>
        <v>1</v>
      </c>
    </row>
    <row r="239" ht="14.25" customHeight="1" hidden="1" spans="1:63" x14ac:dyDescent="0.25">
      <c r="A239" s="2">
        <v>26</v>
      </c>
      <c r="B239" s="14"/>
      <c r="D239" s="14" t="s">
        <v>51</v>
      </c>
      <c r="E239" s="2" t="s">
        <v>49</v>
      </c>
      <c r="F239" s="41">
        <v>500</v>
      </c>
      <c r="G239" s="28"/>
      <c r="H239" s="180">
        <f>'2020'!BH239</f>
        <v>1990</v>
      </c>
      <c r="I239" s="13"/>
      <c r="J239" s="15"/>
      <c r="K239" s="15"/>
      <c r="L239" s="28"/>
      <c r="M239" s="13"/>
      <c r="N239" s="15"/>
      <c r="Q239" s="13"/>
      <c r="R239" s="15"/>
      <c r="S239" s="15"/>
      <c r="T239" s="28"/>
      <c r="U239" s="13"/>
      <c r="V239" s="15"/>
      <c r="Y239" s="186"/>
      <c r="Z239" s="2"/>
      <c r="AA239" s="15"/>
      <c r="AB239" s="28"/>
      <c r="AC239" s="15"/>
      <c r="AD239" s="15"/>
      <c r="AE239" s="34"/>
      <c r="AG239" s="15"/>
      <c r="AH239" s="2"/>
      <c r="AI239" s="45"/>
      <c r="AJ239" s="15"/>
      <c r="AK239" s="13"/>
      <c r="AL239" s="15"/>
      <c r="AM239" s="45"/>
      <c r="AN239" s="15"/>
      <c r="AO239" s="13"/>
      <c r="AP239" s="15"/>
      <c r="AQ239" s="180">
        <f>B234*$F$14</f>
        <v>0</v>
      </c>
      <c r="AR239" s="15"/>
      <c r="AS239" s="13"/>
      <c r="AT239" s="15"/>
      <c r="AU239" s="45"/>
      <c r="AV239" s="15"/>
      <c r="AW239" s="13"/>
      <c r="AX239" s="15"/>
      <c r="AY239" s="45"/>
      <c r="AZ239" s="28"/>
      <c r="BA239" s="13"/>
      <c r="BB239" s="15"/>
      <c r="BC239" s="45"/>
      <c r="BD239" s="28"/>
      <c r="BE239" s="14"/>
      <c r="BF239" s="41">
        <f t="shared" ref="BF239:BG239" si="850">K239+O239+S239+W239+AA239+AE239+AI239+AM239+AQ239+AU239+AY239+BC239</f>
        <v>0</v>
      </c>
      <c r="BG239" s="34">
        <f t="shared" si="850"/>
        <v>0</v>
      </c>
      <c r="BH239" s="35">
        <f t="shared" si="833"/>
        <v>1990</v>
      </c>
      <c r="BK239" s="2" t="b">
        <f>H239='2020'!BH239</f>
        <v>1</v>
      </c>
    </row>
    <row r="240" ht="14.25" customHeight="1" hidden="1" spans="1:63" x14ac:dyDescent="0.25">
      <c r="A240" s="2">
        <v>26</v>
      </c>
      <c r="B240" s="14"/>
      <c r="D240" s="14" t="s">
        <v>52</v>
      </c>
      <c r="E240" s="2" t="s">
        <v>39</v>
      </c>
      <c r="F240" s="41">
        <v>500</v>
      </c>
      <c r="G240" s="28"/>
      <c r="H240" s="180">
        <f>'2020'!BH240</f>
        <v>2450</v>
      </c>
      <c r="I240" s="13"/>
      <c r="J240" s="15"/>
      <c r="K240" s="15"/>
      <c r="L240" s="28"/>
      <c r="M240" s="13"/>
      <c r="N240" s="15"/>
      <c r="Q240" s="13"/>
      <c r="R240" s="15"/>
      <c r="S240" s="15"/>
      <c r="T240" s="28"/>
      <c r="U240" s="13"/>
      <c r="V240" s="15"/>
      <c r="Y240" s="186"/>
      <c r="Z240" s="2"/>
      <c r="AA240" s="34">
        <f>$F$15</f>
      </c>
      <c r="AB240" s="28"/>
      <c r="AC240" s="15"/>
      <c r="AD240" s="15"/>
      <c r="AG240" s="15"/>
      <c r="AH240" s="2"/>
      <c r="AI240" s="45"/>
      <c r="AJ240" s="15"/>
      <c r="AK240" s="13"/>
      <c r="AL240" s="15"/>
      <c r="AM240" s="45"/>
      <c r="AN240" s="15"/>
      <c r="AO240" s="13"/>
      <c r="AP240" s="15"/>
      <c r="AQ240" s="45"/>
      <c r="AR240" s="15"/>
      <c r="AS240" s="13"/>
      <c r="AT240" s="15"/>
      <c r="AU240" s="45"/>
      <c r="AV240" s="15"/>
      <c r="AW240" s="13"/>
      <c r="AX240" s="15"/>
      <c r="AY240" s="45"/>
      <c r="AZ240" s="35"/>
      <c r="BA240" s="13"/>
      <c r="BB240" s="15"/>
      <c r="BC240" s="45"/>
      <c r="BD240" s="35"/>
      <c r="BE240" s="14"/>
      <c r="BF240" s="41">
        <f t="shared" ref="BF240:BG240" si="851">K240+O240+S240+W240+AA240+AE240+AI240+AM240+AQ240+AU240+AY240+BC240</f>
        <v>0</v>
      </c>
      <c r="BG240" s="34">
        <f t="shared" si="851"/>
        <v>0</v>
      </c>
      <c r="BH240" s="35">
        <f t="shared" si="833"/>
        <v>2450</v>
      </c>
      <c r="BK240" s="2" t="b">
        <f>H240='2020'!BH240</f>
        <v>1</v>
      </c>
    </row>
    <row r="241" ht="14.25" customHeight="1" hidden="1" spans="1:63" x14ac:dyDescent="0.25">
      <c r="A241" s="247">
        <v>26</v>
      </c>
      <c r="B241" s="21"/>
      <c r="C241" s="22" t="s">
        <v>53</v>
      </c>
      <c r="D241" s="21"/>
      <c r="E241" s="22"/>
      <c r="F241" s="20"/>
      <c r="G241" s="23"/>
      <c r="H241" s="51">
        <f>SUM(H233:H240)</f>
        <v>52668.52</v>
      </c>
      <c r="I241" s="52"/>
      <c r="J241" s="53"/>
      <c r="K241" s="51">
        <f t="shared" ref="K241:L241" si="852">SUM(K233:K240)</f>
        <v>127.27</v>
      </c>
      <c r="L241" s="68">
        <f t="shared" si="852"/>
        <v>0</v>
      </c>
      <c r="M241" s="52"/>
      <c r="N241" s="53"/>
      <c r="O241" s="51">
        <f t="shared" ref="O241:P241" si="853">SUM(O233:O240)</f>
        <v>114.95</v>
      </c>
      <c r="P241" s="51">
        <f t="shared" si="853"/>
        <v>0</v>
      </c>
      <c r="Q241" s="52"/>
      <c r="R241" s="53"/>
      <c r="S241" s="51">
        <f t="shared" ref="S241:T241" si="854">SUM(S233:S240)</f>
        <v>127.27</v>
      </c>
      <c r="T241" s="51">
        <f t="shared" si="854"/>
        <v>0</v>
      </c>
      <c r="U241" s="52"/>
      <c r="V241" s="53"/>
      <c r="W241" s="51">
        <f t="shared" ref="W241:X241" si="855">SUM(W233:W240)</f>
        <v>123.17</v>
      </c>
      <c r="X241" s="51">
        <f t="shared" si="855"/>
        <v>0</v>
      </c>
      <c r="Y241" s="300"/>
      <c r="Z241" s="301"/>
      <c r="AA241" s="51">
        <f t="shared" ref="AA241:AB241" si="856">SUM(AA233:AA240)</f>
        <v>127.27</v>
      </c>
      <c r="AB241" s="51">
        <f t="shared" si="856"/>
        <v>0</v>
      </c>
      <c r="AC241" s="52"/>
      <c r="AD241" s="53"/>
      <c r="AE241" s="51">
        <f t="shared" ref="AE241:AF241" si="857">SUM(AE233:AE240)</f>
        <v>4501.17</v>
      </c>
      <c r="AF241" s="51">
        <f t="shared" si="857"/>
        <v>0</v>
      </c>
      <c r="AG241" s="52"/>
      <c r="AH241" s="301"/>
      <c r="AI241" s="183">
        <f t="shared" ref="AI241:AJ241" si="858">SUM(AI233:AI240)</f>
        <v>0</v>
      </c>
      <c r="AJ241" s="51">
        <f t="shared" si="858"/>
        <v>0</v>
      </c>
      <c r="AK241" s="52"/>
      <c r="AL241" s="53"/>
      <c r="AM241" s="183">
        <f t="shared" ref="AM241:AN241" si="859">SUM(AM233:AM240)</f>
        <v>127.27</v>
      </c>
      <c r="AN241" s="51">
        <f t="shared" si="859"/>
        <v>0</v>
      </c>
      <c r="AO241" s="52"/>
      <c r="AP241" s="53"/>
      <c r="AQ241" s="183">
        <f t="shared" ref="AQ241:AR241" si="860">SUM(AQ233:AQ240)</f>
        <v>143.77</v>
      </c>
      <c r="AR241" s="51">
        <f t="shared" si="860"/>
        <v>0</v>
      </c>
      <c r="AS241" s="52"/>
      <c r="AT241" s="53"/>
      <c r="AU241" s="183">
        <f t="shared" ref="AU241:AV241" si="861">SUM(AU233:AU240)</f>
        <v>0</v>
      </c>
      <c r="AV241" s="68">
        <f t="shared" si="861"/>
        <v>0</v>
      </c>
      <c r="AW241" s="52"/>
      <c r="AX241" s="53"/>
      <c r="AY241" s="183">
        <f t="shared" ref="AY241:AZ241" si="862">SUM(AY233:AY240)</f>
        <v>0</v>
      </c>
      <c r="AZ241" s="68">
        <f t="shared" si="862"/>
        <v>0</v>
      </c>
      <c r="BA241" s="52"/>
      <c r="BB241" s="53"/>
      <c r="BC241" s="183">
        <f t="shared" ref="BC241:BD241" si="863">SUM(BC233:BC240)</f>
        <v>0</v>
      </c>
      <c r="BD241" s="68">
        <f t="shared" si="863"/>
        <v>0</v>
      </c>
      <c r="BE241" s="69"/>
      <c r="BF241" s="70">
        <f t="shared" ref="BF241:BH241" si="864">SUM(BF233:BF240)</f>
        <v>5392.14</v>
      </c>
      <c r="BG241" s="71">
        <f t="shared" si="864"/>
        <v>0</v>
      </c>
      <c r="BH241" s="72">
        <f t="shared" si="864"/>
        <v>58060.66</v>
      </c>
      <c r="BI241" s="34">
        <f>H241+BF241-BG241</f>
        <v>58060.66</v>
      </c>
      <c r="BJ241" s="34">
        <f>BH241-BI241</f>
        <v>0</v>
      </c>
      <c r="BK241" s="2" t="b">
        <f>H241='2020'!BH241</f>
        <v>1</v>
      </c>
    </row>
    <row r="242" ht="14.25" customHeight="1" hidden="1" spans="1:63" x14ac:dyDescent="0.25">
      <c r="A242" s="2">
        <v>27</v>
      </c>
      <c r="B242" s="14"/>
      <c r="D242" s="14" t="s">
        <v>379</v>
      </c>
      <c r="F242" s="13"/>
      <c r="G242" s="28"/>
      <c r="H242" s="34">
        <f>'2020'!BH242</f>
        <v>1066.45</v>
      </c>
      <c r="I242" s="13"/>
      <c r="J242" s="15"/>
      <c r="K242" s="34">
        <v>78.08</v>
      </c>
      <c r="L242" s="28"/>
      <c r="M242" s="13"/>
      <c r="N242" s="15"/>
      <c r="O242" s="2">
        <v>70.52</v>
      </c>
      <c r="Q242" s="13"/>
      <c r="R242" s="15"/>
      <c r="S242" s="34">
        <v>78.08</v>
      </c>
      <c r="T242" s="28"/>
      <c r="U242" s="13"/>
      <c r="V242" s="15"/>
      <c r="W242" s="2">
        <v>75.56</v>
      </c>
      <c r="Y242" s="186"/>
      <c r="Z242" s="2"/>
      <c r="AA242" s="34">
        <v>78.08</v>
      </c>
      <c r="AB242" s="28"/>
      <c r="AC242" s="15"/>
      <c r="AD242" s="15"/>
      <c r="AE242" s="2">
        <v>75.56</v>
      </c>
      <c r="AG242" s="15"/>
      <c r="AH242" s="2"/>
      <c r="AI242" s="45"/>
      <c r="AJ242" s="15"/>
      <c r="AK242" s="13"/>
      <c r="AM242" s="45">
        <v>78.08</v>
      </c>
      <c r="AO242" s="13"/>
      <c r="AQ242" s="307">
        <v>96.45</v>
      </c>
      <c r="AS242" s="13"/>
      <c r="AU242" s="180"/>
      <c r="AW242" s="13"/>
      <c r="AY242" s="180"/>
      <c r="AZ242" s="28"/>
      <c r="BA242" s="13"/>
      <c r="BB242" s="15"/>
      <c r="BC242" s="180"/>
      <c r="BD242" s="28"/>
      <c r="BE242" s="14"/>
      <c r="BF242" s="41">
        <f t="shared" ref="BF242:BG242" si="865">K242+O242+S242+W242+AA242+AE242+AI242+AM242+AQ242+AU242+AY242+BC242</f>
        <v>630.41</v>
      </c>
      <c r="BG242" s="34">
        <f t="shared" si="865"/>
        <v>0</v>
      </c>
      <c r="BH242" s="35">
        <f t="shared" ref="BH242:BH249" si="866">H242+BF242-BG242</f>
        <v>1696.86</v>
      </c>
      <c r="BK242" s="2" t="b">
        <f>H242='2020'!BH242</f>
        <v>1</v>
      </c>
    </row>
    <row r="243" ht="14.25" customHeight="1" hidden="1" spans="1:63" x14ac:dyDescent="0.25">
      <c r="A243" s="2">
        <v>27</v>
      </c>
      <c r="B243" s="14">
        <v>4.04</v>
      </c>
      <c r="C243" s="154" t="s">
        <v>136</v>
      </c>
      <c r="D243" s="14" t="s">
        <v>44</v>
      </c>
      <c r="E243" s="2" t="s">
        <v>45</v>
      </c>
      <c r="F243" s="41">
        <v>2.5</v>
      </c>
      <c r="G243" s="35">
        <v>2.6</v>
      </c>
      <c r="H243" s="104">
        <f>'2020'!BH243</f>
        <v>0</v>
      </c>
      <c r="I243" s="13">
        <v>0</v>
      </c>
      <c r="J243" s="15">
        <f>I243-'2020'!BA243</f>
        <v>0</v>
      </c>
      <c r="K243" s="34">
        <f>J243*$F$8</f>
        <v>0</v>
      </c>
      <c r="L243" s="28"/>
      <c r="M243" s="13">
        <v>0</v>
      </c>
      <c r="N243" s="15">
        <f t="shared" ref="N243:N244" si="867">M243-I243</f>
        <v>0</v>
      </c>
      <c r="O243" s="34">
        <f>N243*$F$8</f>
        <v>0</v>
      </c>
      <c r="Q243" s="13">
        <v>0</v>
      </c>
      <c r="R243" s="15">
        <f t="shared" ref="R243:R244" si="868">Q243-M243</f>
        <v>0</v>
      </c>
      <c r="S243" s="34">
        <f>R243*$F$8</f>
        <v>0</v>
      </c>
      <c r="T243" s="28"/>
      <c r="U243" s="13">
        <v>0</v>
      </c>
      <c r="V243" s="15">
        <f t="shared" ref="V243:V244" si="869">U243-Q243</f>
        <v>0</v>
      </c>
      <c r="W243" s="34">
        <f>V243*$F$8</f>
        <v>0</v>
      </c>
      <c r="Y243" s="186"/>
      <c r="Z243" s="2">
        <f t="shared" ref="Z243:Z244" si="870">Y243-U243</f>
        <v>0</v>
      </c>
      <c r="AA243" s="34">
        <f>Z243*$F$8</f>
        <v>0</v>
      </c>
      <c r="AB243" s="28"/>
      <c r="AC243" s="15"/>
      <c r="AD243" s="15">
        <f t="shared" ref="AD243:AD244" si="871">AC243-Y243</f>
        <v>0</v>
      </c>
      <c r="AE243" s="180">
        <f>AD243*$F$8</f>
        <v>0</v>
      </c>
      <c r="AG243" s="15"/>
      <c r="AH243" s="2">
        <f t="shared" ref="AH243:AH244" si="872">AG243-AC243</f>
        <v>0</v>
      </c>
      <c r="AI243" s="45">
        <f>AH243*$G$8</f>
        <v>0</v>
      </c>
      <c r="AJ243" s="15"/>
      <c r="AK243" s="13"/>
      <c r="AL243" s="15">
        <f t="shared" ref="AL243:AL244" si="873">AK243-AG243</f>
        <v>0</v>
      </c>
      <c r="AM243" s="45">
        <f>AL243*$G$8</f>
        <v>0</v>
      </c>
      <c r="AN243" s="15"/>
      <c r="AO243" s="13"/>
      <c r="AP243" s="15">
        <f t="shared" ref="AP243:AP244" si="874">AO243-AK243</f>
        <v>0</v>
      </c>
      <c r="AQ243" s="45">
        <f>AP243*$G$8</f>
        <v>0</v>
      </c>
      <c r="AR243" s="15"/>
      <c r="AS243" s="13"/>
      <c r="AT243" s="15">
        <f t="shared" ref="AT243:AT244" si="875">AS243-AO243</f>
        <v>0</v>
      </c>
      <c r="AU243" s="45">
        <f>AT243*$G$8</f>
        <v>0</v>
      </c>
      <c r="AV243" s="15"/>
      <c r="AW243" s="13"/>
      <c r="AX243" s="15">
        <f t="shared" ref="AX243:AX244" si="876">AW243-AS243</f>
        <v>0</v>
      </c>
      <c r="AY243" s="45">
        <f>AX243*$G$8</f>
        <v>0</v>
      </c>
      <c r="AZ243" s="208"/>
      <c r="BA243" s="13"/>
      <c r="BB243" s="15">
        <f t="shared" ref="BB243:BB244" si="877">BA243-AW243</f>
        <v>0</v>
      </c>
      <c r="BC243" s="45">
        <f>BB243*$G$8</f>
        <v>0</v>
      </c>
      <c r="BD243" s="208"/>
      <c r="BE243" s="40">
        <f t="shared" ref="BE243:BG243" si="878">J243+N243+R243+V243+Z243+AD243+AH243+AL243+AP243+AT243+AX243+BB243</f>
        <v>0</v>
      </c>
      <c r="BF243" s="41">
        <f t="shared" si="878"/>
        <v>0</v>
      </c>
      <c r="BG243" s="34">
        <f t="shared" si="878"/>
        <v>0</v>
      </c>
      <c r="BH243" s="35">
        <f t="shared" si="866"/>
        <v>0</v>
      </c>
      <c r="BK243" s="2" t="b">
        <f>H243='2020'!BH243</f>
        <v>1</v>
      </c>
    </row>
    <row r="244" ht="14.25" customHeight="1" hidden="1" spans="1:63" x14ac:dyDescent="0.25">
      <c r="A244" s="2">
        <v>27</v>
      </c>
      <c r="B244" s="14"/>
      <c r="C244" s="154" t="s">
        <v>137</v>
      </c>
      <c r="D244" s="14" t="s">
        <v>47</v>
      </c>
      <c r="E244" s="2" t="s">
        <v>48</v>
      </c>
      <c r="F244" s="13">
        <v>18.56</v>
      </c>
      <c r="G244" s="35">
        <v>19.46</v>
      </c>
      <c r="H244" s="34">
        <f>'2020'!BH244</f>
        <v>0</v>
      </c>
      <c r="I244" s="13"/>
      <c r="J244" s="15"/>
      <c r="K244" s="15"/>
      <c r="L244" s="28"/>
      <c r="M244" s="13"/>
      <c r="N244" s="15">
        <f t="shared" si="867"/>
        <v>0</v>
      </c>
      <c r="Q244" s="13"/>
      <c r="R244" s="15">
        <f t="shared" si="868"/>
        <v>0</v>
      </c>
      <c r="S244" s="15"/>
      <c r="T244" s="28"/>
      <c r="U244" s="13"/>
      <c r="V244" s="15">
        <f t="shared" si="869"/>
        <v>0</v>
      </c>
      <c r="W244" s="34">
        <f>V244*$F$10</f>
        <v>0</v>
      </c>
      <c r="Y244" s="186"/>
      <c r="Z244" s="2">
        <f t="shared" si="870"/>
        <v>0</v>
      </c>
      <c r="AA244" s="34">
        <f>Z244*$F$10</f>
        <v>0</v>
      </c>
      <c r="AB244" s="28"/>
      <c r="AC244" s="15"/>
      <c r="AD244" s="15">
        <f t="shared" si="871"/>
        <v>0</v>
      </c>
      <c r="AE244" s="34">
        <f>AD244*$F$10</f>
        <v>0</v>
      </c>
      <c r="AG244" s="15"/>
      <c r="AH244" s="2">
        <f t="shared" si="872"/>
        <v>0</v>
      </c>
      <c r="AI244" s="45">
        <f>AH244*$G$10</f>
        <v>0</v>
      </c>
      <c r="AJ244" s="15"/>
      <c r="AK244" s="13"/>
      <c r="AL244" s="15">
        <f t="shared" si="873"/>
        <v>0</v>
      </c>
      <c r="AM244" s="45">
        <f>AL244*$G$10</f>
        <v>0</v>
      </c>
      <c r="AN244" s="15"/>
      <c r="AO244" s="13"/>
      <c r="AP244" s="15">
        <f t="shared" si="874"/>
        <v>0</v>
      </c>
      <c r="AQ244" s="45">
        <f>AP244*$G$10</f>
        <v>0</v>
      </c>
      <c r="AR244" s="15"/>
      <c r="AS244" s="13"/>
      <c r="AT244" s="15">
        <f t="shared" si="875"/>
        <v>0</v>
      </c>
      <c r="AU244" s="45">
        <f>AT244*$G$10</f>
        <v>0</v>
      </c>
      <c r="AV244" s="15"/>
      <c r="AW244" s="13"/>
      <c r="AX244" s="15">
        <f t="shared" si="876"/>
        <v>0</v>
      </c>
      <c r="AY244" s="45"/>
      <c r="AZ244" s="208"/>
      <c r="BA244" s="13"/>
      <c r="BB244" s="15">
        <f t="shared" si="877"/>
        <v>0</v>
      </c>
      <c r="BC244" s="45"/>
      <c r="BD244" s="208"/>
      <c r="BE244" s="40">
        <f t="shared" ref="BE244:BG244" si="879">J244+N244+R244+V244+Z244+AD244+AH244+AL244+AP244+AT244+AX244+BB244</f>
        <v>0</v>
      </c>
      <c r="BF244" s="41">
        <f t="shared" si="879"/>
        <v>0</v>
      </c>
      <c r="BG244" s="34">
        <f t="shared" si="879"/>
        <v>0</v>
      </c>
      <c r="BH244" s="35">
        <f t="shared" si="866"/>
        <v>0</v>
      </c>
      <c r="BK244" s="2" t="b">
        <f>H244='2020'!BH244</f>
        <v>1</v>
      </c>
    </row>
    <row r="245" ht="14.25" customHeight="1" hidden="1" spans="1:63" x14ac:dyDescent="0.25">
      <c r="A245" s="2">
        <v>27</v>
      </c>
      <c r="B245" s="14"/>
      <c r="C245" s="154" t="s">
        <v>138</v>
      </c>
      <c r="D245" s="14" t="s">
        <v>47</v>
      </c>
      <c r="E245" s="2" t="s">
        <v>49</v>
      </c>
      <c r="F245" s="41">
        <v>500</v>
      </c>
      <c r="G245" s="28"/>
      <c r="H245" s="144">
        <f>'2020'!BH245</f>
        <v>0</v>
      </c>
      <c r="I245" s="13"/>
      <c r="J245" s="15"/>
      <c r="K245" s="15"/>
      <c r="L245" s="28"/>
      <c r="M245" s="13"/>
      <c r="N245" s="15"/>
      <c r="Q245" s="13"/>
      <c r="R245" s="15"/>
      <c r="S245" s="15"/>
      <c r="T245" s="28"/>
      <c r="U245" s="13"/>
      <c r="V245" s="15"/>
      <c r="Y245" s="186"/>
      <c r="Z245" s="2"/>
      <c r="AA245" s="34"/>
      <c r="AB245" s="28"/>
      <c r="AC245" s="15"/>
      <c r="AD245" s="15"/>
      <c r="AG245" s="15"/>
      <c r="AH245" s="2"/>
      <c r="AI245" s="45"/>
      <c r="AJ245" s="15"/>
      <c r="AK245" s="13"/>
      <c r="AL245" s="15"/>
      <c r="AM245" s="45"/>
      <c r="AN245" s="15"/>
      <c r="AO245" s="13"/>
      <c r="AP245" s="15"/>
      <c r="AQ245" s="45"/>
      <c r="AR245" s="15"/>
      <c r="AS245" s="13"/>
      <c r="AT245" s="15"/>
      <c r="AU245" s="45"/>
      <c r="AV245" s="15"/>
      <c r="AW245" s="13"/>
      <c r="AX245" s="15"/>
      <c r="AY245" s="45"/>
      <c r="AZ245" s="28"/>
      <c r="BA245" s="13"/>
      <c r="BB245" s="15"/>
      <c r="BC245" s="45"/>
      <c r="BD245" s="28"/>
      <c r="BE245" s="40">
        <f t="shared" ref="BE245:BG245" si="880">J245+N245+R245+V245+Z245+AD245+AH245+AL245+AP245+AT245+AX245+BB245</f>
        <v>0</v>
      </c>
      <c r="BF245" s="41">
        <f t="shared" si="880"/>
        <v>0</v>
      </c>
      <c r="BG245" s="34">
        <f t="shared" si="880"/>
        <v>0</v>
      </c>
      <c r="BH245" s="35">
        <f t="shared" si="866"/>
        <v>0</v>
      </c>
      <c r="BK245" s="2" t="b">
        <f>H245='2020'!BH245</f>
        <v>1</v>
      </c>
    </row>
    <row r="246" ht="14.25" customHeight="1" hidden="1" spans="1:63" x14ac:dyDescent="0.25">
      <c r="A246" s="2">
        <v>27</v>
      </c>
      <c r="B246" s="14"/>
      <c r="C246" s="154"/>
      <c r="D246" s="14" t="s">
        <v>50</v>
      </c>
      <c r="E246" s="2" t="s">
        <v>49</v>
      </c>
      <c r="F246" s="41">
        <v>1100</v>
      </c>
      <c r="G246" s="28"/>
      <c r="H246" s="180">
        <f>'2020'!BH246</f>
        <v>22378.03</v>
      </c>
      <c r="I246" s="13"/>
      <c r="J246" s="15"/>
      <c r="K246" s="15"/>
      <c r="L246" s="28"/>
      <c r="M246" s="13"/>
      <c r="N246" s="15"/>
      <c r="Q246" s="13"/>
      <c r="R246" s="15"/>
      <c r="S246" s="15"/>
      <c r="T246" s="28"/>
      <c r="U246" s="13"/>
      <c r="V246" s="15"/>
      <c r="Y246" s="186"/>
      <c r="Z246" s="2"/>
      <c r="AA246" s="15"/>
      <c r="AB246" s="28"/>
      <c r="AC246" s="15"/>
      <c r="AD246" s="15"/>
      <c r="AE246" s="34">
        <f>B243*$F$12</f>
        <v>4444</v>
      </c>
      <c r="AG246" s="15"/>
      <c r="AH246" s="2"/>
      <c r="AI246" s="45"/>
      <c r="AJ246" s="15"/>
      <c r="AK246" s="13"/>
      <c r="AL246" s="15"/>
      <c r="AM246" s="45"/>
      <c r="AN246" s="15"/>
      <c r="AO246" s="13"/>
      <c r="AP246" s="15"/>
      <c r="AQ246" s="45"/>
      <c r="AR246" s="15"/>
      <c r="AS246" s="13"/>
      <c r="AT246" s="15"/>
      <c r="AU246" s="45"/>
      <c r="AV246" s="15"/>
      <c r="AW246" s="13"/>
      <c r="AX246" s="15"/>
      <c r="AY246" s="45"/>
      <c r="AZ246" s="28"/>
      <c r="BA246" s="13"/>
      <c r="BB246" s="15"/>
      <c r="BC246" s="45"/>
      <c r="BD246" s="28"/>
      <c r="BE246" s="14"/>
      <c r="BF246" s="41">
        <f t="shared" ref="BF246:BG246" si="881">K246+O246+S246+W246+AA246+AE246+AI246+AM246+AQ246+AU246+AY246+BC246</f>
        <v>4444</v>
      </c>
      <c r="BG246" s="34">
        <f t="shared" si="881"/>
        <v>0</v>
      </c>
      <c r="BH246" s="35">
        <f t="shared" si="866"/>
        <v>26822.03</v>
      </c>
      <c r="BK246" s="2" t="b">
        <f>H246='2020'!BH246</f>
        <v>1</v>
      </c>
    </row>
    <row r="247" ht="14.25" customHeight="1" hidden="1" spans="1:63" x14ac:dyDescent="0.25">
      <c r="A247" s="2">
        <v>27</v>
      </c>
      <c r="B247" s="14"/>
      <c r="D247" s="14" t="s">
        <v>51</v>
      </c>
      <c r="E247" s="2" t="s">
        <v>39</v>
      </c>
      <c r="F247" s="41">
        <v>500</v>
      </c>
      <c r="G247" s="28"/>
      <c r="H247" s="180">
        <f>'2020'!BH247</f>
        <v>3308</v>
      </c>
      <c r="I247" s="13"/>
      <c r="J247" s="15"/>
      <c r="K247" s="15"/>
      <c r="L247" s="28"/>
      <c r="M247" s="13"/>
      <c r="N247" s="15"/>
      <c r="Q247" s="13"/>
      <c r="R247" s="15"/>
      <c r="S247" s="15"/>
      <c r="T247" s="28"/>
      <c r="U247" s="13"/>
      <c r="V247" s="15"/>
      <c r="Y247" s="186"/>
      <c r="Z247" s="2"/>
      <c r="AA247" s="15"/>
      <c r="AB247" s="28"/>
      <c r="AC247" s="15"/>
      <c r="AD247" s="15"/>
      <c r="AE247" s="180">
        <f>$F$13</f>
      </c>
      <c r="AG247" s="15"/>
      <c r="AH247" s="2"/>
      <c r="AI247" s="45"/>
      <c r="AJ247" s="15"/>
      <c r="AK247" s="13"/>
      <c r="AL247" s="15"/>
      <c r="AM247" s="45"/>
      <c r="AN247" s="15"/>
      <c r="AO247" s="13"/>
      <c r="AP247" s="15"/>
      <c r="AQ247" s="180"/>
      <c r="AR247" s="15"/>
      <c r="AS247" s="13"/>
      <c r="AT247" s="15"/>
      <c r="AU247" s="45"/>
      <c r="AV247" s="15"/>
      <c r="AW247" s="13"/>
      <c r="AX247" s="15"/>
      <c r="AY247" s="45"/>
      <c r="AZ247" s="28"/>
      <c r="BA247" s="13"/>
      <c r="BB247" s="15"/>
      <c r="BC247" s="45"/>
      <c r="BD247" s="28"/>
      <c r="BE247" s="14"/>
      <c r="BF247" s="41">
        <f t="shared" ref="BF247:BG247" si="882">K247+O247+S247+W247+AA247+AE247+AI247+AM247+AQ247+AU247+AY247+BC247</f>
        <v>0</v>
      </c>
      <c r="BG247" s="34">
        <f t="shared" si="882"/>
        <v>0</v>
      </c>
      <c r="BH247" s="35">
        <f t="shared" si="866"/>
        <v>3308</v>
      </c>
      <c r="BK247" s="2" t="b">
        <f>H247='2020'!BH247</f>
        <v>1</v>
      </c>
    </row>
    <row r="248" ht="14.25" customHeight="1" hidden="1" spans="1:63" x14ac:dyDescent="0.25">
      <c r="A248" s="2">
        <v>27</v>
      </c>
      <c r="B248" s="14"/>
      <c r="D248" s="14" t="s">
        <v>51</v>
      </c>
      <c r="E248" s="2" t="s">
        <v>49</v>
      </c>
      <c r="F248" s="41">
        <v>500</v>
      </c>
      <c r="G248" s="28"/>
      <c r="H248" s="180">
        <f>'2020'!BH248</f>
        <v>2020</v>
      </c>
      <c r="I248" s="13"/>
      <c r="J248" s="15"/>
      <c r="K248" s="15"/>
      <c r="L248" s="28"/>
      <c r="M248" s="13"/>
      <c r="N248" s="15"/>
      <c r="Q248" s="13"/>
      <c r="R248" s="15"/>
      <c r="S248" s="15"/>
      <c r="T248" s="28"/>
      <c r="U248" s="13"/>
      <c r="V248" s="15"/>
      <c r="Y248" s="186"/>
      <c r="Z248" s="2"/>
      <c r="AA248" s="15"/>
      <c r="AB248" s="28"/>
      <c r="AC248" s="15"/>
      <c r="AD248" s="15"/>
      <c r="AE248" s="34"/>
      <c r="AG248" s="15"/>
      <c r="AH248" s="2"/>
      <c r="AI248" s="45"/>
      <c r="AJ248" s="15"/>
      <c r="AK248" s="13"/>
      <c r="AL248" s="15"/>
      <c r="AM248" s="45"/>
      <c r="AN248" s="15"/>
      <c r="AO248" s="13"/>
      <c r="AP248" s="15"/>
      <c r="AQ248" s="180">
        <f>B243*$F$14</f>
        <v>0</v>
      </c>
      <c r="AR248" s="15"/>
      <c r="AS248" s="13"/>
      <c r="AT248" s="15"/>
      <c r="AU248" s="45"/>
      <c r="AV248" s="15"/>
      <c r="AW248" s="13"/>
      <c r="AX248" s="15"/>
      <c r="AY248" s="45"/>
      <c r="AZ248" s="28"/>
      <c r="BA248" s="13"/>
      <c r="BB248" s="15"/>
      <c r="BC248" s="45"/>
      <c r="BD248" s="28"/>
      <c r="BE248" s="14"/>
      <c r="BF248" s="41">
        <f t="shared" ref="BF248:BG248" si="883">K248+O248+S248+W248+AA248+AE248+AI248+AM248+AQ248+AU248+AY248+BC248</f>
        <v>0</v>
      </c>
      <c r="BG248" s="34">
        <f t="shared" si="883"/>
        <v>0</v>
      </c>
      <c r="BH248" s="35">
        <f t="shared" si="866"/>
        <v>2020</v>
      </c>
      <c r="BK248" s="2" t="b">
        <f>H248='2020'!BH248</f>
        <v>1</v>
      </c>
    </row>
    <row r="249" ht="14.25" customHeight="1" hidden="1" spans="1:63" x14ac:dyDescent="0.25">
      <c r="A249" s="2">
        <v>27</v>
      </c>
      <c r="B249" s="14"/>
      <c r="D249" s="14" t="s">
        <v>52</v>
      </c>
      <c r="E249" s="2" t="s">
        <v>39</v>
      </c>
      <c r="F249" s="41">
        <v>500</v>
      </c>
      <c r="G249" s="28"/>
      <c r="H249" s="180">
        <f>'2020'!BH249</f>
        <v>2200</v>
      </c>
      <c r="I249" s="13"/>
      <c r="J249" s="15"/>
      <c r="K249" s="15"/>
      <c r="L249" s="28"/>
      <c r="M249" s="13"/>
      <c r="N249" s="15"/>
      <c r="Q249" s="13"/>
      <c r="R249" s="15"/>
      <c r="S249" s="15"/>
      <c r="T249" s="28"/>
      <c r="U249" s="13"/>
      <c r="V249" s="15"/>
      <c r="Y249" s="186"/>
      <c r="Z249" s="2"/>
      <c r="AA249" s="34">
        <f>$F$15</f>
      </c>
      <c r="AB249" s="28"/>
      <c r="AC249" s="15"/>
      <c r="AD249" s="15"/>
      <c r="AG249" s="15"/>
      <c r="AH249" s="2"/>
      <c r="AI249" s="45"/>
      <c r="AJ249" s="15"/>
      <c r="AK249" s="13"/>
      <c r="AL249" s="15"/>
      <c r="AM249" s="45"/>
      <c r="AN249" s="15"/>
      <c r="AO249" s="13"/>
      <c r="AP249" s="15"/>
      <c r="AQ249" s="45"/>
      <c r="AR249" s="15"/>
      <c r="AS249" s="13"/>
      <c r="AT249" s="15"/>
      <c r="AU249" s="45"/>
      <c r="AV249" s="15"/>
      <c r="AW249" s="13"/>
      <c r="AX249" s="15"/>
      <c r="AY249" s="45"/>
      <c r="AZ249" s="35"/>
      <c r="BA249" s="13"/>
      <c r="BB249" s="15"/>
      <c r="BC249" s="45"/>
      <c r="BD249" s="35"/>
      <c r="BE249" s="14"/>
      <c r="BF249" s="41">
        <f t="shared" ref="BF249:BG249" si="884">K249+O249+S249+W249+AA249+AE249+AI249+AM249+AQ249+AU249+AY249+BC249</f>
        <v>0</v>
      </c>
      <c r="BG249" s="34">
        <f t="shared" si="884"/>
        <v>0</v>
      </c>
      <c r="BH249" s="35">
        <f t="shared" si="866"/>
        <v>2200</v>
      </c>
      <c r="BK249" s="2" t="b">
        <f>H249='2020'!BH249</f>
        <v>1</v>
      </c>
    </row>
    <row r="250" ht="14.25" customHeight="1" hidden="1" spans="1:63" x14ac:dyDescent="0.25">
      <c r="A250" s="247">
        <v>27</v>
      </c>
      <c r="B250" s="21"/>
      <c r="C250" s="22" t="s">
        <v>53</v>
      </c>
      <c r="D250" s="21"/>
      <c r="E250" s="22"/>
      <c r="F250" s="20"/>
      <c r="G250" s="23"/>
      <c r="H250" s="51">
        <f>SUM(H242:H249)</f>
        <v>30972.48</v>
      </c>
      <c r="I250" s="52"/>
      <c r="J250" s="53"/>
      <c r="K250" s="51">
        <f t="shared" ref="K250:L250" si="885">SUM(K242:K249)</f>
        <v>78.08</v>
      </c>
      <c r="L250" s="68">
        <f t="shared" si="885"/>
        <v>0</v>
      </c>
      <c r="M250" s="52"/>
      <c r="N250" s="53"/>
      <c r="O250" s="51">
        <f t="shared" ref="O250:P250" si="886">SUM(O242:O249)</f>
        <v>70.52</v>
      </c>
      <c r="P250" s="51">
        <f t="shared" si="886"/>
        <v>0</v>
      </c>
      <c r="Q250" s="52"/>
      <c r="R250" s="53"/>
      <c r="S250" s="51">
        <f t="shared" ref="S250:T250" si="887">SUM(S242:S249)</f>
        <v>78.08</v>
      </c>
      <c r="T250" s="51">
        <f t="shared" si="887"/>
        <v>0</v>
      </c>
      <c r="U250" s="52"/>
      <c r="V250" s="53"/>
      <c r="W250" s="51">
        <f t="shared" ref="W250:X250" si="888">SUM(W242:W249)</f>
        <v>75.56</v>
      </c>
      <c r="X250" s="51">
        <f t="shared" si="888"/>
        <v>0</v>
      </c>
      <c r="Y250" s="300"/>
      <c r="Z250" s="301"/>
      <c r="AA250" s="51">
        <f t="shared" ref="AA250:AB250" si="889">SUM(AA242:AA249)</f>
        <v>78.08</v>
      </c>
      <c r="AB250" s="51">
        <f t="shared" si="889"/>
        <v>0</v>
      </c>
      <c r="AC250" s="52"/>
      <c r="AD250" s="53"/>
      <c r="AE250" s="51">
        <f t="shared" ref="AE250:AF250" si="890">SUM(AE242:AE249)</f>
        <v>4519.56</v>
      </c>
      <c r="AF250" s="51">
        <f t="shared" si="890"/>
        <v>0</v>
      </c>
      <c r="AG250" s="52"/>
      <c r="AH250" s="301"/>
      <c r="AI250" s="183">
        <f t="shared" ref="AI250:AJ250" si="891">SUM(AI242:AI249)</f>
        <v>0</v>
      </c>
      <c r="AJ250" s="51">
        <f t="shared" si="891"/>
        <v>0</v>
      </c>
      <c r="AK250" s="52"/>
      <c r="AL250" s="53"/>
      <c r="AM250" s="183">
        <f t="shared" ref="AM250:AN250" si="892">SUM(AM242:AM249)</f>
        <v>78.08</v>
      </c>
      <c r="AN250" s="51">
        <f t="shared" si="892"/>
        <v>0</v>
      </c>
      <c r="AO250" s="52"/>
      <c r="AP250" s="53"/>
      <c r="AQ250" s="183">
        <f t="shared" ref="AQ250:AR250" si="893">SUM(AQ242:AQ249)</f>
        <v>96.45</v>
      </c>
      <c r="AR250" s="51">
        <f t="shared" si="893"/>
        <v>0</v>
      </c>
      <c r="AS250" s="52"/>
      <c r="AT250" s="53"/>
      <c r="AU250" s="183">
        <f t="shared" ref="AU250:AV250" si="894">SUM(AU242:AU249)</f>
        <v>0</v>
      </c>
      <c r="AV250" s="68">
        <f t="shared" si="894"/>
        <v>0</v>
      </c>
      <c r="AW250" s="52"/>
      <c r="AX250" s="53"/>
      <c r="AY250" s="183">
        <f t="shared" ref="AY250:AZ250" si="895">SUM(AY242:AY249)</f>
        <v>0</v>
      </c>
      <c r="AZ250" s="68">
        <f t="shared" si="895"/>
        <v>0</v>
      </c>
      <c r="BA250" s="52"/>
      <c r="BB250" s="53"/>
      <c r="BC250" s="183">
        <f t="shared" ref="BC250:BD250" si="896">SUM(BC242:BC249)</f>
        <v>0</v>
      </c>
      <c r="BD250" s="68">
        <f t="shared" si="896"/>
        <v>0</v>
      </c>
      <c r="BE250" s="69"/>
      <c r="BF250" s="70">
        <f t="shared" ref="BF250:BH250" si="897">SUM(BF242:BF249)</f>
        <v>5074.41</v>
      </c>
      <c r="BG250" s="71">
        <f t="shared" si="897"/>
        <v>0</v>
      </c>
      <c r="BH250" s="72">
        <f t="shared" si="897"/>
        <v>36046.89</v>
      </c>
      <c r="BI250" s="34">
        <f>H250+BF250-BG250</f>
        <v>36046.89</v>
      </c>
      <c r="BJ250" s="34">
        <f>BH250-BI250</f>
        <v>0</v>
      </c>
      <c r="BK250" s="2" t="b">
        <f>H250='2020'!BH250</f>
        <v>1</v>
      </c>
    </row>
    <row r="251" ht="14.25" customHeight="1" hidden="1" spans="1:63" x14ac:dyDescent="0.25">
      <c r="A251" s="89">
        <v>28</v>
      </c>
      <c r="B251" s="14"/>
      <c r="D251" s="178" t="s">
        <v>486</v>
      </c>
      <c r="F251" s="13"/>
      <c r="G251" s="28"/>
      <c r="H251" s="34">
        <f>'2020'!BH251</f>
        <v>0</v>
      </c>
      <c r="I251" s="13"/>
      <c r="J251" s="15"/>
      <c r="K251" s="15"/>
      <c r="L251" s="28"/>
      <c r="M251" s="13"/>
      <c r="N251" s="15"/>
      <c r="Q251" s="13"/>
      <c r="R251" s="15"/>
      <c r="S251" s="15"/>
      <c r="T251" s="28"/>
      <c r="U251" s="13"/>
      <c r="V251" s="15"/>
      <c r="W251" s="153"/>
      <c r="X251" s="34"/>
      <c r="Y251" s="186"/>
      <c r="Z251" s="2"/>
      <c r="AA251" s="15"/>
      <c r="AB251" s="28"/>
      <c r="AC251" s="15"/>
      <c r="AD251" s="15"/>
      <c r="AG251" s="15"/>
      <c r="AH251" s="2"/>
      <c r="AI251" s="45"/>
      <c r="AJ251" s="15"/>
      <c r="AK251" s="13"/>
      <c r="AM251" s="45"/>
      <c r="AO251" s="13"/>
      <c r="AQ251" s="45"/>
      <c r="AR251" s="1"/>
      <c r="AS251" s="13"/>
      <c r="AU251" s="45"/>
      <c r="AW251" s="13"/>
      <c r="AY251" s="45"/>
      <c r="AZ251" s="28"/>
      <c r="BA251" s="13"/>
      <c r="BB251" s="15"/>
      <c r="BC251" s="45"/>
      <c r="BD251" s="28"/>
      <c r="BE251" s="14"/>
      <c r="BF251" s="41">
        <f t="shared" ref="BF251:BG251" si="898">K251+O251+S251+W251+AA251+AE251+AI251+AM251+AQ251+AU251+AY251+BC251</f>
        <v>0</v>
      </c>
      <c r="BG251" s="34">
        <f t="shared" si="898"/>
        <v>0</v>
      </c>
      <c r="BH251" s="35">
        <f t="shared" ref="BH251:BH258" si="899">H251+BF251-BG251</f>
        <v>0</v>
      </c>
      <c r="BK251" s="2" t="b">
        <f>H251='2020'!BH251</f>
        <v>1</v>
      </c>
    </row>
    <row r="252" ht="14.25" customHeight="1" hidden="1" spans="1:63" x14ac:dyDescent="0.25">
      <c r="A252" s="250">
        <v>28</v>
      </c>
      <c r="B252" s="14">
        <v>3.96</v>
      </c>
      <c r="C252" s="2" t="s">
        <v>140</v>
      </c>
      <c r="D252" s="14" t="s">
        <v>44</v>
      </c>
      <c r="E252" s="2" t="s">
        <v>45</v>
      </c>
      <c r="F252" s="41">
        <v>2.5</v>
      </c>
      <c r="G252" s="35">
        <v>2.6</v>
      </c>
      <c r="H252" s="180">
        <f>'2020'!BH252+2210</f>
        <v>3172</v>
      </c>
      <c r="I252" s="13">
        <v>1986</v>
      </c>
      <c r="J252" s="15">
        <f>I252-'2020'!BA252</f>
        <v>955</v>
      </c>
      <c r="K252" s="34">
        <f>J252*$F$8</f>
        <v>2483</v>
      </c>
      <c r="L252" s="38">
        <f>1002+1170</f>
        <v>2172</v>
      </c>
      <c r="M252" s="13">
        <v>2944</v>
      </c>
      <c r="N252" s="37">
        <f t="shared" ref="N252:N253" si="900">M252-I252</f>
        <v>958</v>
      </c>
      <c r="O252" s="34">
        <f>N252*$F$8</f>
        <v>2490.8</v>
      </c>
      <c r="P252" s="1">
        <f>1000+2480.4</f>
        <v>3480.4</v>
      </c>
      <c r="Q252" s="13">
        <v>3689</v>
      </c>
      <c r="R252" s="15">
        <f t="shared" ref="R252:R253" si="901">Q252-M252</f>
        <v>745</v>
      </c>
      <c r="S252" s="34">
        <f>R252*$F$8</f>
        <v>1937</v>
      </c>
      <c r="T252" s="32">
        <v>2493.4</v>
      </c>
      <c r="U252" s="13">
        <v>4117</v>
      </c>
      <c r="V252" s="15">
        <f t="shared" ref="V252:V253" si="902">U252-Q252</f>
        <v>428</v>
      </c>
      <c r="W252" s="34">
        <f>V252*$F$8</f>
        <v>1112.8</v>
      </c>
      <c r="X252" s="39">
        <v>1937</v>
      </c>
      <c r="Y252" s="328">
        <v>4273</v>
      </c>
      <c r="Z252" s="286">
        <f t="shared" ref="Z252:Z253" si="903">Y252-U252</f>
        <v>156</v>
      </c>
      <c r="AA252" s="34">
        <f>Z252*$F$8</f>
        <v>405.6</v>
      </c>
      <c r="AB252" s="38">
        <v>1112.8</v>
      </c>
      <c r="AC252" s="37">
        <v>4398</v>
      </c>
      <c r="AD252" s="37">
        <f t="shared" ref="AD252:AD253" si="904">AC252-Y252</f>
        <v>125</v>
      </c>
      <c r="AE252" s="180">
        <f>AD252*$F$8</f>
        <v>325</v>
      </c>
      <c r="AF252" s="1">
        <v>405.6</v>
      </c>
      <c r="AG252" s="37">
        <v>4487</v>
      </c>
      <c r="AH252" s="286">
        <f t="shared" ref="AH252:AH253" si="905">AG252-AC252</f>
        <v>89</v>
      </c>
      <c r="AI252" s="45">
        <f>AH252*$G$8</f>
        <v>240.3</v>
      </c>
      <c r="AJ252" s="187">
        <v>325</v>
      </c>
      <c r="AK252" s="13">
        <v>4572</v>
      </c>
      <c r="AL252" s="37">
        <f t="shared" ref="AL252:AL253" si="906">AK252-AG252</f>
        <v>85</v>
      </c>
      <c r="AM252" s="45">
        <f>AL252*$G$8</f>
        <v>229.5</v>
      </c>
      <c r="AN252" s="1">
        <v>240.3</v>
      </c>
      <c r="AO252" s="13">
        <v>4743</v>
      </c>
      <c r="AP252" s="15">
        <f t="shared" ref="AP252:AP253" si="907">AO252-AK252</f>
        <v>171</v>
      </c>
      <c r="AQ252" s="45">
        <f>AP252*$G$8</f>
        <v>461.7</v>
      </c>
      <c r="AR252" s="39">
        <v>229.5</v>
      </c>
      <c r="AS252" s="13">
        <v>5125</v>
      </c>
      <c r="AT252" s="15">
        <f t="shared" ref="AT252:AT253" si="908">AS252-AO252</f>
        <v>382</v>
      </c>
      <c r="AU252" s="45">
        <f t="shared" ref="AU252:AU253" si="909">AT252*$G$8</f>
        <v>1031.4</v>
      </c>
      <c r="AV252" s="39">
        <v>461.7</v>
      </c>
      <c r="AW252" s="13">
        <v>5829</v>
      </c>
      <c r="AX252" s="15">
        <f t="shared" ref="AX252:AX253" si="910">AW252-AS252</f>
        <v>704</v>
      </c>
      <c r="AY252" s="45">
        <f>AX252*$G$8</f>
        <v>1900.8</v>
      </c>
      <c r="AZ252" s="242">
        <v>1031.4</v>
      </c>
      <c r="BA252" s="13">
        <v>6571</v>
      </c>
      <c r="BB252" s="15">
        <f t="shared" ref="BB252:BB253" si="911">BA252-AW252</f>
        <v>742</v>
      </c>
      <c r="BC252" s="45">
        <f>BB252*$G$8</f>
        <v>2003.4</v>
      </c>
      <c r="BD252" s="246">
        <v>1900.8</v>
      </c>
      <c r="BE252" s="40">
        <f t="shared" ref="BE252:BG252" si="912">J252+N252+R252+V252+Z252+AD252+AH252+AL252+AP252+AT252+AX252+BB252</f>
        <v>5540</v>
      </c>
      <c r="BF252" s="41">
        <f t="shared" si="912"/>
        <v>14621.3</v>
      </c>
      <c r="BG252" s="34">
        <f t="shared" si="912"/>
        <v>15789.9</v>
      </c>
      <c r="BH252" s="35">
        <f t="shared" si="899"/>
        <v>2003.4</v>
      </c>
      <c r="BK252" s="2" t="b">
        <f>H252='2020'!BH252</f>
        <v>0</v>
      </c>
    </row>
    <row r="253" ht="14.25" customHeight="1" hidden="1" spans="1:63" x14ac:dyDescent="0.25">
      <c r="A253" s="89">
        <v>28</v>
      </c>
      <c r="B253" s="14"/>
      <c r="C253" s="2" t="s">
        <v>141</v>
      </c>
      <c r="D253" s="14" t="s">
        <v>47</v>
      </c>
      <c r="E253" s="2" t="s">
        <v>48</v>
      </c>
      <c r="F253" s="13">
        <v>18.56</v>
      </c>
      <c r="G253" s="35">
        <v>19.46</v>
      </c>
      <c r="H253" s="180">
        <f>'2020'!BH253</f>
        <v>0</v>
      </c>
      <c r="I253" s="13">
        <v>7</v>
      </c>
      <c r="J253" s="15"/>
      <c r="K253" s="15"/>
      <c r="L253" s="28"/>
      <c r="M253" s="13">
        <v>7</v>
      </c>
      <c r="N253" s="15">
        <f t="shared" si="900"/>
        <v>0</v>
      </c>
      <c r="Q253" s="13">
        <v>7</v>
      </c>
      <c r="R253" s="15">
        <f t="shared" si="901"/>
        <v>0</v>
      </c>
      <c r="S253" s="15"/>
      <c r="T253" s="28"/>
      <c r="U253" s="13">
        <v>7</v>
      </c>
      <c r="V253" s="15">
        <f t="shared" si="902"/>
        <v>0</v>
      </c>
      <c r="W253" s="34">
        <f>V253*$F$10</f>
        <v>0</v>
      </c>
      <c r="Y253" s="186">
        <v>7</v>
      </c>
      <c r="Z253" s="2">
        <f t="shared" si="903"/>
        <v>0</v>
      </c>
      <c r="AA253" s="34">
        <f>Z253*$F$10</f>
        <v>0</v>
      </c>
      <c r="AB253" s="28"/>
      <c r="AC253" s="13">
        <v>7</v>
      </c>
      <c r="AD253" s="15">
        <f t="shared" si="904"/>
        <v>0</v>
      </c>
      <c r="AE253" s="34">
        <f>AD253*$F$10</f>
        <v>0</v>
      </c>
      <c r="AG253" s="13">
        <v>17</v>
      </c>
      <c r="AH253" s="2">
        <f t="shared" si="905"/>
        <v>10</v>
      </c>
      <c r="AI253" s="45">
        <f>AH253*$G$10</f>
        <v>203.5</v>
      </c>
      <c r="AJ253" s="180"/>
      <c r="AK253" s="13">
        <v>18</v>
      </c>
      <c r="AL253" s="15">
        <f t="shared" si="906"/>
        <v>1</v>
      </c>
      <c r="AM253" s="45">
        <f>AL253*$G$10</f>
        <v>20.35</v>
      </c>
      <c r="AN253" s="1">
        <v>203.5</v>
      </c>
      <c r="AO253" s="13">
        <v>19</v>
      </c>
      <c r="AP253" s="15">
        <f t="shared" si="907"/>
        <v>1</v>
      </c>
      <c r="AQ253" s="45">
        <f>AP253*$G$10</f>
        <v>20.35</v>
      </c>
      <c r="AR253" s="1">
        <v>20.35</v>
      </c>
      <c r="AS253" s="13">
        <v>19</v>
      </c>
      <c r="AT253" s="15">
        <f t="shared" si="908"/>
        <v>0</v>
      </c>
      <c r="AU253" s="45">
        <f t="shared" si="909"/>
        <v>0</v>
      </c>
      <c r="AV253" s="15"/>
      <c r="AW253" s="13">
        <v>19</v>
      </c>
      <c r="AX253" s="15">
        <f t="shared" si="910"/>
        <v>0</v>
      </c>
      <c r="AY253" s="45"/>
      <c r="AZ253" s="249">
        <v>20.35</v>
      </c>
      <c r="BA253" s="13">
        <v>19</v>
      </c>
      <c r="BB253" s="15">
        <f t="shared" si="911"/>
        <v>0</v>
      </c>
      <c r="BC253" s="45"/>
      <c r="BD253" s="208"/>
      <c r="BE253" s="40">
        <f t="shared" ref="BE253:BG253" si="913">J253+N253+R253+V253+Z253+AD253+AH253+AL253+AP253+AT253+AX253+BB253</f>
        <v>12</v>
      </c>
      <c r="BF253" s="41">
        <f t="shared" si="913"/>
        <v>244.2</v>
      </c>
      <c r="BG253" s="34">
        <f t="shared" si="913"/>
        <v>244.2</v>
      </c>
      <c r="BH253" s="35">
        <f t="shared" si="899"/>
        <v>0</v>
      </c>
      <c r="BK253" s="2" t="b">
        <f>H253='2020'!BH253</f>
        <v>1</v>
      </c>
    </row>
    <row r="254" ht="14.25" customHeight="1" hidden="1" spans="1:63" x14ac:dyDescent="0.25">
      <c r="A254" s="89">
        <v>28</v>
      </c>
      <c r="B254" s="14"/>
      <c r="C254" s="2" t="s">
        <v>142</v>
      </c>
      <c r="D254" s="14" t="s">
        <v>47</v>
      </c>
      <c r="E254" s="2" t="s">
        <v>49</v>
      </c>
      <c r="F254" s="41">
        <v>500</v>
      </c>
      <c r="G254" s="28"/>
      <c r="H254" s="180">
        <f>'2020'!BH254</f>
        <v>0</v>
      </c>
      <c r="I254" s="13"/>
      <c r="J254" s="15"/>
      <c r="K254" s="15"/>
      <c r="L254" s="28"/>
      <c r="M254" s="13"/>
      <c r="N254" s="15"/>
      <c r="Q254" s="13"/>
      <c r="R254" s="15"/>
      <c r="S254" s="15"/>
      <c r="T254" s="28"/>
      <c r="U254" s="13"/>
      <c r="V254" s="15"/>
      <c r="Y254" s="186"/>
      <c r="Z254" s="2"/>
      <c r="AA254" s="15"/>
      <c r="AB254" s="28"/>
      <c r="AC254" s="15"/>
      <c r="AD254" s="15"/>
      <c r="AG254" s="15"/>
      <c r="AH254" s="2"/>
      <c r="AI254" s="45"/>
      <c r="AJ254" s="15"/>
      <c r="AK254" s="13"/>
      <c r="AL254" s="15"/>
      <c r="AM254" s="45"/>
      <c r="AN254" s="15"/>
      <c r="AO254" s="13"/>
      <c r="AP254" s="15"/>
      <c r="AQ254" s="45"/>
      <c r="AR254" s="15"/>
      <c r="AS254" s="13"/>
      <c r="AT254" s="15"/>
      <c r="AU254" s="45"/>
      <c r="AV254" s="15"/>
      <c r="AW254" s="13"/>
      <c r="AX254" s="15"/>
      <c r="AY254" s="45"/>
      <c r="AZ254" s="28"/>
      <c r="BA254" s="13"/>
      <c r="BB254" s="15"/>
      <c r="BC254" s="45"/>
      <c r="BD254" s="28"/>
      <c r="BE254" s="14"/>
      <c r="BF254" s="41">
        <f t="shared" ref="BF254:BG254" si="914">K254+O254+S254+W254+AA254+AE254+AI254+AM254+AQ254+AU254+AY254+BC254</f>
        <v>0</v>
      </c>
      <c r="BG254" s="34">
        <f t="shared" si="914"/>
        <v>0</v>
      </c>
      <c r="BH254" s="35">
        <f t="shared" si="899"/>
        <v>0</v>
      </c>
      <c r="BK254" s="2" t="b">
        <f>H254='2020'!BH254</f>
        <v>1</v>
      </c>
    </row>
    <row r="255" ht="14.25" customHeight="1" hidden="1" spans="1:63" x14ac:dyDescent="0.25">
      <c r="A255" s="89">
        <v>28</v>
      </c>
      <c r="B255" s="14"/>
      <c r="C255" s="2" t="s">
        <v>143</v>
      </c>
      <c r="D255" s="14" t="s">
        <v>50</v>
      </c>
      <c r="E255" s="2" t="s">
        <v>49</v>
      </c>
      <c r="F255" s="41">
        <v>1100</v>
      </c>
      <c r="G255" s="28"/>
      <c r="H255" s="180">
        <f>'2020'!BH255</f>
        <v>0</v>
      </c>
      <c r="I255" s="13"/>
      <c r="J255" s="15"/>
      <c r="K255" s="15"/>
      <c r="L255" s="28"/>
      <c r="M255" s="13"/>
      <c r="N255" s="15"/>
      <c r="Q255" s="13"/>
      <c r="R255" s="15"/>
      <c r="S255" s="15"/>
      <c r="T255" s="28"/>
      <c r="U255" s="13"/>
      <c r="V255" s="15"/>
      <c r="Y255" s="186"/>
      <c r="Z255" s="2"/>
      <c r="AA255" s="15"/>
      <c r="AB255" s="28"/>
      <c r="AC255" s="15"/>
      <c r="AD255" s="15"/>
      <c r="AE255" s="34">
        <f>B252*$F$12</f>
        <v>4356</v>
      </c>
      <c r="AG255" s="15"/>
      <c r="AH255" s="2"/>
      <c r="AI255" s="45"/>
      <c r="AJ255" s="187">
        <v>2000</v>
      </c>
      <c r="AK255" s="13"/>
      <c r="AL255" s="15"/>
      <c r="AM255" s="45"/>
      <c r="AN255" s="1">
        <v>2356</v>
      </c>
      <c r="AO255" s="13"/>
      <c r="AP255" s="15"/>
      <c r="AQ255" s="45"/>
      <c r="AR255" s="15"/>
      <c r="AS255" s="13"/>
      <c r="AT255" s="15"/>
      <c r="AU255" s="45"/>
      <c r="AV255" s="15"/>
      <c r="AW255" s="13"/>
      <c r="AX255" s="15"/>
      <c r="AY255" s="45"/>
      <c r="AZ255" s="28"/>
      <c r="BA255" s="13"/>
      <c r="BB255" s="15"/>
      <c r="BC255" s="45"/>
      <c r="BD255" s="28"/>
      <c r="BE255" s="14"/>
      <c r="BF255" s="41">
        <f t="shared" ref="BF255:BG255" si="915">K255+O255+S255+W255+AA255+AE255+AI255+AM255+AQ255+AU255+AY255+BC255</f>
        <v>4356</v>
      </c>
      <c r="BG255" s="34">
        <f t="shared" si="915"/>
        <v>4356</v>
      </c>
      <c r="BH255" s="35">
        <f t="shared" si="899"/>
        <v>0</v>
      </c>
      <c r="BK255" s="2" t="b">
        <f>H255='2020'!BH255</f>
        <v>1</v>
      </c>
    </row>
    <row r="256" ht="14.25" customHeight="1" hidden="1" spans="1:63" x14ac:dyDescent="0.25">
      <c r="A256" s="89">
        <v>28</v>
      </c>
      <c r="B256" s="14"/>
      <c r="C256" s="2" t="s">
        <v>144</v>
      </c>
      <c r="D256" s="14" t="s">
        <v>51</v>
      </c>
      <c r="E256" s="2" t="s">
        <v>39</v>
      </c>
      <c r="F256" s="41">
        <v>500</v>
      </c>
      <c r="G256" s="28"/>
      <c r="H256" s="180">
        <f>'2020'!BH256</f>
        <v>500</v>
      </c>
      <c r="I256" s="13"/>
      <c r="J256" s="15"/>
      <c r="K256" s="15"/>
      <c r="L256" s="28"/>
      <c r="M256" s="13"/>
      <c r="N256" s="15"/>
      <c r="Q256" s="13"/>
      <c r="R256" s="15"/>
      <c r="S256" s="15"/>
      <c r="T256" s="28"/>
      <c r="U256" s="13"/>
      <c r="V256" s="15"/>
      <c r="X256" s="1">
        <v>500</v>
      </c>
      <c r="Y256" s="186"/>
      <c r="Z256" s="2"/>
      <c r="AA256" s="15"/>
      <c r="AB256" s="28"/>
      <c r="AC256" s="15"/>
      <c r="AD256" s="15"/>
      <c r="AE256" s="180">
        <f>$F$13</f>
      </c>
      <c r="AG256" s="15"/>
      <c r="AH256" s="2"/>
      <c r="AI256" s="45"/>
      <c r="AJ256" s="180"/>
      <c r="AK256" s="13"/>
      <c r="AL256" s="15"/>
      <c r="AM256" s="45"/>
      <c r="AN256" s="15"/>
      <c r="AO256" s="13"/>
      <c r="AP256" s="15"/>
      <c r="AQ256" s="180"/>
      <c r="AR256" s="15"/>
      <c r="AS256" s="13"/>
      <c r="AT256" s="15"/>
      <c r="AU256" s="45"/>
      <c r="AV256" s="15"/>
      <c r="AW256" s="13"/>
      <c r="AX256" s="15"/>
      <c r="AY256" s="45"/>
      <c r="AZ256" s="28"/>
      <c r="BA256" s="13"/>
      <c r="BB256" s="15"/>
      <c r="BC256" s="45"/>
      <c r="BD256" s="28"/>
      <c r="BE256" s="14"/>
      <c r="BF256" s="41">
        <f t="shared" ref="BF256:BG256" si="916">K256+O256+S256+W256+AA256+AE256+AI256+AM256+AQ256+AU256+AY256+BC256</f>
        <v>0</v>
      </c>
      <c r="BG256" s="34">
        <f t="shared" si="916"/>
        <v>500</v>
      </c>
      <c r="BH256" s="35">
        <f t="shared" si="899"/>
        <v>0</v>
      </c>
      <c r="BK256" s="2" t="b">
        <f>H256='2020'!BH256</f>
        <v>1</v>
      </c>
    </row>
    <row r="257" ht="14.25" customHeight="1" hidden="1" spans="1:63" x14ac:dyDescent="0.25">
      <c r="A257" s="89">
        <v>28</v>
      </c>
      <c r="B257" s="14"/>
      <c r="C257" s="2" t="s">
        <v>145</v>
      </c>
      <c r="D257" s="14" t="s">
        <v>51</v>
      </c>
      <c r="E257" s="2" t="s">
        <v>49</v>
      </c>
      <c r="F257" s="41">
        <v>500</v>
      </c>
      <c r="G257" s="28"/>
      <c r="H257" s="180">
        <f>'2020'!BH257</f>
        <v>1980</v>
      </c>
      <c r="I257" s="13"/>
      <c r="J257" s="15"/>
      <c r="K257" s="15"/>
      <c r="L257" s="28"/>
      <c r="M257" s="13"/>
      <c r="N257" s="15"/>
      <c r="Q257" s="13"/>
      <c r="R257" s="15"/>
      <c r="S257" s="15"/>
      <c r="T257" s="28"/>
      <c r="U257" s="13"/>
      <c r="V257" s="15"/>
      <c r="X257" s="1">
        <v>1980</v>
      </c>
      <c r="Y257" s="186"/>
      <c r="Z257" s="2"/>
      <c r="AA257" s="15"/>
      <c r="AB257" s="28"/>
      <c r="AC257" s="15"/>
      <c r="AD257" s="15"/>
      <c r="AE257" s="34"/>
      <c r="AG257" s="15"/>
      <c r="AH257" s="2"/>
      <c r="AI257" s="45"/>
      <c r="AJ257" s="180"/>
      <c r="AK257" s="13"/>
      <c r="AL257" s="15"/>
      <c r="AM257" s="45"/>
      <c r="AN257" s="15"/>
      <c r="AO257" s="13"/>
      <c r="AP257" s="15"/>
      <c r="AQ257" s="180">
        <f>B252*$F$14</f>
        <v>0</v>
      </c>
      <c r="AR257" s="15"/>
      <c r="AS257" s="13"/>
      <c r="AT257" s="15"/>
      <c r="AU257" s="45"/>
      <c r="AV257" s="15"/>
      <c r="AW257" s="13"/>
      <c r="AX257" s="15"/>
      <c r="AY257" s="45"/>
      <c r="AZ257" s="28"/>
      <c r="BA257" s="13"/>
      <c r="BB257" s="15"/>
      <c r="BC257" s="45"/>
      <c r="BD257" s="28"/>
      <c r="BE257" s="14"/>
      <c r="BF257" s="41">
        <f t="shared" ref="BF257:BG257" si="917">K257+O257+S257+W257+AA257+AE257+AI257+AM257+AQ257+AU257+AY257+BC257</f>
        <v>0</v>
      </c>
      <c r="BG257" s="34">
        <f t="shared" si="917"/>
        <v>1980</v>
      </c>
      <c r="BH257" s="35">
        <f t="shared" si="899"/>
        <v>0</v>
      </c>
      <c r="BK257" s="2" t="b">
        <f>H257='2020'!BH257</f>
        <v>1</v>
      </c>
    </row>
    <row r="258" ht="14.25" customHeight="1" hidden="1" spans="1:63" x14ac:dyDescent="0.25">
      <c r="A258" s="89">
        <v>28</v>
      </c>
      <c r="B258" s="14"/>
      <c r="D258" s="14" t="s">
        <v>52</v>
      </c>
      <c r="E258" s="2" t="s">
        <v>39</v>
      </c>
      <c r="F258" s="41">
        <v>500</v>
      </c>
      <c r="G258" s="28"/>
      <c r="H258" s="180">
        <f>'2020'!BH258</f>
        <v>0</v>
      </c>
      <c r="I258" s="13"/>
      <c r="J258" s="15"/>
      <c r="K258" s="15"/>
      <c r="L258" s="28"/>
      <c r="M258" s="13"/>
      <c r="N258" s="15"/>
      <c r="Q258" s="13"/>
      <c r="R258" s="15"/>
      <c r="S258" s="15"/>
      <c r="T258" s="28"/>
      <c r="U258" s="13"/>
      <c r="V258" s="15"/>
      <c r="Y258" s="186"/>
      <c r="Z258" s="2"/>
      <c r="AA258" s="84"/>
      <c r="AB258" s="28"/>
      <c r="AC258" s="15"/>
      <c r="AD258" s="15"/>
      <c r="AG258" s="15"/>
      <c r="AH258" s="2"/>
      <c r="AI258" s="45"/>
      <c r="AJ258" s="15"/>
      <c r="AK258" s="13"/>
      <c r="AL258" s="15"/>
      <c r="AM258" s="45"/>
      <c r="AN258" s="15"/>
      <c r="AO258" s="13"/>
      <c r="AP258" s="15"/>
      <c r="AQ258" s="45"/>
      <c r="AR258" s="15"/>
      <c r="AS258" s="13"/>
      <c r="AT258" s="15"/>
      <c r="AU258" s="45"/>
      <c r="AV258" s="15"/>
      <c r="AW258" s="13"/>
      <c r="AX258" s="15"/>
      <c r="AY258" s="45"/>
      <c r="AZ258" s="35"/>
      <c r="BA258" s="13"/>
      <c r="BB258" s="15"/>
      <c r="BC258" s="45"/>
      <c r="BD258" s="35"/>
      <c r="BE258" s="14"/>
      <c r="BF258" s="41">
        <f t="shared" ref="BF258:BG258" si="918">K258+O258+S258+W258+AA258+AE258+AI258+AM258+AQ258+AU258+AY258+BC258</f>
        <v>0</v>
      </c>
      <c r="BG258" s="34">
        <f t="shared" si="918"/>
        <v>0</v>
      </c>
      <c r="BH258" s="35">
        <f t="shared" si="899"/>
        <v>0</v>
      </c>
      <c r="BK258" s="2" t="b">
        <f>H258='2020'!BH258</f>
        <v>1</v>
      </c>
    </row>
    <row r="259" ht="14.25" customHeight="1" hidden="1" spans="1:63" x14ac:dyDescent="0.25">
      <c r="A259" s="243">
        <v>28</v>
      </c>
      <c r="B259" s="21"/>
      <c r="C259" s="22" t="s">
        <v>53</v>
      </c>
      <c r="D259" s="21"/>
      <c r="E259" s="22"/>
      <c r="F259" s="20"/>
      <c r="G259" s="23"/>
      <c r="H259" s="51">
        <f>SUM(H251:H258)</f>
        <v>5652</v>
      </c>
      <c r="I259" s="52"/>
      <c r="J259" s="53"/>
      <c r="K259" s="51">
        <f t="shared" ref="K259:L259" si="919">SUM(K251:K258)</f>
        <v>2483</v>
      </c>
      <c r="L259" s="68">
        <f t="shared" si="919"/>
        <v>2172</v>
      </c>
      <c r="M259" s="52"/>
      <c r="N259" s="53"/>
      <c r="O259" s="51">
        <f t="shared" ref="O259:P259" si="920">SUM(O251:O258)</f>
        <v>2490.8</v>
      </c>
      <c r="P259" s="51">
        <f t="shared" si="920"/>
        <v>3480.4</v>
      </c>
      <c r="Q259" s="52"/>
      <c r="R259" s="53"/>
      <c r="S259" s="51">
        <f t="shared" ref="S259:T259" si="921">SUM(S251:S258)</f>
        <v>1937</v>
      </c>
      <c r="T259" s="51">
        <f t="shared" si="921"/>
        <v>2493.4</v>
      </c>
      <c r="U259" s="52"/>
      <c r="V259" s="53"/>
      <c r="W259" s="51">
        <f t="shared" ref="W259:X259" si="922">SUM(W251:W258)</f>
        <v>1112.8</v>
      </c>
      <c r="X259" s="51">
        <f t="shared" si="922"/>
        <v>4417</v>
      </c>
      <c r="Y259" s="300"/>
      <c r="Z259" s="301"/>
      <c r="AA259" s="51">
        <f t="shared" ref="AA259:AB259" si="923">SUM(AA251:AA258)</f>
        <v>405.6</v>
      </c>
      <c r="AB259" s="51">
        <f t="shared" si="923"/>
        <v>1112.8</v>
      </c>
      <c r="AC259" s="52"/>
      <c r="AD259" s="53"/>
      <c r="AE259" s="51">
        <f t="shared" ref="AE259:AF259" si="924">SUM(AE251:AE258)</f>
        <v>4681</v>
      </c>
      <c r="AF259" s="51">
        <f t="shared" si="924"/>
        <v>405.6</v>
      </c>
      <c r="AG259" s="52"/>
      <c r="AH259" s="301"/>
      <c r="AI259" s="183">
        <f t="shared" ref="AI259:AJ259" si="925">SUM(AI251:AI258)</f>
        <v>443.8</v>
      </c>
      <c r="AJ259" s="51">
        <f t="shared" si="925"/>
        <v>2325</v>
      </c>
      <c r="AK259" s="52"/>
      <c r="AL259" s="53"/>
      <c r="AM259" s="183">
        <f t="shared" ref="AM259:AN259" si="926">SUM(AM251:AM258)</f>
        <v>249.85</v>
      </c>
      <c r="AN259" s="51">
        <f t="shared" si="926"/>
        <v>2799.8</v>
      </c>
      <c r="AO259" s="52"/>
      <c r="AP259" s="53"/>
      <c r="AQ259" s="183">
        <f t="shared" ref="AQ259:AR259" si="927">SUM(AQ251:AQ258)</f>
        <v>482.05</v>
      </c>
      <c r="AR259" s="51">
        <f t="shared" si="927"/>
        <v>249.85</v>
      </c>
      <c r="AS259" s="52"/>
      <c r="AT259" s="53"/>
      <c r="AU259" s="183">
        <f t="shared" ref="AU259:AV259" si="928">SUM(AU251:AU258)</f>
        <v>1031.4</v>
      </c>
      <c r="AV259" s="68">
        <f t="shared" si="928"/>
        <v>461.7</v>
      </c>
      <c r="AW259" s="52"/>
      <c r="AX259" s="53"/>
      <c r="AY259" s="183">
        <f t="shared" ref="AY259:AZ259" si="929">SUM(AY251:AY258)</f>
        <v>1900.8</v>
      </c>
      <c r="AZ259" s="68">
        <f t="shared" si="929"/>
        <v>1051.75</v>
      </c>
      <c r="BA259" s="52"/>
      <c r="BB259" s="53"/>
      <c r="BC259" s="183">
        <f t="shared" ref="BC259:BD259" si="930">SUM(BC251:BC258)</f>
        <v>2003.4</v>
      </c>
      <c r="BD259" s="68">
        <f t="shared" si="930"/>
        <v>1900.8</v>
      </c>
      <c r="BE259" s="69"/>
      <c r="BF259" s="70">
        <f t="shared" ref="BF259:BH259" si="931">SUM(BF251:BF258)</f>
        <v>19221.5</v>
      </c>
      <c r="BG259" s="71">
        <f t="shared" si="931"/>
        <v>22870.1</v>
      </c>
      <c r="BH259" s="72">
        <f t="shared" si="931"/>
        <v>2003.4</v>
      </c>
      <c r="BI259" s="34">
        <f>H259+BF259-BG259</f>
        <v>2003.4</v>
      </c>
      <c r="BJ259" s="34">
        <f>BH259-BI259</f>
        <v>0</v>
      </c>
      <c r="BK259" s="2" t="b">
        <f>H259='2020'!BH259</f>
        <v>0</v>
      </c>
    </row>
    <row r="260" ht="14.25" customHeight="1" hidden="1" spans="1:63" x14ac:dyDescent="0.25">
      <c r="A260" s="89">
        <v>30</v>
      </c>
      <c r="B260" s="14"/>
      <c r="D260" s="14" t="s">
        <v>379</v>
      </c>
      <c r="F260" s="13"/>
      <c r="G260" s="28"/>
      <c r="H260" s="34">
        <f>'2020'!BH260</f>
        <v>0</v>
      </c>
      <c r="I260" s="13"/>
      <c r="J260" s="15"/>
      <c r="K260" s="15"/>
      <c r="L260" s="28"/>
      <c r="M260" s="13"/>
      <c r="N260" s="15"/>
      <c r="Q260" s="13"/>
      <c r="R260" s="15"/>
      <c r="S260" s="15"/>
      <c r="T260" s="28"/>
      <c r="U260" s="13"/>
      <c r="V260" s="15"/>
      <c r="Y260" s="186"/>
      <c r="Z260" s="2"/>
      <c r="AA260" s="15"/>
      <c r="AB260" s="28"/>
      <c r="AC260" s="15"/>
      <c r="AD260" s="15"/>
      <c r="AG260" s="15"/>
      <c r="AH260" s="2"/>
      <c r="AI260" s="45"/>
      <c r="AJ260" s="154"/>
      <c r="AK260" s="13"/>
      <c r="AM260" s="45"/>
      <c r="AO260" s="13"/>
      <c r="AQ260" s="45"/>
      <c r="AS260" s="13"/>
      <c r="AU260" s="45"/>
      <c r="AW260" s="13"/>
      <c r="AY260" s="45"/>
      <c r="AZ260" s="28"/>
      <c r="BA260" s="13"/>
      <c r="BB260" s="15"/>
      <c r="BC260" s="45"/>
      <c r="BD260" s="28"/>
      <c r="BE260" s="14"/>
      <c r="BF260" s="41">
        <f t="shared" ref="BF260:BG260" si="932">K260+O260+S260+W260+AA260+AE260+AI260+AM260+AQ260+AU260+AY260+BC260</f>
        <v>0</v>
      </c>
      <c r="BG260" s="34">
        <f t="shared" si="932"/>
        <v>0</v>
      </c>
      <c r="BH260" s="35">
        <f t="shared" ref="BH260:BH267" si="933">H260+BF260-BG260</f>
        <v>0</v>
      </c>
      <c r="BK260" s="2" t="b">
        <f>H260='2020'!BH260</f>
        <v>1</v>
      </c>
    </row>
    <row r="261" ht="14.25" customHeight="1" hidden="1" spans="1:63" x14ac:dyDescent="0.25">
      <c r="A261" s="89">
        <v>30</v>
      </c>
      <c r="B261" s="14">
        <v>4.05</v>
      </c>
      <c r="C261" s="2" t="s">
        <v>496</v>
      </c>
      <c r="D261" s="14" t="s">
        <v>44</v>
      </c>
      <c r="E261" s="2" t="s">
        <v>45</v>
      </c>
      <c r="F261" s="41">
        <v>2.5</v>
      </c>
      <c r="G261" s="35">
        <v>2.6</v>
      </c>
      <c r="H261" s="180">
        <f>'2020'!BH261</f>
        <v>5.2</v>
      </c>
      <c r="I261" s="13">
        <v>7</v>
      </c>
      <c r="J261" s="15">
        <f>I261-'2020'!BA261</f>
        <v>0</v>
      </c>
      <c r="K261" s="34">
        <f>J261*$F$8</f>
        <v>0</v>
      </c>
      <c r="L261" s="35"/>
      <c r="M261" s="13">
        <v>7</v>
      </c>
      <c r="N261" s="37">
        <f t="shared" ref="N261:N262" si="934">M261-I261</f>
        <v>0</v>
      </c>
      <c r="O261" s="34">
        <f>N261*$F$8</f>
        <v>0</v>
      </c>
      <c r="P261" s="38">
        <v>5.2</v>
      </c>
      <c r="Q261" s="13">
        <v>7</v>
      </c>
      <c r="R261" s="15">
        <f t="shared" ref="R261:R262" si="935">Q261-M261</f>
        <v>0</v>
      </c>
      <c r="S261" s="34">
        <f>R261*$F$8</f>
        <v>0</v>
      </c>
      <c r="T261" s="35"/>
      <c r="U261" s="13">
        <v>7</v>
      </c>
      <c r="V261" s="15">
        <f t="shared" ref="V261:V262" si="936">U261-Q261</f>
        <v>0</v>
      </c>
      <c r="W261" s="34">
        <f>V261*$F$8</f>
        <v>0</v>
      </c>
      <c r="X261" s="34"/>
      <c r="Y261" s="328">
        <v>9</v>
      </c>
      <c r="Z261" s="286">
        <f t="shared" ref="Z261:Z262" si="937">Y261-U261</f>
        <v>2</v>
      </c>
      <c r="AA261" s="34">
        <f>Z261*$F$8</f>
        <v>5.2</v>
      </c>
      <c r="AB261" s="28"/>
      <c r="AC261" s="37">
        <v>18</v>
      </c>
      <c r="AD261" s="37">
        <f t="shared" ref="AD261:AD262" si="938">AC261-Y261</f>
        <v>9</v>
      </c>
      <c r="AE261" s="180">
        <f>AD261*$F$8</f>
        <v>23.4</v>
      </c>
      <c r="AF261" s="1">
        <v>5.2</v>
      </c>
      <c r="AG261" s="37">
        <v>79</v>
      </c>
      <c r="AH261" s="286">
        <f t="shared" ref="AH261:AH262" si="939">AG261-AC261</f>
        <v>61</v>
      </c>
      <c r="AI261" s="45">
        <f>AH261*$G$8</f>
        <v>164.7</v>
      </c>
      <c r="AJ261" s="187">
        <f>23.4+164.7</f>
        <v>188.1</v>
      </c>
      <c r="AK261" s="13">
        <v>161</v>
      </c>
      <c r="AL261" s="37">
        <f t="shared" ref="AL261:AL262" si="940">AK261-AG261</f>
        <v>82</v>
      </c>
      <c r="AM261" s="45">
        <f>AL261*$G$8</f>
        <v>221.4</v>
      </c>
      <c r="AN261" s="1">
        <v>221.4</v>
      </c>
      <c r="AO261" s="13">
        <v>205</v>
      </c>
      <c r="AP261" s="15">
        <f t="shared" ref="AP261:AP262" si="941">AO261-AK261</f>
        <v>44</v>
      </c>
      <c r="AQ261" s="45">
        <f>AP261*$G$8</f>
        <v>118.8</v>
      </c>
      <c r="AR261" s="1"/>
      <c r="AS261" s="13">
        <v>206</v>
      </c>
      <c r="AT261" s="15">
        <f t="shared" ref="AT261:AT262" si="942">AS261-AO261</f>
        <v>1</v>
      </c>
      <c r="AU261" s="45">
        <f t="shared" ref="AU261:AU262" si="943">AT261*$G$8</f>
        <v>2.7</v>
      </c>
      <c r="AV261" s="39">
        <v>118.8</v>
      </c>
      <c r="AW261" s="13">
        <v>206</v>
      </c>
      <c r="AX261" s="15">
        <f t="shared" ref="AX261:AX262" si="944">AW261-AS261</f>
        <v>0</v>
      </c>
      <c r="AY261" s="45">
        <f>AX261*$G$8</f>
        <v>0</v>
      </c>
      <c r="AZ261" s="208">
        <v>2.7</v>
      </c>
      <c r="BA261" s="13">
        <v>206</v>
      </c>
      <c r="BB261" s="15">
        <f t="shared" ref="BB261:BB262" si="945">BA261-AW261</f>
        <v>0</v>
      </c>
      <c r="BC261" s="45">
        <f>BB261*$G$8</f>
        <v>0</v>
      </c>
      <c r="BD261" s="208"/>
      <c r="BE261" s="40">
        <f t="shared" ref="BE261:BG261" si="946">J261+N261+R261+V261+Z261+AD261+AH261+AL261+AP261+AT261+AX261+BB261</f>
        <v>199</v>
      </c>
      <c r="BF261" s="41">
        <f t="shared" si="946"/>
        <v>536.2</v>
      </c>
      <c r="BG261" s="34">
        <f t="shared" si="946"/>
        <v>541.4</v>
      </c>
      <c r="BH261" s="35">
        <f t="shared" si="933"/>
        <v>0</v>
      </c>
      <c r="BK261" s="2" t="b">
        <f>H261='2020'!BH261</f>
        <v>1</v>
      </c>
    </row>
    <row r="262" ht="14.25" customHeight="1" hidden="1" spans="1:63" x14ac:dyDescent="0.25">
      <c r="A262" s="89">
        <v>30</v>
      </c>
      <c r="B262" s="14"/>
      <c r="C262" s="2" t="s">
        <v>235</v>
      </c>
      <c r="D262" s="14" t="s">
        <v>47</v>
      </c>
      <c r="E262" s="2" t="s">
        <v>48</v>
      </c>
      <c r="F262" s="13">
        <v>18.56</v>
      </c>
      <c r="G262" s="35">
        <v>19.46</v>
      </c>
      <c r="H262" s="180">
        <f>'2020'!BH262</f>
        <v>0</v>
      </c>
      <c r="I262" s="13">
        <v>9</v>
      </c>
      <c r="J262" s="15"/>
      <c r="K262" s="15"/>
      <c r="L262" s="28"/>
      <c r="M262" s="13">
        <v>9</v>
      </c>
      <c r="N262" s="15">
        <f t="shared" si="934"/>
        <v>0</v>
      </c>
      <c r="P262" s="1"/>
      <c r="Q262" s="13">
        <v>9</v>
      </c>
      <c r="R262" s="15">
        <f t="shared" si="935"/>
        <v>0</v>
      </c>
      <c r="S262" s="15"/>
      <c r="T262" s="28"/>
      <c r="U262" s="13">
        <v>9</v>
      </c>
      <c r="V262" s="15">
        <f t="shared" si="936"/>
        <v>0</v>
      </c>
      <c r="W262" s="34">
        <f>V262*$F$10</f>
        <v>0</v>
      </c>
      <c r="Y262" s="186">
        <v>11</v>
      </c>
      <c r="Z262" s="2">
        <f t="shared" si="937"/>
        <v>2</v>
      </c>
      <c r="AA262" s="34">
        <f>Z262*$F$10</f>
        <v>38.92</v>
      </c>
      <c r="AB262" s="28"/>
      <c r="AC262" s="13">
        <v>21</v>
      </c>
      <c r="AD262" s="15">
        <f t="shared" si="938"/>
        <v>10</v>
      </c>
      <c r="AE262" s="34">
        <f>AD262*$F$10</f>
        <v>194.6</v>
      </c>
      <c r="AF262" s="1">
        <v>38.92</v>
      </c>
      <c r="AG262" s="13">
        <v>31</v>
      </c>
      <c r="AH262" s="2">
        <f t="shared" si="939"/>
        <v>10</v>
      </c>
      <c r="AI262" s="45">
        <f>AH262*$G$10</f>
        <v>203.5</v>
      </c>
      <c r="AJ262" s="187">
        <f>194.6+203.5</f>
        <v>398.1</v>
      </c>
      <c r="AK262" s="13">
        <v>45</v>
      </c>
      <c r="AL262" s="15">
        <f t="shared" si="940"/>
        <v>14</v>
      </c>
      <c r="AM262" s="45">
        <f>AL262*$G$10</f>
        <v>284.9</v>
      </c>
      <c r="AN262" s="1">
        <v>284.9</v>
      </c>
      <c r="AO262" s="13">
        <v>81</v>
      </c>
      <c r="AP262" s="15">
        <f t="shared" si="941"/>
        <v>36</v>
      </c>
      <c r="AQ262" s="45">
        <f>AP262*$G$10</f>
        <v>732.6</v>
      </c>
      <c r="AR262" s="1">
        <v>732.6</v>
      </c>
      <c r="AS262" s="13">
        <v>81</v>
      </c>
      <c r="AT262" s="15">
        <f t="shared" si="942"/>
        <v>0</v>
      </c>
      <c r="AU262" s="45">
        <f t="shared" si="943"/>
        <v>0</v>
      </c>
      <c r="AV262" s="15"/>
      <c r="AW262" s="13">
        <v>81</v>
      </c>
      <c r="AX262" s="15">
        <f t="shared" si="944"/>
        <v>0</v>
      </c>
      <c r="AY262" s="45"/>
      <c r="AZ262" s="208"/>
      <c r="BA262" s="13">
        <v>81</v>
      </c>
      <c r="BB262" s="15">
        <f t="shared" si="945"/>
        <v>0</v>
      </c>
      <c r="BC262" s="45"/>
      <c r="BD262" s="208"/>
      <c r="BE262" s="40">
        <f t="shared" ref="BE262:BG262" si="947">J262+N262+R262+V262+Z262+AD262+AH262+AL262+AP262+AT262+AX262+BB262</f>
        <v>72</v>
      </c>
      <c r="BF262" s="41">
        <f t="shared" si="947"/>
        <v>1454.52</v>
      </c>
      <c r="BG262" s="34">
        <f t="shared" si="947"/>
        <v>1454.52</v>
      </c>
      <c r="BH262" s="35">
        <f t="shared" si="933"/>
        <v>0</v>
      </c>
      <c r="BK262" s="2" t="b">
        <f>H262='2020'!BH262</f>
        <v>1</v>
      </c>
    </row>
    <row r="263" ht="14.25" customHeight="1" hidden="1" spans="1:63" x14ac:dyDescent="0.25">
      <c r="A263" s="89">
        <v>30</v>
      </c>
      <c r="B263" s="14"/>
      <c r="C263" s="2" t="s">
        <v>497</v>
      </c>
      <c r="D263" s="14" t="s">
        <v>47</v>
      </c>
      <c r="E263" s="2" t="s">
        <v>49</v>
      </c>
      <c r="F263" s="41">
        <v>500</v>
      </c>
      <c r="G263" s="28"/>
      <c r="H263" s="180">
        <f>'2020'!BH263</f>
        <v>0</v>
      </c>
      <c r="I263" s="13"/>
      <c r="J263" s="15"/>
      <c r="K263" s="15"/>
      <c r="L263" s="28"/>
      <c r="M263" s="13"/>
      <c r="N263" s="15"/>
      <c r="P263" s="1"/>
      <c r="Q263" s="13"/>
      <c r="R263" s="15"/>
      <c r="S263" s="15"/>
      <c r="T263" s="28"/>
      <c r="U263" s="13"/>
      <c r="V263" s="15"/>
      <c r="Y263" s="186"/>
      <c r="Z263" s="2"/>
      <c r="AA263" s="15"/>
      <c r="AB263" s="28"/>
      <c r="AC263" s="15"/>
      <c r="AD263" s="15"/>
      <c r="AG263" s="15"/>
      <c r="AH263" s="2"/>
      <c r="AI263" s="45"/>
      <c r="AJ263" s="154"/>
      <c r="AK263" s="13"/>
      <c r="AL263" s="15"/>
      <c r="AM263" s="45"/>
      <c r="AN263" s="15"/>
      <c r="AO263" s="13"/>
      <c r="AP263" s="15"/>
      <c r="AQ263" s="45"/>
      <c r="AR263" s="1"/>
      <c r="AS263" s="13"/>
      <c r="AT263" s="15"/>
      <c r="AU263" s="45"/>
      <c r="AV263" s="15"/>
      <c r="AW263" s="13"/>
      <c r="AX263" s="15"/>
      <c r="AY263" s="45"/>
      <c r="AZ263" s="28"/>
      <c r="BA263" s="13"/>
      <c r="BB263" s="15"/>
      <c r="BC263" s="45"/>
      <c r="BD263" s="28"/>
      <c r="BE263" s="14"/>
      <c r="BF263" s="41">
        <f t="shared" ref="BF263:BG263" si="948">K263+O263+S263+W263+AA263+AE263+AI263+AM263+AQ263+AU263+AY263+BC263</f>
        <v>0</v>
      </c>
      <c r="BG263" s="34">
        <f t="shared" si="948"/>
        <v>0</v>
      </c>
      <c r="BH263" s="35">
        <f t="shared" si="933"/>
        <v>0</v>
      </c>
      <c r="BK263" s="2" t="b">
        <f>H263='2020'!BH263</f>
        <v>1</v>
      </c>
    </row>
    <row r="264" ht="14.25" customHeight="1" hidden="1" spans="1:63" x14ac:dyDescent="0.25">
      <c r="A264" s="89">
        <v>30</v>
      </c>
      <c r="B264" s="14"/>
      <c r="C264" s="2" t="s">
        <v>498</v>
      </c>
      <c r="D264" s="14" t="s">
        <v>50</v>
      </c>
      <c r="E264" s="2" t="s">
        <v>49</v>
      </c>
      <c r="F264" s="41">
        <v>1100</v>
      </c>
      <c r="G264" s="28"/>
      <c r="H264" s="180">
        <f>'2020'!BH264</f>
        <v>0</v>
      </c>
      <c r="I264" s="13"/>
      <c r="J264" s="15"/>
      <c r="K264" s="15"/>
      <c r="L264" s="28"/>
      <c r="M264" s="13"/>
      <c r="N264" s="15"/>
      <c r="P264" s="1"/>
      <c r="Q264" s="13"/>
      <c r="R264" s="15"/>
      <c r="S264" s="15"/>
      <c r="T264" s="28"/>
      <c r="U264" s="13"/>
      <c r="V264" s="15"/>
      <c r="Y264" s="186"/>
      <c r="Z264" s="2"/>
      <c r="AA264" s="15"/>
      <c r="AB264" s="28"/>
      <c r="AC264" s="15"/>
      <c r="AD264" s="15"/>
      <c r="AE264" s="34">
        <f>B261*$F$12</f>
        <v>4455</v>
      </c>
      <c r="AG264" s="15"/>
      <c r="AH264" s="2"/>
      <c r="AI264" s="45"/>
      <c r="AJ264" s="187">
        <v>1000</v>
      </c>
      <c r="AK264" s="13"/>
      <c r="AL264" s="15"/>
      <c r="AM264" s="45"/>
      <c r="AN264" s="39">
        <v>1455</v>
      </c>
      <c r="AO264" s="13"/>
      <c r="AP264" s="15"/>
      <c r="AQ264" s="45"/>
      <c r="AR264" s="1">
        <v>2000</v>
      </c>
      <c r="AS264" s="13"/>
      <c r="AT264" s="15"/>
      <c r="AU264" s="45"/>
      <c r="AV264" s="15"/>
      <c r="AW264" s="13"/>
      <c r="AX264" s="15"/>
      <c r="AY264" s="45"/>
      <c r="AZ264" s="28"/>
      <c r="BA264" s="13"/>
      <c r="BB264" s="15"/>
      <c r="BC264" s="45"/>
      <c r="BD264" s="28"/>
      <c r="BE264" s="14"/>
      <c r="BF264" s="41">
        <f t="shared" ref="BF264:BG264" si="949">K264+O264+S264+W264+AA264+AE264+AI264+AM264+AQ264+AU264+AY264+BC264</f>
        <v>4455</v>
      </c>
      <c r="BG264" s="34">
        <f t="shared" si="949"/>
        <v>4455</v>
      </c>
      <c r="BH264" s="35">
        <f t="shared" si="933"/>
        <v>0</v>
      </c>
      <c r="BK264" s="2" t="b">
        <f>H264='2020'!BH264</f>
        <v>1</v>
      </c>
    </row>
    <row r="265" ht="14.25" customHeight="1" hidden="1" spans="1:63" x14ac:dyDescent="0.25">
      <c r="A265" s="89">
        <v>30</v>
      </c>
      <c r="B265" s="14"/>
      <c r="D265" s="14" t="s">
        <v>51</v>
      </c>
      <c r="E265" s="2" t="s">
        <v>39</v>
      </c>
      <c r="F265" s="41">
        <v>500</v>
      </c>
      <c r="G265" s="28"/>
      <c r="H265" s="180">
        <f>'2020'!BH265</f>
        <v>0</v>
      </c>
      <c r="I265" s="13"/>
      <c r="J265" s="15"/>
      <c r="K265" s="15"/>
      <c r="L265" s="28"/>
      <c r="M265" s="13"/>
      <c r="N265" s="15"/>
      <c r="P265" s="1"/>
      <c r="Q265" s="13"/>
      <c r="R265" s="15"/>
      <c r="S265" s="15"/>
      <c r="T265" s="28"/>
      <c r="U265" s="13"/>
      <c r="V265" s="15"/>
      <c r="Y265" s="186"/>
      <c r="Z265" s="2"/>
      <c r="AA265" s="15"/>
      <c r="AB265" s="28"/>
      <c r="AC265" s="15"/>
      <c r="AD265" s="15"/>
      <c r="AE265" s="180">
        <f>$F$13</f>
      </c>
      <c r="AG265" s="15"/>
      <c r="AH265" s="2"/>
      <c r="AI265" s="45"/>
      <c r="AJ265" s="180"/>
      <c r="AK265" s="13"/>
      <c r="AL265" s="15"/>
      <c r="AM265" s="45"/>
      <c r="AN265" s="15"/>
      <c r="AO265" s="13"/>
      <c r="AP265" s="15"/>
      <c r="AQ265" s="180"/>
      <c r="AR265" s="1"/>
      <c r="AS265" s="13"/>
      <c r="AT265" s="15"/>
      <c r="AU265" s="45"/>
      <c r="AV265" s="34"/>
      <c r="AW265" s="13"/>
      <c r="AX265" s="15"/>
      <c r="AY265" s="45"/>
      <c r="AZ265" s="28"/>
      <c r="BA265" s="13"/>
      <c r="BB265" s="15"/>
      <c r="BC265" s="45"/>
      <c r="BD265" s="28"/>
      <c r="BE265" s="14"/>
      <c r="BF265" s="41">
        <f t="shared" ref="BF265:BG265" si="950">K265+O265+S265+W265+AA265+AE265+AI265+AM265+AQ265+AU265+AY265+BC265</f>
        <v>0</v>
      </c>
      <c r="BG265" s="34">
        <f t="shared" si="950"/>
        <v>0</v>
      </c>
      <c r="BH265" s="35">
        <f t="shared" si="933"/>
        <v>0</v>
      </c>
      <c r="BK265" s="2" t="b">
        <f>H265='2020'!BH265</f>
        <v>1</v>
      </c>
    </row>
    <row r="266" ht="14.25" customHeight="1" hidden="1" spans="1:63" x14ac:dyDescent="0.25">
      <c r="A266" s="89">
        <v>30</v>
      </c>
      <c r="B266" s="14"/>
      <c r="D266" s="14" t="s">
        <v>51</v>
      </c>
      <c r="E266" s="2" t="s">
        <v>49</v>
      </c>
      <c r="F266" s="41">
        <v>500</v>
      </c>
      <c r="G266" s="28"/>
      <c r="H266" s="180">
        <f>'2020'!BH266</f>
        <v>2025</v>
      </c>
      <c r="I266" s="13"/>
      <c r="J266" s="15"/>
      <c r="K266" s="15"/>
      <c r="L266" s="28"/>
      <c r="M266" s="13"/>
      <c r="N266" s="15"/>
      <c r="P266" s="1">
        <v>2025</v>
      </c>
      <c r="Q266" s="13"/>
      <c r="R266" s="15"/>
      <c r="S266" s="15"/>
      <c r="T266" s="28"/>
      <c r="U266" s="13"/>
      <c r="V266" s="15"/>
      <c r="Y266" s="186"/>
      <c r="Z266" s="2"/>
      <c r="AA266" s="15"/>
      <c r="AB266" s="28"/>
      <c r="AC266" s="15"/>
      <c r="AD266" s="15"/>
      <c r="AE266" s="34"/>
      <c r="AG266" s="15"/>
      <c r="AH266" s="2"/>
      <c r="AI266" s="45"/>
      <c r="AJ266" s="180"/>
      <c r="AK266" s="13"/>
      <c r="AL266" s="15"/>
      <c r="AM266" s="45"/>
      <c r="AN266" s="15"/>
      <c r="AO266" s="13"/>
      <c r="AP266" s="15"/>
      <c r="AQ266" s="180">
        <f>B261*$F$14</f>
        <v>0</v>
      </c>
      <c r="AR266" s="15"/>
      <c r="AS266" s="13"/>
      <c r="AT266" s="15"/>
      <c r="AU266" s="45"/>
      <c r="AV266" s="15"/>
      <c r="AW266" s="13"/>
      <c r="AX266" s="15"/>
      <c r="AY266" s="45"/>
      <c r="AZ266" s="28"/>
      <c r="BA266" s="13"/>
      <c r="BB266" s="15"/>
      <c r="BC266" s="45"/>
      <c r="BD266" s="28"/>
      <c r="BE266" s="14"/>
      <c r="BF266" s="41">
        <f t="shared" ref="BF266:BG266" si="951">K266+O266+S266+W266+AA266+AE266+AI266+AM266+AQ266+AU266+AY266+BC266</f>
        <v>0</v>
      </c>
      <c r="BG266" s="34">
        <f t="shared" si="951"/>
        <v>2025</v>
      </c>
      <c r="BH266" s="35">
        <f t="shared" si="933"/>
        <v>0</v>
      </c>
      <c r="BK266" s="2" t="b">
        <f>H266='2020'!BH266</f>
        <v>1</v>
      </c>
    </row>
    <row r="267" ht="14.25" customHeight="1" hidden="1" spans="1:63" x14ac:dyDescent="0.25">
      <c r="A267" s="89">
        <v>30</v>
      </c>
      <c r="B267" s="14"/>
      <c r="D267" s="14" t="s">
        <v>52</v>
      </c>
      <c r="E267" s="2" t="s">
        <v>39</v>
      </c>
      <c r="F267" s="41">
        <v>500</v>
      </c>
      <c r="G267" s="28"/>
      <c r="H267" s="180">
        <f>'2020'!BH267</f>
        <v>0</v>
      </c>
      <c r="I267" s="13"/>
      <c r="J267" s="15"/>
      <c r="K267" s="15"/>
      <c r="L267" s="28"/>
      <c r="M267" s="13"/>
      <c r="N267" s="15"/>
      <c r="Q267" s="13"/>
      <c r="R267" s="15"/>
      <c r="S267" s="15"/>
      <c r="T267" s="28"/>
      <c r="U267" s="13"/>
      <c r="V267" s="15"/>
      <c r="Y267" s="186"/>
      <c r="Z267" s="2"/>
      <c r="AA267" s="34">
        <f>$F$15</f>
      </c>
      <c r="AB267" s="28"/>
      <c r="AC267" s="15"/>
      <c r="AD267" s="15"/>
      <c r="AG267" s="15"/>
      <c r="AH267" s="2"/>
      <c r="AI267" s="45"/>
      <c r="AJ267" s="15"/>
      <c r="AK267" s="13"/>
      <c r="AL267" s="15"/>
      <c r="AM267" s="45"/>
      <c r="AN267" s="15"/>
      <c r="AO267" s="13"/>
      <c r="AP267" s="15"/>
      <c r="AQ267" s="45"/>
      <c r="AR267" s="15"/>
      <c r="AS267" s="13"/>
      <c r="AT267" s="15"/>
      <c r="AU267" s="45"/>
      <c r="AV267" s="15"/>
      <c r="AW267" s="13"/>
      <c r="AX267" s="15"/>
      <c r="AY267" s="45"/>
      <c r="AZ267" s="35"/>
      <c r="BA267" s="13"/>
      <c r="BB267" s="15"/>
      <c r="BC267" s="45"/>
      <c r="BD267" s="35"/>
      <c r="BE267" s="14"/>
      <c r="BF267" s="41">
        <f t="shared" ref="BF267:BG267" si="952">K267+O267+S267+W267+AA267+AE267+AI267+AM267+AQ267+AU267+AY267+BC267</f>
        <v>0</v>
      </c>
      <c r="BG267" s="34">
        <f t="shared" si="952"/>
        <v>0</v>
      </c>
      <c r="BH267" s="35">
        <f t="shared" si="933"/>
        <v>0</v>
      </c>
      <c r="BK267" s="2" t="b">
        <f>H267='2020'!BH267</f>
        <v>1</v>
      </c>
    </row>
    <row r="268" ht="14.25" customHeight="1" hidden="1" spans="1:63" x14ac:dyDescent="0.25">
      <c r="A268" s="243">
        <v>30</v>
      </c>
      <c r="B268" s="21"/>
      <c r="C268" s="22" t="s">
        <v>53</v>
      </c>
      <c r="D268" s="21"/>
      <c r="E268" s="22"/>
      <c r="F268" s="20"/>
      <c r="G268" s="23"/>
      <c r="H268" s="51">
        <f>SUM(H260:H267)</f>
        <v>2030.2</v>
      </c>
      <c r="I268" s="52"/>
      <c r="J268" s="53"/>
      <c r="K268" s="51">
        <f t="shared" ref="K268:L268" si="953">SUM(K260:K267)</f>
        <v>0</v>
      </c>
      <c r="L268" s="68">
        <f t="shared" si="953"/>
        <v>0</v>
      </c>
      <c r="M268" s="52"/>
      <c r="N268" s="53"/>
      <c r="O268" s="51">
        <f t="shared" ref="O268:P268" si="954">SUM(O260:O267)</f>
        <v>0</v>
      </c>
      <c r="P268" s="51">
        <f t="shared" si="954"/>
        <v>2030.2</v>
      </c>
      <c r="Q268" s="52"/>
      <c r="R268" s="53"/>
      <c r="S268" s="51">
        <f t="shared" ref="S268:T268" si="955">SUM(S260:S267)</f>
        <v>0</v>
      </c>
      <c r="T268" s="51">
        <f t="shared" si="955"/>
        <v>0</v>
      </c>
      <c r="U268" s="52"/>
      <c r="V268" s="53"/>
      <c r="W268" s="51">
        <f t="shared" ref="W268:X268" si="956">SUM(W260:W267)</f>
        <v>0</v>
      </c>
      <c r="X268" s="51">
        <f t="shared" si="956"/>
        <v>0</v>
      </c>
      <c r="Y268" s="300"/>
      <c r="Z268" s="301"/>
      <c r="AA268" s="51">
        <f t="shared" ref="AA268:AB268" si="957">SUM(AA260:AA267)</f>
        <v>44.12</v>
      </c>
      <c r="AB268" s="51">
        <f t="shared" si="957"/>
        <v>0</v>
      </c>
      <c r="AC268" s="52"/>
      <c r="AD268" s="53"/>
      <c r="AE268" s="51">
        <f t="shared" ref="AE268:AF268" si="958">SUM(AE260:AE267)</f>
        <v>4673</v>
      </c>
      <c r="AF268" s="51">
        <f t="shared" si="958"/>
        <v>44.12</v>
      </c>
      <c r="AG268" s="52"/>
      <c r="AH268" s="301"/>
      <c r="AI268" s="183">
        <f t="shared" ref="AI268:AJ268" si="959">SUM(AI260:AI267)</f>
        <v>368.2</v>
      </c>
      <c r="AJ268" s="51">
        <f t="shared" si="959"/>
        <v>1586.2</v>
      </c>
      <c r="AK268" s="52"/>
      <c r="AL268" s="53"/>
      <c r="AM268" s="183">
        <f t="shared" ref="AM268:AN268" si="960">SUM(AM260:AM267)</f>
        <v>506.3</v>
      </c>
      <c r="AN268" s="51">
        <f t="shared" si="960"/>
        <v>1961.3</v>
      </c>
      <c r="AO268" s="52"/>
      <c r="AP268" s="53"/>
      <c r="AQ268" s="183">
        <f t="shared" ref="AQ268:AR268" si="961">SUM(AQ260:AQ267)</f>
        <v>851.4</v>
      </c>
      <c r="AR268" s="51">
        <f t="shared" si="961"/>
        <v>2732.6</v>
      </c>
      <c r="AS268" s="52"/>
      <c r="AT268" s="53"/>
      <c r="AU268" s="183">
        <f t="shared" ref="AU268:AV268" si="962">SUM(AU260:AU267)</f>
        <v>2.7</v>
      </c>
      <c r="AV268" s="68">
        <f t="shared" si="962"/>
        <v>118.8</v>
      </c>
      <c r="AW268" s="52"/>
      <c r="AX268" s="53"/>
      <c r="AY268" s="183">
        <f t="shared" ref="AY268:AZ268" si="963">SUM(AY260:AY267)</f>
        <v>0</v>
      </c>
      <c r="AZ268" s="68">
        <f t="shared" si="963"/>
        <v>2.7</v>
      </c>
      <c r="BA268" s="52"/>
      <c r="BB268" s="53"/>
      <c r="BC268" s="183">
        <f t="shared" ref="BC268:BD268" si="964">SUM(BC260:BC267)</f>
        <v>0</v>
      </c>
      <c r="BD268" s="68">
        <f t="shared" si="964"/>
        <v>0</v>
      </c>
      <c r="BE268" s="69"/>
      <c r="BF268" s="70">
        <f t="shared" ref="BF268:BH268" si="965">SUM(BF260:BF267)</f>
        <v>6445.72</v>
      </c>
      <c r="BG268" s="71">
        <f t="shared" si="965"/>
        <v>8475.92</v>
      </c>
      <c r="BH268" s="72">
        <f t="shared" si="965"/>
        <v>0</v>
      </c>
      <c r="BI268" s="34">
        <f>H268+BF268-BG268</f>
        <v>0</v>
      </c>
      <c r="BJ268" s="34">
        <f>BH268-BI268</f>
        <v>0</v>
      </c>
      <c r="BK268" s="2" t="b">
        <f>H268='2020'!BH268</f>
        <v>1</v>
      </c>
    </row>
    <row r="269" ht="14.25" customHeight="1" hidden="1" spans="1:63" x14ac:dyDescent="0.25">
      <c r="A269" s="89">
        <v>29</v>
      </c>
      <c r="B269" s="14"/>
      <c r="C269" s="15"/>
      <c r="D269" s="14" t="s">
        <v>379</v>
      </c>
      <c r="E269" s="15"/>
      <c r="F269" s="13"/>
      <c r="G269" s="28"/>
      <c r="H269" s="34">
        <f>'2020'!BH269</f>
        <v>0</v>
      </c>
      <c r="I269" s="61"/>
      <c r="J269" s="60"/>
      <c r="K269" s="62"/>
      <c r="L269" s="63"/>
      <c r="M269" s="61"/>
      <c r="N269" s="60"/>
      <c r="O269" s="62"/>
      <c r="P269" s="62"/>
      <c r="Q269" s="61"/>
      <c r="R269" s="60"/>
      <c r="S269" s="62"/>
      <c r="T269" s="62"/>
      <c r="U269" s="61"/>
      <c r="V269" s="60"/>
      <c r="W269" s="62"/>
      <c r="X269" s="62"/>
      <c r="Y269" s="302"/>
      <c r="Z269" s="303"/>
      <c r="AA269" s="62"/>
      <c r="AB269" s="62"/>
      <c r="AC269" s="251"/>
      <c r="AD269" s="60"/>
      <c r="AE269" s="62"/>
      <c r="AF269" s="62"/>
      <c r="AG269" s="251"/>
      <c r="AH269" s="303"/>
      <c r="AI269" s="45"/>
      <c r="AJ269" s="62"/>
      <c r="AK269" s="61"/>
      <c r="AL269" s="60"/>
      <c r="AM269" s="45"/>
      <c r="AN269" s="62"/>
      <c r="AO269" s="61"/>
      <c r="AP269" s="60"/>
      <c r="AQ269" s="45"/>
      <c r="AR269" s="62"/>
      <c r="AS269" s="61"/>
      <c r="AT269" s="60"/>
      <c r="AU269" s="45"/>
      <c r="AV269" s="62"/>
      <c r="AW269" s="61"/>
      <c r="AX269" s="60"/>
      <c r="AY269" s="45"/>
      <c r="AZ269" s="28"/>
      <c r="BA269" s="61"/>
      <c r="BB269" s="15"/>
      <c r="BC269" s="45"/>
      <c r="BD269" s="28"/>
      <c r="BE269" s="65"/>
      <c r="BF269" s="41">
        <f t="shared" ref="BF269:BG269" si="966">K269+O269+S269+W269+AA269+AE269+AI269+AM269+AQ269+AU269+AY269+BC269</f>
        <v>0</v>
      </c>
      <c r="BG269" s="34">
        <f t="shared" si="966"/>
        <v>0</v>
      </c>
      <c r="BH269" s="35">
        <f t="shared" ref="BH269:BH276" si="967">H269+BF269-BG269</f>
        <v>0</v>
      </c>
      <c r="BI269" s="34"/>
      <c r="BJ269" s="34"/>
      <c r="BK269" s="2" t="b">
        <f>H269='2020'!BH269</f>
        <v>1</v>
      </c>
    </row>
    <row r="270" ht="14.25" customHeight="1" hidden="1" spans="1:63" x14ac:dyDescent="0.25">
      <c r="A270" s="2">
        <v>29</v>
      </c>
      <c r="B270" s="14">
        <v>4.02</v>
      </c>
      <c r="C270" s="2" t="s">
        <v>146</v>
      </c>
      <c r="D270" s="14" t="s">
        <v>44</v>
      </c>
      <c r="E270" s="2" t="s">
        <v>45</v>
      </c>
      <c r="F270" s="41">
        <v>2.5</v>
      </c>
      <c r="G270" s="35">
        <v>2.6</v>
      </c>
      <c r="H270" s="104">
        <f>'2020'!BH270</f>
        <v>0</v>
      </c>
      <c r="I270" s="95">
        <v>0</v>
      </c>
      <c r="J270" s="15"/>
      <c r="K270" s="34">
        <f>J270*$F$8</f>
        <v>0</v>
      </c>
      <c r="L270" s="28"/>
      <c r="M270" s="95"/>
      <c r="N270" s="15">
        <f t="shared" ref="N270:N271" si="968">M270-I270</f>
        <v>0</v>
      </c>
      <c r="O270" s="34">
        <f>N270*$F$8</f>
        <v>0</v>
      </c>
      <c r="Q270" s="13"/>
      <c r="R270" s="15">
        <f t="shared" ref="R270:R271" si="969">Q270-M270</f>
        <v>0</v>
      </c>
      <c r="S270" s="34">
        <f>R270*$F$8</f>
        <v>0</v>
      </c>
      <c r="T270" s="28"/>
      <c r="U270" s="13">
        <v>0</v>
      </c>
      <c r="V270" s="15">
        <f t="shared" ref="V270:V271" si="970">U270-Q270</f>
        <v>0</v>
      </c>
      <c r="W270" s="34">
        <f>V270*$F$8</f>
        <v>0</v>
      </c>
      <c r="Y270" s="186">
        <v>0</v>
      </c>
      <c r="Z270" s="2">
        <f t="shared" ref="Z270:Z271" si="971">Y270-U270</f>
        <v>0</v>
      </c>
      <c r="AA270" s="34">
        <f>Z270*$F$8</f>
        <v>0</v>
      </c>
      <c r="AB270" s="28"/>
      <c r="AC270" s="15">
        <v>0</v>
      </c>
      <c r="AD270" s="15">
        <f t="shared" ref="AD270:AD271" si="972">AC270-Y270</f>
        <v>0</v>
      </c>
      <c r="AE270" s="180">
        <f>AD270*$F$8</f>
        <v>0</v>
      </c>
      <c r="AG270" s="15">
        <v>0</v>
      </c>
      <c r="AH270" s="2">
        <f t="shared" ref="AH270:AH271" si="973">AG270-AC270</f>
        <v>0</v>
      </c>
      <c r="AI270" s="45">
        <f>AH270*$G$8</f>
        <v>0</v>
      </c>
      <c r="AJ270" s="180"/>
      <c r="AK270" s="13">
        <v>0</v>
      </c>
      <c r="AL270" s="15">
        <f t="shared" ref="AL270:AL271" si="974">AK270-AG270</f>
        <v>0</v>
      </c>
      <c r="AM270" s="45">
        <f>AL270*$G$8</f>
        <v>0</v>
      </c>
      <c r="AN270" s="15"/>
      <c r="AO270" s="13">
        <v>0</v>
      </c>
      <c r="AP270" s="15">
        <f t="shared" ref="AP270:AP271" si="975">AO270-AK270</f>
        <v>0</v>
      </c>
      <c r="AQ270" s="45">
        <f>AP270*$G$8</f>
        <v>0</v>
      </c>
      <c r="AR270" s="15"/>
      <c r="AS270" s="13"/>
      <c r="AT270" s="15">
        <f t="shared" ref="AT270:AT271" si="976">AS270-AO270</f>
        <v>0</v>
      </c>
      <c r="AU270" s="45">
        <f>AT270*$G$8</f>
        <v>0</v>
      </c>
      <c r="AV270" s="15"/>
      <c r="AW270" s="13"/>
      <c r="AX270" s="15">
        <f t="shared" ref="AX270:AX271" si="977">AW270-AS270</f>
        <v>0</v>
      </c>
      <c r="AY270" s="45">
        <f>AX270*$G$8</f>
        <v>0</v>
      </c>
      <c r="AZ270" s="208"/>
      <c r="BA270" s="13"/>
      <c r="BB270" s="15">
        <f t="shared" ref="BB270:BB271" si="978">BA270-AW270</f>
        <v>0</v>
      </c>
      <c r="BC270" s="45">
        <f>BB270*$G$8</f>
        <v>0</v>
      </c>
      <c r="BD270" s="208"/>
      <c r="BE270" s="40">
        <f t="shared" ref="BE270:BG270" si="979">J270+N270+R270+V270+Z270+AD270+AH270+AL270+AP270+AT270+AX270+BB270</f>
        <v>0</v>
      </c>
      <c r="BF270" s="41">
        <f t="shared" si="979"/>
        <v>0</v>
      </c>
      <c r="BG270" s="34">
        <f t="shared" si="979"/>
        <v>0</v>
      </c>
      <c r="BH270" s="35">
        <f t="shared" si="967"/>
        <v>0</v>
      </c>
      <c r="BK270" s="2" t="b">
        <f>H270='2020'!BH270</f>
        <v>1</v>
      </c>
    </row>
    <row r="271" ht="14.25" customHeight="1" hidden="1" spans="1:63" x14ac:dyDescent="0.25">
      <c r="A271" s="2">
        <v>29</v>
      </c>
      <c r="B271" s="14"/>
      <c r="C271" s="2" t="s">
        <v>87</v>
      </c>
      <c r="D271" s="14" t="s">
        <v>47</v>
      </c>
      <c r="E271" s="2" t="s">
        <v>48</v>
      </c>
      <c r="F271" s="13">
        <v>18.56</v>
      </c>
      <c r="G271" s="35">
        <v>19.46</v>
      </c>
      <c r="H271" s="34">
        <f>'2020'!BH271</f>
        <v>-2.84</v>
      </c>
      <c r="I271" s="13">
        <v>25</v>
      </c>
      <c r="J271" s="15"/>
      <c r="K271" s="15"/>
      <c r="L271" s="28"/>
      <c r="M271" s="13">
        <v>25</v>
      </c>
      <c r="N271" s="15">
        <f t="shared" si="968"/>
        <v>0</v>
      </c>
      <c r="Q271" s="13">
        <v>25</v>
      </c>
      <c r="R271" s="15">
        <f t="shared" si="969"/>
        <v>0</v>
      </c>
      <c r="S271" s="15"/>
      <c r="T271" s="28"/>
      <c r="U271" s="13">
        <v>25</v>
      </c>
      <c r="V271" s="15">
        <f t="shared" si="970"/>
        <v>0</v>
      </c>
      <c r="W271" s="34">
        <f>V271*$F$10</f>
        <v>0</v>
      </c>
      <c r="Y271" s="186">
        <v>25</v>
      </c>
      <c r="Z271" s="2">
        <f t="shared" si="971"/>
        <v>0</v>
      </c>
      <c r="AA271" s="34">
        <f>Z271*$F$10</f>
        <v>0</v>
      </c>
      <c r="AB271" s="28"/>
      <c r="AC271" s="15">
        <v>25</v>
      </c>
      <c r="AD271" s="15">
        <f t="shared" si="972"/>
        <v>0</v>
      </c>
      <c r="AE271" s="34">
        <f>AD271*$F$10</f>
        <v>0</v>
      </c>
      <c r="AG271" s="15">
        <v>25</v>
      </c>
      <c r="AH271" s="2">
        <f t="shared" si="973"/>
        <v>0</v>
      </c>
      <c r="AI271" s="45">
        <f>AH271*$G$10</f>
        <v>0</v>
      </c>
      <c r="AJ271" s="180"/>
      <c r="AK271" s="13">
        <v>25</v>
      </c>
      <c r="AL271" s="15">
        <f t="shared" si="974"/>
        <v>0</v>
      </c>
      <c r="AM271" s="45">
        <f>AL271*$G$10</f>
        <v>0</v>
      </c>
      <c r="AN271" s="15"/>
      <c r="AO271" s="13">
        <v>25</v>
      </c>
      <c r="AP271" s="15">
        <f t="shared" si="975"/>
        <v>0</v>
      </c>
      <c r="AQ271" s="45">
        <f>AP271*$G$10</f>
        <v>0</v>
      </c>
      <c r="AR271" s="15"/>
      <c r="AS271" s="13">
        <v>25</v>
      </c>
      <c r="AT271" s="15">
        <f t="shared" si="976"/>
        <v>0</v>
      </c>
      <c r="AU271" s="45">
        <f>AT271*$G$10</f>
        <v>0</v>
      </c>
      <c r="AV271" s="15"/>
      <c r="AW271" s="13">
        <v>25</v>
      </c>
      <c r="AX271" s="15">
        <f t="shared" si="977"/>
        <v>0</v>
      </c>
      <c r="AY271" s="45"/>
      <c r="AZ271" s="208"/>
      <c r="BA271" s="13">
        <v>25</v>
      </c>
      <c r="BB271" s="15">
        <f t="shared" si="978"/>
        <v>0</v>
      </c>
      <c r="BC271" s="45"/>
      <c r="BD271" s="208"/>
      <c r="BE271" s="40">
        <f t="shared" ref="BE271:BG271" si="980">J271+N271+R271+V271+Z271+AD271+AH271+AL271+AP271+AT271+AX271+BB271</f>
        <v>0</v>
      </c>
      <c r="BF271" s="41">
        <f t="shared" si="980"/>
        <v>0</v>
      </c>
      <c r="BG271" s="34">
        <f t="shared" si="980"/>
        <v>0</v>
      </c>
      <c r="BH271" s="35">
        <f t="shared" si="967"/>
        <v>-2.84</v>
      </c>
      <c r="BK271" s="2" t="b">
        <f>H271='2020'!BH271</f>
        <v>1</v>
      </c>
    </row>
    <row r="272" ht="14.25" customHeight="1" hidden="1" spans="1:63" x14ac:dyDescent="0.25">
      <c r="A272" s="2">
        <v>29</v>
      </c>
      <c r="B272" s="14"/>
      <c r="C272" s="15" t="s">
        <v>147</v>
      </c>
      <c r="D272" s="14" t="s">
        <v>47</v>
      </c>
      <c r="E272" s="2" t="s">
        <v>49</v>
      </c>
      <c r="F272" s="41">
        <v>500</v>
      </c>
      <c r="G272" s="28"/>
      <c r="H272" s="34">
        <f>'2020'!BH272</f>
        <v>0</v>
      </c>
      <c r="I272" s="13"/>
      <c r="J272" s="15"/>
      <c r="K272" s="15"/>
      <c r="L272" s="28"/>
      <c r="M272" s="13"/>
      <c r="N272" s="15"/>
      <c r="Q272" s="13"/>
      <c r="R272" s="15"/>
      <c r="S272" s="15"/>
      <c r="T272" s="28"/>
      <c r="U272" s="13"/>
      <c r="V272" s="15"/>
      <c r="Y272" s="186"/>
      <c r="Z272" s="2"/>
      <c r="AA272" s="15"/>
      <c r="AB272" s="28"/>
      <c r="AC272" s="15"/>
      <c r="AD272" s="15"/>
      <c r="AG272" s="15"/>
      <c r="AH272" s="2"/>
      <c r="AI272" s="45"/>
      <c r="AJ272" s="15"/>
      <c r="AK272" s="13"/>
      <c r="AL272" s="15"/>
      <c r="AM272" s="45"/>
      <c r="AN272" s="15"/>
      <c r="AO272" s="13"/>
      <c r="AP272" s="15"/>
      <c r="AQ272" s="45"/>
      <c r="AR272" s="15"/>
      <c r="AS272" s="13"/>
      <c r="AT272" s="15"/>
      <c r="AU272" s="45"/>
      <c r="AV272" s="15"/>
      <c r="AW272" s="13"/>
      <c r="AX272" s="15"/>
      <c r="AY272" s="45"/>
      <c r="AZ272" s="28"/>
      <c r="BA272" s="13"/>
      <c r="BB272" s="15"/>
      <c r="BC272" s="45"/>
      <c r="BD272" s="28"/>
      <c r="BE272" s="14"/>
      <c r="BF272" s="41">
        <f t="shared" ref="BF272:BG272" si="981">K272+O272+S272+W272+AA272+AE272+AI272+AM272+AQ272+AU272+AY272+BC272</f>
        <v>0</v>
      </c>
      <c r="BG272" s="34">
        <f t="shared" si="981"/>
        <v>0</v>
      </c>
      <c r="BH272" s="35">
        <f t="shared" si="967"/>
        <v>0</v>
      </c>
      <c r="BK272" s="2" t="b">
        <f>H272='2020'!BH272</f>
        <v>1</v>
      </c>
    </row>
    <row r="273" ht="14.25" customHeight="1" hidden="1" spans="1:63" x14ac:dyDescent="0.25">
      <c r="A273" s="2">
        <v>29</v>
      </c>
      <c r="B273" s="14"/>
      <c r="C273" s="2" t="s">
        <v>148</v>
      </c>
      <c r="D273" s="14" t="s">
        <v>50</v>
      </c>
      <c r="E273" s="2" t="s">
        <v>49</v>
      </c>
      <c r="F273" s="41">
        <v>1100</v>
      </c>
      <c r="G273" s="28"/>
      <c r="H273" s="34">
        <f>'2020'!BH273</f>
        <v>0</v>
      </c>
      <c r="I273" s="13"/>
      <c r="J273" s="15"/>
      <c r="K273" s="15"/>
      <c r="L273" s="28"/>
      <c r="M273" s="13"/>
      <c r="N273" s="15"/>
      <c r="Q273" s="13"/>
      <c r="R273" s="15"/>
      <c r="S273" s="15"/>
      <c r="T273" s="28"/>
      <c r="U273" s="13"/>
      <c r="V273" s="15"/>
      <c r="Y273" s="186"/>
      <c r="Z273" s="2"/>
      <c r="AA273" s="15"/>
      <c r="AB273" s="28"/>
      <c r="AC273" s="15"/>
      <c r="AD273" s="15"/>
      <c r="AE273" s="34">
        <f>B270*$F$12</f>
        <v>4422</v>
      </c>
      <c r="AG273" s="15"/>
      <c r="AH273" s="2"/>
      <c r="AI273" s="45"/>
      <c r="AJ273" s="326">
        <v>4422</v>
      </c>
      <c r="AK273" s="13"/>
      <c r="AL273" s="15"/>
      <c r="AM273" s="45"/>
      <c r="AN273" s="15"/>
      <c r="AO273" s="13"/>
      <c r="AP273" s="15"/>
      <c r="AQ273" s="45"/>
      <c r="AR273" s="15"/>
      <c r="AS273" s="13"/>
      <c r="AT273" s="15"/>
      <c r="AU273" s="45"/>
      <c r="AV273" s="15"/>
      <c r="AW273" s="13"/>
      <c r="AX273" s="15"/>
      <c r="AY273" s="45"/>
      <c r="AZ273" s="28"/>
      <c r="BA273" s="13"/>
      <c r="BB273" s="15"/>
      <c r="BC273" s="45"/>
      <c r="BD273" s="28"/>
      <c r="BE273" s="14"/>
      <c r="BF273" s="41">
        <f t="shared" ref="BF273:BG273" si="982">K273+O273+S273+W273+AA273+AE273+AI273+AM273+AQ273+AU273+AY273+BC273</f>
        <v>4422</v>
      </c>
      <c r="BG273" s="34">
        <f t="shared" si="982"/>
        <v>4422</v>
      </c>
      <c r="BH273" s="35">
        <f t="shared" si="967"/>
        <v>0</v>
      </c>
      <c r="BK273" s="2" t="b">
        <f>H273='2020'!BH273</f>
        <v>1</v>
      </c>
    </row>
    <row r="274" ht="14.25" customHeight="1" hidden="1" spans="1:63" x14ac:dyDescent="0.25">
      <c r="A274" s="2">
        <v>29</v>
      </c>
      <c r="B274" s="14"/>
      <c r="D274" s="14" t="s">
        <v>51</v>
      </c>
      <c r="E274" s="2" t="s">
        <v>39</v>
      </c>
      <c r="F274" s="41">
        <v>500</v>
      </c>
      <c r="G274" s="28"/>
      <c r="H274" s="34">
        <f>'2020'!BH274</f>
        <v>500</v>
      </c>
      <c r="I274" s="13"/>
      <c r="J274" s="15"/>
      <c r="K274" s="15"/>
      <c r="L274" s="28"/>
      <c r="M274" s="13"/>
      <c r="N274" s="15"/>
      <c r="Q274" s="13"/>
      <c r="R274" s="15"/>
      <c r="S274" s="15"/>
      <c r="T274" s="28"/>
      <c r="U274" s="13"/>
      <c r="V274" s="15"/>
      <c r="Y274" s="186"/>
      <c r="Z274" s="2"/>
      <c r="AA274" s="15"/>
      <c r="AB274" s="28"/>
      <c r="AC274" s="15"/>
      <c r="AD274" s="15"/>
      <c r="AE274" s="180">
        <f>$F$13</f>
      </c>
      <c r="AG274" s="15"/>
      <c r="AH274" s="2"/>
      <c r="AI274" s="45"/>
      <c r="AJ274" s="326">
        <v>500</v>
      </c>
      <c r="AK274" s="13"/>
      <c r="AL274" s="15"/>
      <c r="AM274" s="45"/>
      <c r="AN274" s="15"/>
      <c r="AO274" s="13"/>
      <c r="AP274" s="15"/>
      <c r="AQ274" s="180"/>
      <c r="AR274" s="15"/>
      <c r="AS274" s="13"/>
      <c r="AT274" s="15"/>
      <c r="AU274" s="45"/>
      <c r="AV274" s="15"/>
      <c r="AW274" s="13"/>
      <c r="AX274" s="15"/>
      <c r="AY274" s="45"/>
      <c r="AZ274" s="28"/>
      <c r="BA274" s="13"/>
      <c r="BB274" s="15"/>
      <c r="BC274" s="45"/>
      <c r="BD274" s="28"/>
      <c r="BE274" s="14"/>
      <c r="BF274" s="41">
        <f t="shared" ref="BF274:BG274" si="983">K274+O274+S274+W274+AA274+AE274+AI274+AM274+AQ274+AU274+AY274+BC274</f>
        <v>0</v>
      </c>
      <c r="BG274" s="34">
        <f t="shared" si="983"/>
        <v>500</v>
      </c>
      <c r="BH274" s="35">
        <f t="shared" si="967"/>
        <v>0</v>
      </c>
      <c r="BK274" s="2" t="b">
        <f>H274='2020'!BH274</f>
        <v>1</v>
      </c>
    </row>
    <row r="275" ht="14.25" customHeight="1" hidden="1" spans="1:63" x14ac:dyDescent="0.25">
      <c r="A275" s="2">
        <v>29</v>
      </c>
      <c r="B275" s="14"/>
      <c r="D275" s="14" t="s">
        <v>51</v>
      </c>
      <c r="E275" s="2" t="s">
        <v>49</v>
      </c>
      <c r="F275" s="41">
        <v>500</v>
      </c>
      <c r="G275" s="28"/>
      <c r="H275" s="34">
        <f>'2020'!BH275</f>
        <v>2010</v>
      </c>
      <c r="I275" s="13"/>
      <c r="J275" s="15"/>
      <c r="K275" s="15"/>
      <c r="L275" s="28"/>
      <c r="M275" s="13"/>
      <c r="N275" s="15"/>
      <c r="Q275" s="13"/>
      <c r="R275" s="15"/>
      <c r="S275" s="15"/>
      <c r="T275" s="28"/>
      <c r="U275" s="13"/>
      <c r="V275" s="15"/>
      <c r="Y275" s="186"/>
      <c r="Z275" s="2"/>
      <c r="AA275" s="15"/>
      <c r="AB275" s="28"/>
      <c r="AC275" s="15"/>
      <c r="AD275" s="15"/>
      <c r="AE275" s="34"/>
      <c r="AG275" s="15"/>
      <c r="AH275" s="2"/>
      <c r="AI275" s="45"/>
      <c r="AJ275" s="326">
        <v>2010</v>
      </c>
      <c r="AK275" s="13"/>
      <c r="AL275" s="15"/>
      <c r="AM275" s="45"/>
      <c r="AN275" s="15"/>
      <c r="AO275" s="13"/>
      <c r="AP275" s="15"/>
      <c r="AQ275" s="180">
        <f>B270*$F$14</f>
        <v>0</v>
      </c>
      <c r="AR275" s="15"/>
      <c r="AS275" s="13"/>
      <c r="AT275" s="15"/>
      <c r="AU275" s="45"/>
      <c r="AV275" s="15"/>
      <c r="AW275" s="13"/>
      <c r="AX275" s="15"/>
      <c r="AY275" s="45"/>
      <c r="AZ275" s="28"/>
      <c r="BA275" s="13"/>
      <c r="BB275" s="15"/>
      <c r="BC275" s="45"/>
      <c r="BD275" s="28"/>
      <c r="BE275" s="14"/>
      <c r="BF275" s="41">
        <f t="shared" ref="BF275:BG275" si="984">K275+O275+S275+W275+AA275+AE275+AI275+AM275+AQ275+AU275+AY275+BC275</f>
        <v>0</v>
      </c>
      <c r="BG275" s="34">
        <f t="shared" si="984"/>
        <v>2010</v>
      </c>
      <c r="BH275" s="35">
        <f t="shared" si="967"/>
        <v>0</v>
      </c>
      <c r="BK275" s="2" t="b">
        <f>H275='2020'!BH275</f>
        <v>1</v>
      </c>
    </row>
    <row r="276" ht="14.25" customHeight="1" hidden="1" spans="1:63" x14ac:dyDescent="0.25">
      <c r="A276" s="2">
        <v>29</v>
      </c>
      <c r="B276" s="14"/>
      <c r="D276" s="14" t="s">
        <v>52</v>
      </c>
      <c r="E276" s="2" t="s">
        <v>39</v>
      </c>
      <c r="F276" s="41">
        <v>500</v>
      </c>
      <c r="G276" s="28"/>
      <c r="H276" s="34">
        <f>'2020'!BH276</f>
        <v>0</v>
      </c>
      <c r="I276" s="13"/>
      <c r="J276" s="15"/>
      <c r="K276" s="15"/>
      <c r="L276" s="28"/>
      <c r="M276" s="13"/>
      <c r="N276" s="15"/>
      <c r="Q276" s="13"/>
      <c r="R276" s="15"/>
      <c r="S276" s="15"/>
      <c r="T276" s="28"/>
      <c r="U276" s="13"/>
      <c r="V276" s="15"/>
      <c r="Y276" s="186"/>
      <c r="Z276" s="2"/>
      <c r="AA276" s="34">
        <f>$F$15</f>
      </c>
      <c r="AB276" s="28"/>
      <c r="AC276" s="15"/>
      <c r="AD276" s="15"/>
      <c r="AG276" s="15"/>
      <c r="AH276" s="2"/>
      <c r="AI276" s="45"/>
      <c r="AJ276" s="180"/>
      <c r="AK276" s="13"/>
      <c r="AL276" s="15"/>
      <c r="AM276" s="45"/>
      <c r="AN276" s="15"/>
      <c r="AO276" s="13"/>
      <c r="AP276" s="15"/>
      <c r="AQ276" s="45"/>
      <c r="AR276" s="15"/>
      <c r="AS276" s="13"/>
      <c r="AT276" s="15"/>
      <c r="AU276" s="45"/>
      <c r="AV276" s="15"/>
      <c r="AW276" s="13"/>
      <c r="AX276" s="15"/>
      <c r="AY276" s="45"/>
      <c r="AZ276" s="35"/>
      <c r="BA276" s="13"/>
      <c r="BB276" s="15"/>
      <c r="BC276" s="45"/>
      <c r="BD276" s="35"/>
      <c r="BE276" s="14"/>
      <c r="BF276" s="41">
        <f t="shared" ref="BF276:BG276" si="985">K276+O276+S276+W276+AA276+AE276+AI276+AM276+AQ276+AU276+AY276+BC276</f>
        <v>0</v>
      </c>
      <c r="BG276" s="34">
        <f t="shared" si="985"/>
        <v>0</v>
      </c>
      <c r="BH276" s="35">
        <f t="shared" si="967"/>
        <v>0</v>
      </c>
      <c r="BK276" s="2" t="b">
        <f>H276='2020'!BH276</f>
        <v>1</v>
      </c>
    </row>
    <row r="277" ht="14.25" customHeight="1" hidden="1" spans="1:63" x14ac:dyDescent="0.25">
      <c r="A277" s="247">
        <v>29</v>
      </c>
      <c r="B277" s="21"/>
      <c r="C277" s="22" t="s">
        <v>53</v>
      </c>
      <c r="D277" s="21"/>
      <c r="E277" s="22"/>
      <c r="F277" s="20"/>
      <c r="G277" s="23"/>
      <c r="H277" s="51">
        <f>SUM(H269:H276)</f>
        <v>2507.16</v>
      </c>
      <c r="I277" s="52"/>
      <c r="J277" s="53"/>
      <c r="K277" s="51">
        <f t="shared" ref="K277:L277" si="986">SUM(K269:K276)</f>
        <v>0</v>
      </c>
      <c r="L277" s="68">
        <f t="shared" si="986"/>
        <v>0</v>
      </c>
      <c r="M277" s="52"/>
      <c r="N277" s="53"/>
      <c r="O277" s="51">
        <f t="shared" ref="O277:P277" si="987">SUM(O269:O276)</f>
        <v>0</v>
      </c>
      <c r="P277" s="51">
        <f t="shared" si="987"/>
        <v>0</v>
      </c>
      <c r="Q277" s="52"/>
      <c r="R277" s="53"/>
      <c r="S277" s="51">
        <f t="shared" ref="S277:T277" si="988">SUM(S269:S276)</f>
        <v>0</v>
      </c>
      <c r="T277" s="51">
        <f t="shared" si="988"/>
        <v>0</v>
      </c>
      <c r="U277" s="52"/>
      <c r="V277" s="53"/>
      <c r="W277" s="51">
        <f t="shared" ref="W277:X277" si="989">SUM(W269:W276)</f>
        <v>0</v>
      </c>
      <c r="X277" s="51">
        <f t="shared" si="989"/>
        <v>0</v>
      </c>
      <c r="Y277" s="300"/>
      <c r="Z277" s="301"/>
      <c r="AA277" s="51">
        <f t="shared" ref="AA277:AB277" si="990">SUM(AA269:AA276)</f>
        <v>0</v>
      </c>
      <c r="AB277" s="51">
        <f t="shared" si="990"/>
        <v>0</v>
      </c>
      <c r="AC277" s="52"/>
      <c r="AD277" s="53"/>
      <c r="AE277" s="51">
        <f t="shared" ref="AE277:AF277" si="991">SUM(AE269:AE276)</f>
        <v>4422</v>
      </c>
      <c r="AF277" s="51">
        <f t="shared" si="991"/>
        <v>0</v>
      </c>
      <c r="AG277" s="52"/>
      <c r="AH277" s="301"/>
      <c r="AI277" s="183">
        <f t="shared" ref="AI277:AJ277" si="992">SUM(AI269:AI276)</f>
        <v>0</v>
      </c>
      <c r="AJ277" s="51">
        <f t="shared" si="992"/>
        <v>6932</v>
      </c>
      <c r="AK277" s="52"/>
      <c r="AL277" s="53"/>
      <c r="AM277" s="183">
        <f t="shared" ref="AM277:AN277" si="993">SUM(AM269:AM276)</f>
        <v>0</v>
      </c>
      <c r="AN277" s="51">
        <f t="shared" si="993"/>
        <v>0</v>
      </c>
      <c r="AO277" s="52"/>
      <c r="AP277" s="53"/>
      <c r="AQ277" s="183">
        <f t="shared" ref="AQ277:AR277" si="994">SUM(AQ269:AQ276)</f>
        <v>0</v>
      </c>
      <c r="AR277" s="51">
        <f t="shared" si="994"/>
        <v>0</v>
      </c>
      <c r="AS277" s="52"/>
      <c r="AT277" s="53"/>
      <c r="AU277" s="183">
        <f t="shared" ref="AU277:AV277" si="995">SUM(AU269:AU276)</f>
        <v>0</v>
      </c>
      <c r="AV277" s="68">
        <f t="shared" si="995"/>
        <v>0</v>
      </c>
      <c r="AW277" s="52"/>
      <c r="AX277" s="53"/>
      <c r="AY277" s="183">
        <f t="shared" ref="AY277:AZ277" si="996">SUM(AY269:AY276)</f>
        <v>0</v>
      </c>
      <c r="AZ277" s="68">
        <f t="shared" si="996"/>
        <v>0</v>
      </c>
      <c r="BA277" s="52"/>
      <c r="BB277" s="53"/>
      <c r="BC277" s="183">
        <f t="shared" ref="BC277:BD277" si="997">SUM(BC269:BC276)</f>
        <v>0</v>
      </c>
      <c r="BD277" s="68">
        <f t="shared" si="997"/>
        <v>0</v>
      </c>
      <c r="BE277" s="69"/>
      <c r="BF277" s="70">
        <f t="shared" ref="BF277:BH277" si="998">SUM(BF269:BF276)</f>
        <v>4422</v>
      </c>
      <c r="BG277" s="71">
        <f t="shared" si="998"/>
        <v>6932</v>
      </c>
      <c r="BH277" s="72">
        <f t="shared" si="998"/>
        <v>-2.84</v>
      </c>
      <c r="BI277" s="34">
        <f>H277+BF277-BG277</f>
        <v>-2.84</v>
      </c>
      <c r="BJ277" s="34">
        <f>BH277-BI277</f>
        <v>0</v>
      </c>
      <c r="BK277" s="2" t="b">
        <f>H277='2020'!BH277</f>
        <v>1</v>
      </c>
    </row>
    <row r="278" ht="14.25" customHeight="1" hidden="1" spans="1:63" x14ac:dyDescent="0.25">
      <c r="A278" s="2">
        <v>31</v>
      </c>
      <c r="B278" s="14"/>
      <c r="D278" s="14" t="s">
        <v>379</v>
      </c>
      <c r="F278" s="13"/>
      <c r="G278" s="28"/>
      <c r="H278" s="34">
        <f>'2020'!BH278</f>
        <v>0</v>
      </c>
      <c r="I278" s="13"/>
      <c r="J278" s="15"/>
      <c r="K278" s="15"/>
      <c r="L278" s="28"/>
      <c r="M278" s="13"/>
      <c r="N278" s="15"/>
      <c r="Q278" s="13"/>
      <c r="R278" s="15"/>
      <c r="S278" s="15"/>
      <c r="T278" s="28"/>
      <c r="U278" s="13"/>
      <c r="V278" s="15"/>
      <c r="Y278" s="186"/>
      <c r="Z278" s="2"/>
      <c r="AA278" s="15"/>
      <c r="AB278" s="28"/>
      <c r="AC278" s="15"/>
      <c r="AD278" s="15"/>
      <c r="AG278" s="15"/>
      <c r="AH278" s="2"/>
      <c r="AI278" s="45"/>
      <c r="AJ278" s="15"/>
      <c r="AK278" s="13"/>
      <c r="AM278" s="45"/>
      <c r="AO278" s="13"/>
      <c r="AQ278" s="45"/>
      <c r="AS278" s="13"/>
      <c r="AU278" s="45"/>
      <c r="AW278" s="13"/>
      <c r="AY278" s="45"/>
      <c r="AZ278" s="28"/>
      <c r="BA278" s="13"/>
      <c r="BB278" s="15"/>
      <c r="BC278" s="45"/>
      <c r="BD278" s="28"/>
      <c r="BE278" s="14"/>
      <c r="BF278" s="41">
        <f t="shared" ref="BF278:BG278" si="999">K278+O278+S278+W278+AA278+AE278+AI278+AM278+AQ278+AU278+AY278+BC278</f>
        <v>0</v>
      </c>
      <c r="BG278" s="34">
        <f t="shared" si="999"/>
        <v>0</v>
      </c>
      <c r="BH278" s="35">
        <f t="shared" ref="BH278:BH285" si="1000">H278+BF278-BG278</f>
        <v>0</v>
      </c>
      <c r="BK278" s="2" t="b">
        <f>H278='2020'!BH278</f>
        <v>1</v>
      </c>
    </row>
    <row r="279" ht="14.25" customHeight="1" hidden="1" spans="1:63" x14ac:dyDescent="0.25">
      <c r="A279" s="2">
        <v>31</v>
      </c>
      <c r="B279" s="42">
        <v>4</v>
      </c>
      <c r="C279" s="2" t="s">
        <v>149</v>
      </c>
      <c r="D279" s="14" t="s">
        <v>44</v>
      </c>
      <c r="E279" s="2" t="s">
        <v>45</v>
      </c>
      <c r="F279" s="41">
        <v>2.5</v>
      </c>
      <c r="G279" s="35">
        <v>2.6</v>
      </c>
      <c r="H279" s="34">
        <f>'2020'!BH279</f>
        <v>0</v>
      </c>
      <c r="I279" s="13">
        <v>5</v>
      </c>
      <c r="J279" s="15">
        <f>I279-'2020'!BA279</f>
        <v>0</v>
      </c>
      <c r="K279" s="34">
        <f>J279*$F$8</f>
        <v>0</v>
      </c>
      <c r="L279" s="28"/>
      <c r="M279" s="13">
        <v>5</v>
      </c>
      <c r="N279" s="15">
        <f t="shared" ref="N279:N280" si="1001">M279-I279</f>
        <v>0</v>
      </c>
      <c r="O279" s="34">
        <f>N279*$F$8</f>
        <v>0</v>
      </c>
      <c r="Q279" s="13">
        <v>5</v>
      </c>
      <c r="R279" s="15">
        <f t="shared" ref="R279:R280" si="1002">Q279-M279</f>
        <v>0</v>
      </c>
      <c r="S279" s="34">
        <f>R279*$F$8</f>
        <v>0</v>
      </c>
      <c r="T279" s="28"/>
      <c r="U279" s="13">
        <v>5</v>
      </c>
      <c r="V279" s="15">
        <f t="shared" ref="V279:V280" si="1003">U279-Q279</f>
        <v>0</v>
      </c>
      <c r="W279" s="34">
        <f>V279*$F$8</f>
        <v>0</v>
      </c>
      <c r="Y279" s="186">
        <v>5</v>
      </c>
      <c r="Z279" s="2">
        <f t="shared" ref="Z279:Z280" si="1004">Y279-U279</f>
        <v>0</v>
      </c>
      <c r="AA279" s="34">
        <f>Z279*$F$8</f>
        <v>0</v>
      </c>
      <c r="AB279" s="35"/>
      <c r="AC279" s="15">
        <v>5</v>
      </c>
      <c r="AD279" s="15">
        <f t="shared" ref="AD279:AD280" si="1005">AC279-Y279</f>
        <v>0</v>
      </c>
      <c r="AE279" s="180">
        <f>AD279*$F$8</f>
        <v>0</v>
      </c>
      <c r="AF279" s="246"/>
      <c r="AG279" s="15">
        <v>5</v>
      </c>
      <c r="AH279" s="2">
        <f t="shared" ref="AH279:AH280" si="1006">AG279-AC279</f>
        <v>0</v>
      </c>
      <c r="AI279" s="45">
        <f>AH279*$G$8</f>
        <v>0</v>
      </c>
      <c r="AJ279" s="15"/>
      <c r="AK279" s="13">
        <v>5</v>
      </c>
      <c r="AL279" s="15">
        <f t="shared" ref="AL279:AL280" si="1007">AK279-AG279</f>
        <v>0</v>
      </c>
      <c r="AM279" s="45">
        <f>AL279*$G$8</f>
        <v>0</v>
      </c>
      <c r="AN279" s="15"/>
      <c r="AO279" s="13">
        <v>5</v>
      </c>
      <c r="AP279" s="15">
        <f t="shared" ref="AP279:AP280" si="1008">AO279-AK279</f>
        <v>0</v>
      </c>
      <c r="AQ279" s="45">
        <f>AP279*$G$8</f>
        <v>0</v>
      </c>
      <c r="AR279" s="15"/>
      <c r="AS279" s="13">
        <v>5</v>
      </c>
      <c r="AT279" s="15">
        <f t="shared" ref="AT279:AT280" si="1009">AS279-AO279</f>
        <v>0</v>
      </c>
      <c r="AU279" s="45">
        <f>AT279*$G$8</f>
        <v>0</v>
      </c>
      <c r="AV279" s="15"/>
      <c r="AW279" s="13">
        <v>5</v>
      </c>
      <c r="AX279" s="15">
        <f t="shared" ref="AX279:AX280" si="1010">AW279-AS279</f>
        <v>0</v>
      </c>
      <c r="AY279" s="45">
        <f>AX279*$G$8</f>
        <v>0</v>
      </c>
      <c r="AZ279" s="208"/>
      <c r="BA279" s="13">
        <v>5</v>
      </c>
      <c r="BB279" s="15">
        <f t="shared" ref="BB279:BB280" si="1011">BA279-AW279</f>
        <v>0</v>
      </c>
      <c r="BC279" s="45">
        <f>BB279*$G$8</f>
        <v>0</v>
      </c>
      <c r="BD279" s="208"/>
      <c r="BE279" s="40">
        <f t="shared" ref="BE279:BG279" si="1012">J279+N279+R279+V279+Z279+AD279+AH279+AL279+AP279+AT279+AX279+BB279</f>
        <v>0</v>
      </c>
      <c r="BF279" s="41">
        <f t="shared" si="1012"/>
        <v>0</v>
      </c>
      <c r="BG279" s="34">
        <f t="shared" si="1012"/>
        <v>0</v>
      </c>
      <c r="BH279" s="35">
        <f t="shared" si="1000"/>
        <v>0</v>
      </c>
      <c r="BK279" s="2" t="b">
        <f>H279='2020'!BH279</f>
        <v>1</v>
      </c>
    </row>
    <row r="280" ht="14.25" customHeight="1" hidden="1" spans="1:63" x14ac:dyDescent="0.25">
      <c r="A280" s="2">
        <v>31</v>
      </c>
      <c r="B280" s="14"/>
      <c r="C280" s="2" t="s">
        <v>150</v>
      </c>
      <c r="D280" s="14" t="s">
        <v>47</v>
      </c>
      <c r="E280" s="2" t="s">
        <v>48</v>
      </c>
      <c r="F280" s="13">
        <v>18.56</v>
      </c>
      <c r="G280" s="35">
        <v>19.46</v>
      </c>
      <c r="H280" s="34">
        <f>'2020'!BH280</f>
        <v>-8.48</v>
      </c>
      <c r="I280" s="13">
        <v>530</v>
      </c>
      <c r="J280" s="15"/>
      <c r="K280" s="15"/>
      <c r="L280" s="28"/>
      <c r="M280" s="13">
        <v>530</v>
      </c>
      <c r="N280" s="15">
        <f t="shared" si="1001"/>
        <v>0</v>
      </c>
      <c r="Q280" s="13">
        <v>530</v>
      </c>
      <c r="R280" s="15">
        <f t="shared" si="1002"/>
        <v>0</v>
      </c>
      <c r="S280" s="15"/>
      <c r="T280" s="28"/>
      <c r="U280" s="13">
        <v>530</v>
      </c>
      <c r="V280" s="15">
        <f t="shared" si="1003"/>
        <v>0</v>
      </c>
      <c r="W280" s="34">
        <f>V280*$F$10</f>
        <v>0</v>
      </c>
      <c r="Y280" s="186">
        <v>530</v>
      </c>
      <c r="Z280" s="2">
        <f t="shared" si="1004"/>
        <v>0</v>
      </c>
      <c r="AA280" s="34">
        <f>Z280*$F$10</f>
        <v>0</v>
      </c>
      <c r="AB280" s="35"/>
      <c r="AC280" s="15">
        <v>530</v>
      </c>
      <c r="AD280" s="15">
        <f t="shared" si="1005"/>
        <v>0</v>
      </c>
      <c r="AE280" s="34">
        <f>AD280*$F$10</f>
        <v>0</v>
      </c>
      <c r="AF280" s="246"/>
      <c r="AG280" s="15">
        <v>530</v>
      </c>
      <c r="AH280" s="2">
        <f t="shared" si="1006"/>
        <v>0</v>
      </c>
      <c r="AI280" s="45">
        <f>AH280*$G$10</f>
        <v>0</v>
      </c>
      <c r="AJ280" s="15"/>
      <c r="AK280" s="13">
        <v>538</v>
      </c>
      <c r="AL280" s="15">
        <f t="shared" si="1007"/>
        <v>8</v>
      </c>
      <c r="AM280" s="45">
        <f>AL280*$G$10</f>
        <v>162.8</v>
      </c>
      <c r="AN280" s="327">
        <v>162.8</v>
      </c>
      <c r="AO280" s="13">
        <v>538</v>
      </c>
      <c r="AP280" s="15">
        <f t="shared" si="1008"/>
        <v>0</v>
      </c>
      <c r="AQ280" s="45">
        <f>AP280*$G$10</f>
        <v>0</v>
      </c>
      <c r="AR280" s="15"/>
      <c r="AS280" s="13">
        <v>538</v>
      </c>
      <c r="AT280" s="15">
        <f t="shared" si="1009"/>
        <v>0</v>
      </c>
      <c r="AU280" s="45">
        <f>AT280*$G$10</f>
        <v>0</v>
      </c>
      <c r="AV280" s="15"/>
      <c r="AW280" s="13">
        <v>538</v>
      </c>
      <c r="AX280" s="15">
        <f t="shared" si="1010"/>
        <v>0</v>
      </c>
      <c r="AY280" s="45"/>
      <c r="AZ280" s="208"/>
      <c r="BA280" s="13">
        <v>538</v>
      </c>
      <c r="BB280" s="15">
        <f t="shared" si="1011"/>
        <v>0</v>
      </c>
      <c r="BC280" s="45"/>
      <c r="BD280" s="208"/>
      <c r="BE280" s="40">
        <f t="shared" ref="BE280:BG280" si="1013">J280+N280+R280+V280+Z280+AD280+AH280+AL280+AP280+AT280+AX280+BB280</f>
        <v>8</v>
      </c>
      <c r="BF280" s="41">
        <f t="shared" si="1013"/>
        <v>162.8</v>
      </c>
      <c r="BG280" s="34">
        <f t="shared" si="1013"/>
        <v>162.8</v>
      </c>
      <c r="BH280" s="35">
        <f t="shared" si="1000"/>
        <v>-8.48</v>
      </c>
      <c r="BK280" s="2" t="b">
        <f>H280='2020'!BH280</f>
        <v>1</v>
      </c>
    </row>
    <row r="281" ht="14.25" customHeight="1" hidden="1" spans="1:63" x14ac:dyDescent="0.25">
      <c r="A281" s="2">
        <v>31</v>
      </c>
      <c r="B281" s="14"/>
      <c r="C281" s="2" t="s">
        <v>151</v>
      </c>
      <c r="D281" s="14" t="s">
        <v>47</v>
      </c>
      <c r="E281" s="2" t="s">
        <v>49</v>
      </c>
      <c r="F281" s="41">
        <v>500</v>
      </c>
      <c r="G281" s="28"/>
      <c r="H281" s="34">
        <f>'2020'!BH281</f>
        <v>0</v>
      </c>
      <c r="I281" s="13"/>
      <c r="J281" s="15"/>
      <c r="K281" s="15"/>
      <c r="L281" s="28"/>
      <c r="M281" s="13"/>
      <c r="N281" s="15"/>
      <c r="Q281" s="13"/>
      <c r="R281" s="15"/>
      <c r="S281" s="15"/>
      <c r="T281" s="28"/>
      <c r="U281" s="13"/>
      <c r="V281" s="15"/>
      <c r="Y281" s="186"/>
      <c r="Z281" s="2"/>
      <c r="AA281" s="34"/>
      <c r="AB281" s="28"/>
      <c r="AC281" s="15"/>
      <c r="AD281" s="15"/>
      <c r="AF281" s="28"/>
      <c r="AG281" s="15"/>
      <c r="AH281" s="2"/>
      <c r="AI281" s="45"/>
      <c r="AJ281" s="180"/>
      <c r="AK281" s="13"/>
      <c r="AL281" s="15"/>
      <c r="AM281" s="45"/>
      <c r="AN281" s="15"/>
      <c r="AO281" s="13"/>
      <c r="AP281" s="15"/>
      <c r="AQ281" s="45"/>
      <c r="AR281" s="15"/>
      <c r="AS281" s="13"/>
      <c r="AT281" s="15"/>
      <c r="AU281" s="45"/>
      <c r="AV281" s="15"/>
      <c r="AW281" s="13"/>
      <c r="AX281" s="15"/>
      <c r="AY281" s="45"/>
      <c r="AZ281" s="28"/>
      <c r="BA281" s="13"/>
      <c r="BB281" s="15"/>
      <c r="BC281" s="45"/>
      <c r="BD281" s="28"/>
      <c r="BE281" s="14"/>
      <c r="BF281" s="41">
        <f t="shared" ref="BF281:BG281" si="1014">K281+O281+S281+W281+AA281+AE281+AI281+AM281+AQ281+AU281+AY281+BC281</f>
        <v>0</v>
      </c>
      <c r="BG281" s="34">
        <f t="shared" si="1014"/>
        <v>0</v>
      </c>
      <c r="BH281" s="35">
        <f t="shared" si="1000"/>
        <v>0</v>
      </c>
      <c r="BK281" s="2" t="b">
        <f>H281='2020'!BH281</f>
        <v>1</v>
      </c>
    </row>
    <row r="282" ht="14.25" customHeight="1" hidden="1" spans="1:63" x14ac:dyDescent="0.25">
      <c r="A282" s="2">
        <v>31</v>
      </c>
      <c r="B282" s="14"/>
      <c r="C282" s="2" t="s">
        <v>396</v>
      </c>
      <c r="D282" s="14" t="s">
        <v>50</v>
      </c>
      <c r="E282" s="2" t="s">
        <v>49</v>
      </c>
      <c r="F282" s="41">
        <v>1100</v>
      </c>
      <c r="G282" s="28"/>
      <c r="H282" s="34">
        <f>'2020'!BH282</f>
        <v>0</v>
      </c>
      <c r="I282" s="13"/>
      <c r="J282" s="15"/>
      <c r="K282" s="15"/>
      <c r="L282" s="28"/>
      <c r="M282" s="13"/>
      <c r="N282" s="15"/>
      <c r="Q282" s="13"/>
      <c r="R282" s="15"/>
      <c r="S282" s="15"/>
      <c r="T282" s="28"/>
      <c r="U282" s="13"/>
      <c r="V282" s="15"/>
      <c r="Y282" s="186"/>
      <c r="Z282" s="2"/>
      <c r="AA282" s="15"/>
      <c r="AB282" s="35"/>
      <c r="AC282" s="15"/>
      <c r="AD282" s="15"/>
      <c r="AE282" s="34">
        <f>B279*$F$12</f>
        <v>4400</v>
      </c>
      <c r="AF282" s="246"/>
      <c r="AG282" s="15"/>
      <c r="AH282" s="2"/>
      <c r="AI282" s="45"/>
      <c r="AJ282" s="180"/>
      <c r="AK282" s="13"/>
      <c r="AL282" s="15"/>
      <c r="AM282" s="45"/>
      <c r="AN282" s="305">
        <v>4400</v>
      </c>
      <c r="AO282" s="13"/>
      <c r="AP282" s="15"/>
      <c r="AQ282" s="45"/>
      <c r="AR282" s="15"/>
      <c r="AS282" s="13"/>
      <c r="AT282" s="15"/>
      <c r="AU282" s="45"/>
      <c r="AV282" s="15"/>
      <c r="AW282" s="13"/>
      <c r="AX282" s="15"/>
      <c r="AY282" s="45"/>
      <c r="AZ282" s="28"/>
      <c r="BA282" s="13"/>
      <c r="BB282" s="15"/>
      <c r="BC282" s="45"/>
      <c r="BD282" s="28"/>
      <c r="BE282" s="14"/>
      <c r="BF282" s="41">
        <f t="shared" ref="BF282:BG282" si="1015">K282+O282+S282+W282+AA282+AE282+AI282+AM282+AQ282+AU282+AY282+BC282</f>
        <v>4400</v>
      </c>
      <c r="BG282" s="34">
        <f t="shared" si="1015"/>
        <v>4400</v>
      </c>
      <c r="BH282" s="35">
        <f t="shared" si="1000"/>
        <v>0</v>
      </c>
      <c r="BK282" s="2" t="b">
        <f>H282='2020'!BH282</f>
        <v>1</v>
      </c>
    </row>
    <row r="283" ht="14.25" customHeight="1" hidden="1" spans="1:63" x14ac:dyDescent="0.25">
      <c r="A283" s="2">
        <v>31</v>
      </c>
      <c r="B283" s="14"/>
      <c r="D283" s="14" t="s">
        <v>51</v>
      </c>
      <c r="E283" s="2" t="s">
        <v>39</v>
      </c>
      <c r="F283" s="41">
        <v>500</v>
      </c>
      <c r="G283" s="28"/>
      <c r="H283" s="34">
        <f>'2020'!BH283</f>
        <v>500</v>
      </c>
      <c r="I283" s="13"/>
      <c r="J283" s="15"/>
      <c r="K283" s="15"/>
      <c r="L283" s="28"/>
      <c r="M283" s="13"/>
      <c r="N283" s="15"/>
      <c r="Q283" s="13"/>
      <c r="R283" s="15"/>
      <c r="S283" s="15"/>
      <c r="T283" s="28"/>
      <c r="U283" s="13"/>
      <c r="V283" s="15"/>
      <c r="Y283" s="186"/>
      <c r="Z283" s="2"/>
      <c r="AA283" s="15"/>
      <c r="AB283" s="28"/>
      <c r="AC283" s="15"/>
      <c r="AD283" s="15"/>
      <c r="AE283" s="180">
        <f>$F$13</f>
      </c>
      <c r="AG283" s="15"/>
      <c r="AH283" s="2"/>
      <c r="AI283" s="45"/>
      <c r="AJ283" s="180"/>
      <c r="AK283" s="13"/>
      <c r="AL283" s="15"/>
      <c r="AM283" s="45"/>
      <c r="AN283" s="305">
        <v>500</v>
      </c>
      <c r="AO283" s="13"/>
      <c r="AP283" s="15"/>
      <c r="AQ283" s="180"/>
      <c r="AR283" s="15"/>
      <c r="AS283" s="13"/>
      <c r="AT283" s="15"/>
      <c r="AU283" s="45"/>
      <c r="AV283" s="15"/>
      <c r="AW283" s="13"/>
      <c r="AX283" s="15"/>
      <c r="AY283" s="45"/>
      <c r="AZ283" s="28"/>
      <c r="BA283" s="13"/>
      <c r="BB283" s="15"/>
      <c r="BC283" s="45"/>
      <c r="BD283" s="28"/>
      <c r="BE283" s="14"/>
      <c r="BF283" s="41">
        <f t="shared" ref="BF283:BG283" si="1016">K283+O283+S283+W283+AA283+AE283+AI283+AM283+AQ283+AU283+AY283+BC283</f>
        <v>0</v>
      </c>
      <c r="BG283" s="34">
        <f t="shared" si="1016"/>
        <v>500</v>
      </c>
      <c r="BH283" s="35">
        <f t="shared" si="1000"/>
        <v>0</v>
      </c>
      <c r="BK283" s="2" t="b">
        <f>H283='2020'!BH283</f>
        <v>1</v>
      </c>
    </row>
    <row r="284" ht="14.25" customHeight="1" hidden="1" spans="1:63" x14ac:dyDescent="0.25">
      <c r="A284" s="2">
        <v>31</v>
      </c>
      <c r="B284" s="14"/>
      <c r="D284" s="14" t="s">
        <v>51</v>
      </c>
      <c r="E284" s="2" t="s">
        <v>49</v>
      </c>
      <c r="F284" s="41">
        <v>500</v>
      </c>
      <c r="G284" s="28"/>
      <c r="H284" s="34">
        <f>'2020'!BH284</f>
        <v>2000</v>
      </c>
      <c r="I284" s="13"/>
      <c r="J284" s="15"/>
      <c r="K284" s="15"/>
      <c r="L284" s="28"/>
      <c r="M284" s="13"/>
      <c r="N284" s="15"/>
      <c r="Q284" s="13"/>
      <c r="R284" s="15"/>
      <c r="S284" s="15"/>
      <c r="T284" s="28"/>
      <c r="U284" s="13"/>
      <c r="V284" s="15"/>
      <c r="Y284" s="186"/>
      <c r="Z284" s="2"/>
      <c r="AA284" s="15"/>
      <c r="AB284" s="28"/>
      <c r="AC284" s="15"/>
      <c r="AD284" s="15"/>
      <c r="AE284" s="34"/>
      <c r="AG284" s="15"/>
      <c r="AH284" s="2"/>
      <c r="AI284" s="45"/>
      <c r="AJ284" s="180"/>
      <c r="AK284" s="13"/>
      <c r="AL284" s="15"/>
      <c r="AM284" s="45"/>
      <c r="AN284" s="305">
        <v>2000</v>
      </c>
      <c r="AO284" s="13"/>
      <c r="AP284" s="15"/>
      <c r="AQ284" s="180">
        <f>B279*$F$14</f>
        <v>0</v>
      </c>
      <c r="AR284" s="15"/>
      <c r="AS284" s="13"/>
      <c r="AT284" s="15"/>
      <c r="AU284" s="45"/>
      <c r="AV284" s="15"/>
      <c r="AW284" s="13"/>
      <c r="AX284" s="15"/>
      <c r="AY284" s="45"/>
      <c r="AZ284" s="28"/>
      <c r="BA284" s="13"/>
      <c r="BB284" s="15"/>
      <c r="BC284" s="45"/>
      <c r="BD284" s="28"/>
      <c r="BE284" s="14"/>
      <c r="BF284" s="41">
        <f t="shared" ref="BF284:BG284" si="1017">K284+O284+S284+W284+AA284+AE284+AI284+AM284+AQ284+AU284+AY284+BC284</f>
        <v>0</v>
      </c>
      <c r="BG284" s="34">
        <f t="shared" si="1017"/>
        <v>2000</v>
      </c>
      <c r="BH284" s="35">
        <f t="shared" si="1000"/>
        <v>0</v>
      </c>
      <c r="BK284" s="2" t="b">
        <f>H284='2020'!BH284</f>
        <v>1</v>
      </c>
    </row>
    <row r="285" ht="14.25" customHeight="1" hidden="1" spans="1:63" x14ac:dyDescent="0.25">
      <c r="A285" s="2">
        <v>31</v>
      </c>
      <c r="B285" s="14"/>
      <c r="D285" s="14" t="s">
        <v>52</v>
      </c>
      <c r="E285" s="2" t="s">
        <v>39</v>
      </c>
      <c r="F285" s="41">
        <v>500</v>
      </c>
      <c r="G285" s="28"/>
      <c r="H285" s="34">
        <f>'2020'!BH285</f>
        <v>0</v>
      </c>
      <c r="I285" s="13"/>
      <c r="J285" s="15"/>
      <c r="K285" s="15"/>
      <c r="L285" s="28"/>
      <c r="M285" s="13"/>
      <c r="N285" s="15"/>
      <c r="Q285" s="13"/>
      <c r="R285" s="15"/>
      <c r="S285" s="15"/>
      <c r="T285" s="28"/>
      <c r="U285" s="13"/>
      <c r="V285" s="15"/>
      <c r="Y285" s="186"/>
      <c r="Z285" s="2"/>
      <c r="AA285" s="34">
        <f>$F$15</f>
      </c>
      <c r="AB285" s="35"/>
      <c r="AC285" s="15"/>
      <c r="AD285" s="15"/>
      <c r="AF285" s="246"/>
      <c r="AG285" s="15"/>
      <c r="AH285" s="2"/>
      <c r="AI285" s="45"/>
      <c r="AJ285" s="180"/>
      <c r="AK285" s="13"/>
      <c r="AL285" s="15"/>
      <c r="AM285" s="45"/>
      <c r="AN285" s="15"/>
      <c r="AO285" s="13"/>
      <c r="AP285" s="15"/>
      <c r="AQ285" s="45"/>
      <c r="AR285" s="15"/>
      <c r="AS285" s="13"/>
      <c r="AT285" s="15"/>
      <c r="AU285" s="45"/>
      <c r="AV285" s="15"/>
      <c r="AW285" s="13"/>
      <c r="AX285" s="15"/>
      <c r="AY285" s="45"/>
      <c r="AZ285" s="35"/>
      <c r="BA285" s="13"/>
      <c r="BB285" s="15"/>
      <c r="BC285" s="45"/>
      <c r="BD285" s="35"/>
      <c r="BE285" s="14"/>
      <c r="BF285" s="41">
        <f t="shared" ref="BF285:BG285" si="1018">K285+O285+S285+W285+AA285+AE285+AI285+AM285+AQ285+AU285+AY285+BC285</f>
        <v>0</v>
      </c>
      <c r="BG285" s="34">
        <f t="shared" si="1018"/>
        <v>0</v>
      </c>
      <c r="BH285" s="35">
        <f t="shared" si="1000"/>
        <v>0</v>
      </c>
      <c r="BK285" s="2" t="b">
        <f>H285='2020'!BH285</f>
        <v>1</v>
      </c>
    </row>
    <row r="286" ht="14.25" customHeight="1" hidden="1" spans="1:63" x14ac:dyDescent="0.25">
      <c r="A286" s="247">
        <v>31</v>
      </c>
      <c r="B286" s="21"/>
      <c r="C286" s="22" t="s">
        <v>53</v>
      </c>
      <c r="D286" s="21"/>
      <c r="E286" s="22"/>
      <c r="F286" s="20"/>
      <c r="G286" s="23"/>
      <c r="H286" s="51">
        <f>SUM(H278:H285)</f>
        <v>2491.52</v>
      </c>
      <c r="I286" s="52"/>
      <c r="J286" s="53"/>
      <c r="K286" s="51">
        <f t="shared" ref="K286:L286" si="1019">SUM(K278:K285)</f>
        <v>0</v>
      </c>
      <c r="L286" s="68">
        <f t="shared" si="1019"/>
        <v>0</v>
      </c>
      <c r="M286" s="52"/>
      <c r="N286" s="53"/>
      <c r="O286" s="51">
        <f t="shared" ref="O286:P286" si="1020">SUM(O278:O285)</f>
        <v>0</v>
      </c>
      <c r="P286" s="51">
        <f t="shared" si="1020"/>
        <v>0</v>
      </c>
      <c r="Q286" s="52"/>
      <c r="R286" s="53"/>
      <c r="S286" s="51">
        <f t="shared" ref="S286:T286" si="1021">SUM(S278:S285)</f>
        <v>0</v>
      </c>
      <c r="T286" s="51">
        <f t="shared" si="1021"/>
        <v>0</v>
      </c>
      <c r="U286" s="52"/>
      <c r="V286" s="53"/>
      <c r="W286" s="51">
        <f t="shared" ref="W286:X286" si="1022">SUM(W278:W285)</f>
        <v>0</v>
      </c>
      <c r="X286" s="51">
        <f t="shared" si="1022"/>
        <v>0</v>
      </c>
      <c r="Y286" s="300"/>
      <c r="Z286" s="301"/>
      <c r="AA286" s="51">
        <f t="shared" ref="AA286:AB286" si="1023">SUM(AA278:AA285)</f>
        <v>0</v>
      </c>
      <c r="AB286" s="51">
        <f t="shared" si="1023"/>
        <v>0</v>
      </c>
      <c r="AC286" s="52"/>
      <c r="AD286" s="53"/>
      <c r="AE286" s="51">
        <f t="shared" ref="AE286:AF286" si="1024">SUM(AE278:AE285)</f>
        <v>4400</v>
      </c>
      <c r="AF286" s="51">
        <f t="shared" si="1024"/>
        <v>0</v>
      </c>
      <c r="AG286" s="52"/>
      <c r="AH286" s="301"/>
      <c r="AI286" s="183">
        <f t="shared" ref="AI286:AJ286" si="1025">SUM(AI278:AI285)</f>
        <v>0</v>
      </c>
      <c r="AJ286" s="51">
        <f t="shared" si="1025"/>
        <v>0</v>
      </c>
      <c r="AK286" s="52"/>
      <c r="AL286" s="53"/>
      <c r="AM286" s="183">
        <f t="shared" ref="AM286:AN286" si="1026">SUM(AM278:AM285)</f>
        <v>162.8</v>
      </c>
      <c r="AN286" s="51">
        <f t="shared" si="1026"/>
        <v>7062.8</v>
      </c>
      <c r="AO286" s="52"/>
      <c r="AP286" s="53"/>
      <c r="AQ286" s="183">
        <f t="shared" ref="AQ286:AR286" si="1027">SUM(AQ278:AQ285)</f>
        <v>0</v>
      </c>
      <c r="AR286" s="51">
        <f t="shared" si="1027"/>
        <v>0</v>
      </c>
      <c r="AS286" s="52"/>
      <c r="AT286" s="53"/>
      <c r="AU286" s="183">
        <f t="shared" ref="AU286:AV286" si="1028">SUM(AU278:AU285)</f>
        <v>0</v>
      </c>
      <c r="AV286" s="68">
        <f t="shared" si="1028"/>
        <v>0</v>
      </c>
      <c r="AW286" s="52"/>
      <c r="AX286" s="53"/>
      <c r="AY286" s="183">
        <f t="shared" ref="AY286:AZ286" si="1029">SUM(AY278:AY285)</f>
        <v>0</v>
      </c>
      <c r="AZ286" s="68">
        <f t="shared" si="1029"/>
        <v>0</v>
      </c>
      <c r="BA286" s="52"/>
      <c r="BB286" s="53"/>
      <c r="BC286" s="183">
        <f t="shared" ref="BC286:BD286" si="1030">SUM(BC278:BC285)</f>
        <v>0</v>
      </c>
      <c r="BD286" s="68">
        <f t="shared" si="1030"/>
        <v>0</v>
      </c>
      <c r="BE286" s="69"/>
      <c r="BF286" s="70">
        <f t="shared" ref="BF286:BH286" si="1031">SUM(BF278:BF285)</f>
        <v>4562.8</v>
      </c>
      <c r="BG286" s="71">
        <f t="shared" si="1031"/>
        <v>7062.8</v>
      </c>
      <c r="BH286" s="72">
        <f t="shared" si="1031"/>
        <v>-8.48</v>
      </c>
      <c r="BI286" s="34">
        <f>H286+BF286-BG286</f>
        <v>-8.48</v>
      </c>
      <c r="BJ286" s="34">
        <f>BH286-BI286</f>
        <v>0</v>
      </c>
      <c r="BK286" s="2" t="b">
        <f>H286='2020'!BH286</f>
        <v>1</v>
      </c>
    </row>
    <row r="287" ht="14.25" customHeight="1" hidden="1" spans="1:63" x14ac:dyDescent="0.25">
      <c r="A287" s="2">
        <v>32</v>
      </c>
      <c r="B287" s="14"/>
      <c r="D287" s="14" t="s">
        <v>379</v>
      </c>
      <c r="F287" s="13"/>
      <c r="G287" s="28"/>
      <c r="H287" s="34">
        <f>'2020'!BH287</f>
        <v>0</v>
      </c>
      <c r="I287" s="13"/>
      <c r="J287" s="15"/>
      <c r="K287" s="15"/>
      <c r="L287" s="28"/>
      <c r="M287" s="13"/>
      <c r="N287" s="15"/>
      <c r="Q287" s="13"/>
      <c r="R287" s="15"/>
      <c r="S287" s="15"/>
      <c r="T287" s="28"/>
      <c r="U287" s="13"/>
      <c r="V287" s="15"/>
      <c r="Y287" s="186"/>
      <c r="Z287" s="2"/>
      <c r="AA287" s="15"/>
      <c r="AB287" s="28"/>
      <c r="AC287" s="15"/>
      <c r="AD287" s="15"/>
      <c r="AG287" s="15"/>
      <c r="AH287" s="2"/>
      <c r="AI287" s="45"/>
      <c r="AJ287" s="15"/>
      <c r="AK287" s="13"/>
      <c r="AM287" s="45"/>
      <c r="AN287" s="15"/>
      <c r="AO287" s="13"/>
      <c r="AQ287" s="45"/>
      <c r="AS287" s="13"/>
      <c r="AU287" s="45"/>
      <c r="AW287" s="13"/>
      <c r="AY287" s="45"/>
      <c r="AZ287" s="28"/>
      <c r="BA287" s="13"/>
      <c r="BB287" s="15"/>
      <c r="BC287" s="45"/>
      <c r="BD287" s="28"/>
      <c r="BE287" s="14"/>
      <c r="BF287" s="41">
        <f t="shared" ref="BF287:BG287" si="1032">K287+O287+S287+W287+AA287+AE287+AI287+AM287+AQ287+AU287+AY287+BC287</f>
        <v>0</v>
      </c>
      <c r="BG287" s="34">
        <f t="shared" si="1032"/>
        <v>0</v>
      </c>
      <c r="BH287" s="35">
        <f t="shared" ref="BH287:BH294" si="1033">H287+BF287-BG287</f>
        <v>0</v>
      </c>
      <c r="BK287" s="2" t="b">
        <f>H287='2020'!BH287</f>
        <v>1</v>
      </c>
    </row>
    <row r="288" ht="14.25" customHeight="1" hidden="1" spans="1:63" x14ac:dyDescent="0.25">
      <c r="A288" s="2">
        <v>32</v>
      </c>
      <c r="B288" s="14">
        <v>3.96</v>
      </c>
      <c r="C288" s="2" t="s">
        <v>152</v>
      </c>
      <c r="D288" s="14" t="s">
        <v>44</v>
      </c>
      <c r="E288" s="2" t="s">
        <v>45</v>
      </c>
      <c r="F288" s="41">
        <v>2.5</v>
      </c>
      <c r="G288" s="35">
        <v>2.6</v>
      </c>
      <c r="H288" s="34">
        <f>'2020'!BH288</f>
        <v>327.35</v>
      </c>
      <c r="I288" s="13">
        <v>991</v>
      </c>
      <c r="J288" s="15">
        <f>I288-'2020'!BA288</f>
        <v>0</v>
      </c>
      <c r="K288" s="34">
        <f>J288*$F$8</f>
        <v>0</v>
      </c>
      <c r="L288" s="28"/>
      <c r="M288" s="13">
        <v>991</v>
      </c>
      <c r="N288" s="15">
        <f t="shared" ref="N288:N289" si="1034">M288-I288</f>
        <v>0</v>
      </c>
      <c r="O288" s="34">
        <f>N288*$F$8</f>
        <v>0</v>
      </c>
      <c r="Q288" s="13">
        <v>991</v>
      </c>
      <c r="R288" s="15">
        <f t="shared" ref="R288:R289" si="1035">Q288-M288</f>
        <v>0</v>
      </c>
      <c r="S288" s="34">
        <f>R288*$F$8</f>
        <v>0</v>
      </c>
      <c r="T288" s="28"/>
      <c r="U288" s="13">
        <v>991</v>
      </c>
      <c r="V288" s="15">
        <f t="shared" ref="V288:V289" si="1036">U288-Q288</f>
        <v>0</v>
      </c>
      <c r="W288" s="34">
        <f>V288*$F$8</f>
        <v>0</v>
      </c>
      <c r="X288" s="39">
        <v>327.35</v>
      </c>
      <c r="Y288" s="186">
        <v>1034</v>
      </c>
      <c r="Z288" s="2">
        <f t="shared" ref="Z288:Z289" si="1037">Y288-U288</f>
        <v>43</v>
      </c>
      <c r="AA288" s="34">
        <f>Z288*$F$8</f>
        <v>111.8</v>
      </c>
      <c r="AB288" s="28"/>
      <c r="AC288" s="15">
        <v>1092</v>
      </c>
      <c r="AD288" s="15">
        <f t="shared" ref="AD288:AD289" si="1038">AC288-Y288</f>
        <v>58</v>
      </c>
      <c r="AE288" s="180">
        <f>AD288*$F$8</f>
        <v>150.8</v>
      </c>
      <c r="AF288" s="180"/>
      <c r="AG288" s="15">
        <v>1167</v>
      </c>
      <c r="AH288" s="2">
        <f t="shared" ref="AH288:AH289" si="1039">AG288-AC288</f>
        <v>75</v>
      </c>
      <c r="AI288" s="45">
        <f>AH288*$G$8</f>
        <v>202.5</v>
      </c>
      <c r="AJ288" s="154"/>
      <c r="AK288" s="13">
        <v>1228</v>
      </c>
      <c r="AL288" s="15">
        <f t="shared" ref="AL288:AL289" si="1040">AK288-AG288</f>
        <v>61</v>
      </c>
      <c r="AM288" s="45">
        <f>AL288*$G$8</f>
        <v>164.7</v>
      </c>
      <c r="AN288" s="306">
        <v>465.1</v>
      </c>
      <c r="AO288" s="13">
        <v>1275</v>
      </c>
      <c r="AP288" s="15">
        <f t="shared" ref="AP288:AP289" si="1041">AO288-AK288</f>
        <v>47</v>
      </c>
      <c r="AQ288" s="45">
        <f>AP288*$G$8</f>
        <v>126.9</v>
      </c>
      <c r="AR288" s="15"/>
      <c r="AS288" s="13">
        <v>1280</v>
      </c>
      <c r="AT288" s="15">
        <f t="shared" ref="AT288:AT289" si="1042">AS288-AO288</f>
        <v>5</v>
      </c>
      <c r="AU288" s="45">
        <f>AT288*$G$8</f>
        <v>13.5</v>
      </c>
      <c r="AV288" s="15"/>
      <c r="AW288" s="13">
        <v>1282</v>
      </c>
      <c r="AX288" s="15">
        <f t="shared" ref="AX288:AX289" si="1043">AW288-AS288</f>
        <v>2</v>
      </c>
      <c r="AY288" s="45">
        <f>AX288*$G$8</f>
        <v>5.4</v>
      </c>
      <c r="AZ288" s="208"/>
      <c r="BA288" s="13">
        <v>1282</v>
      </c>
      <c r="BB288" s="15">
        <f t="shared" ref="BB288:BB289" si="1044">BA288-AW288</f>
        <v>0</v>
      </c>
      <c r="BC288" s="45">
        <f>BB288*$G$8</f>
        <v>0</v>
      </c>
      <c r="BD288" s="208"/>
      <c r="BE288" s="40">
        <f t="shared" ref="BE288:BG288" si="1045">J288+N288+R288+V288+Z288+AD288+AH288+AL288+AP288+AT288+AX288+BB288</f>
        <v>291</v>
      </c>
      <c r="BF288" s="41">
        <f t="shared" si="1045"/>
        <v>775.6</v>
      </c>
      <c r="BG288" s="34">
        <f t="shared" si="1045"/>
        <v>792.45</v>
      </c>
      <c r="BH288" s="35">
        <f t="shared" si="1033"/>
        <v>310.5</v>
      </c>
      <c r="BK288" s="2" t="b">
        <f>H288='2020'!BH288</f>
        <v>1</v>
      </c>
    </row>
    <row r="289" ht="14.25" customHeight="1" hidden="1" spans="1:63" x14ac:dyDescent="0.25">
      <c r="A289" s="2">
        <v>32</v>
      </c>
      <c r="B289" s="14"/>
      <c r="C289" s="2" t="s">
        <v>153</v>
      </c>
      <c r="D289" s="14" t="s">
        <v>47</v>
      </c>
      <c r="E289" s="2" t="s">
        <v>48</v>
      </c>
      <c r="F289" s="13">
        <v>18.56</v>
      </c>
      <c r="G289" s="35">
        <v>19.46</v>
      </c>
      <c r="H289" s="34">
        <f>'2020'!BH289</f>
        <v>0</v>
      </c>
      <c r="I289" s="13"/>
      <c r="J289" s="15"/>
      <c r="K289" s="15"/>
      <c r="L289" s="28"/>
      <c r="M289" s="13"/>
      <c r="N289" s="15">
        <f t="shared" si="1034"/>
        <v>0</v>
      </c>
      <c r="Q289" s="13"/>
      <c r="R289" s="15">
        <f t="shared" si="1035"/>
        <v>0</v>
      </c>
      <c r="S289" s="15"/>
      <c r="T289" s="28"/>
      <c r="U289" s="13"/>
      <c r="V289" s="15">
        <f t="shared" si="1036"/>
        <v>0</v>
      </c>
      <c r="W289" s="34">
        <f>V289*$F$10</f>
        <v>0</v>
      </c>
      <c r="X289" s="1"/>
      <c r="Y289" s="186"/>
      <c r="Z289" s="2">
        <f t="shared" si="1037"/>
        <v>0</v>
      </c>
      <c r="AA289" s="34">
        <f>Z289*$F$10</f>
        <v>0</v>
      </c>
      <c r="AB289" s="28"/>
      <c r="AC289" s="15"/>
      <c r="AD289" s="15">
        <f t="shared" si="1038"/>
        <v>0</v>
      </c>
      <c r="AE289" s="34">
        <f>AD289*$F$10</f>
        <v>0</v>
      </c>
      <c r="AG289" s="15"/>
      <c r="AH289" s="2">
        <f t="shared" si="1039"/>
        <v>0</v>
      </c>
      <c r="AI289" s="45">
        <f>AH289*$G$10</f>
        <v>0</v>
      </c>
      <c r="AJ289" s="154"/>
      <c r="AK289" s="13"/>
      <c r="AL289" s="15">
        <f t="shared" si="1040"/>
        <v>0</v>
      </c>
      <c r="AM289" s="45">
        <f>AL289*$G$10</f>
        <v>0</v>
      </c>
      <c r="AN289" s="154"/>
      <c r="AO289" s="13"/>
      <c r="AP289" s="15">
        <f t="shared" si="1041"/>
        <v>0</v>
      </c>
      <c r="AQ289" s="45">
        <f>AP289*$G$10</f>
        <v>0</v>
      </c>
      <c r="AR289" s="15"/>
      <c r="AS289" s="13"/>
      <c r="AT289" s="15">
        <f t="shared" si="1042"/>
        <v>0</v>
      </c>
      <c r="AU289" s="45">
        <f>AT289*$G$10</f>
        <v>0</v>
      </c>
      <c r="AV289" s="15"/>
      <c r="AW289" s="13"/>
      <c r="AX289" s="15">
        <f t="shared" si="1043"/>
        <v>0</v>
      </c>
      <c r="AY289" s="45"/>
      <c r="AZ289" s="208"/>
      <c r="BA289" s="13"/>
      <c r="BB289" s="15">
        <f t="shared" si="1044"/>
        <v>0</v>
      </c>
      <c r="BC289" s="45"/>
      <c r="BD289" s="208"/>
      <c r="BE289" s="40">
        <f t="shared" ref="BE289:BG289" si="1046">J289+N289+R289+V289+Z289+AD289+AH289+AL289+AP289+AT289+AX289+BB289</f>
        <v>0</v>
      </c>
      <c r="BF289" s="41">
        <f t="shared" si="1046"/>
        <v>0</v>
      </c>
      <c r="BG289" s="34">
        <f t="shared" si="1046"/>
        <v>0</v>
      </c>
      <c r="BH289" s="35">
        <f t="shared" si="1033"/>
        <v>0</v>
      </c>
      <c r="BK289" s="2" t="b">
        <f>H289='2020'!BH289</f>
        <v>1</v>
      </c>
    </row>
    <row r="290" ht="14.25" customHeight="1" hidden="1" spans="1:63" x14ac:dyDescent="0.25">
      <c r="A290" s="2">
        <v>32</v>
      </c>
      <c r="B290" s="14"/>
      <c r="C290" s="15" t="s">
        <v>122</v>
      </c>
      <c r="D290" s="14" t="s">
        <v>47</v>
      </c>
      <c r="E290" s="2" t="s">
        <v>49</v>
      </c>
      <c r="F290" s="41">
        <v>500</v>
      </c>
      <c r="G290" s="28"/>
      <c r="H290" s="77">
        <f>'2020'!BH290</f>
        <v>0</v>
      </c>
      <c r="I290" s="13"/>
      <c r="J290" s="15"/>
      <c r="K290" s="15"/>
      <c r="L290" s="28"/>
      <c r="M290" s="13"/>
      <c r="N290" s="15"/>
      <c r="Q290" s="13"/>
      <c r="R290" s="15"/>
      <c r="S290" s="15"/>
      <c r="T290" s="28"/>
      <c r="U290" s="13"/>
      <c r="V290" s="15"/>
      <c r="X290" s="1"/>
      <c r="Y290" s="186"/>
      <c r="Z290" s="2"/>
      <c r="AA290" s="34">
        <f>B288*$F$11</f>
        <v>1980</v>
      </c>
      <c r="AB290" s="28"/>
      <c r="AC290" s="15"/>
      <c r="AD290" s="15"/>
      <c r="AF290" s="180"/>
      <c r="AG290" s="15"/>
      <c r="AH290" s="2"/>
      <c r="AI290" s="45"/>
      <c r="AJ290" s="182"/>
      <c r="AK290" s="13"/>
      <c r="AL290" s="15"/>
      <c r="AM290" s="45"/>
      <c r="AN290" s="306">
        <v>1980</v>
      </c>
      <c r="AO290" s="13"/>
      <c r="AP290" s="15"/>
      <c r="AQ290" s="45"/>
      <c r="AR290" s="15"/>
      <c r="AS290" s="13"/>
      <c r="AT290" s="15"/>
      <c r="AU290" s="45"/>
      <c r="AV290" s="15"/>
      <c r="AW290" s="13"/>
      <c r="AX290" s="15"/>
      <c r="AY290" s="45"/>
      <c r="AZ290" s="28"/>
      <c r="BA290" s="13"/>
      <c r="BB290" s="15"/>
      <c r="BC290" s="45"/>
      <c r="BD290" s="28"/>
      <c r="BE290" s="14"/>
      <c r="BF290" s="41">
        <f t="shared" ref="BF290:BG290" si="1047">K290+O290+S290+W290+AA290+AE290+AI290+AM290+AQ290+AU290+AY290+BC290</f>
        <v>1980</v>
      </c>
      <c r="BG290" s="34">
        <f t="shared" si="1047"/>
        <v>1980</v>
      </c>
      <c r="BH290" s="35">
        <f t="shared" si="1033"/>
        <v>0</v>
      </c>
      <c r="BK290" s="2" t="b">
        <f>H290='2020'!BH290</f>
        <v>1</v>
      </c>
    </row>
    <row r="291" ht="14.25" customHeight="1" hidden="1" spans="1:63" x14ac:dyDescent="0.25">
      <c r="A291" s="2">
        <v>32</v>
      </c>
      <c r="B291" s="14"/>
      <c r="C291" s="15" t="s">
        <v>397</v>
      </c>
      <c r="D291" s="14" t="s">
        <v>50</v>
      </c>
      <c r="E291" s="2" t="s">
        <v>49</v>
      </c>
      <c r="F291" s="41">
        <v>1100</v>
      </c>
      <c r="G291" s="28"/>
      <c r="H291" s="180">
        <f>'2020'!BH291</f>
        <v>0</v>
      </c>
      <c r="I291" s="13"/>
      <c r="J291" s="15"/>
      <c r="K291" s="15"/>
      <c r="L291" s="28"/>
      <c r="M291" s="13"/>
      <c r="N291" s="15"/>
      <c r="Q291" s="13"/>
      <c r="R291" s="15"/>
      <c r="S291" s="15"/>
      <c r="T291" s="28"/>
      <c r="U291" s="13"/>
      <c r="V291" s="15"/>
      <c r="X291" s="1"/>
      <c r="Y291" s="186"/>
      <c r="Z291" s="2"/>
      <c r="AA291" s="15"/>
      <c r="AB291" s="28"/>
      <c r="AC291" s="15"/>
      <c r="AD291" s="15"/>
      <c r="AE291" s="34">
        <f>B288*$F$12</f>
        <v>4356</v>
      </c>
      <c r="AF291" s="180"/>
      <c r="AG291" s="15"/>
      <c r="AH291" s="2"/>
      <c r="AI291" s="45"/>
      <c r="AJ291" s="182"/>
      <c r="AK291" s="13"/>
      <c r="AL291" s="15"/>
      <c r="AM291" s="45"/>
      <c r="AN291" s="306">
        <v>4356</v>
      </c>
      <c r="AO291" s="13"/>
      <c r="AP291" s="15"/>
      <c r="AQ291" s="45"/>
      <c r="AR291" s="15"/>
      <c r="AS291" s="13"/>
      <c r="AT291" s="15"/>
      <c r="AU291" s="45"/>
      <c r="AV291" s="15"/>
      <c r="AW291" s="13"/>
      <c r="AX291" s="15"/>
      <c r="AY291" s="45"/>
      <c r="AZ291" s="28"/>
      <c r="BA291" s="13"/>
      <c r="BB291" s="15"/>
      <c r="BC291" s="45"/>
      <c r="BD291" s="28"/>
      <c r="BE291" s="14"/>
      <c r="BF291" s="41">
        <f t="shared" ref="BF291:BG291" si="1048">K291+O291+S291+W291+AA291+AE291+AI291+AM291+AQ291+AU291+AY291+BC291</f>
        <v>4356</v>
      </c>
      <c r="BG291" s="34">
        <f t="shared" si="1048"/>
        <v>4356</v>
      </c>
      <c r="BH291" s="35">
        <f t="shared" si="1033"/>
        <v>0</v>
      </c>
      <c r="BK291" s="2" t="b">
        <f>H291='2020'!BH291</f>
        <v>1</v>
      </c>
    </row>
    <row r="292" ht="14.25" customHeight="1" hidden="1" spans="1:63" x14ac:dyDescent="0.25">
      <c r="A292" s="2">
        <v>32</v>
      </c>
      <c r="B292" s="14"/>
      <c r="D292" s="14" t="s">
        <v>51</v>
      </c>
      <c r="E292" s="2" t="s">
        <v>39</v>
      </c>
      <c r="F292" s="41">
        <v>500</v>
      </c>
      <c r="G292" s="28"/>
      <c r="H292" s="180">
        <f>'2020'!BH292</f>
        <v>500</v>
      </c>
      <c r="I292" s="13"/>
      <c r="J292" s="15"/>
      <c r="K292" s="15"/>
      <c r="L292" s="28"/>
      <c r="M292" s="13"/>
      <c r="N292" s="15"/>
      <c r="Q292" s="13"/>
      <c r="R292" s="15"/>
      <c r="S292" s="15"/>
      <c r="T292" s="28"/>
      <c r="U292" s="13"/>
      <c r="V292" s="15"/>
      <c r="X292" s="1">
        <v>500</v>
      </c>
      <c r="Y292" s="186"/>
      <c r="Z292" s="2"/>
      <c r="AA292" s="15"/>
      <c r="AB292" s="28"/>
      <c r="AC292" s="15"/>
      <c r="AD292" s="15"/>
      <c r="AE292" s="180">
        <f>$F$13</f>
      </c>
      <c r="AG292" s="15"/>
      <c r="AH292" s="2"/>
      <c r="AI292" s="45"/>
      <c r="AJ292" s="15"/>
      <c r="AK292" s="13"/>
      <c r="AL292" s="15"/>
      <c r="AM292" s="45"/>
      <c r="AN292" s="154"/>
      <c r="AO292" s="13"/>
      <c r="AP292" s="15"/>
      <c r="AQ292" s="180"/>
      <c r="AR292" s="15"/>
      <c r="AS292" s="13"/>
      <c r="AT292" s="15"/>
      <c r="AU292" s="45"/>
      <c r="AV292" s="15"/>
      <c r="AW292" s="13"/>
      <c r="AX292" s="15"/>
      <c r="AY292" s="45"/>
      <c r="AZ292" s="28"/>
      <c r="BA292" s="13"/>
      <c r="BB292" s="15"/>
      <c r="BC292" s="45"/>
      <c r="BD292" s="28"/>
      <c r="BE292" s="14"/>
      <c r="BF292" s="41">
        <f t="shared" ref="BF292:BG292" si="1049">K292+O292+S292+W292+AA292+AE292+AI292+AM292+AQ292+AU292+AY292+BC292</f>
        <v>0</v>
      </c>
      <c r="BG292" s="34">
        <f t="shared" si="1049"/>
        <v>500</v>
      </c>
      <c r="BH292" s="35">
        <f t="shared" si="1033"/>
        <v>0</v>
      </c>
      <c r="BK292" s="2" t="b">
        <f>H292='2020'!BH292</f>
        <v>1</v>
      </c>
    </row>
    <row r="293" ht="14.25" customHeight="1" hidden="1" spans="1:63" x14ac:dyDescent="0.25">
      <c r="A293" s="2">
        <v>32</v>
      </c>
      <c r="B293" s="14"/>
      <c r="D293" s="14" t="s">
        <v>51</v>
      </c>
      <c r="E293" s="2" t="s">
        <v>49</v>
      </c>
      <c r="F293" s="41">
        <v>500</v>
      </c>
      <c r="G293" s="28"/>
      <c r="H293" s="180">
        <f>'2020'!BH293</f>
        <v>1980</v>
      </c>
      <c r="I293" s="13"/>
      <c r="J293" s="15"/>
      <c r="K293" s="15"/>
      <c r="L293" s="28"/>
      <c r="M293" s="13"/>
      <c r="N293" s="15"/>
      <c r="Q293" s="13"/>
      <c r="R293" s="15"/>
      <c r="S293" s="15"/>
      <c r="T293" s="28"/>
      <c r="U293" s="13"/>
      <c r="V293" s="15"/>
      <c r="X293" s="1">
        <v>1980</v>
      </c>
      <c r="Y293" s="186"/>
      <c r="Z293" s="2"/>
      <c r="AA293" s="15"/>
      <c r="AB293" s="28"/>
      <c r="AC293" s="15"/>
      <c r="AD293" s="15"/>
      <c r="AE293" s="34"/>
      <c r="AG293" s="15"/>
      <c r="AH293" s="2"/>
      <c r="AI293" s="45"/>
      <c r="AJ293" s="15"/>
      <c r="AK293" s="13"/>
      <c r="AL293" s="15"/>
      <c r="AM293" s="45"/>
      <c r="AN293" s="15"/>
      <c r="AO293" s="13"/>
      <c r="AP293" s="15"/>
      <c r="AQ293" s="180">
        <f>B288*$F$14</f>
        <v>0</v>
      </c>
      <c r="AR293" s="15"/>
      <c r="AS293" s="13"/>
      <c r="AT293" s="15"/>
      <c r="AU293" s="45"/>
      <c r="AV293" s="15"/>
      <c r="AW293" s="13"/>
      <c r="AX293" s="15"/>
      <c r="AY293" s="45"/>
      <c r="AZ293" s="28"/>
      <c r="BA293" s="13"/>
      <c r="BB293" s="15"/>
      <c r="BC293" s="45"/>
      <c r="BD293" s="28"/>
      <c r="BE293" s="14"/>
      <c r="BF293" s="41">
        <f t="shared" ref="BF293:BG293" si="1050">K293+O293+S293+W293+AA293+AE293+AI293+AM293+AQ293+AU293+AY293+BC293</f>
        <v>0</v>
      </c>
      <c r="BG293" s="34">
        <f t="shared" si="1050"/>
        <v>1980</v>
      </c>
      <c r="BH293" s="35">
        <f t="shared" si="1033"/>
        <v>0</v>
      </c>
      <c r="BK293" s="2" t="b">
        <f>H293='2020'!BH293</f>
        <v>1</v>
      </c>
    </row>
    <row r="294" ht="14.25" customHeight="1" hidden="1" spans="1:63" x14ac:dyDescent="0.25">
      <c r="A294" s="2">
        <v>32</v>
      </c>
      <c r="B294" s="14"/>
      <c r="D294" s="14" t="s">
        <v>52</v>
      </c>
      <c r="E294" s="2" t="s">
        <v>39</v>
      </c>
      <c r="F294" s="41">
        <v>500</v>
      </c>
      <c r="G294" s="28"/>
      <c r="H294" s="180">
        <f>'2020'!BH294</f>
        <v>0</v>
      </c>
      <c r="I294" s="13"/>
      <c r="J294" s="15"/>
      <c r="K294" s="15"/>
      <c r="L294" s="28"/>
      <c r="M294" s="13"/>
      <c r="N294" s="15"/>
      <c r="Q294" s="13"/>
      <c r="R294" s="15"/>
      <c r="S294" s="15"/>
      <c r="T294" s="28"/>
      <c r="U294" s="13"/>
      <c r="V294" s="15"/>
      <c r="Y294" s="186"/>
      <c r="Z294" s="2"/>
      <c r="AA294" s="34">
        <f>$F$15</f>
      </c>
      <c r="AB294" s="28"/>
      <c r="AC294" s="15"/>
      <c r="AD294" s="15"/>
      <c r="AG294" s="15"/>
      <c r="AH294" s="2"/>
      <c r="AI294" s="45"/>
      <c r="AJ294" s="15"/>
      <c r="AK294" s="13"/>
      <c r="AL294" s="15"/>
      <c r="AM294" s="45"/>
      <c r="AN294" s="15"/>
      <c r="AO294" s="13"/>
      <c r="AP294" s="15"/>
      <c r="AQ294" s="45"/>
      <c r="AR294" s="15"/>
      <c r="AS294" s="13"/>
      <c r="AT294" s="15"/>
      <c r="AU294" s="45"/>
      <c r="AV294" s="15"/>
      <c r="AW294" s="13"/>
      <c r="AX294" s="15"/>
      <c r="AY294" s="45"/>
      <c r="AZ294" s="35"/>
      <c r="BA294" s="13"/>
      <c r="BB294" s="15"/>
      <c r="BC294" s="45"/>
      <c r="BD294" s="35"/>
      <c r="BE294" s="14"/>
      <c r="BF294" s="41">
        <f t="shared" ref="BF294:BG294" si="1051">K294+O294+S294+W294+AA294+AE294+AI294+AM294+AQ294+AU294+AY294+BC294</f>
        <v>0</v>
      </c>
      <c r="BG294" s="34">
        <f t="shared" si="1051"/>
        <v>0</v>
      </c>
      <c r="BH294" s="35">
        <f t="shared" si="1033"/>
        <v>0</v>
      </c>
      <c r="BK294" s="2" t="b">
        <f>H294='2020'!BH294</f>
        <v>1</v>
      </c>
    </row>
    <row r="295" ht="14.25" customHeight="1" hidden="1" spans="1:63" x14ac:dyDescent="0.25">
      <c r="A295" s="253">
        <v>32</v>
      </c>
      <c r="B295" s="21"/>
      <c r="C295" s="22" t="s">
        <v>53</v>
      </c>
      <c r="D295" s="21"/>
      <c r="E295" s="22"/>
      <c r="F295" s="20"/>
      <c r="G295" s="23"/>
      <c r="H295" s="51">
        <f>SUM(H287:H294)</f>
        <v>2807.35</v>
      </c>
      <c r="I295" s="52"/>
      <c r="J295" s="53"/>
      <c r="K295" s="51">
        <f t="shared" ref="K295:L295" si="1052">SUM(K287:K294)</f>
        <v>0</v>
      </c>
      <c r="L295" s="68">
        <f t="shared" si="1052"/>
        <v>0</v>
      </c>
      <c r="M295" s="52"/>
      <c r="N295" s="53"/>
      <c r="O295" s="51">
        <f t="shared" ref="O295:P295" si="1053">SUM(O287:O294)</f>
        <v>0</v>
      </c>
      <c r="P295" s="51">
        <f t="shared" si="1053"/>
        <v>0</v>
      </c>
      <c r="Q295" s="52"/>
      <c r="R295" s="53"/>
      <c r="S295" s="51">
        <f t="shared" ref="S295:T295" si="1054">SUM(S287:S294)</f>
        <v>0</v>
      </c>
      <c r="T295" s="51">
        <f t="shared" si="1054"/>
        <v>0</v>
      </c>
      <c r="U295" s="52"/>
      <c r="V295" s="53"/>
      <c r="W295" s="51">
        <f t="shared" ref="W295:X295" si="1055">SUM(W287:W294)</f>
        <v>0</v>
      </c>
      <c r="X295" s="51">
        <f t="shared" si="1055"/>
        <v>2807.35</v>
      </c>
      <c r="Y295" s="300"/>
      <c r="Z295" s="301"/>
      <c r="AA295" s="51">
        <f t="shared" ref="AA295:AB295" si="1056">SUM(AA287:AA294)</f>
        <v>2091.8</v>
      </c>
      <c r="AB295" s="51">
        <f t="shared" si="1056"/>
        <v>0</v>
      </c>
      <c r="AC295" s="52"/>
      <c r="AD295" s="53"/>
      <c r="AE295" s="51">
        <f t="shared" ref="AE295:AF295" si="1057">SUM(AE287:AE294)</f>
        <v>4506.8</v>
      </c>
      <c r="AF295" s="51">
        <f t="shared" si="1057"/>
        <v>0</v>
      </c>
      <c r="AG295" s="52"/>
      <c r="AH295" s="301"/>
      <c r="AI295" s="183">
        <f t="shared" ref="AI295:AJ295" si="1058">SUM(AI287:AI294)</f>
        <v>202.5</v>
      </c>
      <c r="AJ295" s="51">
        <f t="shared" si="1058"/>
        <v>0</v>
      </c>
      <c r="AK295" s="52"/>
      <c r="AL295" s="53"/>
      <c r="AM295" s="183">
        <f t="shared" ref="AM295:AN295" si="1059">SUM(AM287:AM294)</f>
        <v>164.7</v>
      </c>
      <c r="AN295" s="51">
        <f t="shared" si="1059"/>
        <v>6801.1</v>
      </c>
      <c r="AO295" s="52"/>
      <c r="AP295" s="53"/>
      <c r="AQ295" s="183">
        <f t="shared" ref="AQ295:AR295" si="1060">SUM(AQ287:AQ294)</f>
        <v>126.9</v>
      </c>
      <c r="AR295" s="51">
        <f t="shared" si="1060"/>
        <v>0</v>
      </c>
      <c r="AS295" s="52"/>
      <c r="AT295" s="53"/>
      <c r="AU295" s="183">
        <f t="shared" ref="AU295:AV295" si="1061">SUM(AU287:AU294)</f>
        <v>13.5</v>
      </c>
      <c r="AV295" s="68">
        <f t="shared" si="1061"/>
        <v>0</v>
      </c>
      <c r="AW295" s="52"/>
      <c r="AX295" s="53"/>
      <c r="AY295" s="183">
        <f t="shared" ref="AY295:AZ295" si="1062">SUM(AY287:AY294)</f>
        <v>5.4</v>
      </c>
      <c r="AZ295" s="68">
        <f t="shared" si="1062"/>
        <v>0</v>
      </c>
      <c r="BA295" s="52"/>
      <c r="BB295" s="53"/>
      <c r="BC295" s="183">
        <f t="shared" ref="BC295:BD295" si="1063">SUM(BC287:BC294)</f>
        <v>0</v>
      </c>
      <c r="BD295" s="68">
        <f t="shared" si="1063"/>
        <v>0</v>
      </c>
      <c r="BE295" s="69"/>
      <c r="BF295" s="70">
        <f t="shared" ref="BF295:BH295" si="1064">SUM(BF287:BF294)</f>
        <v>7111.6</v>
      </c>
      <c r="BG295" s="71">
        <f t="shared" si="1064"/>
        <v>9608.45</v>
      </c>
      <c r="BH295" s="72">
        <f t="shared" si="1064"/>
        <v>310.5</v>
      </c>
      <c r="BI295" s="34">
        <f>H295+BF295-BG295</f>
        <v>310.5</v>
      </c>
      <c r="BJ295" s="34">
        <f>BH295-BI295</f>
        <v>0</v>
      </c>
      <c r="BK295" s="2" t="b">
        <f>H295='2020'!BH295</f>
        <v>1</v>
      </c>
    </row>
    <row r="296" ht="14.25" customHeight="1" hidden="1" spans="1:63" x14ac:dyDescent="0.25">
      <c r="A296" s="2">
        <v>33</v>
      </c>
      <c r="B296" s="14"/>
      <c r="D296" s="14" t="s">
        <v>379</v>
      </c>
      <c r="F296" s="13"/>
      <c r="G296" s="28"/>
      <c r="H296" s="34">
        <f>'2020'!BH296</f>
        <v>138.27</v>
      </c>
      <c r="I296" s="13"/>
      <c r="J296" s="15"/>
      <c r="K296" s="34">
        <v>16.48</v>
      </c>
      <c r="L296" s="28"/>
      <c r="M296" s="13"/>
      <c r="N296" s="15"/>
      <c r="O296" s="2">
        <v>14.88</v>
      </c>
      <c r="Q296" s="13"/>
      <c r="R296" s="15"/>
      <c r="S296" s="34">
        <v>4.78</v>
      </c>
      <c r="T296" s="32">
        <v>106.18</v>
      </c>
      <c r="U296" s="13"/>
      <c r="V296" s="15"/>
      <c r="W296" s="2"/>
      <c r="Y296" s="186"/>
      <c r="Z296" s="2"/>
      <c r="AA296" s="34"/>
      <c r="AB296" s="28"/>
      <c r="AC296" s="15"/>
      <c r="AD296" s="15"/>
      <c r="AG296" s="15"/>
      <c r="AH296" s="2"/>
      <c r="AI296" s="45"/>
      <c r="AJ296" s="15"/>
      <c r="AK296" s="13"/>
      <c r="AM296" s="45"/>
      <c r="AO296" s="13"/>
      <c r="AQ296" s="307">
        <v>13.23</v>
      </c>
      <c r="AS296" s="13"/>
      <c r="AU296" s="180"/>
      <c r="AW296" s="13"/>
      <c r="AY296" s="180"/>
      <c r="AZ296" s="28"/>
      <c r="BA296" s="13"/>
      <c r="BB296" s="15"/>
      <c r="BC296" s="180"/>
      <c r="BD296" s="28"/>
      <c r="BE296" s="14"/>
      <c r="BF296" s="41">
        <f t="shared" ref="BF296:BG296" si="1065">K296+O296+S296+W296+AA296+AE296+AI296+AM296+AQ296+AU296+AY296+BC296</f>
        <v>49.37</v>
      </c>
      <c r="BG296" s="34">
        <f t="shared" si="1065"/>
        <v>106.18</v>
      </c>
      <c r="BH296" s="35">
        <f t="shared" ref="BH296:BH303" si="1066">H296+BF296-BG296</f>
        <v>81.46</v>
      </c>
      <c r="BK296" s="2" t="b">
        <f>H296='2020'!BH296</f>
        <v>1</v>
      </c>
    </row>
    <row r="297" ht="14.25" customHeight="1" hidden="1" spans="1:63" x14ac:dyDescent="0.25">
      <c r="A297" s="2">
        <v>33</v>
      </c>
      <c r="B297" s="14">
        <v>4.01</v>
      </c>
      <c r="C297" s="2" t="s">
        <v>154</v>
      </c>
      <c r="D297" s="14" t="s">
        <v>44</v>
      </c>
      <c r="E297" s="2" t="s">
        <v>45</v>
      </c>
      <c r="F297" s="41">
        <v>2.5</v>
      </c>
      <c r="G297" s="35">
        <v>2.6</v>
      </c>
      <c r="H297" s="34">
        <f>'2020'!BH297</f>
        <v>82.49</v>
      </c>
      <c r="I297" s="13">
        <v>33</v>
      </c>
      <c r="J297" s="15">
        <f>I297-'2020'!BA297</f>
        <v>0</v>
      </c>
      <c r="K297" s="34">
        <f>J297*$F$8</f>
        <v>0</v>
      </c>
      <c r="L297" s="28"/>
      <c r="M297" s="13">
        <v>33</v>
      </c>
      <c r="N297" s="15">
        <f t="shared" ref="N297:N298" si="1067">M297-I297</f>
        <v>0</v>
      </c>
      <c r="O297" s="34">
        <f>N297*$F$8</f>
        <v>0</v>
      </c>
      <c r="Q297" s="13">
        <v>33</v>
      </c>
      <c r="R297" s="15">
        <f t="shared" ref="R297:R298" si="1068">Q297-M297</f>
        <v>0</v>
      </c>
      <c r="S297" s="34">
        <f>R297*$F$8</f>
        <v>0</v>
      </c>
      <c r="T297" s="32">
        <v>82.149</v>
      </c>
      <c r="U297" s="13">
        <v>33</v>
      </c>
      <c r="V297" s="15">
        <f t="shared" ref="V297:V298" si="1069">U297-Q297</f>
        <v>0</v>
      </c>
      <c r="W297" s="34">
        <f>V297*$F$8</f>
        <v>0</v>
      </c>
      <c r="Y297" s="186">
        <v>33</v>
      </c>
      <c r="Z297" s="2">
        <f t="shared" ref="Z297:Z298" si="1070">Y297-U297</f>
        <v>0</v>
      </c>
      <c r="AA297" s="34">
        <f>Z297*$F$8</f>
        <v>0</v>
      </c>
      <c r="AB297" s="28"/>
      <c r="AC297" s="13">
        <v>33</v>
      </c>
      <c r="AD297" s="15">
        <f t="shared" ref="AD297:AD298" si="1071">AC297-Y297</f>
        <v>0</v>
      </c>
      <c r="AE297" s="180">
        <f>AD297*$F$8</f>
        <v>0</v>
      </c>
      <c r="AG297" s="13">
        <v>33</v>
      </c>
      <c r="AH297" s="2">
        <f t="shared" ref="AH297:AH298" si="1072">AG297-AC297</f>
        <v>0</v>
      </c>
      <c r="AI297" s="45">
        <f>AH297*$G$8</f>
        <v>0</v>
      </c>
      <c r="AJ297" s="15"/>
      <c r="AK297" s="13">
        <v>33</v>
      </c>
      <c r="AL297" s="15">
        <f t="shared" ref="AL297:AL298" si="1073">AK297-AG297</f>
        <v>0</v>
      </c>
      <c r="AM297" s="45">
        <f>AL297*$G$8</f>
        <v>0</v>
      </c>
      <c r="AN297" s="15"/>
      <c r="AO297" s="13">
        <v>33</v>
      </c>
      <c r="AP297" s="15">
        <f t="shared" ref="AP297:AP298" si="1074">AO297-AK297</f>
        <v>0</v>
      </c>
      <c r="AQ297" s="45">
        <f>AP297*$G$8</f>
        <v>0</v>
      </c>
      <c r="AR297" s="15"/>
      <c r="AS297" s="13">
        <v>33</v>
      </c>
      <c r="AT297" s="15">
        <f t="shared" ref="AT297:AT298" si="1075">AS297-AO297</f>
        <v>0</v>
      </c>
      <c r="AU297" s="45">
        <f>AT297*$G$8</f>
        <v>0</v>
      </c>
      <c r="AV297" s="15"/>
      <c r="AW297" s="13">
        <v>33</v>
      </c>
      <c r="AX297" s="15">
        <f t="shared" ref="AX297:AX298" si="1076">AW297-AS297</f>
        <v>0</v>
      </c>
      <c r="AY297" s="45">
        <f>AX297*$G$8</f>
        <v>0</v>
      </c>
      <c r="AZ297" s="208"/>
      <c r="BA297" s="13">
        <v>33</v>
      </c>
      <c r="BB297" s="15">
        <f t="shared" ref="BB297:BB298" si="1077">BA297-AW297</f>
        <v>0</v>
      </c>
      <c r="BC297" s="45">
        <f>BB297*$G$8</f>
        <v>0</v>
      </c>
      <c r="BD297" s="208"/>
      <c r="BE297" s="40">
        <f t="shared" ref="BE297:BG297" si="1078">J297+N297+R297+V297+Z297+AD297+AH297+AL297+AP297+AT297+AX297+BB297</f>
        <v>0</v>
      </c>
      <c r="BF297" s="41">
        <f t="shared" si="1078"/>
        <v>0</v>
      </c>
      <c r="BG297" s="34">
        <f t="shared" si="1078"/>
        <v>82.149</v>
      </c>
      <c r="BH297" s="35">
        <f t="shared" si="1066"/>
        <v>0.341</v>
      </c>
      <c r="BK297" s="2" t="b">
        <f>H297='2020'!BH297</f>
        <v>1</v>
      </c>
    </row>
    <row r="298" ht="14.25" customHeight="1" hidden="1" spans="1:63" x14ac:dyDescent="0.25">
      <c r="A298" s="2">
        <v>33</v>
      </c>
      <c r="B298" s="14"/>
      <c r="C298" s="2" t="s">
        <v>93</v>
      </c>
      <c r="D298" s="14" t="s">
        <v>47</v>
      </c>
      <c r="E298" s="2" t="s">
        <v>48</v>
      </c>
      <c r="F298" s="13">
        <v>18.56</v>
      </c>
      <c r="G298" s="35">
        <v>19.46</v>
      </c>
      <c r="H298" s="34">
        <f>'2020'!BH298</f>
        <v>184.18</v>
      </c>
      <c r="I298" s="13">
        <v>22</v>
      </c>
      <c r="J298" s="15"/>
      <c r="K298" s="15"/>
      <c r="L298" s="28"/>
      <c r="M298" s="13">
        <v>22</v>
      </c>
      <c r="N298" s="15">
        <f t="shared" si="1067"/>
        <v>0</v>
      </c>
      <c r="Q298" s="13">
        <v>22</v>
      </c>
      <c r="R298" s="15">
        <f t="shared" si="1068"/>
        <v>0</v>
      </c>
      <c r="S298" s="15"/>
      <c r="T298" s="32">
        <v>184.18</v>
      </c>
      <c r="U298" s="13">
        <v>22</v>
      </c>
      <c r="V298" s="15">
        <f t="shared" si="1069"/>
        <v>0</v>
      </c>
      <c r="W298" s="34">
        <f>V298*$F$10</f>
        <v>0</v>
      </c>
      <c r="Y298" s="186">
        <v>22</v>
      </c>
      <c r="Z298" s="2">
        <f t="shared" si="1070"/>
        <v>0</v>
      </c>
      <c r="AA298" s="34">
        <f>Z298*$F$10</f>
        <v>0</v>
      </c>
      <c r="AB298" s="28"/>
      <c r="AC298" s="13">
        <v>22</v>
      </c>
      <c r="AD298" s="15">
        <f t="shared" si="1071"/>
        <v>0</v>
      </c>
      <c r="AE298" s="34">
        <f>AD298*$F$10</f>
        <v>0</v>
      </c>
      <c r="AG298" s="13">
        <v>22</v>
      </c>
      <c r="AH298" s="2">
        <f t="shared" si="1072"/>
        <v>0</v>
      </c>
      <c r="AI298" s="45">
        <f>AH298*$G$10</f>
        <v>0</v>
      </c>
      <c r="AJ298" s="15"/>
      <c r="AK298" s="13">
        <v>22</v>
      </c>
      <c r="AL298" s="15">
        <f t="shared" si="1073"/>
        <v>0</v>
      </c>
      <c r="AM298" s="45">
        <f>AL298*$G$10</f>
        <v>0</v>
      </c>
      <c r="AN298" s="15"/>
      <c r="AO298" s="13">
        <v>22</v>
      </c>
      <c r="AP298" s="15">
        <f t="shared" si="1074"/>
        <v>0</v>
      </c>
      <c r="AQ298" s="45">
        <f>AP298*$G$10</f>
        <v>0</v>
      </c>
      <c r="AR298" s="15"/>
      <c r="AS298" s="13">
        <v>22</v>
      </c>
      <c r="AT298" s="15">
        <f t="shared" si="1075"/>
        <v>0</v>
      </c>
      <c r="AU298" s="45">
        <f>AT298*$G$10</f>
        <v>0</v>
      </c>
      <c r="AV298" s="15"/>
      <c r="AW298" s="13">
        <v>22</v>
      </c>
      <c r="AX298" s="15">
        <f t="shared" si="1076"/>
        <v>0</v>
      </c>
      <c r="AY298" s="45"/>
      <c r="AZ298" s="208"/>
      <c r="BA298" s="13">
        <v>22</v>
      </c>
      <c r="BB298" s="15">
        <f t="shared" si="1077"/>
        <v>0</v>
      </c>
      <c r="BC298" s="45"/>
      <c r="BD298" s="208"/>
      <c r="BE298" s="40">
        <f t="shared" ref="BE298:BG298" si="1079">J298+N298+R298+V298+Z298+AD298+AH298+AL298+AP298+AT298+AX298+BB298</f>
        <v>0</v>
      </c>
      <c r="BF298" s="41">
        <f t="shared" si="1079"/>
        <v>0</v>
      </c>
      <c r="BG298" s="34">
        <f t="shared" si="1079"/>
        <v>184.18</v>
      </c>
      <c r="BH298" s="35">
        <f t="shared" si="1066"/>
        <v>0</v>
      </c>
      <c r="BK298" s="2" t="b">
        <f>H298='2020'!BH298</f>
        <v>1</v>
      </c>
    </row>
    <row r="299" ht="14.25" customHeight="1" hidden="1" spans="1:63" x14ac:dyDescent="0.25">
      <c r="A299" s="2">
        <v>33</v>
      </c>
      <c r="B299" s="14"/>
      <c r="C299" s="2" t="s">
        <v>68</v>
      </c>
      <c r="D299" s="14" t="s">
        <v>47</v>
      </c>
      <c r="E299" s="2" t="s">
        <v>49</v>
      </c>
      <c r="F299" s="41">
        <v>500</v>
      </c>
      <c r="G299" s="28"/>
      <c r="H299" s="34">
        <f>'2020'!BH299</f>
        <v>1203</v>
      </c>
      <c r="I299" s="13"/>
      <c r="J299" s="15"/>
      <c r="K299" s="15"/>
      <c r="L299" s="28"/>
      <c r="M299" s="13"/>
      <c r="N299" s="15"/>
      <c r="Q299" s="13"/>
      <c r="R299" s="15"/>
      <c r="S299" s="15"/>
      <c r="T299" s="32">
        <v>1203</v>
      </c>
      <c r="U299" s="13"/>
      <c r="V299" s="15"/>
      <c r="Y299" s="186"/>
      <c r="Z299" s="2"/>
      <c r="AA299" s="34"/>
      <c r="AB299" s="28"/>
      <c r="AC299" s="15"/>
      <c r="AD299" s="15"/>
      <c r="AG299" s="15"/>
      <c r="AH299" s="2"/>
      <c r="AI299" s="45"/>
      <c r="AJ299" s="15"/>
      <c r="AK299" s="13"/>
      <c r="AL299" s="15"/>
      <c r="AM299" s="45"/>
      <c r="AN299" s="15"/>
      <c r="AO299" s="13"/>
      <c r="AP299" s="15"/>
      <c r="AQ299" s="45"/>
      <c r="AR299" s="15"/>
      <c r="AS299" s="13"/>
      <c r="AT299" s="15"/>
      <c r="AU299" s="45"/>
      <c r="AV299" s="15"/>
      <c r="AW299" s="13"/>
      <c r="AX299" s="15"/>
      <c r="AY299" s="45"/>
      <c r="AZ299" s="28"/>
      <c r="BA299" s="13"/>
      <c r="BB299" s="15"/>
      <c r="BC299" s="45"/>
      <c r="BD299" s="28"/>
      <c r="BE299" s="14"/>
      <c r="BF299" s="41">
        <f t="shared" ref="BF299:BG299" si="1080">K299+O299+S299+W299+AA299+AE299+AI299+AM299+AQ299+AU299+AY299+BC299</f>
        <v>0</v>
      </c>
      <c r="BG299" s="34">
        <f t="shared" si="1080"/>
        <v>1203</v>
      </c>
      <c r="BH299" s="35">
        <f t="shared" si="1066"/>
        <v>0</v>
      </c>
      <c r="BK299" s="2" t="b">
        <f>H299='2020'!BH299</f>
        <v>1</v>
      </c>
    </row>
    <row r="300" ht="14.25" customHeight="1" hidden="1" spans="1:63" x14ac:dyDescent="0.25">
      <c r="A300" s="2">
        <v>33</v>
      </c>
      <c r="B300" s="14"/>
      <c r="C300" s="73" t="s">
        <v>398</v>
      </c>
      <c r="D300" s="14" t="s">
        <v>50</v>
      </c>
      <c r="E300" s="2" t="s">
        <v>49</v>
      </c>
      <c r="F300" s="41">
        <v>1100</v>
      </c>
      <c r="G300" s="28"/>
      <c r="H300" s="34">
        <f>'2020'!BH300</f>
        <v>4315.43</v>
      </c>
      <c r="I300" s="13"/>
      <c r="J300" s="15"/>
      <c r="K300" s="15"/>
      <c r="L300" s="28"/>
      <c r="M300" s="13"/>
      <c r="N300" s="15"/>
      <c r="Q300" s="13"/>
      <c r="R300" s="15"/>
      <c r="S300" s="15"/>
      <c r="T300" s="32">
        <v>4315.43</v>
      </c>
      <c r="U300" s="13"/>
      <c r="V300" s="15"/>
      <c r="Y300" s="186"/>
      <c r="Z300" s="2"/>
      <c r="AA300" s="15"/>
      <c r="AB300" s="28"/>
      <c r="AC300" s="15"/>
      <c r="AD300" s="15"/>
      <c r="AE300" s="34">
        <f>B297*$F$12</f>
        <v>4411</v>
      </c>
      <c r="AG300" s="15"/>
      <c r="AH300" s="2"/>
      <c r="AI300" s="45"/>
      <c r="AJ300" s="15"/>
      <c r="AK300" s="13"/>
      <c r="AL300" s="15"/>
      <c r="AM300" s="45"/>
      <c r="AN300" s="15"/>
      <c r="AO300" s="13"/>
      <c r="AP300" s="15"/>
      <c r="AQ300" s="45"/>
      <c r="AR300" s="15"/>
      <c r="AS300" s="13"/>
      <c r="AT300" s="15"/>
      <c r="AU300" s="45"/>
      <c r="AV300" s="15"/>
      <c r="AW300" s="13"/>
      <c r="AX300" s="15"/>
      <c r="AY300" s="45"/>
      <c r="AZ300" s="28"/>
      <c r="BA300" s="13"/>
      <c r="BB300" s="15"/>
      <c r="BC300" s="45"/>
      <c r="BD300" s="28"/>
      <c r="BE300" s="14"/>
      <c r="BF300" s="41">
        <f t="shared" ref="BF300:BG300" si="1081">K300+O300+S300+W300+AA300+AE300+AI300+AM300+AQ300+AU300+AY300+BC300</f>
        <v>4411</v>
      </c>
      <c r="BG300" s="34">
        <f t="shared" si="1081"/>
        <v>4315.43</v>
      </c>
      <c r="BH300" s="35">
        <f t="shared" si="1066"/>
        <v>4411</v>
      </c>
      <c r="BK300" s="2" t="b">
        <f>H300='2020'!BH300</f>
        <v>1</v>
      </c>
    </row>
    <row r="301" ht="14.25" customHeight="1" hidden="1" spans="1:63" x14ac:dyDescent="0.25">
      <c r="A301" s="2">
        <v>33</v>
      </c>
      <c r="B301" s="14"/>
      <c r="D301" s="14" t="s">
        <v>51</v>
      </c>
      <c r="E301" s="2" t="s">
        <v>39</v>
      </c>
      <c r="F301" s="41">
        <v>500</v>
      </c>
      <c r="G301" s="28"/>
      <c r="H301" s="34">
        <f>'2020'!BH301</f>
        <v>1500</v>
      </c>
      <c r="I301" s="13"/>
      <c r="J301" s="15"/>
      <c r="K301" s="15"/>
      <c r="L301" s="28"/>
      <c r="M301" s="13"/>
      <c r="N301" s="15"/>
      <c r="Q301" s="13"/>
      <c r="R301" s="15"/>
      <c r="S301" s="15"/>
      <c r="T301" s="32">
        <v>1500</v>
      </c>
      <c r="U301" s="13"/>
      <c r="V301" s="15"/>
      <c r="Y301" s="186"/>
      <c r="Z301" s="2"/>
      <c r="AA301" s="15"/>
      <c r="AB301" s="28"/>
      <c r="AC301" s="15"/>
      <c r="AD301" s="15"/>
      <c r="AE301" s="180">
        <f>$F$13</f>
      </c>
      <c r="AG301" s="15"/>
      <c r="AH301" s="2"/>
      <c r="AI301" s="45"/>
      <c r="AJ301" s="15"/>
      <c r="AK301" s="13"/>
      <c r="AL301" s="15"/>
      <c r="AM301" s="45"/>
      <c r="AN301" s="15"/>
      <c r="AO301" s="13"/>
      <c r="AP301" s="15"/>
      <c r="AQ301" s="180"/>
      <c r="AR301" s="15"/>
      <c r="AS301" s="13"/>
      <c r="AT301" s="15"/>
      <c r="AU301" s="45"/>
      <c r="AV301" s="15"/>
      <c r="AW301" s="13"/>
      <c r="AX301" s="15"/>
      <c r="AY301" s="45"/>
      <c r="AZ301" s="28"/>
      <c r="BA301" s="13"/>
      <c r="BB301" s="15"/>
      <c r="BC301" s="45"/>
      <c r="BD301" s="28"/>
      <c r="BE301" s="14"/>
      <c r="BF301" s="41">
        <f t="shared" ref="BF301:BG301" si="1082">K301+O301+S301+W301+AA301+AE301+AI301+AM301+AQ301+AU301+AY301+BC301</f>
        <v>0</v>
      </c>
      <c r="BG301" s="34">
        <f t="shared" si="1082"/>
        <v>1500</v>
      </c>
      <c r="BH301" s="35">
        <f t="shared" si="1066"/>
        <v>0</v>
      </c>
      <c r="BK301" s="2" t="b">
        <f>H301='2020'!BH301</f>
        <v>1</v>
      </c>
    </row>
    <row r="302" ht="14.25" customHeight="1" hidden="1" spans="1:63" x14ac:dyDescent="0.25">
      <c r="A302" s="2">
        <v>33</v>
      </c>
      <c r="B302" s="14"/>
      <c r="D302" s="14" t="s">
        <v>51</v>
      </c>
      <c r="E302" s="2" t="s">
        <v>49</v>
      </c>
      <c r="F302" s="41">
        <v>500</v>
      </c>
      <c r="G302" s="28"/>
      <c r="H302" s="34">
        <f>'2020'!BH302</f>
        <v>2005</v>
      </c>
      <c r="I302" s="13"/>
      <c r="J302" s="15"/>
      <c r="K302" s="15"/>
      <c r="L302" s="28"/>
      <c r="M302" s="13"/>
      <c r="N302" s="15"/>
      <c r="Q302" s="13"/>
      <c r="R302" s="15"/>
      <c r="S302" s="15"/>
      <c r="T302" s="32">
        <v>2005</v>
      </c>
      <c r="U302" s="13"/>
      <c r="V302" s="15"/>
      <c r="Y302" s="186"/>
      <c r="Z302" s="2"/>
      <c r="AA302" s="15"/>
      <c r="AB302" s="28"/>
      <c r="AC302" s="15"/>
      <c r="AD302" s="15"/>
      <c r="AE302" s="34"/>
      <c r="AG302" s="15"/>
      <c r="AH302" s="2"/>
      <c r="AI302" s="45"/>
      <c r="AJ302" s="15"/>
      <c r="AK302" s="13"/>
      <c r="AL302" s="15"/>
      <c r="AM302" s="45"/>
      <c r="AN302" s="15"/>
      <c r="AO302" s="13"/>
      <c r="AP302" s="15"/>
      <c r="AQ302" s="180">
        <f>B297*$F$14</f>
        <v>0</v>
      </c>
      <c r="AR302" s="15"/>
      <c r="AS302" s="13"/>
      <c r="AT302" s="15"/>
      <c r="AU302" s="45"/>
      <c r="AV302" s="15"/>
      <c r="AW302" s="13"/>
      <c r="AX302" s="15"/>
      <c r="AY302" s="45"/>
      <c r="AZ302" s="28"/>
      <c r="BA302" s="13"/>
      <c r="BB302" s="15"/>
      <c r="BC302" s="45"/>
      <c r="BD302" s="28"/>
      <c r="BE302" s="14"/>
      <c r="BF302" s="41">
        <f t="shared" ref="BF302:BG302" si="1083">K302+O302+S302+W302+AA302+AE302+AI302+AM302+AQ302+AU302+AY302+BC302</f>
        <v>0</v>
      </c>
      <c r="BG302" s="34">
        <f t="shared" si="1083"/>
        <v>2005</v>
      </c>
      <c r="BH302" s="35">
        <f t="shared" si="1066"/>
        <v>0</v>
      </c>
      <c r="BK302" s="2" t="b">
        <f>H302='2020'!BH302</f>
        <v>1</v>
      </c>
    </row>
    <row r="303" ht="14.25" customHeight="1" hidden="1" spans="1:63" x14ac:dyDescent="0.25">
      <c r="A303" s="2">
        <v>33</v>
      </c>
      <c r="B303" s="14"/>
      <c r="D303" s="14" t="s">
        <v>52</v>
      </c>
      <c r="E303" s="2" t="s">
        <v>39</v>
      </c>
      <c r="F303" s="41">
        <v>500</v>
      </c>
      <c r="G303" s="28"/>
      <c r="H303" s="34">
        <f>'2020'!BH303</f>
        <v>1350</v>
      </c>
      <c r="I303" s="13"/>
      <c r="J303" s="15"/>
      <c r="K303" s="15"/>
      <c r="L303" s="28"/>
      <c r="M303" s="13"/>
      <c r="N303" s="15"/>
      <c r="Q303" s="13"/>
      <c r="R303" s="15"/>
      <c r="S303" s="15"/>
      <c r="T303" s="32">
        <v>1350</v>
      </c>
      <c r="U303" s="13"/>
      <c r="V303" s="15"/>
      <c r="Y303" s="186"/>
      <c r="Z303" s="2"/>
      <c r="AA303" s="34">
        <f>$F$15</f>
      </c>
      <c r="AB303" s="28"/>
      <c r="AC303" s="15"/>
      <c r="AD303" s="15"/>
      <c r="AG303" s="15"/>
      <c r="AH303" s="2"/>
      <c r="AI303" s="45"/>
      <c r="AJ303" s="15"/>
      <c r="AK303" s="13"/>
      <c r="AL303" s="15"/>
      <c r="AM303" s="45"/>
      <c r="AN303" s="15"/>
      <c r="AO303" s="13"/>
      <c r="AP303" s="15"/>
      <c r="AQ303" s="45"/>
      <c r="AR303" s="15"/>
      <c r="AS303" s="13"/>
      <c r="AT303" s="15"/>
      <c r="AU303" s="45"/>
      <c r="AV303" s="15"/>
      <c r="AW303" s="13"/>
      <c r="AX303" s="15"/>
      <c r="AY303" s="45"/>
      <c r="AZ303" s="35"/>
      <c r="BA303" s="13"/>
      <c r="BB303" s="15"/>
      <c r="BC303" s="45"/>
      <c r="BD303" s="35"/>
      <c r="BE303" s="14"/>
      <c r="BF303" s="41">
        <f t="shared" ref="BF303:BG303" si="1084">K303+O303+S303+W303+AA303+AE303+AI303+AM303+AQ303+AU303+AY303+BC303</f>
        <v>0</v>
      </c>
      <c r="BG303" s="34">
        <f t="shared" si="1084"/>
        <v>1350</v>
      </c>
      <c r="BH303" s="35">
        <f t="shared" si="1066"/>
        <v>0</v>
      </c>
      <c r="BK303" s="2" t="b">
        <f>H303='2020'!BH303</f>
        <v>1</v>
      </c>
    </row>
    <row r="304" ht="14.25" customHeight="1" hidden="1" spans="1:63" x14ac:dyDescent="0.25">
      <c r="A304" s="247">
        <v>33</v>
      </c>
      <c r="B304" s="21"/>
      <c r="C304" s="22" t="s">
        <v>53</v>
      </c>
      <c r="D304" s="21"/>
      <c r="E304" s="22"/>
      <c r="F304" s="20"/>
      <c r="G304" s="23"/>
      <c r="H304" s="51">
        <f>SUM(H296:H303)</f>
        <v>10778.37</v>
      </c>
      <c r="I304" s="52"/>
      <c r="J304" s="53"/>
      <c r="K304" s="51">
        <f t="shared" ref="K304:L304" si="1085">SUM(K296:K303)</f>
        <v>16.48</v>
      </c>
      <c r="L304" s="68">
        <f t="shared" si="1085"/>
        <v>0</v>
      </c>
      <c r="M304" s="52"/>
      <c r="N304" s="53"/>
      <c r="O304" s="51">
        <f t="shared" ref="O304:P304" si="1086">SUM(O296:O303)</f>
        <v>14.88</v>
      </c>
      <c r="P304" s="51">
        <f t="shared" si="1086"/>
        <v>0</v>
      </c>
      <c r="Q304" s="52"/>
      <c r="R304" s="53"/>
      <c r="S304" s="51">
        <f t="shared" ref="S304:T304" si="1087">SUM(S296:S303)</f>
        <v>4.78</v>
      </c>
      <c r="T304" s="51">
        <f t="shared" si="1087"/>
        <v>10745.939</v>
      </c>
      <c r="U304" s="52"/>
      <c r="V304" s="53"/>
      <c r="W304" s="51">
        <f t="shared" ref="W304:X304" si="1088">SUM(W296:W303)</f>
        <v>0</v>
      </c>
      <c r="X304" s="51">
        <f t="shared" si="1088"/>
        <v>0</v>
      </c>
      <c r="Y304" s="300"/>
      <c r="Z304" s="301"/>
      <c r="AA304" s="51">
        <f t="shared" ref="AA304:AB304" si="1089">SUM(AA296:AA303)</f>
        <v>0</v>
      </c>
      <c r="AB304" s="51">
        <f t="shared" si="1089"/>
        <v>0</v>
      </c>
      <c r="AC304" s="52"/>
      <c r="AD304" s="53"/>
      <c r="AE304" s="51">
        <f t="shared" ref="AE304:AF304" si="1090">SUM(AE296:AE303)</f>
        <v>4411</v>
      </c>
      <c r="AF304" s="51">
        <f t="shared" si="1090"/>
        <v>0</v>
      </c>
      <c r="AG304" s="52"/>
      <c r="AH304" s="301"/>
      <c r="AI304" s="183">
        <f t="shared" ref="AI304:AJ304" si="1091">SUM(AI296:AI303)</f>
        <v>0</v>
      </c>
      <c r="AJ304" s="51">
        <f t="shared" si="1091"/>
        <v>0</v>
      </c>
      <c r="AK304" s="52"/>
      <c r="AL304" s="53"/>
      <c r="AM304" s="183">
        <f t="shared" ref="AM304:AN304" si="1092">SUM(AM296:AM303)</f>
        <v>0</v>
      </c>
      <c r="AN304" s="51">
        <f t="shared" si="1092"/>
        <v>0</v>
      </c>
      <c r="AO304" s="52"/>
      <c r="AP304" s="53"/>
      <c r="AQ304" s="183">
        <f t="shared" ref="AQ304:AR304" si="1093">SUM(AQ296:AQ303)</f>
        <v>13.23</v>
      </c>
      <c r="AR304" s="51">
        <f t="shared" si="1093"/>
        <v>0</v>
      </c>
      <c r="AS304" s="52"/>
      <c r="AT304" s="53"/>
      <c r="AU304" s="183">
        <f t="shared" ref="AU304:AV304" si="1094">SUM(AU296:AU303)</f>
        <v>0</v>
      </c>
      <c r="AV304" s="68">
        <f t="shared" si="1094"/>
        <v>0</v>
      </c>
      <c r="AW304" s="52"/>
      <c r="AX304" s="53"/>
      <c r="AY304" s="183">
        <f t="shared" ref="AY304:AZ304" si="1095">SUM(AY296:AY303)</f>
        <v>0</v>
      </c>
      <c r="AZ304" s="68">
        <f t="shared" si="1095"/>
        <v>0</v>
      </c>
      <c r="BA304" s="52"/>
      <c r="BB304" s="53"/>
      <c r="BC304" s="183">
        <f t="shared" ref="BC304:BD304" si="1096">SUM(BC296:BC303)</f>
        <v>0</v>
      </c>
      <c r="BD304" s="68">
        <f t="shared" si="1096"/>
        <v>0</v>
      </c>
      <c r="BE304" s="69"/>
      <c r="BF304" s="70">
        <f t="shared" ref="BF304:BH304" si="1097">SUM(BF296:BF303)</f>
        <v>4460.37</v>
      </c>
      <c r="BG304" s="71">
        <f t="shared" si="1097"/>
        <v>10745.939</v>
      </c>
      <c r="BH304" s="72">
        <f t="shared" si="1097"/>
        <v>4492.801</v>
      </c>
      <c r="BI304" s="34">
        <f>H304+BF304-BG304</f>
        <v>4492.801</v>
      </c>
      <c r="BJ304" s="34">
        <f>BH304-BI304</f>
        <v>0</v>
      </c>
      <c r="BK304" s="2" t="b">
        <f>H304='2020'!BH304</f>
        <v>1</v>
      </c>
    </row>
    <row r="305" ht="14.25" customHeight="1" hidden="1" spans="1:63" x14ac:dyDescent="0.25">
      <c r="A305" s="2">
        <v>34</v>
      </c>
      <c r="B305" s="14"/>
      <c r="D305" s="178" t="s">
        <v>486</v>
      </c>
      <c r="F305" s="13"/>
      <c r="G305" s="28"/>
      <c r="H305" s="34">
        <f>'2020'!BH305</f>
        <v>142.33</v>
      </c>
      <c r="I305" s="13"/>
      <c r="J305" s="15"/>
      <c r="K305" s="15">
        <v>7.47</v>
      </c>
      <c r="L305" s="28"/>
      <c r="M305" s="13"/>
      <c r="N305" s="15"/>
      <c r="O305" s="2">
        <v>6.75</v>
      </c>
      <c r="Q305" s="13"/>
      <c r="R305" s="15"/>
      <c r="S305" s="15">
        <v>7.47</v>
      </c>
      <c r="T305" s="28"/>
      <c r="U305" s="13"/>
      <c r="V305" s="15"/>
      <c r="W305" s="2">
        <v>7.23</v>
      </c>
      <c r="Y305" s="186"/>
      <c r="Z305" s="2"/>
      <c r="AA305" s="15">
        <v>7.47</v>
      </c>
      <c r="AB305" s="28"/>
      <c r="AC305" s="15"/>
      <c r="AD305" s="15"/>
      <c r="AE305" s="2">
        <v>7.23</v>
      </c>
      <c r="AG305" s="15"/>
      <c r="AH305" s="2"/>
      <c r="AI305" s="45"/>
      <c r="AJ305" s="15"/>
      <c r="AK305" s="13"/>
      <c r="AM305" s="45">
        <v>7.47</v>
      </c>
      <c r="AO305" s="13"/>
      <c r="AQ305" s="307">
        <v>27.98</v>
      </c>
      <c r="AS305" s="13"/>
      <c r="AU305" s="180"/>
      <c r="AW305" s="13"/>
      <c r="AY305" s="180"/>
      <c r="AZ305" s="28"/>
      <c r="BA305" s="13"/>
      <c r="BB305" s="15"/>
      <c r="BC305" s="180"/>
      <c r="BD305" s="28"/>
      <c r="BE305" s="14"/>
      <c r="BF305" s="41">
        <f t="shared" ref="BF305:BG305" si="1098">K305+O305+S305+W305+AA305+AE305+AI305+AM305+AQ305+AU305+AY305+BC305</f>
        <v>79.07</v>
      </c>
      <c r="BG305" s="34">
        <f t="shared" si="1098"/>
        <v>0</v>
      </c>
      <c r="BH305" s="35">
        <f t="shared" ref="BH305:BH312" si="1099">H305+BF305-BG305</f>
        <v>221.4</v>
      </c>
      <c r="BK305" s="2" t="b">
        <f>H305='2020'!BH305</f>
        <v>1</v>
      </c>
    </row>
    <row r="306" ht="14.25" customHeight="1" hidden="1" spans="1:63" x14ac:dyDescent="0.25">
      <c r="A306" s="2">
        <v>34</v>
      </c>
      <c r="B306" s="14">
        <v>4.01</v>
      </c>
      <c r="C306" s="15" t="s">
        <v>155</v>
      </c>
      <c r="D306" s="14" t="s">
        <v>44</v>
      </c>
      <c r="E306" s="2" t="s">
        <v>45</v>
      </c>
      <c r="F306" s="41">
        <v>2.5</v>
      </c>
      <c r="G306" s="35">
        <v>2.6</v>
      </c>
      <c r="H306" s="34">
        <f>'2020'!BH306</f>
        <v>909.3</v>
      </c>
      <c r="I306" s="13">
        <v>4151</v>
      </c>
      <c r="J306" s="15">
        <f>I306-'2020'!BA306</f>
        <v>0</v>
      </c>
      <c r="K306" s="34">
        <f>J306*$F$8</f>
        <v>0</v>
      </c>
      <c r="L306" s="28"/>
      <c r="M306" s="13">
        <v>4151</v>
      </c>
      <c r="N306" s="15">
        <f t="shared" ref="N306:N307" si="1100">M306-I306</f>
        <v>0</v>
      </c>
      <c r="O306" s="34">
        <f>N306*$F$8</f>
        <v>0</v>
      </c>
      <c r="Q306" s="13">
        <v>4383</v>
      </c>
      <c r="R306" s="15">
        <f t="shared" ref="R306:R307" si="1101">Q306-M306</f>
        <v>232</v>
      </c>
      <c r="S306" s="34">
        <f>R306*$F$8</f>
        <v>603.2</v>
      </c>
      <c r="T306" s="28"/>
      <c r="U306" s="13">
        <v>4383</v>
      </c>
      <c r="V306" s="15">
        <f t="shared" ref="V306:V307" si="1102">U306-Q306</f>
        <v>0</v>
      </c>
      <c r="W306" s="34">
        <f>V306*$F$8</f>
        <v>0</v>
      </c>
      <c r="Y306" s="186">
        <v>5047</v>
      </c>
      <c r="Z306" s="2">
        <f t="shared" ref="Z306:Z307" si="1103">Y306-U306</f>
        <v>664</v>
      </c>
      <c r="AA306" s="34">
        <f>Z306*$F$8</f>
        <v>1726.4</v>
      </c>
      <c r="AB306" s="28"/>
      <c r="AC306" s="13">
        <v>5050</v>
      </c>
      <c r="AD306" s="15">
        <f t="shared" ref="AD306:AD307" si="1104">AC306-Y306</f>
        <v>3</v>
      </c>
      <c r="AE306" s="180">
        <f>AD306*$F$8</f>
        <v>7.8</v>
      </c>
      <c r="AG306" s="13">
        <v>5058</v>
      </c>
      <c r="AH306" s="2">
        <f t="shared" ref="AH306:AH307" si="1105">AG306-AC306</f>
        <v>8</v>
      </c>
      <c r="AI306" s="45">
        <f>AH306*$G$8</f>
        <v>21.6</v>
      </c>
      <c r="AJ306" s="180"/>
      <c r="AK306" s="13">
        <v>5058</v>
      </c>
      <c r="AL306" s="15">
        <f t="shared" ref="AL306:AL307" si="1106">AK306-AG306</f>
        <v>0</v>
      </c>
      <c r="AM306" s="45">
        <f>AL306*$G$8</f>
        <v>0</v>
      </c>
      <c r="AN306" s="15"/>
      <c r="AO306" s="13">
        <v>5066</v>
      </c>
      <c r="AP306" s="15">
        <f t="shared" ref="AP306:AP307" si="1107">AO306-AK306</f>
        <v>8</v>
      </c>
      <c r="AQ306" s="45">
        <f>AP306*$G$8</f>
        <v>21.6</v>
      </c>
      <c r="AR306" s="15"/>
      <c r="AS306" s="13">
        <v>5066</v>
      </c>
      <c r="AT306" s="15">
        <f t="shared" ref="AT306:AT307" si="1108">AS306-AO306</f>
        <v>0</v>
      </c>
      <c r="AU306" s="45">
        <f>AT306*$G$8</f>
        <v>0</v>
      </c>
      <c r="AV306" s="15"/>
      <c r="AW306" s="13">
        <v>5082</v>
      </c>
      <c r="AX306" s="15">
        <f t="shared" ref="AX306:AX307" si="1109">AW306-AS306</f>
        <v>16</v>
      </c>
      <c r="AY306" s="45">
        <f>AX306*$G$8</f>
        <v>43.2</v>
      </c>
      <c r="AZ306" s="208"/>
      <c r="BA306" s="13">
        <v>5082</v>
      </c>
      <c r="BB306" s="15">
        <f t="shared" ref="BB306:BB307" si="1110">BA306-AW306</f>
        <v>0</v>
      </c>
      <c r="BC306" s="45">
        <f>BB306*$G$8</f>
        <v>0</v>
      </c>
      <c r="BD306" s="208"/>
      <c r="BE306" s="40">
        <f t="shared" ref="BE306:BG306" si="1111">J306+N306+R306+V306+Z306+AD306+AH306+AL306+AP306+AT306+AX306+BB306</f>
        <v>931</v>
      </c>
      <c r="BF306" s="41">
        <f t="shared" si="1111"/>
        <v>2423.8</v>
      </c>
      <c r="BG306" s="34">
        <f t="shared" si="1111"/>
        <v>0</v>
      </c>
      <c r="BH306" s="35">
        <f t="shared" si="1099"/>
        <v>3333.1</v>
      </c>
      <c r="BK306" s="2" t="b">
        <f>H306='2020'!BH306</f>
        <v>1</v>
      </c>
    </row>
    <row r="307" ht="14.25" customHeight="1" hidden="1" spans="1:63" x14ac:dyDescent="0.25">
      <c r="A307" s="2">
        <v>34</v>
      </c>
      <c r="B307" s="14"/>
      <c r="C307" s="2" t="s">
        <v>114</v>
      </c>
      <c r="D307" s="14" t="s">
        <v>47</v>
      </c>
      <c r="E307" s="2" t="s">
        <v>48</v>
      </c>
      <c r="F307" s="13">
        <v>18.56</v>
      </c>
      <c r="G307" s="35">
        <v>19.46</v>
      </c>
      <c r="H307" s="34">
        <f>'2020'!BH307</f>
        <v>-169.42</v>
      </c>
      <c r="I307" s="13">
        <v>67</v>
      </c>
      <c r="J307" s="15"/>
      <c r="K307" s="15"/>
      <c r="L307" s="28"/>
      <c r="M307" s="13">
        <v>67</v>
      </c>
      <c r="N307" s="15">
        <f t="shared" si="1100"/>
        <v>0</v>
      </c>
      <c r="Q307" s="13">
        <v>67</v>
      </c>
      <c r="R307" s="15">
        <f t="shared" si="1101"/>
        <v>0</v>
      </c>
      <c r="S307" s="15"/>
      <c r="T307" s="28"/>
      <c r="U307" s="13">
        <v>67</v>
      </c>
      <c r="V307" s="15">
        <f t="shared" si="1102"/>
        <v>0</v>
      </c>
      <c r="W307" s="34">
        <f>V307*$F$10</f>
        <v>0</v>
      </c>
      <c r="X307" s="34"/>
      <c r="Y307" s="186">
        <v>67</v>
      </c>
      <c r="Z307" s="2">
        <f t="shared" si="1103"/>
        <v>0</v>
      </c>
      <c r="AA307" s="34">
        <f>Z307*$F$10</f>
        <v>0</v>
      </c>
      <c r="AB307" s="28"/>
      <c r="AC307" s="15">
        <v>67</v>
      </c>
      <c r="AD307" s="15">
        <f t="shared" si="1104"/>
        <v>0</v>
      </c>
      <c r="AE307" s="34">
        <f>AD307*$F$10</f>
        <v>0</v>
      </c>
      <c r="AG307" s="15">
        <v>67</v>
      </c>
      <c r="AH307" s="2">
        <f t="shared" si="1105"/>
        <v>0</v>
      </c>
      <c r="AI307" s="45">
        <f>AH307*$G$10</f>
        <v>0</v>
      </c>
      <c r="AJ307" s="180"/>
      <c r="AK307" s="13">
        <v>67</v>
      </c>
      <c r="AL307" s="15">
        <f t="shared" si="1106"/>
        <v>0</v>
      </c>
      <c r="AM307" s="45">
        <f>AL307*$G$10</f>
        <v>0</v>
      </c>
      <c r="AN307" s="15"/>
      <c r="AO307" s="13">
        <v>67</v>
      </c>
      <c r="AP307" s="15">
        <f t="shared" si="1107"/>
        <v>0</v>
      </c>
      <c r="AQ307" s="45">
        <f>AP307*$G$10</f>
        <v>0</v>
      </c>
      <c r="AR307" s="15"/>
      <c r="AS307" s="13">
        <v>67</v>
      </c>
      <c r="AT307" s="15">
        <f t="shared" si="1108"/>
        <v>0</v>
      </c>
      <c r="AU307" s="45">
        <f>AT307*$G$10</f>
        <v>0</v>
      </c>
      <c r="AV307" s="15"/>
      <c r="AW307" s="13">
        <v>67</v>
      </c>
      <c r="AX307" s="15">
        <f t="shared" si="1109"/>
        <v>0</v>
      </c>
      <c r="AY307" s="45"/>
      <c r="AZ307" s="208"/>
      <c r="BA307" s="13">
        <v>67</v>
      </c>
      <c r="BB307" s="15">
        <f t="shared" si="1110"/>
        <v>0</v>
      </c>
      <c r="BC307" s="45"/>
      <c r="BD307" s="208"/>
      <c r="BE307" s="40">
        <f t="shared" ref="BE307:BG307" si="1112">J307+N307+R307+V307+Z307+AD307+AH307+AL307+AP307+AT307+AX307+BB307</f>
        <v>0</v>
      </c>
      <c r="BF307" s="41">
        <f t="shared" si="1112"/>
        <v>0</v>
      </c>
      <c r="BG307" s="34">
        <f t="shared" si="1112"/>
        <v>0</v>
      </c>
      <c r="BH307" s="35">
        <f t="shared" si="1099"/>
        <v>-169.42</v>
      </c>
      <c r="BK307" s="2" t="b">
        <f>H307='2020'!BH307</f>
        <v>1</v>
      </c>
    </row>
    <row r="308" ht="14.25" customHeight="1" hidden="1" spans="1:63" x14ac:dyDescent="0.25">
      <c r="A308" s="2">
        <v>34</v>
      </c>
      <c r="B308" s="14"/>
      <c r="C308" s="2" t="s">
        <v>115</v>
      </c>
      <c r="D308" s="14" t="s">
        <v>47</v>
      </c>
      <c r="E308" s="2" t="s">
        <v>49</v>
      </c>
      <c r="F308" s="41">
        <v>500</v>
      </c>
      <c r="G308" s="28"/>
      <c r="H308" s="34">
        <f>'2020'!BH308</f>
        <v>0</v>
      </c>
      <c r="I308" s="13"/>
      <c r="J308" s="15"/>
      <c r="K308" s="15"/>
      <c r="L308" s="28"/>
      <c r="M308" s="13"/>
      <c r="N308" s="15"/>
      <c r="Q308" s="13"/>
      <c r="R308" s="15"/>
      <c r="S308" s="15"/>
      <c r="T308" s="28"/>
      <c r="U308" s="13"/>
      <c r="V308" s="15"/>
      <c r="X308" s="1"/>
      <c r="Y308" s="186"/>
      <c r="Z308" s="2"/>
      <c r="AA308" s="34"/>
      <c r="AB308" s="28"/>
      <c r="AC308" s="15"/>
      <c r="AD308" s="15"/>
      <c r="AG308" s="15"/>
      <c r="AH308" s="2"/>
      <c r="AI308" s="45"/>
      <c r="AJ308" s="15"/>
      <c r="AK308" s="13"/>
      <c r="AL308" s="15"/>
      <c r="AM308" s="45"/>
      <c r="AN308" s="15"/>
      <c r="AO308" s="13"/>
      <c r="AP308" s="15"/>
      <c r="AQ308" s="45"/>
      <c r="AR308" s="15"/>
      <c r="AS308" s="13"/>
      <c r="AT308" s="15"/>
      <c r="AU308" s="45"/>
      <c r="AV308" s="15"/>
      <c r="AW308" s="13"/>
      <c r="AX308" s="15"/>
      <c r="AY308" s="45"/>
      <c r="AZ308" s="28"/>
      <c r="BA308" s="13"/>
      <c r="BB308" s="15"/>
      <c r="BC308" s="45"/>
      <c r="BD308" s="28"/>
      <c r="BE308" s="14"/>
      <c r="BF308" s="41">
        <f t="shared" ref="BF308:BG308" si="1113">K308+O308+S308+W308+AA308+AE308+AI308+AM308+AQ308+AU308+AY308+BC308</f>
        <v>0</v>
      </c>
      <c r="BG308" s="34">
        <f t="shared" si="1113"/>
        <v>0</v>
      </c>
      <c r="BH308" s="35">
        <f t="shared" si="1099"/>
        <v>0</v>
      </c>
      <c r="BK308" s="2" t="b">
        <f>H308='2020'!BH308</f>
        <v>1</v>
      </c>
    </row>
    <row r="309" ht="14.25" customHeight="1" hidden="1" spans="1:63" x14ac:dyDescent="0.25">
      <c r="A309" s="2">
        <v>34</v>
      </c>
      <c r="B309" s="14"/>
      <c r="C309" s="2" t="s">
        <v>156</v>
      </c>
      <c r="D309" s="14" t="s">
        <v>50</v>
      </c>
      <c r="E309" s="2" t="s">
        <v>49</v>
      </c>
      <c r="F309" s="41">
        <v>1100</v>
      </c>
      <c r="G309" s="28"/>
      <c r="H309" s="34">
        <f>'2020'!BH309</f>
        <v>2411</v>
      </c>
      <c r="I309" s="13"/>
      <c r="J309" s="15"/>
      <c r="K309" s="15"/>
      <c r="L309" s="28"/>
      <c r="M309" s="13"/>
      <c r="N309" s="15"/>
      <c r="Q309" s="13"/>
      <c r="R309" s="15"/>
      <c r="S309" s="15"/>
      <c r="T309" s="28"/>
      <c r="U309" s="13"/>
      <c r="V309" s="15"/>
      <c r="X309" s="34"/>
      <c r="Y309" s="186"/>
      <c r="Z309" s="2"/>
      <c r="AA309" s="15"/>
      <c r="AB309" s="28"/>
      <c r="AC309" s="15"/>
      <c r="AD309" s="15"/>
      <c r="AE309" s="34">
        <f>B306*$F$12</f>
        <v>4411</v>
      </c>
      <c r="AG309" s="15"/>
      <c r="AH309" s="2"/>
      <c r="AI309" s="45"/>
      <c r="AJ309" s="15"/>
      <c r="AK309" s="13"/>
      <c r="AL309" s="15"/>
      <c r="AM309" s="45"/>
      <c r="AN309" s="34"/>
      <c r="AO309" s="13"/>
      <c r="AP309" s="15"/>
      <c r="AQ309" s="45"/>
      <c r="AR309" s="15"/>
      <c r="AS309" s="13"/>
      <c r="AT309" s="15"/>
      <c r="AU309" s="45"/>
      <c r="AV309" s="15"/>
      <c r="AW309" s="13"/>
      <c r="AX309" s="15"/>
      <c r="AY309" s="45"/>
      <c r="AZ309" s="28"/>
      <c r="BA309" s="13"/>
      <c r="BB309" s="15"/>
      <c r="BC309" s="45"/>
      <c r="BD309" s="28"/>
      <c r="BE309" s="14"/>
      <c r="BF309" s="41">
        <f t="shared" ref="BF309:BG309" si="1114">K309+O309+S309+W309+AA309+AE309+AI309+AM309+AQ309+AU309+AY309+BC309</f>
        <v>4411</v>
      </c>
      <c r="BG309" s="34">
        <f t="shared" si="1114"/>
        <v>0</v>
      </c>
      <c r="BH309" s="35">
        <f t="shared" si="1099"/>
        <v>6822</v>
      </c>
      <c r="BK309" s="2" t="b">
        <f>H309='2020'!BH309</f>
        <v>1</v>
      </c>
    </row>
    <row r="310" ht="14.25" customHeight="1" hidden="1" spans="1:63" x14ac:dyDescent="0.25">
      <c r="A310" s="2">
        <v>34</v>
      </c>
      <c r="B310" s="14"/>
      <c r="D310" s="14" t="s">
        <v>51</v>
      </c>
      <c r="E310" s="2" t="s">
        <v>39</v>
      </c>
      <c r="F310" s="41">
        <v>500</v>
      </c>
      <c r="G310" s="28"/>
      <c r="H310" s="34">
        <f>'2020'!BH310</f>
        <v>500</v>
      </c>
      <c r="I310" s="13"/>
      <c r="J310" s="15"/>
      <c r="K310" s="15"/>
      <c r="L310" s="28"/>
      <c r="M310" s="13"/>
      <c r="N310" s="15"/>
      <c r="Q310" s="13"/>
      <c r="R310" s="15"/>
      <c r="S310" s="15"/>
      <c r="T310" s="28"/>
      <c r="U310" s="13"/>
      <c r="V310" s="15"/>
      <c r="X310" s="34"/>
      <c r="Y310" s="186"/>
      <c r="Z310" s="2"/>
      <c r="AA310" s="15"/>
      <c r="AB310" s="28"/>
      <c r="AC310" s="15"/>
      <c r="AD310" s="15"/>
      <c r="AE310" s="180">
        <f>$F$13</f>
      </c>
      <c r="AG310" s="15"/>
      <c r="AH310" s="2"/>
      <c r="AI310" s="45"/>
      <c r="AJ310" s="15"/>
      <c r="AK310" s="13"/>
      <c r="AL310" s="15"/>
      <c r="AM310" s="45"/>
      <c r="AN310" s="15"/>
      <c r="AO310" s="13"/>
      <c r="AP310" s="15"/>
      <c r="AQ310" s="180"/>
      <c r="AR310" s="15"/>
      <c r="AS310" s="13"/>
      <c r="AT310" s="15"/>
      <c r="AU310" s="45"/>
      <c r="AV310" s="15"/>
      <c r="AW310" s="13"/>
      <c r="AX310" s="15"/>
      <c r="AY310" s="45"/>
      <c r="AZ310" s="28"/>
      <c r="BA310" s="13"/>
      <c r="BB310" s="15"/>
      <c r="BC310" s="45"/>
      <c r="BD310" s="28"/>
      <c r="BE310" s="14"/>
      <c r="BF310" s="41">
        <f t="shared" ref="BF310:BG310" si="1115">K310+O310+S310+W310+AA310+AE310+AI310+AM310+AQ310+AU310+AY310+BC310</f>
        <v>0</v>
      </c>
      <c r="BG310" s="34">
        <f t="shared" si="1115"/>
        <v>0</v>
      </c>
      <c r="BH310" s="35">
        <f t="shared" si="1099"/>
        <v>500</v>
      </c>
      <c r="BK310" s="2" t="b">
        <f>H310='2020'!BH310</f>
        <v>1</v>
      </c>
    </row>
    <row r="311" ht="14.25" customHeight="1" hidden="1" spans="1:63" x14ac:dyDescent="0.25">
      <c r="A311" s="2">
        <v>34</v>
      </c>
      <c r="B311" s="14"/>
      <c r="D311" s="14" t="s">
        <v>51</v>
      </c>
      <c r="E311" s="2" t="s">
        <v>49</v>
      </c>
      <c r="F311" s="41">
        <v>500</v>
      </c>
      <c r="G311" s="28"/>
      <c r="H311" s="34">
        <f>'2020'!BH311</f>
        <v>2005</v>
      </c>
      <c r="I311" s="13"/>
      <c r="J311" s="15"/>
      <c r="K311" s="15"/>
      <c r="L311" s="28"/>
      <c r="M311" s="13"/>
      <c r="N311" s="15"/>
      <c r="Q311" s="13"/>
      <c r="R311" s="15"/>
      <c r="S311" s="15"/>
      <c r="T311" s="28"/>
      <c r="U311" s="13"/>
      <c r="V311" s="15"/>
      <c r="X311" s="39"/>
      <c r="Y311" s="186"/>
      <c r="Z311" s="2"/>
      <c r="AA311" s="15"/>
      <c r="AB311" s="28"/>
      <c r="AC311" s="15"/>
      <c r="AD311" s="15"/>
      <c r="AE311" s="34"/>
      <c r="AG311" s="15"/>
      <c r="AH311" s="2"/>
      <c r="AI311" s="45"/>
      <c r="AJ311" s="15"/>
      <c r="AK311" s="13"/>
      <c r="AL311" s="15"/>
      <c r="AM311" s="45"/>
      <c r="AN311" s="15"/>
      <c r="AO311" s="13"/>
      <c r="AP311" s="15"/>
      <c r="AQ311" s="180">
        <f>B306*$F$14</f>
        <v>0</v>
      </c>
      <c r="AR311" s="15"/>
      <c r="AS311" s="13"/>
      <c r="AT311" s="15"/>
      <c r="AU311" s="45"/>
      <c r="AV311" s="15"/>
      <c r="AW311" s="13"/>
      <c r="AX311" s="15"/>
      <c r="AY311" s="45"/>
      <c r="AZ311" s="28"/>
      <c r="BA311" s="13"/>
      <c r="BB311" s="15"/>
      <c r="BC311" s="45"/>
      <c r="BD311" s="28"/>
      <c r="BE311" s="14"/>
      <c r="BF311" s="41">
        <f t="shared" ref="BF311:BG311" si="1116">K311+O311+S311+W311+AA311+AE311+AI311+AM311+AQ311+AU311+AY311+BC311</f>
        <v>0</v>
      </c>
      <c r="BG311" s="34">
        <f t="shared" si="1116"/>
        <v>0</v>
      </c>
      <c r="BH311" s="35">
        <f t="shared" si="1099"/>
        <v>2005</v>
      </c>
      <c r="BK311" s="2" t="b">
        <f>H311='2020'!BH311</f>
        <v>1</v>
      </c>
    </row>
    <row r="312" ht="14.25" customHeight="1" hidden="1" spans="1:63" x14ac:dyDescent="0.25">
      <c r="A312" s="2">
        <v>34</v>
      </c>
      <c r="B312" s="14"/>
      <c r="D312" s="14" t="s">
        <v>52</v>
      </c>
      <c r="E312" s="2" t="s">
        <v>39</v>
      </c>
      <c r="F312" s="41">
        <v>500</v>
      </c>
      <c r="G312" s="28"/>
      <c r="H312" s="34">
        <f>'2020'!BH312</f>
        <v>0</v>
      </c>
      <c r="I312" s="13"/>
      <c r="J312" s="15"/>
      <c r="K312" s="15"/>
      <c r="L312" s="28"/>
      <c r="M312" s="13"/>
      <c r="N312" s="15"/>
      <c r="Q312" s="13"/>
      <c r="R312" s="15"/>
      <c r="S312" s="15"/>
      <c r="T312" s="28"/>
      <c r="U312" s="13"/>
      <c r="V312" s="15"/>
      <c r="Y312" s="186"/>
      <c r="Z312" s="2"/>
      <c r="AA312" s="34">
        <f>$F$15</f>
      </c>
      <c r="AB312" s="28"/>
      <c r="AC312" s="15"/>
      <c r="AD312" s="15"/>
      <c r="AG312" s="15"/>
      <c r="AH312" s="2"/>
      <c r="AI312" s="45"/>
      <c r="AJ312" s="15"/>
      <c r="AK312" s="13"/>
      <c r="AL312" s="15"/>
      <c r="AM312" s="45"/>
      <c r="AN312" s="34"/>
      <c r="AO312" s="13"/>
      <c r="AP312" s="15"/>
      <c r="AQ312" s="45"/>
      <c r="AR312" s="15"/>
      <c r="AS312" s="13"/>
      <c r="AT312" s="15"/>
      <c r="AU312" s="45"/>
      <c r="AV312" s="15"/>
      <c r="AW312" s="13"/>
      <c r="AX312" s="15"/>
      <c r="AY312" s="45"/>
      <c r="AZ312" s="35"/>
      <c r="BA312" s="13"/>
      <c r="BB312" s="15"/>
      <c r="BC312" s="45"/>
      <c r="BD312" s="35"/>
      <c r="BE312" s="14"/>
      <c r="BF312" s="41">
        <f t="shared" ref="BF312:BG312" si="1117">K312+O312+S312+W312+AA312+AE312+AI312+AM312+AQ312+AU312+AY312+BC312</f>
        <v>0</v>
      </c>
      <c r="BG312" s="34">
        <f t="shared" si="1117"/>
        <v>0</v>
      </c>
      <c r="BH312" s="35">
        <f t="shared" si="1099"/>
        <v>0</v>
      </c>
      <c r="BK312" s="2" t="b">
        <f>H312='2020'!BH312</f>
        <v>1</v>
      </c>
    </row>
    <row r="313" ht="14.25" customHeight="1" hidden="1" spans="1:63" x14ac:dyDescent="0.25">
      <c r="A313" s="247">
        <v>34</v>
      </c>
      <c r="B313" s="21"/>
      <c r="C313" s="22" t="s">
        <v>53</v>
      </c>
      <c r="D313" s="21"/>
      <c r="E313" s="22"/>
      <c r="F313" s="20"/>
      <c r="G313" s="23"/>
      <c r="H313" s="51">
        <f>SUM(H305:H312)</f>
        <v>5798.21</v>
      </c>
      <c r="I313" s="52"/>
      <c r="J313" s="53"/>
      <c r="K313" s="51">
        <f t="shared" ref="K313:L313" si="1118">SUM(K305:K312)</f>
        <v>7.47</v>
      </c>
      <c r="L313" s="68">
        <f t="shared" si="1118"/>
        <v>0</v>
      </c>
      <c r="M313" s="52"/>
      <c r="N313" s="53"/>
      <c r="O313" s="51">
        <f t="shared" ref="O313:P313" si="1119">SUM(O305:O312)</f>
        <v>6.75</v>
      </c>
      <c r="P313" s="51">
        <f t="shared" si="1119"/>
        <v>0</v>
      </c>
      <c r="Q313" s="52"/>
      <c r="R313" s="53"/>
      <c r="S313" s="51">
        <f t="shared" ref="S313:T313" si="1120">SUM(S305:S312)</f>
        <v>610.67</v>
      </c>
      <c r="T313" s="51">
        <f t="shared" si="1120"/>
        <v>0</v>
      </c>
      <c r="U313" s="52"/>
      <c r="V313" s="53"/>
      <c r="W313" s="51">
        <f t="shared" ref="W313:X313" si="1121">SUM(W305:W312)</f>
        <v>7.23</v>
      </c>
      <c r="X313" s="51">
        <f t="shared" si="1121"/>
        <v>0</v>
      </c>
      <c r="Y313" s="300"/>
      <c r="Z313" s="301"/>
      <c r="AA313" s="51">
        <f t="shared" ref="AA313:AB313" si="1122">SUM(AA305:AA312)</f>
        <v>1733.87</v>
      </c>
      <c r="AB313" s="51">
        <f t="shared" si="1122"/>
        <v>0</v>
      </c>
      <c r="AC313" s="52"/>
      <c r="AD313" s="53"/>
      <c r="AE313" s="51">
        <f t="shared" ref="AE313:AF313" si="1123">SUM(AE305:AE312)</f>
        <v>4426.03</v>
      </c>
      <c r="AF313" s="51">
        <f t="shared" si="1123"/>
        <v>0</v>
      </c>
      <c r="AG313" s="52"/>
      <c r="AH313" s="301"/>
      <c r="AI313" s="183">
        <f t="shared" ref="AI313:AJ313" si="1124">SUM(AI305:AI312)</f>
        <v>21.6</v>
      </c>
      <c r="AJ313" s="51">
        <f t="shared" si="1124"/>
        <v>0</v>
      </c>
      <c r="AK313" s="52"/>
      <c r="AL313" s="53"/>
      <c r="AM313" s="183">
        <f t="shared" ref="AM313:AN313" si="1125">SUM(AM305:AM312)</f>
        <v>7.47</v>
      </c>
      <c r="AN313" s="51">
        <f t="shared" si="1125"/>
        <v>0</v>
      </c>
      <c r="AO313" s="52"/>
      <c r="AP313" s="53"/>
      <c r="AQ313" s="183">
        <f t="shared" ref="AQ313:AR313" si="1126">SUM(AQ305:AQ312)</f>
        <v>49.58</v>
      </c>
      <c r="AR313" s="51">
        <f t="shared" si="1126"/>
        <v>0</v>
      </c>
      <c r="AS313" s="52"/>
      <c r="AT313" s="53"/>
      <c r="AU313" s="183">
        <f t="shared" ref="AU313:AV313" si="1127">SUM(AU305:AU312)</f>
        <v>0</v>
      </c>
      <c r="AV313" s="68">
        <f t="shared" si="1127"/>
        <v>0</v>
      </c>
      <c r="AW313" s="52"/>
      <c r="AX313" s="53"/>
      <c r="AY313" s="183">
        <f t="shared" ref="AY313:AZ313" si="1128">SUM(AY305:AY312)</f>
        <v>43.2</v>
      </c>
      <c r="AZ313" s="68">
        <f t="shared" si="1128"/>
        <v>0</v>
      </c>
      <c r="BA313" s="52"/>
      <c r="BB313" s="53"/>
      <c r="BC313" s="183">
        <f t="shared" ref="BC313:BD313" si="1129">SUM(BC305:BC312)</f>
        <v>0</v>
      </c>
      <c r="BD313" s="68">
        <f t="shared" si="1129"/>
        <v>0</v>
      </c>
      <c r="BE313" s="69"/>
      <c r="BF313" s="70">
        <f t="shared" ref="BF313:BH313" si="1130">SUM(BF305:BF312)</f>
        <v>6913.87</v>
      </c>
      <c r="BG313" s="71">
        <f t="shared" si="1130"/>
        <v>0</v>
      </c>
      <c r="BH313" s="72">
        <f t="shared" si="1130"/>
        <v>12712.08</v>
      </c>
      <c r="BI313" s="34">
        <f>H313+BF313-BG313</f>
        <v>12712.08</v>
      </c>
      <c r="BJ313" s="34">
        <f>BH313-BI313</f>
        <v>0</v>
      </c>
      <c r="BK313" s="2" t="b">
        <f>H313='2020'!BH313</f>
        <v>1</v>
      </c>
    </row>
    <row r="314" ht="14.25" customHeight="1" hidden="1" spans="1:63" x14ac:dyDescent="0.25">
      <c r="A314" s="2">
        <v>35</v>
      </c>
      <c r="B314" s="14"/>
      <c r="D314" s="14" t="s">
        <v>379</v>
      </c>
      <c r="F314" s="13"/>
      <c r="G314" s="28"/>
      <c r="H314" s="34">
        <f>'2020'!BH314</f>
        <v>0</v>
      </c>
      <c r="I314" s="13"/>
      <c r="J314" s="15"/>
      <c r="K314" s="15"/>
      <c r="L314" s="28"/>
      <c r="M314" s="13"/>
      <c r="N314" s="15"/>
      <c r="Q314" s="13"/>
      <c r="R314" s="15"/>
      <c r="S314" s="15"/>
      <c r="T314" s="28"/>
      <c r="U314" s="13"/>
      <c r="V314" s="15"/>
      <c r="Y314" s="186"/>
      <c r="Z314" s="2"/>
      <c r="AA314" s="15"/>
      <c r="AB314" s="28"/>
      <c r="AC314" s="15"/>
      <c r="AD314" s="15"/>
      <c r="AG314" s="15"/>
      <c r="AH314" s="2"/>
      <c r="AI314" s="45"/>
      <c r="AJ314" s="15"/>
      <c r="AK314" s="13"/>
      <c r="AM314" s="45"/>
      <c r="AO314" s="13"/>
      <c r="AQ314" s="45"/>
      <c r="AS314" s="13"/>
      <c r="AU314" s="45"/>
      <c r="AW314" s="13"/>
      <c r="AY314" s="45"/>
      <c r="AZ314" s="28"/>
      <c r="BA314" s="13"/>
      <c r="BB314" s="15"/>
      <c r="BC314" s="45"/>
      <c r="BD314" s="28"/>
      <c r="BE314" s="14"/>
      <c r="BF314" s="41">
        <f t="shared" ref="BF314:BG314" si="1131">K314+O314+S314+W314+AA314+AE314+AI314+AM314+AQ314+AU314+AY314+BC314</f>
        <v>0</v>
      </c>
      <c r="BG314" s="34">
        <f t="shared" si="1131"/>
        <v>0</v>
      </c>
      <c r="BH314" s="35">
        <f t="shared" ref="BH314:BH321" si="1132">H314+BF314-BG314</f>
        <v>0</v>
      </c>
      <c r="BK314" s="2" t="b">
        <f>H314='2020'!BH314</f>
        <v>1</v>
      </c>
    </row>
    <row r="315" ht="14.25" customHeight="1" hidden="1" spans="1:63" x14ac:dyDescent="0.25">
      <c r="A315" s="2">
        <v>35</v>
      </c>
      <c r="B315" s="14">
        <v>4.01</v>
      </c>
      <c r="C315" s="2" t="s">
        <v>157</v>
      </c>
      <c r="D315" s="14" t="s">
        <v>44</v>
      </c>
      <c r="E315" s="2" t="s">
        <v>45</v>
      </c>
      <c r="F315" s="41">
        <v>2.5</v>
      </c>
      <c r="G315" s="35">
        <v>2.6</v>
      </c>
      <c r="H315" s="34">
        <f>'2020'!BH315</f>
        <v>0</v>
      </c>
      <c r="I315" s="13">
        <v>33</v>
      </c>
      <c r="J315" s="15">
        <f>I315-'2020'!BA315</f>
        <v>0</v>
      </c>
      <c r="K315" s="34">
        <f>J315*$F$8</f>
        <v>0</v>
      </c>
      <c r="L315" s="28"/>
      <c r="M315" s="13">
        <v>33</v>
      </c>
      <c r="N315" s="15">
        <f t="shared" ref="N315:N316" si="1133">M315-I315</f>
        <v>0</v>
      </c>
      <c r="O315" s="34">
        <f>N315*$F$8</f>
        <v>0</v>
      </c>
      <c r="Q315" s="13">
        <v>33</v>
      </c>
      <c r="R315" s="15">
        <f t="shared" ref="R315:R316" si="1134">Q315-M315</f>
        <v>0</v>
      </c>
      <c r="S315" s="34">
        <f>R315*$F$8</f>
        <v>0</v>
      </c>
      <c r="T315" s="28"/>
      <c r="U315" s="13">
        <v>33</v>
      </c>
      <c r="V315" s="15">
        <f t="shared" ref="V315:V316" si="1135">U315-Q315</f>
        <v>0</v>
      </c>
      <c r="W315" s="34">
        <f>V315*$F$8</f>
        <v>0</v>
      </c>
      <c r="Y315" s="186">
        <v>33</v>
      </c>
      <c r="Z315" s="2">
        <f t="shared" ref="Z315:Z316" si="1136">Y315-U315</f>
        <v>0</v>
      </c>
      <c r="AA315" s="34">
        <f>Z315*$F$8</f>
        <v>0</v>
      </c>
      <c r="AB315" s="28"/>
      <c r="AC315" s="13">
        <v>33</v>
      </c>
      <c r="AD315" s="15">
        <f t="shared" ref="AD315:AD316" si="1137">AC315-Y315</f>
        <v>0</v>
      </c>
      <c r="AE315" s="180">
        <f>AD315*$F$8</f>
        <v>0</v>
      </c>
      <c r="AG315" s="13">
        <v>33</v>
      </c>
      <c r="AH315" s="2">
        <f t="shared" ref="AH315:AH316" si="1138">AG315-AC315</f>
        <v>0</v>
      </c>
      <c r="AI315" s="45">
        <f>AH315*$G$8</f>
        <v>0</v>
      </c>
      <c r="AJ315" s="15"/>
      <c r="AK315" s="13">
        <v>33</v>
      </c>
      <c r="AL315" s="15">
        <f t="shared" ref="AL315:AL316" si="1139">AK315-AG315</f>
        <v>0</v>
      </c>
      <c r="AM315" s="45">
        <f>AL315*$G$8</f>
        <v>0</v>
      </c>
      <c r="AN315" s="15"/>
      <c r="AO315" s="13">
        <v>33</v>
      </c>
      <c r="AP315" s="15">
        <f t="shared" ref="AP315:AP316" si="1140">AO315-AK315</f>
        <v>0</v>
      </c>
      <c r="AQ315" s="45">
        <f>AP315*$G$8</f>
        <v>0</v>
      </c>
      <c r="AR315" s="15"/>
      <c r="AS315" s="13">
        <v>33</v>
      </c>
      <c r="AT315" s="15">
        <f t="shared" ref="AT315:AT316" si="1141">AS315-AO315</f>
        <v>0</v>
      </c>
      <c r="AU315" s="45">
        <f>AT315*$G$8</f>
        <v>0</v>
      </c>
      <c r="AV315" s="15"/>
      <c r="AW315" s="13">
        <v>33</v>
      </c>
      <c r="AX315" s="15">
        <f t="shared" ref="AX315:AX316" si="1142">AW315-AS315</f>
        <v>0</v>
      </c>
      <c r="AY315" s="45">
        <f>AX315*$G$8</f>
        <v>0</v>
      </c>
      <c r="AZ315" s="208"/>
      <c r="BA315" s="13">
        <v>33</v>
      </c>
      <c r="BB315" s="15">
        <f t="shared" ref="BB315:BB316" si="1143">BA315-AW315</f>
        <v>0</v>
      </c>
      <c r="BC315" s="45">
        <f>BB315*$G$8</f>
        <v>0</v>
      </c>
      <c r="BD315" s="208"/>
      <c r="BE315" s="40">
        <f t="shared" ref="BE315:BG315" si="1144">J315+N315+R315+V315+Z315+AD315+AH315+AL315+AP315+AT315+AX315+BB315</f>
        <v>0</v>
      </c>
      <c r="BF315" s="41">
        <f t="shared" si="1144"/>
        <v>0</v>
      </c>
      <c r="BG315" s="34">
        <f t="shared" si="1144"/>
        <v>0</v>
      </c>
      <c r="BH315" s="35">
        <f t="shared" si="1132"/>
        <v>0</v>
      </c>
      <c r="BK315" s="2" t="b">
        <f>H315='2020'!BH315</f>
        <v>1</v>
      </c>
    </row>
    <row r="316" ht="14.25" customHeight="1" hidden="1" spans="1:63" x14ac:dyDescent="0.25">
      <c r="A316" s="2">
        <v>35</v>
      </c>
      <c r="B316" s="14"/>
      <c r="C316" s="2" t="s">
        <v>75</v>
      </c>
      <c r="D316" s="14" t="s">
        <v>47</v>
      </c>
      <c r="E316" s="2" t="s">
        <v>48</v>
      </c>
      <c r="F316" s="13">
        <v>18.56</v>
      </c>
      <c r="G316" s="35">
        <v>19.46</v>
      </c>
      <c r="H316" s="34">
        <f>'2020'!BH316</f>
        <v>-0.12</v>
      </c>
      <c r="I316" s="13">
        <v>155</v>
      </c>
      <c r="J316" s="15"/>
      <c r="K316" s="15"/>
      <c r="L316" s="28"/>
      <c r="M316" s="13">
        <v>155</v>
      </c>
      <c r="N316" s="15">
        <f t="shared" si="1133"/>
        <v>0</v>
      </c>
      <c r="Q316" s="13">
        <v>155</v>
      </c>
      <c r="R316" s="15">
        <f t="shared" si="1134"/>
        <v>0</v>
      </c>
      <c r="S316" s="15"/>
      <c r="T316" s="28"/>
      <c r="U316" s="13">
        <v>155</v>
      </c>
      <c r="V316" s="15">
        <f t="shared" si="1135"/>
        <v>0</v>
      </c>
      <c r="W316" s="180">
        <f>V316*$F$10</f>
        <v>0</v>
      </c>
      <c r="Y316" s="186">
        <v>166</v>
      </c>
      <c r="Z316" s="2">
        <f t="shared" si="1136"/>
        <v>11</v>
      </c>
      <c r="AA316" s="34">
        <f>Z316*$F$10</f>
        <v>214.06</v>
      </c>
      <c r="AB316" s="28"/>
      <c r="AC316" s="15">
        <v>166</v>
      </c>
      <c r="AD316" s="15">
        <f t="shared" si="1137"/>
        <v>0</v>
      </c>
      <c r="AE316" s="34">
        <f>AD316*$F$10</f>
        <v>0</v>
      </c>
      <c r="AF316" s="180"/>
      <c r="AG316" s="15">
        <v>174</v>
      </c>
      <c r="AH316" s="2">
        <f t="shared" si="1138"/>
        <v>8</v>
      </c>
      <c r="AI316" s="45">
        <f>AH316*$G$10</f>
        <v>162.8</v>
      </c>
      <c r="AJ316" s="326">
        <v>377</v>
      </c>
      <c r="AK316" s="13">
        <v>177</v>
      </c>
      <c r="AL316" s="15">
        <f t="shared" si="1139"/>
        <v>3</v>
      </c>
      <c r="AM316" s="45">
        <f>AL316*$G$10</f>
        <v>61.05</v>
      </c>
      <c r="AN316" s="305">
        <v>100</v>
      </c>
      <c r="AO316" s="13">
        <v>177</v>
      </c>
      <c r="AP316" s="15">
        <f t="shared" si="1140"/>
        <v>0</v>
      </c>
      <c r="AQ316" s="45">
        <f>AP316*$G$10</f>
        <v>0</v>
      </c>
      <c r="AR316" s="15"/>
      <c r="AS316" s="13">
        <v>177</v>
      </c>
      <c r="AT316" s="15">
        <f t="shared" si="1141"/>
        <v>0</v>
      </c>
      <c r="AU316" s="45">
        <f>AT316*$G$10</f>
        <v>0</v>
      </c>
      <c r="AV316" s="15"/>
      <c r="AW316" s="13">
        <v>177</v>
      </c>
      <c r="AX316" s="15">
        <f t="shared" si="1142"/>
        <v>0</v>
      </c>
      <c r="AY316" s="45"/>
      <c r="AZ316" s="208"/>
      <c r="BA316" s="13">
        <v>177</v>
      </c>
      <c r="BB316" s="15">
        <f t="shared" si="1143"/>
        <v>0</v>
      </c>
      <c r="BC316" s="45"/>
      <c r="BD316" s="208"/>
      <c r="BE316" s="40">
        <f t="shared" ref="BE316:BG316" si="1145">J316+N316+R316+V316+Z316+AD316+AH316+AL316+AP316+AT316+AX316+BB316</f>
        <v>22</v>
      </c>
      <c r="BF316" s="41">
        <f t="shared" si="1145"/>
        <v>437.91</v>
      </c>
      <c r="BG316" s="34">
        <f t="shared" si="1145"/>
        <v>477</v>
      </c>
      <c r="BH316" s="35">
        <f t="shared" si="1132"/>
        <v>-39.21</v>
      </c>
      <c r="BK316" s="2" t="b">
        <f>H316='2020'!BH316</f>
        <v>1</v>
      </c>
    </row>
    <row r="317" ht="14.25" customHeight="1" hidden="1" spans="1:63" x14ac:dyDescent="0.25">
      <c r="A317" s="2">
        <v>35</v>
      </c>
      <c r="B317" s="14"/>
      <c r="C317" s="2" t="s">
        <v>158</v>
      </c>
      <c r="D317" s="14" t="s">
        <v>47</v>
      </c>
      <c r="E317" s="2" t="s">
        <v>49</v>
      </c>
      <c r="F317" s="41">
        <v>500</v>
      </c>
      <c r="G317" s="28"/>
      <c r="H317" s="34">
        <f>'2020'!BH317</f>
        <v>0</v>
      </c>
      <c r="I317" s="13"/>
      <c r="J317" s="15"/>
      <c r="K317" s="15"/>
      <c r="L317" s="28"/>
      <c r="M317" s="13"/>
      <c r="N317" s="15"/>
      <c r="Q317" s="13"/>
      <c r="R317" s="15"/>
      <c r="S317" s="15"/>
      <c r="T317" s="28"/>
      <c r="U317" s="13"/>
      <c r="V317" s="15"/>
      <c r="Y317" s="186"/>
      <c r="Z317" s="2"/>
      <c r="AA317" s="15"/>
      <c r="AB317" s="28"/>
      <c r="AC317" s="15"/>
      <c r="AD317" s="15"/>
      <c r="AG317" s="15"/>
      <c r="AH317" s="2"/>
      <c r="AI317" s="45"/>
      <c r="AJ317" s="154"/>
      <c r="AK317" s="13"/>
      <c r="AL317" s="15"/>
      <c r="AM317" s="45"/>
      <c r="AN317" s="15"/>
      <c r="AO317" s="13"/>
      <c r="AP317" s="15"/>
      <c r="AQ317" s="45"/>
      <c r="AR317" s="15"/>
      <c r="AS317" s="13"/>
      <c r="AT317" s="15"/>
      <c r="AU317" s="45"/>
      <c r="AV317" s="15"/>
      <c r="AW317" s="13"/>
      <c r="AX317" s="15"/>
      <c r="AY317" s="45"/>
      <c r="AZ317" s="28"/>
      <c r="BA317" s="13"/>
      <c r="BB317" s="15"/>
      <c r="BC317" s="45"/>
      <c r="BD317" s="28"/>
      <c r="BE317" s="14"/>
      <c r="BF317" s="41">
        <f t="shared" ref="BF317:BG317" si="1146">K317+O317+S317+W317+AA317+AE317+AI317+AM317+AQ317+AU317+AY317+BC317</f>
        <v>0</v>
      </c>
      <c r="BG317" s="34">
        <f t="shared" si="1146"/>
        <v>0</v>
      </c>
      <c r="BH317" s="35">
        <f t="shared" si="1132"/>
        <v>0</v>
      </c>
      <c r="BK317" s="2" t="b">
        <f>H317='2020'!BH317</f>
        <v>1</v>
      </c>
    </row>
    <row r="318" ht="14.25" customHeight="1" hidden="1" spans="1:63" x14ac:dyDescent="0.25">
      <c r="A318" s="2">
        <v>35</v>
      </c>
      <c r="B318" s="14"/>
      <c r="C318" s="2" t="s">
        <v>159</v>
      </c>
      <c r="D318" s="14" t="s">
        <v>50</v>
      </c>
      <c r="E318" s="2" t="s">
        <v>49</v>
      </c>
      <c r="F318" s="41">
        <v>1100</v>
      </c>
      <c r="G318" s="28"/>
      <c r="H318" s="34">
        <f>'2020'!BH318</f>
        <v>0</v>
      </c>
      <c r="I318" s="13"/>
      <c r="J318" s="15"/>
      <c r="K318" s="15"/>
      <c r="L318" s="28"/>
      <c r="M318" s="13"/>
      <c r="N318" s="15"/>
      <c r="Q318" s="13"/>
      <c r="R318" s="15"/>
      <c r="S318" s="15"/>
      <c r="T318" s="28"/>
      <c r="U318" s="13"/>
      <c r="V318" s="15"/>
      <c r="Y318" s="186"/>
      <c r="Z318" s="2"/>
      <c r="AA318" s="15"/>
      <c r="AB318" s="28"/>
      <c r="AC318" s="15"/>
      <c r="AD318" s="15"/>
      <c r="AE318" s="34">
        <f>B315*$F$12</f>
        <v>4411</v>
      </c>
      <c r="AF318" s="180"/>
      <c r="AG318" s="15"/>
      <c r="AH318" s="2"/>
      <c r="AI318" s="45"/>
      <c r="AJ318" s="306">
        <v>4411</v>
      </c>
      <c r="AK318" s="13"/>
      <c r="AL318" s="15"/>
      <c r="AM318" s="45"/>
      <c r="AN318" s="15"/>
      <c r="AO318" s="13"/>
      <c r="AP318" s="15"/>
      <c r="AQ318" s="45"/>
      <c r="AR318" s="15"/>
      <c r="AS318" s="13"/>
      <c r="AT318" s="15"/>
      <c r="AU318" s="45"/>
      <c r="AV318" s="15"/>
      <c r="AW318" s="13"/>
      <c r="AX318" s="15"/>
      <c r="AY318" s="45"/>
      <c r="AZ318" s="28"/>
      <c r="BA318" s="13"/>
      <c r="BB318" s="15"/>
      <c r="BC318" s="45"/>
      <c r="BD318" s="28"/>
      <c r="BE318" s="14"/>
      <c r="BF318" s="41">
        <f t="shared" ref="BF318:BG318" si="1147">K318+O318+S318+W318+AA318+AE318+AI318+AM318+AQ318+AU318+AY318+BC318</f>
        <v>4411</v>
      </c>
      <c r="BG318" s="34">
        <f t="shared" si="1147"/>
        <v>4411</v>
      </c>
      <c r="BH318" s="35">
        <f t="shared" si="1132"/>
        <v>0</v>
      </c>
      <c r="BK318" s="2" t="b">
        <f>H318='2020'!BH318</f>
        <v>1</v>
      </c>
    </row>
    <row r="319" ht="14.25" customHeight="1" hidden="1" spans="1:63" x14ac:dyDescent="0.25">
      <c r="A319" s="2">
        <v>35</v>
      </c>
      <c r="B319" s="14"/>
      <c r="D319" s="14" t="s">
        <v>51</v>
      </c>
      <c r="E319" s="2" t="s">
        <v>39</v>
      </c>
      <c r="F319" s="41">
        <v>500</v>
      </c>
      <c r="G319" s="28"/>
      <c r="H319" s="34">
        <f>'2020'!BH319</f>
        <v>500</v>
      </c>
      <c r="I319" s="13"/>
      <c r="J319" s="15"/>
      <c r="K319" s="15"/>
      <c r="L319" s="28"/>
      <c r="M319" s="13"/>
      <c r="N319" s="15"/>
      <c r="Q319" s="13"/>
      <c r="R319" s="15"/>
      <c r="S319" s="15"/>
      <c r="T319" s="28"/>
      <c r="U319" s="13"/>
      <c r="V319" s="15"/>
      <c r="Y319" s="186"/>
      <c r="Z319" s="2"/>
      <c r="AA319" s="15"/>
      <c r="AB319" s="28"/>
      <c r="AC319" s="15"/>
      <c r="AD319" s="15"/>
      <c r="AE319" s="180">
        <f>$F$13</f>
      </c>
      <c r="AF319" s="34"/>
      <c r="AG319" s="15"/>
      <c r="AH319" s="2"/>
      <c r="AI319" s="45"/>
      <c r="AJ319" s="306">
        <v>500</v>
      </c>
      <c r="AK319" s="13"/>
      <c r="AL319" s="15"/>
      <c r="AM319" s="45"/>
      <c r="AN319" s="15"/>
      <c r="AO319" s="13"/>
      <c r="AP319" s="15"/>
      <c r="AQ319" s="180"/>
      <c r="AR319" s="15"/>
      <c r="AS319" s="13"/>
      <c r="AT319" s="15"/>
      <c r="AU319" s="45"/>
      <c r="AV319" s="15"/>
      <c r="AW319" s="13"/>
      <c r="AX319" s="15"/>
      <c r="AY319" s="45"/>
      <c r="AZ319" s="28"/>
      <c r="BA319" s="13"/>
      <c r="BB319" s="15"/>
      <c r="BC319" s="45"/>
      <c r="BD319" s="28"/>
      <c r="BE319" s="14"/>
      <c r="BF319" s="41">
        <f t="shared" ref="BF319:BG319" si="1148">K319+O319+S319+W319+AA319+AE319+AI319+AM319+AQ319+AU319+AY319+BC319</f>
        <v>0</v>
      </c>
      <c r="BG319" s="34">
        <f t="shared" si="1148"/>
        <v>500</v>
      </c>
      <c r="BH319" s="35">
        <f t="shared" si="1132"/>
        <v>0</v>
      </c>
      <c r="BK319" s="2" t="b">
        <f>H319='2020'!BH319</f>
        <v>1</v>
      </c>
    </row>
    <row r="320" ht="14.25" customHeight="1" hidden="1" spans="1:63" x14ac:dyDescent="0.25">
      <c r="A320" s="2">
        <v>35</v>
      </c>
      <c r="B320" s="14"/>
      <c r="D320" s="14" t="s">
        <v>51</v>
      </c>
      <c r="E320" s="2" t="s">
        <v>49</v>
      </c>
      <c r="F320" s="41">
        <v>500</v>
      </c>
      <c r="G320" s="28"/>
      <c r="H320" s="34">
        <f>'2020'!BH320</f>
        <v>2005</v>
      </c>
      <c r="I320" s="13"/>
      <c r="J320" s="15"/>
      <c r="K320" s="15"/>
      <c r="L320" s="28"/>
      <c r="M320" s="13"/>
      <c r="N320" s="15"/>
      <c r="Q320" s="13"/>
      <c r="R320" s="15"/>
      <c r="S320" s="15"/>
      <c r="T320" s="28"/>
      <c r="U320" s="13"/>
      <c r="V320" s="15"/>
      <c r="Y320" s="186"/>
      <c r="Z320" s="2"/>
      <c r="AA320" s="15"/>
      <c r="AB320" s="28"/>
      <c r="AC320" s="15"/>
      <c r="AD320" s="15"/>
      <c r="AE320" s="34"/>
      <c r="AF320" s="34"/>
      <c r="AG320" s="15"/>
      <c r="AH320" s="2"/>
      <c r="AI320" s="45"/>
      <c r="AJ320" s="306">
        <v>2005</v>
      </c>
      <c r="AK320" s="13"/>
      <c r="AL320" s="15"/>
      <c r="AM320" s="45"/>
      <c r="AN320" s="15"/>
      <c r="AO320" s="13"/>
      <c r="AP320" s="15"/>
      <c r="AQ320" s="180">
        <f>B315*$F$14</f>
        <v>0</v>
      </c>
      <c r="AR320" s="15"/>
      <c r="AS320" s="13"/>
      <c r="AT320" s="15"/>
      <c r="AU320" s="45"/>
      <c r="AV320" s="15"/>
      <c r="AW320" s="13"/>
      <c r="AX320" s="15"/>
      <c r="AY320" s="45"/>
      <c r="AZ320" s="28"/>
      <c r="BA320" s="13"/>
      <c r="BB320" s="15"/>
      <c r="BC320" s="45"/>
      <c r="BD320" s="28"/>
      <c r="BE320" s="14"/>
      <c r="BF320" s="41">
        <f t="shared" ref="BF320:BG320" si="1149">K320+O320+S320+W320+AA320+AE320+AI320+AM320+AQ320+AU320+AY320+BC320</f>
        <v>0</v>
      </c>
      <c r="BG320" s="34">
        <f t="shared" si="1149"/>
        <v>2005</v>
      </c>
      <c r="BH320" s="35">
        <f t="shared" si="1132"/>
        <v>0</v>
      </c>
      <c r="BK320" s="2" t="b">
        <f>H320='2020'!BH320</f>
        <v>1</v>
      </c>
    </row>
    <row r="321" ht="14.25" customHeight="1" hidden="1" spans="1:63" x14ac:dyDescent="0.25">
      <c r="A321" s="2">
        <v>35</v>
      </c>
      <c r="B321" s="14"/>
      <c r="D321" s="14" t="s">
        <v>52</v>
      </c>
      <c r="E321" s="2" t="s">
        <v>39</v>
      </c>
      <c r="F321" s="41">
        <v>500</v>
      </c>
      <c r="G321" s="28"/>
      <c r="H321" s="34">
        <f>'2020'!BH321</f>
        <v>0</v>
      </c>
      <c r="I321" s="13"/>
      <c r="J321" s="15"/>
      <c r="K321" s="15"/>
      <c r="L321" s="28"/>
      <c r="M321" s="13"/>
      <c r="N321" s="15"/>
      <c r="Q321" s="13"/>
      <c r="R321" s="15"/>
      <c r="S321" s="15"/>
      <c r="T321" s="28"/>
      <c r="U321" s="13"/>
      <c r="V321" s="15"/>
      <c r="Y321" s="186"/>
      <c r="Z321" s="2"/>
      <c r="AA321" s="34">
        <f>$F$15</f>
      </c>
      <c r="AB321" s="28"/>
      <c r="AC321" s="15"/>
      <c r="AD321" s="15"/>
      <c r="AF321" s="180"/>
      <c r="AG321" s="15"/>
      <c r="AH321" s="2"/>
      <c r="AI321" s="45"/>
      <c r="AJ321" s="15"/>
      <c r="AK321" s="13"/>
      <c r="AL321" s="15"/>
      <c r="AM321" s="45"/>
      <c r="AN321" s="15"/>
      <c r="AO321" s="13"/>
      <c r="AP321" s="15"/>
      <c r="AQ321" s="45"/>
      <c r="AR321" s="15"/>
      <c r="AS321" s="13"/>
      <c r="AT321" s="15"/>
      <c r="AU321" s="45"/>
      <c r="AV321" s="15"/>
      <c r="AW321" s="13"/>
      <c r="AX321" s="15"/>
      <c r="AY321" s="45"/>
      <c r="AZ321" s="35"/>
      <c r="BA321" s="13"/>
      <c r="BB321" s="15"/>
      <c r="BC321" s="45"/>
      <c r="BD321" s="35"/>
      <c r="BE321" s="14"/>
      <c r="BF321" s="41">
        <f t="shared" ref="BF321:BG321" si="1150">K321+O321+S321+W321+AA321+AE321+AI321+AM321+AQ321+AU321+AY321+BC321</f>
        <v>0</v>
      </c>
      <c r="BG321" s="34">
        <f t="shared" si="1150"/>
        <v>0</v>
      </c>
      <c r="BH321" s="35">
        <f t="shared" si="1132"/>
        <v>0</v>
      </c>
      <c r="BK321" s="2" t="b">
        <f>H321='2020'!BH321</f>
        <v>1</v>
      </c>
    </row>
    <row r="322" ht="14.25" customHeight="1" hidden="1" spans="1:63" x14ac:dyDescent="0.25">
      <c r="A322" s="247">
        <v>35</v>
      </c>
      <c r="B322" s="21"/>
      <c r="C322" s="22" t="s">
        <v>53</v>
      </c>
      <c r="D322" s="21"/>
      <c r="E322" s="22"/>
      <c r="F322" s="20"/>
      <c r="G322" s="23"/>
      <c r="H322" s="51">
        <f>SUM(H314:H321)</f>
        <v>2504.88</v>
      </c>
      <c r="I322" s="52"/>
      <c r="J322" s="53"/>
      <c r="K322" s="51">
        <f t="shared" ref="K322:L322" si="1151">SUM(K314:K321)</f>
        <v>0</v>
      </c>
      <c r="L322" s="68">
        <f t="shared" si="1151"/>
        <v>0</v>
      </c>
      <c r="M322" s="52"/>
      <c r="N322" s="53"/>
      <c r="O322" s="51">
        <f t="shared" ref="O322:P322" si="1152">SUM(O314:O321)</f>
        <v>0</v>
      </c>
      <c r="P322" s="51">
        <f t="shared" si="1152"/>
        <v>0</v>
      </c>
      <c r="Q322" s="52"/>
      <c r="R322" s="53"/>
      <c r="S322" s="51">
        <f t="shared" ref="S322:T322" si="1153">SUM(S314:S321)</f>
        <v>0</v>
      </c>
      <c r="T322" s="51">
        <f t="shared" si="1153"/>
        <v>0</v>
      </c>
      <c r="U322" s="52"/>
      <c r="V322" s="53"/>
      <c r="W322" s="51">
        <f t="shared" ref="W322:X322" si="1154">SUM(W314:W321)</f>
        <v>0</v>
      </c>
      <c r="X322" s="51">
        <f t="shared" si="1154"/>
        <v>0</v>
      </c>
      <c r="Y322" s="300"/>
      <c r="Z322" s="301"/>
      <c r="AA322" s="51">
        <f t="shared" ref="AA322:AB322" si="1155">SUM(AA314:AA321)</f>
        <v>214.06</v>
      </c>
      <c r="AB322" s="51">
        <f t="shared" si="1155"/>
        <v>0</v>
      </c>
      <c r="AC322" s="52"/>
      <c r="AD322" s="53"/>
      <c r="AE322" s="51">
        <f t="shared" ref="AE322:AF322" si="1156">SUM(AE314:AE321)</f>
        <v>4411</v>
      </c>
      <c r="AF322" s="51">
        <f t="shared" si="1156"/>
        <v>0</v>
      </c>
      <c r="AG322" s="52"/>
      <c r="AH322" s="301"/>
      <c r="AI322" s="183">
        <f t="shared" ref="AI322:AJ322" si="1157">SUM(AI314:AI321)</f>
        <v>162.8</v>
      </c>
      <c r="AJ322" s="51">
        <f t="shared" si="1157"/>
        <v>7293</v>
      </c>
      <c r="AK322" s="52"/>
      <c r="AL322" s="53"/>
      <c r="AM322" s="183">
        <f t="shared" ref="AM322:AN322" si="1158">SUM(AM314:AM321)</f>
        <v>61.05</v>
      </c>
      <c r="AN322" s="51">
        <f t="shared" si="1158"/>
        <v>100</v>
      </c>
      <c r="AO322" s="52"/>
      <c r="AP322" s="53"/>
      <c r="AQ322" s="183">
        <f t="shared" ref="AQ322:AR322" si="1159">SUM(AQ314:AQ321)</f>
        <v>0</v>
      </c>
      <c r="AR322" s="51">
        <f t="shared" si="1159"/>
        <v>0</v>
      </c>
      <c r="AS322" s="52"/>
      <c r="AT322" s="53"/>
      <c r="AU322" s="183">
        <f t="shared" ref="AU322:AV322" si="1160">SUM(AU314:AU321)</f>
        <v>0</v>
      </c>
      <c r="AV322" s="68">
        <f t="shared" si="1160"/>
        <v>0</v>
      </c>
      <c r="AW322" s="52"/>
      <c r="AX322" s="53"/>
      <c r="AY322" s="183">
        <f t="shared" ref="AY322:AZ322" si="1161">SUM(AY314:AY321)</f>
        <v>0</v>
      </c>
      <c r="AZ322" s="68">
        <f t="shared" si="1161"/>
        <v>0</v>
      </c>
      <c r="BA322" s="52"/>
      <c r="BB322" s="53"/>
      <c r="BC322" s="183">
        <f t="shared" ref="BC322:BD322" si="1162">SUM(BC314:BC321)</f>
        <v>0</v>
      </c>
      <c r="BD322" s="68">
        <f t="shared" si="1162"/>
        <v>0</v>
      </c>
      <c r="BE322" s="69"/>
      <c r="BF322" s="70">
        <f t="shared" ref="BF322:BH322" si="1163">SUM(BF314:BF321)</f>
        <v>4848.91</v>
      </c>
      <c r="BG322" s="71">
        <f t="shared" si="1163"/>
        <v>7393</v>
      </c>
      <c r="BH322" s="72">
        <f t="shared" si="1163"/>
        <v>-39.21</v>
      </c>
      <c r="BI322" s="34">
        <f>H322+BF322-BG322</f>
        <v>-39.21</v>
      </c>
      <c r="BJ322" s="34">
        <f>BH322-BI322</f>
        <v>0</v>
      </c>
      <c r="BK322" s="2" t="b">
        <f>H322='2020'!BH322</f>
        <v>1</v>
      </c>
    </row>
    <row r="323" ht="14.25" customHeight="1" hidden="1" spans="1:63" x14ac:dyDescent="0.25">
      <c r="A323" s="2">
        <v>36</v>
      </c>
      <c r="B323" s="14"/>
      <c r="D323" s="14" t="s">
        <v>379</v>
      </c>
      <c r="F323" s="13"/>
      <c r="G323" s="28"/>
      <c r="H323" s="34">
        <f>'2020'!BH323</f>
        <v>0</v>
      </c>
      <c r="I323" s="13"/>
      <c r="J323" s="15"/>
      <c r="K323" s="15"/>
      <c r="L323" s="28"/>
      <c r="M323" s="13"/>
      <c r="N323" s="15"/>
      <c r="Q323" s="13"/>
      <c r="R323" s="15"/>
      <c r="S323" s="15"/>
      <c r="T323" s="28"/>
      <c r="U323" s="13"/>
      <c r="V323" s="15"/>
      <c r="Y323" s="186"/>
      <c r="Z323" s="2"/>
      <c r="AA323" s="15"/>
      <c r="AB323" s="28"/>
      <c r="AC323" s="15"/>
      <c r="AD323" s="15"/>
      <c r="AG323" s="15"/>
      <c r="AH323" s="2"/>
      <c r="AI323" s="45"/>
      <c r="AJ323" s="15"/>
      <c r="AK323" s="13"/>
      <c r="AM323" s="45"/>
      <c r="AO323" s="13"/>
      <c r="AQ323" s="45">
        <v>7.55</v>
      </c>
      <c r="AS323" s="13"/>
      <c r="AU323" s="45"/>
      <c r="AW323" s="13"/>
      <c r="AY323" s="45"/>
      <c r="AZ323" s="28"/>
      <c r="BA323" s="13"/>
      <c r="BB323" s="15"/>
      <c r="BC323" s="45"/>
      <c r="BD323" s="28"/>
      <c r="BE323" s="14"/>
      <c r="BF323" s="41">
        <f t="shared" ref="BF323:BG323" si="1164">K323+O323+S323+W323+AA323+AE323+AI323+AM323+AQ323+AU323+AY323+BC323</f>
        <v>7.55</v>
      </c>
      <c r="BG323" s="34">
        <f t="shared" si="1164"/>
        <v>0</v>
      </c>
      <c r="BH323" s="35">
        <f t="shared" ref="BH323:BH330" si="1165">H323+BF323-BG323</f>
        <v>7.55</v>
      </c>
      <c r="BK323" s="2" t="b">
        <f>H323='2020'!BH323</f>
        <v>1</v>
      </c>
    </row>
    <row r="324" ht="14.25" customHeight="1" hidden="1" spans="1:63" x14ac:dyDescent="0.25">
      <c r="A324" s="2">
        <v>36</v>
      </c>
      <c r="B324" s="14">
        <v>4.03</v>
      </c>
      <c r="C324" s="2" t="s">
        <v>160</v>
      </c>
      <c r="D324" s="14" t="s">
        <v>44</v>
      </c>
      <c r="E324" s="2" t="s">
        <v>45</v>
      </c>
      <c r="F324" s="41">
        <v>2.5</v>
      </c>
      <c r="G324" s="35">
        <v>2.6</v>
      </c>
      <c r="H324" s="34">
        <f>'2020'!BH324</f>
        <v>266.73</v>
      </c>
      <c r="I324" s="13">
        <v>428</v>
      </c>
      <c r="J324" s="15">
        <f>I324-'2020'!BA324</f>
        <v>0</v>
      </c>
      <c r="K324" s="34">
        <f>J324*$F$8</f>
        <v>0</v>
      </c>
      <c r="L324" s="28"/>
      <c r="M324" s="13">
        <v>428</v>
      </c>
      <c r="N324" s="15">
        <f t="shared" ref="N324:N325" si="1166">M324-I324</f>
        <v>0</v>
      </c>
      <c r="O324" s="34">
        <f>N324*$F$8</f>
        <v>0</v>
      </c>
      <c r="Q324" s="13">
        <v>428</v>
      </c>
      <c r="R324" s="15">
        <f t="shared" ref="R324:R325" si="1167">Q324-M324</f>
        <v>0</v>
      </c>
      <c r="S324" s="34">
        <f>R324*$F$8</f>
        <v>0</v>
      </c>
      <c r="T324" s="28"/>
      <c r="U324" s="13">
        <v>428</v>
      </c>
      <c r="V324" s="15">
        <f t="shared" ref="V324:V325" si="1168">U324-Q324</f>
        <v>0</v>
      </c>
      <c r="W324" s="34">
        <f>V324*$F$8</f>
        <v>0</v>
      </c>
      <c r="X324" s="34"/>
      <c r="Y324" s="186">
        <v>438</v>
      </c>
      <c r="Z324" s="2">
        <f>Y324-U324</f>
        <v>10</v>
      </c>
      <c r="AA324" s="34">
        <f>Z324*$F$8</f>
        <v>26</v>
      </c>
      <c r="AB324" s="28"/>
      <c r="AC324" s="15">
        <v>451</v>
      </c>
      <c r="AD324" s="15">
        <f t="shared" ref="AD324:AD325" si="1169">AC324-Y324</f>
        <v>13</v>
      </c>
      <c r="AE324" s="180">
        <f>AD324*$F$8</f>
        <v>33.8</v>
      </c>
      <c r="AF324" s="2">
        <v>326.53</v>
      </c>
      <c r="AG324" s="15">
        <v>494</v>
      </c>
      <c r="AH324" s="2">
        <f t="shared" ref="AH324:AH325" si="1170">AG324-AC324</f>
        <v>43</v>
      </c>
      <c r="AI324" s="45">
        <f>AH324*$G$8</f>
        <v>116.1</v>
      </c>
      <c r="AJ324" s="326">
        <v>116.1</v>
      </c>
      <c r="AK324" s="13">
        <v>586</v>
      </c>
      <c r="AL324" s="15">
        <f t="shared" ref="AL324:AL325" si="1171">AK324-AG324</f>
        <v>92</v>
      </c>
      <c r="AM324" s="45">
        <f>AL324*$G$8</f>
        <v>248.4</v>
      </c>
      <c r="AN324" s="15"/>
      <c r="AO324" s="13">
        <v>618</v>
      </c>
      <c r="AP324" s="15">
        <f t="shared" ref="AP324:AP325" si="1172">AO324-AK324</f>
        <v>32</v>
      </c>
      <c r="AQ324" s="45">
        <f>AP324*$G$8</f>
        <v>86.4</v>
      </c>
      <c r="AR324" s="15"/>
      <c r="AS324" s="13">
        <v>622</v>
      </c>
      <c r="AT324" s="15">
        <f t="shared" ref="AT324:AT325" si="1173">AS324-AO324</f>
        <v>4</v>
      </c>
      <c r="AU324" s="45">
        <f>AT324*$G$8</f>
        <v>10.8</v>
      </c>
      <c r="AV324" s="15"/>
      <c r="AW324" s="13">
        <v>622</v>
      </c>
      <c r="AX324" s="15">
        <f t="shared" ref="AX324:AX325" si="1174">AW324-AS324</f>
        <v>0</v>
      </c>
      <c r="AY324" s="45">
        <f>AX324*$G$8</f>
        <v>0</v>
      </c>
      <c r="AZ324" s="208"/>
      <c r="BA324" s="13">
        <v>622</v>
      </c>
      <c r="BB324" s="15">
        <f t="shared" ref="BB324:BB325" si="1175">BA324-AW324</f>
        <v>0</v>
      </c>
      <c r="BC324" s="45">
        <f>BB324*$G$8</f>
        <v>0</v>
      </c>
      <c r="BD324" s="208"/>
      <c r="BE324" s="40">
        <f t="shared" ref="BE324:BG324" si="1176">J324+N324+R324+V324+Z324+AD324+AH324+AL324+AP324+AT324+AX324+BB324</f>
        <v>194</v>
      </c>
      <c r="BF324" s="41">
        <f t="shared" si="1176"/>
        <v>521.5</v>
      </c>
      <c r="BG324" s="34">
        <f t="shared" si="1176"/>
        <v>442.63</v>
      </c>
      <c r="BH324" s="35">
        <f t="shared" si="1165"/>
        <v>345.6</v>
      </c>
      <c r="BK324" s="2" t="b">
        <f>H324='2020'!BH324</f>
        <v>1</v>
      </c>
    </row>
    <row r="325" ht="14.25" customHeight="1" hidden="1" spans="1:63" x14ac:dyDescent="0.25">
      <c r="A325" s="2">
        <v>36</v>
      </c>
      <c r="B325" s="14"/>
      <c r="C325" s="2" t="s">
        <v>161</v>
      </c>
      <c r="D325" s="14" t="s">
        <v>47</v>
      </c>
      <c r="E325" s="2" t="s">
        <v>48</v>
      </c>
      <c r="F325" s="13">
        <v>18.56</v>
      </c>
      <c r="G325" s="35">
        <v>19.46</v>
      </c>
      <c r="H325" s="34">
        <f>'2020'!BH325</f>
        <v>105.72</v>
      </c>
      <c r="I325" s="13">
        <v>93</v>
      </c>
      <c r="J325" s="15"/>
      <c r="K325" s="15"/>
      <c r="L325" s="28"/>
      <c r="M325" s="13">
        <v>93</v>
      </c>
      <c r="N325" s="15">
        <f t="shared" si="1166"/>
        <v>0</v>
      </c>
      <c r="Q325" s="13">
        <v>93</v>
      </c>
      <c r="R325" s="15">
        <f t="shared" si="1167"/>
        <v>0</v>
      </c>
      <c r="S325" s="15"/>
      <c r="T325" s="28"/>
      <c r="U325" s="13">
        <v>93</v>
      </c>
      <c r="V325" s="15">
        <f t="shared" si="1168"/>
        <v>0</v>
      </c>
      <c r="W325" s="34">
        <f>V325*$F$10</f>
        <v>0</v>
      </c>
      <c r="Y325" s="186">
        <v>0</v>
      </c>
      <c r="Z325" s="2"/>
      <c r="AA325" s="34">
        <f>Z325*$F$10</f>
        <v>0</v>
      </c>
      <c r="AB325" s="28"/>
      <c r="AC325" s="15">
        <v>17</v>
      </c>
      <c r="AD325" s="15">
        <f t="shared" si="1169"/>
        <v>17</v>
      </c>
      <c r="AE325" s="34">
        <f>AD325*$F$10</f>
        <v>330.82</v>
      </c>
      <c r="AF325" s="180">
        <v>436.54</v>
      </c>
      <c r="AG325" s="15">
        <v>30</v>
      </c>
      <c r="AH325" s="2">
        <f t="shared" si="1170"/>
        <v>13</v>
      </c>
      <c r="AI325" s="45">
        <f>AH325*$G$10</f>
        <v>264.55</v>
      </c>
      <c r="AJ325" s="326">
        <v>264.55</v>
      </c>
      <c r="AK325" s="13">
        <v>30</v>
      </c>
      <c r="AL325" s="15">
        <f t="shared" si="1171"/>
        <v>0</v>
      </c>
      <c r="AM325" s="45">
        <f>AL325*$G$10</f>
        <v>0</v>
      </c>
      <c r="AN325" s="1">
        <v>100</v>
      </c>
      <c r="AO325" s="13">
        <v>30</v>
      </c>
      <c r="AP325" s="15">
        <f t="shared" si="1172"/>
        <v>0</v>
      </c>
      <c r="AQ325" s="45">
        <f>AP325*$G$10</f>
        <v>0</v>
      </c>
      <c r="AR325" s="15"/>
      <c r="AS325" s="13">
        <v>30</v>
      </c>
      <c r="AT325" s="15">
        <f t="shared" si="1173"/>
        <v>0</v>
      </c>
      <c r="AU325" s="45">
        <f>AT325*$G$10</f>
        <v>0</v>
      </c>
      <c r="AV325" s="15"/>
      <c r="AW325" s="13">
        <v>30</v>
      </c>
      <c r="AX325" s="15">
        <f t="shared" si="1174"/>
        <v>0</v>
      </c>
      <c r="AY325" s="45"/>
      <c r="AZ325" s="208"/>
      <c r="BA325" s="13">
        <v>30</v>
      </c>
      <c r="BB325" s="15">
        <f t="shared" si="1175"/>
        <v>0</v>
      </c>
      <c r="BC325" s="45"/>
      <c r="BD325" s="208"/>
      <c r="BE325" s="40">
        <f t="shared" ref="BE325:BG325" si="1177">J325+N325+R325+V325+Z325+AD325+AH325+AL325+AP325+AT325+AX325+BB325</f>
        <v>30</v>
      </c>
      <c r="BF325" s="41">
        <f t="shared" si="1177"/>
        <v>595.37</v>
      </c>
      <c r="BG325" s="34">
        <f t="shared" si="1177"/>
        <v>801.09</v>
      </c>
      <c r="BH325" s="35">
        <f t="shared" si="1165"/>
        <v>-100</v>
      </c>
      <c r="BK325" s="2" t="b">
        <f>H325='2020'!BH325</f>
        <v>1</v>
      </c>
    </row>
    <row r="326" ht="14.25" customHeight="1" hidden="1" spans="1:63" x14ac:dyDescent="0.25">
      <c r="A326" s="2">
        <v>36</v>
      </c>
      <c r="B326" s="14"/>
      <c r="C326" s="2" t="s">
        <v>68</v>
      </c>
      <c r="D326" s="14" t="s">
        <v>47</v>
      </c>
      <c r="E326" s="2" t="s">
        <v>49</v>
      </c>
      <c r="F326" s="41">
        <v>500</v>
      </c>
      <c r="G326" s="28"/>
      <c r="H326" s="34">
        <f>'2020'!BH326</f>
        <v>0</v>
      </c>
      <c r="I326" s="13"/>
      <c r="J326" s="15"/>
      <c r="K326" s="15"/>
      <c r="L326" s="28"/>
      <c r="M326" s="13"/>
      <c r="N326" s="15"/>
      <c r="Q326" s="13"/>
      <c r="R326" s="15"/>
      <c r="S326" s="15"/>
      <c r="T326" s="28"/>
      <c r="U326" s="13"/>
      <c r="V326" s="15"/>
      <c r="Y326" s="186"/>
      <c r="Z326" s="2"/>
      <c r="AA326" s="15"/>
      <c r="AB326" s="28"/>
      <c r="AC326" s="15"/>
      <c r="AD326" s="15"/>
      <c r="AG326" s="15"/>
      <c r="AH326" s="2"/>
      <c r="AI326" s="45"/>
      <c r="AJ326" s="154"/>
      <c r="AK326" s="13"/>
      <c r="AL326" s="15"/>
      <c r="AM326" s="45"/>
      <c r="AN326" s="15"/>
      <c r="AO326" s="13"/>
      <c r="AP326" s="15"/>
      <c r="AQ326" s="45"/>
      <c r="AR326" s="15"/>
      <c r="AS326" s="13"/>
      <c r="AT326" s="15"/>
      <c r="AU326" s="45"/>
      <c r="AV326" s="15"/>
      <c r="AW326" s="13"/>
      <c r="AX326" s="15"/>
      <c r="AY326" s="45"/>
      <c r="AZ326" s="28"/>
      <c r="BA326" s="13"/>
      <c r="BB326" s="15"/>
      <c r="BC326" s="45"/>
      <c r="BD326" s="28"/>
      <c r="BE326" s="14"/>
      <c r="BF326" s="41">
        <f t="shared" ref="BF326:BG326" si="1178">K326+O326+S326+W326+AA326+AE326+AI326+AM326+AQ326+AU326+AY326+BC326</f>
        <v>0</v>
      </c>
      <c r="BG326" s="34">
        <f t="shared" si="1178"/>
        <v>0</v>
      </c>
      <c r="BH326" s="35">
        <f t="shared" si="1165"/>
        <v>0</v>
      </c>
      <c r="BK326" s="2" t="b">
        <f>H326='2020'!BH326</f>
        <v>1</v>
      </c>
    </row>
    <row r="327" ht="14.25" customHeight="1" hidden="1" spans="1:63" x14ac:dyDescent="0.25">
      <c r="A327" s="2">
        <v>36</v>
      </c>
      <c r="B327" s="14"/>
      <c r="C327" s="2" t="s">
        <v>399</v>
      </c>
      <c r="D327" s="14" t="s">
        <v>50</v>
      </c>
      <c r="E327" s="2" t="s">
        <v>49</v>
      </c>
      <c r="F327" s="41">
        <v>1100</v>
      </c>
      <c r="G327" s="28"/>
      <c r="H327" s="34">
        <f>'2020'!BH327</f>
        <v>0</v>
      </c>
      <c r="I327" s="13"/>
      <c r="J327" s="15"/>
      <c r="K327" s="15"/>
      <c r="L327" s="28"/>
      <c r="M327" s="13"/>
      <c r="N327" s="15"/>
      <c r="Q327" s="13"/>
      <c r="R327" s="15"/>
      <c r="S327" s="15"/>
      <c r="T327" s="28"/>
      <c r="U327" s="13"/>
      <c r="V327" s="15"/>
      <c r="Y327" s="186"/>
      <c r="Z327" s="2"/>
      <c r="AA327" s="15"/>
      <c r="AB327" s="28"/>
      <c r="AC327" s="15"/>
      <c r="AD327" s="15"/>
      <c r="AE327" s="182">
        <v>4433</v>
      </c>
      <c r="AF327" s="2">
        <v>1433</v>
      </c>
      <c r="AG327" s="15"/>
      <c r="AH327" s="2"/>
      <c r="AI327" s="45"/>
      <c r="AJ327" s="326">
        <v>3000</v>
      </c>
      <c r="AK327" s="13"/>
      <c r="AL327" s="15"/>
      <c r="AM327" s="45"/>
      <c r="AN327" s="15"/>
      <c r="AO327" s="13"/>
      <c r="AP327" s="15"/>
      <c r="AQ327" s="45"/>
      <c r="AR327" s="15"/>
      <c r="AS327" s="13"/>
      <c r="AT327" s="15"/>
      <c r="AU327" s="45"/>
      <c r="AV327" s="15"/>
      <c r="AW327" s="13"/>
      <c r="AX327" s="15"/>
      <c r="AY327" s="45"/>
      <c r="AZ327" s="28"/>
      <c r="BA327" s="13"/>
      <c r="BB327" s="15"/>
      <c r="BC327" s="45"/>
      <c r="BD327" s="28"/>
      <c r="BE327" s="14"/>
      <c r="BF327" s="41">
        <f t="shared" ref="BF327:BG327" si="1179">K327+O327+S327+W327+AA327+AE327+AI327+AM327+AQ327+AU327+AY327+BC327</f>
        <v>4433</v>
      </c>
      <c r="BG327" s="34">
        <f t="shared" si="1179"/>
        <v>4433</v>
      </c>
      <c r="BH327" s="35">
        <f t="shared" si="1165"/>
        <v>0</v>
      </c>
      <c r="BK327" s="2" t="b">
        <f>H327='2020'!BH327</f>
        <v>1</v>
      </c>
    </row>
    <row r="328" ht="14.25" customHeight="1" hidden="1" spans="1:63" x14ac:dyDescent="0.25">
      <c r="A328" s="2">
        <v>36</v>
      </c>
      <c r="B328" s="14"/>
      <c r="D328" s="14" t="s">
        <v>51</v>
      </c>
      <c r="E328" s="2" t="s">
        <v>39</v>
      </c>
      <c r="F328" s="41">
        <v>500</v>
      </c>
      <c r="G328" s="28"/>
      <c r="H328" s="34">
        <f>'2020'!BH328</f>
        <v>500</v>
      </c>
      <c r="I328" s="13"/>
      <c r="J328" s="15"/>
      <c r="K328" s="15"/>
      <c r="L328" s="28"/>
      <c r="M328" s="13"/>
      <c r="N328" s="15"/>
      <c r="Q328" s="13"/>
      <c r="R328" s="15"/>
      <c r="S328" s="15"/>
      <c r="T328" s="28"/>
      <c r="U328" s="13"/>
      <c r="V328" s="15"/>
      <c r="Y328" s="186"/>
      <c r="Z328" s="2"/>
      <c r="AA328" s="15"/>
      <c r="AB328" s="28"/>
      <c r="AC328" s="15"/>
      <c r="AD328" s="15"/>
      <c r="AE328" s="180">
        <f>$F$13</f>
      </c>
      <c r="AG328" s="15"/>
      <c r="AH328" s="2"/>
      <c r="AI328" s="45"/>
      <c r="AJ328" s="180"/>
      <c r="AK328" s="13"/>
      <c r="AL328" s="15"/>
      <c r="AM328" s="45"/>
      <c r="AN328" s="15"/>
      <c r="AO328" s="13"/>
      <c r="AP328" s="15"/>
      <c r="AQ328" s="180"/>
      <c r="AR328" s="15"/>
      <c r="AS328" s="13"/>
      <c r="AT328" s="15"/>
      <c r="AU328" s="45"/>
      <c r="AV328" s="15"/>
      <c r="AW328" s="13"/>
      <c r="AX328" s="15"/>
      <c r="AY328" s="45"/>
      <c r="AZ328" s="28"/>
      <c r="BA328" s="13"/>
      <c r="BB328" s="15"/>
      <c r="BC328" s="45"/>
      <c r="BD328" s="28"/>
      <c r="BE328" s="14"/>
      <c r="BF328" s="41">
        <f t="shared" ref="BF328:BG328" si="1180">K328+O328+S328+W328+AA328+AE328+AI328+AM328+AQ328+AU328+AY328+BC328</f>
        <v>0</v>
      </c>
      <c r="BG328" s="34">
        <f t="shared" si="1180"/>
        <v>0</v>
      </c>
      <c r="BH328" s="35">
        <f t="shared" si="1165"/>
        <v>500</v>
      </c>
      <c r="BK328" s="2" t="b">
        <f>H328='2020'!BH328</f>
        <v>1</v>
      </c>
    </row>
    <row r="329" ht="14.25" customHeight="1" hidden="1" spans="1:63" x14ac:dyDescent="0.25">
      <c r="A329" s="2">
        <v>36</v>
      </c>
      <c r="B329" s="14"/>
      <c r="D329" s="14" t="s">
        <v>51</v>
      </c>
      <c r="E329" s="2" t="s">
        <v>49</v>
      </c>
      <c r="F329" s="41">
        <v>500</v>
      </c>
      <c r="G329" s="28"/>
      <c r="H329" s="34">
        <f>'2020'!BH329</f>
        <v>2015</v>
      </c>
      <c r="I329" s="13"/>
      <c r="J329" s="15"/>
      <c r="K329" s="15"/>
      <c r="L329" s="28"/>
      <c r="M329" s="13"/>
      <c r="N329" s="15"/>
      <c r="Q329" s="13"/>
      <c r="R329" s="15"/>
      <c r="S329" s="15"/>
      <c r="T329" s="28"/>
      <c r="U329" s="13"/>
      <c r="V329" s="15"/>
      <c r="Y329" s="186"/>
      <c r="Z329" s="2"/>
      <c r="AA329" s="15"/>
      <c r="AB329" s="28"/>
      <c r="AC329" s="15"/>
      <c r="AD329" s="15"/>
      <c r="AE329" s="34"/>
      <c r="AG329" s="15"/>
      <c r="AH329" s="2"/>
      <c r="AI329" s="45"/>
      <c r="AJ329" s="180"/>
      <c r="AK329" s="13"/>
      <c r="AL329" s="15"/>
      <c r="AM329" s="45"/>
      <c r="AN329" s="15"/>
      <c r="AO329" s="13"/>
      <c r="AP329" s="15"/>
      <c r="AQ329" s="180">
        <f>B324*$F$14</f>
        <v>0</v>
      </c>
      <c r="AR329" s="15"/>
      <c r="AS329" s="13"/>
      <c r="AT329" s="15"/>
      <c r="AU329" s="45"/>
      <c r="AV329" s="15"/>
      <c r="AW329" s="13"/>
      <c r="AX329" s="15"/>
      <c r="AY329" s="45"/>
      <c r="AZ329" s="28"/>
      <c r="BA329" s="13"/>
      <c r="BB329" s="15"/>
      <c r="BC329" s="45"/>
      <c r="BD329" s="28"/>
      <c r="BE329" s="14"/>
      <c r="BF329" s="41">
        <f t="shared" ref="BF329:BG329" si="1181">K329+O329+S329+W329+AA329+AE329+AI329+AM329+AQ329+AU329+AY329+BC329</f>
        <v>0</v>
      </c>
      <c r="BG329" s="34">
        <f t="shared" si="1181"/>
        <v>0</v>
      </c>
      <c r="BH329" s="35">
        <f t="shared" si="1165"/>
        <v>2015</v>
      </c>
      <c r="BK329" s="2" t="b">
        <f>H329='2020'!BH329</f>
        <v>1</v>
      </c>
    </row>
    <row r="330" ht="14.25" customHeight="1" hidden="1" spans="1:63" x14ac:dyDescent="0.25">
      <c r="A330" s="2">
        <v>36</v>
      </c>
      <c r="B330" s="14"/>
      <c r="D330" s="14" t="s">
        <v>52</v>
      </c>
      <c r="E330" s="2" t="s">
        <v>39</v>
      </c>
      <c r="F330" s="41">
        <v>500</v>
      </c>
      <c r="G330" s="28"/>
      <c r="H330" s="34">
        <f>'2020'!BH330</f>
        <v>0</v>
      </c>
      <c r="I330" s="13"/>
      <c r="J330" s="15"/>
      <c r="K330" s="15"/>
      <c r="L330" s="28"/>
      <c r="M330" s="13"/>
      <c r="N330" s="15"/>
      <c r="Q330" s="13"/>
      <c r="R330" s="15"/>
      <c r="S330" s="15"/>
      <c r="T330" s="28"/>
      <c r="U330" s="13"/>
      <c r="V330" s="15"/>
      <c r="Y330" s="186"/>
      <c r="Z330" s="2"/>
      <c r="AA330" s="34">
        <f>$F$15</f>
      </c>
      <c r="AB330" s="28"/>
      <c r="AC330" s="15"/>
      <c r="AD330" s="15"/>
      <c r="AF330" s="180"/>
      <c r="AG330" s="15"/>
      <c r="AH330" s="2"/>
      <c r="AI330" s="45"/>
      <c r="AJ330" s="180"/>
      <c r="AK330" s="13"/>
      <c r="AL330" s="15"/>
      <c r="AM330" s="45"/>
      <c r="AN330" s="15"/>
      <c r="AO330" s="13"/>
      <c r="AP330" s="15"/>
      <c r="AQ330" s="45"/>
      <c r="AR330" s="15"/>
      <c r="AS330" s="13"/>
      <c r="AT330" s="15"/>
      <c r="AU330" s="45"/>
      <c r="AV330" s="15"/>
      <c r="AW330" s="13"/>
      <c r="AX330" s="15"/>
      <c r="AY330" s="45"/>
      <c r="AZ330" s="35"/>
      <c r="BA330" s="13"/>
      <c r="BB330" s="15"/>
      <c r="BC330" s="45"/>
      <c r="BD330" s="35"/>
      <c r="BE330" s="14"/>
      <c r="BF330" s="41">
        <f t="shared" ref="BF330:BG330" si="1182">K330+O330+S330+W330+AA330+AE330+AI330+AM330+AQ330+AU330+AY330+BC330</f>
        <v>0</v>
      </c>
      <c r="BG330" s="34">
        <f t="shared" si="1182"/>
        <v>0</v>
      </c>
      <c r="BH330" s="35">
        <f t="shared" si="1165"/>
        <v>0</v>
      </c>
      <c r="BK330" s="2" t="b">
        <f>H330='2020'!BH330</f>
        <v>1</v>
      </c>
    </row>
    <row r="331" ht="14.25" customHeight="1" hidden="1" spans="1:63" x14ac:dyDescent="0.25">
      <c r="A331" s="247">
        <v>36</v>
      </c>
      <c r="B331" s="21"/>
      <c r="C331" s="22" t="s">
        <v>53</v>
      </c>
      <c r="D331" s="21"/>
      <c r="E331" s="22"/>
      <c r="F331" s="20"/>
      <c r="G331" s="23"/>
      <c r="H331" s="51">
        <f>SUM(H323:H330)</f>
        <v>2887.45</v>
      </c>
      <c r="I331" s="52"/>
      <c r="J331" s="53"/>
      <c r="K331" s="51">
        <f t="shared" ref="K331:L331" si="1183">SUM(K323:K330)</f>
        <v>0</v>
      </c>
      <c r="L331" s="68">
        <f t="shared" si="1183"/>
        <v>0</v>
      </c>
      <c r="M331" s="52"/>
      <c r="N331" s="53"/>
      <c r="O331" s="51">
        <f t="shared" ref="O331:P331" si="1184">SUM(O323:O330)</f>
        <v>0</v>
      </c>
      <c r="P331" s="51">
        <f t="shared" si="1184"/>
        <v>0</v>
      </c>
      <c r="Q331" s="52"/>
      <c r="R331" s="53"/>
      <c r="S331" s="51">
        <f t="shared" ref="S331:T331" si="1185">SUM(S323:S330)</f>
        <v>0</v>
      </c>
      <c r="T331" s="51">
        <f t="shared" si="1185"/>
        <v>0</v>
      </c>
      <c r="U331" s="52"/>
      <c r="V331" s="53"/>
      <c r="W331" s="51">
        <f t="shared" ref="W331:X331" si="1186">SUM(W323:W330)</f>
        <v>0</v>
      </c>
      <c r="X331" s="51">
        <f t="shared" si="1186"/>
        <v>0</v>
      </c>
      <c r="Y331" s="300"/>
      <c r="Z331" s="301"/>
      <c r="AA331" s="51">
        <f t="shared" ref="AA331:AB331" si="1187">SUM(AA323:AA330)</f>
        <v>26</v>
      </c>
      <c r="AB331" s="51">
        <f t="shared" si="1187"/>
        <v>0</v>
      </c>
      <c r="AC331" s="52"/>
      <c r="AD331" s="53"/>
      <c r="AE331" s="51">
        <f t="shared" ref="AE331:AF331" si="1188">SUM(AE323:AE330)</f>
        <v>4797.62</v>
      </c>
      <c r="AF331" s="51">
        <f t="shared" si="1188"/>
        <v>2196.07</v>
      </c>
      <c r="AG331" s="52"/>
      <c r="AH331" s="301"/>
      <c r="AI331" s="183">
        <f t="shared" ref="AI331:AJ331" si="1189">SUM(AI323:AI330)</f>
        <v>380.65</v>
      </c>
      <c r="AJ331" s="51">
        <f t="shared" si="1189"/>
        <v>3380.65</v>
      </c>
      <c r="AK331" s="52"/>
      <c r="AL331" s="53"/>
      <c r="AM331" s="183">
        <f t="shared" ref="AM331:AN331" si="1190">SUM(AM323:AM330)</f>
        <v>248.4</v>
      </c>
      <c r="AN331" s="51">
        <f t="shared" si="1190"/>
        <v>100</v>
      </c>
      <c r="AO331" s="52"/>
      <c r="AP331" s="53"/>
      <c r="AQ331" s="183">
        <f t="shared" ref="AQ331:AR331" si="1191">SUM(AQ323:AQ330)</f>
        <v>93.95</v>
      </c>
      <c r="AR331" s="51">
        <f t="shared" si="1191"/>
        <v>0</v>
      </c>
      <c r="AS331" s="52"/>
      <c r="AT331" s="53"/>
      <c r="AU331" s="183">
        <f t="shared" ref="AU331:AV331" si="1192">SUM(AU323:AU330)</f>
        <v>10.8</v>
      </c>
      <c r="AV331" s="68">
        <f t="shared" si="1192"/>
        <v>0</v>
      </c>
      <c r="AW331" s="52"/>
      <c r="AX331" s="53"/>
      <c r="AY331" s="183">
        <f t="shared" ref="AY331:AZ331" si="1193">SUM(AY323:AY330)</f>
        <v>0</v>
      </c>
      <c r="AZ331" s="68">
        <f t="shared" si="1193"/>
        <v>0</v>
      </c>
      <c r="BA331" s="52"/>
      <c r="BB331" s="53"/>
      <c r="BC331" s="183">
        <f t="shared" ref="BC331:BD331" si="1194">SUM(BC323:BC330)</f>
        <v>0</v>
      </c>
      <c r="BD331" s="68">
        <f t="shared" si="1194"/>
        <v>0</v>
      </c>
      <c r="BE331" s="69"/>
      <c r="BF331" s="70">
        <f t="shared" ref="BF331:BH331" si="1195">SUM(BF323:BF330)</f>
        <v>5557.42</v>
      </c>
      <c r="BG331" s="71">
        <f t="shared" si="1195"/>
        <v>5676.72</v>
      </c>
      <c r="BH331" s="72">
        <f t="shared" si="1195"/>
        <v>2768.15</v>
      </c>
      <c r="BI331" s="34">
        <f>H331+BF331-BG331</f>
        <v>2768.15</v>
      </c>
      <c r="BJ331" s="34">
        <f>BH331-BI331</f>
        <v>0</v>
      </c>
      <c r="BK331" s="2" t="b">
        <f>H331='2020'!BH331</f>
        <v>1</v>
      </c>
    </row>
    <row r="332" ht="14.25" customHeight="1" hidden="1" spans="1:63" x14ac:dyDescent="0.25">
      <c r="A332" s="2">
        <v>37</v>
      </c>
      <c r="B332" s="14"/>
      <c r="D332" s="14" t="s">
        <v>379</v>
      </c>
      <c r="F332" s="13"/>
      <c r="G332" s="28"/>
      <c r="H332" s="34">
        <f>'2020'!BH332</f>
        <v>0</v>
      </c>
      <c r="I332" s="13"/>
      <c r="J332" s="15"/>
      <c r="K332" s="15"/>
      <c r="L332" s="28"/>
      <c r="M332" s="13"/>
      <c r="N332" s="15"/>
      <c r="Q332" s="13"/>
      <c r="R332" s="15"/>
      <c r="S332" s="15"/>
      <c r="T332" s="28"/>
      <c r="U332" s="13"/>
      <c r="V332" s="15"/>
      <c r="Y332" s="186"/>
      <c r="Z332" s="2"/>
      <c r="AA332" s="15"/>
      <c r="AB332" s="28"/>
      <c r="AC332" s="15"/>
      <c r="AD332" s="15"/>
      <c r="AG332" s="15"/>
      <c r="AH332" s="2"/>
      <c r="AI332" s="45"/>
      <c r="AJ332" s="15"/>
      <c r="AK332" s="13"/>
      <c r="AM332" s="45"/>
      <c r="AO332" s="13"/>
      <c r="AQ332" s="45">
        <v>6.09</v>
      </c>
      <c r="AS332" s="13"/>
      <c r="AU332" s="45"/>
      <c r="AW332" s="13"/>
      <c r="AY332" s="45"/>
      <c r="AZ332" s="28"/>
      <c r="BA332" s="13"/>
      <c r="BB332" s="15"/>
      <c r="BC332" s="45"/>
      <c r="BD332" s="28"/>
      <c r="BE332" s="14"/>
      <c r="BF332" s="41">
        <f t="shared" ref="BF332:BG332" si="1196">K332+O332+S332+W332+AA332+AE332+AI332+AM332+AQ332+AU332+AY332+BC332</f>
        <v>6.09</v>
      </c>
      <c r="BG332" s="34">
        <f t="shared" si="1196"/>
        <v>0</v>
      </c>
      <c r="BH332" s="35">
        <f t="shared" ref="BH332:BH339" si="1197">H332+BF332-BG332</f>
        <v>6.09</v>
      </c>
      <c r="BK332" s="2" t="b">
        <f>H332='2020'!BH332</f>
        <v>1</v>
      </c>
    </row>
    <row r="333" ht="14.25" customHeight="1" hidden="1" spans="1:63" x14ac:dyDescent="0.25">
      <c r="A333" s="2">
        <v>37</v>
      </c>
      <c r="B333" s="14">
        <v>4.06</v>
      </c>
      <c r="C333" s="2" t="s">
        <v>162</v>
      </c>
      <c r="D333" s="14" t="s">
        <v>44</v>
      </c>
      <c r="E333" s="2" t="s">
        <v>45</v>
      </c>
      <c r="F333" s="41">
        <v>2.5</v>
      </c>
      <c r="G333" s="35">
        <v>2.6</v>
      </c>
      <c r="H333" s="104">
        <f>'2020'!BH333</f>
        <v>0</v>
      </c>
      <c r="I333" s="13">
        <v>0</v>
      </c>
      <c r="J333" s="15">
        <f>I333-'2020'!BA333</f>
        <v>0</v>
      </c>
      <c r="K333" s="34">
        <f>J333*$F$8</f>
        <v>0</v>
      </c>
      <c r="L333" s="28"/>
      <c r="M333" s="13">
        <v>0</v>
      </c>
      <c r="N333" s="15">
        <f t="shared" ref="N333:N334" si="1198">M333-I333</f>
        <v>0</v>
      </c>
      <c r="O333" s="34">
        <f>N333*$F$8</f>
        <v>0</v>
      </c>
      <c r="Q333" s="13">
        <v>0</v>
      </c>
      <c r="R333" s="15">
        <f t="shared" ref="R333:R334" si="1199">Q333-M333</f>
        <v>0</v>
      </c>
      <c r="S333" s="34">
        <f>R333*$F$8</f>
        <v>0</v>
      </c>
      <c r="T333" s="28"/>
      <c r="U333" s="13">
        <v>0</v>
      </c>
      <c r="V333" s="15">
        <f t="shared" ref="V333:V334" si="1200">U333-Q333</f>
        <v>0</v>
      </c>
      <c r="W333" s="34">
        <f>V333*$F$8</f>
        <v>0</v>
      </c>
      <c r="Y333" s="186"/>
      <c r="Z333" s="2">
        <f t="shared" ref="Z333:Z334" si="1201">Y333-U333</f>
        <v>0</v>
      </c>
      <c r="AA333" s="34">
        <f>Z333*$F$8</f>
        <v>0</v>
      </c>
      <c r="AB333" s="28"/>
      <c r="AC333" s="15"/>
      <c r="AD333" s="15">
        <f t="shared" ref="AD333:AD334" si="1202">AC333-Y333</f>
        <v>0</v>
      </c>
      <c r="AE333" s="180">
        <f>AD333*$F$8</f>
        <v>0</v>
      </c>
      <c r="AG333" s="15"/>
      <c r="AH333" s="2">
        <f t="shared" ref="AH333:AH334" si="1203">AG333-AC333</f>
        <v>0</v>
      </c>
      <c r="AI333" s="45">
        <f>AH333*$G$8</f>
        <v>0</v>
      </c>
      <c r="AJ333" s="15"/>
      <c r="AK333" s="13"/>
      <c r="AL333" s="15">
        <f t="shared" ref="AL333:AL334" si="1204">AK333-AG333</f>
        <v>0</v>
      </c>
      <c r="AM333" s="45">
        <f>AL333*$G$8</f>
        <v>0</v>
      </c>
      <c r="AN333" s="15"/>
      <c r="AO333" s="13"/>
      <c r="AP333" s="15">
        <f t="shared" ref="AP333:AP334" si="1205">AO333-AK333</f>
        <v>0</v>
      </c>
      <c r="AQ333" s="45">
        <f>AP333*$G$8</f>
        <v>0</v>
      </c>
      <c r="AR333" s="15"/>
      <c r="AS333" s="13"/>
      <c r="AT333" s="15">
        <f t="shared" ref="AT333:AT334" si="1206">AS333-AO333</f>
        <v>0</v>
      </c>
      <c r="AU333" s="45">
        <f>AT333*$G$8</f>
        <v>0</v>
      </c>
      <c r="AV333" s="15"/>
      <c r="AW333" s="13"/>
      <c r="AX333" s="15">
        <f t="shared" ref="AX333:AX334" si="1207">AW333-AS333</f>
        <v>0</v>
      </c>
      <c r="AY333" s="45">
        <f>AX333*$G$8</f>
        <v>0</v>
      </c>
      <c r="AZ333" s="208"/>
      <c r="BA333" s="13"/>
      <c r="BB333" s="15">
        <f t="shared" ref="BB333:BB334" si="1208">BA333-AW333</f>
        <v>0</v>
      </c>
      <c r="BC333" s="45">
        <f>BB333*$G$8</f>
        <v>0</v>
      </c>
      <c r="BD333" s="208"/>
      <c r="BE333" s="40">
        <f t="shared" ref="BE333:BG333" si="1209">J333+N333+R333+V333+Z333+AD333+AH333+AL333+AP333+AT333+AX333+BB333</f>
        <v>0</v>
      </c>
      <c r="BF333" s="41">
        <f t="shared" si="1209"/>
        <v>0</v>
      </c>
      <c r="BG333" s="34">
        <f t="shared" si="1209"/>
        <v>0</v>
      </c>
      <c r="BH333" s="35">
        <f t="shared" si="1197"/>
        <v>0</v>
      </c>
      <c r="BK333" s="2" t="b">
        <f>H333='2020'!BH333</f>
        <v>1</v>
      </c>
    </row>
    <row r="334" ht="14.25" customHeight="1" hidden="1" spans="1:63" x14ac:dyDescent="0.25">
      <c r="A334" s="2">
        <v>37</v>
      </c>
      <c r="B334" s="14"/>
      <c r="C334" s="2" t="s">
        <v>163</v>
      </c>
      <c r="D334" s="14" t="s">
        <v>47</v>
      </c>
      <c r="E334" s="2" t="s">
        <v>48</v>
      </c>
      <c r="F334" s="13">
        <v>18.56</v>
      </c>
      <c r="G334" s="35">
        <v>19.46</v>
      </c>
      <c r="H334" s="34">
        <f>'2020'!BH334</f>
        <v>-11.24</v>
      </c>
      <c r="I334" s="13">
        <v>11</v>
      </c>
      <c r="J334" s="15"/>
      <c r="K334" s="15"/>
      <c r="L334" s="28"/>
      <c r="M334" s="13">
        <v>11</v>
      </c>
      <c r="N334" s="15">
        <f t="shared" si="1198"/>
        <v>0</v>
      </c>
      <c r="Q334" s="184">
        <v>11</v>
      </c>
      <c r="R334" s="15">
        <f t="shared" si="1199"/>
        <v>0</v>
      </c>
      <c r="S334" s="15"/>
      <c r="T334" s="28"/>
      <c r="U334" s="184">
        <v>11</v>
      </c>
      <c r="V334" s="15">
        <f t="shared" si="1200"/>
        <v>0</v>
      </c>
      <c r="W334" s="34">
        <f>V334*$F$10</f>
        <v>0</v>
      </c>
      <c r="Y334" s="186">
        <v>13</v>
      </c>
      <c r="Z334" s="2">
        <f t="shared" si="1201"/>
        <v>2</v>
      </c>
      <c r="AA334" s="34">
        <f>Z334*$F$10</f>
        <v>38.92</v>
      </c>
      <c r="AB334" s="28"/>
      <c r="AC334" s="13">
        <v>13</v>
      </c>
      <c r="AD334" s="15">
        <f t="shared" si="1202"/>
        <v>0</v>
      </c>
      <c r="AE334" s="34">
        <f>AD334*$F$10</f>
        <v>0</v>
      </c>
      <c r="AF334" s="34"/>
      <c r="AG334" s="13">
        <v>13</v>
      </c>
      <c r="AH334" s="2">
        <f t="shared" si="1203"/>
        <v>0</v>
      </c>
      <c r="AI334" s="45">
        <f>AH334*$G$10</f>
        <v>0</v>
      </c>
      <c r="AJ334" s="180"/>
      <c r="AK334" s="13">
        <v>18</v>
      </c>
      <c r="AL334" s="15">
        <f t="shared" si="1204"/>
        <v>5</v>
      </c>
      <c r="AM334" s="45">
        <f>AL334*$G$10</f>
        <v>101.75</v>
      </c>
      <c r="AN334" s="305">
        <v>98.19</v>
      </c>
      <c r="AO334" s="13">
        <v>18</v>
      </c>
      <c r="AP334" s="15">
        <f t="shared" si="1205"/>
        <v>0</v>
      </c>
      <c r="AQ334" s="45">
        <f>AP334*$G$10</f>
        <v>0</v>
      </c>
      <c r="AR334" s="15"/>
      <c r="AS334" s="13">
        <v>18</v>
      </c>
      <c r="AT334" s="15">
        <f t="shared" si="1206"/>
        <v>0</v>
      </c>
      <c r="AU334" s="45">
        <f>AT334*$G$10</f>
        <v>0</v>
      </c>
      <c r="AV334" s="15"/>
      <c r="AW334" s="13">
        <v>18</v>
      </c>
      <c r="AX334" s="15">
        <f t="shared" si="1207"/>
        <v>0</v>
      </c>
      <c r="AY334" s="45"/>
      <c r="AZ334" s="208"/>
      <c r="BA334" s="13">
        <v>18</v>
      </c>
      <c r="BB334" s="15">
        <f t="shared" si="1208"/>
        <v>0</v>
      </c>
      <c r="BC334" s="45"/>
      <c r="BD334" s="208"/>
      <c r="BE334" s="40">
        <f t="shared" ref="BE334:BG334" si="1210">J334+N334+R334+V334+Z334+AD334+AH334+AL334+AP334+AT334+AX334+BB334</f>
        <v>7</v>
      </c>
      <c r="BF334" s="41">
        <f t="shared" si="1210"/>
        <v>140.67</v>
      </c>
      <c r="BG334" s="34">
        <f t="shared" si="1210"/>
        <v>98.19</v>
      </c>
      <c r="BH334" s="35">
        <f t="shared" si="1197"/>
        <v>31.24</v>
      </c>
      <c r="BK334" s="2" t="b">
        <f>H334='2020'!BH334</f>
        <v>1</v>
      </c>
    </row>
    <row r="335" ht="14.25" customHeight="1" hidden="1" spans="1:63" x14ac:dyDescent="0.25">
      <c r="A335" s="2">
        <v>37</v>
      </c>
      <c r="B335" s="14"/>
      <c r="C335" s="2" t="s">
        <v>164</v>
      </c>
      <c r="D335" s="14" t="s">
        <v>47</v>
      </c>
      <c r="E335" s="2" t="s">
        <v>49</v>
      </c>
      <c r="F335" s="41">
        <v>500</v>
      </c>
      <c r="G335" s="28"/>
      <c r="H335" s="34">
        <f>'2020'!BH335</f>
        <v>0</v>
      </c>
      <c r="I335" s="13"/>
      <c r="J335" s="15"/>
      <c r="K335" s="15"/>
      <c r="L335" s="28"/>
      <c r="M335" s="13"/>
      <c r="N335" s="15"/>
      <c r="Q335" s="13"/>
      <c r="R335" s="15"/>
      <c r="S335" s="15"/>
      <c r="T335" s="28"/>
      <c r="U335" s="13"/>
      <c r="V335" s="15"/>
      <c r="Y335" s="186"/>
      <c r="Z335" s="2"/>
      <c r="AA335" s="15"/>
      <c r="AB335" s="28"/>
      <c r="AC335" s="15"/>
      <c r="AD335" s="15"/>
      <c r="AG335" s="15"/>
      <c r="AH335" s="2"/>
      <c r="AI335" s="45"/>
      <c r="AJ335" s="15"/>
      <c r="AK335" s="13"/>
      <c r="AL335" s="15"/>
      <c r="AM335" s="45"/>
      <c r="AN335" s="15"/>
      <c r="AO335" s="13"/>
      <c r="AP335" s="15"/>
      <c r="AQ335" s="45"/>
      <c r="AR335" s="15"/>
      <c r="AS335" s="13"/>
      <c r="AT335" s="15"/>
      <c r="AU335" s="45"/>
      <c r="AV335" s="15"/>
      <c r="AW335" s="13"/>
      <c r="AX335" s="15"/>
      <c r="AY335" s="45"/>
      <c r="AZ335" s="28"/>
      <c r="BA335" s="13"/>
      <c r="BB335" s="15"/>
      <c r="BC335" s="45"/>
      <c r="BD335" s="28"/>
      <c r="BE335" s="14"/>
      <c r="BF335" s="41">
        <f t="shared" ref="BF335:BG335" si="1211">K335+O335+S335+W335+AA335+AE335+AI335+AM335+AQ335+AU335+AY335+BC335</f>
        <v>0</v>
      </c>
      <c r="BG335" s="34">
        <f t="shared" si="1211"/>
        <v>0</v>
      </c>
      <c r="BH335" s="35">
        <f t="shared" si="1197"/>
        <v>0</v>
      </c>
      <c r="BK335" s="2" t="b">
        <f>H335='2020'!BH335</f>
        <v>1</v>
      </c>
    </row>
    <row r="336" ht="14.25" customHeight="1" hidden="1" spans="1:63" x14ac:dyDescent="0.25">
      <c r="A336" s="2">
        <v>37</v>
      </c>
      <c r="B336" s="14"/>
      <c r="C336" s="15" t="s">
        <v>165</v>
      </c>
      <c r="D336" s="14" t="s">
        <v>50</v>
      </c>
      <c r="E336" s="2" t="s">
        <v>49</v>
      </c>
      <c r="F336" s="41">
        <v>1100</v>
      </c>
      <c r="G336" s="28"/>
      <c r="H336" s="34">
        <f>'2020'!BH336</f>
        <v>0</v>
      </c>
      <c r="I336" s="13"/>
      <c r="J336" s="15"/>
      <c r="K336" s="15"/>
      <c r="L336" s="28"/>
      <c r="M336" s="13"/>
      <c r="N336" s="15"/>
      <c r="Q336" s="13"/>
      <c r="R336" s="15"/>
      <c r="S336" s="15"/>
      <c r="T336" s="28"/>
      <c r="U336" s="13"/>
      <c r="V336" s="15"/>
      <c r="Y336" s="186"/>
      <c r="Z336" s="2"/>
      <c r="AA336" s="15"/>
      <c r="AB336" s="28"/>
      <c r="AC336" s="15"/>
      <c r="AD336" s="15"/>
      <c r="AE336" s="34">
        <f>B333*$F$12</f>
        <v>4466</v>
      </c>
      <c r="AF336" s="34"/>
      <c r="AG336" s="15"/>
      <c r="AH336" s="2"/>
      <c r="AI336" s="45"/>
      <c r="AJ336" s="180"/>
      <c r="AK336" s="13"/>
      <c r="AL336" s="15"/>
      <c r="AM336" s="45"/>
      <c r="AN336" s="305">
        <v>4466</v>
      </c>
      <c r="AO336" s="13"/>
      <c r="AP336" s="15"/>
      <c r="AQ336" s="45"/>
      <c r="AR336" s="15"/>
      <c r="AS336" s="13"/>
      <c r="AT336" s="15"/>
      <c r="AU336" s="45"/>
      <c r="AV336" s="15"/>
      <c r="AW336" s="13"/>
      <c r="AX336" s="15"/>
      <c r="AY336" s="45"/>
      <c r="AZ336" s="28"/>
      <c r="BA336" s="13"/>
      <c r="BB336" s="15"/>
      <c r="BC336" s="45"/>
      <c r="BD336" s="28"/>
      <c r="BE336" s="14"/>
      <c r="BF336" s="41">
        <f t="shared" ref="BF336:BG336" si="1212">K336+O336+S336+W336+AA336+AE336+AI336+AM336+AQ336+AU336+AY336+BC336</f>
        <v>4466</v>
      </c>
      <c r="BG336" s="34">
        <f t="shared" si="1212"/>
        <v>4466</v>
      </c>
      <c r="BH336" s="35">
        <f t="shared" si="1197"/>
        <v>0</v>
      </c>
      <c r="BK336" s="2" t="b">
        <f>H336='2020'!BH336</f>
        <v>1</v>
      </c>
    </row>
    <row r="337" ht="14.25" customHeight="1" hidden="1" spans="1:63" x14ac:dyDescent="0.25">
      <c r="A337" s="2">
        <v>37</v>
      </c>
      <c r="B337" s="14"/>
      <c r="C337" s="2" t="s">
        <v>166</v>
      </c>
      <c r="D337" s="14" t="s">
        <v>51</v>
      </c>
      <c r="E337" s="2" t="s">
        <v>39</v>
      </c>
      <c r="F337" s="41">
        <v>500</v>
      </c>
      <c r="G337" s="28"/>
      <c r="H337" s="34">
        <f>'2020'!BH337</f>
        <v>500</v>
      </c>
      <c r="I337" s="13"/>
      <c r="J337" s="15"/>
      <c r="K337" s="15"/>
      <c r="L337" s="28"/>
      <c r="M337" s="13"/>
      <c r="N337" s="15"/>
      <c r="Q337" s="13"/>
      <c r="R337" s="15"/>
      <c r="S337" s="15"/>
      <c r="T337" s="28"/>
      <c r="U337" s="13"/>
      <c r="V337" s="15"/>
      <c r="Y337" s="186"/>
      <c r="Z337" s="2"/>
      <c r="AA337" s="15"/>
      <c r="AB337" s="28"/>
      <c r="AC337" s="15"/>
      <c r="AD337" s="15"/>
      <c r="AE337" s="180">
        <f>$F$13</f>
      </c>
      <c r="AG337" s="15"/>
      <c r="AH337" s="2"/>
      <c r="AI337" s="45"/>
      <c r="AJ337" s="180"/>
      <c r="AK337" s="13"/>
      <c r="AL337" s="15"/>
      <c r="AM337" s="45"/>
      <c r="AN337" s="305">
        <v>500</v>
      </c>
      <c r="AO337" s="13"/>
      <c r="AP337" s="15"/>
      <c r="AQ337" s="180"/>
      <c r="AR337" s="15"/>
      <c r="AS337" s="13"/>
      <c r="AT337" s="15"/>
      <c r="AU337" s="45"/>
      <c r="AV337" s="15"/>
      <c r="AW337" s="13"/>
      <c r="AX337" s="15"/>
      <c r="AY337" s="45"/>
      <c r="AZ337" s="28"/>
      <c r="BA337" s="13"/>
      <c r="BB337" s="15"/>
      <c r="BC337" s="45"/>
      <c r="BD337" s="28"/>
      <c r="BE337" s="14"/>
      <c r="BF337" s="41">
        <f t="shared" ref="BF337:BG337" si="1213">K337+O337+S337+W337+AA337+AE337+AI337+AM337+AQ337+AU337+AY337+BC337</f>
        <v>0</v>
      </c>
      <c r="BG337" s="34">
        <f t="shared" si="1213"/>
        <v>500</v>
      </c>
      <c r="BH337" s="35">
        <f t="shared" si="1197"/>
        <v>0</v>
      </c>
      <c r="BK337" s="2" t="b">
        <f>H337='2020'!BH337</f>
        <v>1</v>
      </c>
    </row>
    <row r="338" ht="14.25" customHeight="1" hidden="1" spans="1:63" x14ac:dyDescent="0.25">
      <c r="A338" s="2">
        <v>37</v>
      </c>
      <c r="B338" s="14"/>
      <c r="D338" s="14" t="s">
        <v>51</v>
      </c>
      <c r="E338" s="2" t="s">
        <v>49</v>
      </c>
      <c r="F338" s="41">
        <v>500</v>
      </c>
      <c r="G338" s="28"/>
      <c r="H338" s="34">
        <f>'2020'!BH338</f>
        <v>2030</v>
      </c>
      <c r="I338" s="13"/>
      <c r="J338" s="15"/>
      <c r="K338" s="15"/>
      <c r="L338" s="28"/>
      <c r="M338" s="13"/>
      <c r="N338" s="15"/>
      <c r="Q338" s="13"/>
      <c r="R338" s="15"/>
      <c r="S338" s="15"/>
      <c r="T338" s="28"/>
      <c r="U338" s="13"/>
      <c r="V338" s="15"/>
      <c r="Y338" s="186"/>
      <c r="Z338" s="2"/>
      <c r="AA338" s="15"/>
      <c r="AB338" s="28"/>
      <c r="AC338" s="15"/>
      <c r="AD338" s="15"/>
      <c r="AE338" s="34"/>
      <c r="AG338" s="15"/>
      <c r="AH338" s="2"/>
      <c r="AI338" s="45"/>
      <c r="AJ338" s="180"/>
      <c r="AK338" s="13"/>
      <c r="AL338" s="15"/>
      <c r="AM338" s="45"/>
      <c r="AN338" s="15"/>
      <c r="AO338" s="13"/>
      <c r="AP338" s="15"/>
      <c r="AQ338" s="180">
        <f>B333*$F$14</f>
        <v>0</v>
      </c>
      <c r="AR338" s="15"/>
      <c r="AS338" s="13"/>
      <c r="AT338" s="15"/>
      <c r="AU338" s="45"/>
      <c r="AV338" s="15"/>
      <c r="AW338" s="13"/>
      <c r="AX338" s="15"/>
      <c r="AY338" s="45"/>
      <c r="AZ338" s="28"/>
      <c r="BA338" s="13"/>
      <c r="BB338" s="15"/>
      <c r="BC338" s="45"/>
      <c r="BD338" s="28"/>
      <c r="BE338" s="14"/>
      <c r="BF338" s="41">
        <f t="shared" ref="BF338:BG338" si="1214">K338+O338+S338+W338+AA338+AE338+AI338+AM338+AQ338+AU338+AY338+BC338</f>
        <v>0</v>
      </c>
      <c r="BG338" s="34">
        <f t="shared" si="1214"/>
        <v>0</v>
      </c>
      <c r="BH338" s="35">
        <f t="shared" si="1197"/>
        <v>2030</v>
      </c>
      <c r="BK338" s="2" t="b">
        <f>H338='2020'!BH338</f>
        <v>1</v>
      </c>
    </row>
    <row r="339" ht="14.25" customHeight="1" hidden="1" spans="1:63" x14ac:dyDescent="0.25">
      <c r="A339" s="2">
        <v>37</v>
      </c>
      <c r="B339" s="14"/>
      <c r="D339" s="14" t="s">
        <v>52</v>
      </c>
      <c r="E339" s="2" t="s">
        <v>39</v>
      </c>
      <c r="F339" s="41">
        <v>500</v>
      </c>
      <c r="G339" s="28"/>
      <c r="H339" s="34">
        <f>'2020'!BH339</f>
        <v>0</v>
      </c>
      <c r="I339" s="13"/>
      <c r="J339" s="15"/>
      <c r="K339" s="15"/>
      <c r="L339" s="28"/>
      <c r="M339" s="13"/>
      <c r="N339" s="15"/>
      <c r="Q339" s="13"/>
      <c r="R339" s="15"/>
      <c r="S339" s="15"/>
      <c r="T339" s="28"/>
      <c r="U339" s="13"/>
      <c r="V339" s="15"/>
      <c r="Y339" s="186"/>
      <c r="Z339" s="2"/>
      <c r="AA339" s="34">
        <f>$F$15</f>
      </c>
      <c r="AB339" s="35"/>
      <c r="AC339" s="15"/>
      <c r="AD339" s="15"/>
      <c r="AG339" s="15"/>
      <c r="AH339" s="2"/>
      <c r="AI339" s="45"/>
      <c r="AJ339" s="180"/>
      <c r="AK339" s="13"/>
      <c r="AL339" s="15"/>
      <c r="AM339" s="45"/>
      <c r="AN339" s="15"/>
      <c r="AO339" s="13"/>
      <c r="AP339" s="15"/>
      <c r="AQ339" s="45"/>
      <c r="AR339" s="15"/>
      <c r="AS339" s="13"/>
      <c r="AT339" s="15"/>
      <c r="AU339" s="45"/>
      <c r="AV339" s="15"/>
      <c r="AW339" s="13"/>
      <c r="AX339" s="15"/>
      <c r="AY339" s="45"/>
      <c r="AZ339" s="35"/>
      <c r="BA339" s="13"/>
      <c r="BB339" s="15"/>
      <c r="BC339" s="45"/>
      <c r="BD339" s="35"/>
      <c r="BE339" s="14"/>
      <c r="BF339" s="41">
        <f t="shared" ref="BF339:BG339" si="1215">K339+O339+S339+W339+AA339+AE339+AI339+AM339+AQ339+AU339+AY339+BC339</f>
        <v>0</v>
      </c>
      <c r="BG339" s="34">
        <f t="shared" si="1215"/>
        <v>0</v>
      </c>
      <c r="BH339" s="35">
        <f t="shared" si="1197"/>
        <v>0</v>
      </c>
      <c r="BK339" s="2" t="b">
        <f>H339='2020'!BH339</f>
        <v>1</v>
      </c>
    </row>
    <row r="340" ht="14.25" customHeight="1" hidden="1" spans="1:63" x14ac:dyDescent="0.25">
      <c r="A340" s="247">
        <v>37</v>
      </c>
      <c r="B340" s="21"/>
      <c r="C340" s="22" t="s">
        <v>53</v>
      </c>
      <c r="D340" s="21"/>
      <c r="E340" s="22"/>
      <c r="F340" s="20"/>
      <c r="G340" s="23"/>
      <c r="H340" s="51">
        <f>SUM(H332:H339)</f>
        <v>2518.76</v>
      </c>
      <c r="I340" s="52"/>
      <c r="J340" s="53"/>
      <c r="K340" s="51">
        <f t="shared" ref="K340:L340" si="1216">SUM(K332:K339)</f>
        <v>0</v>
      </c>
      <c r="L340" s="68">
        <f t="shared" si="1216"/>
        <v>0</v>
      </c>
      <c r="M340" s="52"/>
      <c r="N340" s="53"/>
      <c r="O340" s="51">
        <f t="shared" ref="O340:P340" si="1217">SUM(O332:O339)</f>
        <v>0</v>
      </c>
      <c r="P340" s="51">
        <f t="shared" si="1217"/>
        <v>0</v>
      </c>
      <c r="Q340" s="52"/>
      <c r="R340" s="53"/>
      <c r="S340" s="51">
        <f t="shared" ref="S340:T340" si="1218">SUM(S332:S339)</f>
        <v>0</v>
      </c>
      <c r="T340" s="51">
        <f t="shared" si="1218"/>
        <v>0</v>
      </c>
      <c r="U340" s="52"/>
      <c r="V340" s="53"/>
      <c r="W340" s="51">
        <f t="shared" ref="W340:X340" si="1219">SUM(W332:W339)</f>
        <v>0</v>
      </c>
      <c r="X340" s="51">
        <f t="shared" si="1219"/>
        <v>0</v>
      </c>
      <c r="Y340" s="300"/>
      <c r="Z340" s="301"/>
      <c r="AA340" s="51">
        <f t="shared" ref="AA340:AB340" si="1220">SUM(AA332:AA339)</f>
        <v>38.92</v>
      </c>
      <c r="AB340" s="51">
        <f t="shared" si="1220"/>
        <v>0</v>
      </c>
      <c r="AC340" s="52"/>
      <c r="AD340" s="53"/>
      <c r="AE340" s="51">
        <f t="shared" ref="AE340:AF340" si="1221">SUM(AE332:AE339)</f>
        <v>4466</v>
      </c>
      <c r="AF340" s="51">
        <f t="shared" si="1221"/>
        <v>0</v>
      </c>
      <c r="AG340" s="52"/>
      <c r="AH340" s="301"/>
      <c r="AI340" s="183">
        <f t="shared" ref="AI340:AJ340" si="1222">SUM(AI332:AI339)</f>
        <v>0</v>
      </c>
      <c r="AJ340" s="51">
        <f t="shared" si="1222"/>
        <v>0</v>
      </c>
      <c r="AK340" s="52"/>
      <c r="AL340" s="53"/>
      <c r="AM340" s="183">
        <f t="shared" ref="AM340:AN340" si="1223">SUM(AM332:AM339)</f>
        <v>101.75</v>
      </c>
      <c r="AN340" s="51">
        <f t="shared" si="1223"/>
        <v>5064.19</v>
      </c>
      <c r="AO340" s="52"/>
      <c r="AP340" s="53"/>
      <c r="AQ340" s="183">
        <f t="shared" ref="AQ340:AR340" si="1224">SUM(AQ332:AQ339)</f>
        <v>6.09</v>
      </c>
      <c r="AR340" s="51">
        <f t="shared" si="1224"/>
        <v>0</v>
      </c>
      <c r="AS340" s="52"/>
      <c r="AT340" s="53"/>
      <c r="AU340" s="183">
        <f t="shared" ref="AU340:AV340" si="1225">SUM(AU332:AU339)</f>
        <v>0</v>
      </c>
      <c r="AV340" s="68">
        <f t="shared" si="1225"/>
        <v>0</v>
      </c>
      <c r="AW340" s="52"/>
      <c r="AX340" s="53"/>
      <c r="AY340" s="183">
        <f t="shared" ref="AY340:AZ340" si="1226">SUM(AY332:AY339)</f>
        <v>0</v>
      </c>
      <c r="AZ340" s="68">
        <f t="shared" si="1226"/>
        <v>0</v>
      </c>
      <c r="BA340" s="52"/>
      <c r="BB340" s="53"/>
      <c r="BC340" s="183">
        <f t="shared" ref="BC340:BD340" si="1227">SUM(BC332:BC339)</f>
        <v>0</v>
      </c>
      <c r="BD340" s="68">
        <f t="shared" si="1227"/>
        <v>0</v>
      </c>
      <c r="BE340" s="69"/>
      <c r="BF340" s="70">
        <f t="shared" ref="BF340:BH340" si="1228">SUM(BF332:BF339)</f>
        <v>4612.76</v>
      </c>
      <c r="BG340" s="71">
        <f t="shared" si="1228"/>
        <v>5064.19</v>
      </c>
      <c r="BH340" s="72">
        <f t="shared" si="1228"/>
        <v>2067.33</v>
      </c>
      <c r="BI340" s="34">
        <f>H340+BF340-BG340</f>
        <v>2067.33</v>
      </c>
      <c r="BJ340" s="34">
        <f>BH340-BI340</f>
        <v>0</v>
      </c>
      <c r="BK340" s="2" t="b">
        <f>H340='2020'!BH340</f>
        <v>1</v>
      </c>
    </row>
    <row r="341" ht="14.25" customHeight="1" hidden="1" spans="1:63" x14ac:dyDescent="0.25">
      <c r="A341" s="2">
        <v>38</v>
      </c>
      <c r="B341" s="14"/>
      <c r="D341" s="14" t="s">
        <v>379</v>
      </c>
      <c r="F341" s="13"/>
      <c r="G341" s="28"/>
      <c r="H341" s="34">
        <f>'2020'!BH341</f>
        <v>45.14</v>
      </c>
      <c r="I341" s="13"/>
      <c r="J341" s="15"/>
      <c r="K341" s="15">
        <v>11.47</v>
      </c>
      <c r="L341" s="28"/>
      <c r="M341" s="13"/>
      <c r="N341" s="15"/>
      <c r="O341" s="2">
        <v>10.36</v>
      </c>
      <c r="Q341" s="13"/>
      <c r="R341" s="15"/>
      <c r="S341" s="15">
        <v>11.47</v>
      </c>
      <c r="T341" s="28"/>
      <c r="U341" s="13"/>
      <c r="V341" s="15"/>
      <c r="W341" s="2">
        <v>11.1</v>
      </c>
      <c r="Y341" s="186"/>
      <c r="Z341" s="2"/>
      <c r="AA341" s="15">
        <v>11.47</v>
      </c>
      <c r="AB341" s="28"/>
      <c r="AC341" s="15"/>
      <c r="AD341" s="15"/>
      <c r="AE341" s="2">
        <v>11.1</v>
      </c>
      <c r="AG341" s="15"/>
      <c r="AH341" s="2"/>
      <c r="AI341" s="45"/>
      <c r="AJ341" s="306">
        <v>112.11</v>
      </c>
      <c r="AK341" s="13"/>
      <c r="AM341" s="45"/>
      <c r="AO341" s="13"/>
      <c r="AQ341" s="180"/>
      <c r="AS341" s="13"/>
      <c r="AU341" s="180"/>
      <c r="AW341" s="13"/>
      <c r="AY341" s="180"/>
      <c r="AZ341" s="28"/>
      <c r="BA341" s="13"/>
      <c r="BB341" s="15"/>
      <c r="BC341" s="180"/>
      <c r="BD341" s="28"/>
      <c r="BE341" s="14"/>
      <c r="BF341" s="41">
        <f t="shared" ref="BF341:BG341" si="1229">K341+O341+S341+W341+AA341+AE341+AI341+AM341+AQ341+AU341+AY341+BC341</f>
        <v>66.97</v>
      </c>
      <c r="BG341" s="34">
        <f t="shared" si="1229"/>
        <v>112.11</v>
      </c>
      <c r="BH341" s="35">
        <f t="shared" ref="BH341:BH348" si="1230">H341+BF341-BG341</f>
        <v>0</v>
      </c>
      <c r="BK341" s="2" t="b">
        <f>H341='2020'!BH341</f>
        <v>1</v>
      </c>
    </row>
    <row r="342" ht="14.25" customHeight="1" hidden="1" spans="1:63" x14ac:dyDescent="0.25">
      <c r="A342" s="2">
        <v>38</v>
      </c>
      <c r="B342" s="14">
        <v>4.34</v>
      </c>
      <c r="C342" s="2" t="s">
        <v>167</v>
      </c>
      <c r="D342" s="14" t="s">
        <v>44</v>
      </c>
      <c r="E342" s="2" t="s">
        <v>45</v>
      </c>
      <c r="F342" s="41">
        <v>2.5</v>
      </c>
      <c r="G342" s="35">
        <v>2.6</v>
      </c>
      <c r="H342" s="34">
        <f>'2020'!BH342</f>
        <v>0</v>
      </c>
      <c r="I342" s="13">
        <v>18</v>
      </c>
      <c r="J342" s="15">
        <f>I342-'2020'!BA342</f>
        <v>0</v>
      </c>
      <c r="K342" s="34">
        <f>J342*$F$8</f>
        <v>0</v>
      </c>
      <c r="L342" s="35"/>
      <c r="M342" s="13">
        <v>18</v>
      </c>
      <c r="N342" s="15">
        <f t="shared" ref="N342:N343" si="1231">M342-I342</f>
        <v>0</v>
      </c>
      <c r="O342" s="34">
        <f>N342*$F$8</f>
        <v>0</v>
      </c>
      <c r="Q342" s="13">
        <v>18</v>
      </c>
      <c r="R342" s="15">
        <f t="shared" ref="R342:R343" si="1232">Q342-M342</f>
        <v>0</v>
      </c>
      <c r="S342" s="34">
        <f>R342*$F$8</f>
        <v>0</v>
      </c>
      <c r="T342" s="28"/>
      <c r="U342" s="13">
        <v>18</v>
      </c>
      <c r="V342" s="15">
        <f t="shared" ref="V342:V343" si="1233">U342-Q342</f>
        <v>0</v>
      </c>
      <c r="W342" s="34">
        <f>V342*$F$8</f>
        <v>0</v>
      </c>
      <c r="Y342" s="186">
        <v>18</v>
      </c>
      <c r="Z342" s="2">
        <f t="shared" ref="Z342:Z343" si="1234">Y342-U342</f>
        <v>0</v>
      </c>
      <c r="AA342" s="34">
        <f>Z342*$F$8</f>
        <v>0</v>
      </c>
      <c r="AB342" s="28"/>
      <c r="AC342" s="15">
        <v>18</v>
      </c>
      <c r="AD342" s="15">
        <f t="shared" ref="AD342:AD343" si="1235">AC342-Y342</f>
        <v>0</v>
      </c>
      <c r="AE342" s="180">
        <f>AD342*$F$8</f>
        <v>0</v>
      </c>
      <c r="AG342" s="15">
        <v>19</v>
      </c>
      <c r="AH342" s="2">
        <f t="shared" ref="AH342:AH343" si="1236">AG342-AC342</f>
        <v>1</v>
      </c>
      <c r="AI342" s="45">
        <f>AH342*$G$8</f>
        <v>2.7</v>
      </c>
      <c r="AJ342" s="306">
        <v>2.7</v>
      </c>
      <c r="AK342" s="13">
        <v>19</v>
      </c>
      <c r="AL342" s="15">
        <f t="shared" ref="AL342:AL343" si="1237">AK342-AG342</f>
        <v>0</v>
      </c>
      <c r="AM342" s="45">
        <f>AL342*$G$8</f>
        <v>0</v>
      </c>
      <c r="AN342" s="15"/>
      <c r="AO342" s="13">
        <v>19</v>
      </c>
      <c r="AP342" s="15">
        <f t="shared" ref="AP342:AP343" si="1238">AO342-AK342</f>
        <v>0</v>
      </c>
      <c r="AQ342" s="45">
        <f>AP342*$G$8</f>
        <v>0</v>
      </c>
      <c r="AR342" s="15"/>
      <c r="AS342" s="13">
        <v>19</v>
      </c>
      <c r="AT342" s="15">
        <f t="shared" ref="AT342:AT343" si="1239">AS342-AO342</f>
        <v>0</v>
      </c>
      <c r="AU342" s="45">
        <f t="shared" ref="AU342:AU343" si="1240">AT342*$G$8</f>
        <v>0</v>
      </c>
      <c r="AV342" s="15"/>
      <c r="AW342" s="13">
        <v>19</v>
      </c>
      <c r="AX342" s="15">
        <f t="shared" ref="AX342:AX343" si="1241">AW342-AS342</f>
        <v>0</v>
      </c>
      <c r="AY342" s="45">
        <f>AX342*$G$8</f>
        <v>0</v>
      </c>
      <c r="AZ342" s="208"/>
      <c r="BA342" s="13">
        <v>19</v>
      </c>
      <c r="BB342" s="15">
        <f t="shared" ref="BB342:BB343" si="1242">BA342-AW342</f>
        <v>0</v>
      </c>
      <c r="BC342" s="45">
        <f>BB342*$G$8</f>
        <v>0</v>
      </c>
      <c r="BD342" s="208"/>
      <c r="BE342" s="40">
        <f t="shared" ref="BE342:BG342" si="1243">J342+N342+R342+V342+Z342+AD342+AH342+AL342+AP342+AT342+AX342+BB342</f>
        <v>1</v>
      </c>
      <c r="BF342" s="41">
        <f t="shared" si="1243"/>
        <v>2.7</v>
      </c>
      <c r="BG342" s="34">
        <f t="shared" si="1243"/>
        <v>2.7</v>
      </c>
      <c r="BH342" s="35">
        <f t="shared" si="1230"/>
        <v>0</v>
      </c>
      <c r="BK342" s="2" t="b">
        <f>H342='2020'!BH342</f>
        <v>1</v>
      </c>
    </row>
    <row r="343" ht="14.25" customHeight="1" hidden="1" spans="1:63" x14ac:dyDescent="0.25">
      <c r="A343" s="2">
        <v>38</v>
      </c>
      <c r="B343" s="14"/>
      <c r="C343" s="2" t="s">
        <v>83</v>
      </c>
      <c r="D343" s="14" t="s">
        <v>47</v>
      </c>
      <c r="E343" s="2" t="s">
        <v>48</v>
      </c>
      <c r="F343" s="13">
        <v>18.56</v>
      </c>
      <c r="G343" s="35">
        <v>19.46</v>
      </c>
      <c r="H343" s="34">
        <f>'2020'!BH343</f>
        <v>76.91</v>
      </c>
      <c r="I343" s="13">
        <v>129</v>
      </c>
      <c r="J343" s="15"/>
      <c r="K343" s="15"/>
      <c r="L343" s="35"/>
      <c r="M343" s="13">
        <v>129</v>
      </c>
      <c r="N343" s="15">
        <f t="shared" si="1231"/>
        <v>0</v>
      </c>
      <c r="Q343" s="13">
        <v>129</v>
      </c>
      <c r="R343" s="15">
        <f t="shared" si="1232"/>
        <v>0</v>
      </c>
      <c r="S343" s="15"/>
      <c r="T343" s="28"/>
      <c r="U343" s="13">
        <v>129</v>
      </c>
      <c r="V343" s="15">
        <f t="shared" si="1233"/>
        <v>0</v>
      </c>
      <c r="W343" s="34">
        <f>V343*$F$10</f>
        <v>0</v>
      </c>
      <c r="Y343" s="186">
        <v>129</v>
      </c>
      <c r="Z343" s="2">
        <f t="shared" si="1234"/>
        <v>0</v>
      </c>
      <c r="AA343" s="34">
        <f>Z343*$F$10</f>
        <v>0</v>
      </c>
      <c r="AB343" s="28"/>
      <c r="AC343" s="15">
        <v>129</v>
      </c>
      <c r="AD343" s="15">
        <f t="shared" si="1235"/>
        <v>0</v>
      </c>
      <c r="AE343" s="34">
        <f>AD343*$F$10</f>
        <v>0</v>
      </c>
      <c r="AG343" s="15">
        <v>129</v>
      </c>
      <c r="AH343" s="2">
        <f t="shared" si="1236"/>
        <v>0</v>
      </c>
      <c r="AI343" s="45">
        <f>AH343*$G$10</f>
        <v>0</v>
      </c>
      <c r="AJ343" s="306">
        <v>76.91</v>
      </c>
      <c r="AK343" s="13">
        <v>129</v>
      </c>
      <c r="AL343" s="15">
        <f t="shared" si="1237"/>
        <v>0</v>
      </c>
      <c r="AM343" s="45">
        <f>AL343*$G$10</f>
        <v>0</v>
      </c>
      <c r="AN343" s="34"/>
      <c r="AO343" s="13">
        <v>129</v>
      </c>
      <c r="AP343" s="15">
        <f t="shared" si="1238"/>
        <v>0</v>
      </c>
      <c r="AQ343" s="45">
        <f>AP343*$G$10</f>
        <v>0</v>
      </c>
      <c r="AR343" s="15"/>
      <c r="AS343" s="13">
        <v>129</v>
      </c>
      <c r="AT343" s="15">
        <f t="shared" si="1239"/>
        <v>0</v>
      </c>
      <c r="AU343" s="45">
        <f t="shared" si="1240"/>
        <v>0</v>
      </c>
      <c r="AV343" s="15"/>
      <c r="AW343" s="13">
        <v>129</v>
      </c>
      <c r="AX343" s="15">
        <f t="shared" si="1241"/>
        <v>0</v>
      </c>
      <c r="AY343" s="45"/>
      <c r="AZ343" s="208"/>
      <c r="BA343" s="13">
        <v>129</v>
      </c>
      <c r="BB343" s="15">
        <f t="shared" si="1242"/>
        <v>0</v>
      </c>
      <c r="BC343" s="45"/>
      <c r="BD343" s="208"/>
      <c r="BE343" s="40">
        <f t="shared" ref="BE343:BG343" si="1244">J343+N343+R343+V343+Z343+AD343+AH343+AL343+AP343+AT343+AX343+BB343</f>
        <v>0</v>
      </c>
      <c r="BF343" s="41">
        <f t="shared" si="1244"/>
        <v>0</v>
      </c>
      <c r="BG343" s="34">
        <f t="shared" si="1244"/>
        <v>76.91</v>
      </c>
      <c r="BH343" s="35">
        <f t="shared" si="1230"/>
        <v>0</v>
      </c>
      <c r="BK343" s="2" t="b">
        <f>H343='2020'!BH343</f>
        <v>1</v>
      </c>
    </row>
    <row r="344" ht="14.25" customHeight="1" hidden="1" spans="1:63" x14ac:dyDescent="0.25">
      <c r="A344" s="2">
        <v>38</v>
      </c>
      <c r="B344" s="14"/>
      <c r="C344" s="2" t="s">
        <v>168</v>
      </c>
      <c r="D344" s="14" t="s">
        <v>47</v>
      </c>
      <c r="E344" s="2" t="s">
        <v>49</v>
      </c>
      <c r="F344" s="41">
        <v>500</v>
      </c>
      <c r="G344" s="28"/>
      <c r="H344" s="34">
        <f>'2020'!BH344</f>
        <v>0</v>
      </c>
      <c r="I344" s="13"/>
      <c r="J344" s="15"/>
      <c r="K344" s="15"/>
      <c r="L344" s="28"/>
      <c r="M344" s="13"/>
      <c r="N344" s="15"/>
      <c r="Q344" s="13"/>
      <c r="R344" s="15"/>
      <c r="S344" s="15"/>
      <c r="T344" s="28"/>
      <c r="U344" s="13"/>
      <c r="V344" s="15"/>
      <c r="Y344" s="186"/>
      <c r="Z344" s="2"/>
      <c r="AA344" s="15"/>
      <c r="AB344" s="28"/>
      <c r="AC344" s="15"/>
      <c r="AD344" s="15"/>
      <c r="AG344" s="15"/>
      <c r="AH344" s="2"/>
      <c r="AI344" s="45"/>
      <c r="AJ344" s="154"/>
      <c r="AK344" s="13"/>
      <c r="AL344" s="15"/>
      <c r="AM344" s="45"/>
      <c r="AN344" s="15"/>
      <c r="AO344" s="13"/>
      <c r="AP344" s="15"/>
      <c r="AQ344" s="45"/>
      <c r="AR344" s="15"/>
      <c r="AS344" s="13"/>
      <c r="AT344" s="15"/>
      <c r="AU344" s="45"/>
      <c r="AV344" s="15"/>
      <c r="AW344" s="13"/>
      <c r="AX344" s="15"/>
      <c r="AY344" s="45"/>
      <c r="AZ344" s="28"/>
      <c r="BA344" s="13"/>
      <c r="BB344" s="15"/>
      <c r="BC344" s="45"/>
      <c r="BD344" s="28"/>
      <c r="BE344" s="14"/>
      <c r="BF344" s="41">
        <f t="shared" ref="BF344:BG344" si="1245">K344+O344+S344+W344+AA344+AE344+AI344+AM344+AQ344+AU344+AY344+BC344</f>
        <v>0</v>
      </c>
      <c r="BG344" s="34">
        <f t="shared" si="1245"/>
        <v>0</v>
      </c>
      <c r="BH344" s="35">
        <f t="shared" si="1230"/>
        <v>0</v>
      </c>
      <c r="BK344" s="2" t="b">
        <f>H344='2020'!BH344</f>
        <v>1</v>
      </c>
    </row>
    <row r="345" ht="14.25" customHeight="1" hidden="1" spans="1:63" x14ac:dyDescent="0.25">
      <c r="A345" s="2">
        <v>38</v>
      </c>
      <c r="B345" s="14"/>
      <c r="C345" s="73"/>
      <c r="D345" s="14" t="s">
        <v>50</v>
      </c>
      <c r="E345" s="2" t="s">
        <v>49</v>
      </c>
      <c r="F345" s="41">
        <v>1100</v>
      </c>
      <c r="G345" s="28"/>
      <c r="H345" s="34">
        <f>'2020'!BH345</f>
        <v>3700</v>
      </c>
      <c r="I345" s="13"/>
      <c r="J345" s="15"/>
      <c r="K345" s="15"/>
      <c r="L345" s="28"/>
      <c r="M345" s="13"/>
      <c r="N345" s="15"/>
      <c r="Q345" s="13"/>
      <c r="R345" s="15"/>
      <c r="S345" s="15"/>
      <c r="T345" s="28"/>
      <c r="U345" s="13"/>
      <c r="V345" s="15"/>
      <c r="Y345" s="186"/>
      <c r="Z345" s="2"/>
      <c r="AA345" s="15"/>
      <c r="AB345" s="28"/>
      <c r="AC345" s="15"/>
      <c r="AD345" s="15"/>
      <c r="AE345" s="34">
        <f>B342*$F$12</f>
        <v>4774</v>
      </c>
      <c r="AF345" s="15"/>
      <c r="AG345" s="15"/>
      <c r="AH345" s="2"/>
      <c r="AI345" s="45"/>
      <c r="AJ345" s="326">
        <v>8474</v>
      </c>
      <c r="AK345" s="13"/>
      <c r="AL345" s="15"/>
      <c r="AM345" s="45"/>
      <c r="AN345" s="34"/>
      <c r="AO345" s="13"/>
      <c r="AP345" s="15"/>
      <c r="AQ345" s="45"/>
      <c r="AR345" s="15"/>
      <c r="AS345" s="13"/>
      <c r="AT345" s="15"/>
      <c r="AU345" s="45"/>
      <c r="AV345" s="15"/>
      <c r="AW345" s="13"/>
      <c r="AX345" s="15"/>
      <c r="AY345" s="45"/>
      <c r="AZ345" s="28"/>
      <c r="BA345" s="13"/>
      <c r="BB345" s="15"/>
      <c r="BC345" s="45"/>
      <c r="BD345" s="28"/>
      <c r="BE345" s="14"/>
      <c r="BF345" s="41">
        <f t="shared" ref="BF345:BG345" si="1246">K345+O345+S345+W345+AA345+AE345+AI345+AM345+AQ345+AU345+AY345+BC345</f>
        <v>4774</v>
      </c>
      <c r="BG345" s="34">
        <f t="shared" si="1246"/>
        <v>8474</v>
      </c>
      <c r="BH345" s="35">
        <f t="shared" si="1230"/>
        <v>0</v>
      </c>
      <c r="BK345" s="2" t="b">
        <f>H345='2020'!BH345</f>
        <v>1</v>
      </c>
    </row>
    <row r="346" ht="14.25" customHeight="1" hidden="1" spans="1:63" x14ac:dyDescent="0.25">
      <c r="A346" s="2">
        <v>38</v>
      </c>
      <c r="B346" s="14"/>
      <c r="C346" s="2" t="s">
        <v>400</v>
      </c>
      <c r="D346" s="14" t="s">
        <v>51</v>
      </c>
      <c r="E346" s="2" t="s">
        <v>39</v>
      </c>
      <c r="F346" s="41">
        <v>500</v>
      </c>
      <c r="G346" s="28"/>
      <c r="H346" s="34">
        <f>'2020'!BH346</f>
        <v>500</v>
      </c>
      <c r="I346" s="13"/>
      <c r="J346" s="15"/>
      <c r="K346" s="15"/>
      <c r="L346" s="28"/>
      <c r="M346" s="13"/>
      <c r="N346" s="15"/>
      <c r="Q346" s="13"/>
      <c r="R346" s="15"/>
      <c r="S346" s="15"/>
      <c r="T346" s="28"/>
      <c r="U346" s="13"/>
      <c r="V346" s="15"/>
      <c r="Y346" s="186"/>
      <c r="Z346" s="2"/>
      <c r="AA346" s="15"/>
      <c r="AB346" s="28"/>
      <c r="AC346" s="15"/>
      <c r="AD346" s="15"/>
      <c r="AE346" s="180">
        <f>$F$13</f>
      </c>
      <c r="AG346" s="15"/>
      <c r="AH346" s="2"/>
      <c r="AI346" s="45"/>
      <c r="AJ346" s="326">
        <v>500</v>
      </c>
      <c r="AK346" s="13"/>
      <c r="AL346" s="15"/>
      <c r="AM346" s="45"/>
      <c r="AN346" s="15"/>
      <c r="AO346" s="13"/>
      <c r="AP346" s="15"/>
      <c r="AQ346" s="180"/>
      <c r="AR346" s="15"/>
      <c r="AS346" s="13"/>
      <c r="AT346" s="15"/>
      <c r="AU346" s="45"/>
      <c r="AV346" s="15"/>
      <c r="AW346" s="13"/>
      <c r="AX346" s="15"/>
      <c r="AY346" s="45"/>
      <c r="AZ346" s="28"/>
      <c r="BA346" s="13"/>
      <c r="BB346" s="15"/>
      <c r="BC346" s="45"/>
      <c r="BD346" s="28"/>
      <c r="BE346" s="14"/>
      <c r="BF346" s="41">
        <f t="shared" ref="BF346:BG346" si="1247">K346+O346+S346+W346+AA346+AE346+AI346+AM346+AQ346+AU346+AY346+BC346</f>
        <v>0</v>
      </c>
      <c r="BG346" s="34">
        <f t="shared" si="1247"/>
        <v>500</v>
      </c>
      <c r="BH346" s="35">
        <f t="shared" si="1230"/>
        <v>0</v>
      </c>
      <c r="BK346" s="2" t="b">
        <f>H346='2020'!BH346</f>
        <v>1</v>
      </c>
    </row>
    <row r="347" ht="14.25" customHeight="1" hidden="1" spans="1:63" x14ac:dyDescent="0.25">
      <c r="A347" s="2">
        <v>38</v>
      </c>
      <c r="B347" s="14"/>
      <c r="D347" s="14" t="s">
        <v>51</v>
      </c>
      <c r="E347" s="2" t="s">
        <v>49</v>
      </c>
      <c r="F347" s="41">
        <v>500</v>
      </c>
      <c r="G347" s="28"/>
      <c r="H347" s="34">
        <f>'2020'!BH347</f>
        <v>2170</v>
      </c>
      <c r="I347" s="13"/>
      <c r="J347" s="15"/>
      <c r="K347" s="15"/>
      <c r="L347" s="28"/>
      <c r="M347" s="13"/>
      <c r="N347" s="15"/>
      <c r="Q347" s="13"/>
      <c r="R347" s="15"/>
      <c r="S347" s="15"/>
      <c r="T347" s="28"/>
      <c r="U347" s="13"/>
      <c r="V347" s="15"/>
      <c r="Y347" s="186"/>
      <c r="Z347" s="2"/>
      <c r="AA347" s="15"/>
      <c r="AB347" s="28"/>
      <c r="AC347" s="15"/>
      <c r="AD347" s="15"/>
      <c r="AE347" s="34"/>
      <c r="AG347" s="15"/>
      <c r="AH347" s="2"/>
      <c r="AI347" s="45"/>
      <c r="AJ347" s="326">
        <v>2170</v>
      </c>
      <c r="AK347" s="13"/>
      <c r="AL347" s="15"/>
      <c r="AM347" s="45"/>
      <c r="AN347" s="15"/>
      <c r="AO347" s="13"/>
      <c r="AP347" s="15"/>
      <c r="AQ347" s="180">
        <f>B342*$F$14</f>
        <v>0</v>
      </c>
      <c r="AR347" s="15"/>
      <c r="AS347" s="13"/>
      <c r="AT347" s="15"/>
      <c r="AU347" s="45"/>
      <c r="AV347" s="15"/>
      <c r="AW347" s="13"/>
      <c r="AX347" s="15"/>
      <c r="AY347" s="45"/>
      <c r="AZ347" s="28"/>
      <c r="BA347" s="13"/>
      <c r="BB347" s="15"/>
      <c r="BC347" s="45"/>
      <c r="BD347" s="28"/>
      <c r="BE347" s="14"/>
      <c r="BF347" s="41">
        <f t="shared" ref="BF347:BG347" si="1248">K347+O347+S347+W347+AA347+AE347+AI347+AM347+AQ347+AU347+AY347+BC347</f>
        <v>0</v>
      </c>
      <c r="BG347" s="34">
        <f t="shared" si="1248"/>
        <v>2170</v>
      </c>
      <c r="BH347" s="35">
        <f t="shared" si="1230"/>
        <v>0</v>
      </c>
      <c r="BK347" s="2" t="b">
        <f>H347='2020'!BH347</f>
        <v>1</v>
      </c>
    </row>
    <row r="348" ht="14.25" customHeight="1" hidden="1" spans="1:63" x14ac:dyDescent="0.25">
      <c r="A348" s="2">
        <v>38</v>
      </c>
      <c r="B348" s="14"/>
      <c r="C348" s="2" t="s">
        <v>401</v>
      </c>
      <c r="D348" s="14" t="s">
        <v>52</v>
      </c>
      <c r="E348" s="2" t="s">
        <v>39</v>
      </c>
      <c r="F348" s="41">
        <v>500</v>
      </c>
      <c r="G348" s="28"/>
      <c r="H348" s="34">
        <f>'2020'!BH348</f>
        <v>0</v>
      </c>
      <c r="I348" s="13"/>
      <c r="J348" s="15"/>
      <c r="K348" s="15"/>
      <c r="L348" s="28"/>
      <c r="M348" s="13"/>
      <c r="N348" s="15"/>
      <c r="Q348" s="13"/>
      <c r="R348" s="15"/>
      <c r="S348" s="15"/>
      <c r="T348" s="28"/>
      <c r="U348" s="13"/>
      <c r="V348" s="15"/>
      <c r="Y348" s="186"/>
      <c r="Z348" s="2"/>
      <c r="AA348" s="34">
        <f>$F$15</f>
      </c>
      <c r="AB348" s="35"/>
      <c r="AC348" s="15"/>
      <c r="AD348" s="15"/>
      <c r="AG348" s="15"/>
      <c r="AH348" s="2"/>
      <c r="AI348" s="45"/>
      <c r="AJ348" s="180"/>
      <c r="AK348" s="13"/>
      <c r="AL348" s="15"/>
      <c r="AM348" s="45"/>
      <c r="AN348" s="15"/>
      <c r="AO348" s="13"/>
      <c r="AP348" s="15"/>
      <c r="AQ348" s="45"/>
      <c r="AR348" s="15"/>
      <c r="AS348" s="13"/>
      <c r="AT348" s="15"/>
      <c r="AU348" s="45"/>
      <c r="AV348" s="15"/>
      <c r="AW348" s="13"/>
      <c r="AX348" s="15"/>
      <c r="AY348" s="45"/>
      <c r="AZ348" s="35"/>
      <c r="BA348" s="13"/>
      <c r="BB348" s="15"/>
      <c r="BC348" s="45"/>
      <c r="BD348" s="35"/>
      <c r="BE348" s="14"/>
      <c r="BF348" s="41">
        <f t="shared" ref="BF348:BG348" si="1249">K348+O348+S348+W348+AA348+AE348+AI348+AM348+AQ348+AU348+AY348+BC348</f>
        <v>0</v>
      </c>
      <c r="BG348" s="34">
        <f t="shared" si="1249"/>
        <v>0</v>
      </c>
      <c r="BH348" s="35">
        <f t="shared" si="1230"/>
        <v>0</v>
      </c>
      <c r="BK348" s="2" t="b">
        <f>H348='2020'!BH348</f>
        <v>1</v>
      </c>
    </row>
    <row r="349" ht="14.25" customHeight="1" hidden="1" spans="1:63" x14ac:dyDescent="0.25">
      <c r="A349" s="247">
        <v>38</v>
      </c>
      <c r="B349" s="21"/>
      <c r="C349" s="22" t="s">
        <v>53</v>
      </c>
      <c r="D349" s="21"/>
      <c r="E349" s="22"/>
      <c r="F349" s="20"/>
      <c r="G349" s="23"/>
      <c r="H349" s="51">
        <f>SUM(H341:H348)</f>
        <v>6492.05</v>
      </c>
      <c r="I349" s="52"/>
      <c r="J349" s="53"/>
      <c r="K349" s="51">
        <f t="shared" ref="K349:L349" si="1250">SUM(K341:K348)</f>
        <v>11.47</v>
      </c>
      <c r="L349" s="68">
        <f t="shared" si="1250"/>
        <v>0</v>
      </c>
      <c r="M349" s="52"/>
      <c r="N349" s="53"/>
      <c r="O349" s="51">
        <f t="shared" ref="O349:P349" si="1251">SUM(O341:O348)</f>
        <v>10.36</v>
      </c>
      <c r="P349" s="51">
        <f t="shared" si="1251"/>
        <v>0</v>
      </c>
      <c r="Q349" s="52"/>
      <c r="R349" s="53"/>
      <c r="S349" s="51">
        <f t="shared" ref="S349:T349" si="1252">SUM(S341:S348)</f>
        <v>11.47</v>
      </c>
      <c r="T349" s="51">
        <f t="shared" si="1252"/>
        <v>0</v>
      </c>
      <c r="U349" s="52"/>
      <c r="V349" s="53"/>
      <c r="W349" s="51">
        <f t="shared" ref="W349:X349" si="1253">SUM(W341:W348)</f>
        <v>11.1</v>
      </c>
      <c r="X349" s="51">
        <f t="shared" si="1253"/>
        <v>0</v>
      </c>
      <c r="Y349" s="300"/>
      <c r="Z349" s="301"/>
      <c r="AA349" s="51">
        <f t="shared" ref="AA349:AB349" si="1254">SUM(AA341:AA348)</f>
        <v>11.47</v>
      </c>
      <c r="AB349" s="51">
        <f t="shared" si="1254"/>
        <v>0</v>
      </c>
      <c r="AC349" s="52"/>
      <c r="AD349" s="53"/>
      <c r="AE349" s="51">
        <f t="shared" ref="AE349:AF349" si="1255">SUM(AE341:AE348)</f>
        <v>4785.1</v>
      </c>
      <c r="AF349" s="51">
        <f t="shared" si="1255"/>
        <v>0</v>
      </c>
      <c r="AG349" s="52"/>
      <c r="AH349" s="301"/>
      <c r="AI349" s="183">
        <f t="shared" ref="AI349:AJ349" si="1256">SUM(AI341:AI348)</f>
        <v>2.7</v>
      </c>
      <c r="AJ349" s="51">
        <f t="shared" si="1256"/>
        <v>11335.72</v>
      </c>
      <c r="AK349" s="52"/>
      <c r="AL349" s="53"/>
      <c r="AM349" s="183">
        <f t="shared" ref="AM349:AN349" si="1257">SUM(AM341:AM348)</f>
        <v>0</v>
      </c>
      <c r="AN349" s="51">
        <f t="shared" si="1257"/>
        <v>0</v>
      </c>
      <c r="AO349" s="52"/>
      <c r="AP349" s="53"/>
      <c r="AQ349" s="183">
        <f t="shared" ref="AQ349:AR349" si="1258">SUM(AQ341:AQ348)</f>
        <v>0</v>
      </c>
      <c r="AR349" s="51">
        <f t="shared" si="1258"/>
        <v>0</v>
      </c>
      <c r="AS349" s="52"/>
      <c r="AT349" s="53"/>
      <c r="AU349" s="183">
        <f t="shared" ref="AU349:AV349" si="1259">SUM(AU341:AU348)</f>
        <v>0</v>
      </c>
      <c r="AV349" s="68">
        <f t="shared" si="1259"/>
        <v>0</v>
      </c>
      <c r="AW349" s="52"/>
      <c r="AX349" s="53"/>
      <c r="AY349" s="183">
        <f t="shared" ref="AY349:AZ349" si="1260">SUM(AY341:AY348)</f>
        <v>0</v>
      </c>
      <c r="AZ349" s="68">
        <f t="shared" si="1260"/>
        <v>0</v>
      </c>
      <c r="BA349" s="52"/>
      <c r="BB349" s="53"/>
      <c r="BC349" s="183">
        <f t="shared" ref="BC349:BD349" si="1261">SUM(BC341:BC348)</f>
        <v>0</v>
      </c>
      <c r="BD349" s="68">
        <f t="shared" si="1261"/>
        <v>0</v>
      </c>
      <c r="BE349" s="69"/>
      <c r="BF349" s="70">
        <f t="shared" ref="BF349:BH349" si="1262">SUM(BF341:BF348)</f>
        <v>4843.67</v>
      </c>
      <c r="BG349" s="71">
        <f t="shared" si="1262"/>
        <v>11335.72</v>
      </c>
      <c r="BH349" s="72">
        <f t="shared" si="1262"/>
        <v>0</v>
      </c>
      <c r="BI349" s="34">
        <f>H349+BF349-BG349</f>
        <v>0</v>
      </c>
      <c r="BJ349" s="34">
        <f>BH349-BI349</f>
        <v>0</v>
      </c>
      <c r="BK349" s="2" t="b">
        <f>H349='2020'!BH349</f>
        <v>1</v>
      </c>
    </row>
    <row r="350" ht="14.25" customHeight="1" hidden="1" spans="1:63" x14ac:dyDescent="0.25">
      <c r="A350" s="2">
        <v>39</v>
      </c>
      <c r="B350" s="14"/>
      <c r="D350" s="14" t="s">
        <v>379</v>
      </c>
      <c r="F350" s="13"/>
      <c r="G350" s="28"/>
      <c r="H350" s="34">
        <f>'2020'!BH350</f>
        <v>8.7</v>
      </c>
      <c r="I350" s="13"/>
      <c r="J350" s="15"/>
      <c r="K350" s="15"/>
      <c r="L350" s="28"/>
      <c r="M350" s="13"/>
      <c r="N350" s="15"/>
      <c r="Q350" s="13"/>
      <c r="R350" s="15"/>
      <c r="S350" s="15"/>
      <c r="T350" s="28"/>
      <c r="U350" s="13"/>
      <c r="V350" s="15"/>
      <c r="Y350" s="186"/>
      <c r="Z350" s="2"/>
      <c r="AA350" s="15"/>
      <c r="AB350" s="32">
        <v>8.7</v>
      </c>
      <c r="AC350" s="15"/>
      <c r="AD350" s="15"/>
      <c r="AG350" s="15"/>
      <c r="AH350" s="2"/>
      <c r="AI350" s="45"/>
      <c r="AJ350" s="15"/>
      <c r="AK350" s="13"/>
      <c r="AM350" s="45"/>
      <c r="AO350" s="13"/>
      <c r="AQ350" s="45"/>
      <c r="AS350" s="13"/>
      <c r="AU350" s="45"/>
      <c r="AW350" s="13"/>
      <c r="AY350" s="45"/>
      <c r="AZ350" s="28"/>
      <c r="BA350" s="13"/>
      <c r="BB350" s="15"/>
      <c r="BC350" s="45"/>
      <c r="BD350" s="28"/>
      <c r="BE350" s="14"/>
      <c r="BF350" s="41">
        <f t="shared" ref="BF350:BG350" si="1263">K350+O350+S350+W350+AA350+AE350+AI350+AM350+AQ350+AU350+AY350+BC350</f>
        <v>0</v>
      </c>
      <c r="BG350" s="34">
        <f t="shared" si="1263"/>
        <v>8.7</v>
      </c>
      <c r="BH350" s="35">
        <f t="shared" ref="BH350:BH357" si="1264">H350+BF350-BG350</f>
        <v>0</v>
      </c>
      <c r="BK350" s="2" t="b">
        <f>H350='2020'!BH350</f>
        <v>1</v>
      </c>
    </row>
    <row r="351" ht="14.25" customHeight="1" hidden="1" spans="1:63" x14ac:dyDescent="0.25">
      <c r="A351" s="2">
        <v>39</v>
      </c>
      <c r="B351" s="42">
        <v>4</v>
      </c>
      <c r="C351" s="2" t="s">
        <v>402</v>
      </c>
      <c r="D351" s="14" t="s">
        <v>44</v>
      </c>
      <c r="E351" s="2" t="s">
        <v>45</v>
      </c>
      <c r="F351" s="41">
        <v>2.5</v>
      </c>
      <c r="G351" s="35">
        <v>2.6</v>
      </c>
      <c r="H351" s="34">
        <f>'2020'!BH351</f>
        <v>-774.15</v>
      </c>
      <c r="I351" s="13">
        <v>209</v>
      </c>
      <c r="J351" s="15">
        <f>I351-'2020'!BA351</f>
        <v>0</v>
      </c>
      <c r="K351" s="34">
        <f>J351*$F$8</f>
        <v>0</v>
      </c>
      <c r="L351" s="28"/>
      <c r="M351" s="13">
        <v>209</v>
      </c>
      <c r="N351" s="15">
        <f t="shared" ref="N351:N352" si="1265">M351-I351</f>
        <v>0</v>
      </c>
      <c r="O351" s="34">
        <f>N351*$F$8</f>
        <v>0</v>
      </c>
      <c r="Q351" s="13">
        <v>209</v>
      </c>
      <c r="R351" s="15">
        <f t="shared" ref="R351:R352" si="1266">Q351-M351</f>
        <v>0</v>
      </c>
      <c r="S351" s="34">
        <f>R351*$F$8</f>
        <v>0</v>
      </c>
      <c r="T351" s="28"/>
      <c r="U351" s="13">
        <v>209</v>
      </c>
      <c r="V351" s="15">
        <f t="shared" ref="V351:V352" si="1267">U351-Q351</f>
        <v>0</v>
      </c>
      <c r="W351" s="34">
        <f>V351*$F$8</f>
        <v>0</v>
      </c>
      <c r="X351" s="34"/>
      <c r="Y351" s="186">
        <v>278</v>
      </c>
      <c r="Z351" s="2">
        <f t="shared" ref="Z351:Z352" si="1268">Y351-U351</f>
        <v>69</v>
      </c>
      <c r="AA351" s="34">
        <f>Z351*$F$8</f>
        <v>179.4</v>
      </c>
      <c r="AB351" s="32">
        <v>3491.3</v>
      </c>
      <c r="AC351" s="15">
        <v>399</v>
      </c>
      <c r="AD351" s="15">
        <f t="shared" ref="AD351:AD352" si="1269">AC351-Y351</f>
        <v>121</v>
      </c>
      <c r="AE351" s="180">
        <f>AD351*$F$8</f>
        <v>314.6</v>
      </c>
      <c r="AG351" s="15">
        <v>397</v>
      </c>
      <c r="AH351" s="15">
        <v>397</v>
      </c>
      <c r="AI351" s="45">
        <f>AH351*$G$8</f>
        <v>1071.9</v>
      </c>
      <c r="AJ351" s="15"/>
      <c r="AK351" s="13">
        <v>450</v>
      </c>
      <c r="AL351" s="15">
        <f t="shared" ref="AL351:AL352" si="1270">AK351-AG351</f>
        <v>53</v>
      </c>
      <c r="AM351" s="45">
        <f>AL351*$G$8</f>
        <v>143.1</v>
      </c>
      <c r="AN351" s="15"/>
      <c r="AO351" s="13">
        <v>897</v>
      </c>
      <c r="AP351" s="15">
        <f t="shared" ref="AP351:AP352" si="1271">AO351-AK351</f>
        <v>447</v>
      </c>
      <c r="AQ351" s="45">
        <f>AP351*$F$8</f>
        <v>1162.2</v>
      </c>
      <c r="AR351" s="1">
        <v>9775.15</v>
      </c>
      <c r="AS351" s="13">
        <v>1030</v>
      </c>
      <c r="AT351" s="15">
        <f t="shared" ref="AT351:AT352" si="1272">AS351-AO351</f>
        <v>133</v>
      </c>
      <c r="AU351" s="45">
        <f>AT351*$G$8</f>
        <v>359.1</v>
      </c>
      <c r="AV351" s="15"/>
      <c r="AW351" s="13">
        <v>1093</v>
      </c>
      <c r="AX351" s="15">
        <f t="shared" ref="AX351:AX352" si="1273">AW351-AS351</f>
        <v>63</v>
      </c>
      <c r="AY351" s="45">
        <f>AX351*$G$8</f>
        <v>170.1</v>
      </c>
      <c r="AZ351" s="208"/>
      <c r="BA351" s="13">
        <v>1093</v>
      </c>
      <c r="BB351" s="15">
        <f t="shared" ref="BB351:BB352" si="1274">BA351-AW351</f>
        <v>0</v>
      </c>
      <c r="BC351" s="45">
        <f>BB351*$G$8</f>
        <v>0</v>
      </c>
      <c r="BD351" s="208"/>
      <c r="BE351" s="40">
        <f t="shared" ref="BE351:BG351" si="1275">J351+N351+R351+V351+Z351+AD351+AH351+AL351+AP351+AT351+AX351+BB351</f>
        <v>1283</v>
      </c>
      <c r="BF351" s="41">
        <f t="shared" si="1275"/>
        <v>3400.4</v>
      </c>
      <c r="BG351" s="34">
        <f t="shared" si="1275"/>
        <v>13266.45</v>
      </c>
      <c r="BH351" s="35">
        <f t="shared" si="1264"/>
        <v>-10640.2</v>
      </c>
      <c r="BK351" s="2" t="b">
        <f>H351='2020'!BH351</f>
        <v>1</v>
      </c>
    </row>
    <row r="352" ht="14.25" customHeight="1" hidden="1" spans="1:63" x14ac:dyDescent="0.25">
      <c r="A352" s="2">
        <v>39</v>
      </c>
      <c r="B352" s="14"/>
      <c r="C352" s="2" t="s">
        <v>499</v>
      </c>
      <c r="D352" s="14" t="s">
        <v>47</v>
      </c>
      <c r="E352" s="2" t="s">
        <v>48</v>
      </c>
      <c r="F352" s="13">
        <v>18.56</v>
      </c>
      <c r="G352" s="35">
        <v>19.46</v>
      </c>
      <c r="H352" s="34">
        <f>'2020'!BH352</f>
        <v>81.66</v>
      </c>
      <c r="I352" s="13">
        <v>65</v>
      </c>
      <c r="J352" s="15"/>
      <c r="K352" s="15"/>
      <c r="L352" s="28"/>
      <c r="M352" s="13">
        <v>65</v>
      </c>
      <c r="N352" s="15">
        <f t="shared" si="1265"/>
        <v>0</v>
      </c>
      <c r="Q352" s="13">
        <v>65</v>
      </c>
      <c r="R352" s="15">
        <f t="shared" si="1266"/>
        <v>0</v>
      </c>
      <c r="S352" s="15"/>
      <c r="T352" s="28"/>
      <c r="U352" s="13">
        <v>65</v>
      </c>
      <c r="V352" s="15">
        <f t="shared" si="1267"/>
        <v>0</v>
      </c>
      <c r="W352" s="180">
        <f>V352*$F$10</f>
        <v>0</v>
      </c>
      <c r="Y352" s="186">
        <v>67</v>
      </c>
      <c r="Z352" s="2">
        <f t="shared" si="1268"/>
        <v>2</v>
      </c>
      <c r="AA352" s="34">
        <f>Z352*$F$10</f>
        <v>38.92</v>
      </c>
      <c r="AB352" s="32">
        <v>500</v>
      </c>
      <c r="AC352" s="15">
        <v>74</v>
      </c>
      <c r="AD352" s="15">
        <f t="shared" si="1269"/>
        <v>7</v>
      </c>
      <c r="AE352" s="34">
        <f>AD352*$F$10</f>
        <v>136.22</v>
      </c>
      <c r="AF352" s="180"/>
      <c r="AG352" s="15">
        <v>84</v>
      </c>
      <c r="AH352" s="2">
        <f>AG352-AC352</f>
        <v>10</v>
      </c>
      <c r="AI352" s="45">
        <f>AH352*$G$10</f>
        <v>203.5</v>
      </c>
      <c r="AJ352" s="15"/>
      <c r="AK352" s="13">
        <v>93</v>
      </c>
      <c r="AL352" s="15">
        <f t="shared" si="1270"/>
        <v>9</v>
      </c>
      <c r="AM352" s="45">
        <f>AL352*$G$10</f>
        <v>183.15</v>
      </c>
      <c r="AN352" s="15"/>
      <c r="AO352" s="13">
        <v>97</v>
      </c>
      <c r="AP352" s="15">
        <f t="shared" si="1271"/>
        <v>4</v>
      </c>
      <c r="AQ352" s="45">
        <f>AP352*$G$10</f>
        <v>81.4</v>
      </c>
      <c r="AR352" s="1">
        <v>224.85</v>
      </c>
      <c r="AS352" s="13">
        <v>97</v>
      </c>
      <c r="AT352" s="15">
        <f t="shared" si="1272"/>
        <v>0</v>
      </c>
      <c r="AU352" s="45">
        <f>AT352*$G$10</f>
        <v>0</v>
      </c>
      <c r="AV352" s="15"/>
      <c r="AW352" s="13">
        <v>97</v>
      </c>
      <c r="AX352" s="15">
        <f t="shared" si="1273"/>
        <v>0</v>
      </c>
      <c r="AY352" s="45"/>
      <c r="AZ352" s="208"/>
      <c r="BA352" s="13">
        <v>97</v>
      </c>
      <c r="BB352" s="15">
        <f t="shared" si="1274"/>
        <v>0</v>
      </c>
      <c r="BC352" s="45"/>
      <c r="BD352" s="208"/>
      <c r="BE352" s="40">
        <f t="shared" ref="BE352:BG352" si="1276">J352+N352+R352+V352+Z352+AD352+AH352+AL352+AP352+AT352+AX352+BB352</f>
        <v>32</v>
      </c>
      <c r="BF352" s="41">
        <f t="shared" si="1276"/>
        <v>643.19</v>
      </c>
      <c r="BG352" s="34">
        <f t="shared" si="1276"/>
        <v>724.85</v>
      </c>
      <c r="BH352" s="35">
        <f t="shared" si="1264"/>
        <v>0</v>
      </c>
      <c r="BK352" s="2" t="b">
        <f>H352='2020'!BH352</f>
        <v>1</v>
      </c>
    </row>
    <row r="353" ht="14.25" customHeight="1" hidden="1" spans="1:63" x14ac:dyDescent="0.25">
      <c r="A353" s="2">
        <v>39</v>
      </c>
      <c r="B353" s="14"/>
      <c r="C353" s="2" t="s">
        <v>500</v>
      </c>
      <c r="D353" s="14" t="s">
        <v>47</v>
      </c>
      <c r="E353" s="2" t="s">
        <v>49</v>
      </c>
      <c r="F353" s="41">
        <v>500</v>
      </c>
      <c r="G353" s="28"/>
      <c r="H353" s="34">
        <f>'2020'!BH353</f>
        <v>0</v>
      </c>
      <c r="I353" s="13"/>
      <c r="J353" s="15"/>
      <c r="K353" s="15"/>
      <c r="L353" s="28"/>
      <c r="M353" s="13"/>
      <c r="N353" s="15"/>
      <c r="Q353" s="13"/>
      <c r="R353" s="15"/>
      <c r="S353" s="15"/>
      <c r="T353" s="28"/>
      <c r="U353" s="13"/>
      <c r="V353" s="15"/>
      <c r="Y353" s="186"/>
      <c r="Z353" s="2"/>
      <c r="AA353" s="34"/>
      <c r="AB353" s="32"/>
      <c r="AC353" s="15"/>
      <c r="AD353" s="15"/>
      <c r="AG353" s="15"/>
      <c r="AH353" s="2"/>
      <c r="AI353" s="45"/>
      <c r="AJ353" s="15"/>
      <c r="AK353" s="13"/>
      <c r="AL353" s="15"/>
      <c r="AM353" s="45"/>
      <c r="AN353" s="15"/>
      <c r="AO353" s="13"/>
      <c r="AP353" s="15"/>
      <c r="AQ353" s="45"/>
      <c r="AR353" s="1"/>
      <c r="AS353" s="13"/>
      <c r="AT353" s="15"/>
      <c r="AU353" s="45"/>
      <c r="AV353" s="15"/>
      <c r="AW353" s="13"/>
      <c r="AX353" s="15"/>
      <c r="AY353" s="45"/>
      <c r="AZ353" s="28"/>
      <c r="BA353" s="13"/>
      <c r="BB353" s="15"/>
      <c r="BC353" s="45"/>
      <c r="BD353" s="28"/>
      <c r="BE353" s="14"/>
      <c r="BF353" s="41">
        <f t="shared" ref="BF353:BG353" si="1277">K353+O353+S353+W353+AA353+AE353+AI353+AM353+AQ353+AU353+AY353+BC353</f>
        <v>0</v>
      </c>
      <c r="BG353" s="34">
        <f t="shared" si="1277"/>
        <v>0</v>
      </c>
      <c r="BH353" s="35">
        <f t="shared" si="1264"/>
        <v>0</v>
      </c>
      <c r="BK353" s="2" t="b">
        <f>H353='2020'!BH353</f>
        <v>1</v>
      </c>
    </row>
    <row r="354" ht="14.25" customHeight="1" hidden="1" spans="1:63" x14ac:dyDescent="0.25">
      <c r="A354" s="2">
        <v>39</v>
      </c>
      <c r="B354" s="14"/>
      <c r="C354" s="15" t="s">
        <v>403</v>
      </c>
      <c r="D354" s="14" t="s">
        <v>50</v>
      </c>
      <c r="E354" s="2" t="s">
        <v>49</v>
      </c>
      <c r="F354" s="41">
        <v>1100</v>
      </c>
      <c r="G354" s="28"/>
      <c r="H354" s="34">
        <f>'2020'!BH354</f>
        <v>0</v>
      </c>
      <c r="I354" s="13"/>
      <c r="J354" s="15"/>
      <c r="K354" s="15"/>
      <c r="L354" s="28"/>
      <c r="M354" s="13"/>
      <c r="N354" s="15"/>
      <c r="Q354" s="13"/>
      <c r="R354" s="15"/>
      <c r="S354" s="15"/>
      <c r="T354" s="28"/>
      <c r="U354" s="13"/>
      <c r="V354" s="15"/>
      <c r="Y354" s="186"/>
      <c r="Z354" s="2"/>
      <c r="AA354" s="15"/>
      <c r="AB354" s="32">
        <v>9000</v>
      </c>
      <c r="AC354" s="15"/>
      <c r="AD354" s="15"/>
      <c r="AE354" s="34">
        <f>B351*$F$12</f>
        <v>4400</v>
      </c>
      <c r="AF354" s="180"/>
      <c r="AG354" s="15"/>
      <c r="AH354" s="2"/>
      <c r="AI354" s="45"/>
      <c r="AJ354" s="15"/>
      <c r="AK354" s="13"/>
      <c r="AL354" s="15"/>
      <c r="AM354" s="45"/>
      <c r="AN354" s="15"/>
      <c r="AO354" s="13"/>
      <c r="AP354" s="15"/>
      <c r="AQ354" s="45"/>
      <c r="AR354" s="1"/>
      <c r="AS354" s="13"/>
      <c r="AT354" s="15"/>
      <c r="AU354" s="45"/>
      <c r="AV354" s="15"/>
      <c r="AW354" s="13"/>
      <c r="AX354" s="15"/>
      <c r="AY354" s="45"/>
      <c r="AZ354" s="28"/>
      <c r="BA354" s="13"/>
      <c r="BB354" s="15"/>
      <c r="BC354" s="45"/>
      <c r="BD354" s="28"/>
      <c r="BE354" s="14"/>
      <c r="BF354" s="41">
        <f t="shared" ref="BF354:BG354" si="1278">K354+O354+S354+W354+AA354+AE354+AI354+AM354+AQ354+AU354+AY354+BC354</f>
        <v>4400</v>
      </c>
      <c r="BG354" s="34">
        <f t="shared" si="1278"/>
        <v>9000</v>
      </c>
      <c r="BH354" s="35">
        <f t="shared" si="1264"/>
        <v>-4600</v>
      </c>
      <c r="BK354" s="2" t="b">
        <f>H354='2020'!BH354</f>
        <v>1</v>
      </c>
    </row>
    <row r="355" ht="14.25" customHeight="1" hidden="1" spans="1:63" x14ac:dyDescent="0.25">
      <c r="A355" s="2">
        <v>39</v>
      </c>
      <c r="B355" s="14"/>
      <c r="D355" s="14" t="s">
        <v>51</v>
      </c>
      <c r="E355" s="2" t="s">
        <v>39</v>
      </c>
      <c r="F355" s="41">
        <v>500</v>
      </c>
      <c r="G355" s="28"/>
      <c r="H355" s="34">
        <f>'2020'!BH355</f>
        <v>500</v>
      </c>
      <c r="I355" s="13"/>
      <c r="J355" s="15"/>
      <c r="K355" s="15"/>
      <c r="L355" s="28"/>
      <c r="M355" s="13"/>
      <c r="N355" s="15"/>
      <c r="Q355" s="13"/>
      <c r="R355" s="15"/>
      <c r="S355" s="15"/>
      <c r="T355" s="28"/>
      <c r="U355" s="13"/>
      <c r="V355" s="15"/>
      <c r="Y355" s="186"/>
      <c r="Z355" s="2"/>
      <c r="AA355" s="15"/>
      <c r="AB355" s="32">
        <v>500</v>
      </c>
      <c r="AC355" s="15"/>
      <c r="AD355" s="15"/>
      <c r="AE355" s="180">
        <f>$F$13</f>
      </c>
      <c r="AG355" s="15"/>
      <c r="AH355" s="2"/>
      <c r="AI355" s="45"/>
      <c r="AJ355" s="15"/>
      <c r="AK355" s="13"/>
      <c r="AL355" s="15"/>
      <c r="AM355" s="45"/>
      <c r="AN355" s="15"/>
      <c r="AO355" s="13"/>
      <c r="AP355" s="15"/>
      <c r="AQ355" s="180"/>
      <c r="AR355" s="1"/>
      <c r="AS355" s="13"/>
      <c r="AT355" s="15"/>
      <c r="AU355" s="45"/>
      <c r="AV355" s="15"/>
      <c r="AW355" s="13"/>
      <c r="AX355" s="15"/>
      <c r="AY355" s="45"/>
      <c r="AZ355" s="28"/>
      <c r="BA355" s="13"/>
      <c r="BB355" s="15"/>
      <c r="BC355" s="45"/>
      <c r="BD355" s="28"/>
      <c r="BE355" s="14"/>
      <c r="BF355" s="41">
        <f t="shared" ref="BF355:BG355" si="1279">K355+O355+S355+W355+AA355+AE355+AI355+AM355+AQ355+AU355+AY355+BC355</f>
        <v>0</v>
      </c>
      <c r="BG355" s="34">
        <f t="shared" si="1279"/>
        <v>500</v>
      </c>
      <c r="BH355" s="35">
        <f t="shared" si="1264"/>
        <v>0</v>
      </c>
      <c r="BK355" s="2" t="b">
        <f>H355='2020'!BH355</f>
        <v>1</v>
      </c>
    </row>
    <row r="356" ht="14.25" customHeight="1" hidden="1" spans="1:63" x14ac:dyDescent="0.25">
      <c r="A356" s="2">
        <v>39</v>
      </c>
      <c r="B356" s="14"/>
      <c r="D356" s="14" t="s">
        <v>51</v>
      </c>
      <c r="E356" s="2" t="s">
        <v>49</v>
      </c>
      <c r="F356" s="41">
        <v>500</v>
      </c>
      <c r="G356" s="28"/>
      <c r="H356" s="34">
        <f>'2020'!BH356</f>
        <v>0</v>
      </c>
      <c r="I356" s="13"/>
      <c r="J356" s="15"/>
      <c r="K356" s="15"/>
      <c r="L356" s="28"/>
      <c r="M356" s="13"/>
      <c r="N356" s="15"/>
      <c r="Q356" s="13"/>
      <c r="R356" s="15"/>
      <c r="S356" s="15"/>
      <c r="T356" s="28"/>
      <c r="U356" s="13"/>
      <c r="V356" s="15"/>
      <c r="Y356" s="186"/>
      <c r="Z356" s="2"/>
      <c r="AA356" s="15"/>
      <c r="AB356" s="32"/>
      <c r="AC356" s="15"/>
      <c r="AD356" s="15"/>
      <c r="AE356" s="34"/>
      <c r="AG356" s="15"/>
      <c r="AH356" s="2"/>
      <c r="AI356" s="45"/>
      <c r="AJ356" s="15"/>
      <c r="AK356" s="13"/>
      <c r="AL356" s="15"/>
      <c r="AM356" s="45"/>
      <c r="AN356" s="15"/>
      <c r="AO356" s="13"/>
      <c r="AP356" s="15"/>
      <c r="AQ356" s="180">
        <f>B351*$F$14</f>
        <v>0</v>
      </c>
      <c r="AR356" s="39"/>
      <c r="AS356" s="13"/>
      <c r="AT356" s="15"/>
      <c r="AU356" s="45"/>
      <c r="AV356" s="15"/>
      <c r="AW356" s="13"/>
      <c r="AX356" s="15"/>
      <c r="AY356" s="45"/>
      <c r="AZ356" s="28"/>
      <c r="BA356" s="13"/>
      <c r="BB356" s="15"/>
      <c r="BC356" s="45"/>
      <c r="BD356" s="28"/>
      <c r="BE356" s="14"/>
      <c r="BF356" s="41">
        <f t="shared" ref="BF356:BG356" si="1280">K356+O356+S356+W356+AA356+AE356+AI356+AM356+AQ356+AU356+AY356+BC356</f>
        <v>0</v>
      </c>
      <c r="BG356" s="34">
        <f t="shared" si="1280"/>
        <v>0</v>
      </c>
      <c r="BH356" s="35">
        <f t="shared" si="1264"/>
        <v>0</v>
      </c>
      <c r="BK356" s="2" t="b">
        <f>H356='2020'!BH356</f>
        <v>1</v>
      </c>
    </row>
    <row r="357" ht="14.25" customHeight="1" hidden="1" spans="1:63" x14ac:dyDescent="0.25">
      <c r="A357" s="2">
        <v>39</v>
      </c>
      <c r="B357" s="14"/>
      <c r="C357" s="15"/>
      <c r="D357" s="14" t="s">
        <v>52</v>
      </c>
      <c r="E357" s="2" t="s">
        <v>39</v>
      </c>
      <c r="F357" s="41">
        <v>500</v>
      </c>
      <c r="G357" s="28"/>
      <c r="H357" s="34">
        <f>'2020'!BH357</f>
        <v>0</v>
      </c>
      <c r="I357" s="13"/>
      <c r="J357" s="15"/>
      <c r="K357" s="15"/>
      <c r="L357" s="28"/>
      <c r="M357" s="13"/>
      <c r="N357" s="15"/>
      <c r="Q357" s="13"/>
      <c r="R357" s="15"/>
      <c r="S357" s="15"/>
      <c r="T357" s="28"/>
      <c r="U357" s="13"/>
      <c r="V357" s="15"/>
      <c r="Y357" s="186"/>
      <c r="Z357" s="2"/>
      <c r="AA357" s="34">
        <f>$F$15</f>
      </c>
      <c r="AB357" s="32">
        <v>500</v>
      </c>
      <c r="AC357" s="15"/>
      <c r="AD357" s="15"/>
      <c r="AG357" s="15"/>
      <c r="AH357" s="2"/>
      <c r="AI357" s="45"/>
      <c r="AJ357" s="15"/>
      <c r="AK357" s="13"/>
      <c r="AL357" s="15"/>
      <c r="AM357" s="45"/>
      <c r="AN357" s="15"/>
      <c r="AO357" s="13"/>
      <c r="AP357" s="15"/>
      <c r="AQ357" s="45"/>
      <c r="AR357" s="1"/>
      <c r="AS357" s="13"/>
      <c r="AT357" s="15"/>
      <c r="AU357" s="45"/>
      <c r="AV357" s="15"/>
      <c r="AW357" s="13"/>
      <c r="AX357" s="15"/>
      <c r="AY357" s="45"/>
      <c r="AZ357" s="35"/>
      <c r="BA357" s="13"/>
      <c r="BB357" s="15"/>
      <c r="BC357" s="45"/>
      <c r="BD357" s="35"/>
      <c r="BE357" s="14"/>
      <c r="BF357" s="41">
        <f t="shared" ref="BF357:BG357" si="1281">K357+O357+S357+W357+AA357+AE357+AI357+AM357+AQ357+AU357+AY357+BC357</f>
        <v>0</v>
      </c>
      <c r="BG357" s="34">
        <f t="shared" si="1281"/>
        <v>500</v>
      </c>
      <c r="BH357" s="35">
        <f t="shared" si="1264"/>
        <v>-500</v>
      </c>
      <c r="BK357" s="2" t="b">
        <f>H357='2020'!BH357</f>
        <v>1</v>
      </c>
    </row>
    <row r="358" ht="14.25" customHeight="1" hidden="1" spans="1:63" x14ac:dyDescent="0.25">
      <c r="A358" s="244" t="s">
        <v>173</v>
      </c>
      <c r="B358" s="21"/>
      <c r="C358" s="22" t="s">
        <v>53</v>
      </c>
      <c r="D358" s="21"/>
      <c r="E358" s="22"/>
      <c r="F358" s="20"/>
      <c r="G358" s="23"/>
      <c r="H358" s="51">
        <f>SUM(H350:H357)</f>
        <v>-183.79</v>
      </c>
      <c r="I358" s="52"/>
      <c r="J358" s="53"/>
      <c r="K358" s="51">
        <f t="shared" ref="K358:L358" si="1282">SUM(K350:K357)</f>
        <v>0</v>
      </c>
      <c r="L358" s="68">
        <f t="shared" si="1282"/>
        <v>0</v>
      </c>
      <c r="M358" s="52"/>
      <c r="N358" s="53"/>
      <c r="O358" s="51">
        <f t="shared" ref="O358:P358" si="1283">SUM(O350:O357)</f>
        <v>0</v>
      </c>
      <c r="P358" s="51">
        <f t="shared" si="1283"/>
        <v>0</v>
      </c>
      <c r="Q358" s="52"/>
      <c r="R358" s="53"/>
      <c r="S358" s="51">
        <f t="shared" ref="S358:T358" si="1284">SUM(S350:S357)</f>
        <v>0</v>
      </c>
      <c r="T358" s="51">
        <f t="shared" si="1284"/>
        <v>0</v>
      </c>
      <c r="U358" s="52"/>
      <c r="V358" s="53"/>
      <c r="W358" s="51">
        <f t="shared" ref="W358:X358" si="1285">SUM(W350:W357)</f>
        <v>0</v>
      </c>
      <c r="X358" s="51">
        <f t="shared" si="1285"/>
        <v>0</v>
      </c>
      <c r="Y358" s="300"/>
      <c r="Z358" s="301"/>
      <c r="AA358" s="51">
        <f t="shared" ref="AA358:AB358" si="1286">SUM(AA350:AA357)</f>
        <v>218.32</v>
      </c>
      <c r="AB358" s="51">
        <f t="shared" si="1286"/>
        <v>14000</v>
      </c>
      <c r="AC358" s="52"/>
      <c r="AD358" s="53"/>
      <c r="AE358" s="51">
        <f t="shared" ref="AE358:AF358" si="1287">SUM(AE350:AE357)</f>
        <v>4850.82</v>
      </c>
      <c r="AF358" s="51">
        <f t="shared" si="1287"/>
        <v>0</v>
      </c>
      <c r="AG358" s="52"/>
      <c r="AH358" s="301"/>
      <c r="AI358" s="183">
        <f t="shared" ref="AI358:AJ358" si="1288">SUM(AI350:AI357)</f>
        <v>1275.4</v>
      </c>
      <c r="AJ358" s="51">
        <f t="shared" si="1288"/>
        <v>0</v>
      </c>
      <c r="AK358" s="52"/>
      <c r="AL358" s="53"/>
      <c r="AM358" s="183">
        <f t="shared" ref="AM358:AN358" si="1289">SUM(AM350:AM357)</f>
        <v>326.25</v>
      </c>
      <c r="AN358" s="51">
        <f t="shared" si="1289"/>
        <v>0</v>
      </c>
      <c r="AO358" s="52"/>
      <c r="AP358" s="53"/>
      <c r="AQ358" s="183">
        <f t="shared" ref="AQ358:AR358" si="1290">SUM(AQ350:AQ357)</f>
        <v>1243.6</v>
      </c>
      <c r="AR358" s="329">
        <f t="shared" si="1290"/>
        <v>10000</v>
      </c>
      <c r="AS358" s="52"/>
      <c r="AT358" s="53"/>
      <c r="AU358" s="183">
        <f t="shared" ref="AU358:AV358" si="1291">SUM(AU350:AU357)</f>
        <v>359.1</v>
      </c>
      <c r="AV358" s="68">
        <f t="shared" si="1291"/>
        <v>0</v>
      </c>
      <c r="AW358" s="52"/>
      <c r="AX358" s="53"/>
      <c r="AY358" s="183">
        <f t="shared" ref="AY358:AZ358" si="1292">SUM(AY350:AY357)</f>
        <v>170.1</v>
      </c>
      <c r="AZ358" s="68">
        <f t="shared" si="1292"/>
        <v>0</v>
      </c>
      <c r="BA358" s="52"/>
      <c r="BB358" s="53"/>
      <c r="BC358" s="183">
        <f t="shared" ref="BC358:BD358" si="1293">SUM(BC350:BC357)</f>
        <v>0</v>
      </c>
      <c r="BD358" s="68">
        <f t="shared" si="1293"/>
        <v>0</v>
      </c>
      <c r="BE358" s="69"/>
      <c r="BF358" s="70">
        <f t="shared" ref="BF358:BH358" si="1294">SUM(BF350:BF357)</f>
        <v>8443.59</v>
      </c>
      <c r="BG358" s="71">
        <f t="shared" si="1294"/>
        <v>24000</v>
      </c>
      <c r="BH358" s="72">
        <f t="shared" si="1294"/>
        <v>-15740.2</v>
      </c>
      <c r="BI358" s="34">
        <f>H358+BF358-BG358</f>
        <v>-15740.2</v>
      </c>
      <c r="BJ358" s="34">
        <f>BH358-BI358</f>
        <v>0</v>
      </c>
      <c r="BK358" s="2" t="b">
        <f>H358='2020'!BH358</f>
        <v>1</v>
      </c>
    </row>
    <row r="359" ht="14.25" customHeight="1" hidden="1" spans="1:63" x14ac:dyDescent="0.25">
      <c r="A359" s="2">
        <v>40</v>
      </c>
      <c r="B359" s="14"/>
      <c r="D359" s="178" t="s">
        <v>486</v>
      </c>
      <c r="F359" s="13"/>
      <c r="G359" s="28"/>
      <c r="H359" s="34">
        <f>'2020'!BH359</f>
        <v>0</v>
      </c>
      <c r="I359" s="13"/>
      <c r="J359" s="15"/>
      <c r="K359" s="15"/>
      <c r="L359" s="28"/>
      <c r="M359" s="13"/>
      <c r="N359" s="15"/>
      <c r="Q359" s="13"/>
      <c r="R359" s="15"/>
      <c r="S359" s="15"/>
      <c r="T359" s="28"/>
      <c r="U359" s="13"/>
      <c r="V359" s="15"/>
      <c r="W359" s="153"/>
      <c r="Y359" s="186"/>
      <c r="Z359" s="2"/>
      <c r="AA359" s="15"/>
      <c r="AB359" s="35"/>
      <c r="AC359" s="15"/>
      <c r="AD359" s="15"/>
      <c r="AG359" s="15"/>
      <c r="AH359" s="2"/>
      <c r="AI359" s="45"/>
      <c r="AJ359" s="15"/>
      <c r="AK359" s="13"/>
      <c r="AM359" s="45"/>
      <c r="AO359" s="13"/>
      <c r="AQ359" s="45">
        <v>13.24</v>
      </c>
      <c r="AS359" s="13"/>
      <c r="AU359" s="45"/>
      <c r="AW359" s="13"/>
      <c r="AY359" s="45"/>
      <c r="AZ359" s="28"/>
      <c r="BA359" s="13"/>
      <c r="BB359" s="15"/>
      <c r="BC359" s="45"/>
      <c r="BD359" s="28"/>
      <c r="BE359" s="14"/>
      <c r="BF359" s="41">
        <f t="shared" ref="BF359:BG359" si="1295">K359+O359+S359+W359+AA359+AE359+AI359+AM359+AQ359+AU359+AY359+BC359</f>
        <v>13.24</v>
      </c>
      <c r="BG359" s="34">
        <f t="shared" si="1295"/>
        <v>0</v>
      </c>
      <c r="BH359" s="35">
        <f t="shared" ref="BH359:BH366" si="1296">H359+BF359-BG359</f>
        <v>13.24</v>
      </c>
      <c r="BK359" s="2" t="b">
        <f>H359='2020'!BH359</f>
        <v>1</v>
      </c>
    </row>
    <row r="360" ht="14.25" customHeight="1" hidden="1" spans="1:63" x14ac:dyDescent="0.25">
      <c r="A360" s="2">
        <v>40</v>
      </c>
      <c r="B360" s="14">
        <v>4.92</v>
      </c>
      <c r="C360" s="2" t="s">
        <v>174</v>
      </c>
      <c r="D360" s="14" t="s">
        <v>44</v>
      </c>
      <c r="E360" s="2" t="s">
        <v>45</v>
      </c>
      <c r="F360" s="41">
        <v>2.5</v>
      </c>
      <c r="G360" s="35">
        <v>2.6</v>
      </c>
      <c r="H360" s="34">
        <f>'2020'!BH360</f>
        <v>1267.13</v>
      </c>
      <c r="I360" s="13">
        <v>34240</v>
      </c>
      <c r="J360" s="15">
        <f>I360-'2020'!BA360</f>
        <v>735</v>
      </c>
      <c r="K360" s="34">
        <f>J360*$F$8</f>
        <v>1911</v>
      </c>
      <c r="L360" s="38">
        <v>1300</v>
      </c>
      <c r="M360" s="13">
        <v>34730</v>
      </c>
      <c r="N360" s="15">
        <f t="shared" ref="N360:N361" si="1297">M360-I360</f>
        <v>490</v>
      </c>
      <c r="O360" s="34">
        <f>N360*$F$8</f>
        <v>1274</v>
      </c>
      <c r="P360" s="1">
        <v>2000</v>
      </c>
      <c r="Q360" s="13">
        <v>35142</v>
      </c>
      <c r="R360" s="15">
        <f t="shared" ref="R360:R361" si="1298">Q360-M360</f>
        <v>412</v>
      </c>
      <c r="S360" s="34">
        <f>R360*$F$8</f>
        <v>1071.2</v>
      </c>
      <c r="T360" s="32">
        <v>1300</v>
      </c>
      <c r="U360" s="13">
        <v>35465</v>
      </c>
      <c r="V360" s="15">
        <f t="shared" ref="V360:V361" si="1299">U360-Q360</f>
        <v>323</v>
      </c>
      <c r="W360" s="34">
        <f>V360*$F$8</f>
        <v>839.8</v>
      </c>
      <c r="X360" s="39">
        <v>1000</v>
      </c>
      <c r="Y360" s="186">
        <v>35850</v>
      </c>
      <c r="Z360" s="2">
        <f t="shared" ref="Z360:Z361" si="1300">Y360-U360</f>
        <v>385</v>
      </c>
      <c r="AA360" s="34">
        <f>Z360*$F$8</f>
        <v>1001</v>
      </c>
      <c r="AB360" s="38">
        <v>800</v>
      </c>
      <c r="AC360" s="15">
        <v>36077</v>
      </c>
      <c r="AD360" s="15">
        <f t="shared" ref="AD360:AD361" si="1301">AC360-Y360</f>
        <v>227</v>
      </c>
      <c r="AE360" s="180">
        <f>AD360*$F$8</f>
        <v>590.2</v>
      </c>
      <c r="AF360" s="248">
        <v>1000</v>
      </c>
      <c r="AG360" s="15">
        <v>36325</v>
      </c>
      <c r="AH360" s="2">
        <f t="shared" ref="AH360:AH361" si="1302">AG360-AC360</f>
        <v>248</v>
      </c>
      <c r="AI360" s="45">
        <f>AH360*$G$8</f>
        <v>669.6</v>
      </c>
      <c r="AJ360" s="187">
        <v>555</v>
      </c>
      <c r="AK360" s="13">
        <v>36537</v>
      </c>
      <c r="AL360" s="15">
        <f t="shared" ref="AL360:AL361" si="1303">AK360-AG360</f>
        <v>212</v>
      </c>
      <c r="AM360" s="45">
        <f>AL360*$G$8</f>
        <v>572.4</v>
      </c>
      <c r="AN360" s="15"/>
      <c r="AO360" s="13">
        <v>36868</v>
      </c>
      <c r="AP360" s="15">
        <f t="shared" ref="AP360:AP361" si="1304">AO360-AK360</f>
        <v>331</v>
      </c>
      <c r="AQ360" s="45">
        <f>AP360*$G$8</f>
        <v>893.7</v>
      </c>
      <c r="AR360" s="1">
        <v>1250</v>
      </c>
      <c r="AS360" s="13">
        <v>37799</v>
      </c>
      <c r="AT360" s="15">
        <f t="shared" ref="AT360:AT361" si="1305">AS360-AO360</f>
        <v>931</v>
      </c>
      <c r="AU360" s="45">
        <f>AT360*$G$8</f>
        <v>2513.7</v>
      </c>
      <c r="AV360" s="34"/>
      <c r="AW360" s="13">
        <v>39527</v>
      </c>
      <c r="AX360" s="15">
        <f t="shared" ref="AX360:AX361" si="1306">AW360-AS360</f>
        <v>1728</v>
      </c>
      <c r="AY360" s="45">
        <f>AX360*$G$8</f>
        <v>4665.6</v>
      </c>
      <c r="AZ360" s="242">
        <v>3400</v>
      </c>
      <c r="BA360" s="13">
        <v>40837</v>
      </c>
      <c r="BB360" s="15">
        <f t="shared" ref="BB360:BB361" si="1307">BA360-AW360</f>
        <v>1310</v>
      </c>
      <c r="BC360" s="45">
        <f>BB360*$G$8</f>
        <v>3537</v>
      </c>
      <c r="BD360" s="246">
        <v>4700</v>
      </c>
      <c r="BE360" s="40">
        <f t="shared" ref="BE360:BG360" si="1308">J360+N360+R360+V360+Z360+AD360+AH360+AL360+AP360+AT360+AX360+BB360</f>
        <v>7332</v>
      </c>
      <c r="BF360" s="41">
        <f t="shared" si="1308"/>
        <v>19539.2</v>
      </c>
      <c r="BG360" s="34">
        <f t="shared" si="1308"/>
        <v>17305</v>
      </c>
      <c r="BH360" s="35">
        <f t="shared" si="1296"/>
        <v>3501.33</v>
      </c>
      <c r="BK360" s="2" t="b">
        <f>H360='2020'!BH360</f>
        <v>1</v>
      </c>
    </row>
    <row r="361" ht="14.25" customHeight="1" hidden="1" spans="1:63" x14ac:dyDescent="0.25">
      <c r="A361" s="2">
        <v>40</v>
      </c>
      <c r="B361" s="14"/>
      <c r="C361" s="15" t="s">
        <v>175</v>
      </c>
      <c r="D361" s="14" t="s">
        <v>47</v>
      </c>
      <c r="E361" s="2" t="s">
        <v>48</v>
      </c>
      <c r="F361" s="13">
        <v>18.56</v>
      </c>
      <c r="G361" s="35">
        <v>19.46</v>
      </c>
      <c r="H361" s="34">
        <f>'2020'!BH361</f>
        <v>438.61</v>
      </c>
      <c r="I361" s="13">
        <v>143</v>
      </c>
      <c r="J361" s="15"/>
      <c r="K361" s="15"/>
      <c r="L361" s="28"/>
      <c r="M361" s="13">
        <v>143</v>
      </c>
      <c r="N361" s="15">
        <f t="shared" si="1297"/>
        <v>0</v>
      </c>
      <c r="Q361" s="13">
        <v>143</v>
      </c>
      <c r="R361" s="15">
        <f t="shared" si="1298"/>
        <v>0</v>
      </c>
      <c r="S361" s="15"/>
      <c r="T361" s="28"/>
      <c r="U361" s="13">
        <v>143</v>
      </c>
      <c r="V361" s="15">
        <f t="shared" si="1299"/>
        <v>0</v>
      </c>
      <c r="W361" s="180">
        <f>V361*$F$10</f>
        <v>0</v>
      </c>
      <c r="Y361" s="186">
        <v>144</v>
      </c>
      <c r="Z361" s="2">
        <f t="shared" si="1300"/>
        <v>1</v>
      </c>
      <c r="AA361" s="34">
        <f>Z361*$F$10</f>
        <v>19.46</v>
      </c>
      <c r="AB361" s="32">
        <v>500</v>
      </c>
      <c r="AC361" s="15">
        <v>149</v>
      </c>
      <c r="AD361" s="15">
        <f t="shared" si="1301"/>
        <v>5</v>
      </c>
      <c r="AE361" s="34">
        <f>AD361*$F$10</f>
        <v>97.3</v>
      </c>
      <c r="AF361" s="1">
        <v>300</v>
      </c>
      <c r="AG361" s="15">
        <v>160</v>
      </c>
      <c r="AH361" s="2">
        <f t="shared" si="1302"/>
        <v>11</v>
      </c>
      <c r="AI361" s="45">
        <f>AH361*$G$10</f>
        <v>223.85</v>
      </c>
      <c r="AJ361" s="304"/>
      <c r="AK361" s="13">
        <v>165</v>
      </c>
      <c r="AL361" s="15">
        <f t="shared" si="1303"/>
        <v>5</v>
      </c>
      <c r="AM361" s="45">
        <f>AL361*$G$10</f>
        <v>101.75</v>
      </c>
      <c r="AN361" s="15"/>
      <c r="AO361" s="13">
        <v>166</v>
      </c>
      <c r="AP361" s="15">
        <f t="shared" si="1304"/>
        <v>1</v>
      </c>
      <c r="AQ361" s="45">
        <f>AP361*$G$10</f>
        <v>20.35</v>
      </c>
      <c r="AR361" s="1">
        <v>100</v>
      </c>
      <c r="AS361" s="13">
        <v>166</v>
      </c>
      <c r="AT361" s="15">
        <f t="shared" si="1305"/>
        <v>0</v>
      </c>
      <c r="AU361" s="45">
        <f>AT361*$G$10</f>
        <v>0</v>
      </c>
      <c r="AV361" s="15"/>
      <c r="AW361" s="13">
        <v>166</v>
      </c>
      <c r="AX361" s="15">
        <f t="shared" si="1306"/>
        <v>0</v>
      </c>
      <c r="AY361" s="45"/>
      <c r="AZ361" s="208"/>
      <c r="BA361" s="13">
        <v>166</v>
      </c>
      <c r="BB361" s="15">
        <f t="shared" si="1307"/>
        <v>0</v>
      </c>
      <c r="BC361" s="45"/>
      <c r="BD361" s="208"/>
      <c r="BE361" s="40">
        <f t="shared" ref="BE361:BG361" si="1309">J361+N361+R361+V361+Z361+AD361+AH361+AL361+AP361+AT361+AX361+BB361</f>
        <v>23</v>
      </c>
      <c r="BF361" s="41">
        <f t="shared" si="1309"/>
        <v>462.71</v>
      </c>
      <c r="BG361" s="34">
        <f t="shared" si="1309"/>
        <v>900</v>
      </c>
      <c r="BH361" s="35">
        <f t="shared" si="1296"/>
        <v>1.32</v>
      </c>
      <c r="BK361" s="2" t="b">
        <f>H361='2020'!BH361</f>
        <v>1</v>
      </c>
    </row>
    <row r="362" ht="14.25" customHeight="1" hidden="1" spans="1:63" x14ac:dyDescent="0.25">
      <c r="A362" s="2">
        <v>40</v>
      </c>
      <c r="B362" s="14"/>
      <c r="C362" s="15" t="s">
        <v>176</v>
      </c>
      <c r="D362" s="14" t="s">
        <v>47</v>
      </c>
      <c r="E362" s="2" t="s">
        <v>49</v>
      </c>
      <c r="F362" s="41">
        <v>500</v>
      </c>
      <c r="G362" s="28"/>
      <c r="H362" s="34">
        <f>'2020'!BH362</f>
        <v>0</v>
      </c>
      <c r="I362" s="13"/>
      <c r="J362" s="15"/>
      <c r="K362" s="15"/>
      <c r="L362" s="28"/>
      <c r="M362" s="13"/>
      <c r="N362" s="15"/>
      <c r="Q362" s="13"/>
      <c r="R362" s="15"/>
      <c r="S362" s="15"/>
      <c r="T362" s="28"/>
      <c r="U362" s="13"/>
      <c r="V362" s="15"/>
      <c r="Y362" s="186"/>
      <c r="Z362" s="2"/>
      <c r="AA362" s="15"/>
      <c r="AB362" s="28"/>
      <c r="AC362" s="15"/>
      <c r="AD362" s="15"/>
      <c r="AG362" s="15"/>
      <c r="AH362" s="2"/>
      <c r="AI362" s="45"/>
      <c r="AJ362" s="304"/>
      <c r="AK362" s="13"/>
      <c r="AL362" s="15"/>
      <c r="AM362" s="45"/>
      <c r="AN362" s="15"/>
      <c r="AO362" s="13"/>
      <c r="AP362" s="15"/>
      <c r="AQ362" s="45"/>
      <c r="AR362" s="1"/>
      <c r="AS362" s="13"/>
      <c r="AT362" s="15"/>
      <c r="AU362" s="45"/>
      <c r="AV362" s="15"/>
      <c r="AW362" s="13"/>
      <c r="AX362" s="15"/>
      <c r="AY362" s="45"/>
      <c r="AZ362" s="28"/>
      <c r="BA362" s="13"/>
      <c r="BB362" s="15"/>
      <c r="BC362" s="45"/>
      <c r="BD362" s="28"/>
      <c r="BE362" s="14"/>
      <c r="BF362" s="41">
        <f t="shared" ref="BF362:BG362" si="1310">K362+O362+S362+W362+AA362+AE362+AI362+AM362+AQ362+AU362+AY362+BC362</f>
        <v>0</v>
      </c>
      <c r="BG362" s="34">
        <f t="shared" si="1310"/>
        <v>0</v>
      </c>
      <c r="BH362" s="35">
        <f t="shared" si="1296"/>
        <v>0</v>
      </c>
      <c r="BK362" s="2" t="b">
        <f>H362='2020'!BH362</f>
        <v>1</v>
      </c>
    </row>
    <row r="363" ht="14.25" customHeight="1" hidden="1" spans="1:63" x14ac:dyDescent="0.25">
      <c r="A363" s="2">
        <v>40</v>
      </c>
      <c r="B363" s="14"/>
      <c r="C363" s="15" t="s">
        <v>404</v>
      </c>
      <c r="D363" s="14" t="s">
        <v>50</v>
      </c>
      <c r="E363" s="2" t="s">
        <v>49</v>
      </c>
      <c r="F363" s="41">
        <v>1100</v>
      </c>
      <c r="G363" s="28"/>
      <c r="H363" s="34">
        <f>'2020'!BH363</f>
        <v>0</v>
      </c>
      <c r="I363" s="13"/>
      <c r="J363" s="15"/>
      <c r="K363" s="15"/>
      <c r="L363" s="28"/>
      <c r="M363" s="13"/>
      <c r="N363" s="15"/>
      <c r="Q363" s="13"/>
      <c r="R363" s="15"/>
      <c r="S363" s="15"/>
      <c r="T363" s="28"/>
      <c r="U363" s="13"/>
      <c r="V363" s="15"/>
      <c r="Y363" s="186"/>
      <c r="Z363" s="2"/>
      <c r="AA363" s="15"/>
      <c r="AB363" s="28"/>
      <c r="AC363" s="15"/>
      <c r="AD363" s="15"/>
      <c r="AE363" s="34">
        <f>B360*$F$12</f>
        <v>5412</v>
      </c>
      <c r="AF363" s="180"/>
      <c r="AG363" s="15"/>
      <c r="AH363" s="2"/>
      <c r="AI363" s="45"/>
      <c r="AJ363" s="187"/>
      <c r="AK363" s="13"/>
      <c r="AL363" s="15"/>
      <c r="AM363" s="45"/>
      <c r="AN363" s="15"/>
      <c r="AO363" s="13"/>
      <c r="AP363" s="15"/>
      <c r="AQ363" s="45"/>
      <c r="AR363" s="1">
        <v>1000</v>
      </c>
      <c r="AS363" s="13"/>
      <c r="AT363" s="15"/>
      <c r="AU363" s="45"/>
      <c r="AV363" s="15"/>
      <c r="AW363" s="13"/>
      <c r="AX363" s="15"/>
      <c r="AY363" s="45"/>
      <c r="AZ363" s="32">
        <v>4430</v>
      </c>
      <c r="BA363" s="13"/>
      <c r="BB363" s="15"/>
      <c r="BC363" s="45"/>
      <c r="BD363" s="28"/>
      <c r="BE363" s="14"/>
      <c r="BF363" s="41">
        <f t="shared" ref="BF363:BG363" si="1311">K363+O363+S363+W363+AA363+AE363+AI363+AM363+AQ363+AU363+AY363+BC363</f>
        <v>5412</v>
      </c>
      <c r="BG363" s="34">
        <f t="shared" si="1311"/>
        <v>5430</v>
      </c>
      <c r="BH363" s="35">
        <f t="shared" si="1296"/>
        <v>-18</v>
      </c>
      <c r="BK363" s="2" t="b">
        <f>H363='2020'!BH363</f>
        <v>1</v>
      </c>
    </row>
    <row r="364" ht="14.25" customHeight="1" hidden="1" spans="1:63" x14ac:dyDescent="0.25">
      <c r="A364" s="2">
        <v>40</v>
      </c>
      <c r="B364" s="14"/>
      <c r="C364" s="15" t="s">
        <v>405</v>
      </c>
      <c r="D364" s="14" t="s">
        <v>51</v>
      </c>
      <c r="E364" s="2" t="s">
        <v>39</v>
      </c>
      <c r="F364" s="41">
        <v>500</v>
      </c>
      <c r="G364" s="28"/>
      <c r="H364" s="34">
        <f>'2020'!BH364</f>
        <v>500</v>
      </c>
      <c r="I364" s="13"/>
      <c r="J364" s="15"/>
      <c r="K364" s="15"/>
      <c r="L364" s="28"/>
      <c r="M364" s="13"/>
      <c r="N364" s="15"/>
      <c r="Q364" s="13"/>
      <c r="R364" s="15"/>
      <c r="S364" s="15"/>
      <c r="T364" s="28"/>
      <c r="U364" s="13"/>
      <c r="V364" s="15"/>
      <c r="Y364" s="186"/>
      <c r="Z364" s="2"/>
      <c r="AA364" s="15"/>
      <c r="AB364" s="28"/>
      <c r="AC364" s="15"/>
      <c r="AD364" s="15"/>
      <c r="AE364" s="180">
        <f>$F$13</f>
      </c>
      <c r="AG364" s="15"/>
      <c r="AH364" s="2"/>
      <c r="AI364" s="45"/>
      <c r="AJ364" s="187"/>
      <c r="AK364" s="13"/>
      <c r="AL364" s="15"/>
      <c r="AM364" s="45"/>
      <c r="AN364" s="15"/>
      <c r="AO364" s="13"/>
      <c r="AP364" s="15"/>
      <c r="AQ364" s="180"/>
      <c r="AR364" s="1">
        <v>500</v>
      </c>
      <c r="AS364" s="13"/>
      <c r="AT364" s="15"/>
      <c r="AU364" s="45"/>
      <c r="AV364" s="15"/>
      <c r="AW364" s="13"/>
      <c r="AX364" s="15"/>
      <c r="AY364" s="45"/>
      <c r="AZ364" s="28"/>
      <c r="BA364" s="13"/>
      <c r="BB364" s="15"/>
      <c r="BC364" s="45"/>
      <c r="BD364" s="28"/>
      <c r="BE364" s="14"/>
      <c r="BF364" s="41">
        <f t="shared" ref="BF364:BG364" si="1312">K364+O364+S364+W364+AA364+AE364+AI364+AM364+AQ364+AU364+AY364+BC364</f>
        <v>0</v>
      </c>
      <c r="BG364" s="34">
        <f t="shared" si="1312"/>
        <v>500</v>
      </c>
      <c r="BH364" s="35">
        <f t="shared" si="1296"/>
        <v>0</v>
      </c>
      <c r="BK364" s="2" t="b">
        <f>H364='2020'!BH364</f>
        <v>1</v>
      </c>
    </row>
    <row r="365" ht="14.25" customHeight="1" hidden="1" spans="1:63" x14ac:dyDescent="0.25">
      <c r="A365" s="2">
        <v>40</v>
      </c>
      <c r="B365" s="14"/>
      <c r="C365" s="15"/>
      <c r="D365" s="14" t="s">
        <v>51</v>
      </c>
      <c r="E365" s="2" t="s">
        <v>49</v>
      </c>
      <c r="F365" s="41">
        <v>500</v>
      </c>
      <c r="G365" s="28"/>
      <c r="H365" s="34">
        <f>'2020'!BH365</f>
        <v>2460</v>
      </c>
      <c r="I365" s="13"/>
      <c r="J365" s="15"/>
      <c r="K365" s="15"/>
      <c r="L365" s="28"/>
      <c r="M365" s="13"/>
      <c r="N365" s="15"/>
      <c r="Q365" s="13"/>
      <c r="R365" s="15"/>
      <c r="S365" s="15"/>
      <c r="T365" s="28"/>
      <c r="U365" s="13"/>
      <c r="V365" s="15"/>
      <c r="Y365" s="186"/>
      <c r="Z365" s="2"/>
      <c r="AA365" s="15"/>
      <c r="AB365" s="32">
        <v>500</v>
      </c>
      <c r="AC365" s="15"/>
      <c r="AD365" s="15"/>
      <c r="AE365" s="34"/>
      <c r="AG365" s="15"/>
      <c r="AH365" s="2"/>
      <c r="AI365" s="45"/>
      <c r="AJ365" s="187">
        <v>1960</v>
      </c>
      <c r="AK365" s="13"/>
      <c r="AL365" s="15"/>
      <c r="AM365" s="45"/>
      <c r="AN365" s="15"/>
      <c r="AO365" s="13"/>
      <c r="AP365" s="15"/>
      <c r="AQ365" s="180">
        <f>B360*$F$14</f>
        <v>0</v>
      </c>
      <c r="AR365" s="1"/>
      <c r="AS365" s="13"/>
      <c r="AT365" s="15"/>
      <c r="AU365" s="45"/>
      <c r="AV365" s="15"/>
      <c r="AW365" s="13"/>
      <c r="AX365" s="15"/>
      <c r="AY365" s="45"/>
      <c r="AZ365" s="28"/>
      <c r="BA365" s="13"/>
      <c r="BB365" s="15"/>
      <c r="BC365" s="45"/>
      <c r="BD365" s="28"/>
      <c r="BE365" s="14"/>
      <c r="BF365" s="41">
        <f t="shared" ref="BF365:BG365" si="1313">K365+O365+S365+W365+AA365+AE365+AI365+AM365+AQ365+AU365+AY365+BC365</f>
        <v>0</v>
      </c>
      <c r="BG365" s="34">
        <f t="shared" si="1313"/>
        <v>2460</v>
      </c>
      <c r="BH365" s="35">
        <f t="shared" si="1296"/>
        <v>0</v>
      </c>
      <c r="BK365" s="2" t="b">
        <f>H365='2020'!BH365</f>
        <v>1</v>
      </c>
    </row>
    <row r="366" ht="14.25" customHeight="1" hidden="1" spans="1:63" x14ac:dyDescent="0.25">
      <c r="A366" s="2">
        <v>40</v>
      </c>
      <c r="B366" s="14"/>
      <c r="C366" s="73" t="s">
        <v>406</v>
      </c>
      <c r="D366" s="14" t="s">
        <v>52</v>
      </c>
      <c r="E366" s="2" t="s">
        <v>39</v>
      </c>
      <c r="F366" s="41">
        <v>500</v>
      </c>
      <c r="G366" s="28"/>
      <c r="H366" s="34">
        <f>'2020'!BH366</f>
        <v>0</v>
      </c>
      <c r="I366" s="13"/>
      <c r="J366" s="15"/>
      <c r="K366" s="15"/>
      <c r="L366" s="28"/>
      <c r="M366" s="13"/>
      <c r="N366" s="15"/>
      <c r="Q366" s="13"/>
      <c r="R366" s="15"/>
      <c r="S366" s="15"/>
      <c r="T366" s="28"/>
      <c r="U366" s="13"/>
      <c r="V366" s="15"/>
      <c r="Y366" s="186"/>
      <c r="Z366" s="2"/>
      <c r="AA366" s="34">
        <f>$F$15</f>
      </c>
      <c r="AB366" s="35"/>
      <c r="AC366" s="15"/>
      <c r="AD366" s="15"/>
      <c r="AG366" s="15"/>
      <c r="AH366" s="2"/>
      <c r="AI366" s="45"/>
      <c r="AJ366" s="180"/>
      <c r="AK366" s="13"/>
      <c r="AL366" s="15"/>
      <c r="AM366" s="45"/>
      <c r="AN366" s="15"/>
      <c r="AO366" s="13"/>
      <c r="AP366" s="15"/>
      <c r="AQ366" s="45"/>
      <c r="AR366" s="1"/>
      <c r="AS366" s="13"/>
      <c r="AT366" s="15"/>
      <c r="AU366" s="45"/>
      <c r="AV366" s="15"/>
      <c r="AW366" s="13"/>
      <c r="AX366" s="15"/>
      <c r="AY366" s="45"/>
      <c r="AZ366" s="35"/>
      <c r="BA366" s="13"/>
      <c r="BB366" s="15"/>
      <c r="BC366" s="45"/>
      <c r="BD366" s="35"/>
      <c r="BE366" s="14"/>
      <c r="BF366" s="41">
        <f t="shared" ref="BF366:BG366" si="1314">K366+O366+S366+W366+AA366+AE366+AI366+AM366+AQ366+AU366+AY366+BC366</f>
        <v>0</v>
      </c>
      <c r="BG366" s="34">
        <f t="shared" si="1314"/>
        <v>0</v>
      </c>
      <c r="BH366" s="35">
        <f t="shared" si="1296"/>
        <v>0</v>
      </c>
      <c r="BK366" s="2" t="b">
        <f>H366='2020'!BH366</f>
        <v>1</v>
      </c>
    </row>
    <row r="367" ht="14.25" customHeight="1" hidden="1" spans="1:63" x14ac:dyDescent="0.25">
      <c r="A367" s="247">
        <v>40</v>
      </c>
      <c r="B367" s="21"/>
      <c r="C367" s="22" t="s">
        <v>53</v>
      </c>
      <c r="D367" s="21"/>
      <c r="E367" s="22"/>
      <c r="F367" s="20"/>
      <c r="G367" s="23"/>
      <c r="H367" s="51">
        <f>SUM(H359:H366)</f>
        <v>4665.74</v>
      </c>
      <c r="I367" s="52"/>
      <c r="J367" s="53"/>
      <c r="K367" s="51">
        <f t="shared" ref="K367:L367" si="1315">SUM(K359:K366)</f>
        <v>1911</v>
      </c>
      <c r="L367" s="68">
        <f t="shared" si="1315"/>
        <v>1300</v>
      </c>
      <c r="M367" s="52"/>
      <c r="N367" s="53"/>
      <c r="O367" s="51">
        <f t="shared" ref="O367:P367" si="1316">SUM(O359:O366)</f>
        <v>1274</v>
      </c>
      <c r="P367" s="51">
        <f t="shared" si="1316"/>
        <v>2000</v>
      </c>
      <c r="Q367" s="52"/>
      <c r="R367" s="53"/>
      <c r="S367" s="51">
        <f t="shared" ref="S367:T367" si="1317">SUM(S359:S366)</f>
        <v>1071.2</v>
      </c>
      <c r="T367" s="51">
        <f t="shared" si="1317"/>
        <v>1300</v>
      </c>
      <c r="U367" s="52"/>
      <c r="V367" s="53"/>
      <c r="W367" s="51">
        <f t="shared" ref="W367:X367" si="1318">SUM(W359:W366)</f>
        <v>839.8</v>
      </c>
      <c r="X367" s="51">
        <f t="shared" si="1318"/>
        <v>1000</v>
      </c>
      <c r="Y367" s="300"/>
      <c r="Z367" s="301"/>
      <c r="AA367" s="51">
        <f t="shared" ref="AA367:AB367" si="1319">SUM(AA359:AA366)</f>
        <v>1020.46</v>
      </c>
      <c r="AB367" s="51">
        <f t="shared" si="1319"/>
        <v>1800</v>
      </c>
      <c r="AC367" s="52"/>
      <c r="AD367" s="53"/>
      <c r="AE367" s="51">
        <f t="shared" ref="AE367:AF367" si="1320">SUM(AE359:AE366)</f>
        <v>6099.5</v>
      </c>
      <c r="AF367" s="51">
        <f t="shared" si="1320"/>
        <v>1300</v>
      </c>
      <c r="AG367" s="52"/>
      <c r="AH367" s="301"/>
      <c r="AI367" s="183">
        <f t="shared" ref="AI367:AJ367" si="1321">SUM(AI359:AI366)</f>
        <v>893.45</v>
      </c>
      <c r="AJ367" s="51">
        <f t="shared" si="1321"/>
        <v>2515</v>
      </c>
      <c r="AK367" s="52"/>
      <c r="AL367" s="53"/>
      <c r="AM367" s="183">
        <f t="shared" ref="AM367:AN367" si="1322">SUM(AM359:AM366)</f>
        <v>674.15</v>
      </c>
      <c r="AN367" s="51">
        <f t="shared" si="1322"/>
        <v>0</v>
      </c>
      <c r="AO367" s="52"/>
      <c r="AP367" s="53"/>
      <c r="AQ367" s="183">
        <f t="shared" ref="AQ367:AR367" si="1323">SUM(AQ359:AQ366)</f>
        <v>927.29</v>
      </c>
      <c r="AR367" s="51">
        <f t="shared" si="1323"/>
        <v>2850</v>
      </c>
      <c r="AS367" s="52"/>
      <c r="AT367" s="53"/>
      <c r="AU367" s="183">
        <f t="shared" ref="AU367:AV367" si="1324">SUM(AU359:AU366)</f>
        <v>2513.7</v>
      </c>
      <c r="AV367" s="68">
        <f t="shared" si="1324"/>
        <v>0</v>
      </c>
      <c r="AW367" s="52"/>
      <c r="AX367" s="53"/>
      <c r="AY367" s="183">
        <f t="shared" ref="AY367:AZ367" si="1325">SUM(AY359:AY366)</f>
        <v>4665.6</v>
      </c>
      <c r="AZ367" s="68">
        <f t="shared" si="1325"/>
        <v>7830</v>
      </c>
      <c r="BA367" s="52"/>
      <c r="BB367" s="53"/>
      <c r="BC367" s="183">
        <f t="shared" ref="BC367:BD367" si="1326">SUM(BC359:BC366)</f>
        <v>3537</v>
      </c>
      <c r="BD367" s="68">
        <f t="shared" si="1326"/>
        <v>4700</v>
      </c>
      <c r="BE367" s="69"/>
      <c r="BF367" s="70">
        <f t="shared" ref="BF367:BH367" si="1327">SUM(BF359:BF366)</f>
        <v>25427.15</v>
      </c>
      <c r="BG367" s="71">
        <f t="shared" si="1327"/>
        <v>26595</v>
      </c>
      <c r="BH367" s="72">
        <f t="shared" si="1327"/>
        <v>3497.89</v>
      </c>
      <c r="BI367" s="34">
        <f>H367+BF367-BG367</f>
        <v>3497.89</v>
      </c>
      <c r="BJ367" s="34">
        <f>BH367-BI367</f>
        <v>0</v>
      </c>
      <c r="BK367" s="2" t="b">
        <f>H367='2020'!BH367</f>
        <v>1</v>
      </c>
    </row>
    <row r="368" ht="14.25" customHeight="1" hidden="1" spans="1:63" x14ac:dyDescent="0.25">
      <c r="A368" s="2">
        <v>41</v>
      </c>
      <c r="B368" s="14"/>
      <c r="D368" s="14" t="s">
        <v>379</v>
      </c>
      <c r="F368" s="13"/>
      <c r="G368" s="28"/>
      <c r="H368" s="34">
        <f>'2020'!BH368</f>
        <v>92.03</v>
      </c>
      <c r="I368" s="13"/>
      <c r="J368" s="15"/>
      <c r="K368" s="15">
        <v>16.61</v>
      </c>
      <c r="L368" s="28"/>
      <c r="M368" s="13"/>
      <c r="N368" s="15"/>
      <c r="O368" s="2">
        <v>15</v>
      </c>
      <c r="Q368" s="13"/>
      <c r="R368" s="15"/>
      <c r="S368" s="15">
        <v>16.61</v>
      </c>
      <c r="T368" s="28"/>
      <c r="U368" s="13"/>
      <c r="V368" s="15"/>
      <c r="W368" s="2">
        <v>16.07</v>
      </c>
      <c r="Y368" s="186"/>
      <c r="Z368" s="2"/>
      <c r="AA368" s="15">
        <v>16.61</v>
      </c>
      <c r="AB368" s="28"/>
      <c r="AC368" s="15"/>
      <c r="AD368" s="15"/>
      <c r="AE368" s="2">
        <v>16.07</v>
      </c>
      <c r="AG368" s="15"/>
      <c r="AH368" s="2"/>
      <c r="AI368" s="45"/>
      <c r="AJ368" s="15"/>
      <c r="AK368" s="13"/>
      <c r="AM368" s="45">
        <v>16.61</v>
      </c>
      <c r="AO368" s="13"/>
      <c r="AQ368" s="307">
        <v>40.95</v>
      </c>
      <c r="AS368" s="13"/>
      <c r="AU368" s="180"/>
      <c r="AW368" s="13"/>
      <c r="AY368" s="180"/>
      <c r="AZ368" s="28"/>
      <c r="BA368" s="13"/>
      <c r="BB368" s="15"/>
      <c r="BC368" s="180"/>
      <c r="BD368" s="28"/>
      <c r="BE368" s="14"/>
      <c r="BF368" s="41">
        <f t="shared" ref="BF368:BG368" si="1328">K368+O368+S368+W368+AA368+AE368+AI368+AM368+AQ368+AU368+AY368+BC368</f>
        <v>154.53</v>
      </c>
      <c r="BG368" s="34">
        <f t="shared" si="1328"/>
        <v>0</v>
      </c>
      <c r="BH368" s="35">
        <f t="shared" ref="BH368:BH375" si="1329">H368+BF368-BG368</f>
        <v>246.56</v>
      </c>
      <c r="BK368" s="2" t="b">
        <f>H368='2020'!BH368</f>
        <v>1</v>
      </c>
    </row>
    <row r="369" ht="14.25" customHeight="1" hidden="1" spans="1:63" x14ac:dyDescent="0.25">
      <c r="A369" s="2">
        <v>41</v>
      </c>
      <c r="B369" s="14">
        <v>4.87</v>
      </c>
      <c r="C369" s="2" t="s">
        <v>177</v>
      </c>
      <c r="D369" s="14" t="s">
        <v>44</v>
      </c>
      <c r="E369" s="2" t="s">
        <v>45</v>
      </c>
      <c r="F369" s="41">
        <v>2.5</v>
      </c>
      <c r="G369" s="35">
        <v>2.6</v>
      </c>
      <c r="H369" s="34">
        <f>'2020'!BH369</f>
        <v>-20</v>
      </c>
      <c r="I369" s="13">
        <v>300</v>
      </c>
      <c r="J369" s="15">
        <f>I369-'2020'!BA369</f>
        <v>0</v>
      </c>
      <c r="K369" s="34">
        <f>J369*$F$8</f>
        <v>0</v>
      </c>
      <c r="L369" s="28"/>
      <c r="M369" s="13">
        <v>300</v>
      </c>
      <c r="N369" s="15">
        <f t="shared" ref="N369:N370" si="1330">M369-I369</f>
        <v>0</v>
      </c>
      <c r="O369" s="34">
        <f>N369*$F$8</f>
        <v>0</v>
      </c>
      <c r="Q369" s="13">
        <v>300</v>
      </c>
      <c r="R369" s="15">
        <f t="shared" ref="R369:R370" si="1331">Q369-M369</f>
        <v>0</v>
      </c>
      <c r="S369" s="34">
        <f>R369*$F$8</f>
        <v>0</v>
      </c>
      <c r="T369" s="28"/>
      <c r="U369" s="13">
        <v>300</v>
      </c>
      <c r="V369" s="15">
        <f t="shared" ref="V369:V370" si="1332">U369-Q369</f>
        <v>0</v>
      </c>
      <c r="W369" s="34">
        <f>V369*$F$8</f>
        <v>0</v>
      </c>
      <c r="Y369" s="186">
        <v>300</v>
      </c>
      <c r="Z369" s="2">
        <f t="shared" ref="Z369:Z370" si="1333">Y369-U369</f>
        <v>0</v>
      </c>
      <c r="AA369" s="34">
        <f>Z369*$F$8</f>
        <v>0</v>
      </c>
      <c r="AB369" s="28"/>
      <c r="AC369" s="15">
        <v>300</v>
      </c>
      <c r="AD369" s="15">
        <f t="shared" ref="AD369:AD370" si="1334">AC369-Y369</f>
        <v>0</v>
      </c>
      <c r="AE369" s="180">
        <f>AD369*$F$8</f>
        <v>0</v>
      </c>
      <c r="AG369" s="15">
        <v>300</v>
      </c>
      <c r="AH369" s="2">
        <f t="shared" ref="AH369:AH370" si="1335">AG369-AC369</f>
        <v>0</v>
      </c>
      <c r="AI369" s="45">
        <f>AH369*$G$8</f>
        <v>0</v>
      </c>
      <c r="AJ369" s="2"/>
      <c r="AK369" s="13">
        <v>300</v>
      </c>
      <c r="AL369" s="15">
        <f t="shared" ref="AL369:AL370" si="1336">AK369-AG369</f>
        <v>0</v>
      </c>
      <c r="AM369" s="45">
        <f>AL369*$G$8</f>
        <v>0</v>
      </c>
      <c r="AN369" s="15"/>
      <c r="AO369" s="13">
        <v>300</v>
      </c>
      <c r="AP369" s="15">
        <f t="shared" ref="AP369:AP370" si="1337">AO369-AK369</f>
        <v>0</v>
      </c>
      <c r="AQ369" s="45">
        <f>AP369*$G$8</f>
        <v>0</v>
      </c>
      <c r="AR369" s="15"/>
      <c r="AS369" s="13">
        <v>300</v>
      </c>
      <c r="AT369" s="15">
        <f t="shared" ref="AT369:AT370" si="1338">AS369-AO369</f>
        <v>0</v>
      </c>
      <c r="AU369" s="45">
        <f>AT369*$G$8</f>
        <v>0</v>
      </c>
      <c r="AV369" s="15"/>
      <c r="AW369" s="13">
        <v>300</v>
      </c>
      <c r="AX369" s="15">
        <f t="shared" ref="AX369:AX370" si="1339">AW369-AS369</f>
        <v>0</v>
      </c>
      <c r="AY369" s="45">
        <f>AX369*$G$8</f>
        <v>0</v>
      </c>
      <c r="AZ369" s="208"/>
      <c r="BA369" s="13">
        <v>300</v>
      </c>
      <c r="BB369" s="15">
        <f t="shared" ref="BB369:BB370" si="1340">BA369-AW369</f>
        <v>0</v>
      </c>
      <c r="BC369" s="45">
        <f>BB369*$G$8</f>
        <v>0</v>
      </c>
      <c r="BD369" s="208"/>
      <c r="BE369" s="40">
        <f t="shared" ref="BE369:BG369" si="1341">J369+N369+R369+V369+Z369+AD369+AH369+AL369+AP369+AT369+AX369+BB369</f>
        <v>0</v>
      </c>
      <c r="BF369" s="41">
        <f t="shared" si="1341"/>
        <v>0</v>
      </c>
      <c r="BG369" s="34">
        <f t="shared" si="1341"/>
        <v>0</v>
      </c>
      <c r="BH369" s="35">
        <f t="shared" si="1329"/>
        <v>-20</v>
      </c>
      <c r="BK369" s="2" t="b">
        <f>H369='2020'!BH369</f>
        <v>1</v>
      </c>
    </row>
    <row r="370" ht="14.25" customHeight="1" hidden="1" spans="1:63" x14ac:dyDescent="0.25">
      <c r="A370" s="2">
        <v>41</v>
      </c>
      <c r="B370" s="14"/>
      <c r="C370" s="2" t="s">
        <v>75</v>
      </c>
      <c r="D370" s="14" t="s">
        <v>47</v>
      </c>
      <c r="E370" s="2" t="s">
        <v>48</v>
      </c>
      <c r="F370" s="13">
        <v>18.56</v>
      </c>
      <c r="G370" s="35">
        <v>19.46</v>
      </c>
      <c r="H370" s="34">
        <f>'2020'!BH370</f>
        <v>55.68</v>
      </c>
      <c r="I370" s="13">
        <v>38</v>
      </c>
      <c r="J370" s="15"/>
      <c r="K370" s="15"/>
      <c r="L370" s="28"/>
      <c r="M370" s="13">
        <v>38</v>
      </c>
      <c r="N370" s="15">
        <f t="shared" si="1330"/>
        <v>0</v>
      </c>
      <c r="Q370" s="13">
        <v>38</v>
      </c>
      <c r="R370" s="15">
        <f t="shared" si="1331"/>
        <v>0</v>
      </c>
      <c r="S370" s="15"/>
      <c r="T370" s="28"/>
      <c r="U370" s="13">
        <v>38</v>
      </c>
      <c r="V370" s="15">
        <f t="shared" si="1332"/>
        <v>0</v>
      </c>
      <c r="W370" s="180">
        <f>V370*$F$10</f>
        <v>0</v>
      </c>
      <c r="Y370" s="186">
        <v>38</v>
      </c>
      <c r="Z370" s="2">
        <f t="shared" si="1333"/>
        <v>0</v>
      </c>
      <c r="AA370" s="34">
        <f>Z370*$F$10</f>
        <v>0</v>
      </c>
      <c r="AB370" s="28"/>
      <c r="AC370" s="15">
        <v>38</v>
      </c>
      <c r="AD370" s="15">
        <f t="shared" si="1334"/>
        <v>0</v>
      </c>
      <c r="AE370" s="34">
        <f>AD370*$F$10</f>
        <v>0</v>
      </c>
      <c r="AG370" s="15">
        <v>38</v>
      </c>
      <c r="AH370" s="2">
        <f t="shared" si="1335"/>
        <v>0</v>
      </c>
      <c r="AI370" s="45">
        <f>AH370*$G$10</f>
        <v>0</v>
      </c>
      <c r="AJ370" s="2"/>
      <c r="AK370" s="13">
        <v>38</v>
      </c>
      <c r="AL370" s="15">
        <f t="shared" si="1336"/>
        <v>0</v>
      </c>
      <c r="AM370" s="45">
        <f>AL370*$G$10</f>
        <v>0</v>
      </c>
      <c r="AN370" s="15"/>
      <c r="AO370" s="13">
        <v>38</v>
      </c>
      <c r="AP370" s="15">
        <f t="shared" si="1337"/>
        <v>0</v>
      </c>
      <c r="AQ370" s="45">
        <f>AP370*$G$10</f>
        <v>0</v>
      </c>
      <c r="AR370" s="15"/>
      <c r="AS370" s="13">
        <v>38</v>
      </c>
      <c r="AT370" s="15">
        <f t="shared" si="1338"/>
        <v>0</v>
      </c>
      <c r="AU370" s="45">
        <f>AT370*$G$10</f>
        <v>0</v>
      </c>
      <c r="AV370" s="15"/>
      <c r="AW370" s="13">
        <v>38</v>
      </c>
      <c r="AX370" s="15">
        <f t="shared" si="1339"/>
        <v>0</v>
      </c>
      <c r="AY370" s="45"/>
      <c r="AZ370" s="208"/>
      <c r="BA370" s="13">
        <v>38</v>
      </c>
      <c r="BB370" s="15">
        <f t="shared" si="1340"/>
        <v>0</v>
      </c>
      <c r="BC370" s="45"/>
      <c r="BD370" s="208"/>
      <c r="BE370" s="40">
        <f t="shared" ref="BE370:BG370" si="1342">J370+N370+R370+V370+Z370+AD370+AH370+AL370+AP370+AT370+AX370+BB370</f>
        <v>0</v>
      </c>
      <c r="BF370" s="41">
        <f t="shared" si="1342"/>
        <v>0</v>
      </c>
      <c r="BG370" s="34">
        <f t="shared" si="1342"/>
        <v>0</v>
      </c>
      <c r="BH370" s="35">
        <f t="shared" si="1329"/>
        <v>55.68</v>
      </c>
      <c r="BK370" s="2" t="b">
        <f>H370='2020'!BH370</f>
        <v>1</v>
      </c>
    </row>
    <row r="371" ht="14.25" customHeight="1" hidden="1" spans="1:63" x14ac:dyDescent="0.25">
      <c r="A371" s="2">
        <v>41</v>
      </c>
      <c r="B371" s="14"/>
      <c r="C371" s="2" t="s">
        <v>178</v>
      </c>
      <c r="D371" s="14" t="s">
        <v>47</v>
      </c>
      <c r="E371" s="2" t="s">
        <v>49</v>
      </c>
      <c r="F371" s="41">
        <v>500</v>
      </c>
      <c r="G371" s="28"/>
      <c r="H371" s="34">
        <f>'2020'!BH371</f>
        <v>0</v>
      </c>
      <c r="I371" s="13"/>
      <c r="J371" s="15"/>
      <c r="K371" s="15"/>
      <c r="L371" s="28"/>
      <c r="M371" s="13"/>
      <c r="N371" s="15"/>
      <c r="Q371" s="13"/>
      <c r="R371" s="15"/>
      <c r="S371" s="15"/>
      <c r="T371" s="28"/>
      <c r="U371" s="13"/>
      <c r="V371" s="15"/>
      <c r="Y371" s="186"/>
      <c r="Z371" s="2"/>
      <c r="AA371" s="15"/>
      <c r="AB371" s="28"/>
      <c r="AC371" s="15"/>
      <c r="AD371" s="15"/>
      <c r="AG371" s="15"/>
      <c r="AH371" s="2"/>
      <c r="AI371" s="45"/>
      <c r="AJ371" s="15"/>
      <c r="AK371" s="13"/>
      <c r="AL371" s="15"/>
      <c r="AM371" s="45"/>
      <c r="AN371" s="15"/>
      <c r="AO371" s="13"/>
      <c r="AP371" s="15"/>
      <c r="AQ371" s="45"/>
      <c r="AR371" s="15"/>
      <c r="AS371" s="13"/>
      <c r="AT371" s="15"/>
      <c r="AU371" s="45"/>
      <c r="AV371" s="15"/>
      <c r="AW371" s="13"/>
      <c r="AX371" s="15"/>
      <c r="AY371" s="45"/>
      <c r="AZ371" s="28"/>
      <c r="BA371" s="13"/>
      <c r="BB371" s="15"/>
      <c r="BC371" s="45"/>
      <c r="BD371" s="28"/>
      <c r="BE371" s="14"/>
      <c r="BF371" s="41">
        <f t="shared" ref="BF371:BG371" si="1343">K371+O371+S371+W371+AA371+AE371+AI371+AM371+AQ371+AU371+AY371+BC371</f>
        <v>0</v>
      </c>
      <c r="BG371" s="34">
        <f t="shared" si="1343"/>
        <v>0</v>
      </c>
      <c r="BH371" s="35">
        <f t="shared" si="1329"/>
        <v>0</v>
      </c>
      <c r="BK371" s="2" t="b">
        <f>H371='2020'!BH371</f>
        <v>1</v>
      </c>
    </row>
    <row r="372" ht="14.25" customHeight="1" hidden="1" spans="1:63" x14ac:dyDescent="0.25">
      <c r="A372" s="2">
        <v>41</v>
      </c>
      <c r="B372" s="14"/>
      <c r="C372" s="2" t="s">
        <v>407</v>
      </c>
      <c r="D372" s="14" t="s">
        <v>50</v>
      </c>
      <c r="E372" s="2" t="s">
        <v>49</v>
      </c>
      <c r="F372" s="41">
        <v>1100</v>
      </c>
      <c r="G372" s="28"/>
      <c r="H372" s="34">
        <f>'2020'!BH372</f>
        <v>5357</v>
      </c>
      <c r="I372" s="13"/>
      <c r="J372" s="15"/>
      <c r="K372" s="15"/>
      <c r="L372" s="28"/>
      <c r="M372" s="13"/>
      <c r="N372" s="15"/>
      <c r="Q372" s="13"/>
      <c r="R372" s="15"/>
      <c r="S372" s="15"/>
      <c r="T372" s="28"/>
      <c r="U372" s="13"/>
      <c r="V372" s="15"/>
      <c r="Y372" s="186"/>
      <c r="Z372" s="2"/>
      <c r="AA372" s="15"/>
      <c r="AB372" s="28"/>
      <c r="AC372" s="15"/>
      <c r="AD372" s="15"/>
      <c r="AE372" s="34">
        <f>B369*$F$12</f>
        <v>5357</v>
      </c>
      <c r="AG372" s="15"/>
      <c r="AH372" s="2"/>
      <c r="AI372" s="45"/>
      <c r="AJ372" s="2"/>
      <c r="AK372" s="13"/>
      <c r="AL372" s="15"/>
      <c r="AM372" s="45"/>
      <c r="AN372" s="15"/>
      <c r="AO372" s="13"/>
      <c r="AP372" s="15"/>
      <c r="AQ372" s="45"/>
      <c r="AR372" s="15"/>
      <c r="AS372" s="13"/>
      <c r="AT372" s="15"/>
      <c r="AU372" s="45"/>
      <c r="AV372" s="15"/>
      <c r="AW372" s="13"/>
      <c r="AX372" s="15"/>
      <c r="AY372" s="45"/>
      <c r="AZ372" s="28"/>
      <c r="BA372" s="13"/>
      <c r="BB372" s="15"/>
      <c r="BC372" s="45"/>
      <c r="BD372" s="28"/>
      <c r="BE372" s="14"/>
      <c r="BF372" s="41">
        <f t="shared" ref="BF372:BG372" si="1344">K372+O372+S372+W372+AA372+AE372+AI372+AM372+AQ372+AU372+AY372+BC372</f>
        <v>5357</v>
      </c>
      <c r="BG372" s="34">
        <f t="shared" si="1344"/>
        <v>0</v>
      </c>
      <c r="BH372" s="35">
        <f t="shared" si="1329"/>
        <v>10714</v>
      </c>
      <c r="BK372" s="2" t="b">
        <f>H372='2020'!BH372</f>
        <v>1</v>
      </c>
    </row>
    <row r="373" ht="14.25" customHeight="1" hidden="1" spans="1:63" x14ac:dyDescent="0.25">
      <c r="A373" s="2">
        <v>41</v>
      </c>
      <c r="B373" s="14"/>
      <c r="C373" s="2" t="s">
        <v>180</v>
      </c>
      <c r="D373" s="14" t="s">
        <v>51</v>
      </c>
      <c r="E373" s="2" t="s">
        <v>39</v>
      </c>
      <c r="F373" s="41">
        <v>500</v>
      </c>
      <c r="G373" s="28"/>
      <c r="H373" s="34">
        <f>'2020'!BH373</f>
        <v>500</v>
      </c>
      <c r="I373" s="13"/>
      <c r="J373" s="15"/>
      <c r="K373" s="15"/>
      <c r="L373" s="28"/>
      <c r="M373" s="13"/>
      <c r="N373" s="15"/>
      <c r="Q373" s="13"/>
      <c r="R373" s="15"/>
      <c r="S373" s="15"/>
      <c r="T373" s="28"/>
      <c r="U373" s="13"/>
      <c r="V373" s="15"/>
      <c r="Y373" s="186"/>
      <c r="Z373" s="2"/>
      <c r="AA373" s="15"/>
      <c r="AB373" s="28"/>
      <c r="AC373" s="15"/>
      <c r="AD373" s="15"/>
      <c r="AE373" s="180">
        <f>$F$13</f>
      </c>
      <c r="AG373" s="15"/>
      <c r="AH373" s="2"/>
      <c r="AI373" s="45"/>
      <c r="AJ373" s="15"/>
      <c r="AK373" s="13"/>
      <c r="AL373" s="15"/>
      <c r="AM373" s="45"/>
      <c r="AN373" s="15"/>
      <c r="AO373" s="13"/>
      <c r="AP373" s="15"/>
      <c r="AQ373" s="180"/>
      <c r="AR373" s="15"/>
      <c r="AS373" s="13"/>
      <c r="AT373" s="15"/>
      <c r="AU373" s="45"/>
      <c r="AV373" s="15"/>
      <c r="AW373" s="13"/>
      <c r="AX373" s="15"/>
      <c r="AY373" s="45"/>
      <c r="AZ373" s="28"/>
      <c r="BA373" s="13"/>
      <c r="BB373" s="15"/>
      <c r="BC373" s="45"/>
      <c r="BD373" s="28"/>
      <c r="BE373" s="14"/>
      <c r="BF373" s="41">
        <f t="shared" ref="BF373:BG373" si="1345">K373+O373+S373+W373+AA373+AE373+AI373+AM373+AQ373+AU373+AY373+BC373</f>
        <v>0</v>
      </c>
      <c r="BG373" s="34">
        <f t="shared" si="1345"/>
        <v>0</v>
      </c>
      <c r="BH373" s="35">
        <f t="shared" si="1329"/>
        <v>500</v>
      </c>
      <c r="BK373" s="2" t="b">
        <f>H373='2020'!BH373</f>
        <v>1</v>
      </c>
    </row>
    <row r="374" ht="14.25" customHeight="1" hidden="1" spans="1:63" x14ac:dyDescent="0.25">
      <c r="A374" s="2">
        <v>41</v>
      </c>
      <c r="B374" s="14"/>
      <c r="D374" s="14" t="s">
        <v>51</v>
      </c>
      <c r="E374" s="2" t="s">
        <v>49</v>
      </c>
      <c r="F374" s="41">
        <v>500</v>
      </c>
      <c r="G374" s="28"/>
      <c r="H374" s="34">
        <f>'2020'!BH374</f>
        <v>2435</v>
      </c>
      <c r="I374" s="13"/>
      <c r="J374" s="15"/>
      <c r="K374" s="15"/>
      <c r="L374" s="28"/>
      <c r="M374" s="13"/>
      <c r="N374" s="15"/>
      <c r="Q374" s="13"/>
      <c r="R374" s="15"/>
      <c r="S374" s="15"/>
      <c r="T374" s="28"/>
      <c r="U374" s="13"/>
      <c r="V374" s="15"/>
      <c r="Y374" s="186"/>
      <c r="Z374" s="2"/>
      <c r="AA374" s="15"/>
      <c r="AB374" s="28"/>
      <c r="AC374" s="15"/>
      <c r="AD374" s="15"/>
      <c r="AE374" s="34"/>
      <c r="AG374" s="15"/>
      <c r="AH374" s="2"/>
      <c r="AI374" s="45"/>
      <c r="AJ374" s="15"/>
      <c r="AK374" s="13"/>
      <c r="AL374" s="15"/>
      <c r="AM374" s="45"/>
      <c r="AN374" s="15"/>
      <c r="AO374" s="13"/>
      <c r="AP374" s="15"/>
      <c r="AQ374" s="180">
        <f>B369*$F$14</f>
        <v>0</v>
      </c>
      <c r="AR374" s="15"/>
      <c r="AS374" s="13"/>
      <c r="AT374" s="15"/>
      <c r="AU374" s="45"/>
      <c r="AV374" s="15"/>
      <c r="AW374" s="13"/>
      <c r="AX374" s="15"/>
      <c r="AY374" s="45"/>
      <c r="AZ374" s="28"/>
      <c r="BA374" s="13"/>
      <c r="BB374" s="15"/>
      <c r="BC374" s="45"/>
      <c r="BD374" s="28"/>
      <c r="BE374" s="14"/>
      <c r="BF374" s="41">
        <f t="shared" ref="BF374:BG374" si="1346">K374+O374+S374+W374+AA374+AE374+AI374+AM374+AQ374+AU374+AY374+BC374</f>
        <v>0</v>
      </c>
      <c r="BG374" s="34">
        <f t="shared" si="1346"/>
        <v>0</v>
      </c>
      <c r="BH374" s="35">
        <f t="shared" si="1329"/>
        <v>2435</v>
      </c>
      <c r="BK374" s="2" t="b">
        <f>H374='2020'!BH374</f>
        <v>1</v>
      </c>
    </row>
    <row r="375" ht="14.25" customHeight="1" hidden="1" spans="1:63" x14ac:dyDescent="0.25">
      <c r="A375" s="2">
        <v>41</v>
      </c>
      <c r="B375" s="14"/>
      <c r="D375" s="14" t="s">
        <v>52</v>
      </c>
      <c r="E375" s="2" t="s">
        <v>39</v>
      </c>
      <c r="F375" s="41">
        <v>500</v>
      </c>
      <c r="G375" s="28"/>
      <c r="H375" s="34">
        <f>'2020'!BH375</f>
        <v>500</v>
      </c>
      <c r="I375" s="13"/>
      <c r="J375" s="15"/>
      <c r="K375" s="15"/>
      <c r="L375" s="28"/>
      <c r="M375" s="13"/>
      <c r="N375" s="15"/>
      <c r="Q375" s="13"/>
      <c r="R375" s="15"/>
      <c r="S375" s="15"/>
      <c r="T375" s="28"/>
      <c r="U375" s="13"/>
      <c r="V375" s="15"/>
      <c r="Y375" s="186"/>
      <c r="Z375" s="2"/>
      <c r="AA375" s="34">
        <f>$F$15</f>
      </c>
      <c r="AB375" s="28"/>
      <c r="AC375" s="15"/>
      <c r="AD375" s="15"/>
      <c r="AG375" s="15"/>
      <c r="AH375" s="2"/>
      <c r="AI375" s="45"/>
      <c r="AJ375" s="15"/>
      <c r="AK375" s="13"/>
      <c r="AL375" s="15"/>
      <c r="AM375" s="45"/>
      <c r="AN375" s="15"/>
      <c r="AO375" s="13"/>
      <c r="AP375" s="15"/>
      <c r="AQ375" s="45"/>
      <c r="AR375" s="15"/>
      <c r="AS375" s="13"/>
      <c r="AT375" s="15"/>
      <c r="AU375" s="45"/>
      <c r="AV375" s="15"/>
      <c r="AW375" s="13"/>
      <c r="AX375" s="15"/>
      <c r="AY375" s="45"/>
      <c r="AZ375" s="35"/>
      <c r="BA375" s="13"/>
      <c r="BB375" s="15"/>
      <c r="BC375" s="45"/>
      <c r="BD375" s="35"/>
      <c r="BE375" s="14"/>
      <c r="BF375" s="41">
        <f t="shared" ref="BF375:BG375" si="1347">K375+O375+S375+W375+AA375+AE375+AI375+AM375+AQ375+AU375+AY375+BC375</f>
        <v>0</v>
      </c>
      <c r="BG375" s="34">
        <f t="shared" si="1347"/>
        <v>0</v>
      </c>
      <c r="BH375" s="35">
        <f t="shared" si="1329"/>
        <v>500</v>
      </c>
      <c r="BK375" s="2" t="b">
        <f>H375='2020'!BH375</f>
        <v>1</v>
      </c>
    </row>
    <row r="376" ht="14.25" customHeight="1" hidden="1" spans="1:63" x14ac:dyDescent="0.25">
      <c r="A376" s="247">
        <v>41</v>
      </c>
      <c r="B376" s="21"/>
      <c r="C376" s="22" t="s">
        <v>53</v>
      </c>
      <c r="D376" s="21"/>
      <c r="E376" s="22"/>
      <c r="F376" s="20"/>
      <c r="G376" s="23"/>
      <c r="H376" s="51">
        <f>SUM(H368:H375)</f>
        <v>8919.71</v>
      </c>
      <c r="I376" s="52"/>
      <c r="J376" s="53"/>
      <c r="K376" s="51">
        <f t="shared" ref="K376:L376" si="1348">SUM(K368:K375)</f>
        <v>16.61</v>
      </c>
      <c r="L376" s="68">
        <f t="shared" si="1348"/>
        <v>0</v>
      </c>
      <c r="M376" s="52"/>
      <c r="N376" s="53"/>
      <c r="O376" s="51">
        <f t="shared" ref="O376:P376" si="1349">SUM(O368:O375)</f>
        <v>15</v>
      </c>
      <c r="P376" s="51">
        <f t="shared" si="1349"/>
        <v>0</v>
      </c>
      <c r="Q376" s="52"/>
      <c r="R376" s="53"/>
      <c r="S376" s="51">
        <f t="shared" ref="S376:T376" si="1350">SUM(S368:S375)</f>
        <v>16.61</v>
      </c>
      <c r="T376" s="51">
        <f t="shared" si="1350"/>
        <v>0</v>
      </c>
      <c r="U376" s="52"/>
      <c r="V376" s="53"/>
      <c r="W376" s="51">
        <f t="shared" ref="W376:X376" si="1351">SUM(W368:W375)</f>
        <v>16.07</v>
      </c>
      <c r="X376" s="51">
        <f t="shared" si="1351"/>
        <v>0</v>
      </c>
      <c r="Y376" s="300"/>
      <c r="Z376" s="301"/>
      <c r="AA376" s="51">
        <f t="shared" ref="AA376:AB376" si="1352">SUM(AA368:AA375)</f>
        <v>16.61</v>
      </c>
      <c r="AB376" s="51">
        <f t="shared" si="1352"/>
        <v>0</v>
      </c>
      <c r="AC376" s="52"/>
      <c r="AD376" s="53"/>
      <c r="AE376" s="51">
        <f t="shared" ref="AE376:AF376" si="1353">SUM(AE368:AE375)</f>
        <v>5373.07</v>
      </c>
      <c r="AF376" s="51">
        <f t="shared" si="1353"/>
        <v>0</v>
      </c>
      <c r="AG376" s="52"/>
      <c r="AH376" s="301"/>
      <c r="AI376" s="183">
        <f t="shared" ref="AI376:AJ376" si="1354">SUM(AI368:AI375)</f>
        <v>0</v>
      </c>
      <c r="AJ376" s="51">
        <f t="shared" si="1354"/>
        <v>0</v>
      </c>
      <c r="AK376" s="52"/>
      <c r="AL376" s="53"/>
      <c r="AM376" s="183">
        <f t="shared" ref="AM376:AN376" si="1355">SUM(AM368:AM375)</f>
        <v>16.61</v>
      </c>
      <c r="AN376" s="51">
        <f t="shared" si="1355"/>
        <v>0</v>
      </c>
      <c r="AO376" s="52"/>
      <c r="AP376" s="53"/>
      <c r="AQ376" s="183">
        <f t="shared" ref="AQ376:AR376" si="1356">SUM(AQ368:AQ375)</f>
        <v>40.95</v>
      </c>
      <c r="AR376" s="51">
        <f t="shared" si="1356"/>
        <v>0</v>
      </c>
      <c r="AS376" s="52"/>
      <c r="AT376" s="53"/>
      <c r="AU376" s="183">
        <f t="shared" ref="AU376:AV376" si="1357">SUM(AU368:AU375)</f>
        <v>0</v>
      </c>
      <c r="AV376" s="68">
        <f t="shared" si="1357"/>
        <v>0</v>
      </c>
      <c r="AW376" s="52"/>
      <c r="AX376" s="53"/>
      <c r="AY376" s="183">
        <f t="shared" ref="AY376:AZ376" si="1358">SUM(AY368:AY375)</f>
        <v>0</v>
      </c>
      <c r="AZ376" s="68">
        <f t="shared" si="1358"/>
        <v>0</v>
      </c>
      <c r="BA376" s="52"/>
      <c r="BB376" s="53"/>
      <c r="BC376" s="183">
        <f t="shared" ref="BC376:BD376" si="1359">SUM(BC368:BC375)</f>
        <v>0</v>
      </c>
      <c r="BD376" s="68">
        <f t="shared" si="1359"/>
        <v>0</v>
      </c>
      <c r="BE376" s="69"/>
      <c r="BF376" s="70">
        <f t="shared" ref="BF376:BH376" si="1360">SUM(BF368:BF375)</f>
        <v>5511.53</v>
      </c>
      <c r="BG376" s="71">
        <f t="shared" si="1360"/>
        <v>0</v>
      </c>
      <c r="BH376" s="72">
        <f t="shared" si="1360"/>
        <v>14431.24</v>
      </c>
      <c r="BI376" s="34">
        <f>H376+BF376-BG376</f>
        <v>14431.24</v>
      </c>
      <c r="BJ376" s="34">
        <f>BH376-BI376</f>
        <v>0</v>
      </c>
      <c r="BK376" s="2" t="b">
        <f>H376='2020'!BH376</f>
        <v>1</v>
      </c>
    </row>
    <row r="377" ht="14.25" customHeight="1" hidden="1" spans="1:63" x14ac:dyDescent="0.25">
      <c r="A377" s="2">
        <v>42</v>
      </c>
      <c r="B377" s="14"/>
      <c r="D377" s="14" t="s">
        <v>379</v>
      </c>
      <c r="F377" s="41"/>
      <c r="G377" s="28"/>
      <c r="H377" s="34">
        <f>'2020'!BH377</f>
        <v>7.01</v>
      </c>
      <c r="I377" s="13"/>
      <c r="J377" s="15"/>
      <c r="K377" s="34"/>
      <c r="L377" s="28"/>
      <c r="M377" s="13"/>
      <c r="N377" s="15"/>
      <c r="Q377" s="13"/>
      <c r="R377" s="15"/>
      <c r="S377" s="15"/>
      <c r="T377" s="28"/>
      <c r="U377" s="13"/>
      <c r="V377" s="15"/>
      <c r="W377" s="2"/>
      <c r="Y377" s="186"/>
      <c r="Z377" s="2"/>
      <c r="AA377" s="15"/>
      <c r="AB377" s="28"/>
      <c r="AC377" s="15"/>
      <c r="AD377" s="15"/>
      <c r="AE377" s="34"/>
      <c r="AF377" s="2"/>
      <c r="AG377" s="15"/>
      <c r="AH377" s="2"/>
      <c r="AI377" s="45"/>
      <c r="AJ377" s="15"/>
      <c r="AK377" s="13"/>
      <c r="AM377" s="45"/>
      <c r="AO377" s="13"/>
      <c r="AQ377" s="307">
        <v>16.17</v>
      </c>
      <c r="AR377" s="34"/>
      <c r="AS377" s="13"/>
      <c r="AU377" s="45"/>
      <c r="AW377" s="13"/>
      <c r="AY377" s="45"/>
      <c r="AZ377" s="28"/>
      <c r="BA377" s="13"/>
      <c r="BB377" s="15"/>
      <c r="BC377" s="45"/>
      <c r="BD377" s="28"/>
      <c r="BE377" s="14"/>
      <c r="BF377" s="41">
        <f t="shared" ref="BF377:BG377" si="1361">K377+O377+S377+W377+AA377+AE377+AI377+AM377+AQ377+AU377+AY377+BC377</f>
        <v>16.17</v>
      </c>
      <c r="BG377" s="34">
        <f t="shared" si="1361"/>
        <v>0</v>
      </c>
      <c r="BH377" s="35">
        <f t="shared" ref="BH377:BH384" si="1362">H377+BF377-BG377</f>
        <v>23.18</v>
      </c>
      <c r="BK377" s="2" t="b">
        <f>H377='2020'!BH377</f>
        <v>1</v>
      </c>
    </row>
    <row r="378" ht="14.25" customHeight="1" hidden="1" spans="1:63" x14ac:dyDescent="0.25">
      <c r="A378" s="2">
        <v>42</v>
      </c>
      <c r="B378" s="42">
        <v>4.9</v>
      </c>
      <c r="C378" s="15" t="s">
        <v>181</v>
      </c>
      <c r="D378" s="14" t="s">
        <v>44</v>
      </c>
      <c r="E378" s="2" t="s">
        <v>45</v>
      </c>
      <c r="F378" s="41">
        <v>2.5</v>
      </c>
      <c r="G378" s="35">
        <v>2.6</v>
      </c>
      <c r="H378" s="34">
        <f>'2020'!BH378</f>
        <v>6862.64</v>
      </c>
      <c r="I378" s="13">
        <v>9869</v>
      </c>
      <c r="J378" s="15">
        <f>I378-'2020'!BA378</f>
        <v>3402</v>
      </c>
      <c r="K378" s="34">
        <f>J378*$F$8</f>
        <v>8845.2</v>
      </c>
      <c r="L378" s="32">
        <v>6910</v>
      </c>
      <c r="M378" s="13">
        <v>12779</v>
      </c>
      <c r="N378" s="15">
        <f t="shared" ref="N378:N379" si="1363">M378-I378</f>
        <v>2910</v>
      </c>
      <c r="O378" s="34">
        <f>N378*$F$8</f>
        <v>7566</v>
      </c>
      <c r="P378" s="1">
        <v>5000</v>
      </c>
      <c r="Q378" s="13">
        <v>14855</v>
      </c>
      <c r="R378" s="15">
        <f t="shared" ref="R378:R379" si="1364">Q378-M378</f>
        <v>2076</v>
      </c>
      <c r="S378" s="34">
        <f>R378*$F$8</f>
        <v>5397.6</v>
      </c>
      <c r="T378" s="32">
        <v>5000</v>
      </c>
      <c r="U378" s="13">
        <v>16356</v>
      </c>
      <c r="V378" s="15">
        <f t="shared" ref="V378:V379" si="1365">U378-Q378</f>
        <v>1501</v>
      </c>
      <c r="W378" s="34">
        <f>V378*$F$8</f>
        <v>3902.6</v>
      </c>
      <c r="X378" s="1">
        <f>5000+5400</f>
        <v>10400</v>
      </c>
      <c r="Y378" s="186">
        <v>16756</v>
      </c>
      <c r="Z378" s="2">
        <f t="shared" ref="Z378:Z379" si="1366">Y378-U378</f>
        <v>400</v>
      </c>
      <c r="AA378" s="34">
        <f>Z378*$F$8</f>
        <v>1040</v>
      </c>
      <c r="AB378" s="28"/>
      <c r="AC378" s="15">
        <v>17104</v>
      </c>
      <c r="AD378" s="15">
        <f t="shared" ref="AD378:AD379" si="1367">AC378-Y378</f>
        <v>348</v>
      </c>
      <c r="AE378" s="180">
        <f>AD378*$F$8</f>
        <v>904.8</v>
      </c>
      <c r="AF378" s="317">
        <v>4000</v>
      </c>
      <c r="AG378" s="15">
        <v>17135</v>
      </c>
      <c r="AH378" s="2">
        <f t="shared" ref="AH378:AH379" si="1368">AG378-AC378</f>
        <v>31</v>
      </c>
      <c r="AI378" s="45">
        <f>AH378*$G$8</f>
        <v>83.7</v>
      </c>
      <c r="AJ378" s="15"/>
      <c r="AK378" s="13">
        <v>17304</v>
      </c>
      <c r="AL378" s="15">
        <f t="shared" ref="AL378:AL379" si="1369">AK378-AG378</f>
        <v>169</v>
      </c>
      <c r="AM378" s="45">
        <f>AL378*$G$8</f>
        <v>456.3</v>
      </c>
      <c r="AN378" s="15"/>
      <c r="AO378" s="13">
        <v>17914</v>
      </c>
      <c r="AP378" s="15">
        <f t="shared" ref="AP378:AP379" si="1370">AO378-AK378</f>
        <v>610</v>
      </c>
      <c r="AQ378" s="45">
        <f>AP378*$G$8</f>
        <v>1647</v>
      </c>
      <c r="AR378" s="1"/>
      <c r="AS378" s="13">
        <v>19300</v>
      </c>
      <c r="AT378" s="15">
        <f t="shared" ref="AT378:AT379" si="1371">AS378-AO378</f>
        <v>1386</v>
      </c>
      <c r="AU378" s="45">
        <f>AT378*$G$8</f>
        <v>3742.2</v>
      </c>
      <c r="AV378" s="34"/>
      <c r="AW378" s="13">
        <v>21611</v>
      </c>
      <c r="AX378" s="15">
        <f t="shared" ref="AX378:AX379" si="1372">AW378-AS378</f>
        <v>2311</v>
      </c>
      <c r="AY378" s="45">
        <f>AX378*$G$8</f>
        <v>6239.7</v>
      </c>
      <c r="AZ378" s="246"/>
      <c r="BA378" s="13">
        <v>23695</v>
      </c>
      <c r="BB378" s="15">
        <f t="shared" ref="BB378:BB379" si="1373">BA378-AW378</f>
        <v>2084</v>
      </c>
      <c r="BC378" s="45">
        <f>BB378*$G$8</f>
        <v>5626.8</v>
      </c>
      <c r="BD378" s="246">
        <f>5500+5000</f>
        <v>10500</v>
      </c>
      <c r="BE378" s="40">
        <f t="shared" ref="BE378:BG378" si="1374">J378+N378+R378+V378+Z378+AD378+AH378+AL378+AP378+AT378+AX378+BB378</f>
        <v>17228</v>
      </c>
      <c r="BF378" s="41">
        <f t="shared" si="1374"/>
        <v>45451.9</v>
      </c>
      <c r="BG378" s="34">
        <f t="shared" si="1374"/>
        <v>41810</v>
      </c>
      <c r="BH378" s="35">
        <f t="shared" si="1362"/>
        <v>10504.54</v>
      </c>
      <c r="BK378" s="2" t="b">
        <f>H378='2020'!BH378</f>
        <v>1</v>
      </c>
    </row>
    <row r="379" ht="14.25" customHeight="1" hidden="1" spans="1:63" x14ac:dyDescent="0.25">
      <c r="A379" s="2">
        <v>42</v>
      </c>
      <c r="B379" s="14"/>
      <c r="C379" s="15" t="s">
        <v>182</v>
      </c>
      <c r="D379" s="14" t="s">
        <v>47</v>
      </c>
      <c r="E379" s="2" t="s">
        <v>48</v>
      </c>
      <c r="F379" s="13">
        <v>18.56</v>
      </c>
      <c r="G379" s="35">
        <v>19.46</v>
      </c>
      <c r="H379" s="34">
        <f>'2020'!BH379</f>
        <v>58.38</v>
      </c>
      <c r="I379" s="13">
        <v>10</v>
      </c>
      <c r="J379" s="15"/>
      <c r="K379" s="15"/>
      <c r="L379" s="28"/>
      <c r="M379" s="13">
        <v>10</v>
      </c>
      <c r="N379" s="15">
        <f t="shared" si="1363"/>
        <v>0</v>
      </c>
      <c r="Q379" s="13">
        <v>10</v>
      </c>
      <c r="R379" s="15">
        <f t="shared" si="1364"/>
        <v>0</v>
      </c>
      <c r="S379" s="15"/>
      <c r="T379" s="28"/>
      <c r="U379" s="13">
        <v>10</v>
      </c>
      <c r="V379" s="15">
        <f t="shared" si="1365"/>
        <v>0</v>
      </c>
      <c r="W379" s="34">
        <f>V379*$F$10</f>
        <v>0</v>
      </c>
      <c r="Y379" s="186">
        <v>11</v>
      </c>
      <c r="Z379" s="2">
        <f t="shared" si="1366"/>
        <v>1</v>
      </c>
      <c r="AA379" s="34">
        <f>Z379*$F$10</f>
        <v>19.46</v>
      </c>
      <c r="AB379" s="28"/>
      <c r="AC379" s="15">
        <v>15</v>
      </c>
      <c r="AD379" s="15">
        <f t="shared" si="1367"/>
        <v>4</v>
      </c>
      <c r="AE379" s="34">
        <f>AD379*$F$10</f>
        <v>77.84</v>
      </c>
      <c r="AF379" s="2"/>
      <c r="AG379" s="154">
        <v>21</v>
      </c>
      <c r="AH379" s="2">
        <f t="shared" si="1368"/>
        <v>6</v>
      </c>
      <c r="AI379" s="45">
        <f>AH379*$G$10</f>
        <v>122.1</v>
      </c>
      <c r="AJ379" s="15"/>
      <c r="AK379" s="13">
        <v>25</v>
      </c>
      <c r="AL379" s="15">
        <f t="shared" si="1369"/>
        <v>4</v>
      </c>
      <c r="AM379" s="45">
        <f>AL379*$G$10</f>
        <v>81.4</v>
      </c>
      <c r="AN379" s="15"/>
      <c r="AO379" s="13">
        <v>25</v>
      </c>
      <c r="AP379" s="15">
        <f t="shared" si="1370"/>
        <v>0</v>
      </c>
      <c r="AQ379" s="45">
        <f>AP379*$G$10</f>
        <v>0</v>
      </c>
      <c r="AR379" s="1"/>
      <c r="AS379" s="13">
        <v>25</v>
      </c>
      <c r="AT379" s="15">
        <f t="shared" si="1371"/>
        <v>0</v>
      </c>
      <c r="AU379" s="45">
        <f>AT379*$G$10</f>
        <v>0</v>
      </c>
      <c r="AV379" s="15"/>
      <c r="AW379" s="13">
        <v>25</v>
      </c>
      <c r="AX379" s="15">
        <f t="shared" si="1372"/>
        <v>0</v>
      </c>
      <c r="AY379" s="45"/>
      <c r="AZ379" s="208"/>
      <c r="BA379" s="13">
        <v>25</v>
      </c>
      <c r="BB379" s="15">
        <f t="shared" si="1373"/>
        <v>0</v>
      </c>
      <c r="BC379" s="45"/>
      <c r="BD379" s="208"/>
      <c r="BE379" s="40">
        <f t="shared" ref="BE379:BG379" si="1375">J379+N379+R379+V379+Z379+AD379+AH379+AL379+AP379+AT379+AX379+BB379</f>
        <v>15</v>
      </c>
      <c r="BF379" s="41">
        <f t="shared" si="1375"/>
        <v>300.8</v>
      </c>
      <c r="BG379" s="34">
        <f t="shared" si="1375"/>
        <v>0</v>
      </c>
      <c r="BH379" s="35">
        <f t="shared" si="1362"/>
        <v>359.18</v>
      </c>
      <c r="BK379" s="2" t="b">
        <f>H379='2020'!BH379</f>
        <v>1</v>
      </c>
    </row>
    <row r="380" ht="14.25" customHeight="1" hidden="1" spans="1:63" x14ac:dyDescent="0.25">
      <c r="A380" s="2">
        <v>42</v>
      </c>
      <c r="B380" s="14"/>
      <c r="C380" s="15" t="s">
        <v>183</v>
      </c>
      <c r="D380" s="14" t="s">
        <v>47</v>
      </c>
      <c r="E380" s="2" t="s">
        <v>49</v>
      </c>
      <c r="F380" s="41">
        <v>500</v>
      </c>
      <c r="G380" s="28"/>
      <c r="H380" s="34">
        <f>'2020'!BH380</f>
        <v>0</v>
      </c>
      <c r="I380" s="13"/>
      <c r="J380" s="15"/>
      <c r="K380" s="15"/>
      <c r="L380" s="28"/>
      <c r="M380" s="13"/>
      <c r="N380" s="15"/>
      <c r="Q380" s="13"/>
      <c r="R380" s="15"/>
      <c r="S380" s="15"/>
      <c r="T380" s="28"/>
      <c r="U380" s="13"/>
      <c r="V380" s="15"/>
      <c r="Y380" s="186"/>
      <c r="Z380" s="2"/>
      <c r="AA380" s="34"/>
      <c r="AB380" s="28"/>
      <c r="AC380" s="15"/>
      <c r="AD380" s="15"/>
      <c r="AF380" s="1"/>
      <c r="AG380" s="15"/>
      <c r="AH380" s="2"/>
      <c r="AI380" s="45"/>
      <c r="AJ380" s="15"/>
      <c r="AK380" s="13"/>
      <c r="AL380" s="15"/>
      <c r="AM380" s="45"/>
      <c r="AN380" s="15"/>
      <c r="AO380" s="13"/>
      <c r="AP380" s="15"/>
      <c r="AQ380" s="45"/>
      <c r="AR380" s="1"/>
      <c r="AS380" s="13"/>
      <c r="AT380" s="15"/>
      <c r="AU380" s="45"/>
      <c r="AV380" s="15"/>
      <c r="AW380" s="13"/>
      <c r="AX380" s="15"/>
      <c r="AY380" s="45"/>
      <c r="AZ380" s="28"/>
      <c r="BA380" s="13"/>
      <c r="BB380" s="15"/>
      <c r="BC380" s="45"/>
      <c r="BD380" s="28"/>
      <c r="BE380" s="40">
        <f t="shared" ref="BE380:BG380" si="1376">J380+N380+R380+V380+Z380+AD380+AH380+AL380+AP380+AT380+AX380+BB380</f>
        <v>0</v>
      </c>
      <c r="BF380" s="41">
        <f t="shared" si="1376"/>
        <v>0</v>
      </c>
      <c r="BG380" s="34">
        <f t="shared" si="1376"/>
        <v>0</v>
      </c>
      <c r="BH380" s="35">
        <f t="shared" si="1362"/>
        <v>0</v>
      </c>
      <c r="BK380" s="2" t="b">
        <f>H380='2020'!BH380</f>
        <v>1</v>
      </c>
    </row>
    <row r="381" ht="14.25" customHeight="1" hidden="1" spans="1:63" x14ac:dyDescent="0.25">
      <c r="A381" s="2">
        <v>42</v>
      </c>
      <c r="B381" s="14"/>
      <c r="C381" s="15" t="s">
        <v>184</v>
      </c>
      <c r="D381" s="14" t="s">
        <v>50</v>
      </c>
      <c r="E381" s="2" t="s">
        <v>49</v>
      </c>
      <c r="F381" s="41">
        <v>1100</v>
      </c>
      <c r="G381" s="28"/>
      <c r="H381" s="180">
        <f>'2020'!BH381</f>
        <v>0</v>
      </c>
      <c r="I381" s="13"/>
      <c r="J381" s="15"/>
      <c r="K381" s="15"/>
      <c r="L381" s="28"/>
      <c r="M381" s="13"/>
      <c r="N381" s="15"/>
      <c r="Q381" s="13"/>
      <c r="R381" s="15"/>
      <c r="S381" s="15"/>
      <c r="T381" s="28"/>
      <c r="U381" s="13"/>
      <c r="V381" s="15"/>
      <c r="Y381" s="186"/>
      <c r="Z381" s="2"/>
      <c r="AA381" s="15"/>
      <c r="AB381" s="28"/>
      <c r="AC381" s="15"/>
      <c r="AD381" s="15"/>
      <c r="AE381" s="34">
        <f>B378*$F$12</f>
        <v>5390</v>
      </c>
      <c r="AF381" s="180"/>
      <c r="AG381" s="15"/>
      <c r="AH381" s="2"/>
      <c r="AI381" s="45"/>
      <c r="AJ381" s="15"/>
      <c r="AK381" s="13"/>
      <c r="AL381" s="15"/>
      <c r="AM381" s="45"/>
      <c r="AN381" s="15"/>
      <c r="AO381" s="13"/>
      <c r="AP381" s="15"/>
      <c r="AQ381" s="45"/>
      <c r="AR381" s="34"/>
      <c r="AS381" s="13"/>
      <c r="AT381" s="15"/>
      <c r="AU381" s="45"/>
      <c r="AV381" s="15"/>
      <c r="AW381" s="13"/>
      <c r="AX381" s="15"/>
      <c r="AY381" s="45"/>
      <c r="AZ381" s="28"/>
      <c r="BA381" s="13"/>
      <c r="BB381" s="15"/>
      <c r="BC381" s="45"/>
      <c r="BD381" s="28"/>
      <c r="BE381" s="14"/>
      <c r="BF381" s="41">
        <f t="shared" ref="BF381:BG381" si="1377">K381+O381+S381+W381+AA381+AE381+AI381+AM381+AQ381+AU381+AY381+BC381</f>
        <v>5390</v>
      </c>
      <c r="BG381" s="34">
        <f t="shared" si="1377"/>
        <v>0</v>
      </c>
      <c r="BH381" s="35">
        <f t="shared" si="1362"/>
        <v>5390</v>
      </c>
      <c r="BK381" s="2" t="b">
        <f>H381='2020'!BH381</f>
        <v>1</v>
      </c>
    </row>
    <row r="382" ht="14.25" customHeight="1" hidden="1" spans="1:63" x14ac:dyDescent="0.25">
      <c r="A382" s="2">
        <v>42</v>
      </c>
      <c r="B382" s="14"/>
      <c r="C382" s="73" t="s">
        <v>408</v>
      </c>
      <c r="D382" s="14" t="s">
        <v>51</v>
      </c>
      <c r="E382" s="2" t="s">
        <v>39</v>
      </c>
      <c r="F382" s="41">
        <v>500</v>
      </c>
      <c r="G382" s="28"/>
      <c r="H382" s="180">
        <f>'2020'!BH382</f>
        <v>0</v>
      </c>
      <c r="I382" s="13"/>
      <c r="J382" s="15"/>
      <c r="K382" s="15"/>
      <c r="L382" s="28"/>
      <c r="M382" s="13"/>
      <c r="N382" s="15"/>
      <c r="Q382" s="13"/>
      <c r="R382" s="15"/>
      <c r="S382" s="15"/>
      <c r="T382" s="28"/>
      <c r="U382" s="13"/>
      <c r="V382" s="15"/>
      <c r="Y382" s="186"/>
      <c r="Z382" s="2"/>
      <c r="AA382" s="15"/>
      <c r="AB382" s="28"/>
      <c r="AC382" s="15"/>
      <c r="AD382" s="15"/>
      <c r="AE382" s="180">
        <f>$F$13</f>
      </c>
      <c r="AF382" s="180"/>
      <c r="AG382" s="15"/>
      <c r="AH382" s="2"/>
      <c r="AI382" s="45"/>
      <c r="AJ382" s="15"/>
      <c r="AK382" s="13"/>
      <c r="AL382" s="15"/>
      <c r="AM382" s="45"/>
      <c r="AN382" s="15"/>
      <c r="AO382" s="13"/>
      <c r="AP382" s="15"/>
      <c r="AQ382" s="180"/>
      <c r="AR382" s="34"/>
      <c r="AS382" s="13"/>
      <c r="AT382" s="15"/>
      <c r="AU382" s="45"/>
      <c r="AV382" s="15"/>
      <c r="AW382" s="13"/>
      <c r="AX382" s="15"/>
      <c r="AY382" s="45"/>
      <c r="AZ382" s="28"/>
      <c r="BA382" s="13"/>
      <c r="BB382" s="15"/>
      <c r="BC382" s="45"/>
      <c r="BD382" s="28"/>
      <c r="BE382" s="14"/>
      <c r="BF382" s="41">
        <f t="shared" ref="BF382:BG382" si="1378">K382+O382+S382+W382+AA382+AE382+AI382+AM382+AQ382+AU382+AY382+BC382</f>
        <v>0</v>
      </c>
      <c r="BG382" s="34">
        <f t="shared" si="1378"/>
        <v>0</v>
      </c>
      <c r="BH382" s="35">
        <f t="shared" si="1362"/>
        <v>0</v>
      </c>
      <c r="BK382" s="2" t="b">
        <f>H382='2020'!BH382</f>
        <v>1</v>
      </c>
    </row>
    <row r="383" ht="14.25" customHeight="1" hidden="1" spans="1:63" x14ac:dyDescent="0.25">
      <c r="A383" s="2">
        <v>42</v>
      </c>
      <c r="B383" s="14"/>
      <c r="C383" s="15"/>
      <c r="D383" s="14" t="s">
        <v>51</v>
      </c>
      <c r="E383" s="2" t="s">
        <v>49</v>
      </c>
      <c r="F383" s="41">
        <v>500</v>
      </c>
      <c r="G383" s="28"/>
      <c r="H383" s="180">
        <f>'2020'!BH383</f>
        <v>2345.5</v>
      </c>
      <c r="I383" s="13"/>
      <c r="J383" s="15"/>
      <c r="K383" s="15"/>
      <c r="L383" s="28"/>
      <c r="M383" s="13"/>
      <c r="N383" s="15"/>
      <c r="Q383" s="13"/>
      <c r="R383" s="15"/>
      <c r="S383" s="15"/>
      <c r="T383" s="28"/>
      <c r="U383" s="13"/>
      <c r="V383" s="15"/>
      <c r="Y383" s="186"/>
      <c r="Z383" s="2"/>
      <c r="AA383" s="15"/>
      <c r="AB383" s="32">
        <v>2345</v>
      </c>
      <c r="AC383" s="15"/>
      <c r="AD383" s="15"/>
      <c r="AE383" s="34"/>
      <c r="AF383" s="39"/>
      <c r="AG383" s="15"/>
      <c r="AH383" s="2"/>
      <c r="AI383" s="45"/>
      <c r="AJ383" s="15"/>
      <c r="AK383" s="13"/>
      <c r="AL383" s="15"/>
      <c r="AM383" s="45"/>
      <c r="AN383" s="15"/>
      <c r="AO383" s="13"/>
      <c r="AP383" s="15"/>
      <c r="AQ383" s="180">
        <f>B378*$F$14</f>
        <v>0</v>
      </c>
      <c r="AR383" s="34"/>
      <c r="AS383" s="13"/>
      <c r="AT383" s="15"/>
      <c r="AU383" s="45"/>
      <c r="AV383" s="15"/>
      <c r="AW383" s="13"/>
      <c r="AX383" s="15"/>
      <c r="AY383" s="45"/>
      <c r="AZ383" s="28"/>
      <c r="BA383" s="13"/>
      <c r="BB383" s="15"/>
      <c r="BC383" s="45"/>
      <c r="BD383" s="28"/>
      <c r="BE383" s="14"/>
      <c r="BF383" s="41">
        <f t="shared" ref="BF383:BG383" si="1379">K383+O383+S383+W383+AA383+AE383+AI383+AM383+AQ383+AU383+AY383+BC383</f>
        <v>0</v>
      </c>
      <c r="BG383" s="34">
        <f t="shared" si="1379"/>
        <v>2345</v>
      </c>
      <c r="BH383" s="35">
        <f t="shared" si="1362"/>
        <v>0.5</v>
      </c>
      <c r="BK383" s="2" t="b">
        <f>H383='2020'!BH383</f>
        <v>1</v>
      </c>
    </row>
    <row r="384" ht="14.25" customHeight="1" hidden="1" spans="1:63" x14ac:dyDescent="0.25">
      <c r="A384" s="2">
        <v>42</v>
      </c>
      <c r="B384" s="14"/>
      <c r="C384" s="15" t="s">
        <v>409</v>
      </c>
      <c r="D384" s="14" t="s">
        <v>52</v>
      </c>
      <c r="E384" s="2" t="s">
        <v>39</v>
      </c>
      <c r="F384" s="41">
        <v>500</v>
      </c>
      <c r="G384" s="28"/>
      <c r="H384" s="180">
        <f>'2020'!BH384</f>
        <v>0</v>
      </c>
      <c r="I384" s="13"/>
      <c r="J384" s="15"/>
      <c r="K384" s="15"/>
      <c r="L384" s="28"/>
      <c r="M384" s="13"/>
      <c r="N384" s="15"/>
      <c r="Q384" s="13"/>
      <c r="R384" s="15"/>
      <c r="S384" s="15"/>
      <c r="T384" s="28"/>
      <c r="U384" s="13"/>
      <c r="V384" s="15"/>
      <c r="Y384" s="186"/>
      <c r="Z384" s="2"/>
      <c r="AA384" s="34">
        <f>$F$15</f>
      </c>
      <c r="AB384" s="28"/>
      <c r="AC384" s="15"/>
      <c r="AD384" s="15"/>
      <c r="AF384" s="180"/>
      <c r="AG384" s="15"/>
      <c r="AH384" s="2"/>
      <c r="AI384" s="45"/>
      <c r="AJ384" s="15"/>
      <c r="AK384" s="13"/>
      <c r="AL384" s="15"/>
      <c r="AM384" s="45"/>
      <c r="AN384" s="15"/>
      <c r="AO384" s="13"/>
      <c r="AP384" s="15"/>
      <c r="AQ384" s="45"/>
      <c r="AR384" s="34"/>
      <c r="AS384" s="13"/>
      <c r="AT384" s="15"/>
      <c r="AU384" s="45"/>
      <c r="AV384" s="15"/>
      <c r="AW384" s="13"/>
      <c r="AX384" s="15"/>
      <c r="AY384" s="45"/>
      <c r="AZ384" s="35"/>
      <c r="BA384" s="13"/>
      <c r="BB384" s="15"/>
      <c r="BC384" s="45"/>
      <c r="BD384" s="35"/>
      <c r="BE384" s="14"/>
      <c r="BF384" s="41">
        <f t="shared" ref="BF384:BG384" si="1380">K384+O384+S384+W384+AA384+AE384+AI384+AM384+AQ384+AU384+AY384+BC384</f>
        <v>0</v>
      </c>
      <c r="BG384" s="34">
        <f t="shared" si="1380"/>
        <v>0</v>
      </c>
      <c r="BH384" s="35">
        <f t="shared" si="1362"/>
        <v>0</v>
      </c>
      <c r="BK384" s="2" t="b">
        <f>H384='2020'!BH384</f>
        <v>1</v>
      </c>
    </row>
    <row r="385" ht="14.25" customHeight="1" hidden="1" spans="1:63" x14ac:dyDescent="0.25">
      <c r="A385" s="247">
        <v>42</v>
      </c>
      <c r="B385" s="21"/>
      <c r="C385" s="22" t="s">
        <v>53</v>
      </c>
      <c r="D385" s="21"/>
      <c r="E385" s="22"/>
      <c r="F385" s="20"/>
      <c r="G385" s="23"/>
      <c r="H385" s="51">
        <f>SUM(H377:H384)</f>
        <v>9273.53</v>
      </c>
      <c r="I385" s="52"/>
      <c r="J385" s="53"/>
      <c r="K385" s="51">
        <f t="shared" ref="K385:L385" si="1381">SUM(K377:K384)</f>
        <v>8845.2</v>
      </c>
      <c r="L385" s="68">
        <f t="shared" si="1381"/>
        <v>6910</v>
      </c>
      <c r="M385" s="52"/>
      <c r="N385" s="53"/>
      <c r="O385" s="51">
        <f t="shared" ref="O385:P385" si="1382">SUM(O377:O384)</f>
        <v>7566</v>
      </c>
      <c r="P385" s="51">
        <f t="shared" si="1382"/>
        <v>5000</v>
      </c>
      <c r="Q385" s="52"/>
      <c r="R385" s="53"/>
      <c r="S385" s="51">
        <f t="shared" ref="S385:T385" si="1383">SUM(S377:S384)</f>
        <v>5397.6</v>
      </c>
      <c r="T385" s="51">
        <f t="shared" si="1383"/>
        <v>5000</v>
      </c>
      <c r="U385" s="52"/>
      <c r="V385" s="53"/>
      <c r="W385" s="51">
        <f t="shared" ref="W385:X385" si="1384">SUM(W377:W384)</f>
        <v>3902.6</v>
      </c>
      <c r="X385" s="51">
        <f t="shared" si="1384"/>
        <v>10400</v>
      </c>
      <c r="Y385" s="300"/>
      <c r="Z385" s="301"/>
      <c r="AA385" s="51">
        <f t="shared" ref="AA385:AB385" si="1385">SUM(AA377:AA384)</f>
        <v>1059.46</v>
      </c>
      <c r="AB385" s="51">
        <f t="shared" si="1385"/>
        <v>2345</v>
      </c>
      <c r="AC385" s="52"/>
      <c r="AD385" s="53"/>
      <c r="AE385" s="51">
        <f t="shared" ref="AE385:AF385" si="1386">SUM(AE377:AE384)</f>
        <v>6372.64</v>
      </c>
      <c r="AF385" s="51">
        <f t="shared" si="1386"/>
        <v>4000</v>
      </c>
      <c r="AG385" s="52"/>
      <c r="AH385" s="301"/>
      <c r="AI385" s="183">
        <f t="shared" ref="AI385:AJ385" si="1387">SUM(AI377:AI384)</f>
        <v>205.8</v>
      </c>
      <c r="AJ385" s="51">
        <f t="shared" si="1387"/>
        <v>0</v>
      </c>
      <c r="AK385" s="52"/>
      <c r="AL385" s="53"/>
      <c r="AM385" s="183">
        <f t="shared" ref="AM385:AN385" si="1388">SUM(AM377:AM384)</f>
        <v>537.7</v>
      </c>
      <c r="AN385" s="51">
        <f t="shared" si="1388"/>
        <v>0</v>
      </c>
      <c r="AO385" s="52"/>
      <c r="AP385" s="53"/>
      <c r="AQ385" s="183">
        <f t="shared" ref="AQ385:AR385" si="1389">SUM(AQ377:AQ384)</f>
        <v>1663.17</v>
      </c>
      <c r="AR385" s="51">
        <f t="shared" si="1389"/>
        <v>0</v>
      </c>
      <c r="AS385" s="52"/>
      <c r="AT385" s="53"/>
      <c r="AU385" s="183">
        <f t="shared" ref="AU385:AV385" si="1390">SUM(AU377:AU384)</f>
        <v>3742.2</v>
      </c>
      <c r="AV385" s="68">
        <f t="shared" si="1390"/>
        <v>0</v>
      </c>
      <c r="AW385" s="52"/>
      <c r="AX385" s="53"/>
      <c r="AY385" s="183">
        <f t="shared" ref="AY385:AZ385" si="1391">SUM(AY377:AY384)</f>
        <v>6239.7</v>
      </c>
      <c r="AZ385" s="68">
        <f t="shared" si="1391"/>
        <v>0</v>
      </c>
      <c r="BA385" s="52"/>
      <c r="BB385" s="53"/>
      <c r="BC385" s="183">
        <f t="shared" ref="BC385:BD385" si="1392">SUM(BC377:BC384)</f>
        <v>5626.8</v>
      </c>
      <c r="BD385" s="68">
        <f t="shared" si="1392"/>
        <v>10500</v>
      </c>
      <c r="BE385" s="69"/>
      <c r="BF385" s="70">
        <f t="shared" ref="BF385:BH385" si="1393">SUM(BF377:BF384)</f>
        <v>51158.87</v>
      </c>
      <c r="BG385" s="71">
        <f t="shared" si="1393"/>
        <v>44155</v>
      </c>
      <c r="BH385" s="72">
        <f t="shared" si="1393"/>
        <v>16277.4</v>
      </c>
      <c r="BI385" s="34">
        <f>H385+BF385-BG385</f>
        <v>16277.4</v>
      </c>
      <c r="BJ385" s="34">
        <f>BH385-BI385</f>
        <v>0</v>
      </c>
      <c r="BK385" s="2" t="b">
        <f>H385='2020'!BH385</f>
        <v>1</v>
      </c>
    </row>
    <row r="386" ht="14.25" customHeight="1" hidden="1" spans="1:63" x14ac:dyDescent="0.25">
      <c r="A386" s="2">
        <v>43</v>
      </c>
      <c r="B386" s="14"/>
      <c r="D386" s="14" t="s">
        <v>379</v>
      </c>
      <c r="F386" s="13"/>
      <c r="G386" s="28"/>
      <c r="H386" s="34">
        <f>'2020'!BH386</f>
        <v>5.65</v>
      </c>
      <c r="I386" s="13"/>
      <c r="J386" s="15"/>
      <c r="K386" s="15"/>
      <c r="L386" s="28"/>
      <c r="M386" s="13"/>
      <c r="N386" s="15"/>
      <c r="Q386" s="13"/>
      <c r="R386" s="15"/>
      <c r="S386" s="15"/>
      <c r="T386" s="32">
        <v>200</v>
      </c>
      <c r="U386" s="13"/>
      <c r="V386" s="15"/>
      <c r="Y386" s="186"/>
      <c r="Z386" s="2"/>
      <c r="AA386" s="15"/>
      <c r="AB386" s="28"/>
      <c r="AC386" s="15"/>
      <c r="AD386" s="15"/>
      <c r="AG386" s="15"/>
      <c r="AH386" s="2"/>
      <c r="AI386" s="45"/>
      <c r="AJ386" s="15"/>
      <c r="AK386" s="13"/>
      <c r="AM386" s="45"/>
      <c r="AO386" s="13"/>
      <c r="AQ386" s="307">
        <v>1.29</v>
      </c>
      <c r="AS386" s="13"/>
      <c r="AU386" s="45"/>
      <c r="AW386" s="13"/>
      <c r="AY386" s="45"/>
      <c r="AZ386" s="28"/>
      <c r="BA386" s="13"/>
      <c r="BB386" s="15"/>
      <c r="BC386" s="45"/>
      <c r="BD386" s="28"/>
      <c r="BE386" s="14"/>
      <c r="BF386" s="41">
        <f t="shared" ref="BF386:BG386" si="1394">K386+O386+S386+W386+AA386+AE386+AI386+AM386+AQ386+AU386+AY386+BC386</f>
        <v>1.29</v>
      </c>
      <c r="BG386" s="34">
        <f t="shared" si="1394"/>
        <v>200</v>
      </c>
      <c r="BH386" s="35">
        <f t="shared" ref="BH386:BH393" si="1395">H386+BF386-BG386</f>
        <v>-193.06</v>
      </c>
      <c r="BK386" s="2" t="b">
        <f>H386='2020'!BH386</f>
        <v>1</v>
      </c>
    </row>
    <row r="387" ht="14.25" customHeight="1" hidden="1" spans="1:63" x14ac:dyDescent="0.25">
      <c r="A387" s="2">
        <v>43</v>
      </c>
      <c r="B387" s="14">
        <v>4.96</v>
      </c>
      <c r="C387" s="2" t="s">
        <v>185</v>
      </c>
      <c r="D387" s="14" t="s">
        <v>44</v>
      </c>
      <c r="E387" s="2" t="s">
        <v>45</v>
      </c>
      <c r="F387" s="41">
        <v>2.5</v>
      </c>
      <c r="G387" s="35">
        <v>2.6</v>
      </c>
      <c r="H387" s="34">
        <f>'2020'!BH387</f>
        <v>-20.41</v>
      </c>
      <c r="I387" s="13">
        <v>1928</v>
      </c>
      <c r="J387" s="15">
        <f>I387-'2020'!BA387</f>
        <v>0</v>
      </c>
      <c r="K387" s="34">
        <f>J387*$F$8</f>
        <v>0</v>
      </c>
      <c r="L387" s="28"/>
      <c r="M387" s="13">
        <v>1928</v>
      </c>
      <c r="N387" s="15">
        <f t="shared" ref="N387:N388" si="1396">M387-I387</f>
        <v>0</v>
      </c>
      <c r="O387" s="34">
        <f>N387*$F$8</f>
        <v>0</v>
      </c>
      <c r="Q387" s="13">
        <v>1928</v>
      </c>
      <c r="R387" s="15">
        <f t="shared" ref="R387:R388" si="1397">Q387-M387</f>
        <v>0</v>
      </c>
      <c r="S387" s="34">
        <f>R387*$F$8</f>
        <v>0</v>
      </c>
      <c r="T387" s="32"/>
      <c r="U387" s="13">
        <v>1968</v>
      </c>
      <c r="V387" s="15">
        <f t="shared" ref="V387:V388" si="1398">U387-Q387</f>
        <v>40</v>
      </c>
      <c r="W387" s="34">
        <f>V387*$F$8</f>
        <v>104</v>
      </c>
      <c r="Y387" s="186">
        <v>2037</v>
      </c>
      <c r="Z387" s="2">
        <f>Y387-U387</f>
        <v>69</v>
      </c>
      <c r="AA387" s="34">
        <f>Z387*$F$8</f>
        <v>179.4</v>
      </c>
      <c r="AB387" s="28"/>
      <c r="AC387" s="15">
        <v>2040</v>
      </c>
      <c r="AD387" s="15">
        <f t="shared" ref="AD387:AD388" si="1399">AC387-Y387</f>
        <v>3</v>
      </c>
      <c r="AE387" s="180">
        <f>AD387*$F$8</f>
        <v>7.8</v>
      </c>
      <c r="AG387" s="15">
        <v>2040</v>
      </c>
      <c r="AH387" s="2">
        <f t="shared" ref="AH387:AH388" si="1400">AG387-AC387</f>
        <v>0</v>
      </c>
      <c r="AI387" s="45">
        <f>AH387*$G$8</f>
        <v>0</v>
      </c>
      <c r="AJ387" s="327">
        <v>500</v>
      </c>
      <c r="AK387" s="13">
        <v>2040</v>
      </c>
      <c r="AL387" s="15">
        <f t="shared" ref="AL387:AL388" si="1401">AK387-AG387</f>
        <v>0</v>
      </c>
      <c r="AM387" s="45">
        <f>AL387*$G$8</f>
        <v>0</v>
      </c>
      <c r="AN387" s="15"/>
      <c r="AO387" s="13">
        <v>2040</v>
      </c>
      <c r="AP387" s="15">
        <f t="shared" ref="AP387:AP388" si="1402">AO387-AK387</f>
        <v>0</v>
      </c>
      <c r="AQ387" s="45">
        <f>AP387*$G$8</f>
        <v>0</v>
      </c>
      <c r="AR387" s="34"/>
      <c r="AS387" s="13">
        <v>2040</v>
      </c>
      <c r="AT387" s="15">
        <f t="shared" ref="AT387:AT388" si="1403">AS387-AO387</f>
        <v>0</v>
      </c>
      <c r="AU387" s="45">
        <f t="shared" ref="AU387:AU388" si="1404">AT387*$G$8</f>
        <v>0</v>
      </c>
      <c r="AV387" s="15"/>
      <c r="AW387" s="13">
        <v>2040</v>
      </c>
      <c r="AX387" s="15">
        <f t="shared" ref="AX387:AX388" si="1405">AW387-AS387</f>
        <v>0</v>
      </c>
      <c r="AY387" s="45">
        <f>AX387*$G$8</f>
        <v>0</v>
      </c>
      <c r="AZ387" s="208"/>
      <c r="BA387" s="13">
        <v>359</v>
      </c>
      <c r="BB387" s="15">
        <v>359</v>
      </c>
      <c r="BC387" s="45">
        <f>BB387*$G$8</f>
        <v>969.3</v>
      </c>
      <c r="BD387" s="246">
        <v>350</v>
      </c>
      <c r="BE387" s="40">
        <f t="shared" ref="BE387:BG387" si="1406">J387+N387+R387+V387+Z387+AD387+AH387+AL387+AP387+AT387+AX387+BB387</f>
        <v>471</v>
      </c>
      <c r="BF387" s="41">
        <f t="shared" si="1406"/>
        <v>1260.5</v>
      </c>
      <c r="BG387" s="34">
        <f t="shared" si="1406"/>
        <v>850</v>
      </c>
      <c r="BH387" s="35">
        <f t="shared" si="1395"/>
        <v>390.09</v>
      </c>
      <c r="BK387" s="2" t="b">
        <f>H387='2020'!BH387</f>
        <v>1</v>
      </c>
    </row>
    <row r="388" ht="14.25" customHeight="1" hidden="1" spans="1:63" x14ac:dyDescent="0.25">
      <c r="A388" s="2">
        <v>43</v>
      </c>
      <c r="B388" s="14"/>
      <c r="C388" s="2" t="s">
        <v>186</v>
      </c>
      <c r="D388" s="14" t="s">
        <v>47</v>
      </c>
      <c r="E388" s="2" t="s">
        <v>48</v>
      </c>
      <c r="F388" s="13">
        <v>18.56</v>
      </c>
      <c r="G388" s="35">
        <v>19.46</v>
      </c>
      <c r="H388" s="34">
        <f>'2020'!BH388</f>
        <v>-85.94</v>
      </c>
      <c r="I388" s="13">
        <v>101</v>
      </c>
      <c r="J388" s="15"/>
      <c r="K388" s="15"/>
      <c r="L388" s="28"/>
      <c r="M388" s="13">
        <v>101</v>
      </c>
      <c r="N388" s="15">
        <f t="shared" si="1396"/>
        <v>0</v>
      </c>
      <c r="Q388" s="13">
        <v>101</v>
      </c>
      <c r="R388" s="15">
        <f t="shared" si="1397"/>
        <v>0</v>
      </c>
      <c r="S388" s="15"/>
      <c r="T388" s="32"/>
      <c r="U388" s="13">
        <v>101</v>
      </c>
      <c r="V388" s="15">
        <f t="shared" si="1398"/>
        <v>0</v>
      </c>
      <c r="W388" s="180">
        <f>V388*$F$10</f>
        <v>0</v>
      </c>
      <c r="Y388" s="186">
        <v>5</v>
      </c>
      <c r="Z388" s="2">
        <v>3</v>
      </c>
      <c r="AA388" s="34">
        <f>Z388*$F$10</f>
        <v>58.38</v>
      </c>
      <c r="AB388" s="28"/>
      <c r="AC388" s="15">
        <v>17</v>
      </c>
      <c r="AD388" s="15">
        <f t="shared" si="1399"/>
        <v>12</v>
      </c>
      <c r="AE388" s="34">
        <f>AD388*$F$10</f>
        <v>233.52</v>
      </c>
      <c r="AG388" s="15">
        <v>24</v>
      </c>
      <c r="AH388" s="2">
        <f t="shared" si="1400"/>
        <v>7</v>
      </c>
      <c r="AI388" s="45">
        <f>AH388*$G$10</f>
        <v>142.45</v>
      </c>
      <c r="AJ388" s="327">
        <v>500</v>
      </c>
      <c r="AK388" s="13">
        <v>29</v>
      </c>
      <c r="AL388" s="15">
        <f t="shared" si="1401"/>
        <v>5</v>
      </c>
      <c r="AM388" s="45">
        <f>AL388*$G$10</f>
        <v>101.75</v>
      </c>
      <c r="AN388" s="15"/>
      <c r="AO388" s="13">
        <v>34</v>
      </c>
      <c r="AP388" s="15">
        <f t="shared" si="1402"/>
        <v>5</v>
      </c>
      <c r="AQ388" s="45">
        <f>AP388*$G$10</f>
        <v>101.75</v>
      </c>
      <c r="AR388" s="34"/>
      <c r="AS388" s="13">
        <v>34</v>
      </c>
      <c r="AT388" s="15">
        <f t="shared" si="1403"/>
        <v>0</v>
      </c>
      <c r="AU388" s="45">
        <f t="shared" si="1404"/>
        <v>0</v>
      </c>
      <c r="AV388" s="15"/>
      <c r="AW388" s="13">
        <v>34</v>
      </c>
      <c r="AX388" s="15">
        <f t="shared" si="1405"/>
        <v>0</v>
      </c>
      <c r="AY388" s="45"/>
      <c r="AZ388" s="208"/>
      <c r="BA388" s="13">
        <v>34</v>
      </c>
      <c r="BB388" s="15">
        <f>BA388-AW388</f>
        <v>0</v>
      </c>
      <c r="BC388" s="45"/>
      <c r="BD388" s="208"/>
      <c r="BE388" s="40">
        <f t="shared" ref="BE388:BG388" si="1407">J388+N388+R388+V388+Z388+AD388+AH388+AL388+AP388+AT388+AX388+BB388</f>
        <v>32</v>
      </c>
      <c r="BF388" s="41">
        <f t="shared" si="1407"/>
        <v>637.85</v>
      </c>
      <c r="BG388" s="34">
        <f t="shared" si="1407"/>
        <v>500</v>
      </c>
      <c r="BH388" s="35">
        <f t="shared" si="1395"/>
        <v>51.91</v>
      </c>
      <c r="BK388" s="2" t="b">
        <f>H388='2020'!BH388</f>
        <v>1</v>
      </c>
    </row>
    <row r="389" ht="14.25" customHeight="1" hidden="1" spans="1:63" x14ac:dyDescent="0.25">
      <c r="A389" s="2">
        <v>43</v>
      </c>
      <c r="B389" s="14"/>
      <c r="C389" s="2" t="s">
        <v>187</v>
      </c>
      <c r="D389" s="14" t="s">
        <v>47</v>
      </c>
      <c r="E389" s="2" t="s">
        <v>49</v>
      </c>
      <c r="F389" s="41">
        <v>500</v>
      </c>
      <c r="G389" s="28"/>
      <c r="H389" s="34">
        <f>'2020'!BH389</f>
        <v>0</v>
      </c>
      <c r="I389" s="13"/>
      <c r="J389" s="15"/>
      <c r="K389" s="15"/>
      <c r="L389" s="28"/>
      <c r="M389" s="13"/>
      <c r="N389" s="15"/>
      <c r="Q389" s="13"/>
      <c r="R389" s="15"/>
      <c r="S389" s="15"/>
      <c r="T389" s="32"/>
      <c r="U389" s="13"/>
      <c r="V389" s="15"/>
      <c r="Y389" s="186"/>
      <c r="Z389" s="2"/>
      <c r="AA389" s="15"/>
      <c r="AB389" s="28"/>
      <c r="AC389" s="15"/>
      <c r="AD389" s="15"/>
      <c r="AG389" s="15"/>
      <c r="AH389" s="2"/>
      <c r="AI389" s="45"/>
      <c r="AJ389" s="327"/>
      <c r="AK389" s="13"/>
      <c r="AL389" s="15"/>
      <c r="AM389" s="45"/>
      <c r="AN389" s="15"/>
      <c r="AO389" s="13"/>
      <c r="AP389" s="15"/>
      <c r="AQ389" s="45"/>
      <c r="AR389" s="1"/>
      <c r="AS389" s="13"/>
      <c r="AT389" s="15"/>
      <c r="AU389" s="45"/>
      <c r="AV389" s="15"/>
      <c r="AW389" s="13"/>
      <c r="AX389" s="15"/>
      <c r="AY389" s="45"/>
      <c r="AZ389" s="28"/>
      <c r="BA389" s="13"/>
      <c r="BB389" s="15"/>
      <c r="BC389" s="45"/>
      <c r="BD389" s="28"/>
      <c r="BE389" s="14"/>
      <c r="BF389" s="41">
        <f t="shared" ref="BF389:BG389" si="1408">K389+O389+S389+W389+AA389+AE389+AI389+AM389+AQ389+AU389+AY389+BC389</f>
        <v>0</v>
      </c>
      <c r="BG389" s="34">
        <f t="shared" si="1408"/>
        <v>0</v>
      </c>
      <c r="BH389" s="35">
        <f t="shared" si="1395"/>
        <v>0</v>
      </c>
      <c r="BK389" s="2" t="b">
        <f>H389='2020'!BH389</f>
        <v>1</v>
      </c>
    </row>
    <row r="390" ht="14.25" customHeight="1" hidden="1" spans="1:63" x14ac:dyDescent="0.25">
      <c r="A390" s="2">
        <v>43</v>
      </c>
      <c r="B390" s="14"/>
      <c r="C390" s="2" t="s">
        <v>410</v>
      </c>
      <c r="D390" s="14" t="s">
        <v>50</v>
      </c>
      <c r="E390" s="2" t="s">
        <v>49</v>
      </c>
      <c r="F390" s="41">
        <v>1100</v>
      </c>
      <c r="G390" s="28"/>
      <c r="H390" s="34">
        <f>'2020'!BH390</f>
        <v>2093</v>
      </c>
      <c r="I390" s="13"/>
      <c r="M390" s="13"/>
      <c r="N390" s="15"/>
      <c r="Q390" s="13"/>
      <c r="R390" s="15"/>
      <c r="S390" s="15"/>
      <c r="T390" s="32">
        <v>2093</v>
      </c>
      <c r="U390" s="13"/>
      <c r="V390" s="15"/>
      <c r="Y390" s="186"/>
      <c r="Z390" s="2"/>
      <c r="AA390" s="15"/>
      <c r="AB390" s="28"/>
      <c r="AC390" s="15"/>
      <c r="AD390" s="15"/>
      <c r="AE390" s="34">
        <f>B387*$F$12</f>
        <v>5456</v>
      </c>
      <c r="AF390" s="15"/>
      <c r="AG390" s="15"/>
      <c r="AH390" s="2"/>
      <c r="AI390" s="45"/>
      <c r="AJ390" s="327">
        <v>2000</v>
      </c>
      <c r="AK390" s="13"/>
      <c r="AL390" s="15"/>
      <c r="AM390" s="45"/>
      <c r="AN390" s="1">
        <v>3000</v>
      </c>
      <c r="AO390" s="13"/>
      <c r="AP390" s="15"/>
      <c r="AQ390" s="45"/>
      <c r="AR390" s="1"/>
      <c r="AS390" s="13"/>
      <c r="AT390" s="15"/>
      <c r="AU390" s="45"/>
      <c r="AV390" s="15"/>
      <c r="AW390" s="13"/>
      <c r="AX390" s="15"/>
      <c r="AY390" s="45"/>
      <c r="AZ390" s="28"/>
      <c r="BA390" s="13"/>
      <c r="BB390" s="15"/>
      <c r="BC390" s="45"/>
      <c r="BD390" s="28"/>
      <c r="BE390" s="14"/>
      <c r="BF390" s="41">
        <f t="shared" ref="BF390:BG390" si="1409">K390+O390+S390+W390+AA390+AE390+AI390+AM390+AQ390+AU390+AY390+BC390</f>
        <v>5456</v>
      </c>
      <c r="BG390" s="34">
        <f t="shared" si="1409"/>
        <v>7093</v>
      </c>
      <c r="BH390" s="35">
        <f t="shared" si="1395"/>
        <v>456</v>
      </c>
      <c r="BK390" s="2" t="b">
        <f>H390='2020'!BH390</f>
        <v>1</v>
      </c>
    </row>
    <row r="391" ht="14.25" customHeight="1" hidden="1" spans="1:63" x14ac:dyDescent="0.25">
      <c r="A391" s="2">
        <v>43</v>
      </c>
      <c r="B391" s="14"/>
      <c r="D391" s="14" t="s">
        <v>51</v>
      </c>
      <c r="E391" s="2" t="s">
        <v>39</v>
      </c>
      <c r="F391" s="41">
        <v>500</v>
      </c>
      <c r="G391" s="28"/>
      <c r="H391" s="182">
        <f>'2020'!BH391</f>
        <v>0</v>
      </c>
      <c r="I391" s="13"/>
      <c r="J391" s="15"/>
      <c r="K391" s="15"/>
      <c r="L391" s="28"/>
      <c r="M391" s="13"/>
      <c r="N391" s="15"/>
      <c r="Q391" s="13"/>
      <c r="R391" s="15"/>
      <c r="S391" s="15"/>
      <c r="T391" s="32"/>
      <c r="U391" s="13"/>
      <c r="V391" s="15"/>
      <c r="Y391" s="186"/>
      <c r="Z391" s="2"/>
      <c r="AA391" s="15"/>
      <c r="AB391" s="28"/>
      <c r="AC391" s="15"/>
      <c r="AD391" s="15"/>
      <c r="AE391" s="180">
        <f>$F$13</f>
      </c>
      <c r="AG391" s="15"/>
      <c r="AH391" s="2"/>
      <c r="AI391" s="45"/>
      <c r="AJ391" s="327"/>
      <c r="AK391" s="13"/>
      <c r="AL391" s="15"/>
      <c r="AM391" s="45"/>
      <c r="AN391" s="15"/>
      <c r="AO391" s="13"/>
      <c r="AP391" s="15"/>
      <c r="AQ391" s="180"/>
      <c r="AR391" s="34"/>
      <c r="AS391" s="13"/>
      <c r="AT391" s="15"/>
      <c r="AU391" s="45"/>
      <c r="AV391" s="15"/>
      <c r="AW391" s="13"/>
      <c r="AX391" s="15"/>
      <c r="AY391" s="45"/>
      <c r="AZ391" s="28"/>
      <c r="BA391" s="13"/>
      <c r="BB391" s="15"/>
      <c r="BC391" s="45"/>
      <c r="BD391" s="28"/>
      <c r="BE391" s="14"/>
      <c r="BF391" s="41">
        <f t="shared" ref="BF391:BG391" si="1410">K391+O391+S391+W391+AA391+AE391+AI391+AM391+AQ391+AU391+AY391+BC391</f>
        <v>0</v>
      </c>
      <c r="BG391" s="34">
        <f t="shared" si="1410"/>
        <v>0</v>
      </c>
      <c r="BH391" s="35">
        <f t="shared" si="1395"/>
        <v>0</v>
      </c>
      <c r="BK391" s="2" t="b">
        <f>H391='2020'!BH391</f>
        <v>1</v>
      </c>
    </row>
    <row r="392" ht="14.25" customHeight="1" hidden="1" spans="1:63" x14ac:dyDescent="0.25">
      <c r="A392" s="2">
        <v>43</v>
      </c>
      <c r="B392" s="14"/>
      <c r="D392" s="14" t="s">
        <v>51</v>
      </c>
      <c r="E392" s="2" t="s">
        <v>49</v>
      </c>
      <c r="F392" s="41">
        <v>500</v>
      </c>
      <c r="G392" s="28"/>
      <c r="H392" s="182">
        <f>'2020'!BH392</f>
        <v>880</v>
      </c>
      <c r="I392" s="13"/>
      <c r="J392" s="15"/>
      <c r="K392" s="15"/>
      <c r="L392" s="28"/>
      <c r="M392" s="13"/>
      <c r="N392" s="15"/>
      <c r="Q392" s="13"/>
      <c r="R392" s="15"/>
      <c r="S392" s="15"/>
      <c r="T392" s="32">
        <v>407</v>
      </c>
      <c r="U392" s="13"/>
      <c r="V392" s="15"/>
      <c r="Y392" s="186"/>
      <c r="Z392" s="2"/>
      <c r="AA392" s="15"/>
      <c r="AB392" s="28"/>
      <c r="AC392" s="15"/>
      <c r="AD392" s="15"/>
      <c r="AE392" s="34"/>
      <c r="AG392" s="15"/>
      <c r="AH392" s="2"/>
      <c r="AI392" s="45"/>
      <c r="AJ392" s="327">
        <v>500</v>
      </c>
      <c r="AK392" s="13"/>
      <c r="AL392" s="15"/>
      <c r="AM392" s="45"/>
      <c r="AN392" s="15"/>
      <c r="AO392" s="13"/>
      <c r="AP392" s="15"/>
      <c r="AQ392" s="180">
        <f>B387*$F$14</f>
        <v>0</v>
      </c>
      <c r="AR392" s="15"/>
      <c r="AS392" s="13"/>
      <c r="AT392" s="15"/>
      <c r="AU392" s="45"/>
      <c r="AV392" s="15"/>
      <c r="AW392" s="13"/>
      <c r="AX392" s="15"/>
      <c r="AY392" s="45"/>
      <c r="AZ392" s="28"/>
      <c r="BA392" s="13"/>
      <c r="BB392" s="15"/>
      <c r="BC392" s="45"/>
      <c r="BD392" s="28"/>
      <c r="BE392" s="14"/>
      <c r="BF392" s="41">
        <f t="shared" ref="BF392:BG392" si="1411">K392+O392+S392+W392+AA392+AE392+AI392+AM392+AQ392+AU392+AY392+BC392</f>
        <v>0</v>
      </c>
      <c r="BG392" s="34">
        <f t="shared" si="1411"/>
        <v>907</v>
      </c>
      <c r="BH392" s="35">
        <f t="shared" si="1395"/>
        <v>-27</v>
      </c>
      <c r="BK392" s="2" t="b">
        <f>H392='2020'!BH392</f>
        <v>1</v>
      </c>
    </row>
    <row r="393" ht="14.25" customHeight="1" hidden="1" spans="1:63" x14ac:dyDescent="0.25">
      <c r="A393" s="2">
        <v>43</v>
      </c>
      <c r="B393" s="14"/>
      <c r="D393" s="14" t="s">
        <v>52</v>
      </c>
      <c r="E393" s="2" t="s">
        <v>39</v>
      </c>
      <c r="F393" s="41">
        <v>500</v>
      </c>
      <c r="G393" s="28"/>
      <c r="H393" s="34">
        <f>'2020'!BH393</f>
        <v>0</v>
      </c>
      <c r="I393" s="13"/>
      <c r="J393" s="15"/>
      <c r="K393" s="15"/>
      <c r="L393" s="28"/>
      <c r="M393" s="13"/>
      <c r="N393" s="15"/>
      <c r="Q393" s="13"/>
      <c r="R393" s="15"/>
      <c r="S393" s="15"/>
      <c r="T393" s="32"/>
      <c r="U393" s="13"/>
      <c r="V393" s="15"/>
      <c r="Y393" s="186"/>
      <c r="Z393" s="2"/>
      <c r="AA393" s="34">
        <f>$F$15</f>
      </c>
      <c r="AB393" s="35"/>
      <c r="AC393" s="15"/>
      <c r="AD393" s="15"/>
      <c r="AG393" s="15"/>
      <c r="AH393" s="2"/>
      <c r="AI393" s="45"/>
      <c r="AJ393" s="180"/>
      <c r="AK393" s="13"/>
      <c r="AL393" s="15"/>
      <c r="AM393" s="45"/>
      <c r="AN393" s="15"/>
      <c r="AO393" s="13"/>
      <c r="AP393" s="15"/>
      <c r="AQ393" s="45"/>
      <c r="AR393" s="15"/>
      <c r="AS393" s="13"/>
      <c r="AT393" s="15"/>
      <c r="AU393" s="45"/>
      <c r="AV393" s="15"/>
      <c r="AW393" s="13"/>
      <c r="AX393" s="15"/>
      <c r="AY393" s="45"/>
      <c r="AZ393" s="35"/>
      <c r="BA393" s="13"/>
      <c r="BB393" s="15"/>
      <c r="BC393" s="45"/>
      <c r="BD393" s="35"/>
      <c r="BE393" s="14"/>
      <c r="BF393" s="41">
        <f t="shared" ref="BF393:BG393" si="1412">K393+O393+S393+W393+AA393+AE393+AI393+AM393+AQ393+AU393+AY393+BC393</f>
        <v>0</v>
      </c>
      <c r="BG393" s="34">
        <f t="shared" si="1412"/>
        <v>0</v>
      </c>
      <c r="BH393" s="35">
        <f t="shared" si="1395"/>
        <v>0</v>
      </c>
      <c r="BK393" s="2" t="b">
        <f>H393='2020'!BH393</f>
        <v>1</v>
      </c>
    </row>
    <row r="394" ht="14.25" customHeight="1" hidden="1" spans="1:63" x14ac:dyDescent="0.25">
      <c r="A394" s="247">
        <v>43</v>
      </c>
      <c r="B394" s="21"/>
      <c r="C394" s="22" t="s">
        <v>53</v>
      </c>
      <c r="D394" s="21"/>
      <c r="E394" s="22"/>
      <c r="F394" s="20"/>
      <c r="G394" s="23"/>
      <c r="H394" s="51">
        <f>SUM(H386:H393)</f>
        <v>2872.3</v>
      </c>
      <c r="I394" s="52"/>
      <c r="J394" s="53"/>
      <c r="K394" s="51">
        <f t="shared" ref="K394:L394" si="1413">SUM(K386:K393)</f>
        <v>0</v>
      </c>
      <c r="L394" s="68">
        <f t="shared" si="1413"/>
        <v>0</v>
      </c>
      <c r="M394" s="52"/>
      <c r="N394" s="53"/>
      <c r="O394" s="51">
        <f t="shared" ref="O394:P394" si="1414">SUM(O386:O393)</f>
        <v>0</v>
      </c>
      <c r="P394" s="51">
        <f t="shared" si="1414"/>
        <v>0</v>
      </c>
      <c r="Q394" s="52"/>
      <c r="R394" s="53"/>
      <c r="S394" s="51">
        <f t="shared" ref="S394:T394" si="1415">SUM(S386:S393)</f>
        <v>0</v>
      </c>
      <c r="T394" s="51">
        <f t="shared" si="1415"/>
        <v>2700</v>
      </c>
      <c r="U394" s="52"/>
      <c r="V394" s="53"/>
      <c r="W394" s="51">
        <f t="shared" ref="W394:X394" si="1416">SUM(W386:W393)</f>
        <v>104</v>
      </c>
      <c r="X394" s="51">
        <f t="shared" si="1416"/>
        <v>0</v>
      </c>
      <c r="Y394" s="300"/>
      <c r="Z394" s="301"/>
      <c r="AA394" s="51">
        <f t="shared" ref="AA394:AB394" si="1417">SUM(AA386:AA393)</f>
        <v>237.78</v>
      </c>
      <c r="AB394" s="51">
        <f t="shared" si="1417"/>
        <v>0</v>
      </c>
      <c r="AC394" s="52"/>
      <c r="AD394" s="53"/>
      <c r="AE394" s="51">
        <f t="shared" ref="AE394:AF394" si="1418">SUM(AE386:AE393)</f>
        <v>5697.32</v>
      </c>
      <c r="AF394" s="51">
        <f t="shared" si="1418"/>
        <v>0</v>
      </c>
      <c r="AG394" s="52"/>
      <c r="AH394" s="301"/>
      <c r="AI394" s="183">
        <f t="shared" ref="AI394:AJ394" si="1419">SUM(AI386:AI393)</f>
        <v>142.45</v>
      </c>
      <c r="AJ394" s="51">
        <f t="shared" si="1419"/>
        <v>3500</v>
      </c>
      <c r="AK394" s="52"/>
      <c r="AL394" s="53"/>
      <c r="AM394" s="183">
        <f t="shared" ref="AM394:AN394" si="1420">SUM(AM386:AM393)</f>
        <v>101.75</v>
      </c>
      <c r="AN394" s="51">
        <f t="shared" si="1420"/>
        <v>3000</v>
      </c>
      <c r="AO394" s="52"/>
      <c r="AP394" s="53"/>
      <c r="AQ394" s="183">
        <f t="shared" ref="AQ394:AR394" si="1421">SUM(AQ386:AQ393)</f>
        <v>103.04</v>
      </c>
      <c r="AR394" s="51">
        <f t="shared" si="1421"/>
        <v>0</v>
      </c>
      <c r="AS394" s="52"/>
      <c r="AT394" s="53"/>
      <c r="AU394" s="183">
        <f t="shared" ref="AU394:AV394" si="1422">SUM(AU386:AU393)</f>
        <v>0</v>
      </c>
      <c r="AV394" s="68">
        <f t="shared" si="1422"/>
        <v>0</v>
      </c>
      <c r="AW394" s="52"/>
      <c r="AX394" s="53"/>
      <c r="AY394" s="183">
        <f t="shared" ref="AY394:AZ394" si="1423">SUM(AY386:AY393)</f>
        <v>0</v>
      </c>
      <c r="AZ394" s="68">
        <f t="shared" si="1423"/>
        <v>0</v>
      </c>
      <c r="BA394" s="52"/>
      <c r="BB394" s="53"/>
      <c r="BC394" s="183">
        <f t="shared" ref="BC394:BD394" si="1424">SUM(BC386:BC393)</f>
        <v>969.3</v>
      </c>
      <c r="BD394" s="68">
        <f t="shared" si="1424"/>
        <v>350</v>
      </c>
      <c r="BE394" s="69"/>
      <c r="BF394" s="70">
        <f t="shared" ref="BF394:BH394" si="1425">SUM(BF386:BF393)</f>
        <v>7355.64</v>
      </c>
      <c r="BG394" s="71">
        <f t="shared" si="1425"/>
        <v>9550</v>
      </c>
      <c r="BH394" s="72">
        <f t="shared" si="1425"/>
        <v>677.94</v>
      </c>
      <c r="BI394" s="34">
        <f>H394+BF394-BG394</f>
        <v>677.94</v>
      </c>
      <c r="BJ394" s="34">
        <f>BH394-BI394</f>
        <v>0</v>
      </c>
      <c r="BK394" s="2" t="b">
        <f>H394='2020'!BH394</f>
        <v>1</v>
      </c>
    </row>
    <row r="395" ht="14.25" customHeight="1" hidden="1" spans="1:63" x14ac:dyDescent="0.25">
      <c r="A395" s="2">
        <v>44</v>
      </c>
      <c r="B395" s="14"/>
      <c r="D395" s="14" t="s">
        <v>411</v>
      </c>
      <c r="E395" s="2" t="s">
        <v>39</v>
      </c>
      <c r="F395" s="41"/>
      <c r="G395" s="28"/>
      <c r="H395" s="34">
        <f>'2020'!BH395</f>
        <v>62.52</v>
      </c>
      <c r="I395" s="13"/>
      <c r="J395" s="15"/>
      <c r="K395" s="34">
        <v>13.67</v>
      </c>
      <c r="L395" s="28"/>
      <c r="M395" s="13"/>
      <c r="N395" s="15"/>
      <c r="O395" s="2">
        <v>12.35</v>
      </c>
      <c r="Q395" s="13"/>
      <c r="R395" s="15"/>
      <c r="S395" s="15">
        <v>13.67</v>
      </c>
      <c r="T395" s="28"/>
      <c r="U395" s="13"/>
      <c r="V395" s="15"/>
      <c r="W395" s="2">
        <v>13.23</v>
      </c>
      <c r="X395" s="34"/>
      <c r="Y395" s="186"/>
      <c r="Z395" s="2"/>
      <c r="AA395" s="15">
        <v>13.67</v>
      </c>
      <c r="AB395" s="28"/>
      <c r="AC395" s="15"/>
      <c r="AD395" s="15"/>
      <c r="AE395" s="2">
        <v>13.23</v>
      </c>
      <c r="AG395" s="15"/>
      <c r="AH395" s="2"/>
      <c r="AI395" s="45"/>
      <c r="AJ395" s="15"/>
      <c r="AK395" s="13"/>
      <c r="AM395" s="45">
        <v>13.67</v>
      </c>
      <c r="AO395" s="13"/>
      <c r="AQ395" s="307">
        <v>33.98</v>
      </c>
      <c r="AS395" s="13"/>
      <c r="AU395" s="180"/>
      <c r="AW395" s="13"/>
      <c r="AY395" s="180"/>
      <c r="AZ395" s="28"/>
      <c r="BA395" s="13"/>
      <c r="BB395" s="15"/>
      <c r="BC395" s="180"/>
      <c r="BD395" s="28"/>
      <c r="BE395" s="14"/>
      <c r="BF395" s="41">
        <f t="shared" ref="BF395:BG395" si="1426">K395+O395+S395+W395+AA395+AE395+AI395+AM395+AQ395+AU395+AY395+BC395</f>
        <v>127.47</v>
      </c>
      <c r="BG395" s="34">
        <f t="shared" si="1426"/>
        <v>0</v>
      </c>
      <c r="BH395" s="35">
        <f t="shared" ref="BH395:BH402" si="1427">H395+BF395-BG395</f>
        <v>189.99</v>
      </c>
      <c r="BK395" s="2" t="b">
        <f>H395='2020'!BH395</f>
        <v>1</v>
      </c>
    </row>
    <row r="396" ht="14.25" customHeight="1" hidden="1" spans="1:63" x14ac:dyDescent="0.25">
      <c r="A396" s="2">
        <v>44</v>
      </c>
      <c r="B396" s="14">
        <v>4.01</v>
      </c>
      <c r="C396" s="15" t="s">
        <v>412</v>
      </c>
      <c r="D396" s="14" t="s">
        <v>44</v>
      </c>
      <c r="E396" s="2" t="s">
        <v>45</v>
      </c>
      <c r="F396" s="41">
        <v>2.5</v>
      </c>
      <c r="G396" s="35">
        <v>2.6</v>
      </c>
      <c r="H396" s="34">
        <f>'2020'!BH396</f>
        <v>63</v>
      </c>
      <c r="I396" s="13">
        <v>25</v>
      </c>
      <c r="J396" s="15">
        <f>I396-'2020'!BA396</f>
        <v>0</v>
      </c>
      <c r="K396" s="34">
        <f>J396*$F$8</f>
        <v>0</v>
      </c>
      <c r="L396" s="28"/>
      <c r="M396" s="13">
        <v>25</v>
      </c>
      <c r="N396" s="15">
        <f t="shared" ref="N396:N397" si="1428">M396-I396</f>
        <v>0</v>
      </c>
      <c r="O396" s="34">
        <f>N396*$F$8</f>
        <v>0</v>
      </c>
      <c r="Q396" s="13">
        <v>25</v>
      </c>
      <c r="R396" s="15">
        <f t="shared" ref="R396:R397" si="1429">Q396-M396</f>
        <v>0</v>
      </c>
      <c r="S396" s="34">
        <f>R396*$F$8</f>
        <v>0</v>
      </c>
      <c r="T396" s="28"/>
      <c r="U396" s="13">
        <v>25</v>
      </c>
      <c r="V396" s="15">
        <f t="shared" ref="V396:V397" si="1430">U396-Q396</f>
        <v>0</v>
      </c>
      <c r="W396" s="34">
        <f>V396*$F$8</f>
        <v>0</v>
      </c>
      <c r="Y396" s="186">
        <v>25</v>
      </c>
      <c r="Z396" s="2">
        <f t="shared" ref="Z396:Z397" si="1431">Y396-U396</f>
        <v>0</v>
      </c>
      <c r="AA396" s="34">
        <f>Z396*$F$8</f>
        <v>0</v>
      </c>
      <c r="AB396" s="28"/>
      <c r="AC396" s="15">
        <v>26</v>
      </c>
      <c r="AD396" s="15">
        <f t="shared" ref="AD396:AD397" si="1432">AC396-Y396</f>
        <v>1</v>
      </c>
      <c r="AE396" s="180">
        <f>AD396*$F$8</f>
        <v>2.6</v>
      </c>
      <c r="AG396" s="15">
        <v>27</v>
      </c>
      <c r="AH396" s="2">
        <f t="shared" ref="AH396:AH397" si="1433">AG396-AC396</f>
        <v>1</v>
      </c>
      <c r="AI396" s="45">
        <f>AH396*$G$8</f>
        <v>2.7</v>
      </c>
      <c r="AJ396" s="15"/>
      <c r="AK396" s="13">
        <v>32</v>
      </c>
      <c r="AL396" s="15">
        <f t="shared" ref="AL396:AL397" si="1434">AK396-AG396</f>
        <v>5</v>
      </c>
      <c r="AM396" s="45">
        <f>AL396*$G$8</f>
        <v>13.5</v>
      </c>
      <c r="AN396" s="15"/>
      <c r="AO396" s="13">
        <v>34</v>
      </c>
      <c r="AP396" s="15">
        <f t="shared" ref="AP396:AP397" si="1435">AO396-AK396</f>
        <v>2</v>
      </c>
      <c r="AQ396" s="45">
        <f>AP396*$G$8</f>
        <v>5.4</v>
      </c>
      <c r="AR396" s="15"/>
      <c r="AS396" s="13">
        <v>34</v>
      </c>
      <c r="AT396" s="15">
        <f t="shared" ref="AT396:AT397" si="1436">AS396-AO396</f>
        <v>0</v>
      </c>
      <c r="AU396" s="45">
        <f>AT396*$G$8</f>
        <v>0</v>
      </c>
      <c r="AV396" s="15"/>
      <c r="AW396" s="13">
        <v>34</v>
      </c>
      <c r="AX396" s="15">
        <f t="shared" ref="AX396:AX397" si="1437">AW396-AS396</f>
        <v>0</v>
      </c>
      <c r="AY396" s="45">
        <f>AX396*$G$8</f>
        <v>0</v>
      </c>
      <c r="AZ396" s="208"/>
      <c r="BA396" s="13">
        <v>34</v>
      </c>
      <c r="BB396" s="15">
        <f t="shared" ref="BB396:BB397" si="1438">BA396-AW396</f>
        <v>0</v>
      </c>
      <c r="BC396" s="45">
        <f>BB396*$G$8</f>
        <v>0</v>
      </c>
      <c r="BD396" s="208"/>
      <c r="BE396" s="40">
        <f t="shared" ref="BE396:BG396" si="1439">J396+N396+R396+V396+Z396+AD396+AH396+AL396+AP396+AT396+AX396+BB396</f>
        <v>9</v>
      </c>
      <c r="BF396" s="41">
        <f t="shared" si="1439"/>
        <v>24.2</v>
      </c>
      <c r="BG396" s="34">
        <f t="shared" si="1439"/>
        <v>0</v>
      </c>
      <c r="BH396" s="35">
        <f t="shared" si="1427"/>
        <v>87.2</v>
      </c>
      <c r="BK396" s="2" t="b">
        <f>H396='2020'!BH396</f>
        <v>1</v>
      </c>
    </row>
    <row r="397" ht="14.25" customHeight="1" hidden="1" spans="1:63" x14ac:dyDescent="0.25">
      <c r="A397" s="2">
        <v>44</v>
      </c>
      <c r="B397" s="14"/>
      <c r="C397" s="15" t="s">
        <v>170</v>
      </c>
      <c r="D397" s="14" t="s">
        <v>47</v>
      </c>
      <c r="E397" s="2" t="s">
        <v>48</v>
      </c>
      <c r="F397" s="13">
        <v>18.56</v>
      </c>
      <c r="G397" s="35">
        <v>19.46</v>
      </c>
      <c r="H397" s="34">
        <f>'2020'!BH397</f>
        <v>97.18</v>
      </c>
      <c r="I397" s="13">
        <v>5</v>
      </c>
      <c r="J397" s="15"/>
      <c r="K397" s="15"/>
      <c r="L397" s="28"/>
      <c r="M397" s="13">
        <v>5</v>
      </c>
      <c r="N397" s="15">
        <f t="shared" si="1428"/>
        <v>0</v>
      </c>
      <c r="Q397" s="13">
        <v>5</v>
      </c>
      <c r="R397" s="15">
        <f t="shared" si="1429"/>
        <v>0</v>
      </c>
      <c r="S397" s="15"/>
      <c r="T397" s="28"/>
      <c r="U397" s="13">
        <v>5</v>
      </c>
      <c r="V397" s="15">
        <f t="shared" si="1430"/>
        <v>0</v>
      </c>
      <c r="W397" s="34">
        <f>V397*$F$10</f>
        <v>0</v>
      </c>
      <c r="Y397" s="186">
        <v>14</v>
      </c>
      <c r="Z397" s="2">
        <f t="shared" si="1431"/>
        <v>9</v>
      </c>
      <c r="AA397" s="34">
        <f>Z397*$F$10</f>
        <v>175.14</v>
      </c>
      <c r="AB397" s="28"/>
      <c r="AC397" s="15">
        <v>14</v>
      </c>
      <c r="AD397" s="15">
        <f t="shared" si="1432"/>
        <v>0</v>
      </c>
      <c r="AE397" s="34">
        <f>AD397*$F$10</f>
        <v>0</v>
      </c>
      <c r="AG397" s="15">
        <v>14</v>
      </c>
      <c r="AH397" s="2">
        <f t="shared" si="1433"/>
        <v>0</v>
      </c>
      <c r="AI397" s="45">
        <f>AH397*$G$10</f>
        <v>0</v>
      </c>
      <c r="AJ397" s="15"/>
      <c r="AK397" s="13">
        <v>14</v>
      </c>
      <c r="AL397" s="15">
        <f t="shared" si="1434"/>
        <v>0</v>
      </c>
      <c r="AM397" s="45">
        <f>AL397*$G$10</f>
        <v>0</v>
      </c>
      <c r="AN397" s="15"/>
      <c r="AO397" s="13">
        <v>14</v>
      </c>
      <c r="AP397" s="15">
        <f t="shared" si="1435"/>
        <v>0</v>
      </c>
      <c r="AQ397" s="45">
        <f>AP397*$G$10</f>
        <v>0</v>
      </c>
      <c r="AR397" s="15"/>
      <c r="AS397" s="13">
        <v>14</v>
      </c>
      <c r="AT397" s="15">
        <f t="shared" si="1436"/>
        <v>0</v>
      </c>
      <c r="AU397" s="45">
        <f>AT397*$G$10</f>
        <v>0</v>
      </c>
      <c r="AV397" s="15"/>
      <c r="AW397" s="13">
        <v>14</v>
      </c>
      <c r="AX397" s="15">
        <f t="shared" si="1437"/>
        <v>0</v>
      </c>
      <c r="AY397" s="45"/>
      <c r="AZ397" s="208"/>
      <c r="BA397" s="13">
        <v>14</v>
      </c>
      <c r="BB397" s="15">
        <f t="shared" si="1438"/>
        <v>0</v>
      </c>
      <c r="BC397" s="45"/>
      <c r="BD397" s="208"/>
      <c r="BE397" s="40">
        <f t="shared" ref="BE397:BG397" si="1440">J397+N397+R397+V397+Z397+AD397+AH397+AL397+AP397+AT397+AX397+BB397</f>
        <v>9</v>
      </c>
      <c r="BF397" s="41">
        <f t="shared" si="1440"/>
        <v>175.14</v>
      </c>
      <c r="BG397" s="34">
        <f t="shared" si="1440"/>
        <v>0</v>
      </c>
      <c r="BH397" s="35">
        <f t="shared" si="1427"/>
        <v>272.32</v>
      </c>
      <c r="BK397" s="2" t="b">
        <f>H397='2020'!BH397</f>
        <v>1</v>
      </c>
    </row>
    <row r="398" ht="14.25" customHeight="1" hidden="1" spans="1:63" x14ac:dyDescent="0.25">
      <c r="A398" s="2">
        <v>44</v>
      </c>
      <c r="B398" s="14"/>
      <c r="C398" s="15" t="s">
        <v>413</v>
      </c>
      <c r="D398" s="14" t="s">
        <v>47</v>
      </c>
      <c r="E398" s="2" t="s">
        <v>49</v>
      </c>
      <c r="F398" s="41">
        <v>500</v>
      </c>
      <c r="G398" s="28"/>
      <c r="H398" s="34">
        <f>'2020'!BH398</f>
        <v>0</v>
      </c>
      <c r="I398" s="13"/>
      <c r="J398" s="15"/>
      <c r="K398" s="15"/>
      <c r="L398" s="28"/>
      <c r="M398" s="13"/>
      <c r="N398" s="15"/>
      <c r="Q398" s="13"/>
      <c r="R398" s="15"/>
      <c r="S398" s="15"/>
      <c r="T398" s="28"/>
      <c r="U398" s="13"/>
      <c r="V398" s="15"/>
      <c r="Y398" s="186"/>
      <c r="Z398" s="2"/>
      <c r="AA398" s="15"/>
      <c r="AB398" s="28"/>
      <c r="AC398" s="15"/>
      <c r="AD398" s="15"/>
      <c r="AG398" s="15"/>
      <c r="AH398" s="2"/>
      <c r="AI398" s="45"/>
      <c r="AJ398" s="15"/>
      <c r="AK398" s="13"/>
      <c r="AL398" s="15"/>
      <c r="AM398" s="45"/>
      <c r="AN398" s="15"/>
      <c r="AO398" s="13"/>
      <c r="AP398" s="15"/>
      <c r="AQ398" s="45"/>
      <c r="AR398" s="15"/>
      <c r="AS398" s="13"/>
      <c r="AT398" s="15"/>
      <c r="AU398" s="45"/>
      <c r="AV398" s="15"/>
      <c r="AW398" s="13"/>
      <c r="AX398" s="15"/>
      <c r="AY398" s="45"/>
      <c r="AZ398" s="28"/>
      <c r="BA398" s="13"/>
      <c r="BB398" s="15"/>
      <c r="BC398" s="45"/>
      <c r="BD398" s="28"/>
      <c r="BE398" s="14"/>
      <c r="BF398" s="41">
        <f t="shared" ref="BF398:BG398" si="1441">K398+O398+S398+W398+AA398+AE398+AI398+AM398+AQ398+AU398+AY398+BC398</f>
        <v>0</v>
      </c>
      <c r="BG398" s="34">
        <f t="shared" si="1441"/>
        <v>0</v>
      </c>
      <c r="BH398" s="35">
        <f t="shared" si="1427"/>
        <v>0</v>
      </c>
      <c r="BK398" s="2" t="b">
        <f>H398='2020'!BH398</f>
        <v>1</v>
      </c>
    </row>
    <row r="399" ht="14.25" customHeight="1" hidden="1" spans="1:63" x14ac:dyDescent="0.25">
      <c r="A399" s="2">
        <v>44</v>
      </c>
      <c r="B399" s="14"/>
      <c r="C399" s="15" t="s">
        <v>414</v>
      </c>
      <c r="D399" s="14" t="s">
        <v>50</v>
      </c>
      <c r="E399" s="2" t="s">
        <v>49</v>
      </c>
      <c r="F399" s="41">
        <v>1100</v>
      </c>
      <c r="G399" s="28"/>
      <c r="H399" s="34">
        <f>'2020'!BH399</f>
        <v>4411</v>
      </c>
      <c r="I399" s="13"/>
      <c r="J399" s="15"/>
      <c r="K399" s="15"/>
      <c r="L399" s="28"/>
      <c r="M399" s="13"/>
      <c r="N399" s="15"/>
      <c r="Q399" s="13"/>
      <c r="R399" s="15"/>
      <c r="S399" s="15"/>
      <c r="T399" s="28"/>
      <c r="U399" s="13"/>
      <c r="V399" s="15"/>
      <c r="Y399" s="186"/>
      <c r="Z399" s="2"/>
      <c r="AA399" s="15"/>
      <c r="AB399" s="28"/>
      <c r="AC399" s="15"/>
      <c r="AD399" s="15"/>
      <c r="AE399" s="34">
        <f>B396*$F$12</f>
        <v>4411</v>
      </c>
      <c r="AG399" s="15"/>
      <c r="AH399" s="2"/>
      <c r="AI399" s="45"/>
      <c r="AJ399" s="15"/>
      <c r="AK399" s="13"/>
      <c r="AL399" s="15"/>
      <c r="AM399" s="45"/>
      <c r="AN399" s="15"/>
      <c r="AO399" s="13"/>
      <c r="AP399" s="15"/>
      <c r="AQ399" s="45"/>
      <c r="AR399" s="15"/>
      <c r="AS399" s="13"/>
      <c r="AT399" s="15"/>
      <c r="AU399" s="45"/>
      <c r="AV399" s="15"/>
      <c r="AW399" s="13"/>
      <c r="AX399" s="15"/>
      <c r="AY399" s="45"/>
      <c r="AZ399" s="28"/>
      <c r="BA399" s="13"/>
      <c r="BB399" s="15"/>
      <c r="BC399" s="45"/>
      <c r="BD399" s="28"/>
      <c r="BE399" s="14"/>
      <c r="BF399" s="41">
        <f t="shared" ref="BF399:BG399" si="1442">K399+O399+S399+W399+AA399+AE399+AI399+AM399+AQ399+AU399+AY399+BC399</f>
        <v>4411</v>
      </c>
      <c r="BG399" s="34">
        <f t="shared" si="1442"/>
        <v>0</v>
      </c>
      <c r="BH399" s="35">
        <f t="shared" si="1427"/>
        <v>8822</v>
      </c>
      <c r="BK399" s="2" t="b">
        <f>H399='2020'!BH399</f>
        <v>1</v>
      </c>
    </row>
    <row r="400" ht="14.25" customHeight="1" hidden="1" spans="1:63" x14ac:dyDescent="0.25">
      <c r="A400" s="2">
        <v>44</v>
      </c>
      <c r="B400" s="14"/>
      <c r="C400" s="73" t="s">
        <v>415</v>
      </c>
      <c r="D400" s="14" t="s">
        <v>51</v>
      </c>
      <c r="E400" s="2" t="s">
        <v>39</v>
      </c>
      <c r="F400" s="41">
        <v>500</v>
      </c>
      <c r="G400" s="28"/>
      <c r="H400" s="34">
        <f>'2020'!BH400</f>
        <v>500</v>
      </c>
      <c r="I400" s="13"/>
      <c r="J400" s="15"/>
      <c r="K400" s="15"/>
      <c r="L400" s="28"/>
      <c r="M400" s="13"/>
      <c r="N400" s="15"/>
      <c r="Q400" s="13"/>
      <c r="R400" s="15"/>
      <c r="S400" s="15"/>
      <c r="T400" s="28"/>
      <c r="U400" s="13"/>
      <c r="V400" s="15"/>
      <c r="Y400" s="186"/>
      <c r="Z400" s="2"/>
      <c r="AA400" s="15"/>
      <c r="AB400" s="28"/>
      <c r="AC400" s="15"/>
      <c r="AD400" s="15"/>
      <c r="AE400" s="180">
        <f>$F$13</f>
      </c>
      <c r="AG400" s="15"/>
      <c r="AH400" s="2"/>
      <c r="AI400" s="45"/>
      <c r="AJ400" s="15"/>
      <c r="AK400" s="13"/>
      <c r="AL400" s="15"/>
      <c r="AM400" s="45"/>
      <c r="AN400" s="15"/>
      <c r="AO400" s="13"/>
      <c r="AP400" s="15"/>
      <c r="AQ400" s="180"/>
      <c r="AR400" s="15"/>
      <c r="AS400" s="13"/>
      <c r="AT400" s="15"/>
      <c r="AU400" s="45"/>
      <c r="AV400" s="15"/>
      <c r="AW400" s="13"/>
      <c r="AX400" s="15"/>
      <c r="AY400" s="45"/>
      <c r="AZ400" s="28"/>
      <c r="BA400" s="13"/>
      <c r="BB400" s="15"/>
      <c r="BC400" s="45"/>
      <c r="BD400" s="28"/>
      <c r="BE400" s="14"/>
      <c r="BF400" s="41">
        <f t="shared" ref="BF400:BG400" si="1443">K400+O400+S400+W400+AA400+AE400+AI400+AM400+AQ400+AU400+AY400+BC400</f>
        <v>0</v>
      </c>
      <c r="BG400" s="34">
        <f t="shared" si="1443"/>
        <v>0</v>
      </c>
      <c r="BH400" s="35">
        <f t="shared" si="1427"/>
        <v>500</v>
      </c>
      <c r="BK400" s="2" t="b">
        <f>H400='2020'!BH400</f>
        <v>1</v>
      </c>
    </row>
    <row r="401" ht="14.25" customHeight="1" hidden="1" spans="1:63" x14ac:dyDescent="0.25">
      <c r="A401" s="2">
        <v>44</v>
      </c>
      <c r="B401" s="14"/>
      <c r="C401" s="15"/>
      <c r="D401" s="14" t="s">
        <v>51</v>
      </c>
      <c r="E401" s="2" t="s">
        <v>49</v>
      </c>
      <c r="F401" s="41">
        <v>500</v>
      </c>
      <c r="G401" s="28"/>
      <c r="H401" s="34">
        <f>'2020'!BH401</f>
        <v>2005</v>
      </c>
      <c r="I401" s="13"/>
      <c r="J401" s="15"/>
      <c r="K401" s="15"/>
      <c r="L401" s="28"/>
      <c r="M401" s="13"/>
      <c r="N401" s="15"/>
      <c r="Q401" s="13"/>
      <c r="R401" s="15"/>
      <c r="S401" s="15"/>
      <c r="T401" s="28"/>
      <c r="U401" s="13"/>
      <c r="V401" s="15"/>
      <c r="Y401" s="186"/>
      <c r="Z401" s="2"/>
      <c r="AA401" s="15"/>
      <c r="AB401" s="28"/>
      <c r="AC401" s="15"/>
      <c r="AD401" s="15"/>
      <c r="AE401" s="34"/>
      <c r="AG401" s="15"/>
      <c r="AH401" s="2"/>
      <c r="AI401" s="45"/>
      <c r="AJ401" s="15"/>
      <c r="AK401" s="13"/>
      <c r="AL401" s="15"/>
      <c r="AM401" s="45"/>
      <c r="AN401" s="15"/>
      <c r="AO401" s="13"/>
      <c r="AP401" s="15"/>
      <c r="AQ401" s="180">
        <f>B396*$F$14</f>
        <v>0</v>
      </c>
      <c r="AR401" s="15"/>
      <c r="AS401" s="13"/>
      <c r="AT401" s="15"/>
      <c r="AU401" s="45"/>
      <c r="AV401" s="15"/>
      <c r="AW401" s="13"/>
      <c r="AX401" s="15"/>
      <c r="AY401" s="45"/>
      <c r="AZ401" s="28"/>
      <c r="BA401" s="13"/>
      <c r="BB401" s="15"/>
      <c r="BC401" s="45"/>
      <c r="BD401" s="28"/>
      <c r="BE401" s="14"/>
      <c r="BF401" s="41">
        <f t="shared" ref="BF401:BG401" si="1444">K401+O401+S401+W401+AA401+AE401+AI401+AM401+AQ401+AU401+AY401+BC401</f>
        <v>0</v>
      </c>
      <c r="BG401" s="34">
        <f t="shared" si="1444"/>
        <v>0</v>
      </c>
      <c r="BH401" s="35">
        <f t="shared" si="1427"/>
        <v>2005</v>
      </c>
      <c r="BK401" s="2" t="b">
        <f>H401='2020'!BH401</f>
        <v>1</v>
      </c>
    </row>
    <row r="402" ht="14.25" customHeight="1" hidden="1" spans="1:63" x14ac:dyDescent="0.25">
      <c r="A402" s="2">
        <v>44</v>
      </c>
      <c r="B402" s="14"/>
      <c r="D402" s="14" t="s">
        <v>52</v>
      </c>
      <c r="E402" s="2" t="s">
        <v>39</v>
      </c>
      <c r="F402" s="41">
        <v>500</v>
      </c>
      <c r="G402" s="28"/>
      <c r="H402" s="34">
        <f>'2020'!BH402</f>
        <v>500</v>
      </c>
      <c r="I402" s="13"/>
      <c r="J402" s="15"/>
      <c r="K402" s="15"/>
      <c r="L402" s="28"/>
      <c r="M402" s="13"/>
      <c r="N402" s="15"/>
      <c r="Q402" s="13"/>
      <c r="R402" s="15"/>
      <c r="S402" s="15"/>
      <c r="T402" s="28"/>
      <c r="U402" s="13"/>
      <c r="V402" s="15"/>
      <c r="X402" s="62"/>
      <c r="Y402" s="186"/>
      <c r="Z402" s="2"/>
      <c r="AA402" s="34">
        <f>$F$15</f>
      </c>
      <c r="AB402" s="28"/>
      <c r="AC402" s="15"/>
      <c r="AD402" s="15"/>
      <c r="AG402" s="15"/>
      <c r="AH402" s="2"/>
      <c r="AI402" s="45"/>
      <c r="AJ402" s="15"/>
      <c r="AK402" s="13"/>
      <c r="AL402" s="15"/>
      <c r="AM402" s="45"/>
      <c r="AN402" s="15"/>
      <c r="AO402" s="13"/>
      <c r="AP402" s="15"/>
      <c r="AQ402" s="45"/>
      <c r="AR402" s="15"/>
      <c r="AS402" s="13"/>
      <c r="AT402" s="15"/>
      <c r="AU402" s="45"/>
      <c r="AV402" s="15"/>
      <c r="AW402" s="13"/>
      <c r="AX402" s="15"/>
      <c r="AY402" s="45"/>
      <c r="AZ402" s="35"/>
      <c r="BA402" s="13"/>
      <c r="BB402" s="15"/>
      <c r="BC402" s="45"/>
      <c r="BD402" s="35"/>
      <c r="BE402" s="14"/>
      <c r="BF402" s="41">
        <f t="shared" ref="BF402:BG402" si="1445">K402+O402+S402+W402+AA402+AE402+AI402+AM402+AQ402+AU402+AY402+BC402</f>
        <v>0</v>
      </c>
      <c r="BG402" s="34">
        <f t="shared" si="1445"/>
        <v>0</v>
      </c>
      <c r="BH402" s="35">
        <f t="shared" si="1427"/>
        <v>500</v>
      </c>
      <c r="BK402" s="2" t="b">
        <f>H402='2020'!BH402</f>
        <v>1</v>
      </c>
    </row>
    <row r="403" ht="14.25" customHeight="1" hidden="1" spans="1:63" x14ac:dyDescent="0.25">
      <c r="A403" s="247">
        <v>44</v>
      </c>
      <c r="B403" s="21"/>
      <c r="C403" s="22" t="s">
        <v>53</v>
      </c>
      <c r="D403" s="21"/>
      <c r="E403" s="22"/>
      <c r="F403" s="20"/>
      <c r="G403" s="23"/>
      <c r="H403" s="51">
        <f>SUM(H395:H402)</f>
        <v>7638.7</v>
      </c>
      <c r="I403" s="52"/>
      <c r="J403" s="53"/>
      <c r="K403" s="51">
        <f t="shared" ref="K403:L403" si="1446">SUM(K395:K402)</f>
        <v>13.67</v>
      </c>
      <c r="L403" s="68">
        <f t="shared" si="1446"/>
        <v>0</v>
      </c>
      <c r="M403" s="52"/>
      <c r="N403" s="53"/>
      <c r="O403" s="51">
        <f t="shared" ref="O403:P403" si="1447">SUM(O395:O402)</f>
        <v>12.35</v>
      </c>
      <c r="P403" s="51">
        <f t="shared" si="1447"/>
        <v>0</v>
      </c>
      <c r="Q403" s="52"/>
      <c r="R403" s="53"/>
      <c r="S403" s="51">
        <f t="shared" ref="S403:T403" si="1448">SUM(S395:S402)</f>
        <v>13.67</v>
      </c>
      <c r="T403" s="51">
        <f t="shared" si="1448"/>
        <v>0</v>
      </c>
      <c r="U403" s="52"/>
      <c r="V403" s="53"/>
      <c r="W403" s="51">
        <f t="shared" ref="W403:X403" si="1449">SUM(W395:W402)</f>
        <v>13.23</v>
      </c>
      <c r="X403" s="51">
        <f t="shared" si="1449"/>
        <v>0</v>
      </c>
      <c r="Y403" s="300"/>
      <c r="Z403" s="301"/>
      <c r="AA403" s="51">
        <f t="shared" ref="AA403:AB403" si="1450">SUM(AA395:AA402)</f>
        <v>188.81</v>
      </c>
      <c r="AB403" s="51">
        <f t="shared" si="1450"/>
        <v>0</v>
      </c>
      <c r="AC403" s="52"/>
      <c r="AD403" s="53"/>
      <c r="AE403" s="51">
        <f t="shared" ref="AE403:AF403" si="1451">SUM(AE395:AE402)</f>
        <v>4426.83</v>
      </c>
      <c r="AF403" s="51">
        <f t="shared" si="1451"/>
        <v>0</v>
      </c>
      <c r="AG403" s="52"/>
      <c r="AH403" s="301"/>
      <c r="AI403" s="183">
        <f t="shared" ref="AI403:AJ403" si="1452">SUM(AI395:AI402)</f>
        <v>2.7</v>
      </c>
      <c r="AJ403" s="51">
        <f t="shared" si="1452"/>
        <v>0</v>
      </c>
      <c r="AK403" s="52"/>
      <c r="AL403" s="53"/>
      <c r="AM403" s="183">
        <f t="shared" ref="AM403:AN403" si="1453">SUM(AM395:AM402)</f>
        <v>27.17</v>
      </c>
      <c r="AN403" s="51">
        <f t="shared" si="1453"/>
        <v>0</v>
      </c>
      <c r="AO403" s="52"/>
      <c r="AP403" s="53"/>
      <c r="AQ403" s="183">
        <f t="shared" ref="AQ403:AR403" si="1454">SUM(AQ395:AQ402)</f>
        <v>39.38</v>
      </c>
      <c r="AR403" s="51">
        <f t="shared" si="1454"/>
        <v>0</v>
      </c>
      <c r="AS403" s="52"/>
      <c r="AT403" s="53"/>
      <c r="AU403" s="183">
        <f t="shared" ref="AU403:AV403" si="1455">SUM(AU395:AU402)</f>
        <v>0</v>
      </c>
      <c r="AV403" s="68">
        <f t="shared" si="1455"/>
        <v>0</v>
      </c>
      <c r="AW403" s="52"/>
      <c r="AX403" s="53"/>
      <c r="AY403" s="183">
        <f t="shared" ref="AY403:AZ403" si="1456">SUM(AY395:AY402)</f>
        <v>0</v>
      </c>
      <c r="AZ403" s="68">
        <f t="shared" si="1456"/>
        <v>0</v>
      </c>
      <c r="BA403" s="52"/>
      <c r="BB403" s="53"/>
      <c r="BC403" s="183">
        <f t="shared" ref="BC403:BD403" si="1457">SUM(BC395:BC402)</f>
        <v>0</v>
      </c>
      <c r="BD403" s="68">
        <f t="shared" si="1457"/>
        <v>0</v>
      </c>
      <c r="BE403" s="69"/>
      <c r="BF403" s="70">
        <f t="shared" ref="BF403:BH403" si="1458">SUM(BF395:BF402)</f>
        <v>4737.81</v>
      </c>
      <c r="BG403" s="71">
        <f t="shared" si="1458"/>
        <v>0</v>
      </c>
      <c r="BH403" s="72">
        <f t="shared" si="1458"/>
        <v>12376.51</v>
      </c>
      <c r="BI403" s="34">
        <f>H403+BF403-BG403</f>
        <v>12376.51</v>
      </c>
      <c r="BJ403" s="34">
        <f>BH403-BI403</f>
        <v>0</v>
      </c>
      <c r="BK403" s="2" t="b">
        <f>H403='2020'!BH403</f>
        <v>1</v>
      </c>
    </row>
    <row r="404" ht="14.25" customHeight="1" hidden="1" spans="1:63" x14ac:dyDescent="0.25">
      <c r="A404" s="2">
        <v>45</v>
      </c>
      <c r="B404" s="14"/>
      <c r="D404" s="14" t="s">
        <v>379</v>
      </c>
      <c r="F404" s="13"/>
      <c r="G404" s="28"/>
      <c r="H404" s="34">
        <f>'2020'!BH404</f>
        <v>0</v>
      </c>
      <c r="I404" s="13"/>
      <c r="J404" s="15"/>
      <c r="K404" s="15"/>
      <c r="L404" s="28"/>
      <c r="M404" s="13"/>
      <c r="N404" s="15"/>
      <c r="Q404" s="13"/>
      <c r="R404" s="15"/>
      <c r="S404" s="15"/>
      <c r="T404" s="28"/>
      <c r="U404" s="13"/>
      <c r="V404" s="15"/>
      <c r="Y404" s="186"/>
      <c r="Z404" s="2"/>
      <c r="AA404" s="15"/>
      <c r="AB404" s="28"/>
      <c r="AC404" s="15"/>
      <c r="AD404" s="15"/>
      <c r="AG404" s="15"/>
      <c r="AH404" s="2"/>
      <c r="AI404" s="45"/>
      <c r="AJ404" s="15"/>
      <c r="AK404" s="13"/>
      <c r="AM404" s="45"/>
      <c r="AO404" s="13"/>
      <c r="AQ404" s="45"/>
      <c r="AS404" s="13"/>
      <c r="AU404" s="45"/>
      <c r="AW404" s="13"/>
      <c r="AY404" s="45"/>
      <c r="AZ404" s="28"/>
      <c r="BA404" s="13"/>
      <c r="BB404" s="15"/>
      <c r="BC404" s="45"/>
      <c r="BD404" s="28"/>
      <c r="BE404" s="14"/>
      <c r="BF404" s="41">
        <f t="shared" ref="BF404:BG404" si="1459">K404+O404+S404+W404+AA404+AE404+AI404+AM404+AQ404+AU404+AY404+BC404</f>
        <v>0</v>
      </c>
      <c r="BG404" s="34">
        <f t="shared" si="1459"/>
        <v>0</v>
      </c>
      <c r="BH404" s="35">
        <f t="shared" ref="BH404:BH411" si="1460">H404+BF404-BG404</f>
        <v>0</v>
      </c>
      <c r="BK404" s="2" t="b">
        <f>H404='2020'!BH404</f>
        <v>1</v>
      </c>
    </row>
    <row r="405" ht="14.25" customHeight="1" hidden="1" spans="1:63" x14ac:dyDescent="0.25">
      <c r="A405" s="2">
        <v>45</v>
      </c>
      <c r="B405" s="14">
        <v>5.04</v>
      </c>
      <c r="C405" s="2" t="s">
        <v>189</v>
      </c>
      <c r="D405" s="14" t="s">
        <v>44</v>
      </c>
      <c r="E405" s="2" t="s">
        <v>45</v>
      </c>
      <c r="F405" s="41">
        <v>2.5</v>
      </c>
      <c r="G405" s="35">
        <v>2.6</v>
      </c>
      <c r="H405" s="34">
        <f>'2020'!BH405</f>
        <v>0</v>
      </c>
      <c r="I405" s="13">
        <v>13</v>
      </c>
      <c r="J405" s="15">
        <f>I405-'2020'!BA405</f>
        <v>0</v>
      </c>
      <c r="K405" s="34">
        <f>J405*$F$8</f>
        <v>0</v>
      </c>
      <c r="L405" s="28"/>
      <c r="M405" s="13">
        <v>13</v>
      </c>
      <c r="N405" s="15">
        <f t="shared" ref="N405:N406" si="1461">M405-I405</f>
        <v>0</v>
      </c>
      <c r="O405" s="34">
        <f>N405*$F$8</f>
        <v>0</v>
      </c>
      <c r="Q405" s="13">
        <v>13</v>
      </c>
      <c r="R405" s="15">
        <f t="shared" ref="R405:R406" si="1462">Q405-M405</f>
        <v>0</v>
      </c>
      <c r="S405" s="34">
        <f>R405*$F$8</f>
        <v>0</v>
      </c>
      <c r="T405" s="28"/>
      <c r="U405" s="13">
        <v>13</v>
      </c>
      <c r="V405" s="15">
        <f t="shared" ref="V405:V406" si="1463">U405-Q405</f>
        <v>0</v>
      </c>
      <c r="W405" s="34">
        <f>V405*$F$8</f>
        <v>0</v>
      </c>
      <c r="Y405" s="186">
        <v>13</v>
      </c>
      <c r="Z405" s="2">
        <f t="shared" ref="Z405:Z406" si="1464">Y405-U405</f>
        <v>0</v>
      </c>
      <c r="AA405" s="34">
        <f>Z405*$F$8</f>
        <v>0</v>
      </c>
      <c r="AB405" s="28"/>
      <c r="AC405" s="15">
        <v>13</v>
      </c>
      <c r="AD405" s="15">
        <f t="shared" ref="AD405:AD406" si="1465">AC405-Y405</f>
        <v>0</v>
      </c>
      <c r="AE405" s="180">
        <f>AD405*$F$8</f>
        <v>0</v>
      </c>
      <c r="AG405" s="15">
        <v>13</v>
      </c>
      <c r="AH405" s="2">
        <f t="shared" ref="AH405:AH406" si="1466">AG405-AC405</f>
        <v>0</v>
      </c>
      <c r="AI405" s="45">
        <f>AH405*$G$8</f>
        <v>0</v>
      </c>
      <c r="AJ405" s="180"/>
      <c r="AK405" s="13">
        <v>13</v>
      </c>
      <c r="AL405" s="15">
        <f t="shared" ref="AL405:AL406" si="1467">AK405-AG405</f>
        <v>0</v>
      </c>
      <c r="AM405" s="45">
        <f>AL405*$G$8</f>
        <v>0</v>
      </c>
      <c r="AN405" s="15"/>
      <c r="AO405" s="13">
        <v>13</v>
      </c>
      <c r="AP405" s="15">
        <f t="shared" ref="AP405:AP406" si="1468">AO405-AK405</f>
        <v>0</v>
      </c>
      <c r="AQ405" s="45">
        <f>AP405*$G$8</f>
        <v>0</v>
      </c>
      <c r="AR405" s="15"/>
      <c r="AS405" s="13">
        <v>13</v>
      </c>
      <c r="AT405" s="15">
        <f t="shared" ref="AT405:AT406" si="1469">AS405-AO405</f>
        <v>0</v>
      </c>
      <c r="AU405" s="45">
        <f>AT405*$G$8</f>
        <v>0</v>
      </c>
      <c r="AV405" s="15"/>
      <c r="AW405" s="13">
        <v>13</v>
      </c>
      <c r="AX405" s="15">
        <f t="shared" ref="AX405:AX406" si="1470">AW405-AS405</f>
        <v>0</v>
      </c>
      <c r="AY405" s="45">
        <f>AX405*$G$8</f>
        <v>0</v>
      </c>
      <c r="AZ405" s="208"/>
      <c r="BA405" s="13">
        <v>13</v>
      </c>
      <c r="BB405" s="15">
        <f t="shared" ref="BB405:BB406" si="1471">BA405-AW405</f>
        <v>0</v>
      </c>
      <c r="BC405" s="45">
        <f>BB405*$G$8</f>
        <v>0</v>
      </c>
      <c r="BD405" s="208"/>
      <c r="BE405" s="40">
        <f t="shared" ref="BE405:BG405" si="1472">J405+N405+R405+V405+Z405+AD405+AH405+AL405+AP405+AT405+AX405+BB405</f>
        <v>0</v>
      </c>
      <c r="BF405" s="41">
        <f t="shared" si="1472"/>
        <v>0</v>
      </c>
      <c r="BG405" s="34">
        <f t="shared" si="1472"/>
        <v>0</v>
      </c>
      <c r="BH405" s="35">
        <f t="shared" si="1460"/>
        <v>0</v>
      </c>
      <c r="BK405" s="2" t="b">
        <f>H405='2020'!BH405</f>
        <v>1</v>
      </c>
    </row>
    <row r="406" ht="14.25" customHeight="1" hidden="1" spans="1:63" x14ac:dyDescent="0.25">
      <c r="A406" s="2">
        <v>45</v>
      </c>
      <c r="B406" s="14"/>
      <c r="C406" s="2" t="s">
        <v>114</v>
      </c>
      <c r="D406" s="14" t="s">
        <v>47</v>
      </c>
      <c r="E406" s="2" t="s">
        <v>48</v>
      </c>
      <c r="F406" s="13">
        <v>18.56</v>
      </c>
      <c r="G406" s="35">
        <v>19.46</v>
      </c>
      <c r="H406" s="34">
        <f>'2020'!BH406</f>
        <v>0</v>
      </c>
      <c r="I406" s="13">
        <v>2</v>
      </c>
      <c r="J406" s="15"/>
      <c r="K406" s="15"/>
      <c r="L406" s="28"/>
      <c r="M406" s="13">
        <v>2</v>
      </c>
      <c r="N406" s="15">
        <f t="shared" si="1461"/>
        <v>0</v>
      </c>
      <c r="Q406" s="13">
        <v>2</v>
      </c>
      <c r="R406" s="15">
        <f t="shared" si="1462"/>
        <v>0</v>
      </c>
      <c r="S406" s="15"/>
      <c r="T406" s="28"/>
      <c r="U406" s="13">
        <v>2</v>
      </c>
      <c r="V406" s="15">
        <f t="shared" si="1463"/>
        <v>0</v>
      </c>
      <c r="W406" s="34">
        <f>V406*$F$10</f>
        <v>0</v>
      </c>
      <c r="Y406" s="186">
        <v>2</v>
      </c>
      <c r="Z406" s="2">
        <f t="shared" si="1464"/>
        <v>0</v>
      </c>
      <c r="AA406" s="34">
        <f>Z406*$F$10</f>
        <v>0</v>
      </c>
      <c r="AB406" s="28"/>
      <c r="AC406" s="15">
        <v>2</v>
      </c>
      <c r="AD406" s="15">
        <f t="shared" si="1465"/>
        <v>0</v>
      </c>
      <c r="AE406" s="34">
        <f>AD406*$F$10</f>
        <v>0</v>
      </c>
      <c r="AF406" s="15"/>
      <c r="AG406" s="15">
        <v>2</v>
      </c>
      <c r="AH406" s="2">
        <f t="shared" si="1466"/>
        <v>0</v>
      </c>
      <c r="AI406" s="45">
        <f>AH406*$G$10</f>
        <v>0</v>
      </c>
      <c r="AJ406" s="180"/>
      <c r="AK406" s="13">
        <v>2</v>
      </c>
      <c r="AL406" s="15">
        <f t="shared" si="1467"/>
        <v>0</v>
      </c>
      <c r="AM406" s="45">
        <f>AL406*$G$10</f>
        <v>0</v>
      </c>
      <c r="AN406" s="15"/>
      <c r="AO406" s="13">
        <v>2</v>
      </c>
      <c r="AP406" s="15">
        <f t="shared" si="1468"/>
        <v>0</v>
      </c>
      <c r="AQ406" s="45">
        <f>AP406*$G$10</f>
        <v>0</v>
      </c>
      <c r="AR406" s="15"/>
      <c r="AS406" s="13">
        <v>2</v>
      </c>
      <c r="AT406" s="15">
        <f t="shared" si="1469"/>
        <v>0</v>
      </c>
      <c r="AU406" s="45">
        <f>AT406*$G$10</f>
        <v>0</v>
      </c>
      <c r="AV406" s="15"/>
      <c r="AW406" s="13">
        <v>2</v>
      </c>
      <c r="AX406" s="15">
        <f t="shared" si="1470"/>
        <v>0</v>
      </c>
      <c r="AY406" s="45"/>
      <c r="AZ406" s="208"/>
      <c r="BA406" s="13">
        <v>2</v>
      </c>
      <c r="BB406" s="15">
        <f t="shared" si="1471"/>
        <v>0</v>
      </c>
      <c r="BC406" s="45"/>
      <c r="BD406" s="208"/>
      <c r="BE406" s="40">
        <f t="shared" ref="BE406:BG406" si="1473">J406+N406+R406+V406+Z406+AD406+AH406+AL406+AP406+AT406+AX406+BB406</f>
        <v>0</v>
      </c>
      <c r="BF406" s="41">
        <f t="shared" si="1473"/>
        <v>0</v>
      </c>
      <c r="BG406" s="34">
        <f t="shared" si="1473"/>
        <v>0</v>
      </c>
      <c r="BH406" s="35">
        <f t="shared" si="1460"/>
        <v>0</v>
      </c>
      <c r="BK406" s="2" t="b">
        <f>H406='2020'!BH406</f>
        <v>1</v>
      </c>
    </row>
    <row r="407" ht="14.25" customHeight="1" hidden="1" spans="1:63" x14ac:dyDescent="0.25">
      <c r="A407" s="2">
        <v>45</v>
      </c>
      <c r="B407" s="14"/>
      <c r="C407" s="2" t="s">
        <v>115</v>
      </c>
      <c r="D407" s="14" t="s">
        <v>47</v>
      </c>
      <c r="E407" s="2" t="s">
        <v>49</v>
      </c>
      <c r="F407" s="41">
        <v>500</v>
      </c>
      <c r="G407" s="28"/>
      <c r="H407" s="34">
        <f>'2020'!BH407</f>
        <v>0</v>
      </c>
      <c r="I407" s="13"/>
      <c r="J407" s="15"/>
      <c r="K407" s="15"/>
      <c r="L407" s="28"/>
      <c r="M407" s="13"/>
      <c r="N407" s="15"/>
      <c r="Q407" s="13"/>
      <c r="R407" s="15"/>
      <c r="S407" s="15"/>
      <c r="T407" s="28"/>
      <c r="U407" s="13"/>
      <c r="V407" s="15"/>
      <c r="Y407" s="186"/>
      <c r="Z407" s="2"/>
      <c r="AA407" s="15"/>
      <c r="AB407" s="28"/>
      <c r="AC407" s="15"/>
      <c r="AD407" s="15"/>
      <c r="AG407" s="15"/>
      <c r="AH407" s="2"/>
      <c r="AI407" s="45"/>
      <c r="AJ407" s="15"/>
      <c r="AK407" s="13"/>
      <c r="AL407" s="15"/>
      <c r="AM407" s="45"/>
      <c r="AN407" s="15"/>
      <c r="AO407" s="13"/>
      <c r="AP407" s="15"/>
      <c r="AQ407" s="45"/>
      <c r="AR407" s="15"/>
      <c r="AS407" s="13"/>
      <c r="AT407" s="15"/>
      <c r="AU407" s="45"/>
      <c r="AV407" s="15"/>
      <c r="AW407" s="13"/>
      <c r="AX407" s="15"/>
      <c r="AY407" s="45"/>
      <c r="AZ407" s="28"/>
      <c r="BA407" s="13"/>
      <c r="BB407" s="15"/>
      <c r="BC407" s="45"/>
      <c r="BD407" s="28"/>
      <c r="BE407" s="14"/>
      <c r="BF407" s="41">
        <f t="shared" ref="BF407:BG407" si="1474">K407+O407+S407+W407+AA407+AE407+AI407+AM407+AQ407+AU407+AY407+BC407</f>
        <v>0</v>
      </c>
      <c r="BG407" s="34">
        <f t="shared" si="1474"/>
        <v>0</v>
      </c>
      <c r="BH407" s="35">
        <f t="shared" si="1460"/>
        <v>0</v>
      </c>
      <c r="BK407" s="2" t="b">
        <f>H407='2020'!BH407</f>
        <v>1</v>
      </c>
    </row>
    <row r="408" ht="14.25" customHeight="1" hidden="1" spans="1:63" x14ac:dyDescent="0.25">
      <c r="A408" s="2">
        <v>45</v>
      </c>
      <c r="B408" s="14"/>
      <c r="C408" s="2" t="s">
        <v>416</v>
      </c>
      <c r="D408" s="14" t="s">
        <v>50</v>
      </c>
      <c r="E408" s="2" t="s">
        <v>49</v>
      </c>
      <c r="F408" s="41">
        <v>1100</v>
      </c>
      <c r="G408" s="28"/>
      <c r="H408" s="34">
        <f>'2020'!BH408</f>
        <v>-134.94</v>
      </c>
      <c r="I408" s="13"/>
      <c r="J408" s="15"/>
      <c r="K408" s="15"/>
      <c r="L408" s="28"/>
      <c r="M408" s="13"/>
      <c r="N408" s="15"/>
      <c r="Q408" s="13"/>
      <c r="R408" s="15"/>
      <c r="S408" s="15"/>
      <c r="T408" s="28"/>
      <c r="U408" s="13"/>
      <c r="V408" s="15"/>
      <c r="Y408" s="186"/>
      <c r="Z408" s="2"/>
      <c r="AA408" s="15"/>
      <c r="AB408" s="28"/>
      <c r="AC408" s="15"/>
      <c r="AD408" s="15"/>
      <c r="AE408" s="34">
        <f>B405*$F$12</f>
        <v>5544</v>
      </c>
      <c r="AF408" s="15"/>
      <c r="AG408" s="15"/>
      <c r="AH408" s="2"/>
      <c r="AI408" s="45"/>
      <c r="AJ408" s="187">
        <v>5409.06</v>
      </c>
      <c r="AK408" s="13"/>
      <c r="AL408" s="15"/>
      <c r="AM408" s="45"/>
      <c r="AN408" s="15"/>
      <c r="AO408" s="13"/>
      <c r="AP408" s="15"/>
      <c r="AQ408" s="45"/>
      <c r="AR408" s="15"/>
      <c r="AS408" s="13"/>
      <c r="AT408" s="15"/>
      <c r="AU408" s="45"/>
      <c r="AV408" s="15"/>
      <c r="AW408" s="13"/>
      <c r="AX408" s="15"/>
      <c r="AY408" s="45"/>
      <c r="AZ408" s="28"/>
      <c r="BA408" s="13"/>
      <c r="BB408" s="15"/>
      <c r="BC408" s="45"/>
      <c r="BD408" s="28"/>
      <c r="BE408" s="14"/>
      <c r="BF408" s="41">
        <f t="shared" ref="BF408:BG408" si="1475">K408+O408+S408+W408+AA408+AE408+AI408+AM408+AQ408+AU408+AY408+BC408</f>
        <v>5544</v>
      </c>
      <c r="BG408" s="34">
        <f t="shared" si="1475"/>
        <v>5409.06</v>
      </c>
      <c r="BH408" s="35">
        <f t="shared" si="1460"/>
        <v>0</v>
      </c>
      <c r="BK408" s="2" t="b">
        <f>H408='2020'!BH408</f>
        <v>1</v>
      </c>
    </row>
    <row r="409" ht="14.25" customHeight="1" hidden="1" spans="1:63" x14ac:dyDescent="0.25">
      <c r="A409" s="2">
        <v>45</v>
      </c>
      <c r="B409" s="14"/>
      <c r="D409" s="14" t="s">
        <v>51</v>
      </c>
      <c r="E409" s="2" t="s">
        <v>39</v>
      </c>
      <c r="F409" s="41">
        <v>500</v>
      </c>
      <c r="G409" s="28"/>
      <c r="H409" s="34">
        <f>'2020'!BH409</f>
        <v>0</v>
      </c>
      <c r="I409" s="13"/>
      <c r="J409" s="15"/>
      <c r="K409" s="15"/>
      <c r="L409" s="28"/>
      <c r="M409" s="13"/>
      <c r="N409" s="15"/>
      <c r="Q409" s="13"/>
      <c r="R409" s="15"/>
      <c r="S409" s="15"/>
      <c r="T409" s="28"/>
      <c r="U409" s="13"/>
      <c r="V409" s="15"/>
      <c r="Y409" s="186"/>
      <c r="Z409" s="2"/>
      <c r="AA409" s="15"/>
      <c r="AB409" s="28"/>
      <c r="AC409" s="15"/>
      <c r="AD409" s="15"/>
      <c r="AE409" s="180">
        <f>$F$13</f>
      </c>
      <c r="AG409" s="15"/>
      <c r="AH409" s="2"/>
      <c r="AI409" s="45"/>
      <c r="AJ409" s="15"/>
      <c r="AK409" s="13"/>
      <c r="AL409" s="15"/>
      <c r="AM409" s="45"/>
      <c r="AN409" s="15"/>
      <c r="AO409" s="13"/>
      <c r="AP409" s="15"/>
      <c r="AQ409" s="180"/>
      <c r="AR409" s="15"/>
      <c r="AS409" s="13"/>
      <c r="AT409" s="15"/>
      <c r="AU409" s="45"/>
      <c r="AV409" s="15"/>
      <c r="AW409" s="13"/>
      <c r="AX409" s="15"/>
      <c r="AY409" s="45"/>
      <c r="AZ409" s="35"/>
      <c r="BA409" s="13"/>
      <c r="BB409" s="15"/>
      <c r="BC409" s="45"/>
      <c r="BD409" s="28"/>
      <c r="BE409" s="14"/>
      <c r="BF409" s="41">
        <f t="shared" ref="BF409:BG409" si="1476">K409+O409+S409+W409+AA409+AE409+AI409+AM409+AQ409+AU409+AY409+BC409</f>
        <v>0</v>
      </c>
      <c r="BG409" s="34">
        <f t="shared" si="1476"/>
        <v>0</v>
      </c>
      <c r="BH409" s="35">
        <f t="shared" si="1460"/>
        <v>0</v>
      </c>
      <c r="BK409" s="2" t="b">
        <f>H409='2020'!BH409</f>
        <v>1</v>
      </c>
    </row>
    <row r="410" ht="14.25" customHeight="1" hidden="1" spans="1:63" x14ac:dyDescent="0.25">
      <c r="A410" s="2">
        <v>45</v>
      </c>
      <c r="B410" s="14"/>
      <c r="D410" s="14" t="s">
        <v>51</v>
      </c>
      <c r="E410" s="2" t="s">
        <v>49</v>
      </c>
      <c r="F410" s="41">
        <v>500</v>
      </c>
      <c r="G410" s="28"/>
      <c r="H410" s="34">
        <f>'2020'!BH410</f>
        <v>0</v>
      </c>
      <c r="I410" s="13"/>
      <c r="J410" s="15"/>
      <c r="K410" s="15"/>
      <c r="L410" s="28"/>
      <c r="M410" s="13"/>
      <c r="N410" s="15"/>
      <c r="Q410" s="13"/>
      <c r="R410" s="15"/>
      <c r="S410" s="15"/>
      <c r="T410" s="28"/>
      <c r="U410" s="13"/>
      <c r="V410" s="15"/>
      <c r="Y410" s="186"/>
      <c r="Z410" s="2"/>
      <c r="AA410" s="15"/>
      <c r="AB410" s="28"/>
      <c r="AC410" s="15"/>
      <c r="AD410" s="15"/>
      <c r="AE410" s="34"/>
      <c r="AG410" s="15"/>
      <c r="AH410" s="2"/>
      <c r="AI410" s="45"/>
      <c r="AJ410" s="15"/>
      <c r="AK410" s="13"/>
      <c r="AL410" s="15"/>
      <c r="AM410" s="45"/>
      <c r="AN410" s="15"/>
      <c r="AO410" s="13"/>
      <c r="AP410" s="15"/>
      <c r="AQ410" s="180">
        <f>B405*$F$14</f>
        <v>0</v>
      </c>
      <c r="AR410" s="15"/>
      <c r="AS410" s="13"/>
      <c r="AT410" s="15"/>
      <c r="AU410" s="45"/>
      <c r="AV410" s="15"/>
      <c r="AW410" s="13"/>
      <c r="AX410" s="15"/>
      <c r="AY410" s="45"/>
      <c r="AZ410" s="35"/>
      <c r="BA410" s="13"/>
      <c r="BB410" s="15"/>
      <c r="BC410" s="45"/>
      <c r="BD410" s="28"/>
      <c r="BE410" s="14"/>
      <c r="BF410" s="41">
        <f t="shared" ref="BF410:BG410" si="1477">K410+O410+S410+W410+AA410+AE410+AI410+AM410+AQ410+AU410+AY410+BC410</f>
        <v>0</v>
      </c>
      <c r="BG410" s="34">
        <f t="shared" si="1477"/>
        <v>0</v>
      </c>
      <c r="BH410" s="35">
        <f t="shared" si="1460"/>
        <v>0</v>
      </c>
      <c r="BK410" s="2" t="b">
        <f>H410='2020'!BH410</f>
        <v>1</v>
      </c>
    </row>
    <row r="411" ht="14.25" customHeight="1" hidden="1" spans="1:63" x14ac:dyDescent="0.25">
      <c r="A411" s="2">
        <v>45</v>
      </c>
      <c r="B411" s="14"/>
      <c r="D411" s="14" t="s">
        <v>52</v>
      </c>
      <c r="E411" s="2" t="s">
        <v>39</v>
      </c>
      <c r="F411" s="41">
        <v>500</v>
      </c>
      <c r="G411" s="28"/>
      <c r="H411" s="34">
        <f>'2020'!BH411</f>
        <v>0</v>
      </c>
      <c r="I411" s="13"/>
      <c r="J411" s="15"/>
      <c r="K411" s="15"/>
      <c r="L411" s="28"/>
      <c r="M411" s="13"/>
      <c r="N411" s="15"/>
      <c r="Q411" s="13"/>
      <c r="R411" s="15"/>
      <c r="S411" s="15"/>
      <c r="T411" s="28"/>
      <c r="U411" s="13"/>
      <c r="V411" s="15"/>
      <c r="Y411" s="186"/>
      <c r="Z411" s="2"/>
      <c r="AA411" s="34">
        <f>$F$15</f>
      </c>
      <c r="AB411" s="35"/>
      <c r="AC411" s="15"/>
      <c r="AD411" s="15"/>
      <c r="AG411" s="15"/>
      <c r="AH411" s="2"/>
      <c r="AI411" s="45"/>
      <c r="AJ411" s="180"/>
      <c r="AK411" s="13"/>
      <c r="AL411" s="15"/>
      <c r="AM411" s="45"/>
      <c r="AN411" s="15"/>
      <c r="AO411" s="13"/>
      <c r="AP411" s="15"/>
      <c r="AQ411" s="45"/>
      <c r="AR411" s="15"/>
      <c r="AS411" s="13"/>
      <c r="AT411" s="15"/>
      <c r="AU411" s="45"/>
      <c r="AV411" s="15"/>
      <c r="AW411" s="13"/>
      <c r="AX411" s="15"/>
      <c r="AY411" s="45"/>
      <c r="AZ411" s="35"/>
      <c r="BA411" s="13"/>
      <c r="BB411" s="15"/>
      <c r="BC411" s="45"/>
      <c r="BD411" s="35"/>
      <c r="BE411" s="14"/>
      <c r="BF411" s="41">
        <f t="shared" ref="BF411:BG411" si="1478">K411+O411+S411+W411+AA411+AE411+AI411+AM411+AQ411+AU411+AY411+BC411</f>
        <v>0</v>
      </c>
      <c r="BG411" s="34">
        <f t="shared" si="1478"/>
        <v>0</v>
      </c>
      <c r="BH411" s="35">
        <f t="shared" si="1460"/>
        <v>0</v>
      </c>
      <c r="BK411" s="2" t="b">
        <f>H411='2020'!BH411</f>
        <v>1</v>
      </c>
    </row>
    <row r="412" ht="14.25" customHeight="1" hidden="1" spans="1:63" x14ac:dyDescent="0.25">
      <c r="A412" s="247">
        <v>45</v>
      </c>
      <c r="B412" s="21"/>
      <c r="C412" s="22" t="s">
        <v>53</v>
      </c>
      <c r="D412" s="21"/>
      <c r="E412" s="22"/>
      <c r="F412" s="20"/>
      <c r="G412" s="23"/>
      <c r="H412" s="51">
        <f>SUM(H404:H411)</f>
        <v>-134.94</v>
      </c>
      <c r="I412" s="52"/>
      <c r="J412" s="53"/>
      <c r="K412" s="51">
        <f t="shared" ref="K412:L412" si="1479">SUM(K404:K411)</f>
        <v>0</v>
      </c>
      <c r="L412" s="68">
        <f t="shared" si="1479"/>
        <v>0</v>
      </c>
      <c r="M412" s="52"/>
      <c r="N412" s="53"/>
      <c r="O412" s="51">
        <f t="shared" ref="O412:P412" si="1480">SUM(O404:O411)</f>
        <v>0</v>
      </c>
      <c r="P412" s="51">
        <f t="shared" si="1480"/>
        <v>0</v>
      </c>
      <c r="Q412" s="52"/>
      <c r="R412" s="53"/>
      <c r="S412" s="51">
        <f t="shared" ref="S412:T412" si="1481">SUM(S404:S411)</f>
        <v>0</v>
      </c>
      <c r="T412" s="51">
        <f t="shared" si="1481"/>
        <v>0</v>
      </c>
      <c r="U412" s="52"/>
      <c r="V412" s="53"/>
      <c r="W412" s="51">
        <f t="shared" ref="W412:X412" si="1482">SUM(W404:W411)</f>
        <v>0</v>
      </c>
      <c r="X412" s="51">
        <f t="shared" si="1482"/>
        <v>0</v>
      </c>
      <c r="Y412" s="300"/>
      <c r="Z412" s="301"/>
      <c r="AA412" s="51">
        <f t="shared" ref="AA412:AB412" si="1483">SUM(AA404:AA411)</f>
        <v>0</v>
      </c>
      <c r="AB412" s="51">
        <f t="shared" si="1483"/>
        <v>0</v>
      </c>
      <c r="AC412" s="52"/>
      <c r="AD412" s="53"/>
      <c r="AE412" s="51">
        <f t="shared" ref="AE412:AF412" si="1484">SUM(AE404:AE411)</f>
        <v>5544</v>
      </c>
      <c r="AF412" s="51">
        <f t="shared" si="1484"/>
        <v>0</v>
      </c>
      <c r="AG412" s="52"/>
      <c r="AH412" s="301"/>
      <c r="AI412" s="183">
        <f t="shared" ref="AI412:AJ412" si="1485">SUM(AI404:AI411)</f>
        <v>0</v>
      </c>
      <c r="AJ412" s="51">
        <f t="shared" si="1485"/>
        <v>5409.06</v>
      </c>
      <c r="AK412" s="52"/>
      <c r="AL412" s="53"/>
      <c r="AM412" s="183">
        <f t="shared" ref="AM412:AN412" si="1486">SUM(AM404:AM411)</f>
        <v>0</v>
      </c>
      <c r="AN412" s="51">
        <f t="shared" si="1486"/>
        <v>0</v>
      </c>
      <c r="AO412" s="52"/>
      <c r="AP412" s="53"/>
      <c r="AQ412" s="183">
        <f t="shared" ref="AQ412:AR412" si="1487">SUM(AQ404:AQ411)</f>
        <v>0</v>
      </c>
      <c r="AR412" s="51">
        <f t="shared" si="1487"/>
        <v>0</v>
      </c>
      <c r="AS412" s="52"/>
      <c r="AT412" s="53"/>
      <c r="AU412" s="183">
        <f t="shared" ref="AU412:AV412" si="1488">SUM(AU404:AU411)</f>
        <v>0</v>
      </c>
      <c r="AV412" s="68">
        <f t="shared" si="1488"/>
        <v>0</v>
      </c>
      <c r="AW412" s="52"/>
      <c r="AX412" s="53"/>
      <c r="AY412" s="183">
        <f t="shared" ref="AY412:AZ412" si="1489">SUM(AY404:AY411)</f>
        <v>0</v>
      </c>
      <c r="AZ412" s="68">
        <f t="shared" si="1489"/>
        <v>0</v>
      </c>
      <c r="BA412" s="52"/>
      <c r="BB412" s="53"/>
      <c r="BC412" s="183">
        <f t="shared" ref="BC412:BD412" si="1490">SUM(BC404:BC411)</f>
        <v>0</v>
      </c>
      <c r="BD412" s="68">
        <f t="shared" si="1490"/>
        <v>0</v>
      </c>
      <c r="BE412" s="69"/>
      <c r="BF412" s="70">
        <f t="shared" ref="BF412:BH412" si="1491">SUM(BF404:BF411)</f>
        <v>5544</v>
      </c>
      <c r="BG412" s="71">
        <f t="shared" si="1491"/>
        <v>5409.06</v>
      </c>
      <c r="BH412" s="72">
        <f t="shared" si="1491"/>
        <v>0</v>
      </c>
      <c r="BI412" s="34">
        <f>H412+BF412-BG412</f>
        <v>0</v>
      </c>
      <c r="BJ412" s="34">
        <f>BH412-BI412</f>
        <v>0</v>
      </c>
      <c r="BK412" s="2" t="b">
        <f>H412='2020'!BH412</f>
        <v>1</v>
      </c>
    </row>
    <row r="413" ht="14.25" customHeight="1" hidden="1" spans="1:63" x14ac:dyDescent="0.25">
      <c r="A413" s="2">
        <v>46</v>
      </c>
      <c r="B413" s="14"/>
      <c r="D413" s="14" t="s">
        <v>379</v>
      </c>
      <c r="F413" s="13"/>
      <c r="G413" s="28"/>
      <c r="H413" s="34">
        <f>'2020'!BH413</f>
        <v>0</v>
      </c>
      <c r="I413" s="13"/>
      <c r="J413" s="15"/>
      <c r="K413" s="15"/>
      <c r="L413" s="28"/>
      <c r="M413" s="13"/>
      <c r="N413" s="15"/>
      <c r="Q413" s="13"/>
      <c r="R413" s="15"/>
      <c r="S413" s="15"/>
      <c r="T413" s="28"/>
      <c r="U413" s="13"/>
      <c r="V413" s="15"/>
      <c r="Y413" s="186"/>
      <c r="Z413" s="2"/>
      <c r="AA413" s="15"/>
      <c r="AB413" s="28"/>
      <c r="AC413" s="15"/>
      <c r="AD413" s="15"/>
      <c r="AG413" s="15"/>
      <c r="AH413" s="2"/>
      <c r="AI413" s="45"/>
      <c r="AJ413" s="15"/>
      <c r="AK413" s="13"/>
      <c r="AM413" s="45"/>
      <c r="AO413" s="13"/>
      <c r="AQ413" s="45"/>
      <c r="AS413" s="13"/>
      <c r="AU413" s="45"/>
      <c r="AW413" s="13"/>
      <c r="AY413" s="45"/>
      <c r="AZ413" s="28"/>
      <c r="BA413" s="13"/>
      <c r="BB413" s="15"/>
      <c r="BC413" s="45"/>
      <c r="BD413" s="28"/>
      <c r="BE413" s="14"/>
      <c r="BF413" s="41">
        <f t="shared" ref="BF413:BG413" si="1492">K413+O413+S413+W413+AA413+AE413+AI413+AM413+AQ413+AU413+AY413+BC413</f>
        <v>0</v>
      </c>
      <c r="BG413" s="34">
        <f t="shared" si="1492"/>
        <v>0</v>
      </c>
      <c r="BH413" s="35">
        <f t="shared" ref="BH413:BH420" si="1493">H413+BF413-BG413</f>
        <v>0</v>
      </c>
      <c r="BK413" s="2" t="b">
        <f>H413='2020'!BH413</f>
        <v>1</v>
      </c>
    </row>
    <row r="414" ht="14.25" customHeight="1" hidden="1" spans="1:63" x14ac:dyDescent="0.25">
      <c r="A414" s="2">
        <v>46</v>
      </c>
      <c r="B414" s="42">
        <v>4</v>
      </c>
      <c r="C414" s="2" t="s">
        <v>188</v>
      </c>
      <c r="D414" s="14" t="s">
        <v>44</v>
      </c>
      <c r="E414" s="2" t="s">
        <v>45</v>
      </c>
      <c r="F414" s="41">
        <v>2.5</v>
      </c>
      <c r="G414" s="35">
        <v>2.6</v>
      </c>
      <c r="H414" s="34">
        <f>'2020'!BH414</f>
        <v>522.6</v>
      </c>
      <c r="I414" s="13">
        <v>3525</v>
      </c>
      <c r="J414" s="15">
        <f>I414-'2020'!BA414</f>
        <v>0</v>
      </c>
      <c r="K414" s="34">
        <f>J414*$F$8</f>
        <v>0</v>
      </c>
      <c r="L414" s="28"/>
      <c r="M414" s="13">
        <v>3525</v>
      </c>
      <c r="N414" s="15">
        <f t="shared" ref="N414:N415" si="1494">M414-I414</f>
        <v>0</v>
      </c>
      <c r="O414" s="34">
        <f>N414*$F$8</f>
        <v>0</v>
      </c>
      <c r="Q414" s="13">
        <v>3525</v>
      </c>
      <c r="R414" s="15">
        <f t="shared" ref="R414:R415" si="1495">Q414-M414</f>
        <v>0</v>
      </c>
      <c r="S414" s="34">
        <f>R414*$F$8</f>
        <v>0</v>
      </c>
      <c r="T414" s="28"/>
      <c r="U414" s="13">
        <v>3525</v>
      </c>
      <c r="V414" s="15">
        <f t="shared" ref="V414:V415" si="1496">U414-Q414</f>
        <v>0</v>
      </c>
      <c r="W414" s="34">
        <f>V414*$F$8</f>
        <v>0</v>
      </c>
      <c r="X414" s="34"/>
      <c r="Y414" s="186">
        <v>3625</v>
      </c>
      <c r="Z414" s="2">
        <f t="shared" ref="Z414:Z415" si="1497">Y414-U414</f>
        <v>100</v>
      </c>
      <c r="AA414" s="34">
        <f>Z414*$F$8</f>
        <v>260</v>
      </c>
      <c r="AB414" s="28"/>
      <c r="AC414" s="15">
        <v>3741</v>
      </c>
      <c r="AD414" s="15">
        <f t="shared" ref="AD414:AD415" si="1498">AC414-Y414</f>
        <v>116</v>
      </c>
      <c r="AE414" s="180">
        <f>AD414*$F$8</f>
        <v>301.6</v>
      </c>
      <c r="AF414" s="154">
        <v>1084.2</v>
      </c>
      <c r="AG414" s="15">
        <v>3873</v>
      </c>
      <c r="AH414" s="2">
        <f t="shared" ref="AH414:AH415" si="1499">AG414-AC414</f>
        <v>132</v>
      </c>
      <c r="AI414" s="45">
        <f>AH414*$G$8</f>
        <v>356.4</v>
      </c>
      <c r="AJ414" s="326">
        <v>419.51</v>
      </c>
      <c r="AK414" s="13">
        <v>4003</v>
      </c>
      <c r="AL414" s="15">
        <f t="shared" ref="AL414:AL415" si="1500">AK414-AG414</f>
        <v>130</v>
      </c>
      <c r="AM414" s="45">
        <f>AL414*$G$8</f>
        <v>351</v>
      </c>
      <c r="AN414" s="305">
        <v>611.89</v>
      </c>
      <c r="AO414" s="13">
        <v>4122</v>
      </c>
      <c r="AP414" s="15">
        <f t="shared" ref="AP414:AP415" si="1501">AO414-AK414</f>
        <v>119</v>
      </c>
      <c r="AQ414" s="45">
        <f>AP414*$G$8</f>
        <v>321.3</v>
      </c>
      <c r="AR414" s="15"/>
      <c r="AS414" s="13">
        <v>4188</v>
      </c>
      <c r="AT414" s="15">
        <f t="shared" ref="AT414:AT415" si="1502">AS414-AO414</f>
        <v>66</v>
      </c>
      <c r="AU414" s="45">
        <f>AT414*$G$8</f>
        <v>178.2</v>
      </c>
      <c r="AV414" s="15"/>
      <c r="AW414" s="13">
        <v>4198</v>
      </c>
      <c r="AX414" s="15">
        <f t="shared" ref="AX414:AX415" si="1503">AW414-AS414</f>
        <v>10</v>
      </c>
      <c r="AY414" s="45">
        <f>AX414*$G$8</f>
        <v>27</v>
      </c>
      <c r="AZ414" s="208"/>
      <c r="BA414" s="13">
        <v>4198</v>
      </c>
      <c r="BB414" s="15">
        <f t="shared" ref="BB414:BB415" si="1504">BA414-AW414</f>
        <v>0</v>
      </c>
      <c r="BC414" s="45">
        <f>BB414*$G$8</f>
        <v>0</v>
      </c>
      <c r="BD414" s="208"/>
      <c r="BE414" s="40">
        <f t="shared" ref="BE414:BG414" si="1505">J414+N414+R414+V414+Z414+AD414+AH414+AL414+AP414+AT414+AX414+BB414</f>
        <v>673</v>
      </c>
      <c r="BF414" s="41">
        <f t="shared" si="1505"/>
        <v>1795.5</v>
      </c>
      <c r="BG414" s="34">
        <f t="shared" si="1505"/>
        <v>2115.6</v>
      </c>
      <c r="BH414" s="35">
        <f t="shared" si="1493"/>
        <v>202.5</v>
      </c>
      <c r="BK414" s="2" t="b">
        <f>H414='2020'!BH414</f>
        <v>1</v>
      </c>
    </row>
    <row r="415" ht="14.25" customHeight="1" hidden="1" spans="1:63" x14ac:dyDescent="0.25">
      <c r="A415" s="2">
        <v>46</v>
      </c>
      <c r="B415" s="14"/>
      <c r="C415" s="2" t="s">
        <v>98</v>
      </c>
      <c r="D415" s="14" t="s">
        <v>47</v>
      </c>
      <c r="E415" s="2" t="s">
        <v>48</v>
      </c>
      <c r="F415" s="13">
        <v>18.56</v>
      </c>
      <c r="G415" s="35">
        <v>19.46</v>
      </c>
      <c r="H415" s="34">
        <f>'2020'!BH415</f>
        <v>0</v>
      </c>
      <c r="I415" s="13">
        <v>137</v>
      </c>
      <c r="J415" s="15"/>
      <c r="K415" s="15"/>
      <c r="L415" s="28"/>
      <c r="M415" s="13">
        <v>137</v>
      </c>
      <c r="N415" s="15">
        <f t="shared" si="1494"/>
        <v>0</v>
      </c>
      <c r="Q415" s="13">
        <v>137</v>
      </c>
      <c r="R415" s="15">
        <f t="shared" si="1495"/>
        <v>0</v>
      </c>
      <c r="S415" s="15"/>
      <c r="T415" s="28"/>
      <c r="U415" s="13">
        <v>137</v>
      </c>
      <c r="V415" s="15">
        <f t="shared" si="1496"/>
        <v>0</v>
      </c>
      <c r="W415" s="34">
        <f>V415*$F$10</f>
        <v>0</v>
      </c>
      <c r="Y415" s="186">
        <v>140</v>
      </c>
      <c r="Z415" s="2">
        <f t="shared" si="1497"/>
        <v>3</v>
      </c>
      <c r="AA415" s="34">
        <f>Z415*$F$10</f>
        <v>58.38</v>
      </c>
      <c r="AB415" s="28"/>
      <c r="AC415" s="15">
        <v>151</v>
      </c>
      <c r="AD415" s="15">
        <f t="shared" si="1498"/>
        <v>11</v>
      </c>
      <c r="AE415" s="34">
        <f>AD415*$F$10</f>
        <v>214.06</v>
      </c>
      <c r="AF415" s="154">
        <v>272.44</v>
      </c>
      <c r="AG415" s="15">
        <v>162</v>
      </c>
      <c r="AH415" s="2">
        <f t="shared" si="1499"/>
        <v>11</v>
      </c>
      <c r="AI415" s="45">
        <f>AH415*$G$10</f>
        <v>223.85</v>
      </c>
      <c r="AJ415" s="326">
        <v>223.85</v>
      </c>
      <c r="AK415" s="13">
        <v>171</v>
      </c>
      <c r="AL415" s="15">
        <f t="shared" si="1500"/>
        <v>9</v>
      </c>
      <c r="AM415" s="45">
        <f>AL415*$G$10</f>
        <v>183.15</v>
      </c>
      <c r="AN415" s="305">
        <v>183.15</v>
      </c>
      <c r="AO415" s="13">
        <v>171</v>
      </c>
      <c r="AP415" s="15">
        <f t="shared" si="1501"/>
        <v>0</v>
      </c>
      <c r="AQ415" s="45">
        <f>AP415*$G$10</f>
        <v>0</v>
      </c>
      <c r="AR415" s="15"/>
      <c r="AS415" s="13">
        <v>171</v>
      </c>
      <c r="AT415" s="15">
        <f t="shared" si="1502"/>
        <v>0</v>
      </c>
      <c r="AU415" s="45">
        <f>AT415*$G$10</f>
        <v>0</v>
      </c>
      <c r="AV415" s="15"/>
      <c r="AW415" s="13">
        <v>171</v>
      </c>
      <c r="AX415" s="15">
        <f t="shared" si="1503"/>
        <v>0</v>
      </c>
      <c r="AY415" s="45"/>
      <c r="AZ415" s="208"/>
      <c r="BA415" s="13">
        <v>171</v>
      </c>
      <c r="BB415" s="15">
        <f t="shared" si="1504"/>
        <v>0</v>
      </c>
      <c r="BC415" s="45"/>
      <c r="BD415" s="208"/>
      <c r="BE415" s="40">
        <f t="shared" ref="BE415:BG415" si="1506">J415+N415+R415+V415+Z415+AD415+AH415+AL415+AP415+AT415+AX415+BB415</f>
        <v>34</v>
      </c>
      <c r="BF415" s="41">
        <f t="shared" si="1506"/>
        <v>679.44</v>
      </c>
      <c r="BG415" s="34">
        <f t="shared" si="1506"/>
        <v>679.44</v>
      </c>
      <c r="BH415" s="35">
        <f t="shared" si="1493"/>
        <v>0</v>
      </c>
      <c r="BK415" s="2" t="b">
        <f>H415='2020'!BH415</f>
        <v>1</v>
      </c>
    </row>
    <row r="416" ht="14.25" customHeight="1" hidden="1" spans="1:63" x14ac:dyDescent="0.25">
      <c r="A416" s="2">
        <v>46</v>
      </c>
      <c r="B416" s="14"/>
      <c r="C416" s="2" t="s">
        <v>190</v>
      </c>
      <c r="D416" s="14" t="s">
        <v>47</v>
      </c>
      <c r="E416" s="2" t="s">
        <v>49</v>
      </c>
      <c r="F416" s="41">
        <v>500</v>
      </c>
      <c r="G416" s="28"/>
      <c r="H416" s="34">
        <f>'2020'!BH416</f>
        <v>0</v>
      </c>
      <c r="I416" s="13"/>
      <c r="J416" s="15"/>
      <c r="K416" s="15"/>
      <c r="L416" s="28"/>
      <c r="M416" s="13"/>
      <c r="N416" s="15"/>
      <c r="Q416" s="13"/>
      <c r="R416" s="15"/>
      <c r="S416" s="15"/>
      <c r="T416" s="28"/>
      <c r="U416" s="13"/>
      <c r="V416" s="15"/>
      <c r="Y416" s="186"/>
      <c r="Z416" s="2"/>
      <c r="AA416" s="15"/>
      <c r="AB416" s="28"/>
      <c r="AC416" s="15"/>
      <c r="AD416" s="15"/>
      <c r="AF416" s="154"/>
      <c r="AG416" s="15"/>
      <c r="AH416" s="2"/>
      <c r="AI416" s="45"/>
      <c r="AJ416" s="182"/>
      <c r="AK416" s="13"/>
      <c r="AL416" s="15"/>
      <c r="AM416" s="45"/>
      <c r="AN416" s="15"/>
      <c r="AO416" s="13"/>
      <c r="AP416" s="15"/>
      <c r="AQ416" s="45"/>
      <c r="AR416" s="15"/>
      <c r="AS416" s="13"/>
      <c r="AT416" s="15"/>
      <c r="AU416" s="45"/>
      <c r="AV416" s="15"/>
      <c r="AW416" s="13"/>
      <c r="AX416" s="15"/>
      <c r="AY416" s="45"/>
      <c r="AZ416" s="28"/>
      <c r="BA416" s="13"/>
      <c r="BB416" s="15"/>
      <c r="BC416" s="45"/>
      <c r="BD416" s="28"/>
      <c r="BE416" s="14"/>
      <c r="BF416" s="41">
        <f t="shared" ref="BF416:BG416" si="1507">K416+O416+S416+W416+AA416+AE416+AI416+AM416+AQ416+AU416+AY416+BC416</f>
        <v>0</v>
      </c>
      <c r="BG416" s="34">
        <f t="shared" si="1507"/>
        <v>0</v>
      </c>
      <c r="BH416" s="35">
        <f t="shared" si="1493"/>
        <v>0</v>
      </c>
      <c r="BK416" s="2" t="b">
        <f>H416='2020'!BH416</f>
        <v>1</v>
      </c>
    </row>
    <row r="417" ht="14.25" customHeight="1" hidden="1" spans="1:63" x14ac:dyDescent="0.25">
      <c r="A417" s="2">
        <v>46</v>
      </c>
      <c r="B417" s="14"/>
      <c r="C417" s="2" t="s">
        <v>191</v>
      </c>
      <c r="D417" s="14" t="s">
        <v>50</v>
      </c>
      <c r="E417" s="2" t="s">
        <v>49</v>
      </c>
      <c r="F417" s="41">
        <v>1100</v>
      </c>
      <c r="G417" s="28"/>
      <c r="H417" s="34">
        <f>'2020'!BH417</f>
        <v>0</v>
      </c>
      <c r="I417" s="13"/>
      <c r="J417" s="15"/>
      <c r="K417" s="15"/>
      <c r="L417" s="28"/>
      <c r="M417" s="13"/>
      <c r="N417" s="15"/>
      <c r="Q417" s="13"/>
      <c r="R417" s="15"/>
      <c r="S417" s="15"/>
      <c r="T417" s="28"/>
      <c r="U417" s="13"/>
      <c r="V417" s="15"/>
      <c r="Y417" s="186"/>
      <c r="Z417" s="2"/>
      <c r="AA417" s="15"/>
      <c r="AB417" s="28"/>
      <c r="AC417" s="15"/>
      <c r="AD417" s="15"/>
      <c r="AE417" s="34">
        <f>B414*$F$12</f>
        <v>4400</v>
      </c>
      <c r="AF417" s="182">
        <v>2143.36</v>
      </c>
      <c r="AG417" s="15"/>
      <c r="AH417" s="2"/>
      <c r="AI417" s="45"/>
      <c r="AJ417" s="326">
        <v>2256.64</v>
      </c>
      <c r="AK417" s="13"/>
      <c r="AL417" s="15"/>
      <c r="AM417" s="45"/>
      <c r="AN417" s="15"/>
      <c r="AO417" s="13"/>
      <c r="AP417" s="15"/>
      <c r="AQ417" s="45"/>
      <c r="AR417" s="15"/>
      <c r="AS417" s="13"/>
      <c r="AT417" s="15"/>
      <c r="AU417" s="45"/>
      <c r="AV417" s="15"/>
      <c r="AW417" s="13"/>
      <c r="AX417" s="15"/>
      <c r="AY417" s="45"/>
      <c r="AZ417" s="28"/>
      <c r="BA417" s="13"/>
      <c r="BB417" s="15"/>
      <c r="BC417" s="45"/>
      <c r="BD417" s="28"/>
      <c r="BE417" s="14"/>
      <c r="BF417" s="41">
        <f t="shared" ref="BF417:BG417" si="1508">K417+O417+S417+W417+AA417+AE417+AI417+AM417+AQ417+AU417+AY417+BC417</f>
        <v>4400</v>
      </c>
      <c r="BG417" s="34">
        <f t="shared" si="1508"/>
        <v>4400</v>
      </c>
      <c r="BH417" s="35">
        <f t="shared" si="1493"/>
        <v>0</v>
      </c>
      <c r="BK417" s="2" t="b">
        <f>H417='2020'!BH417</f>
        <v>1</v>
      </c>
    </row>
    <row r="418" ht="14.25" customHeight="1" hidden="1" spans="1:63" x14ac:dyDescent="0.25">
      <c r="A418" s="2">
        <v>46</v>
      </c>
      <c r="B418" s="14"/>
      <c r="D418" s="14" t="s">
        <v>51</v>
      </c>
      <c r="E418" s="2" t="s">
        <v>39</v>
      </c>
      <c r="F418" s="41">
        <v>500</v>
      </c>
      <c r="G418" s="28"/>
      <c r="H418" s="34">
        <f>'2020'!BH418</f>
        <v>500</v>
      </c>
      <c r="I418" s="13"/>
      <c r="J418" s="15"/>
      <c r="K418" s="15"/>
      <c r="L418" s="28"/>
      <c r="M418" s="13"/>
      <c r="N418" s="15"/>
      <c r="Q418" s="13"/>
      <c r="R418" s="15"/>
      <c r="S418" s="15"/>
      <c r="T418" s="28"/>
      <c r="U418" s="13"/>
      <c r="V418" s="15"/>
      <c r="Y418" s="186"/>
      <c r="Z418" s="2"/>
      <c r="AA418" s="15"/>
      <c r="AB418" s="28"/>
      <c r="AC418" s="15"/>
      <c r="AD418" s="15"/>
      <c r="AE418" s="180">
        <f>$F$13</f>
      </c>
      <c r="AF418" s="154">
        <v>500</v>
      </c>
      <c r="AG418" s="15"/>
      <c r="AH418" s="2"/>
      <c r="AI418" s="45"/>
      <c r="AJ418" s="2"/>
      <c r="AK418" s="13"/>
      <c r="AL418" s="15"/>
      <c r="AM418" s="45"/>
      <c r="AN418" s="15"/>
      <c r="AO418" s="13"/>
      <c r="AP418" s="15"/>
      <c r="AQ418" s="180"/>
      <c r="AR418" s="15"/>
      <c r="AS418" s="13"/>
      <c r="AT418" s="15"/>
      <c r="AU418" s="45"/>
      <c r="AV418" s="15"/>
      <c r="AW418" s="13"/>
      <c r="AX418" s="15"/>
      <c r="AY418" s="45"/>
      <c r="AZ418" s="28"/>
      <c r="BA418" s="13"/>
      <c r="BB418" s="15"/>
      <c r="BC418" s="45"/>
      <c r="BD418" s="28"/>
      <c r="BE418" s="14"/>
      <c r="BF418" s="41">
        <f t="shared" ref="BF418:BG418" si="1509">K418+O418+S418+W418+AA418+AE418+AI418+AM418+AQ418+AU418+AY418+BC418</f>
        <v>0</v>
      </c>
      <c r="BG418" s="34">
        <f t="shared" si="1509"/>
        <v>500</v>
      </c>
      <c r="BH418" s="35">
        <f t="shared" si="1493"/>
        <v>0</v>
      </c>
      <c r="BK418" s="2" t="b">
        <f>H418='2020'!BH418</f>
        <v>1</v>
      </c>
    </row>
    <row r="419" ht="14.25" customHeight="1" hidden="1" spans="1:63" x14ac:dyDescent="0.25">
      <c r="A419" s="2">
        <v>46</v>
      </c>
      <c r="B419" s="14"/>
      <c r="D419" s="14" t="s">
        <v>51</v>
      </c>
      <c r="E419" s="2" t="s">
        <v>49</v>
      </c>
      <c r="F419" s="41">
        <v>500</v>
      </c>
      <c r="G419" s="28"/>
      <c r="H419" s="34">
        <f>'2020'!BH419</f>
        <v>2000</v>
      </c>
      <c r="I419" s="13"/>
      <c r="J419" s="15"/>
      <c r="K419" s="15"/>
      <c r="L419" s="28"/>
      <c r="M419" s="13"/>
      <c r="N419" s="15"/>
      <c r="Q419" s="13"/>
      <c r="R419" s="15"/>
      <c r="S419" s="15"/>
      <c r="T419" s="28"/>
      <c r="U419" s="13"/>
      <c r="V419" s="15"/>
      <c r="Y419" s="186"/>
      <c r="Z419" s="2"/>
      <c r="AA419" s="15"/>
      <c r="AB419" s="28"/>
      <c r="AC419" s="15"/>
      <c r="AD419" s="15"/>
      <c r="AE419" s="34"/>
      <c r="AF419" s="154">
        <v>2000</v>
      </c>
      <c r="AG419" s="15"/>
      <c r="AH419" s="2"/>
      <c r="AI419" s="45"/>
      <c r="AJ419" s="2"/>
      <c r="AK419" s="13"/>
      <c r="AL419" s="15"/>
      <c r="AM419" s="45"/>
      <c r="AN419" s="15"/>
      <c r="AO419" s="13"/>
      <c r="AP419" s="15"/>
      <c r="AQ419" s="180">
        <f>B414*$F$14</f>
        <v>0</v>
      </c>
      <c r="AR419" s="15"/>
      <c r="AS419" s="13"/>
      <c r="AT419" s="15"/>
      <c r="AU419" s="45"/>
      <c r="AV419" s="15"/>
      <c r="AW419" s="13"/>
      <c r="AX419" s="15"/>
      <c r="AY419" s="45"/>
      <c r="AZ419" s="28"/>
      <c r="BA419" s="13"/>
      <c r="BB419" s="15"/>
      <c r="BC419" s="45"/>
      <c r="BD419" s="28"/>
      <c r="BE419" s="14"/>
      <c r="BF419" s="41">
        <f t="shared" ref="BF419:BG419" si="1510">K419+O419+S419+W419+AA419+AE419+AI419+AM419+AQ419+AU419+AY419+BC419</f>
        <v>0</v>
      </c>
      <c r="BG419" s="34">
        <f t="shared" si="1510"/>
        <v>2000</v>
      </c>
      <c r="BH419" s="35">
        <f t="shared" si="1493"/>
        <v>0</v>
      </c>
      <c r="BK419" s="2" t="b">
        <f>H419='2020'!BH419</f>
        <v>1</v>
      </c>
    </row>
    <row r="420" ht="14.25" customHeight="1" hidden="1" spans="1:63" x14ac:dyDescent="0.25">
      <c r="A420" s="2">
        <v>46</v>
      </c>
      <c r="B420" s="14"/>
      <c r="D420" s="14" t="s">
        <v>52</v>
      </c>
      <c r="E420" s="2" t="s">
        <v>39</v>
      </c>
      <c r="F420" s="41">
        <v>500</v>
      </c>
      <c r="G420" s="28"/>
      <c r="H420" s="34">
        <f>'2020'!BH420</f>
        <v>0</v>
      </c>
      <c r="I420" s="13"/>
      <c r="J420" s="15"/>
      <c r="K420" s="15"/>
      <c r="L420" s="28"/>
      <c r="M420" s="13"/>
      <c r="N420" s="15"/>
      <c r="Q420" s="13"/>
      <c r="R420" s="15"/>
      <c r="S420" s="15"/>
      <c r="T420" s="28"/>
      <c r="U420" s="13"/>
      <c r="V420" s="15"/>
      <c r="Y420" s="186"/>
      <c r="Z420" s="2"/>
      <c r="AA420" s="34">
        <f>$F$15</f>
      </c>
      <c r="AB420" s="28"/>
      <c r="AC420" s="15"/>
      <c r="AD420" s="15"/>
      <c r="AG420" s="15"/>
      <c r="AH420" s="2"/>
      <c r="AI420" s="45"/>
      <c r="AJ420" s="180"/>
      <c r="AK420" s="13"/>
      <c r="AL420" s="15"/>
      <c r="AM420" s="45"/>
      <c r="AN420" s="15"/>
      <c r="AO420" s="13"/>
      <c r="AP420" s="15"/>
      <c r="AQ420" s="45"/>
      <c r="AR420" s="15"/>
      <c r="AS420" s="13"/>
      <c r="AT420" s="15"/>
      <c r="AU420" s="45"/>
      <c r="AV420" s="15"/>
      <c r="AW420" s="13"/>
      <c r="AX420" s="15"/>
      <c r="AY420" s="45"/>
      <c r="AZ420" s="35"/>
      <c r="BA420" s="13"/>
      <c r="BB420" s="15"/>
      <c r="BC420" s="45"/>
      <c r="BD420" s="35"/>
      <c r="BE420" s="14"/>
      <c r="BF420" s="41">
        <f t="shared" ref="BF420:BG420" si="1511">K420+O420+S420+W420+AA420+AE420+AI420+AM420+AQ420+AU420+AY420+BC420</f>
        <v>0</v>
      </c>
      <c r="BG420" s="34">
        <f t="shared" si="1511"/>
        <v>0</v>
      </c>
      <c r="BH420" s="35">
        <f t="shared" si="1493"/>
        <v>0</v>
      </c>
      <c r="BK420" s="2" t="b">
        <f>H420='2020'!BH420</f>
        <v>1</v>
      </c>
    </row>
    <row r="421" ht="14.25" customHeight="1" hidden="1" spans="1:63" x14ac:dyDescent="0.25">
      <c r="A421" s="247">
        <v>46</v>
      </c>
      <c r="B421" s="21"/>
      <c r="C421" s="22" t="s">
        <v>53</v>
      </c>
      <c r="D421" s="21"/>
      <c r="E421" s="22"/>
      <c r="F421" s="20"/>
      <c r="G421" s="23"/>
      <c r="H421" s="51">
        <f>SUM(H413:H420)</f>
        <v>3022.6</v>
      </c>
      <c r="I421" s="52"/>
      <c r="J421" s="53"/>
      <c r="K421" s="51">
        <f t="shared" ref="K421:L421" si="1512">SUM(K413:K420)</f>
        <v>0</v>
      </c>
      <c r="L421" s="68">
        <f t="shared" si="1512"/>
        <v>0</v>
      </c>
      <c r="M421" s="52"/>
      <c r="N421" s="53"/>
      <c r="O421" s="51">
        <f t="shared" ref="O421:P421" si="1513">SUM(O413:O420)</f>
        <v>0</v>
      </c>
      <c r="P421" s="51">
        <f t="shared" si="1513"/>
        <v>0</v>
      </c>
      <c r="Q421" s="52"/>
      <c r="R421" s="53"/>
      <c r="S421" s="51">
        <f t="shared" ref="S421:T421" si="1514">SUM(S413:S420)</f>
        <v>0</v>
      </c>
      <c r="T421" s="51">
        <f t="shared" si="1514"/>
        <v>0</v>
      </c>
      <c r="U421" s="52"/>
      <c r="V421" s="53"/>
      <c r="W421" s="51">
        <f t="shared" ref="W421:X421" si="1515">SUM(W413:W420)</f>
        <v>0</v>
      </c>
      <c r="X421" s="51">
        <f t="shared" si="1515"/>
        <v>0</v>
      </c>
      <c r="Y421" s="300"/>
      <c r="Z421" s="301"/>
      <c r="AA421" s="51">
        <f t="shared" ref="AA421:AB421" si="1516">SUM(AA413:AA420)</f>
        <v>318.38</v>
      </c>
      <c r="AB421" s="51">
        <f t="shared" si="1516"/>
        <v>0</v>
      </c>
      <c r="AC421" s="52"/>
      <c r="AD421" s="53"/>
      <c r="AE421" s="51">
        <f t="shared" ref="AE421:AF421" si="1517">SUM(AE413:AE420)</f>
        <v>4915.66</v>
      </c>
      <c r="AF421" s="51">
        <f t="shared" si="1517"/>
        <v>6000</v>
      </c>
      <c r="AG421" s="52"/>
      <c r="AH421" s="301"/>
      <c r="AI421" s="183">
        <f t="shared" ref="AI421:AJ421" si="1518">SUM(AI413:AI420)</f>
        <v>580.25</v>
      </c>
      <c r="AJ421" s="51">
        <f t="shared" si="1518"/>
        <v>2900</v>
      </c>
      <c r="AK421" s="52"/>
      <c r="AL421" s="53"/>
      <c r="AM421" s="183">
        <f t="shared" ref="AM421:AN421" si="1519">SUM(AM413:AM420)</f>
        <v>534.15</v>
      </c>
      <c r="AN421" s="51">
        <f t="shared" si="1519"/>
        <v>795.04</v>
      </c>
      <c r="AO421" s="52"/>
      <c r="AP421" s="53"/>
      <c r="AQ421" s="183">
        <f t="shared" ref="AQ421:AR421" si="1520">SUM(AQ413:AQ420)</f>
        <v>321.3</v>
      </c>
      <c r="AR421" s="51">
        <f t="shared" si="1520"/>
        <v>0</v>
      </c>
      <c r="AS421" s="52"/>
      <c r="AT421" s="53"/>
      <c r="AU421" s="183">
        <f t="shared" ref="AU421:AV421" si="1521">SUM(AU413:AU420)</f>
        <v>178.2</v>
      </c>
      <c r="AV421" s="68">
        <f t="shared" si="1521"/>
        <v>0</v>
      </c>
      <c r="AW421" s="52"/>
      <c r="AX421" s="53"/>
      <c r="AY421" s="183">
        <f t="shared" ref="AY421:AZ421" si="1522">SUM(AY413:AY420)</f>
        <v>27</v>
      </c>
      <c r="AZ421" s="68">
        <f t="shared" si="1522"/>
        <v>0</v>
      </c>
      <c r="BA421" s="52"/>
      <c r="BB421" s="53"/>
      <c r="BC421" s="183">
        <f t="shared" ref="BC421:BD421" si="1523">SUM(BC413:BC420)</f>
        <v>0</v>
      </c>
      <c r="BD421" s="68">
        <f t="shared" si="1523"/>
        <v>0</v>
      </c>
      <c r="BE421" s="69"/>
      <c r="BF421" s="70">
        <f t="shared" ref="BF421:BH421" si="1524">SUM(BF413:BF420)</f>
        <v>6874.94</v>
      </c>
      <c r="BG421" s="71">
        <f t="shared" si="1524"/>
        <v>9695.04</v>
      </c>
      <c r="BH421" s="72">
        <f t="shared" si="1524"/>
        <v>202.5</v>
      </c>
      <c r="BI421" s="34">
        <f>H421+BF421-BG421</f>
        <v>202.5</v>
      </c>
      <c r="BJ421" s="34">
        <f>BH421-BI421</f>
        <v>0</v>
      </c>
      <c r="BK421" s="2" t="b">
        <f>H421='2020'!BH421</f>
        <v>1</v>
      </c>
    </row>
    <row r="422" ht="14.25" customHeight="1" hidden="1" spans="1:63" x14ac:dyDescent="0.25">
      <c r="A422" s="2">
        <v>47</v>
      </c>
      <c r="B422" s="14"/>
      <c r="D422" s="14" t="s">
        <v>379</v>
      </c>
      <c r="F422" s="13"/>
      <c r="G422" s="28"/>
      <c r="H422" s="34">
        <f>'2020'!BH422</f>
        <v>23.65</v>
      </c>
      <c r="I422" s="13"/>
      <c r="J422" s="15"/>
      <c r="K422" s="15"/>
      <c r="L422" s="28"/>
      <c r="M422" s="13"/>
      <c r="N422" s="15"/>
      <c r="Q422" s="13"/>
      <c r="R422" s="15"/>
      <c r="S422" s="15"/>
      <c r="T422" s="28"/>
      <c r="U422" s="13"/>
      <c r="V422" s="15"/>
      <c r="Y422" s="186"/>
      <c r="Z422" s="2"/>
      <c r="AA422" s="15"/>
      <c r="AB422" s="28"/>
      <c r="AC422" s="15"/>
      <c r="AD422" s="15"/>
      <c r="AG422" s="15"/>
      <c r="AH422" s="2"/>
      <c r="AI422" s="45"/>
      <c r="AJ422" s="304">
        <v>23.65</v>
      </c>
      <c r="AK422" s="13"/>
      <c r="AM422" s="45"/>
      <c r="AO422" s="13"/>
      <c r="AQ422" s="180">
        <v>1.75</v>
      </c>
      <c r="AS422" s="13"/>
      <c r="AU422" s="180"/>
      <c r="AW422" s="13"/>
      <c r="AY422" s="45"/>
      <c r="AZ422" s="28"/>
      <c r="BA422" s="13"/>
      <c r="BB422" s="15"/>
      <c r="BC422" s="45"/>
      <c r="BD422" s="28"/>
      <c r="BE422" s="14"/>
      <c r="BF422" s="41">
        <f t="shared" ref="BF422:BG422" si="1525">K422+O422+S422+W422+AA422+AE422+AI422+AM422+AQ422+AU422+AY422+BC422</f>
        <v>1.75</v>
      </c>
      <c r="BG422" s="34">
        <f t="shared" si="1525"/>
        <v>23.65</v>
      </c>
      <c r="BH422" s="35">
        <f t="shared" ref="BH422:BH429" si="1526">H422+BF422-BG422</f>
        <v>1.75</v>
      </c>
      <c r="BK422" s="2" t="b">
        <f>H422='2020'!BH422</f>
        <v>1</v>
      </c>
    </row>
    <row r="423" ht="14.25" customHeight="1" hidden="1" spans="1:63" x14ac:dyDescent="0.25">
      <c r="A423" s="2">
        <v>47</v>
      </c>
      <c r="B423" s="42">
        <v>5</v>
      </c>
      <c r="C423" s="2" t="s">
        <v>192</v>
      </c>
      <c r="D423" s="14" t="s">
        <v>44</v>
      </c>
      <c r="E423" s="2" t="s">
        <v>45</v>
      </c>
      <c r="F423" s="41">
        <v>2.5</v>
      </c>
      <c r="G423" s="35">
        <v>2.6</v>
      </c>
      <c r="H423" s="34">
        <f>'2020'!BH423</f>
        <v>0</v>
      </c>
      <c r="I423" s="13">
        <v>165</v>
      </c>
      <c r="J423" s="15">
        <f>I423-'2020'!BA423</f>
        <v>0</v>
      </c>
      <c r="K423" s="34">
        <f>J423*$F$8</f>
        <v>0</v>
      </c>
      <c r="L423" s="28"/>
      <c r="M423" s="13">
        <v>165</v>
      </c>
      <c r="N423" s="15">
        <f t="shared" ref="N423:N424" si="1527">M423-I423</f>
        <v>0</v>
      </c>
      <c r="O423" s="34">
        <f>N423*$F$8</f>
        <v>0</v>
      </c>
      <c r="Q423" s="13">
        <v>165</v>
      </c>
      <c r="R423" s="15">
        <f t="shared" ref="R423:R424" si="1528">Q423-M423</f>
        <v>0</v>
      </c>
      <c r="S423" s="34">
        <f>R423*$F$8</f>
        <v>0</v>
      </c>
      <c r="T423" s="28"/>
      <c r="U423" s="13">
        <v>165</v>
      </c>
      <c r="V423" s="15">
        <f t="shared" ref="V423:V424" si="1529">U423-Q423</f>
        <v>0</v>
      </c>
      <c r="W423" s="34">
        <f>V423*$F$8</f>
        <v>0</v>
      </c>
      <c r="X423" s="15"/>
      <c r="Y423" s="186">
        <v>165</v>
      </c>
      <c r="Z423" s="2">
        <f t="shared" ref="Z423:Z424" si="1530">Y423-U423</f>
        <v>0</v>
      </c>
      <c r="AA423" s="34">
        <f>Z423*$F$8</f>
        <v>0</v>
      </c>
      <c r="AB423" s="28"/>
      <c r="AC423" s="15">
        <v>165</v>
      </c>
      <c r="AD423" s="15">
        <f t="shared" ref="AD423:AD424" si="1531">AC423-Y423</f>
        <v>0</v>
      </c>
      <c r="AE423" s="180">
        <f>AD423*$F$8</f>
        <v>0</v>
      </c>
      <c r="AG423" s="15">
        <v>165</v>
      </c>
      <c r="AH423" s="2">
        <f t="shared" ref="AH423:AH424" si="1532">AG423-AC423</f>
        <v>0</v>
      </c>
      <c r="AI423" s="45">
        <f>AH423*$G$8</f>
        <v>0</v>
      </c>
      <c r="AJ423" s="304"/>
      <c r="AK423" s="13">
        <v>165</v>
      </c>
      <c r="AL423" s="15">
        <f t="shared" ref="AL423:AL424" si="1533">AK423-AG423</f>
        <v>0</v>
      </c>
      <c r="AM423" s="45">
        <f>AL423*$G$8</f>
        <v>0</v>
      </c>
      <c r="AN423" s="15"/>
      <c r="AO423" s="13">
        <v>165</v>
      </c>
      <c r="AP423" s="15">
        <f t="shared" ref="AP423:AP424" si="1534">AO423-AK423</f>
        <v>0</v>
      </c>
      <c r="AQ423" s="45">
        <f>AP423*$G$8</f>
        <v>0</v>
      </c>
      <c r="AR423" s="15"/>
      <c r="AS423" s="13">
        <v>165</v>
      </c>
      <c r="AT423" s="15">
        <f t="shared" ref="AT423:AT424" si="1535">AS423-AO423</f>
        <v>0</v>
      </c>
      <c r="AU423" s="45">
        <f>AT423*$G$8</f>
        <v>0</v>
      </c>
      <c r="AV423" s="15"/>
      <c r="AW423" s="13">
        <v>165</v>
      </c>
      <c r="AX423" s="15">
        <f t="shared" ref="AX423:AX424" si="1536">AW423-AS423</f>
        <v>0</v>
      </c>
      <c r="AY423" s="45">
        <f>AX423*$G$8</f>
        <v>0</v>
      </c>
      <c r="AZ423" s="208"/>
      <c r="BA423" s="13">
        <v>165</v>
      </c>
      <c r="BB423" s="15">
        <f t="shared" ref="BB423:BB424" si="1537">BA423-AW423</f>
        <v>0</v>
      </c>
      <c r="BC423" s="45">
        <f>BB423*$G$8</f>
        <v>0</v>
      </c>
      <c r="BD423" s="208"/>
      <c r="BE423" s="40">
        <f t="shared" ref="BE423:BG423" si="1538">J423+N423+R423+V423+Z423+AD423+AH423+AL423+AP423+AT423+AX423+BB423</f>
        <v>0</v>
      </c>
      <c r="BF423" s="41">
        <f t="shared" si="1538"/>
        <v>0</v>
      </c>
      <c r="BG423" s="34">
        <f t="shared" si="1538"/>
        <v>0</v>
      </c>
      <c r="BH423" s="35">
        <f t="shared" si="1526"/>
        <v>0</v>
      </c>
      <c r="BK423" s="2" t="b">
        <f>H423='2020'!BH423</f>
        <v>1</v>
      </c>
    </row>
    <row r="424" ht="14.25" customHeight="1" hidden="1" spans="1:63" x14ac:dyDescent="0.25">
      <c r="A424" s="2">
        <v>47</v>
      </c>
      <c r="B424" s="14"/>
      <c r="C424" s="2" t="s">
        <v>193</v>
      </c>
      <c r="D424" s="14" t="s">
        <v>47</v>
      </c>
      <c r="E424" s="2" t="s">
        <v>48</v>
      </c>
      <c r="F424" s="13">
        <v>18.56</v>
      </c>
      <c r="G424" s="35">
        <v>19.46</v>
      </c>
      <c r="H424" s="34">
        <f>'2020'!BH424</f>
        <v>-0.02</v>
      </c>
      <c r="I424" s="13">
        <v>30</v>
      </c>
      <c r="J424" s="15"/>
      <c r="K424" s="15"/>
      <c r="L424" s="28"/>
      <c r="M424" s="13">
        <v>30</v>
      </c>
      <c r="N424" s="15">
        <f t="shared" si="1527"/>
        <v>0</v>
      </c>
      <c r="Q424" s="13">
        <v>30</v>
      </c>
      <c r="R424" s="15">
        <f t="shared" si="1528"/>
        <v>0</v>
      </c>
      <c r="S424" s="15"/>
      <c r="T424" s="28"/>
      <c r="U424" s="13">
        <v>30</v>
      </c>
      <c r="V424" s="15">
        <f t="shared" si="1529"/>
        <v>0</v>
      </c>
      <c r="W424" s="180">
        <f>V424*$F$10</f>
        <v>0</v>
      </c>
      <c r="Y424" s="186">
        <v>30</v>
      </c>
      <c r="Z424" s="2">
        <f t="shared" si="1530"/>
        <v>0</v>
      </c>
      <c r="AA424" s="34">
        <f>Z424*$F$10</f>
        <v>0</v>
      </c>
      <c r="AB424" s="28"/>
      <c r="AC424" s="15">
        <v>30</v>
      </c>
      <c r="AD424" s="15">
        <f t="shared" si="1531"/>
        <v>0</v>
      </c>
      <c r="AE424" s="34">
        <f>AD424*$F$10</f>
        <v>0</v>
      </c>
      <c r="AG424" s="15">
        <v>30</v>
      </c>
      <c r="AH424" s="2">
        <f t="shared" si="1532"/>
        <v>0</v>
      </c>
      <c r="AI424" s="45">
        <f>AH424*$G$10</f>
        <v>0</v>
      </c>
      <c r="AJ424" s="304"/>
      <c r="AK424" s="13">
        <v>30</v>
      </c>
      <c r="AL424" s="15">
        <f t="shared" si="1533"/>
        <v>0</v>
      </c>
      <c r="AM424" s="45">
        <f>AL424*$G$10</f>
        <v>0</v>
      </c>
      <c r="AN424" s="15"/>
      <c r="AO424" s="13">
        <v>30</v>
      </c>
      <c r="AP424" s="15">
        <f t="shared" si="1534"/>
        <v>0</v>
      </c>
      <c r="AQ424" s="45">
        <f>AP424*$G$10</f>
        <v>0</v>
      </c>
      <c r="AR424" s="15"/>
      <c r="AS424" s="13">
        <v>30</v>
      </c>
      <c r="AT424" s="15">
        <f t="shared" si="1535"/>
        <v>0</v>
      </c>
      <c r="AU424" s="45">
        <f>AT424*$G$10</f>
        <v>0</v>
      </c>
      <c r="AV424" s="34"/>
      <c r="AW424" s="13">
        <v>30</v>
      </c>
      <c r="AX424" s="15">
        <f t="shared" si="1536"/>
        <v>0</v>
      </c>
      <c r="AY424" s="45"/>
      <c r="AZ424" s="208"/>
      <c r="BA424" s="13">
        <v>30</v>
      </c>
      <c r="BB424" s="15">
        <f t="shared" si="1537"/>
        <v>0</v>
      </c>
      <c r="BC424" s="45"/>
      <c r="BD424" s="208"/>
      <c r="BE424" s="40">
        <f t="shared" ref="BE424:BG424" si="1539">J424+N424+R424+V424+Z424+AD424+AH424+AL424+AP424+AT424+AX424+BB424</f>
        <v>0</v>
      </c>
      <c r="BF424" s="41">
        <f t="shared" si="1539"/>
        <v>0</v>
      </c>
      <c r="BG424" s="34">
        <f t="shared" si="1539"/>
        <v>0</v>
      </c>
      <c r="BH424" s="35">
        <f t="shared" si="1526"/>
        <v>-0.02</v>
      </c>
      <c r="BK424" s="2" t="b">
        <f>H424='2020'!BH424</f>
        <v>1</v>
      </c>
    </row>
    <row r="425" ht="14.25" customHeight="1" hidden="1" spans="1:63" x14ac:dyDescent="0.25">
      <c r="A425" s="2">
        <v>47</v>
      </c>
      <c r="B425" s="14"/>
      <c r="C425" s="2" t="s">
        <v>194</v>
      </c>
      <c r="D425" s="14" t="s">
        <v>47</v>
      </c>
      <c r="E425" s="2" t="s">
        <v>49</v>
      </c>
      <c r="F425" s="41">
        <v>500</v>
      </c>
      <c r="G425" s="28"/>
      <c r="H425" s="34">
        <f>'2020'!BH425</f>
        <v>0</v>
      </c>
      <c r="I425" s="13"/>
      <c r="J425" s="15"/>
      <c r="K425" s="15"/>
      <c r="L425" s="28"/>
      <c r="M425" s="13"/>
      <c r="N425" s="15"/>
      <c r="Q425" s="13"/>
      <c r="R425" s="15"/>
      <c r="S425" s="15"/>
      <c r="T425" s="28"/>
      <c r="U425" s="13"/>
      <c r="V425" s="15"/>
      <c r="Y425" s="186"/>
      <c r="Z425" s="2"/>
      <c r="AA425" s="15"/>
      <c r="AB425" s="28"/>
      <c r="AC425" s="15"/>
      <c r="AD425" s="15"/>
      <c r="AG425" s="15"/>
      <c r="AH425" s="2"/>
      <c r="AI425" s="45"/>
      <c r="AJ425" s="304"/>
      <c r="AK425" s="13"/>
      <c r="AL425" s="15"/>
      <c r="AM425" s="45"/>
      <c r="AN425" s="15"/>
      <c r="AO425" s="13"/>
      <c r="AP425" s="15"/>
      <c r="AQ425" s="45"/>
      <c r="AR425" s="15"/>
      <c r="AS425" s="13"/>
      <c r="AT425" s="15"/>
      <c r="AU425" s="45"/>
      <c r="AV425" s="1"/>
      <c r="AW425" s="13"/>
      <c r="AX425" s="15"/>
      <c r="AY425" s="45"/>
      <c r="AZ425" s="28"/>
      <c r="BA425" s="13"/>
      <c r="BB425" s="15"/>
      <c r="BC425" s="45"/>
      <c r="BD425" s="28"/>
      <c r="BE425" s="14"/>
      <c r="BF425" s="41">
        <f t="shared" ref="BF425:BG425" si="1540">K425+O425+S425+W425+AA425+AE425+AI425+AM425+AQ425+AU425+AY425+BC425</f>
        <v>0</v>
      </c>
      <c r="BG425" s="34">
        <f t="shared" si="1540"/>
        <v>0</v>
      </c>
      <c r="BH425" s="35">
        <f t="shared" si="1526"/>
        <v>0</v>
      </c>
      <c r="BK425" s="2" t="b">
        <f>H425='2020'!BH425</f>
        <v>1</v>
      </c>
    </row>
    <row r="426" ht="14.25" customHeight="1" hidden="1" spans="1:63" x14ac:dyDescent="0.25">
      <c r="A426" s="2">
        <v>47</v>
      </c>
      <c r="B426" s="14"/>
      <c r="C426" s="2" t="s">
        <v>195</v>
      </c>
      <c r="D426" s="14" t="s">
        <v>50</v>
      </c>
      <c r="E426" s="2" t="s">
        <v>49</v>
      </c>
      <c r="F426" s="41">
        <v>1100</v>
      </c>
      <c r="G426" s="28"/>
      <c r="H426" s="34">
        <f>'2020'!BH426</f>
        <v>0</v>
      </c>
      <c r="I426" s="13"/>
      <c r="J426" s="15"/>
      <c r="K426" s="15"/>
      <c r="L426" s="28"/>
      <c r="M426" s="13"/>
      <c r="N426" s="15"/>
      <c r="Q426" s="13"/>
      <c r="R426" s="15"/>
      <c r="S426" s="15"/>
      <c r="T426" s="28"/>
      <c r="U426" s="13"/>
      <c r="V426" s="15"/>
      <c r="Y426" s="186"/>
      <c r="Z426" s="2"/>
      <c r="AA426" s="15"/>
      <c r="AB426" s="28"/>
      <c r="AC426" s="15"/>
      <c r="AD426" s="15"/>
      <c r="AE426" s="34">
        <f>B423*$F$12</f>
        <v>5500</v>
      </c>
      <c r="AF426" s="34"/>
      <c r="AG426" s="15"/>
      <c r="AH426" s="2"/>
      <c r="AI426" s="45"/>
      <c r="AJ426" s="187">
        <v>4916.18</v>
      </c>
      <c r="AK426" s="13"/>
      <c r="AL426" s="15"/>
      <c r="AM426" s="45"/>
      <c r="AN426" s="15"/>
      <c r="AO426" s="13"/>
      <c r="AP426" s="15"/>
      <c r="AQ426" s="45"/>
      <c r="AR426" s="15"/>
      <c r="AS426" s="13"/>
      <c r="AT426" s="15"/>
      <c r="AU426" s="45"/>
      <c r="AV426" s="34"/>
      <c r="AW426" s="13"/>
      <c r="AX426" s="15"/>
      <c r="AY426" s="45"/>
      <c r="AZ426" s="28"/>
      <c r="BA426" s="13"/>
      <c r="BB426" s="15"/>
      <c r="BC426" s="45"/>
      <c r="BD426" s="28"/>
      <c r="BE426" s="14"/>
      <c r="BF426" s="41">
        <f t="shared" ref="BF426:BG426" si="1541">K426+O426+S426+W426+AA426+AE426+AI426+AM426+AQ426+AU426+AY426+BC426</f>
        <v>5500</v>
      </c>
      <c r="BG426" s="34">
        <f t="shared" si="1541"/>
        <v>4916.18</v>
      </c>
      <c r="BH426" s="35">
        <f t="shared" si="1526"/>
        <v>583.82</v>
      </c>
      <c r="BK426" s="2" t="b">
        <f>H426='2020'!BH426</f>
        <v>1</v>
      </c>
    </row>
    <row r="427" ht="14.25" customHeight="1" hidden="1" spans="1:63" x14ac:dyDescent="0.25">
      <c r="A427" s="2">
        <v>47</v>
      </c>
      <c r="B427" s="14"/>
      <c r="C427" s="2" t="s">
        <v>417</v>
      </c>
      <c r="D427" s="14" t="s">
        <v>51</v>
      </c>
      <c r="E427" s="2" t="s">
        <v>39</v>
      </c>
      <c r="F427" s="41">
        <v>500</v>
      </c>
      <c r="G427" s="28"/>
      <c r="H427" s="34">
        <f>'2020'!BH427</f>
        <v>0</v>
      </c>
      <c r="I427" s="13"/>
      <c r="J427" s="15"/>
      <c r="K427" s="15"/>
      <c r="L427" s="28"/>
      <c r="M427" s="13"/>
      <c r="N427" s="15"/>
      <c r="Q427" s="13"/>
      <c r="R427" s="15"/>
      <c r="S427" s="15"/>
      <c r="T427" s="28"/>
      <c r="U427" s="13"/>
      <c r="V427" s="15"/>
      <c r="Y427" s="186"/>
      <c r="Z427" s="2"/>
      <c r="AA427" s="15"/>
      <c r="AB427" s="28"/>
      <c r="AC427" s="15"/>
      <c r="AD427" s="15"/>
      <c r="AE427" s="180">
        <f>$F$13</f>
      </c>
      <c r="AG427" s="15"/>
      <c r="AH427" s="2"/>
      <c r="AI427" s="45"/>
      <c r="AJ427" s="187"/>
      <c r="AK427" s="13"/>
      <c r="AL427" s="15"/>
      <c r="AM427" s="45"/>
      <c r="AN427" s="15"/>
      <c r="AO427" s="13"/>
      <c r="AP427" s="15"/>
      <c r="AQ427" s="180"/>
      <c r="AR427" s="15"/>
      <c r="AS427" s="13"/>
      <c r="AT427" s="15"/>
      <c r="AU427" s="45"/>
      <c r="AV427" s="34"/>
      <c r="AW427" s="13"/>
      <c r="AX427" s="15"/>
      <c r="AY427" s="45"/>
      <c r="AZ427" s="28"/>
      <c r="BA427" s="13"/>
      <c r="BB427" s="15"/>
      <c r="BC427" s="45"/>
      <c r="BD427" s="28"/>
      <c r="BE427" s="14"/>
      <c r="BF427" s="41">
        <f t="shared" ref="BF427:BG427" si="1542">K427+O427+S427+W427+AA427+AE427+AI427+AM427+AQ427+AU427+AY427+BC427</f>
        <v>0</v>
      </c>
      <c r="BG427" s="34">
        <f t="shared" si="1542"/>
        <v>0</v>
      </c>
      <c r="BH427" s="35">
        <f t="shared" si="1526"/>
        <v>0</v>
      </c>
      <c r="BK427" s="2" t="b">
        <f>H427='2020'!BH427</f>
        <v>1</v>
      </c>
    </row>
    <row r="428" ht="14.25" customHeight="1" hidden="1" spans="1:63" x14ac:dyDescent="0.25">
      <c r="A428" s="2">
        <v>47</v>
      </c>
      <c r="B428" s="14"/>
      <c r="D428" s="14" t="s">
        <v>51</v>
      </c>
      <c r="E428" s="2" t="s">
        <v>49</v>
      </c>
      <c r="F428" s="41">
        <v>500</v>
      </c>
      <c r="G428" s="28"/>
      <c r="H428" s="34">
        <f>'2020'!BH428</f>
        <v>2500</v>
      </c>
      <c r="I428" s="13"/>
      <c r="J428" s="15"/>
      <c r="K428" s="15"/>
      <c r="L428" s="28"/>
      <c r="M428" s="13"/>
      <c r="N428" s="15"/>
      <c r="Q428" s="13"/>
      <c r="R428" s="15"/>
      <c r="S428" s="15"/>
      <c r="T428" s="28"/>
      <c r="U428" s="13"/>
      <c r="V428" s="15"/>
      <c r="Y428" s="186"/>
      <c r="Z428" s="2"/>
      <c r="AA428" s="15"/>
      <c r="AB428" s="28"/>
      <c r="AC428" s="15"/>
      <c r="AD428" s="15"/>
      <c r="AE428" s="34"/>
      <c r="AG428" s="15"/>
      <c r="AH428" s="2"/>
      <c r="AI428" s="45"/>
      <c r="AJ428" s="187">
        <v>2500</v>
      </c>
      <c r="AK428" s="13"/>
      <c r="AL428" s="15"/>
      <c r="AM428" s="45"/>
      <c r="AN428" s="15"/>
      <c r="AO428" s="13"/>
      <c r="AP428" s="15"/>
      <c r="AQ428" s="180">
        <f>B423*$F$14</f>
        <v>0</v>
      </c>
      <c r="AR428" s="15"/>
      <c r="AS428" s="13"/>
      <c r="AT428" s="15"/>
      <c r="AU428" s="45"/>
      <c r="AV428" s="1"/>
      <c r="AW428" s="13"/>
      <c r="AX428" s="15"/>
      <c r="AY428" s="45"/>
      <c r="AZ428" s="28"/>
      <c r="BA428" s="13"/>
      <c r="BB428" s="15"/>
      <c r="BC428" s="45"/>
      <c r="BD428" s="28"/>
      <c r="BE428" s="14"/>
      <c r="BF428" s="41">
        <f t="shared" ref="BF428:BG428" si="1543">K428+O428+S428+W428+AA428+AE428+AI428+AM428+AQ428+AU428+AY428+BC428</f>
        <v>0</v>
      </c>
      <c r="BG428" s="34">
        <f t="shared" si="1543"/>
        <v>2500</v>
      </c>
      <c r="BH428" s="35">
        <f t="shared" si="1526"/>
        <v>0</v>
      </c>
      <c r="BK428" s="2" t="b">
        <f>H428='2020'!BH428</f>
        <v>1</v>
      </c>
    </row>
    <row r="429" ht="14.25" customHeight="1" hidden="1" spans="1:63" x14ac:dyDescent="0.25">
      <c r="A429" s="2">
        <v>47</v>
      </c>
      <c r="B429" s="14"/>
      <c r="C429" s="2" t="s">
        <v>418</v>
      </c>
      <c r="D429" s="14" t="s">
        <v>52</v>
      </c>
      <c r="E429" s="2" t="s">
        <v>39</v>
      </c>
      <c r="F429" s="41">
        <v>500</v>
      </c>
      <c r="G429" s="28"/>
      <c r="H429" s="34">
        <f>'2020'!BH429</f>
        <v>0</v>
      </c>
      <c r="I429" s="13"/>
      <c r="J429" s="15"/>
      <c r="K429" s="15"/>
      <c r="L429" s="28"/>
      <c r="M429" s="13"/>
      <c r="N429" s="15"/>
      <c r="Q429" s="13"/>
      <c r="R429" s="15"/>
      <c r="S429" s="15"/>
      <c r="T429" s="28"/>
      <c r="U429" s="13"/>
      <c r="V429" s="15"/>
      <c r="Y429" s="186"/>
      <c r="Z429" s="2"/>
      <c r="AA429" s="34">
        <f>$F$15</f>
      </c>
      <c r="AB429" s="35"/>
      <c r="AC429" s="15"/>
      <c r="AD429" s="15"/>
      <c r="AG429" s="15"/>
      <c r="AH429" s="2"/>
      <c r="AI429" s="45"/>
      <c r="AJ429" s="326"/>
      <c r="AK429" s="13"/>
      <c r="AL429" s="15"/>
      <c r="AM429" s="45"/>
      <c r="AN429" s="15"/>
      <c r="AO429" s="13"/>
      <c r="AP429" s="15"/>
      <c r="AQ429" s="45"/>
      <c r="AR429" s="15"/>
      <c r="AS429" s="13"/>
      <c r="AT429" s="15"/>
      <c r="AU429" s="45"/>
      <c r="AV429" s="34"/>
      <c r="AW429" s="13"/>
      <c r="AX429" s="15"/>
      <c r="AY429" s="45"/>
      <c r="AZ429" s="35"/>
      <c r="BA429" s="13"/>
      <c r="BB429" s="15"/>
      <c r="BC429" s="45"/>
      <c r="BD429" s="35"/>
      <c r="BE429" s="14"/>
      <c r="BF429" s="41">
        <f t="shared" ref="BF429:BG429" si="1544">K429+O429+S429+W429+AA429+AE429+AI429+AM429+AQ429+AU429+AY429+BC429</f>
        <v>0</v>
      </c>
      <c r="BG429" s="34">
        <f t="shared" si="1544"/>
        <v>0</v>
      </c>
      <c r="BH429" s="35">
        <f t="shared" si="1526"/>
        <v>0</v>
      </c>
      <c r="BK429" s="2" t="b">
        <f>H429='2020'!BH429</f>
        <v>1</v>
      </c>
    </row>
    <row r="430" ht="14.25" customHeight="1" hidden="1" spans="1:63" x14ac:dyDescent="0.25">
      <c r="A430" s="247">
        <v>47</v>
      </c>
      <c r="B430" s="21"/>
      <c r="C430" s="22" t="s">
        <v>53</v>
      </c>
      <c r="D430" s="21"/>
      <c r="E430" s="22"/>
      <c r="F430" s="20"/>
      <c r="G430" s="23"/>
      <c r="H430" s="51">
        <f>SUM(H422:H429)</f>
        <v>2523.63</v>
      </c>
      <c r="I430" s="52"/>
      <c r="J430" s="53"/>
      <c r="K430" s="51">
        <f t="shared" ref="K430:L430" si="1545">SUM(K422:K429)</f>
        <v>0</v>
      </c>
      <c r="L430" s="68">
        <f t="shared" si="1545"/>
        <v>0</v>
      </c>
      <c r="M430" s="52"/>
      <c r="N430" s="53"/>
      <c r="O430" s="51">
        <f t="shared" ref="O430:P430" si="1546">SUM(O422:O429)</f>
        <v>0</v>
      </c>
      <c r="P430" s="51">
        <f t="shared" si="1546"/>
        <v>0</v>
      </c>
      <c r="Q430" s="52"/>
      <c r="R430" s="53"/>
      <c r="S430" s="51">
        <f t="shared" ref="S430:T430" si="1547">SUM(S422:S429)</f>
        <v>0</v>
      </c>
      <c r="T430" s="51">
        <f t="shared" si="1547"/>
        <v>0</v>
      </c>
      <c r="U430" s="52"/>
      <c r="V430" s="53"/>
      <c r="W430" s="51">
        <f t="shared" ref="W430:X430" si="1548">SUM(W422:W429)</f>
        <v>0</v>
      </c>
      <c r="X430" s="51">
        <f t="shared" si="1548"/>
        <v>0</v>
      </c>
      <c r="Y430" s="300"/>
      <c r="Z430" s="301"/>
      <c r="AA430" s="51">
        <f t="shared" ref="AA430:AB430" si="1549">SUM(AA422:AA429)</f>
        <v>0</v>
      </c>
      <c r="AB430" s="51">
        <f t="shared" si="1549"/>
        <v>0</v>
      </c>
      <c r="AC430" s="52"/>
      <c r="AD430" s="53"/>
      <c r="AE430" s="51">
        <f t="shared" ref="AE430:AF430" si="1550">SUM(AE422:AE429)</f>
        <v>5500</v>
      </c>
      <c r="AF430" s="51">
        <f t="shared" si="1550"/>
        <v>0</v>
      </c>
      <c r="AG430" s="52"/>
      <c r="AH430" s="301"/>
      <c r="AI430" s="183">
        <f t="shared" ref="AI430:AJ430" si="1551">SUM(AI422:AI429)</f>
        <v>0</v>
      </c>
      <c r="AJ430" s="51">
        <f t="shared" si="1551"/>
        <v>7439.83</v>
      </c>
      <c r="AK430" s="52"/>
      <c r="AL430" s="53"/>
      <c r="AM430" s="183">
        <f t="shared" ref="AM430:AN430" si="1552">SUM(AM422:AM429)</f>
        <v>0</v>
      </c>
      <c r="AN430" s="51">
        <f t="shared" si="1552"/>
        <v>0</v>
      </c>
      <c r="AO430" s="52"/>
      <c r="AP430" s="53"/>
      <c r="AQ430" s="183">
        <f t="shared" ref="AQ430:AR430" si="1553">SUM(AQ422:AQ429)</f>
        <v>1.75</v>
      </c>
      <c r="AR430" s="51">
        <f t="shared" si="1553"/>
        <v>0</v>
      </c>
      <c r="AS430" s="52"/>
      <c r="AT430" s="53"/>
      <c r="AU430" s="183">
        <f t="shared" ref="AU430:AV430" si="1554">SUM(AU422:AU429)</f>
        <v>0</v>
      </c>
      <c r="AV430" s="68">
        <f t="shared" si="1554"/>
        <v>0</v>
      </c>
      <c r="AW430" s="52"/>
      <c r="AX430" s="53"/>
      <c r="AY430" s="183">
        <f t="shared" ref="AY430:AZ430" si="1555">SUM(AY422:AY429)</f>
        <v>0</v>
      </c>
      <c r="AZ430" s="68">
        <f t="shared" si="1555"/>
        <v>0</v>
      </c>
      <c r="BA430" s="52"/>
      <c r="BB430" s="53"/>
      <c r="BC430" s="183">
        <f t="shared" ref="BC430:BD430" si="1556">SUM(BC422:BC429)</f>
        <v>0</v>
      </c>
      <c r="BD430" s="68">
        <f t="shared" si="1556"/>
        <v>0</v>
      </c>
      <c r="BE430" s="69"/>
      <c r="BF430" s="70">
        <f t="shared" ref="BF430:BH430" si="1557">SUM(BF422:BF429)</f>
        <v>5501.75</v>
      </c>
      <c r="BG430" s="71">
        <f t="shared" si="1557"/>
        <v>7439.83</v>
      </c>
      <c r="BH430" s="72">
        <f t="shared" si="1557"/>
        <v>585.55</v>
      </c>
      <c r="BI430" s="34">
        <f>H430+BF430-BG430</f>
        <v>585.55</v>
      </c>
      <c r="BJ430" s="34">
        <f>BH430-BI430</f>
        <v>0</v>
      </c>
      <c r="BK430" s="2" t="b">
        <f>H430='2020'!BH430</f>
        <v>1</v>
      </c>
    </row>
    <row r="431" ht="14.25" customHeight="1" hidden="1" spans="1:63" x14ac:dyDescent="0.25">
      <c r="A431" s="2">
        <v>48</v>
      </c>
      <c r="B431" s="14"/>
      <c r="D431" s="14" t="s">
        <v>379</v>
      </c>
      <c r="F431" s="13"/>
      <c r="G431" s="28"/>
      <c r="H431" s="34">
        <f>'2020'!BH431</f>
        <v>0</v>
      </c>
      <c r="I431" s="13"/>
      <c r="J431" s="15"/>
      <c r="K431" s="15"/>
      <c r="L431" s="28"/>
      <c r="M431" s="13"/>
      <c r="N431" s="15"/>
      <c r="Q431" s="13"/>
      <c r="R431" s="15"/>
      <c r="S431" s="15"/>
      <c r="T431" s="28"/>
      <c r="U431" s="13"/>
      <c r="V431" s="15"/>
      <c r="Y431" s="186"/>
      <c r="Z431" s="2"/>
      <c r="AA431" s="15"/>
      <c r="AB431" s="28"/>
      <c r="AC431" s="15"/>
      <c r="AD431" s="15"/>
      <c r="AF431" s="154"/>
      <c r="AG431" s="15"/>
      <c r="AH431" s="2"/>
      <c r="AI431" s="45"/>
      <c r="AJ431" s="15"/>
      <c r="AK431" s="13"/>
      <c r="AM431" s="45"/>
      <c r="AN431" s="15"/>
      <c r="AO431" s="13"/>
      <c r="AQ431" s="45"/>
      <c r="AS431" s="13"/>
      <c r="AU431" s="45"/>
      <c r="AW431" s="13"/>
      <c r="AY431" s="45"/>
      <c r="AZ431" s="28"/>
      <c r="BA431" s="13"/>
      <c r="BB431" s="15"/>
      <c r="BC431" s="45"/>
      <c r="BD431" s="28"/>
      <c r="BE431" s="14"/>
      <c r="BF431" s="41">
        <f t="shared" ref="BF431:BG431" si="1558">K431+O431+S431+W431+AA431+AE431+AI431+AM431+AQ431+AU431+AY431+BC431</f>
        <v>0</v>
      </c>
      <c r="BG431" s="34">
        <f t="shared" si="1558"/>
        <v>0</v>
      </c>
      <c r="BH431" s="35">
        <f t="shared" ref="BH431:BH438" si="1559">H431+BF431-BG431</f>
        <v>0</v>
      </c>
      <c r="BK431" s="2" t="b">
        <f>H431='2020'!BH431</f>
        <v>1</v>
      </c>
    </row>
    <row r="432" ht="14.25" customHeight="1" hidden="1" spans="1:63" x14ac:dyDescent="0.25">
      <c r="A432" s="2">
        <v>48</v>
      </c>
      <c r="B432" s="14">
        <v>5.93</v>
      </c>
      <c r="C432" s="73" t="s">
        <v>97</v>
      </c>
      <c r="D432" s="14" t="s">
        <v>44</v>
      </c>
      <c r="E432" s="2" t="s">
        <v>45</v>
      </c>
      <c r="F432" s="41">
        <v>2.5</v>
      </c>
      <c r="G432" s="35">
        <v>2.6</v>
      </c>
      <c r="H432" s="104">
        <f>'2020'!BH432</f>
        <v>0</v>
      </c>
      <c r="I432" s="13">
        <v>0</v>
      </c>
      <c r="J432" s="15">
        <f>I432-'2020'!BA432</f>
        <v>0</v>
      </c>
      <c r="K432" s="34">
        <f>J432*$F$8</f>
        <v>0</v>
      </c>
      <c r="L432" s="28"/>
      <c r="M432" s="13">
        <v>0</v>
      </c>
      <c r="N432" s="15">
        <f t="shared" ref="N432:N433" si="1560">M432-I432</f>
        <v>0</v>
      </c>
      <c r="O432" s="34">
        <f>N432*$F$8</f>
        <v>0</v>
      </c>
      <c r="Q432" s="13">
        <v>0</v>
      </c>
      <c r="R432" s="15">
        <f t="shared" ref="R432:R433" si="1561">Q432-M432</f>
        <v>0</v>
      </c>
      <c r="S432" s="34">
        <f>R432*$F$8</f>
        <v>0</v>
      </c>
      <c r="T432" s="28"/>
      <c r="U432" s="13">
        <v>0</v>
      </c>
      <c r="V432" s="15">
        <f t="shared" ref="V432:V433" si="1562">U432-Q432</f>
        <v>0</v>
      </c>
      <c r="W432" s="34">
        <f>V432*$F$8</f>
        <v>0</v>
      </c>
      <c r="Y432" s="186"/>
      <c r="Z432" s="2">
        <f>Y432-U432</f>
        <v>0</v>
      </c>
      <c r="AA432" s="34">
        <f>Z432*$F$8</f>
        <v>0</v>
      </c>
      <c r="AB432" s="28"/>
      <c r="AC432" s="15"/>
      <c r="AD432" s="15">
        <f t="shared" ref="AD432:AD433" si="1563">AC432-Y432</f>
        <v>0</v>
      </c>
      <c r="AE432" s="180">
        <f>AD432*$F$8</f>
        <v>0</v>
      </c>
      <c r="AF432" s="154"/>
      <c r="AG432" s="15"/>
      <c r="AH432" s="2">
        <f t="shared" ref="AH432:AH433" si="1564">AG432-AC432</f>
        <v>0</v>
      </c>
      <c r="AI432" s="45">
        <f>AH432*$G$8</f>
        <v>0</v>
      </c>
      <c r="AJ432" s="154"/>
      <c r="AK432" s="13"/>
      <c r="AL432" s="15">
        <f t="shared" ref="AL432:AL433" si="1565">AK432-AG432</f>
        <v>0</v>
      </c>
      <c r="AM432" s="45">
        <f>AL432*$G$8</f>
        <v>0</v>
      </c>
      <c r="AN432" s="15"/>
      <c r="AO432" s="13"/>
      <c r="AP432" s="15">
        <f t="shared" ref="AP432:AP433" si="1566">AO432-AK432</f>
        <v>0</v>
      </c>
      <c r="AQ432" s="45">
        <f>AP432*$G$8</f>
        <v>0</v>
      </c>
      <c r="AR432" s="15"/>
      <c r="AS432" s="13"/>
      <c r="AT432" s="15">
        <f t="shared" ref="AT432:AT433" si="1567">AS432-AO432</f>
        <v>0</v>
      </c>
      <c r="AU432" s="45">
        <f t="shared" ref="AU432:AU433" si="1568">AT432*$G$8</f>
        <v>0</v>
      </c>
      <c r="AV432" s="15"/>
      <c r="AW432" s="13"/>
      <c r="AX432" s="15">
        <f t="shared" ref="AX432:AX433" si="1569">AW432-AS432</f>
        <v>0</v>
      </c>
      <c r="AY432" s="45">
        <f>AX432*$G$8</f>
        <v>0</v>
      </c>
      <c r="AZ432" s="208"/>
      <c r="BA432" s="13"/>
      <c r="BB432" s="15">
        <f t="shared" ref="BB432:BB433" si="1570">BA432-AW432</f>
        <v>0</v>
      </c>
      <c r="BC432" s="45">
        <f>BB432*$G$8</f>
        <v>0</v>
      </c>
      <c r="BD432" s="208"/>
      <c r="BE432" s="40">
        <f t="shared" ref="BE432:BG432" si="1571">J432+N432+R432+V432+Z432+AD432+AH432+AL432+AP432+AT432+AX432+BB432</f>
        <v>0</v>
      </c>
      <c r="BF432" s="41">
        <f t="shared" si="1571"/>
        <v>0</v>
      </c>
      <c r="BG432" s="34">
        <f t="shared" si="1571"/>
        <v>0</v>
      </c>
      <c r="BH432" s="35">
        <f t="shared" si="1559"/>
        <v>0</v>
      </c>
      <c r="BK432" s="2" t="b">
        <f>H432='2020'!BH432</f>
        <v>1</v>
      </c>
    </row>
    <row r="433" ht="14.25" customHeight="1" hidden="1" spans="1:63" x14ac:dyDescent="0.25">
      <c r="A433" s="2">
        <v>48</v>
      </c>
      <c r="B433" s="14"/>
      <c r="C433" s="2" t="s">
        <v>196</v>
      </c>
      <c r="D433" s="14" t="s">
        <v>47</v>
      </c>
      <c r="E433" s="2" t="s">
        <v>48</v>
      </c>
      <c r="F433" s="13">
        <v>18.56</v>
      </c>
      <c r="G433" s="35">
        <v>19.46</v>
      </c>
      <c r="H433" s="90">
        <f>'2020'!BH433</f>
        <v>-5.02</v>
      </c>
      <c r="I433" s="13">
        <v>160</v>
      </c>
      <c r="J433" s="15"/>
      <c r="K433" s="15"/>
      <c r="L433" s="28"/>
      <c r="M433" s="13">
        <v>160</v>
      </c>
      <c r="N433" s="15">
        <f t="shared" si="1560"/>
        <v>0</v>
      </c>
      <c r="Q433" s="13">
        <v>160</v>
      </c>
      <c r="R433" s="15">
        <f t="shared" si="1561"/>
        <v>0</v>
      </c>
      <c r="S433" s="15"/>
      <c r="T433" s="28"/>
      <c r="U433" s="13">
        <v>160</v>
      </c>
      <c r="V433" s="15">
        <f t="shared" si="1562"/>
        <v>0</v>
      </c>
      <c r="W433" s="180">
        <f>V433*$F$10</f>
        <v>0</v>
      </c>
      <c r="Y433" s="186">
        <f>128+8</f>
        <v>136</v>
      </c>
      <c r="Z433" s="2">
        <v>0</v>
      </c>
      <c r="AA433" s="34">
        <f>Z433*$F$10</f>
        <v>0</v>
      </c>
      <c r="AB433" s="28"/>
      <c r="AC433" s="13">
        <f>138+8</f>
        <v>146</v>
      </c>
      <c r="AD433" s="15">
        <f t="shared" si="1563"/>
        <v>10</v>
      </c>
      <c r="AE433" s="34">
        <f>AD433*$F$10</f>
        <v>194.6</v>
      </c>
      <c r="AF433" s="154">
        <v>189.58</v>
      </c>
      <c r="AG433" s="13">
        <f>143+9</f>
        <v>152</v>
      </c>
      <c r="AH433" s="2">
        <f t="shared" si="1564"/>
        <v>6</v>
      </c>
      <c r="AI433" s="45">
        <f>AH433*$G$10</f>
        <v>122.1</v>
      </c>
      <c r="AJ433" s="306">
        <v>130</v>
      </c>
      <c r="AK433" s="13">
        <f>144+11</f>
        <v>155</v>
      </c>
      <c r="AL433" s="15">
        <f t="shared" si="1565"/>
        <v>3</v>
      </c>
      <c r="AM433" s="45">
        <f>AL433*$G$10</f>
        <v>61.05</v>
      </c>
      <c r="AN433" s="305">
        <v>150</v>
      </c>
      <c r="AO433" s="13">
        <f>145+12</f>
        <v>157</v>
      </c>
      <c r="AP433" s="15">
        <f t="shared" si="1566"/>
        <v>2</v>
      </c>
      <c r="AQ433" s="45">
        <f>AP433*$G$10</f>
        <v>40.7</v>
      </c>
      <c r="AR433" s="15"/>
      <c r="AS433" s="13">
        <f>145+12</f>
        <v>157</v>
      </c>
      <c r="AT433" s="15">
        <f t="shared" si="1567"/>
        <v>0</v>
      </c>
      <c r="AU433" s="45">
        <f t="shared" si="1568"/>
        <v>0</v>
      </c>
      <c r="AV433" s="15"/>
      <c r="AW433" s="13">
        <f>145+12</f>
        <v>157</v>
      </c>
      <c r="AX433" s="15">
        <f t="shared" si="1569"/>
        <v>0</v>
      </c>
      <c r="AY433" s="45"/>
      <c r="AZ433" s="208"/>
      <c r="BA433" s="13">
        <f>145+12</f>
        <v>157</v>
      </c>
      <c r="BB433" s="15">
        <f t="shared" si="1570"/>
        <v>0</v>
      </c>
      <c r="BC433" s="45"/>
      <c r="BD433" s="208"/>
      <c r="BE433" s="40">
        <f t="shared" ref="BE433:BG433" si="1572">J433+N433+R433+V433+Z433+AD433+AH433+AL433+AP433+AT433+AX433+BB433</f>
        <v>21</v>
      </c>
      <c r="BF433" s="41">
        <f t="shared" si="1572"/>
        <v>418.45</v>
      </c>
      <c r="BG433" s="34">
        <f t="shared" si="1572"/>
        <v>469.58</v>
      </c>
      <c r="BH433" s="35">
        <f t="shared" si="1559"/>
        <v>-56.15</v>
      </c>
      <c r="BK433" s="2" t="b">
        <f>H433='2020'!BH433</f>
        <v>1</v>
      </c>
    </row>
    <row r="434" ht="14.25" customHeight="1" hidden="1" spans="1:63" x14ac:dyDescent="0.25">
      <c r="A434" s="2">
        <v>48</v>
      </c>
      <c r="B434" s="14"/>
      <c r="D434" s="14" t="s">
        <v>47</v>
      </c>
      <c r="E434" s="2" t="s">
        <v>49</v>
      </c>
      <c r="F434" s="41">
        <v>500</v>
      </c>
      <c r="G434" s="28"/>
      <c r="H434" s="34">
        <f>'2020'!BH434</f>
        <v>0</v>
      </c>
      <c r="I434" s="13"/>
      <c r="J434" s="15"/>
      <c r="K434" s="15"/>
      <c r="L434" s="28"/>
      <c r="M434" s="13"/>
      <c r="N434" s="15"/>
      <c r="Q434" s="13"/>
      <c r="R434" s="15"/>
      <c r="S434" s="15"/>
      <c r="T434" s="28"/>
      <c r="U434" s="13"/>
      <c r="V434" s="15"/>
      <c r="Y434" s="186"/>
      <c r="Z434" s="2"/>
      <c r="AA434" s="15"/>
      <c r="AB434" s="28"/>
      <c r="AC434" s="15"/>
      <c r="AD434" s="15"/>
      <c r="AF434" s="154"/>
      <c r="AG434" s="15"/>
      <c r="AH434" s="2"/>
      <c r="AI434" s="45"/>
      <c r="AJ434" s="154"/>
      <c r="AK434" s="13"/>
      <c r="AL434" s="15"/>
      <c r="AM434" s="45"/>
      <c r="AN434" s="15"/>
      <c r="AO434" s="13"/>
      <c r="AP434" s="15"/>
      <c r="AQ434" s="45"/>
      <c r="AR434" s="15"/>
      <c r="AS434" s="13"/>
      <c r="AT434" s="15"/>
      <c r="AU434" s="45"/>
      <c r="AV434" s="15"/>
      <c r="AW434" s="13"/>
      <c r="AX434" s="15"/>
      <c r="AY434" s="45"/>
      <c r="AZ434" s="28"/>
      <c r="BA434" s="13"/>
      <c r="BB434" s="15"/>
      <c r="BC434" s="45"/>
      <c r="BD434" s="28"/>
      <c r="BE434" s="14"/>
      <c r="BF434" s="41">
        <f t="shared" ref="BF434:BG434" si="1573">K434+O434+S434+W434+AA434+AE434+AI434+AM434+AQ434+AU434+AY434+BC434</f>
        <v>0</v>
      </c>
      <c r="BG434" s="34">
        <f t="shared" si="1573"/>
        <v>0</v>
      </c>
      <c r="BH434" s="35">
        <f t="shared" si="1559"/>
        <v>0</v>
      </c>
      <c r="BK434" s="2" t="b">
        <f>H434='2020'!BH434</f>
        <v>1</v>
      </c>
    </row>
    <row r="435" ht="14.25" customHeight="1" hidden="1" spans="1:63" x14ac:dyDescent="0.25">
      <c r="A435" s="2">
        <v>48</v>
      </c>
      <c r="B435" s="14"/>
      <c r="D435" s="14" t="s">
        <v>50</v>
      </c>
      <c r="E435" s="2" t="s">
        <v>49</v>
      </c>
      <c r="F435" s="41">
        <v>1100</v>
      </c>
      <c r="G435" s="28"/>
      <c r="H435" s="34">
        <f>'2020'!BH435</f>
        <v>0</v>
      </c>
      <c r="I435" s="13"/>
      <c r="J435" s="15"/>
      <c r="K435" s="15"/>
      <c r="L435" s="28"/>
      <c r="M435" s="13"/>
      <c r="N435" s="15"/>
      <c r="Q435" s="13"/>
      <c r="R435" s="15"/>
      <c r="S435" s="15"/>
      <c r="T435" s="28"/>
      <c r="U435" s="13"/>
      <c r="V435" s="15"/>
      <c r="Y435" s="186"/>
      <c r="Z435" s="2"/>
      <c r="AA435" s="15"/>
      <c r="AB435" s="28"/>
      <c r="AC435" s="15"/>
      <c r="AD435" s="15"/>
      <c r="AE435" s="34">
        <f>B432*$F$12</f>
        <v>6523</v>
      </c>
      <c r="AF435" s="154">
        <v>6523</v>
      </c>
      <c r="AG435" s="15"/>
      <c r="AH435" s="2"/>
      <c r="AI435" s="45"/>
      <c r="AJ435" s="154"/>
      <c r="AK435" s="13"/>
      <c r="AL435" s="15"/>
      <c r="AM435" s="45"/>
      <c r="AN435" s="34"/>
      <c r="AO435" s="13"/>
      <c r="AP435" s="15"/>
      <c r="AQ435" s="45"/>
      <c r="AR435" s="15"/>
      <c r="AS435" s="13"/>
      <c r="AT435" s="15"/>
      <c r="AU435" s="45"/>
      <c r="AV435" s="15"/>
      <c r="AW435" s="13"/>
      <c r="AX435" s="15"/>
      <c r="AY435" s="45"/>
      <c r="AZ435" s="28"/>
      <c r="BA435" s="13"/>
      <c r="BB435" s="15"/>
      <c r="BC435" s="45"/>
      <c r="BD435" s="28"/>
      <c r="BE435" s="14"/>
      <c r="BF435" s="41">
        <f t="shared" ref="BF435:BG435" si="1574">K435+O435+S435+W435+AA435+AE435+AI435+AM435+AQ435+AU435+AY435+BC435</f>
        <v>6523</v>
      </c>
      <c r="BG435" s="34">
        <f t="shared" si="1574"/>
        <v>6523</v>
      </c>
      <c r="BH435" s="35">
        <f t="shared" si="1559"/>
        <v>0</v>
      </c>
      <c r="BK435" s="2" t="b">
        <f>H435='2020'!BH435</f>
        <v>1</v>
      </c>
    </row>
    <row r="436" ht="14.25" customHeight="1" hidden="1" spans="1:63" x14ac:dyDescent="0.25">
      <c r="A436" s="2">
        <v>48</v>
      </c>
      <c r="B436" s="14"/>
      <c r="D436" s="14" t="s">
        <v>51</v>
      </c>
      <c r="E436" s="2" t="s">
        <v>39</v>
      </c>
      <c r="F436" s="41">
        <v>500</v>
      </c>
      <c r="G436" s="28"/>
      <c r="H436" s="34">
        <f>'2020'!BH436</f>
        <v>500</v>
      </c>
      <c r="I436" s="13"/>
      <c r="J436" s="15"/>
      <c r="K436" s="15"/>
      <c r="L436" s="28"/>
      <c r="M436" s="13"/>
      <c r="N436" s="15"/>
      <c r="Q436" s="13"/>
      <c r="R436" s="15"/>
      <c r="S436" s="15"/>
      <c r="T436" s="28"/>
      <c r="U436" s="13"/>
      <c r="V436" s="15"/>
      <c r="Y436" s="186"/>
      <c r="Z436" s="2"/>
      <c r="AA436" s="15"/>
      <c r="AB436" s="28"/>
      <c r="AC436" s="15"/>
      <c r="AD436" s="15"/>
      <c r="AE436" s="180">
        <f>$F$13</f>
      </c>
      <c r="AF436" s="154"/>
      <c r="AG436" s="15"/>
      <c r="AH436" s="2"/>
      <c r="AI436" s="45"/>
      <c r="AJ436" s="306">
        <v>250</v>
      </c>
      <c r="AK436" s="13"/>
      <c r="AL436" s="15"/>
      <c r="AM436" s="45"/>
      <c r="AN436" s="305">
        <v>250</v>
      </c>
      <c r="AO436" s="13"/>
      <c r="AP436" s="15"/>
      <c r="AQ436" s="180"/>
      <c r="AR436" s="15"/>
      <c r="AS436" s="13"/>
      <c r="AT436" s="15"/>
      <c r="AU436" s="45"/>
      <c r="AV436" s="15"/>
      <c r="AW436" s="13"/>
      <c r="AX436" s="15"/>
      <c r="AY436" s="45"/>
      <c r="AZ436" s="28"/>
      <c r="BA436" s="13"/>
      <c r="BB436" s="15"/>
      <c r="BC436" s="45"/>
      <c r="BD436" s="28"/>
      <c r="BE436" s="14"/>
      <c r="BF436" s="41">
        <f t="shared" ref="BF436:BG436" si="1575">K436+O436+S436+W436+AA436+AE436+AI436+AM436+AQ436+AU436+AY436+BC436</f>
        <v>0</v>
      </c>
      <c r="BG436" s="34">
        <f t="shared" si="1575"/>
        <v>500</v>
      </c>
      <c r="BH436" s="35">
        <f t="shared" si="1559"/>
        <v>0</v>
      </c>
      <c r="BK436" s="2" t="b">
        <f>H436='2020'!BH436</f>
        <v>1</v>
      </c>
    </row>
    <row r="437" ht="14.25" customHeight="1" hidden="1" spans="1:63" x14ac:dyDescent="0.25">
      <c r="A437" s="2">
        <v>48</v>
      </c>
      <c r="B437" s="14"/>
      <c r="D437" s="14" t="s">
        <v>51</v>
      </c>
      <c r="E437" s="2" t="s">
        <v>49</v>
      </c>
      <c r="F437" s="41">
        <v>500</v>
      </c>
      <c r="G437" s="28"/>
      <c r="H437" s="34">
        <f>'2020'!BH437</f>
        <v>2965</v>
      </c>
      <c r="I437" s="13"/>
      <c r="J437" s="15"/>
      <c r="K437" s="15"/>
      <c r="L437" s="28"/>
      <c r="M437" s="13"/>
      <c r="N437" s="15"/>
      <c r="Q437" s="13"/>
      <c r="R437" s="15"/>
      <c r="S437" s="15"/>
      <c r="T437" s="28"/>
      <c r="U437" s="13"/>
      <c r="V437" s="15"/>
      <c r="Y437" s="186"/>
      <c r="Z437" s="2"/>
      <c r="AA437" s="15"/>
      <c r="AB437" s="28"/>
      <c r="AC437" s="15"/>
      <c r="AD437" s="15"/>
      <c r="AE437" s="34"/>
      <c r="AF437" s="154">
        <v>2965</v>
      </c>
      <c r="AG437" s="15"/>
      <c r="AH437" s="2"/>
      <c r="AI437" s="45"/>
      <c r="AJ437" s="154"/>
      <c r="AK437" s="13"/>
      <c r="AL437" s="15"/>
      <c r="AM437" s="45"/>
      <c r="AN437" s="15"/>
      <c r="AO437" s="13"/>
      <c r="AP437" s="15"/>
      <c r="AQ437" s="180">
        <f>B432*$F$14</f>
        <v>0</v>
      </c>
      <c r="AR437" s="15"/>
      <c r="AS437" s="13"/>
      <c r="AT437" s="15"/>
      <c r="AU437" s="45"/>
      <c r="AV437" s="15"/>
      <c r="AW437" s="13"/>
      <c r="AX437" s="15"/>
      <c r="AY437" s="45"/>
      <c r="AZ437" s="28"/>
      <c r="BA437" s="13"/>
      <c r="BB437" s="15"/>
      <c r="BC437" s="45"/>
      <c r="BD437" s="28"/>
      <c r="BE437" s="14"/>
      <c r="BF437" s="41">
        <f t="shared" ref="BF437:BG437" si="1576">K437+O437+S437+W437+AA437+AE437+AI437+AM437+AQ437+AU437+AY437+BC437</f>
        <v>0</v>
      </c>
      <c r="BG437" s="34">
        <f t="shared" si="1576"/>
        <v>2965</v>
      </c>
      <c r="BH437" s="35">
        <f t="shared" si="1559"/>
        <v>0</v>
      </c>
      <c r="BK437" s="2" t="b">
        <f>H437='2020'!BH437</f>
        <v>1</v>
      </c>
    </row>
    <row r="438" ht="14.25" customHeight="1" hidden="1" spans="1:63" x14ac:dyDescent="0.25">
      <c r="A438" s="2">
        <v>48</v>
      </c>
      <c r="B438" s="14"/>
      <c r="D438" s="14" t="s">
        <v>52</v>
      </c>
      <c r="E438" s="2" t="s">
        <v>39</v>
      </c>
      <c r="F438" s="41">
        <v>500</v>
      </c>
      <c r="G438" s="28"/>
      <c r="H438" s="34">
        <f>'2020'!BH438</f>
        <v>0</v>
      </c>
      <c r="I438" s="13"/>
      <c r="J438" s="15"/>
      <c r="K438" s="15"/>
      <c r="L438" s="28"/>
      <c r="M438" s="13"/>
      <c r="N438" s="15"/>
      <c r="Q438" s="13"/>
      <c r="R438" s="15"/>
      <c r="S438" s="15"/>
      <c r="T438" s="28"/>
      <c r="U438" s="13"/>
      <c r="V438" s="15"/>
      <c r="Y438" s="186"/>
      <c r="Z438" s="2"/>
      <c r="AA438" s="34">
        <f>$F$15</f>
      </c>
      <c r="AB438" s="28"/>
      <c r="AC438" s="15"/>
      <c r="AD438" s="15"/>
      <c r="AF438" s="154"/>
      <c r="AG438" s="15"/>
      <c r="AH438" s="2"/>
      <c r="AI438" s="45"/>
      <c r="AJ438" s="15"/>
      <c r="AK438" s="13"/>
      <c r="AL438" s="15"/>
      <c r="AM438" s="45"/>
      <c r="AN438" s="34"/>
      <c r="AO438" s="13"/>
      <c r="AP438" s="15"/>
      <c r="AQ438" s="45"/>
      <c r="AR438" s="15"/>
      <c r="AS438" s="13"/>
      <c r="AT438" s="15"/>
      <c r="AU438" s="45"/>
      <c r="AV438" s="15"/>
      <c r="AW438" s="13"/>
      <c r="AX438" s="15"/>
      <c r="AY438" s="45"/>
      <c r="AZ438" s="35"/>
      <c r="BA438" s="13"/>
      <c r="BB438" s="15"/>
      <c r="BC438" s="45"/>
      <c r="BD438" s="35"/>
      <c r="BE438" s="14"/>
      <c r="BF438" s="41">
        <f t="shared" ref="BF438:BG438" si="1577">K438+O438+S438+W438+AA438+AE438+AI438+AM438+AQ438+AU438+AY438+BC438</f>
        <v>0</v>
      </c>
      <c r="BG438" s="34">
        <f t="shared" si="1577"/>
        <v>0</v>
      </c>
      <c r="BH438" s="35">
        <f t="shared" si="1559"/>
        <v>0</v>
      </c>
      <c r="BK438" s="2" t="b">
        <f>H438='2020'!BH438</f>
        <v>1</v>
      </c>
    </row>
    <row r="439" ht="14.25" customHeight="1" hidden="1" spans="1:63" x14ac:dyDescent="0.25">
      <c r="A439" s="247">
        <v>48</v>
      </c>
      <c r="B439" s="21"/>
      <c r="C439" s="22" t="s">
        <v>53</v>
      </c>
      <c r="D439" s="21"/>
      <c r="E439" s="22"/>
      <c r="F439" s="20"/>
      <c r="G439" s="23"/>
      <c r="H439" s="51">
        <f>SUM(H431:H438)</f>
        <v>3459.98</v>
      </c>
      <c r="I439" s="52"/>
      <c r="J439" s="53"/>
      <c r="K439" s="51">
        <f t="shared" ref="K439:L439" si="1578">SUM(K431:K438)</f>
        <v>0</v>
      </c>
      <c r="L439" s="68">
        <f t="shared" si="1578"/>
        <v>0</v>
      </c>
      <c r="M439" s="52"/>
      <c r="N439" s="53"/>
      <c r="O439" s="51">
        <f t="shared" ref="O439:P439" si="1579">SUM(O431:O438)</f>
        <v>0</v>
      </c>
      <c r="P439" s="51">
        <f t="shared" si="1579"/>
        <v>0</v>
      </c>
      <c r="Q439" s="52"/>
      <c r="R439" s="53"/>
      <c r="S439" s="51">
        <f t="shared" ref="S439:T439" si="1580">SUM(S431:S438)</f>
        <v>0</v>
      </c>
      <c r="T439" s="51">
        <f t="shared" si="1580"/>
        <v>0</v>
      </c>
      <c r="U439" s="52"/>
      <c r="V439" s="53"/>
      <c r="W439" s="51">
        <f t="shared" ref="W439:X439" si="1581">SUM(W431:W438)</f>
        <v>0</v>
      </c>
      <c r="X439" s="51">
        <f t="shared" si="1581"/>
        <v>0</v>
      </c>
      <c r="Y439" s="300"/>
      <c r="Z439" s="301"/>
      <c r="AA439" s="51">
        <f t="shared" ref="AA439:AB439" si="1582">SUM(AA431:AA438)</f>
        <v>0</v>
      </c>
      <c r="AB439" s="51">
        <f t="shared" si="1582"/>
        <v>0</v>
      </c>
      <c r="AC439" s="52"/>
      <c r="AD439" s="53"/>
      <c r="AE439" s="51">
        <f t="shared" ref="AE439:AF439" si="1583">SUM(AE431:AE438)</f>
        <v>6717.6</v>
      </c>
      <c r="AF439" s="51">
        <f t="shared" si="1583"/>
        <v>9677.58</v>
      </c>
      <c r="AG439" s="52"/>
      <c r="AH439" s="301"/>
      <c r="AI439" s="183">
        <f t="shared" ref="AI439:AJ439" si="1584">SUM(AI431:AI438)</f>
        <v>122.1</v>
      </c>
      <c r="AJ439" s="51">
        <f t="shared" si="1584"/>
        <v>380</v>
      </c>
      <c r="AK439" s="52"/>
      <c r="AL439" s="53"/>
      <c r="AM439" s="183">
        <f t="shared" ref="AM439:AN439" si="1585">SUM(AM431:AM438)</f>
        <v>61.05</v>
      </c>
      <c r="AN439" s="51">
        <f t="shared" si="1585"/>
        <v>400</v>
      </c>
      <c r="AO439" s="52"/>
      <c r="AP439" s="53"/>
      <c r="AQ439" s="183">
        <f t="shared" ref="AQ439:AR439" si="1586">SUM(AQ431:AQ438)</f>
        <v>40.7</v>
      </c>
      <c r="AR439" s="51">
        <f t="shared" si="1586"/>
        <v>0</v>
      </c>
      <c r="AS439" s="52"/>
      <c r="AT439" s="53"/>
      <c r="AU439" s="183">
        <f t="shared" ref="AU439:AV439" si="1587">SUM(AU431:AU438)</f>
        <v>0</v>
      </c>
      <c r="AV439" s="68">
        <f t="shared" si="1587"/>
        <v>0</v>
      </c>
      <c r="AW439" s="52"/>
      <c r="AX439" s="53"/>
      <c r="AY439" s="183">
        <f t="shared" ref="AY439:AZ439" si="1588">SUM(AY431:AY438)</f>
        <v>0</v>
      </c>
      <c r="AZ439" s="68">
        <f t="shared" si="1588"/>
        <v>0</v>
      </c>
      <c r="BA439" s="52"/>
      <c r="BB439" s="53"/>
      <c r="BC439" s="183">
        <f t="shared" ref="BC439:BD439" si="1589">SUM(BC431:BC438)</f>
        <v>0</v>
      </c>
      <c r="BD439" s="68">
        <f t="shared" si="1589"/>
        <v>0</v>
      </c>
      <c r="BE439" s="69"/>
      <c r="BF439" s="70">
        <f t="shared" ref="BF439:BH439" si="1590">SUM(BF431:BF438)</f>
        <v>6941.45</v>
      </c>
      <c r="BG439" s="71">
        <f t="shared" si="1590"/>
        <v>10457.58</v>
      </c>
      <c r="BH439" s="72">
        <f t="shared" si="1590"/>
        <v>-56.15</v>
      </c>
      <c r="BI439" s="34">
        <f>H439+BF439-BG439</f>
        <v>-56.15</v>
      </c>
      <c r="BJ439" s="34">
        <f>BH439-BI439</f>
        <v>0</v>
      </c>
      <c r="BK439" s="2" t="b">
        <f>H439='2020'!BH439</f>
        <v>1</v>
      </c>
    </row>
    <row r="440" ht="14.25" customHeight="1" hidden="1" spans="1:63" x14ac:dyDescent="0.25">
      <c r="A440" s="2">
        <v>49</v>
      </c>
      <c r="B440" s="14"/>
      <c r="D440" s="14" t="s">
        <v>379</v>
      </c>
      <c r="F440" s="13"/>
      <c r="G440" s="28"/>
      <c r="H440" s="34">
        <f>'2020'!BH440</f>
        <v>0</v>
      </c>
      <c r="I440" s="13"/>
      <c r="J440" s="15"/>
      <c r="K440" s="15"/>
      <c r="L440" s="28"/>
      <c r="M440" s="13"/>
      <c r="N440" s="15"/>
      <c r="Q440" s="13"/>
      <c r="R440" s="15"/>
      <c r="S440" s="15"/>
      <c r="T440" s="28"/>
      <c r="U440" s="13"/>
      <c r="V440" s="15"/>
      <c r="Y440" s="186"/>
      <c r="Z440" s="2"/>
      <c r="AA440" s="15"/>
      <c r="AB440" s="28"/>
      <c r="AC440" s="15"/>
      <c r="AD440" s="15"/>
      <c r="AG440" s="15"/>
      <c r="AH440" s="2"/>
      <c r="AI440" s="45"/>
      <c r="AJ440" s="15"/>
      <c r="AK440" s="13"/>
      <c r="AM440" s="45"/>
      <c r="AO440" s="13"/>
      <c r="AQ440" s="45"/>
      <c r="AS440" s="13"/>
      <c r="AU440" s="45"/>
      <c r="AW440" s="13"/>
      <c r="AY440" s="45"/>
      <c r="AZ440" s="28"/>
      <c r="BA440" s="13"/>
      <c r="BB440" s="15"/>
      <c r="BC440" s="45"/>
      <c r="BD440" s="28"/>
      <c r="BE440" s="14"/>
      <c r="BF440" s="41">
        <f t="shared" ref="BF440:BG440" si="1591">K440+O440+S440+W440+AA440+AE440+AI440+AM440+AQ440+AU440+AY440+BC440</f>
        <v>0</v>
      </c>
      <c r="BG440" s="34">
        <f t="shared" si="1591"/>
        <v>0</v>
      </c>
      <c r="BH440" s="35">
        <f t="shared" ref="BH440:BH447" si="1592">H440+BF440-BG440</f>
        <v>0</v>
      </c>
      <c r="BK440" s="2" t="b">
        <f>H440='2020'!BH440</f>
        <v>1</v>
      </c>
    </row>
    <row r="441" ht="14.25" customHeight="1" hidden="1" spans="1:63" x14ac:dyDescent="0.25">
      <c r="A441" s="2">
        <v>49</v>
      </c>
      <c r="B441" s="14">
        <v>5.03</v>
      </c>
      <c r="C441" s="2" t="s">
        <v>197</v>
      </c>
      <c r="D441" s="14" t="s">
        <v>44</v>
      </c>
      <c r="E441" s="2" t="s">
        <v>45</v>
      </c>
      <c r="F441" s="41">
        <v>2.5</v>
      </c>
      <c r="G441" s="35">
        <v>2.6</v>
      </c>
      <c r="H441" s="104">
        <f>'2020'!BH441</f>
        <v>0</v>
      </c>
      <c r="I441" s="13">
        <v>0</v>
      </c>
      <c r="J441" s="15">
        <f>I441-'2020'!BA441</f>
        <v>0</v>
      </c>
      <c r="K441" s="34">
        <f>J441*$F$8</f>
        <v>0</v>
      </c>
      <c r="L441" s="28"/>
      <c r="M441" s="13">
        <v>0</v>
      </c>
      <c r="N441" s="15">
        <f t="shared" ref="N441:N442" si="1593">M441-I441</f>
        <v>0</v>
      </c>
      <c r="O441" s="34">
        <f>N441*$F$8</f>
        <v>0</v>
      </c>
      <c r="Q441" s="13">
        <v>0</v>
      </c>
      <c r="R441" s="15">
        <f t="shared" ref="R441:R442" si="1594">Q441-M441</f>
        <v>0</v>
      </c>
      <c r="S441" s="34">
        <f>R441*$F$8</f>
        <v>0</v>
      </c>
      <c r="T441" s="28"/>
      <c r="U441" s="13">
        <v>0</v>
      </c>
      <c r="V441" s="15">
        <f t="shared" ref="V441:V442" si="1595">U441-Q441</f>
        <v>0</v>
      </c>
      <c r="W441" s="34">
        <f>V441*$F$8</f>
        <v>0</v>
      </c>
      <c r="Y441" s="186"/>
      <c r="Z441" s="2">
        <f t="shared" ref="Z441:Z442" si="1596">Y441-U441</f>
        <v>0</v>
      </c>
      <c r="AA441" s="34">
        <f>Z441*$F$8</f>
        <v>0</v>
      </c>
      <c r="AB441" s="28"/>
      <c r="AC441" s="15"/>
      <c r="AD441" s="15">
        <f t="shared" ref="AD441:AD442" si="1597">AC441-Y441</f>
        <v>0</v>
      </c>
      <c r="AE441" s="180">
        <f>AD441*$F$8</f>
        <v>0</v>
      </c>
      <c r="AG441" s="15"/>
      <c r="AH441" s="2">
        <f t="shared" ref="AH441:AH442" si="1598">AG441-AC441</f>
        <v>0</v>
      </c>
      <c r="AI441" s="45">
        <f>AH441*$G$8</f>
        <v>0</v>
      </c>
      <c r="AJ441" s="15"/>
      <c r="AK441" s="13"/>
      <c r="AL441" s="15">
        <f t="shared" ref="AL441:AL442" si="1599">AK441-AG441</f>
        <v>0</v>
      </c>
      <c r="AM441" s="45">
        <f>AL441*$G$8</f>
        <v>0</v>
      </c>
      <c r="AN441" s="15"/>
      <c r="AO441" s="13"/>
      <c r="AP441" s="15">
        <f t="shared" ref="AP441:AP442" si="1600">AO441-AK441</f>
        <v>0</v>
      </c>
      <c r="AQ441" s="45">
        <f>AP441*$G$8</f>
        <v>0</v>
      </c>
      <c r="AR441" s="15"/>
      <c r="AS441" s="13"/>
      <c r="AT441" s="15">
        <f t="shared" ref="AT441:AT442" si="1601">AS441-AO441</f>
        <v>0</v>
      </c>
      <c r="AU441" s="45">
        <f>AT441*$G$8</f>
        <v>0</v>
      </c>
      <c r="AV441" s="15"/>
      <c r="AW441" s="13"/>
      <c r="AX441" s="15">
        <f t="shared" ref="AX441:AX442" si="1602">AW441-AS441</f>
        <v>0</v>
      </c>
      <c r="AY441" s="45">
        <f>AX441*$G$8</f>
        <v>0</v>
      </c>
      <c r="AZ441" s="208"/>
      <c r="BA441" s="13"/>
      <c r="BB441" s="15">
        <f t="shared" ref="BB441:BB442" si="1603">BA441-AW441</f>
        <v>0</v>
      </c>
      <c r="BC441" s="45">
        <f>BB441*$G$8</f>
        <v>0</v>
      </c>
      <c r="BD441" s="208"/>
      <c r="BE441" s="40">
        <f t="shared" ref="BE441:BG441" si="1604">J441+N441+R441+V441+Z441+AD441+AH441+AL441+AP441+AT441+AX441+BB441</f>
        <v>0</v>
      </c>
      <c r="BF441" s="41">
        <f t="shared" si="1604"/>
        <v>0</v>
      </c>
      <c r="BG441" s="34">
        <f t="shared" si="1604"/>
        <v>0</v>
      </c>
      <c r="BH441" s="35">
        <f t="shared" si="1592"/>
        <v>0</v>
      </c>
      <c r="BK441" s="2" t="b">
        <f>H441='2020'!BH441</f>
        <v>1</v>
      </c>
    </row>
    <row r="442" ht="14.25" customHeight="1" hidden="1" spans="1:63" x14ac:dyDescent="0.25">
      <c r="A442" s="2">
        <v>49</v>
      </c>
      <c r="B442" s="14"/>
      <c r="C442" s="2" t="s">
        <v>198</v>
      </c>
      <c r="D442" s="14" t="s">
        <v>47</v>
      </c>
      <c r="E442" s="2" t="s">
        <v>48</v>
      </c>
      <c r="F442" s="13">
        <v>18.56</v>
      </c>
      <c r="G442" s="35">
        <v>19.46</v>
      </c>
      <c r="H442" s="34">
        <f>'2020'!BH442</f>
        <v>-25.42</v>
      </c>
      <c r="I442" s="13">
        <v>200</v>
      </c>
      <c r="J442" s="15"/>
      <c r="K442" s="15"/>
      <c r="L442" s="28"/>
      <c r="M442" s="13">
        <v>200</v>
      </c>
      <c r="N442" s="15">
        <f t="shared" si="1593"/>
        <v>0</v>
      </c>
      <c r="Q442" s="13">
        <v>200</v>
      </c>
      <c r="R442" s="15">
        <f t="shared" si="1594"/>
        <v>0</v>
      </c>
      <c r="S442" s="15"/>
      <c r="T442" s="28"/>
      <c r="U442" s="13">
        <v>200</v>
      </c>
      <c r="V442" s="15">
        <f t="shared" si="1595"/>
        <v>0</v>
      </c>
      <c r="W442" s="180">
        <f>V442*$F$10</f>
        <v>0</v>
      </c>
      <c r="Y442" s="186">
        <v>201</v>
      </c>
      <c r="Z442" s="2">
        <f t="shared" si="1596"/>
        <v>1</v>
      </c>
      <c r="AA442" s="34">
        <f>Z442*$F$10</f>
        <v>19.46</v>
      </c>
      <c r="AB442" s="28"/>
      <c r="AC442" s="15">
        <v>215</v>
      </c>
      <c r="AD442" s="15">
        <f t="shared" si="1597"/>
        <v>14</v>
      </c>
      <c r="AE442" s="34">
        <f>AD442*$F$10</f>
        <v>272.44</v>
      </c>
      <c r="AF442" s="180"/>
      <c r="AG442" s="15">
        <v>222</v>
      </c>
      <c r="AH442" s="2">
        <f t="shared" si="1598"/>
        <v>7</v>
      </c>
      <c r="AI442" s="45">
        <f>AH442*$G$10</f>
        <v>142.45</v>
      </c>
      <c r="AJ442" s="187">
        <f>272.44+136.49</f>
        <v>408.93</v>
      </c>
      <c r="AK442" s="13">
        <v>237</v>
      </c>
      <c r="AL442" s="15">
        <f t="shared" si="1599"/>
        <v>15</v>
      </c>
      <c r="AM442" s="45">
        <f>AL442*$G$10</f>
        <v>305.25</v>
      </c>
      <c r="AN442" s="34"/>
      <c r="AO442" s="13">
        <v>243</v>
      </c>
      <c r="AP442" s="15">
        <f t="shared" si="1600"/>
        <v>6</v>
      </c>
      <c r="AQ442" s="45">
        <f>AP442*$G$10</f>
        <v>122.1</v>
      </c>
      <c r="AR442" s="1">
        <f>305.25+122.1</f>
        <v>427.35</v>
      </c>
      <c r="AS442" s="13">
        <v>243</v>
      </c>
      <c r="AT442" s="15">
        <f t="shared" si="1601"/>
        <v>0</v>
      </c>
      <c r="AU442" s="45">
        <f>AT442*$G$10</f>
        <v>0</v>
      </c>
      <c r="AV442" s="15"/>
      <c r="AW442" s="13">
        <v>243</v>
      </c>
      <c r="AX442" s="15">
        <f t="shared" si="1602"/>
        <v>0</v>
      </c>
      <c r="AY442" s="45"/>
      <c r="AZ442" s="208"/>
      <c r="BA442" s="13">
        <v>243</v>
      </c>
      <c r="BB442" s="15">
        <f t="shared" si="1603"/>
        <v>0</v>
      </c>
      <c r="BC442" s="45"/>
      <c r="BD442" s="208"/>
      <c r="BE442" s="40">
        <f t="shared" ref="BE442:BG442" si="1605">J442+N442+R442+V442+Z442+AD442+AH442+AL442+AP442+AT442+AX442+BB442</f>
        <v>43</v>
      </c>
      <c r="BF442" s="41">
        <f t="shared" si="1605"/>
        <v>861.7</v>
      </c>
      <c r="BG442" s="34">
        <f t="shared" si="1605"/>
        <v>836.28</v>
      </c>
      <c r="BH442" s="35">
        <f t="shared" si="1592"/>
        <v>0</v>
      </c>
      <c r="BK442" s="2" t="b">
        <f>H442='2020'!BH442</f>
        <v>1</v>
      </c>
    </row>
    <row r="443" ht="14.25" customHeight="1" hidden="1" spans="1:63" x14ac:dyDescent="0.25">
      <c r="A443" s="2">
        <v>49</v>
      </c>
      <c r="B443" s="14"/>
      <c r="C443" s="2" t="s">
        <v>164</v>
      </c>
      <c r="D443" s="14" t="s">
        <v>47</v>
      </c>
      <c r="E443" s="2" t="s">
        <v>49</v>
      </c>
      <c r="F443" s="41">
        <v>500</v>
      </c>
      <c r="G443" s="28"/>
      <c r="H443" s="34">
        <f>'2020'!BH443</f>
        <v>0</v>
      </c>
      <c r="I443" s="13"/>
      <c r="J443" s="15"/>
      <c r="K443" s="15"/>
      <c r="L443" s="28"/>
      <c r="M443" s="13"/>
      <c r="N443" s="15"/>
      <c r="Q443" s="13"/>
      <c r="R443" s="15"/>
      <c r="S443" s="15"/>
      <c r="T443" s="28"/>
      <c r="U443" s="13"/>
      <c r="V443" s="15"/>
      <c r="Y443" s="186"/>
      <c r="Z443" s="2"/>
      <c r="AA443" s="15"/>
      <c r="AB443" s="28"/>
      <c r="AC443" s="15"/>
      <c r="AD443" s="15"/>
      <c r="AG443" s="15"/>
      <c r="AH443" s="2"/>
      <c r="AI443" s="45"/>
      <c r="AJ443" s="15"/>
      <c r="AK443" s="13"/>
      <c r="AL443" s="15"/>
      <c r="AM443" s="45"/>
      <c r="AN443" s="15"/>
      <c r="AO443" s="13"/>
      <c r="AP443" s="15"/>
      <c r="AQ443" s="45"/>
      <c r="AR443" s="15"/>
      <c r="AS443" s="13"/>
      <c r="AT443" s="15"/>
      <c r="AU443" s="45"/>
      <c r="AV443" s="15"/>
      <c r="AW443" s="13"/>
      <c r="AX443" s="15"/>
      <c r="AY443" s="45"/>
      <c r="AZ443" s="28"/>
      <c r="BA443" s="13"/>
      <c r="BB443" s="15"/>
      <c r="BC443" s="45"/>
      <c r="BD443" s="28"/>
      <c r="BE443" s="14"/>
      <c r="BF443" s="41">
        <f t="shared" ref="BF443:BG443" si="1606">K443+O443+S443+W443+AA443+AE443+AI443+AM443+AQ443+AU443+AY443+BC443</f>
        <v>0</v>
      </c>
      <c r="BG443" s="34">
        <f t="shared" si="1606"/>
        <v>0</v>
      </c>
      <c r="BH443" s="35">
        <f t="shared" si="1592"/>
        <v>0</v>
      </c>
      <c r="BK443" s="2" t="b">
        <f>H443='2020'!BH443</f>
        <v>1</v>
      </c>
    </row>
    <row r="444" ht="14.25" customHeight="1" hidden="1" spans="1:63" x14ac:dyDescent="0.25">
      <c r="A444" s="2">
        <v>49</v>
      </c>
      <c r="B444" s="14"/>
      <c r="C444" s="2" t="s">
        <v>199</v>
      </c>
      <c r="D444" s="14" t="s">
        <v>50</v>
      </c>
      <c r="E444" s="2" t="s">
        <v>49</v>
      </c>
      <c r="F444" s="41">
        <v>1100</v>
      </c>
      <c r="G444" s="28"/>
      <c r="H444" s="34">
        <f>'2020'!BH444</f>
        <v>0</v>
      </c>
      <c r="I444" s="13"/>
      <c r="J444" s="15"/>
      <c r="K444" s="15"/>
      <c r="L444" s="28"/>
      <c r="M444" s="13"/>
      <c r="N444" s="15"/>
      <c r="Q444" s="13"/>
      <c r="R444" s="15"/>
      <c r="S444" s="15"/>
      <c r="T444" s="28"/>
      <c r="U444" s="13"/>
      <c r="V444" s="15"/>
      <c r="Y444" s="186"/>
      <c r="Z444" s="2"/>
      <c r="AA444" s="15"/>
      <c r="AB444" s="28"/>
      <c r="AC444" s="15"/>
      <c r="AD444" s="15"/>
      <c r="AE444" s="34">
        <f>B441*$F$12</f>
        <v>5533</v>
      </c>
      <c r="AF444" s="180"/>
      <c r="AG444" s="15"/>
      <c r="AH444" s="2"/>
      <c r="AI444" s="45"/>
      <c r="AJ444" s="306">
        <v>5533</v>
      </c>
      <c r="AK444" s="13"/>
      <c r="AL444" s="15"/>
      <c r="AM444" s="45"/>
      <c r="AN444" s="15"/>
      <c r="AO444" s="13"/>
      <c r="AP444" s="15"/>
      <c r="AQ444" s="45"/>
      <c r="AR444" s="15"/>
      <c r="AS444" s="13"/>
      <c r="AT444" s="15"/>
      <c r="AU444" s="45"/>
      <c r="AV444" s="15"/>
      <c r="AW444" s="13"/>
      <c r="AX444" s="15"/>
      <c r="AY444" s="45"/>
      <c r="AZ444" s="28"/>
      <c r="BA444" s="13"/>
      <c r="BB444" s="15"/>
      <c r="BC444" s="45"/>
      <c r="BD444" s="28"/>
      <c r="BE444" s="14"/>
      <c r="BF444" s="41">
        <f t="shared" ref="BF444:BG444" si="1607">K444+O444+S444+W444+AA444+AE444+AI444+AM444+AQ444+AU444+AY444+BC444</f>
        <v>5533</v>
      </c>
      <c r="BG444" s="34">
        <f t="shared" si="1607"/>
        <v>5533</v>
      </c>
      <c r="BH444" s="35">
        <f t="shared" si="1592"/>
        <v>0</v>
      </c>
      <c r="BK444" s="2" t="b">
        <f>H444='2020'!BH444</f>
        <v>1</v>
      </c>
    </row>
    <row r="445" ht="14.25" customHeight="1" hidden="1" spans="1:63" x14ac:dyDescent="0.25">
      <c r="A445" s="2">
        <v>49</v>
      </c>
      <c r="B445" s="14"/>
      <c r="D445" s="14" t="s">
        <v>51</v>
      </c>
      <c r="E445" s="2" t="s">
        <v>39</v>
      </c>
      <c r="F445" s="41">
        <v>500</v>
      </c>
      <c r="G445" s="28"/>
      <c r="H445" s="34">
        <f>'2020'!BH445</f>
        <v>500</v>
      </c>
      <c r="I445" s="13"/>
      <c r="J445" s="15"/>
      <c r="K445" s="15"/>
      <c r="L445" s="28"/>
      <c r="M445" s="13"/>
      <c r="N445" s="15"/>
      <c r="Q445" s="13"/>
      <c r="R445" s="15"/>
      <c r="S445" s="15"/>
      <c r="T445" s="28"/>
      <c r="U445" s="13"/>
      <c r="V445" s="15"/>
      <c r="X445" s="1">
        <v>500</v>
      </c>
      <c r="Y445" s="186"/>
      <c r="Z445" s="2"/>
      <c r="AA445" s="15"/>
      <c r="AB445" s="28"/>
      <c r="AC445" s="15"/>
      <c r="AD445" s="15"/>
      <c r="AE445" s="180">
        <f>$F$13</f>
      </c>
      <c r="AF445" s="34"/>
      <c r="AG445" s="15"/>
      <c r="AH445" s="2"/>
      <c r="AI445" s="45"/>
      <c r="AJ445" s="15"/>
      <c r="AK445" s="13"/>
      <c r="AL445" s="15"/>
      <c r="AM445" s="45"/>
      <c r="AN445" s="15"/>
      <c r="AO445" s="13"/>
      <c r="AP445" s="15"/>
      <c r="AQ445" s="180"/>
      <c r="AR445" s="15"/>
      <c r="AS445" s="13"/>
      <c r="AT445" s="15"/>
      <c r="AU445" s="45"/>
      <c r="AV445" s="15"/>
      <c r="AW445" s="13"/>
      <c r="AX445" s="15"/>
      <c r="AY445" s="45"/>
      <c r="AZ445" s="28"/>
      <c r="BA445" s="13"/>
      <c r="BB445" s="15"/>
      <c r="BC445" s="45"/>
      <c r="BD445" s="28"/>
      <c r="BE445" s="14"/>
      <c r="BF445" s="41">
        <f t="shared" ref="BF445:BG445" si="1608">K445+O445+S445+W445+AA445+AE445+AI445+AM445+AQ445+AU445+AY445+BC445</f>
        <v>0</v>
      </c>
      <c r="BG445" s="34">
        <f t="shared" si="1608"/>
        <v>500</v>
      </c>
      <c r="BH445" s="35">
        <f t="shared" si="1592"/>
        <v>0</v>
      </c>
      <c r="BK445" s="2" t="b">
        <f>H445='2020'!BH445</f>
        <v>1</v>
      </c>
    </row>
    <row r="446" ht="14.25" customHeight="1" hidden="1" spans="1:63" x14ac:dyDescent="0.25">
      <c r="A446" s="2">
        <v>49</v>
      </c>
      <c r="B446" s="14"/>
      <c r="D446" s="14" t="s">
        <v>51</v>
      </c>
      <c r="E446" s="2" t="s">
        <v>49</v>
      </c>
      <c r="F446" s="41">
        <v>500</v>
      </c>
      <c r="G446" s="28"/>
      <c r="H446" s="34">
        <f>'2020'!BH446</f>
        <v>2515</v>
      </c>
      <c r="I446" s="13"/>
      <c r="J446" s="15"/>
      <c r="K446" s="15"/>
      <c r="L446" s="28"/>
      <c r="M446" s="13"/>
      <c r="N446" s="15"/>
      <c r="Q446" s="13"/>
      <c r="R446" s="15"/>
      <c r="S446" s="15"/>
      <c r="T446" s="28"/>
      <c r="U446" s="13"/>
      <c r="V446" s="15"/>
      <c r="X446" s="1">
        <v>2515</v>
      </c>
      <c r="Y446" s="186"/>
      <c r="Z446" s="2"/>
      <c r="AA446" s="15"/>
      <c r="AB446" s="28"/>
      <c r="AC446" s="15"/>
      <c r="AD446" s="15"/>
      <c r="AE446" s="34"/>
      <c r="AF446" s="34"/>
      <c r="AG446" s="15"/>
      <c r="AH446" s="2"/>
      <c r="AI446" s="45"/>
      <c r="AJ446" s="15"/>
      <c r="AK446" s="13"/>
      <c r="AL446" s="15"/>
      <c r="AM446" s="45"/>
      <c r="AN446" s="15"/>
      <c r="AO446" s="13"/>
      <c r="AP446" s="15"/>
      <c r="AQ446" s="180">
        <f>B441*$F$14</f>
        <v>0</v>
      </c>
      <c r="AR446" s="15"/>
      <c r="AS446" s="13"/>
      <c r="AT446" s="15"/>
      <c r="AU446" s="45"/>
      <c r="AV446" s="15"/>
      <c r="AW446" s="13"/>
      <c r="AX446" s="15"/>
      <c r="AY446" s="45"/>
      <c r="AZ446" s="28"/>
      <c r="BA446" s="13"/>
      <c r="BB446" s="15"/>
      <c r="BC446" s="45"/>
      <c r="BD446" s="28"/>
      <c r="BE446" s="14"/>
      <c r="BF446" s="41">
        <f t="shared" ref="BF446:BG446" si="1609">K446+O446+S446+W446+AA446+AE446+AI446+AM446+AQ446+AU446+AY446+BC446</f>
        <v>0</v>
      </c>
      <c r="BG446" s="34">
        <f t="shared" si="1609"/>
        <v>2515</v>
      </c>
      <c r="BH446" s="35">
        <f t="shared" si="1592"/>
        <v>0</v>
      </c>
      <c r="BK446" s="2" t="b">
        <f>H446='2020'!BH446</f>
        <v>1</v>
      </c>
    </row>
    <row r="447" ht="14.25" customHeight="1" hidden="1" spans="1:63" x14ac:dyDescent="0.25">
      <c r="A447" s="2">
        <v>49</v>
      </c>
      <c r="B447" s="14"/>
      <c r="D447" s="14" t="s">
        <v>52</v>
      </c>
      <c r="E447" s="2" t="s">
        <v>39</v>
      </c>
      <c r="F447" s="41">
        <v>500</v>
      </c>
      <c r="G447" s="28"/>
      <c r="H447" s="34">
        <f>'2020'!BH447</f>
        <v>0</v>
      </c>
      <c r="I447" s="13"/>
      <c r="J447" s="15"/>
      <c r="K447" s="15"/>
      <c r="L447" s="28"/>
      <c r="M447" s="13"/>
      <c r="N447" s="15"/>
      <c r="Q447" s="13"/>
      <c r="R447" s="15"/>
      <c r="S447" s="15"/>
      <c r="T447" s="28"/>
      <c r="U447" s="13"/>
      <c r="V447" s="15"/>
      <c r="Y447" s="186"/>
      <c r="Z447" s="2"/>
      <c r="AA447" s="34">
        <f>$F$15</f>
      </c>
      <c r="AB447" s="35"/>
      <c r="AC447" s="15"/>
      <c r="AD447" s="15"/>
      <c r="AF447" s="180"/>
      <c r="AG447" s="15"/>
      <c r="AH447" s="2"/>
      <c r="AI447" s="45"/>
      <c r="AJ447" s="15"/>
      <c r="AK447" s="13"/>
      <c r="AL447" s="15"/>
      <c r="AM447" s="45"/>
      <c r="AN447" s="15"/>
      <c r="AO447" s="13"/>
      <c r="AP447" s="15"/>
      <c r="AQ447" s="45"/>
      <c r="AR447" s="15"/>
      <c r="AS447" s="13"/>
      <c r="AT447" s="15"/>
      <c r="AU447" s="45"/>
      <c r="AV447" s="15"/>
      <c r="AW447" s="13"/>
      <c r="AX447" s="15"/>
      <c r="AY447" s="45"/>
      <c r="AZ447" s="35"/>
      <c r="BA447" s="13"/>
      <c r="BB447" s="15"/>
      <c r="BC447" s="45"/>
      <c r="BD447" s="35"/>
      <c r="BE447" s="14"/>
      <c r="BF447" s="41">
        <f t="shared" ref="BF447:BG447" si="1610">K447+O447+S447+W447+AA447+AE447+AI447+AM447+AQ447+AU447+AY447+BC447</f>
        <v>0</v>
      </c>
      <c r="BG447" s="34">
        <f t="shared" si="1610"/>
        <v>0</v>
      </c>
      <c r="BH447" s="35">
        <f t="shared" si="1592"/>
        <v>0</v>
      </c>
      <c r="BK447" s="2" t="b">
        <f>H447='2020'!BH447</f>
        <v>1</v>
      </c>
    </row>
    <row r="448" ht="14.25" customHeight="1" hidden="1" spans="1:63" x14ac:dyDescent="0.25">
      <c r="A448" s="247">
        <v>49</v>
      </c>
      <c r="B448" s="21"/>
      <c r="C448" s="22" t="s">
        <v>53</v>
      </c>
      <c r="D448" s="21"/>
      <c r="E448" s="22"/>
      <c r="F448" s="20"/>
      <c r="G448" s="23"/>
      <c r="H448" s="51">
        <f>SUM(H440:H447)</f>
        <v>2989.58</v>
      </c>
      <c r="I448" s="52"/>
      <c r="J448" s="53"/>
      <c r="K448" s="51">
        <f t="shared" ref="K448:L448" si="1611">SUM(K440:K447)</f>
        <v>0</v>
      </c>
      <c r="L448" s="68">
        <f t="shared" si="1611"/>
        <v>0</v>
      </c>
      <c r="M448" s="52"/>
      <c r="N448" s="53"/>
      <c r="O448" s="51">
        <f t="shared" ref="O448:P448" si="1612">SUM(O440:O447)</f>
        <v>0</v>
      </c>
      <c r="P448" s="51">
        <f t="shared" si="1612"/>
        <v>0</v>
      </c>
      <c r="Q448" s="52"/>
      <c r="R448" s="53"/>
      <c r="S448" s="51">
        <f t="shared" ref="S448:T448" si="1613">SUM(S440:S447)</f>
        <v>0</v>
      </c>
      <c r="T448" s="51">
        <f t="shared" si="1613"/>
        <v>0</v>
      </c>
      <c r="U448" s="52"/>
      <c r="V448" s="53"/>
      <c r="W448" s="51">
        <f t="shared" ref="W448:X448" si="1614">SUM(W440:W447)</f>
        <v>0</v>
      </c>
      <c r="X448" s="51">
        <f t="shared" si="1614"/>
        <v>3015</v>
      </c>
      <c r="Y448" s="300"/>
      <c r="Z448" s="301"/>
      <c r="AA448" s="51">
        <f t="shared" ref="AA448:AB448" si="1615">SUM(AA440:AA447)</f>
        <v>19.46</v>
      </c>
      <c r="AB448" s="51">
        <f t="shared" si="1615"/>
        <v>0</v>
      </c>
      <c r="AC448" s="52"/>
      <c r="AD448" s="53"/>
      <c r="AE448" s="51">
        <f t="shared" ref="AE448:AF448" si="1616">SUM(AE440:AE447)</f>
        <v>5805.44</v>
      </c>
      <c r="AF448" s="51">
        <f t="shared" si="1616"/>
        <v>0</v>
      </c>
      <c r="AG448" s="52"/>
      <c r="AH448" s="301"/>
      <c r="AI448" s="183">
        <f t="shared" ref="AI448:AJ448" si="1617">SUM(AI440:AI447)</f>
        <v>142.45</v>
      </c>
      <c r="AJ448" s="51">
        <f t="shared" si="1617"/>
        <v>5941.93</v>
      </c>
      <c r="AK448" s="52"/>
      <c r="AL448" s="53"/>
      <c r="AM448" s="183">
        <f t="shared" ref="AM448:AN448" si="1618">SUM(AM440:AM447)</f>
        <v>305.25</v>
      </c>
      <c r="AN448" s="51">
        <f t="shared" si="1618"/>
        <v>0</v>
      </c>
      <c r="AO448" s="52"/>
      <c r="AP448" s="53"/>
      <c r="AQ448" s="183">
        <f t="shared" ref="AQ448:AR448" si="1619">SUM(AQ440:AQ447)</f>
        <v>122.1</v>
      </c>
      <c r="AR448" s="51">
        <f t="shared" si="1619"/>
        <v>427.35</v>
      </c>
      <c r="AS448" s="52"/>
      <c r="AT448" s="53"/>
      <c r="AU448" s="183">
        <f t="shared" ref="AU448:AV448" si="1620">SUM(AU440:AU447)</f>
        <v>0</v>
      </c>
      <c r="AV448" s="68">
        <f t="shared" si="1620"/>
        <v>0</v>
      </c>
      <c r="AW448" s="52"/>
      <c r="AX448" s="53"/>
      <c r="AY448" s="183">
        <f t="shared" ref="AY448:AZ448" si="1621">SUM(AY440:AY447)</f>
        <v>0</v>
      </c>
      <c r="AZ448" s="68">
        <f t="shared" si="1621"/>
        <v>0</v>
      </c>
      <c r="BA448" s="52"/>
      <c r="BB448" s="53"/>
      <c r="BC448" s="183">
        <f t="shared" ref="BC448:BD448" si="1622">SUM(BC440:BC447)</f>
        <v>0</v>
      </c>
      <c r="BD448" s="68">
        <f t="shared" si="1622"/>
        <v>0</v>
      </c>
      <c r="BE448" s="69"/>
      <c r="BF448" s="70">
        <f t="shared" ref="BF448:BH448" si="1623">SUM(BF440:BF447)</f>
        <v>6394.7</v>
      </c>
      <c r="BG448" s="71">
        <f t="shared" si="1623"/>
        <v>9384.28</v>
      </c>
      <c r="BH448" s="72">
        <f t="shared" si="1623"/>
        <v>0</v>
      </c>
      <c r="BI448" s="34">
        <f>H448+BF448-BG448</f>
        <v>0</v>
      </c>
      <c r="BJ448" s="34">
        <f>BH448-BI448</f>
        <v>0</v>
      </c>
      <c r="BK448" s="2" t="b">
        <f>H448='2020'!BH448</f>
        <v>1</v>
      </c>
    </row>
    <row r="449" ht="14.25" customHeight="1" hidden="1" spans="1:63" x14ac:dyDescent="0.25">
      <c r="A449" s="2">
        <v>50</v>
      </c>
      <c r="B449" s="14"/>
      <c r="D449" s="178" t="s">
        <v>486</v>
      </c>
      <c r="F449" s="13"/>
      <c r="G449" s="28"/>
      <c r="H449" s="34">
        <f>'2020'!BH449</f>
        <v>-0.48</v>
      </c>
      <c r="I449" s="13"/>
      <c r="J449" s="15"/>
      <c r="K449" s="15"/>
      <c r="L449" s="28"/>
      <c r="M449" s="13"/>
      <c r="N449" s="15"/>
      <c r="Q449" s="13"/>
      <c r="R449" s="15"/>
      <c r="S449" s="15"/>
      <c r="T449" s="28"/>
      <c r="U449" s="13"/>
      <c r="V449" s="15"/>
      <c r="W449" s="153"/>
      <c r="Y449" s="186"/>
      <c r="Z449" s="2"/>
      <c r="AA449" s="15"/>
      <c r="AB449" s="35"/>
      <c r="AC449" s="15"/>
      <c r="AD449" s="15"/>
      <c r="AG449" s="15"/>
      <c r="AH449" s="2"/>
      <c r="AI449" s="45"/>
      <c r="AJ449" s="15"/>
      <c r="AK449" s="13"/>
      <c r="AM449" s="45"/>
      <c r="AN449" s="15"/>
      <c r="AO449" s="13"/>
      <c r="AQ449" s="45"/>
      <c r="AR449" s="15"/>
      <c r="AS449" s="13"/>
      <c r="AU449" s="45"/>
      <c r="AV449" s="15"/>
      <c r="AW449" s="13"/>
      <c r="AY449" s="45"/>
      <c r="AZ449" s="28"/>
      <c r="BA449" s="13"/>
      <c r="BB449" s="15"/>
      <c r="BC449" s="45"/>
      <c r="BD449" s="28"/>
      <c r="BE449" s="14"/>
      <c r="BF449" s="41">
        <f t="shared" ref="BF449:BG449" si="1624">K449+O449+S449+W449+AA449+AE449+AI449+AM449+AQ449+AU449+AY449+BC449</f>
        <v>0</v>
      </c>
      <c r="BG449" s="34">
        <f t="shared" si="1624"/>
        <v>0</v>
      </c>
      <c r="BH449" s="35">
        <f t="shared" ref="BH449:BH456" si="1625">H449+BF449-BG449</f>
        <v>-0.48</v>
      </c>
      <c r="BK449" s="2" t="b">
        <f>H449='2020'!BH449</f>
        <v>1</v>
      </c>
    </row>
    <row r="450" ht="14.25" customHeight="1" hidden="1" spans="1:63" x14ac:dyDescent="0.25">
      <c r="A450" s="2">
        <v>50</v>
      </c>
      <c r="B450" s="14">
        <v>6.05</v>
      </c>
      <c r="C450" s="15" t="s">
        <v>200</v>
      </c>
      <c r="D450" s="14" t="s">
        <v>44</v>
      </c>
      <c r="E450" s="2" t="s">
        <v>45</v>
      </c>
      <c r="F450" s="41">
        <v>2.5</v>
      </c>
      <c r="G450" s="35">
        <v>2.6</v>
      </c>
      <c r="H450" s="34">
        <f>'2020'!BH450</f>
        <v>98.4</v>
      </c>
      <c r="I450" s="13">
        <v>4082</v>
      </c>
      <c r="J450" s="15">
        <f>I450-'2020'!BA450</f>
        <v>1269</v>
      </c>
      <c r="K450" s="34">
        <f>J450*$F$8</f>
        <v>3299.4</v>
      </c>
      <c r="L450" s="28"/>
      <c r="M450" s="13">
        <v>4528</v>
      </c>
      <c r="N450" s="15">
        <f t="shared" ref="N450:N451" si="1626">M450-I450</f>
        <v>446</v>
      </c>
      <c r="O450" s="34">
        <f>N450*$F$8</f>
        <v>1159.6</v>
      </c>
      <c r="P450" s="1">
        <v>3400</v>
      </c>
      <c r="Q450" s="13">
        <v>5092</v>
      </c>
      <c r="R450" s="15">
        <f t="shared" ref="R450:R451" si="1627">Q450-M450</f>
        <v>564</v>
      </c>
      <c r="S450" s="34">
        <f>R450*$F$8</f>
        <v>1466.4</v>
      </c>
      <c r="T450" s="28"/>
      <c r="U450" s="13">
        <v>5688</v>
      </c>
      <c r="V450" s="15">
        <f t="shared" ref="V450:V451" si="1628">U450-Q450</f>
        <v>596</v>
      </c>
      <c r="W450" s="34">
        <f>V450*$F$8</f>
        <v>1549.6</v>
      </c>
      <c r="X450" s="1">
        <v>2650</v>
      </c>
      <c r="Y450" s="186">
        <v>6256</v>
      </c>
      <c r="Z450" s="2">
        <f t="shared" ref="Z450:Z451" si="1629">Y450-U450</f>
        <v>568</v>
      </c>
      <c r="AA450" s="34">
        <f>Z450*$F$8</f>
        <v>1476.8</v>
      </c>
      <c r="AB450" s="35"/>
      <c r="AC450" s="15">
        <v>6704</v>
      </c>
      <c r="AD450" s="15">
        <f t="shared" ref="AD450:AD451" si="1630">AC450-Y450</f>
        <v>448</v>
      </c>
      <c r="AE450" s="180">
        <f>AD450*$F$8</f>
        <v>1164.8</v>
      </c>
      <c r="AF450" s="248">
        <v>3000</v>
      </c>
      <c r="AG450" s="15">
        <v>7188</v>
      </c>
      <c r="AH450" s="2">
        <f t="shared" ref="AH450:AH451" si="1631">AG450-AC450</f>
        <v>484</v>
      </c>
      <c r="AI450" s="45">
        <f>AH450*$G$8</f>
        <v>1306.8</v>
      </c>
      <c r="AJ450" s="180"/>
      <c r="AK450" s="13">
        <v>7670</v>
      </c>
      <c r="AL450" s="15">
        <f t="shared" ref="AL450:AL451" si="1632">AK450-AG450</f>
        <v>482</v>
      </c>
      <c r="AM450" s="45">
        <f>AL450*$G$8</f>
        <v>1301.4</v>
      </c>
      <c r="AN450" s="39">
        <v>2472</v>
      </c>
      <c r="AO450" s="13">
        <v>8269</v>
      </c>
      <c r="AP450" s="15">
        <f t="shared" ref="AP450:AP451" si="1633">AO450-AK450</f>
        <v>599</v>
      </c>
      <c r="AQ450" s="45">
        <f>AP450*$G$8</f>
        <v>1617.3</v>
      </c>
      <c r="AR450" s="1">
        <v>1302</v>
      </c>
      <c r="AS450" s="13">
        <v>8867</v>
      </c>
      <c r="AT450" s="15">
        <f t="shared" ref="AT450:AT451" si="1634">AS450-AO450</f>
        <v>598</v>
      </c>
      <c r="AU450" s="45">
        <f>AT450*$G$8</f>
        <v>1614.6</v>
      </c>
      <c r="AV450" s="15"/>
      <c r="AW450" s="13">
        <v>9462</v>
      </c>
      <c r="AX450" s="15">
        <f t="shared" ref="AX450:AX451" si="1635">AW450-AS450</f>
        <v>595</v>
      </c>
      <c r="AY450" s="45">
        <f>AX450*$G$8</f>
        <v>1606.5</v>
      </c>
      <c r="AZ450" s="246">
        <v>1600</v>
      </c>
      <c r="BA450" s="13">
        <v>9908</v>
      </c>
      <c r="BB450" s="15">
        <f t="shared" ref="BB450:BB451" si="1636">BA450-AW450</f>
        <v>446</v>
      </c>
      <c r="BC450" s="45">
        <f>BB450*$G$8</f>
        <v>1204.2</v>
      </c>
      <c r="BD450" s="208">
        <v>2000</v>
      </c>
      <c r="BE450" s="40">
        <f t="shared" ref="BE450:BG450" si="1637">J450+N450+R450+V450+Z450+AD450+AH450+AL450+AP450+AT450+AX450+BB450</f>
        <v>7095</v>
      </c>
      <c r="BF450" s="41">
        <f t="shared" si="1637"/>
        <v>18767.4</v>
      </c>
      <c r="BG450" s="34">
        <f t="shared" si="1637"/>
        <v>16424</v>
      </c>
      <c r="BH450" s="35">
        <f t="shared" si="1625"/>
        <v>2441.8</v>
      </c>
      <c r="BK450" s="2" t="b">
        <f>H450='2020'!BH450</f>
        <v>1</v>
      </c>
    </row>
    <row r="451" ht="14.25" customHeight="1" hidden="1" spans="1:63" x14ac:dyDescent="0.25">
      <c r="A451" s="2">
        <v>50</v>
      </c>
      <c r="B451" s="14"/>
      <c r="C451" s="15" t="s">
        <v>201</v>
      </c>
      <c r="D451" s="14" t="s">
        <v>47</v>
      </c>
      <c r="E451" s="2" t="s">
        <v>48</v>
      </c>
      <c r="F451" s="13">
        <v>18.56</v>
      </c>
      <c r="G451" s="35">
        <v>19.46</v>
      </c>
      <c r="H451" s="34">
        <f>'2020'!BH451</f>
        <v>-0.84</v>
      </c>
      <c r="I451" s="13">
        <v>252</v>
      </c>
      <c r="J451" s="15"/>
      <c r="K451" s="15"/>
      <c r="L451" s="28"/>
      <c r="M451" s="13">
        <v>252</v>
      </c>
      <c r="N451" s="15">
        <f t="shared" si="1626"/>
        <v>0</v>
      </c>
      <c r="Q451" s="13">
        <v>252</v>
      </c>
      <c r="R451" s="15">
        <f t="shared" si="1627"/>
        <v>0</v>
      </c>
      <c r="S451" s="15"/>
      <c r="T451" s="28"/>
      <c r="U451" s="13">
        <v>252</v>
      </c>
      <c r="V451" s="15">
        <f t="shared" si="1628"/>
        <v>0</v>
      </c>
      <c r="W451" s="180">
        <f>V451*$F$10</f>
        <v>0</v>
      </c>
      <c r="Y451" s="186">
        <v>252</v>
      </c>
      <c r="Z451" s="2">
        <f t="shared" si="1629"/>
        <v>0</v>
      </c>
      <c r="AA451" s="34">
        <f>Z451*$F$10</f>
        <v>0</v>
      </c>
      <c r="AB451" s="28"/>
      <c r="AC451" s="15">
        <v>261</v>
      </c>
      <c r="AD451" s="15">
        <f t="shared" si="1630"/>
        <v>9</v>
      </c>
      <c r="AE451" s="34">
        <f>AD451*$F$10</f>
        <v>175.14</v>
      </c>
      <c r="AF451" s="180"/>
      <c r="AG451" s="15">
        <v>268</v>
      </c>
      <c r="AH451" s="2">
        <f t="shared" si="1631"/>
        <v>7</v>
      </c>
      <c r="AI451" s="45">
        <f>AH451*$G$10</f>
        <v>142.45</v>
      </c>
      <c r="AJ451" s="180"/>
      <c r="AK451" s="13">
        <v>272</v>
      </c>
      <c r="AL451" s="15">
        <f t="shared" si="1632"/>
        <v>4</v>
      </c>
      <c r="AM451" s="45">
        <f>AL451*$G$10</f>
        <v>81.4</v>
      </c>
      <c r="AN451" s="39">
        <v>317</v>
      </c>
      <c r="AO451" s="13">
        <v>274</v>
      </c>
      <c r="AP451" s="15">
        <f t="shared" si="1633"/>
        <v>2</v>
      </c>
      <c r="AQ451" s="45">
        <f>AP451*$G$10</f>
        <v>40.7</v>
      </c>
      <c r="AR451" s="1">
        <v>82</v>
      </c>
      <c r="AS451" s="13">
        <v>274</v>
      </c>
      <c r="AT451" s="15">
        <f t="shared" si="1634"/>
        <v>0</v>
      </c>
      <c r="AU451" s="45">
        <f>AT451*$G$10</f>
        <v>0</v>
      </c>
      <c r="AV451" s="15"/>
      <c r="AW451" s="13">
        <v>274</v>
      </c>
      <c r="AX451" s="15">
        <f t="shared" si="1635"/>
        <v>0</v>
      </c>
      <c r="AY451" s="45"/>
      <c r="AZ451" s="246"/>
      <c r="BA451" s="13">
        <v>274</v>
      </c>
      <c r="BB451" s="15">
        <f t="shared" si="1636"/>
        <v>0</v>
      </c>
      <c r="BC451" s="45"/>
      <c r="BD451" s="208"/>
      <c r="BE451" s="40">
        <f t="shared" ref="BE451:BG451" si="1638">J451+N451+R451+V451+Z451+AD451+AH451+AL451+AP451+AT451+AX451+BB451</f>
        <v>22</v>
      </c>
      <c r="BF451" s="41">
        <f t="shared" si="1638"/>
        <v>439.69</v>
      </c>
      <c r="BG451" s="34">
        <f t="shared" si="1638"/>
        <v>399</v>
      </c>
      <c r="BH451" s="35">
        <f t="shared" si="1625"/>
        <v>39.85</v>
      </c>
      <c r="BK451" s="2" t="b">
        <f>H451='2020'!BH451</f>
        <v>1</v>
      </c>
    </row>
    <row r="452" ht="14.25" customHeight="1" hidden="1" spans="1:63" x14ac:dyDescent="0.25">
      <c r="A452" s="2">
        <v>50</v>
      </c>
      <c r="B452" s="14"/>
      <c r="C452" s="15" t="s">
        <v>115</v>
      </c>
      <c r="D452" s="14" t="s">
        <v>47</v>
      </c>
      <c r="E452" s="2" t="s">
        <v>49</v>
      </c>
      <c r="F452" s="41">
        <v>500</v>
      </c>
      <c r="G452" s="28"/>
      <c r="H452" s="34">
        <f>'2020'!BH452</f>
        <v>0</v>
      </c>
      <c r="I452" s="13"/>
      <c r="J452" s="15"/>
      <c r="K452" s="15"/>
      <c r="L452" s="28"/>
      <c r="M452" s="13"/>
      <c r="N452" s="15"/>
      <c r="Q452" s="13"/>
      <c r="R452" s="15"/>
      <c r="S452" s="15"/>
      <c r="T452" s="28"/>
      <c r="U452" s="13"/>
      <c r="V452" s="15"/>
      <c r="Y452" s="186"/>
      <c r="Z452" s="2"/>
      <c r="AA452" s="15"/>
      <c r="AB452" s="28"/>
      <c r="AC452" s="15"/>
      <c r="AD452" s="15"/>
      <c r="AG452" s="15"/>
      <c r="AH452" s="2"/>
      <c r="AI452" s="45"/>
      <c r="AJ452" s="15"/>
      <c r="AK452" s="13"/>
      <c r="AL452" s="15"/>
      <c r="AM452" s="45"/>
      <c r="AN452" s="15"/>
      <c r="AO452" s="13"/>
      <c r="AP452" s="15"/>
      <c r="AQ452" s="45"/>
      <c r="AR452" s="1"/>
      <c r="AS452" s="13"/>
      <c r="AT452" s="15"/>
      <c r="AU452" s="45"/>
      <c r="AV452" s="15"/>
      <c r="AW452" s="13"/>
      <c r="AX452" s="15"/>
      <c r="AY452" s="45"/>
      <c r="AZ452" s="32"/>
      <c r="BA452" s="13"/>
      <c r="BB452" s="15"/>
      <c r="BC452" s="45"/>
      <c r="BD452" s="28"/>
      <c r="BE452" s="14"/>
      <c r="BF452" s="41">
        <f t="shared" ref="BF452:BG452" si="1639">K452+O452+S452+W452+AA452+AE452+AI452+AM452+AQ452+AU452+AY452+BC452</f>
        <v>0</v>
      </c>
      <c r="BG452" s="34">
        <f t="shared" si="1639"/>
        <v>0</v>
      </c>
      <c r="BH452" s="35">
        <f t="shared" si="1625"/>
        <v>0</v>
      </c>
      <c r="BK452" s="2" t="b">
        <f>H452='2020'!BH452</f>
        <v>1</v>
      </c>
    </row>
    <row r="453" ht="14.25" customHeight="1" hidden="1" spans="1:63" x14ac:dyDescent="0.25">
      <c r="A453" s="2">
        <v>50</v>
      </c>
      <c r="B453" s="14"/>
      <c r="C453" s="15" t="s">
        <v>202</v>
      </c>
      <c r="D453" s="14" t="s">
        <v>50</v>
      </c>
      <c r="E453" s="2" t="s">
        <v>49</v>
      </c>
      <c r="F453" s="41">
        <v>1100</v>
      </c>
      <c r="G453" s="28"/>
      <c r="H453" s="34">
        <f>'2020'!BH453</f>
        <v>0</v>
      </c>
      <c r="I453" s="13"/>
      <c r="J453" s="15"/>
      <c r="K453" s="15"/>
      <c r="L453" s="28"/>
      <c r="M453" s="13"/>
      <c r="N453" s="15"/>
      <c r="Q453" s="13"/>
      <c r="R453" s="15"/>
      <c r="S453" s="15"/>
      <c r="T453" s="28"/>
      <c r="U453" s="13"/>
      <c r="V453" s="15"/>
      <c r="Y453" s="186"/>
      <c r="Z453" s="2"/>
      <c r="AA453" s="15"/>
      <c r="AB453" s="28"/>
      <c r="AC453" s="15"/>
      <c r="AD453" s="15"/>
      <c r="AE453" s="34">
        <f>B450*$F$12</f>
        <v>6655</v>
      </c>
      <c r="AF453" s="180"/>
      <c r="AG453" s="15"/>
      <c r="AH453" s="2"/>
      <c r="AI453" s="45"/>
      <c r="AJ453" s="180"/>
      <c r="AK453" s="13"/>
      <c r="AL453" s="15"/>
      <c r="AM453" s="45"/>
      <c r="AN453" s="34"/>
      <c r="AO453" s="13"/>
      <c r="AP453" s="15"/>
      <c r="AQ453" s="45"/>
      <c r="AR453" s="1">
        <v>6655</v>
      </c>
      <c r="AS453" s="13"/>
      <c r="AT453" s="15"/>
      <c r="AU453" s="45"/>
      <c r="AV453" s="15"/>
      <c r="AW453" s="13"/>
      <c r="AX453" s="15"/>
      <c r="AY453" s="45"/>
      <c r="AZ453" s="32"/>
      <c r="BA453" s="13"/>
      <c r="BB453" s="15"/>
      <c r="BC453" s="45"/>
      <c r="BD453" s="28"/>
      <c r="BE453" s="14"/>
      <c r="BF453" s="41">
        <f t="shared" ref="BF453:BG453" si="1640">K453+O453+S453+W453+AA453+AE453+AI453+AM453+AQ453+AU453+AY453+BC453</f>
        <v>6655</v>
      </c>
      <c r="BG453" s="34">
        <f t="shared" si="1640"/>
        <v>6655</v>
      </c>
      <c r="BH453" s="35">
        <f t="shared" si="1625"/>
        <v>0</v>
      </c>
      <c r="BK453" s="2" t="b">
        <f>H453='2020'!BH453</f>
        <v>1</v>
      </c>
    </row>
    <row r="454" ht="14.25" customHeight="1" hidden="1" spans="1:63" x14ac:dyDescent="0.25">
      <c r="A454" s="2">
        <v>50</v>
      </c>
      <c r="B454" s="14"/>
      <c r="C454" s="15" t="s">
        <v>203</v>
      </c>
      <c r="D454" s="14" t="s">
        <v>51</v>
      </c>
      <c r="E454" s="2" t="s">
        <v>39</v>
      </c>
      <c r="F454" s="41">
        <v>500</v>
      </c>
      <c r="G454" s="28"/>
      <c r="H454" s="34">
        <f>'2020'!BH454</f>
        <v>500</v>
      </c>
      <c r="I454" s="13"/>
      <c r="J454" s="15"/>
      <c r="K454" s="15"/>
      <c r="L454" s="28"/>
      <c r="M454" s="13"/>
      <c r="N454" s="15"/>
      <c r="P454" s="1">
        <v>500</v>
      </c>
      <c r="Q454" s="13"/>
      <c r="R454" s="15"/>
      <c r="S454" s="15"/>
      <c r="T454" s="28"/>
      <c r="U454" s="13"/>
      <c r="V454" s="15"/>
      <c r="Y454" s="186"/>
      <c r="Z454" s="2"/>
      <c r="AA454" s="15"/>
      <c r="AB454" s="28"/>
      <c r="AC454" s="15"/>
      <c r="AD454" s="15"/>
      <c r="AE454" s="180">
        <f>$F$13</f>
      </c>
      <c r="AG454" s="15"/>
      <c r="AH454" s="2"/>
      <c r="AI454" s="45"/>
      <c r="AJ454" s="15"/>
      <c r="AK454" s="13"/>
      <c r="AL454" s="15"/>
      <c r="AM454" s="45"/>
      <c r="AN454" s="15"/>
      <c r="AO454" s="13"/>
      <c r="AP454" s="15"/>
      <c r="AQ454" s="180"/>
      <c r="AR454" s="15"/>
      <c r="AS454" s="13"/>
      <c r="AT454" s="15"/>
      <c r="AU454" s="45"/>
      <c r="AV454" s="15"/>
      <c r="AW454" s="13"/>
      <c r="AX454" s="15"/>
      <c r="AY454" s="45"/>
      <c r="AZ454" s="32"/>
      <c r="BA454" s="13"/>
      <c r="BB454" s="15"/>
      <c r="BC454" s="45"/>
      <c r="BD454" s="28"/>
      <c r="BE454" s="14"/>
      <c r="BF454" s="41">
        <f t="shared" ref="BF454:BG454" si="1641">K454+O454+S454+W454+AA454+AE454+AI454+AM454+AQ454+AU454+AY454+BC454</f>
        <v>0</v>
      </c>
      <c r="BG454" s="34">
        <f t="shared" si="1641"/>
        <v>500</v>
      </c>
      <c r="BH454" s="35">
        <f t="shared" si="1625"/>
        <v>0</v>
      </c>
      <c r="BK454" s="2" t="b">
        <f>H454='2020'!BH454</f>
        <v>1</v>
      </c>
    </row>
    <row r="455" ht="14.25" customHeight="1" hidden="1" spans="1:63" x14ac:dyDescent="0.25">
      <c r="A455" s="2">
        <v>50</v>
      </c>
      <c r="B455" s="14"/>
      <c r="C455" s="15"/>
      <c r="D455" s="14" t="s">
        <v>51</v>
      </c>
      <c r="E455" s="2" t="s">
        <v>49</v>
      </c>
      <c r="F455" s="41">
        <v>500</v>
      </c>
      <c r="G455" s="28"/>
      <c r="H455" s="34">
        <f>'2020'!BH455</f>
        <v>3025</v>
      </c>
      <c r="I455" s="13"/>
      <c r="J455" s="15"/>
      <c r="K455" s="15"/>
      <c r="L455" s="28"/>
      <c r="M455" s="13"/>
      <c r="N455" s="15"/>
      <c r="P455" s="1">
        <v>1500</v>
      </c>
      <c r="Q455" s="13"/>
      <c r="R455" s="15"/>
      <c r="S455" s="15"/>
      <c r="T455" s="28"/>
      <c r="U455" s="13"/>
      <c r="V455" s="15"/>
      <c r="Y455" s="186"/>
      <c r="Z455" s="2"/>
      <c r="AA455" s="15"/>
      <c r="AB455" s="32">
        <v>1525</v>
      </c>
      <c r="AC455" s="15"/>
      <c r="AD455" s="15"/>
      <c r="AE455" s="34"/>
      <c r="AG455" s="15"/>
      <c r="AH455" s="2"/>
      <c r="AI455" s="45"/>
      <c r="AJ455" s="15"/>
      <c r="AK455" s="13"/>
      <c r="AL455" s="15"/>
      <c r="AM455" s="45"/>
      <c r="AN455" s="15"/>
      <c r="AO455" s="13"/>
      <c r="AP455" s="15"/>
      <c r="AQ455" s="180">
        <f>B450*$F$14</f>
        <v>0</v>
      </c>
      <c r="AR455" s="15"/>
      <c r="AS455" s="13"/>
      <c r="AT455" s="15"/>
      <c r="AU455" s="45"/>
      <c r="AV455" s="15"/>
      <c r="AW455" s="13"/>
      <c r="AX455" s="15"/>
      <c r="AY455" s="45"/>
      <c r="AZ455" s="32"/>
      <c r="BA455" s="13"/>
      <c r="BB455" s="15"/>
      <c r="BC455" s="45"/>
      <c r="BD455" s="28"/>
      <c r="BE455" s="14"/>
      <c r="BF455" s="41">
        <f t="shared" ref="BF455:BG455" si="1642">K455+O455+S455+W455+AA455+AE455+AI455+AM455+AQ455+AU455+AY455+BC455</f>
        <v>0</v>
      </c>
      <c r="BG455" s="34">
        <f t="shared" si="1642"/>
        <v>3025</v>
      </c>
      <c r="BH455" s="35">
        <f t="shared" si="1625"/>
        <v>0</v>
      </c>
      <c r="BK455" s="2" t="b">
        <f>H455='2020'!BH455</f>
        <v>1</v>
      </c>
    </row>
    <row r="456" ht="14.25" customHeight="1" hidden="1" spans="1:63" x14ac:dyDescent="0.25">
      <c r="A456" s="2">
        <v>50</v>
      </c>
      <c r="B456" s="14"/>
      <c r="D456" s="14" t="s">
        <v>52</v>
      </c>
      <c r="E456" s="2" t="s">
        <v>39</v>
      </c>
      <c r="F456" s="41">
        <v>500</v>
      </c>
      <c r="G456" s="28"/>
      <c r="H456" s="34">
        <f>'2020'!BH456</f>
        <v>0</v>
      </c>
      <c r="I456" s="13"/>
      <c r="J456" s="15"/>
      <c r="K456" s="15"/>
      <c r="L456" s="28"/>
      <c r="M456" s="13"/>
      <c r="N456" s="15"/>
      <c r="Q456" s="13"/>
      <c r="R456" s="15"/>
      <c r="S456" s="15"/>
      <c r="T456" s="28"/>
      <c r="U456" s="13"/>
      <c r="V456" s="15"/>
      <c r="Y456" s="186"/>
      <c r="Z456" s="2"/>
      <c r="AA456" s="34">
        <f>$F$15</f>
      </c>
      <c r="AB456" s="35"/>
      <c r="AC456" s="15"/>
      <c r="AD456" s="15"/>
      <c r="AG456" s="15"/>
      <c r="AH456" s="2"/>
      <c r="AI456" s="45"/>
      <c r="AJ456" s="15"/>
      <c r="AK456" s="13"/>
      <c r="AL456" s="15"/>
      <c r="AM456" s="45"/>
      <c r="AN456" s="15"/>
      <c r="AO456" s="13"/>
      <c r="AP456" s="15"/>
      <c r="AQ456" s="45"/>
      <c r="AR456" s="15"/>
      <c r="AS456" s="13"/>
      <c r="AT456" s="15"/>
      <c r="AU456" s="45"/>
      <c r="AV456" s="15"/>
      <c r="AW456" s="13"/>
      <c r="AX456" s="15"/>
      <c r="AY456" s="45"/>
      <c r="AZ456" s="35"/>
      <c r="BA456" s="13"/>
      <c r="BB456" s="15"/>
      <c r="BC456" s="45"/>
      <c r="BD456" s="35"/>
      <c r="BE456" s="14"/>
      <c r="BF456" s="41">
        <f t="shared" ref="BF456:BG456" si="1643">K456+O456+S456+W456+AA456+AE456+AI456+AM456+AQ456+AU456+AY456+BC456</f>
        <v>0</v>
      </c>
      <c r="BG456" s="34">
        <f t="shared" si="1643"/>
        <v>0</v>
      </c>
      <c r="BH456" s="35">
        <f t="shared" si="1625"/>
        <v>0</v>
      </c>
      <c r="BK456" s="2" t="b">
        <f>H456='2020'!BH456</f>
        <v>1</v>
      </c>
    </row>
    <row r="457" ht="14.25" customHeight="1" hidden="1" spans="1:63" x14ac:dyDescent="0.25">
      <c r="A457" s="247">
        <v>50</v>
      </c>
      <c r="B457" s="21"/>
      <c r="C457" s="22" t="s">
        <v>53</v>
      </c>
      <c r="D457" s="21"/>
      <c r="E457" s="22"/>
      <c r="F457" s="20"/>
      <c r="G457" s="23"/>
      <c r="H457" s="51">
        <f>SUM(H449:H456)</f>
        <v>3622.08</v>
      </c>
      <c r="I457" s="52"/>
      <c r="J457" s="53"/>
      <c r="K457" s="51">
        <f t="shared" ref="K457:L457" si="1644">SUM(K449:K456)</f>
        <v>3299.4</v>
      </c>
      <c r="L457" s="68">
        <f t="shared" si="1644"/>
        <v>0</v>
      </c>
      <c r="M457" s="52"/>
      <c r="N457" s="53"/>
      <c r="O457" s="51">
        <f t="shared" ref="O457:P457" si="1645">SUM(O449:O456)</f>
        <v>1159.6</v>
      </c>
      <c r="P457" s="51">
        <f t="shared" si="1645"/>
        <v>5400</v>
      </c>
      <c r="Q457" s="52"/>
      <c r="R457" s="53"/>
      <c r="S457" s="51">
        <f t="shared" ref="S457:T457" si="1646">SUM(S449:S456)</f>
        <v>1466.4</v>
      </c>
      <c r="T457" s="51">
        <f t="shared" si="1646"/>
        <v>0</v>
      </c>
      <c r="U457" s="52"/>
      <c r="V457" s="53"/>
      <c r="W457" s="51">
        <f t="shared" ref="W457:X457" si="1647">SUM(W449:W456)</f>
        <v>1549.6</v>
      </c>
      <c r="X457" s="51">
        <f t="shared" si="1647"/>
        <v>2650</v>
      </c>
      <c r="Y457" s="300"/>
      <c r="Z457" s="301"/>
      <c r="AA457" s="51">
        <f t="shared" ref="AA457:AB457" si="1648">SUM(AA449:AA456)</f>
        <v>1476.8</v>
      </c>
      <c r="AB457" s="51">
        <f t="shared" si="1648"/>
        <v>1525</v>
      </c>
      <c r="AC457" s="52"/>
      <c r="AD457" s="53"/>
      <c r="AE457" s="51">
        <f t="shared" ref="AE457:AF457" si="1649">SUM(AE449:AE456)</f>
        <v>7994.94</v>
      </c>
      <c r="AF457" s="51">
        <f t="shared" si="1649"/>
        <v>3000</v>
      </c>
      <c r="AG457" s="52"/>
      <c r="AH457" s="301"/>
      <c r="AI457" s="183">
        <f t="shared" ref="AI457:AJ457" si="1650">SUM(AI449:AI456)</f>
        <v>1449.25</v>
      </c>
      <c r="AJ457" s="51">
        <f t="shared" si="1650"/>
        <v>0</v>
      </c>
      <c r="AK457" s="52"/>
      <c r="AL457" s="53"/>
      <c r="AM457" s="183">
        <f t="shared" ref="AM457:AN457" si="1651">SUM(AM449:AM456)</f>
        <v>1382.8</v>
      </c>
      <c r="AN457" s="51">
        <f t="shared" si="1651"/>
        <v>2789</v>
      </c>
      <c r="AO457" s="52"/>
      <c r="AP457" s="53"/>
      <c r="AQ457" s="183">
        <f t="shared" ref="AQ457:AR457" si="1652">SUM(AQ449:AQ456)</f>
        <v>1658</v>
      </c>
      <c r="AR457" s="51">
        <f t="shared" si="1652"/>
        <v>8039</v>
      </c>
      <c r="AS457" s="52"/>
      <c r="AT457" s="53"/>
      <c r="AU457" s="183">
        <f t="shared" ref="AU457:AV457" si="1653">SUM(AU449:AU456)</f>
        <v>1614.6</v>
      </c>
      <c r="AV457" s="68">
        <f t="shared" si="1653"/>
        <v>0</v>
      </c>
      <c r="AW457" s="52"/>
      <c r="AX457" s="53"/>
      <c r="AY457" s="183">
        <f t="shared" ref="AY457:AZ457" si="1654">SUM(AY449:AY456)</f>
        <v>1606.5</v>
      </c>
      <c r="AZ457" s="68">
        <f t="shared" si="1654"/>
        <v>1600</v>
      </c>
      <c r="BA457" s="52"/>
      <c r="BB457" s="53"/>
      <c r="BC457" s="183">
        <f t="shared" ref="BC457:BD457" si="1655">SUM(BC449:BC456)</f>
        <v>1204.2</v>
      </c>
      <c r="BD457" s="68">
        <f t="shared" si="1655"/>
        <v>2000</v>
      </c>
      <c r="BE457" s="69"/>
      <c r="BF457" s="70">
        <f t="shared" ref="BF457:BH457" si="1656">SUM(BF449:BF456)</f>
        <v>25862.09</v>
      </c>
      <c r="BG457" s="71">
        <f t="shared" si="1656"/>
        <v>27003</v>
      </c>
      <c r="BH457" s="72">
        <f t="shared" si="1656"/>
        <v>2481.17</v>
      </c>
      <c r="BI457" s="34">
        <f>H457+BF457-BG457</f>
        <v>2481.17</v>
      </c>
      <c r="BJ457" s="34">
        <f>BH457-BI457</f>
        <v>0</v>
      </c>
      <c r="BK457" s="2" t="b">
        <f>H457='2020'!BH457</f>
        <v>1</v>
      </c>
    </row>
    <row r="458" ht="14.25" customHeight="1" hidden="1" spans="1:63" x14ac:dyDescent="0.25">
      <c r="A458" s="2">
        <v>51</v>
      </c>
      <c r="B458" s="14"/>
      <c r="D458" s="14" t="s">
        <v>379</v>
      </c>
      <c r="F458" s="13"/>
      <c r="G458" s="28"/>
      <c r="H458" s="34">
        <f>'2020'!BH458</f>
        <v>-1.67</v>
      </c>
      <c r="I458" s="13"/>
      <c r="J458" s="15"/>
      <c r="K458" s="15"/>
      <c r="L458" s="28"/>
      <c r="M458" s="13"/>
      <c r="N458" s="15"/>
      <c r="Q458" s="13"/>
      <c r="R458" s="15"/>
      <c r="S458" s="15"/>
      <c r="T458" s="28"/>
      <c r="U458" s="13"/>
      <c r="V458" s="15"/>
      <c r="Y458" s="186"/>
      <c r="Z458" s="2"/>
      <c r="AA458" s="15"/>
      <c r="AB458" s="28"/>
      <c r="AC458" s="15"/>
      <c r="AD458" s="15"/>
      <c r="AG458" s="15"/>
      <c r="AH458" s="2"/>
      <c r="AI458" s="45"/>
      <c r="AJ458" s="15"/>
      <c r="AK458" s="13"/>
      <c r="AM458" s="45"/>
      <c r="AO458" s="13"/>
      <c r="AQ458" s="45">
        <v>16.34</v>
      </c>
      <c r="AS458" s="13"/>
      <c r="AU458" s="45"/>
      <c r="AW458" s="13"/>
      <c r="AY458" s="45"/>
      <c r="AZ458" s="35"/>
      <c r="BA458" s="13"/>
      <c r="BB458" s="15"/>
      <c r="BC458" s="45"/>
      <c r="BD458" s="28">
        <v>30</v>
      </c>
      <c r="BE458" s="14"/>
      <c r="BF458" s="41">
        <f t="shared" ref="BF458:BG458" si="1657">K458+O458+S458+W458+AA458+AE458+AI458+AM458+AQ458+AU458+AY458+BC458</f>
        <v>16.34</v>
      </c>
      <c r="BG458" s="34">
        <f t="shared" si="1657"/>
        <v>30</v>
      </c>
      <c r="BH458" s="35">
        <f t="shared" ref="BH458:BH465" si="1658">H458+BF458-BG458</f>
        <v>-15.33</v>
      </c>
      <c r="BK458" s="2" t="b">
        <f>H458='2020'!BH458</f>
        <v>1</v>
      </c>
    </row>
    <row r="459" ht="14.25" customHeight="1" hidden="1" spans="1:63" x14ac:dyDescent="0.25">
      <c r="A459" s="2">
        <v>51</v>
      </c>
      <c r="B459" s="14">
        <v>4.95</v>
      </c>
      <c r="C459" s="15" t="s">
        <v>204</v>
      </c>
      <c r="D459" s="14" t="s">
        <v>44</v>
      </c>
      <c r="E459" s="2" t="s">
        <v>45</v>
      </c>
      <c r="F459" s="41">
        <v>2.5</v>
      </c>
      <c r="G459" s="35">
        <v>2.6</v>
      </c>
      <c r="H459" s="34">
        <f>'2020'!BH459</f>
        <v>-1047</v>
      </c>
      <c r="I459" s="13">
        <v>580</v>
      </c>
      <c r="J459" s="15">
        <f>I459-'2020'!BA459</f>
        <v>0</v>
      </c>
      <c r="K459" s="34">
        <f>J459*$F$8</f>
        <v>0</v>
      </c>
      <c r="L459" s="28"/>
      <c r="M459" s="13">
        <v>606</v>
      </c>
      <c r="N459" s="15">
        <f t="shared" ref="N459:N460" si="1659">M459-I459</f>
        <v>26</v>
      </c>
      <c r="O459" s="34">
        <f>N459*$F$8</f>
        <v>67.6</v>
      </c>
      <c r="Q459" s="13">
        <v>606</v>
      </c>
      <c r="R459" s="15">
        <f t="shared" ref="R459:R460" si="1660">Q459-M459</f>
        <v>0</v>
      </c>
      <c r="S459" s="34">
        <f>R459*$F$8</f>
        <v>0</v>
      </c>
      <c r="T459" s="28"/>
      <c r="U459" s="13">
        <v>653</v>
      </c>
      <c r="V459" s="15">
        <f t="shared" ref="V459:V460" si="1661">U459-Q459</f>
        <v>47</v>
      </c>
      <c r="W459" s="34">
        <f>V459*$F$8</f>
        <v>122.2</v>
      </c>
      <c r="Y459" s="186">
        <v>1369</v>
      </c>
      <c r="Z459" s="2">
        <f t="shared" ref="Z459:Z460" si="1662">Y459-U459</f>
        <v>716</v>
      </c>
      <c r="AA459" s="34">
        <f>Z459*$F$8</f>
        <v>1861.6</v>
      </c>
      <c r="AB459" s="28"/>
      <c r="AC459" s="15">
        <v>1726</v>
      </c>
      <c r="AD459" s="15">
        <f t="shared" ref="AD459:AD460" si="1663">AC459-Y459</f>
        <v>357</v>
      </c>
      <c r="AE459" s="180">
        <f>AD459*$F$8</f>
        <v>928.2</v>
      </c>
      <c r="AF459" s="1">
        <v>2000</v>
      </c>
      <c r="AG459" s="15">
        <v>1855</v>
      </c>
      <c r="AH459" s="2">
        <f t="shared" ref="AH459:AH460" si="1664">AG459-AC459</f>
        <v>129</v>
      </c>
      <c r="AI459" s="45">
        <f>AH459*$G$8</f>
        <v>348.3</v>
      </c>
      <c r="AJ459" s="15"/>
      <c r="AK459" s="13">
        <v>1894</v>
      </c>
      <c r="AL459" s="15">
        <f t="shared" ref="AL459:AL460" si="1665">AK459-AG459</f>
        <v>39</v>
      </c>
      <c r="AM459" s="45">
        <f>AL459*$G$8</f>
        <v>105.3</v>
      </c>
      <c r="AN459" s="34"/>
      <c r="AO459" s="13">
        <v>1909</v>
      </c>
      <c r="AP459" s="15">
        <f t="shared" ref="AP459:AP460" si="1666">AO459-AK459</f>
        <v>15</v>
      </c>
      <c r="AQ459" s="45">
        <f>AP459*$G$8</f>
        <v>40.5</v>
      </c>
      <c r="AR459" s="15"/>
      <c r="AS459" s="13">
        <v>1924</v>
      </c>
      <c r="AT459" s="15">
        <f t="shared" ref="AT459:AT460" si="1667">AS459-AO459</f>
        <v>15</v>
      </c>
      <c r="AU459" s="45">
        <f>AT459*$G$8</f>
        <v>40.5</v>
      </c>
      <c r="AV459" s="15"/>
      <c r="AW459" s="13">
        <v>1967</v>
      </c>
      <c r="AX459" s="15">
        <f t="shared" ref="AX459:AX460" si="1668">AW459-AS459</f>
        <v>43</v>
      </c>
      <c r="AY459" s="45">
        <f>AX459*$G$8</f>
        <v>116.1</v>
      </c>
      <c r="AZ459" s="246"/>
      <c r="BA459" s="13">
        <v>1968</v>
      </c>
      <c r="BB459" s="15">
        <f t="shared" ref="BB459:BB460" si="1669">BA459-AW459</f>
        <v>1</v>
      </c>
      <c r="BC459" s="45">
        <f>BB459*$G$8</f>
        <v>2.7</v>
      </c>
      <c r="BD459" s="208">
        <v>2000</v>
      </c>
      <c r="BE459" s="40">
        <f t="shared" ref="BE459:BG459" si="1670">J459+N459+R459+V459+Z459+AD459+AH459+AL459+AP459+AT459+AX459+BB459</f>
        <v>1388</v>
      </c>
      <c r="BF459" s="41">
        <f t="shared" si="1670"/>
        <v>3633</v>
      </c>
      <c r="BG459" s="34">
        <f t="shared" si="1670"/>
        <v>4000</v>
      </c>
      <c r="BH459" s="35">
        <f t="shared" si="1658"/>
        <v>-1414</v>
      </c>
      <c r="BK459" s="2" t="b">
        <f>H459='2020'!BH459</f>
        <v>1</v>
      </c>
    </row>
    <row r="460" ht="14.25" customHeight="1" hidden="1" spans="1:63" x14ac:dyDescent="0.25">
      <c r="A460" s="2">
        <v>51</v>
      </c>
      <c r="B460" s="14"/>
      <c r="C460" s="15" t="s">
        <v>121</v>
      </c>
      <c r="D460" s="14" t="s">
        <v>47</v>
      </c>
      <c r="E460" s="2" t="s">
        <v>48</v>
      </c>
      <c r="F460" s="13">
        <v>18.56</v>
      </c>
      <c r="G460" s="35">
        <v>19.46</v>
      </c>
      <c r="H460" s="34">
        <f>'2020'!BH460</f>
        <v>-67.76</v>
      </c>
      <c r="I460" s="13">
        <v>49</v>
      </c>
      <c r="J460" s="15"/>
      <c r="K460" s="15"/>
      <c r="L460" s="28"/>
      <c r="M460" s="13">
        <v>49</v>
      </c>
      <c r="N460" s="15">
        <f t="shared" si="1659"/>
        <v>0</v>
      </c>
      <c r="Q460" s="13">
        <v>49</v>
      </c>
      <c r="R460" s="15">
        <f t="shared" si="1660"/>
        <v>0</v>
      </c>
      <c r="S460" s="15"/>
      <c r="T460" s="28"/>
      <c r="U460" s="13">
        <v>49</v>
      </c>
      <c r="V460" s="15">
        <f t="shared" si="1661"/>
        <v>0</v>
      </c>
      <c r="W460" s="34">
        <f>V460*$F$10</f>
        <v>0</v>
      </c>
      <c r="Y460" s="186">
        <v>50</v>
      </c>
      <c r="Z460" s="2">
        <f t="shared" si="1662"/>
        <v>1</v>
      </c>
      <c r="AA460" s="34">
        <f>Z460*$F$10</f>
        <v>19.46</v>
      </c>
      <c r="AB460" s="28"/>
      <c r="AC460" s="15">
        <v>58</v>
      </c>
      <c r="AD460" s="15">
        <f t="shared" si="1663"/>
        <v>8</v>
      </c>
      <c r="AE460" s="34">
        <f>AD460*$F$10</f>
        <v>155.68</v>
      </c>
      <c r="AF460" s="1">
        <v>500</v>
      </c>
      <c r="AG460" s="15">
        <v>58</v>
      </c>
      <c r="AH460" s="2">
        <f t="shared" si="1664"/>
        <v>0</v>
      </c>
      <c r="AI460" s="45">
        <f>AH460*$G$10</f>
        <v>0</v>
      </c>
      <c r="AJ460" s="15"/>
      <c r="AK460" s="13">
        <v>67</v>
      </c>
      <c r="AL460" s="15">
        <f t="shared" si="1665"/>
        <v>9</v>
      </c>
      <c r="AM460" s="45">
        <f>AL460*$G$10</f>
        <v>183.15</v>
      </c>
      <c r="AN460" s="34"/>
      <c r="AO460" s="13">
        <v>67</v>
      </c>
      <c r="AP460" s="15">
        <f t="shared" si="1666"/>
        <v>0</v>
      </c>
      <c r="AQ460" s="45">
        <f>AP460*$G$10</f>
        <v>0</v>
      </c>
      <c r="AR460" s="15"/>
      <c r="AS460" s="13">
        <v>67</v>
      </c>
      <c r="AT460" s="15">
        <f t="shared" si="1667"/>
        <v>0</v>
      </c>
      <c r="AU460" s="45">
        <f>AT460*$G$10</f>
        <v>0</v>
      </c>
      <c r="AV460" s="15"/>
      <c r="AW460" s="13">
        <v>67</v>
      </c>
      <c r="AX460" s="15">
        <f t="shared" si="1668"/>
        <v>0</v>
      </c>
      <c r="AY460" s="45"/>
      <c r="AZ460" s="249"/>
      <c r="BA460" s="13">
        <v>67</v>
      </c>
      <c r="BB460" s="15">
        <f t="shared" si="1669"/>
        <v>0</v>
      </c>
      <c r="BC460" s="45"/>
      <c r="BD460" s="208"/>
      <c r="BE460" s="40">
        <f t="shared" ref="BE460:BG460" si="1671">J460+N460+R460+V460+Z460+AD460+AH460+AL460+AP460+AT460+AX460+BB460</f>
        <v>18</v>
      </c>
      <c r="BF460" s="41">
        <f t="shared" si="1671"/>
        <v>358.29</v>
      </c>
      <c r="BG460" s="34">
        <f t="shared" si="1671"/>
        <v>500</v>
      </c>
      <c r="BH460" s="35">
        <f t="shared" si="1658"/>
        <v>-209.47</v>
      </c>
      <c r="BK460" s="2" t="b">
        <f>H460='2020'!BH460</f>
        <v>1</v>
      </c>
    </row>
    <row r="461" ht="14.25" customHeight="1" hidden="1" spans="1:63" x14ac:dyDescent="0.25">
      <c r="A461" s="2">
        <v>51</v>
      </c>
      <c r="B461" s="14"/>
      <c r="C461" s="15" t="s">
        <v>58</v>
      </c>
      <c r="D461" s="14" t="s">
        <v>47</v>
      </c>
      <c r="E461" s="2" t="s">
        <v>49</v>
      </c>
      <c r="F461" s="41">
        <v>500</v>
      </c>
      <c r="G461" s="28"/>
      <c r="H461" s="34">
        <f>'2020'!BH461</f>
        <v>0</v>
      </c>
      <c r="I461" s="13"/>
      <c r="J461" s="15"/>
      <c r="K461" s="15"/>
      <c r="L461" s="28"/>
      <c r="M461" s="13"/>
      <c r="N461" s="15"/>
      <c r="Q461" s="13"/>
      <c r="R461" s="15"/>
      <c r="S461" s="15"/>
      <c r="T461" s="28"/>
      <c r="U461" s="13"/>
      <c r="V461" s="15"/>
      <c r="Y461" s="186"/>
      <c r="Z461" s="2"/>
      <c r="AA461" s="15"/>
      <c r="AB461" s="28"/>
      <c r="AC461" s="15"/>
      <c r="AD461" s="15"/>
      <c r="AG461" s="15"/>
      <c r="AH461" s="2"/>
      <c r="AI461" s="45"/>
      <c r="AJ461" s="15"/>
      <c r="AK461" s="13"/>
      <c r="AL461" s="15"/>
      <c r="AM461" s="45"/>
      <c r="AN461" s="15"/>
      <c r="AO461" s="13"/>
      <c r="AP461" s="15"/>
      <c r="AQ461" s="45"/>
      <c r="AR461" s="15"/>
      <c r="AS461" s="13"/>
      <c r="AT461" s="15"/>
      <c r="AU461" s="45"/>
      <c r="AV461" s="15"/>
      <c r="AW461" s="13"/>
      <c r="AX461" s="15"/>
      <c r="AY461" s="45"/>
      <c r="AZ461" s="32"/>
      <c r="BA461" s="13"/>
      <c r="BB461" s="15"/>
      <c r="BC461" s="45"/>
      <c r="BD461" s="28"/>
      <c r="BE461" s="14"/>
      <c r="BF461" s="41">
        <f t="shared" ref="BF461:BG461" si="1672">K461+O461+S461+W461+AA461+AE461+AI461+AM461+AQ461+AU461+AY461+BC461</f>
        <v>0</v>
      </c>
      <c r="BG461" s="34">
        <f t="shared" si="1672"/>
        <v>0</v>
      </c>
      <c r="BH461" s="35">
        <f t="shared" si="1658"/>
        <v>0</v>
      </c>
      <c r="BK461" s="2" t="b">
        <f>H461='2020'!BH461</f>
        <v>1</v>
      </c>
    </row>
    <row r="462" ht="14.25" customHeight="1" hidden="1" spans="1:63" x14ac:dyDescent="0.25">
      <c r="A462" s="2">
        <v>51</v>
      </c>
      <c r="B462" s="14"/>
      <c r="C462" s="73" t="s">
        <v>419</v>
      </c>
      <c r="D462" s="14" t="s">
        <v>50</v>
      </c>
      <c r="E462" s="2" t="s">
        <v>49</v>
      </c>
      <c r="F462" s="41">
        <v>1100</v>
      </c>
      <c r="G462" s="28"/>
      <c r="H462" s="34">
        <f>'2020'!BH462</f>
        <v>0</v>
      </c>
      <c r="I462" s="13"/>
      <c r="J462" s="15"/>
      <c r="K462" s="15"/>
      <c r="L462" s="28"/>
      <c r="M462" s="13"/>
      <c r="N462" s="15"/>
      <c r="Q462" s="13"/>
      <c r="R462" s="15"/>
      <c r="S462" s="15"/>
      <c r="T462" s="28"/>
      <c r="U462" s="13"/>
      <c r="V462" s="15"/>
      <c r="Y462" s="186"/>
      <c r="Z462" s="2"/>
      <c r="AA462" s="15"/>
      <c r="AB462" s="28"/>
      <c r="AC462" s="15"/>
      <c r="AD462" s="15"/>
      <c r="AE462" s="34">
        <f>B459*$F$12</f>
        <v>5445</v>
      </c>
      <c r="AF462" s="34"/>
      <c r="AG462" s="15"/>
      <c r="AH462" s="2"/>
      <c r="AI462" s="45"/>
      <c r="AJ462" s="15"/>
      <c r="AK462" s="13"/>
      <c r="AL462" s="15"/>
      <c r="AM462" s="45"/>
      <c r="AN462" s="34"/>
      <c r="AO462" s="13"/>
      <c r="AP462" s="15"/>
      <c r="AQ462" s="45"/>
      <c r="AR462" s="15"/>
      <c r="AS462" s="13"/>
      <c r="AT462" s="15"/>
      <c r="AU462" s="45"/>
      <c r="AV462" s="15"/>
      <c r="AW462" s="13"/>
      <c r="AX462" s="15"/>
      <c r="AY462" s="45"/>
      <c r="AZ462" s="32"/>
      <c r="BA462" s="13"/>
      <c r="BB462" s="15"/>
      <c r="BC462" s="45"/>
      <c r="BD462" s="28">
        <v>5445</v>
      </c>
      <c r="BE462" s="14"/>
      <c r="BF462" s="41">
        <f t="shared" ref="BF462:BG462" si="1673">K462+O462+S462+W462+AA462+AE462+AI462+AM462+AQ462+AU462+AY462+BC462</f>
        <v>5445</v>
      </c>
      <c r="BG462" s="34">
        <f t="shared" si="1673"/>
        <v>5445</v>
      </c>
      <c r="BH462" s="35">
        <f t="shared" si="1658"/>
        <v>0</v>
      </c>
      <c r="BK462" s="2" t="b">
        <f>H462='2020'!BH462</f>
        <v>1</v>
      </c>
    </row>
    <row r="463" ht="14.25" customHeight="1" hidden="1" spans="1:63" x14ac:dyDescent="0.25">
      <c r="A463" s="2">
        <v>51</v>
      </c>
      <c r="B463" s="14"/>
      <c r="C463" s="73" t="s">
        <v>205</v>
      </c>
      <c r="D463" s="14" t="s">
        <v>51</v>
      </c>
      <c r="E463" s="2" t="s">
        <v>39</v>
      </c>
      <c r="F463" s="41">
        <v>500</v>
      </c>
      <c r="G463" s="28"/>
      <c r="H463" s="34">
        <f>'2020'!BH463</f>
        <v>0</v>
      </c>
      <c r="I463" s="13"/>
      <c r="J463" s="15"/>
      <c r="K463" s="15"/>
      <c r="L463" s="28"/>
      <c r="M463" s="13"/>
      <c r="N463" s="15"/>
      <c r="Q463" s="13"/>
      <c r="R463" s="15"/>
      <c r="S463" s="15"/>
      <c r="T463" s="28"/>
      <c r="U463" s="13"/>
      <c r="V463" s="15"/>
      <c r="Y463" s="186"/>
      <c r="Z463" s="2"/>
      <c r="AA463" s="15"/>
      <c r="AB463" s="28"/>
      <c r="AC463" s="15"/>
      <c r="AD463" s="15"/>
      <c r="AE463" s="180">
        <f>$F$13</f>
      </c>
      <c r="AG463" s="15"/>
      <c r="AH463" s="2"/>
      <c r="AI463" s="45"/>
      <c r="AJ463" s="15"/>
      <c r="AK463" s="13"/>
      <c r="AL463" s="15"/>
      <c r="AM463" s="45"/>
      <c r="AN463" s="15"/>
      <c r="AO463" s="13"/>
      <c r="AP463" s="15"/>
      <c r="AQ463" s="180"/>
      <c r="AR463" s="15"/>
      <c r="AS463" s="13"/>
      <c r="AT463" s="15"/>
      <c r="AU463" s="45"/>
      <c r="AV463" s="15"/>
      <c r="AW463" s="13"/>
      <c r="AX463" s="15"/>
      <c r="AY463" s="45"/>
      <c r="AZ463" s="35"/>
      <c r="BA463" s="13"/>
      <c r="BB463" s="15"/>
      <c r="BC463" s="45"/>
      <c r="BD463" s="28"/>
      <c r="BE463" s="14"/>
      <c r="BF463" s="41">
        <f t="shared" ref="BF463:BG463" si="1674">K463+O463+S463+W463+AA463+AE463+AI463+AM463+AQ463+AU463+AY463+BC463</f>
        <v>0</v>
      </c>
      <c r="BG463" s="34">
        <f t="shared" si="1674"/>
        <v>0</v>
      </c>
      <c r="BH463" s="35">
        <f t="shared" si="1658"/>
        <v>0</v>
      </c>
      <c r="BK463" s="2" t="b">
        <f>H463='2020'!BH463</f>
        <v>1</v>
      </c>
    </row>
    <row r="464" ht="14.25" customHeight="1" hidden="1" spans="1:63" x14ac:dyDescent="0.25">
      <c r="A464" s="2">
        <v>51</v>
      </c>
      <c r="B464" s="14"/>
      <c r="C464" s="73" t="s">
        <v>420</v>
      </c>
      <c r="D464" s="14" t="s">
        <v>51</v>
      </c>
      <c r="E464" s="2" t="s">
        <v>49</v>
      </c>
      <c r="F464" s="41">
        <v>500</v>
      </c>
      <c r="G464" s="28"/>
      <c r="H464" s="34">
        <f>'2020'!BH464</f>
        <v>0</v>
      </c>
      <c r="I464" s="13"/>
      <c r="J464" s="15"/>
      <c r="K464" s="15"/>
      <c r="L464" s="28"/>
      <c r="M464" s="13"/>
      <c r="N464" s="15"/>
      <c r="Q464" s="13"/>
      <c r="R464" s="15"/>
      <c r="S464" s="15"/>
      <c r="T464" s="28"/>
      <c r="U464" s="13"/>
      <c r="V464" s="15"/>
      <c r="Y464" s="186"/>
      <c r="Z464" s="2"/>
      <c r="AA464" s="15"/>
      <c r="AB464" s="28"/>
      <c r="AC464" s="15"/>
      <c r="AD464" s="15"/>
      <c r="AE464" s="34"/>
      <c r="AG464" s="15"/>
      <c r="AH464" s="2"/>
      <c r="AI464" s="45"/>
      <c r="AJ464" s="15"/>
      <c r="AK464" s="13"/>
      <c r="AL464" s="15"/>
      <c r="AM464" s="45"/>
      <c r="AN464" s="15"/>
      <c r="AO464" s="13"/>
      <c r="AP464" s="15"/>
      <c r="AQ464" s="180">
        <f>B459*$F$14</f>
        <v>0</v>
      </c>
      <c r="AR464" s="15"/>
      <c r="AS464" s="13"/>
      <c r="AT464" s="15"/>
      <c r="AU464" s="45"/>
      <c r="AV464" s="15"/>
      <c r="AW464" s="13"/>
      <c r="AX464" s="15"/>
      <c r="AY464" s="45"/>
      <c r="AZ464" s="35"/>
      <c r="BA464" s="13"/>
      <c r="BB464" s="15"/>
      <c r="BC464" s="45"/>
      <c r="BD464" s="28"/>
      <c r="BE464" s="14"/>
      <c r="BF464" s="41">
        <f t="shared" ref="BF464:BG464" si="1675">K464+O464+S464+W464+AA464+AE464+AI464+AM464+AQ464+AU464+AY464+BC464</f>
        <v>0</v>
      </c>
      <c r="BG464" s="34">
        <f t="shared" si="1675"/>
        <v>0</v>
      </c>
      <c r="BH464" s="35">
        <f t="shared" si="1658"/>
        <v>0</v>
      </c>
      <c r="BK464" s="2" t="b">
        <f>H464='2020'!BH464</f>
        <v>1</v>
      </c>
    </row>
    <row r="465" ht="14.25" customHeight="1" hidden="1" spans="1:63" x14ac:dyDescent="0.25">
      <c r="A465" s="2">
        <v>51</v>
      </c>
      <c r="B465" s="14"/>
      <c r="C465" s="15"/>
      <c r="D465" s="14" t="s">
        <v>52</v>
      </c>
      <c r="E465" s="2" t="s">
        <v>39</v>
      </c>
      <c r="F465" s="41">
        <v>500</v>
      </c>
      <c r="G465" s="28"/>
      <c r="H465" s="34">
        <f>'2020'!BH465</f>
        <v>0</v>
      </c>
      <c r="I465" s="13"/>
      <c r="J465" s="15"/>
      <c r="K465" s="15"/>
      <c r="L465" s="28"/>
      <c r="M465" s="13"/>
      <c r="N465" s="15"/>
      <c r="Q465" s="13"/>
      <c r="R465" s="15"/>
      <c r="S465" s="15"/>
      <c r="T465" s="28"/>
      <c r="U465" s="13"/>
      <c r="V465" s="15"/>
      <c r="Y465" s="186"/>
      <c r="Z465" s="2"/>
      <c r="AA465" s="34">
        <f>$F$15</f>
      </c>
      <c r="AB465" s="28"/>
      <c r="AC465" s="15"/>
      <c r="AD465" s="15"/>
      <c r="AG465" s="15"/>
      <c r="AH465" s="2"/>
      <c r="AI465" s="45"/>
      <c r="AJ465" s="15"/>
      <c r="AK465" s="13"/>
      <c r="AL465" s="15"/>
      <c r="AM465" s="45"/>
      <c r="AN465" s="34"/>
      <c r="AO465" s="13"/>
      <c r="AP465" s="15"/>
      <c r="AQ465" s="45"/>
      <c r="AR465" s="15"/>
      <c r="AS465" s="13"/>
      <c r="AT465" s="15"/>
      <c r="AU465" s="45"/>
      <c r="AV465" s="15"/>
      <c r="AW465" s="13"/>
      <c r="AX465" s="15"/>
      <c r="AY465" s="45"/>
      <c r="AZ465" s="35"/>
      <c r="BA465" s="13"/>
      <c r="BB465" s="15"/>
      <c r="BC465" s="45"/>
      <c r="BD465" s="35"/>
      <c r="BE465" s="14"/>
      <c r="BF465" s="41">
        <f t="shared" ref="BF465:BG465" si="1676">K465+O465+S465+W465+AA465+AE465+AI465+AM465+AQ465+AU465+AY465+BC465</f>
        <v>0</v>
      </c>
      <c r="BG465" s="34">
        <f t="shared" si="1676"/>
        <v>0</v>
      </c>
      <c r="BH465" s="35">
        <f t="shared" si="1658"/>
        <v>0</v>
      </c>
      <c r="BK465" s="2" t="b">
        <f>H465='2020'!BH465</f>
        <v>1</v>
      </c>
    </row>
    <row r="466" ht="14.25" customHeight="1" hidden="1" spans="1:63" x14ac:dyDescent="0.25">
      <c r="A466" s="247">
        <v>51</v>
      </c>
      <c r="B466" s="21"/>
      <c r="C466" s="22" t="s">
        <v>53</v>
      </c>
      <c r="D466" s="21"/>
      <c r="E466" s="22"/>
      <c r="F466" s="20"/>
      <c r="G466" s="23"/>
      <c r="H466" s="51">
        <f>SUM(H458:H465)</f>
        <v>-1116.43</v>
      </c>
      <c r="I466" s="52"/>
      <c r="J466" s="53"/>
      <c r="K466" s="51">
        <f t="shared" ref="K466:L466" si="1677">SUM(K458:K465)</f>
        <v>0</v>
      </c>
      <c r="L466" s="68">
        <f t="shared" si="1677"/>
        <v>0</v>
      </c>
      <c r="M466" s="52"/>
      <c r="N466" s="53"/>
      <c r="O466" s="51">
        <f t="shared" ref="O466:P466" si="1678">SUM(O458:O465)</f>
        <v>67.6</v>
      </c>
      <c r="P466" s="51">
        <f t="shared" si="1678"/>
        <v>0</v>
      </c>
      <c r="Q466" s="52"/>
      <c r="R466" s="53"/>
      <c r="S466" s="51">
        <f t="shared" ref="S466:T466" si="1679">SUM(S458:S465)</f>
        <v>0</v>
      </c>
      <c r="T466" s="51">
        <f t="shared" si="1679"/>
        <v>0</v>
      </c>
      <c r="U466" s="52"/>
      <c r="V466" s="53"/>
      <c r="W466" s="51">
        <f t="shared" ref="W466:X466" si="1680">SUM(W458:W465)</f>
        <v>122.2</v>
      </c>
      <c r="X466" s="51">
        <f t="shared" si="1680"/>
        <v>0</v>
      </c>
      <c r="Y466" s="300"/>
      <c r="Z466" s="301"/>
      <c r="AA466" s="51">
        <f t="shared" ref="AA466:AB466" si="1681">SUM(AA458:AA465)</f>
        <v>1881.06</v>
      </c>
      <c r="AB466" s="51">
        <f t="shared" si="1681"/>
        <v>0</v>
      </c>
      <c r="AC466" s="52"/>
      <c r="AD466" s="53"/>
      <c r="AE466" s="51">
        <f t="shared" ref="AE466:AF466" si="1682">SUM(AE458:AE465)</f>
        <v>6528.88</v>
      </c>
      <c r="AF466" s="51">
        <f t="shared" si="1682"/>
        <v>2500</v>
      </c>
      <c r="AG466" s="52"/>
      <c r="AH466" s="301"/>
      <c r="AI466" s="183">
        <f t="shared" ref="AI466:AJ466" si="1683">SUM(AI458:AI465)</f>
        <v>348.3</v>
      </c>
      <c r="AJ466" s="51">
        <f t="shared" si="1683"/>
        <v>0</v>
      </c>
      <c r="AK466" s="52"/>
      <c r="AL466" s="53"/>
      <c r="AM466" s="183">
        <f t="shared" ref="AM466:AN466" si="1684">SUM(AM458:AM465)</f>
        <v>288.45</v>
      </c>
      <c r="AN466" s="51">
        <f t="shared" si="1684"/>
        <v>0</v>
      </c>
      <c r="AO466" s="52"/>
      <c r="AP466" s="53"/>
      <c r="AQ466" s="183">
        <f t="shared" ref="AQ466:AR466" si="1685">SUM(AQ458:AQ465)</f>
        <v>56.84</v>
      </c>
      <c r="AR466" s="51">
        <f t="shared" si="1685"/>
        <v>0</v>
      </c>
      <c r="AS466" s="52"/>
      <c r="AT466" s="53"/>
      <c r="AU466" s="183">
        <f t="shared" ref="AU466:AV466" si="1686">SUM(AU458:AU465)</f>
        <v>40.5</v>
      </c>
      <c r="AV466" s="68">
        <f t="shared" si="1686"/>
        <v>0</v>
      </c>
      <c r="AW466" s="52"/>
      <c r="AX466" s="53"/>
      <c r="AY466" s="183">
        <f t="shared" ref="AY466:AZ466" si="1687">SUM(AY458:AY465)</f>
        <v>116.1</v>
      </c>
      <c r="AZ466" s="68">
        <f t="shared" si="1687"/>
        <v>0</v>
      </c>
      <c r="BA466" s="52"/>
      <c r="BB466" s="53"/>
      <c r="BC466" s="183">
        <f t="shared" ref="BC466:BD466" si="1688">SUM(BC458:BC465)</f>
        <v>2.7</v>
      </c>
      <c r="BD466" s="68">
        <f t="shared" si="1688"/>
        <v>7475</v>
      </c>
      <c r="BE466" s="69"/>
      <c r="BF466" s="70">
        <f t="shared" ref="BF466:BH466" si="1689">SUM(BF458:BF465)</f>
        <v>9452.63</v>
      </c>
      <c r="BG466" s="71">
        <f t="shared" si="1689"/>
        <v>9975</v>
      </c>
      <c r="BH466" s="72">
        <f t="shared" si="1689"/>
        <v>-1638.8</v>
      </c>
      <c r="BI466" s="34">
        <f>H466+BF466-BG466</f>
        <v>-1638.8</v>
      </c>
      <c r="BJ466" s="34">
        <f>BH466-BI466</f>
        <v>0</v>
      </c>
      <c r="BK466" s="2" t="b">
        <f>H466='2020'!BH466</f>
        <v>1</v>
      </c>
    </row>
    <row r="467" ht="14.25" customHeight="1" hidden="1" spans="1:63" x14ac:dyDescent="0.25">
      <c r="A467" s="2">
        <v>52</v>
      </c>
      <c r="B467" s="14"/>
      <c r="D467" s="14" t="s">
        <v>379</v>
      </c>
      <c r="F467" s="13"/>
      <c r="G467" s="28"/>
      <c r="H467" s="34">
        <f>'2020'!BH467</f>
        <v>0</v>
      </c>
      <c r="I467" s="13"/>
      <c r="J467" s="15"/>
      <c r="K467" s="15"/>
      <c r="L467" s="28"/>
      <c r="M467" s="13"/>
      <c r="N467" s="15"/>
      <c r="Q467" s="13"/>
      <c r="R467" s="15"/>
      <c r="S467" s="15"/>
      <c r="T467" s="28"/>
      <c r="U467" s="13"/>
      <c r="V467" s="15"/>
      <c r="Y467" s="186"/>
      <c r="Z467" s="2"/>
      <c r="AA467" s="15"/>
      <c r="AB467" s="28"/>
      <c r="AC467" s="15"/>
      <c r="AD467" s="15"/>
      <c r="AG467" s="15"/>
      <c r="AH467" s="2"/>
      <c r="AI467" s="45"/>
      <c r="AJ467" s="15"/>
      <c r="AK467" s="13"/>
      <c r="AM467" s="45"/>
      <c r="AO467" s="13"/>
      <c r="AQ467" s="45"/>
      <c r="AS467" s="13"/>
      <c r="AU467" s="45"/>
      <c r="AW467" s="13"/>
      <c r="AY467" s="45"/>
      <c r="AZ467" s="28"/>
      <c r="BA467" s="13"/>
      <c r="BB467" s="15"/>
      <c r="BC467" s="45"/>
      <c r="BD467" s="28"/>
      <c r="BE467" s="14"/>
      <c r="BF467" s="41">
        <f t="shared" ref="BF467:BG467" si="1690">K467+O467+S467+W467+AA467+AE467+AI467+AM467+AQ467+AU467+AY467+BC467</f>
        <v>0</v>
      </c>
      <c r="BG467" s="34">
        <f t="shared" si="1690"/>
        <v>0</v>
      </c>
      <c r="BH467" s="35">
        <f t="shared" ref="BH467:BH474" si="1691">H467+BF467-BG467</f>
        <v>0</v>
      </c>
      <c r="BK467" s="2" t="b">
        <f>H467='2020'!BH467</f>
        <v>1</v>
      </c>
    </row>
    <row r="468" ht="14.25" customHeight="1" hidden="1" spans="1:63" x14ac:dyDescent="0.25">
      <c r="A468" s="2">
        <v>52</v>
      </c>
      <c r="B468" s="42">
        <v>5</v>
      </c>
      <c r="C468" s="15" t="s">
        <v>206</v>
      </c>
      <c r="D468" s="14" t="s">
        <v>44</v>
      </c>
      <c r="E468" s="2" t="s">
        <v>45</v>
      </c>
      <c r="F468" s="41">
        <v>2.5</v>
      </c>
      <c r="G468" s="35">
        <v>2.6</v>
      </c>
      <c r="H468" s="34">
        <f>'2020'!BH468</f>
        <v>-20.24</v>
      </c>
      <c r="I468" s="13">
        <v>139</v>
      </c>
      <c r="J468" s="15">
        <f>I468-'2020'!BA468</f>
        <v>0</v>
      </c>
      <c r="K468" s="34">
        <f>J468*$F$8</f>
        <v>0</v>
      </c>
      <c r="L468" s="28"/>
      <c r="M468" s="13">
        <v>139</v>
      </c>
      <c r="N468" s="15">
        <f t="shared" ref="N468:N469" si="1692">M468-I468</f>
        <v>0</v>
      </c>
      <c r="O468" s="34">
        <f>N468*$F$8</f>
        <v>0</v>
      </c>
      <c r="Q468" s="13">
        <v>139</v>
      </c>
      <c r="R468" s="15">
        <f t="shared" ref="R468:R469" si="1693">Q468-M468</f>
        <v>0</v>
      </c>
      <c r="S468" s="34">
        <f>R468*$F$8</f>
        <v>0</v>
      </c>
      <c r="T468" s="28"/>
      <c r="U468" s="13">
        <v>139</v>
      </c>
      <c r="V468" s="15">
        <f t="shared" ref="V468:V469" si="1694">U468-Q468</f>
        <v>0</v>
      </c>
      <c r="W468" s="34">
        <f>V468*$F$8</f>
        <v>0</v>
      </c>
      <c r="X468" s="15"/>
      <c r="Y468" s="186">
        <v>147</v>
      </c>
      <c r="Z468" s="2">
        <f t="shared" ref="Z468:Z469" si="1695">Y468-U468</f>
        <v>8</v>
      </c>
      <c r="AA468" s="34">
        <f>Z468*$F$8</f>
        <v>20.8</v>
      </c>
      <c r="AB468" s="28"/>
      <c r="AC468" s="15">
        <v>157</v>
      </c>
      <c r="AD468" s="15">
        <f t="shared" ref="AD468:AD469" si="1696">AC468-Y468</f>
        <v>10</v>
      </c>
      <c r="AE468" s="180">
        <f>AD468*$F$8</f>
        <v>26</v>
      </c>
      <c r="AF468" s="154">
        <v>200</v>
      </c>
      <c r="AG468" s="15">
        <v>162</v>
      </c>
      <c r="AH468" s="2">
        <f t="shared" ref="AH468:AH469" si="1697">AG468-AC468</f>
        <v>5</v>
      </c>
      <c r="AI468" s="45">
        <f>AH468*$G$8</f>
        <v>13.5</v>
      </c>
      <c r="AJ468" s="1"/>
      <c r="AK468" s="13">
        <v>171</v>
      </c>
      <c r="AL468" s="15">
        <f t="shared" ref="AL468:AL469" si="1698">AK468-AG468</f>
        <v>9</v>
      </c>
      <c r="AM468" s="45">
        <f>AL468*$G$8</f>
        <v>24.3</v>
      </c>
      <c r="AN468" s="15"/>
      <c r="AO468" s="13">
        <v>178</v>
      </c>
      <c r="AP468" s="15">
        <f t="shared" ref="AP468:AP469" si="1699">AO468-AK468</f>
        <v>7</v>
      </c>
      <c r="AQ468" s="45">
        <f>AP468*$G$8</f>
        <v>18.9</v>
      </c>
      <c r="AR468" s="15"/>
      <c r="AS468" s="13">
        <v>180</v>
      </c>
      <c r="AT468" s="15">
        <f t="shared" ref="AT468:AT469" si="1700">AS468-AO468</f>
        <v>2</v>
      </c>
      <c r="AU468" s="45">
        <f>AT468*$G$8</f>
        <v>5.4</v>
      </c>
      <c r="AV468" s="15"/>
      <c r="AW468" s="13">
        <v>180</v>
      </c>
      <c r="AX468" s="15">
        <f t="shared" ref="AX468:AX469" si="1701">AW468-AS468</f>
        <v>0</v>
      </c>
      <c r="AY468" s="45">
        <f>AX468*$G$8</f>
        <v>0</v>
      </c>
      <c r="AZ468" s="208"/>
      <c r="BA468" s="13">
        <v>180</v>
      </c>
      <c r="BB468" s="15">
        <f t="shared" ref="BB468:BB469" si="1702">BA468-AW468</f>
        <v>0</v>
      </c>
      <c r="BC468" s="45">
        <f>BB468*$G$8</f>
        <v>0</v>
      </c>
      <c r="BD468" s="208"/>
      <c r="BE468" s="40">
        <f t="shared" ref="BE468:BG468" si="1703">J468+N468+R468+V468+Z468+AD468+AH468+AL468+AP468+AT468+AX468+BB468</f>
        <v>41</v>
      </c>
      <c r="BF468" s="41">
        <f t="shared" si="1703"/>
        <v>108.9</v>
      </c>
      <c r="BG468" s="34">
        <f t="shared" si="1703"/>
        <v>200</v>
      </c>
      <c r="BH468" s="35">
        <f t="shared" si="1691"/>
        <v>-111.34</v>
      </c>
      <c r="BK468" s="2" t="b">
        <f>H468='2020'!BH468</f>
        <v>1</v>
      </c>
    </row>
    <row r="469" ht="14.25" customHeight="1" hidden="1" spans="1:63" x14ac:dyDescent="0.25">
      <c r="A469" s="2">
        <v>52</v>
      </c>
      <c r="B469" s="14"/>
      <c r="C469" s="2" t="s">
        <v>104</v>
      </c>
      <c r="D469" s="14" t="s">
        <v>47</v>
      </c>
      <c r="E469" s="2" t="s">
        <v>48</v>
      </c>
      <c r="F469" s="13">
        <v>18.56</v>
      </c>
      <c r="G469" s="35">
        <v>19.46</v>
      </c>
      <c r="H469" s="90">
        <f>'2020'!BH469</f>
        <v>0</v>
      </c>
      <c r="I469" s="13">
        <v>215</v>
      </c>
      <c r="J469" s="15"/>
      <c r="K469" s="15"/>
      <c r="L469" s="28"/>
      <c r="M469" s="13">
        <v>215</v>
      </c>
      <c r="N469" s="15">
        <f t="shared" si="1692"/>
        <v>0</v>
      </c>
      <c r="Q469" s="13">
        <v>215</v>
      </c>
      <c r="R469" s="15">
        <f t="shared" si="1693"/>
        <v>0</v>
      </c>
      <c r="S469" s="15"/>
      <c r="T469" s="28"/>
      <c r="U469" s="13">
        <v>215</v>
      </c>
      <c r="V469" s="15">
        <f t="shared" si="1694"/>
        <v>0</v>
      </c>
      <c r="W469" s="34">
        <f>V469*$F$10</f>
        <v>0</v>
      </c>
      <c r="Y469" s="186">
        <f>151+64</f>
        <v>215</v>
      </c>
      <c r="Z469" s="2">
        <f t="shared" si="1695"/>
        <v>0</v>
      </c>
      <c r="AA469" s="34">
        <f>Z469*$F$10</f>
        <v>0</v>
      </c>
      <c r="AB469" s="28"/>
      <c r="AC469" s="186">
        <f>156+65</f>
        <v>221</v>
      </c>
      <c r="AD469" s="15">
        <f t="shared" si="1696"/>
        <v>6</v>
      </c>
      <c r="AE469" s="34">
        <f>AD469*$F$10</f>
        <v>116.76</v>
      </c>
      <c r="AF469" s="182">
        <v>300</v>
      </c>
      <c r="AG469" s="186">
        <f>156+65</f>
        <v>221</v>
      </c>
      <c r="AH469" s="2">
        <f t="shared" si="1697"/>
        <v>0</v>
      </c>
      <c r="AI469" s="45">
        <f>AH469*$G$10</f>
        <v>0</v>
      </c>
      <c r="AJ469" s="1"/>
      <c r="AK469" s="13">
        <f>66+161</f>
        <v>227</v>
      </c>
      <c r="AL469" s="15">
        <f t="shared" si="1698"/>
        <v>6</v>
      </c>
      <c r="AM469" s="45">
        <f>AL469*$G$10</f>
        <v>122.1</v>
      </c>
      <c r="AN469" s="15"/>
      <c r="AO469" s="13">
        <f>66+161</f>
        <v>227</v>
      </c>
      <c r="AP469" s="15">
        <f t="shared" si="1699"/>
        <v>0</v>
      </c>
      <c r="AQ469" s="45">
        <f>AP469*$G$10</f>
        <v>0</v>
      </c>
      <c r="AR469" s="15"/>
      <c r="AS469" s="13">
        <f>66+161</f>
        <v>227</v>
      </c>
      <c r="AT469" s="15">
        <f t="shared" si="1700"/>
        <v>0</v>
      </c>
      <c r="AU469" s="45">
        <f>AT469*$G$10</f>
        <v>0</v>
      </c>
      <c r="AV469" s="15"/>
      <c r="AW469" s="13">
        <f>66+161</f>
        <v>227</v>
      </c>
      <c r="AX469" s="15">
        <f t="shared" si="1701"/>
        <v>0</v>
      </c>
      <c r="AY469" s="45"/>
      <c r="AZ469" s="208"/>
      <c r="BA469" s="13">
        <f>66+161</f>
        <v>227</v>
      </c>
      <c r="BB469" s="15">
        <f t="shared" si="1702"/>
        <v>0</v>
      </c>
      <c r="BC469" s="45"/>
      <c r="BD469" s="208"/>
      <c r="BE469" s="40">
        <f t="shared" ref="BE469:BG469" si="1704">J469+N469+R469+V469+Z469+AD469+AH469+AL469+AP469+AT469+AX469+BB469</f>
        <v>12</v>
      </c>
      <c r="BF469" s="41">
        <f t="shared" si="1704"/>
        <v>238.86</v>
      </c>
      <c r="BG469" s="34">
        <f t="shared" si="1704"/>
        <v>300</v>
      </c>
      <c r="BH469" s="35">
        <f t="shared" si="1691"/>
        <v>-61.14</v>
      </c>
      <c r="BI469" s="34"/>
      <c r="BK469" s="2" t="b">
        <f>H469='2020'!BH469</f>
        <v>1</v>
      </c>
    </row>
    <row r="470" ht="14.25" customHeight="1" hidden="1" spans="1:63" x14ac:dyDescent="0.25">
      <c r="A470" s="2">
        <v>52</v>
      </c>
      <c r="B470" s="14"/>
      <c r="C470" s="2" t="s">
        <v>208</v>
      </c>
      <c r="D470" s="14" t="s">
        <v>47</v>
      </c>
      <c r="E470" s="2" t="s">
        <v>49</v>
      </c>
      <c r="F470" s="41">
        <v>500</v>
      </c>
      <c r="G470" s="28"/>
      <c r="H470" s="34">
        <f>'2020'!BH470</f>
        <v>0</v>
      </c>
      <c r="I470" s="13"/>
      <c r="J470" s="15"/>
      <c r="K470" s="15"/>
      <c r="L470" s="28"/>
      <c r="M470" s="13"/>
      <c r="N470" s="15"/>
      <c r="Q470" s="13"/>
      <c r="R470" s="15"/>
      <c r="S470" s="15"/>
      <c r="T470" s="28"/>
      <c r="U470" s="13"/>
      <c r="V470" s="15"/>
      <c r="Y470" s="186"/>
      <c r="Z470" s="2"/>
      <c r="AA470" s="15"/>
      <c r="AB470" s="28"/>
      <c r="AC470" s="15"/>
      <c r="AD470" s="15"/>
      <c r="AF470" s="154"/>
      <c r="AG470" s="15"/>
      <c r="AH470" s="2"/>
      <c r="AI470" s="45"/>
      <c r="AJ470" s="15"/>
      <c r="AK470" s="13"/>
      <c r="AL470" s="15"/>
      <c r="AM470" s="45"/>
      <c r="AN470" s="15"/>
      <c r="AO470" s="13"/>
      <c r="AP470" s="15"/>
      <c r="AQ470" s="45"/>
      <c r="AR470" s="15"/>
      <c r="AS470" s="13"/>
      <c r="AT470" s="15"/>
      <c r="AU470" s="45"/>
      <c r="AV470" s="15"/>
      <c r="AW470" s="13"/>
      <c r="AX470" s="15"/>
      <c r="AY470" s="45"/>
      <c r="AZ470" s="28"/>
      <c r="BA470" s="13"/>
      <c r="BB470" s="15"/>
      <c r="BC470" s="45"/>
      <c r="BD470" s="28"/>
      <c r="BE470" s="14"/>
      <c r="BF470" s="41">
        <f t="shared" ref="BF470:BG470" si="1705">K470+O470+S470+W470+AA470+AE470+AI470+AM470+AQ470+AU470+AY470+BC470</f>
        <v>0</v>
      </c>
      <c r="BG470" s="34">
        <f t="shared" si="1705"/>
        <v>0</v>
      </c>
      <c r="BH470" s="35">
        <f t="shared" si="1691"/>
        <v>0</v>
      </c>
      <c r="BK470" s="2" t="b">
        <f>H470='2020'!BH470</f>
        <v>1</v>
      </c>
    </row>
    <row r="471" ht="14.25" customHeight="1" hidden="1" spans="1:63" x14ac:dyDescent="0.25">
      <c r="A471" s="2">
        <v>52</v>
      </c>
      <c r="B471" s="14"/>
      <c r="C471" s="2" t="s">
        <v>209</v>
      </c>
      <c r="D471" s="14" t="s">
        <v>50</v>
      </c>
      <c r="E471" s="2" t="s">
        <v>49</v>
      </c>
      <c r="F471" s="41">
        <v>1100</v>
      </c>
      <c r="G471" s="28"/>
      <c r="H471" s="34">
        <f>'2020'!BH471</f>
        <v>0</v>
      </c>
      <c r="I471" s="13"/>
      <c r="J471" s="15"/>
      <c r="K471" s="15"/>
      <c r="L471" s="28"/>
      <c r="M471" s="13"/>
      <c r="N471" s="15"/>
      <c r="Q471" s="13"/>
      <c r="R471" s="15"/>
      <c r="S471" s="15"/>
      <c r="T471" s="28"/>
      <c r="U471" s="13"/>
      <c r="V471" s="15"/>
      <c r="Y471" s="186"/>
      <c r="Z471" s="2"/>
      <c r="AA471" s="15"/>
      <c r="AB471" s="28"/>
      <c r="AC471" s="15"/>
      <c r="AD471" s="15"/>
      <c r="AE471" s="182">
        <v>5500</v>
      </c>
      <c r="AF471" s="182">
        <v>5500</v>
      </c>
      <c r="AG471" s="15"/>
      <c r="AH471" s="2"/>
      <c r="AI471" s="45"/>
      <c r="AJ471" s="39"/>
      <c r="AK471" s="13"/>
      <c r="AL471" s="15"/>
      <c r="AM471" s="45"/>
      <c r="AN471" s="34"/>
      <c r="AO471" s="13"/>
      <c r="AP471" s="15"/>
      <c r="AQ471" s="45"/>
      <c r="AR471" s="15"/>
      <c r="AS471" s="13"/>
      <c r="AT471" s="15"/>
      <c r="AU471" s="45"/>
      <c r="AV471" s="15"/>
      <c r="AW471" s="13"/>
      <c r="AX471" s="15"/>
      <c r="AY471" s="45"/>
      <c r="AZ471" s="28"/>
      <c r="BA471" s="13"/>
      <c r="BB471" s="15"/>
      <c r="BC471" s="45"/>
      <c r="BD471" s="28"/>
      <c r="BE471" s="14"/>
      <c r="BF471" s="41">
        <f t="shared" ref="BF471:BG471" si="1706">K471+O471+S471+W471+AA471+AE471+AI471+AM471+AQ471+AU471+AY471+BC471</f>
        <v>5500</v>
      </c>
      <c r="BG471" s="34">
        <f t="shared" si="1706"/>
        <v>5500</v>
      </c>
      <c r="BH471" s="35">
        <f t="shared" si="1691"/>
        <v>0</v>
      </c>
      <c r="BK471" s="2" t="b">
        <f>H471='2020'!BH471</f>
        <v>1</v>
      </c>
    </row>
    <row r="472" ht="14.25" customHeight="1" hidden="1" spans="1:63" x14ac:dyDescent="0.25">
      <c r="A472" s="2">
        <v>52</v>
      </c>
      <c r="B472" s="14"/>
      <c r="D472" s="14" t="s">
        <v>51</v>
      </c>
      <c r="E472" s="2" t="s">
        <v>39</v>
      </c>
      <c r="F472" s="41">
        <v>500</v>
      </c>
      <c r="G472" s="28"/>
      <c r="H472" s="34">
        <f>'2020'!BH472</f>
        <v>500</v>
      </c>
      <c r="I472" s="13"/>
      <c r="J472" s="15"/>
      <c r="K472" s="15"/>
      <c r="L472" s="28"/>
      <c r="M472" s="13"/>
      <c r="N472" s="15"/>
      <c r="Q472" s="13"/>
      <c r="R472" s="15"/>
      <c r="S472" s="15"/>
      <c r="T472" s="28"/>
      <c r="U472" s="13"/>
      <c r="V472" s="15"/>
      <c r="Y472" s="186"/>
      <c r="Z472" s="2"/>
      <c r="AA472" s="15"/>
      <c r="AB472" s="28"/>
      <c r="AC472" s="15"/>
      <c r="AD472" s="15"/>
      <c r="AE472" s="180">
        <f>$F$13</f>
      </c>
      <c r="AF472" s="182">
        <v>500</v>
      </c>
      <c r="AG472" s="15"/>
      <c r="AH472" s="2"/>
      <c r="AI472" s="45"/>
      <c r="AJ472" s="15"/>
      <c r="AK472" s="13"/>
      <c r="AL472" s="15"/>
      <c r="AM472" s="45"/>
      <c r="AN472" s="15"/>
      <c r="AO472" s="13"/>
      <c r="AP472" s="15"/>
      <c r="AQ472" s="180"/>
      <c r="AR472" s="15"/>
      <c r="AS472" s="13"/>
      <c r="AT472" s="15"/>
      <c r="AU472" s="45"/>
      <c r="AV472" s="15"/>
      <c r="AW472" s="13"/>
      <c r="AX472" s="15"/>
      <c r="AY472" s="45"/>
      <c r="AZ472" s="28"/>
      <c r="BA472" s="13"/>
      <c r="BB472" s="15"/>
      <c r="BC472" s="45"/>
      <c r="BD472" s="28"/>
      <c r="BE472" s="14"/>
      <c r="BF472" s="41">
        <f t="shared" ref="BF472:BG472" si="1707">K472+O472+S472+W472+AA472+AE472+AI472+AM472+AQ472+AU472+AY472+BC472</f>
        <v>0</v>
      </c>
      <c r="BG472" s="34">
        <f t="shared" si="1707"/>
        <v>500</v>
      </c>
      <c r="BH472" s="35">
        <f t="shared" si="1691"/>
        <v>0</v>
      </c>
      <c r="BK472" s="2" t="b">
        <f>H472='2020'!BH472</f>
        <v>1</v>
      </c>
    </row>
    <row r="473" ht="14.25" customHeight="1" hidden="1" spans="1:63" x14ac:dyDescent="0.25">
      <c r="A473" s="2">
        <v>52</v>
      </c>
      <c r="B473" s="14"/>
      <c r="D473" s="14" t="s">
        <v>51</v>
      </c>
      <c r="E473" s="2" t="s">
        <v>49</v>
      </c>
      <c r="F473" s="41">
        <v>500</v>
      </c>
      <c r="G473" s="28"/>
      <c r="H473" s="34">
        <f>'2020'!BH473</f>
        <v>2500</v>
      </c>
      <c r="I473" s="13"/>
      <c r="J473" s="15"/>
      <c r="K473" s="15"/>
      <c r="L473" s="28"/>
      <c r="M473" s="13"/>
      <c r="N473" s="15"/>
      <c r="Q473" s="13"/>
      <c r="R473" s="15"/>
      <c r="S473" s="15"/>
      <c r="T473" s="28"/>
      <c r="U473" s="13"/>
      <c r="V473" s="15"/>
      <c r="Y473" s="186"/>
      <c r="Z473" s="2"/>
      <c r="AA473" s="15"/>
      <c r="AB473" s="28"/>
      <c r="AC473" s="15"/>
      <c r="AD473" s="15"/>
      <c r="AE473" s="34"/>
      <c r="AF473" s="182">
        <v>2500</v>
      </c>
      <c r="AG473" s="15"/>
      <c r="AH473" s="2"/>
      <c r="AI473" s="45"/>
      <c r="AJ473" s="15"/>
      <c r="AK473" s="13"/>
      <c r="AL473" s="15"/>
      <c r="AM473" s="45"/>
      <c r="AN473" s="15"/>
      <c r="AO473" s="13"/>
      <c r="AP473" s="15"/>
      <c r="AQ473" s="180">
        <f>B468*$F$14</f>
        <v>0</v>
      </c>
      <c r="AR473" s="15"/>
      <c r="AS473" s="13"/>
      <c r="AT473" s="15"/>
      <c r="AU473" s="45"/>
      <c r="AV473" s="15"/>
      <c r="AW473" s="13"/>
      <c r="AX473" s="15"/>
      <c r="AY473" s="45"/>
      <c r="AZ473" s="28"/>
      <c r="BA473" s="13"/>
      <c r="BB473" s="15"/>
      <c r="BC473" s="45"/>
      <c r="BD473" s="28"/>
      <c r="BE473" s="14"/>
      <c r="BF473" s="41">
        <f t="shared" ref="BF473:BG473" si="1708">K473+O473+S473+W473+AA473+AE473+AI473+AM473+AQ473+AU473+AY473+BC473</f>
        <v>0</v>
      </c>
      <c r="BG473" s="34">
        <f t="shared" si="1708"/>
        <v>2500</v>
      </c>
      <c r="BH473" s="35">
        <f t="shared" si="1691"/>
        <v>0</v>
      </c>
      <c r="BK473" s="2" t="b">
        <f>H473='2020'!BH473</f>
        <v>1</v>
      </c>
    </row>
    <row r="474" ht="14.25" customHeight="1" hidden="1" spans="1:63" x14ac:dyDescent="0.25">
      <c r="A474" s="2">
        <v>52</v>
      </c>
      <c r="B474" s="14"/>
      <c r="D474" s="14" t="s">
        <v>52</v>
      </c>
      <c r="E474" s="2" t="s">
        <v>39</v>
      </c>
      <c r="F474" s="41">
        <v>500</v>
      </c>
      <c r="G474" s="28"/>
      <c r="H474" s="34">
        <f>'2020'!BH474</f>
        <v>0</v>
      </c>
      <c r="I474" s="13"/>
      <c r="J474" s="15"/>
      <c r="K474" s="15"/>
      <c r="L474" s="28"/>
      <c r="M474" s="13"/>
      <c r="N474" s="15"/>
      <c r="Q474" s="13"/>
      <c r="R474" s="15"/>
      <c r="S474" s="15"/>
      <c r="T474" s="28"/>
      <c r="U474" s="13"/>
      <c r="V474" s="15"/>
      <c r="Y474" s="186"/>
      <c r="Z474" s="2"/>
      <c r="AA474" s="34">
        <f>$F$15</f>
      </c>
      <c r="AB474" s="35"/>
      <c r="AC474" s="15"/>
      <c r="AD474" s="15"/>
      <c r="AF474" s="34"/>
      <c r="AG474" s="15"/>
      <c r="AH474" s="2"/>
      <c r="AI474" s="45"/>
      <c r="AJ474" s="15"/>
      <c r="AK474" s="13"/>
      <c r="AL474" s="15"/>
      <c r="AM474" s="45"/>
      <c r="AN474" s="34"/>
      <c r="AO474" s="13"/>
      <c r="AP474" s="15"/>
      <c r="AQ474" s="45"/>
      <c r="AR474" s="15"/>
      <c r="AS474" s="13"/>
      <c r="AT474" s="15"/>
      <c r="AU474" s="45"/>
      <c r="AV474" s="15"/>
      <c r="AW474" s="13"/>
      <c r="AX474" s="15"/>
      <c r="AY474" s="45"/>
      <c r="AZ474" s="35"/>
      <c r="BA474" s="13"/>
      <c r="BB474" s="15"/>
      <c r="BC474" s="45"/>
      <c r="BD474" s="35"/>
      <c r="BE474" s="14"/>
      <c r="BF474" s="41">
        <f t="shared" ref="BF474:BG474" si="1709">K474+O474+S474+W474+AA474+AE474+AI474+AM474+AQ474+AU474+AY474+BC474</f>
        <v>0</v>
      </c>
      <c r="BG474" s="34">
        <f t="shared" si="1709"/>
        <v>0</v>
      </c>
      <c r="BH474" s="35">
        <f t="shared" si="1691"/>
        <v>0</v>
      </c>
      <c r="BK474" s="2" t="b">
        <f>H474='2020'!BH474</f>
        <v>1</v>
      </c>
    </row>
    <row r="475" ht="14.25" customHeight="1" hidden="1" spans="1:63" x14ac:dyDescent="0.25">
      <c r="A475" s="247">
        <v>52</v>
      </c>
      <c r="B475" s="21"/>
      <c r="C475" s="22" t="s">
        <v>53</v>
      </c>
      <c r="D475" s="21"/>
      <c r="E475" s="22"/>
      <c r="F475" s="20"/>
      <c r="G475" s="23"/>
      <c r="H475" s="51">
        <f>SUM(H467:H474)</f>
        <v>2979.76</v>
      </c>
      <c r="I475" s="52"/>
      <c r="J475" s="53"/>
      <c r="K475" s="51">
        <f t="shared" ref="K475:L475" si="1710">SUM(K467:K474)</f>
        <v>0</v>
      </c>
      <c r="L475" s="68">
        <f t="shared" si="1710"/>
        <v>0</v>
      </c>
      <c r="M475" s="52"/>
      <c r="N475" s="53"/>
      <c r="O475" s="51">
        <f t="shared" ref="O475:P475" si="1711">SUM(O467:O474)</f>
        <v>0</v>
      </c>
      <c r="P475" s="51">
        <f t="shared" si="1711"/>
        <v>0</v>
      </c>
      <c r="Q475" s="52"/>
      <c r="R475" s="53"/>
      <c r="S475" s="51">
        <f t="shared" ref="S475:T475" si="1712">SUM(S467:S474)</f>
        <v>0</v>
      </c>
      <c r="T475" s="51">
        <f t="shared" si="1712"/>
        <v>0</v>
      </c>
      <c r="U475" s="52"/>
      <c r="V475" s="53"/>
      <c r="W475" s="51">
        <f t="shared" ref="W475:X475" si="1713">SUM(W467:W474)</f>
        <v>0</v>
      </c>
      <c r="X475" s="51">
        <f t="shared" si="1713"/>
        <v>0</v>
      </c>
      <c r="Y475" s="300"/>
      <c r="Z475" s="301"/>
      <c r="AA475" s="51">
        <f t="shared" ref="AA475:AB475" si="1714">SUM(AA467:AA474)</f>
        <v>20.8</v>
      </c>
      <c r="AB475" s="51">
        <f t="shared" si="1714"/>
        <v>0</v>
      </c>
      <c r="AC475" s="52"/>
      <c r="AD475" s="53"/>
      <c r="AE475" s="51">
        <f t="shared" ref="AE475:AF475" si="1715">SUM(AE467:AE474)</f>
        <v>5642.76</v>
      </c>
      <c r="AF475" s="51">
        <f t="shared" si="1715"/>
        <v>9000</v>
      </c>
      <c r="AG475" s="52"/>
      <c r="AH475" s="301"/>
      <c r="AI475" s="183">
        <f t="shared" ref="AI475:AJ475" si="1716">SUM(AI467:AI474)</f>
        <v>13.5</v>
      </c>
      <c r="AJ475" s="51">
        <f t="shared" si="1716"/>
        <v>0</v>
      </c>
      <c r="AK475" s="52"/>
      <c r="AL475" s="53"/>
      <c r="AM475" s="183">
        <f t="shared" ref="AM475:AN475" si="1717">SUM(AM467:AM474)</f>
        <v>146.4</v>
      </c>
      <c r="AN475" s="51">
        <f t="shared" si="1717"/>
        <v>0</v>
      </c>
      <c r="AO475" s="52"/>
      <c r="AP475" s="53"/>
      <c r="AQ475" s="183">
        <f t="shared" ref="AQ475:AR475" si="1718">SUM(AQ467:AQ474)</f>
        <v>18.9</v>
      </c>
      <c r="AR475" s="51">
        <f t="shared" si="1718"/>
        <v>0</v>
      </c>
      <c r="AS475" s="52"/>
      <c r="AT475" s="53"/>
      <c r="AU475" s="183">
        <f t="shared" ref="AU475:AV475" si="1719">SUM(AU467:AU474)</f>
        <v>5.4</v>
      </c>
      <c r="AV475" s="68">
        <f t="shared" si="1719"/>
        <v>0</v>
      </c>
      <c r="AW475" s="52"/>
      <c r="AX475" s="53"/>
      <c r="AY475" s="183">
        <f t="shared" ref="AY475:AZ475" si="1720">SUM(AY467:AY474)</f>
        <v>0</v>
      </c>
      <c r="AZ475" s="68">
        <f t="shared" si="1720"/>
        <v>0</v>
      </c>
      <c r="BA475" s="52"/>
      <c r="BB475" s="53"/>
      <c r="BC475" s="183">
        <f t="shared" ref="BC475:BD475" si="1721">SUM(BC467:BC474)</f>
        <v>0</v>
      </c>
      <c r="BD475" s="68">
        <f t="shared" si="1721"/>
        <v>0</v>
      </c>
      <c r="BE475" s="69"/>
      <c r="BF475" s="70">
        <f t="shared" ref="BF475:BH475" si="1722">SUM(BF467:BF474)</f>
        <v>5847.76</v>
      </c>
      <c r="BG475" s="71">
        <f t="shared" si="1722"/>
        <v>9000</v>
      </c>
      <c r="BH475" s="72">
        <f t="shared" si="1722"/>
        <v>-172.48</v>
      </c>
      <c r="BI475" s="34">
        <f>H475+BF475-BG475</f>
        <v>-172.48</v>
      </c>
      <c r="BJ475" s="34">
        <f>BH475-BI475</f>
        <v>0</v>
      </c>
      <c r="BK475" s="2" t="b">
        <f>H475='2020'!BH475</f>
        <v>1</v>
      </c>
    </row>
    <row r="476" ht="14.25" customHeight="1" hidden="1" spans="1:63" x14ac:dyDescent="0.25">
      <c r="A476" s="2">
        <v>53</v>
      </c>
      <c r="B476" s="14"/>
      <c r="D476" s="178" t="s">
        <v>486</v>
      </c>
      <c r="F476" s="13"/>
      <c r="G476" s="28"/>
      <c r="H476" s="34">
        <f>'2020'!BH476</f>
        <v>0.5</v>
      </c>
      <c r="I476" s="13"/>
      <c r="J476" s="15"/>
      <c r="K476" s="15"/>
      <c r="L476" s="28"/>
      <c r="M476" s="13"/>
      <c r="N476" s="15"/>
      <c r="Q476" s="13"/>
      <c r="R476" s="15"/>
      <c r="S476" s="15"/>
      <c r="T476" s="28"/>
      <c r="U476" s="13"/>
      <c r="V476" s="15"/>
      <c r="W476" s="153"/>
      <c r="X476" s="34"/>
      <c r="Y476" s="186"/>
      <c r="Z476" s="2"/>
      <c r="AA476" s="15"/>
      <c r="AB476" s="28"/>
      <c r="AC476" s="15"/>
      <c r="AD476" s="15"/>
      <c r="AG476" s="15"/>
      <c r="AH476" s="2"/>
      <c r="AI476" s="45"/>
      <c r="AJ476" s="15"/>
      <c r="AK476" s="13"/>
      <c r="AM476" s="45"/>
      <c r="AO476" s="13"/>
      <c r="AQ476" s="45"/>
      <c r="AS476" s="13"/>
      <c r="AU476" s="45"/>
      <c r="AW476" s="13"/>
      <c r="AY476" s="45"/>
      <c r="AZ476" s="28"/>
      <c r="BA476" s="13"/>
      <c r="BB476" s="15"/>
      <c r="BC476" s="45"/>
      <c r="BD476" s="28"/>
      <c r="BE476" s="14"/>
      <c r="BF476" s="41">
        <f t="shared" ref="BF476:BG476" si="1723">K476+O476+S476+W476+AA476+AE476+AI476+AM476+AQ476+AU476+AY476+BC476</f>
        <v>0</v>
      </c>
      <c r="BG476" s="34">
        <f t="shared" si="1723"/>
        <v>0</v>
      </c>
      <c r="BH476" s="35">
        <f t="shared" ref="BH476:BH483" si="1724">H476+BF476-BG476</f>
        <v>0.5</v>
      </c>
      <c r="BK476" s="2" t="b">
        <f>H476='2020'!BH476</f>
        <v>1</v>
      </c>
    </row>
    <row r="477" ht="14.25" customHeight="1" hidden="1" spans="1:63" x14ac:dyDescent="0.25">
      <c r="A477" s="2">
        <v>53</v>
      </c>
      <c r="B477" s="14">
        <v>5.05</v>
      </c>
      <c r="C477" s="2" t="s">
        <v>210</v>
      </c>
      <c r="D477" s="14" t="s">
        <v>44</v>
      </c>
      <c r="E477" s="2" t="s">
        <v>45</v>
      </c>
      <c r="F477" s="41">
        <v>2.5</v>
      </c>
      <c r="G477" s="35">
        <v>2.6</v>
      </c>
      <c r="H477" s="180">
        <f>'2020'!BH477</f>
        <v>2726.23</v>
      </c>
      <c r="I477" s="13">
        <v>14504</v>
      </c>
      <c r="J477" s="15">
        <f>I477-'2020'!BA477</f>
        <v>2651</v>
      </c>
      <c r="K477" s="34">
        <f>J477*$F$8</f>
        <v>6892.6</v>
      </c>
      <c r="L477" s="32">
        <f>3000+7000</f>
        <v>10000</v>
      </c>
      <c r="M477" s="13">
        <v>16183</v>
      </c>
      <c r="N477" s="15">
        <f t="shared" ref="N477:N478" si="1725">M477-I477</f>
        <v>1679</v>
      </c>
      <c r="O477" s="34">
        <f>N477*$F$8</f>
        <v>4365.4</v>
      </c>
      <c r="Q477" s="13">
        <v>16779</v>
      </c>
      <c r="R477" s="15">
        <f t="shared" ref="R477:R478" si="1726">Q477-M477</f>
        <v>596</v>
      </c>
      <c r="S477" s="34">
        <f>R477*$F$8</f>
        <v>1549.6</v>
      </c>
      <c r="T477" s="38">
        <v>5000</v>
      </c>
      <c r="U477" s="13">
        <v>17173</v>
      </c>
      <c r="V477" s="15">
        <f t="shared" ref="V477:V478" si="1727">U477-Q477</f>
        <v>394</v>
      </c>
      <c r="W477" s="34">
        <f>V477*$F$8</f>
        <v>1024.4</v>
      </c>
      <c r="X477" s="39">
        <v>1800</v>
      </c>
      <c r="Y477" s="328">
        <v>17547</v>
      </c>
      <c r="Z477" s="286">
        <f t="shared" ref="Z477:Z478" si="1728">Y477-U477</f>
        <v>374</v>
      </c>
      <c r="AA477" s="34">
        <f>Z477*$F$8</f>
        <v>972.4</v>
      </c>
      <c r="AB477" s="32">
        <v>1000</v>
      </c>
      <c r="AC477" s="15">
        <v>17918</v>
      </c>
      <c r="AD477" s="37">
        <f t="shared" ref="AD477:AD478" si="1729">AC477-Y477</f>
        <v>371</v>
      </c>
      <c r="AE477" s="180">
        <f>AD477*$F$8</f>
        <v>964.6</v>
      </c>
      <c r="AF477" s="248">
        <v>1000</v>
      </c>
      <c r="AG477" s="15">
        <v>18297</v>
      </c>
      <c r="AH477" s="2">
        <f t="shared" ref="AH477:AH478" si="1730">AG477-AC477</f>
        <v>379</v>
      </c>
      <c r="AI477" s="45">
        <f>AH477*$G$8</f>
        <v>1023.3</v>
      </c>
      <c r="AJ477" s="180"/>
      <c r="AK477" s="13">
        <v>18651</v>
      </c>
      <c r="AL477" s="15">
        <f t="shared" ref="AL477:AL478" si="1731">AK477-AG477</f>
        <v>354</v>
      </c>
      <c r="AM477" s="45">
        <f>AL477*$G$8</f>
        <v>955.8</v>
      </c>
      <c r="AN477" s="34"/>
      <c r="AO477" s="13">
        <v>19190</v>
      </c>
      <c r="AP477" s="15">
        <f t="shared" ref="AP477:AP478" si="1732">AO477-AK477</f>
        <v>539</v>
      </c>
      <c r="AQ477" s="45">
        <f>AP477*$G$8</f>
        <v>1455.3</v>
      </c>
      <c r="AR477" s="15">
        <v>2000</v>
      </c>
      <c r="AS477" s="13">
        <v>19826</v>
      </c>
      <c r="AT477" s="15">
        <f t="shared" ref="AT477:AT478" si="1733">AS477-AO477</f>
        <v>636</v>
      </c>
      <c r="AU477" s="45">
        <f>AT477*$G$8</f>
        <v>1717.2</v>
      </c>
      <c r="AV477" s="15"/>
      <c r="AW477" s="13">
        <v>21954</v>
      </c>
      <c r="AX477" s="15">
        <f t="shared" ref="AX477:AX478" si="1734">AW477-AS477</f>
        <v>2128</v>
      </c>
      <c r="AY477" s="45">
        <f>AX477*$G$8</f>
        <v>5745.6</v>
      </c>
      <c r="AZ477" s="246"/>
      <c r="BA477" s="13">
        <v>23857</v>
      </c>
      <c r="BB477" s="15">
        <f t="shared" ref="BB477:BB478" si="1735">BA477-AW477</f>
        <v>1903</v>
      </c>
      <c r="BC477" s="45">
        <f>BB477*$G$8</f>
        <v>5138.1</v>
      </c>
      <c r="BD477" s="208">
        <v>12000</v>
      </c>
      <c r="BE477" s="40">
        <f t="shared" ref="BE477:BG477" si="1736">J477+N477+R477+V477+Z477+AD477+AH477+AL477+AP477+AT477+AX477+BB477</f>
        <v>12004</v>
      </c>
      <c r="BF477" s="41">
        <f t="shared" si="1736"/>
        <v>31804.3</v>
      </c>
      <c r="BG477" s="34">
        <f t="shared" si="1736"/>
        <v>32800</v>
      </c>
      <c r="BH477" s="35">
        <f t="shared" si="1724"/>
        <v>1730.53</v>
      </c>
      <c r="BK477" s="2" t="b">
        <f>H477='2020'!BH477</f>
        <v>1</v>
      </c>
    </row>
    <row r="478" ht="14.25" customHeight="1" hidden="1" spans="1:63" x14ac:dyDescent="0.25">
      <c r="A478" s="2">
        <v>53</v>
      </c>
      <c r="B478" s="14"/>
      <c r="C478" s="2" t="s">
        <v>153</v>
      </c>
      <c r="D478" s="14" t="s">
        <v>47</v>
      </c>
      <c r="E478" s="2" t="s">
        <v>48</v>
      </c>
      <c r="F478" s="13">
        <v>18.56</v>
      </c>
      <c r="G478" s="35">
        <v>19.46</v>
      </c>
      <c r="H478" s="180">
        <f>'2020'!BH478</f>
        <v>-718.56</v>
      </c>
      <c r="I478" s="13">
        <v>110</v>
      </c>
      <c r="J478" s="15"/>
      <c r="K478" s="15"/>
      <c r="L478" s="28"/>
      <c r="M478" s="13">
        <v>110</v>
      </c>
      <c r="N478" s="15">
        <f t="shared" si="1725"/>
        <v>0</v>
      </c>
      <c r="Q478" s="13">
        <v>110</v>
      </c>
      <c r="R478" s="15">
        <f t="shared" si="1726"/>
        <v>0</v>
      </c>
      <c r="S478" s="15"/>
      <c r="T478" s="28"/>
      <c r="U478" s="13">
        <v>110</v>
      </c>
      <c r="V478" s="15">
        <f t="shared" si="1727"/>
        <v>0</v>
      </c>
      <c r="W478" s="180">
        <f>V478*$F$10</f>
        <v>0</v>
      </c>
      <c r="Y478" s="186">
        <v>112</v>
      </c>
      <c r="Z478" s="2">
        <f t="shared" si="1728"/>
        <v>2</v>
      </c>
      <c r="AA478" s="34">
        <f>Z478*$F$10</f>
        <v>38.92</v>
      </c>
      <c r="AB478" s="28"/>
      <c r="AC478" s="15">
        <v>123</v>
      </c>
      <c r="AD478" s="15">
        <f t="shared" si="1729"/>
        <v>11</v>
      </c>
      <c r="AE478" s="34">
        <f>AD478*$F$10</f>
        <v>214.06</v>
      </c>
      <c r="AF478" s="180"/>
      <c r="AG478" s="15">
        <v>130</v>
      </c>
      <c r="AH478" s="2">
        <f t="shared" si="1730"/>
        <v>7</v>
      </c>
      <c r="AI478" s="45">
        <f>AH478*$G$10</f>
        <v>142.45</v>
      </c>
      <c r="AJ478" s="248"/>
      <c r="AK478" s="13">
        <v>130</v>
      </c>
      <c r="AL478" s="15">
        <f t="shared" si="1731"/>
        <v>0</v>
      </c>
      <c r="AM478" s="45">
        <f>AL478*$G$10</f>
        <v>0</v>
      </c>
      <c r="AN478" s="15"/>
      <c r="AO478" s="13">
        <v>132</v>
      </c>
      <c r="AP478" s="15">
        <f t="shared" si="1732"/>
        <v>2</v>
      </c>
      <c r="AQ478" s="45">
        <f>AP478*$G$10</f>
        <v>40.7</v>
      </c>
      <c r="AR478" s="15"/>
      <c r="AS478" s="13">
        <v>132</v>
      </c>
      <c r="AT478" s="15">
        <f t="shared" si="1733"/>
        <v>0</v>
      </c>
      <c r="AU478" s="45">
        <f>AT478*$G$10</f>
        <v>0</v>
      </c>
      <c r="AV478" s="15"/>
      <c r="AW478" s="13">
        <v>132</v>
      </c>
      <c r="AX478" s="15">
        <f t="shared" si="1734"/>
        <v>0</v>
      </c>
      <c r="AY478" s="45"/>
      <c r="AZ478" s="208"/>
      <c r="BA478" s="13">
        <v>132</v>
      </c>
      <c r="BB478" s="15">
        <f t="shared" si="1735"/>
        <v>0</v>
      </c>
      <c r="BC478" s="45"/>
      <c r="BD478" s="208"/>
      <c r="BE478" s="40">
        <f t="shared" ref="BE478:BG478" si="1737">J478+N478+R478+V478+Z478+AD478+AH478+AL478+AP478+AT478+AX478+BB478</f>
        <v>22</v>
      </c>
      <c r="BF478" s="41">
        <f t="shared" si="1737"/>
        <v>436.13</v>
      </c>
      <c r="BG478" s="34">
        <f t="shared" si="1737"/>
        <v>0</v>
      </c>
      <c r="BH478" s="35">
        <f t="shared" si="1724"/>
        <v>-282.43</v>
      </c>
      <c r="BK478" s="2" t="b">
        <f>H478='2020'!BH478</f>
        <v>1</v>
      </c>
    </row>
    <row r="479" ht="14.25" customHeight="1" hidden="1" spans="1:63" x14ac:dyDescent="0.25">
      <c r="A479" s="2">
        <v>53</v>
      </c>
      <c r="B479" s="14"/>
      <c r="C479" s="2" t="s">
        <v>58</v>
      </c>
      <c r="D479" s="14" t="s">
        <v>47</v>
      </c>
      <c r="E479" s="2" t="s">
        <v>49</v>
      </c>
      <c r="F479" s="41">
        <v>500</v>
      </c>
      <c r="G479" s="28"/>
      <c r="H479" s="180">
        <f>'2020'!BH479</f>
        <v>0</v>
      </c>
      <c r="I479" s="13"/>
      <c r="J479" s="15"/>
      <c r="K479" s="15"/>
      <c r="L479" s="28"/>
      <c r="M479" s="13"/>
      <c r="N479" s="15"/>
      <c r="Q479" s="13"/>
      <c r="R479" s="15"/>
      <c r="S479" s="15"/>
      <c r="T479" s="28"/>
      <c r="U479" s="13"/>
      <c r="V479" s="15"/>
      <c r="Y479" s="186"/>
      <c r="Z479" s="2"/>
      <c r="AA479" s="15"/>
      <c r="AB479" s="28"/>
      <c r="AC479" s="15"/>
      <c r="AD479" s="15"/>
      <c r="AF479" s="34"/>
      <c r="AG479" s="15"/>
      <c r="AH479" s="2"/>
      <c r="AI479" s="45"/>
      <c r="AJ479" s="15"/>
      <c r="AK479" s="13"/>
      <c r="AL479" s="15"/>
      <c r="AM479" s="45"/>
      <c r="AN479" s="15"/>
      <c r="AO479" s="13"/>
      <c r="AP479" s="15"/>
      <c r="AQ479" s="45"/>
      <c r="AR479" s="15"/>
      <c r="AS479" s="13"/>
      <c r="AT479" s="15"/>
      <c r="AU479" s="45"/>
      <c r="AV479" s="15"/>
      <c r="AW479" s="13"/>
      <c r="AX479" s="15"/>
      <c r="AY479" s="45"/>
      <c r="AZ479" s="28"/>
      <c r="BA479" s="13"/>
      <c r="BB479" s="15"/>
      <c r="BC479" s="45"/>
      <c r="BD479" s="28"/>
      <c r="BE479" s="14"/>
      <c r="BF479" s="41">
        <f t="shared" ref="BF479:BG479" si="1738">K479+O479+S479+W479+AA479+AE479+AI479+AM479+AQ479+AU479+AY479+BC479</f>
        <v>0</v>
      </c>
      <c r="BG479" s="34">
        <f t="shared" si="1738"/>
        <v>0</v>
      </c>
      <c r="BH479" s="35">
        <f t="shared" si="1724"/>
        <v>0</v>
      </c>
      <c r="BK479" s="2" t="b">
        <f>H479='2020'!BH479</f>
        <v>1</v>
      </c>
    </row>
    <row r="480" ht="14.25" customHeight="1" hidden="1" spans="1:63" x14ac:dyDescent="0.25">
      <c r="A480" s="2">
        <v>53</v>
      </c>
      <c r="B480" s="14"/>
      <c r="C480" s="73" t="s">
        <v>501</v>
      </c>
      <c r="D480" s="14" t="s">
        <v>50</v>
      </c>
      <c r="E480" s="2" t="s">
        <v>49</v>
      </c>
      <c r="F480" s="41">
        <v>1100</v>
      </c>
      <c r="G480" s="28"/>
      <c r="H480" s="180">
        <f>'2020'!BH480</f>
        <v>0</v>
      </c>
      <c r="I480" s="13"/>
      <c r="J480" s="15"/>
      <c r="K480" s="15"/>
      <c r="L480" s="28"/>
      <c r="M480" s="13"/>
      <c r="N480" s="15"/>
      <c r="Q480" s="13"/>
      <c r="R480" s="15"/>
      <c r="S480" s="15"/>
      <c r="T480" s="28"/>
      <c r="U480" s="13"/>
      <c r="V480" s="15"/>
      <c r="Y480" s="186"/>
      <c r="Z480" s="2"/>
      <c r="AA480" s="15"/>
      <c r="AB480" s="28"/>
      <c r="AC480" s="15"/>
      <c r="AD480" s="15"/>
      <c r="AE480" s="34">
        <f>B477*$F$12</f>
        <v>5555</v>
      </c>
      <c r="AF480" s="34"/>
      <c r="AG480" s="15"/>
      <c r="AH480" s="2"/>
      <c r="AI480" s="45"/>
      <c r="AJ480" s="180"/>
      <c r="AK480" s="13"/>
      <c r="AL480" s="15"/>
      <c r="AM480" s="45"/>
      <c r="AN480" s="39">
        <v>5555</v>
      </c>
      <c r="AO480" s="13"/>
      <c r="AP480" s="15"/>
      <c r="AQ480" s="45"/>
      <c r="AR480" s="15"/>
      <c r="AS480" s="13"/>
      <c r="AT480" s="15"/>
      <c r="AU480" s="45"/>
      <c r="AV480" s="15"/>
      <c r="AW480" s="13"/>
      <c r="AX480" s="15"/>
      <c r="AY480" s="45"/>
      <c r="AZ480" s="28"/>
      <c r="BA480" s="13"/>
      <c r="BB480" s="15"/>
      <c r="BC480" s="45"/>
      <c r="BD480" s="28"/>
      <c r="BE480" s="14"/>
      <c r="BF480" s="41">
        <f t="shared" ref="BF480:BG480" si="1739">K480+O480+S480+W480+AA480+AE480+AI480+AM480+AQ480+AU480+AY480+BC480</f>
        <v>5555</v>
      </c>
      <c r="BG480" s="34">
        <f t="shared" si="1739"/>
        <v>5555</v>
      </c>
      <c r="BH480" s="35">
        <f t="shared" si="1724"/>
        <v>0</v>
      </c>
      <c r="BK480" s="2" t="b">
        <f>H480='2020'!BH480</f>
        <v>1</v>
      </c>
    </row>
    <row r="481" ht="14.25" customHeight="1" hidden="1" spans="1:63" x14ac:dyDescent="0.25">
      <c r="A481" s="2">
        <v>53</v>
      </c>
      <c r="B481" s="14"/>
      <c r="C481" s="2" t="s">
        <v>193</v>
      </c>
      <c r="D481" s="14" t="s">
        <v>51</v>
      </c>
      <c r="E481" s="2" t="s">
        <v>39</v>
      </c>
      <c r="F481" s="41">
        <v>500</v>
      </c>
      <c r="G481" s="28"/>
      <c r="H481" s="180">
        <f>'2020'!BH481</f>
        <v>500</v>
      </c>
      <c r="I481" s="13"/>
      <c r="J481" s="15"/>
      <c r="K481" s="15"/>
      <c r="L481" s="28"/>
      <c r="M481" s="13"/>
      <c r="N481" s="15"/>
      <c r="Q481" s="13"/>
      <c r="R481" s="15"/>
      <c r="S481" s="15"/>
      <c r="T481" s="28"/>
      <c r="U481" s="13"/>
      <c r="V481" s="15"/>
      <c r="Y481" s="186"/>
      <c r="Z481" s="2"/>
      <c r="AA481" s="15"/>
      <c r="AB481" s="28"/>
      <c r="AC481" s="15"/>
      <c r="AD481" s="15"/>
      <c r="AE481" s="180">
        <f>$F$13</f>
      </c>
      <c r="AG481" s="15"/>
      <c r="AH481" s="2"/>
      <c r="AI481" s="45"/>
      <c r="AJ481" s="180"/>
      <c r="AK481" s="13"/>
      <c r="AL481" s="15"/>
      <c r="AM481" s="45"/>
      <c r="AN481" s="1">
        <v>500</v>
      </c>
      <c r="AO481" s="13"/>
      <c r="AP481" s="15"/>
      <c r="AQ481" s="180"/>
      <c r="AR481" s="15"/>
      <c r="AS481" s="13"/>
      <c r="AT481" s="15"/>
      <c r="AU481" s="45"/>
      <c r="AV481" s="15"/>
      <c r="AW481" s="13"/>
      <c r="AX481" s="15"/>
      <c r="AY481" s="45"/>
      <c r="AZ481" s="28"/>
      <c r="BA481" s="13"/>
      <c r="BB481" s="15"/>
      <c r="BC481" s="45"/>
      <c r="BD481" s="28"/>
      <c r="BE481" s="14"/>
      <c r="BF481" s="41">
        <f t="shared" ref="BF481:BG481" si="1740">K481+O481+S481+W481+AA481+AE481+AI481+AM481+AQ481+AU481+AY481+BC481</f>
        <v>0</v>
      </c>
      <c r="BG481" s="34">
        <f t="shared" si="1740"/>
        <v>500</v>
      </c>
      <c r="BH481" s="35">
        <f t="shared" si="1724"/>
        <v>0</v>
      </c>
      <c r="BK481" s="2" t="b">
        <f>H481='2020'!BH481</f>
        <v>1</v>
      </c>
    </row>
    <row r="482" ht="14.25" customHeight="1" hidden="1" spans="1:63" x14ac:dyDescent="0.25">
      <c r="A482" s="2">
        <v>53</v>
      </c>
      <c r="B482" s="14"/>
      <c r="C482" s="2" t="s">
        <v>211</v>
      </c>
      <c r="D482" s="14" t="s">
        <v>51</v>
      </c>
      <c r="E482" s="2" t="s">
        <v>49</v>
      </c>
      <c r="F482" s="41">
        <v>500</v>
      </c>
      <c r="G482" s="28"/>
      <c r="H482" s="180">
        <f>'2020'!BH482</f>
        <v>2525</v>
      </c>
      <c r="I482" s="13"/>
      <c r="J482" s="15"/>
      <c r="K482" s="15"/>
      <c r="L482" s="28"/>
      <c r="M482" s="13"/>
      <c r="N482" s="15"/>
      <c r="Q482" s="13"/>
      <c r="R482" s="15"/>
      <c r="S482" s="15"/>
      <c r="T482" s="28"/>
      <c r="U482" s="13"/>
      <c r="V482" s="15"/>
      <c r="Y482" s="186"/>
      <c r="Z482" s="2"/>
      <c r="AA482" s="15"/>
      <c r="AB482" s="28"/>
      <c r="AC482" s="15"/>
      <c r="AD482" s="15"/>
      <c r="AE482" s="34"/>
      <c r="AG482" s="15"/>
      <c r="AH482" s="2"/>
      <c r="AI482" s="45"/>
      <c r="AJ482" s="180"/>
      <c r="AK482" s="13"/>
      <c r="AL482" s="15"/>
      <c r="AM482" s="45"/>
      <c r="AN482" s="1">
        <v>2525</v>
      </c>
      <c r="AO482" s="13"/>
      <c r="AP482" s="15"/>
      <c r="AQ482" s="180">
        <f>B477*$F$14</f>
        <v>0</v>
      </c>
      <c r="AR482" s="15"/>
      <c r="AS482" s="13"/>
      <c r="AT482" s="15"/>
      <c r="AU482" s="45"/>
      <c r="AV482" s="15"/>
      <c r="AW482" s="13"/>
      <c r="AX482" s="15"/>
      <c r="AY482" s="45"/>
      <c r="AZ482" s="28"/>
      <c r="BA482" s="13"/>
      <c r="BB482" s="15"/>
      <c r="BC482" s="45"/>
      <c r="BD482" s="28"/>
      <c r="BE482" s="14"/>
      <c r="BF482" s="41">
        <f t="shared" ref="BF482:BG482" si="1741">K482+O482+S482+W482+AA482+AE482+AI482+AM482+AQ482+AU482+AY482+BC482</f>
        <v>0</v>
      </c>
      <c r="BG482" s="34">
        <f t="shared" si="1741"/>
        <v>2525</v>
      </c>
      <c r="BH482" s="35">
        <f t="shared" si="1724"/>
        <v>0</v>
      </c>
      <c r="BK482" s="2" t="b">
        <f>H482='2020'!BH482</f>
        <v>1</v>
      </c>
    </row>
    <row r="483" ht="14.25" customHeight="1" hidden="1" spans="1:63" x14ac:dyDescent="0.25">
      <c r="A483" s="2">
        <v>53</v>
      </c>
      <c r="B483" s="14"/>
      <c r="D483" s="14" t="s">
        <v>52</v>
      </c>
      <c r="E483" s="2" t="s">
        <v>39</v>
      </c>
      <c r="F483" s="41">
        <v>500</v>
      </c>
      <c r="G483" s="28"/>
      <c r="H483" s="180">
        <f>'2020'!BH483</f>
        <v>0</v>
      </c>
      <c r="I483" s="13"/>
      <c r="J483" s="15"/>
      <c r="K483" s="15"/>
      <c r="L483" s="28"/>
      <c r="M483" s="13"/>
      <c r="N483" s="15"/>
      <c r="Q483" s="13"/>
      <c r="R483" s="15"/>
      <c r="S483" s="15"/>
      <c r="T483" s="28"/>
      <c r="U483" s="13"/>
      <c r="V483" s="15"/>
      <c r="Y483" s="186"/>
      <c r="Z483" s="2"/>
      <c r="AA483" s="34">
        <f>$F$15</f>
      </c>
      <c r="AB483" s="28"/>
      <c r="AC483" s="15"/>
      <c r="AD483" s="15"/>
      <c r="AG483" s="15"/>
      <c r="AH483" s="2"/>
      <c r="AI483" s="45"/>
      <c r="AJ483" s="180"/>
      <c r="AK483" s="13"/>
      <c r="AL483" s="15"/>
      <c r="AM483" s="45"/>
      <c r="AN483" s="15"/>
      <c r="AO483" s="13"/>
      <c r="AP483" s="15"/>
      <c r="AQ483" s="45"/>
      <c r="AR483" s="15"/>
      <c r="AS483" s="13"/>
      <c r="AT483" s="15"/>
      <c r="AU483" s="45"/>
      <c r="AV483" s="15"/>
      <c r="AW483" s="13"/>
      <c r="AX483" s="15"/>
      <c r="AY483" s="45"/>
      <c r="AZ483" s="35"/>
      <c r="BA483" s="13"/>
      <c r="BB483" s="15"/>
      <c r="BC483" s="45"/>
      <c r="BD483" s="35"/>
      <c r="BE483" s="14"/>
      <c r="BF483" s="41">
        <f t="shared" ref="BF483:BG483" si="1742">K483+O483+S483+W483+AA483+AE483+AI483+AM483+AQ483+AU483+AY483+BC483</f>
        <v>0</v>
      </c>
      <c r="BG483" s="34">
        <f t="shared" si="1742"/>
        <v>0</v>
      </c>
      <c r="BH483" s="35">
        <f t="shared" si="1724"/>
        <v>0</v>
      </c>
      <c r="BK483" s="2" t="b">
        <f>H483='2020'!BH483</f>
        <v>1</v>
      </c>
    </row>
    <row r="484" ht="14.25" customHeight="1" hidden="1" spans="1:63" x14ac:dyDescent="0.25">
      <c r="A484" s="247">
        <v>53</v>
      </c>
      <c r="B484" s="21"/>
      <c r="C484" s="22" t="s">
        <v>53</v>
      </c>
      <c r="D484" s="21"/>
      <c r="E484" s="22"/>
      <c r="F484" s="20"/>
      <c r="G484" s="23"/>
      <c r="H484" s="51">
        <f>SUM(H476:H483)</f>
        <v>5033.17</v>
      </c>
      <c r="I484" s="52"/>
      <c r="J484" s="53"/>
      <c r="K484" s="51">
        <f t="shared" ref="K484:L484" si="1743">SUM(K476:K483)</f>
        <v>6892.6</v>
      </c>
      <c r="L484" s="68">
        <f t="shared" si="1743"/>
        <v>10000</v>
      </c>
      <c r="M484" s="52"/>
      <c r="N484" s="53"/>
      <c r="O484" s="51">
        <f t="shared" ref="O484:P484" si="1744">SUM(O476:O483)</f>
        <v>4365.4</v>
      </c>
      <c r="P484" s="51">
        <f t="shared" si="1744"/>
        <v>0</v>
      </c>
      <c r="Q484" s="52"/>
      <c r="R484" s="53"/>
      <c r="S484" s="51">
        <f t="shared" ref="S484:T484" si="1745">SUM(S476:S483)</f>
        <v>1549.6</v>
      </c>
      <c r="T484" s="51">
        <f t="shared" si="1745"/>
        <v>5000</v>
      </c>
      <c r="U484" s="52"/>
      <c r="V484" s="53"/>
      <c r="W484" s="51">
        <f t="shared" ref="W484:X484" si="1746">SUM(W476:W483)</f>
        <v>1024.4</v>
      </c>
      <c r="X484" s="51">
        <f t="shared" si="1746"/>
        <v>1800</v>
      </c>
      <c r="Y484" s="300"/>
      <c r="Z484" s="301"/>
      <c r="AA484" s="51">
        <f t="shared" ref="AA484:AB484" si="1747">SUM(AA476:AA483)</f>
        <v>1011.32</v>
      </c>
      <c r="AB484" s="51">
        <f t="shared" si="1747"/>
        <v>1000</v>
      </c>
      <c r="AC484" s="52"/>
      <c r="AD484" s="53"/>
      <c r="AE484" s="51">
        <f t="shared" ref="AE484:AF484" si="1748">SUM(AE476:AE483)</f>
        <v>6733.66</v>
      </c>
      <c r="AF484" s="51">
        <f t="shared" si="1748"/>
        <v>1000</v>
      </c>
      <c r="AG484" s="52"/>
      <c r="AH484" s="301"/>
      <c r="AI484" s="183">
        <f t="shared" ref="AI484:AJ484" si="1749">SUM(AI476:AI483)</f>
        <v>1165.75</v>
      </c>
      <c r="AJ484" s="51">
        <f t="shared" si="1749"/>
        <v>0</v>
      </c>
      <c r="AK484" s="52"/>
      <c r="AL484" s="53"/>
      <c r="AM484" s="183">
        <f t="shared" ref="AM484:AN484" si="1750">SUM(AM476:AM483)</f>
        <v>955.8</v>
      </c>
      <c r="AN484" s="51">
        <f t="shared" si="1750"/>
        <v>8580</v>
      </c>
      <c r="AO484" s="52"/>
      <c r="AP484" s="53"/>
      <c r="AQ484" s="183">
        <f t="shared" ref="AQ484:AR484" si="1751">SUM(AQ476:AQ483)</f>
        <v>1496</v>
      </c>
      <c r="AR484" s="51">
        <f t="shared" si="1751"/>
        <v>2000</v>
      </c>
      <c r="AS484" s="52"/>
      <c r="AT484" s="53"/>
      <c r="AU484" s="183">
        <f t="shared" ref="AU484:AV484" si="1752">SUM(AU476:AU483)</f>
        <v>1717.2</v>
      </c>
      <c r="AV484" s="68">
        <f t="shared" si="1752"/>
        <v>0</v>
      </c>
      <c r="AW484" s="52"/>
      <c r="AX484" s="53"/>
      <c r="AY484" s="183">
        <f t="shared" ref="AY484:AZ484" si="1753">SUM(AY476:AY483)</f>
        <v>5745.6</v>
      </c>
      <c r="AZ484" s="68">
        <f t="shared" si="1753"/>
        <v>0</v>
      </c>
      <c r="BA484" s="52"/>
      <c r="BB484" s="53"/>
      <c r="BC484" s="183">
        <f t="shared" ref="BC484:BD484" si="1754">SUM(BC476:BC483)</f>
        <v>5138.1</v>
      </c>
      <c r="BD484" s="68">
        <f t="shared" si="1754"/>
        <v>12000</v>
      </c>
      <c r="BE484" s="69"/>
      <c r="BF484" s="70">
        <f t="shared" ref="BF484:BH484" si="1755">SUM(BF476:BF483)</f>
        <v>37795.43</v>
      </c>
      <c r="BG484" s="71">
        <f t="shared" si="1755"/>
        <v>41380</v>
      </c>
      <c r="BH484" s="72">
        <f t="shared" si="1755"/>
        <v>1448.6</v>
      </c>
      <c r="BI484" s="34">
        <f>H484+BF484-BG484</f>
        <v>1448.6</v>
      </c>
      <c r="BJ484" s="34">
        <f>BH484-BI484</f>
        <v>0</v>
      </c>
      <c r="BK484" s="2" t="b">
        <f>H484='2020'!BH484</f>
        <v>1</v>
      </c>
    </row>
    <row r="485" ht="14.25" customHeight="1" hidden="1" spans="1:63" x14ac:dyDescent="0.25">
      <c r="A485" s="2">
        <v>54</v>
      </c>
      <c r="B485" s="14"/>
      <c r="D485" s="14" t="s">
        <v>379</v>
      </c>
      <c r="F485" s="13"/>
      <c r="G485" s="28"/>
      <c r="H485" s="34">
        <f>'2020'!BH485</f>
        <v>0</v>
      </c>
      <c r="I485" s="13"/>
      <c r="J485" s="15"/>
      <c r="K485" s="15"/>
      <c r="L485" s="28"/>
      <c r="M485" s="13"/>
      <c r="N485" s="15"/>
      <c r="Q485" s="13"/>
      <c r="R485" s="15"/>
      <c r="S485" s="15"/>
      <c r="T485" s="28"/>
      <c r="U485" s="13"/>
      <c r="V485" s="15"/>
      <c r="Y485" s="186"/>
      <c r="Z485" s="2"/>
      <c r="AA485" s="15"/>
      <c r="AB485" s="28"/>
      <c r="AC485" s="15"/>
      <c r="AD485" s="15"/>
      <c r="AG485" s="15"/>
      <c r="AH485" s="2"/>
      <c r="AI485" s="45"/>
      <c r="AJ485" s="180"/>
      <c r="AK485" s="13"/>
      <c r="AM485" s="45"/>
      <c r="AO485" s="13"/>
      <c r="AQ485" s="45"/>
      <c r="AS485" s="13"/>
      <c r="AU485" s="45"/>
      <c r="AW485" s="13"/>
      <c r="AY485" s="45"/>
      <c r="AZ485" s="28"/>
      <c r="BA485" s="13"/>
      <c r="BB485" s="15"/>
      <c r="BC485" s="45"/>
      <c r="BD485" s="28"/>
      <c r="BE485" s="14"/>
      <c r="BF485" s="41">
        <f t="shared" ref="BF485:BG485" si="1756">K485+O485+S485+W485+AA485+AE485+AI485+AM485+AQ485+AU485+AY485+BC485</f>
        <v>0</v>
      </c>
      <c r="BG485" s="34">
        <f t="shared" si="1756"/>
        <v>0</v>
      </c>
      <c r="BH485" s="35">
        <f t="shared" ref="BH485:BH492" si="1757">H485+BF485-BG485</f>
        <v>0</v>
      </c>
      <c r="BK485" s="2" t="b">
        <f>H485='2020'!BH485</f>
        <v>1</v>
      </c>
    </row>
    <row r="486" ht="14.25" customHeight="1" hidden="1" spans="1:63" x14ac:dyDescent="0.25">
      <c r="A486" s="2">
        <v>54</v>
      </c>
      <c r="B486" s="14">
        <v>5.54</v>
      </c>
      <c r="C486" s="2" t="s">
        <v>212</v>
      </c>
      <c r="D486" s="14" t="s">
        <v>44</v>
      </c>
      <c r="E486" s="2" t="s">
        <v>45</v>
      </c>
      <c r="F486" s="41">
        <v>2.5</v>
      </c>
      <c r="G486" s="35">
        <v>2.6</v>
      </c>
      <c r="H486" s="34">
        <f>'2020'!BH486</f>
        <v>101.64</v>
      </c>
      <c r="I486" s="13">
        <v>346</v>
      </c>
      <c r="J486" s="15">
        <f>I486-'2020'!BA486</f>
        <v>0</v>
      </c>
      <c r="K486" s="34">
        <f>J486*$F$8</f>
        <v>0</v>
      </c>
      <c r="L486" s="28"/>
      <c r="M486" s="13">
        <v>346</v>
      </c>
      <c r="N486" s="15">
        <f t="shared" ref="N486:N487" si="1758">M486-I486</f>
        <v>0</v>
      </c>
      <c r="O486" s="34">
        <f>N486*$F$8</f>
        <v>0</v>
      </c>
      <c r="Q486" s="13">
        <v>346</v>
      </c>
      <c r="R486" s="15">
        <f t="shared" ref="R486:R487" si="1759">Q486-M486</f>
        <v>0</v>
      </c>
      <c r="S486" s="34">
        <f>R486*$F$8</f>
        <v>0</v>
      </c>
      <c r="T486" s="28"/>
      <c r="U486" s="13">
        <v>374</v>
      </c>
      <c r="V486" s="15">
        <f t="shared" ref="V486:V487" si="1760">U486-Q486</f>
        <v>28</v>
      </c>
      <c r="W486" s="34">
        <f>V486*$F$8</f>
        <v>72.8</v>
      </c>
      <c r="X486" s="34"/>
      <c r="Y486" s="186">
        <v>401</v>
      </c>
      <c r="Z486" s="2">
        <f t="shared" ref="Z486:Z487" si="1761">Y486-U486</f>
        <v>27</v>
      </c>
      <c r="AA486" s="34">
        <f>Z486*$F$8</f>
        <v>70.2</v>
      </c>
      <c r="AB486" s="28"/>
      <c r="AC486" s="15">
        <v>409</v>
      </c>
      <c r="AD486" s="15">
        <f t="shared" ref="AD486:AD487" si="1762">AC486-Y486</f>
        <v>8</v>
      </c>
      <c r="AE486" s="180">
        <f>AD486*$F$8</f>
        <v>20.8</v>
      </c>
      <c r="AF486" s="182">
        <v>265.44</v>
      </c>
      <c r="AG486" s="15">
        <v>420</v>
      </c>
      <c r="AH486" s="2">
        <f t="shared" ref="AH486:AH487" si="1763">AG486-AC486</f>
        <v>11</v>
      </c>
      <c r="AI486" s="45">
        <f>AH486*$G$8</f>
        <v>29.7</v>
      </c>
      <c r="AJ486" s="180"/>
      <c r="AK486" s="13">
        <v>436</v>
      </c>
      <c r="AL486" s="15">
        <f t="shared" ref="AL486:AL487" si="1764">AK486-AG486</f>
        <v>16</v>
      </c>
      <c r="AM486" s="45">
        <f>AL486*$G$8</f>
        <v>43.2</v>
      </c>
      <c r="AN486" s="15"/>
      <c r="AO486" s="13">
        <v>442</v>
      </c>
      <c r="AP486" s="15">
        <f t="shared" ref="AP486:AP487" si="1765">AO486-AK486</f>
        <v>6</v>
      </c>
      <c r="AQ486" s="45">
        <f>AP486*$G$8</f>
        <v>16.2</v>
      </c>
      <c r="AR486" s="15"/>
      <c r="AS486" s="13">
        <v>449</v>
      </c>
      <c r="AT486" s="15">
        <f t="shared" ref="AT486:AT487" si="1766">AS486-AO486</f>
        <v>7</v>
      </c>
      <c r="AU486" s="45">
        <f>AT486*$G$8</f>
        <v>18.9</v>
      </c>
      <c r="AV486" s="15"/>
      <c r="AW486" s="13">
        <v>463</v>
      </c>
      <c r="AX486" s="15">
        <f t="shared" ref="AX486:AX487" si="1767">AW486-AS486</f>
        <v>14</v>
      </c>
      <c r="AY486" s="45">
        <f>AX486*$G$8</f>
        <v>37.8</v>
      </c>
      <c r="AZ486" s="208"/>
      <c r="BA486" s="13">
        <v>487</v>
      </c>
      <c r="BB486" s="15">
        <f t="shared" ref="BB486:BB487" si="1768">BA486-AW486</f>
        <v>24</v>
      </c>
      <c r="BC486" s="45">
        <f>BB486*$G$8</f>
        <v>64.8</v>
      </c>
      <c r="BD486" s="208"/>
      <c r="BE486" s="40">
        <f t="shared" ref="BE486:BG486" si="1769">J486+N486+R486+V486+Z486+AD486+AH486+AL486+AP486+AT486+AX486+BB486</f>
        <v>141</v>
      </c>
      <c r="BF486" s="41">
        <f t="shared" si="1769"/>
        <v>374.4</v>
      </c>
      <c r="BG486" s="34">
        <f t="shared" si="1769"/>
        <v>265.44</v>
      </c>
      <c r="BH486" s="35">
        <f t="shared" si="1757"/>
        <v>210.6</v>
      </c>
      <c r="BK486" s="2" t="b">
        <f>H486='2020'!BH486</f>
        <v>1</v>
      </c>
    </row>
    <row r="487" ht="14.25" customHeight="1" hidden="1" spans="1:63" x14ac:dyDescent="0.25">
      <c r="A487" s="2">
        <v>54</v>
      </c>
      <c r="B487" s="14"/>
      <c r="C487" s="2" t="s">
        <v>87</v>
      </c>
      <c r="D487" s="14" t="s">
        <v>47</v>
      </c>
      <c r="E487" s="2" t="s">
        <v>48</v>
      </c>
      <c r="F487" s="13">
        <v>18.56</v>
      </c>
      <c r="G487" s="35">
        <v>19.46</v>
      </c>
      <c r="H487" s="34">
        <f>'2020'!BH487</f>
        <v>0</v>
      </c>
      <c r="I487" s="13">
        <v>135</v>
      </c>
      <c r="J487" s="15"/>
      <c r="K487" s="15"/>
      <c r="L487" s="28"/>
      <c r="M487" s="13">
        <v>135</v>
      </c>
      <c r="N487" s="15">
        <f t="shared" si="1758"/>
        <v>0</v>
      </c>
      <c r="Q487" s="13">
        <v>135</v>
      </c>
      <c r="R487" s="15">
        <f t="shared" si="1759"/>
        <v>0</v>
      </c>
      <c r="S487" s="15"/>
      <c r="T487" s="28"/>
      <c r="U487" s="13">
        <v>135</v>
      </c>
      <c r="V487" s="15">
        <f t="shared" si="1760"/>
        <v>0</v>
      </c>
      <c r="W487" s="34">
        <f>V487*$F$10</f>
        <v>0</v>
      </c>
      <c r="Y487" s="186">
        <v>143</v>
      </c>
      <c r="Z487" s="2">
        <f t="shared" si="1761"/>
        <v>8</v>
      </c>
      <c r="AA487" s="34">
        <f>Z487*$F$10</f>
        <v>155.68</v>
      </c>
      <c r="AB487" s="28"/>
      <c r="AC487" s="15">
        <v>150</v>
      </c>
      <c r="AD487" s="15">
        <f t="shared" si="1762"/>
        <v>7</v>
      </c>
      <c r="AE487" s="34">
        <f>AD487*$F$10</f>
        <v>136.22</v>
      </c>
      <c r="AF487" s="154">
        <v>291.9</v>
      </c>
      <c r="AG487" s="15">
        <v>150</v>
      </c>
      <c r="AH487" s="2">
        <f t="shared" si="1763"/>
        <v>0</v>
      </c>
      <c r="AI487" s="45">
        <f>AH487*$G$10</f>
        <v>0</v>
      </c>
      <c r="AJ487" s="180"/>
      <c r="AK487" s="13">
        <v>150</v>
      </c>
      <c r="AL487" s="15">
        <f t="shared" si="1764"/>
        <v>0</v>
      </c>
      <c r="AM487" s="45">
        <f>AL487*$G$10</f>
        <v>0</v>
      </c>
      <c r="AN487" s="15"/>
      <c r="AO487" s="13">
        <v>150</v>
      </c>
      <c r="AP487" s="15">
        <f t="shared" si="1765"/>
        <v>0</v>
      </c>
      <c r="AQ487" s="45">
        <f>AP487*$G$10</f>
        <v>0</v>
      </c>
      <c r="AR487" s="15"/>
      <c r="AS487" s="13">
        <v>150</v>
      </c>
      <c r="AT487" s="15">
        <f t="shared" si="1766"/>
        <v>0</v>
      </c>
      <c r="AU487" s="45">
        <f>AT487*$G$10</f>
        <v>0</v>
      </c>
      <c r="AV487" s="15"/>
      <c r="AW487" s="13">
        <v>150</v>
      </c>
      <c r="AX487" s="15">
        <f t="shared" si="1767"/>
        <v>0</v>
      </c>
      <c r="AY487" s="45"/>
      <c r="AZ487" s="208"/>
      <c r="BA487" s="13">
        <v>150</v>
      </c>
      <c r="BB487" s="15">
        <f t="shared" si="1768"/>
        <v>0</v>
      </c>
      <c r="BC487" s="45"/>
      <c r="BD487" s="208"/>
      <c r="BE487" s="40">
        <f t="shared" ref="BE487:BG487" si="1770">J487+N487+R487+V487+Z487+AD487+AH487+AL487+AP487+AT487+AX487+BB487</f>
        <v>15</v>
      </c>
      <c r="BF487" s="41">
        <f t="shared" si="1770"/>
        <v>291.9</v>
      </c>
      <c r="BG487" s="34">
        <f t="shared" si="1770"/>
        <v>291.9</v>
      </c>
      <c r="BH487" s="35">
        <f t="shared" si="1757"/>
        <v>0</v>
      </c>
      <c r="BK487" s="2" t="b">
        <f>H487='2020'!BH487</f>
        <v>1</v>
      </c>
    </row>
    <row r="488" ht="14.25" customHeight="1" hidden="1" spans="1:63" x14ac:dyDescent="0.25">
      <c r="A488" s="2">
        <v>54</v>
      </c>
      <c r="B488" s="14"/>
      <c r="C488" s="15" t="s">
        <v>421</v>
      </c>
      <c r="D488" s="14" t="s">
        <v>47</v>
      </c>
      <c r="E488" s="2" t="s">
        <v>49</v>
      </c>
      <c r="F488" s="41">
        <v>500</v>
      </c>
      <c r="G488" s="28"/>
      <c r="H488" s="34">
        <f>'2020'!BH488</f>
        <v>0</v>
      </c>
      <c r="I488" s="13"/>
      <c r="J488" s="15"/>
      <c r="K488" s="15"/>
      <c r="L488" s="28"/>
      <c r="M488" s="13"/>
      <c r="N488" s="15"/>
      <c r="Q488" s="13"/>
      <c r="R488" s="15"/>
      <c r="S488" s="15"/>
      <c r="T488" s="28"/>
      <c r="U488" s="13"/>
      <c r="V488" s="15"/>
      <c r="Y488" s="186"/>
      <c r="Z488" s="2"/>
      <c r="AA488" s="15"/>
      <c r="AB488" s="28"/>
      <c r="AC488" s="15"/>
      <c r="AD488" s="15"/>
      <c r="AF488" s="154"/>
      <c r="AG488" s="15"/>
      <c r="AH488" s="2"/>
      <c r="AI488" s="45"/>
      <c r="AJ488" s="15"/>
      <c r="AK488" s="13"/>
      <c r="AL488" s="15"/>
      <c r="AM488" s="45"/>
      <c r="AN488" s="15"/>
      <c r="AO488" s="13"/>
      <c r="AP488" s="15"/>
      <c r="AQ488" s="45"/>
      <c r="AR488" s="15"/>
      <c r="AS488" s="13"/>
      <c r="AT488" s="15"/>
      <c r="AU488" s="45"/>
      <c r="AV488" s="15"/>
      <c r="AW488" s="13"/>
      <c r="AX488" s="15"/>
      <c r="AY488" s="45"/>
      <c r="AZ488" s="28"/>
      <c r="BA488" s="13"/>
      <c r="BB488" s="15"/>
      <c r="BC488" s="45"/>
      <c r="BD488" s="28"/>
      <c r="BE488" s="14"/>
      <c r="BF488" s="41">
        <f t="shared" ref="BF488:BG488" si="1771">K488+O488+S488+W488+AA488+AE488+AI488+AM488+AQ488+AU488+AY488+BC488</f>
        <v>0</v>
      </c>
      <c r="BG488" s="34">
        <f t="shared" si="1771"/>
        <v>0</v>
      </c>
      <c r="BH488" s="35">
        <f t="shared" si="1757"/>
        <v>0</v>
      </c>
      <c r="BK488" s="2" t="b">
        <f>H488='2020'!BH488</f>
        <v>1</v>
      </c>
    </row>
    <row r="489" ht="14.25" customHeight="1" hidden="1" spans="1:63" x14ac:dyDescent="0.25">
      <c r="A489" s="2">
        <v>54</v>
      </c>
      <c r="B489" s="14"/>
      <c r="C489" s="2" t="s">
        <v>137</v>
      </c>
      <c r="D489" s="14" t="s">
        <v>50</v>
      </c>
      <c r="E489" s="2" t="s">
        <v>49</v>
      </c>
      <c r="F489" s="41">
        <v>1100</v>
      </c>
      <c r="G489" s="28"/>
      <c r="H489" s="34">
        <f>'2020'!BH489</f>
        <v>0</v>
      </c>
      <c r="I489" s="13"/>
      <c r="J489" s="15"/>
      <c r="K489" s="15"/>
      <c r="L489" s="28"/>
      <c r="M489" s="13"/>
      <c r="N489" s="15"/>
      <c r="Q489" s="13"/>
      <c r="R489" s="15"/>
      <c r="S489" s="15"/>
      <c r="T489" s="28"/>
      <c r="U489" s="13"/>
      <c r="V489" s="15"/>
      <c r="Y489" s="186"/>
      <c r="Z489" s="2"/>
      <c r="AA489" s="15"/>
      <c r="AB489" s="28"/>
      <c r="AC489" s="15"/>
      <c r="AD489" s="15"/>
      <c r="AE489" s="34">
        <v>6094</v>
      </c>
      <c r="AF489" s="182">
        <v>6094</v>
      </c>
      <c r="AG489" s="15"/>
      <c r="AH489" s="2"/>
      <c r="AI489" s="45"/>
      <c r="AJ489" s="180"/>
      <c r="AK489" s="13"/>
      <c r="AL489" s="15"/>
      <c r="AM489" s="45"/>
      <c r="AN489" s="15"/>
      <c r="AO489" s="13"/>
      <c r="AP489" s="15"/>
      <c r="AQ489" s="45"/>
      <c r="AR489" s="15"/>
      <c r="AS489" s="13"/>
      <c r="AT489" s="15"/>
      <c r="AU489" s="45"/>
      <c r="AV489" s="15"/>
      <c r="AW489" s="13"/>
      <c r="AX489" s="15"/>
      <c r="AY489" s="45"/>
      <c r="AZ489" s="28"/>
      <c r="BA489" s="13"/>
      <c r="BB489" s="15"/>
      <c r="BC489" s="45"/>
      <c r="BD489" s="28"/>
      <c r="BE489" s="14"/>
      <c r="BF489" s="41">
        <f t="shared" ref="BF489:BG489" si="1772">K489+O489+S489+W489+AA489+AE489+AI489+AM489+AQ489+AU489+AY489+BC489</f>
        <v>6094</v>
      </c>
      <c r="BG489" s="34">
        <f t="shared" si="1772"/>
        <v>6094</v>
      </c>
      <c r="BH489" s="35">
        <f t="shared" si="1757"/>
        <v>0</v>
      </c>
      <c r="BK489" s="2" t="b">
        <f>H489='2020'!BH489</f>
        <v>1</v>
      </c>
    </row>
    <row r="490" ht="14.25" customHeight="1" hidden="1" spans="1:63" x14ac:dyDescent="0.25">
      <c r="A490" s="2">
        <v>54</v>
      </c>
      <c r="B490" s="14"/>
      <c r="C490" s="2" t="s">
        <v>422</v>
      </c>
      <c r="D490" s="14" t="s">
        <v>51</v>
      </c>
      <c r="E490" s="2" t="s">
        <v>39</v>
      </c>
      <c r="F490" s="41">
        <v>500</v>
      </c>
      <c r="G490" s="28"/>
      <c r="H490" s="34">
        <f>'2020'!BH490</f>
        <v>500</v>
      </c>
      <c r="I490" s="13"/>
      <c r="J490" s="15"/>
      <c r="K490" s="15"/>
      <c r="L490" s="28"/>
      <c r="M490" s="13"/>
      <c r="N490" s="15"/>
      <c r="Q490" s="13"/>
      <c r="R490" s="15"/>
      <c r="S490" s="15"/>
      <c r="T490" s="28"/>
      <c r="U490" s="13"/>
      <c r="V490" s="15"/>
      <c r="Y490" s="186"/>
      <c r="Z490" s="2"/>
      <c r="AA490" s="15"/>
      <c r="AB490" s="28"/>
      <c r="AC490" s="15"/>
      <c r="AD490" s="15"/>
      <c r="AE490" s="180">
        <f>$F$13</f>
      </c>
      <c r="AF490" s="182">
        <v>500</v>
      </c>
      <c r="AG490" s="15"/>
      <c r="AH490" s="2"/>
      <c r="AI490" s="45"/>
      <c r="AJ490" s="15"/>
      <c r="AK490" s="13"/>
      <c r="AL490" s="15"/>
      <c r="AM490" s="45"/>
      <c r="AN490" s="15"/>
      <c r="AO490" s="13"/>
      <c r="AP490" s="15"/>
      <c r="AQ490" s="180"/>
      <c r="AR490" s="15"/>
      <c r="AS490" s="13"/>
      <c r="AT490" s="15"/>
      <c r="AU490" s="45"/>
      <c r="AV490" s="15"/>
      <c r="AW490" s="13"/>
      <c r="AX490" s="15"/>
      <c r="AY490" s="45"/>
      <c r="AZ490" s="28"/>
      <c r="BA490" s="13"/>
      <c r="BB490" s="15"/>
      <c r="BC490" s="45"/>
      <c r="BD490" s="28"/>
      <c r="BE490" s="14"/>
      <c r="BF490" s="41">
        <f t="shared" ref="BF490:BG490" si="1773">K490+O490+S490+W490+AA490+AE490+AI490+AM490+AQ490+AU490+AY490+BC490</f>
        <v>0</v>
      </c>
      <c r="BG490" s="34">
        <f t="shared" si="1773"/>
        <v>500</v>
      </c>
      <c r="BH490" s="35">
        <f t="shared" si="1757"/>
        <v>0</v>
      </c>
      <c r="BK490" s="2" t="b">
        <f>H490='2020'!BH490</f>
        <v>1</v>
      </c>
    </row>
    <row r="491" ht="14.25" customHeight="1" hidden="1" spans="1:63" x14ac:dyDescent="0.25">
      <c r="A491" s="2">
        <v>54</v>
      </c>
      <c r="B491" s="14"/>
      <c r="D491" s="14" t="s">
        <v>51</v>
      </c>
      <c r="E491" s="2" t="s">
        <v>49</v>
      </c>
      <c r="F491" s="41">
        <v>500</v>
      </c>
      <c r="G491" s="28"/>
      <c r="H491" s="34">
        <f>'2020'!BH491</f>
        <v>2770</v>
      </c>
      <c r="I491" s="13"/>
      <c r="J491" s="15"/>
      <c r="K491" s="15"/>
      <c r="L491" s="28"/>
      <c r="M491" s="13"/>
      <c r="N491" s="15"/>
      <c r="Q491" s="13"/>
      <c r="R491" s="15"/>
      <c r="S491" s="15"/>
      <c r="T491" s="28"/>
      <c r="U491" s="13"/>
      <c r="V491" s="15"/>
      <c r="Y491" s="186"/>
      <c r="Z491" s="2"/>
      <c r="AA491" s="15"/>
      <c r="AB491" s="28"/>
      <c r="AC491" s="15"/>
      <c r="AD491" s="15"/>
      <c r="AE491" s="34"/>
      <c r="AF491" s="182">
        <v>2770</v>
      </c>
      <c r="AG491" s="15"/>
      <c r="AH491" s="2"/>
      <c r="AI491" s="45"/>
      <c r="AJ491" s="15"/>
      <c r="AK491" s="13"/>
      <c r="AL491" s="15"/>
      <c r="AM491" s="45"/>
      <c r="AN491" s="15"/>
      <c r="AO491" s="13"/>
      <c r="AP491" s="15"/>
      <c r="AQ491" s="180">
        <f>B486*$F$14</f>
        <v>0</v>
      </c>
      <c r="AR491" s="15"/>
      <c r="AS491" s="13"/>
      <c r="AT491" s="15"/>
      <c r="AU491" s="45"/>
      <c r="AV491" s="15"/>
      <c r="AW491" s="13"/>
      <c r="AX491" s="15"/>
      <c r="AY491" s="45"/>
      <c r="AZ491" s="28"/>
      <c r="BA491" s="13"/>
      <c r="BB491" s="15"/>
      <c r="BC491" s="45"/>
      <c r="BD491" s="28"/>
      <c r="BE491" s="14"/>
      <c r="BF491" s="41">
        <f t="shared" ref="BF491:BG491" si="1774">K491+O491+S491+W491+AA491+AE491+AI491+AM491+AQ491+AU491+AY491+BC491</f>
        <v>0</v>
      </c>
      <c r="BG491" s="34">
        <f t="shared" si="1774"/>
        <v>2770</v>
      </c>
      <c r="BH491" s="35">
        <f t="shared" si="1757"/>
        <v>0</v>
      </c>
      <c r="BK491" s="2" t="b">
        <f>H491='2020'!BH491</f>
        <v>1</v>
      </c>
    </row>
    <row r="492" ht="14.25" customHeight="1" hidden="1" spans="1:63" x14ac:dyDescent="0.25">
      <c r="A492" s="2">
        <v>54</v>
      </c>
      <c r="B492" s="14"/>
      <c r="D492" s="14" t="s">
        <v>52</v>
      </c>
      <c r="E492" s="2" t="s">
        <v>39</v>
      </c>
      <c r="F492" s="41">
        <v>500</v>
      </c>
      <c r="G492" s="28"/>
      <c r="H492" s="34">
        <f>'2020'!BH492</f>
        <v>0</v>
      </c>
      <c r="I492" s="13"/>
      <c r="J492" s="15"/>
      <c r="K492" s="15"/>
      <c r="L492" s="28"/>
      <c r="M492" s="13"/>
      <c r="N492" s="15"/>
      <c r="Q492" s="13"/>
      <c r="R492" s="15"/>
      <c r="S492" s="15"/>
      <c r="T492" s="28"/>
      <c r="U492" s="13"/>
      <c r="V492" s="15"/>
      <c r="Y492" s="186"/>
      <c r="Z492" s="2"/>
      <c r="AA492" s="34">
        <f>$F$15</f>
      </c>
      <c r="AB492" s="28"/>
      <c r="AC492" s="15"/>
      <c r="AD492" s="15"/>
      <c r="AF492" s="34"/>
      <c r="AG492" s="15"/>
      <c r="AH492" s="2"/>
      <c r="AI492" s="45"/>
      <c r="AJ492" s="15"/>
      <c r="AK492" s="13"/>
      <c r="AL492" s="15"/>
      <c r="AM492" s="45"/>
      <c r="AN492" s="15"/>
      <c r="AO492" s="13"/>
      <c r="AP492" s="15"/>
      <c r="AQ492" s="45"/>
      <c r="AR492" s="15"/>
      <c r="AS492" s="13"/>
      <c r="AT492" s="15"/>
      <c r="AU492" s="45"/>
      <c r="AV492" s="15"/>
      <c r="AW492" s="13"/>
      <c r="AX492" s="15"/>
      <c r="AY492" s="45"/>
      <c r="AZ492" s="35"/>
      <c r="BA492" s="13"/>
      <c r="BB492" s="15"/>
      <c r="BC492" s="45"/>
      <c r="BD492" s="35"/>
      <c r="BE492" s="14"/>
      <c r="BF492" s="41">
        <f t="shared" ref="BF492:BG492" si="1775">K492+O492+S492+W492+AA492+AE492+AI492+AM492+AQ492+AU492+AY492+BC492</f>
        <v>0</v>
      </c>
      <c r="BG492" s="34">
        <f t="shared" si="1775"/>
        <v>0</v>
      </c>
      <c r="BH492" s="35">
        <f t="shared" si="1757"/>
        <v>0</v>
      </c>
      <c r="BK492" s="2" t="b">
        <f>H492='2020'!BH492</f>
        <v>1</v>
      </c>
    </row>
    <row r="493" ht="14.25" customHeight="1" hidden="1" spans="1:63" x14ac:dyDescent="0.25">
      <c r="A493" s="247">
        <v>54</v>
      </c>
      <c r="B493" s="21"/>
      <c r="C493" s="22" t="s">
        <v>53</v>
      </c>
      <c r="D493" s="21"/>
      <c r="E493" s="22"/>
      <c r="F493" s="20"/>
      <c r="G493" s="23"/>
      <c r="H493" s="51">
        <f>SUM(H485:H492)</f>
        <v>3371.64</v>
      </c>
      <c r="I493" s="52"/>
      <c r="J493" s="53"/>
      <c r="K493" s="51">
        <f t="shared" ref="K493:L493" si="1776">SUM(K485:K492)</f>
        <v>0</v>
      </c>
      <c r="L493" s="68">
        <f t="shared" si="1776"/>
        <v>0</v>
      </c>
      <c r="M493" s="52"/>
      <c r="N493" s="53"/>
      <c r="O493" s="51">
        <f t="shared" ref="O493:P493" si="1777">SUM(O485:O492)</f>
        <v>0</v>
      </c>
      <c r="P493" s="51">
        <f t="shared" si="1777"/>
        <v>0</v>
      </c>
      <c r="Q493" s="52"/>
      <c r="R493" s="53"/>
      <c r="S493" s="51">
        <f t="shared" ref="S493:T493" si="1778">SUM(S485:S492)</f>
        <v>0</v>
      </c>
      <c r="T493" s="51">
        <f t="shared" si="1778"/>
        <v>0</v>
      </c>
      <c r="U493" s="52"/>
      <c r="V493" s="53"/>
      <c r="W493" s="51">
        <f t="shared" ref="W493:X493" si="1779">SUM(W485:W492)</f>
        <v>72.8</v>
      </c>
      <c r="X493" s="51">
        <f t="shared" si="1779"/>
        <v>0</v>
      </c>
      <c r="Y493" s="300"/>
      <c r="Z493" s="301"/>
      <c r="AA493" s="51">
        <f t="shared" ref="AA493:AB493" si="1780">SUM(AA485:AA492)</f>
        <v>225.88</v>
      </c>
      <c r="AB493" s="51">
        <f t="shared" si="1780"/>
        <v>0</v>
      </c>
      <c r="AC493" s="52"/>
      <c r="AD493" s="53"/>
      <c r="AE493" s="51">
        <f t="shared" ref="AE493:AF493" si="1781">SUM(AE485:AE492)</f>
        <v>6251.02</v>
      </c>
      <c r="AF493" s="51">
        <f t="shared" si="1781"/>
        <v>9921.34</v>
      </c>
      <c r="AG493" s="52"/>
      <c r="AH493" s="301"/>
      <c r="AI493" s="183">
        <f t="shared" ref="AI493:AJ493" si="1782">SUM(AI485:AI492)</f>
        <v>29.7</v>
      </c>
      <c r="AJ493" s="51">
        <f t="shared" si="1782"/>
        <v>0</v>
      </c>
      <c r="AK493" s="52"/>
      <c r="AL493" s="53"/>
      <c r="AM493" s="183">
        <f t="shared" ref="AM493:AN493" si="1783">SUM(AM485:AM492)</f>
        <v>43.2</v>
      </c>
      <c r="AN493" s="51">
        <f t="shared" si="1783"/>
        <v>0</v>
      </c>
      <c r="AO493" s="52"/>
      <c r="AP493" s="53"/>
      <c r="AQ493" s="183">
        <f t="shared" ref="AQ493:AR493" si="1784">SUM(AQ485:AQ492)</f>
        <v>16.2</v>
      </c>
      <c r="AR493" s="51">
        <f t="shared" si="1784"/>
        <v>0</v>
      </c>
      <c r="AS493" s="52"/>
      <c r="AT493" s="53"/>
      <c r="AU493" s="183">
        <f t="shared" ref="AU493:AV493" si="1785">SUM(AU485:AU492)</f>
        <v>18.9</v>
      </c>
      <c r="AV493" s="68">
        <f t="shared" si="1785"/>
        <v>0</v>
      </c>
      <c r="AW493" s="52"/>
      <c r="AX493" s="53"/>
      <c r="AY493" s="183">
        <f t="shared" ref="AY493:AZ493" si="1786">SUM(AY485:AY492)</f>
        <v>37.8</v>
      </c>
      <c r="AZ493" s="68">
        <f t="shared" si="1786"/>
        <v>0</v>
      </c>
      <c r="BA493" s="52"/>
      <c r="BB493" s="53"/>
      <c r="BC493" s="183">
        <f t="shared" ref="BC493:BD493" si="1787">SUM(BC485:BC492)</f>
        <v>64.8</v>
      </c>
      <c r="BD493" s="68">
        <f t="shared" si="1787"/>
        <v>0</v>
      </c>
      <c r="BE493" s="69"/>
      <c r="BF493" s="70">
        <f t="shared" ref="BF493:BH493" si="1788">SUM(BF485:BF492)</f>
        <v>6760.3</v>
      </c>
      <c r="BG493" s="71">
        <f t="shared" si="1788"/>
        <v>9921.34</v>
      </c>
      <c r="BH493" s="72">
        <f t="shared" si="1788"/>
        <v>210.6</v>
      </c>
      <c r="BI493" s="34">
        <f>H493+BF493-BG493</f>
        <v>210.6</v>
      </c>
      <c r="BJ493" s="34">
        <f>BH493-BI493</f>
        <v>0</v>
      </c>
      <c r="BK493" s="2" t="b">
        <f>H493='2020'!BH493</f>
        <v>1</v>
      </c>
    </row>
    <row r="494" ht="14.25" customHeight="1" hidden="1" spans="1:63" x14ac:dyDescent="0.25">
      <c r="A494" s="2">
        <v>55</v>
      </c>
      <c r="B494" s="14"/>
      <c r="D494" s="14" t="s">
        <v>379</v>
      </c>
      <c r="F494" s="13"/>
      <c r="G494" s="28"/>
      <c r="H494" s="34">
        <f>'2020'!BH494</f>
        <v>0</v>
      </c>
      <c r="I494" s="13"/>
      <c r="J494" s="15"/>
      <c r="K494" s="15"/>
      <c r="L494" s="28"/>
      <c r="M494" s="13"/>
      <c r="N494" s="15"/>
      <c r="Q494" s="13"/>
      <c r="R494" s="15"/>
      <c r="S494" s="15"/>
      <c r="T494" s="28"/>
      <c r="U494" s="13"/>
      <c r="V494" s="15"/>
      <c r="Y494" s="186"/>
      <c r="Z494" s="2"/>
      <c r="AA494" s="15"/>
      <c r="AB494" s="28"/>
      <c r="AC494" s="15"/>
      <c r="AD494" s="15"/>
      <c r="AG494" s="15"/>
      <c r="AH494" s="2"/>
      <c r="AI494" s="45"/>
      <c r="AJ494" s="15"/>
      <c r="AK494" s="13"/>
      <c r="AM494" s="45"/>
      <c r="AO494" s="13"/>
      <c r="AQ494" s="45">
        <v>14.34</v>
      </c>
      <c r="AS494" s="13"/>
      <c r="AU494" s="45"/>
      <c r="AW494" s="13"/>
      <c r="AY494" s="45"/>
      <c r="AZ494" s="28"/>
      <c r="BA494" s="13"/>
      <c r="BB494" s="15"/>
      <c r="BC494" s="45"/>
      <c r="BD494" s="28"/>
      <c r="BE494" s="14"/>
      <c r="BF494" s="41">
        <f t="shared" ref="BF494:BG494" si="1789">K494+O494+S494+W494+AA494+AE494+AI494+AM494+AQ494+AU494+AY494+BC494</f>
        <v>14.34</v>
      </c>
      <c r="BG494" s="34">
        <f t="shared" si="1789"/>
        <v>0</v>
      </c>
      <c r="BH494" s="35">
        <f t="shared" ref="BH494:BH501" si="1790">H494+BF494-BG494</f>
        <v>14.34</v>
      </c>
      <c r="BK494" s="2" t="b">
        <f>H494='2020'!BH494</f>
        <v>1</v>
      </c>
    </row>
    <row r="495" ht="14.25" customHeight="1" hidden="1" spans="1:63" x14ac:dyDescent="0.25">
      <c r="A495" s="2">
        <v>55</v>
      </c>
      <c r="B495" s="42">
        <v>5.5</v>
      </c>
      <c r="C495" s="2" t="s">
        <v>214</v>
      </c>
      <c r="D495" s="14" t="s">
        <v>44</v>
      </c>
      <c r="E495" s="2" t="s">
        <v>45</v>
      </c>
      <c r="F495" s="41">
        <v>2.5</v>
      </c>
      <c r="G495" s="35">
        <v>2.6</v>
      </c>
      <c r="H495" s="34">
        <f>'2020'!BH495</f>
        <v>69.98</v>
      </c>
      <c r="I495" s="13">
        <v>536</v>
      </c>
      <c r="J495" s="15">
        <f>I495-'2020'!BA495</f>
        <v>0</v>
      </c>
      <c r="K495" s="34">
        <f>J495*$F$8</f>
        <v>0</v>
      </c>
      <c r="L495" s="28"/>
      <c r="M495" s="13">
        <v>536</v>
      </c>
      <c r="N495" s="15">
        <f t="shared" ref="N495:N496" si="1791">M495-I495</f>
        <v>0</v>
      </c>
      <c r="O495" s="34">
        <f>N495*$F$8</f>
        <v>0</v>
      </c>
      <c r="Q495" s="13">
        <v>536</v>
      </c>
      <c r="R495" s="15">
        <f t="shared" ref="R495:R496" si="1792">Q495-M495</f>
        <v>0</v>
      </c>
      <c r="S495" s="34">
        <f>R495*$F$8</f>
        <v>0</v>
      </c>
      <c r="T495" s="28"/>
      <c r="U495" s="13">
        <v>536</v>
      </c>
      <c r="V495" s="15">
        <f t="shared" ref="V495:V496" si="1793">U495-Q495</f>
        <v>0</v>
      </c>
      <c r="W495" s="34">
        <f>V495*$F$8</f>
        <v>0</v>
      </c>
      <c r="X495" s="15"/>
      <c r="Y495" s="186">
        <v>586</v>
      </c>
      <c r="Z495" s="2">
        <f t="shared" ref="Z495:Z496" si="1794">Y495-U495</f>
        <v>50</v>
      </c>
      <c r="AA495" s="34">
        <f>Z495*$F$8</f>
        <v>130</v>
      </c>
      <c r="AB495" s="28"/>
      <c r="AC495" s="15">
        <v>591</v>
      </c>
      <c r="AD495" s="15">
        <f t="shared" ref="AD495:AD496" si="1795">AC495-Y495</f>
        <v>5</v>
      </c>
      <c r="AE495" s="180">
        <f>AD495*$F$8</f>
        <v>13</v>
      </c>
      <c r="AF495" s="182">
        <v>251.98</v>
      </c>
      <c r="AG495" s="15">
        <v>616</v>
      </c>
      <c r="AH495" s="2">
        <f t="shared" ref="AH495:AH496" si="1796">AG495-AC495</f>
        <v>25</v>
      </c>
      <c r="AI495" s="45">
        <f>AH495*$G$8</f>
        <v>67.5</v>
      </c>
      <c r="AJ495" s="326">
        <v>28.5</v>
      </c>
      <c r="AK495" s="13">
        <v>617</v>
      </c>
      <c r="AL495" s="15">
        <f t="shared" ref="AL495:AL496" si="1797">AK495-AG495</f>
        <v>1</v>
      </c>
      <c r="AM495" s="45">
        <f>AL495*$G$8</f>
        <v>2.7</v>
      </c>
      <c r="AN495" s="1"/>
      <c r="AO495" s="13">
        <v>617</v>
      </c>
      <c r="AP495" s="15">
        <f t="shared" ref="AP495:AP496" si="1798">AO495-AK495</f>
        <v>0</v>
      </c>
      <c r="AQ495" s="45">
        <f>AP495*$G$8</f>
        <v>0</v>
      </c>
      <c r="AR495" s="15"/>
      <c r="AS495" s="13">
        <v>617</v>
      </c>
      <c r="AT495" s="15">
        <f t="shared" ref="AT495:AT496" si="1799">AS495-AO495</f>
        <v>0</v>
      </c>
      <c r="AU495" s="45">
        <f>AT495*$G$8</f>
        <v>0</v>
      </c>
      <c r="AV495" s="15"/>
      <c r="AW495" s="13">
        <v>617</v>
      </c>
      <c r="AX495" s="15">
        <f t="shared" ref="AX495:AX496" si="1800">AW495-AS495</f>
        <v>0</v>
      </c>
      <c r="AY495" s="45">
        <f>AX495*$G$8</f>
        <v>0</v>
      </c>
      <c r="AZ495" s="208"/>
      <c r="BA495" s="13">
        <v>617</v>
      </c>
      <c r="BB495" s="15">
        <f t="shared" ref="BB495:BB496" si="1801">BA495-AW495</f>
        <v>0</v>
      </c>
      <c r="BC495" s="45">
        <f>BB495*$G$8</f>
        <v>0</v>
      </c>
      <c r="BD495" s="208"/>
      <c r="BE495" s="40">
        <f t="shared" ref="BE495:BG495" si="1802">J495+N495+R495+V495+Z495+AD495+AH495+AL495+AP495+AT495+AX495+BB495</f>
        <v>81</v>
      </c>
      <c r="BF495" s="41">
        <f t="shared" si="1802"/>
        <v>213.2</v>
      </c>
      <c r="BG495" s="34">
        <f t="shared" si="1802"/>
        <v>280.48</v>
      </c>
      <c r="BH495" s="35">
        <f t="shared" si="1790"/>
        <v>2.7</v>
      </c>
      <c r="BK495" s="2" t="b">
        <f>H495='2020'!BH495</f>
        <v>1</v>
      </c>
    </row>
    <row r="496" ht="14.25" customHeight="1" hidden="1" spans="1:63" x14ac:dyDescent="0.25">
      <c r="A496" s="2">
        <v>55</v>
      </c>
      <c r="B496" s="14"/>
      <c r="C496" s="2" t="s">
        <v>101</v>
      </c>
      <c r="D496" s="14" t="s">
        <v>47</v>
      </c>
      <c r="E496" s="2" t="s">
        <v>48</v>
      </c>
      <c r="F496" s="13">
        <v>18.56</v>
      </c>
      <c r="G496" s="35">
        <v>19.46</v>
      </c>
      <c r="H496" s="34">
        <f>'2020'!BH496</f>
        <v>0</v>
      </c>
      <c r="I496" s="13">
        <v>22</v>
      </c>
      <c r="J496" s="15"/>
      <c r="K496" s="15"/>
      <c r="L496" s="28"/>
      <c r="M496" s="13">
        <v>22</v>
      </c>
      <c r="N496" s="15">
        <f t="shared" si="1791"/>
        <v>0</v>
      </c>
      <c r="Q496" s="13">
        <v>22</v>
      </c>
      <c r="R496" s="15">
        <f t="shared" si="1792"/>
        <v>0</v>
      </c>
      <c r="S496" s="15"/>
      <c r="T496" s="28"/>
      <c r="U496" s="13">
        <v>22</v>
      </c>
      <c r="V496" s="15">
        <f t="shared" si="1793"/>
        <v>0</v>
      </c>
      <c r="W496" s="34">
        <f>V496*$F$10</f>
        <v>0</v>
      </c>
      <c r="Y496" s="186">
        <v>22</v>
      </c>
      <c r="Z496" s="2">
        <f t="shared" si="1794"/>
        <v>0</v>
      </c>
      <c r="AA496" s="34">
        <f>Z496*$F$10</f>
        <v>0</v>
      </c>
      <c r="AB496" s="28"/>
      <c r="AC496" s="15">
        <v>28</v>
      </c>
      <c r="AD496" s="15">
        <f t="shared" si="1795"/>
        <v>6</v>
      </c>
      <c r="AE496" s="34">
        <f>AD496*$F$10</f>
        <v>116.76</v>
      </c>
      <c r="AF496" s="182">
        <v>116.76</v>
      </c>
      <c r="AG496" s="15">
        <v>32</v>
      </c>
      <c r="AH496" s="2">
        <f t="shared" si="1796"/>
        <v>4</v>
      </c>
      <c r="AI496" s="45">
        <f>AH496*$G$10</f>
        <v>81.4</v>
      </c>
      <c r="AJ496" s="306">
        <v>81.4</v>
      </c>
      <c r="AK496" s="13">
        <v>32</v>
      </c>
      <c r="AL496" s="15">
        <f t="shared" si="1797"/>
        <v>0</v>
      </c>
      <c r="AM496" s="45">
        <f>AL496*$G$10</f>
        <v>0</v>
      </c>
      <c r="AN496" s="15"/>
      <c r="AO496" s="13">
        <v>32</v>
      </c>
      <c r="AP496" s="15">
        <f t="shared" si="1798"/>
        <v>0</v>
      </c>
      <c r="AQ496" s="45">
        <f>AP496*$G$10</f>
        <v>0</v>
      </c>
      <c r="AR496" s="15"/>
      <c r="AS496" s="13">
        <v>32</v>
      </c>
      <c r="AT496" s="15">
        <f t="shared" si="1799"/>
        <v>0</v>
      </c>
      <c r="AU496" s="45">
        <f>AT496*$G$10</f>
        <v>0</v>
      </c>
      <c r="AV496" s="15"/>
      <c r="AW496" s="13">
        <v>32</v>
      </c>
      <c r="AX496" s="15">
        <f t="shared" si="1800"/>
        <v>0</v>
      </c>
      <c r="AY496" s="45"/>
      <c r="AZ496" s="208"/>
      <c r="BA496" s="13">
        <v>32</v>
      </c>
      <c r="BB496" s="15">
        <f t="shared" si="1801"/>
        <v>0</v>
      </c>
      <c r="BC496" s="45"/>
      <c r="BD496" s="208"/>
      <c r="BE496" s="40">
        <f t="shared" ref="BE496:BG496" si="1803">J496+N496+R496+V496+Z496+AD496+AH496+AL496+AP496+AT496+AX496+BB496</f>
        <v>10</v>
      </c>
      <c r="BF496" s="41">
        <f t="shared" si="1803"/>
        <v>198.16</v>
      </c>
      <c r="BG496" s="34">
        <f t="shared" si="1803"/>
        <v>198.16</v>
      </c>
      <c r="BH496" s="35">
        <f t="shared" si="1790"/>
        <v>0</v>
      </c>
      <c r="BK496" s="2" t="b">
        <f>H496='2020'!BH496</f>
        <v>1</v>
      </c>
    </row>
    <row r="497" ht="14.25" customHeight="1" hidden="1" spans="1:63" x14ac:dyDescent="0.25">
      <c r="A497" s="2">
        <v>55</v>
      </c>
      <c r="B497" s="14"/>
      <c r="C497" s="2" t="s">
        <v>178</v>
      </c>
      <c r="D497" s="14" t="s">
        <v>47</v>
      </c>
      <c r="E497" s="2" t="s">
        <v>49</v>
      </c>
      <c r="F497" s="41">
        <v>500</v>
      </c>
      <c r="G497" s="28"/>
      <c r="H497" s="34">
        <f>'2020'!BH497</f>
        <v>0</v>
      </c>
      <c r="I497" s="13"/>
      <c r="J497" s="15"/>
      <c r="K497" s="15"/>
      <c r="L497" s="28"/>
      <c r="M497" s="13"/>
      <c r="N497" s="15"/>
      <c r="Q497" s="13"/>
      <c r="R497" s="15"/>
      <c r="S497" s="15"/>
      <c r="T497" s="28"/>
      <c r="U497" s="13"/>
      <c r="V497" s="15"/>
      <c r="Y497" s="186"/>
      <c r="Z497" s="2"/>
      <c r="AA497" s="15"/>
      <c r="AB497" s="28"/>
      <c r="AC497" s="15"/>
      <c r="AD497" s="15"/>
      <c r="AF497" s="154"/>
      <c r="AG497" s="15"/>
      <c r="AH497" s="2"/>
      <c r="AI497" s="45"/>
      <c r="AJ497" s="154"/>
      <c r="AK497" s="13"/>
      <c r="AL497" s="15"/>
      <c r="AM497" s="45"/>
      <c r="AN497" s="15"/>
      <c r="AO497" s="13"/>
      <c r="AP497" s="15"/>
      <c r="AQ497" s="45"/>
      <c r="AR497" s="15"/>
      <c r="AS497" s="13"/>
      <c r="AT497" s="15"/>
      <c r="AU497" s="45"/>
      <c r="AV497" s="15"/>
      <c r="AW497" s="13"/>
      <c r="AX497" s="15"/>
      <c r="AY497" s="45"/>
      <c r="AZ497" s="28"/>
      <c r="BA497" s="13"/>
      <c r="BB497" s="15"/>
      <c r="BC497" s="45"/>
      <c r="BD497" s="28"/>
      <c r="BE497" s="14"/>
      <c r="BF497" s="41">
        <f t="shared" ref="BF497:BG497" si="1804">K497+O497+S497+W497+AA497+AE497+AI497+AM497+AQ497+AU497+AY497+BC497</f>
        <v>0</v>
      </c>
      <c r="BG497" s="34">
        <f t="shared" si="1804"/>
        <v>0</v>
      </c>
      <c r="BH497" s="35">
        <f t="shared" si="1790"/>
        <v>0</v>
      </c>
      <c r="BK497" s="2" t="b">
        <f>H497='2020'!BH497</f>
        <v>1</v>
      </c>
    </row>
    <row r="498" ht="14.25" customHeight="1" hidden="1" spans="1:63" x14ac:dyDescent="0.25">
      <c r="A498" s="2">
        <v>55</v>
      </c>
      <c r="B498" s="14"/>
      <c r="C498" s="2" t="s">
        <v>215</v>
      </c>
      <c r="D498" s="14" t="s">
        <v>50</v>
      </c>
      <c r="E498" s="2" t="s">
        <v>49</v>
      </c>
      <c r="F498" s="41">
        <v>1100</v>
      </c>
      <c r="G498" s="28"/>
      <c r="H498" s="34">
        <f>'2020'!BH498</f>
        <v>0</v>
      </c>
      <c r="I498" s="13"/>
      <c r="J498" s="15"/>
      <c r="K498" s="15"/>
      <c r="L498" s="28"/>
      <c r="M498" s="13"/>
      <c r="N498" s="15"/>
      <c r="Q498" s="13"/>
      <c r="R498" s="15"/>
      <c r="S498" s="15"/>
      <c r="T498" s="28"/>
      <c r="U498" s="13"/>
      <c r="V498" s="15"/>
      <c r="Y498" s="186"/>
      <c r="Z498" s="2"/>
      <c r="AA498" s="15"/>
      <c r="AB498" s="28"/>
      <c r="AC498" s="15"/>
      <c r="AD498" s="15"/>
      <c r="AE498" s="182">
        <v>6050</v>
      </c>
      <c r="AF498" s="182"/>
      <c r="AG498" s="15"/>
      <c r="AH498" s="2"/>
      <c r="AI498" s="45"/>
      <c r="AJ498" s="326">
        <v>1271.36</v>
      </c>
      <c r="AK498" s="13"/>
      <c r="AL498" s="15"/>
      <c r="AM498" s="45"/>
      <c r="AN498" s="34"/>
      <c r="AO498" s="13"/>
      <c r="AP498" s="15"/>
      <c r="AQ498" s="45"/>
      <c r="AR498" s="15"/>
      <c r="AS498" s="13"/>
      <c r="AT498" s="15"/>
      <c r="AU498" s="45"/>
      <c r="AV498" s="15"/>
      <c r="AW498" s="13"/>
      <c r="AX498" s="15"/>
      <c r="AY498" s="45"/>
      <c r="AZ498" s="28"/>
      <c r="BA498" s="13"/>
      <c r="BB498" s="15"/>
      <c r="BC498" s="45"/>
      <c r="BD498" s="28"/>
      <c r="BE498" s="14"/>
      <c r="BF498" s="41">
        <f t="shared" ref="BF498:BG498" si="1805">K498+O498+S498+W498+AA498+AE498+AI498+AM498+AQ498+AU498+AY498+BC498</f>
        <v>6050</v>
      </c>
      <c r="BG498" s="34">
        <f t="shared" si="1805"/>
        <v>1271.36</v>
      </c>
      <c r="BH498" s="35">
        <f t="shared" si="1790"/>
        <v>4778.64</v>
      </c>
      <c r="BK498" s="2" t="b">
        <f>H498='2020'!BH498</f>
        <v>1</v>
      </c>
    </row>
    <row r="499" ht="14.25" customHeight="1" hidden="1" spans="1:63" x14ac:dyDescent="0.25">
      <c r="A499" s="2">
        <v>55</v>
      </c>
      <c r="B499" s="14"/>
      <c r="C499" s="2" t="s">
        <v>216</v>
      </c>
      <c r="D499" s="14" t="s">
        <v>51</v>
      </c>
      <c r="E499" s="2" t="s">
        <v>39</v>
      </c>
      <c r="F499" s="41">
        <v>500</v>
      </c>
      <c r="G499" s="28"/>
      <c r="H499" s="34">
        <f>'2020'!BH499</f>
        <v>500</v>
      </c>
      <c r="I499" s="13"/>
      <c r="J499" s="15"/>
      <c r="K499" s="15"/>
      <c r="L499" s="28"/>
      <c r="M499" s="13"/>
      <c r="N499" s="15"/>
      <c r="Q499" s="13"/>
      <c r="R499" s="15"/>
      <c r="S499" s="15"/>
      <c r="T499" s="28"/>
      <c r="U499" s="13"/>
      <c r="V499" s="15"/>
      <c r="Y499" s="186"/>
      <c r="Z499" s="2"/>
      <c r="AA499" s="15"/>
      <c r="AB499" s="28"/>
      <c r="AC499" s="15"/>
      <c r="AD499" s="15"/>
      <c r="AE499" s="180">
        <f>$F$13</f>
      </c>
      <c r="AF499" s="182">
        <v>500</v>
      </c>
      <c r="AG499" s="15"/>
      <c r="AH499" s="2"/>
      <c r="AI499" s="45"/>
      <c r="AJ499" s="154"/>
      <c r="AK499" s="13"/>
      <c r="AL499" s="15"/>
      <c r="AM499" s="45"/>
      <c r="AN499" s="15"/>
      <c r="AO499" s="13"/>
      <c r="AP499" s="15"/>
      <c r="AQ499" s="180"/>
      <c r="AR499" s="15"/>
      <c r="AS499" s="13"/>
      <c r="AT499" s="15"/>
      <c r="AU499" s="45"/>
      <c r="AV499" s="15"/>
      <c r="AW499" s="13"/>
      <c r="AX499" s="15"/>
      <c r="AY499" s="45"/>
      <c r="AZ499" s="28"/>
      <c r="BA499" s="13"/>
      <c r="BB499" s="15"/>
      <c r="BC499" s="45"/>
      <c r="BD499" s="28"/>
      <c r="BE499" s="14"/>
      <c r="BF499" s="41">
        <f t="shared" ref="BF499:BG499" si="1806">K499+O499+S499+W499+AA499+AE499+AI499+AM499+AQ499+AU499+AY499+BC499</f>
        <v>0</v>
      </c>
      <c r="BG499" s="34">
        <f t="shared" si="1806"/>
        <v>500</v>
      </c>
      <c r="BH499" s="35">
        <f t="shared" si="1790"/>
        <v>0</v>
      </c>
      <c r="BK499" s="2" t="b">
        <f>H499='2020'!BH499</f>
        <v>1</v>
      </c>
    </row>
    <row r="500" ht="14.25" customHeight="1" hidden="1" spans="1:63" x14ac:dyDescent="0.25">
      <c r="A500" s="2">
        <v>55</v>
      </c>
      <c r="B500" s="14"/>
      <c r="D500" s="14" t="s">
        <v>51</v>
      </c>
      <c r="E500" s="2" t="s">
        <v>49</v>
      </c>
      <c r="F500" s="41">
        <v>500</v>
      </c>
      <c r="G500" s="28"/>
      <c r="H500" s="34">
        <f>'2020'!BH500</f>
        <v>2750</v>
      </c>
      <c r="I500" s="13"/>
      <c r="J500" s="15"/>
      <c r="K500" s="15"/>
      <c r="L500" s="28"/>
      <c r="M500" s="13"/>
      <c r="N500" s="15"/>
      <c r="Q500" s="13"/>
      <c r="R500" s="15"/>
      <c r="S500" s="15"/>
      <c r="T500" s="28"/>
      <c r="U500" s="13"/>
      <c r="V500" s="15"/>
      <c r="Y500" s="186"/>
      <c r="Z500" s="2"/>
      <c r="AA500" s="15"/>
      <c r="AB500" s="28"/>
      <c r="AC500" s="15"/>
      <c r="AD500" s="15"/>
      <c r="AE500" s="34"/>
      <c r="AF500" s="182">
        <v>1631.26</v>
      </c>
      <c r="AG500" s="15"/>
      <c r="AH500" s="2"/>
      <c r="AI500" s="45"/>
      <c r="AJ500" s="306">
        <v>1118.74</v>
      </c>
      <c r="AK500" s="13"/>
      <c r="AL500" s="15"/>
      <c r="AM500" s="45"/>
      <c r="AN500" s="15"/>
      <c r="AO500" s="13"/>
      <c r="AP500" s="15"/>
      <c r="AQ500" s="180">
        <f>B495*$F$14</f>
        <v>0</v>
      </c>
      <c r="AR500" s="15"/>
      <c r="AS500" s="13"/>
      <c r="AT500" s="15"/>
      <c r="AU500" s="45"/>
      <c r="AV500" s="15"/>
      <c r="AW500" s="13"/>
      <c r="AX500" s="15"/>
      <c r="AY500" s="45"/>
      <c r="AZ500" s="28"/>
      <c r="BA500" s="13"/>
      <c r="BB500" s="15"/>
      <c r="BC500" s="45"/>
      <c r="BD500" s="28"/>
      <c r="BE500" s="14"/>
      <c r="BF500" s="41">
        <f t="shared" ref="BF500:BG500" si="1807">K500+O500+S500+W500+AA500+AE500+AI500+AM500+AQ500+AU500+AY500+BC500</f>
        <v>0</v>
      </c>
      <c r="BG500" s="34">
        <f t="shared" si="1807"/>
        <v>2750</v>
      </c>
      <c r="BH500" s="35">
        <f t="shared" si="1790"/>
        <v>0</v>
      </c>
      <c r="BK500" s="2" t="b">
        <f>H500='2020'!BH500</f>
        <v>1</v>
      </c>
    </row>
    <row r="501" ht="14.25" customHeight="1" hidden="1" spans="1:63" x14ac:dyDescent="0.25">
      <c r="A501" s="2">
        <v>55</v>
      </c>
      <c r="B501" s="14"/>
      <c r="D501" s="14" t="s">
        <v>52</v>
      </c>
      <c r="E501" s="2" t="s">
        <v>39</v>
      </c>
      <c r="F501" s="41">
        <v>500</v>
      </c>
      <c r="G501" s="28"/>
      <c r="H501" s="34">
        <f>'2020'!BH501</f>
        <v>0</v>
      </c>
      <c r="I501" s="13"/>
      <c r="J501" s="15"/>
      <c r="K501" s="15"/>
      <c r="L501" s="28"/>
      <c r="M501" s="13"/>
      <c r="N501" s="15"/>
      <c r="Q501" s="13"/>
      <c r="R501" s="15"/>
      <c r="S501" s="15"/>
      <c r="T501" s="28"/>
      <c r="U501" s="13"/>
      <c r="V501" s="15"/>
      <c r="Y501" s="186"/>
      <c r="Z501" s="2"/>
      <c r="AA501" s="34">
        <f>$F$15</f>
      </c>
      <c r="AB501" s="28"/>
      <c r="AC501" s="15"/>
      <c r="AD501" s="15"/>
      <c r="AG501" s="15"/>
      <c r="AH501" s="2"/>
      <c r="AI501" s="45"/>
      <c r="AJ501" s="15"/>
      <c r="AK501" s="13"/>
      <c r="AL501" s="15"/>
      <c r="AM501" s="45"/>
      <c r="AN501" s="15"/>
      <c r="AO501" s="13"/>
      <c r="AP501" s="15"/>
      <c r="AQ501" s="45"/>
      <c r="AR501" s="15"/>
      <c r="AS501" s="13"/>
      <c r="AT501" s="15"/>
      <c r="AU501" s="45"/>
      <c r="AV501" s="15"/>
      <c r="AW501" s="13"/>
      <c r="AX501" s="15"/>
      <c r="AY501" s="45"/>
      <c r="AZ501" s="35"/>
      <c r="BA501" s="13"/>
      <c r="BB501" s="15"/>
      <c r="BC501" s="45"/>
      <c r="BD501" s="35"/>
      <c r="BE501" s="14"/>
      <c r="BF501" s="41">
        <f t="shared" ref="BF501:BG501" si="1808">K501+O501+S501+W501+AA501+AE501+AI501+AM501+AQ501+AU501+AY501+BC501</f>
        <v>0</v>
      </c>
      <c r="BG501" s="34">
        <f t="shared" si="1808"/>
        <v>0</v>
      </c>
      <c r="BH501" s="35">
        <f t="shared" si="1790"/>
        <v>0</v>
      </c>
      <c r="BK501" s="2" t="b">
        <f>H501='2020'!BH501</f>
        <v>1</v>
      </c>
    </row>
    <row r="502" ht="14.25" customHeight="1" hidden="1" spans="1:63" x14ac:dyDescent="0.25">
      <c r="A502" s="255" t="s">
        <v>217</v>
      </c>
      <c r="B502" s="21"/>
      <c r="C502" s="22" t="s">
        <v>53</v>
      </c>
      <c r="D502" s="21"/>
      <c r="E502" s="22"/>
      <c r="F502" s="20"/>
      <c r="G502" s="23"/>
      <c r="H502" s="51">
        <f>SUM(H494:H501)</f>
        <v>3319.98</v>
      </c>
      <c r="I502" s="52"/>
      <c r="J502" s="53"/>
      <c r="K502" s="51">
        <f t="shared" ref="K502:L502" si="1809">SUM(K494:K501)</f>
        <v>0</v>
      </c>
      <c r="L502" s="68">
        <f t="shared" si="1809"/>
        <v>0</v>
      </c>
      <c r="M502" s="52"/>
      <c r="N502" s="53"/>
      <c r="O502" s="51">
        <f t="shared" ref="O502:P502" si="1810">SUM(O494:O501)</f>
        <v>0</v>
      </c>
      <c r="P502" s="51">
        <f t="shared" si="1810"/>
        <v>0</v>
      </c>
      <c r="Q502" s="52"/>
      <c r="R502" s="53"/>
      <c r="S502" s="51">
        <f t="shared" ref="S502:T502" si="1811">SUM(S494:S501)</f>
        <v>0</v>
      </c>
      <c r="T502" s="51">
        <f t="shared" si="1811"/>
        <v>0</v>
      </c>
      <c r="U502" s="52"/>
      <c r="V502" s="53"/>
      <c r="W502" s="51">
        <f t="shared" ref="W502:X502" si="1812">SUM(W494:W501)</f>
        <v>0</v>
      </c>
      <c r="X502" s="51">
        <f t="shared" si="1812"/>
        <v>0</v>
      </c>
      <c r="Y502" s="300"/>
      <c r="Z502" s="301"/>
      <c r="AA502" s="51">
        <f t="shared" ref="AA502:AB502" si="1813">SUM(AA494:AA501)</f>
        <v>130</v>
      </c>
      <c r="AB502" s="51">
        <f t="shared" si="1813"/>
        <v>0</v>
      </c>
      <c r="AC502" s="52"/>
      <c r="AD502" s="53"/>
      <c r="AE502" s="51">
        <f t="shared" ref="AE502:AF502" si="1814">SUM(AE494:AE501)</f>
        <v>6179.76</v>
      </c>
      <c r="AF502" s="51">
        <f t="shared" si="1814"/>
        <v>2500</v>
      </c>
      <c r="AG502" s="52"/>
      <c r="AH502" s="301"/>
      <c r="AI502" s="183">
        <f t="shared" ref="AI502:AJ502" si="1815">SUM(AI494:AI501)</f>
        <v>148.9</v>
      </c>
      <c r="AJ502" s="51">
        <f t="shared" si="1815"/>
        <v>2500</v>
      </c>
      <c r="AK502" s="52"/>
      <c r="AL502" s="53"/>
      <c r="AM502" s="183">
        <f t="shared" ref="AM502:AN502" si="1816">SUM(AM494:AM501)</f>
        <v>2.7</v>
      </c>
      <c r="AN502" s="51">
        <f t="shared" si="1816"/>
        <v>0</v>
      </c>
      <c r="AO502" s="52"/>
      <c r="AP502" s="53"/>
      <c r="AQ502" s="183">
        <f t="shared" ref="AQ502:AR502" si="1817">SUM(AQ494:AQ501)</f>
        <v>14.34</v>
      </c>
      <c r="AR502" s="51">
        <f t="shared" si="1817"/>
        <v>0</v>
      </c>
      <c r="AS502" s="52"/>
      <c r="AT502" s="53"/>
      <c r="AU502" s="183">
        <f t="shared" ref="AU502:AV502" si="1818">SUM(AU494:AU501)</f>
        <v>0</v>
      </c>
      <c r="AV502" s="68">
        <f t="shared" si="1818"/>
        <v>0</v>
      </c>
      <c r="AW502" s="52"/>
      <c r="AX502" s="53"/>
      <c r="AY502" s="183">
        <f t="shared" ref="AY502:AZ502" si="1819">SUM(AY494:AY501)</f>
        <v>0</v>
      </c>
      <c r="AZ502" s="68">
        <f t="shared" si="1819"/>
        <v>0</v>
      </c>
      <c r="BA502" s="52"/>
      <c r="BB502" s="53"/>
      <c r="BC502" s="183">
        <f t="shared" ref="BC502:BD502" si="1820">SUM(BC494:BC501)</f>
        <v>0</v>
      </c>
      <c r="BD502" s="68">
        <f t="shared" si="1820"/>
        <v>0</v>
      </c>
      <c r="BE502" s="69"/>
      <c r="BF502" s="70">
        <f t="shared" ref="BF502:BH502" si="1821">SUM(BF494:BF501)</f>
        <v>6475.7</v>
      </c>
      <c r="BG502" s="71">
        <f t="shared" si="1821"/>
        <v>5000</v>
      </c>
      <c r="BH502" s="72">
        <f t="shared" si="1821"/>
        <v>4795.68</v>
      </c>
      <c r="BI502" s="34">
        <f>H502+BF502-BG502</f>
        <v>4795.68</v>
      </c>
      <c r="BJ502" s="34">
        <f>BH502-BI502</f>
        <v>0</v>
      </c>
      <c r="BK502" s="2" t="b">
        <f>H502='2020'!BH502</f>
        <v>1</v>
      </c>
    </row>
    <row r="503" ht="14.25" customHeight="1" hidden="1" spans="1:63" x14ac:dyDescent="0.25">
      <c r="A503" s="2">
        <v>56</v>
      </c>
      <c r="B503" s="14"/>
      <c r="D503" s="178" t="s">
        <v>486</v>
      </c>
      <c r="F503" s="13"/>
      <c r="G503" s="28"/>
      <c r="H503" s="34">
        <f>'2020'!BH503</f>
        <v>0</v>
      </c>
      <c r="I503" s="13"/>
      <c r="J503" s="15"/>
      <c r="K503" s="15"/>
      <c r="L503" s="28"/>
      <c r="M503" s="13"/>
      <c r="N503" s="15"/>
      <c r="Q503" s="13"/>
      <c r="R503" s="15"/>
      <c r="S503" s="15"/>
      <c r="T503" s="28"/>
      <c r="U503" s="13"/>
      <c r="V503" s="15"/>
      <c r="W503" s="153"/>
      <c r="X503" s="34"/>
      <c r="Y503" s="186"/>
      <c r="Z503" s="2"/>
      <c r="AA503" s="15"/>
      <c r="AB503" s="28"/>
      <c r="AC503" s="15"/>
      <c r="AD503" s="15"/>
      <c r="AG503" s="15"/>
      <c r="AH503" s="2"/>
      <c r="AI503" s="45"/>
      <c r="AJ503" s="15"/>
      <c r="AK503" s="13"/>
      <c r="AM503" s="45"/>
      <c r="AN503" s="15"/>
      <c r="AO503" s="13"/>
      <c r="AQ503" s="45"/>
      <c r="AR503" s="1"/>
      <c r="AS503" s="13"/>
      <c r="AU503" s="45"/>
      <c r="AW503" s="13"/>
      <c r="AY503" s="45"/>
      <c r="AZ503" s="28"/>
      <c r="BA503" s="13"/>
      <c r="BB503" s="15"/>
      <c r="BC503" s="45"/>
      <c r="BD503" s="28"/>
      <c r="BE503" s="14"/>
      <c r="BF503" s="41">
        <f t="shared" ref="BF503:BG503" si="1822">K503+O503+S503+W503+AA503+AE503+AI503+AM503+AQ503+AU503+AY503+BC503</f>
        <v>0</v>
      </c>
      <c r="BG503" s="34">
        <f t="shared" si="1822"/>
        <v>0</v>
      </c>
      <c r="BH503" s="35">
        <f t="shared" ref="BH503:BH510" si="1823">H503+BF503-BG503</f>
        <v>0</v>
      </c>
      <c r="BK503" s="2" t="b">
        <f>H503='2020'!BH503</f>
        <v>1</v>
      </c>
    </row>
    <row r="504" ht="14.25" customHeight="1" hidden="1" spans="1:63" x14ac:dyDescent="0.25">
      <c r="A504" s="2">
        <v>56</v>
      </c>
      <c r="B504" s="14">
        <v>6.23</v>
      </c>
      <c r="C504" s="15" t="s">
        <v>423</v>
      </c>
      <c r="D504" s="14" t="s">
        <v>44</v>
      </c>
      <c r="E504" s="2" t="s">
        <v>45</v>
      </c>
      <c r="F504" s="41">
        <v>2.5</v>
      </c>
      <c r="G504" s="35">
        <v>2.6</v>
      </c>
      <c r="H504" s="34">
        <f>'2020'!BH504</f>
        <v>0</v>
      </c>
      <c r="I504" s="13">
        <v>17141</v>
      </c>
      <c r="J504" s="15">
        <f>I504-'2020'!BA504</f>
        <v>782</v>
      </c>
      <c r="K504" s="34">
        <f>J504*$F$8</f>
        <v>2033.2</v>
      </c>
      <c r="L504" s="28"/>
      <c r="M504" s="13">
        <v>18081</v>
      </c>
      <c r="N504" s="15">
        <f t="shared" ref="N504:N505" si="1824">M504-I504</f>
        <v>940</v>
      </c>
      <c r="O504" s="34">
        <f>N504*$F$8</f>
        <v>2444</v>
      </c>
      <c r="P504" s="1">
        <v>2033.2</v>
      </c>
      <c r="Q504" s="13">
        <v>20444</v>
      </c>
      <c r="R504" s="15">
        <f t="shared" ref="R504:R505" si="1825">Q504-M504</f>
        <v>2363</v>
      </c>
      <c r="S504" s="34">
        <f>R504*$F$8</f>
        <v>6143.8</v>
      </c>
      <c r="T504" s="32">
        <v>2444</v>
      </c>
      <c r="U504" s="13">
        <v>22986</v>
      </c>
      <c r="V504" s="15">
        <f t="shared" ref="V504:V505" si="1826">U504-Q504</f>
        <v>2542</v>
      </c>
      <c r="W504" s="34">
        <f>V504*$F$8</f>
        <v>6609.2</v>
      </c>
      <c r="X504" s="34"/>
      <c r="Y504" s="186">
        <v>23859</v>
      </c>
      <c r="Z504" s="2">
        <f t="shared" ref="Z504:Z505" si="1827">Y504-U504</f>
        <v>873</v>
      </c>
      <c r="AA504" s="34">
        <f>Z504*$F$8</f>
        <v>2269.8</v>
      </c>
      <c r="AB504" s="141"/>
      <c r="AC504" s="15">
        <v>24272</v>
      </c>
      <c r="AD504" s="15">
        <f t="shared" ref="AD504:AD505" si="1828">AC504-Y504</f>
        <v>413</v>
      </c>
      <c r="AE504" s="180">
        <f>AD504*$F$8</f>
        <v>1073.8</v>
      </c>
      <c r="AF504" s="34"/>
      <c r="AG504" s="15">
        <v>24679</v>
      </c>
      <c r="AH504" s="2">
        <f t="shared" ref="AH504:AH505" si="1829">AG504-AC504</f>
        <v>407</v>
      </c>
      <c r="AI504" s="45">
        <f>AH504*$G$8</f>
        <v>1098.9</v>
      </c>
      <c r="AJ504" s="187"/>
      <c r="AK504" s="13">
        <v>25090</v>
      </c>
      <c r="AL504" s="15">
        <f t="shared" ref="AL504:AL505" si="1830">AK504-AG504</f>
        <v>411</v>
      </c>
      <c r="AM504" s="45">
        <f>AL504*$G$8</f>
        <v>1109.7</v>
      </c>
      <c r="AN504" s="326">
        <v>9400</v>
      </c>
      <c r="AO504" s="13">
        <v>25796</v>
      </c>
      <c r="AP504" s="15">
        <f t="shared" ref="AP504:AP505" si="1831">AO504-AK504</f>
        <v>706</v>
      </c>
      <c r="AQ504" s="45">
        <f>AP504*$G$8</f>
        <v>1906.2</v>
      </c>
      <c r="AR504" s="1">
        <v>9000</v>
      </c>
      <c r="AS504" s="13">
        <v>27340</v>
      </c>
      <c r="AT504" s="15">
        <f t="shared" ref="AT504:AT505" si="1832">AS504-AO504</f>
        <v>1544</v>
      </c>
      <c r="AU504" s="45">
        <f>AT504*$G$8</f>
        <v>4168.8</v>
      </c>
      <c r="AV504" s="15"/>
      <c r="AW504" s="13">
        <v>28090</v>
      </c>
      <c r="AX504" s="15">
        <f t="shared" ref="AX504:AX505" si="1833">AW504-AS504</f>
        <v>750</v>
      </c>
      <c r="AY504" s="45">
        <f>AX504*$G$8</f>
        <v>2025</v>
      </c>
      <c r="AZ504" s="330"/>
      <c r="BA504" s="13">
        <v>28597</v>
      </c>
      <c r="BB504" s="15">
        <f t="shared" ref="BB504:BB505" si="1834">BA504-AW504</f>
        <v>507</v>
      </c>
      <c r="BC504" s="45">
        <f>BB504*$G$8</f>
        <v>1368.9</v>
      </c>
      <c r="BD504" s="246">
        <f>8005.2+1368.9</f>
        <v>9374.1</v>
      </c>
      <c r="BE504" s="40">
        <f t="shared" ref="BE504:BG504" si="1835">J504+N504+R504+V504+Z504+AD504+AH504+AL504+AP504+AT504+AX504+BB504</f>
        <v>12238</v>
      </c>
      <c r="BF504" s="41">
        <f t="shared" si="1835"/>
        <v>32251.3</v>
      </c>
      <c r="BG504" s="34">
        <f t="shared" si="1835"/>
        <v>32251.3</v>
      </c>
      <c r="BH504" s="35">
        <f t="shared" si="1823"/>
        <v>0</v>
      </c>
      <c r="BK504" s="2" t="b">
        <f>H504='2020'!BH504</f>
        <v>1</v>
      </c>
    </row>
    <row r="505" ht="14.25" customHeight="1" hidden="1" spans="1:63" x14ac:dyDescent="0.25">
      <c r="A505" s="2">
        <v>56</v>
      </c>
      <c r="B505" s="14"/>
      <c r="C505" s="15" t="s">
        <v>121</v>
      </c>
      <c r="D505" s="14" t="s">
        <v>47</v>
      </c>
      <c r="E505" s="2" t="s">
        <v>48</v>
      </c>
      <c r="F505" s="13">
        <v>18.56</v>
      </c>
      <c r="G505" s="35">
        <v>19.46</v>
      </c>
      <c r="H505" s="34">
        <f>'2020'!BH505</f>
        <v>0</v>
      </c>
      <c r="I505" s="13">
        <v>27</v>
      </c>
      <c r="J505" s="15"/>
      <c r="K505" s="15"/>
      <c r="L505" s="28"/>
      <c r="M505" s="13">
        <v>27</v>
      </c>
      <c r="N505" s="15">
        <f t="shared" si="1824"/>
        <v>0</v>
      </c>
      <c r="P505" s="1"/>
      <c r="Q505" s="13">
        <v>27</v>
      </c>
      <c r="R505" s="15">
        <f t="shared" si="1825"/>
        <v>0</v>
      </c>
      <c r="S505" s="15"/>
      <c r="T505" s="32"/>
      <c r="U505" s="13">
        <v>27</v>
      </c>
      <c r="V505" s="15">
        <f t="shared" si="1826"/>
        <v>0</v>
      </c>
      <c r="W505" s="180">
        <f>V505*$F$10</f>
        <v>0</v>
      </c>
      <c r="Y505" s="186">
        <v>27</v>
      </c>
      <c r="Z505" s="2">
        <f t="shared" si="1827"/>
        <v>0</v>
      </c>
      <c r="AA505" s="34">
        <f>Z505*$F$10</f>
        <v>0</v>
      </c>
      <c r="AB505" s="28"/>
      <c r="AC505" s="15">
        <v>32</v>
      </c>
      <c r="AD505" s="15">
        <f t="shared" si="1828"/>
        <v>5</v>
      </c>
      <c r="AE505" s="34">
        <f>AD505*$F$10</f>
        <v>97.3</v>
      </c>
      <c r="AG505" s="15">
        <v>35</v>
      </c>
      <c r="AH505" s="2">
        <f t="shared" si="1829"/>
        <v>3</v>
      </c>
      <c r="AI505" s="45">
        <f>AH505*$G$10</f>
        <v>61.05</v>
      </c>
      <c r="AJ505" s="180"/>
      <c r="AK505" s="13">
        <v>35</v>
      </c>
      <c r="AL505" s="15">
        <f t="shared" si="1830"/>
        <v>0</v>
      </c>
      <c r="AM505" s="45">
        <f>AL505*$G$10</f>
        <v>0</v>
      </c>
      <c r="AN505" s="306">
        <v>200</v>
      </c>
      <c r="AO505" s="13">
        <v>36</v>
      </c>
      <c r="AP505" s="15">
        <f t="shared" si="1831"/>
        <v>1</v>
      </c>
      <c r="AQ505" s="45">
        <f>AP505*$G$10</f>
        <v>20.35</v>
      </c>
      <c r="AR505" s="15"/>
      <c r="AS505" s="13">
        <v>36</v>
      </c>
      <c r="AT505" s="15">
        <f t="shared" si="1832"/>
        <v>0</v>
      </c>
      <c r="AU505" s="45">
        <f>AT505*$G$10</f>
        <v>0</v>
      </c>
      <c r="AV505" s="15"/>
      <c r="AW505" s="13">
        <v>36</v>
      </c>
      <c r="AX505" s="15">
        <f t="shared" si="1833"/>
        <v>0</v>
      </c>
      <c r="AY505" s="45"/>
      <c r="AZ505" s="208"/>
      <c r="BA505" s="13">
        <v>36</v>
      </c>
      <c r="BB505" s="15">
        <f t="shared" si="1834"/>
        <v>0</v>
      </c>
      <c r="BC505" s="45"/>
      <c r="BD505" s="208"/>
      <c r="BE505" s="40">
        <f t="shared" ref="BE505:BG505" si="1836">J505+N505+R505+V505+Z505+AD505+AH505+AL505+AP505+AT505+AX505+BB505</f>
        <v>9</v>
      </c>
      <c r="BF505" s="41">
        <f t="shared" si="1836"/>
        <v>178.7</v>
      </c>
      <c r="BG505" s="34">
        <f t="shared" si="1836"/>
        <v>200</v>
      </c>
      <c r="BH505" s="35">
        <f t="shared" si="1823"/>
        <v>-21.3</v>
      </c>
      <c r="BK505" s="2" t="b">
        <f>H505='2020'!BH505</f>
        <v>1</v>
      </c>
    </row>
    <row r="506" ht="14.25" customHeight="1" hidden="1" spans="1:63" x14ac:dyDescent="0.25">
      <c r="A506" s="2">
        <v>56</v>
      </c>
      <c r="B506" s="14"/>
      <c r="C506" s="15" t="s">
        <v>115</v>
      </c>
      <c r="D506" s="14" t="s">
        <v>47</v>
      </c>
      <c r="E506" s="2" t="s">
        <v>49</v>
      </c>
      <c r="F506" s="41">
        <v>500</v>
      </c>
      <c r="G506" s="28"/>
      <c r="H506" s="34">
        <f>'2020'!BH506</f>
        <v>0</v>
      </c>
      <c r="I506" s="13"/>
      <c r="J506" s="15"/>
      <c r="K506" s="15"/>
      <c r="L506" s="28"/>
      <c r="M506" s="13"/>
      <c r="N506" s="15"/>
      <c r="P506" s="1"/>
      <c r="Q506" s="13"/>
      <c r="R506" s="15"/>
      <c r="S506" s="15"/>
      <c r="T506" s="32"/>
      <c r="U506" s="13"/>
      <c r="V506" s="15"/>
      <c r="X506" s="34"/>
      <c r="Y506" s="186"/>
      <c r="Z506" s="2"/>
      <c r="AA506" s="34"/>
      <c r="AB506" s="28"/>
      <c r="AC506" s="15"/>
      <c r="AD506" s="15"/>
      <c r="AG506" s="15"/>
      <c r="AH506" s="2"/>
      <c r="AI506" s="45"/>
      <c r="AJ506" s="15"/>
      <c r="AK506" s="13"/>
      <c r="AL506" s="15"/>
      <c r="AM506" s="45"/>
      <c r="AN506" s="15"/>
      <c r="AO506" s="13"/>
      <c r="AP506" s="15"/>
      <c r="AQ506" s="45"/>
      <c r="AR506" s="1"/>
      <c r="AS506" s="13"/>
      <c r="AT506" s="15"/>
      <c r="AU506" s="45"/>
      <c r="AV506" s="15"/>
      <c r="AW506" s="13"/>
      <c r="AX506" s="15"/>
      <c r="AY506" s="45"/>
      <c r="AZ506" s="28"/>
      <c r="BA506" s="13"/>
      <c r="BB506" s="15"/>
      <c r="BC506" s="45"/>
      <c r="BD506" s="28"/>
      <c r="BE506" s="14"/>
      <c r="BF506" s="41">
        <f t="shared" ref="BF506:BG506" si="1837">K506+O506+S506+W506+AA506+AE506+AI506+AM506+AQ506+AU506+AY506+BC506</f>
        <v>0</v>
      </c>
      <c r="BG506" s="34">
        <f t="shared" si="1837"/>
        <v>0</v>
      </c>
      <c r="BH506" s="35">
        <f t="shared" si="1823"/>
        <v>0</v>
      </c>
      <c r="BK506" s="2" t="b">
        <f>H506='2020'!BH506</f>
        <v>1</v>
      </c>
    </row>
    <row r="507" ht="14.25" customHeight="1" hidden="1" spans="1:63" x14ac:dyDescent="0.25">
      <c r="A507" s="2">
        <v>56</v>
      </c>
      <c r="B507" s="14"/>
      <c r="C507" s="15" t="s">
        <v>424</v>
      </c>
      <c r="D507" s="14" t="s">
        <v>50</v>
      </c>
      <c r="E507" s="2" t="s">
        <v>49</v>
      </c>
      <c r="F507" s="41">
        <v>1100</v>
      </c>
      <c r="G507" s="28"/>
      <c r="H507" s="34">
        <f>'2020'!BH507</f>
        <v>0</v>
      </c>
      <c r="I507" s="13"/>
      <c r="J507" s="15"/>
      <c r="K507" s="15"/>
      <c r="L507" s="28"/>
      <c r="M507" s="13"/>
      <c r="N507" s="15"/>
      <c r="P507" s="1"/>
      <c r="Q507" s="13"/>
      <c r="R507" s="15"/>
      <c r="S507" s="15"/>
      <c r="T507" s="32"/>
      <c r="U507" s="13"/>
      <c r="V507" s="15"/>
      <c r="Y507" s="186"/>
      <c r="Z507" s="2"/>
      <c r="AA507" s="15"/>
      <c r="AB507" s="28"/>
      <c r="AC507" s="15"/>
      <c r="AD507" s="15"/>
      <c r="AE507" s="34">
        <f>B504*$F$12</f>
        <v>6853</v>
      </c>
      <c r="AG507" s="15"/>
      <c r="AH507" s="2"/>
      <c r="AI507" s="45"/>
      <c r="AJ507" s="180"/>
      <c r="AK507" s="13"/>
      <c r="AL507" s="15"/>
      <c r="AM507" s="45"/>
      <c r="AN507" s="326">
        <v>6853</v>
      </c>
      <c r="AO507" s="13"/>
      <c r="AP507" s="15"/>
      <c r="AQ507" s="45"/>
      <c r="AR507" s="15"/>
      <c r="AS507" s="13"/>
      <c r="AT507" s="15"/>
      <c r="AU507" s="45"/>
      <c r="AV507" s="15"/>
      <c r="AW507" s="13"/>
      <c r="AX507" s="15"/>
      <c r="AY507" s="45"/>
      <c r="AZ507" s="28"/>
      <c r="BA507" s="13"/>
      <c r="BB507" s="15"/>
      <c r="BC507" s="45"/>
      <c r="BD507" s="28"/>
      <c r="BE507" s="14"/>
      <c r="BF507" s="41">
        <f t="shared" ref="BF507:BG507" si="1838">K507+O507+S507+W507+AA507+AE507+AI507+AM507+AQ507+AU507+AY507+BC507</f>
        <v>6853</v>
      </c>
      <c r="BG507" s="34">
        <f t="shared" si="1838"/>
        <v>6853</v>
      </c>
      <c r="BH507" s="35">
        <f t="shared" si="1823"/>
        <v>0</v>
      </c>
      <c r="BK507" s="2" t="b">
        <f>H507='2020'!BH507</f>
        <v>1</v>
      </c>
    </row>
    <row r="508" ht="14.25" customHeight="1" hidden="1" spans="1:63" x14ac:dyDescent="0.25">
      <c r="A508" s="2">
        <v>56</v>
      </c>
      <c r="B508" s="14"/>
      <c r="C508" s="15"/>
      <c r="D508" s="14" t="s">
        <v>51</v>
      </c>
      <c r="E508" s="2" t="s">
        <v>39</v>
      </c>
      <c r="F508" s="41">
        <v>500</v>
      </c>
      <c r="G508" s="28"/>
      <c r="H508" s="34">
        <f>'2020'!BH508</f>
        <v>500</v>
      </c>
      <c r="I508" s="13"/>
      <c r="J508" s="15"/>
      <c r="K508" s="15"/>
      <c r="L508" s="28"/>
      <c r="M508" s="13"/>
      <c r="N508" s="15"/>
      <c r="P508" s="1">
        <v>500</v>
      </c>
      <c r="Q508" s="13"/>
      <c r="R508" s="15"/>
      <c r="S508" s="15"/>
      <c r="T508" s="32"/>
      <c r="U508" s="13"/>
      <c r="V508" s="15"/>
      <c r="Y508" s="186"/>
      <c r="Z508" s="2"/>
      <c r="AA508" s="15"/>
      <c r="AB508" s="28"/>
      <c r="AC508" s="15"/>
      <c r="AD508" s="15"/>
      <c r="AE508" s="180">
        <f>$F$13</f>
      </c>
      <c r="AG508" s="15"/>
      <c r="AH508" s="2"/>
      <c r="AI508" s="45"/>
      <c r="AJ508" s="15"/>
      <c r="AK508" s="13"/>
      <c r="AL508" s="15"/>
      <c r="AM508" s="45"/>
      <c r="AN508" s="15"/>
      <c r="AO508" s="13"/>
      <c r="AP508" s="15"/>
      <c r="AQ508" s="180"/>
      <c r="AR508" s="15"/>
      <c r="AS508" s="13"/>
      <c r="AT508" s="15"/>
      <c r="AU508" s="45"/>
      <c r="AV508" s="15"/>
      <c r="AW508" s="13"/>
      <c r="AX508" s="15"/>
      <c r="AY508" s="45"/>
      <c r="AZ508" s="28"/>
      <c r="BA508" s="13"/>
      <c r="BB508" s="15"/>
      <c r="BC508" s="45"/>
      <c r="BD508" s="28"/>
      <c r="BE508" s="14"/>
      <c r="BF508" s="41">
        <f t="shared" ref="BF508:BG508" si="1839">K508+O508+S508+W508+AA508+AE508+AI508+AM508+AQ508+AU508+AY508+BC508</f>
        <v>0</v>
      </c>
      <c r="BG508" s="34">
        <f t="shared" si="1839"/>
        <v>500</v>
      </c>
      <c r="BH508" s="35">
        <f t="shared" si="1823"/>
        <v>0</v>
      </c>
      <c r="BK508" s="2" t="b">
        <f>H508='2020'!BH508</f>
        <v>1</v>
      </c>
    </row>
    <row r="509" ht="14.25" customHeight="1" hidden="1" spans="1:63" x14ac:dyDescent="0.25">
      <c r="A509" s="2">
        <v>56</v>
      </c>
      <c r="B509" s="14"/>
      <c r="C509" s="15"/>
      <c r="D509" s="14" t="s">
        <v>51</v>
      </c>
      <c r="E509" s="2" t="s">
        <v>49</v>
      </c>
      <c r="F509" s="41">
        <v>500</v>
      </c>
      <c r="G509" s="28"/>
      <c r="H509" s="34">
        <f>'2020'!BH509</f>
        <v>2715.36</v>
      </c>
      <c r="I509" s="13"/>
      <c r="J509" s="15"/>
      <c r="K509" s="15"/>
      <c r="L509" s="28"/>
      <c r="M509" s="13"/>
      <c r="N509" s="15"/>
      <c r="P509" s="1"/>
      <c r="Q509" s="13"/>
      <c r="R509" s="15"/>
      <c r="S509" s="15"/>
      <c r="T509" s="32">
        <v>556</v>
      </c>
      <c r="U509" s="13"/>
      <c r="V509" s="15"/>
      <c r="X509" s="2">
        <v>2159.36</v>
      </c>
      <c r="Y509" s="186"/>
      <c r="Z509" s="2"/>
      <c r="AA509" s="15"/>
      <c r="AB509" s="28"/>
      <c r="AC509" s="15"/>
      <c r="AD509" s="15"/>
      <c r="AE509" s="34"/>
      <c r="AG509" s="15"/>
      <c r="AH509" s="2"/>
      <c r="AI509" s="45"/>
      <c r="AJ509" s="15"/>
      <c r="AK509" s="13"/>
      <c r="AL509" s="15"/>
      <c r="AM509" s="45"/>
      <c r="AN509" s="15"/>
      <c r="AO509" s="13"/>
      <c r="AP509" s="15"/>
      <c r="AQ509" s="180">
        <f>B504*$F$14</f>
        <v>0</v>
      </c>
      <c r="AR509" s="15"/>
      <c r="AS509" s="13"/>
      <c r="AT509" s="15"/>
      <c r="AU509" s="45"/>
      <c r="AV509" s="15"/>
      <c r="AW509" s="13"/>
      <c r="AX509" s="15"/>
      <c r="AY509" s="45"/>
      <c r="AZ509" s="28"/>
      <c r="BA509" s="13"/>
      <c r="BB509" s="15"/>
      <c r="BC509" s="45"/>
      <c r="BD509" s="28"/>
      <c r="BE509" s="14"/>
      <c r="BF509" s="41">
        <f t="shared" ref="BF509:BG509" si="1840">K509+O509+S509+W509+AA509+AE509+AI509+AM509+AQ509+AU509+AY509+BC509</f>
        <v>0</v>
      </c>
      <c r="BG509" s="34">
        <f t="shared" si="1840"/>
        <v>2715.36</v>
      </c>
      <c r="BH509" s="35">
        <f t="shared" si="1823"/>
        <v>0</v>
      </c>
      <c r="BK509" s="2" t="b">
        <f>H509='2020'!BH509</f>
        <v>1</v>
      </c>
    </row>
    <row r="510" ht="14.25" customHeight="1" hidden="1" spans="1:63" x14ac:dyDescent="0.25">
      <c r="A510" s="2">
        <v>56</v>
      </c>
      <c r="B510" s="14"/>
      <c r="C510" s="15"/>
      <c r="D510" s="14" t="s">
        <v>52</v>
      </c>
      <c r="E510" s="2" t="s">
        <v>39</v>
      </c>
      <c r="F510" s="41">
        <v>500</v>
      </c>
      <c r="G510" s="28"/>
      <c r="H510" s="34">
        <f>'2020'!BH510</f>
        <v>0</v>
      </c>
      <c r="I510" s="13"/>
      <c r="J510" s="15"/>
      <c r="K510" s="15"/>
      <c r="L510" s="28"/>
      <c r="M510" s="13"/>
      <c r="N510" s="15"/>
      <c r="P510" s="1"/>
      <c r="Q510" s="13"/>
      <c r="R510" s="15"/>
      <c r="S510" s="15"/>
      <c r="T510" s="28"/>
      <c r="U510" s="13"/>
      <c r="V510" s="15"/>
      <c r="Y510" s="186"/>
      <c r="Z510" s="2"/>
      <c r="AA510" s="34">
        <f>$F$15</f>
      </c>
      <c r="AB510" s="28"/>
      <c r="AC510" s="15"/>
      <c r="AD510" s="15"/>
      <c r="AG510" s="15"/>
      <c r="AH510" s="2"/>
      <c r="AI510" s="45"/>
      <c r="AJ510" s="15"/>
      <c r="AK510" s="13"/>
      <c r="AL510" s="15"/>
      <c r="AM510" s="45"/>
      <c r="AN510" s="304"/>
      <c r="AO510" s="13"/>
      <c r="AP510" s="15"/>
      <c r="AQ510" s="45"/>
      <c r="AR510" s="15"/>
      <c r="AS510" s="13"/>
      <c r="AT510" s="15"/>
      <c r="AU510" s="45"/>
      <c r="AV510" s="15"/>
      <c r="AW510" s="13"/>
      <c r="AX510" s="15"/>
      <c r="AY510" s="45"/>
      <c r="AZ510" s="35"/>
      <c r="BA510" s="13"/>
      <c r="BB510" s="15"/>
      <c r="BC510" s="45"/>
      <c r="BD510" s="35"/>
      <c r="BE510" s="14"/>
      <c r="BF510" s="41">
        <f t="shared" ref="BF510:BG510" si="1841">K510+O510+S510+W510+AA510+AE510+AI510+AM510+AQ510+AU510+AY510+BC510</f>
        <v>0</v>
      </c>
      <c r="BG510" s="34">
        <f t="shared" si="1841"/>
        <v>0</v>
      </c>
      <c r="BH510" s="35">
        <f t="shared" si="1823"/>
        <v>0</v>
      </c>
      <c r="BK510" s="2" t="b">
        <f>H510='2020'!BH510</f>
        <v>1</v>
      </c>
    </row>
    <row r="511" ht="14.25" customHeight="1" hidden="1" spans="1:63" x14ac:dyDescent="0.25">
      <c r="A511" s="247">
        <v>56</v>
      </c>
      <c r="B511" s="21"/>
      <c r="C511" s="22" t="s">
        <v>53</v>
      </c>
      <c r="D511" s="21"/>
      <c r="E511" s="22"/>
      <c r="F511" s="20"/>
      <c r="G511" s="23"/>
      <c r="H511" s="51">
        <f>SUM(H503:H510)</f>
        <v>3215.36</v>
      </c>
      <c r="I511" s="52"/>
      <c r="J511" s="53"/>
      <c r="K511" s="51">
        <f t="shared" ref="K511:L511" si="1842">SUM(K503:K510)</f>
        <v>2033.2</v>
      </c>
      <c r="L511" s="68">
        <f t="shared" si="1842"/>
        <v>0</v>
      </c>
      <c r="M511" s="52"/>
      <c r="N511" s="53"/>
      <c r="O511" s="51">
        <f t="shared" ref="O511:P511" si="1843">SUM(O503:O510)</f>
        <v>2444</v>
      </c>
      <c r="P511" s="51">
        <f t="shared" si="1843"/>
        <v>2533.2</v>
      </c>
      <c r="Q511" s="52"/>
      <c r="R511" s="53"/>
      <c r="S511" s="51">
        <f t="shared" ref="S511:T511" si="1844">SUM(S503:S510)</f>
        <v>6143.8</v>
      </c>
      <c r="T511" s="51">
        <f t="shared" si="1844"/>
        <v>3000</v>
      </c>
      <c r="U511" s="52"/>
      <c r="V511" s="53"/>
      <c r="W511" s="51">
        <f t="shared" ref="W511:X511" si="1845">SUM(W503:W510)</f>
        <v>6609.2</v>
      </c>
      <c r="X511" s="51">
        <f t="shared" si="1845"/>
        <v>2159.36</v>
      </c>
      <c r="Y511" s="300"/>
      <c r="Z511" s="301"/>
      <c r="AA511" s="51">
        <f t="shared" ref="AA511:AB511" si="1846">SUM(AA503:AA510)</f>
        <v>2269.8</v>
      </c>
      <c r="AB511" s="51">
        <f t="shared" si="1846"/>
        <v>0</v>
      </c>
      <c r="AC511" s="52"/>
      <c r="AD511" s="53"/>
      <c r="AE511" s="51">
        <f t="shared" ref="AE511:AF511" si="1847">SUM(AE503:AE510)</f>
        <v>8024.1</v>
      </c>
      <c r="AF511" s="51">
        <f t="shared" si="1847"/>
        <v>0</v>
      </c>
      <c r="AG511" s="52"/>
      <c r="AH511" s="301"/>
      <c r="AI511" s="183">
        <f t="shared" ref="AI511:AJ511" si="1848">SUM(AI503:AI510)</f>
        <v>1159.95</v>
      </c>
      <c r="AJ511" s="51">
        <f t="shared" si="1848"/>
        <v>0</v>
      </c>
      <c r="AK511" s="52"/>
      <c r="AL511" s="53"/>
      <c r="AM511" s="183">
        <f t="shared" ref="AM511:AN511" si="1849">SUM(AM503:AM510)</f>
        <v>1109.7</v>
      </c>
      <c r="AN511" s="51">
        <f t="shared" si="1849"/>
        <v>16453</v>
      </c>
      <c r="AO511" s="52"/>
      <c r="AP511" s="53"/>
      <c r="AQ511" s="183">
        <f t="shared" ref="AQ511:AR511" si="1850">SUM(AQ503:AQ510)</f>
        <v>1926.55</v>
      </c>
      <c r="AR511" s="51">
        <f t="shared" si="1850"/>
        <v>9000</v>
      </c>
      <c r="AS511" s="52"/>
      <c r="AT511" s="53"/>
      <c r="AU511" s="183">
        <f t="shared" ref="AU511:AV511" si="1851">SUM(AU503:AU510)</f>
        <v>4168.8</v>
      </c>
      <c r="AV511" s="68">
        <f t="shared" si="1851"/>
        <v>0</v>
      </c>
      <c r="AW511" s="52"/>
      <c r="AX511" s="53"/>
      <c r="AY511" s="183">
        <f t="shared" ref="AY511:AZ511" si="1852">SUM(AY503:AY510)</f>
        <v>2025</v>
      </c>
      <c r="AZ511" s="68">
        <f t="shared" si="1852"/>
        <v>0</v>
      </c>
      <c r="BA511" s="52"/>
      <c r="BB511" s="53"/>
      <c r="BC511" s="183">
        <f t="shared" ref="BC511:BD511" si="1853">SUM(BC503:BC510)</f>
        <v>1368.9</v>
      </c>
      <c r="BD511" s="68">
        <f t="shared" si="1853"/>
        <v>9374.1</v>
      </c>
      <c r="BE511" s="69"/>
      <c r="BF511" s="70">
        <f t="shared" ref="BF511:BH511" si="1854">SUM(BF503:BF510)</f>
        <v>39283</v>
      </c>
      <c r="BG511" s="71">
        <f t="shared" si="1854"/>
        <v>42519.66</v>
      </c>
      <c r="BH511" s="72">
        <f t="shared" si="1854"/>
        <v>-21.3</v>
      </c>
      <c r="BI511" s="34">
        <f>H511+BF511-BG511</f>
        <v>-21.3</v>
      </c>
      <c r="BJ511" s="34">
        <f>BH511-BI511</f>
        <v>0</v>
      </c>
      <c r="BK511" s="2" t="b">
        <f>H511='2020'!BH511</f>
        <v>1</v>
      </c>
    </row>
    <row r="512" ht="14.25" customHeight="1" hidden="1" spans="1:63" x14ac:dyDescent="0.25">
      <c r="A512" s="2">
        <v>57</v>
      </c>
      <c r="B512" s="14"/>
      <c r="D512" s="14" t="s">
        <v>379</v>
      </c>
      <c r="F512" s="13"/>
      <c r="G512" s="28"/>
      <c r="H512" s="34">
        <f>'2020'!BH512</f>
        <v>7.91</v>
      </c>
      <c r="I512" s="13"/>
      <c r="J512" s="15"/>
      <c r="K512" s="15"/>
      <c r="L512" s="28"/>
      <c r="M512" s="13"/>
      <c r="N512" s="15"/>
      <c r="Q512" s="13"/>
      <c r="R512" s="15"/>
      <c r="S512" s="15"/>
      <c r="T512" s="28"/>
      <c r="U512" s="13"/>
      <c r="V512" s="15"/>
      <c r="W512" s="2"/>
      <c r="Y512" s="186"/>
      <c r="Z512" s="2"/>
      <c r="AA512" s="15"/>
      <c r="AB512" s="32">
        <v>7.91</v>
      </c>
      <c r="AC512" s="15"/>
      <c r="AD512" s="15"/>
      <c r="AG512" s="15"/>
      <c r="AH512" s="2"/>
      <c r="AI512" s="45"/>
      <c r="AJ512" s="15"/>
      <c r="AK512" s="13"/>
      <c r="AM512" s="45"/>
      <c r="AO512" s="13"/>
      <c r="AQ512" s="307">
        <v>11.74</v>
      </c>
      <c r="AR512" s="15"/>
      <c r="AS512" s="13"/>
      <c r="AU512" s="45"/>
      <c r="AW512" s="13"/>
      <c r="AY512" s="45"/>
      <c r="AZ512" s="32">
        <v>11.74</v>
      </c>
      <c r="BA512" s="13"/>
      <c r="BB512" s="15"/>
      <c r="BC512" s="45"/>
      <c r="BD512" s="32"/>
      <c r="BE512" s="14"/>
      <c r="BF512" s="41">
        <f t="shared" ref="BF512:BG512" si="1855">K512+O512+S512+W512+AA512+AE512+AI512+AM512+AQ512+AU512+AY512+BC512</f>
        <v>11.74</v>
      </c>
      <c r="BG512" s="34">
        <f t="shared" si="1855"/>
        <v>19.65</v>
      </c>
      <c r="BH512" s="35">
        <f t="shared" ref="BH512:BH519" si="1856">H512+BF512-BG512</f>
        <v>0</v>
      </c>
      <c r="BK512" s="2" t="b">
        <f>H512='2020'!BH512</f>
        <v>1</v>
      </c>
    </row>
    <row r="513" ht="14.25" customHeight="1" hidden="1" spans="1:63" x14ac:dyDescent="0.25">
      <c r="A513" s="2">
        <v>57</v>
      </c>
      <c r="B513" s="30">
        <v>3.82</v>
      </c>
      <c r="C513" s="2" t="s">
        <v>502</v>
      </c>
      <c r="D513" s="14" t="s">
        <v>44</v>
      </c>
      <c r="E513" s="2" t="s">
        <v>45</v>
      </c>
      <c r="F513" s="41">
        <v>2.5</v>
      </c>
      <c r="G513" s="35">
        <v>2.6</v>
      </c>
      <c r="H513" s="34">
        <f>'2020'!BH513</f>
        <v>86.66</v>
      </c>
      <c r="I513" s="13">
        <v>495</v>
      </c>
      <c r="J513" s="15">
        <f>I513-'2020'!BA513</f>
        <v>0</v>
      </c>
      <c r="K513" s="34">
        <f>J513*$F$8</f>
        <v>0</v>
      </c>
      <c r="L513" s="28"/>
      <c r="M513" s="13">
        <v>495</v>
      </c>
      <c r="N513" s="15">
        <f t="shared" ref="N513:N514" si="1857">M513-I513</f>
        <v>0</v>
      </c>
      <c r="O513" s="34">
        <f>N513*$F$8</f>
        <v>0</v>
      </c>
      <c r="Q513" s="13">
        <v>495</v>
      </c>
      <c r="R513" s="15">
        <f t="shared" ref="R513:R514" si="1858">Q513-M513</f>
        <v>0</v>
      </c>
      <c r="S513" s="34">
        <f>R513*$F$8</f>
        <v>0</v>
      </c>
      <c r="T513" s="28"/>
      <c r="U513" s="13">
        <v>495</v>
      </c>
      <c r="V513" s="15">
        <f t="shared" ref="V513:V514" si="1859">U513-Q513</f>
        <v>0</v>
      </c>
      <c r="W513" s="34">
        <f>V513*$F$8</f>
        <v>0</v>
      </c>
      <c r="Y513" s="186">
        <v>560</v>
      </c>
      <c r="Z513" s="2">
        <f>Y513-U513</f>
        <v>65</v>
      </c>
      <c r="AA513" s="34">
        <f>Z513*$F$8</f>
        <v>169</v>
      </c>
      <c r="AB513" s="32">
        <v>86.66</v>
      </c>
      <c r="AC513" s="13">
        <v>606</v>
      </c>
      <c r="AD513" s="15">
        <f t="shared" ref="AD513:AD514" si="1860">AC513-Y513</f>
        <v>46</v>
      </c>
      <c r="AE513" s="180">
        <f>AD513*$F$8</f>
        <v>119.6</v>
      </c>
      <c r="AG513" s="13">
        <v>617</v>
      </c>
      <c r="AH513" s="2">
        <f t="shared" ref="AH513:AH514" si="1861">AG513-AC513</f>
        <v>11</v>
      </c>
      <c r="AI513" s="45">
        <f>AH513*$G$8</f>
        <v>29.7</v>
      </c>
      <c r="AJ513" s="15"/>
      <c r="AK513" s="13">
        <v>649</v>
      </c>
      <c r="AL513" s="15">
        <f t="shared" ref="AL513:AL514" si="1862">AK513-AG513</f>
        <v>32</v>
      </c>
      <c r="AM513" s="45">
        <f>AL513*$G$8</f>
        <v>86.4</v>
      </c>
      <c r="AN513" s="15"/>
      <c r="AO513" s="13">
        <v>684</v>
      </c>
      <c r="AP513" s="15">
        <f t="shared" ref="AP513:AP514" si="1863">AO513-AK513</f>
        <v>35</v>
      </c>
      <c r="AQ513" s="45">
        <f>AP513*$G$8</f>
        <v>94.5</v>
      </c>
      <c r="AR513" s="15"/>
      <c r="AS513" s="13">
        <v>707</v>
      </c>
      <c r="AT513" s="15">
        <f t="shared" ref="AT513:AT514" si="1864">AS513-AO513</f>
        <v>23</v>
      </c>
      <c r="AU513" s="45">
        <f>AT513*$G$8</f>
        <v>62.1</v>
      </c>
      <c r="AV513" s="15"/>
      <c r="AW513" s="13">
        <v>716</v>
      </c>
      <c r="AX513" s="15">
        <f t="shared" ref="AX513:AX514" si="1865">AW513-AS513</f>
        <v>9</v>
      </c>
      <c r="AY513" s="45">
        <f>AX513*$G$8</f>
        <v>24.3</v>
      </c>
      <c r="AZ513" s="249">
        <v>561.3</v>
      </c>
      <c r="BA513" s="13">
        <v>718</v>
      </c>
      <c r="BB513" s="15">
        <f t="shared" ref="BB513:BB514" si="1866">BA513-AW513</f>
        <v>2</v>
      </c>
      <c r="BC513" s="45">
        <f>BB513*$G$8</f>
        <v>5.4</v>
      </c>
      <c r="BD513" s="249"/>
      <c r="BE513" s="40">
        <f t="shared" ref="BE513:BG513" si="1867">J513+N513+R513+V513+Z513+AD513+AH513+AL513+AP513+AT513+AX513+BB513</f>
        <v>223</v>
      </c>
      <c r="BF513" s="41">
        <f t="shared" si="1867"/>
        <v>591</v>
      </c>
      <c r="BG513" s="34">
        <f t="shared" si="1867"/>
        <v>647.96</v>
      </c>
      <c r="BH513" s="35">
        <f t="shared" si="1856"/>
        <v>29.7</v>
      </c>
      <c r="BK513" s="2" t="b">
        <f>H513='2020'!BH513</f>
        <v>1</v>
      </c>
    </row>
    <row r="514" ht="14.25" customHeight="1" hidden="1" spans="1:63" x14ac:dyDescent="0.25">
      <c r="A514" s="2">
        <v>57</v>
      </c>
      <c r="B514" s="14"/>
      <c r="C514" s="15" t="s">
        <v>128</v>
      </c>
      <c r="D514" s="14" t="s">
        <v>47</v>
      </c>
      <c r="E514" s="2" t="s">
        <v>48</v>
      </c>
      <c r="F514" s="13">
        <v>18.56</v>
      </c>
      <c r="G514" s="35">
        <v>19.46</v>
      </c>
      <c r="H514" s="34">
        <f>'2020'!BH514</f>
        <v>0</v>
      </c>
      <c r="I514" s="13">
        <v>21</v>
      </c>
      <c r="J514" s="15"/>
      <c r="K514" s="15"/>
      <c r="L514" s="28"/>
      <c r="M514" s="13">
        <v>21</v>
      </c>
      <c r="N514" s="15">
        <f t="shared" si="1857"/>
        <v>0</v>
      </c>
      <c r="Q514" s="13">
        <v>21</v>
      </c>
      <c r="R514" s="15">
        <f t="shared" si="1858"/>
        <v>0</v>
      </c>
      <c r="S514" s="15"/>
      <c r="T514" s="28"/>
      <c r="U514" s="13">
        <v>21</v>
      </c>
      <c r="V514" s="15">
        <f t="shared" si="1859"/>
        <v>0</v>
      </c>
      <c r="W514" s="34">
        <f>V514*$F$10</f>
        <v>0</v>
      </c>
      <c r="Y514" s="186">
        <v>1</v>
      </c>
      <c r="Z514" s="2">
        <v>0</v>
      </c>
      <c r="AA514" s="34">
        <f>Z514*$F$10</f>
        <v>0</v>
      </c>
      <c r="AB514" s="32">
        <v>90</v>
      </c>
      <c r="AC514" s="13">
        <v>6</v>
      </c>
      <c r="AD514" s="15">
        <f t="shared" si="1860"/>
        <v>5</v>
      </c>
      <c r="AE514" s="34">
        <f>AD514*$F$10</f>
        <v>97.3</v>
      </c>
      <c r="AG514" s="13">
        <v>8</v>
      </c>
      <c r="AH514" s="2">
        <f t="shared" si="1861"/>
        <v>2</v>
      </c>
      <c r="AI514" s="45">
        <f>AH514*$G$10</f>
        <v>40.7</v>
      </c>
      <c r="AJ514" s="15"/>
      <c r="AK514" s="13">
        <v>8</v>
      </c>
      <c r="AL514" s="15">
        <f t="shared" si="1862"/>
        <v>0</v>
      </c>
      <c r="AM514" s="45">
        <f>AL514*$G$10</f>
        <v>0</v>
      </c>
      <c r="AN514" s="15"/>
      <c r="AO514" s="13">
        <v>12</v>
      </c>
      <c r="AP514" s="15">
        <f t="shared" si="1863"/>
        <v>4</v>
      </c>
      <c r="AQ514" s="45">
        <f>AP514*$G$10</f>
        <v>81.4</v>
      </c>
      <c r="AR514" s="15"/>
      <c r="AS514" s="13">
        <v>12</v>
      </c>
      <c r="AT514" s="15">
        <f t="shared" si="1864"/>
        <v>0</v>
      </c>
      <c r="AU514" s="45">
        <f>AT514*$G$10</f>
        <v>0</v>
      </c>
      <c r="AV514" s="15"/>
      <c r="AW514" s="13">
        <v>12</v>
      </c>
      <c r="AX514" s="15">
        <f t="shared" si="1865"/>
        <v>0</v>
      </c>
      <c r="AY514" s="45"/>
      <c r="AZ514" s="249">
        <v>129.4</v>
      </c>
      <c r="BA514" s="13">
        <v>12</v>
      </c>
      <c r="BB514" s="15">
        <f t="shared" si="1866"/>
        <v>0</v>
      </c>
      <c r="BC514" s="45"/>
      <c r="BD514" s="249"/>
      <c r="BE514" s="40">
        <f t="shared" ref="BE514:BG514" si="1868">J514+N514+R514+V514+Z514+AD514+AH514+AL514+AP514+AT514+AX514+BB514</f>
        <v>11</v>
      </c>
      <c r="BF514" s="41">
        <f t="shared" si="1868"/>
        <v>219.4</v>
      </c>
      <c r="BG514" s="34">
        <f t="shared" si="1868"/>
        <v>219.4</v>
      </c>
      <c r="BH514" s="35">
        <f t="shared" si="1856"/>
        <v>0</v>
      </c>
      <c r="BK514" s="2" t="b">
        <f>H514='2020'!BH514</f>
        <v>1</v>
      </c>
    </row>
    <row r="515" ht="14.25" customHeight="1" hidden="1" spans="1:63" x14ac:dyDescent="0.25">
      <c r="A515" s="2">
        <v>57</v>
      </c>
      <c r="B515" s="14"/>
      <c r="C515" s="15" t="s">
        <v>503</v>
      </c>
      <c r="D515" s="14" t="s">
        <v>47</v>
      </c>
      <c r="E515" s="2" t="s">
        <v>49</v>
      </c>
      <c r="F515" s="41">
        <v>500</v>
      </c>
      <c r="G515" s="28"/>
      <c r="H515" s="144">
        <f>'2020'!BH515</f>
        <v>0</v>
      </c>
      <c r="I515" s="13"/>
      <c r="J515" s="15"/>
      <c r="K515" s="15"/>
      <c r="L515" s="28"/>
      <c r="M515" s="13"/>
      <c r="N515" s="15"/>
      <c r="Q515" s="13"/>
      <c r="R515" s="15"/>
      <c r="S515" s="15"/>
      <c r="T515" s="28"/>
      <c r="U515" s="13"/>
      <c r="V515" s="15"/>
      <c r="Y515" s="186"/>
      <c r="Z515" s="2"/>
      <c r="AA515" s="34"/>
      <c r="AB515" s="32"/>
      <c r="AC515" s="15"/>
      <c r="AD515" s="15"/>
      <c r="AG515" s="15"/>
      <c r="AH515" s="2"/>
      <c r="AI515" s="45"/>
      <c r="AJ515" s="15"/>
      <c r="AK515" s="13"/>
      <c r="AL515" s="15"/>
      <c r="AM515" s="45"/>
      <c r="AN515" s="15"/>
      <c r="AO515" s="13"/>
      <c r="AP515" s="15"/>
      <c r="AQ515" s="45"/>
      <c r="AR515" s="34"/>
      <c r="AS515" s="13"/>
      <c r="AT515" s="15"/>
      <c r="AU515" s="45"/>
      <c r="AV515" s="15"/>
      <c r="AW515" s="13"/>
      <c r="AX515" s="15"/>
      <c r="AY515" s="45"/>
      <c r="AZ515" s="32"/>
      <c r="BA515" s="13"/>
      <c r="BB515" s="15"/>
      <c r="BC515" s="45"/>
      <c r="BD515" s="32"/>
      <c r="BE515" s="14"/>
      <c r="BF515" s="41">
        <f t="shared" ref="BF515:BG515" si="1869">K515+O515+S515+W515+AA515+AE515+AI515+AM515+AQ515+AU515+AY515+BC515</f>
        <v>0</v>
      </c>
      <c r="BG515" s="34">
        <f t="shared" si="1869"/>
        <v>0</v>
      </c>
      <c r="BH515" s="35">
        <f t="shared" si="1856"/>
        <v>0</v>
      </c>
      <c r="BK515" s="2" t="b">
        <f>H515='2020'!BH515</f>
        <v>1</v>
      </c>
    </row>
    <row r="516" ht="14.25" customHeight="1" hidden="1" spans="1:63" x14ac:dyDescent="0.25">
      <c r="A516" s="2">
        <v>57</v>
      </c>
      <c r="B516" s="14"/>
      <c r="C516" s="15" t="s">
        <v>504</v>
      </c>
      <c r="D516" s="14" t="s">
        <v>50</v>
      </c>
      <c r="E516" s="2" t="s">
        <v>49</v>
      </c>
      <c r="F516" s="41">
        <v>1100</v>
      </c>
      <c r="G516" s="28"/>
      <c r="H516" s="34">
        <f>'2020'!BH516</f>
        <v>-197.98</v>
      </c>
      <c r="I516" s="13"/>
      <c r="J516" s="15"/>
      <c r="K516" s="15"/>
      <c r="L516" s="28"/>
      <c r="M516" s="13"/>
      <c r="N516" s="15"/>
      <c r="Q516" s="13"/>
      <c r="R516" s="15"/>
      <c r="S516" s="15"/>
      <c r="T516" s="28"/>
      <c r="U516" s="13"/>
      <c r="V516" s="15"/>
      <c r="Y516" s="186"/>
      <c r="Z516" s="2"/>
      <c r="AA516" s="15"/>
      <c r="AB516" s="32">
        <v>0.02</v>
      </c>
      <c r="AC516" s="15"/>
      <c r="AD516" s="15"/>
      <c r="AE516" s="34">
        <f>B513*$F$12</f>
        <v>4202</v>
      </c>
      <c r="AF516" s="34"/>
      <c r="AG516" s="15"/>
      <c r="AH516" s="2"/>
      <c r="AI516" s="45"/>
      <c r="AJ516" s="15"/>
      <c r="AK516" s="13"/>
      <c r="AL516" s="15"/>
      <c r="AM516" s="45"/>
      <c r="AN516" s="15"/>
      <c r="AO516" s="13"/>
      <c r="AP516" s="15"/>
      <c r="AQ516" s="45"/>
      <c r="AR516" s="34"/>
      <c r="AS516" s="13"/>
      <c r="AT516" s="15"/>
      <c r="AU516" s="45"/>
      <c r="AV516" s="15"/>
      <c r="AW516" s="13"/>
      <c r="AX516" s="15"/>
      <c r="AY516" s="45"/>
      <c r="AZ516" s="32">
        <v>4004</v>
      </c>
      <c r="BA516" s="13"/>
      <c r="BB516" s="15"/>
      <c r="BC516" s="45"/>
      <c r="BD516" s="32"/>
      <c r="BE516" s="14"/>
      <c r="BF516" s="41">
        <f t="shared" ref="BF516:BG516" si="1870">K516+O516+S516+W516+AA516+AE516+AI516+AM516+AQ516+AU516+AY516+BC516</f>
        <v>4202</v>
      </c>
      <c r="BG516" s="34">
        <f t="shared" si="1870"/>
        <v>4004.02</v>
      </c>
      <c r="BH516" s="35">
        <f t="shared" si="1856"/>
        <v>0</v>
      </c>
      <c r="BK516" s="2" t="b">
        <f>H516='2020'!BH516</f>
        <v>1</v>
      </c>
    </row>
    <row r="517" ht="14.25" customHeight="1" hidden="1" spans="1:63" x14ac:dyDescent="0.25">
      <c r="A517" s="2">
        <v>57</v>
      </c>
      <c r="B517" s="14"/>
      <c r="C517" s="15"/>
      <c r="D517" s="14" t="s">
        <v>51</v>
      </c>
      <c r="E517" s="2" t="s">
        <v>39</v>
      </c>
      <c r="F517" s="41">
        <v>500</v>
      </c>
      <c r="G517" s="28"/>
      <c r="H517" s="34">
        <f>'2020'!BH517</f>
        <v>500</v>
      </c>
      <c r="I517" s="13"/>
      <c r="J517" s="15"/>
      <c r="K517" s="15"/>
      <c r="L517" s="28"/>
      <c r="M517" s="13"/>
      <c r="N517" s="15"/>
      <c r="Q517" s="13"/>
      <c r="R517" s="15"/>
      <c r="S517" s="15"/>
      <c r="T517" s="28"/>
      <c r="U517" s="13"/>
      <c r="V517" s="15"/>
      <c r="Y517" s="186"/>
      <c r="Z517" s="2"/>
      <c r="AA517" s="15"/>
      <c r="AB517" s="32">
        <v>500</v>
      </c>
      <c r="AC517" s="15"/>
      <c r="AD517" s="15"/>
      <c r="AE517" s="180">
        <f>$F$13</f>
      </c>
      <c r="AG517" s="15"/>
      <c r="AH517" s="2"/>
      <c r="AI517" s="45"/>
      <c r="AJ517" s="15"/>
      <c r="AK517" s="13"/>
      <c r="AL517" s="15"/>
      <c r="AM517" s="45"/>
      <c r="AN517" s="15"/>
      <c r="AO517" s="13"/>
      <c r="AP517" s="15"/>
      <c r="AQ517" s="180"/>
      <c r="AR517" s="34"/>
      <c r="AS517" s="13"/>
      <c r="AT517" s="15"/>
      <c r="AU517" s="45"/>
      <c r="AV517" s="15"/>
      <c r="AW517" s="13"/>
      <c r="AX517" s="15"/>
      <c r="AY517" s="45"/>
      <c r="AZ517" s="28"/>
      <c r="BA517" s="13"/>
      <c r="BB517" s="15"/>
      <c r="BC517" s="45"/>
      <c r="BD517" s="28"/>
      <c r="BE517" s="14"/>
      <c r="BF517" s="41">
        <f t="shared" ref="BF517:BG517" si="1871">K517+O517+S517+W517+AA517+AE517+AI517+AM517+AQ517+AU517+AY517+BC517</f>
        <v>0</v>
      </c>
      <c r="BG517" s="34">
        <f t="shared" si="1871"/>
        <v>500</v>
      </c>
      <c r="BH517" s="35">
        <f t="shared" si="1856"/>
        <v>0</v>
      </c>
      <c r="BK517" s="2" t="b">
        <f>H517='2020'!BH517</f>
        <v>1</v>
      </c>
    </row>
    <row r="518" ht="14.25" customHeight="1" hidden="1" spans="1:63" x14ac:dyDescent="0.25">
      <c r="A518" s="2">
        <v>57</v>
      </c>
      <c r="B518" s="14"/>
      <c r="C518" s="15"/>
      <c r="D518" s="14" t="s">
        <v>51</v>
      </c>
      <c r="E518" s="2" t="s">
        <v>49</v>
      </c>
      <c r="F518" s="41">
        <v>500</v>
      </c>
      <c r="G518" s="28"/>
      <c r="H518" s="34">
        <f>'2020'!BH518</f>
        <v>1910</v>
      </c>
      <c r="I518" s="13"/>
      <c r="J518" s="15"/>
      <c r="K518" s="15"/>
      <c r="L518" s="28"/>
      <c r="M518" s="13"/>
      <c r="N518" s="15"/>
      <c r="Q518" s="13"/>
      <c r="R518" s="15"/>
      <c r="S518" s="15"/>
      <c r="T518" s="28"/>
      <c r="U518" s="13"/>
      <c r="V518" s="15"/>
      <c r="Y518" s="186"/>
      <c r="Z518" s="2"/>
      <c r="AA518" s="15"/>
      <c r="AB518" s="32">
        <v>1910</v>
      </c>
      <c r="AC518" s="15"/>
      <c r="AD518" s="15"/>
      <c r="AE518" s="34"/>
      <c r="AG518" s="15"/>
      <c r="AH518" s="2"/>
      <c r="AI518" s="45"/>
      <c r="AJ518" s="15"/>
      <c r="AK518" s="13"/>
      <c r="AL518" s="15"/>
      <c r="AM518" s="45"/>
      <c r="AN518" s="15"/>
      <c r="AO518" s="13"/>
      <c r="AP518" s="15"/>
      <c r="AQ518" s="180">
        <f>B513*$F$14</f>
        <v>0</v>
      </c>
      <c r="AR518" s="15"/>
      <c r="AS518" s="13"/>
      <c r="AT518" s="15"/>
      <c r="AU518" s="45"/>
      <c r="AV518" s="15"/>
      <c r="AW518" s="13"/>
      <c r="AX518" s="15"/>
      <c r="AY518" s="45"/>
      <c r="AZ518" s="28"/>
      <c r="BA518" s="13"/>
      <c r="BB518" s="15"/>
      <c r="BC518" s="45"/>
      <c r="BD518" s="28"/>
      <c r="BE518" s="14"/>
      <c r="BF518" s="41">
        <f t="shared" ref="BF518:BG518" si="1872">K518+O518+S518+W518+AA518+AE518+AI518+AM518+AQ518+AU518+AY518+BC518</f>
        <v>0</v>
      </c>
      <c r="BG518" s="34">
        <f t="shared" si="1872"/>
        <v>1910</v>
      </c>
      <c r="BH518" s="35">
        <f t="shared" si="1856"/>
        <v>0</v>
      </c>
      <c r="BK518" s="2" t="b">
        <f>H518='2020'!BH518</f>
        <v>1</v>
      </c>
    </row>
    <row r="519" ht="14.25" customHeight="1" hidden="1" spans="1:63" x14ac:dyDescent="0.25">
      <c r="A519" s="2">
        <v>57</v>
      </c>
      <c r="B519" s="14"/>
      <c r="D519" s="14" t="s">
        <v>52</v>
      </c>
      <c r="E519" s="2" t="s">
        <v>39</v>
      </c>
      <c r="F519" s="41">
        <v>500</v>
      </c>
      <c r="G519" s="28"/>
      <c r="H519" s="34">
        <f>'2020'!BH519</f>
        <v>0</v>
      </c>
      <c r="I519" s="13"/>
      <c r="J519" s="15"/>
      <c r="K519" s="15"/>
      <c r="L519" s="28"/>
      <c r="M519" s="13"/>
      <c r="N519" s="15"/>
      <c r="Q519" s="13"/>
      <c r="R519" s="15"/>
      <c r="S519" s="15"/>
      <c r="T519" s="28"/>
      <c r="U519" s="13"/>
      <c r="V519" s="15"/>
      <c r="Y519" s="186"/>
      <c r="Z519" s="2"/>
      <c r="AA519" s="34">
        <f>$F$15</f>
      </c>
      <c r="AB519" s="28"/>
      <c r="AC519" s="15"/>
      <c r="AD519" s="15"/>
      <c r="AG519" s="15"/>
      <c r="AH519" s="2"/>
      <c r="AI519" s="45"/>
      <c r="AJ519" s="15"/>
      <c r="AK519" s="13"/>
      <c r="AL519" s="15"/>
      <c r="AM519" s="45"/>
      <c r="AN519" s="15"/>
      <c r="AO519" s="13"/>
      <c r="AP519" s="15"/>
      <c r="AQ519" s="45"/>
      <c r="AR519" s="34"/>
      <c r="AS519" s="13"/>
      <c r="AT519" s="15"/>
      <c r="AU519" s="45"/>
      <c r="AV519" s="15"/>
      <c r="AW519" s="13"/>
      <c r="AX519" s="15"/>
      <c r="AY519" s="45"/>
      <c r="AZ519" s="35"/>
      <c r="BA519" s="13"/>
      <c r="BB519" s="15"/>
      <c r="BC519" s="45"/>
      <c r="BD519" s="35"/>
      <c r="BE519" s="14"/>
      <c r="BF519" s="41">
        <f t="shared" ref="BF519:BG519" si="1873">K519+O519+S519+W519+AA519+AE519+AI519+AM519+AQ519+AU519+AY519+BC519</f>
        <v>0</v>
      </c>
      <c r="BG519" s="34">
        <f t="shared" si="1873"/>
        <v>0</v>
      </c>
      <c r="BH519" s="35">
        <f t="shared" si="1856"/>
        <v>0</v>
      </c>
      <c r="BK519" s="2" t="b">
        <f>H519='2020'!BH519</f>
        <v>1</v>
      </c>
    </row>
    <row r="520" ht="14.25" customHeight="1" hidden="1" spans="1:63" x14ac:dyDescent="0.25">
      <c r="A520" s="247">
        <v>57</v>
      </c>
      <c r="B520" s="21"/>
      <c r="C520" s="22" t="s">
        <v>53</v>
      </c>
      <c r="D520" s="21"/>
      <c r="E520" s="22"/>
      <c r="F520" s="20"/>
      <c r="G520" s="23"/>
      <c r="H520" s="51">
        <f>SUM(H512:H519)</f>
        <v>2306.59</v>
      </c>
      <c r="I520" s="52"/>
      <c r="J520" s="53"/>
      <c r="K520" s="51">
        <f t="shared" ref="K520:L520" si="1874">SUM(K512:K519)</f>
        <v>0</v>
      </c>
      <c r="L520" s="68">
        <f t="shared" si="1874"/>
        <v>0</v>
      </c>
      <c r="M520" s="52"/>
      <c r="N520" s="53"/>
      <c r="O520" s="51">
        <f t="shared" ref="O520:P520" si="1875">SUM(O512:O519)</f>
        <v>0</v>
      </c>
      <c r="P520" s="51">
        <f t="shared" si="1875"/>
        <v>0</v>
      </c>
      <c r="Q520" s="52"/>
      <c r="R520" s="53"/>
      <c r="S520" s="51">
        <f t="shared" ref="S520:T520" si="1876">SUM(S512:S519)</f>
        <v>0</v>
      </c>
      <c r="T520" s="51">
        <f t="shared" si="1876"/>
        <v>0</v>
      </c>
      <c r="U520" s="52"/>
      <c r="V520" s="53"/>
      <c r="W520" s="51">
        <f t="shared" ref="W520:X520" si="1877">SUM(W512:W519)</f>
        <v>0</v>
      </c>
      <c r="X520" s="51">
        <f t="shared" si="1877"/>
        <v>0</v>
      </c>
      <c r="Y520" s="300"/>
      <c r="Z520" s="301"/>
      <c r="AA520" s="51">
        <f t="shared" ref="AA520:AB520" si="1878">SUM(AA512:AA519)</f>
        <v>169</v>
      </c>
      <c r="AB520" s="51">
        <f t="shared" si="1878"/>
        <v>2594.59</v>
      </c>
      <c r="AC520" s="52"/>
      <c r="AD520" s="53"/>
      <c r="AE520" s="51">
        <f t="shared" ref="AE520:AF520" si="1879">SUM(AE512:AE519)</f>
        <v>4418.9</v>
      </c>
      <c r="AF520" s="51">
        <f t="shared" si="1879"/>
        <v>0</v>
      </c>
      <c r="AG520" s="52"/>
      <c r="AH520" s="301"/>
      <c r="AI520" s="183">
        <f t="shared" ref="AI520:AJ520" si="1880">SUM(AI512:AI519)</f>
        <v>70.4</v>
      </c>
      <c r="AJ520" s="51">
        <f t="shared" si="1880"/>
        <v>0</v>
      </c>
      <c r="AK520" s="52"/>
      <c r="AL520" s="53"/>
      <c r="AM520" s="183">
        <f t="shared" ref="AM520:AN520" si="1881">SUM(AM512:AM519)</f>
        <v>86.4</v>
      </c>
      <c r="AN520" s="51">
        <f t="shared" si="1881"/>
        <v>0</v>
      </c>
      <c r="AO520" s="52"/>
      <c r="AP520" s="53"/>
      <c r="AQ520" s="183">
        <f t="shared" ref="AQ520:AR520" si="1882">SUM(AQ512:AQ519)</f>
        <v>187.64</v>
      </c>
      <c r="AR520" s="51">
        <f t="shared" si="1882"/>
        <v>0</v>
      </c>
      <c r="AS520" s="52"/>
      <c r="AT520" s="53"/>
      <c r="AU520" s="183">
        <f t="shared" ref="AU520:AV520" si="1883">SUM(AU512:AU519)</f>
        <v>62.1</v>
      </c>
      <c r="AV520" s="68">
        <f t="shared" si="1883"/>
        <v>0</v>
      </c>
      <c r="AW520" s="52"/>
      <c r="AX520" s="53"/>
      <c r="AY520" s="183">
        <f t="shared" ref="AY520:AZ520" si="1884">SUM(AY512:AY519)</f>
        <v>24.3</v>
      </c>
      <c r="AZ520" s="68">
        <f t="shared" si="1884"/>
        <v>4706.44</v>
      </c>
      <c r="BA520" s="52"/>
      <c r="BB520" s="53"/>
      <c r="BC520" s="183">
        <f t="shared" ref="BC520:BD520" si="1885">SUM(BC512:BC519)</f>
        <v>5.4</v>
      </c>
      <c r="BD520" s="68">
        <f t="shared" si="1885"/>
        <v>0</v>
      </c>
      <c r="BE520" s="69"/>
      <c r="BF520" s="70">
        <f t="shared" ref="BF520:BH520" si="1886">SUM(BF512:BF519)</f>
        <v>5024.14</v>
      </c>
      <c r="BG520" s="71">
        <f t="shared" si="1886"/>
        <v>7301.03</v>
      </c>
      <c r="BH520" s="72">
        <f t="shared" si="1886"/>
        <v>29.7</v>
      </c>
      <c r="BI520" s="34">
        <f>H520+BF520-BG520</f>
        <v>29.7</v>
      </c>
      <c r="BJ520" s="34">
        <f>BH520-BI520</f>
        <v>0</v>
      </c>
      <c r="BK520" s="2" t="b">
        <f>H520='2020'!BH520</f>
        <v>1</v>
      </c>
    </row>
    <row r="521" ht="14.25" customHeight="1" hidden="1" spans="1:63" x14ac:dyDescent="0.25">
      <c r="A521" s="2">
        <v>59</v>
      </c>
      <c r="B521" s="14"/>
      <c r="D521" s="99" t="s">
        <v>132</v>
      </c>
      <c r="F521" s="13"/>
      <c r="G521" s="28"/>
      <c r="H521" s="34">
        <f>'2020'!BH521</f>
        <v>69.93</v>
      </c>
      <c r="I521" s="13"/>
      <c r="J521" s="15"/>
      <c r="K521" s="15"/>
      <c r="L521" s="28"/>
      <c r="M521" s="13"/>
      <c r="N521" s="15"/>
      <c r="Q521" s="13"/>
      <c r="R521" s="15"/>
      <c r="S521" s="15"/>
      <c r="T521" s="28"/>
      <c r="U521" s="13"/>
      <c r="V521" s="15"/>
      <c r="W521" s="2"/>
      <c r="Y521" s="186"/>
      <c r="Z521" s="2"/>
      <c r="AA521" s="15"/>
      <c r="AB521" s="28"/>
      <c r="AC521" s="15"/>
      <c r="AD521" s="15"/>
      <c r="AG521" s="15"/>
      <c r="AH521" s="2"/>
      <c r="AI521" s="45"/>
      <c r="AJ521" s="15"/>
      <c r="AK521" s="13"/>
      <c r="AM521" s="45"/>
      <c r="AO521" s="13"/>
      <c r="AQ521" s="180">
        <v>13.2</v>
      </c>
      <c r="AS521" s="13"/>
      <c r="AU521" s="180"/>
      <c r="AW521" s="13"/>
      <c r="AY521" s="180"/>
      <c r="AZ521" s="28"/>
      <c r="BA521" s="13"/>
      <c r="BB521" s="15"/>
      <c r="BC521" s="45"/>
      <c r="BD521" s="28"/>
      <c r="BE521" s="14"/>
      <c r="BF521" s="41">
        <f t="shared" ref="BF521:BG521" si="1887">K521+O521+S521+W521+AA521+AE521+AI521+AM521+AQ521+AU521+AY521+BC521</f>
        <v>13.2</v>
      </c>
      <c r="BG521" s="34">
        <f t="shared" si="1887"/>
        <v>0</v>
      </c>
      <c r="BH521" s="35">
        <f t="shared" ref="BH521:BH528" si="1888">H521+BF521-BG521</f>
        <v>83.13</v>
      </c>
      <c r="BK521" s="2" t="b">
        <f>H521='2020'!BH521</f>
        <v>1</v>
      </c>
    </row>
    <row r="522" ht="14.25" customHeight="1" hidden="1" spans="1:63" x14ac:dyDescent="0.25">
      <c r="A522" s="2">
        <v>59</v>
      </c>
      <c r="B522" s="30">
        <v>4</v>
      </c>
      <c r="C522" s="2" t="s">
        <v>221</v>
      </c>
      <c r="D522" s="14" t="s">
        <v>44</v>
      </c>
      <c r="E522" s="2" t="s">
        <v>45</v>
      </c>
      <c r="F522" s="41">
        <v>2.5</v>
      </c>
      <c r="G522" s="35">
        <v>2.6</v>
      </c>
      <c r="H522" s="104">
        <f>'2020'!BH522</f>
        <v>0</v>
      </c>
      <c r="I522" s="13">
        <v>0</v>
      </c>
      <c r="J522" s="15">
        <f>I522-'2020'!BA522</f>
        <v>0</v>
      </c>
      <c r="K522" s="34">
        <f>J522*$F$8</f>
        <v>0</v>
      </c>
      <c r="L522" s="28"/>
      <c r="M522" s="13">
        <v>0</v>
      </c>
      <c r="N522" s="15">
        <f t="shared" ref="N522:N523" si="1889">M522-I522</f>
        <v>0</v>
      </c>
      <c r="O522" s="34">
        <f>N522*$F$8</f>
        <v>0</v>
      </c>
      <c r="Q522" s="13">
        <v>0</v>
      </c>
      <c r="R522" s="15">
        <f t="shared" ref="R522:R523" si="1890">Q522-M522</f>
        <v>0</v>
      </c>
      <c r="S522" s="34">
        <f>R522*$F$8</f>
        <v>0</v>
      </c>
      <c r="T522" s="28"/>
      <c r="U522" s="13">
        <v>0</v>
      </c>
      <c r="V522" s="15">
        <f t="shared" ref="V522:V523" si="1891">U522-Q522</f>
        <v>0</v>
      </c>
      <c r="W522" s="34">
        <f>V522*$F$8</f>
        <v>0</v>
      </c>
      <c r="Y522" s="186"/>
      <c r="Z522" s="2">
        <f t="shared" ref="Z522:Z523" si="1892">Y522-U522</f>
        <v>0</v>
      </c>
      <c r="AA522" s="34">
        <f>Z522*$F$8</f>
        <v>0</v>
      </c>
      <c r="AB522" s="28"/>
      <c r="AC522" s="15"/>
      <c r="AD522" s="15">
        <f t="shared" ref="AD522:AD523" si="1893">AC522-Y522</f>
        <v>0</v>
      </c>
      <c r="AE522" s="180">
        <f>AD522*$F$8</f>
        <v>0</v>
      </c>
      <c r="AG522" s="15"/>
      <c r="AH522" s="2">
        <f t="shared" ref="AH522:AH523" si="1894">AG522-AC522</f>
        <v>0</v>
      </c>
      <c r="AI522" s="45">
        <f>AH522*$G$8</f>
        <v>0</v>
      </c>
      <c r="AJ522" s="15"/>
      <c r="AK522" s="13">
        <v>5</v>
      </c>
      <c r="AL522" s="15">
        <f t="shared" ref="AL522:AL523" si="1895">AK522-AG522</f>
        <v>5</v>
      </c>
      <c r="AM522" s="45">
        <f>AL522*$G$8</f>
        <v>13.5</v>
      </c>
      <c r="AN522" s="15"/>
      <c r="AO522" s="13">
        <v>21</v>
      </c>
      <c r="AP522" s="15">
        <f t="shared" ref="AP522:AP523" si="1896">AO522-AK522</f>
        <v>16</v>
      </c>
      <c r="AQ522" s="45">
        <f>AP522*$G$8</f>
        <v>43.2</v>
      </c>
      <c r="AR522" s="15"/>
      <c r="AS522" s="13">
        <v>949</v>
      </c>
      <c r="AT522" s="15">
        <f t="shared" ref="AT522:AT523" si="1897">AS522-AO522</f>
        <v>928</v>
      </c>
      <c r="AU522" s="45">
        <f>AT522*$G$8</f>
        <v>2505.6</v>
      </c>
      <c r="AV522" s="15"/>
      <c r="AW522" s="13">
        <v>2407</v>
      </c>
      <c r="AX522" s="15">
        <f t="shared" ref="AX522:AX523" si="1898">AW522-AS522</f>
        <v>1458</v>
      </c>
      <c r="AY522" s="45">
        <f>AX522*$G$8</f>
        <v>3936.6</v>
      </c>
      <c r="AZ522" s="249"/>
      <c r="BA522" s="13">
        <v>2407</v>
      </c>
      <c r="BB522" s="15">
        <f t="shared" ref="BB522:BB523" si="1899">BA522-AW522</f>
        <v>0</v>
      </c>
      <c r="BC522" s="45">
        <f>BB522*$G$8</f>
        <v>0</v>
      </c>
      <c r="BD522" s="208"/>
      <c r="BE522" s="40">
        <f t="shared" ref="BE522:BG522" si="1900">J522+N522+R522+V522+Z522+AD522+AH522+AL522+AP522+AT522+AX522+BB522</f>
        <v>2407</v>
      </c>
      <c r="BF522" s="41">
        <f t="shared" si="1900"/>
        <v>6498.9</v>
      </c>
      <c r="BG522" s="34">
        <f t="shared" si="1900"/>
        <v>0</v>
      </c>
      <c r="BH522" s="35">
        <f t="shared" si="1888"/>
        <v>6498.9</v>
      </c>
      <c r="BK522" s="2" t="b">
        <f>H522='2020'!BH522</f>
        <v>1</v>
      </c>
    </row>
    <row r="523" ht="14.25" customHeight="1" hidden="1" spans="1:63" x14ac:dyDescent="0.25">
      <c r="A523" s="2">
        <v>59</v>
      </c>
      <c r="B523" s="14"/>
      <c r="C523" s="73"/>
      <c r="D523" s="14" t="s">
        <v>47</v>
      </c>
      <c r="E523" s="2" t="s">
        <v>48</v>
      </c>
      <c r="F523" s="13">
        <v>18.56</v>
      </c>
      <c r="G523" s="35">
        <v>19.46</v>
      </c>
      <c r="H523" s="34">
        <f>'2020'!BH523</f>
        <v>0</v>
      </c>
      <c r="I523" s="13"/>
      <c r="J523" s="15"/>
      <c r="K523" s="15"/>
      <c r="L523" s="28"/>
      <c r="M523" s="13"/>
      <c r="N523" s="15">
        <f t="shared" si="1889"/>
        <v>0</v>
      </c>
      <c r="Q523" s="13"/>
      <c r="R523" s="15">
        <f t="shared" si="1890"/>
        <v>0</v>
      </c>
      <c r="S523" s="15"/>
      <c r="T523" s="28"/>
      <c r="U523" s="13"/>
      <c r="V523" s="15">
        <f t="shared" si="1891"/>
        <v>0</v>
      </c>
      <c r="W523" s="34">
        <f>V523*$F$10</f>
        <v>0</v>
      </c>
      <c r="Y523" s="186"/>
      <c r="Z523" s="2">
        <f t="shared" si="1892"/>
        <v>0</v>
      </c>
      <c r="AA523" s="34">
        <f>Z523*$F$10</f>
        <v>0</v>
      </c>
      <c r="AB523" s="28"/>
      <c r="AC523" s="15"/>
      <c r="AD523" s="15">
        <f t="shared" si="1893"/>
        <v>0</v>
      </c>
      <c r="AE523" s="34">
        <f>AD523*$F$10</f>
        <v>0</v>
      </c>
      <c r="AG523" s="15"/>
      <c r="AH523" s="2">
        <f t="shared" si="1894"/>
        <v>0</v>
      </c>
      <c r="AI523" s="45">
        <f>AH523*$G$10</f>
        <v>0</v>
      </c>
      <c r="AJ523" s="15"/>
      <c r="AK523" s="13"/>
      <c r="AL523" s="15">
        <f t="shared" si="1895"/>
        <v>0</v>
      </c>
      <c r="AM523" s="45">
        <f>AL523*$G$10</f>
        <v>0</v>
      </c>
      <c r="AN523" s="15"/>
      <c r="AO523" s="13"/>
      <c r="AP523" s="15">
        <f t="shared" si="1896"/>
        <v>0</v>
      </c>
      <c r="AQ523" s="45">
        <f>AP523*$G$10</f>
        <v>0</v>
      </c>
      <c r="AR523" s="15"/>
      <c r="AS523" s="13"/>
      <c r="AT523" s="15">
        <f t="shared" si="1897"/>
        <v>0</v>
      </c>
      <c r="AU523" s="45">
        <f>AT523*$G$10</f>
        <v>0</v>
      </c>
      <c r="AV523" s="15"/>
      <c r="AW523" s="13"/>
      <c r="AX523" s="15">
        <f t="shared" si="1898"/>
        <v>0</v>
      </c>
      <c r="AY523" s="45"/>
      <c r="AZ523" s="249"/>
      <c r="BA523" s="13"/>
      <c r="BB523" s="15">
        <f t="shared" si="1899"/>
        <v>0</v>
      </c>
      <c r="BC523" s="45"/>
      <c r="BD523" s="208"/>
      <c r="BE523" s="40">
        <f t="shared" ref="BE523:BG523" si="1901">J523+N523+R523+V523+Z523+AD523+AH523+AL523+AP523+AT523+AX523+BB523</f>
        <v>0</v>
      </c>
      <c r="BF523" s="41">
        <f t="shared" si="1901"/>
        <v>0</v>
      </c>
      <c r="BG523" s="34">
        <f t="shared" si="1901"/>
        <v>0</v>
      </c>
      <c r="BH523" s="35">
        <f t="shared" si="1888"/>
        <v>0</v>
      </c>
      <c r="BK523" s="2" t="b">
        <f>H523='2020'!BH523</f>
        <v>1</v>
      </c>
    </row>
    <row r="524" ht="14.25" customHeight="1" hidden="1" spans="1:63" x14ac:dyDescent="0.25">
      <c r="A524" s="2">
        <v>59</v>
      </c>
      <c r="B524" s="14"/>
      <c r="C524" s="73"/>
      <c r="D524" s="14" t="s">
        <v>47</v>
      </c>
      <c r="E524" s="2" t="s">
        <v>49</v>
      </c>
      <c r="F524" s="41">
        <v>500</v>
      </c>
      <c r="G524" s="28"/>
      <c r="H524" s="144">
        <f>'2020'!BH524</f>
        <v>0</v>
      </c>
      <c r="I524" s="13"/>
      <c r="J524" s="15"/>
      <c r="K524" s="15"/>
      <c r="L524" s="28"/>
      <c r="M524" s="13"/>
      <c r="N524" s="15"/>
      <c r="Q524" s="13"/>
      <c r="R524" s="15"/>
      <c r="S524" s="15"/>
      <c r="T524" s="28"/>
      <c r="U524" s="13"/>
      <c r="V524" s="15"/>
      <c r="Y524" s="186"/>
      <c r="Z524" s="2"/>
      <c r="AA524" s="34"/>
      <c r="AB524" s="28"/>
      <c r="AC524" s="15"/>
      <c r="AD524" s="15"/>
      <c r="AG524" s="15"/>
      <c r="AH524" s="2"/>
      <c r="AI524" s="45"/>
      <c r="AJ524" s="15"/>
      <c r="AK524" s="13"/>
      <c r="AL524" s="15"/>
      <c r="AM524" s="45"/>
      <c r="AN524" s="15"/>
      <c r="AO524" s="13"/>
      <c r="AP524" s="15"/>
      <c r="AQ524" s="45"/>
      <c r="AR524" s="15"/>
      <c r="AS524" s="13"/>
      <c r="AT524" s="15"/>
      <c r="AU524" s="45"/>
      <c r="AV524" s="15"/>
      <c r="AW524" s="13"/>
      <c r="AX524" s="15"/>
      <c r="AY524" s="45"/>
      <c r="AZ524" s="32"/>
      <c r="BA524" s="13"/>
      <c r="BB524" s="15"/>
      <c r="BC524" s="45"/>
      <c r="BD524" s="28"/>
      <c r="BE524" s="40">
        <f t="shared" ref="BE524:BG524" si="1902">J524+N524+R524+V524+Z524+AD524+AH524+AL524+AP524+AT524+AX524+BB524</f>
        <v>0</v>
      </c>
      <c r="BF524" s="41">
        <f t="shared" si="1902"/>
        <v>0</v>
      </c>
      <c r="BG524" s="34">
        <f t="shared" si="1902"/>
        <v>0</v>
      </c>
      <c r="BH524" s="35">
        <f t="shared" si="1888"/>
        <v>0</v>
      </c>
      <c r="BK524" s="2" t="b">
        <f>H524='2020'!BH524</f>
        <v>1</v>
      </c>
    </row>
    <row r="525" ht="14.25" customHeight="1" hidden="1" spans="1:63" x14ac:dyDescent="0.25">
      <c r="A525" s="2">
        <v>59</v>
      </c>
      <c r="B525" s="14"/>
      <c r="C525" s="73" t="s">
        <v>222</v>
      </c>
      <c r="D525" s="14" t="s">
        <v>50</v>
      </c>
      <c r="E525" s="2" t="s">
        <v>49</v>
      </c>
      <c r="F525" s="41">
        <v>1100</v>
      </c>
      <c r="G525" s="28"/>
      <c r="H525" s="34">
        <f>'2020'!BH525</f>
        <v>0</v>
      </c>
      <c r="I525" s="13"/>
      <c r="J525" s="15"/>
      <c r="K525" s="15"/>
      <c r="L525" s="28"/>
      <c r="M525" s="13"/>
      <c r="N525" s="15"/>
      <c r="Q525" s="13"/>
      <c r="R525" s="15"/>
      <c r="S525" s="15"/>
      <c r="T525" s="28"/>
      <c r="U525" s="13"/>
      <c r="V525" s="15"/>
      <c r="Y525" s="186"/>
      <c r="Z525" s="2"/>
      <c r="AA525" s="15"/>
      <c r="AB525" s="28"/>
      <c r="AC525" s="15"/>
      <c r="AD525" s="15"/>
      <c r="AE525" s="34">
        <f>B522*$F$12</f>
        <v>4400</v>
      </c>
      <c r="AG525" s="15"/>
      <c r="AH525" s="2"/>
      <c r="AI525" s="45"/>
      <c r="AJ525" s="15"/>
      <c r="AK525" s="13"/>
      <c r="AL525" s="15"/>
      <c r="AM525" s="45"/>
      <c r="AN525" s="15"/>
      <c r="AO525" s="13"/>
      <c r="AP525" s="15"/>
      <c r="AQ525" s="45"/>
      <c r="AR525" s="15"/>
      <c r="AS525" s="13"/>
      <c r="AT525" s="15"/>
      <c r="AU525" s="45"/>
      <c r="AV525" s="15"/>
      <c r="AW525" s="13"/>
      <c r="AX525" s="15"/>
      <c r="AY525" s="45"/>
      <c r="AZ525" s="28"/>
      <c r="BA525" s="13"/>
      <c r="BB525" s="15"/>
      <c r="BC525" s="45"/>
      <c r="BD525" s="28"/>
      <c r="BE525" s="14"/>
      <c r="BF525" s="41">
        <f t="shared" ref="BF525:BG525" si="1903">K525+O525+S525+W525+AA525+AE525+AI525+AM525+AQ525+AU525+AY525+BC525</f>
        <v>4400</v>
      </c>
      <c r="BG525" s="34">
        <f t="shared" si="1903"/>
        <v>0</v>
      </c>
      <c r="BH525" s="35">
        <f t="shared" si="1888"/>
        <v>4400</v>
      </c>
      <c r="BK525" s="2" t="b">
        <f>H525='2020'!BH525</f>
        <v>1</v>
      </c>
    </row>
    <row r="526" ht="14.25" customHeight="1" hidden="1" spans="1:63" x14ac:dyDescent="0.25">
      <c r="A526" s="2">
        <v>59</v>
      </c>
      <c r="B526" s="14"/>
      <c r="C526" s="73" t="s">
        <v>427</v>
      </c>
      <c r="D526" s="14" t="s">
        <v>51</v>
      </c>
      <c r="E526" s="2" t="s">
        <v>39</v>
      </c>
      <c r="F526" s="41">
        <v>500</v>
      </c>
      <c r="G526" s="28"/>
      <c r="H526" s="34">
        <f>'2020'!BH526</f>
        <v>0</v>
      </c>
      <c r="I526" s="13"/>
      <c r="J526" s="15"/>
      <c r="K526" s="15"/>
      <c r="L526" s="28"/>
      <c r="M526" s="13"/>
      <c r="N526" s="15"/>
      <c r="Q526" s="13"/>
      <c r="R526" s="15"/>
      <c r="S526" s="15"/>
      <c r="T526" s="28"/>
      <c r="U526" s="13"/>
      <c r="V526" s="15"/>
      <c r="Y526" s="186"/>
      <c r="Z526" s="2"/>
      <c r="AA526" s="15"/>
      <c r="AB526" s="28"/>
      <c r="AC526" s="15"/>
      <c r="AD526" s="15"/>
      <c r="AE526" s="180">
        <f>$F$13</f>
      </c>
      <c r="AG526" s="15"/>
      <c r="AH526" s="2"/>
      <c r="AI526" s="45"/>
      <c r="AJ526" s="15"/>
      <c r="AK526" s="13"/>
      <c r="AL526" s="15"/>
      <c r="AM526" s="45"/>
      <c r="AN526" s="15"/>
      <c r="AO526" s="13"/>
      <c r="AP526" s="15"/>
      <c r="AQ526" s="180"/>
      <c r="AR526" s="15"/>
      <c r="AS526" s="13"/>
      <c r="AT526" s="15"/>
      <c r="AU526" s="45"/>
      <c r="AV526" s="15"/>
      <c r="AW526" s="13"/>
      <c r="AX526" s="15"/>
      <c r="AY526" s="45"/>
      <c r="AZ526" s="35"/>
      <c r="BA526" s="13"/>
      <c r="BB526" s="15"/>
      <c r="BC526" s="45"/>
      <c r="BD526" s="28"/>
      <c r="BE526" s="14"/>
      <c r="BF526" s="41">
        <f t="shared" ref="BF526:BG526" si="1904">K526+O526+S526+W526+AA526+AE526+AI526+AM526+AQ526+AU526+AY526+BC526</f>
        <v>0</v>
      </c>
      <c r="BG526" s="34">
        <f t="shared" si="1904"/>
        <v>0</v>
      </c>
      <c r="BH526" s="35">
        <f t="shared" si="1888"/>
        <v>0</v>
      </c>
      <c r="BK526" s="2" t="b">
        <f>H526='2020'!BH526</f>
        <v>1</v>
      </c>
    </row>
    <row r="527" ht="14.25" customHeight="1" hidden="1" spans="1:63" x14ac:dyDescent="0.25">
      <c r="A527" s="2">
        <v>59</v>
      </c>
      <c r="B527" s="14"/>
      <c r="C527" s="15"/>
      <c r="D527" s="14" t="s">
        <v>51</v>
      </c>
      <c r="E527" s="2" t="s">
        <v>49</v>
      </c>
      <c r="F527" s="41">
        <v>500</v>
      </c>
      <c r="G527" s="28"/>
      <c r="H527" s="34">
        <f>'2020'!BH527</f>
        <v>0</v>
      </c>
      <c r="I527" s="13"/>
      <c r="J527" s="15"/>
      <c r="K527" s="15"/>
      <c r="L527" s="28"/>
      <c r="M527" s="13"/>
      <c r="N527" s="15"/>
      <c r="Q527" s="13"/>
      <c r="R527" s="15"/>
      <c r="S527" s="15"/>
      <c r="T527" s="28"/>
      <c r="U527" s="13"/>
      <c r="V527" s="15"/>
      <c r="Y527" s="186"/>
      <c r="Z527" s="2"/>
      <c r="AA527" s="15"/>
      <c r="AB527" s="28"/>
      <c r="AC527" s="15"/>
      <c r="AD527" s="15"/>
      <c r="AE527" s="34"/>
      <c r="AG527" s="15"/>
      <c r="AH527" s="2"/>
      <c r="AI527" s="45"/>
      <c r="AJ527" s="15"/>
      <c r="AK527" s="13"/>
      <c r="AL527" s="15"/>
      <c r="AM527" s="45"/>
      <c r="AN527" s="15"/>
      <c r="AO527" s="13"/>
      <c r="AP527" s="15"/>
      <c r="AQ527" s="180">
        <f>B522*$F$14</f>
        <v>0</v>
      </c>
      <c r="AR527" s="15"/>
      <c r="AS527" s="13"/>
      <c r="AT527" s="15"/>
      <c r="AU527" s="45"/>
      <c r="AV527" s="15"/>
      <c r="AW527" s="13"/>
      <c r="AX527" s="15"/>
      <c r="AY527" s="45"/>
      <c r="AZ527" s="35"/>
      <c r="BA527" s="13"/>
      <c r="BB527" s="15"/>
      <c r="BC527" s="45"/>
      <c r="BD527" s="28"/>
      <c r="BE527" s="14"/>
      <c r="BF527" s="41">
        <f t="shared" ref="BF527:BG527" si="1905">K527+O527+S527+W527+AA527+AE527+AI527+AM527+AQ527+AU527+AY527+BC527</f>
        <v>0</v>
      </c>
      <c r="BG527" s="34">
        <f t="shared" si="1905"/>
        <v>0</v>
      </c>
      <c r="BH527" s="35">
        <f t="shared" si="1888"/>
        <v>0</v>
      </c>
      <c r="BK527" s="2" t="b">
        <f>H527='2020'!BH527</f>
        <v>1</v>
      </c>
    </row>
    <row r="528" ht="14.25" customHeight="1" hidden="1" spans="1:63" x14ac:dyDescent="0.25">
      <c r="A528" s="2">
        <v>59</v>
      </c>
      <c r="B528" s="14"/>
      <c r="D528" s="14" t="s">
        <v>52</v>
      </c>
      <c r="E528" s="2" t="s">
        <v>39</v>
      </c>
      <c r="F528" s="41">
        <v>500</v>
      </c>
      <c r="G528" s="28"/>
      <c r="H528" s="34">
        <f>'2020'!BH528</f>
        <v>0</v>
      </c>
      <c r="I528" s="13"/>
      <c r="J528" s="15"/>
      <c r="K528" s="15"/>
      <c r="L528" s="28"/>
      <c r="M528" s="13"/>
      <c r="N528" s="15"/>
      <c r="Q528" s="13"/>
      <c r="R528" s="15"/>
      <c r="S528" s="15"/>
      <c r="T528" s="28"/>
      <c r="U528" s="13"/>
      <c r="V528" s="15"/>
      <c r="Y528" s="186"/>
      <c r="Z528" s="2"/>
      <c r="AA528" s="34">
        <f>$F$15</f>
      </c>
      <c r="AB528" s="28"/>
      <c r="AC528" s="15"/>
      <c r="AD528" s="15"/>
      <c r="AG528" s="15"/>
      <c r="AH528" s="2"/>
      <c r="AI528" s="45"/>
      <c r="AJ528" s="15"/>
      <c r="AK528" s="13"/>
      <c r="AL528" s="15"/>
      <c r="AM528" s="45"/>
      <c r="AN528" s="15"/>
      <c r="AO528" s="13"/>
      <c r="AP528" s="15"/>
      <c r="AQ528" s="45"/>
      <c r="AR528" s="15"/>
      <c r="AS528" s="13"/>
      <c r="AT528" s="15"/>
      <c r="AU528" s="45"/>
      <c r="AV528" s="15"/>
      <c r="AW528" s="13"/>
      <c r="AX528" s="15"/>
      <c r="AY528" s="45"/>
      <c r="AZ528" s="35"/>
      <c r="BA528" s="13"/>
      <c r="BB528" s="15"/>
      <c r="BC528" s="45"/>
      <c r="BD528" s="35"/>
      <c r="BE528" s="14"/>
      <c r="BF528" s="41">
        <f t="shared" ref="BF528:BG528" si="1906">K528+O528+S528+W528+AA528+AE528+AI528+AM528+AQ528+AU528+AY528+BC528</f>
        <v>0</v>
      </c>
      <c r="BG528" s="34">
        <f t="shared" si="1906"/>
        <v>0</v>
      </c>
      <c r="BH528" s="35">
        <f t="shared" si="1888"/>
        <v>0</v>
      </c>
      <c r="BK528" s="2" t="b">
        <f>H528='2020'!BH528</f>
        <v>1</v>
      </c>
    </row>
    <row r="529" ht="14.25" customHeight="1" hidden="1" spans="1:63" x14ac:dyDescent="0.25">
      <c r="A529" s="247">
        <v>59</v>
      </c>
      <c r="B529" s="21"/>
      <c r="C529" s="22" t="s">
        <v>53</v>
      </c>
      <c r="D529" s="21"/>
      <c r="E529" s="22"/>
      <c r="F529" s="20"/>
      <c r="G529" s="23"/>
      <c r="H529" s="51">
        <f>SUM(H521:H528)</f>
        <v>69.93</v>
      </c>
      <c r="I529" s="52"/>
      <c r="J529" s="53"/>
      <c r="K529" s="51">
        <f t="shared" ref="K529:L529" si="1907">SUM(K521:K528)</f>
        <v>0</v>
      </c>
      <c r="L529" s="68">
        <f t="shared" si="1907"/>
        <v>0</v>
      </c>
      <c r="M529" s="52"/>
      <c r="N529" s="53"/>
      <c r="O529" s="51">
        <f t="shared" ref="O529:P529" si="1908">SUM(O521:O528)</f>
        <v>0</v>
      </c>
      <c r="P529" s="51">
        <f t="shared" si="1908"/>
        <v>0</v>
      </c>
      <c r="Q529" s="52"/>
      <c r="R529" s="53"/>
      <c r="S529" s="51">
        <f t="shared" ref="S529:T529" si="1909">SUM(S521:S528)</f>
        <v>0</v>
      </c>
      <c r="T529" s="51">
        <f t="shared" si="1909"/>
        <v>0</v>
      </c>
      <c r="U529" s="52"/>
      <c r="V529" s="53"/>
      <c r="W529" s="51">
        <f t="shared" ref="W529:X529" si="1910">SUM(W521:W528)</f>
        <v>0</v>
      </c>
      <c r="X529" s="51">
        <f t="shared" si="1910"/>
        <v>0</v>
      </c>
      <c r="Y529" s="300"/>
      <c r="Z529" s="301"/>
      <c r="AA529" s="51">
        <f t="shared" ref="AA529:AB529" si="1911">SUM(AA521:AA528)</f>
        <v>0</v>
      </c>
      <c r="AB529" s="51">
        <f t="shared" si="1911"/>
        <v>0</v>
      </c>
      <c r="AC529" s="52"/>
      <c r="AD529" s="53"/>
      <c r="AE529" s="51">
        <f t="shared" ref="AE529:AF529" si="1912">SUM(AE521:AE528)</f>
        <v>4400</v>
      </c>
      <c r="AF529" s="51">
        <f t="shared" si="1912"/>
        <v>0</v>
      </c>
      <c r="AG529" s="52"/>
      <c r="AH529" s="301"/>
      <c r="AI529" s="183">
        <f t="shared" ref="AI529:AJ529" si="1913">SUM(AI521:AI528)</f>
        <v>0</v>
      </c>
      <c r="AJ529" s="51">
        <f t="shared" si="1913"/>
        <v>0</v>
      </c>
      <c r="AK529" s="52"/>
      <c r="AL529" s="53"/>
      <c r="AM529" s="183">
        <f t="shared" ref="AM529:AN529" si="1914">SUM(AM521:AM528)</f>
        <v>13.5</v>
      </c>
      <c r="AN529" s="51">
        <f t="shared" si="1914"/>
        <v>0</v>
      </c>
      <c r="AO529" s="52"/>
      <c r="AP529" s="53"/>
      <c r="AQ529" s="183">
        <f t="shared" ref="AQ529:AR529" si="1915">SUM(AQ521:AQ528)</f>
        <v>56.4</v>
      </c>
      <c r="AR529" s="51">
        <f t="shared" si="1915"/>
        <v>0</v>
      </c>
      <c r="AS529" s="52"/>
      <c r="AT529" s="53"/>
      <c r="AU529" s="183">
        <f t="shared" ref="AU529:AV529" si="1916">SUM(AU521:AU528)</f>
        <v>2505.6</v>
      </c>
      <c r="AV529" s="68">
        <f t="shared" si="1916"/>
        <v>0</v>
      </c>
      <c r="AW529" s="52"/>
      <c r="AX529" s="53"/>
      <c r="AY529" s="183">
        <f t="shared" ref="AY529:AZ529" si="1917">SUM(AY521:AY528)</f>
        <v>3936.6</v>
      </c>
      <c r="AZ529" s="68">
        <f t="shared" si="1917"/>
        <v>0</v>
      </c>
      <c r="BA529" s="52"/>
      <c r="BB529" s="53"/>
      <c r="BC529" s="183">
        <f t="shared" ref="BC529:BD529" si="1918">SUM(BC521:BC528)</f>
        <v>0</v>
      </c>
      <c r="BD529" s="68">
        <f t="shared" si="1918"/>
        <v>0</v>
      </c>
      <c r="BE529" s="69"/>
      <c r="BF529" s="70">
        <f t="shared" ref="BF529:BH529" si="1919">SUM(BF521:BF528)</f>
        <v>10912.1</v>
      </c>
      <c r="BG529" s="71">
        <f t="shared" si="1919"/>
        <v>0</v>
      </c>
      <c r="BH529" s="72">
        <f t="shared" si="1919"/>
        <v>10982.03</v>
      </c>
      <c r="BI529" s="34">
        <f>H529+BF529-BG529</f>
        <v>10982.03</v>
      </c>
      <c r="BJ529" s="34">
        <f>BH529-BI529</f>
        <v>0</v>
      </c>
      <c r="BK529" s="2" t="b">
        <f>H529='2020'!BH529</f>
        <v>1</v>
      </c>
    </row>
    <row r="530" ht="14.25" customHeight="1" hidden="1" spans="1:63" x14ac:dyDescent="0.25">
      <c r="A530" s="2">
        <v>58</v>
      </c>
      <c r="B530" s="14"/>
      <c r="D530" s="178" t="s">
        <v>486</v>
      </c>
      <c r="F530" s="13"/>
      <c r="G530" s="28"/>
      <c r="H530" s="34">
        <f>'2020'!BH530</f>
        <v>65.5</v>
      </c>
      <c r="I530" s="13"/>
      <c r="J530" s="15"/>
      <c r="K530" s="15"/>
      <c r="L530" s="28"/>
      <c r="M530" s="13"/>
      <c r="N530" s="15"/>
      <c r="Q530" s="13"/>
      <c r="R530" s="15"/>
      <c r="S530" s="15"/>
      <c r="T530" s="28"/>
      <c r="U530" s="13"/>
      <c r="V530" s="15"/>
      <c r="W530" s="153"/>
      <c r="Y530" s="186"/>
      <c r="Z530" s="2"/>
      <c r="AA530" s="15"/>
      <c r="AB530" s="28"/>
      <c r="AC530" s="15"/>
      <c r="AD530" s="15"/>
      <c r="AG530" s="15"/>
      <c r="AH530" s="2"/>
      <c r="AI530" s="45"/>
      <c r="AJ530" s="15"/>
      <c r="AK530" s="13"/>
      <c r="AM530" s="45"/>
      <c r="AN530" s="2">
        <v>65.5</v>
      </c>
      <c r="AO530" s="13"/>
      <c r="AQ530" s="45"/>
      <c r="AS530" s="13"/>
      <c r="AU530" s="45"/>
      <c r="AW530" s="13"/>
      <c r="AY530" s="45"/>
      <c r="AZ530" s="28"/>
      <c r="BA530" s="13"/>
      <c r="BB530" s="15"/>
      <c r="BC530" s="45"/>
      <c r="BD530" s="28"/>
      <c r="BE530" s="14"/>
      <c r="BF530" s="41">
        <f t="shared" ref="BF530:BG530" si="1920">K530+O530+S530+W530+AA530+AE530+AI530+AM530+AQ530+AU530+AY530+BC530</f>
        <v>0</v>
      </c>
      <c r="BG530" s="34">
        <f t="shared" si="1920"/>
        <v>65.5</v>
      </c>
      <c r="BH530" s="35">
        <f t="shared" ref="BH530:BH537" si="1921">H530+BF530-BG530</f>
        <v>0</v>
      </c>
      <c r="BK530" s="2" t="b">
        <f>H530='2020'!BH530</f>
        <v>1</v>
      </c>
    </row>
    <row r="531" ht="14.25" customHeight="1" hidden="1" spans="1:63" x14ac:dyDescent="0.25">
      <c r="A531" s="2">
        <v>58</v>
      </c>
      <c r="B531" s="14">
        <v>5.08</v>
      </c>
      <c r="C531" s="2" t="s">
        <v>223</v>
      </c>
      <c r="D531" s="14" t="s">
        <v>44</v>
      </c>
      <c r="E531" s="2" t="s">
        <v>45</v>
      </c>
      <c r="F531" s="41">
        <v>2.5</v>
      </c>
      <c r="G531" s="35">
        <v>2.6</v>
      </c>
      <c r="H531" s="180">
        <f>'2020'!BH531</f>
        <v>507.89</v>
      </c>
      <c r="I531" s="13">
        <v>703</v>
      </c>
      <c r="J531" s="15">
        <f>I531-'2020'!BA531</f>
        <v>0</v>
      </c>
      <c r="K531" s="34">
        <f>J531*$F$8</f>
        <v>0</v>
      </c>
      <c r="L531" s="28"/>
      <c r="M531" s="13">
        <v>717</v>
      </c>
      <c r="N531" s="15">
        <f t="shared" ref="N531:N532" si="1922">M531-I531</f>
        <v>14</v>
      </c>
      <c r="O531" s="34">
        <f>N531*$F$8</f>
        <v>36.4</v>
      </c>
      <c r="Q531" s="13">
        <v>798</v>
      </c>
      <c r="R531" s="15">
        <f t="shared" ref="R531:R532" si="1923">Q531-M531</f>
        <v>81</v>
      </c>
      <c r="S531" s="34">
        <f>R531*$F$8</f>
        <v>210.6</v>
      </c>
      <c r="T531" s="28"/>
      <c r="U531" s="13">
        <v>863</v>
      </c>
      <c r="V531" s="15">
        <f t="shared" ref="V531:V532" si="1924">U531-Q531</f>
        <v>65</v>
      </c>
      <c r="W531" s="34">
        <f>V531*$F$8</f>
        <v>169</v>
      </c>
      <c r="X531" s="1">
        <v>1841.78</v>
      </c>
      <c r="Y531" s="186">
        <v>1037</v>
      </c>
      <c r="Z531" s="2">
        <f t="shared" ref="Z531:Z532" si="1925">Y531-U531</f>
        <v>174</v>
      </c>
      <c r="AA531" s="34">
        <f>Z531*$F$8</f>
        <v>452.4</v>
      </c>
      <c r="AB531" s="28"/>
      <c r="AC531" s="15">
        <v>1135</v>
      </c>
      <c r="AD531" s="15">
        <f t="shared" ref="AD531:AD532" si="1926">AC531-Y531</f>
        <v>98</v>
      </c>
      <c r="AE531" s="180">
        <f>AD531*$F$8</f>
        <v>254.8</v>
      </c>
      <c r="AF531" s="180"/>
      <c r="AG531" s="15">
        <v>1206</v>
      </c>
      <c r="AH531" s="2">
        <f t="shared" ref="AH531:AH532" si="1927">AG531-AC531</f>
        <v>71</v>
      </c>
      <c r="AI531" s="45">
        <f>AH531*$G$8</f>
        <v>191.7</v>
      </c>
      <c r="AJ531" s="180"/>
      <c r="AK531" s="13">
        <v>1309</v>
      </c>
      <c r="AL531" s="15">
        <f t="shared" ref="AL531:AL532" si="1928">AK531-AG531</f>
        <v>103</v>
      </c>
      <c r="AM531" s="45">
        <f>AL531*$G$8</f>
        <v>278.1</v>
      </c>
      <c r="AN531" s="15">
        <v>547.85</v>
      </c>
      <c r="AO531" s="13">
        <v>1638</v>
      </c>
      <c r="AP531" s="15">
        <f t="shared" ref="AP531:AP532" si="1929">AO531-AK531</f>
        <v>329</v>
      </c>
      <c r="AQ531" s="45">
        <f>AP531*$G$8</f>
        <v>888.3</v>
      </c>
      <c r="AR531" s="15"/>
      <c r="AS531" s="13">
        <v>1994</v>
      </c>
      <c r="AT531" s="15">
        <f t="shared" ref="AT531:AT532" si="1930">AS531-AO531</f>
        <v>356</v>
      </c>
      <c r="AU531" s="45">
        <f>AT531*$G$8</f>
        <v>961.2</v>
      </c>
      <c r="AV531" s="15"/>
      <c r="AW531" s="13">
        <v>2020</v>
      </c>
      <c r="AX531" s="15">
        <f t="shared" ref="AX531:AX532" si="1931">AW531-AS531</f>
        <v>26</v>
      </c>
      <c r="AY531" s="45">
        <f>AX531*$G$8</f>
        <v>70.2</v>
      </c>
      <c r="AZ531" s="208"/>
      <c r="BA531" s="13">
        <v>2055</v>
      </c>
      <c r="BB531" s="15">
        <f t="shared" ref="BB531:BB532" si="1932">BA531-AW531</f>
        <v>35</v>
      </c>
      <c r="BC531" s="45">
        <f>BB531*$G$8</f>
        <v>94.5</v>
      </c>
      <c r="BD531" s="208">
        <v>2200</v>
      </c>
      <c r="BE531" s="40">
        <f t="shared" ref="BE531:BG531" si="1933">J531+N531+R531+V531+Z531+AD531+AH531+AL531+AP531+AT531+AX531+BB531</f>
        <v>1352</v>
      </c>
      <c r="BF531" s="41">
        <f t="shared" si="1933"/>
        <v>3607.2</v>
      </c>
      <c r="BG531" s="34">
        <f t="shared" si="1933"/>
        <v>4589.63</v>
      </c>
      <c r="BH531" s="35">
        <f t="shared" si="1921"/>
        <v>-474.54</v>
      </c>
      <c r="BJ531" s="34"/>
      <c r="BK531" s="2" t="b">
        <f>H531='2020'!BH531</f>
        <v>1</v>
      </c>
    </row>
    <row r="532" ht="14.25" customHeight="1" hidden="1" spans="1:63" x14ac:dyDescent="0.25">
      <c r="A532" s="2">
        <v>58</v>
      </c>
      <c r="B532" s="14"/>
      <c r="C532" s="2" t="s">
        <v>71</v>
      </c>
      <c r="D532" s="14" t="s">
        <v>47</v>
      </c>
      <c r="E532" s="2" t="s">
        <v>48</v>
      </c>
      <c r="F532" s="13">
        <v>18.56</v>
      </c>
      <c r="G532" s="35">
        <v>19.46</v>
      </c>
      <c r="H532" s="180">
        <f>'2020'!BH532</f>
        <v>118.22</v>
      </c>
      <c r="I532" s="13">
        <v>501</v>
      </c>
      <c r="J532" s="15"/>
      <c r="K532" s="15"/>
      <c r="L532" s="28"/>
      <c r="M532" s="13">
        <v>501</v>
      </c>
      <c r="N532" s="15">
        <f t="shared" si="1922"/>
        <v>0</v>
      </c>
      <c r="Q532" s="13">
        <v>501</v>
      </c>
      <c r="R532" s="15">
        <f t="shared" si="1923"/>
        <v>0</v>
      </c>
      <c r="S532" s="15"/>
      <c r="T532" s="28"/>
      <c r="U532" s="13">
        <v>501</v>
      </c>
      <c r="V532" s="15">
        <f t="shared" si="1924"/>
        <v>0</v>
      </c>
      <c r="W532" s="34">
        <f>V532*$F$10</f>
        <v>0</v>
      </c>
      <c r="X532" s="1">
        <v>118.22</v>
      </c>
      <c r="Y532" s="186">
        <v>501</v>
      </c>
      <c r="Z532" s="2">
        <f t="shared" si="1925"/>
        <v>0</v>
      </c>
      <c r="AA532" s="34">
        <f>Z532*$F$10</f>
        <v>0</v>
      </c>
      <c r="AB532" s="28"/>
      <c r="AC532" s="15">
        <v>501</v>
      </c>
      <c r="AD532" s="15">
        <f t="shared" si="1926"/>
        <v>0</v>
      </c>
      <c r="AE532" s="34">
        <f>AD532*$F$10</f>
        <v>0</v>
      </c>
      <c r="AF532" s="180"/>
      <c r="AG532" s="15">
        <v>529</v>
      </c>
      <c r="AH532" s="2">
        <f t="shared" si="1927"/>
        <v>28</v>
      </c>
      <c r="AI532" s="45">
        <f>AH532*$G$10</f>
        <v>569.8</v>
      </c>
      <c r="AJ532" s="180"/>
      <c r="AK532" s="13">
        <v>535</v>
      </c>
      <c r="AL532" s="15">
        <f t="shared" si="1928"/>
        <v>6</v>
      </c>
      <c r="AM532" s="45">
        <f>AL532*$G$10</f>
        <v>122.1</v>
      </c>
      <c r="AN532" s="15">
        <v>793.65</v>
      </c>
      <c r="AO532" s="13">
        <v>540</v>
      </c>
      <c r="AP532" s="15">
        <f t="shared" si="1929"/>
        <v>5</v>
      </c>
      <c r="AQ532" s="45">
        <f>AP532*$G$10</f>
        <v>101.75</v>
      </c>
      <c r="AR532" s="15"/>
      <c r="AS532" s="13">
        <v>540</v>
      </c>
      <c r="AT532" s="15">
        <f t="shared" si="1930"/>
        <v>0</v>
      </c>
      <c r="AU532" s="45">
        <f>AT532*$G$10</f>
        <v>0</v>
      </c>
      <c r="AV532" s="15"/>
      <c r="AW532" s="13">
        <v>540</v>
      </c>
      <c r="AX532" s="15">
        <f t="shared" si="1931"/>
        <v>0</v>
      </c>
      <c r="AY532" s="45"/>
      <c r="AZ532" s="208"/>
      <c r="BA532" s="13">
        <v>540</v>
      </c>
      <c r="BB532" s="15">
        <f t="shared" si="1932"/>
        <v>0</v>
      </c>
      <c r="BC532" s="45"/>
      <c r="BD532" s="208"/>
      <c r="BE532" s="40">
        <f t="shared" ref="BE532:BG532" si="1934">J532+N532+R532+V532+Z532+AD532+AH532+AL532+AP532+AT532+AX532+BB532</f>
        <v>39</v>
      </c>
      <c r="BF532" s="41">
        <f t="shared" si="1934"/>
        <v>793.65</v>
      </c>
      <c r="BG532" s="34">
        <f t="shared" si="1934"/>
        <v>911.87</v>
      </c>
      <c r="BH532" s="35">
        <f t="shared" si="1921"/>
        <v>0</v>
      </c>
      <c r="BK532" s="2" t="b">
        <f>H532='2020'!BH532</f>
        <v>1</v>
      </c>
    </row>
    <row r="533" ht="14.25" customHeight="1" hidden="1" spans="1:63" x14ac:dyDescent="0.25">
      <c r="A533" s="2">
        <v>58</v>
      </c>
      <c r="B533" s="14"/>
      <c r="C533" s="15" t="s">
        <v>168</v>
      </c>
      <c r="D533" s="14" t="s">
        <v>47</v>
      </c>
      <c r="E533" s="2" t="s">
        <v>49</v>
      </c>
      <c r="F533" s="41">
        <v>500</v>
      </c>
      <c r="G533" s="28"/>
      <c r="H533" s="180">
        <f>'2020'!BH533</f>
        <v>0</v>
      </c>
      <c r="I533" s="13"/>
      <c r="J533" s="15"/>
      <c r="K533" s="15"/>
      <c r="L533" s="28"/>
      <c r="M533" s="13"/>
      <c r="N533" s="15"/>
      <c r="Q533" s="13"/>
      <c r="R533" s="15"/>
      <c r="S533" s="15"/>
      <c r="T533" s="28"/>
      <c r="U533" s="13"/>
      <c r="V533" s="15"/>
      <c r="X533" s="1"/>
      <c r="Y533" s="186"/>
      <c r="Z533" s="2"/>
      <c r="AA533" s="15"/>
      <c r="AB533" s="28"/>
      <c r="AC533" s="15"/>
      <c r="AD533" s="15"/>
      <c r="AG533" s="15"/>
      <c r="AH533" s="2"/>
      <c r="AI533" s="45"/>
      <c r="AJ533" s="34"/>
      <c r="AK533" s="13"/>
      <c r="AL533" s="15"/>
      <c r="AM533" s="45"/>
      <c r="AN533" s="15"/>
      <c r="AO533" s="13"/>
      <c r="AP533" s="15"/>
      <c r="AQ533" s="45"/>
      <c r="AR533" s="15"/>
      <c r="AS533" s="13"/>
      <c r="AT533" s="15"/>
      <c r="AU533" s="45"/>
      <c r="AV533" s="15"/>
      <c r="AW533" s="13"/>
      <c r="AX533" s="15"/>
      <c r="AY533" s="45"/>
      <c r="AZ533" s="28"/>
      <c r="BA533" s="13"/>
      <c r="BB533" s="15"/>
      <c r="BC533" s="45"/>
      <c r="BD533" s="28"/>
      <c r="BE533" s="14"/>
      <c r="BF533" s="41">
        <f t="shared" ref="BF533:BG533" si="1935">K533+O533+S533+W533+AA533+AE533+AI533+AM533+AQ533+AU533+AY533+BC533</f>
        <v>0</v>
      </c>
      <c r="BG533" s="34">
        <f t="shared" si="1935"/>
        <v>0</v>
      </c>
      <c r="BH533" s="35">
        <f t="shared" si="1921"/>
        <v>0</v>
      </c>
      <c r="BK533" s="2" t="b">
        <f>H533='2020'!BH533</f>
        <v>1</v>
      </c>
    </row>
    <row r="534" ht="14.25" customHeight="1" hidden="1" spans="1:63" x14ac:dyDescent="0.25">
      <c r="A534" s="2">
        <v>58</v>
      </c>
      <c r="B534" s="14"/>
      <c r="C534" s="2" t="s">
        <v>224</v>
      </c>
      <c r="D534" s="14" t="s">
        <v>50</v>
      </c>
      <c r="E534" s="2" t="s">
        <v>49</v>
      </c>
      <c r="F534" s="41">
        <v>1100</v>
      </c>
      <c r="G534" s="28"/>
      <c r="H534" s="180">
        <f>'2020'!BH534</f>
        <v>0</v>
      </c>
      <c r="I534" s="13"/>
      <c r="J534" s="15"/>
      <c r="K534" s="15"/>
      <c r="L534" s="28"/>
      <c r="M534" s="13"/>
      <c r="N534" s="15"/>
      <c r="Q534" s="13"/>
      <c r="R534" s="15"/>
      <c r="S534" s="15"/>
      <c r="T534" s="28"/>
      <c r="U534" s="13"/>
      <c r="V534" s="15"/>
      <c r="X534" s="1"/>
      <c r="Y534" s="186"/>
      <c r="Z534" s="2"/>
      <c r="AA534" s="15"/>
      <c r="AB534" s="28"/>
      <c r="AC534" s="15"/>
      <c r="AD534" s="15"/>
      <c r="AE534" s="34">
        <f>B531*$F$12</f>
        <v>5588</v>
      </c>
      <c r="AF534" s="180"/>
      <c r="AG534" s="15"/>
      <c r="AH534" s="2"/>
      <c r="AI534" s="45"/>
      <c r="AJ534" s="180"/>
      <c r="AK534" s="13"/>
      <c r="AL534" s="15"/>
      <c r="AM534" s="45"/>
      <c r="AN534" s="15">
        <v>5588</v>
      </c>
      <c r="AO534" s="13"/>
      <c r="AP534" s="15"/>
      <c r="AQ534" s="45"/>
      <c r="AR534" s="15"/>
      <c r="AS534" s="13"/>
      <c r="AT534" s="15"/>
      <c r="AU534" s="45"/>
      <c r="AV534" s="15"/>
      <c r="AW534" s="13"/>
      <c r="AX534" s="15"/>
      <c r="AY534" s="45"/>
      <c r="AZ534" s="28"/>
      <c r="BA534" s="13"/>
      <c r="BB534" s="15"/>
      <c r="BC534" s="45"/>
      <c r="BD534" s="28"/>
      <c r="BE534" s="14"/>
      <c r="BF534" s="41">
        <f t="shared" ref="BF534:BG534" si="1936">K534+O534+S534+W534+AA534+AE534+AI534+AM534+AQ534+AU534+AY534+BC534</f>
        <v>5588</v>
      </c>
      <c r="BG534" s="34">
        <f t="shared" si="1936"/>
        <v>5588</v>
      </c>
      <c r="BH534" s="35">
        <f t="shared" si="1921"/>
        <v>0</v>
      </c>
      <c r="BK534" s="2" t="b">
        <f>H534='2020'!BH534</f>
        <v>1</v>
      </c>
    </row>
    <row r="535" ht="14.25" customHeight="1" hidden="1" spans="1:63" x14ac:dyDescent="0.25">
      <c r="A535" s="2">
        <v>58</v>
      </c>
      <c r="B535" s="14"/>
      <c r="C535" s="2" t="s">
        <v>225</v>
      </c>
      <c r="D535" s="14" t="s">
        <v>51</v>
      </c>
      <c r="E535" s="2" t="s">
        <v>39</v>
      </c>
      <c r="F535" s="41">
        <v>500</v>
      </c>
      <c r="G535" s="28"/>
      <c r="H535" s="180">
        <f>'2020'!BH535</f>
        <v>500</v>
      </c>
      <c r="I535" s="13"/>
      <c r="J535" s="15"/>
      <c r="K535" s="15"/>
      <c r="L535" s="28"/>
      <c r="M535" s="13"/>
      <c r="N535" s="15"/>
      <c r="Q535" s="13"/>
      <c r="R535" s="15"/>
      <c r="S535" s="15"/>
      <c r="T535" s="28"/>
      <c r="U535" s="13"/>
      <c r="V535" s="15"/>
      <c r="X535" s="1">
        <v>500</v>
      </c>
      <c r="Y535" s="186"/>
      <c r="Z535" s="2"/>
      <c r="AA535" s="15"/>
      <c r="AB535" s="28"/>
      <c r="AC535" s="15"/>
      <c r="AD535" s="15"/>
      <c r="AE535" s="180">
        <f>$F$13</f>
      </c>
      <c r="AF535" s="34"/>
      <c r="AG535" s="15"/>
      <c r="AH535" s="2"/>
      <c r="AI535" s="45"/>
      <c r="AJ535" s="34"/>
      <c r="AK535" s="13"/>
      <c r="AL535" s="15"/>
      <c r="AM535" s="45"/>
      <c r="AN535" s="1"/>
      <c r="AO535" s="13"/>
      <c r="AP535" s="15"/>
      <c r="AQ535" s="180"/>
      <c r="AR535" s="15"/>
      <c r="AS535" s="13"/>
      <c r="AT535" s="15"/>
      <c r="AU535" s="45"/>
      <c r="AV535" s="15"/>
      <c r="AW535" s="13"/>
      <c r="AX535" s="15"/>
      <c r="AY535" s="45"/>
      <c r="AZ535" s="28"/>
      <c r="BA535" s="13"/>
      <c r="BB535" s="15"/>
      <c r="BC535" s="45"/>
      <c r="BD535" s="28"/>
      <c r="BE535" s="14"/>
      <c r="BF535" s="41">
        <f t="shared" ref="BF535:BG535" si="1937">K535+O535+S535+W535+AA535+AE535+AI535+AM535+AQ535+AU535+AY535+BC535</f>
        <v>0</v>
      </c>
      <c r="BG535" s="34">
        <f t="shared" si="1937"/>
        <v>500</v>
      </c>
      <c r="BH535" s="35">
        <f t="shared" si="1921"/>
        <v>0</v>
      </c>
      <c r="BK535" s="2" t="b">
        <f>H535='2020'!BH535</f>
        <v>1</v>
      </c>
    </row>
    <row r="536" ht="14.25" customHeight="1" hidden="1" spans="1:63" x14ac:dyDescent="0.25">
      <c r="A536" s="2">
        <v>58</v>
      </c>
      <c r="B536" s="14"/>
      <c r="D536" s="14" t="s">
        <v>51</v>
      </c>
      <c r="E536" s="2" t="s">
        <v>49</v>
      </c>
      <c r="F536" s="41">
        <v>500</v>
      </c>
      <c r="G536" s="28"/>
      <c r="H536" s="180">
        <f>'2020'!BH536</f>
        <v>2540</v>
      </c>
      <c r="I536" s="13"/>
      <c r="J536" s="15"/>
      <c r="K536" s="15"/>
      <c r="L536" s="28"/>
      <c r="M536" s="13"/>
      <c r="N536" s="15"/>
      <c r="Q536" s="13"/>
      <c r="R536" s="15"/>
      <c r="S536" s="15"/>
      <c r="T536" s="28"/>
      <c r="U536" s="13"/>
      <c r="V536" s="15"/>
      <c r="X536" s="1">
        <v>2540</v>
      </c>
      <c r="Y536" s="186"/>
      <c r="Z536" s="2"/>
      <c r="AA536" s="15"/>
      <c r="AB536" s="28"/>
      <c r="AC536" s="15"/>
      <c r="AD536" s="15"/>
      <c r="AE536" s="34"/>
      <c r="AF536" s="34"/>
      <c r="AG536" s="15"/>
      <c r="AH536" s="2"/>
      <c r="AI536" s="45"/>
      <c r="AJ536" s="34"/>
      <c r="AK536" s="13"/>
      <c r="AL536" s="15"/>
      <c r="AM536" s="45"/>
      <c r="AN536" s="15"/>
      <c r="AO536" s="13"/>
      <c r="AP536" s="15"/>
      <c r="AQ536" s="180">
        <f>B531*$F$14</f>
        <v>0</v>
      </c>
      <c r="AR536" s="15"/>
      <c r="AS536" s="13"/>
      <c r="AT536" s="15"/>
      <c r="AU536" s="45"/>
      <c r="AV536" s="15"/>
      <c r="AW536" s="13"/>
      <c r="AX536" s="15"/>
      <c r="AY536" s="45"/>
      <c r="AZ536" s="28"/>
      <c r="BA536" s="13"/>
      <c r="BB536" s="15"/>
      <c r="BC536" s="45"/>
      <c r="BD536" s="28"/>
      <c r="BE536" s="14"/>
      <c r="BF536" s="41">
        <f t="shared" ref="BF536:BG536" si="1938">K536+O536+S536+W536+AA536+AE536+AI536+AM536+AQ536+AU536+AY536+BC536</f>
        <v>0</v>
      </c>
      <c r="BG536" s="34">
        <f t="shared" si="1938"/>
        <v>2540</v>
      </c>
      <c r="BH536" s="35">
        <f t="shared" si="1921"/>
        <v>0</v>
      </c>
      <c r="BK536" s="2" t="b">
        <f>H536='2020'!BH536</f>
        <v>1</v>
      </c>
    </row>
    <row r="537" ht="14.25" customHeight="1" hidden="1" spans="1:63" x14ac:dyDescent="0.25">
      <c r="A537" s="2">
        <v>58</v>
      </c>
      <c r="B537" s="14"/>
      <c r="C537" s="2" t="s">
        <v>226</v>
      </c>
      <c r="D537" s="14" t="s">
        <v>52</v>
      </c>
      <c r="E537" s="2" t="s">
        <v>39</v>
      </c>
      <c r="F537" s="41">
        <v>500</v>
      </c>
      <c r="G537" s="28"/>
      <c r="H537" s="180">
        <f>'2020'!BH537</f>
        <v>0</v>
      </c>
      <c r="I537" s="13"/>
      <c r="J537" s="15"/>
      <c r="K537" s="15"/>
      <c r="L537" s="28"/>
      <c r="M537" s="13"/>
      <c r="N537" s="15"/>
      <c r="Q537" s="13"/>
      <c r="R537" s="15"/>
      <c r="S537" s="15"/>
      <c r="T537" s="28"/>
      <c r="U537" s="13"/>
      <c r="V537" s="15"/>
      <c r="Y537" s="186"/>
      <c r="Z537" s="2"/>
      <c r="AA537" s="34">
        <f>$F$15</f>
      </c>
      <c r="AB537" s="35"/>
      <c r="AC537" s="15"/>
      <c r="AD537" s="15"/>
      <c r="AF537" s="180"/>
      <c r="AG537" s="15"/>
      <c r="AH537" s="2"/>
      <c r="AI537" s="45"/>
      <c r="AJ537" s="180"/>
      <c r="AK537" s="13"/>
      <c r="AL537" s="15"/>
      <c r="AM537" s="45"/>
      <c r="AN537" s="15"/>
      <c r="AO537" s="13"/>
      <c r="AP537" s="15"/>
      <c r="AQ537" s="45"/>
      <c r="AR537" s="15"/>
      <c r="AS537" s="13"/>
      <c r="AT537" s="15"/>
      <c r="AU537" s="45"/>
      <c r="AV537" s="15"/>
      <c r="AW537" s="13"/>
      <c r="AX537" s="15"/>
      <c r="AY537" s="45"/>
      <c r="AZ537" s="35"/>
      <c r="BA537" s="13"/>
      <c r="BB537" s="15"/>
      <c r="BC537" s="45"/>
      <c r="BD537" s="35"/>
      <c r="BE537" s="14"/>
      <c r="BF537" s="41">
        <f t="shared" ref="BF537:BG537" si="1939">K537+O537+S537+W537+AA537+AE537+AI537+AM537+AQ537+AU537+AY537+BC537</f>
        <v>0</v>
      </c>
      <c r="BG537" s="34">
        <f t="shared" si="1939"/>
        <v>0</v>
      </c>
      <c r="BH537" s="35">
        <f t="shared" si="1921"/>
        <v>0</v>
      </c>
      <c r="BK537" s="2" t="b">
        <f>H537='2020'!BH537</f>
        <v>1</v>
      </c>
    </row>
    <row r="538" ht="14.25" customHeight="1" hidden="1" spans="1:63" x14ac:dyDescent="0.25">
      <c r="A538" s="247">
        <v>58</v>
      </c>
      <c r="B538" s="21"/>
      <c r="C538" s="22" t="s">
        <v>53</v>
      </c>
      <c r="D538" s="21"/>
      <c r="E538" s="22"/>
      <c r="F538" s="20"/>
      <c r="G538" s="23"/>
      <c r="H538" s="51">
        <f>SUM(H530:H537)</f>
        <v>3731.61</v>
      </c>
      <c r="I538" s="52"/>
      <c r="J538" s="53"/>
      <c r="K538" s="51">
        <f t="shared" ref="K538:L538" si="1940">SUM(K530:K537)</f>
        <v>0</v>
      </c>
      <c r="L538" s="68">
        <f t="shared" si="1940"/>
        <v>0</v>
      </c>
      <c r="M538" s="52"/>
      <c r="N538" s="53"/>
      <c r="O538" s="51">
        <f t="shared" ref="O538:P538" si="1941">SUM(O530:O537)</f>
        <v>36.4</v>
      </c>
      <c r="P538" s="51">
        <f t="shared" si="1941"/>
        <v>0</v>
      </c>
      <c r="Q538" s="52"/>
      <c r="R538" s="53"/>
      <c r="S538" s="51">
        <f t="shared" ref="S538:T538" si="1942">SUM(S530:S537)</f>
        <v>210.6</v>
      </c>
      <c r="T538" s="51">
        <f t="shared" si="1942"/>
        <v>0</v>
      </c>
      <c r="U538" s="52"/>
      <c r="V538" s="53"/>
      <c r="W538" s="51">
        <f t="shared" ref="W538:X538" si="1943">SUM(W530:W537)</f>
        <v>169</v>
      </c>
      <c r="X538" s="51">
        <f t="shared" si="1943"/>
        <v>5000</v>
      </c>
      <c r="Y538" s="300"/>
      <c r="Z538" s="301"/>
      <c r="AA538" s="51">
        <f t="shared" ref="AA538:AB538" si="1944">SUM(AA530:AA537)</f>
        <v>452.4</v>
      </c>
      <c r="AB538" s="51">
        <f t="shared" si="1944"/>
        <v>0</v>
      </c>
      <c r="AC538" s="52"/>
      <c r="AD538" s="53"/>
      <c r="AE538" s="51">
        <f t="shared" ref="AE538:AF538" si="1945">SUM(AE530:AE537)</f>
        <v>5842.8</v>
      </c>
      <c r="AF538" s="51">
        <f t="shared" si="1945"/>
        <v>0</v>
      </c>
      <c r="AG538" s="52"/>
      <c r="AH538" s="301"/>
      <c r="AI538" s="183">
        <f t="shared" ref="AI538:AJ538" si="1946">SUM(AI530:AI537)</f>
        <v>761.5</v>
      </c>
      <c r="AJ538" s="51">
        <f t="shared" si="1946"/>
        <v>0</v>
      </c>
      <c r="AK538" s="52"/>
      <c r="AL538" s="53"/>
      <c r="AM538" s="183">
        <f t="shared" ref="AM538:AN538" si="1947">SUM(AM530:AM537)</f>
        <v>400.2</v>
      </c>
      <c r="AN538" s="51">
        <f t="shared" si="1947"/>
        <v>6995</v>
      </c>
      <c r="AO538" s="52"/>
      <c r="AP538" s="53"/>
      <c r="AQ538" s="183">
        <f t="shared" ref="AQ538:AR538" si="1948">SUM(AQ530:AQ537)</f>
        <v>990.05</v>
      </c>
      <c r="AR538" s="51">
        <f t="shared" si="1948"/>
        <v>0</v>
      </c>
      <c r="AS538" s="52"/>
      <c r="AT538" s="53"/>
      <c r="AU538" s="183">
        <f t="shared" ref="AU538:AV538" si="1949">SUM(AU530:AU537)</f>
        <v>961.2</v>
      </c>
      <c r="AV538" s="68">
        <f t="shared" si="1949"/>
        <v>0</v>
      </c>
      <c r="AW538" s="52"/>
      <c r="AX538" s="53"/>
      <c r="AY538" s="183">
        <f t="shared" ref="AY538:AZ538" si="1950">SUM(AY530:AY537)</f>
        <v>70.2</v>
      </c>
      <c r="AZ538" s="68">
        <f t="shared" si="1950"/>
        <v>0</v>
      </c>
      <c r="BA538" s="52"/>
      <c r="BB538" s="53"/>
      <c r="BC538" s="183">
        <f t="shared" ref="BC538:BD538" si="1951">SUM(BC530:BC537)</f>
        <v>94.5</v>
      </c>
      <c r="BD538" s="68">
        <f t="shared" si="1951"/>
        <v>2200</v>
      </c>
      <c r="BE538" s="69"/>
      <c r="BF538" s="70">
        <f t="shared" ref="BF538:BH538" si="1952">SUM(BF530:BF537)</f>
        <v>9988.85</v>
      </c>
      <c r="BG538" s="71">
        <f t="shared" si="1952"/>
        <v>14195</v>
      </c>
      <c r="BH538" s="72">
        <f t="shared" si="1952"/>
        <v>-474.54</v>
      </c>
      <c r="BI538" s="34">
        <f>H538+BF538-BG538</f>
        <v>-474.54</v>
      </c>
      <c r="BJ538" s="34">
        <f>BH538-BI538</f>
        <v>0</v>
      </c>
      <c r="BK538" s="2" t="b">
        <f>H538='2020'!BH538</f>
        <v>1</v>
      </c>
    </row>
    <row r="539" ht="14.25" customHeight="1" hidden="1" spans="1:63" x14ac:dyDescent="0.25">
      <c r="A539" s="2">
        <v>60</v>
      </c>
      <c r="B539" s="14"/>
      <c r="D539" s="178" t="s">
        <v>486</v>
      </c>
      <c r="F539" s="13"/>
      <c r="G539" s="28"/>
      <c r="H539" s="34">
        <f>'2020'!BH539</f>
        <v>0</v>
      </c>
      <c r="I539" s="13"/>
      <c r="J539" s="15"/>
      <c r="K539" s="15"/>
      <c r="L539" s="28"/>
      <c r="M539" s="13"/>
      <c r="N539" s="15"/>
      <c r="Q539" s="13"/>
      <c r="R539" s="15"/>
      <c r="S539" s="15"/>
      <c r="T539" s="28"/>
      <c r="U539" s="13"/>
      <c r="V539" s="15"/>
      <c r="W539" s="153"/>
      <c r="Y539" s="186"/>
      <c r="Z539" s="2"/>
      <c r="AA539" s="15"/>
      <c r="AB539" s="28"/>
      <c r="AC539" s="15"/>
      <c r="AD539" s="15"/>
      <c r="AG539" s="15"/>
      <c r="AH539" s="2"/>
      <c r="AI539" s="45"/>
      <c r="AJ539" s="180"/>
      <c r="AK539" s="13"/>
      <c r="AM539" s="45"/>
      <c r="AO539" s="13"/>
      <c r="AQ539" s="45"/>
      <c r="AS539" s="13"/>
      <c r="AU539" s="45"/>
      <c r="AW539" s="13"/>
      <c r="AY539" s="45"/>
      <c r="AZ539" s="28"/>
      <c r="BA539" s="13"/>
      <c r="BB539" s="15"/>
      <c r="BC539" s="45"/>
      <c r="BD539" s="28"/>
      <c r="BE539" s="14"/>
      <c r="BF539" s="41">
        <f t="shared" ref="BF539:BG539" si="1953">K539+O539+S539+W539+AA539+AE539+AI539+AM539+AQ539+AU539+AY539+BC539</f>
        <v>0</v>
      </c>
      <c r="BG539" s="34">
        <f t="shared" si="1953"/>
        <v>0</v>
      </c>
      <c r="BH539" s="35">
        <f t="shared" ref="BH539:BH546" si="1954">H539+BF539-BG539</f>
        <v>0</v>
      </c>
      <c r="BK539" s="2" t="b">
        <f>H539='2020'!BH539</f>
        <v>1</v>
      </c>
    </row>
    <row r="540" ht="14.25" customHeight="1" hidden="1" spans="1:63" x14ac:dyDescent="0.25">
      <c r="A540" s="2">
        <v>60</v>
      </c>
      <c r="B540" s="42">
        <v>4.4</v>
      </c>
      <c r="C540" s="2" t="s">
        <v>227</v>
      </c>
      <c r="D540" s="14" t="s">
        <v>44</v>
      </c>
      <c r="E540" s="2" t="s">
        <v>45</v>
      </c>
      <c r="F540" s="41">
        <v>2.5</v>
      </c>
      <c r="G540" s="35">
        <v>2.6</v>
      </c>
      <c r="H540" s="180">
        <f>'2020'!BH540+2906.8</f>
        <v>-368.38</v>
      </c>
      <c r="I540" s="13">
        <v>3290</v>
      </c>
      <c r="J540" s="15">
        <f>I540-'2020'!BA540</f>
        <v>1778</v>
      </c>
      <c r="K540" s="34">
        <f>J540*$F$8</f>
        <v>4622.8</v>
      </c>
      <c r="L540" s="32">
        <f>2500+2000</f>
        <v>4500</v>
      </c>
      <c r="M540" s="13">
        <v>4548</v>
      </c>
      <c r="N540" s="15">
        <f t="shared" ref="N540:N541" si="1955">M540-I540</f>
        <v>1258</v>
      </c>
      <c r="O540" s="34">
        <f>N540*$F$8</f>
        <v>3270.8</v>
      </c>
      <c r="P540" s="1">
        <v>3000</v>
      </c>
      <c r="Q540" s="13">
        <v>5402</v>
      </c>
      <c r="R540" s="15">
        <f t="shared" ref="R540:R541" si="1956">Q540-M540</f>
        <v>854</v>
      </c>
      <c r="S540" s="34">
        <f>R540*$F$8</f>
        <v>2220.4</v>
      </c>
      <c r="T540" s="32">
        <v>3000</v>
      </c>
      <c r="U540" s="13">
        <v>6089</v>
      </c>
      <c r="V540" s="15">
        <f t="shared" ref="V540:V541" si="1957">U540-Q540</f>
        <v>687</v>
      </c>
      <c r="W540" s="34">
        <f>V540*$F$8</f>
        <v>1786.2</v>
      </c>
      <c r="Y540" s="186">
        <v>6191</v>
      </c>
      <c r="Z540" s="2">
        <f t="shared" ref="Z540:Z541" si="1958">Y540-U540</f>
        <v>102</v>
      </c>
      <c r="AA540" s="34">
        <f>Z540*$F$8</f>
        <v>265.2</v>
      </c>
      <c r="AB540" s="32">
        <f>1050+600</f>
        <v>1650</v>
      </c>
      <c r="AC540" s="15">
        <v>6337</v>
      </c>
      <c r="AD540" s="15">
        <f t="shared" ref="AD540:AD541" si="1959">AC540-Y540</f>
        <v>146</v>
      </c>
      <c r="AE540" s="180">
        <f>AD540*$F$8</f>
        <v>379.6</v>
      </c>
      <c r="AF540" s="2">
        <v>3.22</v>
      </c>
      <c r="AG540" s="15">
        <v>6438</v>
      </c>
      <c r="AH540" s="2">
        <f t="shared" ref="AH540:AH541" si="1960">AG540-AC540</f>
        <v>101</v>
      </c>
      <c r="AI540" s="45">
        <f>AH540*$G$8</f>
        <v>272.7</v>
      </c>
      <c r="AJ540" s="326">
        <f>20+280</f>
        <v>300</v>
      </c>
      <c r="AK540" s="13">
        <v>6576</v>
      </c>
      <c r="AL540" s="15">
        <f t="shared" ref="AL540:AL541" si="1961">AK540-AG540</f>
        <v>138</v>
      </c>
      <c r="AM540" s="45">
        <f>AL540*$G$8</f>
        <v>372.6</v>
      </c>
      <c r="AN540" s="1">
        <v>400</v>
      </c>
      <c r="AO540" s="13">
        <v>6809</v>
      </c>
      <c r="AP540" s="15">
        <f t="shared" ref="AP540:AP541" si="1962">AO540-AK540</f>
        <v>233</v>
      </c>
      <c r="AQ540" s="45">
        <f>AP540*$G$8</f>
        <v>629.1</v>
      </c>
      <c r="AR540" s="1">
        <v>600</v>
      </c>
      <c r="AS540" s="13">
        <v>7280</v>
      </c>
      <c r="AT540" s="15">
        <f t="shared" ref="AT540:AT541" si="1963">AS540-AO540</f>
        <v>471</v>
      </c>
      <c r="AU540" s="45">
        <f>AT540*$G$8</f>
        <v>1271.7</v>
      </c>
      <c r="AV540" s="1">
        <v>1269.5</v>
      </c>
      <c r="AW540" s="13">
        <v>8185</v>
      </c>
      <c r="AX540" s="15">
        <f t="shared" ref="AX540:AX541" si="1964">AW540-AS540</f>
        <v>905</v>
      </c>
      <c r="AY540" s="45">
        <f>AX540*$G$8</f>
        <v>2443.5</v>
      </c>
      <c r="AZ540" s="242">
        <v>2300</v>
      </c>
      <c r="BA540" s="13">
        <v>8970</v>
      </c>
      <c r="BB540" s="15">
        <f t="shared" ref="BB540:BB541" si="1965">BA540-AW540</f>
        <v>785</v>
      </c>
      <c r="BC540" s="45">
        <f>BB540*$G$8</f>
        <v>2119.5</v>
      </c>
      <c r="BD540" s="246">
        <v>2500</v>
      </c>
      <c r="BE540" s="40">
        <f t="shared" ref="BE540:BG540" si="1966">J540+N540+R540+V540+Z540+AD540+AH540+AL540+AP540+AT540+AX540+BB540</f>
        <v>7458</v>
      </c>
      <c r="BF540" s="41">
        <f t="shared" si="1966"/>
        <v>19654.1</v>
      </c>
      <c r="BG540" s="34">
        <f t="shared" si="1966"/>
        <v>19522.72</v>
      </c>
      <c r="BH540" s="35">
        <f t="shared" si="1954"/>
        <v>-237</v>
      </c>
      <c r="BI540" s="34"/>
      <c r="BJ540" s="34"/>
      <c r="BK540" s="2" t="b">
        <f>H540='2020'!BH540</f>
        <v>0</v>
      </c>
    </row>
    <row r="541" ht="14.25" customHeight="1" hidden="1" spans="1:63" x14ac:dyDescent="0.25">
      <c r="A541" s="2">
        <v>60</v>
      </c>
      <c r="B541" s="14"/>
      <c r="C541" s="2" t="s">
        <v>228</v>
      </c>
      <c r="D541" s="14" t="s">
        <v>47</v>
      </c>
      <c r="E541" s="2" t="s">
        <v>48</v>
      </c>
      <c r="F541" s="13">
        <v>18.56</v>
      </c>
      <c r="G541" s="35">
        <v>19.46</v>
      </c>
      <c r="H541" s="180">
        <f>'2020'!BH541</f>
        <v>0</v>
      </c>
      <c r="I541" s="13">
        <v>133</v>
      </c>
      <c r="J541" s="15"/>
      <c r="K541" s="15"/>
      <c r="L541" s="28"/>
      <c r="M541" s="13">
        <v>133</v>
      </c>
      <c r="N541" s="15">
        <f t="shared" si="1955"/>
        <v>0</v>
      </c>
      <c r="Q541" s="13">
        <v>133</v>
      </c>
      <c r="R541" s="15">
        <f t="shared" si="1956"/>
        <v>0</v>
      </c>
      <c r="S541" s="15"/>
      <c r="T541" s="28"/>
      <c r="U541" s="13">
        <v>133</v>
      </c>
      <c r="V541" s="15">
        <f t="shared" si="1957"/>
        <v>0</v>
      </c>
      <c r="W541" s="180">
        <f>V541*$F$10</f>
        <v>0</v>
      </c>
      <c r="Y541" s="186">
        <v>135</v>
      </c>
      <c r="Z541" s="2">
        <f t="shared" si="1958"/>
        <v>2</v>
      </c>
      <c r="AA541" s="34">
        <f>Z541*$F$10</f>
        <v>38.92</v>
      </c>
      <c r="AB541" s="32">
        <v>100</v>
      </c>
      <c r="AC541" s="15">
        <v>142</v>
      </c>
      <c r="AD541" s="15">
        <f t="shared" si="1959"/>
        <v>7</v>
      </c>
      <c r="AE541" s="34">
        <f>AD541*$F$10</f>
        <v>136.22</v>
      </c>
      <c r="AF541" s="180">
        <f>46.78+140</f>
        <v>186.78</v>
      </c>
      <c r="AG541" s="15">
        <v>148</v>
      </c>
      <c r="AH541" s="2">
        <f t="shared" si="1960"/>
        <v>6</v>
      </c>
      <c r="AI541" s="45">
        <f>AH541*$G$10</f>
        <v>122.1</v>
      </c>
      <c r="AJ541" s="327">
        <v>130</v>
      </c>
      <c r="AK541" s="13">
        <v>148</v>
      </c>
      <c r="AL541" s="15">
        <f t="shared" si="1961"/>
        <v>0</v>
      </c>
      <c r="AM541" s="45">
        <f>AL541*$G$10</f>
        <v>0</v>
      </c>
      <c r="AN541" s="15"/>
      <c r="AO541" s="13">
        <v>162</v>
      </c>
      <c r="AP541" s="15">
        <f t="shared" si="1962"/>
        <v>14</v>
      </c>
      <c r="AQ541" s="45">
        <f>AP541*$G$10</f>
        <v>284.9</v>
      </c>
      <c r="AR541" s="15"/>
      <c r="AS541" s="13">
        <v>162</v>
      </c>
      <c r="AT541" s="15">
        <f t="shared" si="1963"/>
        <v>0</v>
      </c>
      <c r="AU541" s="45">
        <f>AT541*$G$10</f>
        <v>0</v>
      </c>
      <c r="AV541" s="1">
        <f>1500-AV540</f>
        <v>230.5</v>
      </c>
      <c r="AW541" s="13">
        <v>162</v>
      </c>
      <c r="AX541" s="15">
        <f t="shared" si="1964"/>
        <v>0</v>
      </c>
      <c r="AY541" s="45"/>
      <c r="AZ541" s="208"/>
      <c r="BA541" s="13">
        <v>162</v>
      </c>
      <c r="BB541" s="15">
        <f t="shared" si="1965"/>
        <v>0</v>
      </c>
      <c r="BC541" s="45"/>
      <c r="BD541" s="208"/>
      <c r="BE541" s="40">
        <f t="shared" ref="BE541:BG541" si="1967">J541+N541+R541+V541+Z541+AD541+AH541+AL541+AP541+AT541+AX541+BB541</f>
        <v>29</v>
      </c>
      <c r="BF541" s="41">
        <f t="shared" si="1967"/>
        <v>582.14</v>
      </c>
      <c r="BG541" s="34">
        <f t="shared" si="1967"/>
        <v>647.28</v>
      </c>
      <c r="BH541" s="35">
        <f t="shared" si="1954"/>
        <v>-65.14</v>
      </c>
      <c r="BK541" s="2" t="b">
        <f>H541='2020'!BH541</f>
        <v>1</v>
      </c>
    </row>
    <row r="542" ht="14.25" customHeight="1" hidden="1" spans="1:63" x14ac:dyDescent="0.25">
      <c r="A542" s="2">
        <v>60</v>
      </c>
      <c r="B542" s="14"/>
      <c r="C542" s="15" t="s">
        <v>229</v>
      </c>
      <c r="D542" s="14" t="s">
        <v>47</v>
      </c>
      <c r="E542" s="2" t="s">
        <v>49</v>
      </c>
      <c r="F542" s="41">
        <v>500</v>
      </c>
      <c r="G542" s="28"/>
      <c r="H542" s="180">
        <f>'2020'!BH542</f>
        <v>0</v>
      </c>
      <c r="I542" s="13"/>
      <c r="J542" s="15"/>
      <c r="K542" s="15"/>
      <c r="L542" s="28"/>
      <c r="M542" s="13"/>
      <c r="N542" s="15"/>
      <c r="Q542" s="13"/>
      <c r="R542" s="15"/>
      <c r="S542" s="15"/>
      <c r="T542" s="28"/>
      <c r="U542" s="13"/>
      <c r="V542" s="15"/>
      <c r="Y542" s="186"/>
      <c r="Z542" s="2"/>
      <c r="AA542" s="34"/>
      <c r="AB542" s="28"/>
      <c r="AC542" s="15"/>
      <c r="AD542" s="15"/>
      <c r="AG542" s="15"/>
      <c r="AH542" s="2"/>
      <c r="AI542" s="45"/>
      <c r="AJ542" s="154"/>
      <c r="AK542" s="13"/>
      <c r="AL542" s="15"/>
      <c r="AM542" s="45"/>
      <c r="AN542" s="15"/>
      <c r="AO542" s="13"/>
      <c r="AP542" s="15"/>
      <c r="AQ542" s="45"/>
      <c r="AR542" s="15"/>
      <c r="AS542" s="13"/>
      <c r="AT542" s="15"/>
      <c r="AU542" s="45"/>
      <c r="AV542" s="15"/>
      <c r="AW542" s="13"/>
      <c r="AX542" s="15"/>
      <c r="AY542" s="45"/>
      <c r="AZ542" s="28"/>
      <c r="BA542" s="13"/>
      <c r="BB542" s="15"/>
      <c r="BC542" s="45"/>
      <c r="BD542" s="28"/>
      <c r="BE542" s="14"/>
      <c r="BF542" s="41">
        <f t="shared" ref="BF542:BG542" si="1968">K542+O542+S542+W542+AA542+AE542+AI542+AM542+AQ542+AU542+AY542+BC542</f>
        <v>0</v>
      </c>
      <c r="BG542" s="34">
        <f t="shared" si="1968"/>
        <v>0</v>
      </c>
      <c r="BH542" s="35">
        <f t="shared" si="1954"/>
        <v>0</v>
      </c>
      <c r="BK542" s="2" t="b">
        <f>H542='2020'!BH542</f>
        <v>1</v>
      </c>
    </row>
    <row r="543" ht="14.25" customHeight="1" hidden="1" spans="1:63" x14ac:dyDescent="0.25">
      <c r="A543" s="2">
        <v>60</v>
      </c>
      <c r="B543" s="14"/>
      <c r="C543" s="2" t="s">
        <v>230</v>
      </c>
      <c r="D543" s="14" t="s">
        <v>50</v>
      </c>
      <c r="E543" s="2" t="s">
        <v>49</v>
      </c>
      <c r="F543" s="41">
        <v>1100</v>
      </c>
      <c r="G543" s="28"/>
      <c r="H543" s="180">
        <f>'2020'!BH543</f>
        <v>0</v>
      </c>
      <c r="I543" s="13"/>
      <c r="J543" s="15"/>
      <c r="K543" s="15"/>
      <c r="L543" s="28"/>
      <c r="M543" s="13"/>
      <c r="N543" s="15"/>
      <c r="Q543" s="13"/>
      <c r="R543" s="15"/>
      <c r="S543" s="15"/>
      <c r="T543" s="28"/>
      <c r="U543" s="13"/>
      <c r="V543" s="15"/>
      <c r="Y543" s="186"/>
      <c r="Z543" s="2"/>
      <c r="AA543" s="15"/>
      <c r="AB543" s="28"/>
      <c r="AC543" s="15"/>
      <c r="AD543" s="15"/>
      <c r="AE543" s="34">
        <f>B540*$F$12</f>
        <v>4840</v>
      </c>
      <c r="AF543" s="180"/>
      <c r="AG543" s="15"/>
      <c r="AH543" s="2"/>
      <c r="AI543" s="45"/>
      <c r="AJ543" s="306">
        <v>4840</v>
      </c>
      <c r="AK543" s="13"/>
      <c r="AL543" s="15"/>
      <c r="AM543" s="45"/>
      <c r="AN543" s="15"/>
      <c r="AO543" s="13"/>
      <c r="AP543" s="15"/>
      <c r="AQ543" s="45"/>
      <c r="AR543" s="15"/>
      <c r="AS543" s="13"/>
      <c r="AT543" s="15"/>
      <c r="AU543" s="45"/>
      <c r="AV543" s="15"/>
      <c r="AW543" s="13"/>
      <c r="AX543" s="15"/>
      <c r="AY543" s="45"/>
      <c r="AZ543" s="28"/>
      <c r="BA543" s="13"/>
      <c r="BB543" s="15"/>
      <c r="BC543" s="45"/>
      <c r="BD543" s="28"/>
      <c r="BE543" s="14"/>
      <c r="BF543" s="41">
        <f t="shared" ref="BF543:BG543" si="1969">K543+O543+S543+W543+AA543+AE543+AI543+AM543+AQ543+AU543+AY543+BC543</f>
        <v>4840</v>
      </c>
      <c r="BG543" s="34">
        <f t="shared" si="1969"/>
        <v>4840</v>
      </c>
      <c r="BH543" s="35">
        <f t="shared" si="1954"/>
        <v>0</v>
      </c>
      <c r="BK543" s="2" t="b">
        <f>H543='2020'!BH543</f>
        <v>1</v>
      </c>
    </row>
    <row r="544" ht="14.25" customHeight="1" hidden="1" spans="1:63" x14ac:dyDescent="0.25">
      <c r="A544" s="2">
        <v>60</v>
      </c>
      <c r="B544" s="14"/>
      <c r="D544" s="14" t="s">
        <v>51</v>
      </c>
      <c r="E544" s="2" t="s">
        <v>39</v>
      </c>
      <c r="F544" s="41">
        <v>500</v>
      </c>
      <c r="G544" s="28"/>
      <c r="H544" s="180">
        <f>'2020'!BH544</f>
        <v>500</v>
      </c>
      <c r="I544" s="13"/>
      <c r="J544" s="15"/>
      <c r="K544" s="15"/>
      <c r="L544" s="28"/>
      <c r="M544" s="13"/>
      <c r="N544" s="15"/>
      <c r="Q544" s="13"/>
      <c r="R544" s="15"/>
      <c r="S544" s="15"/>
      <c r="T544" s="28"/>
      <c r="U544" s="13"/>
      <c r="V544" s="15"/>
      <c r="Y544" s="186"/>
      <c r="Z544" s="2"/>
      <c r="AA544" s="15"/>
      <c r="AB544" s="28"/>
      <c r="AC544" s="15"/>
      <c r="AD544" s="15"/>
      <c r="AE544" s="180">
        <f>$F$13</f>
      </c>
      <c r="AF544" s="34"/>
      <c r="AG544" s="15"/>
      <c r="AH544" s="2"/>
      <c r="AI544" s="45"/>
      <c r="AJ544" s="306">
        <v>500</v>
      </c>
      <c r="AK544" s="13"/>
      <c r="AL544" s="15"/>
      <c r="AM544" s="45"/>
      <c r="AN544" s="15"/>
      <c r="AO544" s="13"/>
      <c r="AP544" s="15"/>
      <c r="AQ544" s="180"/>
      <c r="AR544" s="15"/>
      <c r="AS544" s="13"/>
      <c r="AT544" s="15"/>
      <c r="AU544" s="45"/>
      <c r="AV544" s="15"/>
      <c r="AW544" s="13"/>
      <c r="AX544" s="15"/>
      <c r="AY544" s="45"/>
      <c r="AZ544" s="28"/>
      <c r="BA544" s="13"/>
      <c r="BB544" s="15"/>
      <c r="BC544" s="45"/>
      <c r="BD544" s="28"/>
      <c r="BE544" s="14"/>
      <c r="BF544" s="41">
        <f t="shared" ref="BF544:BG544" si="1970">K544+O544+S544+W544+AA544+AE544+AI544+AM544+AQ544+AU544+AY544+BC544</f>
        <v>0</v>
      </c>
      <c r="BG544" s="34">
        <f t="shared" si="1970"/>
        <v>500</v>
      </c>
      <c r="BH544" s="35">
        <f t="shared" si="1954"/>
        <v>0</v>
      </c>
      <c r="BK544" s="2" t="b">
        <f>H544='2020'!BH544</f>
        <v>1</v>
      </c>
    </row>
    <row r="545" ht="14.25" customHeight="1" hidden="1" spans="1:63" x14ac:dyDescent="0.25">
      <c r="A545" s="2">
        <v>60</v>
      </c>
      <c r="B545" s="14"/>
      <c r="D545" s="14" t="s">
        <v>51</v>
      </c>
      <c r="E545" s="2" t="s">
        <v>49</v>
      </c>
      <c r="F545" s="41">
        <v>500</v>
      </c>
      <c r="G545" s="28"/>
      <c r="H545" s="180">
        <f>'2020'!BH545</f>
        <v>2200</v>
      </c>
      <c r="I545" s="13"/>
      <c r="J545" s="15"/>
      <c r="K545" s="15"/>
      <c r="L545" s="28"/>
      <c r="M545" s="13"/>
      <c r="N545" s="15"/>
      <c r="Q545" s="13"/>
      <c r="R545" s="15"/>
      <c r="S545" s="15"/>
      <c r="T545" s="28"/>
      <c r="U545" s="13"/>
      <c r="V545" s="15"/>
      <c r="X545" s="1">
        <v>2200</v>
      </c>
      <c r="Y545" s="186"/>
      <c r="Z545" s="2"/>
      <c r="AA545" s="15"/>
      <c r="AB545" s="28"/>
      <c r="AC545" s="15"/>
      <c r="AD545" s="15"/>
      <c r="AE545" s="34"/>
      <c r="AF545" s="34"/>
      <c r="AG545" s="15"/>
      <c r="AH545" s="2"/>
      <c r="AI545" s="45"/>
      <c r="AJ545" s="154"/>
      <c r="AK545" s="13"/>
      <c r="AL545" s="15"/>
      <c r="AM545" s="45"/>
      <c r="AN545" s="15"/>
      <c r="AO545" s="13"/>
      <c r="AP545" s="15"/>
      <c r="AQ545" s="180">
        <f>B540*$F$14</f>
        <v>0</v>
      </c>
      <c r="AR545" s="15"/>
      <c r="AS545" s="13"/>
      <c r="AT545" s="15"/>
      <c r="AU545" s="45"/>
      <c r="AV545" s="15"/>
      <c r="AW545" s="13"/>
      <c r="AX545" s="15"/>
      <c r="AY545" s="45"/>
      <c r="AZ545" s="28"/>
      <c r="BA545" s="13"/>
      <c r="BB545" s="15"/>
      <c r="BC545" s="45"/>
      <c r="BD545" s="28"/>
      <c r="BE545" s="14"/>
      <c r="BF545" s="41">
        <f t="shared" ref="BF545:BG545" si="1971">K545+O545+S545+W545+AA545+AE545+AI545+AM545+AQ545+AU545+AY545+BC545</f>
        <v>0</v>
      </c>
      <c r="BG545" s="34">
        <f t="shared" si="1971"/>
        <v>2200</v>
      </c>
      <c r="BH545" s="35">
        <f t="shared" si="1954"/>
        <v>0</v>
      </c>
      <c r="BK545" s="2" t="b">
        <f>H545='2020'!BH545</f>
        <v>1</v>
      </c>
    </row>
    <row r="546" ht="14.25" customHeight="1" hidden="1" spans="1:63" x14ac:dyDescent="0.25">
      <c r="A546" s="2">
        <v>60</v>
      </c>
      <c r="B546" s="14"/>
      <c r="D546" s="14" t="s">
        <v>52</v>
      </c>
      <c r="E546" s="2" t="s">
        <v>39</v>
      </c>
      <c r="F546" s="41">
        <v>500</v>
      </c>
      <c r="G546" s="28"/>
      <c r="H546" s="180">
        <f>'2020'!BH546</f>
        <v>0</v>
      </c>
      <c r="I546" s="13"/>
      <c r="J546" s="15"/>
      <c r="K546" s="15"/>
      <c r="L546" s="28"/>
      <c r="M546" s="13"/>
      <c r="N546" s="15"/>
      <c r="Q546" s="13"/>
      <c r="R546" s="15"/>
      <c r="S546" s="15"/>
      <c r="T546" s="28"/>
      <c r="U546" s="13"/>
      <c r="V546" s="15"/>
      <c r="Y546" s="186"/>
      <c r="Z546" s="2"/>
      <c r="AA546" s="34">
        <f>$F$15</f>
      </c>
      <c r="AB546" s="35"/>
      <c r="AC546" s="15"/>
      <c r="AD546" s="15"/>
      <c r="AF546" s="180"/>
      <c r="AG546" s="15"/>
      <c r="AH546" s="2"/>
      <c r="AI546" s="45"/>
      <c r="AJ546" s="15"/>
      <c r="AK546" s="13"/>
      <c r="AL546" s="15"/>
      <c r="AM546" s="45"/>
      <c r="AN546" s="15"/>
      <c r="AO546" s="13"/>
      <c r="AP546" s="15"/>
      <c r="AQ546" s="45"/>
      <c r="AR546" s="15"/>
      <c r="AS546" s="13"/>
      <c r="AT546" s="15"/>
      <c r="AU546" s="45"/>
      <c r="AV546" s="15"/>
      <c r="AW546" s="13"/>
      <c r="AX546" s="15"/>
      <c r="AY546" s="45"/>
      <c r="AZ546" s="35"/>
      <c r="BA546" s="13"/>
      <c r="BB546" s="15"/>
      <c r="BC546" s="45"/>
      <c r="BD546" s="35"/>
      <c r="BE546" s="14"/>
      <c r="BF546" s="41">
        <f t="shared" ref="BF546:BG546" si="1972">K546+O546+S546+W546+AA546+AE546+AI546+AM546+AQ546+AU546+AY546+BC546</f>
        <v>0</v>
      </c>
      <c r="BG546" s="34">
        <f t="shared" si="1972"/>
        <v>0</v>
      </c>
      <c r="BH546" s="35">
        <f t="shared" si="1954"/>
        <v>0</v>
      </c>
      <c r="BK546" s="2" t="b">
        <f>H546='2020'!BH546</f>
        <v>1</v>
      </c>
    </row>
    <row r="547" ht="14.25" customHeight="1" hidden="1" spans="1:63" x14ac:dyDescent="0.25">
      <c r="A547" s="247">
        <v>60</v>
      </c>
      <c r="B547" s="21"/>
      <c r="C547" s="22" t="s">
        <v>53</v>
      </c>
      <c r="D547" s="21"/>
      <c r="E547" s="22"/>
      <c r="F547" s="20"/>
      <c r="G547" s="23"/>
      <c r="H547" s="51">
        <f>SUM(H539:H546)</f>
        <v>2331.62</v>
      </c>
      <c r="I547" s="52"/>
      <c r="J547" s="53"/>
      <c r="K547" s="51">
        <f t="shared" ref="K547:L547" si="1973">SUM(K539:K546)</f>
        <v>4622.8</v>
      </c>
      <c r="L547" s="68">
        <f t="shared" si="1973"/>
        <v>4500</v>
      </c>
      <c r="M547" s="52"/>
      <c r="N547" s="53"/>
      <c r="O547" s="51">
        <f t="shared" ref="O547:P547" si="1974">SUM(O539:O546)</f>
        <v>3270.8</v>
      </c>
      <c r="P547" s="51">
        <f t="shared" si="1974"/>
        <v>3000</v>
      </c>
      <c r="Q547" s="52"/>
      <c r="R547" s="53"/>
      <c r="S547" s="51">
        <f t="shared" ref="S547:T547" si="1975">SUM(S539:S546)</f>
        <v>2220.4</v>
      </c>
      <c r="T547" s="51">
        <f t="shared" si="1975"/>
        <v>3000</v>
      </c>
      <c r="U547" s="52"/>
      <c r="V547" s="53"/>
      <c r="W547" s="51">
        <f t="shared" ref="W547:X547" si="1976">SUM(W539:W546)</f>
        <v>1786.2</v>
      </c>
      <c r="X547" s="51">
        <f t="shared" si="1976"/>
        <v>2200</v>
      </c>
      <c r="Y547" s="300"/>
      <c r="Z547" s="301"/>
      <c r="AA547" s="51">
        <f t="shared" ref="AA547:AB547" si="1977">SUM(AA539:AA546)</f>
        <v>304.12</v>
      </c>
      <c r="AB547" s="51">
        <f t="shared" si="1977"/>
        <v>1750</v>
      </c>
      <c r="AC547" s="52"/>
      <c r="AD547" s="53"/>
      <c r="AE547" s="51">
        <f t="shared" ref="AE547:AF547" si="1978">SUM(AE539:AE546)</f>
        <v>5355.82</v>
      </c>
      <c r="AF547" s="51">
        <f t="shared" si="1978"/>
        <v>190</v>
      </c>
      <c r="AG547" s="52"/>
      <c r="AH547" s="301"/>
      <c r="AI547" s="183">
        <f t="shared" ref="AI547:AJ547" si="1979">SUM(AI539:AI546)</f>
        <v>394.8</v>
      </c>
      <c r="AJ547" s="51">
        <f t="shared" si="1979"/>
        <v>5770</v>
      </c>
      <c r="AK547" s="52"/>
      <c r="AL547" s="53"/>
      <c r="AM547" s="183">
        <f t="shared" ref="AM547:AN547" si="1980">SUM(AM539:AM546)</f>
        <v>372.6</v>
      </c>
      <c r="AN547" s="51">
        <f t="shared" si="1980"/>
        <v>400</v>
      </c>
      <c r="AO547" s="52"/>
      <c r="AP547" s="53"/>
      <c r="AQ547" s="183">
        <f t="shared" ref="AQ547:AR547" si="1981">SUM(AQ539:AQ546)</f>
        <v>914</v>
      </c>
      <c r="AR547" s="51">
        <f t="shared" si="1981"/>
        <v>600</v>
      </c>
      <c r="AS547" s="52"/>
      <c r="AT547" s="53"/>
      <c r="AU547" s="183">
        <f t="shared" ref="AU547:AV547" si="1982">SUM(AU539:AU546)</f>
        <v>1271.7</v>
      </c>
      <c r="AV547" s="68">
        <f t="shared" si="1982"/>
        <v>1500</v>
      </c>
      <c r="AW547" s="52"/>
      <c r="AX547" s="53"/>
      <c r="AY547" s="183">
        <f t="shared" ref="AY547:AZ547" si="1983">SUM(AY539:AY546)</f>
        <v>2443.5</v>
      </c>
      <c r="AZ547" s="68">
        <f t="shared" si="1983"/>
        <v>2300</v>
      </c>
      <c r="BA547" s="52"/>
      <c r="BB547" s="53"/>
      <c r="BC547" s="183">
        <f t="shared" ref="BC547:BD547" si="1984">SUM(BC539:BC546)</f>
        <v>2119.5</v>
      </c>
      <c r="BD547" s="68">
        <f t="shared" si="1984"/>
        <v>2500</v>
      </c>
      <c r="BE547" s="69"/>
      <c r="BF547" s="70">
        <f t="shared" ref="BF547:BH547" si="1985">SUM(BF539:BF546)</f>
        <v>25076.24</v>
      </c>
      <c r="BG547" s="71">
        <f t="shared" si="1985"/>
        <v>27710</v>
      </c>
      <c r="BH547" s="72">
        <f t="shared" si="1985"/>
        <v>-302.14</v>
      </c>
      <c r="BI547" s="34">
        <f>H547+BF547-BG547</f>
        <v>-302.14</v>
      </c>
      <c r="BJ547" s="34">
        <f>BH547-BI547</f>
        <v>0</v>
      </c>
      <c r="BK547" s="2" t="b">
        <f>H547='2020'!BH547</f>
        <v>0</v>
      </c>
    </row>
    <row r="548" ht="14.25" customHeight="1" hidden="1" spans="1:63" x14ac:dyDescent="0.25">
      <c r="A548" s="2">
        <v>61</v>
      </c>
      <c r="B548" s="14"/>
      <c r="D548" s="14" t="s">
        <v>379</v>
      </c>
      <c r="F548" s="13"/>
      <c r="G548" s="28"/>
      <c r="H548" s="34">
        <f>'2020'!BH548</f>
        <v>0</v>
      </c>
      <c r="I548" s="13"/>
      <c r="J548" s="15"/>
      <c r="K548" s="15"/>
      <c r="L548" s="28"/>
      <c r="M548" s="13"/>
      <c r="N548" s="15"/>
      <c r="Q548" s="13"/>
      <c r="R548" s="15"/>
      <c r="S548" s="15"/>
      <c r="T548" s="28"/>
      <c r="U548" s="13"/>
      <c r="V548" s="15"/>
      <c r="Y548" s="186"/>
      <c r="Z548" s="2"/>
      <c r="AA548" s="15"/>
      <c r="AB548" s="28"/>
      <c r="AC548" s="15"/>
      <c r="AD548" s="15"/>
      <c r="AG548" s="15"/>
      <c r="AH548" s="2"/>
      <c r="AI548" s="45"/>
      <c r="AJ548" s="15"/>
      <c r="AK548" s="13"/>
      <c r="AM548" s="45"/>
      <c r="AO548" s="13"/>
      <c r="AQ548" s="45"/>
      <c r="AS548" s="13"/>
      <c r="AU548" s="45"/>
      <c r="AW548" s="13"/>
      <c r="AY548" s="45"/>
      <c r="AZ548" s="28"/>
      <c r="BA548" s="13"/>
      <c r="BB548" s="15"/>
      <c r="BC548" s="45"/>
      <c r="BD548" s="28"/>
      <c r="BE548" s="14"/>
      <c r="BF548" s="41">
        <f t="shared" ref="BF548:BG548" si="1986">K548+O548+S548+W548+AA548+AE548+AI548+AM548+AQ548+AU548+AY548+BC548</f>
        <v>0</v>
      </c>
      <c r="BG548" s="34">
        <f t="shared" si="1986"/>
        <v>0</v>
      </c>
      <c r="BH548" s="35">
        <f t="shared" ref="BH548:BH555" si="1987">H548+BF548-BG548</f>
        <v>0</v>
      </c>
      <c r="BK548" s="2" t="b">
        <f>H548='2020'!BH548</f>
        <v>1</v>
      </c>
    </row>
    <row r="549" ht="14.25" customHeight="1" hidden="1" spans="1:63" x14ac:dyDescent="0.25">
      <c r="A549" s="2">
        <v>61</v>
      </c>
      <c r="B549" s="14">
        <v>4.71</v>
      </c>
      <c r="C549" s="2" t="s">
        <v>231</v>
      </c>
      <c r="D549" s="14" t="s">
        <v>44</v>
      </c>
      <c r="E549" s="2" t="s">
        <v>45</v>
      </c>
      <c r="F549" s="41">
        <v>2.5</v>
      </c>
      <c r="G549" s="35">
        <v>2.6</v>
      </c>
      <c r="H549" s="34">
        <f>'2020'!BH549</f>
        <v>242.95</v>
      </c>
      <c r="I549" s="13">
        <v>403</v>
      </c>
      <c r="J549" s="15">
        <f>I549-'2020'!BA549</f>
        <v>0</v>
      </c>
      <c r="K549" s="34">
        <f>J549*$F$8</f>
        <v>0</v>
      </c>
      <c r="L549" s="28"/>
      <c r="M549" s="13">
        <v>403</v>
      </c>
      <c r="N549" s="15">
        <f t="shared" ref="N549:N550" si="1988">M549-I549</f>
        <v>0</v>
      </c>
      <c r="O549" s="34">
        <f>N549*$F$8</f>
        <v>0</v>
      </c>
      <c r="Q549" s="13">
        <v>403</v>
      </c>
      <c r="R549" s="15">
        <f t="shared" ref="R549:R550" si="1989">Q549-M549</f>
        <v>0</v>
      </c>
      <c r="S549" s="34">
        <f>R549*$F$8</f>
        <v>0</v>
      </c>
      <c r="T549" s="28"/>
      <c r="U549" s="13">
        <v>403</v>
      </c>
      <c r="V549" s="15">
        <f t="shared" ref="V549:V550" si="1990">U549-Q549</f>
        <v>0</v>
      </c>
      <c r="W549" s="34">
        <f>V549*$F$8</f>
        <v>0</v>
      </c>
      <c r="X549" s="15"/>
      <c r="Y549" s="186">
        <v>436</v>
      </c>
      <c r="Z549" s="2">
        <f t="shared" ref="Z549:Z550" si="1991">Y549-U549</f>
        <v>33</v>
      </c>
      <c r="AA549" s="34">
        <f>Z549*$F$8</f>
        <v>85.8</v>
      </c>
      <c r="AB549" s="28"/>
      <c r="AC549" s="15">
        <v>486</v>
      </c>
      <c r="AD549" s="15">
        <f t="shared" ref="AD549:AD550" si="1992">AC549-Y549</f>
        <v>50</v>
      </c>
      <c r="AE549" s="180">
        <f>AD549*$F$8</f>
        <v>130</v>
      </c>
      <c r="AF549" s="154">
        <v>458.75</v>
      </c>
      <c r="AG549" s="15">
        <v>530</v>
      </c>
      <c r="AH549" s="2">
        <f t="shared" ref="AH549:AH550" si="1993">AG549-AC549</f>
        <v>44</v>
      </c>
      <c r="AI549" s="45">
        <f>AH549*$G$8</f>
        <v>118.8</v>
      </c>
      <c r="AJ549" s="306">
        <v>118.8</v>
      </c>
      <c r="AK549" s="13">
        <v>590</v>
      </c>
      <c r="AL549" s="15">
        <f t="shared" ref="AL549:AL550" si="1994">AK549-AG549</f>
        <v>60</v>
      </c>
      <c r="AM549" s="45">
        <f>AL549*$G$8</f>
        <v>162</v>
      </c>
      <c r="AN549" s="305">
        <v>200</v>
      </c>
      <c r="AO549" s="13">
        <v>630</v>
      </c>
      <c r="AP549" s="15">
        <f t="shared" ref="AP549:AP550" si="1995">AO549-AK549</f>
        <v>40</v>
      </c>
      <c r="AQ549" s="45">
        <f>AP549*$G$8</f>
        <v>108</v>
      </c>
      <c r="AR549" s="15"/>
      <c r="AS549" s="13">
        <v>641</v>
      </c>
      <c r="AT549" s="15">
        <f t="shared" ref="AT549:AT550" si="1996">AS549-AO549</f>
        <v>11</v>
      </c>
      <c r="AU549" s="45">
        <f>AT549*$G$8</f>
        <v>29.7</v>
      </c>
      <c r="AV549" s="15"/>
      <c r="AW549" s="13">
        <v>641</v>
      </c>
      <c r="AX549" s="15">
        <f t="shared" ref="AX549:AX550" si="1997">AW549-AS549</f>
        <v>0</v>
      </c>
      <c r="AY549" s="45">
        <f>AX549*$G$8</f>
        <v>0</v>
      </c>
      <c r="AZ549" s="208"/>
      <c r="BA549" s="13">
        <v>641</v>
      </c>
      <c r="BB549" s="15">
        <f t="shared" ref="BB549:BB550" si="1998">BA549-AW549</f>
        <v>0</v>
      </c>
      <c r="BC549" s="45">
        <f>BB549*$G$8</f>
        <v>0</v>
      </c>
      <c r="BD549" s="208"/>
      <c r="BE549" s="40">
        <f t="shared" ref="BE549:BG549" si="1999">J549+N549+R549+V549+Z549+AD549+AH549+AL549+AP549+AT549+AX549+BB549</f>
        <v>238</v>
      </c>
      <c r="BF549" s="41">
        <f t="shared" si="1999"/>
        <v>634.3</v>
      </c>
      <c r="BG549" s="34">
        <f t="shared" si="1999"/>
        <v>777.55</v>
      </c>
      <c r="BH549" s="35">
        <f t="shared" si="1987"/>
        <v>99.7</v>
      </c>
      <c r="BK549" s="2" t="b">
        <f>H549='2020'!BH549</f>
        <v>1</v>
      </c>
    </row>
    <row r="550" ht="14.25" customHeight="1" hidden="1" spans="1:63" x14ac:dyDescent="0.25">
      <c r="A550" s="2">
        <v>61</v>
      </c>
      <c r="B550" s="14"/>
      <c r="C550" s="2" t="s">
        <v>75</v>
      </c>
      <c r="D550" s="14" t="s">
        <v>47</v>
      </c>
      <c r="E550" s="2" t="s">
        <v>48</v>
      </c>
      <c r="F550" s="13">
        <v>18.56</v>
      </c>
      <c r="G550" s="35">
        <v>19.46</v>
      </c>
      <c r="H550" s="90">
        <f>'2020'!BH550</f>
        <v>252.98</v>
      </c>
      <c r="I550" s="13">
        <f>197+85</f>
        <v>282</v>
      </c>
      <c r="J550" s="15"/>
      <c r="K550" s="15"/>
      <c r="L550" s="28"/>
      <c r="M550" s="13">
        <f>197+85</f>
        <v>282</v>
      </c>
      <c r="N550" s="15">
        <f t="shared" si="1988"/>
        <v>0</v>
      </c>
      <c r="Q550" s="13">
        <v>282</v>
      </c>
      <c r="R550" s="15">
        <f t="shared" si="1989"/>
        <v>0</v>
      </c>
      <c r="S550" s="15"/>
      <c r="T550" s="28"/>
      <c r="U550" s="13">
        <v>282</v>
      </c>
      <c r="V550" s="15">
        <f t="shared" si="1990"/>
        <v>0</v>
      </c>
      <c r="W550" s="34">
        <f>V550*$F$10</f>
        <v>0</v>
      </c>
      <c r="Y550" s="186">
        <f>85+198</f>
        <v>283</v>
      </c>
      <c r="Z550" s="2">
        <f t="shared" si="1991"/>
        <v>1</v>
      </c>
      <c r="AA550" s="34">
        <f>Z550*$F$10</f>
        <v>19.46</v>
      </c>
      <c r="AB550" s="28"/>
      <c r="AC550" s="13">
        <f>86+205</f>
        <v>291</v>
      </c>
      <c r="AD550" s="15">
        <f t="shared" si="1992"/>
        <v>8</v>
      </c>
      <c r="AE550" s="34">
        <f>AD550*$F$10</f>
        <v>155.68</v>
      </c>
      <c r="AF550" s="154">
        <v>428.12</v>
      </c>
      <c r="AG550" s="13">
        <f>87+209</f>
        <v>296</v>
      </c>
      <c r="AH550" s="2">
        <f t="shared" si="1993"/>
        <v>5</v>
      </c>
      <c r="AI550" s="45">
        <f>AH550*$G$10</f>
        <v>101.75</v>
      </c>
      <c r="AJ550" s="306">
        <v>101.75</v>
      </c>
      <c r="AK550" s="13">
        <f>89+214</f>
        <v>303</v>
      </c>
      <c r="AL550" s="15">
        <f t="shared" si="1994"/>
        <v>7</v>
      </c>
      <c r="AM550" s="45">
        <f>AL550*$G$10</f>
        <v>142.45</v>
      </c>
      <c r="AN550" s="305">
        <v>200</v>
      </c>
      <c r="AO550" s="13">
        <f>89+214</f>
        <v>303</v>
      </c>
      <c r="AP550" s="15">
        <f t="shared" si="1995"/>
        <v>0</v>
      </c>
      <c r="AQ550" s="45">
        <f>AP550*$G$10</f>
        <v>0</v>
      </c>
      <c r="AR550" s="15"/>
      <c r="AS550" s="13">
        <f>89+214</f>
        <v>303</v>
      </c>
      <c r="AT550" s="15">
        <f t="shared" si="1996"/>
        <v>0</v>
      </c>
      <c r="AU550" s="45">
        <f>AT550*$G$10</f>
        <v>0</v>
      </c>
      <c r="AV550" s="15"/>
      <c r="AW550" s="13">
        <f>89+214</f>
        <v>303</v>
      </c>
      <c r="AX550" s="15">
        <f t="shared" si="1997"/>
        <v>0</v>
      </c>
      <c r="AY550" s="45"/>
      <c r="AZ550" s="208"/>
      <c r="BA550" s="13">
        <f>89+214</f>
        <v>303</v>
      </c>
      <c r="BB550" s="15">
        <f t="shared" si="1998"/>
        <v>0</v>
      </c>
      <c r="BC550" s="45"/>
      <c r="BD550" s="208"/>
      <c r="BE550" s="40">
        <f t="shared" ref="BE550:BG550" si="2000">J550+N550+R550+V550+Z550+AD550+AH550+AL550+AP550+AT550+AX550+BB550</f>
        <v>21</v>
      </c>
      <c r="BF550" s="41">
        <f t="shared" si="2000"/>
        <v>419.34</v>
      </c>
      <c r="BG550" s="34">
        <f t="shared" si="2000"/>
        <v>729.87</v>
      </c>
      <c r="BH550" s="35">
        <f t="shared" si="1987"/>
        <v>-57.55</v>
      </c>
      <c r="BK550" s="2" t="b">
        <f>H550='2020'!BH550</f>
        <v>1</v>
      </c>
    </row>
    <row r="551" ht="14.25" customHeight="1" hidden="1" spans="1:63" x14ac:dyDescent="0.25">
      <c r="A551" s="2">
        <v>61</v>
      </c>
      <c r="B551" s="14"/>
      <c r="C551" s="2" t="s">
        <v>232</v>
      </c>
      <c r="D551" s="14" t="s">
        <v>47</v>
      </c>
      <c r="E551" s="2" t="s">
        <v>49</v>
      </c>
      <c r="F551" s="41">
        <v>500</v>
      </c>
      <c r="G551" s="28"/>
      <c r="H551" s="34">
        <f>'2020'!BH551</f>
        <v>0</v>
      </c>
      <c r="I551" s="13"/>
      <c r="J551" s="15"/>
      <c r="K551" s="15"/>
      <c r="L551" s="28"/>
      <c r="M551" s="13"/>
      <c r="N551" s="15"/>
      <c r="Q551" s="13"/>
      <c r="R551" s="15"/>
      <c r="S551" s="15"/>
      <c r="T551" s="28"/>
      <c r="U551" s="13"/>
      <c r="V551" s="15"/>
      <c r="Y551" s="186"/>
      <c r="Z551" s="2"/>
      <c r="AA551" s="15"/>
      <c r="AB551" s="28"/>
      <c r="AC551" s="15"/>
      <c r="AD551" s="15"/>
      <c r="AF551" s="154"/>
      <c r="AG551" s="15"/>
      <c r="AH551" s="2"/>
      <c r="AI551" s="45"/>
      <c r="AJ551" s="15"/>
      <c r="AK551" s="13"/>
      <c r="AL551" s="15"/>
      <c r="AM551" s="45"/>
      <c r="AN551" s="15"/>
      <c r="AO551" s="13"/>
      <c r="AP551" s="15"/>
      <c r="AQ551" s="45"/>
      <c r="AR551" s="15"/>
      <c r="AS551" s="13"/>
      <c r="AT551" s="15"/>
      <c r="AU551" s="45"/>
      <c r="AV551" s="15"/>
      <c r="AW551" s="13"/>
      <c r="AX551" s="15"/>
      <c r="AY551" s="45"/>
      <c r="AZ551" s="28"/>
      <c r="BA551" s="13"/>
      <c r="BB551" s="15"/>
      <c r="BC551" s="45"/>
      <c r="BD551" s="28"/>
      <c r="BE551" s="14"/>
      <c r="BF551" s="41">
        <f t="shared" ref="BF551:BG551" si="2001">K551+O551+S551+W551+AA551+AE551+AI551+AM551+AQ551+AU551+AY551+BC551</f>
        <v>0</v>
      </c>
      <c r="BG551" s="34">
        <f t="shared" si="2001"/>
        <v>0</v>
      </c>
      <c r="BH551" s="35">
        <f t="shared" si="1987"/>
        <v>0</v>
      </c>
      <c r="BK551" s="2" t="b">
        <f>H551='2020'!BH551</f>
        <v>1</v>
      </c>
    </row>
    <row r="552" ht="14.25" customHeight="1" hidden="1" spans="1:63" x14ac:dyDescent="0.25">
      <c r="A552" s="2">
        <v>61</v>
      </c>
      <c r="B552" s="14"/>
      <c r="C552" s="2" t="s">
        <v>233</v>
      </c>
      <c r="D552" s="14" t="s">
        <v>50</v>
      </c>
      <c r="E552" s="2" t="s">
        <v>49</v>
      </c>
      <c r="F552" s="41">
        <v>1100</v>
      </c>
      <c r="G552" s="28"/>
      <c r="H552" s="34">
        <f>'2020'!BH552</f>
        <v>0</v>
      </c>
      <c r="I552" s="13"/>
      <c r="J552" s="15"/>
      <c r="K552" s="15"/>
      <c r="L552" s="28"/>
      <c r="M552" s="13"/>
      <c r="N552" s="15"/>
      <c r="Q552" s="13"/>
      <c r="R552" s="15"/>
      <c r="S552" s="15"/>
      <c r="T552" s="28"/>
      <c r="U552" s="13"/>
      <c r="V552" s="15"/>
      <c r="Y552" s="186"/>
      <c r="Z552" s="2"/>
      <c r="AA552" s="15"/>
      <c r="AB552" s="28"/>
      <c r="AC552" s="15"/>
      <c r="AD552" s="15"/>
      <c r="AE552" s="34">
        <f>B549*$F$12</f>
        <v>5181</v>
      </c>
      <c r="AF552" s="182">
        <v>5181</v>
      </c>
      <c r="AG552" s="15"/>
      <c r="AH552" s="2"/>
      <c r="AI552" s="45"/>
      <c r="AJ552" s="2"/>
      <c r="AK552" s="13"/>
      <c r="AL552" s="15"/>
      <c r="AM552" s="45"/>
      <c r="AN552" s="15"/>
      <c r="AO552" s="13"/>
      <c r="AP552" s="15"/>
      <c r="AQ552" s="45"/>
      <c r="AR552" s="15"/>
      <c r="AS552" s="13"/>
      <c r="AT552" s="15"/>
      <c r="AU552" s="45"/>
      <c r="AV552" s="15"/>
      <c r="AW552" s="13"/>
      <c r="AX552" s="15"/>
      <c r="AY552" s="45"/>
      <c r="AZ552" s="28"/>
      <c r="BA552" s="13"/>
      <c r="BB552" s="15"/>
      <c r="BC552" s="45"/>
      <c r="BD552" s="28"/>
      <c r="BE552" s="14"/>
      <c r="BF552" s="41">
        <f t="shared" ref="BF552:BG552" si="2002">K552+O552+S552+W552+AA552+AE552+AI552+AM552+AQ552+AU552+AY552+BC552</f>
        <v>5181</v>
      </c>
      <c r="BG552" s="34">
        <f t="shared" si="2002"/>
        <v>5181</v>
      </c>
      <c r="BH552" s="35">
        <f t="shared" si="1987"/>
        <v>0</v>
      </c>
      <c r="BK552" s="2" t="b">
        <f>H552='2020'!BH552</f>
        <v>1</v>
      </c>
    </row>
    <row r="553" ht="14.25" customHeight="1" hidden="1" spans="1:63" x14ac:dyDescent="0.25">
      <c r="A553" s="2">
        <v>61</v>
      </c>
      <c r="B553" s="14"/>
      <c r="D553" s="14" t="s">
        <v>51</v>
      </c>
      <c r="E553" s="2" t="s">
        <v>39</v>
      </c>
      <c r="F553" s="41">
        <v>500</v>
      </c>
      <c r="G553" s="28"/>
      <c r="H553" s="34">
        <f>'2020'!BH553</f>
        <v>500</v>
      </c>
      <c r="I553" s="13"/>
      <c r="J553" s="15"/>
      <c r="K553" s="15"/>
      <c r="L553" s="28"/>
      <c r="M553" s="13"/>
      <c r="N553" s="15"/>
      <c r="Q553" s="13"/>
      <c r="R553" s="15"/>
      <c r="S553" s="15"/>
      <c r="T553" s="28"/>
      <c r="U553" s="13"/>
      <c r="V553" s="15"/>
      <c r="Y553" s="186"/>
      <c r="Z553" s="2"/>
      <c r="AA553" s="15"/>
      <c r="AB553" s="28"/>
      <c r="AC553" s="15"/>
      <c r="AD553" s="15"/>
      <c r="AE553" s="180">
        <f>$F$13</f>
      </c>
      <c r="AF553" s="154">
        <v>500</v>
      </c>
      <c r="AG553" s="15"/>
      <c r="AH553" s="2"/>
      <c r="AI553" s="45"/>
      <c r="AJ553" s="180"/>
      <c r="AK553" s="13"/>
      <c r="AL553" s="15"/>
      <c r="AM553" s="45"/>
      <c r="AN553" s="15"/>
      <c r="AO553" s="13"/>
      <c r="AP553" s="15"/>
      <c r="AQ553" s="180"/>
      <c r="AR553" s="15"/>
      <c r="AS553" s="13"/>
      <c r="AT553" s="15"/>
      <c r="AU553" s="45"/>
      <c r="AV553" s="15"/>
      <c r="AW553" s="13"/>
      <c r="AX553" s="15"/>
      <c r="AY553" s="45"/>
      <c r="AZ553" s="28"/>
      <c r="BA553" s="13"/>
      <c r="BB553" s="15"/>
      <c r="BC553" s="45"/>
      <c r="BD553" s="28"/>
      <c r="BE553" s="14"/>
      <c r="BF553" s="41">
        <f t="shared" ref="BF553:BG553" si="2003">K553+O553+S553+W553+AA553+AE553+AI553+AM553+AQ553+AU553+AY553+BC553</f>
        <v>0</v>
      </c>
      <c r="BG553" s="34">
        <f t="shared" si="2003"/>
        <v>500</v>
      </c>
      <c r="BH553" s="35">
        <f t="shared" si="1987"/>
        <v>0</v>
      </c>
      <c r="BK553" s="2" t="b">
        <f>H553='2020'!BH553</f>
        <v>1</v>
      </c>
    </row>
    <row r="554" ht="14.25" customHeight="1" hidden="1" spans="1:63" x14ac:dyDescent="0.25">
      <c r="A554" s="2">
        <v>61</v>
      </c>
      <c r="B554" s="14"/>
      <c r="D554" s="14" t="s">
        <v>51</v>
      </c>
      <c r="E554" s="2" t="s">
        <v>49</v>
      </c>
      <c r="F554" s="41">
        <v>500</v>
      </c>
      <c r="G554" s="28"/>
      <c r="H554" s="34">
        <f>'2020'!BH554</f>
        <v>2355</v>
      </c>
      <c r="I554" s="13"/>
      <c r="J554" s="15"/>
      <c r="K554" s="15"/>
      <c r="L554" s="28"/>
      <c r="M554" s="13"/>
      <c r="N554" s="15"/>
      <c r="Q554" s="13"/>
      <c r="R554" s="15"/>
      <c r="S554" s="15"/>
      <c r="T554" s="28"/>
      <c r="U554" s="13"/>
      <c r="V554" s="15"/>
      <c r="Y554" s="186"/>
      <c r="Z554" s="2"/>
      <c r="AA554" s="15"/>
      <c r="AB554" s="28"/>
      <c r="AC554" s="15"/>
      <c r="AD554" s="15"/>
      <c r="AE554" s="34"/>
      <c r="AF554" s="154">
        <v>2355</v>
      </c>
      <c r="AG554" s="15"/>
      <c r="AH554" s="2"/>
      <c r="AI554" s="45"/>
      <c r="AJ554" s="180"/>
      <c r="AK554" s="13"/>
      <c r="AL554" s="15"/>
      <c r="AM554" s="45"/>
      <c r="AN554" s="15"/>
      <c r="AO554" s="13"/>
      <c r="AP554" s="15"/>
      <c r="AQ554" s="180">
        <f>B549*$F$14</f>
        <v>0</v>
      </c>
      <c r="AR554" s="15"/>
      <c r="AS554" s="13"/>
      <c r="AT554" s="15"/>
      <c r="AU554" s="45"/>
      <c r="AV554" s="15"/>
      <c r="AW554" s="13"/>
      <c r="AX554" s="15"/>
      <c r="AY554" s="45"/>
      <c r="AZ554" s="28"/>
      <c r="BA554" s="13"/>
      <c r="BB554" s="15"/>
      <c r="BC554" s="45"/>
      <c r="BD554" s="28"/>
      <c r="BE554" s="14"/>
      <c r="BF554" s="41">
        <f t="shared" ref="BF554:BG554" si="2004">K554+O554+S554+W554+AA554+AE554+AI554+AM554+AQ554+AU554+AY554+BC554</f>
        <v>0</v>
      </c>
      <c r="BG554" s="34">
        <f t="shared" si="2004"/>
        <v>2355</v>
      </c>
      <c r="BH554" s="35">
        <f t="shared" si="1987"/>
        <v>0</v>
      </c>
      <c r="BK554" s="2" t="b">
        <f>H554='2020'!BH554</f>
        <v>1</v>
      </c>
    </row>
    <row r="555" ht="14.25" customHeight="1" hidden="1" spans="1:63" x14ac:dyDescent="0.25">
      <c r="A555" s="2">
        <v>61</v>
      </c>
      <c r="B555" s="14"/>
      <c r="D555" s="14" t="s">
        <v>52</v>
      </c>
      <c r="E555" s="2" t="s">
        <v>39</v>
      </c>
      <c r="F555" s="41">
        <v>500</v>
      </c>
      <c r="G555" s="28"/>
      <c r="H555" s="34">
        <f>'2020'!BH555</f>
        <v>0</v>
      </c>
      <c r="I555" s="13"/>
      <c r="J555" s="15"/>
      <c r="K555" s="15"/>
      <c r="L555" s="28"/>
      <c r="M555" s="13"/>
      <c r="N555" s="15"/>
      <c r="Q555" s="13"/>
      <c r="R555" s="15"/>
      <c r="S555" s="15"/>
      <c r="T555" s="28"/>
      <c r="U555" s="13"/>
      <c r="V555" s="15"/>
      <c r="Y555" s="186"/>
      <c r="Z555" s="2"/>
      <c r="AA555" s="34">
        <f>$F$15</f>
      </c>
      <c r="AB555" s="28"/>
      <c r="AC555" s="15"/>
      <c r="AD555" s="15"/>
      <c r="AF555" s="180"/>
      <c r="AG555" s="15"/>
      <c r="AH555" s="2"/>
      <c r="AI555" s="45"/>
      <c r="AJ555" s="180"/>
      <c r="AK555" s="13"/>
      <c r="AL555" s="15"/>
      <c r="AM555" s="45"/>
      <c r="AN555" s="15"/>
      <c r="AO555" s="13"/>
      <c r="AP555" s="15"/>
      <c r="AQ555" s="45"/>
      <c r="AR555" s="15"/>
      <c r="AS555" s="13"/>
      <c r="AT555" s="15"/>
      <c r="AU555" s="45"/>
      <c r="AV555" s="15"/>
      <c r="AW555" s="13"/>
      <c r="AX555" s="15"/>
      <c r="AY555" s="45"/>
      <c r="AZ555" s="35"/>
      <c r="BA555" s="13"/>
      <c r="BB555" s="15"/>
      <c r="BC555" s="45"/>
      <c r="BD555" s="35"/>
      <c r="BE555" s="14"/>
      <c r="BF555" s="41">
        <f t="shared" ref="BF555:BG555" si="2005">K555+O555+S555+W555+AA555+AE555+AI555+AM555+AQ555+AU555+AY555+BC555</f>
        <v>0</v>
      </c>
      <c r="BG555" s="34">
        <f t="shared" si="2005"/>
        <v>0</v>
      </c>
      <c r="BH555" s="35">
        <f t="shared" si="1987"/>
        <v>0</v>
      </c>
      <c r="BK555" s="2" t="b">
        <f>H555='2020'!BH555</f>
        <v>1</v>
      </c>
    </row>
    <row r="556" ht="14.25" customHeight="1" hidden="1" spans="1:63" x14ac:dyDescent="0.25">
      <c r="A556" s="247">
        <v>61</v>
      </c>
      <c r="B556" s="21"/>
      <c r="C556" s="22" t="s">
        <v>53</v>
      </c>
      <c r="D556" s="21"/>
      <c r="E556" s="22"/>
      <c r="F556" s="20"/>
      <c r="G556" s="23"/>
      <c r="H556" s="51">
        <f>SUM(H548:H555)</f>
        <v>3350.93</v>
      </c>
      <c r="I556" s="52"/>
      <c r="J556" s="53"/>
      <c r="K556" s="51">
        <f t="shared" ref="K556:L556" si="2006">SUM(K548:K555)</f>
        <v>0</v>
      </c>
      <c r="L556" s="68">
        <f t="shared" si="2006"/>
        <v>0</v>
      </c>
      <c r="M556" s="52"/>
      <c r="N556" s="53"/>
      <c r="O556" s="51">
        <f t="shared" ref="O556:P556" si="2007">SUM(O548:O555)</f>
        <v>0</v>
      </c>
      <c r="P556" s="51">
        <f t="shared" si="2007"/>
        <v>0</v>
      </c>
      <c r="Q556" s="52"/>
      <c r="R556" s="53"/>
      <c r="S556" s="51">
        <f t="shared" ref="S556:T556" si="2008">SUM(S548:S555)</f>
        <v>0</v>
      </c>
      <c r="T556" s="51">
        <f t="shared" si="2008"/>
        <v>0</v>
      </c>
      <c r="U556" s="52"/>
      <c r="V556" s="53"/>
      <c r="W556" s="51">
        <f t="shared" ref="W556:X556" si="2009">SUM(W548:W555)</f>
        <v>0</v>
      </c>
      <c r="X556" s="51">
        <f t="shared" si="2009"/>
        <v>0</v>
      </c>
      <c r="Y556" s="300"/>
      <c r="Z556" s="301"/>
      <c r="AA556" s="51">
        <f t="shared" ref="AA556:AB556" si="2010">SUM(AA548:AA555)</f>
        <v>105.26</v>
      </c>
      <c r="AB556" s="51">
        <f t="shared" si="2010"/>
        <v>0</v>
      </c>
      <c r="AC556" s="52"/>
      <c r="AD556" s="53"/>
      <c r="AE556" s="51">
        <f t="shared" ref="AE556:AF556" si="2011">SUM(AE548:AE555)</f>
        <v>5466.68</v>
      </c>
      <c r="AF556" s="51">
        <f t="shared" si="2011"/>
        <v>8922.87</v>
      </c>
      <c r="AG556" s="52"/>
      <c r="AH556" s="301"/>
      <c r="AI556" s="183">
        <f t="shared" ref="AI556:AJ556" si="2012">SUM(AI548:AI555)</f>
        <v>220.55</v>
      </c>
      <c r="AJ556" s="51">
        <f t="shared" si="2012"/>
        <v>220.55</v>
      </c>
      <c r="AK556" s="52"/>
      <c r="AL556" s="53"/>
      <c r="AM556" s="183">
        <f t="shared" ref="AM556:AN556" si="2013">SUM(AM548:AM555)</f>
        <v>304.45</v>
      </c>
      <c r="AN556" s="51">
        <f t="shared" si="2013"/>
        <v>400</v>
      </c>
      <c r="AO556" s="52"/>
      <c r="AP556" s="53"/>
      <c r="AQ556" s="183">
        <f t="shared" ref="AQ556:AR556" si="2014">SUM(AQ548:AQ555)</f>
        <v>108</v>
      </c>
      <c r="AR556" s="51">
        <f t="shared" si="2014"/>
        <v>0</v>
      </c>
      <c r="AS556" s="52"/>
      <c r="AT556" s="53"/>
      <c r="AU556" s="183">
        <f t="shared" ref="AU556:AV556" si="2015">SUM(AU548:AU555)</f>
        <v>29.7</v>
      </c>
      <c r="AV556" s="68">
        <f t="shared" si="2015"/>
        <v>0</v>
      </c>
      <c r="AW556" s="52"/>
      <c r="AX556" s="53"/>
      <c r="AY556" s="183">
        <f t="shared" ref="AY556:AZ556" si="2016">SUM(AY548:AY555)</f>
        <v>0</v>
      </c>
      <c r="AZ556" s="68">
        <f t="shared" si="2016"/>
        <v>0</v>
      </c>
      <c r="BA556" s="52"/>
      <c r="BB556" s="53"/>
      <c r="BC556" s="183">
        <f t="shared" ref="BC556:BD556" si="2017">SUM(BC548:BC555)</f>
        <v>0</v>
      </c>
      <c r="BD556" s="68">
        <f t="shared" si="2017"/>
        <v>0</v>
      </c>
      <c r="BE556" s="69"/>
      <c r="BF556" s="70">
        <f t="shared" ref="BF556:BH556" si="2018">SUM(BF548:BF555)</f>
        <v>6234.64</v>
      </c>
      <c r="BG556" s="71">
        <f t="shared" si="2018"/>
        <v>9543.42</v>
      </c>
      <c r="BH556" s="72">
        <f t="shared" si="2018"/>
        <v>42.15</v>
      </c>
      <c r="BI556" s="34">
        <f>H556+BF556-BG556</f>
        <v>42.15</v>
      </c>
      <c r="BJ556" s="34">
        <f>BH556-BI556</f>
        <v>0</v>
      </c>
      <c r="BK556" s="2" t="b">
        <f>H556='2020'!BH556</f>
        <v>1</v>
      </c>
    </row>
    <row r="557" ht="14.25" customHeight="1" hidden="1" spans="1:63" x14ac:dyDescent="0.25">
      <c r="A557" s="2">
        <v>62</v>
      </c>
      <c r="B557" s="14"/>
      <c r="D557" s="14" t="s">
        <v>379</v>
      </c>
      <c r="F557" s="13"/>
      <c r="G557" s="28"/>
      <c r="H557" s="34">
        <f>'2020'!BH557</f>
        <v>0</v>
      </c>
      <c r="I557" s="13"/>
      <c r="J557" s="15"/>
      <c r="K557" s="15"/>
      <c r="L557" s="28"/>
      <c r="M557" s="13"/>
      <c r="N557" s="15"/>
      <c r="Q557" s="13"/>
      <c r="R557" s="15"/>
      <c r="S557" s="15"/>
      <c r="T557" s="28"/>
      <c r="U557" s="13"/>
      <c r="V557" s="15"/>
      <c r="Y557" s="186"/>
      <c r="Z557" s="2"/>
      <c r="AA557" s="15"/>
      <c r="AB557" s="28"/>
      <c r="AC557" s="15"/>
      <c r="AD557" s="15"/>
      <c r="AG557" s="15"/>
      <c r="AH557" s="2"/>
      <c r="AI557" s="45"/>
      <c r="AJ557" s="15"/>
      <c r="AK557" s="13"/>
      <c r="AM557" s="45"/>
      <c r="AO557" s="13"/>
      <c r="AQ557" s="45"/>
      <c r="AS557" s="13"/>
      <c r="AU557" s="45"/>
      <c r="AW557" s="13"/>
      <c r="AY557" s="45"/>
      <c r="AZ557" s="28"/>
      <c r="BA557" s="13"/>
      <c r="BB557" s="15"/>
      <c r="BC557" s="45"/>
      <c r="BD557" s="28"/>
      <c r="BE557" s="14"/>
      <c r="BF557" s="41">
        <f t="shared" ref="BF557:BG557" si="2019">K557+O557+S557+W557+AA557+AE557+AI557+AM557+AQ557+AU557+AY557+BC557</f>
        <v>0</v>
      </c>
      <c r="BG557" s="34">
        <f t="shared" si="2019"/>
        <v>0</v>
      </c>
      <c r="BH557" s="35">
        <f t="shared" ref="BH557:BH564" si="2020">H557+BF557-BG557</f>
        <v>0</v>
      </c>
      <c r="BK557" s="2" t="b">
        <f>H557='2020'!BH557</f>
        <v>1</v>
      </c>
    </row>
    <row r="558" ht="14.25" customHeight="1" hidden="1" spans="1:63" x14ac:dyDescent="0.25">
      <c r="A558" s="2">
        <v>62</v>
      </c>
      <c r="B558" s="42">
        <v>4.6</v>
      </c>
      <c r="C558" s="15" t="s">
        <v>236</v>
      </c>
      <c r="D558" s="14" t="s">
        <v>44</v>
      </c>
      <c r="E558" s="2" t="s">
        <v>45</v>
      </c>
      <c r="F558" s="41">
        <v>2.5</v>
      </c>
      <c r="G558" s="35">
        <v>2.6</v>
      </c>
      <c r="H558" s="34">
        <f>'2020'!BH558</f>
        <v>72.8</v>
      </c>
      <c r="I558" s="13">
        <v>479</v>
      </c>
      <c r="J558" s="15">
        <f>I558-'2020'!BA558</f>
        <v>0</v>
      </c>
      <c r="K558" s="34">
        <f>J558*$F$8</f>
        <v>0</v>
      </c>
      <c r="L558" s="28"/>
      <c r="M558" s="13">
        <v>479</v>
      </c>
      <c r="N558" s="15">
        <f t="shared" ref="N558:N559" si="2021">M558-I558</f>
        <v>0</v>
      </c>
      <c r="O558" s="34">
        <f>N558*$F$8</f>
        <v>0</v>
      </c>
      <c r="Q558" s="13">
        <v>479</v>
      </c>
      <c r="R558" s="15">
        <f t="shared" ref="R558:R559" si="2022">Q558-M558</f>
        <v>0</v>
      </c>
      <c r="S558" s="34">
        <f>R558*$F$8</f>
        <v>0</v>
      </c>
      <c r="T558" s="28"/>
      <c r="U558" s="13">
        <v>479</v>
      </c>
      <c r="V558" s="15">
        <f t="shared" ref="V558:V559" si="2023">U558-Q558</f>
        <v>0</v>
      </c>
      <c r="W558" s="34">
        <f>V558*$F$8</f>
        <v>0</v>
      </c>
      <c r="X558" s="15"/>
      <c r="Y558" s="186">
        <v>479</v>
      </c>
      <c r="Z558" s="2">
        <f t="shared" ref="Z558:Z559" si="2024">Y558-U558</f>
        <v>0</v>
      </c>
      <c r="AA558" s="34">
        <f>Z558*$F$8</f>
        <v>0</v>
      </c>
      <c r="AB558" s="28"/>
      <c r="AC558" s="15">
        <v>479</v>
      </c>
      <c r="AD558" s="15">
        <f t="shared" ref="AD558:AD559" si="2025">AC558-Y558</f>
        <v>0</v>
      </c>
      <c r="AE558" s="180">
        <f>AD558*$F$8</f>
        <v>0</v>
      </c>
      <c r="AF558" s="180"/>
      <c r="AG558" s="15">
        <v>479</v>
      </c>
      <c r="AH558" s="2">
        <f t="shared" ref="AH558:AH559" si="2026">AG558-AC558</f>
        <v>0</v>
      </c>
      <c r="AI558" s="45">
        <f>AH558*$G$8</f>
        <v>0</v>
      </c>
      <c r="AJ558" s="180"/>
      <c r="AK558" s="13">
        <v>479</v>
      </c>
      <c r="AL558" s="15">
        <f t="shared" ref="AL558:AL559" si="2027">AK558-AG558</f>
        <v>0</v>
      </c>
      <c r="AM558" s="45">
        <f>AL558*$G$8</f>
        <v>0</v>
      </c>
      <c r="AN558" s="306">
        <v>180</v>
      </c>
      <c r="AO558" s="13">
        <v>479</v>
      </c>
      <c r="AP558" s="15">
        <f t="shared" ref="AP558:AP559" si="2028">AO558-AK558</f>
        <v>0</v>
      </c>
      <c r="AQ558" s="45">
        <f>AP558*$G$8</f>
        <v>0</v>
      </c>
      <c r="AR558" s="15"/>
      <c r="AS558" s="13">
        <v>479</v>
      </c>
      <c r="AT558" s="15">
        <f t="shared" ref="AT558:AT559" si="2029">AS558-AO558</f>
        <v>0</v>
      </c>
      <c r="AU558" s="45">
        <f>AT558*$G$8</f>
        <v>0</v>
      </c>
      <c r="AV558" s="15"/>
      <c r="AW558" s="13">
        <v>479</v>
      </c>
      <c r="AX558" s="15">
        <f t="shared" ref="AX558:AX559" si="2030">AW558-AS558</f>
        <v>0</v>
      </c>
      <c r="AY558" s="45">
        <f>AX558*$G$8</f>
        <v>0</v>
      </c>
      <c r="AZ558" s="208"/>
      <c r="BA558" s="13">
        <v>479</v>
      </c>
      <c r="BB558" s="15">
        <f t="shared" ref="BB558:BB559" si="2031">BA558-AW558</f>
        <v>0</v>
      </c>
      <c r="BC558" s="45">
        <f>BB558*$G$8</f>
        <v>0</v>
      </c>
      <c r="BD558" s="208"/>
      <c r="BE558" s="40">
        <f t="shared" ref="BE558:BG558" si="2032">J558+N558+R558+V558+Z558+AD558+AH558+AL558+AP558+AT558+AX558+BB558</f>
        <v>0</v>
      </c>
      <c r="BF558" s="41">
        <f t="shared" si="2032"/>
        <v>0</v>
      </c>
      <c r="BG558" s="34">
        <f t="shared" si="2032"/>
        <v>180</v>
      </c>
      <c r="BH558" s="35">
        <f t="shared" si="2020"/>
        <v>-107.2</v>
      </c>
      <c r="BK558" s="2" t="b">
        <f>H558='2020'!BH558</f>
        <v>1</v>
      </c>
    </row>
    <row r="559" ht="14.25" customHeight="1" hidden="1" spans="1:63" x14ac:dyDescent="0.25">
      <c r="A559" s="2">
        <v>62</v>
      </c>
      <c r="B559" s="14"/>
      <c r="C559" s="15" t="s">
        <v>79</v>
      </c>
      <c r="D559" s="14" t="s">
        <v>47</v>
      </c>
      <c r="E559" s="2" t="s">
        <v>48</v>
      </c>
      <c r="F559" s="13">
        <v>18.56</v>
      </c>
      <c r="G559" s="35">
        <v>19.46</v>
      </c>
      <c r="H559" s="34">
        <f>'2020'!BH559</f>
        <v>-5.7</v>
      </c>
      <c r="I559" s="13">
        <v>194</v>
      </c>
      <c r="J559" s="15"/>
      <c r="K559" s="15"/>
      <c r="L559" s="28"/>
      <c r="M559" s="13">
        <v>194</v>
      </c>
      <c r="N559" s="15">
        <f t="shared" si="2021"/>
        <v>0</v>
      </c>
      <c r="Q559" s="13">
        <v>194</v>
      </c>
      <c r="R559" s="15">
        <f t="shared" si="2022"/>
        <v>0</v>
      </c>
      <c r="S559" s="15"/>
      <c r="T559" s="28"/>
      <c r="U559" s="13">
        <v>194</v>
      </c>
      <c r="V559" s="15">
        <f t="shared" si="2023"/>
        <v>0</v>
      </c>
      <c r="W559" s="34">
        <f>V559*$F$10</f>
        <v>0</v>
      </c>
      <c r="Y559" s="186">
        <v>194</v>
      </c>
      <c r="Z559" s="2">
        <f t="shared" si="2024"/>
        <v>0</v>
      </c>
      <c r="AA559" s="34">
        <f>Z559*$F$10</f>
        <v>0</v>
      </c>
      <c r="AB559" s="28"/>
      <c r="AC559" s="15">
        <v>194</v>
      </c>
      <c r="AD559" s="15">
        <f t="shared" si="2025"/>
        <v>0</v>
      </c>
      <c r="AE559" s="34">
        <f>AD559*$F$10</f>
        <v>0</v>
      </c>
      <c r="AF559" s="2"/>
      <c r="AG559" s="15">
        <v>194</v>
      </c>
      <c r="AH559" s="2">
        <f t="shared" si="2026"/>
        <v>0</v>
      </c>
      <c r="AI559" s="45">
        <f>AH559*$G$10</f>
        <v>0</v>
      </c>
      <c r="AJ559" s="180"/>
      <c r="AK559" s="13">
        <v>194</v>
      </c>
      <c r="AL559" s="15">
        <f t="shared" si="2027"/>
        <v>0</v>
      </c>
      <c r="AM559" s="45">
        <f>AL559*$G$10</f>
        <v>0</v>
      </c>
      <c r="AN559" s="154"/>
      <c r="AO559" s="13">
        <v>194</v>
      </c>
      <c r="AP559" s="15">
        <f t="shared" si="2028"/>
        <v>0</v>
      </c>
      <c r="AQ559" s="45">
        <f>AP559*$G$10</f>
        <v>0</v>
      </c>
      <c r="AR559" s="15"/>
      <c r="AS559" s="13">
        <v>194</v>
      </c>
      <c r="AT559" s="15">
        <f t="shared" si="2029"/>
        <v>0</v>
      </c>
      <c r="AU559" s="45">
        <f>AT559*$G$10</f>
        <v>0</v>
      </c>
      <c r="AV559" s="15"/>
      <c r="AW559" s="13">
        <v>194</v>
      </c>
      <c r="AX559" s="15">
        <f t="shared" si="2030"/>
        <v>0</v>
      </c>
      <c r="AY559" s="45"/>
      <c r="AZ559" s="208"/>
      <c r="BA559" s="13">
        <v>194</v>
      </c>
      <c r="BB559" s="15">
        <f t="shared" si="2031"/>
        <v>0</v>
      </c>
      <c r="BC559" s="45"/>
      <c r="BD559" s="208"/>
      <c r="BE559" s="40">
        <f t="shared" ref="BE559:BG559" si="2033">J559+N559+R559+V559+Z559+AD559+AH559+AL559+AP559+AT559+AX559+BB559</f>
        <v>0</v>
      </c>
      <c r="BF559" s="41">
        <f t="shared" si="2033"/>
        <v>0</v>
      </c>
      <c r="BG559" s="34">
        <f t="shared" si="2033"/>
        <v>0</v>
      </c>
      <c r="BH559" s="35">
        <f t="shared" si="2020"/>
        <v>-5.7</v>
      </c>
      <c r="BK559" s="2" t="b">
        <f>H559='2020'!BH559</f>
        <v>1</v>
      </c>
    </row>
    <row r="560" ht="14.25" customHeight="1" hidden="1" spans="1:63" x14ac:dyDescent="0.25">
      <c r="A560" s="2">
        <v>62</v>
      </c>
      <c r="B560" s="14"/>
      <c r="C560" s="15" t="s">
        <v>84</v>
      </c>
      <c r="D560" s="14" t="s">
        <v>47</v>
      </c>
      <c r="E560" s="2" t="s">
        <v>49</v>
      </c>
      <c r="F560" s="41">
        <v>500</v>
      </c>
      <c r="G560" s="28"/>
      <c r="H560" s="34">
        <f>'2020'!BH560</f>
        <v>0</v>
      </c>
      <c r="I560" s="13"/>
      <c r="J560" s="15"/>
      <c r="K560" s="15"/>
      <c r="L560" s="28"/>
      <c r="M560" s="13"/>
      <c r="N560" s="15"/>
      <c r="Q560" s="13"/>
      <c r="R560" s="15"/>
      <c r="S560" s="15"/>
      <c r="T560" s="28"/>
      <c r="U560" s="13"/>
      <c r="V560" s="15"/>
      <c r="Y560" s="186"/>
      <c r="Z560" s="2"/>
      <c r="AA560" s="15"/>
      <c r="AB560" s="28"/>
      <c r="AC560" s="15"/>
      <c r="AD560" s="15"/>
      <c r="AG560" s="15"/>
      <c r="AH560" s="2"/>
      <c r="AI560" s="45"/>
      <c r="AJ560" s="15"/>
      <c r="AK560" s="13"/>
      <c r="AL560" s="15"/>
      <c r="AM560" s="45"/>
      <c r="AN560" s="154"/>
      <c r="AO560" s="13"/>
      <c r="AP560" s="15"/>
      <c r="AQ560" s="45"/>
      <c r="AR560" s="15"/>
      <c r="AS560" s="13"/>
      <c r="AT560" s="15"/>
      <c r="AU560" s="45"/>
      <c r="AV560" s="15"/>
      <c r="AW560" s="13"/>
      <c r="AX560" s="15"/>
      <c r="AY560" s="45"/>
      <c r="AZ560" s="28"/>
      <c r="BA560" s="13"/>
      <c r="BB560" s="15"/>
      <c r="BC560" s="45"/>
      <c r="BD560" s="28"/>
      <c r="BE560" s="14"/>
      <c r="BF560" s="41">
        <f t="shared" ref="BF560:BG560" si="2034">K560+O560+S560+W560+AA560+AE560+AI560+AM560+AQ560+AU560+AY560+BC560</f>
        <v>0</v>
      </c>
      <c r="BG560" s="34">
        <f t="shared" si="2034"/>
        <v>0</v>
      </c>
      <c r="BH560" s="35">
        <f t="shared" si="2020"/>
        <v>0</v>
      </c>
      <c r="BK560" s="2" t="b">
        <f>H560='2020'!BH560</f>
        <v>1</v>
      </c>
    </row>
    <row r="561" ht="14.25" customHeight="1" hidden="1" spans="1:63" x14ac:dyDescent="0.25">
      <c r="A561" s="2">
        <v>62</v>
      </c>
      <c r="B561" s="14"/>
      <c r="C561" s="15" t="s">
        <v>428</v>
      </c>
      <c r="D561" s="14" t="s">
        <v>50</v>
      </c>
      <c r="E561" s="2" t="s">
        <v>49</v>
      </c>
      <c r="F561" s="41">
        <v>1100</v>
      </c>
      <c r="G561" s="28"/>
      <c r="H561" s="34">
        <f>'2020'!BH561</f>
        <v>0</v>
      </c>
      <c r="I561" s="13"/>
      <c r="J561" s="15"/>
      <c r="K561" s="15"/>
      <c r="L561" s="28"/>
      <c r="M561" s="13"/>
      <c r="N561" s="15"/>
      <c r="Q561" s="13"/>
      <c r="R561" s="15"/>
      <c r="S561" s="15"/>
      <c r="T561" s="28"/>
      <c r="U561" s="13"/>
      <c r="V561" s="15"/>
      <c r="Y561" s="186"/>
      <c r="Z561" s="2"/>
      <c r="AA561" s="15"/>
      <c r="AB561" s="28"/>
      <c r="AC561" s="15"/>
      <c r="AD561" s="15"/>
      <c r="AE561" s="34">
        <f>B558*$F$12</f>
        <v>5060</v>
      </c>
      <c r="AF561" s="180"/>
      <c r="AG561" s="15"/>
      <c r="AH561" s="2"/>
      <c r="AI561" s="45"/>
      <c r="AJ561" s="180"/>
      <c r="AK561" s="13"/>
      <c r="AL561" s="15"/>
      <c r="AM561" s="45"/>
      <c r="AN561" s="306">
        <v>5060</v>
      </c>
      <c r="AO561" s="13"/>
      <c r="AP561" s="15"/>
      <c r="AQ561" s="45"/>
      <c r="AR561" s="15"/>
      <c r="AS561" s="13"/>
      <c r="AT561" s="15"/>
      <c r="AU561" s="45"/>
      <c r="AV561" s="15"/>
      <c r="AW561" s="13"/>
      <c r="AX561" s="15"/>
      <c r="AY561" s="45"/>
      <c r="AZ561" s="28"/>
      <c r="BA561" s="13"/>
      <c r="BB561" s="15"/>
      <c r="BC561" s="45"/>
      <c r="BD561" s="28"/>
      <c r="BE561" s="14"/>
      <c r="BF561" s="41">
        <f t="shared" ref="BF561:BG561" si="2035">K561+O561+S561+W561+AA561+AE561+AI561+AM561+AQ561+AU561+AY561+BC561</f>
        <v>5060</v>
      </c>
      <c r="BG561" s="34">
        <f t="shared" si="2035"/>
        <v>5060</v>
      </c>
      <c r="BH561" s="35">
        <f t="shared" si="2020"/>
        <v>0</v>
      </c>
      <c r="BK561" s="2" t="b">
        <f>H561='2020'!BH561</f>
        <v>1</v>
      </c>
    </row>
    <row r="562" ht="14.25" customHeight="1" hidden="1" spans="1:63" x14ac:dyDescent="0.25">
      <c r="A562" s="2">
        <v>62</v>
      </c>
      <c r="B562" s="14"/>
      <c r="C562" s="15"/>
      <c r="D562" s="14" t="s">
        <v>51</v>
      </c>
      <c r="E562" s="2" t="s">
        <v>39</v>
      </c>
      <c r="F562" s="41">
        <v>500</v>
      </c>
      <c r="G562" s="28"/>
      <c r="H562" s="34">
        <f>'2020'!BH562</f>
        <v>500</v>
      </c>
      <c r="I562" s="13"/>
      <c r="J562" s="15"/>
      <c r="K562" s="15"/>
      <c r="L562" s="28"/>
      <c r="M562" s="13"/>
      <c r="N562" s="15"/>
      <c r="Q562" s="13"/>
      <c r="R562" s="15"/>
      <c r="S562" s="15"/>
      <c r="T562" s="28"/>
      <c r="U562" s="13"/>
      <c r="V562" s="15"/>
      <c r="Y562" s="186"/>
      <c r="Z562" s="2"/>
      <c r="AA562" s="15"/>
      <c r="AB562" s="28"/>
      <c r="AC562" s="15"/>
      <c r="AD562" s="15"/>
      <c r="AE562" s="180">
        <f>$F$13</f>
      </c>
      <c r="AF562" s="34"/>
      <c r="AG562" s="15"/>
      <c r="AH562" s="2"/>
      <c r="AI562" s="45"/>
      <c r="AJ562" s="15"/>
      <c r="AK562" s="13"/>
      <c r="AL562" s="15"/>
      <c r="AM562" s="45"/>
      <c r="AN562" s="306">
        <v>500</v>
      </c>
      <c r="AO562" s="13"/>
      <c r="AP562" s="15"/>
      <c r="AQ562" s="180"/>
      <c r="AR562" s="15"/>
      <c r="AS562" s="13"/>
      <c r="AT562" s="15"/>
      <c r="AU562" s="45"/>
      <c r="AV562" s="15"/>
      <c r="AW562" s="13"/>
      <c r="AX562" s="15"/>
      <c r="AY562" s="45"/>
      <c r="AZ562" s="28"/>
      <c r="BA562" s="13"/>
      <c r="BB562" s="15"/>
      <c r="BC562" s="45"/>
      <c r="BD562" s="28"/>
      <c r="BE562" s="14"/>
      <c r="BF562" s="41">
        <f t="shared" ref="BF562:BG562" si="2036">K562+O562+S562+W562+AA562+AE562+AI562+AM562+AQ562+AU562+AY562+BC562</f>
        <v>0</v>
      </c>
      <c r="BG562" s="34">
        <f t="shared" si="2036"/>
        <v>500</v>
      </c>
      <c r="BH562" s="35">
        <f t="shared" si="2020"/>
        <v>0</v>
      </c>
      <c r="BK562" s="2" t="b">
        <f>H562='2020'!BH562</f>
        <v>1</v>
      </c>
    </row>
    <row r="563" ht="14.25" customHeight="1" hidden="1" spans="1:63" x14ac:dyDescent="0.25">
      <c r="A563" s="2">
        <v>62</v>
      </c>
      <c r="B563" s="14"/>
      <c r="C563" s="15"/>
      <c r="D563" s="14" t="s">
        <v>51</v>
      </c>
      <c r="E563" s="2" t="s">
        <v>49</v>
      </c>
      <c r="F563" s="41">
        <v>500</v>
      </c>
      <c r="G563" s="28"/>
      <c r="H563" s="34">
        <f>'2020'!BH563</f>
        <v>2300</v>
      </c>
      <c r="I563" s="13"/>
      <c r="J563" s="15"/>
      <c r="K563" s="15"/>
      <c r="L563" s="28"/>
      <c r="M563" s="13"/>
      <c r="N563" s="15"/>
      <c r="Q563" s="13"/>
      <c r="R563" s="15"/>
      <c r="S563" s="15"/>
      <c r="T563" s="28"/>
      <c r="U563" s="13"/>
      <c r="V563" s="15"/>
      <c r="Y563" s="186"/>
      <c r="Z563" s="2"/>
      <c r="AA563" s="15"/>
      <c r="AB563" s="28"/>
      <c r="AC563" s="15"/>
      <c r="AD563" s="15"/>
      <c r="AE563" s="34"/>
      <c r="AF563" s="34"/>
      <c r="AG563" s="15"/>
      <c r="AH563" s="2"/>
      <c r="AI563" s="45"/>
      <c r="AJ563" s="15"/>
      <c r="AK563" s="13"/>
      <c r="AL563" s="15"/>
      <c r="AM563" s="45"/>
      <c r="AN563" s="306">
        <v>2300</v>
      </c>
      <c r="AO563" s="13"/>
      <c r="AP563" s="15"/>
      <c r="AQ563" s="180">
        <f>B558*$F$14</f>
        <v>0</v>
      </c>
      <c r="AR563" s="15"/>
      <c r="AS563" s="13"/>
      <c r="AT563" s="15"/>
      <c r="AU563" s="45"/>
      <c r="AV563" s="15"/>
      <c r="AW563" s="13"/>
      <c r="AX563" s="15"/>
      <c r="AY563" s="45"/>
      <c r="AZ563" s="28"/>
      <c r="BA563" s="13"/>
      <c r="BB563" s="15"/>
      <c r="BC563" s="45"/>
      <c r="BD563" s="28"/>
      <c r="BE563" s="14"/>
      <c r="BF563" s="41">
        <f t="shared" ref="BF563:BG563" si="2037">K563+O563+S563+W563+AA563+AE563+AI563+AM563+AQ563+AU563+AY563+BC563</f>
        <v>0</v>
      </c>
      <c r="BG563" s="34">
        <f t="shared" si="2037"/>
        <v>2300</v>
      </c>
      <c r="BH563" s="35">
        <f t="shared" si="2020"/>
        <v>0</v>
      </c>
      <c r="BK563" s="2" t="b">
        <f>H563='2020'!BH563</f>
        <v>1</v>
      </c>
    </row>
    <row r="564" ht="14.25" customHeight="1" hidden="1" spans="1:63" x14ac:dyDescent="0.25">
      <c r="A564" s="2">
        <v>62</v>
      </c>
      <c r="B564" s="14"/>
      <c r="C564" s="15"/>
      <c r="D564" s="14" t="s">
        <v>52</v>
      </c>
      <c r="E564" s="2" t="s">
        <v>39</v>
      </c>
      <c r="F564" s="41">
        <v>500</v>
      </c>
      <c r="G564" s="28"/>
      <c r="H564" s="34">
        <f>'2020'!BH564</f>
        <v>0</v>
      </c>
      <c r="I564" s="13"/>
      <c r="J564" s="15"/>
      <c r="K564" s="15"/>
      <c r="L564" s="28"/>
      <c r="M564" s="13"/>
      <c r="N564" s="15"/>
      <c r="Q564" s="13"/>
      <c r="R564" s="15"/>
      <c r="S564" s="15"/>
      <c r="T564" s="28"/>
      <c r="U564" s="13"/>
      <c r="V564" s="15"/>
      <c r="Y564" s="186"/>
      <c r="Z564" s="2"/>
      <c r="AA564" s="34">
        <f>$F$15</f>
      </c>
      <c r="AB564" s="35"/>
      <c r="AC564" s="15"/>
      <c r="AD564" s="15"/>
      <c r="AF564" s="34"/>
      <c r="AG564" s="15"/>
      <c r="AH564" s="2"/>
      <c r="AI564" s="45"/>
      <c r="AJ564" s="180"/>
      <c r="AK564" s="13"/>
      <c r="AL564" s="15"/>
      <c r="AM564" s="45"/>
      <c r="AN564" s="15"/>
      <c r="AO564" s="13"/>
      <c r="AP564" s="15"/>
      <c r="AQ564" s="45"/>
      <c r="AR564" s="15"/>
      <c r="AS564" s="13"/>
      <c r="AT564" s="15"/>
      <c r="AU564" s="45"/>
      <c r="AV564" s="15"/>
      <c r="AW564" s="13"/>
      <c r="AX564" s="15"/>
      <c r="AY564" s="45"/>
      <c r="AZ564" s="35"/>
      <c r="BA564" s="13"/>
      <c r="BB564" s="15"/>
      <c r="BC564" s="45"/>
      <c r="BD564" s="35"/>
      <c r="BE564" s="14"/>
      <c r="BF564" s="41">
        <f t="shared" ref="BF564:BG564" si="2038">K564+O564+S564+W564+AA564+AE564+AI564+AM564+AQ564+AU564+AY564+BC564</f>
        <v>0</v>
      </c>
      <c r="BG564" s="34">
        <f t="shared" si="2038"/>
        <v>0</v>
      </c>
      <c r="BH564" s="35">
        <f t="shared" si="2020"/>
        <v>0</v>
      </c>
      <c r="BK564" s="2" t="b">
        <f>H564='2020'!BH564</f>
        <v>1</v>
      </c>
    </row>
    <row r="565" ht="14.25" customHeight="1" hidden="1" spans="1:63" x14ac:dyDescent="0.25">
      <c r="A565" s="247">
        <v>62</v>
      </c>
      <c r="B565" s="21"/>
      <c r="C565" s="22" t="s">
        <v>53</v>
      </c>
      <c r="D565" s="21"/>
      <c r="E565" s="22"/>
      <c r="F565" s="20"/>
      <c r="G565" s="23"/>
      <c r="H565" s="51">
        <f>SUM(H557:H564)</f>
        <v>2867.1</v>
      </c>
      <c r="I565" s="52"/>
      <c r="J565" s="53"/>
      <c r="K565" s="51">
        <f t="shared" ref="K565:L565" si="2039">SUM(K557:K564)</f>
        <v>0</v>
      </c>
      <c r="L565" s="68">
        <f t="shared" si="2039"/>
        <v>0</v>
      </c>
      <c r="M565" s="52"/>
      <c r="N565" s="53"/>
      <c r="O565" s="51">
        <f t="shared" ref="O565:P565" si="2040">SUM(O557:O564)</f>
        <v>0</v>
      </c>
      <c r="P565" s="51">
        <f t="shared" si="2040"/>
        <v>0</v>
      </c>
      <c r="Q565" s="52"/>
      <c r="R565" s="53"/>
      <c r="S565" s="51">
        <f t="shared" ref="S565:T565" si="2041">SUM(S557:S564)</f>
        <v>0</v>
      </c>
      <c r="T565" s="51">
        <f t="shared" si="2041"/>
        <v>0</v>
      </c>
      <c r="U565" s="52"/>
      <c r="V565" s="53"/>
      <c r="W565" s="51">
        <f t="shared" ref="W565:X565" si="2042">SUM(W557:W564)</f>
        <v>0</v>
      </c>
      <c r="X565" s="51">
        <f t="shared" si="2042"/>
        <v>0</v>
      </c>
      <c r="Y565" s="300"/>
      <c r="Z565" s="301"/>
      <c r="AA565" s="51">
        <f t="shared" ref="AA565:AB565" si="2043">SUM(AA557:AA564)</f>
        <v>0</v>
      </c>
      <c r="AB565" s="51">
        <f t="shared" si="2043"/>
        <v>0</v>
      </c>
      <c r="AC565" s="52"/>
      <c r="AD565" s="53"/>
      <c r="AE565" s="51">
        <f t="shared" ref="AE565:AF565" si="2044">SUM(AE557:AE564)</f>
        <v>5060</v>
      </c>
      <c r="AF565" s="51">
        <f t="shared" si="2044"/>
        <v>0</v>
      </c>
      <c r="AG565" s="52"/>
      <c r="AH565" s="301"/>
      <c r="AI565" s="183">
        <f t="shared" ref="AI565:AJ565" si="2045">SUM(AI557:AI564)</f>
        <v>0</v>
      </c>
      <c r="AJ565" s="51">
        <f t="shared" si="2045"/>
        <v>0</v>
      </c>
      <c r="AK565" s="52"/>
      <c r="AL565" s="53"/>
      <c r="AM565" s="183">
        <f t="shared" ref="AM565:AN565" si="2046">SUM(AM557:AM564)</f>
        <v>0</v>
      </c>
      <c r="AN565" s="51">
        <f t="shared" si="2046"/>
        <v>8040</v>
      </c>
      <c r="AO565" s="52"/>
      <c r="AP565" s="53"/>
      <c r="AQ565" s="183">
        <f t="shared" ref="AQ565:AR565" si="2047">SUM(AQ557:AQ564)</f>
        <v>0</v>
      </c>
      <c r="AR565" s="51">
        <f t="shared" si="2047"/>
        <v>0</v>
      </c>
      <c r="AS565" s="52"/>
      <c r="AT565" s="53"/>
      <c r="AU565" s="183">
        <f t="shared" ref="AU565:AV565" si="2048">SUM(AU557:AU564)</f>
        <v>0</v>
      </c>
      <c r="AV565" s="68">
        <f t="shared" si="2048"/>
        <v>0</v>
      </c>
      <c r="AW565" s="52"/>
      <c r="AX565" s="53"/>
      <c r="AY565" s="183">
        <f t="shared" ref="AY565:AZ565" si="2049">SUM(AY557:AY564)</f>
        <v>0</v>
      </c>
      <c r="AZ565" s="68">
        <f t="shared" si="2049"/>
        <v>0</v>
      </c>
      <c r="BA565" s="52"/>
      <c r="BB565" s="53"/>
      <c r="BC565" s="183">
        <f t="shared" ref="BC565:BD565" si="2050">SUM(BC557:BC564)</f>
        <v>0</v>
      </c>
      <c r="BD565" s="68">
        <f t="shared" si="2050"/>
        <v>0</v>
      </c>
      <c r="BE565" s="69"/>
      <c r="BF565" s="70">
        <f t="shared" ref="BF565:BH565" si="2051">SUM(BF557:BF564)</f>
        <v>5060</v>
      </c>
      <c r="BG565" s="71">
        <f t="shared" si="2051"/>
        <v>8040</v>
      </c>
      <c r="BH565" s="72">
        <f t="shared" si="2051"/>
        <v>-112.9</v>
      </c>
      <c r="BI565" s="34">
        <f>H565+BF565-BG565</f>
        <v>-112.9</v>
      </c>
      <c r="BJ565" s="34">
        <f>BH565-BI565</f>
        <v>0</v>
      </c>
      <c r="BK565" s="2" t="b">
        <f>H565='2020'!BH565</f>
        <v>1</v>
      </c>
    </row>
    <row r="566" ht="14.25" customHeight="1" hidden="1" spans="1:63" x14ac:dyDescent="0.25">
      <c r="A566" s="89" t="s">
        <v>237</v>
      </c>
      <c r="B566" s="14"/>
      <c r="D566" s="14" t="s">
        <v>379</v>
      </c>
      <c r="F566" s="13"/>
      <c r="G566" s="28"/>
      <c r="H566" s="34">
        <f>'2020'!BH566</f>
        <v>0</v>
      </c>
      <c r="I566" s="13"/>
      <c r="J566" s="15"/>
      <c r="K566" s="15"/>
      <c r="L566" s="28"/>
      <c r="M566" s="13"/>
      <c r="N566" s="15"/>
      <c r="Q566" s="13"/>
      <c r="R566" s="15"/>
      <c r="S566" s="15"/>
      <c r="T566" s="28"/>
      <c r="U566" s="13"/>
      <c r="V566" s="15"/>
      <c r="Y566" s="186"/>
      <c r="Z566" s="2"/>
      <c r="AA566" s="15"/>
      <c r="AB566" s="28"/>
      <c r="AC566" s="15"/>
      <c r="AD566" s="15"/>
      <c r="AG566" s="15"/>
      <c r="AH566" s="2"/>
      <c r="AI566" s="45"/>
      <c r="AJ566" s="15"/>
      <c r="AK566" s="13"/>
      <c r="AM566" s="45"/>
      <c r="AO566" s="13"/>
      <c r="AQ566" s="45"/>
      <c r="AS566" s="13"/>
      <c r="AU566" s="45"/>
      <c r="AW566" s="13"/>
      <c r="AY566" s="45"/>
      <c r="AZ566" s="28"/>
      <c r="BA566" s="13"/>
      <c r="BB566" s="15"/>
      <c r="BC566" s="45"/>
      <c r="BD566" s="28"/>
      <c r="BE566" s="14"/>
      <c r="BF566" s="41">
        <f t="shared" ref="BF566:BG566" si="2052">K566+O566+S566+W566+AA566+AE566+AI566+AM566+AQ566+AU566+AY566+BC566</f>
        <v>0</v>
      </c>
      <c r="BG566" s="34">
        <f t="shared" si="2052"/>
        <v>0</v>
      </c>
      <c r="BH566" s="35">
        <f t="shared" ref="BH566:BH573" si="2053">H566+BF566-BG566</f>
        <v>0</v>
      </c>
      <c r="BK566" s="2" t="b">
        <f>H566='2020'!BH566</f>
        <v>1</v>
      </c>
    </row>
    <row r="567" ht="14.25" customHeight="1" hidden="1" spans="1:63" x14ac:dyDescent="0.25">
      <c r="A567" s="89" t="s">
        <v>237</v>
      </c>
      <c r="B567" s="14">
        <v>4.01</v>
      </c>
      <c r="C567" s="15" t="s">
        <v>238</v>
      </c>
      <c r="D567" s="14" t="s">
        <v>44</v>
      </c>
      <c r="E567" s="2" t="s">
        <v>45</v>
      </c>
      <c r="F567" s="41">
        <v>2.5</v>
      </c>
      <c r="G567" s="35">
        <v>2.6</v>
      </c>
      <c r="H567" s="34">
        <f>'2020'!BH567</f>
        <v>11.33</v>
      </c>
      <c r="I567" s="13">
        <v>49</v>
      </c>
      <c r="J567" s="15">
        <f>I567-'2020'!BA567</f>
        <v>0</v>
      </c>
      <c r="K567" s="34">
        <f>J567*$F$8</f>
        <v>0</v>
      </c>
      <c r="L567" s="28"/>
      <c r="M567" s="13">
        <v>49</v>
      </c>
      <c r="N567" s="15">
        <f t="shared" ref="N567:N568" si="2054">M567-I567</f>
        <v>0</v>
      </c>
      <c r="O567" s="34">
        <f>N567*$F$8</f>
        <v>0</v>
      </c>
      <c r="Q567" s="13">
        <v>49</v>
      </c>
      <c r="R567" s="15">
        <f t="shared" ref="R567:R568" si="2055">Q567-M567</f>
        <v>0</v>
      </c>
      <c r="S567" s="34">
        <f>R567*$F$8</f>
        <v>0</v>
      </c>
      <c r="T567" s="28"/>
      <c r="U567" s="13">
        <v>49</v>
      </c>
      <c r="V567" s="15">
        <f t="shared" ref="V567:V568" si="2056">U567-Q567</f>
        <v>0</v>
      </c>
      <c r="W567" s="34">
        <f>V567*$F$8</f>
        <v>0</v>
      </c>
      <c r="Y567" s="186">
        <v>51</v>
      </c>
      <c r="Z567" s="2">
        <f t="shared" ref="Z567:Z568" si="2057">Y567-U567</f>
        <v>2</v>
      </c>
      <c r="AA567" s="34">
        <f>Z567*$F$8</f>
        <v>5.2</v>
      </c>
      <c r="AB567" s="28"/>
      <c r="AC567" s="15">
        <v>80</v>
      </c>
      <c r="AD567" s="2">
        <f t="shared" ref="AD567:AD568" si="2058">AC567-Y567</f>
        <v>29</v>
      </c>
      <c r="AE567" s="180">
        <f>AD567*$F$8</f>
        <v>75.4</v>
      </c>
      <c r="AF567" s="154">
        <v>91.93</v>
      </c>
      <c r="AG567" s="15">
        <v>128</v>
      </c>
      <c r="AH567" s="2">
        <f t="shared" ref="AH567:AH568" si="2059">AG567-AC567</f>
        <v>48</v>
      </c>
      <c r="AI567" s="45">
        <f>AH567*$G$8</f>
        <v>129.6</v>
      </c>
      <c r="AJ567" s="326">
        <v>129.6</v>
      </c>
      <c r="AK567" s="13">
        <v>167</v>
      </c>
      <c r="AL567" s="15">
        <f t="shared" ref="AL567:AL568" si="2060">AK567-AG567</f>
        <v>39</v>
      </c>
      <c r="AM567" s="45">
        <f>AL567*$G$8</f>
        <v>105.3</v>
      </c>
      <c r="AN567" s="305">
        <v>150</v>
      </c>
      <c r="AO567" s="13">
        <v>190</v>
      </c>
      <c r="AP567" s="15">
        <f t="shared" ref="AP567:AP568" si="2061">AO567-AK567</f>
        <v>23</v>
      </c>
      <c r="AQ567" s="45">
        <f>AP567*$G$8</f>
        <v>62.1</v>
      </c>
      <c r="AR567" s="15"/>
      <c r="AS567" s="13">
        <v>193</v>
      </c>
      <c r="AT567" s="15">
        <f t="shared" ref="AT567:AT568" si="2062">AS567-AO567</f>
        <v>3</v>
      </c>
      <c r="AU567" s="45">
        <f>AT567*$G$8</f>
        <v>8.1</v>
      </c>
      <c r="AV567" s="15"/>
      <c r="AW567" s="13">
        <v>193</v>
      </c>
      <c r="AX567" s="15">
        <f t="shared" ref="AX567:AX568" si="2063">AW567-AS567</f>
        <v>0</v>
      </c>
      <c r="AY567" s="45">
        <f>AX567*$G$8</f>
        <v>0</v>
      </c>
      <c r="AZ567" s="208"/>
      <c r="BA567" s="13">
        <v>193</v>
      </c>
      <c r="BB567" s="15">
        <f t="shared" ref="BB567:BB568" si="2064">BA567-AW567</f>
        <v>0</v>
      </c>
      <c r="BC567" s="45">
        <f>BB567*$G$8</f>
        <v>0</v>
      </c>
      <c r="BD567" s="208"/>
      <c r="BE567" s="40">
        <f t="shared" ref="BE567:BG567" si="2065">J567+N567+R567+V567+Z567+AD567+AH567+AL567+AP567+AT567+AX567+BB567</f>
        <v>144</v>
      </c>
      <c r="BF567" s="41">
        <f t="shared" si="2065"/>
        <v>385.7</v>
      </c>
      <c r="BG567" s="34">
        <f t="shared" si="2065"/>
        <v>371.53</v>
      </c>
      <c r="BH567" s="35">
        <f t="shared" si="2053"/>
        <v>25.5</v>
      </c>
      <c r="BK567" s="2" t="b">
        <f>H567='2020'!BH567</f>
        <v>1</v>
      </c>
    </row>
    <row r="568" ht="14.25" customHeight="1" hidden="1" spans="1:63" x14ac:dyDescent="0.25">
      <c r="A568" s="89" t="s">
        <v>237</v>
      </c>
      <c r="B568" s="14"/>
      <c r="C568" s="15" t="s">
        <v>239</v>
      </c>
      <c r="D568" s="14" t="s">
        <v>47</v>
      </c>
      <c r="E568" s="2" t="s">
        <v>48</v>
      </c>
      <c r="F568" s="13">
        <v>18.56</v>
      </c>
      <c r="G568" s="35">
        <v>19.46</v>
      </c>
      <c r="H568" s="34">
        <f>'2020'!BH568</f>
        <v>0</v>
      </c>
      <c r="I568" s="13">
        <v>132</v>
      </c>
      <c r="J568" s="15"/>
      <c r="K568" s="15"/>
      <c r="L568" s="28"/>
      <c r="M568" s="13">
        <v>132</v>
      </c>
      <c r="N568" s="15">
        <f t="shared" si="2054"/>
        <v>0</v>
      </c>
      <c r="Q568" s="13">
        <v>132</v>
      </c>
      <c r="R568" s="15">
        <f t="shared" si="2055"/>
        <v>0</v>
      </c>
      <c r="S568" s="15"/>
      <c r="T568" s="28"/>
      <c r="U568" s="13">
        <v>132</v>
      </c>
      <c r="V568" s="15">
        <f t="shared" si="2056"/>
        <v>0</v>
      </c>
      <c r="W568" s="34">
        <f>V568*$F$10</f>
        <v>0</v>
      </c>
      <c r="Y568" s="186">
        <v>133</v>
      </c>
      <c r="Z568" s="2">
        <f t="shared" si="2057"/>
        <v>1</v>
      </c>
      <c r="AA568" s="34">
        <f>Z568*$F$10</f>
        <v>19.46</v>
      </c>
      <c r="AB568" s="28"/>
      <c r="AC568" s="15">
        <v>141</v>
      </c>
      <c r="AD568" s="15">
        <f t="shared" si="2058"/>
        <v>8</v>
      </c>
      <c r="AE568" s="34">
        <f>AD568*$F$10</f>
        <v>155.68</v>
      </c>
      <c r="AF568" s="154">
        <v>175.14</v>
      </c>
      <c r="AG568" s="15">
        <v>148</v>
      </c>
      <c r="AH568" s="2">
        <f t="shared" si="2059"/>
        <v>7</v>
      </c>
      <c r="AI568" s="45">
        <f>AH568*$G$10</f>
        <v>142.45</v>
      </c>
      <c r="AJ568" s="306">
        <v>142.45</v>
      </c>
      <c r="AK568" s="13">
        <v>152</v>
      </c>
      <c r="AL568" s="15">
        <f t="shared" si="2060"/>
        <v>4</v>
      </c>
      <c r="AM568" s="45">
        <f>AL568*$G$10</f>
        <v>81.4</v>
      </c>
      <c r="AN568" s="305">
        <v>100</v>
      </c>
      <c r="AO568" s="13">
        <v>153</v>
      </c>
      <c r="AP568" s="15">
        <f t="shared" si="2061"/>
        <v>1</v>
      </c>
      <c r="AQ568" s="45">
        <f>AP568*$G$10</f>
        <v>20.35</v>
      </c>
      <c r="AR568" s="15"/>
      <c r="AS568" s="13">
        <v>153</v>
      </c>
      <c r="AT568" s="15">
        <f t="shared" si="2062"/>
        <v>0</v>
      </c>
      <c r="AU568" s="45">
        <f>AT568*$G$10</f>
        <v>0</v>
      </c>
      <c r="AV568" s="15"/>
      <c r="AW568" s="13">
        <v>153</v>
      </c>
      <c r="AX568" s="15">
        <f t="shared" si="2063"/>
        <v>0</v>
      </c>
      <c r="AY568" s="45"/>
      <c r="AZ568" s="208"/>
      <c r="BA568" s="13">
        <v>153</v>
      </c>
      <c r="BB568" s="15">
        <f t="shared" si="2064"/>
        <v>0</v>
      </c>
      <c r="BC568" s="45"/>
      <c r="BD568" s="208"/>
      <c r="BE568" s="40">
        <f t="shared" ref="BE568:BG568" si="2066">J568+N568+R568+V568+Z568+AD568+AH568+AL568+AP568+AT568+AX568+BB568</f>
        <v>21</v>
      </c>
      <c r="BF568" s="41">
        <f t="shared" si="2066"/>
        <v>419.34</v>
      </c>
      <c r="BG568" s="34">
        <f t="shared" si="2066"/>
        <v>417.59</v>
      </c>
      <c r="BH568" s="35">
        <f t="shared" si="2053"/>
        <v>1.75</v>
      </c>
      <c r="BK568" s="2" t="b">
        <f>H568='2020'!BH568</f>
        <v>1</v>
      </c>
    </row>
    <row r="569" ht="14.25" customHeight="1" hidden="1" spans="1:63" x14ac:dyDescent="0.25">
      <c r="A569" s="89" t="s">
        <v>237</v>
      </c>
      <c r="B569" s="14"/>
      <c r="C569" s="15" t="s">
        <v>68</v>
      </c>
      <c r="D569" s="14" t="s">
        <v>47</v>
      </c>
      <c r="E569" s="2" t="s">
        <v>49</v>
      </c>
      <c r="F569" s="41">
        <v>500</v>
      </c>
      <c r="G569" s="28"/>
      <c r="H569" s="34">
        <f>'2020'!BH569</f>
        <v>0</v>
      </c>
      <c r="I569" s="13"/>
      <c r="J569" s="15"/>
      <c r="K569" s="15"/>
      <c r="L569" s="28"/>
      <c r="M569" s="13"/>
      <c r="N569" s="15"/>
      <c r="Q569" s="13"/>
      <c r="R569" s="15"/>
      <c r="S569" s="15"/>
      <c r="T569" s="28"/>
      <c r="U569" s="13"/>
      <c r="V569" s="15"/>
      <c r="Y569" s="186"/>
      <c r="Z569" s="2"/>
      <c r="AA569" s="15"/>
      <c r="AB569" s="28"/>
      <c r="AC569" s="15"/>
      <c r="AD569" s="15"/>
      <c r="AF569" s="154"/>
      <c r="AG569" s="15"/>
      <c r="AH569" s="2"/>
      <c r="AI569" s="45"/>
      <c r="AJ569" s="154"/>
      <c r="AK569" s="13"/>
      <c r="AL569" s="15"/>
      <c r="AM569" s="45"/>
      <c r="AN569" s="15"/>
      <c r="AO569" s="13"/>
      <c r="AP569" s="15"/>
      <c r="AQ569" s="45"/>
      <c r="AR569" s="15"/>
      <c r="AS569" s="13"/>
      <c r="AT569" s="15"/>
      <c r="AU569" s="45"/>
      <c r="AV569" s="15"/>
      <c r="AW569" s="13"/>
      <c r="AX569" s="15"/>
      <c r="AY569" s="45"/>
      <c r="AZ569" s="28"/>
      <c r="BA569" s="13"/>
      <c r="BB569" s="15"/>
      <c r="BC569" s="45"/>
      <c r="BD569" s="28"/>
      <c r="BE569" s="14"/>
      <c r="BF569" s="41">
        <f t="shared" ref="BF569:BG569" si="2067">K569+O569+S569+W569+AA569+AE569+AI569+AM569+AQ569+AU569+AY569+BC569</f>
        <v>0</v>
      </c>
      <c r="BG569" s="34">
        <f t="shared" si="2067"/>
        <v>0</v>
      </c>
      <c r="BH569" s="35">
        <f t="shared" si="2053"/>
        <v>0</v>
      </c>
      <c r="BK569" s="2" t="b">
        <f>H569='2020'!BH569</f>
        <v>1</v>
      </c>
    </row>
    <row r="570" ht="14.25" customHeight="1" hidden="1" spans="1:63" x14ac:dyDescent="0.25">
      <c r="A570" s="89" t="s">
        <v>237</v>
      </c>
      <c r="B570" s="14"/>
      <c r="C570" s="15" t="s">
        <v>240</v>
      </c>
      <c r="D570" s="14" t="s">
        <v>50</v>
      </c>
      <c r="E570" s="2" t="s">
        <v>49</v>
      </c>
      <c r="F570" s="41">
        <v>1100</v>
      </c>
      <c r="G570" s="28"/>
      <c r="H570" s="34">
        <f>'2020'!BH570</f>
        <v>0</v>
      </c>
      <c r="I570" s="13"/>
      <c r="J570" s="15"/>
      <c r="K570" s="15"/>
      <c r="L570" s="28"/>
      <c r="M570" s="13"/>
      <c r="N570" s="15"/>
      <c r="Q570" s="13"/>
      <c r="R570" s="15"/>
      <c r="S570" s="15"/>
      <c r="T570" s="28"/>
      <c r="U570" s="13"/>
      <c r="V570" s="15"/>
      <c r="Y570" s="186"/>
      <c r="Z570" s="2"/>
      <c r="AA570" s="15"/>
      <c r="AB570" s="28"/>
      <c r="AC570" s="15"/>
      <c r="AD570" s="15"/>
      <c r="AE570" s="34">
        <f>B567*$F$12</f>
        <v>4411</v>
      </c>
      <c r="AF570" s="154">
        <v>4411</v>
      </c>
      <c r="AG570" s="15"/>
      <c r="AH570" s="2"/>
      <c r="AI570" s="45"/>
      <c r="AJ570" s="180"/>
      <c r="AK570" s="13"/>
      <c r="AL570" s="15"/>
      <c r="AM570" s="45"/>
      <c r="AN570" s="15"/>
      <c r="AO570" s="13"/>
      <c r="AP570" s="15"/>
      <c r="AQ570" s="45"/>
      <c r="AR570" s="15"/>
      <c r="AS570" s="13"/>
      <c r="AT570" s="15"/>
      <c r="AU570" s="45"/>
      <c r="AV570" s="15"/>
      <c r="AW570" s="13"/>
      <c r="AX570" s="15"/>
      <c r="AY570" s="45"/>
      <c r="AZ570" s="28"/>
      <c r="BA570" s="13"/>
      <c r="BB570" s="15"/>
      <c r="BC570" s="45"/>
      <c r="BD570" s="28"/>
      <c r="BE570" s="14"/>
      <c r="BF570" s="41">
        <f t="shared" ref="BF570:BG570" si="2068">K570+O570+S570+W570+AA570+AE570+AI570+AM570+AQ570+AU570+AY570+BC570</f>
        <v>4411</v>
      </c>
      <c r="BG570" s="34">
        <f t="shared" si="2068"/>
        <v>4411</v>
      </c>
      <c r="BH570" s="35">
        <f t="shared" si="2053"/>
        <v>0</v>
      </c>
      <c r="BK570" s="2" t="b">
        <f>H570='2020'!BH570</f>
        <v>1</v>
      </c>
    </row>
    <row r="571" ht="14.25" customHeight="1" hidden="1" spans="1:63" x14ac:dyDescent="0.25">
      <c r="A571" s="89" t="s">
        <v>237</v>
      </c>
      <c r="B571" s="14"/>
      <c r="D571" s="14" t="s">
        <v>51</v>
      </c>
      <c r="E571" s="2" t="s">
        <v>39</v>
      </c>
      <c r="F571" s="41">
        <v>500</v>
      </c>
      <c r="G571" s="28"/>
      <c r="H571" s="34">
        <f>'2020'!BH571</f>
        <v>500</v>
      </c>
      <c r="I571" s="13"/>
      <c r="J571" s="15"/>
      <c r="K571" s="15"/>
      <c r="L571" s="28"/>
      <c r="M571" s="13"/>
      <c r="N571" s="15"/>
      <c r="Q571" s="13"/>
      <c r="R571" s="15"/>
      <c r="S571" s="15"/>
      <c r="T571" s="28"/>
      <c r="U571" s="13"/>
      <c r="V571" s="15"/>
      <c r="Y571" s="186"/>
      <c r="Z571" s="2"/>
      <c r="AA571" s="15"/>
      <c r="AB571" s="28"/>
      <c r="AC571" s="15"/>
      <c r="AD571" s="15"/>
      <c r="AE571" s="180">
        <f>$F$13</f>
      </c>
      <c r="AF571" s="154">
        <v>500</v>
      </c>
      <c r="AG571" s="15"/>
      <c r="AH571" s="2"/>
      <c r="AI571" s="45"/>
      <c r="AJ571" s="180"/>
      <c r="AK571" s="13"/>
      <c r="AL571" s="15"/>
      <c r="AM571" s="45"/>
      <c r="AN571" s="15"/>
      <c r="AO571" s="13"/>
      <c r="AP571" s="15"/>
      <c r="AQ571" s="180"/>
      <c r="AR571" s="15"/>
      <c r="AS571" s="13"/>
      <c r="AT571" s="15"/>
      <c r="AU571" s="45"/>
      <c r="AV571" s="15"/>
      <c r="AW571" s="13"/>
      <c r="AX571" s="15"/>
      <c r="AY571" s="45"/>
      <c r="AZ571" s="28"/>
      <c r="BA571" s="13"/>
      <c r="BB571" s="15"/>
      <c r="BC571" s="45"/>
      <c r="BD571" s="28"/>
      <c r="BE571" s="14"/>
      <c r="BF571" s="41">
        <f t="shared" ref="BF571:BG571" si="2069">K571+O571+S571+W571+AA571+AE571+AI571+AM571+AQ571+AU571+AY571+BC571</f>
        <v>0</v>
      </c>
      <c r="BG571" s="34">
        <f t="shared" si="2069"/>
        <v>500</v>
      </c>
      <c r="BH571" s="35">
        <f t="shared" si="2053"/>
        <v>0</v>
      </c>
      <c r="BK571" s="2" t="b">
        <f>H571='2020'!BH571</f>
        <v>1</v>
      </c>
    </row>
    <row r="572" ht="14.25" customHeight="1" hidden="1" spans="1:63" x14ac:dyDescent="0.25">
      <c r="A572" s="89" t="s">
        <v>237</v>
      </c>
      <c r="B572" s="14"/>
      <c r="D572" s="14" t="s">
        <v>51</v>
      </c>
      <c r="E572" s="2" t="s">
        <v>49</v>
      </c>
      <c r="F572" s="41">
        <v>500</v>
      </c>
      <c r="G572" s="28"/>
      <c r="H572" s="34">
        <f>'2020'!BH572</f>
        <v>2005</v>
      </c>
      <c r="I572" s="13"/>
      <c r="J572" s="15"/>
      <c r="K572" s="15"/>
      <c r="L572" s="28"/>
      <c r="M572" s="13"/>
      <c r="N572" s="15"/>
      <c r="Q572" s="13"/>
      <c r="R572" s="15"/>
      <c r="S572" s="15"/>
      <c r="T572" s="28"/>
      <c r="U572" s="13"/>
      <c r="V572" s="15"/>
      <c r="Y572" s="186"/>
      <c r="Z572" s="2"/>
      <c r="AA572" s="15"/>
      <c r="AB572" s="28"/>
      <c r="AC572" s="15"/>
      <c r="AD572" s="15"/>
      <c r="AE572" s="34"/>
      <c r="AF572" s="154">
        <v>2005</v>
      </c>
      <c r="AG572" s="15"/>
      <c r="AH572" s="2"/>
      <c r="AI572" s="45"/>
      <c r="AJ572" s="180"/>
      <c r="AK572" s="13"/>
      <c r="AL572" s="15"/>
      <c r="AM572" s="45"/>
      <c r="AN572" s="15"/>
      <c r="AO572" s="13"/>
      <c r="AP572" s="15"/>
      <c r="AQ572" s="180">
        <f>B567*$F$14</f>
        <v>0</v>
      </c>
      <c r="AR572" s="15"/>
      <c r="AS572" s="13"/>
      <c r="AT572" s="15"/>
      <c r="AU572" s="45"/>
      <c r="AV572" s="15"/>
      <c r="AW572" s="13"/>
      <c r="AX572" s="15"/>
      <c r="AY572" s="45"/>
      <c r="AZ572" s="28"/>
      <c r="BA572" s="13"/>
      <c r="BB572" s="15"/>
      <c r="BC572" s="45"/>
      <c r="BD572" s="28"/>
      <c r="BE572" s="14"/>
      <c r="BF572" s="41">
        <f t="shared" ref="BF572:BG572" si="2070">K572+O572+S572+W572+AA572+AE572+AI572+AM572+AQ572+AU572+AY572+BC572</f>
        <v>0</v>
      </c>
      <c r="BG572" s="34">
        <f t="shared" si="2070"/>
        <v>2005</v>
      </c>
      <c r="BH572" s="35">
        <f t="shared" si="2053"/>
        <v>0</v>
      </c>
      <c r="BK572" s="2" t="b">
        <f>H572='2020'!BH572</f>
        <v>1</v>
      </c>
    </row>
    <row r="573" ht="14.25" customHeight="1" hidden="1" spans="1:63" x14ac:dyDescent="0.25">
      <c r="A573" s="89" t="s">
        <v>237</v>
      </c>
      <c r="B573" s="14"/>
      <c r="D573" s="14" t="s">
        <v>52</v>
      </c>
      <c r="E573" s="2" t="s">
        <v>39</v>
      </c>
      <c r="F573" s="41">
        <v>500</v>
      </c>
      <c r="G573" s="28"/>
      <c r="H573" s="34">
        <f>'2020'!BH573</f>
        <v>0</v>
      </c>
      <c r="I573" s="13"/>
      <c r="J573" s="15"/>
      <c r="K573" s="15"/>
      <c r="L573" s="28"/>
      <c r="M573" s="13"/>
      <c r="N573" s="15"/>
      <c r="Q573" s="13"/>
      <c r="R573" s="15"/>
      <c r="S573" s="15"/>
      <c r="T573" s="28"/>
      <c r="U573" s="13"/>
      <c r="V573" s="15"/>
      <c r="Y573" s="186"/>
      <c r="Z573" s="2"/>
      <c r="AA573" s="34">
        <f>$F$15</f>
      </c>
      <c r="AB573" s="28"/>
      <c r="AC573" s="15"/>
      <c r="AD573" s="15"/>
      <c r="AG573" s="15"/>
      <c r="AH573" s="2"/>
      <c r="AI573" s="45"/>
      <c r="AJ573" s="180"/>
      <c r="AK573" s="13"/>
      <c r="AL573" s="15"/>
      <c r="AM573" s="45"/>
      <c r="AN573" s="15"/>
      <c r="AO573" s="13"/>
      <c r="AP573" s="15"/>
      <c r="AQ573" s="45"/>
      <c r="AR573" s="15"/>
      <c r="AS573" s="13"/>
      <c r="AT573" s="15"/>
      <c r="AU573" s="45"/>
      <c r="AV573" s="15"/>
      <c r="AW573" s="13"/>
      <c r="AX573" s="15"/>
      <c r="AY573" s="45"/>
      <c r="AZ573" s="35"/>
      <c r="BA573" s="13"/>
      <c r="BB573" s="15"/>
      <c r="BC573" s="45"/>
      <c r="BD573" s="35"/>
      <c r="BE573" s="14"/>
      <c r="BF573" s="41">
        <f t="shared" ref="BF573:BG573" si="2071">K573+O573+S573+W573+AA573+AE573+AI573+AM573+AQ573+AU573+AY573+BC573</f>
        <v>0</v>
      </c>
      <c r="BG573" s="34">
        <f t="shared" si="2071"/>
        <v>0</v>
      </c>
      <c r="BH573" s="35">
        <f t="shared" si="2053"/>
        <v>0</v>
      </c>
      <c r="BK573" s="2" t="b">
        <f>H573='2020'!BH573</f>
        <v>1</v>
      </c>
    </row>
    <row r="574" ht="14.25" customHeight="1" hidden="1" spans="1:63" x14ac:dyDescent="0.25">
      <c r="A574" s="243" t="s">
        <v>237</v>
      </c>
      <c r="B574" s="21"/>
      <c r="C574" s="22" t="s">
        <v>53</v>
      </c>
      <c r="D574" s="21"/>
      <c r="E574" s="22"/>
      <c r="F574" s="20"/>
      <c r="G574" s="23"/>
      <c r="H574" s="51">
        <f>SUM(H566:H573)</f>
        <v>2516.33</v>
      </c>
      <c r="I574" s="52"/>
      <c r="J574" s="53"/>
      <c r="K574" s="51">
        <f t="shared" ref="K574:L574" si="2072">SUM(K566:K573)</f>
        <v>0</v>
      </c>
      <c r="L574" s="68">
        <f t="shared" si="2072"/>
        <v>0</v>
      </c>
      <c r="M574" s="52"/>
      <c r="N574" s="53"/>
      <c r="O574" s="51">
        <f t="shared" ref="O574:P574" si="2073">SUM(O566:O573)</f>
        <v>0</v>
      </c>
      <c r="P574" s="51">
        <f t="shared" si="2073"/>
        <v>0</v>
      </c>
      <c r="Q574" s="52"/>
      <c r="R574" s="53"/>
      <c r="S574" s="51">
        <f t="shared" ref="S574:T574" si="2074">SUM(S566:S573)</f>
        <v>0</v>
      </c>
      <c r="T574" s="51">
        <f t="shared" si="2074"/>
        <v>0</v>
      </c>
      <c r="U574" s="52"/>
      <c r="V574" s="53"/>
      <c r="W574" s="51">
        <f t="shared" ref="W574:X574" si="2075">SUM(W566:W573)</f>
        <v>0</v>
      </c>
      <c r="X574" s="51">
        <f t="shared" si="2075"/>
        <v>0</v>
      </c>
      <c r="Y574" s="300"/>
      <c r="Z574" s="301"/>
      <c r="AA574" s="51">
        <f t="shared" ref="AA574:AB574" si="2076">SUM(AA566:AA573)</f>
        <v>24.66</v>
      </c>
      <c r="AB574" s="51">
        <f t="shared" si="2076"/>
        <v>0</v>
      </c>
      <c r="AC574" s="52"/>
      <c r="AD574" s="53"/>
      <c r="AE574" s="51">
        <f t="shared" ref="AE574:AF574" si="2077">SUM(AE566:AE573)</f>
        <v>4642.08</v>
      </c>
      <c r="AF574" s="51">
        <f t="shared" si="2077"/>
        <v>7183.07</v>
      </c>
      <c r="AG574" s="52"/>
      <c r="AH574" s="301"/>
      <c r="AI574" s="183">
        <f t="shared" ref="AI574:AJ574" si="2078">SUM(AI566:AI573)</f>
        <v>272.05</v>
      </c>
      <c r="AJ574" s="51">
        <f t="shared" si="2078"/>
        <v>272.05</v>
      </c>
      <c r="AK574" s="52"/>
      <c r="AL574" s="53"/>
      <c r="AM574" s="183">
        <f t="shared" ref="AM574:AN574" si="2079">SUM(AM566:AM573)</f>
        <v>186.7</v>
      </c>
      <c r="AN574" s="51">
        <f t="shared" si="2079"/>
        <v>250</v>
      </c>
      <c r="AO574" s="52"/>
      <c r="AP574" s="53"/>
      <c r="AQ574" s="183">
        <f t="shared" ref="AQ574:AR574" si="2080">SUM(AQ566:AQ573)</f>
        <v>82.45</v>
      </c>
      <c r="AR574" s="51">
        <f t="shared" si="2080"/>
        <v>0</v>
      </c>
      <c r="AS574" s="52"/>
      <c r="AT574" s="53"/>
      <c r="AU574" s="183">
        <f t="shared" ref="AU574:AV574" si="2081">SUM(AU566:AU573)</f>
        <v>8.1</v>
      </c>
      <c r="AV574" s="68">
        <f t="shared" si="2081"/>
        <v>0</v>
      </c>
      <c r="AW574" s="52"/>
      <c r="AX574" s="53"/>
      <c r="AY574" s="183">
        <f t="shared" ref="AY574:AZ574" si="2082">SUM(AY566:AY573)</f>
        <v>0</v>
      </c>
      <c r="AZ574" s="68">
        <f t="shared" si="2082"/>
        <v>0</v>
      </c>
      <c r="BA574" s="52"/>
      <c r="BB574" s="53"/>
      <c r="BC574" s="183">
        <f t="shared" ref="BC574:BD574" si="2083">SUM(BC566:BC573)</f>
        <v>0</v>
      </c>
      <c r="BD574" s="68">
        <f t="shared" si="2083"/>
        <v>0</v>
      </c>
      <c r="BE574" s="69"/>
      <c r="BF574" s="70">
        <f t="shared" ref="BF574:BH574" si="2084">SUM(BF566:BF573)</f>
        <v>5216.04</v>
      </c>
      <c r="BG574" s="71">
        <f t="shared" si="2084"/>
        <v>7705.12</v>
      </c>
      <c r="BH574" s="72">
        <f t="shared" si="2084"/>
        <v>27.25</v>
      </c>
      <c r="BI574" s="34">
        <f>H574+BF574-BG574</f>
        <v>27.25</v>
      </c>
      <c r="BJ574" s="34">
        <f>BH574-BI574</f>
        <v>0</v>
      </c>
      <c r="BK574" s="2" t="b">
        <f>H574='2020'!BH574</f>
        <v>1</v>
      </c>
    </row>
    <row r="575" ht="14.25" customHeight="1" hidden="1" spans="1:63" x14ac:dyDescent="0.25">
      <c r="A575" s="89" t="s">
        <v>237</v>
      </c>
      <c r="B575" s="14"/>
      <c r="D575" s="14" t="s">
        <v>379</v>
      </c>
      <c r="F575" s="13"/>
      <c r="G575" s="28"/>
      <c r="H575" s="34">
        <f>'2020'!BH575</f>
        <v>17.2</v>
      </c>
      <c r="I575" s="13"/>
      <c r="J575" s="15"/>
      <c r="K575" s="15">
        <v>4.37</v>
      </c>
      <c r="L575" s="28"/>
      <c r="M575" s="13"/>
      <c r="N575" s="15"/>
      <c r="O575" s="2">
        <v>3.95</v>
      </c>
      <c r="Q575" s="13"/>
      <c r="R575" s="15"/>
      <c r="S575" s="15">
        <v>4.37</v>
      </c>
      <c r="T575" s="28"/>
      <c r="U575" s="13"/>
      <c r="V575" s="15"/>
      <c r="W575" s="2">
        <v>4.23</v>
      </c>
      <c r="Y575" s="186"/>
      <c r="Z575" s="2"/>
      <c r="AA575" s="15">
        <v>4.37</v>
      </c>
      <c r="AB575" s="28"/>
      <c r="AC575" s="15"/>
      <c r="AD575" s="15"/>
      <c r="AE575" s="2">
        <v>3.53</v>
      </c>
      <c r="AF575" s="154">
        <v>38.49</v>
      </c>
      <c r="AG575" s="15"/>
      <c r="AH575" s="2"/>
      <c r="AI575" s="45"/>
      <c r="AJ575" s="15"/>
      <c r="AK575" s="13"/>
      <c r="AM575" s="45"/>
      <c r="AO575" s="13"/>
      <c r="AQ575" s="180"/>
      <c r="AS575" s="13"/>
      <c r="AU575" s="180"/>
      <c r="AW575" s="13"/>
      <c r="AY575" s="180"/>
      <c r="AZ575" s="28"/>
      <c r="BA575" s="13"/>
      <c r="BB575" s="15"/>
      <c r="BC575" s="180"/>
      <c r="BD575" s="28"/>
      <c r="BE575" s="14"/>
      <c r="BF575" s="41">
        <f t="shared" ref="BF575:BG575" si="2085">K575+O575+S575+W575+AA575+AE575+AI575+AM575+AQ575+AU575+AY575+BC575</f>
        <v>24.82</v>
      </c>
      <c r="BG575" s="34">
        <f t="shared" si="2085"/>
        <v>38.49</v>
      </c>
      <c r="BH575" s="35">
        <f t="shared" ref="BH575:BH582" si="2086">H575+BF575-BG575</f>
        <v>3.53</v>
      </c>
      <c r="BK575" s="2" t="b">
        <f>H575='2020'!BH575</f>
        <v>1</v>
      </c>
    </row>
    <row r="576" ht="14.25" customHeight="1" hidden="1" spans="1:63" x14ac:dyDescent="0.25">
      <c r="A576" s="89" t="s">
        <v>237</v>
      </c>
      <c r="B576" s="14">
        <v>4.01</v>
      </c>
      <c r="C576" s="15" t="s">
        <v>238</v>
      </c>
      <c r="D576" s="14" t="s">
        <v>44</v>
      </c>
      <c r="E576" s="2" t="s">
        <v>45</v>
      </c>
      <c r="F576" s="41">
        <v>2.5</v>
      </c>
      <c r="G576" s="35">
        <v>2.6</v>
      </c>
      <c r="H576" s="34">
        <f>'2020'!BH576</f>
        <v>0</v>
      </c>
      <c r="I576" s="13">
        <v>0</v>
      </c>
      <c r="J576" s="15">
        <f>I576-'2020'!BA576</f>
        <v>0</v>
      </c>
      <c r="K576" s="34">
        <f>J576*$F$8</f>
        <v>0</v>
      </c>
      <c r="L576" s="28"/>
      <c r="M576" s="13">
        <v>0</v>
      </c>
      <c r="N576" s="15">
        <f t="shared" ref="N576:N577" si="2087">M576-I576</f>
        <v>0</v>
      </c>
      <c r="O576" s="34">
        <f>N576*$F$8</f>
        <v>0</v>
      </c>
      <c r="Q576" s="13">
        <v>0</v>
      </c>
      <c r="R576" s="15">
        <f t="shared" ref="R576:R577" si="2088">Q576-M576</f>
        <v>0</v>
      </c>
      <c r="S576" s="34">
        <f>R576*$F$8</f>
        <v>0</v>
      </c>
      <c r="T576" s="28"/>
      <c r="U576" s="13">
        <v>0</v>
      </c>
      <c r="V576" s="15">
        <f t="shared" ref="V576:V577" si="2089">U576-Q576</f>
        <v>0</v>
      </c>
      <c r="W576" s="34">
        <f>V576*$F$8</f>
        <v>0</v>
      </c>
      <c r="Y576" s="186"/>
      <c r="Z576" s="2">
        <f t="shared" ref="Z576:Z577" si="2090">Y576-U576</f>
        <v>0</v>
      </c>
      <c r="AA576" s="34">
        <f>Z576*$F$8</f>
        <v>0</v>
      </c>
      <c r="AB576" s="28"/>
      <c r="AC576" s="15"/>
      <c r="AD576" s="15">
        <f t="shared" ref="AD576:AD577" si="2091">AC576-Y576</f>
        <v>0</v>
      </c>
      <c r="AE576" s="180">
        <f>AD576*$F$8</f>
        <v>0</v>
      </c>
      <c r="AF576" s="154"/>
      <c r="AG576" s="15"/>
      <c r="AH576" s="2">
        <f t="shared" ref="AH576:AH577" si="2092">AG576-AC576</f>
        <v>0</v>
      </c>
      <c r="AI576" s="45">
        <f>AH576*$G$8</f>
        <v>0</v>
      </c>
      <c r="AJ576" s="2"/>
      <c r="AK576" s="13"/>
      <c r="AL576" s="15">
        <f t="shared" ref="AL576:AL577" si="2093">AK576-AG576</f>
        <v>0</v>
      </c>
      <c r="AM576" s="45">
        <f>AL576*$G$8</f>
        <v>0</v>
      </c>
      <c r="AN576" s="15"/>
      <c r="AO576" s="13"/>
      <c r="AP576" s="15">
        <f t="shared" ref="AP576:AP577" si="2094">AO576-AK576</f>
        <v>0</v>
      </c>
      <c r="AQ576" s="45">
        <f>AP576*$G$8</f>
        <v>0</v>
      </c>
      <c r="AR576" s="15"/>
      <c r="AS576" s="13"/>
      <c r="AT576" s="15">
        <f t="shared" ref="AT576:AT577" si="2095">AS576-AO576</f>
        <v>0</v>
      </c>
      <c r="AU576" s="45">
        <f>AT576*$G$8</f>
        <v>0</v>
      </c>
      <c r="AV576" s="15"/>
      <c r="AW576" s="13"/>
      <c r="AX576" s="15">
        <f t="shared" ref="AX576:AX577" si="2096">AW576-AS576</f>
        <v>0</v>
      </c>
      <c r="AY576" s="45">
        <f>AX576*$G$8</f>
        <v>0</v>
      </c>
      <c r="AZ576" s="208"/>
      <c r="BA576" s="13"/>
      <c r="BB576" s="15">
        <f t="shared" ref="BB576:BB577" si="2097">BA576-AW576</f>
        <v>0</v>
      </c>
      <c r="BC576" s="45">
        <f>BB576*$G$8</f>
        <v>0</v>
      </c>
      <c r="BD576" s="208"/>
      <c r="BE576" s="40">
        <f t="shared" ref="BE576:BG576" si="2098">J576+N576+R576+V576+Z576+AD576+AH576+AL576+AP576+AT576+AX576+BB576</f>
        <v>0</v>
      </c>
      <c r="BF576" s="41">
        <f t="shared" si="2098"/>
        <v>0</v>
      </c>
      <c r="BG576" s="34">
        <f t="shared" si="2098"/>
        <v>0</v>
      </c>
      <c r="BH576" s="35">
        <f t="shared" si="2086"/>
        <v>0</v>
      </c>
      <c r="BK576" s="2" t="b">
        <f>H576='2020'!BH576</f>
        <v>1</v>
      </c>
    </row>
    <row r="577" ht="14.25" customHeight="1" hidden="1" spans="1:63" x14ac:dyDescent="0.25">
      <c r="A577" s="89" t="s">
        <v>237</v>
      </c>
      <c r="B577" s="14"/>
      <c r="C577" s="15" t="s">
        <v>239</v>
      </c>
      <c r="D577" s="14" t="s">
        <v>47</v>
      </c>
      <c r="E577" s="2" t="s">
        <v>48</v>
      </c>
      <c r="F577" s="13">
        <v>18.56</v>
      </c>
      <c r="G577" s="35">
        <v>19.46</v>
      </c>
      <c r="H577" s="34">
        <f>'2020'!BH577</f>
        <v>0</v>
      </c>
      <c r="I577" s="13">
        <v>197</v>
      </c>
      <c r="J577" s="15"/>
      <c r="K577" s="15"/>
      <c r="L577" s="28"/>
      <c r="M577" s="13">
        <v>197</v>
      </c>
      <c r="N577" s="15">
        <f t="shared" si="2087"/>
        <v>0</v>
      </c>
      <c r="Q577" s="13">
        <v>197</v>
      </c>
      <c r="R577" s="15">
        <f t="shared" si="2088"/>
        <v>0</v>
      </c>
      <c r="S577" s="15"/>
      <c r="T577" s="28"/>
      <c r="U577" s="13">
        <v>197</v>
      </c>
      <c r="V577" s="15">
        <f t="shared" si="2089"/>
        <v>0</v>
      </c>
      <c r="W577" s="34">
        <f>V577*$F$10</f>
        <v>0</v>
      </c>
      <c r="Y577" s="186">
        <v>197</v>
      </c>
      <c r="Z577" s="2">
        <f t="shared" si="2090"/>
        <v>0</v>
      </c>
      <c r="AA577" s="34">
        <f>Z577*$F$10</f>
        <v>0</v>
      </c>
      <c r="AB577" s="28"/>
      <c r="AC577" s="15">
        <v>197</v>
      </c>
      <c r="AD577" s="15">
        <f t="shared" si="2091"/>
        <v>0</v>
      </c>
      <c r="AE577" s="34">
        <f>AD577*$F$10</f>
        <v>0</v>
      </c>
      <c r="AF577" s="154"/>
      <c r="AG577" s="15">
        <v>197</v>
      </c>
      <c r="AH577" s="2">
        <f t="shared" si="2092"/>
        <v>0</v>
      </c>
      <c r="AI577" s="45">
        <f>AH577*$G$10</f>
        <v>0</v>
      </c>
      <c r="AJ577" s="2"/>
      <c r="AK577" s="13">
        <v>197</v>
      </c>
      <c r="AL577" s="15">
        <f t="shared" si="2093"/>
        <v>0</v>
      </c>
      <c r="AM577" s="45">
        <f>AL577*$G$10</f>
        <v>0</v>
      </c>
      <c r="AN577" s="15"/>
      <c r="AO577" s="13">
        <v>197</v>
      </c>
      <c r="AP577" s="15">
        <f t="shared" si="2094"/>
        <v>0</v>
      </c>
      <c r="AQ577" s="45">
        <f>AP577*$G$10</f>
        <v>0</v>
      </c>
      <c r="AR577" s="15"/>
      <c r="AS577" s="13">
        <v>197</v>
      </c>
      <c r="AT577" s="15">
        <f t="shared" si="2095"/>
        <v>0</v>
      </c>
      <c r="AU577" s="45">
        <f>AT577*$G$10</f>
        <v>0</v>
      </c>
      <c r="AV577" s="15"/>
      <c r="AW577" s="13">
        <v>197</v>
      </c>
      <c r="AX577" s="15">
        <f t="shared" si="2096"/>
        <v>0</v>
      </c>
      <c r="AY577" s="45"/>
      <c r="AZ577" s="208"/>
      <c r="BA577" s="13">
        <v>197</v>
      </c>
      <c r="BB577" s="15">
        <f t="shared" si="2097"/>
        <v>0</v>
      </c>
      <c r="BC577" s="45"/>
      <c r="BD577" s="208"/>
      <c r="BE577" s="40">
        <f t="shared" ref="BE577:BG577" si="2099">J577+N577+R577+V577+Z577+AD577+AH577+AL577+AP577+AT577+AX577+BB577</f>
        <v>0</v>
      </c>
      <c r="BF577" s="41">
        <f t="shared" si="2099"/>
        <v>0</v>
      </c>
      <c r="BG577" s="34">
        <f t="shared" si="2099"/>
        <v>0</v>
      </c>
      <c r="BH577" s="35">
        <f t="shared" si="2086"/>
        <v>0</v>
      </c>
      <c r="BK577" s="2" t="b">
        <f>H577='2020'!BH577</f>
        <v>1</v>
      </c>
    </row>
    <row r="578" ht="14.25" customHeight="1" hidden="1" spans="1:63" x14ac:dyDescent="0.25">
      <c r="A578" s="89" t="s">
        <v>237</v>
      </c>
      <c r="B578" s="14"/>
      <c r="C578" s="15" t="s">
        <v>68</v>
      </c>
      <c r="D578" s="14" t="s">
        <v>47</v>
      </c>
      <c r="E578" s="2" t="s">
        <v>49</v>
      </c>
      <c r="F578" s="41">
        <v>500</v>
      </c>
      <c r="G578" s="28"/>
      <c r="H578" s="34">
        <f>'2020'!BH578</f>
        <v>0</v>
      </c>
      <c r="I578" s="13"/>
      <c r="J578" s="15"/>
      <c r="K578" s="15"/>
      <c r="L578" s="28"/>
      <c r="M578" s="13"/>
      <c r="N578" s="15"/>
      <c r="Q578" s="13"/>
      <c r="R578" s="15"/>
      <c r="S578" s="15"/>
      <c r="T578" s="28"/>
      <c r="U578" s="13"/>
      <c r="V578" s="15"/>
      <c r="Y578" s="186"/>
      <c r="Z578" s="2"/>
      <c r="AA578" s="15"/>
      <c r="AB578" s="28"/>
      <c r="AC578" s="15"/>
      <c r="AD578" s="15"/>
      <c r="AF578" s="154"/>
      <c r="AG578" s="15"/>
      <c r="AH578" s="2"/>
      <c r="AI578" s="45"/>
      <c r="AJ578" s="15"/>
      <c r="AK578" s="13"/>
      <c r="AL578" s="15"/>
      <c r="AM578" s="45"/>
      <c r="AN578" s="15"/>
      <c r="AO578" s="13"/>
      <c r="AP578" s="15"/>
      <c r="AQ578" s="45"/>
      <c r="AR578" s="15"/>
      <c r="AS578" s="13"/>
      <c r="AT578" s="15"/>
      <c r="AU578" s="45"/>
      <c r="AV578" s="15"/>
      <c r="AW578" s="13"/>
      <c r="AX578" s="15"/>
      <c r="AY578" s="45"/>
      <c r="AZ578" s="28"/>
      <c r="BA578" s="13"/>
      <c r="BB578" s="15"/>
      <c r="BC578" s="45"/>
      <c r="BD578" s="28"/>
      <c r="BE578" s="14"/>
      <c r="BF578" s="41">
        <f t="shared" ref="BF578:BG578" si="2100">K578+O578+S578+W578+AA578+AE578+AI578+AM578+AQ578+AU578+AY578+BC578</f>
        <v>0</v>
      </c>
      <c r="BG578" s="34">
        <f t="shared" si="2100"/>
        <v>0</v>
      </c>
      <c r="BH578" s="35">
        <f t="shared" si="2086"/>
        <v>0</v>
      </c>
      <c r="BK578" s="2" t="b">
        <f>H578='2020'!BH578</f>
        <v>1</v>
      </c>
    </row>
    <row r="579" ht="14.25" customHeight="1" hidden="1" spans="1:63" x14ac:dyDescent="0.25">
      <c r="A579" s="89" t="s">
        <v>237</v>
      </c>
      <c r="B579" s="14"/>
      <c r="C579" s="15" t="s">
        <v>240</v>
      </c>
      <c r="D579" s="14" t="s">
        <v>50</v>
      </c>
      <c r="E579" s="2" t="s">
        <v>49</v>
      </c>
      <c r="F579" s="41">
        <v>1100</v>
      </c>
      <c r="G579" s="28"/>
      <c r="H579" s="34">
        <f>'2020'!BH579</f>
        <v>1411</v>
      </c>
      <c r="I579" s="13"/>
      <c r="J579" s="15"/>
      <c r="K579" s="15"/>
      <c r="L579" s="28"/>
      <c r="M579" s="13"/>
      <c r="N579" s="15"/>
      <c r="Q579" s="13"/>
      <c r="R579" s="15"/>
      <c r="S579" s="15"/>
      <c r="T579" s="28"/>
      <c r="U579" s="13"/>
      <c r="V579" s="15"/>
      <c r="Y579" s="186"/>
      <c r="Z579" s="2"/>
      <c r="AA579" s="15"/>
      <c r="AB579" s="28"/>
      <c r="AC579" s="15"/>
      <c r="AD579" s="15"/>
      <c r="AE579" s="34">
        <f>B576*$F$12</f>
        <v>4411</v>
      </c>
      <c r="AF579" s="154">
        <v>5822</v>
      </c>
      <c r="AG579" s="15"/>
      <c r="AH579" s="2"/>
      <c r="AI579" s="45"/>
      <c r="AJ579" s="180"/>
      <c r="AK579" s="13"/>
      <c r="AL579" s="15"/>
      <c r="AM579" s="45"/>
      <c r="AN579" s="15"/>
      <c r="AO579" s="13"/>
      <c r="AP579" s="15"/>
      <c r="AQ579" s="45"/>
      <c r="AR579" s="15"/>
      <c r="AS579" s="13"/>
      <c r="AT579" s="15"/>
      <c r="AU579" s="45"/>
      <c r="AV579" s="15"/>
      <c r="AW579" s="13"/>
      <c r="AX579" s="15"/>
      <c r="AY579" s="45"/>
      <c r="AZ579" s="28"/>
      <c r="BA579" s="13"/>
      <c r="BB579" s="15"/>
      <c r="BC579" s="45"/>
      <c r="BD579" s="28"/>
      <c r="BE579" s="14"/>
      <c r="BF579" s="41">
        <f t="shared" ref="BF579:BG579" si="2101">K579+O579+S579+W579+AA579+AE579+AI579+AM579+AQ579+AU579+AY579+BC579</f>
        <v>4411</v>
      </c>
      <c r="BG579" s="34">
        <f t="shared" si="2101"/>
        <v>5822</v>
      </c>
      <c r="BH579" s="35">
        <f t="shared" si="2086"/>
        <v>0</v>
      </c>
      <c r="BK579" s="2" t="b">
        <f>H579='2020'!BH579</f>
        <v>1</v>
      </c>
    </row>
    <row r="580" ht="14.25" customHeight="1" hidden="1" spans="1:63" x14ac:dyDescent="0.25">
      <c r="A580" s="89" t="s">
        <v>237</v>
      </c>
      <c r="B580" s="14"/>
      <c r="D580" s="14" t="s">
        <v>51</v>
      </c>
      <c r="E580" s="2" t="s">
        <v>39</v>
      </c>
      <c r="F580" s="41">
        <v>500</v>
      </c>
      <c r="G580" s="28"/>
      <c r="H580" s="34">
        <f>'2020'!BH580</f>
        <v>500</v>
      </c>
      <c r="I580" s="13"/>
      <c r="J580" s="15"/>
      <c r="K580" s="15"/>
      <c r="L580" s="28"/>
      <c r="M580" s="13"/>
      <c r="N580" s="15"/>
      <c r="Q580" s="13"/>
      <c r="R580" s="15"/>
      <c r="S580" s="15"/>
      <c r="T580" s="28"/>
      <c r="U580" s="13"/>
      <c r="V580" s="15"/>
      <c r="Y580" s="186"/>
      <c r="Z580" s="2"/>
      <c r="AA580" s="15"/>
      <c r="AB580" s="28"/>
      <c r="AC580" s="15"/>
      <c r="AD580" s="15"/>
      <c r="AE580" s="180">
        <f>$F$13</f>
      </c>
      <c r="AF580" s="154">
        <v>500</v>
      </c>
      <c r="AG580" s="15"/>
      <c r="AH580" s="2"/>
      <c r="AI580" s="45"/>
      <c r="AJ580" s="180"/>
      <c r="AK580" s="13"/>
      <c r="AL580" s="15"/>
      <c r="AM580" s="45"/>
      <c r="AN580" s="15"/>
      <c r="AO580" s="13"/>
      <c r="AP580" s="15"/>
      <c r="AQ580" s="180"/>
      <c r="AR580" s="15"/>
      <c r="AS580" s="13"/>
      <c r="AT580" s="15"/>
      <c r="AU580" s="45"/>
      <c r="AV580" s="15"/>
      <c r="AW580" s="13"/>
      <c r="AX580" s="15"/>
      <c r="AY580" s="45"/>
      <c r="AZ580" s="28"/>
      <c r="BA580" s="13"/>
      <c r="BB580" s="15"/>
      <c r="BC580" s="45"/>
      <c r="BD580" s="28"/>
      <c r="BE580" s="14"/>
      <c r="BF580" s="41">
        <f t="shared" ref="BF580:BG580" si="2102">K580+O580+S580+W580+AA580+AE580+AI580+AM580+AQ580+AU580+AY580+BC580</f>
        <v>0</v>
      </c>
      <c r="BG580" s="34">
        <f t="shared" si="2102"/>
        <v>500</v>
      </c>
      <c r="BH580" s="35">
        <f t="shared" si="2086"/>
        <v>0</v>
      </c>
      <c r="BK580" s="2" t="b">
        <f>H580='2020'!BH580</f>
        <v>1</v>
      </c>
    </row>
    <row r="581" ht="14.25" customHeight="1" hidden="1" spans="1:63" x14ac:dyDescent="0.25">
      <c r="A581" s="89" t="s">
        <v>237</v>
      </c>
      <c r="B581" s="14"/>
      <c r="D581" s="14" t="s">
        <v>51</v>
      </c>
      <c r="E581" s="2" t="s">
        <v>49</v>
      </c>
      <c r="F581" s="41">
        <v>500</v>
      </c>
      <c r="G581" s="28"/>
      <c r="H581" s="34">
        <f>'2020'!BH581</f>
        <v>2005</v>
      </c>
      <c r="I581" s="13"/>
      <c r="J581" s="15"/>
      <c r="K581" s="15"/>
      <c r="L581" s="28"/>
      <c r="M581" s="13"/>
      <c r="N581" s="15"/>
      <c r="Q581" s="13"/>
      <c r="R581" s="15"/>
      <c r="S581" s="15"/>
      <c r="T581" s="28"/>
      <c r="U581" s="13"/>
      <c r="V581" s="15"/>
      <c r="Y581" s="186"/>
      <c r="Z581" s="2"/>
      <c r="AA581" s="15"/>
      <c r="AB581" s="28"/>
      <c r="AC581" s="15"/>
      <c r="AD581" s="15"/>
      <c r="AE581" s="34"/>
      <c r="AF581" s="154">
        <v>2005</v>
      </c>
      <c r="AG581" s="15"/>
      <c r="AH581" s="2"/>
      <c r="AI581" s="45"/>
      <c r="AJ581" s="180"/>
      <c r="AK581" s="13"/>
      <c r="AL581" s="15"/>
      <c r="AM581" s="45"/>
      <c r="AN581" s="15"/>
      <c r="AO581" s="13"/>
      <c r="AP581" s="15"/>
      <c r="AQ581" s="180">
        <f>B576*$F$14</f>
        <v>0</v>
      </c>
      <c r="AR581" s="15"/>
      <c r="AS581" s="13"/>
      <c r="AT581" s="15"/>
      <c r="AU581" s="45"/>
      <c r="AV581" s="15"/>
      <c r="AW581" s="13"/>
      <c r="AX581" s="15"/>
      <c r="AY581" s="45"/>
      <c r="AZ581" s="28"/>
      <c r="BA581" s="13"/>
      <c r="BB581" s="15"/>
      <c r="BC581" s="45"/>
      <c r="BD581" s="28"/>
      <c r="BE581" s="14"/>
      <c r="BF581" s="41">
        <f t="shared" ref="BF581:BG581" si="2103">K581+O581+S581+W581+AA581+AE581+AI581+AM581+AQ581+AU581+AY581+BC581</f>
        <v>0</v>
      </c>
      <c r="BG581" s="34">
        <f t="shared" si="2103"/>
        <v>2005</v>
      </c>
      <c r="BH581" s="35">
        <f t="shared" si="2086"/>
        <v>0</v>
      </c>
      <c r="BK581" s="2" t="b">
        <f>H581='2020'!BH581</f>
        <v>1</v>
      </c>
    </row>
    <row r="582" ht="14.25" customHeight="1" hidden="1" spans="1:63" x14ac:dyDescent="0.25">
      <c r="A582" s="89" t="s">
        <v>237</v>
      </c>
      <c r="B582" s="14"/>
      <c r="D582" s="14" t="s">
        <v>52</v>
      </c>
      <c r="E582" s="2" t="s">
        <v>39</v>
      </c>
      <c r="F582" s="41">
        <v>500</v>
      </c>
      <c r="G582" s="28"/>
      <c r="H582" s="34">
        <f>'2020'!BH582</f>
        <v>500</v>
      </c>
      <c r="I582" s="13"/>
      <c r="J582" s="15"/>
      <c r="K582" s="15"/>
      <c r="L582" s="28"/>
      <c r="M582" s="13"/>
      <c r="N582" s="15"/>
      <c r="Q582" s="13"/>
      <c r="R582" s="15"/>
      <c r="S582" s="15"/>
      <c r="T582" s="28"/>
      <c r="U582" s="13"/>
      <c r="V582" s="15"/>
      <c r="Y582" s="186"/>
      <c r="Z582" s="2"/>
      <c r="AA582" s="34">
        <f>$F$15</f>
      </c>
      <c r="AB582" s="28"/>
      <c r="AC582" s="15"/>
      <c r="AD582" s="15"/>
      <c r="AF582" s="154">
        <v>500</v>
      </c>
      <c r="AG582" s="15"/>
      <c r="AH582" s="2"/>
      <c r="AI582" s="45"/>
      <c r="AJ582" s="180"/>
      <c r="AK582" s="13"/>
      <c r="AL582" s="15"/>
      <c r="AM582" s="45"/>
      <c r="AN582" s="15"/>
      <c r="AO582" s="13"/>
      <c r="AP582" s="15"/>
      <c r="AQ582" s="45"/>
      <c r="AR582" s="15"/>
      <c r="AS582" s="13"/>
      <c r="AT582" s="15"/>
      <c r="AU582" s="45"/>
      <c r="AV582" s="15"/>
      <c r="AW582" s="13"/>
      <c r="AX582" s="15"/>
      <c r="AY582" s="45"/>
      <c r="AZ582" s="35"/>
      <c r="BA582" s="13"/>
      <c r="BB582" s="15"/>
      <c r="BC582" s="45"/>
      <c r="BD582" s="35"/>
      <c r="BE582" s="14"/>
      <c r="BF582" s="41">
        <f t="shared" ref="BF582:BG582" si="2104">K582+O582+S582+W582+AA582+AE582+AI582+AM582+AQ582+AU582+AY582+BC582</f>
        <v>0</v>
      </c>
      <c r="BG582" s="34">
        <f t="shared" si="2104"/>
        <v>500</v>
      </c>
      <c r="BH582" s="35">
        <f t="shared" si="2086"/>
        <v>0</v>
      </c>
      <c r="BK582" s="2" t="b">
        <f>H582='2020'!BH582</f>
        <v>1</v>
      </c>
    </row>
    <row r="583" ht="14.25" customHeight="1" hidden="1" spans="1:63" x14ac:dyDescent="0.25">
      <c r="A583" s="243" t="s">
        <v>237</v>
      </c>
      <c r="B583" s="21"/>
      <c r="C583" s="22" t="s">
        <v>53</v>
      </c>
      <c r="D583" s="21"/>
      <c r="E583" s="22"/>
      <c r="F583" s="20"/>
      <c r="G583" s="23"/>
      <c r="H583" s="51">
        <f>SUM(H575:H582)</f>
        <v>4433.2</v>
      </c>
      <c r="I583" s="52"/>
      <c r="J583" s="53"/>
      <c r="K583" s="51">
        <f t="shared" ref="K583:L583" si="2105">SUM(K575:K582)</f>
        <v>4.37</v>
      </c>
      <c r="L583" s="68">
        <f t="shared" si="2105"/>
        <v>0</v>
      </c>
      <c r="M583" s="52"/>
      <c r="N583" s="53"/>
      <c r="O583" s="51">
        <f t="shared" ref="O583:P583" si="2106">SUM(O575:O582)</f>
        <v>3.95</v>
      </c>
      <c r="P583" s="51">
        <f t="shared" si="2106"/>
        <v>0</v>
      </c>
      <c r="Q583" s="52"/>
      <c r="R583" s="53"/>
      <c r="S583" s="51">
        <f t="shared" ref="S583:T583" si="2107">SUM(S575:S582)</f>
        <v>4.37</v>
      </c>
      <c r="T583" s="51">
        <f t="shared" si="2107"/>
        <v>0</v>
      </c>
      <c r="U583" s="52"/>
      <c r="V583" s="53"/>
      <c r="W583" s="51">
        <f t="shared" ref="W583:X583" si="2108">SUM(W575:W582)</f>
        <v>4.23</v>
      </c>
      <c r="X583" s="51">
        <f t="shared" si="2108"/>
        <v>0</v>
      </c>
      <c r="Y583" s="300"/>
      <c r="Z583" s="301"/>
      <c r="AA583" s="51">
        <f t="shared" ref="AA583:AB583" si="2109">SUM(AA575:AA582)</f>
        <v>4.37</v>
      </c>
      <c r="AB583" s="51">
        <f t="shared" si="2109"/>
        <v>0</v>
      </c>
      <c r="AC583" s="52"/>
      <c r="AD583" s="53"/>
      <c r="AE583" s="51">
        <f t="shared" ref="AE583:AF583" si="2110">SUM(AE575:AE582)</f>
        <v>4414.53</v>
      </c>
      <c r="AF583" s="51">
        <f t="shared" si="2110"/>
        <v>8865.49</v>
      </c>
      <c r="AG583" s="52"/>
      <c r="AH583" s="301"/>
      <c r="AI583" s="183">
        <f t="shared" ref="AI583:AJ583" si="2111">SUM(AI575:AI582)</f>
        <v>0</v>
      </c>
      <c r="AJ583" s="51">
        <f t="shared" si="2111"/>
        <v>0</v>
      </c>
      <c r="AK583" s="52"/>
      <c r="AL583" s="53"/>
      <c r="AM583" s="183">
        <f t="shared" ref="AM583:AN583" si="2112">SUM(AM575:AM582)</f>
        <v>0</v>
      </c>
      <c r="AN583" s="51">
        <f t="shared" si="2112"/>
        <v>0</v>
      </c>
      <c r="AO583" s="52"/>
      <c r="AP583" s="53"/>
      <c r="AQ583" s="183">
        <f t="shared" ref="AQ583:AR583" si="2113">SUM(AQ575:AQ582)</f>
        <v>0</v>
      </c>
      <c r="AR583" s="51">
        <f t="shared" si="2113"/>
        <v>0</v>
      </c>
      <c r="AS583" s="52"/>
      <c r="AT583" s="53"/>
      <c r="AU583" s="183">
        <f t="shared" ref="AU583:AV583" si="2114">SUM(AU575:AU582)</f>
        <v>0</v>
      </c>
      <c r="AV583" s="68">
        <f t="shared" si="2114"/>
        <v>0</v>
      </c>
      <c r="AW583" s="52"/>
      <c r="AX583" s="53"/>
      <c r="AY583" s="183">
        <f t="shared" ref="AY583:AZ583" si="2115">SUM(AY575:AY582)</f>
        <v>0</v>
      </c>
      <c r="AZ583" s="68">
        <f t="shared" si="2115"/>
        <v>0</v>
      </c>
      <c r="BA583" s="52"/>
      <c r="BB583" s="53"/>
      <c r="BC583" s="183">
        <f t="shared" ref="BC583:BD583" si="2116">SUM(BC575:BC582)</f>
        <v>0</v>
      </c>
      <c r="BD583" s="68">
        <f t="shared" si="2116"/>
        <v>0</v>
      </c>
      <c r="BE583" s="69"/>
      <c r="BF583" s="70">
        <f t="shared" ref="BF583:BH583" si="2117">SUM(BF575:BF582)</f>
        <v>4435.82</v>
      </c>
      <c r="BG583" s="71">
        <f t="shared" si="2117"/>
        <v>8865.49</v>
      </c>
      <c r="BH583" s="72">
        <f t="shared" si="2117"/>
        <v>3.53</v>
      </c>
      <c r="BI583" s="34">
        <f>H583+BF583-BG583</f>
        <v>3.53</v>
      </c>
      <c r="BJ583" s="34">
        <f>BH583-BI583</f>
        <v>0</v>
      </c>
      <c r="BK583" s="2" t="b">
        <f>H583='2020'!BH583</f>
        <v>1</v>
      </c>
    </row>
    <row r="584" ht="14.25" customHeight="1" hidden="1" spans="1:63" x14ac:dyDescent="0.25">
      <c r="A584" s="2">
        <v>64</v>
      </c>
      <c r="B584" s="14"/>
      <c r="D584" s="14" t="s">
        <v>379</v>
      </c>
      <c r="F584" s="13"/>
      <c r="G584" s="28"/>
      <c r="H584" s="34">
        <f>'2020'!BH584</f>
        <v>0</v>
      </c>
      <c r="I584" s="13"/>
      <c r="J584" s="15"/>
      <c r="K584" s="15"/>
      <c r="L584" s="28"/>
      <c r="M584" s="13"/>
      <c r="N584" s="15"/>
      <c r="Q584" s="13"/>
      <c r="R584" s="15"/>
      <c r="S584" s="15"/>
      <c r="T584" s="28"/>
      <c r="U584" s="13"/>
      <c r="V584" s="15"/>
      <c r="Y584" s="186"/>
      <c r="Z584" s="2"/>
      <c r="AA584" s="15"/>
      <c r="AB584" s="28"/>
      <c r="AC584" s="15"/>
      <c r="AD584" s="15"/>
      <c r="AG584" s="15"/>
      <c r="AH584" s="2"/>
      <c r="AI584" s="45"/>
      <c r="AJ584" s="15"/>
      <c r="AK584" s="13"/>
      <c r="AM584" s="45"/>
      <c r="AO584" s="13"/>
      <c r="AQ584" s="45"/>
      <c r="AS584" s="13"/>
      <c r="AU584" s="45"/>
      <c r="AW584" s="13"/>
      <c r="AY584" s="45"/>
      <c r="AZ584" s="28"/>
      <c r="BA584" s="13"/>
      <c r="BB584" s="15"/>
      <c r="BC584" s="45"/>
      <c r="BD584" s="28"/>
      <c r="BE584" s="14"/>
      <c r="BF584" s="41">
        <f t="shared" ref="BF584:BG584" si="2118">K584+O584+S584+W584+AA584+AE584+AI584+AM584+AQ584+AU584+AY584+BC584</f>
        <v>0</v>
      </c>
      <c r="BG584" s="34">
        <f t="shared" si="2118"/>
        <v>0</v>
      </c>
      <c r="BH584" s="35">
        <f t="shared" ref="BH584:BH591" si="2119">H584+BF584-BG584</f>
        <v>0</v>
      </c>
      <c r="BK584" s="2" t="b">
        <f>H584='2020'!BH584</f>
        <v>1</v>
      </c>
    </row>
    <row r="585" ht="14.25" customHeight="1" hidden="1" spans="1:63" x14ac:dyDescent="0.25">
      <c r="A585" s="2">
        <v>64</v>
      </c>
      <c r="B585" s="14">
        <v>4.24</v>
      </c>
      <c r="C585" s="2" t="s">
        <v>241</v>
      </c>
      <c r="D585" s="14" t="s">
        <v>44</v>
      </c>
      <c r="E585" s="2" t="s">
        <v>45</v>
      </c>
      <c r="F585" s="41">
        <v>2.5</v>
      </c>
      <c r="G585" s="35">
        <v>2.6</v>
      </c>
      <c r="H585" s="34">
        <f>'2020'!BH585</f>
        <v>-97.09</v>
      </c>
      <c r="I585" s="13">
        <v>408</v>
      </c>
      <c r="J585" s="15">
        <f>I585-'2020'!BA585</f>
        <v>0</v>
      </c>
      <c r="K585" s="34">
        <f>J585*$F$8</f>
        <v>0</v>
      </c>
      <c r="L585" s="28"/>
      <c r="M585" s="13">
        <v>408</v>
      </c>
      <c r="N585" s="15">
        <f t="shared" ref="N585:N586" si="2120">M585-I585</f>
        <v>0</v>
      </c>
      <c r="O585" s="34">
        <f>N585*$F$8</f>
        <v>0</v>
      </c>
      <c r="Q585" s="13">
        <v>408</v>
      </c>
      <c r="R585" s="15">
        <f t="shared" ref="R585:R586" si="2121">Q585-M585</f>
        <v>0</v>
      </c>
      <c r="S585" s="34">
        <f>R585*$F$8</f>
        <v>0</v>
      </c>
      <c r="T585" s="28"/>
      <c r="U585" s="13">
        <v>408</v>
      </c>
      <c r="V585" s="15">
        <f t="shared" ref="V585:V586" si="2122">U585-Q585</f>
        <v>0</v>
      </c>
      <c r="W585" s="34">
        <f>V585*$F$8</f>
        <v>0</v>
      </c>
      <c r="Y585" s="186">
        <v>418</v>
      </c>
      <c r="Z585" s="2">
        <f>Y585-U585</f>
        <v>10</v>
      </c>
      <c r="AA585" s="34">
        <f>Z585*$F$8</f>
        <v>26</v>
      </c>
      <c r="AB585" s="28"/>
      <c r="AC585" s="15">
        <v>431</v>
      </c>
      <c r="AD585" s="15">
        <f>AC585-Y585</f>
        <v>13</v>
      </c>
      <c r="AE585" s="180">
        <f>AD585*$F$8</f>
        <v>33.8</v>
      </c>
      <c r="AF585" s="34"/>
      <c r="AG585" s="15">
        <v>446</v>
      </c>
      <c r="AH585" s="2">
        <f t="shared" ref="AH585:AH586" si="2123">AG585-AC585</f>
        <v>15</v>
      </c>
      <c r="AI585" s="45">
        <f>AH585*$G$8</f>
        <v>40.5</v>
      </c>
      <c r="AJ585" s="180"/>
      <c r="AK585" s="13">
        <v>459</v>
      </c>
      <c r="AL585" s="15">
        <f t="shared" ref="AL585:AL586" si="2124">AK585-AG585</f>
        <v>13</v>
      </c>
      <c r="AM585" s="45">
        <f>AL585*$G$8</f>
        <v>35.1</v>
      </c>
      <c r="AN585" s="39">
        <v>100</v>
      </c>
      <c r="AO585" s="13">
        <v>467</v>
      </c>
      <c r="AP585" s="15">
        <f t="shared" ref="AP585:AP586" si="2125">AO585-AK585</f>
        <v>8</v>
      </c>
      <c r="AQ585" s="45">
        <f>AP585*$G$8</f>
        <v>21.6</v>
      </c>
      <c r="AR585" s="15"/>
      <c r="AS585" s="13">
        <v>467</v>
      </c>
      <c r="AT585" s="15">
        <f t="shared" ref="AT585:AT586" si="2126">AS585-AO585</f>
        <v>0</v>
      </c>
      <c r="AU585" s="45">
        <f>AT585*$G$8</f>
        <v>0</v>
      </c>
      <c r="AV585" s="15"/>
      <c r="AW585" s="13">
        <v>467</v>
      </c>
      <c r="AX585" s="15">
        <f t="shared" ref="AX585:AX586" si="2127">AW585-AS585</f>
        <v>0</v>
      </c>
      <c r="AY585" s="45">
        <f>AX585*$G$8</f>
        <v>0</v>
      </c>
      <c r="AZ585" s="208"/>
      <c r="BA585" s="13">
        <v>467</v>
      </c>
      <c r="BB585" s="15">
        <f t="shared" ref="BB585:BB586" si="2128">BA585-AW585</f>
        <v>0</v>
      </c>
      <c r="BC585" s="45">
        <f>BB585*$G$8</f>
        <v>0</v>
      </c>
      <c r="BD585" s="208"/>
      <c r="BE585" s="40">
        <f t="shared" ref="BE585:BG585" si="2129">J585+N585+R585+V585+Z585+AD585+AH585+AL585+AP585+AT585+AX585+BB585</f>
        <v>59</v>
      </c>
      <c r="BF585" s="41">
        <f t="shared" si="2129"/>
        <v>157</v>
      </c>
      <c r="BG585" s="34">
        <f t="shared" si="2129"/>
        <v>100</v>
      </c>
      <c r="BH585" s="35">
        <f t="shared" si="2119"/>
        <v>-40.09</v>
      </c>
      <c r="BK585" s="2" t="b">
        <f>H585='2020'!BH585</f>
        <v>1</v>
      </c>
    </row>
    <row r="586" ht="14.25" customHeight="1" hidden="1" spans="1:63" x14ac:dyDescent="0.25">
      <c r="A586" s="2">
        <v>64</v>
      </c>
      <c r="B586" s="14"/>
      <c r="C586" s="2" t="s">
        <v>153</v>
      </c>
      <c r="D586" s="14" t="s">
        <v>47</v>
      </c>
      <c r="E586" s="2" t="s">
        <v>48</v>
      </c>
      <c r="F586" s="13">
        <v>18.56</v>
      </c>
      <c r="G586" s="35">
        <v>19.46</v>
      </c>
      <c r="H586" s="34">
        <f>'2020'!BH586</f>
        <v>-165.02</v>
      </c>
      <c r="I586" s="13">
        <v>105</v>
      </c>
      <c r="J586" s="15"/>
      <c r="K586" s="15"/>
      <c r="L586" s="28"/>
      <c r="M586" s="13">
        <v>105</v>
      </c>
      <c r="N586" s="15">
        <f t="shared" si="2120"/>
        <v>0</v>
      </c>
      <c r="Q586" s="13">
        <v>105</v>
      </c>
      <c r="R586" s="15">
        <f t="shared" si="2121"/>
        <v>0</v>
      </c>
      <c r="S586" s="15"/>
      <c r="T586" s="28"/>
      <c r="U586" s="13">
        <v>105</v>
      </c>
      <c r="V586" s="15">
        <f t="shared" si="2122"/>
        <v>0</v>
      </c>
      <c r="W586" s="180">
        <f>V586*$F$10</f>
        <v>0</v>
      </c>
      <c r="Y586" s="186">
        <v>44</v>
      </c>
      <c r="Z586" s="2">
        <v>0</v>
      </c>
      <c r="AA586" s="34">
        <f>Z586*$F$10</f>
        <v>0</v>
      </c>
      <c r="AB586" s="35"/>
      <c r="AC586" s="15">
        <v>44</v>
      </c>
      <c r="AD586" s="15">
        <v>0</v>
      </c>
      <c r="AE586" s="34">
        <f>AD586*$F$10</f>
        <v>0</v>
      </c>
      <c r="AF586" s="34"/>
      <c r="AG586" s="15">
        <f>40+4</f>
        <v>44</v>
      </c>
      <c r="AH586" s="2">
        <f t="shared" si="2123"/>
        <v>0</v>
      </c>
      <c r="AI586" s="45">
        <f>AH586*$G$10</f>
        <v>0</v>
      </c>
      <c r="AJ586" s="180"/>
      <c r="AK586" s="13">
        <v>72</v>
      </c>
      <c r="AL586" s="15">
        <f t="shared" si="2124"/>
        <v>28</v>
      </c>
      <c r="AM586" s="45">
        <f>AL586*$G$10</f>
        <v>569.8</v>
      </c>
      <c r="AN586" s="39">
        <v>300</v>
      </c>
      <c r="AO586" s="13">
        <v>74</v>
      </c>
      <c r="AP586" s="15">
        <f t="shared" si="2125"/>
        <v>2</v>
      </c>
      <c r="AQ586" s="45">
        <f>AP586*$G$10</f>
        <v>40.7</v>
      </c>
      <c r="AR586" s="15"/>
      <c r="AS586" s="13">
        <v>74</v>
      </c>
      <c r="AT586" s="15">
        <f t="shared" si="2126"/>
        <v>0</v>
      </c>
      <c r="AU586" s="45">
        <f>AT586*$G$10</f>
        <v>0</v>
      </c>
      <c r="AV586" s="15"/>
      <c r="AW586" s="13">
        <v>74</v>
      </c>
      <c r="AX586" s="15">
        <f t="shared" si="2127"/>
        <v>0</v>
      </c>
      <c r="AY586" s="45"/>
      <c r="AZ586" s="208"/>
      <c r="BA586" s="13">
        <v>74</v>
      </c>
      <c r="BB586" s="15">
        <f t="shared" si="2128"/>
        <v>0</v>
      </c>
      <c r="BC586" s="45"/>
      <c r="BD586" s="208"/>
      <c r="BE586" s="40">
        <f t="shared" ref="BE586:BG586" si="2130">J586+N586+R586+V586+Z586+AD586+AH586+AL586+AP586+AT586+AX586+BB586</f>
        <v>30</v>
      </c>
      <c r="BF586" s="41">
        <f t="shared" si="2130"/>
        <v>610.5</v>
      </c>
      <c r="BG586" s="34">
        <f t="shared" si="2130"/>
        <v>300</v>
      </c>
      <c r="BH586" s="35">
        <f t="shared" si="2119"/>
        <v>145.48</v>
      </c>
      <c r="BK586" s="2" t="b">
        <f>H586='2020'!BH586</f>
        <v>1</v>
      </c>
    </row>
    <row r="587" ht="14.25" customHeight="1" hidden="1" spans="1:63" x14ac:dyDescent="0.25">
      <c r="A587" s="2">
        <v>64</v>
      </c>
      <c r="B587" s="14"/>
      <c r="C587" s="2" t="s">
        <v>242</v>
      </c>
      <c r="D587" s="14" t="s">
        <v>47</v>
      </c>
      <c r="E587" s="2" t="s">
        <v>49</v>
      </c>
      <c r="F587" s="41">
        <v>500</v>
      </c>
      <c r="G587" s="28"/>
      <c r="H587" s="34">
        <f>'2020'!BH587</f>
        <v>0</v>
      </c>
      <c r="I587" s="13"/>
      <c r="J587" s="15"/>
      <c r="K587" s="15"/>
      <c r="L587" s="28"/>
      <c r="M587" s="13"/>
      <c r="N587" s="15"/>
      <c r="Q587" s="13"/>
      <c r="R587" s="15"/>
      <c r="S587" s="15"/>
      <c r="T587" s="28"/>
      <c r="U587" s="13"/>
      <c r="V587" s="15"/>
      <c r="Y587" s="186"/>
      <c r="Z587" s="2"/>
      <c r="AA587" s="15"/>
      <c r="AB587" s="28"/>
      <c r="AC587" s="15"/>
      <c r="AD587" s="15"/>
      <c r="AG587" s="15"/>
      <c r="AH587" s="2"/>
      <c r="AI587" s="45"/>
      <c r="AJ587" s="15"/>
      <c r="AK587" s="13"/>
      <c r="AL587" s="15"/>
      <c r="AM587" s="45"/>
      <c r="AN587" s="15"/>
      <c r="AO587" s="13"/>
      <c r="AP587" s="15"/>
      <c r="AQ587" s="45"/>
      <c r="AR587" s="15"/>
      <c r="AS587" s="13"/>
      <c r="AT587" s="15"/>
      <c r="AU587" s="45"/>
      <c r="AV587" s="15"/>
      <c r="AW587" s="13"/>
      <c r="AX587" s="15"/>
      <c r="AY587" s="45"/>
      <c r="AZ587" s="28"/>
      <c r="BA587" s="13"/>
      <c r="BB587" s="15"/>
      <c r="BC587" s="45"/>
      <c r="BD587" s="28"/>
      <c r="BE587" s="14"/>
      <c r="BF587" s="41">
        <f t="shared" ref="BF587:BG587" si="2131">K587+O587+S587+W587+AA587+AE587+AI587+AM587+AQ587+AU587+AY587+BC587</f>
        <v>0</v>
      </c>
      <c r="BG587" s="34">
        <f t="shared" si="2131"/>
        <v>0</v>
      </c>
      <c r="BH587" s="35">
        <f t="shared" si="2119"/>
        <v>0</v>
      </c>
      <c r="BK587" s="2" t="b">
        <f>H587='2020'!BH587</f>
        <v>1</v>
      </c>
    </row>
    <row r="588" ht="14.25" customHeight="1" hidden="1" spans="1:63" x14ac:dyDescent="0.25">
      <c r="A588" s="2">
        <v>64</v>
      </c>
      <c r="B588" s="14"/>
      <c r="C588" s="2" t="s">
        <v>243</v>
      </c>
      <c r="D588" s="14" t="s">
        <v>50</v>
      </c>
      <c r="E588" s="2" t="s">
        <v>49</v>
      </c>
      <c r="F588" s="41">
        <v>1100</v>
      </c>
      <c r="G588" s="28"/>
      <c r="H588" s="34">
        <f>'2020'!BH588</f>
        <v>0</v>
      </c>
      <c r="I588" s="13"/>
      <c r="J588" s="15"/>
      <c r="K588" s="15"/>
      <c r="L588" s="28"/>
      <c r="M588" s="13"/>
      <c r="N588" s="15"/>
      <c r="Q588" s="13"/>
      <c r="R588" s="15"/>
      <c r="S588" s="15"/>
      <c r="T588" s="28"/>
      <c r="U588" s="13"/>
      <c r="V588" s="15"/>
      <c r="Y588" s="186"/>
      <c r="Z588" s="2"/>
      <c r="AA588" s="15"/>
      <c r="AB588" s="28"/>
      <c r="AC588" s="15"/>
      <c r="AD588" s="15"/>
      <c r="AE588" s="34">
        <f>B585*$F$12</f>
        <v>4664</v>
      </c>
      <c r="AF588" s="180"/>
      <c r="AG588" s="15"/>
      <c r="AH588" s="2"/>
      <c r="AI588" s="45"/>
      <c r="AJ588" s="180"/>
      <c r="AK588" s="13"/>
      <c r="AL588" s="15"/>
      <c r="AM588" s="45"/>
      <c r="AN588" s="39">
        <v>4664</v>
      </c>
      <c r="AO588" s="13"/>
      <c r="AP588" s="15"/>
      <c r="AQ588" s="45"/>
      <c r="AR588" s="15"/>
      <c r="AS588" s="13"/>
      <c r="AT588" s="15"/>
      <c r="AU588" s="45"/>
      <c r="AV588" s="15"/>
      <c r="AW588" s="13"/>
      <c r="AX588" s="15"/>
      <c r="AY588" s="45"/>
      <c r="AZ588" s="28"/>
      <c r="BA588" s="13"/>
      <c r="BB588" s="15"/>
      <c r="BC588" s="45"/>
      <c r="BD588" s="28"/>
      <c r="BE588" s="14"/>
      <c r="BF588" s="41">
        <f t="shared" ref="BF588:BG588" si="2132">K588+O588+S588+W588+AA588+AE588+AI588+AM588+AQ588+AU588+AY588+BC588</f>
        <v>4664</v>
      </c>
      <c r="BG588" s="34">
        <f t="shared" si="2132"/>
        <v>4664</v>
      </c>
      <c r="BH588" s="35">
        <f t="shared" si="2119"/>
        <v>0</v>
      </c>
      <c r="BK588" s="2" t="b">
        <f>H588='2020'!BH588</f>
        <v>1</v>
      </c>
    </row>
    <row r="589" ht="14.25" customHeight="1" hidden="1" spans="1:63" x14ac:dyDescent="0.25">
      <c r="A589" s="2">
        <v>64</v>
      </c>
      <c r="B589" s="14"/>
      <c r="D589" s="14" t="s">
        <v>51</v>
      </c>
      <c r="E589" s="2" t="s">
        <v>39</v>
      </c>
      <c r="F589" s="41">
        <v>500</v>
      </c>
      <c r="G589" s="28"/>
      <c r="H589" s="34">
        <f>'2020'!BH589</f>
        <v>500</v>
      </c>
      <c r="I589" s="13"/>
      <c r="J589" s="15"/>
      <c r="K589" s="15"/>
      <c r="L589" s="28"/>
      <c r="M589" s="13"/>
      <c r="N589" s="15"/>
      <c r="Q589" s="13"/>
      <c r="R589" s="15"/>
      <c r="S589" s="15"/>
      <c r="T589" s="28"/>
      <c r="U589" s="13"/>
      <c r="V589" s="15"/>
      <c r="Y589" s="186"/>
      <c r="Z589" s="2"/>
      <c r="AA589" s="15"/>
      <c r="AB589" s="28"/>
      <c r="AC589" s="15"/>
      <c r="AD589" s="15"/>
      <c r="AE589" s="180">
        <f>$F$13</f>
      </c>
      <c r="AG589" s="15"/>
      <c r="AH589" s="2"/>
      <c r="AI589" s="45"/>
      <c r="AJ589" s="180"/>
      <c r="AK589" s="13"/>
      <c r="AL589" s="15"/>
      <c r="AM589" s="45"/>
      <c r="AN589" s="1">
        <v>500</v>
      </c>
      <c r="AO589" s="13"/>
      <c r="AP589" s="15"/>
      <c r="AQ589" s="180"/>
      <c r="AR589" s="15"/>
      <c r="AS589" s="13"/>
      <c r="AT589" s="15"/>
      <c r="AU589" s="45"/>
      <c r="AV589" s="15"/>
      <c r="AW589" s="13"/>
      <c r="AX589" s="15"/>
      <c r="AY589" s="45"/>
      <c r="AZ589" s="28"/>
      <c r="BA589" s="13"/>
      <c r="BB589" s="15"/>
      <c r="BC589" s="45"/>
      <c r="BD589" s="28"/>
      <c r="BE589" s="14"/>
      <c r="BF589" s="41">
        <f t="shared" ref="BF589:BG589" si="2133">K589+O589+S589+W589+AA589+AE589+AI589+AM589+AQ589+AU589+AY589+BC589</f>
        <v>0</v>
      </c>
      <c r="BG589" s="34">
        <f t="shared" si="2133"/>
        <v>500</v>
      </c>
      <c r="BH589" s="35">
        <f t="shared" si="2119"/>
        <v>0</v>
      </c>
      <c r="BK589" s="2" t="b">
        <f>H589='2020'!BH589</f>
        <v>1</v>
      </c>
    </row>
    <row r="590" ht="14.25" customHeight="1" hidden="1" spans="1:63" x14ac:dyDescent="0.25">
      <c r="A590" s="2">
        <v>64</v>
      </c>
      <c r="B590" s="14"/>
      <c r="D590" s="14" t="s">
        <v>51</v>
      </c>
      <c r="E590" s="2" t="s">
        <v>49</v>
      </c>
      <c r="F590" s="41">
        <v>500</v>
      </c>
      <c r="G590" s="28"/>
      <c r="H590" s="34">
        <f>'2020'!BH590</f>
        <v>2120</v>
      </c>
      <c r="I590" s="13"/>
      <c r="J590" s="15"/>
      <c r="K590" s="15"/>
      <c r="L590" s="28"/>
      <c r="M590" s="13"/>
      <c r="N590" s="15"/>
      <c r="Q590" s="13"/>
      <c r="R590" s="15"/>
      <c r="S590" s="15"/>
      <c r="T590" s="28"/>
      <c r="U590" s="13"/>
      <c r="V590" s="15"/>
      <c r="Y590" s="186"/>
      <c r="Z590" s="2"/>
      <c r="AA590" s="15"/>
      <c r="AB590" s="32">
        <v>2120</v>
      </c>
      <c r="AC590" s="15"/>
      <c r="AD590" s="15"/>
      <c r="AE590" s="34"/>
      <c r="AG590" s="15"/>
      <c r="AH590" s="2"/>
      <c r="AI590" s="45"/>
      <c r="AJ590" s="180"/>
      <c r="AK590" s="13"/>
      <c r="AL590" s="15"/>
      <c r="AM590" s="45"/>
      <c r="AN590" s="15"/>
      <c r="AO590" s="13"/>
      <c r="AP590" s="15"/>
      <c r="AQ590" s="180">
        <f>B585*$F$14</f>
        <v>0</v>
      </c>
      <c r="AR590" s="15"/>
      <c r="AS590" s="13"/>
      <c r="AT590" s="15"/>
      <c r="AU590" s="45"/>
      <c r="AV590" s="15"/>
      <c r="AW590" s="13"/>
      <c r="AX590" s="15"/>
      <c r="AY590" s="45"/>
      <c r="AZ590" s="28"/>
      <c r="BA590" s="13"/>
      <c r="BB590" s="15"/>
      <c r="BC590" s="45"/>
      <c r="BD590" s="28"/>
      <c r="BE590" s="14"/>
      <c r="BF590" s="41">
        <f t="shared" ref="BF590:BG590" si="2134">K590+O590+S590+W590+AA590+AE590+AI590+AM590+AQ590+AU590+AY590+BC590</f>
        <v>0</v>
      </c>
      <c r="BG590" s="34">
        <f t="shared" si="2134"/>
        <v>2120</v>
      </c>
      <c r="BH590" s="35">
        <f t="shared" si="2119"/>
        <v>0</v>
      </c>
      <c r="BK590" s="2" t="b">
        <f>H590='2020'!BH590</f>
        <v>1</v>
      </c>
    </row>
    <row r="591" ht="14.25" customHeight="1" hidden="1" spans="1:63" x14ac:dyDescent="0.25">
      <c r="A591" s="2">
        <v>64</v>
      </c>
      <c r="B591" s="14"/>
      <c r="D591" s="14" t="s">
        <v>52</v>
      </c>
      <c r="E591" s="2" t="s">
        <v>39</v>
      </c>
      <c r="F591" s="41">
        <v>500</v>
      </c>
      <c r="G591" s="28"/>
      <c r="H591" s="34">
        <f>'2020'!BH591</f>
        <v>0</v>
      </c>
      <c r="I591" s="13"/>
      <c r="J591" s="15"/>
      <c r="K591" s="15"/>
      <c r="L591" s="28"/>
      <c r="M591" s="13"/>
      <c r="N591" s="15"/>
      <c r="Q591" s="13"/>
      <c r="R591" s="15"/>
      <c r="S591" s="15"/>
      <c r="T591" s="28"/>
      <c r="U591" s="13"/>
      <c r="V591" s="15"/>
      <c r="Y591" s="186"/>
      <c r="Z591" s="2"/>
      <c r="AA591" s="34">
        <f>$F$15</f>
      </c>
      <c r="AB591" s="28"/>
      <c r="AC591" s="15"/>
      <c r="AD591" s="15"/>
      <c r="AF591" s="180"/>
      <c r="AG591" s="15"/>
      <c r="AH591" s="2"/>
      <c r="AI591" s="45"/>
      <c r="AJ591" s="15"/>
      <c r="AK591" s="13"/>
      <c r="AL591" s="15"/>
      <c r="AM591" s="45"/>
      <c r="AN591" s="34"/>
      <c r="AO591" s="13"/>
      <c r="AP591" s="15"/>
      <c r="AQ591" s="45"/>
      <c r="AR591" s="15"/>
      <c r="AS591" s="13"/>
      <c r="AT591" s="15"/>
      <c r="AU591" s="45"/>
      <c r="AV591" s="15"/>
      <c r="AW591" s="13"/>
      <c r="AX591" s="15"/>
      <c r="AY591" s="45"/>
      <c r="AZ591" s="35"/>
      <c r="BA591" s="13"/>
      <c r="BB591" s="15"/>
      <c r="BC591" s="45"/>
      <c r="BD591" s="35"/>
      <c r="BE591" s="14"/>
      <c r="BF591" s="41">
        <f t="shared" ref="BF591:BG591" si="2135">K591+O591+S591+W591+AA591+AE591+AI591+AM591+AQ591+AU591+AY591+BC591</f>
        <v>0</v>
      </c>
      <c r="BG591" s="34">
        <f t="shared" si="2135"/>
        <v>0</v>
      </c>
      <c r="BH591" s="35">
        <f t="shared" si="2119"/>
        <v>0</v>
      </c>
      <c r="BK591" s="2" t="b">
        <f>H591='2020'!BH591</f>
        <v>1</v>
      </c>
    </row>
    <row r="592" ht="14.25" customHeight="1" hidden="1" spans="1:63" x14ac:dyDescent="0.25">
      <c r="A592" s="247">
        <v>64</v>
      </c>
      <c r="B592" s="21"/>
      <c r="C592" s="22" t="s">
        <v>53</v>
      </c>
      <c r="D592" s="21"/>
      <c r="E592" s="22"/>
      <c r="F592" s="20"/>
      <c r="G592" s="23"/>
      <c r="H592" s="51">
        <f>SUM(H584:H591)</f>
        <v>2357.89</v>
      </c>
      <c r="I592" s="52"/>
      <c r="J592" s="53"/>
      <c r="K592" s="51">
        <f t="shared" ref="K592:L592" si="2136">SUM(K584:K591)</f>
        <v>0</v>
      </c>
      <c r="L592" s="68">
        <f t="shared" si="2136"/>
        <v>0</v>
      </c>
      <c r="M592" s="52"/>
      <c r="N592" s="53"/>
      <c r="O592" s="51">
        <f t="shared" ref="O592:P592" si="2137">SUM(O584:O591)</f>
        <v>0</v>
      </c>
      <c r="P592" s="51">
        <f t="shared" si="2137"/>
        <v>0</v>
      </c>
      <c r="Q592" s="52"/>
      <c r="R592" s="53"/>
      <c r="S592" s="51">
        <f t="shared" ref="S592:T592" si="2138">SUM(S584:S591)</f>
        <v>0</v>
      </c>
      <c r="T592" s="51">
        <f t="shared" si="2138"/>
        <v>0</v>
      </c>
      <c r="U592" s="52"/>
      <c r="V592" s="53"/>
      <c r="W592" s="51">
        <f t="shared" ref="W592:X592" si="2139">SUM(W584:W591)</f>
        <v>0</v>
      </c>
      <c r="X592" s="51">
        <f t="shared" si="2139"/>
        <v>0</v>
      </c>
      <c r="Y592" s="300"/>
      <c r="Z592" s="301"/>
      <c r="AA592" s="51">
        <f t="shared" ref="AA592:AB592" si="2140">SUM(AA584:AA591)</f>
        <v>26</v>
      </c>
      <c r="AB592" s="51">
        <f t="shared" si="2140"/>
        <v>2120</v>
      </c>
      <c r="AC592" s="52"/>
      <c r="AD592" s="53"/>
      <c r="AE592" s="51">
        <f t="shared" ref="AE592:AF592" si="2141">SUM(AE584:AE591)</f>
        <v>4697.8</v>
      </c>
      <c r="AF592" s="51">
        <f t="shared" si="2141"/>
        <v>0</v>
      </c>
      <c r="AG592" s="52"/>
      <c r="AH592" s="301"/>
      <c r="AI592" s="183">
        <f t="shared" ref="AI592:AJ592" si="2142">SUM(AI584:AI591)</f>
        <v>40.5</v>
      </c>
      <c r="AJ592" s="51">
        <f t="shared" si="2142"/>
        <v>0</v>
      </c>
      <c r="AK592" s="52"/>
      <c r="AL592" s="53"/>
      <c r="AM592" s="183">
        <f t="shared" ref="AM592:AN592" si="2143">SUM(AM584:AM591)</f>
        <v>604.9</v>
      </c>
      <c r="AN592" s="51">
        <f t="shared" si="2143"/>
        <v>5564</v>
      </c>
      <c r="AO592" s="52"/>
      <c r="AP592" s="53"/>
      <c r="AQ592" s="183">
        <f t="shared" ref="AQ592:AR592" si="2144">SUM(AQ584:AQ591)</f>
        <v>62.3</v>
      </c>
      <c r="AR592" s="51">
        <f t="shared" si="2144"/>
        <v>0</v>
      </c>
      <c r="AS592" s="52"/>
      <c r="AT592" s="53"/>
      <c r="AU592" s="183">
        <f t="shared" ref="AU592:AV592" si="2145">SUM(AU584:AU591)</f>
        <v>0</v>
      </c>
      <c r="AV592" s="68">
        <f t="shared" si="2145"/>
        <v>0</v>
      </c>
      <c r="AW592" s="52"/>
      <c r="AX592" s="53"/>
      <c r="AY592" s="183">
        <f t="shared" ref="AY592:AZ592" si="2146">SUM(AY584:AY591)</f>
        <v>0</v>
      </c>
      <c r="AZ592" s="68">
        <f t="shared" si="2146"/>
        <v>0</v>
      </c>
      <c r="BA592" s="52"/>
      <c r="BB592" s="53"/>
      <c r="BC592" s="183">
        <f t="shared" ref="BC592:BD592" si="2147">SUM(BC584:BC591)</f>
        <v>0</v>
      </c>
      <c r="BD592" s="68">
        <f t="shared" si="2147"/>
        <v>0</v>
      </c>
      <c r="BE592" s="69"/>
      <c r="BF592" s="70">
        <f t="shared" ref="BF592:BH592" si="2148">SUM(BF584:BF591)</f>
        <v>5431.5</v>
      </c>
      <c r="BG592" s="71">
        <f t="shared" si="2148"/>
        <v>7684</v>
      </c>
      <c r="BH592" s="72">
        <f t="shared" si="2148"/>
        <v>105.39</v>
      </c>
      <c r="BI592" s="34">
        <f>H592+BF592-BG592</f>
        <v>105.39</v>
      </c>
      <c r="BJ592" s="34">
        <f>BH592-BI592</f>
        <v>0</v>
      </c>
      <c r="BK592" s="2" t="b">
        <f>H592='2020'!BH592</f>
        <v>1</v>
      </c>
    </row>
    <row r="593" ht="14.25" customHeight="1" hidden="1" spans="1:63" x14ac:dyDescent="0.25">
      <c r="A593" s="2">
        <v>66</v>
      </c>
      <c r="B593" s="14"/>
      <c r="D593" s="14" t="s">
        <v>379</v>
      </c>
      <c r="F593" s="13"/>
      <c r="G593" s="28"/>
      <c r="H593" s="34">
        <f>'2020'!BH593</f>
        <v>231.99</v>
      </c>
      <c r="I593" s="13"/>
      <c r="J593" s="15"/>
      <c r="K593" s="15">
        <v>15.89</v>
      </c>
      <c r="L593" s="28"/>
      <c r="M593" s="13"/>
      <c r="N593" s="15"/>
      <c r="O593" s="2">
        <v>14.35</v>
      </c>
      <c r="Q593" s="13"/>
      <c r="R593" s="15"/>
      <c r="S593" s="15">
        <v>15.89</v>
      </c>
      <c r="T593" s="28"/>
      <c r="U593" s="13"/>
      <c r="V593" s="15"/>
      <c r="W593" s="2">
        <v>15.38</v>
      </c>
      <c r="Y593" s="186"/>
      <c r="Z593" s="2"/>
      <c r="AA593" s="15">
        <v>15.89</v>
      </c>
      <c r="AB593" s="28"/>
      <c r="AC593" s="15"/>
      <c r="AD593" s="15"/>
      <c r="AE593" s="2">
        <v>15.38</v>
      </c>
      <c r="AG593" s="15"/>
      <c r="AH593" s="2"/>
      <c r="AI593" s="45"/>
      <c r="AJ593" s="306">
        <v>324.77</v>
      </c>
      <c r="AK593" s="13"/>
      <c r="AM593" s="45"/>
      <c r="AO593" s="13"/>
      <c r="AQ593" s="180"/>
      <c r="AS593" s="13"/>
      <c r="AU593" s="180"/>
      <c r="AW593" s="13"/>
      <c r="AY593" s="180"/>
      <c r="AZ593" s="28"/>
      <c r="BA593" s="13"/>
      <c r="BB593" s="15"/>
      <c r="BC593" s="180"/>
      <c r="BD593" s="28"/>
      <c r="BE593" s="14"/>
      <c r="BF593" s="41">
        <f t="shared" ref="BF593:BG593" si="2149">K593+O593+S593+W593+AA593+AE593+AI593+AM593+AQ593+AU593+AY593+BC593</f>
        <v>92.78</v>
      </c>
      <c r="BG593" s="34">
        <f t="shared" si="2149"/>
        <v>324.77</v>
      </c>
      <c r="BH593" s="35">
        <f t="shared" ref="BH593:BH600" si="2150">H593+BF593-BG593</f>
        <v>0</v>
      </c>
      <c r="BK593" s="2" t="b">
        <f>H593='2020'!BH593</f>
        <v>1</v>
      </c>
    </row>
    <row r="594" ht="14.25" customHeight="1" hidden="1" spans="1:63" x14ac:dyDescent="0.25">
      <c r="A594" s="2">
        <v>66</v>
      </c>
      <c r="B594" s="14">
        <v>4.66</v>
      </c>
      <c r="C594" s="2" t="s">
        <v>244</v>
      </c>
      <c r="D594" s="14" t="s">
        <v>44</v>
      </c>
      <c r="E594" s="2" t="s">
        <v>45</v>
      </c>
      <c r="F594" s="41">
        <v>2.5</v>
      </c>
      <c r="G594" s="35">
        <v>2.6</v>
      </c>
      <c r="H594" s="34">
        <f>'2020'!BH594</f>
        <v>0</v>
      </c>
      <c r="I594" s="13">
        <v>1</v>
      </c>
      <c r="J594" s="15">
        <f>I594-'2020'!BA594</f>
        <v>0</v>
      </c>
      <c r="K594" s="34">
        <f>J594*$F$8</f>
        <v>0</v>
      </c>
      <c r="L594" s="28"/>
      <c r="M594" s="13">
        <v>1</v>
      </c>
      <c r="N594" s="15">
        <f t="shared" ref="N594:N595" si="2151">M594-I594</f>
        <v>0</v>
      </c>
      <c r="O594" s="34">
        <f>N594*$F$8</f>
        <v>0</v>
      </c>
      <c r="Q594" s="13">
        <v>1</v>
      </c>
      <c r="R594" s="15">
        <f t="shared" ref="R594:R595" si="2152">Q594-M594</f>
        <v>0</v>
      </c>
      <c r="S594" s="34">
        <f>R594*$F$8</f>
        <v>0</v>
      </c>
      <c r="T594" s="28"/>
      <c r="U594" s="13">
        <v>1</v>
      </c>
      <c r="V594" s="15">
        <f t="shared" ref="V594:V595" si="2153">U594-Q594</f>
        <v>0</v>
      </c>
      <c r="W594" s="34">
        <f>V594*$F$8</f>
        <v>0</v>
      </c>
      <c r="Y594" s="186">
        <v>1</v>
      </c>
      <c r="Z594" s="2">
        <f t="shared" ref="Z594:Z595" si="2154">Y594-U594</f>
        <v>0</v>
      </c>
      <c r="AA594" s="34">
        <f>Z594*$F$8</f>
        <v>0</v>
      </c>
      <c r="AB594" s="28"/>
      <c r="AC594" s="15">
        <v>1</v>
      </c>
      <c r="AD594" s="15">
        <f t="shared" ref="AD594:AD595" si="2155">AC594-Y594</f>
        <v>0</v>
      </c>
      <c r="AE594" s="180">
        <f>AD594*$F$8</f>
        <v>0</v>
      </c>
      <c r="AG594" s="15">
        <v>1</v>
      </c>
      <c r="AH594" s="2">
        <f t="shared" ref="AH594:AH595" si="2156">AG594-AC594</f>
        <v>0</v>
      </c>
      <c r="AI594" s="45">
        <f>AH594*$G$8</f>
        <v>0</v>
      </c>
      <c r="AJ594" s="154"/>
      <c r="AK594" s="13">
        <v>1</v>
      </c>
      <c r="AL594" s="15">
        <f t="shared" ref="AL594:AL595" si="2157">AK594-AG594</f>
        <v>0</v>
      </c>
      <c r="AM594" s="45">
        <f>AL594*$G$8</f>
        <v>0</v>
      </c>
      <c r="AN594" s="15"/>
      <c r="AO594" s="13">
        <v>1</v>
      </c>
      <c r="AP594" s="15">
        <f t="shared" ref="AP594:AP595" si="2158">AO594-AK594</f>
        <v>0</v>
      </c>
      <c r="AQ594" s="45">
        <f>AP594*$G$8</f>
        <v>0</v>
      </c>
      <c r="AR594" s="15"/>
      <c r="AS594" s="13">
        <v>2</v>
      </c>
      <c r="AT594" s="15">
        <f t="shared" ref="AT594:AT595" si="2159">AS594-AO594</f>
        <v>1</v>
      </c>
      <c r="AU594" s="45">
        <f>AT594*$G$8</f>
        <v>2.7</v>
      </c>
      <c r="AV594" s="15"/>
      <c r="AW594" s="13">
        <v>2</v>
      </c>
      <c r="AX594" s="15">
        <f t="shared" ref="AX594:AX595" si="2160">AW594-AS594</f>
        <v>0</v>
      </c>
      <c r="AY594" s="45">
        <f>AX594*$G$8</f>
        <v>0</v>
      </c>
      <c r="AZ594" s="208"/>
      <c r="BA594" s="13">
        <v>2</v>
      </c>
      <c r="BB594" s="15">
        <f t="shared" ref="BB594:BB595" si="2161">BA594-AW594</f>
        <v>0</v>
      </c>
      <c r="BC594" s="45">
        <f>BB594*$G$8</f>
        <v>0</v>
      </c>
      <c r="BD594" s="208"/>
      <c r="BE594" s="40">
        <f t="shared" ref="BE594:BG594" si="2162">J594+N594+R594+V594+Z594+AD594+AH594+AL594+AP594+AT594+AX594+BB594</f>
        <v>1</v>
      </c>
      <c r="BF594" s="41">
        <f t="shared" si="2162"/>
        <v>2.7</v>
      </c>
      <c r="BG594" s="34">
        <f t="shared" si="2162"/>
        <v>0</v>
      </c>
      <c r="BH594" s="35">
        <f t="shared" si="2150"/>
        <v>2.7</v>
      </c>
      <c r="BK594" s="2" t="b">
        <f>H594='2020'!BH594</f>
        <v>1</v>
      </c>
    </row>
    <row r="595" ht="14.25" customHeight="1" hidden="1" spans="1:63" x14ac:dyDescent="0.25">
      <c r="A595" s="2">
        <v>66</v>
      </c>
      <c r="B595" s="14"/>
      <c r="C595" s="2" t="s">
        <v>87</v>
      </c>
      <c r="D595" s="14" t="s">
        <v>47</v>
      </c>
      <c r="E595" s="2" t="s">
        <v>48</v>
      </c>
      <c r="F595" s="13">
        <v>18.56</v>
      </c>
      <c r="G595" s="35">
        <v>19.46</v>
      </c>
      <c r="H595" s="90">
        <f>'2020'!BH595</f>
        <v>57.08</v>
      </c>
      <c r="I595" s="13">
        <v>41</v>
      </c>
      <c r="J595" s="15"/>
      <c r="K595" s="15"/>
      <c r="L595" s="28"/>
      <c r="M595" s="13">
        <v>41</v>
      </c>
      <c r="N595" s="15">
        <f t="shared" si="2151"/>
        <v>0</v>
      </c>
      <c r="Q595" s="13">
        <v>41</v>
      </c>
      <c r="R595" s="15">
        <f t="shared" si="2152"/>
        <v>0</v>
      </c>
      <c r="S595" s="15"/>
      <c r="T595" s="28"/>
      <c r="U595" s="13">
        <v>41</v>
      </c>
      <c r="V595" s="15">
        <f t="shared" si="2153"/>
        <v>0</v>
      </c>
      <c r="W595" s="180">
        <f>V595*$F$10</f>
        <v>0</v>
      </c>
      <c r="Y595" s="186">
        <v>41</v>
      </c>
      <c r="Z595" s="2">
        <f t="shared" si="2154"/>
        <v>0</v>
      </c>
      <c r="AA595" s="34">
        <f>Z595*$F$10</f>
        <v>0</v>
      </c>
      <c r="AB595" s="28"/>
      <c r="AC595" s="13">
        <v>41</v>
      </c>
      <c r="AD595" s="15">
        <f t="shared" si="2155"/>
        <v>0</v>
      </c>
      <c r="AE595" s="34">
        <f>AD595*$F$10</f>
        <v>0</v>
      </c>
      <c r="AG595" s="13">
        <v>41</v>
      </c>
      <c r="AH595" s="2">
        <f t="shared" si="2156"/>
        <v>0</v>
      </c>
      <c r="AI595" s="45">
        <f>AH595*$G$10</f>
        <v>0</v>
      </c>
      <c r="AJ595" s="306">
        <v>57.08</v>
      </c>
      <c r="AK595" s="13">
        <v>41</v>
      </c>
      <c r="AL595" s="15">
        <f t="shared" si="2157"/>
        <v>0</v>
      </c>
      <c r="AM595" s="45">
        <f>AL595*$G$10</f>
        <v>0</v>
      </c>
      <c r="AN595" s="15"/>
      <c r="AO595" s="13">
        <v>41</v>
      </c>
      <c r="AP595" s="15">
        <f t="shared" si="2158"/>
        <v>0</v>
      </c>
      <c r="AQ595" s="45">
        <f>AP595*$G$10</f>
        <v>0</v>
      </c>
      <c r="AR595" s="15"/>
      <c r="AS595" s="13">
        <v>41</v>
      </c>
      <c r="AT595" s="15">
        <f t="shared" si="2159"/>
        <v>0</v>
      </c>
      <c r="AU595" s="45">
        <f>AT595*$G$10</f>
        <v>0</v>
      </c>
      <c r="AV595" s="15"/>
      <c r="AW595" s="13">
        <v>41</v>
      </c>
      <c r="AX595" s="15">
        <f t="shared" si="2160"/>
        <v>0</v>
      </c>
      <c r="AY595" s="45"/>
      <c r="AZ595" s="208"/>
      <c r="BA595" s="13">
        <v>41</v>
      </c>
      <c r="BB595" s="15">
        <f t="shared" si="2161"/>
        <v>0</v>
      </c>
      <c r="BC595" s="45"/>
      <c r="BD595" s="208"/>
      <c r="BE595" s="40">
        <f t="shared" ref="BE595:BG595" si="2163">J595+N595+R595+V595+Z595+AD595+AH595+AL595+AP595+AT595+AX595+BB595</f>
        <v>0</v>
      </c>
      <c r="BF595" s="41">
        <f t="shared" si="2163"/>
        <v>0</v>
      </c>
      <c r="BG595" s="34">
        <f t="shared" si="2163"/>
        <v>57.08</v>
      </c>
      <c r="BH595" s="35">
        <f t="shared" si="2150"/>
        <v>0</v>
      </c>
      <c r="BK595" s="2" t="b">
        <f>H595='2020'!BH595</f>
        <v>1</v>
      </c>
    </row>
    <row r="596" ht="14.25" customHeight="1" hidden="1" spans="1:63" x14ac:dyDescent="0.25">
      <c r="A596" s="2">
        <v>66</v>
      </c>
      <c r="B596" s="14"/>
      <c r="C596" s="2" t="s">
        <v>158</v>
      </c>
      <c r="D596" s="14" t="s">
        <v>47</v>
      </c>
      <c r="E596" s="2" t="s">
        <v>49</v>
      </c>
      <c r="F596" s="41">
        <v>500</v>
      </c>
      <c r="G596" s="28"/>
      <c r="H596" s="34">
        <f>'2020'!BH596</f>
        <v>0</v>
      </c>
      <c r="I596" s="13"/>
      <c r="J596" s="15"/>
      <c r="K596" s="15"/>
      <c r="L596" s="28"/>
      <c r="M596" s="13"/>
      <c r="N596" s="15"/>
      <c r="Q596" s="13"/>
      <c r="R596" s="15"/>
      <c r="S596" s="15"/>
      <c r="T596" s="28"/>
      <c r="U596" s="13"/>
      <c r="V596" s="15"/>
      <c r="Y596" s="186"/>
      <c r="Z596" s="2"/>
      <c r="AA596" s="15"/>
      <c r="AB596" s="28"/>
      <c r="AC596" s="15"/>
      <c r="AD596" s="15"/>
      <c r="AG596" s="15"/>
      <c r="AH596" s="2"/>
      <c r="AI596" s="45"/>
      <c r="AJ596" s="154"/>
      <c r="AK596" s="13"/>
      <c r="AL596" s="15"/>
      <c r="AM596" s="45"/>
      <c r="AN596" s="15"/>
      <c r="AO596" s="13"/>
      <c r="AP596" s="15"/>
      <c r="AQ596" s="45"/>
      <c r="AR596" s="15"/>
      <c r="AS596" s="13"/>
      <c r="AT596" s="15"/>
      <c r="AU596" s="45"/>
      <c r="AV596" s="15"/>
      <c r="AW596" s="13"/>
      <c r="AX596" s="15"/>
      <c r="AY596" s="45"/>
      <c r="AZ596" s="28"/>
      <c r="BA596" s="13"/>
      <c r="BB596" s="15"/>
      <c r="BC596" s="45"/>
      <c r="BD596" s="28"/>
      <c r="BE596" s="14"/>
      <c r="BF596" s="41">
        <f t="shared" ref="BF596:BG596" si="2164">K596+O596+S596+W596+AA596+AE596+AI596+AM596+AQ596+AU596+AY596+BC596</f>
        <v>0</v>
      </c>
      <c r="BG596" s="34">
        <f t="shared" si="2164"/>
        <v>0</v>
      </c>
      <c r="BH596" s="35">
        <f t="shared" si="2150"/>
        <v>0</v>
      </c>
      <c r="BK596" s="2" t="b">
        <f>H596='2020'!BH596</f>
        <v>1</v>
      </c>
    </row>
    <row r="597" ht="14.25" customHeight="1" hidden="1" spans="1:63" x14ac:dyDescent="0.25">
      <c r="A597" s="2">
        <v>66</v>
      </c>
      <c r="B597" s="14"/>
      <c r="D597" s="14" t="s">
        <v>50</v>
      </c>
      <c r="E597" s="2" t="s">
        <v>49</v>
      </c>
      <c r="F597" s="41">
        <v>1100</v>
      </c>
      <c r="G597" s="28"/>
      <c r="H597" s="34">
        <f>'2020'!BH597</f>
        <v>5126</v>
      </c>
      <c r="I597" s="13"/>
      <c r="J597" s="15"/>
      <c r="K597" s="15"/>
      <c r="L597" s="28"/>
      <c r="M597" s="13"/>
      <c r="N597" s="15"/>
      <c r="Q597" s="13"/>
      <c r="R597" s="15"/>
      <c r="S597" s="15"/>
      <c r="T597" s="28"/>
      <c r="U597" s="13"/>
      <c r="V597" s="15"/>
      <c r="Y597" s="186"/>
      <c r="Z597" s="2"/>
      <c r="AA597" s="15"/>
      <c r="AB597" s="35"/>
      <c r="AC597" s="15"/>
      <c r="AD597" s="15"/>
      <c r="AE597" s="34">
        <f>B594*$F$12</f>
        <v>5126</v>
      </c>
      <c r="AG597" s="15"/>
      <c r="AH597" s="2"/>
      <c r="AI597" s="45"/>
      <c r="AJ597" s="326">
        <v>10252</v>
      </c>
      <c r="AK597" s="13"/>
      <c r="AL597" s="15"/>
      <c r="AM597" s="45"/>
      <c r="AN597" s="15"/>
      <c r="AO597" s="13"/>
      <c r="AP597" s="15"/>
      <c r="AQ597" s="45"/>
      <c r="AR597" s="15"/>
      <c r="AS597" s="13"/>
      <c r="AT597" s="15"/>
      <c r="AU597" s="45"/>
      <c r="AV597" s="15"/>
      <c r="AW597" s="13"/>
      <c r="AX597" s="15"/>
      <c r="AY597" s="45"/>
      <c r="AZ597" s="28"/>
      <c r="BA597" s="13"/>
      <c r="BB597" s="15"/>
      <c r="BC597" s="45"/>
      <c r="BD597" s="28"/>
      <c r="BE597" s="14"/>
      <c r="BF597" s="41">
        <f t="shared" ref="BF597:BG597" si="2165">K597+O597+S597+W597+AA597+AE597+AI597+AM597+AQ597+AU597+AY597+BC597</f>
        <v>5126</v>
      </c>
      <c r="BG597" s="34">
        <f t="shared" si="2165"/>
        <v>10252</v>
      </c>
      <c r="BH597" s="35">
        <f t="shared" si="2150"/>
        <v>0</v>
      </c>
      <c r="BK597" s="2" t="b">
        <f>H597='2020'!BH597</f>
        <v>1</v>
      </c>
    </row>
    <row r="598" ht="14.25" customHeight="1" hidden="1" spans="1:63" x14ac:dyDescent="0.25">
      <c r="A598" s="2">
        <v>66</v>
      </c>
      <c r="B598" s="14"/>
      <c r="D598" s="14" t="s">
        <v>51</v>
      </c>
      <c r="E598" s="2" t="s">
        <v>39</v>
      </c>
      <c r="F598" s="41">
        <v>500</v>
      </c>
      <c r="G598" s="28"/>
      <c r="H598" s="34">
        <f>'2020'!BH598</f>
        <v>500</v>
      </c>
      <c r="I598" s="13"/>
      <c r="J598" s="15"/>
      <c r="K598" s="15"/>
      <c r="L598" s="28"/>
      <c r="M598" s="13"/>
      <c r="N598" s="15"/>
      <c r="Q598" s="13"/>
      <c r="R598" s="15"/>
      <c r="S598" s="15"/>
      <c r="T598" s="28"/>
      <c r="U598" s="13"/>
      <c r="V598" s="15"/>
      <c r="Y598" s="186"/>
      <c r="Z598" s="2"/>
      <c r="AA598" s="15"/>
      <c r="AB598" s="35"/>
      <c r="AC598" s="15"/>
      <c r="AD598" s="15"/>
      <c r="AE598" s="180">
        <f>$F$13</f>
      </c>
      <c r="AG598" s="15"/>
      <c r="AH598" s="2"/>
      <c r="AI598" s="45"/>
      <c r="AJ598" s="306">
        <v>500</v>
      </c>
      <c r="AK598" s="13"/>
      <c r="AL598" s="15"/>
      <c r="AM598" s="45"/>
      <c r="AN598" s="15"/>
      <c r="AO598" s="13"/>
      <c r="AP598" s="15"/>
      <c r="AQ598" s="180"/>
      <c r="AR598" s="15"/>
      <c r="AS598" s="13"/>
      <c r="AT598" s="15"/>
      <c r="AU598" s="45"/>
      <c r="AV598" s="15"/>
      <c r="AW598" s="13"/>
      <c r="AX598" s="15"/>
      <c r="AY598" s="45"/>
      <c r="AZ598" s="28"/>
      <c r="BA598" s="13"/>
      <c r="BB598" s="15"/>
      <c r="BC598" s="45"/>
      <c r="BD598" s="28"/>
      <c r="BE598" s="14"/>
      <c r="BF598" s="41">
        <f t="shared" ref="BF598:BG598" si="2166">K598+O598+S598+W598+AA598+AE598+AI598+AM598+AQ598+AU598+AY598+BC598</f>
        <v>0</v>
      </c>
      <c r="BG598" s="34">
        <f t="shared" si="2166"/>
        <v>500</v>
      </c>
      <c r="BH598" s="35">
        <f t="shared" si="2150"/>
        <v>0</v>
      </c>
      <c r="BK598" s="2" t="b">
        <f>H598='2020'!BH598</f>
        <v>1</v>
      </c>
    </row>
    <row r="599" ht="14.25" customHeight="1" hidden="1" spans="1:63" x14ac:dyDescent="0.25">
      <c r="A599" s="2">
        <v>66</v>
      </c>
      <c r="B599" s="14"/>
      <c r="D599" s="14" t="s">
        <v>51</v>
      </c>
      <c r="E599" s="2" t="s">
        <v>49</v>
      </c>
      <c r="F599" s="41">
        <v>500</v>
      </c>
      <c r="G599" s="28"/>
      <c r="H599" s="34">
        <f>'2020'!BH599</f>
        <v>2330</v>
      </c>
      <c r="I599" s="13"/>
      <c r="J599" s="15"/>
      <c r="K599" s="15"/>
      <c r="L599" s="28"/>
      <c r="M599" s="13"/>
      <c r="N599" s="15"/>
      <c r="Q599" s="13"/>
      <c r="R599" s="15"/>
      <c r="S599" s="15"/>
      <c r="T599" s="28"/>
      <c r="U599" s="13"/>
      <c r="V599" s="15"/>
      <c r="Y599" s="186"/>
      <c r="Z599" s="2"/>
      <c r="AA599" s="15"/>
      <c r="AB599" s="38"/>
      <c r="AC599" s="15"/>
      <c r="AD599" s="15"/>
      <c r="AE599" s="34"/>
      <c r="AG599" s="15"/>
      <c r="AH599" s="2"/>
      <c r="AI599" s="45"/>
      <c r="AJ599" s="306">
        <v>2330</v>
      </c>
      <c r="AK599" s="13"/>
      <c r="AL599" s="15"/>
      <c r="AM599" s="45"/>
      <c r="AN599" s="15"/>
      <c r="AO599" s="13"/>
      <c r="AP599" s="15"/>
      <c r="AQ599" s="180">
        <f>B594*$F$14</f>
        <v>0</v>
      </c>
      <c r="AR599" s="15"/>
      <c r="AS599" s="13"/>
      <c r="AT599" s="15"/>
      <c r="AU599" s="45"/>
      <c r="AV599" s="15"/>
      <c r="AW599" s="13"/>
      <c r="AX599" s="15"/>
      <c r="AY599" s="45"/>
      <c r="AZ599" s="28"/>
      <c r="BA599" s="13"/>
      <c r="BB599" s="15"/>
      <c r="BC599" s="45"/>
      <c r="BD599" s="28"/>
      <c r="BE599" s="14"/>
      <c r="BF599" s="41">
        <f t="shared" ref="BF599:BG599" si="2167">K599+O599+S599+W599+AA599+AE599+AI599+AM599+AQ599+AU599+AY599+BC599</f>
        <v>0</v>
      </c>
      <c r="BG599" s="34">
        <f t="shared" si="2167"/>
        <v>2330</v>
      </c>
      <c r="BH599" s="35">
        <f t="shared" si="2150"/>
        <v>0</v>
      </c>
      <c r="BK599" s="2" t="b">
        <f>H599='2020'!BH599</f>
        <v>1</v>
      </c>
    </row>
    <row r="600" ht="14.25" customHeight="1" hidden="1" spans="1:63" x14ac:dyDescent="0.25">
      <c r="A600" s="2">
        <v>66</v>
      </c>
      <c r="B600" s="14"/>
      <c r="D600" s="14" t="s">
        <v>52</v>
      </c>
      <c r="E600" s="2" t="s">
        <v>39</v>
      </c>
      <c r="F600" s="41">
        <v>500</v>
      </c>
      <c r="G600" s="28"/>
      <c r="H600" s="34">
        <f>'2020'!BH600</f>
        <v>500</v>
      </c>
      <c r="I600" s="13"/>
      <c r="J600" s="15"/>
      <c r="K600" s="15"/>
      <c r="L600" s="28"/>
      <c r="M600" s="13"/>
      <c r="N600" s="15"/>
      <c r="Q600" s="13"/>
      <c r="R600" s="15"/>
      <c r="S600" s="15"/>
      <c r="T600" s="28"/>
      <c r="U600" s="13"/>
      <c r="V600" s="15"/>
      <c r="Y600" s="186"/>
      <c r="Z600" s="2"/>
      <c r="AA600" s="34">
        <f>$F$15</f>
      </c>
      <c r="AB600" s="35"/>
      <c r="AC600" s="15"/>
      <c r="AD600" s="15"/>
      <c r="AG600" s="15"/>
      <c r="AH600" s="2"/>
      <c r="AI600" s="45"/>
      <c r="AJ600" s="154">
        <v>500</v>
      </c>
      <c r="AK600" s="13"/>
      <c r="AL600" s="15"/>
      <c r="AM600" s="45"/>
      <c r="AN600" s="15"/>
      <c r="AO600" s="13"/>
      <c r="AP600" s="15"/>
      <c r="AQ600" s="45"/>
      <c r="AR600" s="15"/>
      <c r="AS600" s="13"/>
      <c r="AT600" s="15"/>
      <c r="AU600" s="45"/>
      <c r="AV600" s="15"/>
      <c r="AW600" s="13"/>
      <c r="AX600" s="15"/>
      <c r="AY600" s="45"/>
      <c r="AZ600" s="35"/>
      <c r="BA600" s="13"/>
      <c r="BB600" s="15"/>
      <c r="BC600" s="45"/>
      <c r="BD600" s="35"/>
      <c r="BE600" s="14"/>
      <c r="BF600" s="41">
        <f t="shared" ref="BF600:BG600" si="2168">K600+O600+S600+W600+AA600+AE600+AI600+AM600+AQ600+AU600+AY600+BC600</f>
        <v>0</v>
      </c>
      <c r="BG600" s="34">
        <f t="shared" si="2168"/>
        <v>500</v>
      </c>
      <c r="BH600" s="35">
        <f t="shared" si="2150"/>
        <v>0</v>
      </c>
      <c r="BK600" s="2" t="b">
        <f>H600='2020'!BH600</f>
        <v>1</v>
      </c>
    </row>
    <row r="601" ht="14.25" customHeight="1" hidden="1" spans="1:63" x14ac:dyDescent="0.25">
      <c r="A601" s="247">
        <v>66</v>
      </c>
      <c r="B601" s="21"/>
      <c r="C601" s="22" t="s">
        <v>53</v>
      </c>
      <c r="D601" s="21"/>
      <c r="E601" s="22"/>
      <c r="F601" s="20"/>
      <c r="G601" s="23"/>
      <c r="H601" s="51">
        <f>SUM(H593:H600)</f>
        <v>8745.07</v>
      </c>
      <c r="I601" s="52"/>
      <c r="J601" s="53"/>
      <c r="K601" s="51">
        <f t="shared" ref="K601:L601" si="2169">SUM(K593:K600)</f>
        <v>15.89</v>
      </c>
      <c r="L601" s="68">
        <f t="shared" si="2169"/>
        <v>0</v>
      </c>
      <c r="M601" s="52"/>
      <c r="N601" s="53"/>
      <c r="O601" s="51">
        <f t="shared" ref="O601:P601" si="2170">SUM(O593:O600)</f>
        <v>14.35</v>
      </c>
      <c r="P601" s="51">
        <f t="shared" si="2170"/>
        <v>0</v>
      </c>
      <c r="Q601" s="52"/>
      <c r="R601" s="53"/>
      <c r="S601" s="51">
        <f t="shared" ref="S601:T601" si="2171">SUM(S593:S600)</f>
        <v>15.89</v>
      </c>
      <c r="T601" s="51">
        <f t="shared" si="2171"/>
        <v>0</v>
      </c>
      <c r="U601" s="52"/>
      <c r="V601" s="53"/>
      <c r="W601" s="51">
        <f t="shared" ref="W601:X601" si="2172">SUM(W593:W600)</f>
        <v>15.38</v>
      </c>
      <c r="X601" s="51">
        <f t="shared" si="2172"/>
        <v>0</v>
      </c>
      <c r="Y601" s="300"/>
      <c r="Z601" s="301"/>
      <c r="AA601" s="51">
        <f t="shared" ref="AA601:AB601" si="2173">SUM(AA593:AA600)</f>
        <v>15.89</v>
      </c>
      <c r="AB601" s="51">
        <f t="shared" si="2173"/>
        <v>0</v>
      </c>
      <c r="AC601" s="52"/>
      <c r="AD601" s="53"/>
      <c r="AE601" s="51">
        <f t="shared" ref="AE601:AF601" si="2174">SUM(AE593:AE600)</f>
        <v>5141.38</v>
      </c>
      <c r="AF601" s="51">
        <f t="shared" si="2174"/>
        <v>0</v>
      </c>
      <c r="AG601" s="52"/>
      <c r="AH601" s="301"/>
      <c r="AI601" s="183">
        <f t="shared" ref="AI601:AJ601" si="2175">SUM(AI593:AI600)</f>
        <v>0</v>
      </c>
      <c r="AJ601" s="51">
        <f t="shared" si="2175"/>
        <v>13963.85</v>
      </c>
      <c r="AK601" s="52"/>
      <c r="AL601" s="53"/>
      <c r="AM601" s="183">
        <f t="shared" ref="AM601:AN601" si="2176">SUM(AM593:AM600)</f>
        <v>0</v>
      </c>
      <c r="AN601" s="51">
        <f t="shared" si="2176"/>
        <v>0</v>
      </c>
      <c r="AO601" s="52"/>
      <c r="AP601" s="53"/>
      <c r="AQ601" s="183">
        <f t="shared" ref="AQ601:AR601" si="2177">SUM(AQ593:AQ600)</f>
        <v>0</v>
      </c>
      <c r="AR601" s="51">
        <f t="shared" si="2177"/>
        <v>0</v>
      </c>
      <c r="AS601" s="52"/>
      <c r="AT601" s="53"/>
      <c r="AU601" s="183">
        <f t="shared" ref="AU601:AV601" si="2178">SUM(AU593:AU600)</f>
        <v>2.7</v>
      </c>
      <c r="AV601" s="68">
        <f t="shared" si="2178"/>
        <v>0</v>
      </c>
      <c r="AW601" s="52"/>
      <c r="AX601" s="53"/>
      <c r="AY601" s="183">
        <f t="shared" ref="AY601:AZ601" si="2179">SUM(AY593:AY600)</f>
        <v>0</v>
      </c>
      <c r="AZ601" s="68">
        <f t="shared" si="2179"/>
        <v>0</v>
      </c>
      <c r="BA601" s="52"/>
      <c r="BB601" s="53"/>
      <c r="BC601" s="183">
        <f t="shared" ref="BC601:BD601" si="2180">SUM(BC593:BC600)</f>
        <v>0</v>
      </c>
      <c r="BD601" s="68">
        <f t="shared" si="2180"/>
        <v>0</v>
      </c>
      <c r="BE601" s="69"/>
      <c r="BF601" s="70">
        <f t="shared" ref="BF601:BH601" si="2181">SUM(BF593:BF600)</f>
        <v>5221.48</v>
      </c>
      <c r="BG601" s="71">
        <f t="shared" si="2181"/>
        <v>13963.85</v>
      </c>
      <c r="BH601" s="72">
        <f t="shared" si="2181"/>
        <v>2.7</v>
      </c>
      <c r="BI601" s="34">
        <f>H601+BF601-BG601</f>
        <v>2.7</v>
      </c>
      <c r="BJ601" s="34">
        <f>BH601-BI601</f>
        <v>0</v>
      </c>
      <c r="BK601" s="2" t="b">
        <f>H601='2020'!BH601</f>
        <v>1</v>
      </c>
    </row>
    <row r="602" ht="14.25" customHeight="1" hidden="1" spans="1:63" x14ac:dyDescent="0.25">
      <c r="A602" s="2">
        <v>67</v>
      </c>
      <c r="B602" s="14"/>
      <c r="D602" s="14" t="s">
        <v>379</v>
      </c>
      <c r="F602" s="13"/>
      <c r="G602" s="28"/>
      <c r="H602" s="34">
        <f>'2020'!BH602</f>
        <v>0</v>
      </c>
      <c r="I602" s="13"/>
      <c r="J602" s="15"/>
      <c r="K602" s="15"/>
      <c r="L602" s="28"/>
      <c r="M602" s="13"/>
      <c r="N602" s="15"/>
      <c r="Q602" s="13"/>
      <c r="R602" s="15"/>
      <c r="S602" s="15"/>
      <c r="T602" s="28"/>
      <c r="U602" s="13"/>
      <c r="V602" s="15"/>
      <c r="Y602" s="186"/>
      <c r="Z602" s="2"/>
      <c r="AA602" s="15"/>
      <c r="AB602" s="28"/>
      <c r="AC602" s="15"/>
      <c r="AD602" s="15"/>
      <c r="AG602" s="15"/>
      <c r="AH602" s="2"/>
      <c r="AI602" s="45"/>
      <c r="AJ602" s="15"/>
      <c r="AK602" s="13"/>
      <c r="AM602" s="45"/>
      <c r="AO602" s="13"/>
      <c r="AQ602" s="45"/>
      <c r="AS602" s="13"/>
      <c r="AU602" s="45"/>
      <c r="AW602" s="13"/>
      <c r="AY602" s="45"/>
      <c r="AZ602" s="28"/>
      <c r="BA602" s="13"/>
      <c r="BB602" s="15"/>
      <c r="BC602" s="45"/>
      <c r="BD602" s="28"/>
      <c r="BE602" s="14"/>
      <c r="BF602" s="41">
        <f t="shared" ref="BF602:BG602" si="2182">K602+O602+S602+W602+AA602+AE602+AI602+AM602+AQ602+AU602+AY602+BC602</f>
        <v>0</v>
      </c>
      <c r="BG602" s="34">
        <f t="shared" si="2182"/>
        <v>0</v>
      </c>
      <c r="BH602" s="35">
        <f t="shared" ref="BH602:BH609" si="2183">H602+BF602-BG602</f>
        <v>0</v>
      </c>
      <c r="BK602" s="2" t="b">
        <f>H602='2020'!BH602</f>
        <v>1</v>
      </c>
    </row>
    <row r="603" ht="14.25" customHeight="1" hidden="1" spans="1:63" x14ac:dyDescent="0.25">
      <c r="A603" s="147">
        <v>67</v>
      </c>
      <c r="B603" s="14">
        <v>6.08</v>
      </c>
      <c r="C603" s="2" t="s">
        <v>245</v>
      </c>
      <c r="D603" s="14" t="s">
        <v>44</v>
      </c>
      <c r="E603" s="2" t="s">
        <v>45</v>
      </c>
      <c r="F603" s="41">
        <v>2.5</v>
      </c>
      <c r="G603" s="35">
        <v>2.6</v>
      </c>
      <c r="H603" s="34">
        <f>'2020'!BH603</f>
        <v>359.23</v>
      </c>
      <c r="I603" s="13">
        <v>2412</v>
      </c>
      <c r="J603" s="15">
        <f>I603-'2020'!BA603</f>
        <v>0</v>
      </c>
      <c r="K603" s="34">
        <f>J603*$F$8</f>
        <v>0</v>
      </c>
      <c r="L603" s="28"/>
      <c r="M603" s="13">
        <v>2412</v>
      </c>
      <c r="N603" s="15">
        <f t="shared" ref="N603:N604" si="2184">M603-I603</f>
        <v>0</v>
      </c>
      <c r="O603" s="34">
        <f>N603*$F$8</f>
        <v>0</v>
      </c>
      <c r="P603" s="1">
        <v>450</v>
      </c>
      <c r="Q603" s="13">
        <v>2412</v>
      </c>
      <c r="R603" s="15">
        <f t="shared" ref="R603:R604" si="2185">Q603-M603</f>
        <v>0</v>
      </c>
      <c r="S603" s="34">
        <f>R603*$F$8</f>
        <v>0</v>
      </c>
      <c r="T603" s="28"/>
      <c r="U603" s="13">
        <v>2412</v>
      </c>
      <c r="V603" s="15">
        <f t="shared" ref="V603:V604" si="2186">U603-Q603</f>
        <v>0</v>
      </c>
      <c r="W603" s="34">
        <f>V603*$F$8</f>
        <v>0</v>
      </c>
      <c r="X603" s="15"/>
      <c r="Y603" s="186">
        <v>2430</v>
      </c>
      <c r="Z603" s="2">
        <f t="shared" ref="Z603:Z604" si="2187">Y603-U603</f>
        <v>18</v>
      </c>
      <c r="AA603" s="34">
        <f>Z603*$F$8</f>
        <v>46.8</v>
      </c>
      <c r="AB603" s="28"/>
      <c r="AC603" s="15">
        <v>2501</v>
      </c>
      <c r="AD603" s="15">
        <f t="shared" ref="AD603:AD604" si="2188">AC603-Y603</f>
        <v>71</v>
      </c>
      <c r="AE603" s="180">
        <f>AD603*$F$8</f>
        <v>184.6</v>
      </c>
      <c r="AF603" s="154">
        <v>140.63</v>
      </c>
      <c r="AG603" s="15">
        <v>2579</v>
      </c>
      <c r="AH603" s="2">
        <f t="shared" ref="AH603:AH604" si="2189">AG603-AC603</f>
        <v>78</v>
      </c>
      <c r="AI603" s="45">
        <f>AH603*$G$8</f>
        <v>210.6</v>
      </c>
      <c r="AJ603" s="326">
        <v>210.6</v>
      </c>
      <c r="AK603" s="13">
        <v>2653</v>
      </c>
      <c r="AL603" s="15">
        <f t="shared" ref="AL603:AL604" si="2190">AK603-AG603</f>
        <v>74</v>
      </c>
      <c r="AM603" s="45">
        <f>AL603*$G$8</f>
        <v>199.8</v>
      </c>
      <c r="AN603" s="305">
        <v>400</v>
      </c>
      <c r="AO603" s="13">
        <v>2710</v>
      </c>
      <c r="AP603" s="15">
        <f t="shared" ref="AP603:AP604" si="2191">AO603-AK603</f>
        <v>57</v>
      </c>
      <c r="AQ603" s="45">
        <f>AP603*$G$8</f>
        <v>153.9</v>
      </c>
      <c r="AR603" s="15"/>
      <c r="AS603" s="13">
        <v>2726</v>
      </c>
      <c r="AT603" s="15">
        <f t="shared" ref="AT603:AT604" si="2192">AS603-AO603</f>
        <v>16</v>
      </c>
      <c r="AU603" s="45">
        <f t="shared" ref="AU603:AU604" si="2193">AT603*$G$8</f>
        <v>43.2</v>
      </c>
      <c r="AV603" s="15"/>
      <c r="AW603" s="13">
        <v>2734</v>
      </c>
      <c r="AX603" s="15">
        <f t="shared" ref="AX603:AX604" si="2194">AW603-AS603</f>
        <v>8</v>
      </c>
      <c r="AY603" s="45">
        <f>AX603*$G$8</f>
        <v>21.6</v>
      </c>
      <c r="AZ603" s="208"/>
      <c r="BA603" s="13">
        <v>2734</v>
      </c>
      <c r="BB603" s="15">
        <f t="shared" ref="BB603:BB604" si="2195">BA603-AW603</f>
        <v>0</v>
      </c>
      <c r="BC603" s="45">
        <f>BB603*$G$8</f>
        <v>0</v>
      </c>
      <c r="BD603" s="208"/>
      <c r="BE603" s="40">
        <f t="shared" ref="BE603:BG603" si="2196">J603+N603+R603+V603+Z603+AD603+AH603+AL603+AP603+AT603+AX603+BB603</f>
        <v>322</v>
      </c>
      <c r="BF603" s="41">
        <f t="shared" si="2196"/>
        <v>860.5</v>
      </c>
      <c r="BG603" s="34">
        <f t="shared" si="2196"/>
        <v>1201.23</v>
      </c>
      <c r="BH603" s="35">
        <f t="shared" si="2183"/>
        <v>18.5</v>
      </c>
      <c r="BK603" s="2" t="b">
        <f>H603='2020'!BH603</f>
        <v>1</v>
      </c>
    </row>
    <row r="604" ht="14.25" customHeight="1" hidden="1" spans="1:63" x14ac:dyDescent="0.25">
      <c r="A604" s="2">
        <v>67</v>
      </c>
      <c r="B604" s="14"/>
      <c r="C604" s="2" t="s">
        <v>98</v>
      </c>
      <c r="D604" s="14" t="s">
        <v>47</v>
      </c>
      <c r="E604" s="2" t="s">
        <v>48</v>
      </c>
      <c r="F604" s="13">
        <v>18.56</v>
      </c>
      <c r="G604" s="35">
        <v>19.46</v>
      </c>
      <c r="H604" s="90">
        <f>'2020'!BH604</f>
        <v>0</v>
      </c>
      <c r="I604" s="13">
        <v>170</v>
      </c>
      <c r="J604" s="15"/>
      <c r="K604" s="15"/>
      <c r="L604" s="28"/>
      <c r="M604" s="13">
        <v>170</v>
      </c>
      <c r="N604" s="15">
        <f t="shared" si="2184"/>
        <v>0</v>
      </c>
      <c r="P604" s="1"/>
      <c r="Q604" s="13">
        <v>170</v>
      </c>
      <c r="R604" s="15">
        <f t="shared" si="2185"/>
        <v>0</v>
      </c>
      <c r="S604" s="15"/>
      <c r="T604" s="28"/>
      <c r="U604" s="13">
        <v>170</v>
      </c>
      <c r="V604" s="15">
        <f t="shared" si="2186"/>
        <v>0</v>
      </c>
      <c r="W604" s="180">
        <f>V604*$F$10</f>
        <v>0</v>
      </c>
      <c r="Y604" s="186">
        <f>37+133</f>
        <v>170</v>
      </c>
      <c r="Z604" s="2">
        <f t="shared" si="2187"/>
        <v>0</v>
      </c>
      <c r="AA604" s="34">
        <f>Z604*$F$10</f>
        <v>0</v>
      </c>
      <c r="AB604" s="28"/>
      <c r="AC604" s="13">
        <f>37+134</f>
        <v>171</v>
      </c>
      <c r="AD604" s="15">
        <f t="shared" si="2188"/>
        <v>1</v>
      </c>
      <c r="AE604" s="34">
        <f>AD604*$F$10</f>
        <v>19.46</v>
      </c>
      <c r="AF604" s="182">
        <v>59.37</v>
      </c>
      <c r="AG604" s="13">
        <f>52+138</f>
        <v>190</v>
      </c>
      <c r="AH604" s="2">
        <f t="shared" si="2189"/>
        <v>19</v>
      </c>
      <c r="AI604" s="45">
        <f>AH604*$G$10</f>
        <v>386.65</v>
      </c>
      <c r="AJ604" s="326">
        <v>346.74</v>
      </c>
      <c r="AK604" s="13">
        <f>55+142</f>
        <v>197</v>
      </c>
      <c r="AL604" s="15">
        <f t="shared" si="2190"/>
        <v>7</v>
      </c>
      <c r="AM604" s="45">
        <f>AL604*$G$10</f>
        <v>142.45</v>
      </c>
      <c r="AN604" s="305">
        <v>354.84</v>
      </c>
      <c r="AO604" s="13">
        <f>58+143</f>
        <v>201</v>
      </c>
      <c r="AP604" s="15">
        <f t="shared" si="2191"/>
        <v>4</v>
      </c>
      <c r="AQ604" s="45">
        <f>AP604*$G$10</f>
        <v>81.4</v>
      </c>
      <c r="AR604" s="15"/>
      <c r="AS604" s="13">
        <f>58+143</f>
        <v>201</v>
      </c>
      <c r="AT604" s="15">
        <f t="shared" si="2192"/>
        <v>0</v>
      </c>
      <c r="AU604" s="45">
        <f t="shared" si="2193"/>
        <v>0</v>
      </c>
      <c r="AV604" s="15"/>
      <c r="AW604" s="13">
        <f>58+143</f>
        <v>201</v>
      </c>
      <c r="AX604" s="15">
        <f t="shared" si="2194"/>
        <v>0</v>
      </c>
      <c r="AY604" s="45"/>
      <c r="AZ604" s="208"/>
      <c r="BA604" s="13">
        <f>58+143</f>
        <v>201</v>
      </c>
      <c r="BB604" s="15">
        <f t="shared" si="2195"/>
        <v>0</v>
      </c>
      <c r="BC604" s="45"/>
      <c r="BD604" s="208"/>
      <c r="BE604" s="40">
        <f t="shared" ref="BE604:BG604" si="2197">J604+N604+R604+V604+Z604+AD604+AH604+AL604+AP604+AT604+AX604+BB604</f>
        <v>31</v>
      </c>
      <c r="BF604" s="41">
        <f t="shared" si="2197"/>
        <v>629.96</v>
      </c>
      <c r="BG604" s="34">
        <f t="shared" si="2197"/>
        <v>760.95</v>
      </c>
      <c r="BH604" s="35">
        <f t="shared" si="2183"/>
        <v>-130.99</v>
      </c>
      <c r="BK604" s="2" t="b">
        <f>H604='2020'!BH604</f>
        <v>1</v>
      </c>
    </row>
    <row r="605" ht="14.25" customHeight="1" hidden="1" spans="1:63" x14ac:dyDescent="0.25">
      <c r="A605" s="2">
        <v>67</v>
      </c>
      <c r="B605" s="14"/>
      <c r="C605" s="2" t="s">
        <v>246</v>
      </c>
      <c r="D605" s="14" t="s">
        <v>47</v>
      </c>
      <c r="E605" s="2" t="s">
        <v>49</v>
      </c>
      <c r="F605" s="41">
        <v>500</v>
      </c>
      <c r="G605" s="28"/>
      <c r="H605" s="34">
        <f>'2020'!BH605</f>
        <v>0</v>
      </c>
      <c r="I605" s="13"/>
      <c r="J605" s="15"/>
      <c r="K605" s="15"/>
      <c r="L605" s="28"/>
      <c r="M605" s="13"/>
      <c r="N605" s="15"/>
      <c r="P605" s="1"/>
      <c r="Q605" s="13"/>
      <c r="R605" s="15"/>
      <c r="S605" s="15"/>
      <c r="T605" s="28"/>
      <c r="U605" s="13"/>
      <c r="V605" s="15"/>
      <c r="Y605" s="186"/>
      <c r="Z605" s="2"/>
      <c r="AA605" s="15"/>
      <c r="AB605" s="28"/>
      <c r="AC605" s="15"/>
      <c r="AD605" s="15"/>
      <c r="AG605" s="15"/>
      <c r="AH605" s="2"/>
      <c r="AI605" s="45"/>
      <c r="AJ605" s="154"/>
      <c r="AK605" s="13"/>
      <c r="AL605" s="15"/>
      <c r="AM605" s="45"/>
      <c r="AN605" s="15"/>
      <c r="AO605" s="13"/>
      <c r="AP605" s="15"/>
      <c r="AQ605" s="45"/>
      <c r="AR605" s="15"/>
      <c r="AS605" s="13"/>
      <c r="AT605" s="15"/>
      <c r="AU605" s="45"/>
      <c r="AV605" s="15"/>
      <c r="AW605" s="13"/>
      <c r="AX605" s="15"/>
      <c r="AY605" s="45"/>
      <c r="AZ605" s="28"/>
      <c r="BA605" s="13"/>
      <c r="BB605" s="15"/>
      <c r="BC605" s="45"/>
      <c r="BD605" s="28"/>
      <c r="BE605" s="14"/>
      <c r="BF605" s="41">
        <f t="shared" ref="BF605:BG605" si="2198">K605+O605+S605+W605+AA605+AE605+AI605+AM605+AQ605+AU605+AY605+BC605</f>
        <v>0</v>
      </c>
      <c r="BG605" s="34">
        <f t="shared" si="2198"/>
        <v>0</v>
      </c>
      <c r="BH605" s="35">
        <f t="shared" si="2183"/>
        <v>0</v>
      </c>
      <c r="BK605" s="2" t="b">
        <f>H605='2020'!BH605</f>
        <v>1</v>
      </c>
    </row>
    <row r="606" ht="14.25" customHeight="1" hidden="1" spans="1:63" x14ac:dyDescent="0.25">
      <c r="A606" s="2">
        <v>67</v>
      </c>
      <c r="B606" s="14"/>
      <c r="C606" s="2" t="s">
        <v>247</v>
      </c>
      <c r="D606" s="14" t="s">
        <v>50</v>
      </c>
      <c r="E606" s="2" t="s">
        <v>49</v>
      </c>
      <c r="F606" s="41">
        <v>1100</v>
      </c>
      <c r="G606" s="28"/>
      <c r="H606" s="34">
        <f>'2020'!BH606</f>
        <v>0</v>
      </c>
      <c r="I606" s="13"/>
      <c r="J606" s="15"/>
      <c r="K606" s="15"/>
      <c r="L606" s="28"/>
      <c r="M606" s="13"/>
      <c r="N606" s="15"/>
      <c r="P606" s="1"/>
      <c r="Q606" s="13"/>
      <c r="R606" s="15"/>
      <c r="S606" s="15"/>
      <c r="T606" s="28"/>
      <c r="U606" s="13"/>
      <c r="V606" s="15"/>
      <c r="Y606" s="186"/>
      <c r="Z606" s="2"/>
      <c r="AA606" s="15"/>
      <c r="AB606" s="28"/>
      <c r="AC606" s="15"/>
      <c r="AD606" s="15"/>
      <c r="AE606" s="182">
        <v>6688</v>
      </c>
      <c r="AF606" s="180"/>
      <c r="AG606" s="15"/>
      <c r="AH606" s="2"/>
      <c r="AI606" s="45"/>
      <c r="AJ606" s="326">
        <v>4442.66</v>
      </c>
      <c r="AK606" s="13"/>
      <c r="AL606" s="15"/>
      <c r="AM606" s="45"/>
      <c r="AN606" s="305">
        <v>2245.34</v>
      </c>
      <c r="AO606" s="13"/>
      <c r="AP606" s="15"/>
      <c r="AQ606" s="45"/>
      <c r="AR606" s="15"/>
      <c r="AS606" s="13"/>
      <c r="AT606" s="15"/>
      <c r="AU606" s="45"/>
      <c r="AV606" s="15"/>
      <c r="AW606" s="13"/>
      <c r="AX606" s="15"/>
      <c r="AY606" s="45"/>
      <c r="AZ606" s="28"/>
      <c r="BA606" s="13"/>
      <c r="BB606" s="15"/>
      <c r="BC606" s="45"/>
      <c r="BD606" s="28"/>
      <c r="BE606" s="14"/>
      <c r="BF606" s="41">
        <f t="shared" ref="BF606:BG606" si="2199">K606+O606+S606+W606+AA606+AE606+AI606+AM606+AQ606+AU606+AY606+BC606</f>
        <v>6688</v>
      </c>
      <c r="BG606" s="34">
        <f t="shared" si="2199"/>
        <v>6688</v>
      </c>
      <c r="BH606" s="35">
        <f t="shared" si="2183"/>
        <v>0</v>
      </c>
      <c r="BK606" s="2" t="b">
        <f>H606='2020'!BH606</f>
        <v>1</v>
      </c>
    </row>
    <row r="607" ht="14.25" customHeight="1" hidden="1" spans="1:63" x14ac:dyDescent="0.25">
      <c r="A607" s="2">
        <v>67</v>
      </c>
      <c r="B607" s="14"/>
      <c r="C607" s="2" t="s">
        <v>429</v>
      </c>
      <c r="D607" s="14" t="s">
        <v>51</v>
      </c>
      <c r="E607" s="2" t="s">
        <v>39</v>
      </c>
      <c r="F607" s="41">
        <v>500</v>
      </c>
      <c r="G607" s="28"/>
      <c r="H607" s="34">
        <f>'2020'!BH607</f>
        <v>500</v>
      </c>
      <c r="I607" s="13"/>
      <c r="J607" s="15"/>
      <c r="K607" s="15"/>
      <c r="L607" s="28"/>
      <c r="M607" s="13"/>
      <c r="N607" s="15"/>
      <c r="P607" s="1">
        <v>500</v>
      </c>
      <c r="Q607" s="13"/>
      <c r="R607" s="15"/>
      <c r="S607" s="15"/>
      <c r="T607" s="28"/>
      <c r="U607" s="13"/>
      <c r="V607" s="15"/>
      <c r="Y607" s="186"/>
      <c r="Z607" s="2"/>
      <c r="AA607" s="15"/>
      <c r="AB607" s="28"/>
      <c r="AC607" s="15"/>
      <c r="AD607" s="15"/>
      <c r="AE607" s="180">
        <f>$F$13</f>
      </c>
      <c r="AG607" s="15"/>
      <c r="AH607" s="2"/>
      <c r="AI607" s="45"/>
      <c r="AJ607" s="180"/>
      <c r="AK607" s="13"/>
      <c r="AL607" s="15"/>
      <c r="AM607" s="45"/>
      <c r="AN607" s="15"/>
      <c r="AO607" s="13"/>
      <c r="AP607" s="15"/>
      <c r="AQ607" s="180"/>
      <c r="AR607" s="15"/>
      <c r="AS607" s="13"/>
      <c r="AT607" s="15"/>
      <c r="AU607" s="45"/>
      <c r="AV607" s="15"/>
      <c r="AW607" s="13"/>
      <c r="AX607" s="15"/>
      <c r="AY607" s="45"/>
      <c r="AZ607" s="28"/>
      <c r="BA607" s="13"/>
      <c r="BB607" s="15"/>
      <c r="BC607" s="45"/>
      <c r="BD607" s="28"/>
      <c r="BE607" s="14"/>
      <c r="BF607" s="41">
        <f t="shared" ref="BF607:BG607" si="2200">K607+O607+S607+W607+AA607+AE607+AI607+AM607+AQ607+AU607+AY607+BC607</f>
        <v>0</v>
      </c>
      <c r="BG607" s="34">
        <f t="shared" si="2200"/>
        <v>500</v>
      </c>
      <c r="BH607" s="35">
        <f t="shared" si="2183"/>
        <v>0</v>
      </c>
      <c r="BK607" s="2" t="b">
        <f>H607='2020'!BH607</f>
        <v>1</v>
      </c>
    </row>
    <row r="608" ht="14.25" customHeight="1" hidden="1" spans="1:63" x14ac:dyDescent="0.25">
      <c r="A608" s="2">
        <v>67</v>
      </c>
      <c r="B608" s="14"/>
      <c r="D608" s="14" t="s">
        <v>51</v>
      </c>
      <c r="E608" s="2" t="s">
        <v>49</v>
      </c>
      <c r="F608" s="41">
        <v>500</v>
      </c>
      <c r="G608" s="28"/>
      <c r="H608" s="34">
        <f>'2020'!BH608</f>
        <v>3040</v>
      </c>
      <c r="I608" s="13"/>
      <c r="J608" s="15"/>
      <c r="K608" s="15"/>
      <c r="L608" s="28"/>
      <c r="M608" s="13"/>
      <c r="N608" s="15"/>
      <c r="P608" s="1">
        <v>3040</v>
      </c>
      <c r="Q608" s="13"/>
      <c r="R608" s="15"/>
      <c r="S608" s="15"/>
      <c r="T608" s="28"/>
      <c r="U608" s="13"/>
      <c r="V608" s="15"/>
      <c r="Y608" s="186"/>
      <c r="Z608" s="2"/>
      <c r="AA608" s="15"/>
      <c r="AB608" s="28"/>
      <c r="AC608" s="15"/>
      <c r="AD608" s="15"/>
      <c r="AE608" s="34"/>
      <c r="AG608" s="15"/>
      <c r="AH608" s="2"/>
      <c r="AI608" s="45"/>
      <c r="AJ608" s="180"/>
      <c r="AK608" s="13"/>
      <c r="AL608" s="15"/>
      <c r="AM608" s="45"/>
      <c r="AN608" s="15"/>
      <c r="AO608" s="13"/>
      <c r="AP608" s="15"/>
      <c r="AQ608" s="180">
        <f>B603*$F$14</f>
        <v>0</v>
      </c>
      <c r="AR608" s="15"/>
      <c r="AS608" s="13"/>
      <c r="AT608" s="15"/>
      <c r="AU608" s="45"/>
      <c r="AV608" s="15"/>
      <c r="AW608" s="13"/>
      <c r="AX608" s="15"/>
      <c r="AY608" s="45"/>
      <c r="AZ608" s="28"/>
      <c r="BA608" s="13"/>
      <c r="BB608" s="15"/>
      <c r="BC608" s="45"/>
      <c r="BD608" s="28"/>
      <c r="BE608" s="14"/>
      <c r="BF608" s="41">
        <f t="shared" ref="BF608:BG608" si="2201">K608+O608+S608+W608+AA608+AE608+AI608+AM608+AQ608+AU608+AY608+BC608</f>
        <v>0</v>
      </c>
      <c r="BG608" s="34">
        <f t="shared" si="2201"/>
        <v>3040</v>
      </c>
      <c r="BH608" s="35">
        <f t="shared" si="2183"/>
        <v>0</v>
      </c>
      <c r="BK608" s="2" t="b">
        <f>H608='2020'!BH608</f>
        <v>1</v>
      </c>
    </row>
    <row r="609" ht="14.25" customHeight="1" hidden="1" spans="1:63" x14ac:dyDescent="0.25">
      <c r="A609" s="2">
        <v>67</v>
      </c>
      <c r="B609" s="14"/>
      <c r="C609" s="15" t="s">
        <v>430</v>
      </c>
      <c r="D609" s="14" t="s">
        <v>52</v>
      </c>
      <c r="E609" s="2" t="s">
        <v>39</v>
      </c>
      <c r="F609" s="41">
        <v>500</v>
      </c>
      <c r="G609" s="28"/>
      <c r="H609" s="34">
        <f>'2020'!BH609</f>
        <v>0</v>
      </c>
      <c r="I609" s="13"/>
      <c r="J609" s="15"/>
      <c r="K609" s="15"/>
      <c r="L609" s="28"/>
      <c r="M609" s="13"/>
      <c r="N609" s="15"/>
      <c r="Q609" s="13"/>
      <c r="R609" s="15"/>
      <c r="S609" s="15"/>
      <c r="T609" s="28"/>
      <c r="U609" s="13"/>
      <c r="V609" s="15"/>
      <c r="Y609" s="186"/>
      <c r="Z609" s="2"/>
      <c r="AA609" s="84"/>
      <c r="AB609" s="28"/>
      <c r="AC609" s="15"/>
      <c r="AD609" s="15"/>
      <c r="AF609" s="34"/>
      <c r="AG609" s="15"/>
      <c r="AH609" s="2"/>
      <c r="AI609" s="45"/>
      <c r="AJ609" s="39"/>
      <c r="AK609" s="13"/>
      <c r="AL609" s="15"/>
      <c r="AM609" s="45"/>
      <c r="AN609" s="15"/>
      <c r="AO609" s="13"/>
      <c r="AP609" s="15"/>
      <c r="AQ609" s="45"/>
      <c r="AR609" s="15"/>
      <c r="AS609" s="13"/>
      <c r="AT609" s="15"/>
      <c r="AU609" s="45"/>
      <c r="AV609" s="15"/>
      <c r="AW609" s="13"/>
      <c r="AX609" s="15"/>
      <c r="AY609" s="45"/>
      <c r="AZ609" s="35"/>
      <c r="BA609" s="13"/>
      <c r="BB609" s="15"/>
      <c r="BC609" s="45"/>
      <c r="BD609" s="35"/>
      <c r="BE609" s="14"/>
      <c r="BF609" s="41">
        <f t="shared" ref="BF609:BG609" si="2202">K609+O609+S609+W609+AA609+AE609+AI609+AM609+AQ609+AU609+AY609+BC609</f>
        <v>0</v>
      </c>
      <c r="BG609" s="34">
        <f t="shared" si="2202"/>
        <v>0</v>
      </c>
      <c r="BH609" s="35">
        <f t="shared" si="2183"/>
        <v>0</v>
      </c>
      <c r="BK609" s="2" t="b">
        <f>H609='2020'!BH609</f>
        <v>1</v>
      </c>
    </row>
    <row r="610" ht="14.25" customHeight="1" hidden="1" spans="1:63" x14ac:dyDescent="0.25">
      <c r="A610" s="247">
        <v>67</v>
      </c>
      <c r="B610" s="21"/>
      <c r="C610" s="22" t="s">
        <v>53</v>
      </c>
      <c r="D610" s="21"/>
      <c r="E610" s="22"/>
      <c r="F610" s="20"/>
      <c r="G610" s="23"/>
      <c r="H610" s="51">
        <f>SUM(H602:H609)</f>
        <v>3899.23</v>
      </c>
      <c r="I610" s="52"/>
      <c r="J610" s="53"/>
      <c r="K610" s="51">
        <f t="shared" ref="K610:L610" si="2203">SUM(K602:K609)</f>
        <v>0</v>
      </c>
      <c r="L610" s="68">
        <f t="shared" si="2203"/>
        <v>0</v>
      </c>
      <c r="M610" s="52"/>
      <c r="N610" s="53"/>
      <c r="O610" s="51">
        <f t="shared" ref="O610:P610" si="2204">SUM(O602:O609)</f>
        <v>0</v>
      </c>
      <c r="P610" s="51">
        <f t="shared" si="2204"/>
        <v>3990</v>
      </c>
      <c r="Q610" s="52"/>
      <c r="R610" s="53"/>
      <c r="S610" s="51">
        <f t="shared" ref="S610:T610" si="2205">SUM(S602:S609)</f>
        <v>0</v>
      </c>
      <c r="T610" s="51">
        <f t="shared" si="2205"/>
        <v>0</v>
      </c>
      <c r="U610" s="52"/>
      <c r="V610" s="53"/>
      <c r="W610" s="51">
        <f t="shared" ref="W610:X610" si="2206">SUM(W602:W609)</f>
        <v>0</v>
      </c>
      <c r="X610" s="51">
        <f t="shared" si="2206"/>
        <v>0</v>
      </c>
      <c r="Y610" s="300"/>
      <c r="Z610" s="301"/>
      <c r="AA610" s="51">
        <f t="shared" ref="AA610:AB610" si="2207">SUM(AA602:AA609)</f>
        <v>46.8</v>
      </c>
      <c r="AB610" s="51">
        <f t="shared" si="2207"/>
        <v>0</v>
      </c>
      <c r="AC610" s="52"/>
      <c r="AD610" s="53"/>
      <c r="AE610" s="51">
        <f t="shared" ref="AE610:AF610" si="2208">SUM(AE602:AE609)</f>
        <v>6892.06</v>
      </c>
      <c r="AF610" s="51">
        <f t="shared" si="2208"/>
        <v>200</v>
      </c>
      <c r="AG610" s="52"/>
      <c r="AH610" s="301"/>
      <c r="AI610" s="183">
        <f t="shared" ref="AI610:AJ610" si="2209">SUM(AI602:AI609)</f>
        <v>597.25</v>
      </c>
      <c r="AJ610" s="51">
        <f t="shared" si="2209"/>
        <v>5000</v>
      </c>
      <c r="AK610" s="52"/>
      <c r="AL610" s="53"/>
      <c r="AM610" s="183">
        <f t="shared" ref="AM610:AN610" si="2210">SUM(AM602:AM609)</f>
        <v>342.25</v>
      </c>
      <c r="AN610" s="51">
        <f t="shared" si="2210"/>
        <v>3000.18</v>
      </c>
      <c r="AO610" s="52"/>
      <c r="AP610" s="53"/>
      <c r="AQ610" s="183">
        <f t="shared" ref="AQ610:AR610" si="2211">SUM(AQ602:AQ609)</f>
        <v>235.3</v>
      </c>
      <c r="AR610" s="51">
        <f t="shared" si="2211"/>
        <v>0</v>
      </c>
      <c r="AS610" s="52"/>
      <c r="AT610" s="53"/>
      <c r="AU610" s="183">
        <f t="shared" ref="AU610:AV610" si="2212">SUM(AU602:AU609)</f>
        <v>43.2</v>
      </c>
      <c r="AV610" s="68">
        <f t="shared" si="2212"/>
        <v>0</v>
      </c>
      <c r="AW610" s="52"/>
      <c r="AX610" s="53"/>
      <c r="AY610" s="183">
        <f t="shared" ref="AY610:AZ610" si="2213">SUM(AY602:AY609)</f>
        <v>21.6</v>
      </c>
      <c r="AZ610" s="68">
        <f t="shared" si="2213"/>
        <v>0</v>
      </c>
      <c r="BA610" s="52"/>
      <c r="BB610" s="53"/>
      <c r="BC610" s="183">
        <f t="shared" ref="BC610:BD610" si="2214">SUM(BC602:BC609)</f>
        <v>0</v>
      </c>
      <c r="BD610" s="68">
        <f t="shared" si="2214"/>
        <v>0</v>
      </c>
      <c r="BE610" s="69"/>
      <c r="BF610" s="70">
        <f t="shared" ref="BF610:BH610" si="2215">SUM(BF602:BF609)</f>
        <v>8178.46</v>
      </c>
      <c r="BG610" s="71">
        <f t="shared" si="2215"/>
        <v>12190.18</v>
      </c>
      <c r="BH610" s="72">
        <f t="shared" si="2215"/>
        <v>-112.49</v>
      </c>
      <c r="BI610" s="34">
        <f>H610+BF610-BG610</f>
        <v>-112.49</v>
      </c>
      <c r="BJ610" s="34">
        <f>BH610-BI610</f>
        <v>0</v>
      </c>
      <c r="BK610" s="2" t="b">
        <f>H610='2020'!BH610</f>
        <v>1</v>
      </c>
    </row>
    <row r="611" ht="14.25" customHeight="1" hidden="1" spans="1:63" x14ac:dyDescent="0.25">
      <c r="A611" s="89" t="s">
        <v>248</v>
      </c>
      <c r="B611" s="14"/>
      <c r="D611" s="14" t="s">
        <v>379</v>
      </c>
      <c r="F611" s="13"/>
      <c r="G611" s="28"/>
      <c r="H611" s="34">
        <f>'2020'!BH611</f>
        <v>29.4</v>
      </c>
      <c r="I611" s="13"/>
      <c r="J611" s="15"/>
      <c r="K611" s="15">
        <v>7.47</v>
      </c>
      <c r="L611" s="28"/>
      <c r="M611" s="13"/>
      <c r="N611" s="15"/>
      <c r="O611" s="2">
        <v>6.75</v>
      </c>
      <c r="Q611" s="13"/>
      <c r="R611" s="15"/>
      <c r="S611" s="15">
        <v>7.47</v>
      </c>
      <c r="T611" s="28"/>
      <c r="U611" s="13"/>
      <c r="V611" s="15"/>
      <c r="W611" s="2">
        <v>7.23</v>
      </c>
      <c r="Y611" s="186"/>
      <c r="Z611" s="2"/>
      <c r="AA611" s="15">
        <v>7.47</v>
      </c>
      <c r="AB611" s="28"/>
      <c r="AC611" s="15"/>
      <c r="AD611" s="15"/>
      <c r="AE611" s="2">
        <v>7.23</v>
      </c>
      <c r="AG611" s="15"/>
      <c r="AH611" s="2"/>
      <c r="AI611" s="45"/>
      <c r="AJ611" s="306">
        <v>73.02</v>
      </c>
      <c r="AK611" s="13"/>
      <c r="AM611" s="45"/>
      <c r="AO611" s="13"/>
      <c r="AQ611" s="180"/>
      <c r="AS611" s="13"/>
      <c r="AU611" s="180"/>
      <c r="AW611" s="13"/>
      <c r="AY611" s="180"/>
      <c r="AZ611" s="28"/>
      <c r="BA611" s="13"/>
      <c r="BB611" s="15"/>
      <c r="BC611" s="180"/>
      <c r="BD611" s="28"/>
      <c r="BE611" s="14"/>
      <c r="BF611" s="41">
        <f t="shared" ref="BF611:BG611" si="2216">K611+O611+S611+W611+AA611+AE611+AI611+AM611+AQ611+AU611+AY611+BC611</f>
        <v>43.62</v>
      </c>
      <c r="BG611" s="34">
        <f t="shared" si="2216"/>
        <v>73.02</v>
      </c>
      <c r="BH611" s="35">
        <f t="shared" ref="BH611:BH618" si="2217">H611+BF611-BG611</f>
        <v>0</v>
      </c>
      <c r="BK611" s="2" t="b">
        <f>H611='2020'!BH611</f>
        <v>1</v>
      </c>
    </row>
    <row r="612" ht="14.25" customHeight="1" hidden="1" spans="1:63" x14ac:dyDescent="0.25">
      <c r="A612" s="89" t="s">
        <v>248</v>
      </c>
      <c r="B612" s="14">
        <v>4.01</v>
      </c>
      <c r="C612" s="2" t="s">
        <v>505</v>
      </c>
      <c r="D612" s="14" t="s">
        <v>44</v>
      </c>
      <c r="E612" s="2" t="s">
        <v>45</v>
      </c>
      <c r="F612" s="41">
        <v>2.5</v>
      </c>
      <c r="G612" s="35">
        <v>2.6</v>
      </c>
      <c r="H612" s="34">
        <f>'2020'!BH612</f>
        <v>0</v>
      </c>
      <c r="I612" s="13">
        <v>3291</v>
      </c>
      <c r="J612" s="15">
        <f>I612-'2020'!BA612</f>
        <v>0</v>
      </c>
      <c r="K612" s="34">
        <f>J612*$F$8</f>
        <v>0</v>
      </c>
      <c r="L612" s="28"/>
      <c r="M612" s="13">
        <v>3291</v>
      </c>
      <c r="N612" s="15">
        <f t="shared" ref="N612:N613" si="2218">M612-I612</f>
        <v>0</v>
      </c>
      <c r="O612" s="34">
        <f>N612*$F$8</f>
        <v>0</v>
      </c>
      <c r="Q612" s="13">
        <v>3291</v>
      </c>
      <c r="R612" s="15">
        <f t="shared" ref="R612:R613" si="2219">Q612-M612</f>
        <v>0</v>
      </c>
      <c r="S612" s="34">
        <f>R612*$F$8</f>
        <v>0</v>
      </c>
      <c r="T612" s="28"/>
      <c r="U612" s="13">
        <v>3291</v>
      </c>
      <c r="V612" s="15">
        <f t="shared" ref="V612:V613" si="2220">U612-Q612</f>
        <v>0</v>
      </c>
      <c r="W612" s="34">
        <f>V612*$F$8</f>
        <v>0</v>
      </c>
      <c r="Y612" s="186">
        <v>3503</v>
      </c>
      <c r="Z612" s="2">
        <f t="shared" ref="Z612:Z613" si="2221">Y612-U612</f>
        <v>212</v>
      </c>
      <c r="AA612" s="34">
        <f>Z612*$F$8</f>
        <v>551.2</v>
      </c>
      <c r="AB612" s="28"/>
      <c r="AC612" s="15">
        <v>3503</v>
      </c>
      <c r="AD612" s="15">
        <f t="shared" ref="AD612:AD613" si="2222">AC612-Y612</f>
        <v>0</v>
      </c>
      <c r="AE612" s="180">
        <f>AD612*$F$8</f>
        <v>0</v>
      </c>
      <c r="AF612" s="39">
        <v>552</v>
      </c>
      <c r="AG612" s="15">
        <v>3784</v>
      </c>
      <c r="AH612" s="2">
        <f t="shared" ref="AH612:AH613" si="2223">AG612-AC612</f>
        <v>281</v>
      </c>
      <c r="AI612" s="45">
        <f>AH612*$G$8</f>
        <v>758.7</v>
      </c>
      <c r="AJ612" s="326">
        <v>757.9</v>
      </c>
      <c r="AK612" s="13">
        <v>3903</v>
      </c>
      <c r="AL612" s="15">
        <f t="shared" ref="AL612:AL613" si="2224">AK612-AG612</f>
        <v>119</v>
      </c>
      <c r="AM612" s="45">
        <f>AL612*$G$8</f>
        <v>321.3</v>
      </c>
      <c r="AN612" s="305">
        <v>321.3</v>
      </c>
      <c r="AO612" s="13">
        <v>4097</v>
      </c>
      <c r="AP612" s="15">
        <f t="shared" ref="AP612:AP613" si="2225">AO612-AK612</f>
        <v>194</v>
      </c>
      <c r="AQ612" s="45">
        <f>AP612*$G$8</f>
        <v>523.8</v>
      </c>
      <c r="AR612" s="34"/>
      <c r="AS612" s="13">
        <v>4097</v>
      </c>
      <c r="AT612" s="15">
        <f t="shared" ref="AT612:AT613" si="2226">AS612-AO612</f>
        <v>0</v>
      </c>
      <c r="AU612" s="45">
        <f>AT612*$G$8</f>
        <v>0</v>
      </c>
      <c r="AV612" s="15"/>
      <c r="AW612" s="13">
        <v>4097</v>
      </c>
      <c r="AX612" s="15">
        <f t="shared" ref="AX612:AX613" si="2227">AW612-AS612</f>
        <v>0</v>
      </c>
      <c r="AY612" s="45">
        <f>AX612*$G$8</f>
        <v>0</v>
      </c>
      <c r="AZ612" s="246"/>
      <c r="BA612" s="13">
        <v>4097</v>
      </c>
      <c r="BB612" s="15">
        <f t="shared" ref="BB612:BB613" si="2228">BA612-AW612</f>
        <v>0</v>
      </c>
      <c r="BC612" s="45">
        <f>BB612*$G$8</f>
        <v>0</v>
      </c>
      <c r="BD612" s="208"/>
      <c r="BE612" s="40">
        <f t="shared" ref="BE612:BG612" si="2229">J612+N612+R612+V612+Z612+AD612+AH612+AL612+AP612+AT612+AX612+BB612</f>
        <v>806</v>
      </c>
      <c r="BF612" s="41">
        <f t="shared" si="2229"/>
        <v>2155</v>
      </c>
      <c r="BG612" s="34">
        <f t="shared" si="2229"/>
        <v>1631.2</v>
      </c>
      <c r="BH612" s="35">
        <f t="shared" si="2217"/>
        <v>523.8</v>
      </c>
      <c r="BK612" s="2" t="b">
        <f>H612='2020'!BH612</f>
        <v>1</v>
      </c>
    </row>
    <row r="613" ht="14.25" customHeight="1" hidden="1" spans="1:63" x14ac:dyDescent="0.25">
      <c r="A613" s="89" t="s">
        <v>248</v>
      </c>
      <c r="B613" s="14"/>
      <c r="C613" s="2" t="s">
        <v>61</v>
      </c>
      <c r="D613" s="14" t="s">
        <v>47</v>
      </c>
      <c r="E613" s="2" t="s">
        <v>48</v>
      </c>
      <c r="F613" s="13">
        <v>18.56</v>
      </c>
      <c r="G613" s="35">
        <v>19.46</v>
      </c>
      <c r="H613" s="90">
        <f>'2020'!BH613</f>
        <v>0</v>
      </c>
      <c r="I613" s="13">
        <f>52+23+40</f>
        <v>115</v>
      </c>
      <c r="J613" s="15"/>
      <c r="K613" s="15"/>
      <c r="L613" s="28"/>
      <c r="M613" s="13">
        <f>52+23+40</f>
        <v>115</v>
      </c>
      <c r="N613" s="15">
        <f t="shared" si="2218"/>
        <v>0</v>
      </c>
      <c r="Q613" s="13">
        <v>115</v>
      </c>
      <c r="R613" s="15">
        <f t="shared" si="2219"/>
        <v>0</v>
      </c>
      <c r="S613" s="15"/>
      <c r="T613" s="28"/>
      <c r="U613" s="13">
        <v>115</v>
      </c>
      <c r="V613" s="15">
        <f t="shared" si="2220"/>
        <v>0</v>
      </c>
      <c r="W613" s="180">
        <f>V613*$F$10</f>
        <v>0</v>
      </c>
      <c r="Y613" s="186">
        <f>40+31+60</f>
        <v>131</v>
      </c>
      <c r="Z613" s="2">
        <f t="shared" si="2221"/>
        <v>16</v>
      </c>
      <c r="AA613" s="34">
        <f>Z613*$F$10</f>
        <v>311.36</v>
      </c>
      <c r="AB613" s="28"/>
      <c r="AC613" s="13">
        <f>41+36+65</f>
        <v>142</v>
      </c>
      <c r="AD613" s="15">
        <f t="shared" si="2222"/>
        <v>11</v>
      </c>
      <c r="AE613" s="34">
        <f>AD613*$F$10</f>
        <v>214.06</v>
      </c>
      <c r="AF613" s="34"/>
      <c r="AG613" s="13">
        <f>44+40+69</f>
        <v>153</v>
      </c>
      <c r="AH613" s="2">
        <f t="shared" si="2223"/>
        <v>11</v>
      </c>
      <c r="AI613" s="45">
        <f>AH613*$G$10</f>
        <v>223.85</v>
      </c>
      <c r="AJ613" s="326">
        <v>749.27</v>
      </c>
      <c r="AK613" s="13">
        <v>167</v>
      </c>
      <c r="AL613" s="15">
        <f t="shared" si="2224"/>
        <v>14</v>
      </c>
      <c r="AM613" s="45">
        <f>AL613*$G$10</f>
        <v>284.9</v>
      </c>
      <c r="AN613" s="305">
        <v>284.9</v>
      </c>
      <c r="AO613" s="13">
        <f>45+48+81</f>
        <v>174</v>
      </c>
      <c r="AP613" s="15">
        <f t="shared" si="2225"/>
        <v>7</v>
      </c>
      <c r="AQ613" s="45">
        <f>AP613*$G$10</f>
        <v>142.45</v>
      </c>
      <c r="AR613" s="15"/>
      <c r="AS613" s="13">
        <f>45+48+81</f>
        <v>174</v>
      </c>
      <c r="AT613" s="15">
        <f t="shared" si="2226"/>
        <v>0</v>
      </c>
      <c r="AU613" s="45">
        <f>AT613*$G$10</f>
        <v>0</v>
      </c>
      <c r="AV613" s="15"/>
      <c r="AW613" s="13">
        <f>45+48+81</f>
        <v>174</v>
      </c>
      <c r="AX613" s="15">
        <f t="shared" si="2227"/>
        <v>0</v>
      </c>
      <c r="AY613" s="45"/>
      <c r="AZ613" s="208"/>
      <c r="BA613" s="13">
        <f>45+48+81</f>
        <v>174</v>
      </c>
      <c r="BB613" s="15">
        <f t="shared" si="2228"/>
        <v>0</v>
      </c>
      <c r="BC613" s="45"/>
      <c r="BD613" s="208"/>
      <c r="BE613" s="40">
        <f t="shared" ref="BE613:BG613" si="2230">J613+N613+R613+V613+Z613+AD613+AH613+AL613+AP613+AT613+AX613+BB613</f>
        <v>59</v>
      </c>
      <c r="BF613" s="41">
        <f t="shared" si="2230"/>
        <v>1176.62</v>
      </c>
      <c r="BG613" s="34">
        <f t="shared" si="2230"/>
        <v>1034.17</v>
      </c>
      <c r="BH613" s="35">
        <f t="shared" si="2217"/>
        <v>142.45</v>
      </c>
      <c r="BK613" s="2" t="b">
        <f>H613='2020'!BH613</f>
        <v>1</v>
      </c>
    </row>
    <row r="614" ht="14.25" customHeight="1" hidden="1" spans="1:63" x14ac:dyDescent="0.25">
      <c r="A614" s="89" t="s">
        <v>248</v>
      </c>
      <c r="B614" s="14"/>
      <c r="C614" s="2" t="s">
        <v>102</v>
      </c>
      <c r="D614" s="14" t="s">
        <v>47</v>
      </c>
      <c r="E614" s="2" t="s">
        <v>49</v>
      </c>
      <c r="F614" s="41">
        <v>500</v>
      </c>
      <c r="G614" s="28"/>
      <c r="H614" s="34">
        <f>'2020'!BH614</f>
        <v>0</v>
      </c>
      <c r="I614" s="13"/>
      <c r="J614" s="15"/>
      <c r="K614" s="15"/>
      <c r="L614" s="28"/>
      <c r="M614" s="13"/>
      <c r="N614" s="15"/>
      <c r="Q614" s="13"/>
      <c r="R614" s="15"/>
      <c r="S614" s="15"/>
      <c r="T614" s="28"/>
      <c r="U614" s="13"/>
      <c r="V614" s="15"/>
      <c r="W614" s="15"/>
      <c r="Y614" s="186"/>
      <c r="Z614" s="2"/>
      <c r="AA614" s="15"/>
      <c r="AB614" s="28"/>
      <c r="AC614" s="15"/>
      <c r="AD614" s="15"/>
      <c r="AG614" s="15"/>
      <c r="AH614" s="2"/>
      <c r="AI614" s="45"/>
      <c r="AJ614" s="154"/>
      <c r="AK614" s="13"/>
      <c r="AL614" s="15"/>
      <c r="AM614" s="45"/>
      <c r="AN614" s="15"/>
      <c r="AO614" s="13"/>
      <c r="AP614" s="15"/>
      <c r="AQ614" s="45"/>
      <c r="AR614" s="1"/>
      <c r="AS614" s="13"/>
      <c r="AT614" s="15"/>
      <c r="AU614" s="45"/>
      <c r="AV614" s="15"/>
      <c r="AW614" s="13"/>
      <c r="AX614" s="15"/>
      <c r="AY614" s="45"/>
      <c r="AZ614" s="28"/>
      <c r="BA614" s="13"/>
      <c r="BB614" s="15"/>
      <c r="BC614" s="45"/>
      <c r="BD614" s="28"/>
      <c r="BE614" s="14"/>
      <c r="BF614" s="41">
        <f t="shared" ref="BF614:BG614" si="2231">K614+O614+S614+W614+AA614+AE614+AI614+AM614+AQ614+AU614+AY614+BC614</f>
        <v>0</v>
      </c>
      <c r="BG614" s="34">
        <f t="shared" si="2231"/>
        <v>0</v>
      </c>
      <c r="BH614" s="35">
        <f t="shared" si="2217"/>
        <v>0</v>
      </c>
      <c r="BK614" s="2" t="b">
        <f>H614='2020'!BH614</f>
        <v>1</v>
      </c>
    </row>
    <row r="615" ht="14.25" customHeight="1" hidden="1" spans="1:63" x14ac:dyDescent="0.25">
      <c r="A615" s="89" t="s">
        <v>248</v>
      </c>
      <c r="B615" s="14"/>
      <c r="C615" s="2" t="s">
        <v>252</v>
      </c>
      <c r="D615" s="14" t="s">
        <v>50</v>
      </c>
      <c r="E615" s="2" t="s">
        <v>49</v>
      </c>
      <c r="F615" s="41">
        <v>1100</v>
      </c>
      <c r="G615" s="28"/>
      <c r="H615" s="34">
        <f>'2020'!BH615</f>
        <v>2411</v>
      </c>
      <c r="I615" s="13"/>
      <c r="J615" s="15"/>
      <c r="K615" s="15"/>
      <c r="L615" s="28"/>
      <c r="M615" s="13"/>
      <c r="N615" s="15"/>
      <c r="Q615" s="13"/>
      <c r="R615" s="15"/>
      <c r="S615" s="15"/>
      <c r="T615" s="28"/>
      <c r="U615" s="13"/>
      <c r="V615" s="15"/>
      <c r="Y615" s="186"/>
      <c r="Z615" s="2"/>
      <c r="AA615" s="15"/>
      <c r="AB615" s="28"/>
      <c r="AC615" s="15"/>
      <c r="AD615" s="15"/>
      <c r="AE615" s="34">
        <f>B612*$F$12</f>
        <v>4411</v>
      </c>
      <c r="AF615" s="248">
        <v>2411</v>
      </c>
      <c r="AG615" s="15"/>
      <c r="AH615" s="2"/>
      <c r="AI615" s="45"/>
      <c r="AJ615" s="326">
        <v>3419.81</v>
      </c>
      <c r="AK615" s="13"/>
      <c r="AL615" s="15"/>
      <c r="AM615" s="45"/>
      <c r="AN615" s="305">
        <v>991.19</v>
      </c>
      <c r="AO615" s="13"/>
      <c r="AP615" s="15"/>
      <c r="AQ615" s="45"/>
      <c r="AR615" s="15"/>
      <c r="AS615" s="13"/>
      <c r="AT615" s="15"/>
      <c r="AU615" s="45"/>
      <c r="AV615" s="15"/>
      <c r="AW615" s="13"/>
      <c r="AX615" s="15"/>
      <c r="AY615" s="45"/>
      <c r="AZ615" s="28"/>
      <c r="BA615" s="13"/>
      <c r="BB615" s="15"/>
      <c r="BC615" s="45"/>
      <c r="BD615" s="28"/>
      <c r="BE615" s="14"/>
      <c r="BF615" s="41">
        <f t="shared" ref="BF615:BG615" si="2232">K615+O615+S615+W615+AA615+AE615+AI615+AM615+AQ615+AU615+AY615+BC615</f>
        <v>4411</v>
      </c>
      <c r="BG615" s="34">
        <f t="shared" si="2232"/>
        <v>6822</v>
      </c>
      <c r="BH615" s="35">
        <f t="shared" si="2217"/>
        <v>0</v>
      </c>
      <c r="BK615" s="2" t="b">
        <f>H615='2020'!BH615</f>
        <v>1</v>
      </c>
    </row>
    <row r="616" ht="14.25" customHeight="1" hidden="1" spans="1:63" x14ac:dyDescent="0.25">
      <c r="A616" s="89" t="s">
        <v>248</v>
      </c>
      <c r="B616" s="14"/>
      <c r="D616" s="14" t="s">
        <v>51</v>
      </c>
      <c r="E616" s="2" t="s">
        <v>39</v>
      </c>
      <c r="F616" s="41">
        <v>500</v>
      </c>
      <c r="G616" s="28"/>
      <c r="H616" s="34">
        <f>'2020'!BH616</f>
        <v>500</v>
      </c>
      <c r="I616" s="13"/>
      <c r="J616" s="15"/>
      <c r="K616" s="15"/>
      <c r="L616" s="28"/>
      <c r="M616" s="13"/>
      <c r="N616" s="15"/>
      <c r="Q616" s="13"/>
      <c r="R616" s="15"/>
      <c r="S616" s="15"/>
      <c r="T616" s="28"/>
      <c r="U616" s="13"/>
      <c r="V616" s="15"/>
      <c r="Y616" s="186"/>
      <c r="Z616" s="2"/>
      <c r="AA616" s="15"/>
      <c r="AB616" s="28"/>
      <c r="AC616" s="15"/>
      <c r="AD616" s="15"/>
      <c r="AE616" s="180">
        <f>$F$13</f>
      </c>
      <c r="AF616" s="39">
        <v>500</v>
      </c>
      <c r="AG616" s="15"/>
      <c r="AH616" s="2"/>
      <c r="AI616" s="45"/>
      <c r="AJ616" s="154"/>
      <c r="AK616" s="13"/>
      <c r="AL616" s="15"/>
      <c r="AM616" s="45"/>
      <c r="AN616" s="15"/>
      <c r="AO616" s="13"/>
      <c r="AP616" s="15"/>
      <c r="AQ616" s="180"/>
      <c r="AR616" s="15"/>
      <c r="AS616" s="13"/>
      <c r="AT616" s="15"/>
      <c r="AU616" s="45"/>
      <c r="AV616" s="15"/>
      <c r="AW616" s="13"/>
      <c r="AX616" s="15"/>
      <c r="AY616" s="45"/>
      <c r="AZ616" s="28"/>
      <c r="BA616" s="13"/>
      <c r="BB616" s="15"/>
      <c r="BC616" s="45"/>
      <c r="BD616" s="28"/>
      <c r="BE616" s="14"/>
      <c r="BF616" s="41">
        <f t="shared" ref="BF616:BG616" si="2233">K616+O616+S616+W616+AA616+AE616+AI616+AM616+AQ616+AU616+AY616+BC616</f>
        <v>0</v>
      </c>
      <c r="BG616" s="34">
        <f t="shared" si="2233"/>
        <v>500</v>
      </c>
      <c r="BH616" s="35">
        <f t="shared" si="2217"/>
        <v>0</v>
      </c>
      <c r="BK616" s="2" t="b">
        <f>H616='2020'!BH616</f>
        <v>1</v>
      </c>
    </row>
    <row r="617" ht="14.25" customHeight="1" hidden="1" spans="1:63" x14ac:dyDescent="0.25">
      <c r="A617" s="89" t="s">
        <v>248</v>
      </c>
      <c r="B617" s="14"/>
      <c r="D617" s="14" t="s">
        <v>51</v>
      </c>
      <c r="E617" s="2" t="s">
        <v>49</v>
      </c>
      <c r="F617" s="41">
        <v>500</v>
      </c>
      <c r="G617" s="28"/>
      <c r="H617" s="34">
        <f>'2020'!BH617</f>
        <v>2005</v>
      </c>
      <c r="I617" s="13"/>
      <c r="J617" s="15"/>
      <c r="K617" s="15"/>
      <c r="L617" s="28"/>
      <c r="M617" s="13"/>
      <c r="N617" s="15"/>
      <c r="Q617" s="13"/>
      <c r="R617" s="15"/>
      <c r="S617" s="15"/>
      <c r="T617" s="28"/>
      <c r="U617" s="13"/>
      <c r="V617" s="15"/>
      <c r="Y617" s="186"/>
      <c r="Z617" s="2"/>
      <c r="AA617" s="15"/>
      <c r="AB617" s="28"/>
      <c r="AC617" s="15"/>
      <c r="AD617" s="15"/>
      <c r="AE617" s="34"/>
      <c r="AF617" s="39">
        <v>2005</v>
      </c>
      <c r="AG617" s="15"/>
      <c r="AH617" s="2"/>
      <c r="AI617" s="45"/>
      <c r="AJ617" s="15"/>
      <c r="AK617" s="13"/>
      <c r="AL617" s="15"/>
      <c r="AM617" s="45"/>
      <c r="AN617" s="15"/>
      <c r="AO617" s="13"/>
      <c r="AP617" s="15"/>
      <c r="AQ617" s="180">
        <f>B612*$F$14</f>
        <v>0</v>
      </c>
      <c r="AR617" s="15"/>
      <c r="AS617" s="13"/>
      <c r="AT617" s="15"/>
      <c r="AU617" s="45"/>
      <c r="AV617" s="15"/>
      <c r="AW617" s="13"/>
      <c r="AX617" s="15"/>
      <c r="AY617" s="45"/>
      <c r="AZ617" s="28"/>
      <c r="BA617" s="13"/>
      <c r="BB617" s="15"/>
      <c r="BC617" s="45"/>
      <c r="BD617" s="28"/>
      <c r="BE617" s="14"/>
      <c r="BF617" s="41">
        <f t="shared" ref="BF617:BG617" si="2234">K617+O617+S617+W617+AA617+AE617+AI617+AM617+AQ617+AU617+AY617+BC617</f>
        <v>0</v>
      </c>
      <c r="BG617" s="34">
        <f t="shared" si="2234"/>
        <v>2005</v>
      </c>
      <c r="BH617" s="35">
        <f t="shared" si="2217"/>
        <v>0</v>
      </c>
      <c r="BK617" s="2" t="b">
        <f>H617='2020'!BH617</f>
        <v>1</v>
      </c>
    </row>
    <row r="618" ht="14.25" customHeight="1" hidden="1" spans="1:63" x14ac:dyDescent="0.25">
      <c r="A618" s="89" t="s">
        <v>248</v>
      </c>
      <c r="B618" s="14"/>
      <c r="D618" s="14" t="s">
        <v>52</v>
      </c>
      <c r="E618" s="2" t="s">
        <v>39</v>
      </c>
      <c r="F618" s="41">
        <v>500</v>
      </c>
      <c r="G618" s="28"/>
      <c r="H618" s="34">
        <f>'2020'!BH618</f>
        <v>0</v>
      </c>
      <c r="I618" s="13"/>
      <c r="J618" s="15"/>
      <c r="K618" s="15"/>
      <c r="L618" s="28"/>
      <c r="M618" s="13"/>
      <c r="N618" s="15"/>
      <c r="Q618" s="13"/>
      <c r="R618" s="15"/>
      <c r="S618" s="15"/>
      <c r="T618" s="28"/>
      <c r="U618" s="13"/>
      <c r="V618" s="15"/>
      <c r="Y618" s="186"/>
      <c r="Z618" s="2"/>
      <c r="AA618" s="34">
        <f>$F$15</f>
      </c>
      <c r="AB618" s="28"/>
      <c r="AC618" s="15"/>
      <c r="AD618" s="15"/>
      <c r="AG618" s="15"/>
      <c r="AH618" s="2"/>
      <c r="AI618" s="45"/>
      <c r="AJ618" s="15"/>
      <c r="AK618" s="13"/>
      <c r="AL618" s="15"/>
      <c r="AM618" s="45"/>
      <c r="AN618" s="15"/>
      <c r="AO618" s="13"/>
      <c r="AP618" s="15"/>
      <c r="AQ618" s="45"/>
      <c r="AR618" s="15"/>
      <c r="AS618" s="13"/>
      <c r="AT618" s="15"/>
      <c r="AU618" s="45"/>
      <c r="AV618" s="15"/>
      <c r="AW618" s="13"/>
      <c r="AX618" s="15"/>
      <c r="AY618" s="45"/>
      <c r="AZ618" s="35"/>
      <c r="BA618" s="13"/>
      <c r="BB618" s="15"/>
      <c r="BC618" s="45"/>
      <c r="BD618" s="35"/>
      <c r="BE618" s="14"/>
      <c r="BF618" s="41">
        <f t="shared" ref="BF618:BG618" si="2235">K618+O618+S618+W618+AA618+AE618+AI618+AM618+AQ618+AU618+AY618+BC618</f>
        <v>0</v>
      </c>
      <c r="BG618" s="34">
        <f t="shared" si="2235"/>
        <v>0</v>
      </c>
      <c r="BH618" s="35">
        <f t="shared" si="2217"/>
        <v>0</v>
      </c>
      <c r="BK618" s="2" t="b">
        <f>H618='2020'!BH618</f>
        <v>1</v>
      </c>
    </row>
    <row r="619" ht="14.25" customHeight="1" hidden="1" spans="1:63" x14ac:dyDescent="0.25">
      <c r="A619" s="243" t="s">
        <v>248</v>
      </c>
      <c r="B619" s="21"/>
      <c r="C619" s="22" t="s">
        <v>53</v>
      </c>
      <c r="D619" s="21"/>
      <c r="E619" s="22"/>
      <c r="F619" s="20"/>
      <c r="G619" s="23"/>
      <c r="H619" s="51">
        <f>SUM(H611:H618)</f>
        <v>4945.4</v>
      </c>
      <c r="I619" s="52"/>
      <c r="J619" s="53"/>
      <c r="K619" s="51">
        <f t="shared" ref="K619:L619" si="2236">SUM(K611:K618)</f>
        <v>7.47</v>
      </c>
      <c r="L619" s="68">
        <f t="shared" si="2236"/>
        <v>0</v>
      </c>
      <c r="M619" s="52"/>
      <c r="N619" s="53"/>
      <c r="O619" s="51">
        <f t="shared" ref="O619:P619" si="2237">SUM(O611:O618)</f>
        <v>6.75</v>
      </c>
      <c r="P619" s="51">
        <f t="shared" si="2237"/>
        <v>0</v>
      </c>
      <c r="Q619" s="52"/>
      <c r="R619" s="53"/>
      <c r="S619" s="51">
        <f t="shared" ref="S619:T619" si="2238">SUM(S611:S618)</f>
        <v>7.47</v>
      </c>
      <c r="T619" s="51">
        <f t="shared" si="2238"/>
        <v>0</v>
      </c>
      <c r="U619" s="52"/>
      <c r="V619" s="53"/>
      <c r="W619" s="51">
        <f t="shared" ref="W619:X619" si="2239">SUM(W611:W618)</f>
        <v>7.23</v>
      </c>
      <c r="X619" s="51">
        <f t="shared" si="2239"/>
        <v>0</v>
      </c>
      <c r="Y619" s="300"/>
      <c r="Z619" s="301"/>
      <c r="AA619" s="51">
        <f t="shared" ref="AA619:AB619" si="2240">SUM(AA611:AA618)</f>
        <v>870.03</v>
      </c>
      <c r="AB619" s="51">
        <f t="shared" si="2240"/>
        <v>0</v>
      </c>
      <c r="AC619" s="52"/>
      <c r="AD619" s="53"/>
      <c r="AE619" s="51">
        <f t="shared" ref="AE619:AF619" si="2241">SUM(AE611:AE618)</f>
        <v>4632.29</v>
      </c>
      <c r="AF619" s="51">
        <f t="shared" si="2241"/>
        <v>5468</v>
      </c>
      <c r="AG619" s="52"/>
      <c r="AH619" s="301"/>
      <c r="AI619" s="183">
        <f t="shared" ref="AI619:AJ619" si="2242">SUM(AI611:AI618)</f>
        <v>982.55</v>
      </c>
      <c r="AJ619" s="51">
        <f t="shared" si="2242"/>
        <v>5000</v>
      </c>
      <c r="AK619" s="52"/>
      <c r="AL619" s="53"/>
      <c r="AM619" s="183">
        <f t="shared" ref="AM619:AN619" si="2243">SUM(AM611:AM618)</f>
        <v>606.2</v>
      </c>
      <c r="AN619" s="51">
        <f t="shared" si="2243"/>
        <v>1597.39</v>
      </c>
      <c r="AO619" s="52"/>
      <c r="AP619" s="53"/>
      <c r="AQ619" s="183">
        <f t="shared" ref="AQ619:AR619" si="2244">SUM(AQ611:AQ618)</f>
        <v>666.25</v>
      </c>
      <c r="AR619" s="51">
        <f t="shared" si="2244"/>
        <v>0</v>
      </c>
      <c r="AS619" s="52"/>
      <c r="AT619" s="53"/>
      <c r="AU619" s="183">
        <f t="shared" ref="AU619:AV619" si="2245">SUM(AU611:AU618)</f>
        <v>0</v>
      </c>
      <c r="AV619" s="68">
        <f t="shared" si="2245"/>
        <v>0</v>
      </c>
      <c r="AW619" s="52"/>
      <c r="AX619" s="53"/>
      <c r="AY619" s="183">
        <f t="shared" ref="AY619:AZ619" si="2246">SUM(AY611:AY618)</f>
        <v>0</v>
      </c>
      <c r="AZ619" s="68">
        <f t="shared" si="2246"/>
        <v>0</v>
      </c>
      <c r="BA619" s="52"/>
      <c r="BB619" s="53"/>
      <c r="BC619" s="183">
        <f t="shared" ref="BC619:BD619" si="2247">SUM(BC611:BC618)</f>
        <v>0</v>
      </c>
      <c r="BD619" s="68">
        <f t="shared" si="2247"/>
        <v>0</v>
      </c>
      <c r="BE619" s="69"/>
      <c r="BF619" s="70">
        <f t="shared" ref="BF619:BH619" si="2248">SUM(BF611:BF618)</f>
        <v>7786.24</v>
      </c>
      <c r="BG619" s="71">
        <f t="shared" si="2248"/>
        <v>12065.39</v>
      </c>
      <c r="BH619" s="72">
        <f t="shared" si="2248"/>
        <v>666.25</v>
      </c>
      <c r="BI619" s="34">
        <f>H619+BF619-BG619</f>
        <v>666.25</v>
      </c>
      <c r="BJ619" s="34">
        <f>BH619-BI619</f>
        <v>0</v>
      </c>
      <c r="BK619" s="2" t="b">
        <f>H619='2020'!BH619</f>
        <v>1</v>
      </c>
    </row>
    <row r="620" ht="14.25" customHeight="1" hidden="1" spans="1:63" x14ac:dyDescent="0.25">
      <c r="A620" s="89" t="s">
        <v>248</v>
      </c>
      <c r="B620" s="14"/>
      <c r="D620" s="14" t="s">
        <v>379</v>
      </c>
      <c r="F620" s="13"/>
      <c r="G620" s="28"/>
      <c r="H620" s="34">
        <f>'2020'!BH620</f>
        <v>33.61</v>
      </c>
      <c r="I620" s="13"/>
      <c r="J620" s="15"/>
      <c r="K620" s="15"/>
      <c r="L620" s="28"/>
      <c r="M620" s="13"/>
      <c r="N620" s="15"/>
      <c r="Q620" s="13"/>
      <c r="R620" s="15"/>
      <c r="S620" s="15"/>
      <c r="T620" s="28"/>
      <c r="U620" s="13"/>
      <c r="V620" s="15"/>
      <c r="Y620" s="186"/>
      <c r="Z620" s="2"/>
      <c r="AA620" s="15"/>
      <c r="AB620" s="28"/>
      <c r="AC620" s="15"/>
      <c r="AD620" s="15"/>
      <c r="AG620" s="15"/>
      <c r="AH620" s="2"/>
      <c r="AI620" s="45"/>
      <c r="AJ620" s="15"/>
      <c r="AK620" s="13"/>
      <c r="AM620" s="45"/>
      <c r="AO620" s="13"/>
      <c r="AQ620" s="180">
        <v>13.27</v>
      </c>
      <c r="AS620" s="13"/>
      <c r="AU620" s="180"/>
      <c r="AW620" s="13"/>
      <c r="AY620" s="180"/>
      <c r="AZ620" s="28"/>
      <c r="BA620" s="13"/>
      <c r="BB620" s="15"/>
      <c r="BC620" s="45"/>
      <c r="BD620" s="28"/>
      <c r="BE620" s="14"/>
      <c r="BF620" s="41">
        <f t="shared" ref="BF620:BG620" si="2249">K620+O620+S620+W620+AA620+AE620+AI620+AM620+AQ620+AU620+AY620+BC620</f>
        <v>13.27</v>
      </c>
      <c r="BG620" s="34">
        <f t="shared" si="2249"/>
        <v>0</v>
      </c>
      <c r="BH620" s="35">
        <f t="shared" ref="BH620:BH627" si="2250">H620+BF620-BG620</f>
        <v>46.88</v>
      </c>
      <c r="BK620" s="2" t="b">
        <f>H620='2020'!BH620</f>
        <v>1</v>
      </c>
    </row>
    <row r="621" ht="14.25" customHeight="1" hidden="1" spans="1:63" x14ac:dyDescent="0.25">
      <c r="A621" s="89" t="s">
        <v>248</v>
      </c>
      <c r="B621" s="14">
        <v>4.02</v>
      </c>
      <c r="C621" s="2" t="s">
        <v>505</v>
      </c>
      <c r="D621" s="14" t="s">
        <v>44</v>
      </c>
      <c r="E621" s="2" t="s">
        <v>45</v>
      </c>
      <c r="F621" s="41">
        <v>2.5</v>
      </c>
      <c r="G621" s="35">
        <v>2.6</v>
      </c>
      <c r="H621" s="34">
        <f>'2020'!BH621</f>
        <v>0</v>
      </c>
      <c r="I621" s="13">
        <v>0</v>
      </c>
      <c r="J621" s="15">
        <f>I621-'2020'!BA621</f>
        <v>0</v>
      </c>
      <c r="K621" s="34">
        <f>J621*$F$8</f>
        <v>0</v>
      </c>
      <c r="L621" s="28"/>
      <c r="M621" s="13">
        <v>0</v>
      </c>
      <c r="N621" s="15">
        <f t="shared" ref="N621:N622" si="2251">M621-I621</f>
        <v>0</v>
      </c>
      <c r="O621" s="34">
        <f>N621*$F$8</f>
        <v>0</v>
      </c>
      <c r="Q621" s="13">
        <v>0</v>
      </c>
      <c r="R621" s="15">
        <f t="shared" ref="R621:R622" si="2252">Q621-M621</f>
        <v>0</v>
      </c>
      <c r="S621" s="34">
        <f>R621*$F$8</f>
        <v>0</v>
      </c>
      <c r="T621" s="28"/>
      <c r="U621" s="13">
        <v>0</v>
      </c>
      <c r="V621" s="15">
        <f t="shared" ref="V621:V622" si="2253">U621-Q621</f>
        <v>0</v>
      </c>
      <c r="W621" s="34">
        <f>V621*$F$8</f>
        <v>0</v>
      </c>
      <c r="Y621" s="186"/>
      <c r="Z621" s="2">
        <f t="shared" ref="Z621:Z622" si="2254">Y621-U621</f>
        <v>0</v>
      </c>
      <c r="AA621" s="34">
        <f>Z621*$F$8</f>
        <v>0</v>
      </c>
      <c r="AB621" s="28"/>
      <c r="AC621" s="15"/>
      <c r="AD621" s="15">
        <f t="shared" ref="AD621:AD622" si="2255">AC621-Y621</f>
        <v>0</v>
      </c>
      <c r="AE621" s="180">
        <f>AD621*$F$8</f>
        <v>0</v>
      </c>
      <c r="AF621" s="34"/>
      <c r="AG621" s="15"/>
      <c r="AH621" s="2">
        <f t="shared" ref="AH621:AH622" si="2256">AG621-AC621</f>
        <v>0</v>
      </c>
      <c r="AI621" s="45">
        <f>AH621*$G$8</f>
        <v>0</v>
      </c>
      <c r="AJ621" s="2"/>
      <c r="AK621" s="13"/>
      <c r="AL621" s="15">
        <f t="shared" ref="AL621:AL622" si="2257">AK621-AG621</f>
        <v>0</v>
      </c>
      <c r="AM621" s="45">
        <f>AL621*$G$8</f>
        <v>0</v>
      </c>
      <c r="AN621" s="15"/>
      <c r="AO621" s="13"/>
      <c r="AP621" s="15">
        <f t="shared" ref="AP621:AP622" si="2258">AO621-AK621</f>
        <v>0</v>
      </c>
      <c r="AQ621" s="45">
        <f>AP621*$G$8</f>
        <v>0</v>
      </c>
      <c r="AR621" s="15"/>
      <c r="AS621" s="13"/>
      <c r="AT621" s="15">
        <f t="shared" ref="AT621:AT622" si="2259">AS621-AO621</f>
        <v>0</v>
      </c>
      <c r="AU621" s="45">
        <f>AT621*$G$8</f>
        <v>0</v>
      </c>
      <c r="AV621" s="15"/>
      <c r="AW621" s="13"/>
      <c r="AX621" s="15">
        <f t="shared" ref="AX621:AX622" si="2260">AW621-AS621</f>
        <v>0</v>
      </c>
      <c r="AY621" s="45">
        <f>AX621*$G$8</f>
        <v>0</v>
      </c>
      <c r="AZ621" s="208"/>
      <c r="BA621" s="13"/>
      <c r="BB621" s="15">
        <f t="shared" ref="BB621:BB622" si="2261">BA621-AW621</f>
        <v>0</v>
      </c>
      <c r="BC621" s="45">
        <f>BB621*$G$8</f>
        <v>0</v>
      </c>
      <c r="BD621" s="208"/>
      <c r="BE621" s="40">
        <f t="shared" ref="BE621:BG621" si="2262">J621+N621+R621+V621+Z621+AD621+AH621+AL621+AP621+AT621+AX621+BB621</f>
        <v>0</v>
      </c>
      <c r="BF621" s="41">
        <f t="shared" si="2262"/>
        <v>0</v>
      </c>
      <c r="BG621" s="34">
        <f t="shared" si="2262"/>
        <v>0</v>
      </c>
      <c r="BH621" s="35">
        <f t="shared" si="2250"/>
        <v>0</v>
      </c>
      <c r="BK621" s="2" t="b">
        <f>H621='2020'!BH621</f>
        <v>1</v>
      </c>
    </row>
    <row r="622" ht="14.25" customHeight="1" hidden="1" spans="1:63" x14ac:dyDescent="0.25">
      <c r="A622" s="89" t="s">
        <v>248</v>
      </c>
      <c r="B622" s="14"/>
      <c r="C622" s="2" t="s">
        <v>61</v>
      </c>
      <c r="D622" s="14" t="s">
        <v>47</v>
      </c>
      <c r="E622" s="2" t="s">
        <v>48</v>
      </c>
      <c r="F622" s="13">
        <v>18.56</v>
      </c>
      <c r="G622" s="35">
        <v>19.46</v>
      </c>
      <c r="H622" s="34">
        <f>'2020'!BH622</f>
        <v>0</v>
      </c>
      <c r="I622" s="13"/>
      <c r="J622" s="15"/>
      <c r="K622" s="15"/>
      <c r="L622" s="28"/>
      <c r="M622" s="13"/>
      <c r="N622" s="15">
        <f t="shared" si="2251"/>
        <v>0</v>
      </c>
      <c r="Q622" s="13"/>
      <c r="R622" s="15">
        <f t="shared" si="2252"/>
        <v>0</v>
      </c>
      <c r="S622" s="15"/>
      <c r="T622" s="28"/>
      <c r="U622" s="13"/>
      <c r="V622" s="15">
        <f t="shared" si="2253"/>
        <v>0</v>
      </c>
      <c r="W622" s="180">
        <f>V622*$F$10</f>
        <v>0</v>
      </c>
      <c r="Y622" s="186"/>
      <c r="Z622" s="2">
        <f t="shared" si="2254"/>
        <v>0</v>
      </c>
      <c r="AA622" s="34">
        <f>Z622*$F$10</f>
        <v>0</v>
      </c>
      <c r="AB622" s="28"/>
      <c r="AC622" s="13"/>
      <c r="AD622" s="15">
        <f t="shared" si="2255"/>
        <v>0</v>
      </c>
      <c r="AE622" s="34">
        <f>AD622*$F$10</f>
        <v>0</v>
      </c>
      <c r="AF622" s="34"/>
      <c r="AG622" s="13"/>
      <c r="AH622" s="2">
        <f t="shared" si="2256"/>
        <v>0</v>
      </c>
      <c r="AI622" s="45">
        <f>AH622*$G$10</f>
        <v>0</v>
      </c>
      <c r="AJ622" s="248"/>
      <c r="AK622" s="13"/>
      <c r="AL622" s="15">
        <f t="shared" si="2257"/>
        <v>0</v>
      </c>
      <c r="AM622" s="45">
        <f>AL622*$G$10</f>
        <v>0</v>
      </c>
      <c r="AN622" s="15"/>
      <c r="AO622" s="13"/>
      <c r="AP622" s="15">
        <f t="shared" si="2258"/>
        <v>0</v>
      </c>
      <c r="AQ622" s="45">
        <f>AP622*$G$10</f>
        <v>0</v>
      </c>
      <c r="AR622" s="15"/>
      <c r="AS622" s="13"/>
      <c r="AT622" s="15">
        <f t="shared" si="2259"/>
        <v>0</v>
      </c>
      <c r="AU622" s="45">
        <f>AT622*$G$10</f>
        <v>0</v>
      </c>
      <c r="AV622" s="15"/>
      <c r="AW622" s="13"/>
      <c r="AX622" s="15">
        <f t="shared" si="2260"/>
        <v>0</v>
      </c>
      <c r="AY622" s="45"/>
      <c r="AZ622" s="208"/>
      <c r="BA622" s="13"/>
      <c r="BB622" s="15">
        <f t="shared" si="2261"/>
        <v>0</v>
      </c>
      <c r="BC622" s="45"/>
      <c r="BD622" s="208"/>
      <c r="BE622" s="40">
        <f t="shared" ref="BE622:BG622" si="2263">J622+N622+R622+V622+Z622+AD622+AH622+AL622+AP622+AT622+AX622+BB622</f>
        <v>0</v>
      </c>
      <c r="BF622" s="41">
        <f t="shared" si="2263"/>
        <v>0</v>
      </c>
      <c r="BG622" s="34">
        <f t="shared" si="2263"/>
        <v>0</v>
      </c>
      <c r="BH622" s="35">
        <f t="shared" si="2250"/>
        <v>0</v>
      </c>
      <c r="BK622" s="2" t="b">
        <f>H622='2020'!BH622</f>
        <v>1</v>
      </c>
    </row>
    <row r="623" ht="14.25" customHeight="1" hidden="1" spans="1:63" x14ac:dyDescent="0.25">
      <c r="A623" s="89" t="s">
        <v>248</v>
      </c>
      <c r="B623" s="14"/>
      <c r="C623" s="2" t="s">
        <v>102</v>
      </c>
      <c r="D623" s="14" t="s">
        <v>47</v>
      </c>
      <c r="E623" s="2" t="s">
        <v>49</v>
      </c>
      <c r="F623" s="41">
        <v>500</v>
      </c>
      <c r="G623" s="28"/>
      <c r="H623" s="34">
        <f>'2020'!BH623</f>
        <v>0</v>
      </c>
      <c r="I623" s="13"/>
      <c r="J623" s="15"/>
      <c r="K623" s="15"/>
      <c r="L623" s="28"/>
      <c r="M623" s="13"/>
      <c r="N623" s="15"/>
      <c r="Q623" s="13"/>
      <c r="R623" s="15"/>
      <c r="S623" s="15"/>
      <c r="T623" s="28"/>
      <c r="U623" s="13"/>
      <c r="V623" s="15"/>
      <c r="Y623" s="186"/>
      <c r="Z623" s="2"/>
      <c r="AA623" s="15"/>
      <c r="AB623" s="28"/>
      <c r="AC623" s="15"/>
      <c r="AD623" s="15"/>
      <c r="AF623" s="1"/>
      <c r="AG623" s="15"/>
      <c r="AH623" s="2"/>
      <c r="AI623" s="45"/>
      <c r="AJ623" s="15"/>
      <c r="AK623" s="13"/>
      <c r="AL623" s="15"/>
      <c r="AM623" s="45"/>
      <c r="AN623" s="15"/>
      <c r="AO623" s="13"/>
      <c r="AP623" s="15"/>
      <c r="AQ623" s="45"/>
      <c r="AR623" s="15"/>
      <c r="AS623" s="13"/>
      <c r="AT623" s="15"/>
      <c r="AU623" s="45"/>
      <c r="AV623" s="15"/>
      <c r="AW623" s="13"/>
      <c r="AX623" s="15"/>
      <c r="AY623" s="45"/>
      <c r="AZ623" s="28"/>
      <c r="BA623" s="13"/>
      <c r="BB623" s="15"/>
      <c r="BC623" s="45"/>
      <c r="BD623" s="28"/>
      <c r="BE623" s="14"/>
      <c r="BF623" s="41">
        <f t="shared" ref="BF623:BG623" si="2264">K623+O623+S623+W623+AA623+AE623+AI623+AM623+AQ623+AU623+AY623+BC623</f>
        <v>0</v>
      </c>
      <c r="BG623" s="34">
        <f t="shared" si="2264"/>
        <v>0</v>
      </c>
      <c r="BH623" s="35">
        <f t="shared" si="2250"/>
        <v>0</v>
      </c>
      <c r="BK623" s="2" t="b">
        <f>H623='2020'!BH623</f>
        <v>1</v>
      </c>
    </row>
    <row r="624" ht="14.25" customHeight="1" hidden="1" spans="1:63" x14ac:dyDescent="0.25">
      <c r="A624" s="89" t="s">
        <v>248</v>
      </c>
      <c r="B624" s="14"/>
      <c r="C624" s="2" t="s">
        <v>252</v>
      </c>
      <c r="D624" s="14" t="s">
        <v>50</v>
      </c>
      <c r="E624" s="2" t="s">
        <v>49</v>
      </c>
      <c r="F624" s="41">
        <v>1100</v>
      </c>
      <c r="G624" s="28"/>
      <c r="H624" s="34">
        <f>'2020'!BH624</f>
        <v>0</v>
      </c>
      <c r="I624" s="13"/>
      <c r="J624" s="15"/>
      <c r="K624" s="15"/>
      <c r="L624" s="28"/>
      <c r="M624" s="13"/>
      <c r="N624" s="15"/>
      <c r="Q624" s="13"/>
      <c r="R624" s="15"/>
      <c r="S624" s="15"/>
      <c r="T624" s="28"/>
      <c r="U624" s="13"/>
      <c r="V624" s="15"/>
      <c r="Y624" s="186"/>
      <c r="Z624" s="2"/>
      <c r="AA624" s="15"/>
      <c r="AB624" s="28"/>
      <c r="AC624" s="15"/>
      <c r="AD624" s="15"/>
      <c r="AE624" s="34">
        <f>B621*$F$12</f>
        <v>4422</v>
      </c>
      <c r="AF624" s="39"/>
      <c r="AG624" s="15"/>
      <c r="AH624" s="2"/>
      <c r="AI624" s="45"/>
      <c r="AJ624" s="180"/>
      <c r="AK624" s="13"/>
      <c r="AL624" s="15"/>
      <c r="AM624" s="45"/>
      <c r="AN624" s="15"/>
      <c r="AO624" s="13"/>
      <c r="AP624" s="15"/>
      <c r="AQ624" s="45"/>
      <c r="AR624" s="15"/>
      <c r="AS624" s="13"/>
      <c r="AT624" s="15"/>
      <c r="AU624" s="45"/>
      <c r="AV624" s="15"/>
      <c r="AW624" s="13"/>
      <c r="AX624" s="15"/>
      <c r="AY624" s="45"/>
      <c r="AZ624" s="35"/>
      <c r="BA624" s="13"/>
      <c r="BB624" s="15"/>
      <c r="BC624" s="45"/>
      <c r="BD624" s="28"/>
      <c r="BE624" s="14"/>
      <c r="BF624" s="41">
        <f t="shared" ref="BF624:BG624" si="2265">K624+O624+S624+W624+AA624+AE624+AI624+AM624+AQ624+AU624+AY624+BC624</f>
        <v>4422</v>
      </c>
      <c r="BG624" s="34">
        <f t="shared" si="2265"/>
        <v>0</v>
      </c>
      <c r="BH624" s="35">
        <f t="shared" si="2250"/>
        <v>4422</v>
      </c>
      <c r="BK624" s="2" t="b">
        <f>H624='2020'!BH624</f>
        <v>1</v>
      </c>
    </row>
    <row r="625" ht="14.25" customHeight="1" hidden="1" spans="1:63" x14ac:dyDescent="0.25">
      <c r="A625" s="89" t="s">
        <v>248</v>
      </c>
      <c r="B625" s="14"/>
      <c r="D625" s="14" t="s">
        <v>51</v>
      </c>
      <c r="E625" s="2" t="s">
        <v>39</v>
      </c>
      <c r="F625" s="41">
        <v>500</v>
      </c>
      <c r="G625" s="28"/>
      <c r="H625" s="34">
        <f>'2020'!BH625</f>
        <v>500</v>
      </c>
      <c r="I625" s="13"/>
      <c r="J625" s="15"/>
      <c r="K625" s="15"/>
      <c r="L625" s="28"/>
      <c r="M625" s="13"/>
      <c r="N625" s="15"/>
      <c r="Q625" s="13"/>
      <c r="R625" s="15"/>
      <c r="S625" s="15"/>
      <c r="T625" s="28"/>
      <c r="U625" s="13"/>
      <c r="V625" s="15"/>
      <c r="Y625" s="186"/>
      <c r="Z625" s="2"/>
      <c r="AA625" s="15"/>
      <c r="AB625" s="28"/>
      <c r="AC625" s="15"/>
      <c r="AD625" s="15"/>
      <c r="AE625" s="180">
        <f>$F$13</f>
      </c>
      <c r="AF625" s="39">
        <v>500</v>
      </c>
      <c r="AG625" s="15"/>
      <c r="AH625" s="2"/>
      <c r="AI625" s="45"/>
      <c r="AJ625" s="15"/>
      <c r="AK625" s="13"/>
      <c r="AL625" s="15"/>
      <c r="AM625" s="45"/>
      <c r="AN625" s="15"/>
      <c r="AO625" s="13"/>
      <c r="AP625" s="15"/>
      <c r="AQ625" s="180"/>
      <c r="AR625" s="15"/>
      <c r="AS625" s="13"/>
      <c r="AT625" s="15"/>
      <c r="AU625" s="45"/>
      <c r="AV625" s="15"/>
      <c r="AW625" s="13"/>
      <c r="AX625" s="15"/>
      <c r="AY625" s="45"/>
      <c r="AZ625" s="28"/>
      <c r="BA625" s="13"/>
      <c r="BB625" s="15"/>
      <c r="BC625" s="45"/>
      <c r="BD625" s="28"/>
      <c r="BE625" s="14"/>
      <c r="BF625" s="41">
        <f t="shared" ref="BF625:BG625" si="2266">K625+O625+S625+W625+AA625+AE625+AI625+AM625+AQ625+AU625+AY625+BC625</f>
        <v>0</v>
      </c>
      <c r="BG625" s="34">
        <f t="shared" si="2266"/>
        <v>500</v>
      </c>
      <c r="BH625" s="35">
        <f t="shared" si="2250"/>
        <v>0</v>
      </c>
      <c r="BK625" s="2" t="b">
        <f>H625='2020'!BH625</f>
        <v>1</v>
      </c>
    </row>
    <row r="626" ht="14.25" customHeight="1" hidden="1" spans="1:63" x14ac:dyDescent="0.25">
      <c r="A626" s="89" t="s">
        <v>248</v>
      </c>
      <c r="B626" s="14"/>
      <c r="D626" s="14" t="s">
        <v>51</v>
      </c>
      <c r="E626" s="2" t="s">
        <v>49</v>
      </c>
      <c r="F626" s="41">
        <v>500</v>
      </c>
      <c r="G626" s="28"/>
      <c r="H626" s="34">
        <f>'2020'!BH626</f>
        <v>2010</v>
      </c>
      <c r="I626" s="13"/>
      <c r="J626" s="15"/>
      <c r="K626" s="15"/>
      <c r="L626" s="28"/>
      <c r="M626" s="13"/>
      <c r="N626" s="15"/>
      <c r="Q626" s="13"/>
      <c r="R626" s="15"/>
      <c r="S626" s="15"/>
      <c r="T626" s="28"/>
      <c r="U626" s="13"/>
      <c r="V626" s="15"/>
      <c r="Y626" s="186"/>
      <c r="Z626" s="2"/>
      <c r="AA626" s="15"/>
      <c r="AB626" s="28"/>
      <c r="AC626" s="15"/>
      <c r="AD626" s="15"/>
      <c r="AE626" s="34"/>
      <c r="AF626" s="39">
        <v>2010</v>
      </c>
      <c r="AG626" s="15"/>
      <c r="AH626" s="2"/>
      <c r="AI626" s="45"/>
      <c r="AJ626" s="15"/>
      <c r="AK626" s="13"/>
      <c r="AL626" s="15"/>
      <c r="AM626" s="45"/>
      <c r="AN626" s="15"/>
      <c r="AO626" s="13"/>
      <c r="AP626" s="15"/>
      <c r="AQ626" s="180">
        <f>B621*$F$14</f>
        <v>0</v>
      </c>
      <c r="AR626" s="15"/>
      <c r="AS626" s="13"/>
      <c r="AT626" s="15"/>
      <c r="AU626" s="45"/>
      <c r="AV626" s="15"/>
      <c r="AW626" s="13"/>
      <c r="AX626" s="15"/>
      <c r="AY626" s="45"/>
      <c r="AZ626" s="28"/>
      <c r="BA626" s="13"/>
      <c r="BB626" s="15"/>
      <c r="BC626" s="45"/>
      <c r="BD626" s="28"/>
      <c r="BE626" s="14"/>
      <c r="BF626" s="41">
        <f t="shared" ref="BF626:BG626" si="2267">K626+O626+S626+W626+AA626+AE626+AI626+AM626+AQ626+AU626+AY626+BC626</f>
        <v>0</v>
      </c>
      <c r="BG626" s="34">
        <f t="shared" si="2267"/>
        <v>2010</v>
      </c>
      <c r="BH626" s="35">
        <f t="shared" si="2250"/>
        <v>0</v>
      </c>
      <c r="BK626" s="2" t="b">
        <f>H626='2020'!BH626</f>
        <v>1</v>
      </c>
    </row>
    <row r="627" ht="14.25" customHeight="1" hidden="1" spans="1:63" x14ac:dyDescent="0.25">
      <c r="A627" s="89" t="s">
        <v>248</v>
      </c>
      <c r="B627" s="14"/>
      <c r="D627" s="14" t="s">
        <v>52</v>
      </c>
      <c r="E627" s="2" t="s">
        <v>39</v>
      </c>
      <c r="F627" s="41">
        <v>500</v>
      </c>
      <c r="G627" s="28"/>
      <c r="H627" s="34">
        <f>'2020'!BH627</f>
        <v>0</v>
      </c>
      <c r="I627" s="13"/>
      <c r="J627" s="15"/>
      <c r="K627" s="15"/>
      <c r="L627" s="28"/>
      <c r="M627" s="13"/>
      <c r="N627" s="15"/>
      <c r="Q627" s="13"/>
      <c r="R627" s="15"/>
      <c r="S627" s="15"/>
      <c r="T627" s="28"/>
      <c r="U627" s="13"/>
      <c r="V627" s="15"/>
      <c r="Y627" s="186"/>
      <c r="Z627" s="2"/>
      <c r="AA627" s="34">
        <f>$F$15</f>
      </c>
      <c r="AB627" s="28"/>
      <c r="AC627" s="15"/>
      <c r="AD627" s="15"/>
      <c r="AF627" s="1"/>
      <c r="AG627" s="15"/>
      <c r="AH627" s="2"/>
      <c r="AI627" s="45"/>
      <c r="AJ627" s="15"/>
      <c r="AK627" s="13"/>
      <c r="AL627" s="15"/>
      <c r="AM627" s="45"/>
      <c r="AN627" s="15"/>
      <c r="AO627" s="13"/>
      <c r="AP627" s="15"/>
      <c r="AQ627" s="45"/>
      <c r="AR627" s="15"/>
      <c r="AS627" s="13"/>
      <c r="AT627" s="15"/>
      <c r="AU627" s="45"/>
      <c r="AV627" s="15"/>
      <c r="AW627" s="13"/>
      <c r="AX627" s="15"/>
      <c r="AY627" s="45"/>
      <c r="AZ627" s="35"/>
      <c r="BA627" s="13"/>
      <c r="BB627" s="15"/>
      <c r="BC627" s="45"/>
      <c r="BD627" s="35"/>
      <c r="BE627" s="14"/>
      <c r="BF627" s="41">
        <f t="shared" ref="BF627:BG627" si="2268">K627+O627+S627+W627+AA627+AE627+AI627+AM627+AQ627+AU627+AY627+BC627</f>
        <v>0</v>
      </c>
      <c r="BG627" s="34">
        <f t="shared" si="2268"/>
        <v>0</v>
      </c>
      <c r="BH627" s="35">
        <f t="shared" si="2250"/>
        <v>0</v>
      </c>
      <c r="BK627" s="2" t="b">
        <f>H627='2020'!BH627</f>
        <v>1</v>
      </c>
    </row>
    <row r="628" ht="14.25" customHeight="1" hidden="1" spans="1:63" x14ac:dyDescent="0.25">
      <c r="A628" s="243" t="s">
        <v>248</v>
      </c>
      <c r="B628" s="21"/>
      <c r="C628" s="22" t="s">
        <v>53</v>
      </c>
      <c r="D628" s="21"/>
      <c r="E628" s="22"/>
      <c r="F628" s="20"/>
      <c r="G628" s="23"/>
      <c r="H628" s="51">
        <f>SUM(H620:H627)</f>
        <v>2543.61</v>
      </c>
      <c r="I628" s="52"/>
      <c r="J628" s="53"/>
      <c r="K628" s="51">
        <f t="shared" ref="K628:L628" si="2269">SUM(K620:K627)</f>
        <v>0</v>
      </c>
      <c r="L628" s="68">
        <f t="shared" si="2269"/>
        <v>0</v>
      </c>
      <c r="M628" s="52"/>
      <c r="N628" s="53"/>
      <c r="O628" s="51">
        <f t="shared" ref="O628:P628" si="2270">SUM(O620:O627)</f>
        <v>0</v>
      </c>
      <c r="P628" s="51">
        <f t="shared" si="2270"/>
        <v>0</v>
      </c>
      <c r="Q628" s="52"/>
      <c r="R628" s="53"/>
      <c r="S628" s="51">
        <f t="shared" ref="S628:T628" si="2271">SUM(S620:S627)</f>
        <v>0</v>
      </c>
      <c r="T628" s="51">
        <f t="shared" si="2271"/>
        <v>0</v>
      </c>
      <c r="U628" s="52"/>
      <c r="V628" s="53"/>
      <c r="W628" s="51">
        <f t="shared" ref="W628:X628" si="2272">SUM(W620:W627)</f>
        <v>0</v>
      </c>
      <c r="X628" s="51">
        <f t="shared" si="2272"/>
        <v>0</v>
      </c>
      <c r="Y628" s="300"/>
      <c r="Z628" s="301"/>
      <c r="AA628" s="51">
        <f t="shared" ref="AA628:AB628" si="2273">SUM(AA620:AA627)</f>
        <v>0</v>
      </c>
      <c r="AB628" s="51">
        <f t="shared" si="2273"/>
        <v>0</v>
      </c>
      <c r="AC628" s="52"/>
      <c r="AD628" s="53"/>
      <c r="AE628" s="51">
        <f t="shared" ref="AE628:AF628" si="2274">SUM(AE620:AE627)</f>
        <v>4422</v>
      </c>
      <c r="AF628" s="51">
        <f t="shared" si="2274"/>
        <v>2510</v>
      </c>
      <c r="AG628" s="52"/>
      <c r="AH628" s="301"/>
      <c r="AI628" s="183">
        <f t="shared" ref="AI628:AJ628" si="2275">SUM(AI620:AI627)</f>
        <v>0</v>
      </c>
      <c r="AJ628" s="51">
        <f t="shared" si="2275"/>
        <v>0</v>
      </c>
      <c r="AK628" s="52"/>
      <c r="AL628" s="53"/>
      <c r="AM628" s="183">
        <f t="shared" ref="AM628:AN628" si="2276">SUM(AM620:AM627)</f>
        <v>0</v>
      </c>
      <c r="AN628" s="51">
        <f t="shared" si="2276"/>
        <v>0</v>
      </c>
      <c r="AO628" s="52"/>
      <c r="AP628" s="53"/>
      <c r="AQ628" s="183">
        <f t="shared" ref="AQ628:AR628" si="2277">SUM(AQ620:AQ627)</f>
        <v>13.27</v>
      </c>
      <c r="AR628" s="51">
        <f t="shared" si="2277"/>
        <v>0</v>
      </c>
      <c r="AS628" s="52"/>
      <c r="AT628" s="53"/>
      <c r="AU628" s="183">
        <f t="shared" ref="AU628:AV628" si="2278">SUM(AU620:AU627)</f>
        <v>0</v>
      </c>
      <c r="AV628" s="68">
        <f t="shared" si="2278"/>
        <v>0</v>
      </c>
      <c r="AW628" s="52"/>
      <c r="AX628" s="53"/>
      <c r="AY628" s="183">
        <f t="shared" ref="AY628:AZ628" si="2279">SUM(AY620:AY627)</f>
        <v>0</v>
      </c>
      <c r="AZ628" s="68">
        <f t="shared" si="2279"/>
        <v>0</v>
      </c>
      <c r="BA628" s="52"/>
      <c r="BB628" s="53"/>
      <c r="BC628" s="183">
        <f t="shared" ref="BC628:BD628" si="2280">SUM(BC620:BC627)</f>
        <v>0</v>
      </c>
      <c r="BD628" s="68">
        <f t="shared" si="2280"/>
        <v>0</v>
      </c>
      <c r="BE628" s="69"/>
      <c r="BF628" s="70">
        <f t="shared" ref="BF628:BH628" si="2281">SUM(BF620:BF627)</f>
        <v>4435.27</v>
      </c>
      <c r="BG628" s="71">
        <f t="shared" si="2281"/>
        <v>2510</v>
      </c>
      <c r="BH628" s="72">
        <f t="shared" si="2281"/>
        <v>4468.88</v>
      </c>
      <c r="BI628" s="34">
        <f>H628+BF628-BG628</f>
        <v>4468.88</v>
      </c>
      <c r="BJ628" s="34">
        <f>BH628-BI628</f>
        <v>0</v>
      </c>
      <c r="BK628" s="2" t="b">
        <f>H628='2020'!BH628</f>
        <v>1</v>
      </c>
    </row>
    <row r="629" ht="14.25" customHeight="1" hidden="1" spans="1:63" x14ac:dyDescent="0.25">
      <c r="A629" s="2">
        <v>69</v>
      </c>
      <c r="B629" s="14"/>
      <c r="D629" s="178" t="s">
        <v>486</v>
      </c>
      <c r="F629" s="13"/>
      <c r="G629" s="28"/>
      <c r="H629" s="34">
        <f>'2020'!BH629</f>
        <v>0.4</v>
      </c>
      <c r="I629" s="13"/>
      <c r="J629" s="15"/>
      <c r="K629" s="15">
        <v>0.1</v>
      </c>
      <c r="L629" s="28"/>
      <c r="M629" s="13"/>
      <c r="N629" s="15"/>
      <c r="O629" s="2">
        <v>0.09</v>
      </c>
      <c r="Q629" s="13"/>
      <c r="R629" s="15"/>
      <c r="S629" s="15">
        <v>0.1</v>
      </c>
      <c r="T629" s="28"/>
      <c r="U629" s="13"/>
      <c r="V629" s="15"/>
      <c r="W629" s="153">
        <v>0.1</v>
      </c>
      <c r="X629" s="34"/>
      <c r="Y629" s="186"/>
      <c r="Z629" s="2"/>
      <c r="AA629" s="15">
        <v>0.1</v>
      </c>
      <c r="AB629" s="28"/>
      <c r="AC629" s="15"/>
      <c r="AD629" s="15"/>
      <c r="AE629" s="2">
        <v>0.1</v>
      </c>
      <c r="AG629" s="15"/>
      <c r="AH629" s="2"/>
      <c r="AI629" s="45"/>
      <c r="AJ629" s="15"/>
      <c r="AK629" s="13"/>
      <c r="AM629" s="45"/>
      <c r="AO629" s="13"/>
      <c r="AQ629" s="180">
        <v>6.05</v>
      </c>
      <c r="AS629" s="13"/>
      <c r="AU629" s="180"/>
      <c r="AW629" s="13"/>
      <c r="AY629" s="180"/>
      <c r="AZ629" s="28"/>
      <c r="BA629" s="13"/>
      <c r="BB629" s="15"/>
      <c r="BC629" s="180"/>
      <c r="BD629" s="28"/>
      <c r="BE629" s="14"/>
      <c r="BF629" s="41">
        <f t="shared" ref="BF629:BG629" si="2282">K629+O629+S629+W629+AA629+AE629+AI629+AM629+AQ629+AU629+AY629+BC629</f>
        <v>6.64</v>
      </c>
      <c r="BG629" s="34">
        <f t="shared" si="2282"/>
        <v>0</v>
      </c>
      <c r="BH629" s="35">
        <f t="shared" ref="BH629:BH636" si="2283">H629+BF629-BG629</f>
        <v>7.04</v>
      </c>
      <c r="BK629" s="2" t="b">
        <f>H629='2020'!BH629</f>
        <v>1</v>
      </c>
    </row>
    <row r="630" ht="14.25" customHeight="1" hidden="1" spans="1:63" x14ac:dyDescent="0.25">
      <c r="A630" s="2">
        <v>69</v>
      </c>
      <c r="B630" s="14">
        <v>4.03</v>
      </c>
      <c r="C630" s="2" t="s">
        <v>253</v>
      </c>
      <c r="D630" s="14" t="s">
        <v>44</v>
      </c>
      <c r="E630" s="2" t="s">
        <v>45</v>
      </c>
      <c r="F630" s="41">
        <v>2.5</v>
      </c>
      <c r="G630" s="35">
        <v>2.6</v>
      </c>
      <c r="H630" s="180">
        <f>'2020'!BH630</f>
        <v>1011</v>
      </c>
      <c r="I630" s="13">
        <v>27738</v>
      </c>
      <c r="J630" s="15">
        <f>I630-'2020'!BA630</f>
        <v>917</v>
      </c>
      <c r="K630" s="34">
        <f>J630*$F$8</f>
        <v>2384.2</v>
      </c>
      <c r="L630" s="28"/>
      <c r="M630" s="13">
        <v>28490</v>
      </c>
      <c r="N630" s="15">
        <f t="shared" ref="N630:N631" si="2284">M630-I630</f>
        <v>752</v>
      </c>
      <c r="O630" s="34">
        <f>N630*$F$8</f>
        <v>1955.2</v>
      </c>
      <c r="P630" s="1">
        <v>1950</v>
      </c>
      <c r="Q630" s="13">
        <v>29021</v>
      </c>
      <c r="R630" s="15">
        <f t="shared" ref="R630:R631" si="2285">Q630-M630</f>
        <v>531</v>
      </c>
      <c r="S630" s="34">
        <f>R630*$F$8</f>
        <v>1380.6</v>
      </c>
      <c r="T630" s="32">
        <v>2600</v>
      </c>
      <c r="U630" s="13">
        <v>29372</v>
      </c>
      <c r="V630" s="15">
        <f t="shared" ref="V630:V631" si="2286">U630-Q630</f>
        <v>351</v>
      </c>
      <c r="W630" s="34">
        <f>V630*$F$8</f>
        <v>912.6</v>
      </c>
      <c r="X630" s="39">
        <v>2600</v>
      </c>
      <c r="Y630" s="186">
        <v>29699</v>
      </c>
      <c r="Z630" s="2">
        <f t="shared" ref="Z630:Z631" si="2287">Y630-U630</f>
        <v>327</v>
      </c>
      <c r="AA630" s="34">
        <f>Z630*$F$8</f>
        <v>850.2</v>
      </c>
      <c r="AB630" s="28"/>
      <c r="AC630" s="15">
        <v>30009</v>
      </c>
      <c r="AD630" s="15">
        <f t="shared" ref="AD630:AD631" si="2288">AC630-Y630</f>
        <v>310</v>
      </c>
      <c r="AE630" s="180">
        <f>AD630*$F$8</f>
        <v>806</v>
      </c>
      <c r="AF630" s="39">
        <v>1950</v>
      </c>
      <c r="AG630" s="15">
        <v>30325</v>
      </c>
      <c r="AH630" s="2">
        <f t="shared" ref="AH630:AH631" si="2289">AG630-AC630</f>
        <v>316</v>
      </c>
      <c r="AI630" s="45">
        <f>AH630*$G$8</f>
        <v>853.2</v>
      </c>
      <c r="AJ630" s="180"/>
      <c r="AK630" s="13">
        <v>30643</v>
      </c>
      <c r="AL630" s="15">
        <f t="shared" ref="AL630:AL631" si="2290">AK630-AG630</f>
        <v>318</v>
      </c>
      <c r="AM630" s="45">
        <f>AL630*$G$8</f>
        <v>858.6</v>
      </c>
      <c r="AN630" s="34"/>
      <c r="AO630" s="13">
        <v>30956</v>
      </c>
      <c r="AP630" s="15">
        <f t="shared" ref="AP630:AP631" si="2291">AO630-AK630</f>
        <v>313</v>
      </c>
      <c r="AQ630" s="45">
        <f>AP630*$G$8</f>
        <v>845.1</v>
      </c>
      <c r="AR630" s="34">
        <v>1998</v>
      </c>
      <c r="AS630" s="13">
        <v>31282</v>
      </c>
      <c r="AT630" s="15">
        <f t="shared" ref="AT630:AT631" si="2292">AS630-AO630</f>
        <v>326</v>
      </c>
      <c r="AU630" s="45">
        <f>AT630*$G$8</f>
        <v>880.2</v>
      </c>
      <c r="AV630" s="34"/>
      <c r="AW630" s="13">
        <v>31974</v>
      </c>
      <c r="AX630" s="15">
        <f t="shared" ref="AX630:AX631" si="2293">AW630-AS630</f>
        <v>692</v>
      </c>
      <c r="AY630" s="45">
        <f>AX630*$G$8</f>
        <v>1868.4</v>
      </c>
      <c r="AZ630" s="242">
        <v>1350</v>
      </c>
      <c r="BA630" s="13">
        <v>32551</v>
      </c>
      <c r="BB630" s="15">
        <f t="shared" ref="BB630:BB631" si="2294">BA630-AW630</f>
        <v>577</v>
      </c>
      <c r="BC630" s="45">
        <f>BB630*$G$8</f>
        <v>1557.9</v>
      </c>
      <c r="BD630" s="208">
        <v>2700</v>
      </c>
      <c r="BE630" s="40">
        <f t="shared" ref="BE630:BG630" si="2295">J630+N630+R630+V630+Z630+AD630+AH630+AL630+AP630+AT630+AX630+BB630</f>
        <v>5730</v>
      </c>
      <c r="BF630" s="41">
        <f t="shared" si="2295"/>
        <v>15152.2</v>
      </c>
      <c r="BG630" s="34">
        <f t="shared" si="2295"/>
        <v>15148</v>
      </c>
      <c r="BH630" s="35">
        <f t="shared" si="2283"/>
        <v>1015.2</v>
      </c>
      <c r="BI630" s="34"/>
      <c r="BJ630" s="34"/>
      <c r="BK630" s="2" t="b">
        <f>H630='2020'!BH630</f>
        <v>1</v>
      </c>
    </row>
    <row r="631" ht="14.25" customHeight="1" hidden="1" spans="1:63" x14ac:dyDescent="0.25">
      <c r="A631" s="2">
        <v>69</v>
      </c>
      <c r="B631" s="14"/>
      <c r="C631" s="2" t="s">
        <v>87</v>
      </c>
      <c r="D631" s="14" t="s">
        <v>47</v>
      </c>
      <c r="E631" s="2" t="s">
        <v>48</v>
      </c>
      <c r="F631" s="13">
        <v>18.56</v>
      </c>
      <c r="G631" s="35">
        <v>19.46</v>
      </c>
      <c r="H631" s="34">
        <f>'2020'!BH631</f>
        <v>0</v>
      </c>
      <c r="I631" s="13">
        <v>15</v>
      </c>
      <c r="J631" s="15"/>
      <c r="K631" s="15"/>
      <c r="L631" s="28"/>
      <c r="M631" s="13">
        <v>15</v>
      </c>
      <c r="N631" s="15">
        <f t="shared" si="2284"/>
        <v>0</v>
      </c>
      <c r="Q631" s="13">
        <v>15</v>
      </c>
      <c r="R631" s="15">
        <f t="shared" si="2285"/>
        <v>0</v>
      </c>
      <c r="S631" s="15"/>
      <c r="T631" s="28"/>
      <c r="U631" s="13">
        <v>15</v>
      </c>
      <c r="V631" s="15">
        <f t="shared" si="2286"/>
        <v>0</v>
      </c>
      <c r="W631" s="34">
        <f>V631*$F$10</f>
        <v>0</v>
      </c>
      <c r="Y631" s="186">
        <v>15</v>
      </c>
      <c r="Z631" s="2">
        <f t="shared" si="2287"/>
        <v>0</v>
      </c>
      <c r="AA631" s="34">
        <f>Z631*$F$10</f>
        <v>0</v>
      </c>
      <c r="AB631" s="28"/>
      <c r="AC631" s="15">
        <v>15</v>
      </c>
      <c r="AD631" s="15">
        <f t="shared" si="2288"/>
        <v>0</v>
      </c>
      <c r="AE631" s="34">
        <f>AD631*$F$10</f>
        <v>0</v>
      </c>
      <c r="AF631" s="34"/>
      <c r="AG631" s="15">
        <v>15</v>
      </c>
      <c r="AH631" s="2">
        <f t="shared" si="2289"/>
        <v>0</v>
      </c>
      <c r="AI631" s="45">
        <f>AH631*$G$10</f>
        <v>0</v>
      </c>
      <c r="AJ631" s="1"/>
      <c r="AK631" s="13">
        <v>15</v>
      </c>
      <c r="AL631" s="15">
        <f t="shared" si="2290"/>
        <v>0</v>
      </c>
      <c r="AM631" s="45">
        <f>AL631*$G$10</f>
        <v>0</v>
      </c>
      <c r="AN631" s="15"/>
      <c r="AO631" s="13">
        <v>15</v>
      </c>
      <c r="AP631" s="15">
        <f t="shared" si="2291"/>
        <v>0</v>
      </c>
      <c r="AQ631" s="45">
        <f>AP631*$G$10</f>
        <v>0</v>
      </c>
      <c r="AR631" s="15"/>
      <c r="AS631" s="13">
        <v>15</v>
      </c>
      <c r="AT631" s="15">
        <f t="shared" si="2292"/>
        <v>0</v>
      </c>
      <c r="AU631" s="45">
        <f>AT631*$G$10</f>
        <v>0</v>
      </c>
      <c r="AV631" s="15"/>
      <c r="AW631" s="13">
        <v>15</v>
      </c>
      <c r="AX631" s="15">
        <f t="shared" si="2293"/>
        <v>0</v>
      </c>
      <c r="AY631" s="45"/>
      <c r="AZ631" s="208"/>
      <c r="BA631" s="13">
        <v>15</v>
      </c>
      <c r="BB631" s="15">
        <f t="shared" si="2294"/>
        <v>0</v>
      </c>
      <c r="BC631" s="45"/>
      <c r="BD631" s="208"/>
      <c r="BE631" s="40">
        <f t="shared" ref="BE631:BG631" si="2296">J631+N631+R631+V631+Z631+AD631+AH631+AL631+AP631+AT631+AX631+BB631</f>
        <v>0</v>
      </c>
      <c r="BF631" s="41">
        <f t="shared" si="2296"/>
        <v>0</v>
      </c>
      <c r="BG631" s="34">
        <f t="shared" si="2296"/>
        <v>0</v>
      </c>
      <c r="BH631" s="35">
        <f t="shared" si="2283"/>
        <v>0</v>
      </c>
      <c r="BK631" s="2" t="b">
        <f>H631='2020'!BH631</f>
        <v>1</v>
      </c>
    </row>
    <row r="632" ht="14.25" customHeight="1" hidden="1" spans="1:63" x14ac:dyDescent="0.25">
      <c r="A632" s="2">
        <v>69</v>
      </c>
      <c r="B632" s="14"/>
      <c r="C632" s="2" t="s">
        <v>119</v>
      </c>
      <c r="D632" s="14" t="s">
        <v>47</v>
      </c>
      <c r="E632" s="2" t="s">
        <v>49</v>
      </c>
      <c r="F632" s="41">
        <v>500</v>
      </c>
      <c r="G632" s="28"/>
      <c r="H632" s="144">
        <f>'2020'!BH632</f>
        <v>0</v>
      </c>
      <c r="I632" s="13"/>
      <c r="J632" s="15"/>
      <c r="K632" s="15"/>
      <c r="L632" s="28"/>
      <c r="M632" s="13"/>
      <c r="N632" s="15"/>
      <c r="Q632" s="13"/>
      <c r="R632" s="15"/>
      <c r="S632" s="15"/>
      <c r="T632" s="28"/>
      <c r="U632" s="13"/>
      <c r="V632" s="15"/>
      <c r="Y632" s="186"/>
      <c r="Z632" s="2"/>
      <c r="AA632" s="15"/>
      <c r="AB632" s="28"/>
      <c r="AC632" s="15"/>
      <c r="AD632" s="15"/>
      <c r="AG632" s="15"/>
      <c r="AH632" s="2"/>
      <c r="AI632" s="45"/>
      <c r="AJ632" s="15"/>
      <c r="AK632" s="13"/>
      <c r="AL632" s="15"/>
      <c r="AM632" s="45"/>
      <c r="AN632" s="15"/>
      <c r="AO632" s="13"/>
      <c r="AP632" s="15"/>
      <c r="AQ632" s="45"/>
      <c r="AR632" s="15"/>
      <c r="AS632" s="13"/>
      <c r="AT632" s="15"/>
      <c r="AU632" s="45"/>
      <c r="AV632" s="15"/>
      <c r="AW632" s="13"/>
      <c r="AX632" s="15"/>
      <c r="AY632" s="45"/>
      <c r="AZ632" s="28"/>
      <c r="BA632" s="13"/>
      <c r="BB632" s="15"/>
      <c r="BC632" s="45"/>
      <c r="BD632" s="28"/>
      <c r="BE632" s="14"/>
      <c r="BF632" s="41">
        <f t="shared" ref="BF632:BG632" si="2297">K632+O632+S632+W632+AA632+AE632+AI632+AM632+AQ632+AU632+AY632+BC632</f>
        <v>0</v>
      </c>
      <c r="BG632" s="34">
        <f t="shared" si="2297"/>
        <v>0</v>
      </c>
      <c r="BH632" s="35">
        <f t="shared" si="2283"/>
        <v>0</v>
      </c>
      <c r="BK632" s="2" t="b">
        <f>H632='2020'!BH632</f>
        <v>1</v>
      </c>
    </row>
    <row r="633" ht="14.25" customHeight="1" hidden="1" spans="1:63" x14ac:dyDescent="0.25">
      <c r="A633" s="2">
        <v>69</v>
      </c>
      <c r="B633" s="14"/>
      <c r="C633" s="2" t="s">
        <v>432</v>
      </c>
      <c r="D633" s="14" t="s">
        <v>50</v>
      </c>
      <c r="E633" s="2" t="s">
        <v>49</v>
      </c>
      <c r="F633" s="41">
        <v>1100</v>
      </c>
      <c r="G633" s="28"/>
      <c r="H633" s="34">
        <f>'2020'!BH633</f>
        <v>33</v>
      </c>
      <c r="I633" s="13"/>
      <c r="J633" s="15"/>
      <c r="K633" s="15"/>
      <c r="L633" s="28"/>
      <c r="M633" s="13"/>
      <c r="N633" s="15"/>
      <c r="Q633" s="13"/>
      <c r="R633" s="15"/>
      <c r="S633" s="15"/>
      <c r="T633" s="28"/>
      <c r="U633" s="13"/>
      <c r="V633" s="15"/>
      <c r="Y633" s="186"/>
      <c r="Z633" s="2"/>
      <c r="AA633" s="15"/>
      <c r="AB633" s="28"/>
      <c r="AC633" s="15"/>
      <c r="AD633" s="15"/>
      <c r="AE633" s="34">
        <f>B630*$F$12</f>
        <v>4433</v>
      </c>
      <c r="AF633" s="34"/>
      <c r="AG633" s="15"/>
      <c r="AH633" s="2"/>
      <c r="AI633" s="45"/>
      <c r="AJ633" s="187">
        <v>4466</v>
      </c>
      <c r="AK633" s="13"/>
      <c r="AL633" s="15"/>
      <c r="AM633" s="45"/>
      <c r="AN633" s="15"/>
      <c r="AO633" s="13"/>
      <c r="AP633" s="15"/>
      <c r="AQ633" s="45"/>
      <c r="AR633" s="15"/>
      <c r="AS633" s="13"/>
      <c r="AT633" s="15"/>
      <c r="AU633" s="45"/>
      <c r="AV633" s="15"/>
      <c r="AW633" s="13"/>
      <c r="AX633" s="15"/>
      <c r="AY633" s="45"/>
      <c r="AZ633" s="28"/>
      <c r="BA633" s="13"/>
      <c r="BB633" s="15"/>
      <c r="BC633" s="45"/>
      <c r="BD633" s="28"/>
      <c r="BE633" s="14"/>
      <c r="BF633" s="41">
        <f t="shared" ref="BF633:BG633" si="2298">K633+O633+S633+W633+AA633+AE633+AI633+AM633+AQ633+AU633+AY633+BC633</f>
        <v>4433</v>
      </c>
      <c r="BG633" s="34">
        <f t="shared" si="2298"/>
        <v>4466</v>
      </c>
      <c r="BH633" s="35">
        <f t="shared" si="2283"/>
        <v>0</v>
      </c>
      <c r="BK633" s="2" t="b">
        <f>H633='2020'!BH633</f>
        <v>1</v>
      </c>
    </row>
    <row r="634" ht="14.25" customHeight="1" hidden="1" spans="1:63" x14ac:dyDescent="0.25">
      <c r="A634" s="2">
        <v>69</v>
      </c>
      <c r="B634" s="14"/>
      <c r="D634" s="14" t="s">
        <v>51</v>
      </c>
      <c r="E634" s="2" t="s">
        <v>39</v>
      </c>
      <c r="F634" s="41">
        <v>500</v>
      </c>
      <c r="G634" s="28"/>
      <c r="H634" s="34">
        <f>'2020'!BH634</f>
        <v>500</v>
      </c>
      <c r="I634" s="13"/>
      <c r="J634" s="15"/>
      <c r="K634" s="15"/>
      <c r="L634" s="28"/>
      <c r="M634" s="13"/>
      <c r="N634" s="15"/>
      <c r="Q634" s="13"/>
      <c r="R634" s="15"/>
      <c r="S634" s="15"/>
      <c r="T634" s="28"/>
      <c r="U634" s="13"/>
      <c r="V634" s="15"/>
      <c r="Y634" s="186"/>
      <c r="Z634" s="2"/>
      <c r="AA634" s="15"/>
      <c r="AB634" s="28"/>
      <c r="AC634" s="15"/>
      <c r="AD634" s="15"/>
      <c r="AE634" s="180">
        <f>$F$13</f>
      </c>
      <c r="AF634" s="1">
        <v>500</v>
      </c>
      <c r="AG634" s="15"/>
      <c r="AH634" s="2"/>
      <c r="AI634" s="45"/>
      <c r="AJ634" s="180"/>
      <c r="AK634" s="13"/>
      <c r="AL634" s="15"/>
      <c r="AM634" s="45"/>
      <c r="AN634" s="15"/>
      <c r="AO634" s="13"/>
      <c r="AP634" s="15"/>
      <c r="AQ634" s="180"/>
      <c r="AR634" s="15"/>
      <c r="AS634" s="13"/>
      <c r="AT634" s="15"/>
      <c r="AU634" s="45"/>
      <c r="AV634" s="15"/>
      <c r="AW634" s="13"/>
      <c r="AX634" s="15"/>
      <c r="AY634" s="45"/>
      <c r="AZ634" s="28"/>
      <c r="BA634" s="13"/>
      <c r="BB634" s="15"/>
      <c r="BC634" s="45"/>
      <c r="BD634" s="28"/>
      <c r="BE634" s="14"/>
      <c r="BF634" s="41">
        <f t="shared" ref="BF634:BG634" si="2299">K634+O634+S634+W634+AA634+AE634+AI634+AM634+AQ634+AU634+AY634+BC634</f>
        <v>0</v>
      </c>
      <c r="BG634" s="34">
        <f t="shared" si="2299"/>
        <v>500</v>
      </c>
      <c r="BH634" s="35">
        <f t="shared" si="2283"/>
        <v>0</v>
      </c>
      <c r="BK634" s="2" t="b">
        <f>H634='2020'!BH634</f>
        <v>1</v>
      </c>
    </row>
    <row r="635" ht="14.25" customHeight="1" hidden="1" spans="1:63" x14ac:dyDescent="0.25">
      <c r="A635" s="2">
        <v>69</v>
      </c>
      <c r="B635" s="14"/>
      <c r="D635" s="14" t="s">
        <v>51</v>
      </c>
      <c r="E635" s="2" t="s">
        <v>49</v>
      </c>
      <c r="F635" s="41">
        <v>500</v>
      </c>
      <c r="G635" s="28"/>
      <c r="H635" s="34">
        <f>'2020'!BH635</f>
        <v>2015</v>
      </c>
      <c r="I635" s="13"/>
      <c r="J635" s="15"/>
      <c r="K635" s="15"/>
      <c r="L635" s="28"/>
      <c r="M635" s="13"/>
      <c r="N635" s="15"/>
      <c r="Q635" s="13"/>
      <c r="R635" s="15"/>
      <c r="S635" s="15"/>
      <c r="T635" s="28"/>
      <c r="U635" s="13"/>
      <c r="V635" s="15"/>
      <c r="Y635" s="186"/>
      <c r="Z635" s="2"/>
      <c r="AA635" s="15"/>
      <c r="AB635" s="28"/>
      <c r="AC635" s="15"/>
      <c r="AD635" s="15"/>
      <c r="AE635" s="34"/>
      <c r="AF635" s="1"/>
      <c r="AG635" s="15"/>
      <c r="AH635" s="2"/>
      <c r="AI635" s="45"/>
      <c r="AJ635" s="180"/>
      <c r="AK635" s="13"/>
      <c r="AL635" s="15"/>
      <c r="AM635" s="45"/>
      <c r="AN635" s="15"/>
      <c r="AO635" s="13"/>
      <c r="AP635" s="15"/>
      <c r="AQ635" s="180">
        <f>B630*$F$14</f>
        <v>0</v>
      </c>
      <c r="AR635" s="15"/>
      <c r="AS635" s="13"/>
      <c r="AT635" s="15"/>
      <c r="AU635" s="45"/>
      <c r="AV635" s="15"/>
      <c r="AW635" s="13"/>
      <c r="AX635" s="15"/>
      <c r="AY635" s="45"/>
      <c r="AZ635" s="28"/>
      <c r="BA635" s="13"/>
      <c r="BB635" s="15"/>
      <c r="BC635" s="45"/>
      <c r="BD635" s="28"/>
      <c r="BE635" s="14"/>
      <c r="BF635" s="41">
        <f t="shared" ref="BF635:BG635" si="2300">K635+O635+S635+W635+AA635+AE635+AI635+AM635+AQ635+AU635+AY635+BC635</f>
        <v>0</v>
      </c>
      <c r="BG635" s="34">
        <f t="shared" si="2300"/>
        <v>0</v>
      </c>
      <c r="BH635" s="35">
        <f t="shared" si="2283"/>
        <v>2015</v>
      </c>
      <c r="BK635" s="2" t="b">
        <f>H635='2020'!BH635</f>
        <v>1</v>
      </c>
    </row>
    <row r="636" ht="14.25" customHeight="1" hidden="1" spans="1:63" x14ac:dyDescent="0.25">
      <c r="A636" s="2">
        <v>69</v>
      </c>
      <c r="B636" s="14"/>
      <c r="D636" s="14" t="s">
        <v>52</v>
      </c>
      <c r="E636" s="2" t="s">
        <v>39</v>
      </c>
      <c r="F636" s="41">
        <v>500</v>
      </c>
      <c r="G636" s="28"/>
      <c r="H636" s="34">
        <f>'2020'!BH636</f>
        <v>0</v>
      </c>
      <c r="I636" s="13"/>
      <c r="J636" s="15"/>
      <c r="K636" s="15"/>
      <c r="L636" s="28"/>
      <c r="M636" s="13"/>
      <c r="N636" s="15"/>
      <c r="Q636" s="13"/>
      <c r="R636" s="15"/>
      <c r="S636" s="15"/>
      <c r="T636" s="28"/>
      <c r="U636" s="13"/>
      <c r="V636" s="15"/>
      <c r="Y636" s="186"/>
      <c r="Z636" s="2"/>
      <c r="AA636" s="34">
        <f>$F$15</f>
      </c>
      <c r="AB636" s="28"/>
      <c r="AC636" s="15"/>
      <c r="AD636" s="15"/>
      <c r="AF636" s="34"/>
      <c r="AG636" s="15"/>
      <c r="AH636" s="2"/>
      <c r="AI636" s="45"/>
      <c r="AJ636" s="15"/>
      <c r="AK636" s="13"/>
      <c r="AL636" s="15"/>
      <c r="AM636" s="45"/>
      <c r="AN636" s="15"/>
      <c r="AO636" s="13"/>
      <c r="AP636" s="15"/>
      <c r="AQ636" s="45"/>
      <c r="AR636" s="15"/>
      <c r="AS636" s="13"/>
      <c r="AT636" s="15"/>
      <c r="AU636" s="45"/>
      <c r="AV636" s="15"/>
      <c r="AW636" s="13"/>
      <c r="AX636" s="15"/>
      <c r="AY636" s="45"/>
      <c r="AZ636" s="35"/>
      <c r="BA636" s="13"/>
      <c r="BB636" s="15"/>
      <c r="BC636" s="45"/>
      <c r="BD636" s="35"/>
      <c r="BE636" s="14"/>
      <c r="BF636" s="41">
        <f t="shared" ref="BF636:BG636" si="2301">K636+O636+S636+W636+AA636+AE636+AI636+AM636+AQ636+AU636+AY636+BC636</f>
        <v>0</v>
      </c>
      <c r="BG636" s="34">
        <f t="shared" si="2301"/>
        <v>0</v>
      </c>
      <c r="BH636" s="35">
        <f t="shared" si="2283"/>
        <v>0</v>
      </c>
      <c r="BK636" s="2" t="b">
        <f>H636='2020'!BH636</f>
        <v>1</v>
      </c>
    </row>
    <row r="637" ht="14.25" customHeight="1" hidden="1" spans="1:63" x14ac:dyDescent="0.25">
      <c r="A637" s="247">
        <v>69</v>
      </c>
      <c r="B637" s="21"/>
      <c r="C637" s="22" t="s">
        <v>53</v>
      </c>
      <c r="D637" s="21"/>
      <c r="E637" s="22"/>
      <c r="F637" s="20"/>
      <c r="G637" s="23"/>
      <c r="H637" s="51">
        <f>SUM(H629:H636)</f>
        <v>3559.4</v>
      </c>
      <c r="I637" s="52"/>
      <c r="J637" s="53"/>
      <c r="K637" s="51">
        <f t="shared" ref="K637:L637" si="2302">SUM(K629:K636)</f>
        <v>2384.3</v>
      </c>
      <c r="L637" s="68">
        <f t="shared" si="2302"/>
        <v>0</v>
      </c>
      <c r="M637" s="52"/>
      <c r="N637" s="53"/>
      <c r="O637" s="51">
        <f t="shared" ref="O637:P637" si="2303">SUM(O629:O636)</f>
        <v>1955.29</v>
      </c>
      <c r="P637" s="51">
        <f t="shared" si="2303"/>
        <v>1950</v>
      </c>
      <c r="Q637" s="52"/>
      <c r="R637" s="53"/>
      <c r="S637" s="51">
        <f t="shared" ref="S637:T637" si="2304">SUM(S629:S636)</f>
        <v>1380.7</v>
      </c>
      <c r="T637" s="51">
        <f t="shared" si="2304"/>
        <v>2600</v>
      </c>
      <c r="U637" s="52"/>
      <c r="V637" s="53"/>
      <c r="W637" s="51">
        <f t="shared" ref="W637:X637" si="2305">SUM(W629:W636)</f>
        <v>912.7</v>
      </c>
      <c r="X637" s="51">
        <f t="shared" si="2305"/>
        <v>2600</v>
      </c>
      <c r="Y637" s="300"/>
      <c r="Z637" s="301"/>
      <c r="AA637" s="51">
        <f t="shared" ref="AA637:AB637" si="2306">SUM(AA629:AA636)</f>
        <v>850.3</v>
      </c>
      <c r="AB637" s="51">
        <f t="shared" si="2306"/>
        <v>0</v>
      </c>
      <c r="AC637" s="52"/>
      <c r="AD637" s="53"/>
      <c r="AE637" s="51">
        <f t="shared" ref="AE637:AF637" si="2307">SUM(AE629:AE636)</f>
        <v>5239.1</v>
      </c>
      <c r="AF637" s="51">
        <f t="shared" si="2307"/>
        <v>2450</v>
      </c>
      <c r="AG637" s="52"/>
      <c r="AH637" s="301"/>
      <c r="AI637" s="183">
        <f t="shared" ref="AI637:AJ637" si="2308">SUM(AI629:AI636)</f>
        <v>853.2</v>
      </c>
      <c r="AJ637" s="51">
        <f t="shared" si="2308"/>
        <v>4466</v>
      </c>
      <c r="AK637" s="52"/>
      <c r="AL637" s="53"/>
      <c r="AM637" s="183">
        <f t="shared" ref="AM637:AN637" si="2309">SUM(AM629:AM636)</f>
        <v>858.6</v>
      </c>
      <c r="AN637" s="51">
        <f t="shared" si="2309"/>
        <v>0</v>
      </c>
      <c r="AO637" s="52"/>
      <c r="AP637" s="53"/>
      <c r="AQ637" s="183">
        <f t="shared" ref="AQ637:AR637" si="2310">SUM(AQ629:AQ636)</f>
        <v>851.15</v>
      </c>
      <c r="AR637" s="51">
        <f t="shared" si="2310"/>
        <v>1998</v>
      </c>
      <c r="AS637" s="52"/>
      <c r="AT637" s="53"/>
      <c r="AU637" s="183">
        <f t="shared" ref="AU637:AV637" si="2311">SUM(AU629:AU636)</f>
        <v>880.2</v>
      </c>
      <c r="AV637" s="68">
        <f t="shared" si="2311"/>
        <v>0</v>
      </c>
      <c r="AW637" s="52"/>
      <c r="AX637" s="53"/>
      <c r="AY637" s="183">
        <f t="shared" ref="AY637:AZ637" si="2312">SUM(AY629:AY636)</f>
        <v>1868.4</v>
      </c>
      <c r="AZ637" s="68">
        <f t="shared" si="2312"/>
        <v>1350</v>
      </c>
      <c r="BA637" s="52"/>
      <c r="BB637" s="53"/>
      <c r="BC637" s="183">
        <f t="shared" ref="BC637:BD637" si="2313">SUM(BC629:BC636)</f>
        <v>1557.9</v>
      </c>
      <c r="BD637" s="68">
        <f t="shared" si="2313"/>
        <v>2700</v>
      </c>
      <c r="BE637" s="69"/>
      <c r="BF637" s="70">
        <f t="shared" ref="BF637:BH637" si="2314">SUM(BF629:BF636)</f>
        <v>19591.84</v>
      </c>
      <c r="BG637" s="71">
        <f t="shared" si="2314"/>
        <v>20114</v>
      </c>
      <c r="BH637" s="72">
        <f t="shared" si="2314"/>
        <v>3037.24</v>
      </c>
      <c r="BI637" s="34">
        <f>H637+BF637-BG637</f>
        <v>3037.24</v>
      </c>
      <c r="BJ637" s="34">
        <f>BH637-BI637</f>
        <v>0</v>
      </c>
      <c r="BK637" s="2" t="b">
        <f>H637='2020'!BH637</f>
        <v>1</v>
      </c>
    </row>
    <row r="638" ht="14.25" customHeight="1" hidden="1" spans="1:63" x14ac:dyDescent="0.25">
      <c r="A638" s="2">
        <v>71</v>
      </c>
      <c r="B638" s="14"/>
      <c r="D638" s="14" t="s">
        <v>379</v>
      </c>
      <c r="F638" s="13"/>
      <c r="G638" s="28"/>
      <c r="H638" s="34">
        <f>'2020'!BH638</f>
        <v>0</v>
      </c>
      <c r="I638" s="13"/>
      <c r="J638" s="15"/>
      <c r="K638" s="15"/>
      <c r="L638" s="28"/>
      <c r="M638" s="13"/>
      <c r="N638" s="15"/>
      <c r="Q638" s="13"/>
      <c r="R638" s="15"/>
      <c r="S638" s="15"/>
      <c r="T638" s="28"/>
      <c r="U638" s="13"/>
      <c r="V638" s="15"/>
      <c r="Y638" s="186"/>
      <c r="Z638" s="2"/>
      <c r="AA638" s="15"/>
      <c r="AB638" s="28"/>
      <c r="AC638" s="15"/>
      <c r="AD638" s="15"/>
      <c r="AG638" s="15"/>
      <c r="AH638" s="2"/>
      <c r="AI638" s="45"/>
      <c r="AJ638" s="15"/>
      <c r="AK638" s="13"/>
      <c r="AM638" s="45"/>
      <c r="AO638" s="13"/>
      <c r="AQ638" s="45"/>
      <c r="AS638" s="13"/>
      <c r="AU638" s="45"/>
      <c r="AW638" s="13"/>
      <c r="AY638" s="45"/>
      <c r="AZ638" s="28"/>
      <c r="BA638" s="13"/>
      <c r="BB638" s="15"/>
      <c r="BC638" s="45"/>
      <c r="BD638" s="28"/>
      <c r="BE638" s="14"/>
      <c r="BF638" s="41">
        <f t="shared" ref="BF638:BG638" si="2315">K638+O638+S638+W638+AA638+AE638+AI638+AM638+AQ638+AU638+AY638+BC638</f>
        <v>0</v>
      </c>
      <c r="BG638" s="34">
        <f t="shared" si="2315"/>
        <v>0</v>
      </c>
      <c r="BH638" s="35">
        <f t="shared" ref="BH638:BH645" si="2316">H638+BF638-BG638</f>
        <v>0</v>
      </c>
      <c r="BK638" s="2" t="b">
        <f>H638='2020'!BH638</f>
        <v>1</v>
      </c>
    </row>
    <row r="639" ht="14.25" customHeight="1" hidden="1" spans="1:63" x14ac:dyDescent="0.25">
      <c r="A639" s="2">
        <v>71</v>
      </c>
      <c r="B639" s="14">
        <v>5.98</v>
      </c>
      <c r="C639" s="2" t="s">
        <v>255</v>
      </c>
      <c r="D639" s="14" t="s">
        <v>44</v>
      </c>
      <c r="E639" s="2" t="s">
        <v>45</v>
      </c>
      <c r="F639" s="41">
        <v>2.5</v>
      </c>
      <c r="G639" s="35">
        <v>2.6</v>
      </c>
      <c r="H639" s="34">
        <f>'2020'!BH639</f>
        <v>51.08</v>
      </c>
      <c r="I639" s="13">
        <v>150</v>
      </c>
      <c r="J639" s="15">
        <f>I639-'2020'!BA639</f>
        <v>0</v>
      </c>
      <c r="K639" s="34">
        <f>J639*$F$8</f>
        <v>0</v>
      </c>
      <c r="L639" s="28"/>
      <c r="M639" s="13">
        <v>150</v>
      </c>
      <c r="N639" s="15">
        <f t="shared" ref="N639:N640" si="2317">M639-I639</f>
        <v>0</v>
      </c>
      <c r="O639" s="34">
        <f>N639*$F$8</f>
        <v>0</v>
      </c>
      <c r="Q639" s="13">
        <v>150</v>
      </c>
      <c r="R639" s="15">
        <f t="shared" ref="R639:R640" si="2318">Q639-M639</f>
        <v>0</v>
      </c>
      <c r="S639" s="34">
        <f>R639*$F$8</f>
        <v>0</v>
      </c>
      <c r="T639" s="28"/>
      <c r="U639" s="13">
        <v>150</v>
      </c>
      <c r="V639" s="15">
        <f t="shared" ref="V639:V640" si="2319">U639-Q639</f>
        <v>0</v>
      </c>
      <c r="W639" s="34">
        <f>V639*$F$8</f>
        <v>0</v>
      </c>
      <c r="X639" s="15"/>
      <c r="Y639" s="186">
        <v>151</v>
      </c>
      <c r="Z639" s="2">
        <f t="shared" ref="Z639:Z640" si="2320">Y639-U639</f>
        <v>1</v>
      </c>
      <c r="AA639" s="34">
        <f>Z639*$F$8</f>
        <v>2.6</v>
      </c>
      <c r="AB639" s="28"/>
      <c r="AC639" s="15">
        <v>154</v>
      </c>
      <c r="AD639" s="15">
        <f t="shared" ref="AD639:AD640" si="2321">AC639-Y639</f>
        <v>3</v>
      </c>
      <c r="AE639" s="180">
        <f>AD639*$F$8</f>
        <v>7.8</v>
      </c>
      <c r="AF639" s="182">
        <v>61.48</v>
      </c>
      <c r="AG639" s="15">
        <v>157</v>
      </c>
      <c r="AH639" s="2">
        <f t="shared" ref="AH639:AH640" si="2322">AG639-AC639</f>
        <v>3</v>
      </c>
      <c r="AI639" s="45">
        <f>AH639*$G$8</f>
        <v>8.1</v>
      </c>
      <c r="AJ639" s="326">
        <v>8.1</v>
      </c>
      <c r="AK639" s="13">
        <v>158</v>
      </c>
      <c r="AL639" s="15">
        <f t="shared" ref="AL639:AL640" si="2323">AK639-AG639</f>
        <v>1</v>
      </c>
      <c r="AM639" s="45">
        <f>AL639*$G$8</f>
        <v>2.7</v>
      </c>
      <c r="AN639" s="305">
        <v>2.7</v>
      </c>
      <c r="AO639" s="13">
        <v>166</v>
      </c>
      <c r="AP639" s="15">
        <f t="shared" ref="AP639:AP640" si="2324">AO639-AK639</f>
        <v>8</v>
      </c>
      <c r="AQ639" s="45">
        <f>AP639*$G$8</f>
        <v>21.6</v>
      </c>
      <c r="AR639" s="15"/>
      <c r="AS639" s="13">
        <v>174</v>
      </c>
      <c r="AT639" s="15">
        <f t="shared" ref="AT639:AT640" si="2325">AS639-AO639</f>
        <v>8</v>
      </c>
      <c r="AU639" s="45">
        <f>AT639*$G$8</f>
        <v>21.6</v>
      </c>
      <c r="AV639" s="15"/>
      <c r="AW639" s="13">
        <v>174</v>
      </c>
      <c r="AX639" s="15">
        <f t="shared" ref="AX639:AX640" si="2326">AW639-AS639</f>
        <v>0</v>
      </c>
      <c r="AY639" s="45">
        <f>AX639*$G$8</f>
        <v>0</v>
      </c>
      <c r="AZ639" s="208"/>
      <c r="BA639" s="13">
        <v>174</v>
      </c>
      <c r="BB639" s="15">
        <f t="shared" ref="BB639:BB640" si="2327">BA639-AW639</f>
        <v>0</v>
      </c>
      <c r="BC639" s="45">
        <f>BB639*$G$8</f>
        <v>0</v>
      </c>
      <c r="BD639" s="208"/>
      <c r="BE639" s="40">
        <f t="shared" ref="BE639:BG639" si="2328">J639+N639+R639+V639+Z639+AD639+AH639+AL639+AP639+AT639+AX639+BB639</f>
        <v>24</v>
      </c>
      <c r="BF639" s="41">
        <f t="shared" si="2328"/>
        <v>64.4</v>
      </c>
      <c r="BG639" s="34">
        <f t="shared" si="2328"/>
        <v>72.28</v>
      </c>
      <c r="BH639" s="35">
        <f t="shared" si="2316"/>
        <v>43.2</v>
      </c>
      <c r="BK639" s="2" t="b">
        <f>H639='2020'!BH639</f>
        <v>1</v>
      </c>
    </row>
    <row r="640" ht="14.25" customHeight="1" hidden="1" spans="1:63" x14ac:dyDescent="0.25">
      <c r="A640" s="2">
        <v>71</v>
      </c>
      <c r="B640" s="14"/>
      <c r="C640" s="2" t="s">
        <v>75</v>
      </c>
      <c r="D640" s="14" t="s">
        <v>47</v>
      </c>
      <c r="E640" s="2" t="s">
        <v>48</v>
      </c>
      <c r="F640" s="13">
        <v>18.56</v>
      </c>
      <c r="G640" s="35">
        <v>19.46</v>
      </c>
      <c r="H640" s="34">
        <f>'2020'!BH640</f>
        <v>0</v>
      </c>
      <c r="I640" s="13">
        <v>258</v>
      </c>
      <c r="J640" s="15"/>
      <c r="K640" s="15"/>
      <c r="L640" s="28"/>
      <c r="M640" s="13">
        <v>258</v>
      </c>
      <c r="N640" s="15">
        <f t="shared" si="2317"/>
        <v>0</v>
      </c>
      <c r="Q640" s="13">
        <v>258</v>
      </c>
      <c r="R640" s="15">
        <f t="shared" si="2318"/>
        <v>0</v>
      </c>
      <c r="S640" s="15"/>
      <c r="T640" s="28"/>
      <c r="U640" s="13">
        <v>258</v>
      </c>
      <c r="V640" s="15">
        <f t="shared" si="2319"/>
        <v>0</v>
      </c>
      <c r="W640" s="180">
        <f>V640*$F$10</f>
        <v>0</v>
      </c>
      <c r="Y640" s="186">
        <v>258</v>
      </c>
      <c r="Z640" s="2">
        <f t="shared" si="2320"/>
        <v>0</v>
      </c>
      <c r="AA640" s="34">
        <f>Z640*$F$10</f>
        <v>0</v>
      </c>
      <c r="AB640" s="28"/>
      <c r="AC640" s="15">
        <v>262</v>
      </c>
      <c r="AD640" s="15">
        <f t="shared" si="2321"/>
        <v>4</v>
      </c>
      <c r="AE640" s="34">
        <f>AD640*$F$10</f>
        <v>77.84</v>
      </c>
      <c r="AF640" s="182">
        <v>77.84</v>
      </c>
      <c r="AG640" s="15">
        <v>267</v>
      </c>
      <c r="AH640" s="2">
        <f t="shared" si="2322"/>
        <v>5</v>
      </c>
      <c r="AI640" s="45">
        <f>AH640*$G$10</f>
        <v>101.75</v>
      </c>
      <c r="AJ640" s="326">
        <v>101.75</v>
      </c>
      <c r="AK640" s="13">
        <v>272</v>
      </c>
      <c r="AL640" s="15">
        <f t="shared" si="2323"/>
        <v>5</v>
      </c>
      <c r="AM640" s="45">
        <f>AL640*$G$10</f>
        <v>101.75</v>
      </c>
      <c r="AN640" s="305">
        <v>101.75</v>
      </c>
      <c r="AO640" s="13">
        <v>272</v>
      </c>
      <c r="AP640" s="15">
        <f t="shared" si="2324"/>
        <v>0</v>
      </c>
      <c r="AQ640" s="45">
        <f>AP640*$G$10</f>
        <v>0</v>
      </c>
      <c r="AR640" s="15"/>
      <c r="AS640" s="13">
        <v>272</v>
      </c>
      <c r="AT640" s="15">
        <f t="shared" si="2325"/>
        <v>0</v>
      </c>
      <c r="AU640" s="45">
        <f>AT640*$G$10</f>
        <v>0</v>
      </c>
      <c r="AV640" s="15"/>
      <c r="AW640" s="13">
        <v>272</v>
      </c>
      <c r="AX640" s="15">
        <f t="shared" si="2326"/>
        <v>0</v>
      </c>
      <c r="AY640" s="45"/>
      <c r="AZ640" s="208"/>
      <c r="BA640" s="13">
        <v>272</v>
      </c>
      <c r="BB640" s="15">
        <f t="shared" si="2327"/>
        <v>0</v>
      </c>
      <c r="BC640" s="45"/>
      <c r="BD640" s="208"/>
      <c r="BE640" s="40">
        <f t="shared" ref="BE640:BG640" si="2329">J640+N640+R640+V640+Z640+AD640+AH640+AL640+AP640+AT640+AX640+BB640</f>
        <v>14</v>
      </c>
      <c r="BF640" s="41">
        <f t="shared" si="2329"/>
        <v>281.34</v>
      </c>
      <c r="BG640" s="34">
        <f t="shared" si="2329"/>
        <v>281.34</v>
      </c>
      <c r="BH640" s="35">
        <f t="shared" si="2316"/>
        <v>0</v>
      </c>
      <c r="BK640" s="2" t="b">
        <f>H640='2020'!BH640</f>
        <v>1</v>
      </c>
    </row>
    <row r="641" ht="14.25" customHeight="1" hidden="1" spans="1:63" x14ac:dyDescent="0.25">
      <c r="A641" s="2">
        <v>71</v>
      </c>
      <c r="B641" s="14"/>
      <c r="C641" s="15" t="s">
        <v>151</v>
      </c>
      <c r="D641" s="14" t="s">
        <v>47</v>
      </c>
      <c r="E641" s="2" t="s">
        <v>49</v>
      </c>
      <c r="F641" s="41">
        <v>500</v>
      </c>
      <c r="G641" s="28"/>
      <c r="H641" s="34">
        <f>'2020'!BH641</f>
        <v>0</v>
      </c>
      <c r="I641" s="13"/>
      <c r="J641" s="15"/>
      <c r="K641" s="15"/>
      <c r="L641" s="28"/>
      <c r="M641" s="13"/>
      <c r="N641" s="15"/>
      <c r="Q641" s="13"/>
      <c r="R641" s="15"/>
      <c r="S641" s="15"/>
      <c r="T641" s="28"/>
      <c r="U641" s="13"/>
      <c r="V641" s="15"/>
      <c r="Y641" s="186"/>
      <c r="Z641" s="2"/>
      <c r="AA641" s="15"/>
      <c r="AB641" s="28"/>
      <c r="AC641" s="15"/>
      <c r="AD641" s="15"/>
      <c r="AF641" s="154"/>
      <c r="AG641" s="15"/>
      <c r="AH641" s="2"/>
      <c r="AI641" s="45"/>
      <c r="AJ641" s="15"/>
      <c r="AK641" s="13"/>
      <c r="AL641" s="15"/>
      <c r="AM641" s="45"/>
      <c r="AN641" s="15"/>
      <c r="AO641" s="13"/>
      <c r="AP641" s="15"/>
      <c r="AQ641" s="45"/>
      <c r="AR641" s="15"/>
      <c r="AS641" s="13"/>
      <c r="AT641" s="15"/>
      <c r="AU641" s="45"/>
      <c r="AV641" s="15"/>
      <c r="AW641" s="13"/>
      <c r="AX641" s="15"/>
      <c r="AY641" s="45"/>
      <c r="AZ641" s="28"/>
      <c r="BA641" s="13"/>
      <c r="BB641" s="15"/>
      <c r="BC641" s="45"/>
      <c r="BD641" s="28"/>
      <c r="BE641" s="14"/>
      <c r="BF641" s="41">
        <f t="shared" ref="BF641:BG641" si="2330">K641+O641+S641+W641+AA641+AE641+AI641+AM641+AQ641+AU641+AY641+BC641</f>
        <v>0</v>
      </c>
      <c r="BG641" s="34">
        <f t="shared" si="2330"/>
        <v>0</v>
      </c>
      <c r="BH641" s="35">
        <f t="shared" si="2316"/>
        <v>0</v>
      </c>
      <c r="BK641" s="2" t="b">
        <f>H641='2020'!BH641</f>
        <v>1</v>
      </c>
    </row>
    <row r="642" ht="14.25" customHeight="1" hidden="1" spans="1:63" x14ac:dyDescent="0.25">
      <c r="A642" s="2">
        <v>71</v>
      </c>
      <c r="B642" s="14"/>
      <c r="C642" s="15" t="s">
        <v>256</v>
      </c>
      <c r="D642" s="14" t="s">
        <v>50</v>
      </c>
      <c r="E642" s="2" t="s">
        <v>49</v>
      </c>
      <c r="F642" s="41">
        <v>1100</v>
      </c>
      <c r="G642" s="28"/>
      <c r="H642" s="34">
        <f>'2020'!BH642</f>
        <v>0</v>
      </c>
      <c r="I642" s="13"/>
      <c r="J642" s="15"/>
      <c r="K642" s="15"/>
      <c r="L642" s="28"/>
      <c r="M642" s="13"/>
      <c r="N642" s="15"/>
      <c r="Q642" s="13"/>
      <c r="R642" s="15"/>
      <c r="S642" s="15"/>
      <c r="T642" s="28"/>
      <c r="U642" s="13"/>
      <c r="V642" s="15"/>
      <c r="Y642" s="186"/>
      <c r="Z642" s="2"/>
      <c r="AA642" s="15"/>
      <c r="AB642" s="28"/>
      <c r="AC642" s="15"/>
      <c r="AD642" s="15"/>
      <c r="AE642" s="34">
        <f>B639*$F$12</f>
        <v>6578</v>
      </c>
      <c r="AF642" s="182">
        <v>6578</v>
      </c>
      <c r="AG642" s="15"/>
      <c r="AH642" s="2"/>
      <c r="AI642" s="45"/>
      <c r="AJ642" s="34"/>
      <c r="AK642" s="13"/>
      <c r="AL642" s="15"/>
      <c r="AM642" s="45"/>
      <c r="AN642" s="15"/>
      <c r="AO642" s="13"/>
      <c r="AP642" s="15"/>
      <c r="AQ642" s="45"/>
      <c r="AR642" s="15"/>
      <c r="AS642" s="13"/>
      <c r="AT642" s="15"/>
      <c r="AU642" s="45"/>
      <c r="AV642" s="15"/>
      <c r="AW642" s="13"/>
      <c r="AX642" s="15"/>
      <c r="AY642" s="45"/>
      <c r="AZ642" s="28"/>
      <c r="BA642" s="13"/>
      <c r="BB642" s="15"/>
      <c r="BC642" s="45"/>
      <c r="BD642" s="28"/>
      <c r="BE642" s="14"/>
      <c r="BF642" s="41">
        <f t="shared" ref="BF642:BG642" si="2331">K642+O642+S642+W642+AA642+AE642+AI642+AM642+AQ642+AU642+AY642+BC642</f>
        <v>6578</v>
      </c>
      <c r="BG642" s="34">
        <f t="shared" si="2331"/>
        <v>6578</v>
      </c>
      <c r="BH642" s="35">
        <f t="shared" si="2316"/>
        <v>0</v>
      </c>
      <c r="BK642" s="2" t="b">
        <f>H642='2020'!BH642</f>
        <v>1</v>
      </c>
    </row>
    <row r="643" ht="14.25" customHeight="1" hidden="1" spans="1:63" x14ac:dyDescent="0.25">
      <c r="A643" s="2">
        <v>71</v>
      </c>
      <c r="B643" s="14"/>
      <c r="D643" s="14" t="s">
        <v>51</v>
      </c>
      <c r="E643" s="2" t="s">
        <v>39</v>
      </c>
      <c r="F643" s="41">
        <v>500</v>
      </c>
      <c r="G643" s="28"/>
      <c r="H643" s="34">
        <f>'2020'!BH643</f>
        <v>500</v>
      </c>
      <c r="I643" s="13"/>
      <c r="J643" s="15"/>
      <c r="K643" s="15"/>
      <c r="L643" s="28"/>
      <c r="M643" s="13"/>
      <c r="N643" s="15"/>
      <c r="Q643" s="13"/>
      <c r="R643" s="15"/>
      <c r="S643" s="15"/>
      <c r="T643" s="28"/>
      <c r="U643" s="13"/>
      <c r="V643" s="15"/>
      <c r="Y643" s="186"/>
      <c r="Z643" s="2"/>
      <c r="AA643" s="15"/>
      <c r="AB643" s="28"/>
      <c r="AC643" s="15"/>
      <c r="AD643" s="15"/>
      <c r="AE643" s="180">
        <f>$F$13</f>
      </c>
      <c r="AF643" s="182">
        <v>500</v>
      </c>
      <c r="AG643" s="15"/>
      <c r="AH643" s="2"/>
      <c r="AI643" s="45"/>
      <c r="AJ643" s="15"/>
      <c r="AK643" s="13"/>
      <c r="AL643" s="15"/>
      <c r="AM643" s="45"/>
      <c r="AN643" s="15"/>
      <c r="AO643" s="13"/>
      <c r="AP643" s="15"/>
      <c r="AQ643" s="180"/>
      <c r="AR643" s="15"/>
      <c r="AS643" s="13"/>
      <c r="AT643" s="15"/>
      <c r="AU643" s="45"/>
      <c r="AV643" s="15"/>
      <c r="AW643" s="13"/>
      <c r="AX643" s="15"/>
      <c r="AY643" s="45"/>
      <c r="AZ643" s="28"/>
      <c r="BA643" s="13"/>
      <c r="BB643" s="15"/>
      <c r="BC643" s="45"/>
      <c r="BD643" s="28"/>
      <c r="BE643" s="14"/>
      <c r="BF643" s="41">
        <f t="shared" ref="BF643:BG643" si="2332">K643+O643+S643+W643+AA643+AE643+AI643+AM643+AQ643+AU643+AY643+BC643</f>
        <v>0</v>
      </c>
      <c r="BG643" s="34">
        <f t="shared" si="2332"/>
        <v>500</v>
      </c>
      <c r="BH643" s="35">
        <f t="shared" si="2316"/>
        <v>0</v>
      </c>
      <c r="BK643" s="2" t="b">
        <f>H643='2020'!BH643</f>
        <v>1</v>
      </c>
    </row>
    <row r="644" ht="14.25" customHeight="1" hidden="1" spans="1:63" x14ac:dyDescent="0.25">
      <c r="A644" s="2">
        <v>71</v>
      </c>
      <c r="B644" s="14"/>
      <c r="D644" s="14" t="s">
        <v>51</v>
      </c>
      <c r="E644" s="2" t="s">
        <v>49</v>
      </c>
      <c r="F644" s="41">
        <v>500</v>
      </c>
      <c r="G644" s="28"/>
      <c r="H644" s="34">
        <f>'2020'!BH644</f>
        <v>2990</v>
      </c>
      <c r="I644" s="13"/>
      <c r="J644" s="15"/>
      <c r="K644" s="15"/>
      <c r="L644" s="28"/>
      <c r="M644" s="13"/>
      <c r="N644" s="15"/>
      <c r="Q644" s="13"/>
      <c r="R644" s="15"/>
      <c r="S644" s="15"/>
      <c r="T644" s="28"/>
      <c r="U644" s="13"/>
      <c r="V644" s="15"/>
      <c r="Y644" s="186"/>
      <c r="Z644" s="2"/>
      <c r="AA644" s="15"/>
      <c r="AB644" s="28"/>
      <c r="AC644" s="15"/>
      <c r="AD644" s="15"/>
      <c r="AE644" s="34"/>
      <c r="AF644" s="182">
        <v>2990</v>
      </c>
      <c r="AG644" s="15"/>
      <c r="AH644" s="2"/>
      <c r="AI644" s="45"/>
      <c r="AJ644" s="15"/>
      <c r="AK644" s="13"/>
      <c r="AL644" s="15"/>
      <c r="AM644" s="45"/>
      <c r="AN644" s="15"/>
      <c r="AO644" s="13"/>
      <c r="AP644" s="15"/>
      <c r="AQ644" s="180">
        <f>B639*$F$14</f>
        <v>0</v>
      </c>
      <c r="AR644" s="15"/>
      <c r="AS644" s="13"/>
      <c r="AT644" s="15"/>
      <c r="AU644" s="45"/>
      <c r="AV644" s="15"/>
      <c r="AW644" s="13"/>
      <c r="AX644" s="15"/>
      <c r="AY644" s="45"/>
      <c r="AZ644" s="28"/>
      <c r="BA644" s="13"/>
      <c r="BB644" s="15"/>
      <c r="BC644" s="45"/>
      <c r="BD644" s="28"/>
      <c r="BE644" s="14"/>
      <c r="BF644" s="41">
        <f t="shared" ref="BF644:BG644" si="2333">K644+O644+S644+W644+AA644+AE644+AI644+AM644+AQ644+AU644+AY644+BC644</f>
        <v>0</v>
      </c>
      <c r="BG644" s="34">
        <f t="shared" si="2333"/>
        <v>2990</v>
      </c>
      <c r="BH644" s="35">
        <f t="shared" si="2316"/>
        <v>0</v>
      </c>
      <c r="BK644" s="2" t="b">
        <f>H644='2020'!BH644</f>
        <v>1</v>
      </c>
    </row>
    <row r="645" ht="14.25" customHeight="1" hidden="1" spans="1:63" x14ac:dyDescent="0.25">
      <c r="A645" s="2">
        <v>71</v>
      </c>
      <c r="B645" s="14"/>
      <c r="D645" s="14" t="s">
        <v>52</v>
      </c>
      <c r="E645" s="2" t="s">
        <v>39</v>
      </c>
      <c r="F645" s="41">
        <v>500</v>
      </c>
      <c r="G645" s="28"/>
      <c r="H645" s="34">
        <f>'2020'!BH645</f>
        <v>0</v>
      </c>
      <c r="I645" s="13"/>
      <c r="J645" s="15"/>
      <c r="K645" s="15"/>
      <c r="L645" s="28"/>
      <c r="M645" s="13"/>
      <c r="N645" s="15"/>
      <c r="Q645" s="13"/>
      <c r="R645" s="15"/>
      <c r="S645" s="15"/>
      <c r="T645" s="28"/>
      <c r="U645" s="13"/>
      <c r="V645" s="15"/>
      <c r="Y645" s="186"/>
      <c r="Z645" s="2"/>
      <c r="AA645" s="34">
        <f>$F$15</f>
      </c>
      <c r="AB645" s="35"/>
      <c r="AC645" s="15"/>
      <c r="AD645" s="15"/>
      <c r="AF645" s="180"/>
      <c r="AG645" s="15"/>
      <c r="AH645" s="2"/>
      <c r="AI645" s="45"/>
      <c r="AJ645" s="15"/>
      <c r="AK645" s="13"/>
      <c r="AL645" s="15"/>
      <c r="AM645" s="45"/>
      <c r="AN645" s="15"/>
      <c r="AO645" s="13"/>
      <c r="AP645" s="15"/>
      <c r="AQ645" s="45"/>
      <c r="AR645" s="15"/>
      <c r="AS645" s="13"/>
      <c r="AT645" s="15"/>
      <c r="AU645" s="45"/>
      <c r="AV645" s="15"/>
      <c r="AW645" s="13"/>
      <c r="AX645" s="15"/>
      <c r="AY645" s="45"/>
      <c r="AZ645" s="35"/>
      <c r="BA645" s="13"/>
      <c r="BB645" s="15"/>
      <c r="BC645" s="45"/>
      <c r="BD645" s="35"/>
      <c r="BE645" s="14"/>
      <c r="BF645" s="41">
        <f t="shared" ref="BF645:BG645" si="2334">K645+O645+S645+W645+AA645+AE645+AI645+AM645+AQ645+AU645+AY645+BC645</f>
        <v>0</v>
      </c>
      <c r="BG645" s="34">
        <f t="shared" si="2334"/>
        <v>0</v>
      </c>
      <c r="BH645" s="35">
        <f t="shared" si="2316"/>
        <v>0</v>
      </c>
      <c r="BK645" s="2" t="b">
        <f>H645='2020'!BH645</f>
        <v>1</v>
      </c>
    </row>
    <row r="646" ht="14.25" customHeight="1" hidden="1" spans="1:63" x14ac:dyDescent="0.25">
      <c r="A646" s="247">
        <v>71</v>
      </c>
      <c r="B646" s="21"/>
      <c r="C646" s="22" t="s">
        <v>53</v>
      </c>
      <c r="D646" s="21"/>
      <c r="E646" s="22"/>
      <c r="F646" s="20"/>
      <c r="G646" s="23"/>
      <c r="H646" s="51">
        <f>SUM(H638:H645)</f>
        <v>3541.08</v>
      </c>
      <c r="I646" s="52"/>
      <c r="J646" s="53"/>
      <c r="K646" s="51">
        <f t="shared" ref="K646:L646" si="2335">SUM(K638:K645)</f>
        <v>0</v>
      </c>
      <c r="L646" s="68">
        <f t="shared" si="2335"/>
        <v>0</v>
      </c>
      <c r="M646" s="52"/>
      <c r="N646" s="53"/>
      <c r="O646" s="51">
        <f t="shared" ref="O646:P646" si="2336">SUM(O638:O645)</f>
        <v>0</v>
      </c>
      <c r="P646" s="51">
        <f t="shared" si="2336"/>
        <v>0</v>
      </c>
      <c r="Q646" s="52"/>
      <c r="R646" s="53"/>
      <c r="S646" s="51">
        <f t="shared" ref="S646:T646" si="2337">SUM(S638:S645)</f>
        <v>0</v>
      </c>
      <c r="T646" s="51">
        <f t="shared" si="2337"/>
        <v>0</v>
      </c>
      <c r="U646" s="52"/>
      <c r="V646" s="53"/>
      <c r="W646" s="51">
        <f t="shared" ref="W646:X646" si="2338">SUM(W638:W645)</f>
        <v>0</v>
      </c>
      <c r="X646" s="51">
        <f t="shared" si="2338"/>
        <v>0</v>
      </c>
      <c r="Y646" s="300"/>
      <c r="Z646" s="301"/>
      <c r="AA646" s="51">
        <f t="shared" ref="AA646:AB646" si="2339">SUM(AA638:AA645)</f>
        <v>2.6</v>
      </c>
      <c r="AB646" s="51">
        <f t="shared" si="2339"/>
        <v>0</v>
      </c>
      <c r="AC646" s="52"/>
      <c r="AD646" s="53"/>
      <c r="AE646" s="51">
        <f t="shared" ref="AE646:AF646" si="2340">SUM(AE638:AE645)</f>
        <v>6663.64</v>
      </c>
      <c r="AF646" s="51">
        <f t="shared" si="2340"/>
        <v>10207.32</v>
      </c>
      <c r="AG646" s="52"/>
      <c r="AH646" s="301"/>
      <c r="AI646" s="183">
        <f t="shared" ref="AI646:AJ646" si="2341">SUM(AI638:AI645)</f>
        <v>109.85</v>
      </c>
      <c r="AJ646" s="51">
        <f t="shared" si="2341"/>
        <v>109.85</v>
      </c>
      <c r="AK646" s="52"/>
      <c r="AL646" s="53"/>
      <c r="AM646" s="183">
        <f t="shared" ref="AM646:AN646" si="2342">SUM(AM638:AM645)</f>
        <v>104.45</v>
      </c>
      <c r="AN646" s="51">
        <f t="shared" si="2342"/>
        <v>104.45</v>
      </c>
      <c r="AO646" s="52"/>
      <c r="AP646" s="53"/>
      <c r="AQ646" s="183">
        <f t="shared" ref="AQ646:AR646" si="2343">SUM(AQ638:AQ645)</f>
        <v>21.6</v>
      </c>
      <c r="AR646" s="51">
        <f t="shared" si="2343"/>
        <v>0</v>
      </c>
      <c r="AS646" s="52"/>
      <c r="AT646" s="53"/>
      <c r="AU646" s="183">
        <f t="shared" ref="AU646:AV646" si="2344">SUM(AU638:AU645)</f>
        <v>21.6</v>
      </c>
      <c r="AV646" s="68">
        <f t="shared" si="2344"/>
        <v>0</v>
      </c>
      <c r="AW646" s="52"/>
      <c r="AX646" s="53"/>
      <c r="AY646" s="183">
        <f t="shared" ref="AY646:AZ646" si="2345">SUM(AY638:AY645)</f>
        <v>0</v>
      </c>
      <c r="AZ646" s="68">
        <f t="shared" si="2345"/>
        <v>0</v>
      </c>
      <c r="BA646" s="52"/>
      <c r="BB646" s="53"/>
      <c r="BC646" s="183">
        <f t="shared" ref="BC646:BD646" si="2346">SUM(BC638:BC645)</f>
        <v>0</v>
      </c>
      <c r="BD646" s="68">
        <f t="shared" si="2346"/>
        <v>0</v>
      </c>
      <c r="BE646" s="69"/>
      <c r="BF646" s="70">
        <f t="shared" ref="BF646:BH646" si="2347">SUM(BF638:BF645)</f>
        <v>6923.74</v>
      </c>
      <c r="BG646" s="71">
        <f t="shared" si="2347"/>
        <v>10421.62</v>
      </c>
      <c r="BH646" s="72">
        <f t="shared" si="2347"/>
        <v>43.2</v>
      </c>
      <c r="BI646" s="34">
        <f>H646+BF646-BG646</f>
        <v>43.2</v>
      </c>
      <c r="BJ646" s="34">
        <f>BH646-BI646</f>
        <v>0</v>
      </c>
      <c r="BK646" s="2" t="b">
        <f>H646='2020'!BH646</f>
        <v>1</v>
      </c>
    </row>
    <row r="647" ht="14.25" customHeight="1" hidden="1" spans="1:63" x14ac:dyDescent="0.25">
      <c r="A647" s="2">
        <v>72</v>
      </c>
      <c r="B647" s="14"/>
      <c r="D647" s="14" t="s">
        <v>379</v>
      </c>
      <c r="F647" s="13"/>
      <c r="G647" s="28"/>
      <c r="H647" s="34">
        <f>'2020'!BH647</f>
        <v>0</v>
      </c>
      <c r="I647" s="13"/>
      <c r="J647" s="15"/>
      <c r="K647" s="15"/>
      <c r="L647" s="28"/>
      <c r="M647" s="13"/>
      <c r="N647" s="15"/>
      <c r="Q647" s="13"/>
      <c r="R647" s="15"/>
      <c r="S647" s="15"/>
      <c r="T647" s="28"/>
      <c r="U647" s="13"/>
      <c r="V647" s="15"/>
      <c r="Y647" s="186"/>
      <c r="Z647" s="2"/>
      <c r="AA647" s="15"/>
      <c r="AB647" s="28"/>
      <c r="AC647" s="15"/>
      <c r="AD647" s="15"/>
      <c r="AG647" s="15"/>
      <c r="AH647" s="2"/>
      <c r="AI647" s="45"/>
      <c r="AJ647" s="15"/>
      <c r="AK647" s="13"/>
      <c r="AM647" s="45"/>
      <c r="AO647" s="13"/>
      <c r="AQ647" s="45">
        <v>7.55</v>
      </c>
      <c r="AS647" s="13"/>
      <c r="AU647" s="45"/>
      <c r="AW647" s="13"/>
      <c r="AY647" s="45"/>
      <c r="AZ647" s="28"/>
      <c r="BA647" s="13"/>
      <c r="BB647" s="15"/>
      <c r="BC647" s="45"/>
      <c r="BD647" s="28"/>
      <c r="BE647" s="14"/>
      <c r="BF647" s="41">
        <f t="shared" ref="BF647:BG647" si="2348">K647+O647+S647+W647+AA647+AE647+AI647+AM647+AQ647+AU647+AY647+BC647</f>
        <v>7.55</v>
      </c>
      <c r="BG647" s="34">
        <f t="shared" si="2348"/>
        <v>0</v>
      </c>
      <c r="BH647" s="35">
        <f t="shared" ref="BH647:BH654" si="2349">H647+BF647-BG647</f>
        <v>7.55</v>
      </c>
      <c r="BK647" s="2" t="b">
        <f>H647='2020'!BH647</f>
        <v>1</v>
      </c>
    </row>
    <row r="648" ht="14.25" customHeight="1" hidden="1" spans="1:63" x14ac:dyDescent="0.25">
      <c r="A648" s="2">
        <v>72</v>
      </c>
      <c r="B648" s="14">
        <v>4.03</v>
      </c>
      <c r="C648" s="2" t="s">
        <v>506</v>
      </c>
      <c r="D648" s="14" t="s">
        <v>44</v>
      </c>
      <c r="E648" s="2" t="s">
        <v>45</v>
      </c>
      <c r="F648" s="41">
        <v>2.5</v>
      </c>
      <c r="G648" s="35">
        <v>2.6</v>
      </c>
      <c r="H648" s="34">
        <f>'2020'!BH648</f>
        <v>1214.87</v>
      </c>
      <c r="I648" s="13">
        <v>1517</v>
      </c>
      <c r="J648" s="15">
        <f>I648-'2020'!BA648</f>
        <v>0</v>
      </c>
      <c r="K648" s="34">
        <f>J648*$F$8</f>
        <v>0</v>
      </c>
      <c r="L648" s="28"/>
      <c r="M648" s="13">
        <v>1517</v>
      </c>
      <c r="N648" s="15">
        <f t="shared" ref="N648:N649" si="2350">M648-I648</f>
        <v>0</v>
      </c>
      <c r="O648" s="34">
        <f>N648*$F$8</f>
        <v>0</v>
      </c>
      <c r="Q648" s="13">
        <v>1517</v>
      </c>
      <c r="R648" s="15">
        <f t="shared" ref="R648:R649" si="2351">Q648-M648</f>
        <v>0</v>
      </c>
      <c r="S648" s="34">
        <f>R648*$F$8</f>
        <v>0</v>
      </c>
      <c r="T648" s="28"/>
      <c r="U648" s="13">
        <v>1517</v>
      </c>
      <c r="V648" s="15">
        <f t="shared" ref="V648:V649" si="2352">U648-Q648</f>
        <v>0</v>
      </c>
      <c r="W648" s="34">
        <f>V648*$F$8</f>
        <v>0</v>
      </c>
      <c r="Y648" s="186">
        <v>1662</v>
      </c>
      <c r="Z648" s="2">
        <f t="shared" ref="Z648:Z649" si="2353">Y648-U648</f>
        <v>145</v>
      </c>
      <c r="AA648" s="34">
        <f>Z648*$F$8</f>
        <v>377</v>
      </c>
      <c r="AB648" s="28"/>
      <c r="AC648" s="15">
        <v>2097</v>
      </c>
      <c r="AD648" s="15">
        <f t="shared" ref="AD648:AD649" si="2354">AC648-Y648</f>
        <v>435</v>
      </c>
      <c r="AE648" s="180">
        <f>AD648*$F$8</f>
        <v>1131</v>
      </c>
      <c r="AF648" s="154">
        <v>2722.87</v>
      </c>
      <c r="AG648" s="15">
        <v>2494</v>
      </c>
      <c r="AH648" s="2">
        <f t="shared" ref="AH648:AH649" si="2355">AG648-AC648</f>
        <v>397</v>
      </c>
      <c r="AI648" s="45">
        <f>AH648*$G$8</f>
        <v>1071.9</v>
      </c>
      <c r="AJ648" s="180"/>
      <c r="AK648" s="13">
        <v>2896</v>
      </c>
      <c r="AL648" s="15">
        <f t="shared" ref="AL648:AL649" si="2356">AK648-AG648</f>
        <v>402</v>
      </c>
      <c r="AM648" s="45">
        <f>AL648*$G$8</f>
        <v>1085.4</v>
      </c>
      <c r="AN648" s="15"/>
      <c r="AO648" s="13">
        <v>3617</v>
      </c>
      <c r="AP648" s="15">
        <f t="shared" ref="AP648:AP649" si="2357">AO648-AK648</f>
        <v>721</v>
      </c>
      <c r="AQ648" s="45">
        <f>AP648*$G$8</f>
        <v>1946.7</v>
      </c>
      <c r="AR648" s="15"/>
      <c r="AS648" s="13">
        <v>4210</v>
      </c>
      <c r="AT648" s="15">
        <f t="shared" ref="AT648:AT649" si="2358">AS648-AO648</f>
        <v>593</v>
      </c>
      <c r="AU648" s="45">
        <f>AT648*$G$8</f>
        <v>1601.1</v>
      </c>
      <c r="AV648" s="15"/>
      <c r="AW648" s="13">
        <v>4925</v>
      </c>
      <c r="AX648" s="15">
        <f t="shared" ref="AX648:AX649" si="2359">AW648-AS648</f>
        <v>715</v>
      </c>
      <c r="AY648" s="45">
        <f>AX648*$G$8</f>
        <v>1930.5</v>
      </c>
      <c r="AZ648" s="208"/>
      <c r="BA648" s="13">
        <v>5478</v>
      </c>
      <c r="BB648" s="15">
        <f t="shared" ref="BB648:BB649" si="2360">BA648-AW648</f>
        <v>553</v>
      </c>
      <c r="BC648" s="45">
        <f>BB648*$G$8</f>
        <v>1493.1</v>
      </c>
      <c r="BD648" s="208"/>
      <c r="BE648" s="40">
        <f t="shared" ref="BE648:BG648" si="2361">J648+N648+R648+V648+Z648+AD648+AH648+AL648+AP648+AT648+AX648+BB648</f>
        <v>3961</v>
      </c>
      <c r="BF648" s="41">
        <f t="shared" si="2361"/>
        <v>10636.7</v>
      </c>
      <c r="BG648" s="34">
        <f t="shared" si="2361"/>
        <v>2722.87</v>
      </c>
      <c r="BH648" s="35">
        <f t="shared" si="2349"/>
        <v>9128.7</v>
      </c>
      <c r="BK648" s="2" t="b">
        <f>H648='2020'!BH648</f>
        <v>1</v>
      </c>
    </row>
    <row r="649" ht="14.25" customHeight="1" hidden="1" spans="1:63" x14ac:dyDescent="0.25">
      <c r="A649" s="2">
        <v>72</v>
      </c>
      <c r="B649" s="14"/>
      <c r="C649" s="2" t="s">
        <v>507</v>
      </c>
      <c r="D649" s="14" t="s">
        <v>47</v>
      </c>
      <c r="E649" s="2" t="s">
        <v>48</v>
      </c>
      <c r="F649" s="13">
        <v>18.56</v>
      </c>
      <c r="G649" s="35">
        <v>19.46</v>
      </c>
      <c r="H649" s="34">
        <f>'2020'!BH649</f>
        <v>-220.54</v>
      </c>
      <c r="I649" s="13">
        <v>40</v>
      </c>
      <c r="J649" s="15"/>
      <c r="K649" s="15"/>
      <c r="L649" s="28"/>
      <c r="M649" s="13">
        <v>40</v>
      </c>
      <c r="N649" s="15">
        <f t="shared" si="2350"/>
        <v>0</v>
      </c>
      <c r="Q649" s="13">
        <v>40</v>
      </c>
      <c r="R649" s="15">
        <f t="shared" si="2351"/>
        <v>0</v>
      </c>
      <c r="S649" s="15"/>
      <c r="T649" s="28"/>
      <c r="U649" s="13">
        <v>40</v>
      </c>
      <c r="V649" s="15">
        <f t="shared" si="2352"/>
        <v>0</v>
      </c>
      <c r="W649" s="34">
        <f>V649*$F$10</f>
        <v>0</v>
      </c>
      <c r="Y649" s="186">
        <v>40</v>
      </c>
      <c r="Z649" s="2">
        <f t="shared" si="2353"/>
        <v>0</v>
      </c>
      <c r="AA649" s="34">
        <f>Z649*$F$10</f>
        <v>0</v>
      </c>
      <c r="AB649" s="28"/>
      <c r="AC649" s="15">
        <v>45</v>
      </c>
      <c r="AD649" s="15">
        <f t="shared" si="2354"/>
        <v>5</v>
      </c>
      <c r="AE649" s="34">
        <f>AD649*$F$10</f>
        <v>97.3</v>
      </c>
      <c r="AF649" s="154"/>
      <c r="AG649" s="15">
        <v>45</v>
      </c>
      <c r="AH649" s="2">
        <f t="shared" si="2355"/>
        <v>0</v>
      </c>
      <c r="AI649" s="45">
        <f>AH649*$G$10</f>
        <v>0</v>
      </c>
      <c r="AJ649" s="15"/>
      <c r="AK649" s="13">
        <v>45</v>
      </c>
      <c r="AL649" s="15">
        <f t="shared" si="2356"/>
        <v>0</v>
      </c>
      <c r="AM649" s="45">
        <f>AL649*$G$10</f>
        <v>0</v>
      </c>
      <c r="AN649" s="15"/>
      <c r="AO649" s="13">
        <v>45</v>
      </c>
      <c r="AP649" s="15">
        <f t="shared" si="2357"/>
        <v>0</v>
      </c>
      <c r="AQ649" s="45">
        <f>AP649*$G$10</f>
        <v>0</v>
      </c>
      <c r="AR649" s="15"/>
      <c r="AS649" s="13">
        <v>45</v>
      </c>
      <c r="AT649" s="15">
        <f t="shared" si="2358"/>
        <v>0</v>
      </c>
      <c r="AU649" s="45">
        <f>AT649*$G$10</f>
        <v>0</v>
      </c>
      <c r="AV649" s="15"/>
      <c r="AW649" s="13">
        <v>45</v>
      </c>
      <c r="AX649" s="15">
        <f t="shared" si="2359"/>
        <v>0</v>
      </c>
      <c r="AY649" s="45"/>
      <c r="AZ649" s="208"/>
      <c r="BA649" s="13">
        <v>45</v>
      </c>
      <c r="BB649" s="15">
        <f t="shared" si="2360"/>
        <v>0</v>
      </c>
      <c r="BC649" s="45"/>
      <c r="BD649" s="208"/>
      <c r="BE649" s="40">
        <f t="shared" ref="BE649:BG649" si="2362">J649+N649+R649+V649+Z649+AD649+AH649+AL649+AP649+AT649+AX649+BB649</f>
        <v>5</v>
      </c>
      <c r="BF649" s="41">
        <f t="shared" si="2362"/>
        <v>97.3</v>
      </c>
      <c r="BG649" s="34">
        <f t="shared" si="2362"/>
        <v>0</v>
      </c>
      <c r="BH649" s="35">
        <f t="shared" si="2349"/>
        <v>-123.24</v>
      </c>
      <c r="BK649" s="2" t="b">
        <f>H649='2020'!BH649</f>
        <v>1</v>
      </c>
    </row>
    <row r="650" ht="14.25" customHeight="1" hidden="1" spans="1:63" x14ac:dyDescent="0.25">
      <c r="A650" s="2">
        <v>72</v>
      </c>
      <c r="B650" s="14"/>
      <c r="C650" s="15" t="s">
        <v>158</v>
      </c>
      <c r="D650" s="14" t="s">
        <v>47</v>
      </c>
      <c r="E650" s="2" t="s">
        <v>49</v>
      </c>
      <c r="F650" s="41">
        <v>500</v>
      </c>
      <c r="G650" s="28"/>
      <c r="H650" s="34">
        <f>'2020'!BH650</f>
        <v>0</v>
      </c>
      <c r="I650" s="13"/>
      <c r="J650" s="15"/>
      <c r="K650" s="15"/>
      <c r="L650" s="28"/>
      <c r="M650" s="13"/>
      <c r="N650" s="15"/>
      <c r="Q650" s="13"/>
      <c r="R650" s="15"/>
      <c r="S650" s="15"/>
      <c r="T650" s="28"/>
      <c r="U650" s="13"/>
      <c r="V650" s="15"/>
      <c r="Y650" s="186"/>
      <c r="Z650" s="2"/>
      <c r="AA650" s="15"/>
      <c r="AB650" s="28"/>
      <c r="AC650" s="15"/>
      <c r="AD650" s="15"/>
      <c r="AF650" s="154"/>
      <c r="AG650" s="15"/>
      <c r="AH650" s="2"/>
      <c r="AI650" s="45"/>
      <c r="AJ650" s="15"/>
      <c r="AK650" s="13"/>
      <c r="AL650" s="15"/>
      <c r="AM650" s="45"/>
      <c r="AN650" s="15"/>
      <c r="AO650" s="13"/>
      <c r="AP650" s="15"/>
      <c r="AQ650" s="45"/>
      <c r="AR650" s="15"/>
      <c r="AS650" s="13"/>
      <c r="AT650" s="15"/>
      <c r="AU650" s="45"/>
      <c r="AV650" s="15"/>
      <c r="AW650" s="13"/>
      <c r="AX650" s="15"/>
      <c r="AY650" s="45"/>
      <c r="AZ650" s="28"/>
      <c r="BA650" s="13"/>
      <c r="BB650" s="15"/>
      <c r="BC650" s="45"/>
      <c r="BD650" s="28"/>
      <c r="BE650" s="14"/>
      <c r="BF650" s="41">
        <f t="shared" ref="BF650:BG650" si="2363">K650+O650+S650+W650+AA650+AE650+AI650+AM650+AQ650+AU650+AY650+BC650</f>
        <v>0</v>
      </c>
      <c r="BG650" s="34">
        <f t="shared" si="2363"/>
        <v>0</v>
      </c>
      <c r="BH650" s="35">
        <f t="shared" si="2349"/>
        <v>0</v>
      </c>
      <c r="BK650" s="2" t="b">
        <f>H650='2020'!BH650</f>
        <v>1</v>
      </c>
    </row>
    <row r="651" ht="14.25" customHeight="1" hidden="1" spans="1:63" x14ac:dyDescent="0.25">
      <c r="A651" s="2">
        <v>72</v>
      </c>
      <c r="B651" s="14"/>
      <c r="C651" s="15" t="s">
        <v>433</v>
      </c>
      <c r="D651" s="14" t="s">
        <v>50</v>
      </c>
      <c r="E651" s="2" t="s">
        <v>49</v>
      </c>
      <c r="F651" s="41">
        <v>1100</v>
      </c>
      <c r="G651" s="28"/>
      <c r="H651" s="34">
        <f>'2020'!BH651</f>
        <v>0</v>
      </c>
      <c r="I651" s="13"/>
      <c r="J651" s="15"/>
      <c r="K651" s="15"/>
      <c r="L651" s="28"/>
      <c r="M651" s="13"/>
      <c r="N651" s="15"/>
      <c r="Q651" s="13"/>
      <c r="R651" s="15"/>
      <c r="S651" s="15"/>
      <c r="T651" s="28"/>
      <c r="U651" s="13"/>
      <c r="V651" s="15"/>
      <c r="Y651" s="186"/>
      <c r="Z651" s="2"/>
      <c r="AA651" s="15"/>
      <c r="AB651" s="28"/>
      <c r="AC651" s="15"/>
      <c r="AD651" s="15"/>
      <c r="AE651" s="34">
        <f>B648*$F$12</f>
        <v>4433</v>
      </c>
      <c r="AF651" s="182">
        <v>4433</v>
      </c>
      <c r="AG651" s="15"/>
      <c r="AH651" s="2"/>
      <c r="AI651" s="45"/>
      <c r="AJ651" s="180"/>
      <c r="AK651" s="13"/>
      <c r="AL651" s="15"/>
      <c r="AM651" s="45"/>
      <c r="AN651" s="15"/>
      <c r="AO651" s="13"/>
      <c r="AP651" s="15"/>
      <c r="AQ651" s="45"/>
      <c r="AR651" s="15"/>
      <c r="AS651" s="13"/>
      <c r="AT651" s="15"/>
      <c r="AU651" s="45"/>
      <c r="AV651" s="15"/>
      <c r="AW651" s="13"/>
      <c r="AX651" s="15"/>
      <c r="AY651" s="45"/>
      <c r="AZ651" s="28"/>
      <c r="BA651" s="13"/>
      <c r="BB651" s="15"/>
      <c r="BC651" s="45"/>
      <c r="BD651" s="28"/>
      <c r="BE651" s="14"/>
      <c r="BF651" s="41">
        <f t="shared" ref="BF651:BG651" si="2364">K651+O651+S651+W651+AA651+AE651+AI651+AM651+AQ651+AU651+AY651+BC651</f>
        <v>4433</v>
      </c>
      <c r="BG651" s="34">
        <f t="shared" si="2364"/>
        <v>4433</v>
      </c>
      <c r="BH651" s="35">
        <f t="shared" si="2349"/>
        <v>0</v>
      </c>
      <c r="BK651" s="2" t="b">
        <f>H651='2020'!BH651</f>
        <v>1</v>
      </c>
    </row>
    <row r="652" ht="14.25" customHeight="1" hidden="1" spans="1:63" x14ac:dyDescent="0.25">
      <c r="A652" s="2">
        <v>72</v>
      </c>
      <c r="B652" s="14"/>
      <c r="D652" s="14" t="s">
        <v>51</v>
      </c>
      <c r="E652" s="2" t="s">
        <v>39</v>
      </c>
      <c r="F652" s="41">
        <v>500</v>
      </c>
      <c r="G652" s="28"/>
      <c r="H652" s="34">
        <f>'2020'!BH652</f>
        <v>500</v>
      </c>
      <c r="I652" s="13"/>
      <c r="J652" s="15"/>
      <c r="K652" s="15"/>
      <c r="L652" s="28"/>
      <c r="M652" s="13"/>
      <c r="N652" s="15"/>
      <c r="Q652" s="13"/>
      <c r="R652" s="15"/>
      <c r="S652" s="15"/>
      <c r="T652" s="28"/>
      <c r="U652" s="13"/>
      <c r="V652" s="15"/>
      <c r="Y652" s="186"/>
      <c r="Z652" s="2"/>
      <c r="AA652" s="15"/>
      <c r="AB652" s="28"/>
      <c r="AC652" s="15"/>
      <c r="AD652" s="15"/>
      <c r="AE652" s="34">
        <f>$F$13</f>
      </c>
      <c r="AG652" s="15"/>
      <c r="AH652" s="2"/>
      <c r="AI652" s="45"/>
      <c r="AJ652" s="15"/>
      <c r="AK652" s="13"/>
      <c r="AL652" s="15"/>
      <c r="AM652" s="45"/>
      <c r="AN652" s="15"/>
      <c r="AO652" s="13"/>
      <c r="AP652" s="15"/>
      <c r="AQ652" s="180"/>
      <c r="AR652" s="15"/>
      <c r="AS652" s="13"/>
      <c r="AT652" s="15"/>
      <c r="AU652" s="45"/>
      <c r="AV652" s="15"/>
      <c r="AW652" s="13"/>
      <c r="AX652" s="15"/>
      <c r="AY652" s="45"/>
      <c r="AZ652" s="28"/>
      <c r="BA652" s="13"/>
      <c r="BB652" s="15"/>
      <c r="BC652" s="45"/>
      <c r="BD652" s="28"/>
      <c r="BE652" s="14"/>
      <c r="BF652" s="41">
        <f t="shared" ref="BF652:BG652" si="2365">K652+O652+S652+W652+AA652+AE652+AI652+AM652+AQ652+AU652+AY652+BC652</f>
        <v>0</v>
      </c>
      <c r="BG652" s="34">
        <f t="shared" si="2365"/>
        <v>0</v>
      </c>
      <c r="BH652" s="35">
        <f t="shared" si="2349"/>
        <v>500</v>
      </c>
      <c r="BK652" s="2" t="b">
        <f>H652='2020'!BH652</f>
        <v>1</v>
      </c>
    </row>
    <row r="653" ht="14.25" customHeight="1" hidden="1" spans="1:63" x14ac:dyDescent="0.25">
      <c r="A653" s="2">
        <v>72</v>
      </c>
      <c r="B653" s="14"/>
      <c r="D653" s="14" t="s">
        <v>51</v>
      </c>
      <c r="E653" s="2" t="s">
        <v>49</v>
      </c>
      <c r="F653" s="41">
        <v>500</v>
      </c>
      <c r="G653" s="28"/>
      <c r="H653" s="34">
        <f>'2020'!BH653</f>
        <v>2015</v>
      </c>
      <c r="I653" s="13"/>
      <c r="J653" s="15"/>
      <c r="K653" s="15"/>
      <c r="L653" s="28"/>
      <c r="M653" s="13"/>
      <c r="N653" s="15"/>
      <c r="Q653" s="13"/>
      <c r="R653" s="15"/>
      <c r="S653" s="15"/>
      <c r="T653" s="28"/>
      <c r="U653" s="13"/>
      <c r="V653" s="15"/>
      <c r="Y653" s="186"/>
      <c r="Z653" s="2"/>
      <c r="AA653" s="15"/>
      <c r="AB653" s="28"/>
      <c r="AC653" s="15"/>
      <c r="AD653" s="15"/>
      <c r="AE653" s="34"/>
      <c r="AG653" s="15"/>
      <c r="AH653" s="2"/>
      <c r="AI653" s="45"/>
      <c r="AJ653" s="15"/>
      <c r="AK653" s="13"/>
      <c r="AL653" s="15"/>
      <c r="AM653" s="45"/>
      <c r="AN653" s="15"/>
      <c r="AO653" s="13"/>
      <c r="AP653" s="15"/>
      <c r="AQ653" s="180">
        <f>B648*$F$14</f>
        <v>0</v>
      </c>
      <c r="AR653" s="15"/>
      <c r="AS653" s="13"/>
      <c r="AT653" s="15"/>
      <c r="AU653" s="45"/>
      <c r="AV653" s="15"/>
      <c r="AW653" s="13"/>
      <c r="AX653" s="15"/>
      <c r="AY653" s="45"/>
      <c r="AZ653" s="28"/>
      <c r="BA653" s="13"/>
      <c r="BB653" s="15"/>
      <c r="BC653" s="45"/>
      <c r="BD653" s="28"/>
      <c r="BE653" s="14"/>
      <c r="BF653" s="41">
        <f t="shared" ref="BF653:BG653" si="2366">K653+O653+S653+W653+AA653+AE653+AI653+AM653+AQ653+AU653+AY653+BC653</f>
        <v>0</v>
      </c>
      <c r="BG653" s="34">
        <f t="shared" si="2366"/>
        <v>0</v>
      </c>
      <c r="BH653" s="35">
        <f t="shared" si="2349"/>
        <v>2015</v>
      </c>
      <c r="BK653" s="2" t="b">
        <f>H653='2020'!BH653</f>
        <v>1</v>
      </c>
    </row>
    <row r="654" ht="14.25" customHeight="1" hidden="1" spans="1:63" x14ac:dyDescent="0.25">
      <c r="A654" s="2">
        <v>72</v>
      </c>
      <c r="B654" s="14"/>
      <c r="D654" s="14" t="s">
        <v>52</v>
      </c>
      <c r="E654" s="2" t="s">
        <v>39</v>
      </c>
      <c r="F654" s="41">
        <v>500</v>
      </c>
      <c r="G654" s="28"/>
      <c r="H654" s="34">
        <f>'2020'!BH654</f>
        <v>0</v>
      </c>
      <c r="I654" s="13"/>
      <c r="J654" s="15"/>
      <c r="K654" s="15"/>
      <c r="L654" s="28"/>
      <c r="M654" s="13"/>
      <c r="N654" s="15"/>
      <c r="Q654" s="13"/>
      <c r="R654" s="15"/>
      <c r="S654" s="15"/>
      <c r="T654" s="28"/>
      <c r="U654" s="13"/>
      <c r="V654" s="15"/>
      <c r="Y654" s="186"/>
      <c r="Z654" s="2"/>
      <c r="AA654" s="34">
        <f>$F$15</f>
      </c>
      <c r="AB654" s="28"/>
      <c r="AC654" s="15"/>
      <c r="AD654" s="15"/>
      <c r="AE654" s="15"/>
      <c r="AG654" s="15"/>
      <c r="AH654" s="2"/>
      <c r="AI654" s="45"/>
      <c r="AJ654" s="180"/>
      <c r="AK654" s="13"/>
      <c r="AL654" s="15"/>
      <c r="AM654" s="45"/>
      <c r="AN654" s="15"/>
      <c r="AO654" s="13"/>
      <c r="AP654" s="15"/>
      <c r="AQ654" s="45"/>
      <c r="AR654" s="15"/>
      <c r="AS654" s="13"/>
      <c r="AT654" s="15"/>
      <c r="AU654" s="45"/>
      <c r="AV654" s="15"/>
      <c r="AW654" s="13"/>
      <c r="AX654" s="15"/>
      <c r="AY654" s="45"/>
      <c r="AZ654" s="35"/>
      <c r="BA654" s="13"/>
      <c r="BB654" s="15"/>
      <c r="BC654" s="45"/>
      <c r="BD654" s="35"/>
      <c r="BE654" s="14"/>
      <c r="BF654" s="41">
        <f t="shared" ref="BF654:BG654" si="2367">K654+O654+S654+W654+AA654+AE654+AI654+AM654+AQ654+AU654+AY654+BC654</f>
        <v>0</v>
      </c>
      <c r="BG654" s="34">
        <f t="shared" si="2367"/>
        <v>0</v>
      </c>
      <c r="BH654" s="35">
        <f t="shared" si="2349"/>
        <v>0</v>
      </c>
      <c r="BK654" s="2" t="b">
        <f>H654='2020'!BH654</f>
        <v>1</v>
      </c>
    </row>
    <row r="655" ht="14.25" customHeight="1" hidden="1" spans="1:63" x14ac:dyDescent="0.25">
      <c r="A655" s="247">
        <v>72</v>
      </c>
      <c r="B655" s="21"/>
      <c r="C655" s="22" t="s">
        <v>53</v>
      </c>
      <c r="D655" s="21"/>
      <c r="E655" s="22"/>
      <c r="F655" s="20"/>
      <c r="G655" s="23"/>
      <c r="H655" s="51">
        <f>SUM(H647:H654)</f>
        <v>3509.33</v>
      </c>
      <c r="I655" s="52"/>
      <c r="J655" s="53"/>
      <c r="K655" s="51">
        <f t="shared" ref="K655:L655" si="2368">SUM(K647:K654)</f>
        <v>0</v>
      </c>
      <c r="L655" s="68">
        <f t="shared" si="2368"/>
        <v>0</v>
      </c>
      <c r="M655" s="52"/>
      <c r="N655" s="53"/>
      <c r="O655" s="51">
        <f t="shared" ref="O655:P655" si="2369">SUM(O647:O654)</f>
        <v>0</v>
      </c>
      <c r="P655" s="51">
        <f t="shared" si="2369"/>
        <v>0</v>
      </c>
      <c r="Q655" s="52"/>
      <c r="R655" s="53"/>
      <c r="S655" s="51">
        <f t="shared" ref="S655:T655" si="2370">SUM(S647:S654)</f>
        <v>0</v>
      </c>
      <c r="T655" s="51">
        <f t="shared" si="2370"/>
        <v>0</v>
      </c>
      <c r="U655" s="52"/>
      <c r="V655" s="53"/>
      <c r="W655" s="51">
        <f t="shared" ref="W655:X655" si="2371">SUM(W647:W654)</f>
        <v>0</v>
      </c>
      <c r="X655" s="51">
        <f t="shared" si="2371"/>
        <v>0</v>
      </c>
      <c r="Y655" s="300"/>
      <c r="Z655" s="301"/>
      <c r="AA655" s="51">
        <f t="shared" ref="AA655:AB655" si="2372">SUM(AA647:AA654)</f>
        <v>377</v>
      </c>
      <c r="AB655" s="51">
        <f t="shared" si="2372"/>
        <v>0</v>
      </c>
      <c r="AC655" s="52"/>
      <c r="AD655" s="53"/>
      <c r="AE655" s="51">
        <f t="shared" ref="AE655:AF655" si="2373">SUM(AE647:AE654)</f>
        <v>5661.3</v>
      </c>
      <c r="AF655" s="51">
        <f t="shared" si="2373"/>
        <v>7155.87</v>
      </c>
      <c r="AG655" s="52"/>
      <c r="AH655" s="301"/>
      <c r="AI655" s="183">
        <f t="shared" ref="AI655:AJ655" si="2374">SUM(AI647:AI654)</f>
        <v>1071.9</v>
      </c>
      <c r="AJ655" s="51">
        <f t="shared" si="2374"/>
        <v>0</v>
      </c>
      <c r="AK655" s="52"/>
      <c r="AL655" s="53"/>
      <c r="AM655" s="183">
        <f t="shared" ref="AM655:AN655" si="2375">SUM(AM647:AM654)</f>
        <v>1085.4</v>
      </c>
      <c r="AN655" s="51">
        <f t="shared" si="2375"/>
        <v>0</v>
      </c>
      <c r="AO655" s="52"/>
      <c r="AP655" s="53"/>
      <c r="AQ655" s="183">
        <f t="shared" ref="AQ655:AR655" si="2376">SUM(AQ647:AQ654)</f>
        <v>1954.25</v>
      </c>
      <c r="AR655" s="51">
        <f t="shared" si="2376"/>
        <v>0</v>
      </c>
      <c r="AS655" s="52"/>
      <c r="AT655" s="53"/>
      <c r="AU655" s="183">
        <f t="shared" ref="AU655:AV655" si="2377">SUM(AU647:AU654)</f>
        <v>1601.1</v>
      </c>
      <c r="AV655" s="68">
        <f t="shared" si="2377"/>
        <v>0</v>
      </c>
      <c r="AW655" s="52"/>
      <c r="AX655" s="53"/>
      <c r="AY655" s="183">
        <f t="shared" ref="AY655:AZ655" si="2378">SUM(AY647:AY654)</f>
        <v>1930.5</v>
      </c>
      <c r="AZ655" s="68">
        <f t="shared" si="2378"/>
        <v>0</v>
      </c>
      <c r="BA655" s="52"/>
      <c r="BB655" s="53"/>
      <c r="BC655" s="183">
        <f t="shared" ref="BC655:BD655" si="2379">SUM(BC647:BC654)</f>
        <v>1493.1</v>
      </c>
      <c r="BD655" s="68">
        <f t="shared" si="2379"/>
        <v>0</v>
      </c>
      <c r="BE655" s="69"/>
      <c r="BF655" s="70">
        <f t="shared" ref="BF655:BH655" si="2380">SUM(BF647:BF654)</f>
        <v>15174.55</v>
      </c>
      <c r="BG655" s="71">
        <f t="shared" si="2380"/>
        <v>7155.87</v>
      </c>
      <c r="BH655" s="72">
        <f t="shared" si="2380"/>
        <v>11528.01</v>
      </c>
      <c r="BI655" s="34">
        <f>H655+BF655-BG655</f>
        <v>11528.01</v>
      </c>
      <c r="BJ655" s="34">
        <f>BH655-BI655</f>
        <v>0</v>
      </c>
      <c r="BK655" s="2" t="b">
        <f>H655='2020'!BH655</f>
        <v>1</v>
      </c>
    </row>
    <row r="656" ht="14.25" customHeight="1" hidden="1" spans="1:63" x14ac:dyDescent="0.25">
      <c r="A656" s="2">
        <v>73</v>
      </c>
      <c r="B656" s="14"/>
      <c r="D656" s="14" t="s">
        <v>379</v>
      </c>
      <c r="F656" s="13"/>
      <c r="G656" s="28"/>
      <c r="H656" s="34">
        <f>'2020'!BH656</f>
        <v>0</v>
      </c>
      <c r="I656" s="13"/>
      <c r="J656" s="15"/>
      <c r="K656" s="15"/>
      <c r="L656" s="28"/>
      <c r="M656" s="13"/>
      <c r="N656" s="15"/>
      <c r="Q656" s="13"/>
      <c r="R656" s="15"/>
      <c r="S656" s="15"/>
      <c r="T656" s="28"/>
      <c r="U656" s="13"/>
      <c r="V656" s="15"/>
      <c r="Y656" s="186"/>
      <c r="Z656" s="2"/>
      <c r="AA656" s="15"/>
      <c r="AB656" s="28"/>
      <c r="AC656" s="15"/>
      <c r="AD656" s="15"/>
      <c r="AE656" s="15"/>
      <c r="AG656" s="15"/>
      <c r="AH656" s="2"/>
      <c r="AI656" s="45"/>
      <c r="AJ656" s="15"/>
      <c r="AK656" s="13"/>
      <c r="AM656" s="45"/>
      <c r="AN656" s="15"/>
      <c r="AO656" s="13"/>
      <c r="AQ656" s="45"/>
      <c r="AS656" s="13"/>
      <c r="AU656" s="45"/>
      <c r="AW656" s="13"/>
      <c r="AY656" s="45"/>
      <c r="AZ656" s="28"/>
      <c r="BA656" s="13"/>
      <c r="BB656" s="15"/>
      <c r="BC656" s="45"/>
      <c r="BD656" s="28"/>
      <c r="BE656" s="14"/>
      <c r="BF656" s="41">
        <f t="shared" ref="BF656:BG656" si="2381">K656+O656+S656+W656+AA656+AE656+AI656+AM656+AQ656+AU656+AY656+BC656</f>
        <v>0</v>
      </c>
      <c r="BG656" s="34">
        <f t="shared" si="2381"/>
        <v>0</v>
      </c>
      <c r="BH656" s="35">
        <f t="shared" ref="BH656:BH663" si="2382">H656+BF656-BG656</f>
        <v>0</v>
      </c>
      <c r="BK656" s="2" t="b">
        <f>H656='2020'!BH656</f>
        <v>1</v>
      </c>
    </row>
    <row r="657" ht="14.25" customHeight="1" hidden="1" spans="1:63" x14ac:dyDescent="0.25">
      <c r="A657" s="2">
        <v>73</v>
      </c>
      <c r="B657" s="14">
        <v>4.02</v>
      </c>
      <c r="C657" s="2" t="s">
        <v>259</v>
      </c>
      <c r="D657" s="14" t="s">
        <v>44</v>
      </c>
      <c r="E657" s="2" t="s">
        <v>45</v>
      </c>
      <c r="F657" s="41">
        <v>2.5</v>
      </c>
      <c r="G657" s="35">
        <v>2.6</v>
      </c>
      <c r="H657" s="104">
        <f>'2020'!BH657</f>
        <v>0</v>
      </c>
      <c r="I657" s="13">
        <v>0</v>
      </c>
      <c r="J657" s="15">
        <f>I657-'2020'!BA657</f>
        <v>0</v>
      </c>
      <c r="K657" s="34">
        <f>J657*$F$8</f>
        <v>0</v>
      </c>
      <c r="L657" s="28"/>
      <c r="M657" s="13">
        <v>0</v>
      </c>
      <c r="N657" s="15">
        <f t="shared" ref="N657:N658" si="2383">M657-I657</f>
        <v>0</v>
      </c>
      <c r="O657" s="34">
        <f>N657*$F$8</f>
        <v>0</v>
      </c>
      <c r="Q657" s="13">
        <v>0</v>
      </c>
      <c r="R657" s="15">
        <f t="shared" ref="R657:R658" si="2384">Q657-M657</f>
        <v>0</v>
      </c>
      <c r="S657" s="34">
        <f>R657*$F$8</f>
        <v>0</v>
      </c>
      <c r="T657" s="28"/>
      <c r="U657" s="13">
        <v>0</v>
      </c>
      <c r="V657" s="15">
        <f t="shared" ref="V657:V658" si="2385">U657-Q657</f>
        <v>0</v>
      </c>
      <c r="W657" s="34">
        <f>V657*$F$8</f>
        <v>0</v>
      </c>
      <c r="Y657" s="186"/>
      <c r="Z657" s="2">
        <f t="shared" ref="Z657:Z658" si="2386">Y657-U657</f>
        <v>0</v>
      </c>
      <c r="AA657" s="34">
        <f>Z657*$F$8</f>
        <v>0</v>
      </c>
      <c r="AB657" s="28"/>
      <c r="AC657" s="15"/>
      <c r="AD657" s="15">
        <f t="shared" ref="AD657:AD658" si="2387">AC657-Y657</f>
        <v>0</v>
      </c>
      <c r="AE657" s="34">
        <f>AD657*$F$8</f>
        <v>0</v>
      </c>
      <c r="AF657" s="154"/>
      <c r="AG657" s="15"/>
      <c r="AH657" s="2">
        <f t="shared" ref="AH657:AH658" si="2388">AG657-AC657</f>
        <v>0</v>
      </c>
      <c r="AI657" s="45">
        <f>AH657*$G$8</f>
        <v>0</v>
      </c>
      <c r="AJ657" s="15"/>
      <c r="AK657" s="13"/>
      <c r="AL657" s="15">
        <f t="shared" ref="AL657:AL658" si="2389">AK657-AG657</f>
        <v>0</v>
      </c>
      <c r="AM657" s="45">
        <f>AL657*$G$8</f>
        <v>0</v>
      </c>
      <c r="AN657" s="15"/>
      <c r="AO657" s="13"/>
      <c r="AP657" s="15">
        <f t="shared" ref="AP657:AP658" si="2390">AO657-AK657</f>
        <v>0</v>
      </c>
      <c r="AQ657" s="45">
        <f>AP657*$G$8</f>
        <v>0</v>
      </c>
      <c r="AR657" s="15"/>
      <c r="AS657" s="13"/>
      <c r="AT657" s="15">
        <f t="shared" ref="AT657:AT658" si="2391">AS657-AO657</f>
        <v>0</v>
      </c>
      <c r="AU657" s="45">
        <f>AT657*$G$8</f>
        <v>0</v>
      </c>
      <c r="AV657" s="15"/>
      <c r="AW657" s="13"/>
      <c r="AX657" s="15">
        <f t="shared" ref="AX657:AX658" si="2392">AW657-AS657</f>
        <v>0</v>
      </c>
      <c r="AY657" s="45">
        <f>AX657*$G$8</f>
        <v>0</v>
      </c>
      <c r="AZ657" s="208"/>
      <c r="BA657" s="13"/>
      <c r="BB657" s="15">
        <f t="shared" ref="BB657:BB658" si="2393">BA657-AW657</f>
        <v>0</v>
      </c>
      <c r="BC657" s="45">
        <f>BB657*$G$8</f>
        <v>0</v>
      </c>
      <c r="BD657" s="208"/>
      <c r="BE657" s="40">
        <f t="shared" ref="BE657:BG657" si="2394">J657+N657+R657+V657+Z657+AD657+AH657+AL657+AP657+AT657+AX657+BB657</f>
        <v>0</v>
      </c>
      <c r="BF657" s="41">
        <f t="shared" si="2394"/>
        <v>0</v>
      </c>
      <c r="BG657" s="34">
        <f t="shared" si="2394"/>
        <v>0</v>
      </c>
      <c r="BH657" s="35">
        <f t="shared" si="2382"/>
        <v>0</v>
      </c>
      <c r="BK657" s="2" t="b">
        <f>H657='2020'!BH657</f>
        <v>1</v>
      </c>
    </row>
    <row r="658" ht="14.25" customHeight="1" hidden="1" spans="1:63" x14ac:dyDescent="0.25">
      <c r="A658" s="2">
        <v>73</v>
      </c>
      <c r="B658" s="14"/>
      <c r="C658" s="2" t="s">
        <v>260</v>
      </c>
      <c r="D658" s="14" t="s">
        <v>47</v>
      </c>
      <c r="E658" s="2" t="s">
        <v>48</v>
      </c>
      <c r="F658" s="13">
        <v>18.56</v>
      </c>
      <c r="G658" s="35">
        <v>19.46</v>
      </c>
      <c r="H658" s="34">
        <f>'2020'!BH658</f>
        <v>-298.89</v>
      </c>
      <c r="I658" s="13">
        <v>82</v>
      </c>
      <c r="J658" s="15"/>
      <c r="K658" s="15"/>
      <c r="L658" s="28"/>
      <c r="M658" s="13">
        <v>82</v>
      </c>
      <c r="N658" s="15">
        <f t="shared" si="2383"/>
        <v>0</v>
      </c>
      <c r="Q658" s="13">
        <v>82</v>
      </c>
      <c r="R658" s="15">
        <f t="shared" si="2384"/>
        <v>0</v>
      </c>
      <c r="S658" s="15"/>
      <c r="T658" s="28"/>
      <c r="U658" s="13">
        <v>82</v>
      </c>
      <c r="V658" s="15">
        <f t="shared" si="2385"/>
        <v>0</v>
      </c>
      <c r="W658" s="180">
        <f>V658*$F$10</f>
        <v>0</v>
      </c>
      <c r="Y658" s="186">
        <v>93</v>
      </c>
      <c r="Z658" s="2">
        <f t="shared" si="2386"/>
        <v>11</v>
      </c>
      <c r="AA658" s="34">
        <f>Z658*$F$10</f>
        <v>214.06</v>
      </c>
      <c r="AB658" s="28"/>
      <c r="AC658" s="15">
        <v>98</v>
      </c>
      <c r="AD658" s="15">
        <f t="shared" si="2387"/>
        <v>5</v>
      </c>
      <c r="AE658" s="34">
        <f>AD658*$F$10</f>
        <v>97.3</v>
      </c>
      <c r="AF658" s="182">
        <v>12.47</v>
      </c>
      <c r="AG658" s="15">
        <v>101</v>
      </c>
      <c r="AH658" s="2">
        <f t="shared" si="2388"/>
        <v>3</v>
      </c>
      <c r="AI658" s="45">
        <f>AH658*$G$10</f>
        <v>61.05</v>
      </c>
      <c r="AJ658" s="326">
        <v>64</v>
      </c>
      <c r="AK658" s="13">
        <v>103</v>
      </c>
      <c r="AL658" s="15">
        <f t="shared" si="2389"/>
        <v>2</v>
      </c>
      <c r="AM658" s="45">
        <f>AL658*$G$10</f>
        <v>40.7</v>
      </c>
      <c r="AN658" s="305">
        <v>37.75</v>
      </c>
      <c r="AO658" s="13">
        <v>103</v>
      </c>
      <c r="AP658" s="15">
        <f t="shared" si="2390"/>
        <v>0</v>
      </c>
      <c r="AQ658" s="45">
        <f>AP658*$G$10</f>
        <v>0</v>
      </c>
      <c r="AR658" s="15"/>
      <c r="AS658" s="13">
        <v>103</v>
      </c>
      <c r="AT658" s="15">
        <f t="shared" si="2391"/>
        <v>0</v>
      </c>
      <c r="AU658" s="45">
        <f>AT658*$G$10</f>
        <v>0</v>
      </c>
      <c r="AV658" s="15"/>
      <c r="AW658" s="13">
        <v>103</v>
      </c>
      <c r="AX658" s="15">
        <f t="shared" si="2392"/>
        <v>0</v>
      </c>
      <c r="AY658" s="45"/>
      <c r="AZ658" s="208"/>
      <c r="BA658" s="13">
        <v>103</v>
      </c>
      <c r="BB658" s="15">
        <f t="shared" si="2393"/>
        <v>0</v>
      </c>
      <c r="BC658" s="45"/>
      <c r="BD658" s="208"/>
      <c r="BE658" s="40">
        <f t="shared" ref="BE658:BG658" si="2395">J658+N658+R658+V658+Z658+AD658+AH658+AL658+AP658+AT658+AX658+BB658</f>
        <v>21</v>
      </c>
      <c r="BF658" s="41">
        <f t="shared" si="2395"/>
        <v>413.11</v>
      </c>
      <c r="BG658" s="34">
        <f t="shared" si="2395"/>
        <v>114.22</v>
      </c>
      <c r="BH658" s="35">
        <f t="shared" si="2382"/>
        <v>0</v>
      </c>
      <c r="BK658" s="2" t="b">
        <f>H658='2020'!BH658</f>
        <v>1</v>
      </c>
    </row>
    <row r="659" ht="14.25" customHeight="1" hidden="1" spans="1:63" x14ac:dyDescent="0.25">
      <c r="A659" s="2">
        <v>73</v>
      </c>
      <c r="B659" s="14"/>
      <c r="C659" s="15" t="s">
        <v>84</v>
      </c>
      <c r="D659" s="14" t="s">
        <v>47</v>
      </c>
      <c r="E659" s="2" t="s">
        <v>49</v>
      </c>
      <c r="F659" s="41">
        <v>500</v>
      </c>
      <c r="G659" s="28"/>
      <c r="H659" s="34">
        <f>'2020'!BH659</f>
        <v>0</v>
      </c>
      <c r="I659" s="13"/>
      <c r="J659" s="15"/>
      <c r="K659" s="15"/>
      <c r="L659" s="28"/>
      <c r="M659" s="13"/>
      <c r="N659" s="15"/>
      <c r="Q659" s="13"/>
      <c r="R659" s="15"/>
      <c r="S659" s="15"/>
      <c r="T659" s="28"/>
      <c r="U659" s="13"/>
      <c r="V659" s="15"/>
      <c r="Y659" s="186"/>
      <c r="Z659" s="2"/>
      <c r="AA659" s="15"/>
      <c r="AB659" s="28"/>
      <c r="AC659" s="15"/>
      <c r="AD659" s="15"/>
      <c r="AE659" s="15"/>
      <c r="AF659" s="154"/>
      <c r="AG659" s="15"/>
      <c r="AH659" s="2"/>
      <c r="AI659" s="45"/>
      <c r="AJ659" s="15"/>
      <c r="AK659" s="13"/>
      <c r="AL659" s="15"/>
      <c r="AM659" s="45"/>
      <c r="AN659" s="15"/>
      <c r="AO659" s="13"/>
      <c r="AP659" s="15"/>
      <c r="AQ659" s="45"/>
      <c r="AR659" s="15"/>
      <c r="AS659" s="13"/>
      <c r="AT659" s="15"/>
      <c r="AU659" s="45"/>
      <c r="AV659" s="15"/>
      <c r="AW659" s="13"/>
      <c r="AX659" s="15"/>
      <c r="AY659" s="45"/>
      <c r="AZ659" s="28"/>
      <c r="BA659" s="13"/>
      <c r="BB659" s="15"/>
      <c r="BC659" s="45"/>
      <c r="BD659" s="28"/>
      <c r="BE659" s="14"/>
      <c r="BF659" s="41">
        <f t="shared" ref="BF659:BG659" si="2396">K659+O659+S659+W659+AA659+AE659+AI659+AM659+AQ659+AU659+AY659+BC659</f>
        <v>0</v>
      </c>
      <c r="BG659" s="34">
        <f t="shared" si="2396"/>
        <v>0</v>
      </c>
      <c r="BH659" s="35">
        <f t="shared" si="2382"/>
        <v>0</v>
      </c>
      <c r="BK659" s="2" t="b">
        <f>H659='2020'!BH659</f>
        <v>1</v>
      </c>
    </row>
    <row r="660" ht="14.25" customHeight="1" hidden="1" spans="1:63" x14ac:dyDescent="0.25">
      <c r="A660" s="2">
        <v>73</v>
      </c>
      <c r="B660" s="14"/>
      <c r="C660" s="73" t="s">
        <v>261</v>
      </c>
      <c r="D660" s="14" t="s">
        <v>50</v>
      </c>
      <c r="E660" s="2" t="s">
        <v>49</v>
      </c>
      <c r="F660" s="41">
        <v>1100</v>
      </c>
      <c r="G660" s="28"/>
      <c r="H660" s="34">
        <f>'2020'!BH660</f>
        <v>0</v>
      </c>
      <c r="I660" s="13"/>
      <c r="J660" s="15"/>
      <c r="K660" s="15"/>
      <c r="L660" s="28"/>
      <c r="M660" s="13"/>
      <c r="N660" s="15"/>
      <c r="Q660" s="13"/>
      <c r="R660" s="15"/>
      <c r="S660" s="15"/>
      <c r="T660" s="28"/>
      <c r="U660" s="13"/>
      <c r="V660" s="15"/>
      <c r="Y660" s="186"/>
      <c r="Z660" s="2"/>
      <c r="AA660" s="15"/>
      <c r="AB660" s="28"/>
      <c r="AC660" s="15"/>
      <c r="AD660" s="15"/>
      <c r="AE660" s="34">
        <f>B657*$F$12</f>
        <v>4422</v>
      </c>
      <c r="AF660" s="182">
        <v>4422</v>
      </c>
      <c r="AG660" s="15"/>
      <c r="AH660" s="2"/>
      <c r="AI660" s="45"/>
      <c r="AJ660" s="34"/>
      <c r="AK660" s="13"/>
      <c r="AL660" s="15"/>
      <c r="AM660" s="45"/>
      <c r="AN660" s="15"/>
      <c r="AO660" s="13"/>
      <c r="AP660" s="15"/>
      <c r="AQ660" s="45"/>
      <c r="AR660" s="15"/>
      <c r="AS660" s="13"/>
      <c r="AT660" s="15"/>
      <c r="AU660" s="45"/>
      <c r="AV660" s="15"/>
      <c r="AW660" s="13"/>
      <c r="AX660" s="15"/>
      <c r="AY660" s="45"/>
      <c r="AZ660" s="28"/>
      <c r="BA660" s="13"/>
      <c r="BB660" s="15"/>
      <c r="BC660" s="45"/>
      <c r="BD660" s="28"/>
      <c r="BE660" s="14"/>
      <c r="BF660" s="41">
        <f t="shared" ref="BF660:BG660" si="2397">K660+O660+S660+W660+AA660+AE660+AI660+AM660+AQ660+AU660+AY660+BC660</f>
        <v>4422</v>
      </c>
      <c r="BG660" s="34">
        <f t="shared" si="2397"/>
        <v>4422</v>
      </c>
      <c r="BH660" s="35">
        <f t="shared" si="2382"/>
        <v>0</v>
      </c>
      <c r="BK660" s="2" t="b">
        <f>H660='2020'!BH660</f>
        <v>1</v>
      </c>
    </row>
    <row r="661" ht="14.25" customHeight="1" hidden="1" spans="1:63" x14ac:dyDescent="0.25">
      <c r="A661" s="2">
        <v>73</v>
      </c>
      <c r="B661" s="14"/>
      <c r="D661" s="14" t="s">
        <v>51</v>
      </c>
      <c r="E661" s="2" t="s">
        <v>39</v>
      </c>
      <c r="F661" s="41">
        <v>500</v>
      </c>
      <c r="G661" s="28"/>
      <c r="H661" s="34">
        <f>'2020'!BH661</f>
        <v>500</v>
      </c>
      <c r="I661" s="13"/>
      <c r="J661" s="15"/>
      <c r="K661" s="15"/>
      <c r="L661" s="28"/>
      <c r="M661" s="13"/>
      <c r="N661" s="15"/>
      <c r="Q661" s="13"/>
      <c r="R661" s="15"/>
      <c r="S661" s="15"/>
      <c r="T661" s="28"/>
      <c r="U661" s="13"/>
      <c r="V661" s="15"/>
      <c r="Y661" s="186"/>
      <c r="Z661" s="2"/>
      <c r="AA661" s="15"/>
      <c r="AB661" s="28"/>
      <c r="AC661" s="15"/>
      <c r="AD661" s="15"/>
      <c r="AE661" s="34">
        <f>$F$13</f>
      </c>
      <c r="AF661" s="154">
        <v>500</v>
      </c>
      <c r="AG661" s="15"/>
      <c r="AH661" s="2"/>
      <c r="AI661" s="45"/>
      <c r="AJ661" s="15"/>
      <c r="AK661" s="13"/>
      <c r="AL661" s="15"/>
      <c r="AM661" s="45"/>
      <c r="AN661" s="15"/>
      <c r="AO661" s="13"/>
      <c r="AP661" s="15"/>
      <c r="AQ661" s="180"/>
      <c r="AR661" s="15"/>
      <c r="AS661" s="13"/>
      <c r="AT661" s="15"/>
      <c r="AU661" s="45"/>
      <c r="AV661" s="15"/>
      <c r="AW661" s="13"/>
      <c r="AX661" s="15"/>
      <c r="AY661" s="45"/>
      <c r="AZ661" s="28"/>
      <c r="BA661" s="13"/>
      <c r="BB661" s="15"/>
      <c r="BC661" s="45"/>
      <c r="BD661" s="28"/>
      <c r="BE661" s="14"/>
      <c r="BF661" s="41">
        <f t="shared" ref="BF661:BG661" si="2398">K661+O661+S661+W661+AA661+AE661+AI661+AM661+AQ661+AU661+AY661+BC661</f>
        <v>0</v>
      </c>
      <c r="BG661" s="34">
        <f t="shared" si="2398"/>
        <v>500</v>
      </c>
      <c r="BH661" s="35">
        <f t="shared" si="2382"/>
        <v>0</v>
      </c>
      <c r="BK661" s="2" t="b">
        <f>H661='2020'!BH661</f>
        <v>1</v>
      </c>
    </row>
    <row r="662" ht="14.25" customHeight="1" hidden="1" spans="1:63" x14ac:dyDescent="0.25">
      <c r="A662" s="2">
        <v>73</v>
      </c>
      <c r="B662" s="14"/>
      <c r="D662" s="14" t="s">
        <v>51</v>
      </c>
      <c r="E662" s="2" t="s">
        <v>49</v>
      </c>
      <c r="F662" s="41">
        <v>500</v>
      </c>
      <c r="G662" s="28"/>
      <c r="H662" s="34">
        <f>'2020'!BH662</f>
        <v>2010</v>
      </c>
      <c r="I662" s="13"/>
      <c r="J662" s="15"/>
      <c r="K662" s="15"/>
      <c r="L662" s="28"/>
      <c r="M662" s="13"/>
      <c r="N662" s="15"/>
      <c r="Q662" s="13"/>
      <c r="R662" s="15"/>
      <c r="S662" s="15"/>
      <c r="T662" s="28"/>
      <c r="U662" s="13"/>
      <c r="V662" s="15"/>
      <c r="Y662" s="186"/>
      <c r="Z662" s="2"/>
      <c r="AA662" s="15"/>
      <c r="AB662" s="28"/>
      <c r="AC662" s="15"/>
      <c r="AD662" s="15"/>
      <c r="AE662" s="34"/>
      <c r="AF662" s="154">
        <v>2010</v>
      </c>
      <c r="AG662" s="15"/>
      <c r="AH662" s="2"/>
      <c r="AI662" s="45"/>
      <c r="AJ662" s="15"/>
      <c r="AK662" s="13"/>
      <c r="AL662" s="15"/>
      <c r="AM662" s="45"/>
      <c r="AN662" s="15"/>
      <c r="AO662" s="13"/>
      <c r="AP662" s="15"/>
      <c r="AQ662" s="180">
        <f>B657*$F$14</f>
        <v>0</v>
      </c>
      <c r="AR662" s="15"/>
      <c r="AS662" s="13"/>
      <c r="AT662" s="15"/>
      <c r="AU662" s="45"/>
      <c r="AV662" s="15"/>
      <c r="AW662" s="13"/>
      <c r="AX662" s="15"/>
      <c r="AY662" s="45"/>
      <c r="AZ662" s="28"/>
      <c r="BA662" s="13"/>
      <c r="BB662" s="15"/>
      <c r="BC662" s="45"/>
      <c r="BD662" s="28"/>
      <c r="BE662" s="14"/>
      <c r="BF662" s="41">
        <f t="shared" ref="BF662:BG662" si="2399">K662+O662+S662+W662+AA662+AE662+AI662+AM662+AQ662+AU662+AY662+BC662</f>
        <v>0</v>
      </c>
      <c r="BG662" s="34">
        <f t="shared" si="2399"/>
        <v>2010</v>
      </c>
      <c r="BH662" s="35">
        <f t="shared" si="2382"/>
        <v>0</v>
      </c>
      <c r="BK662" s="2" t="b">
        <f>H662='2020'!BH662</f>
        <v>1</v>
      </c>
    </row>
    <row r="663" ht="14.25" customHeight="1" hidden="1" spans="1:63" x14ac:dyDescent="0.25">
      <c r="A663" s="2">
        <v>73</v>
      </c>
      <c r="B663" s="14"/>
      <c r="D663" s="14" t="s">
        <v>52</v>
      </c>
      <c r="E663" s="2" t="s">
        <v>39</v>
      </c>
      <c r="F663" s="41">
        <v>500</v>
      </c>
      <c r="G663" s="28"/>
      <c r="H663" s="34">
        <f>'2020'!BH663</f>
        <v>0</v>
      </c>
      <c r="I663" s="13"/>
      <c r="J663" s="15"/>
      <c r="K663" s="15"/>
      <c r="L663" s="28"/>
      <c r="M663" s="13"/>
      <c r="N663" s="15"/>
      <c r="Q663" s="13"/>
      <c r="R663" s="15"/>
      <c r="S663" s="15"/>
      <c r="T663" s="28"/>
      <c r="U663" s="13"/>
      <c r="V663" s="15"/>
      <c r="Y663" s="186"/>
      <c r="Z663" s="2"/>
      <c r="AA663" s="34">
        <f>$F$15</f>
      </c>
      <c r="AB663" s="28"/>
      <c r="AC663" s="15"/>
      <c r="AD663" s="15"/>
      <c r="AF663" s="180"/>
      <c r="AG663" s="15"/>
      <c r="AH663" s="2"/>
      <c r="AI663" s="45"/>
      <c r="AJ663" s="15"/>
      <c r="AK663" s="13"/>
      <c r="AL663" s="15"/>
      <c r="AM663" s="45"/>
      <c r="AN663" s="15"/>
      <c r="AO663" s="13"/>
      <c r="AP663" s="15"/>
      <c r="AQ663" s="45"/>
      <c r="AR663" s="15"/>
      <c r="AS663" s="13"/>
      <c r="AT663" s="15"/>
      <c r="AU663" s="45"/>
      <c r="AV663" s="15"/>
      <c r="AW663" s="13"/>
      <c r="AX663" s="15"/>
      <c r="AY663" s="45"/>
      <c r="AZ663" s="35"/>
      <c r="BA663" s="13"/>
      <c r="BB663" s="15"/>
      <c r="BC663" s="45"/>
      <c r="BD663" s="35"/>
      <c r="BE663" s="14"/>
      <c r="BF663" s="41">
        <f t="shared" ref="BF663:BG663" si="2400">K663+O663+S663+W663+AA663+AE663+AI663+AM663+AQ663+AU663+AY663+BC663</f>
        <v>0</v>
      </c>
      <c r="BG663" s="34">
        <f t="shared" si="2400"/>
        <v>0</v>
      </c>
      <c r="BH663" s="35">
        <f t="shared" si="2382"/>
        <v>0</v>
      </c>
      <c r="BK663" s="2" t="b">
        <f>H663='2020'!BH663</f>
        <v>1</v>
      </c>
    </row>
    <row r="664" ht="14.25" customHeight="1" hidden="1" spans="1:63" x14ac:dyDescent="0.25">
      <c r="A664" s="247">
        <v>73</v>
      </c>
      <c r="B664" s="21"/>
      <c r="C664" s="22" t="s">
        <v>53</v>
      </c>
      <c r="D664" s="21"/>
      <c r="E664" s="22"/>
      <c r="F664" s="20"/>
      <c r="G664" s="23"/>
      <c r="H664" s="51">
        <f>SUM(H656:H663)</f>
        <v>2211.11</v>
      </c>
      <c r="I664" s="52"/>
      <c r="J664" s="53"/>
      <c r="K664" s="51">
        <f t="shared" ref="K664:L664" si="2401">SUM(K656:K663)</f>
        <v>0</v>
      </c>
      <c r="L664" s="68">
        <f t="shared" si="2401"/>
        <v>0</v>
      </c>
      <c r="M664" s="52"/>
      <c r="N664" s="53"/>
      <c r="O664" s="51">
        <f t="shared" ref="O664:P664" si="2402">SUM(O656:O663)</f>
        <v>0</v>
      </c>
      <c r="P664" s="51">
        <f t="shared" si="2402"/>
        <v>0</v>
      </c>
      <c r="Q664" s="52"/>
      <c r="R664" s="53"/>
      <c r="S664" s="51">
        <f t="shared" ref="S664:T664" si="2403">SUM(S656:S663)</f>
        <v>0</v>
      </c>
      <c r="T664" s="51">
        <f t="shared" si="2403"/>
        <v>0</v>
      </c>
      <c r="U664" s="52"/>
      <c r="V664" s="53"/>
      <c r="W664" s="51">
        <f t="shared" ref="W664:X664" si="2404">SUM(W656:W663)</f>
        <v>0</v>
      </c>
      <c r="X664" s="51">
        <f t="shared" si="2404"/>
        <v>0</v>
      </c>
      <c r="Y664" s="300"/>
      <c r="Z664" s="301"/>
      <c r="AA664" s="51">
        <f t="shared" ref="AA664:AB664" si="2405">SUM(AA656:AA663)</f>
        <v>214.06</v>
      </c>
      <c r="AB664" s="51">
        <f t="shared" si="2405"/>
        <v>0</v>
      </c>
      <c r="AC664" s="52"/>
      <c r="AD664" s="53"/>
      <c r="AE664" s="51">
        <f t="shared" ref="AE664:AF664" si="2406">SUM(AE656:AE663)</f>
        <v>4519.3</v>
      </c>
      <c r="AF664" s="51">
        <f t="shared" si="2406"/>
        <v>6944.47</v>
      </c>
      <c r="AG664" s="52"/>
      <c r="AH664" s="301"/>
      <c r="AI664" s="183">
        <f t="shared" ref="AI664:AJ664" si="2407">SUM(AI656:AI663)</f>
        <v>61.05</v>
      </c>
      <c r="AJ664" s="51">
        <f t="shared" si="2407"/>
        <v>64</v>
      </c>
      <c r="AK664" s="52"/>
      <c r="AL664" s="53"/>
      <c r="AM664" s="183">
        <f t="shared" ref="AM664:AN664" si="2408">SUM(AM656:AM663)</f>
        <v>40.7</v>
      </c>
      <c r="AN664" s="51">
        <f t="shared" si="2408"/>
        <v>37.75</v>
      </c>
      <c r="AO664" s="52"/>
      <c r="AP664" s="53"/>
      <c r="AQ664" s="183">
        <f t="shared" ref="AQ664:AR664" si="2409">SUM(AQ656:AQ663)</f>
        <v>0</v>
      </c>
      <c r="AR664" s="51">
        <f t="shared" si="2409"/>
        <v>0</v>
      </c>
      <c r="AS664" s="52"/>
      <c r="AT664" s="53"/>
      <c r="AU664" s="183">
        <f t="shared" ref="AU664:AV664" si="2410">SUM(AU656:AU663)</f>
        <v>0</v>
      </c>
      <c r="AV664" s="68">
        <f t="shared" si="2410"/>
        <v>0</v>
      </c>
      <c r="AW664" s="52"/>
      <c r="AX664" s="53"/>
      <c r="AY664" s="183">
        <f t="shared" ref="AY664:AZ664" si="2411">SUM(AY656:AY663)</f>
        <v>0</v>
      </c>
      <c r="AZ664" s="68">
        <f t="shared" si="2411"/>
        <v>0</v>
      </c>
      <c r="BA664" s="52"/>
      <c r="BB664" s="53"/>
      <c r="BC664" s="183">
        <f t="shared" ref="BC664:BD664" si="2412">SUM(BC656:BC663)</f>
        <v>0</v>
      </c>
      <c r="BD664" s="68">
        <f t="shared" si="2412"/>
        <v>0</v>
      </c>
      <c r="BE664" s="69"/>
      <c r="BF664" s="70">
        <f t="shared" ref="BF664:BH664" si="2413">SUM(BF656:BF663)</f>
        <v>4835.11</v>
      </c>
      <c r="BG664" s="71">
        <f t="shared" si="2413"/>
        <v>7046.22</v>
      </c>
      <c r="BH664" s="72">
        <f t="shared" si="2413"/>
        <v>0</v>
      </c>
      <c r="BI664" s="34">
        <f>H664+BF664-BG664</f>
        <v>0</v>
      </c>
      <c r="BJ664" s="34">
        <f>BH664-BI664</f>
        <v>0</v>
      </c>
      <c r="BK664" s="2" t="b">
        <f>H664='2020'!BH664</f>
        <v>1</v>
      </c>
    </row>
    <row r="665" ht="15.75" customHeight="1" hidden="1" spans="1:63" x14ac:dyDescent="0.25">
      <c r="A665" s="2">
        <v>74</v>
      </c>
      <c r="B665" s="14"/>
      <c r="D665" s="14" t="s">
        <v>379</v>
      </c>
      <c r="F665" s="13"/>
      <c r="G665" s="28"/>
      <c r="H665" s="34">
        <f>'2020'!BH665</f>
        <v>0</v>
      </c>
      <c r="I665" s="13"/>
      <c r="J665" s="15"/>
      <c r="K665" s="15"/>
      <c r="L665" s="28"/>
      <c r="M665" s="13"/>
      <c r="N665" s="15"/>
      <c r="Q665" s="13"/>
      <c r="R665" s="15"/>
      <c r="S665" s="15"/>
      <c r="T665" s="28"/>
      <c r="U665" s="13"/>
      <c r="V665" s="15"/>
      <c r="Y665" s="186"/>
      <c r="Z665" s="2"/>
      <c r="AA665" s="15"/>
      <c r="AB665" s="28"/>
      <c r="AC665" s="15"/>
      <c r="AD665" s="15"/>
      <c r="AG665" s="15"/>
      <c r="AH665" s="2"/>
      <c r="AI665" s="45"/>
      <c r="AJ665" s="15"/>
      <c r="AK665" s="13"/>
      <c r="AM665" s="45"/>
      <c r="AO665" s="13"/>
      <c r="AQ665" s="45"/>
      <c r="AS665" s="13"/>
      <c r="AU665" s="45"/>
      <c r="AW665" s="13"/>
      <c r="AY665" s="45"/>
      <c r="AZ665" s="28"/>
      <c r="BA665" s="13"/>
      <c r="BB665" s="15"/>
      <c r="BC665" s="45"/>
      <c r="BD665" s="28"/>
      <c r="BE665" s="14"/>
      <c r="BF665" s="41">
        <f t="shared" ref="BF665:BG665" si="2414">K665+O665+S665+W665+AA665+AE665+AI665+AM665+AQ665+AU665+AY665+BC665</f>
        <v>0</v>
      </c>
      <c r="BG665" s="34">
        <f t="shared" si="2414"/>
        <v>0</v>
      </c>
      <c r="BH665" s="35">
        <f t="shared" ref="BH665:BH672" si="2415">H665+BF665-BG665</f>
        <v>0</v>
      </c>
      <c r="BK665" s="2" t="b">
        <f>H665='2020'!BH665</f>
        <v>1</v>
      </c>
    </row>
    <row r="666" ht="15.75" customHeight="1" hidden="1" spans="1:63" x14ac:dyDescent="0.25">
      <c r="A666" s="2">
        <v>74</v>
      </c>
      <c r="B666" s="14">
        <v>4.97</v>
      </c>
      <c r="C666" s="2" t="s">
        <v>262</v>
      </c>
      <c r="D666" s="14" t="s">
        <v>44</v>
      </c>
      <c r="E666" s="2" t="s">
        <v>45</v>
      </c>
      <c r="F666" s="41">
        <v>2.5</v>
      </c>
      <c r="G666" s="35">
        <v>2.6</v>
      </c>
      <c r="H666" s="104">
        <f>'2020'!BH666</f>
        <v>0</v>
      </c>
      <c r="I666" s="13">
        <v>0</v>
      </c>
      <c r="J666" s="15">
        <f>I666-'2020'!BA666</f>
        <v>0</v>
      </c>
      <c r="K666" s="34">
        <f>J666*$F$8</f>
        <v>0</v>
      </c>
      <c r="L666" s="28"/>
      <c r="M666" s="13">
        <v>0</v>
      </c>
      <c r="N666" s="15">
        <f t="shared" ref="N666:N667" si="2416">M666-I666</f>
        <v>0</v>
      </c>
      <c r="O666" s="34">
        <f>N666*$F$8</f>
        <v>0</v>
      </c>
      <c r="Q666" s="13">
        <v>0</v>
      </c>
      <c r="R666" s="15">
        <f t="shared" ref="R666:R667" si="2417">Q666-M666</f>
        <v>0</v>
      </c>
      <c r="S666" s="34">
        <f>R666*$F$8</f>
        <v>0</v>
      </c>
      <c r="T666" s="28"/>
      <c r="U666" s="13">
        <v>0</v>
      </c>
      <c r="V666" s="15">
        <f t="shared" ref="V666:V667" si="2418">U666-Q666</f>
        <v>0</v>
      </c>
      <c r="W666" s="34">
        <f>V666*$F$8</f>
        <v>0</v>
      </c>
      <c r="Y666" s="186"/>
      <c r="Z666" s="2">
        <f>Y666-U666</f>
        <v>0</v>
      </c>
      <c r="AA666" s="34">
        <f>Z666*$F$8</f>
        <v>0</v>
      </c>
      <c r="AB666" s="28"/>
      <c r="AC666" s="15"/>
      <c r="AD666" s="15">
        <f t="shared" ref="AD666:AD667" si="2419">AC666-Y666</f>
        <v>0</v>
      </c>
      <c r="AE666" s="180">
        <f>AD666*$F$8</f>
        <v>0</v>
      </c>
      <c r="AG666" s="15"/>
      <c r="AH666" s="2">
        <f t="shared" ref="AH666:AH667" si="2420">AG666-AC666</f>
        <v>0</v>
      </c>
      <c r="AI666" s="45">
        <f>AH666*$G$8</f>
        <v>0</v>
      </c>
      <c r="AJ666" s="15"/>
      <c r="AK666" s="13"/>
      <c r="AL666" s="15">
        <f t="shared" ref="AL666:AL667" si="2421">AK666-AG666</f>
        <v>0</v>
      </c>
      <c r="AM666" s="45">
        <f>AL666*$G$8</f>
        <v>0</v>
      </c>
      <c r="AN666" s="15"/>
      <c r="AO666" s="13"/>
      <c r="AP666" s="15">
        <f t="shared" ref="AP666:AP667" si="2422">AO666-AK666</f>
        <v>0</v>
      </c>
      <c r="AQ666" s="45">
        <f>AP666*$G$8</f>
        <v>0</v>
      </c>
      <c r="AR666" s="15"/>
      <c r="AS666" s="13"/>
      <c r="AT666" s="15">
        <f t="shared" ref="AT666:AT667" si="2423">AS666-AO666</f>
        <v>0</v>
      </c>
      <c r="AU666" s="45">
        <f>AT666*$G$8</f>
        <v>0</v>
      </c>
      <c r="AV666" s="15"/>
      <c r="AW666" s="13"/>
      <c r="AX666" s="15">
        <f t="shared" ref="AX666:AX667" si="2424">AW666-AS666</f>
        <v>0</v>
      </c>
      <c r="AY666" s="45">
        <f>AX666*$G$8</f>
        <v>0</v>
      </c>
      <c r="AZ666" s="208"/>
      <c r="BA666" s="13"/>
      <c r="BB666" s="15">
        <f t="shared" ref="BB666:BB667" si="2425">BA666-AW666</f>
        <v>0</v>
      </c>
      <c r="BC666" s="45">
        <f>BB666*$G$8</f>
        <v>0</v>
      </c>
      <c r="BD666" s="208"/>
      <c r="BE666" s="40">
        <f t="shared" ref="BE666:BG666" si="2426">J666+N666+R666+V666+Z666+AD666+AH666+AL666+AP666+AT666+AX666+BB666</f>
        <v>0</v>
      </c>
      <c r="BF666" s="41">
        <f t="shared" si="2426"/>
        <v>0</v>
      </c>
      <c r="BG666" s="34">
        <f t="shared" si="2426"/>
        <v>0</v>
      </c>
      <c r="BH666" s="35">
        <f t="shared" si="2415"/>
        <v>0</v>
      </c>
      <c r="BK666" s="2" t="b">
        <f>H666='2020'!BH666</f>
        <v>1</v>
      </c>
    </row>
    <row r="667" ht="15.75" customHeight="1" hidden="1" spans="1:63" x14ac:dyDescent="0.25">
      <c r="A667" s="2">
        <v>74</v>
      </c>
      <c r="B667" s="14"/>
      <c r="C667" s="2" t="s">
        <v>161</v>
      </c>
      <c r="D667" s="14" t="s">
        <v>47</v>
      </c>
      <c r="E667" s="2" t="s">
        <v>48</v>
      </c>
      <c r="F667" s="13">
        <v>18.56</v>
      </c>
      <c r="G667" s="35">
        <v>19.46</v>
      </c>
      <c r="H667" s="34">
        <f>'2020'!BH667</f>
        <v>-2.02</v>
      </c>
      <c r="I667" s="13">
        <v>161</v>
      </c>
      <c r="J667" s="15"/>
      <c r="K667" s="15"/>
      <c r="L667" s="28"/>
      <c r="M667" s="13">
        <v>161</v>
      </c>
      <c r="N667" s="15">
        <f t="shared" si="2416"/>
        <v>0</v>
      </c>
      <c r="Q667" s="13">
        <v>161</v>
      </c>
      <c r="R667" s="15">
        <f t="shared" si="2417"/>
        <v>0</v>
      </c>
      <c r="S667" s="15"/>
      <c r="T667" s="28"/>
      <c r="U667" s="13">
        <v>161</v>
      </c>
      <c r="V667" s="15">
        <f t="shared" si="2418"/>
        <v>0</v>
      </c>
      <c r="W667" s="180">
        <f>V667*$F$10</f>
        <v>0</v>
      </c>
      <c r="Y667" s="186">
        <v>1</v>
      </c>
      <c r="Z667" s="2">
        <v>0</v>
      </c>
      <c r="AA667" s="34">
        <f>Z667*$F$10</f>
        <v>0</v>
      </c>
      <c r="AB667" s="28"/>
      <c r="AC667" s="15">
        <v>12</v>
      </c>
      <c r="AD667" s="15">
        <f t="shared" si="2419"/>
        <v>11</v>
      </c>
      <c r="AE667" s="34">
        <f>AD667*$F$10</f>
        <v>214.06</v>
      </c>
      <c r="AF667" s="182">
        <v>548</v>
      </c>
      <c r="AG667" s="15">
        <v>16</v>
      </c>
      <c r="AH667" s="2">
        <f t="shared" si="2420"/>
        <v>4</v>
      </c>
      <c r="AI667" s="45">
        <f>AH667*$G$10</f>
        <v>81.4</v>
      </c>
      <c r="AJ667" s="180"/>
      <c r="AK667" s="13">
        <v>20</v>
      </c>
      <c r="AL667" s="15">
        <f t="shared" si="2421"/>
        <v>4</v>
      </c>
      <c r="AM667" s="45">
        <f>AL667*$G$10</f>
        <v>81.4</v>
      </c>
      <c r="AN667" s="34"/>
      <c r="AO667" s="13">
        <v>20</v>
      </c>
      <c r="AP667" s="15">
        <f t="shared" si="2422"/>
        <v>0</v>
      </c>
      <c r="AQ667" s="45">
        <f>AP667*$G$10</f>
        <v>0</v>
      </c>
      <c r="AR667" s="15"/>
      <c r="AS667" s="13">
        <v>20</v>
      </c>
      <c r="AT667" s="15">
        <f t="shared" si="2423"/>
        <v>0</v>
      </c>
      <c r="AU667" s="45">
        <f>AT667*$G$10</f>
        <v>0</v>
      </c>
      <c r="AV667" s="15"/>
      <c r="AW667" s="13">
        <v>20</v>
      </c>
      <c r="AX667" s="15">
        <f t="shared" si="2424"/>
        <v>0</v>
      </c>
      <c r="AY667" s="45"/>
      <c r="AZ667" s="208"/>
      <c r="BA667" s="13">
        <v>20</v>
      </c>
      <c r="BB667" s="15">
        <f t="shared" si="2425"/>
        <v>0</v>
      </c>
      <c r="BC667" s="45"/>
      <c r="BD667" s="208"/>
      <c r="BE667" s="40">
        <f t="shared" ref="BE667:BG667" si="2427">J667+N667+R667+V667+Z667+AD667+AH667+AL667+AP667+AT667+AX667+BB667</f>
        <v>19</v>
      </c>
      <c r="BF667" s="41">
        <f t="shared" si="2427"/>
        <v>376.86</v>
      </c>
      <c r="BG667" s="34">
        <f t="shared" si="2427"/>
        <v>548</v>
      </c>
      <c r="BH667" s="35">
        <f t="shared" si="2415"/>
        <v>-173.16</v>
      </c>
      <c r="BK667" s="2" t="b">
        <f>H667='2020'!BH667</f>
        <v>1</v>
      </c>
    </row>
    <row r="668" ht="15.75" customHeight="1" hidden="1" spans="1:63" x14ac:dyDescent="0.25">
      <c r="A668" s="2">
        <v>74</v>
      </c>
      <c r="B668" s="14"/>
      <c r="C668" s="2" t="s">
        <v>107</v>
      </c>
      <c r="D668" s="14" t="s">
        <v>47</v>
      </c>
      <c r="E668" s="2" t="s">
        <v>49</v>
      </c>
      <c r="F668" s="41">
        <v>500</v>
      </c>
      <c r="G668" s="28"/>
      <c r="H668" s="34">
        <f>'2020'!BH668</f>
        <v>0</v>
      </c>
      <c r="I668" s="13"/>
      <c r="J668" s="15"/>
      <c r="K668" s="15"/>
      <c r="L668" s="28"/>
      <c r="M668" s="13"/>
      <c r="N668" s="15"/>
      <c r="Q668" s="13"/>
      <c r="R668" s="15"/>
      <c r="S668" s="15"/>
      <c r="T668" s="28"/>
      <c r="U668" s="13"/>
      <c r="V668" s="15"/>
      <c r="Y668" s="186"/>
      <c r="Z668" s="2"/>
      <c r="AA668" s="15"/>
      <c r="AB668" s="28"/>
      <c r="AC668" s="15"/>
      <c r="AD668" s="15"/>
      <c r="AF668" s="154"/>
      <c r="AG668" s="15"/>
      <c r="AH668" s="2"/>
      <c r="AI668" s="45"/>
      <c r="AJ668" s="15"/>
      <c r="AK668" s="13"/>
      <c r="AL668" s="15"/>
      <c r="AM668" s="45"/>
      <c r="AN668" s="15"/>
      <c r="AO668" s="13"/>
      <c r="AP668" s="15"/>
      <c r="AQ668" s="45"/>
      <c r="AR668" s="15"/>
      <c r="AS668" s="13"/>
      <c r="AT668" s="15"/>
      <c r="AU668" s="45"/>
      <c r="AV668" s="15"/>
      <c r="AW668" s="13"/>
      <c r="AX668" s="15"/>
      <c r="AY668" s="45"/>
      <c r="AZ668" s="28"/>
      <c r="BA668" s="13"/>
      <c r="BB668" s="15"/>
      <c r="BC668" s="45"/>
      <c r="BD668" s="28"/>
      <c r="BE668" s="14"/>
      <c r="BF668" s="41">
        <f t="shared" ref="BF668:BG668" si="2428">K668+O668+S668+W668+AA668+AE668+AI668+AM668+AQ668+AU668+AY668+BC668</f>
        <v>0</v>
      </c>
      <c r="BG668" s="34">
        <f t="shared" si="2428"/>
        <v>0</v>
      </c>
      <c r="BH668" s="35">
        <f t="shared" si="2415"/>
        <v>0</v>
      </c>
      <c r="BK668" s="2" t="b">
        <f>H668='2020'!BH668</f>
        <v>1</v>
      </c>
    </row>
    <row r="669" ht="15.75" customHeight="1" hidden="1" spans="1:63" x14ac:dyDescent="0.25">
      <c r="A669" s="2">
        <v>74</v>
      </c>
      <c r="B669" s="14"/>
      <c r="C669" s="2" t="s">
        <v>263</v>
      </c>
      <c r="D669" s="14" t="s">
        <v>50</v>
      </c>
      <c r="E669" s="2" t="s">
        <v>49</v>
      </c>
      <c r="F669" s="41">
        <v>1100</v>
      </c>
      <c r="G669" s="28"/>
      <c r="H669" s="34">
        <f>'2020'!BH669</f>
        <v>0</v>
      </c>
      <c r="I669" s="13"/>
      <c r="J669" s="15"/>
      <c r="K669" s="15"/>
      <c r="L669" s="28"/>
      <c r="M669" s="13"/>
      <c r="N669" s="15"/>
      <c r="Q669" s="13"/>
      <c r="R669" s="15"/>
      <c r="S669" s="15"/>
      <c r="T669" s="28"/>
      <c r="U669" s="13"/>
      <c r="V669" s="15"/>
      <c r="Y669" s="186"/>
      <c r="Z669" s="2"/>
      <c r="AA669" s="15"/>
      <c r="AB669" s="28"/>
      <c r="AC669" s="15"/>
      <c r="AD669" s="15"/>
      <c r="AE669" s="34">
        <f>B666*$F$12</f>
        <v>5467</v>
      </c>
      <c r="AF669" s="182">
        <v>5467</v>
      </c>
      <c r="AG669" s="15"/>
      <c r="AH669" s="2"/>
      <c r="AI669" s="45"/>
      <c r="AJ669" s="39"/>
      <c r="AK669" s="13"/>
      <c r="AL669" s="15"/>
      <c r="AM669" s="45"/>
      <c r="AN669" s="15"/>
      <c r="AO669" s="13"/>
      <c r="AP669" s="15"/>
      <c r="AQ669" s="45"/>
      <c r="AR669" s="15"/>
      <c r="AS669" s="13"/>
      <c r="AT669" s="15"/>
      <c r="AU669" s="45"/>
      <c r="AV669" s="15"/>
      <c r="AW669" s="13"/>
      <c r="AX669" s="15"/>
      <c r="AY669" s="45"/>
      <c r="AZ669" s="28"/>
      <c r="BA669" s="13"/>
      <c r="BB669" s="15"/>
      <c r="BC669" s="45"/>
      <c r="BD669" s="28"/>
      <c r="BE669" s="14"/>
      <c r="BF669" s="41">
        <f t="shared" ref="BF669:BG669" si="2429">K669+O669+S669+W669+AA669+AE669+AI669+AM669+AQ669+AU669+AY669+BC669</f>
        <v>5467</v>
      </c>
      <c r="BG669" s="34">
        <f t="shared" si="2429"/>
        <v>5467</v>
      </c>
      <c r="BH669" s="35">
        <f t="shared" si="2415"/>
        <v>0</v>
      </c>
      <c r="BK669" s="2" t="b">
        <f>H669='2020'!BH669</f>
        <v>1</v>
      </c>
    </row>
    <row r="670" ht="15.75" customHeight="1" hidden="1" spans="1:63" x14ac:dyDescent="0.25">
      <c r="A670" s="2">
        <v>74</v>
      </c>
      <c r="B670" s="14"/>
      <c r="D670" s="14" t="s">
        <v>51</v>
      </c>
      <c r="E670" s="2" t="s">
        <v>39</v>
      </c>
      <c r="F670" s="41">
        <v>500</v>
      </c>
      <c r="G670" s="28"/>
      <c r="H670" s="34">
        <f>'2020'!BH670</f>
        <v>500</v>
      </c>
      <c r="I670" s="13"/>
      <c r="J670" s="15"/>
      <c r="K670" s="15"/>
      <c r="L670" s="28"/>
      <c r="M670" s="13"/>
      <c r="N670" s="15"/>
      <c r="Q670" s="13"/>
      <c r="R670" s="15"/>
      <c r="S670" s="15"/>
      <c r="T670" s="28"/>
      <c r="U670" s="13"/>
      <c r="V670" s="15"/>
      <c r="Y670" s="186"/>
      <c r="Z670" s="2"/>
      <c r="AA670" s="15"/>
      <c r="AB670" s="28"/>
      <c r="AC670" s="15"/>
      <c r="AD670" s="15"/>
      <c r="AE670" s="34">
        <f>$F$13</f>
      </c>
      <c r="AF670" s="182">
        <v>500</v>
      </c>
      <c r="AG670" s="15"/>
      <c r="AH670" s="2"/>
      <c r="AI670" s="45"/>
      <c r="AJ670" s="15"/>
      <c r="AK670" s="13"/>
      <c r="AL670" s="15"/>
      <c r="AM670" s="45"/>
      <c r="AN670" s="15"/>
      <c r="AO670" s="13"/>
      <c r="AP670" s="15"/>
      <c r="AQ670" s="180"/>
      <c r="AR670" s="15"/>
      <c r="AS670" s="13"/>
      <c r="AT670" s="15"/>
      <c r="AU670" s="45"/>
      <c r="AV670" s="15"/>
      <c r="AW670" s="13"/>
      <c r="AX670" s="15"/>
      <c r="AY670" s="45"/>
      <c r="AZ670" s="28"/>
      <c r="BA670" s="13"/>
      <c r="BB670" s="15"/>
      <c r="BC670" s="45"/>
      <c r="BD670" s="28"/>
      <c r="BE670" s="14"/>
      <c r="BF670" s="41">
        <f t="shared" ref="BF670:BG670" si="2430">K670+O670+S670+W670+AA670+AE670+AI670+AM670+AQ670+AU670+AY670+BC670</f>
        <v>0</v>
      </c>
      <c r="BG670" s="34">
        <f t="shared" si="2430"/>
        <v>500</v>
      </c>
      <c r="BH670" s="35">
        <f t="shared" si="2415"/>
        <v>0</v>
      </c>
      <c r="BK670" s="2" t="b">
        <f>H670='2020'!BH670</f>
        <v>1</v>
      </c>
    </row>
    <row r="671" ht="15.75" customHeight="1" hidden="1" spans="1:63" x14ac:dyDescent="0.25">
      <c r="A671" s="2">
        <v>74</v>
      </c>
      <c r="B671" s="14"/>
      <c r="D671" s="14" t="s">
        <v>51</v>
      </c>
      <c r="E671" s="2" t="s">
        <v>49</v>
      </c>
      <c r="F671" s="41">
        <v>500</v>
      </c>
      <c r="G671" s="28"/>
      <c r="H671" s="34">
        <f>'2020'!BH671</f>
        <v>2485</v>
      </c>
      <c r="I671" s="13"/>
      <c r="J671" s="15"/>
      <c r="K671" s="15"/>
      <c r="L671" s="28"/>
      <c r="M671" s="13"/>
      <c r="N671" s="15"/>
      <c r="Q671" s="13"/>
      <c r="R671" s="15"/>
      <c r="S671" s="15"/>
      <c r="T671" s="28"/>
      <c r="U671" s="13"/>
      <c r="V671" s="15"/>
      <c r="Y671" s="186"/>
      <c r="Z671" s="2"/>
      <c r="AA671" s="15"/>
      <c r="AB671" s="28"/>
      <c r="AC671" s="15"/>
      <c r="AD671" s="15"/>
      <c r="AE671" s="34"/>
      <c r="AF671" s="182">
        <v>2485</v>
      </c>
      <c r="AG671" s="15"/>
      <c r="AH671" s="2"/>
      <c r="AI671" s="45"/>
      <c r="AJ671" s="15"/>
      <c r="AK671" s="13"/>
      <c r="AL671" s="15"/>
      <c r="AM671" s="45"/>
      <c r="AN671" s="15"/>
      <c r="AO671" s="13"/>
      <c r="AP671" s="15"/>
      <c r="AQ671" s="180">
        <f>B666*$F$14</f>
        <v>0</v>
      </c>
      <c r="AR671" s="15"/>
      <c r="AS671" s="13"/>
      <c r="AT671" s="15"/>
      <c r="AU671" s="45"/>
      <c r="AV671" s="15"/>
      <c r="AW671" s="13"/>
      <c r="AX671" s="15"/>
      <c r="AY671" s="45"/>
      <c r="AZ671" s="28"/>
      <c r="BA671" s="13"/>
      <c r="BB671" s="15"/>
      <c r="BC671" s="45"/>
      <c r="BD671" s="28"/>
      <c r="BE671" s="14"/>
      <c r="BF671" s="41">
        <f t="shared" ref="BF671:BG671" si="2431">K671+O671+S671+W671+AA671+AE671+AI671+AM671+AQ671+AU671+AY671+BC671</f>
        <v>0</v>
      </c>
      <c r="BG671" s="34">
        <f t="shared" si="2431"/>
        <v>2485</v>
      </c>
      <c r="BH671" s="35">
        <f t="shared" si="2415"/>
        <v>0</v>
      </c>
      <c r="BK671" s="2" t="b">
        <f>H671='2020'!BH671</f>
        <v>1</v>
      </c>
    </row>
    <row r="672" ht="15.75" customHeight="1" hidden="1" spans="1:63" x14ac:dyDescent="0.25">
      <c r="A672" s="2">
        <v>74</v>
      </c>
      <c r="B672" s="14"/>
      <c r="D672" s="14" t="s">
        <v>52</v>
      </c>
      <c r="E672" s="2" t="s">
        <v>39</v>
      </c>
      <c r="F672" s="41">
        <v>500</v>
      </c>
      <c r="G672" s="28"/>
      <c r="H672" s="34">
        <f>'2020'!BH672</f>
        <v>0</v>
      </c>
      <c r="I672" s="13"/>
      <c r="J672" s="15"/>
      <c r="K672" s="15"/>
      <c r="L672" s="28"/>
      <c r="M672" s="13"/>
      <c r="N672" s="15"/>
      <c r="Q672" s="13"/>
      <c r="R672" s="15"/>
      <c r="S672" s="15"/>
      <c r="T672" s="28"/>
      <c r="U672" s="13"/>
      <c r="V672" s="15"/>
      <c r="Y672" s="186"/>
      <c r="Z672" s="2"/>
      <c r="AA672" s="34">
        <f>$F$15</f>
      </c>
      <c r="AB672" s="28"/>
      <c r="AC672" s="15"/>
      <c r="AD672" s="15"/>
      <c r="AE672" s="15"/>
      <c r="AF672" s="180"/>
      <c r="AG672" s="15"/>
      <c r="AH672" s="2"/>
      <c r="AI672" s="45"/>
      <c r="AJ672" s="39"/>
      <c r="AK672" s="13"/>
      <c r="AL672" s="15"/>
      <c r="AM672" s="45"/>
      <c r="AN672" s="15"/>
      <c r="AO672" s="13"/>
      <c r="AP672" s="15"/>
      <c r="AQ672" s="45"/>
      <c r="AR672" s="15"/>
      <c r="AS672" s="13"/>
      <c r="AT672" s="15"/>
      <c r="AU672" s="45"/>
      <c r="AV672" s="15"/>
      <c r="AW672" s="13"/>
      <c r="AX672" s="15"/>
      <c r="AY672" s="45"/>
      <c r="AZ672" s="35"/>
      <c r="BA672" s="13"/>
      <c r="BB672" s="15"/>
      <c r="BC672" s="45"/>
      <c r="BD672" s="35"/>
      <c r="BE672" s="14"/>
      <c r="BF672" s="41">
        <f t="shared" ref="BF672:BG672" si="2432">K672+O672+S672+W672+AA672+AE672+AI672+AM672+AQ672+AU672+AY672+BC672</f>
        <v>0</v>
      </c>
      <c r="BG672" s="34">
        <f t="shared" si="2432"/>
        <v>0</v>
      </c>
      <c r="BH672" s="35">
        <f t="shared" si="2415"/>
        <v>0</v>
      </c>
      <c r="BK672" s="2" t="b">
        <f>H672='2020'!BH672</f>
        <v>1</v>
      </c>
    </row>
    <row r="673" ht="14.25" customHeight="1" hidden="1" spans="1:63" x14ac:dyDescent="0.25">
      <c r="A673" s="244" t="s">
        <v>264</v>
      </c>
      <c r="B673" s="21"/>
      <c r="C673" s="22" t="s">
        <v>53</v>
      </c>
      <c r="D673" s="21"/>
      <c r="E673" s="22"/>
      <c r="F673" s="20"/>
      <c r="G673" s="23"/>
      <c r="H673" s="51">
        <f>SUM(H665:H672)</f>
        <v>2982.98</v>
      </c>
      <c r="I673" s="52"/>
      <c r="J673" s="53"/>
      <c r="K673" s="51">
        <f t="shared" ref="K673:L673" si="2433">SUM(K665:K672)</f>
        <v>0</v>
      </c>
      <c r="L673" s="68">
        <f t="shared" si="2433"/>
        <v>0</v>
      </c>
      <c r="M673" s="52"/>
      <c r="N673" s="53"/>
      <c r="O673" s="51">
        <f t="shared" ref="O673:P673" si="2434">SUM(O665:O672)</f>
        <v>0</v>
      </c>
      <c r="P673" s="51">
        <f t="shared" si="2434"/>
        <v>0</v>
      </c>
      <c r="Q673" s="52"/>
      <c r="R673" s="53"/>
      <c r="S673" s="51">
        <f t="shared" ref="S673:T673" si="2435">SUM(S665:S672)</f>
        <v>0</v>
      </c>
      <c r="T673" s="51">
        <f t="shared" si="2435"/>
        <v>0</v>
      </c>
      <c r="U673" s="52"/>
      <c r="V673" s="53"/>
      <c r="W673" s="51">
        <f t="shared" ref="W673:X673" si="2436">SUM(W665:W672)</f>
        <v>0</v>
      </c>
      <c r="X673" s="51">
        <f t="shared" si="2436"/>
        <v>0</v>
      </c>
      <c r="Y673" s="300"/>
      <c r="Z673" s="301"/>
      <c r="AA673" s="51">
        <f t="shared" ref="AA673:AB673" si="2437">SUM(AA665:AA672)</f>
        <v>0</v>
      </c>
      <c r="AB673" s="51">
        <f t="shared" si="2437"/>
        <v>0</v>
      </c>
      <c r="AC673" s="52"/>
      <c r="AD673" s="53"/>
      <c r="AE673" s="51">
        <f t="shared" ref="AE673:AF673" si="2438">SUM(AE665:AE672)</f>
        <v>5681.06</v>
      </c>
      <c r="AF673" s="51">
        <f t="shared" si="2438"/>
        <v>9000</v>
      </c>
      <c r="AG673" s="52"/>
      <c r="AH673" s="301"/>
      <c r="AI673" s="183">
        <f t="shared" ref="AI673:AJ673" si="2439">SUM(AI665:AI672)</f>
        <v>81.4</v>
      </c>
      <c r="AJ673" s="51">
        <f t="shared" si="2439"/>
        <v>0</v>
      </c>
      <c r="AK673" s="52"/>
      <c r="AL673" s="53"/>
      <c r="AM673" s="183">
        <f t="shared" ref="AM673:AN673" si="2440">SUM(AM665:AM672)</f>
        <v>81.4</v>
      </c>
      <c r="AN673" s="51">
        <f t="shared" si="2440"/>
        <v>0</v>
      </c>
      <c r="AO673" s="52"/>
      <c r="AP673" s="53"/>
      <c r="AQ673" s="183">
        <f t="shared" ref="AQ673:AR673" si="2441">SUM(AQ665:AQ672)</f>
        <v>0</v>
      </c>
      <c r="AR673" s="51">
        <f t="shared" si="2441"/>
        <v>0</v>
      </c>
      <c r="AS673" s="52"/>
      <c r="AT673" s="53"/>
      <c r="AU673" s="183">
        <f t="shared" ref="AU673:AV673" si="2442">SUM(AU665:AU672)</f>
        <v>0</v>
      </c>
      <c r="AV673" s="68">
        <f t="shared" si="2442"/>
        <v>0</v>
      </c>
      <c r="AW673" s="52"/>
      <c r="AX673" s="53"/>
      <c r="AY673" s="183">
        <f t="shared" ref="AY673:AZ673" si="2443">SUM(AY665:AY672)</f>
        <v>0</v>
      </c>
      <c r="AZ673" s="68">
        <f t="shared" si="2443"/>
        <v>0</v>
      </c>
      <c r="BA673" s="52"/>
      <c r="BB673" s="53"/>
      <c r="BC673" s="183">
        <f t="shared" ref="BC673:BD673" si="2444">SUM(BC665:BC672)</f>
        <v>0</v>
      </c>
      <c r="BD673" s="68">
        <f t="shared" si="2444"/>
        <v>0</v>
      </c>
      <c r="BE673" s="69"/>
      <c r="BF673" s="70">
        <f t="shared" ref="BF673:BH673" si="2445">SUM(BF665:BF672)</f>
        <v>5843.86</v>
      </c>
      <c r="BG673" s="71">
        <f t="shared" si="2445"/>
        <v>9000</v>
      </c>
      <c r="BH673" s="72">
        <f t="shared" si="2445"/>
        <v>-173.16</v>
      </c>
      <c r="BI673" s="34">
        <f>H673+BF673-BG673</f>
        <v>-173.16</v>
      </c>
      <c r="BJ673" s="34">
        <f>BH673-BI673</f>
        <v>0</v>
      </c>
      <c r="BK673" s="2" t="b">
        <f>H673='2020'!BH673</f>
        <v>1</v>
      </c>
    </row>
    <row r="674" ht="14.25" customHeight="1" hidden="1" spans="1:63" x14ac:dyDescent="0.25">
      <c r="A674" s="2">
        <v>75</v>
      </c>
      <c r="B674" s="14"/>
      <c r="D674" s="14" t="s">
        <v>379</v>
      </c>
      <c r="F674" s="13"/>
      <c r="G674" s="28"/>
      <c r="H674" s="34">
        <f>'2020'!BH674</f>
        <v>0</v>
      </c>
      <c r="I674" s="13"/>
      <c r="J674" s="15"/>
      <c r="K674" s="15"/>
      <c r="L674" s="28"/>
      <c r="M674" s="13"/>
      <c r="N674" s="15"/>
      <c r="Q674" s="13"/>
      <c r="R674" s="15"/>
      <c r="S674" s="15"/>
      <c r="T674" s="28"/>
      <c r="U674" s="13"/>
      <c r="V674" s="15"/>
      <c r="Y674" s="186"/>
      <c r="Z674" s="2"/>
      <c r="AA674" s="15"/>
      <c r="AB674" s="28"/>
      <c r="AC674" s="15"/>
      <c r="AD674" s="15"/>
      <c r="AE674" s="15"/>
      <c r="AG674" s="15"/>
      <c r="AH674" s="2"/>
      <c r="AI674" s="45"/>
      <c r="AJ674" s="15"/>
      <c r="AK674" s="13"/>
      <c r="AM674" s="45"/>
      <c r="AO674" s="13"/>
      <c r="AQ674" s="45"/>
      <c r="AS674" s="13"/>
      <c r="AU674" s="45"/>
      <c r="AW674" s="13"/>
      <c r="AY674" s="45"/>
      <c r="AZ674" s="28"/>
      <c r="BA674" s="13"/>
      <c r="BB674" s="15"/>
      <c r="BC674" s="45"/>
      <c r="BD674" s="28"/>
      <c r="BE674" s="14"/>
      <c r="BF674" s="41">
        <f t="shared" ref="BF674:BG674" si="2446">K674+O674+S674+W674+AA674+AE674+AI674+AM674+AQ674+AU674+AY674+BC674</f>
        <v>0</v>
      </c>
      <c r="BG674" s="34">
        <f t="shared" si="2446"/>
        <v>0</v>
      </c>
      <c r="BH674" s="35">
        <f t="shared" ref="BH674:BH681" si="2447">H674+BF674-BG674</f>
        <v>0</v>
      </c>
      <c r="BK674" s="2" t="b">
        <f>H674='2020'!BH674</f>
        <v>1</v>
      </c>
    </row>
    <row r="675" ht="14.25" customHeight="1" hidden="1" spans="1:63" x14ac:dyDescent="0.25">
      <c r="A675" s="2">
        <v>75</v>
      </c>
      <c r="B675" s="14">
        <v>4.15</v>
      </c>
      <c r="C675" s="2" t="s">
        <v>265</v>
      </c>
      <c r="D675" s="14" t="s">
        <v>44</v>
      </c>
      <c r="E675" s="2" t="s">
        <v>45</v>
      </c>
      <c r="F675" s="41">
        <v>2.5</v>
      </c>
      <c r="G675" s="35">
        <v>2.6</v>
      </c>
      <c r="H675" s="104">
        <f>'2020'!BH675</f>
        <v>0</v>
      </c>
      <c r="I675" s="13">
        <v>0</v>
      </c>
      <c r="J675" s="15">
        <f>I675-'2020'!BA675</f>
        <v>0</v>
      </c>
      <c r="K675" s="34">
        <f>J675*$F$8</f>
        <v>0</v>
      </c>
      <c r="L675" s="28"/>
      <c r="M675" s="13">
        <v>0</v>
      </c>
      <c r="N675" s="15">
        <f t="shared" ref="N675:N676" si="2448">M675-I675</f>
        <v>0</v>
      </c>
      <c r="O675" s="34">
        <f>N675*$F$8</f>
        <v>0</v>
      </c>
      <c r="Q675" s="13">
        <v>0</v>
      </c>
      <c r="R675" s="15">
        <f t="shared" ref="R675:R676" si="2449">Q675-M675</f>
        <v>0</v>
      </c>
      <c r="S675" s="34">
        <f>R675*$F$8</f>
        <v>0</v>
      </c>
      <c r="T675" s="28"/>
      <c r="U675" s="13">
        <v>0</v>
      </c>
      <c r="V675" s="15">
        <f t="shared" ref="V675:V676" si="2450">U675-Q675</f>
        <v>0</v>
      </c>
      <c r="W675" s="34">
        <f>V675*$F$8</f>
        <v>0</v>
      </c>
      <c r="Y675" s="186"/>
      <c r="Z675" s="2">
        <f t="shared" ref="Z675:Z676" si="2451">Y675-U675</f>
        <v>0</v>
      </c>
      <c r="AA675" s="34">
        <f>Z675*$F$8</f>
        <v>0</v>
      </c>
      <c r="AB675" s="28"/>
      <c r="AC675" s="15"/>
      <c r="AD675" s="15">
        <f t="shared" ref="AD675:AD676" si="2452">AC675-Y675</f>
        <v>0</v>
      </c>
      <c r="AE675" s="34">
        <f>AD675*$F$8</f>
        <v>0</v>
      </c>
      <c r="AG675" s="15"/>
      <c r="AH675" s="2">
        <f t="shared" ref="AH675:AH676" si="2453">AG675-AC675</f>
        <v>0</v>
      </c>
      <c r="AI675" s="45">
        <f>AH675*$G$8</f>
        <v>0</v>
      </c>
      <c r="AJ675" s="15"/>
      <c r="AK675" s="13"/>
      <c r="AL675" s="15">
        <f t="shared" ref="AL675:AL676" si="2454">AK675-AG675</f>
        <v>0</v>
      </c>
      <c r="AM675" s="45">
        <f>AL675*$G$8</f>
        <v>0</v>
      </c>
      <c r="AN675" s="15"/>
      <c r="AO675" s="13"/>
      <c r="AP675" s="15">
        <f t="shared" ref="AP675:AP676" si="2455">AO675-AK675</f>
        <v>0</v>
      </c>
      <c r="AQ675" s="45">
        <f>AP675*$G$8</f>
        <v>0</v>
      </c>
      <c r="AR675" s="15"/>
      <c r="AS675" s="13"/>
      <c r="AT675" s="15">
        <f t="shared" ref="AT675:AT676" si="2456">AS675-AO675</f>
        <v>0</v>
      </c>
      <c r="AU675" s="45">
        <f>AT675*$G$8</f>
        <v>0</v>
      </c>
      <c r="AV675" s="15"/>
      <c r="AW675" s="13"/>
      <c r="AX675" s="15">
        <f t="shared" ref="AX675:AX676" si="2457">AW675-AS675</f>
        <v>0</v>
      </c>
      <c r="AY675" s="45">
        <f>AX675*$G$8</f>
        <v>0</v>
      </c>
      <c r="AZ675" s="208"/>
      <c r="BA675" s="13"/>
      <c r="BB675" s="15">
        <f t="shared" ref="BB675:BB676" si="2458">BA675-AW675</f>
        <v>0</v>
      </c>
      <c r="BC675" s="45">
        <f>BB675*$G$8</f>
        <v>0</v>
      </c>
      <c r="BD675" s="208"/>
      <c r="BE675" s="40">
        <f t="shared" ref="BE675:BG675" si="2459">J675+N675+R675+V675+Z675+AD675+AH675+AL675+AP675+AT675+AX675+BB675</f>
        <v>0</v>
      </c>
      <c r="BF675" s="41">
        <f t="shared" si="2459"/>
        <v>0</v>
      </c>
      <c r="BG675" s="34">
        <f t="shared" si="2459"/>
        <v>0</v>
      </c>
      <c r="BH675" s="35">
        <f t="shared" si="2447"/>
        <v>0</v>
      </c>
      <c r="BK675" s="2" t="b">
        <f>H675='2020'!BH675</f>
        <v>1</v>
      </c>
    </row>
    <row r="676" ht="14.25" customHeight="1" hidden="1" spans="1:63" x14ac:dyDescent="0.25">
      <c r="A676" s="2">
        <v>75</v>
      </c>
      <c r="B676" s="14"/>
      <c r="C676" s="2" t="s">
        <v>533</v>
      </c>
      <c r="D676" s="14" t="s">
        <v>47</v>
      </c>
      <c r="E676" s="2" t="s">
        <v>48</v>
      </c>
      <c r="F676" s="13">
        <v>18.56</v>
      </c>
      <c r="G676" s="35">
        <v>19.46</v>
      </c>
      <c r="H676" s="34">
        <f>'2020'!BH676</f>
        <v>153.56</v>
      </c>
      <c r="I676" s="13">
        <v>89</v>
      </c>
      <c r="J676" s="15"/>
      <c r="K676" s="15"/>
      <c r="L676" s="28"/>
      <c r="M676" s="13">
        <v>89</v>
      </c>
      <c r="N676" s="15">
        <f t="shared" si="2448"/>
        <v>0</v>
      </c>
      <c r="Q676" s="13">
        <v>96</v>
      </c>
      <c r="R676" s="15">
        <f t="shared" si="2449"/>
        <v>7</v>
      </c>
      <c r="S676" s="15"/>
      <c r="T676" s="28"/>
      <c r="U676" s="13">
        <v>97</v>
      </c>
      <c r="V676" s="15">
        <f t="shared" si="2450"/>
        <v>1</v>
      </c>
      <c r="W676" s="34">
        <f>V676*$F$10</f>
        <v>19.46</v>
      </c>
      <c r="Y676" s="186">
        <v>97</v>
      </c>
      <c r="Z676" s="331">
        <f t="shared" si="2451"/>
        <v>0</v>
      </c>
      <c r="AA676" s="34">
        <f>Z676*$F$10</f>
        <v>0</v>
      </c>
      <c r="AB676" s="28"/>
      <c r="AC676" s="15">
        <v>97</v>
      </c>
      <c r="AD676" s="15">
        <f t="shared" si="2452"/>
        <v>0</v>
      </c>
      <c r="AE676" s="34">
        <f>AD676*$F$10</f>
        <v>0</v>
      </c>
      <c r="AF676" s="154">
        <v>173.02</v>
      </c>
      <c r="AG676" s="15">
        <v>97</v>
      </c>
      <c r="AH676" s="2">
        <f t="shared" si="2453"/>
        <v>0</v>
      </c>
      <c r="AI676" s="45">
        <f>AH676*$G$10</f>
        <v>0</v>
      </c>
      <c r="AJ676" s="180"/>
      <c r="AK676" s="13">
        <v>97</v>
      </c>
      <c r="AL676" s="15">
        <f t="shared" si="2454"/>
        <v>0</v>
      </c>
      <c r="AM676" s="45">
        <f>AL676*$G$10</f>
        <v>0</v>
      </c>
      <c r="AN676" s="15"/>
      <c r="AO676" s="13">
        <v>97</v>
      </c>
      <c r="AP676" s="15">
        <f t="shared" si="2455"/>
        <v>0</v>
      </c>
      <c r="AQ676" s="45">
        <f>AP676*$G$10</f>
        <v>0</v>
      </c>
      <c r="AR676" s="15"/>
      <c r="AS676" s="13">
        <v>97</v>
      </c>
      <c r="AT676" s="15">
        <f t="shared" si="2456"/>
        <v>0</v>
      </c>
      <c r="AU676" s="45">
        <f>AT676*$G$10</f>
        <v>0</v>
      </c>
      <c r="AV676" s="15"/>
      <c r="AW676" s="13">
        <v>97</v>
      </c>
      <c r="AX676" s="15">
        <f t="shared" si="2457"/>
        <v>0</v>
      </c>
      <c r="AY676" s="45"/>
      <c r="AZ676" s="208"/>
      <c r="BA676" s="13">
        <v>97</v>
      </c>
      <c r="BB676" s="15">
        <f t="shared" si="2458"/>
        <v>0</v>
      </c>
      <c r="BC676" s="45"/>
      <c r="BD676" s="208"/>
      <c r="BE676" s="40">
        <f t="shared" ref="BE676:BG676" si="2460">J676+N676+R676+V676+Z676+AD676+AH676+AL676+AP676+AT676+AX676+BB676</f>
        <v>8</v>
      </c>
      <c r="BF676" s="41">
        <f t="shared" si="2460"/>
        <v>19.46</v>
      </c>
      <c r="BG676" s="34">
        <f t="shared" si="2460"/>
        <v>173.02</v>
      </c>
      <c r="BH676" s="35">
        <f t="shared" si="2447"/>
        <v>0</v>
      </c>
      <c r="BK676" s="2" t="b">
        <f>H676='2020'!BH676</f>
        <v>1</v>
      </c>
    </row>
    <row r="677" ht="14.25" customHeight="1" hidden="1" spans="1:63" x14ac:dyDescent="0.25">
      <c r="A677" s="2">
        <v>75</v>
      </c>
      <c r="B677" s="14"/>
      <c r="C677" s="2" t="s">
        <v>190</v>
      </c>
      <c r="D677" s="14" t="s">
        <v>47</v>
      </c>
      <c r="E677" s="2" t="s">
        <v>49</v>
      </c>
      <c r="F677" s="41">
        <v>500</v>
      </c>
      <c r="G677" s="28"/>
      <c r="H677" s="34">
        <f>'2020'!BH677</f>
        <v>0</v>
      </c>
      <c r="I677" s="13"/>
      <c r="J677" s="15"/>
      <c r="K677" s="15"/>
      <c r="L677" s="28"/>
      <c r="M677" s="13"/>
      <c r="N677" s="15"/>
      <c r="Q677" s="13"/>
      <c r="R677" s="15"/>
      <c r="S677" s="15"/>
      <c r="T677" s="28"/>
      <c r="U677" s="13"/>
      <c r="V677" s="15"/>
      <c r="Y677" s="186"/>
      <c r="Z677" s="2"/>
      <c r="AA677" s="15"/>
      <c r="AB677" s="28"/>
      <c r="AC677" s="15"/>
      <c r="AD677" s="15"/>
      <c r="AE677" s="15"/>
      <c r="AF677" s="154"/>
      <c r="AG677" s="15"/>
      <c r="AH677" s="2"/>
      <c r="AI677" s="45"/>
      <c r="AJ677" s="15"/>
      <c r="AK677" s="13"/>
      <c r="AL677" s="15"/>
      <c r="AM677" s="45"/>
      <c r="AN677" s="15"/>
      <c r="AO677" s="13"/>
      <c r="AP677" s="15"/>
      <c r="AQ677" s="45"/>
      <c r="AR677" s="15"/>
      <c r="AS677" s="13"/>
      <c r="AT677" s="15"/>
      <c r="AU677" s="45"/>
      <c r="AV677" s="15"/>
      <c r="AW677" s="13"/>
      <c r="AX677" s="15"/>
      <c r="AY677" s="45"/>
      <c r="AZ677" s="28"/>
      <c r="BA677" s="13"/>
      <c r="BB677" s="15"/>
      <c r="BC677" s="45"/>
      <c r="BD677" s="28"/>
      <c r="BE677" s="14"/>
      <c r="BF677" s="41">
        <f t="shared" ref="BF677:BG677" si="2461">K677+O677+S677+W677+AA677+AE677+AI677+AM677+AQ677+AU677+AY677+BC677</f>
        <v>0</v>
      </c>
      <c r="BG677" s="34">
        <f t="shared" si="2461"/>
        <v>0</v>
      </c>
      <c r="BH677" s="35">
        <f t="shared" si="2447"/>
        <v>0</v>
      </c>
      <c r="BK677" s="2" t="b">
        <f>H677='2020'!BH677</f>
        <v>1</v>
      </c>
    </row>
    <row r="678" ht="14.25" customHeight="1" hidden="1" spans="1:63" x14ac:dyDescent="0.25">
      <c r="A678" s="2">
        <v>75</v>
      </c>
      <c r="B678" s="14"/>
      <c r="C678" s="2" t="s">
        <v>534</v>
      </c>
      <c r="D678" s="14" t="s">
        <v>50</v>
      </c>
      <c r="E678" s="2" t="s">
        <v>49</v>
      </c>
      <c r="F678" s="41">
        <v>1100</v>
      </c>
      <c r="G678" s="28"/>
      <c r="H678" s="34">
        <f>'2020'!BH678</f>
        <v>0</v>
      </c>
      <c r="I678" s="13"/>
      <c r="J678" s="15"/>
      <c r="K678" s="15"/>
      <c r="L678" s="28"/>
      <c r="M678" s="13"/>
      <c r="N678" s="15"/>
      <c r="Q678" s="13"/>
      <c r="R678" s="15"/>
      <c r="S678" s="15"/>
      <c r="T678" s="28"/>
      <c r="U678" s="13"/>
      <c r="V678" s="15"/>
      <c r="Y678" s="186"/>
      <c r="Z678" s="2"/>
      <c r="AA678" s="15"/>
      <c r="AB678" s="28"/>
      <c r="AC678" s="15"/>
      <c r="AD678" s="15"/>
      <c r="AE678" s="34">
        <f>B675*$F$12</f>
        <v>4565</v>
      </c>
      <c r="AF678" s="182">
        <v>4565</v>
      </c>
      <c r="AG678" s="15"/>
      <c r="AH678" s="2"/>
      <c r="AI678" s="45"/>
      <c r="AJ678" s="180"/>
      <c r="AK678" s="13"/>
      <c r="AL678" s="15"/>
      <c r="AM678" s="45"/>
      <c r="AN678" s="15"/>
      <c r="AO678" s="13"/>
      <c r="AP678" s="15"/>
      <c r="AQ678" s="45"/>
      <c r="AR678" s="15"/>
      <c r="AS678" s="13"/>
      <c r="AT678" s="15"/>
      <c r="AU678" s="45"/>
      <c r="AV678" s="15"/>
      <c r="AW678" s="13"/>
      <c r="AX678" s="15"/>
      <c r="AY678" s="45"/>
      <c r="AZ678" s="28"/>
      <c r="BA678" s="13"/>
      <c r="BB678" s="15"/>
      <c r="BC678" s="45"/>
      <c r="BD678" s="28"/>
      <c r="BE678" s="14"/>
      <c r="BF678" s="41">
        <f t="shared" ref="BF678:BG678" si="2462">K678+O678+S678+W678+AA678+AE678+AI678+AM678+AQ678+AU678+AY678+BC678</f>
        <v>4565</v>
      </c>
      <c r="BG678" s="34">
        <f t="shared" si="2462"/>
        <v>4565</v>
      </c>
      <c r="BH678" s="35">
        <f t="shared" si="2447"/>
        <v>0</v>
      </c>
      <c r="BK678" s="2" t="b">
        <f>H678='2020'!BH678</f>
        <v>1</v>
      </c>
    </row>
    <row r="679" ht="14.25" customHeight="1" hidden="1" spans="1:63" x14ac:dyDescent="0.25">
      <c r="A679" s="2">
        <v>75</v>
      </c>
      <c r="B679" s="14"/>
      <c r="D679" s="14" t="s">
        <v>51</v>
      </c>
      <c r="E679" s="2" t="s">
        <v>39</v>
      </c>
      <c r="F679" s="41">
        <v>500</v>
      </c>
      <c r="G679" s="28"/>
      <c r="H679" s="34">
        <f>'2020'!BH679</f>
        <v>500</v>
      </c>
      <c r="I679" s="13"/>
      <c r="J679" s="15"/>
      <c r="K679" s="15"/>
      <c r="L679" s="28"/>
      <c r="M679" s="13"/>
      <c r="N679" s="15"/>
      <c r="Q679" s="13"/>
      <c r="R679" s="15"/>
      <c r="S679" s="15"/>
      <c r="T679" s="28"/>
      <c r="U679" s="13"/>
      <c r="V679" s="15"/>
      <c r="Y679" s="186"/>
      <c r="Z679" s="2"/>
      <c r="AA679" s="15"/>
      <c r="AB679" s="28"/>
      <c r="AC679" s="15"/>
      <c r="AD679" s="15"/>
      <c r="AE679" s="34">
        <f>$F$13</f>
      </c>
      <c r="AF679" s="182">
        <v>500</v>
      </c>
      <c r="AG679" s="15"/>
      <c r="AH679" s="2"/>
      <c r="AI679" s="45"/>
      <c r="AJ679" s="15"/>
      <c r="AK679" s="13"/>
      <c r="AL679" s="15"/>
      <c r="AM679" s="45"/>
      <c r="AN679" s="15"/>
      <c r="AO679" s="13"/>
      <c r="AP679" s="15"/>
      <c r="AQ679" s="180"/>
      <c r="AR679" s="15"/>
      <c r="AS679" s="13"/>
      <c r="AT679" s="15"/>
      <c r="AU679" s="45"/>
      <c r="AV679" s="15"/>
      <c r="AW679" s="13"/>
      <c r="AX679" s="15"/>
      <c r="AY679" s="45"/>
      <c r="AZ679" s="28"/>
      <c r="BA679" s="13"/>
      <c r="BB679" s="15"/>
      <c r="BC679" s="45"/>
      <c r="BD679" s="28"/>
      <c r="BE679" s="14"/>
      <c r="BF679" s="41">
        <f t="shared" ref="BF679:BG679" si="2463">K679+O679+S679+W679+AA679+AE679+AI679+AM679+AQ679+AU679+AY679+BC679</f>
        <v>0</v>
      </c>
      <c r="BG679" s="34">
        <f t="shared" si="2463"/>
        <v>500</v>
      </c>
      <c r="BH679" s="35">
        <f t="shared" si="2447"/>
        <v>0</v>
      </c>
      <c r="BK679" s="2" t="b">
        <f>H679='2020'!BH679</f>
        <v>1</v>
      </c>
    </row>
    <row r="680" ht="14.25" customHeight="1" hidden="1" spans="1:63" x14ac:dyDescent="0.25">
      <c r="A680" s="2">
        <v>75</v>
      </c>
      <c r="B680" s="14"/>
      <c r="D680" s="14" t="s">
        <v>51</v>
      </c>
      <c r="E680" s="2" t="s">
        <v>49</v>
      </c>
      <c r="F680" s="41">
        <v>500</v>
      </c>
      <c r="G680" s="28"/>
      <c r="H680" s="34">
        <f>'2020'!BH680</f>
        <v>2075</v>
      </c>
      <c r="I680" s="13"/>
      <c r="J680" s="15"/>
      <c r="K680" s="15"/>
      <c r="L680" s="28"/>
      <c r="M680" s="13"/>
      <c r="N680" s="15"/>
      <c r="Q680" s="13"/>
      <c r="R680" s="15"/>
      <c r="S680" s="15"/>
      <c r="T680" s="28"/>
      <c r="U680" s="13"/>
      <c r="V680" s="15"/>
      <c r="Y680" s="186"/>
      <c r="Z680" s="2"/>
      <c r="AA680" s="15"/>
      <c r="AB680" s="28"/>
      <c r="AC680" s="15"/>
      <c r="AD680" s="15"/>
      <c r="AE680" s="34"/>
      <c r="AF680" s="182">
        <v>2075</v>
      </c>
      <c r="AG680" s="15"/>
      <c r="AH680" s="2"/>
      <c r="AI680" s="45"/>
      <c r="AJ680" s="15"/>
      <c r="AK680" s="13"/>
      <c r="AL680" s="15"/>
      <c r="AM680" s="45"/>
      <c r="AN680" s="15"/>
      <c r="AO680" s="13"/>
      <c r="AP680" s="15"/>
      <c r="AQ680" s="180">
        <f>B675*$F$14</f>
        <v>0</v>
      </c>
      <c r="AR680" s="15"/>
      <c r="AS680" s="13"/>
      <c r="AT680" s="15"/>
      <c r="AU680" s="45"/>
      <c r="AV680" s="15"/>
      <c r="AW680" s="13"/>
      <c r="AX680" s="15"/>
      <c r="AY680" s="45"/>
      <c r="AZ680" s="28"/>
      <c r="BA680" s="13"/>
      <c r="BB680" s="15"/>
      <c r="BC680" s="45"/>
      <c r="BD680" s="28"/>
      <c r="BE680" s="14"/>
      <c r="BF680" s="41">
        <f t="shared" ref="BF680:BG680" si="2464">K680+O680+S680+W680+AA680+AE680+AI680+AM680+AQ680+AU680+AY680+BC680</f>
        <v>0</v>
      </c>
      <c r="BG680" s="34">
        <f t="shared" si="2464"/>
        <v>2075</v>
      </c>
      <c r="BH680" s="35">
        <f t="shared" si="2447"/>
        <v>0</v>
      </c>
      <c r="BK680" s="2" t="b">
        <f>H680='2020'!BH680</f>
        <v>1</v>
      </c>
    </row>
    <row r="681" ht="14.25" customHeight="1" hidden="1" spans="1:63" x14ac:dyDescent="0.25">
      <c r="A681" s="2">
        <v>75</v>
      </c>
      <c r="B681" s="14"/>
      <c r="D681" s="14" t="s">
        <v>52</v>
      </c>
      <c r="E681" s="2" t="s">
        <v>39</v>
      </c>
      <c r="F681" s="41">
        <v>500</v>
      </c>
      <c r="G681" s="28"/>
      <c r="H681" s="34">
        <f>'2020'!BH681</f>
        <v>0</v>
      </c>
      <c r="I681" s="13"/>
      <c r="J681" s="15"/>
      <c r="K681" s="15"/>
      <c r="L681" s="28"/>
      <c r="M681" s="13"/>
      <c r="N681" s="15"/>
      <c r="Q681" s="13"/>
      <c r="R681" s="15"/>
      <c r="S681" s="15"/>
      <c r="T681" s="28"/>
      <c r="U681" s="13"/>
      <c r="V681" s="15"/>
      <c r="Y681" s="186"/>
      <c r="Z681" s="2"/>
      <c r="AA681" s="34">
        <f>$F$15</f>
      </c>
      <c r="AB681" s="35"/>
      <c r="AC681" s="15"/>
      <c r="AD681" s="15"/>
      <c r="AG681" s="15"/>
      <c r="AH681" s="2"/>
      <c r="AI681" s="45"/>
      <c r="AJ681" s="180"/>
      <c r="AK681" s="13"/>
      <c r="AL681" s="15"/>
      <c r="AM681" s="45"/>
      <c r="AN681" s="15"/>
      <c r="AO681" s="13"/>
      <c r="AP681" s="15"/>
      <c r="AQ681" s="45"/>
      <c r="AR681" s="15"/>
      <c r="AS681" s="13"/>
      <c r="AT681" s="15"/>
      <c r="AU681" s="45"/>
      <c r="AV681" s="15"/>
      <c r="AW681" s="13"/>
      <c r="AX681" s="15"/>
      <c r="AY681" s="45"/>
      <c r="AZ681" s="35"/>
      <c r="BA681" s="13"/>
      <c r="BB681" s="15"/>
      <c r="BC681" s="45"/>
      <c r="BD681" s="35"/>
      <c r="BE681" s="14"/>
      <c r="BF681" s="41">
        <f t="shared" ref="BF681:BG681" si="2465">K681+O681+S681+W681+AA681+AE681+AI681+AM681+AQ681+AU681+AY681+BC681</f>
        <v>0</v>
      </c>
      <c r="BG681" s="34">
        <f t="shared" si="2465"/>
        <v>0</v>
      </c>
      <c r="BH681" s="35">
        <f t="shared" si="2447"/>
        <v>0</v>
      </c>
      <c r="BK681" s="2" t="b">
        <f>H681='2020'!BH681</f>
        <v>1</v>
      </c>
    </row>
    <row r="682" ht="14.25" customHeight="1" hidden="1" spans="1:63" x14ac:dyDescent="0.25">
      <c r="A682" s="247">
        <v>75</v>
      </c>
      <c r="B682" s="21"/>
      <c r="C682" s="22" t="s">
        <v>53</v>
      </c>
      <c r="D682" s="21"/>
      <c r="E682" s="22"/>
      <c r="F682" s="20"/>
      <c r="G682" s="23"/>
      <c r="H682" s="51">
        <f>SUM(H674:H681)</f>
        <v>2728.56</v>
      </c>
      <c r="I682" s="52"/>
      <c r="J682" s="53"/>
      <c r="K682" s="51">
        <f t="shared" ref="K682:L682" si="2466">SUM(K674:K681)</f>
        <v>0</v>
      </c>
      <c r="L682" s="68">
        <f t="shared" si="2466"/>
        <v>0</v>
      </c>
      <c r="M682" s="52"/>
      <c r="N682" s="53"/>
      <c r="O682" s="51">
        <f t="shared" ref="O682:P682" si="2467">SUM(O674:O681)</f>
        <v>0</v>
      </c>
      <c r="P682" s="51">
        <f t="shared" si="2467"/>
        <v>0</v>
      </c>
      <c r="Q682" s="52"/>
      <c r="R682" s="53"/>
      <c r="S682" s="51">
        <f t="shared" ref="S682:T682" si="2468">SUM(S674:S681)</f>
        <v>0</v>
      </c>
      <c r="T682" s="51">
        <f t="shared" si="2468"/>
        <v>0</v>
      </c>
      <c r="U682" s="52"/>
      <c r="V682" s="53"/>
      <c r="W682" s="51">
        <f t="shared" ref="W682:X682" si="2469">SUM(W674:W681)</f>
        <v>19.46</v>
      </c>
      <c r="X682" s="51">
        <f t="shared" si="2469"/>
        <v>0</v>
      </c>
      <c r="Y682" s="300"/>
      <c r="Z682" s="301"/>
      <c r="AA682" s="51">
        <f t="shared" ref="AA682:AB682" si="2470">SUM(AA674:AA681)</f>
        <v>0</v>
      </c>
      <c r="AB682" s="51">
        <f t="shared" si="2470"/>
        <v>0</v>
      </c>
      <c r="AC682" s="52"/>
      <c r="AD682" s="53"/>
      <c r="AE682" s="51">
        <f t="shared" ref="AE682:AF682" si="2471">SUM(AE674:AE681)</f>
        <v>4565</v>
      </c>
      <c r="AF682" s="51">
        <f t="shared" si="2471"/>
        <v>7313.02</v>
      </c>
      <c r="AG682" s="52"/>
      <c r="AH682" s="301"/>
      <c r="AI682" s="183">
        <f t="shared" ref="AI682:AJ682" si="2472">SUM(AI674:AI681)</f>
        <v>0</v>
      </c>
      <c r="AJ682" s="51">
        <f t="shared" si="2472"/>
        <v>0</v>
      </c>
      <c r="AK682" s="52"/>
      <c r="AL682" s="53"/>
      <c r="AM682" s="183">
        <f t="shared" ref="AM682:AN682" si="2473">SUM(AM674:AM681)</f>
        <v>0</v>
      </c>
      <c r="AN682" s="51">
        <f t="shared" si="2473"/>
        <v>0</v>
      </c>
      <c r="AO682" s="52"/>
      <c r="AP682" s="53"/>
      <c r="AQ682" s="183">
        <f t="shared" ref="AQ682:AR682" si="2474">SUM(AQ674:AQ681)</f>
        <v>0</v>
      </c>
      <c r="AR682" s="51">
        <f t="shared" si="2474"/>
        <v>0</v>
      </c>
      <c r="AS682" s="52"/>
      <c r="AT682" s="53"/>
      <c r="AU682" s="183">
        <f t="shared" ref="AU682:AV682" si="2475">SUM(AU674:AU681)</f>
        <v>0</v>
      </c>
      <c r="AV682" s="68">
        <f t="shared" si="2475"/>
        <v>0</v>
      </c>
      <c r="AW682" s="52"/>
      <c r="AX682" s="53"/>
      <c r="AY682" s="183">
        <f t="shared" ref="AY682:AZ682" si="2476">SUM(AY674:AY681)</f>
        <v>0</v>
      </c>
      <c r="AZ682" s="68">
        <f t="shared" si="2476"/>
        <v>0</v>
      </c>
      <c r="BA682" s="52"/>
      <c r="BB682" s="53"/>
      <c r="BC682" s="183">
        <f t="shared" ref="BC682:BD682" si="2477">SUM(BC674:BC681)</f>
        <v>0</v>
      </c>
      <c r="BD682" s="68">
        <f t="shared" si="2477"/>
        <v>0</v>
      </c>
      <c r="BE682" s="69"/>
      <c r="BF682" s="70">
        <f t="shared" ref="BF682:BH682" si="2478">SUM(BF674:BF681)</f>
        <v>4584.46</v>
      </c>
      <c r="BG682" s="71">
        <f t="shared" si="2478"/>
        <v>7313.02</v>
      </c>
      <c r="BH682" s="72">
        <f t="shared" si="2478"/>
        <v>0</v>
      </c>
      <c r="BI682" s="34">
        <f>H682+BF682-BG682</f>
        <v>0</v>
      </c>
      <c r="BJ682" s="34">
        <f>BH682-BI682</f>
        <v>0</v>
      </c>
      <c r="BK682" s="2" t="b">
        <f>H682='2020'!BH682</f>
        <v>1</v>
      </c>
    </row>
    <row r="683" ht="14.25" customHeight="1" hidden="1" spans="1:63" x14ac:dyDescent="0.25">
      <c r="A683" s="2">
        <v>76</v>
      </c>
      <c r="B683" s="14"/>
      <c r="D683" s="14" t="s">
        <v>379</v>
      </c>
      <c r="F683" s="13"/>
      <c r="G683" s="28"/>
      <c r="H683" s="34">
        <f>'2020'!BH683</f>
        <v>0</v>
      </c>
      <c r="I683" s="13"/>
      <c r="J683" s="15"/>
      <c r="K683" s="15"/>
      <c r="L683" s="28"/>
      <c r="M683" s="13"/>
      <c r="N683" s="15"/>
      <c r="Q683" s="13"/>
      <c r="R683" s="15"/>
      <c r="S683" s="15"/>
      <c r="T683" s="28"/>
      <c r="U683" s="13"/>
      <c r="V683" s="15"/>
      <c r="Y683" s="186"/>
      <c r="Z683" s="2"/>
      <c r="AA683" s="15"/>
      <c r="AB683" s="28"/>
      <c r="AC683" s="15"/>
      <c r="AD683" s="15"/>
      <c r="AG683" s="15"/>
      <c r="AH683" s="2"/>
      <c r="AI683" s="45"/>
      <c r="AJ683" s="15"/>
      <c r="AK683" s="13"/>
      <c r="AM683" s="45"/>
      <c r="AO683" s="13"/>
      <c r="AQ683" s="45"/>
      <c r="AS683" s="13"/>
      <c r="AU683" s="45"/>
      <c r="AW683" s="13"/>
      <c r="AY683" s="45"/>
      <c r="AZ683" s="28"/>
      <c r="BA683" s="13"/>
      <c r="BB683" s="15"/>
      <c r="BC683" s="45"/>
      <c r="BD683" s="28"/>
      <c r="BE683" s="14"/>
      <c r="BF683" s="41">
        <f t="shared" ref="BF683:BG683" si="2479">K683+O683+S683+W683+AA683+AE683+AI683+AM683+AQ683+AU683+AY683+BC683</f>
        <v>0</v>
      </c>
      <c r="BG683" s="34">
        <f t="shared" si="2479"/>
        <v>0</v>
      </c>
      <c r="BH683" s="35">
        <f t="shared" ref="BH683:BH690" si="2480">H683+BF683-BG683</f>
        <v>0</v>
      </c>
      <c r="BK683" s="2" t="b">
        <f>H683='2020'!BH683</f>
        <v>1</v>
      </c>
    </row>
    <row r="684" ht="14.25" customHeight="1" hidden="1" spans="1:63" x14ac:dyDescent="0.25">
      <c r="A684" s="2">
        <v>76</v>
      </c>
      <c r="B684" s="14">
        <v>4.15</v>
      </c>
      <c r="C684" s="2" t="s">
        <v>267</v>
      </c>
      <c r="D684" s="14" t="s">
        <v>44</v>
      </c>
      <c r="E684" s="2" t="s">
        <v>45</v>
      </c>
      <c r="F684" s="41">
        <v>2.5</v>
      </c>
      <c r="G684" s="35">
        <v>2.6</v>
      </c>
      <c r="H684" s="104">
        <f>'2020'!BH684</f>
        <v>0</v>
      </c>
      <c r="I684" s="13">
        <v>0</v>
      </c>
      <c r="J684" s="15">
        <f>I684-'2020'!BA684</f>
        <v>0</v>
      </c>
      <c r="K684" s="34">
        <f>J684*$F$8</f>
        <v>0</v>
      </c>
      <c r="L684" s="28"/>
      <c r="M684" s="13">
        <v>0</v>
      </c>
      <c r="N684" s="15">
        <f t="shared" ref="N684:N685" si="2481">M684-I684</f>
        <v>0</v>
      </c>
      <c r="O684" s="34">
        <f>N684*$F$8</f>
        <v>0</v>
      </c>
      <c r="Q684" s="13">
        <v>0</v>
      </c>
      <c r="R684" s="15">
        <f t="shared" ref="R684:R685" si="2482">Q684-M684</f>
        <v>0</v>
      </c>
      <c r="S684" s="34">
        <f>R684*$F$8</f>
        <v>0</v>
      </c>
      <c r="T684" s="28"/>
      <c r="U684" s="13">
        <v>0</v>
      </c>
      <c r="V684" s="15">
        <f t="shared" ref="V684:V685" si="2483">U684-Q684</f>
        <v>0</v>
      </c>
      <c r="W684" s="34">
        <f>V684*$F$8</f>
        <v>0</v>
      </c>
      <c r="Y684" s="186"/>
      <c r="Z684" s="2">
        <f t="shared" ref="Z684:Z685" si="2484">Y684-U684</f>
        <v>0</v>
      </c>
      <c r="AA684" s="34">
        <f>Z684*$F$8</f>
        <v>0</v>
      </c>
      <c r="AB684" s="28"/>
      <c r="AC684" s="15"/>
      <c r="AD684" s="15">
        <f t="shared" ref="AD684:AD685" si="2485">AC684-Y684</f>
        <v>0</v>
      </c>
      <c r="AE684" s="180">
        <f>AD684*$F$8</f>
        <v>0</v>
      </c>
      <c r="AG684" s="15"/>
      <c r="AH684" s="2">
        <f t="shared" ref="AH684:AH685" si="2486">AG684-AC684</f>
        <v>0</v>
      </c>
      <c r="AI684" s="45">
        <f>AH684*$G$8</f>
        <v>0</v>
      </c>
      <c r="AJ684" s="15"/>
      <c r="AK684" s="13"/>
      <c r="AL684" s="15">
        <f t="shared" ref="AL684:AL685" si="2487">AK684-AG684</f>
        <v>0</v>
      </c>
      <c r="AM684" s="45">
        <f>AL684*$G$8</f>
        <v>0</v>
      </c>
      <c r="AN684" s="15"/>
      <c r="AO684" s="13"/>
      <c r="AP684" s="15">
        <f t="shared" ref="AP684:AP685" si="2488">AO684-AK684</f>
        <v>0</v>
      </c>
      <c r="AQ684" s="45">
        <f>AP684*$G$8</f>
        <v>0</v>
      </c>
      <c r="AR684" s="15"/>
      <c r="AS684" s="13"/>
      <c r="AT684" s="15">
        <f t="shared" ref="AT684:AT685" si="2489">AS684-AO684</f>
        <v>0</v>
      </c>
      <c r="AU684" s="45">
        <f>AT684*$G$8</f>
        <v>0</v>
      </c>
      <c r="AV684" s="15"/>
      <c r="AW684" s="13"/>
      <c r="AX684" s="15">
        <f t="shared" ref="AX684:AX685" si="2490">AW684-AS684</f>
        <v>0</v>
      </c>
      <c r="AY684" s="45">
        <f>AX684*$G$8</f>
        <v>0</v>
      </c>
      <c r="AZ684" s="208"/>
      <c r="BA684" s="13"/>
      <c r="BB684" s="15">
        <f t="shared" ref="BB684:BB685" si="2491">BA684-AW684</f>
        <v>0</v>
      </c>
      <c r="BC684" s="45">
        <f>BB684*$G$8</f>
        <v>0</v>
      </c>
      <c r="BD684" s="208"/>
      <c r="BE684" s="40">
        <f t="shared" ref="BE684:BG684" si="2492">J684+N684+R684+V684+Z684+AD684+AH684+AL684+AP684+AT684+AX684+BB684</f>
        <v>0</v>
      </c>
      <c r="BF684" s="41">
        <f t="shared" si="2492"/>
        <v>0</v>
      </c>
      <c r="BG684" s="34">
        <f t="shared" si="2492"/>
        <v>0</v>
      </c>
      <c r="BH684" s="35">
        <f t="shared" si="2480"/>
        <v>0</v>
      </c>
      <c r="BK684" s="2" t="b">
        <f>H684='2020'!BH684</f>
        <v>1</v>
      </c>
    </row>
    <row r="685" ht="14.25" customHeight="1" hidden="1" spans="1:63" x14ac:dyDescent="0.25">
      <c r="A685" s="2">
        <v>76</v>
      </c>
      <c r="B685" s="14"/>
      <c r="C685" s="2" t="s">
        <v>198</v>
      </c>
      <c r="D685" s="14" t="s">
        <v>47</v>
      </c>
      <c r="E685" s="2" t="s">
        <v>48</v>
      </c>
      <c r="F685" s="13">
        <v>18.56</v>
      </c>
      <c r="G685" s="35">
        <v>19.46</v>
      </c>
      <c r="H685" s="34">
        <f>'2020'!BH685</f>
        <v>90.1</v>
      </c>
      <c r="I685" s="13">
        <v>21</v>
      </c>
      <c r="J685" s="15"/>
      <c r="K685" s="15"/>
      <c r="L685" s="28"/>
      <c r="M685" s="13">
        <v>21</v>
      </c>
      <c r="N685" s="15">
        <f t="shared" si="2481"/>
        <v>0</v>
      </c>
      <c r="Q685" s="13">
        <v>21</v>
      </c>
      <c r="R685" s="15">
        <f t="shared" si="2482"/>
        <v>0</v>
      </c>
      <c r="S685" s="15"/>
      <c r="T685" s="28"/>
      <c r="U685" s="13">
        <v>21</v>
      </c>
      <c r="V685" s="15">
        <f t="shared" si="2483"/>
        <v>0</v>
      </c>
      <c r="W685" s="34">
        <f>V685*$F$10</f>
        <v>0</v>
      </c>
      <c r="Y685" s="186">
        <v>21</v>
      </c>
      <c r="Z685" s="2">
        <f t="shared" si="2484"/>
        <v>0</v>
      </c>
      <c r="AA685" s="34">
        <f>Z685*$F$10</f>
        <v>0</v>
      </c>
      <c r="AB685" s="28"/>
      <c r="AC685" s="184">
        <v>21</v>
      </c>
      <c r="AD685" s="15">
        <f t="shared" si="2485"/>
        <v>0</v>
      </c>
      <c r="AE685" s="34">
        <f>AD685*$F$10</f>
        <v>0</v>
      </c>
      <c r="AF685" s="34"/>
      <c r="AG685" s="184">
        <v>21</v>
      </c>
      <c r="AH685" s="2">
        <f t="shared" si="2486"/>
        <v>0</v>
      </c>
      <c r="AI685" s="45">
        <f>AH685*$G$10</f>
        <v>0</v>
      </c>
      <c r="AJ685" s="180"/>
      <c r="AK685" s="13">
        <v>23</v>
      </c>
      <c r="AL685" s="15">
        <f t="shared" si="2487"/>
        <v>2</v>
      </c>
      <c r="AM685" s="45">
        <f>AL685*$G$10</f>
        <v>40.7</v>
      </c>
      <c r="AN685" s="305">
        <v>130.8</v>
      </c>
      <c r="AO685" s="13">
        <v>23</v>
      </c>
      <c r="AP685" s="15">
        <f t="shared" si="2488"/>
        <v>0</v>
      </c>
      <c r="AQ685" s="45">
        <f>AP685*$G$10</f>
        <v>0</v>
      </c>
      <c r="AR685" s="15"/>
      <c r="AS685" s="13">
        <v>23</v>
      </c>
      <c r="AT685" s="15">
        <f t="shared" si="2489"/>
        <v>0</v>
      </c>
      <c r="AU685" s="45">
        <f>AT685*$G$10</f>
        <v>0</v>
      </c>
      <c r="AV685" s="15"/>
      <c r="AW685" s="13">
        <v>23</v>
      </c>
      <c r="AX685" s="15">
        <f t="shared" si="2490"/>
        <v>0</v>
      </c>
      <c r="AY685" s="45"/>
      <c r="AZ685" s="208"/>
      <c r="BA685" s="13">
        <v>23</v>
      </c>
      <c r="BB685" s="15">
        <f t="shared" si="2491"/>
        <v>0</v>
      </c>
      <c r="BC685" s="45"/>
      <c r="BD685" s="208"/>
      <c r="BE685" s="40">
        <f t="shared" ref="BE685:BG685" si="2493">J685+N685+R685+V685+Z685+AD685+AH685+AL685+AP685+AT685+AX685+BB685</f>
        <v>2</v>
      </c>
      <c r="BF685" s="41">
        <f t="shared" si="2493"/>
        <v>40.7</v>
      </c>
      <c r="BG685" s="34">
        <f t="shared" si="2493"/>
        <v>130.8</v>
      </c>
      <c r="BH685" s="35">
        <f t="shared" si="2480"/>
        <v>0</v>
      </c>
      <c r="BK685" s="2" t="b">
        <f>H685='2020'!BH685</f>
        <v>1</v>
      </c>
    </row>
    <row r="686" ht="14.25" customHeight="1" hidden="1" spans="1:63" x14ac:dyDescent="0.25">
      <c r="A686" s="2">
        <v>76</v>
      </c>
      <c r="B686" s="14"/>
      <c r="C686" s="2" t="s">
        <v>178</v>
      </c>
      <c r="D686" s="14" t="s">
        <v>47</v>
      </c>
      <c r="E686" s="2" t="s">
        <v>49</v>
      </c>
      <c r="F686" s="41">
        <v>500</v>
      </c>
      <c r="G686" s="28"/>
      <c r="H686" s="34">
        <f>'2020'!BH686</f>
        <v>0</v>
      </c>
      <c r="I686" s="13"/>
      <c r="J686" s="15"/>
      <c r="K686" s="15"/>
      <c r="L686" s="28"/>
      <c r="M686" s="13"/>
      <c r="N686" s="15"/>
      <c r="Q686" s="13"/>
      <c r="R686" s="15"/>
      <c r="S686" s="15"/>
      <c r="T686" s="28"/>
      <c r="U686" s="13"/>
      <c r="V686" s="15"/>
      <c r="Y686" s="186"/>
      <c r="Z686" s="2"/>
      <c r="AA686" s="15"/>
      <c r="AB686" s="28"/>
      <c r="AC686" s="15"/>
      <c r="AD686" s="15"/>
      <c r="AG686" s="15"/>
      <c r="AH686" s="2"/>
      <c r="AI686" s="45"/>
      <c r="AJ686" s="15"/>
      <c r="AK686" s="13"/>
      <c r="AL686" s="15"/>
      <c r="AM686" s="45"/>
      <c r="AN686" s="15"/>
      <c r="AO686" s="13"/>
      <c r="AP686" s="15"/>
      <c r="AQ686" s="45"/>
      <c r="AR686" s="15"/>
      <c r="AS686" s="13"/>
      <c r="AT686" s="15"/>
      <c r="AU686" s="45"/>
      <c r="AV686" s="15"/>
      <c r="AW686" s="13"/>
      <c r="AX686" s="15"/>
      <c r="AY686" s="45"/>
      <c r="AZ686" s="28"/>
      <c r="BA686" s="13"/>
      <c r="BB686" s="15"/>
      <c r="BC686" s="45"/>
      <c r="BD686" s="28"/>
      <c r="BE686" s="14"/>
      <c r="BF686" s="41">
        <f t="shared" ref="BF686:BG686" si="2494">K686+O686+S686+W686+AA686+AE686+AI686+AM686+AQ686+AU686+AY686+BC686</f>
        <v>0</v>
      </c>
      <c r="BG686" s="34">
        <f t="shared" si="2494"/>
        <v>0</v>
      </c>
      <c r="BH686" s="35">
        <f t="shared" si="2480"/>
        <v>0</v>
      </c>
      <c r="BK686" s="2" t="b">
        <f>H686='2020'!BH686</f>
        <v>1</v>
      </c>
    </row>
    <row r="687" ht="14.25" customHeight="1" hidden="1" spans="1:63" x14ac:dyDescent="0.25">
      <c r="A687" s="2">
        <v>76</v>
      </c>
      <c r="B687" s="14"/>
      <c r="C687" s="2" t="s">
        <v>434</v>
      </c>
      <c r="D687" s="14" t="s">
        <v>50</v>
      </c>
      <c r="E687" s="2" t="s">
        <v>49</v>
      </c>
      <c r="F687" s="41">
        <v>1100</v>
      </c>
      <c r="G687" s="28"/>
      <c r="H687" s="34">
        <f>'2020'!BH687</f>
        <v>0</v>
      </c>
      <c r="I687" s="13"/>
      <c r="J687" s="15"/>
      <c r="K687" s="15"/>
      <c r="L687" s="28"/>
      <c r="M687" s="13"/>
      <c r="N687" s="15"/>
      <c r="Q687" s="13"/>
      <c r="R687" s="15"/>
      <c r="S687" s="15"/>
      <c r="T687" s="28"/>
      <c r="U687" s="13"/>
      <c r="V687" s="15"/>
      <c r="Y687" s="186"/>
      <c r="Z687" s="2"/>
      <c r="AA687" s="15"/>
      <c r="AB687" s="28"/>
      <c r="AC687" s="15"/>
      <c r="AD687" s="15"/>
      <c r="AE687" s="34">
        <f>B684*$F$12</f>
        <v>4565</v>
      </c>
      <c r="AF687" s="34"/>
      <c r="AG687" s="15"/>
      <c r="AH687" s="2"/>
      <c r="AI687" s="45"/>
      <c r="AJ687" s="180"/>
      <c r="AK687" s="13"/>
      <c r="AL687" s="15"/>
      <c r="AM687" s="45"/>
      <c r="AN687" s="305">
        <v>4565</v>
      </c>
      <c r="AO687" s="13"/>
      <c r="AP687" s="15"/>
      <c r="AQ687" s="45"/>
      <c r="AR687" s="15"/>
      <c r="AS687" s="13"/>
      <c r="AT687" s="15"/>
      <c r="AU687" s="45"/>
      <c r="AV687" s="15"/>
      <c r="AW687" s="13"/>
      <c r="AX687" s="15"/>
      <c r="AY687" s="45"/>
      <c r="AZ687" s="28"/>
      <c r="BA687" s="13"/>
      <c r="BB687" s="15"/>
      <c r="BC687" s="45"/>
      <c r="BD687" s="28"/>
      <c r="BE687" s="14"/>
      <c r="BF687" s="41">
        <f t="shared" ref="BF687:BG687" si="2495">K687+O687+S687+W687+AA687+AE687+AI687+AM687+AQ687+AU687+AY687+BC687</f>
        <v>4565</v>
      </c>
      <c r="BG687" s="34">
        <f t="shared" si="2495"/>
        <v>4565</v>
      </c>
      <c r="BH687" s="35">
        <f t="shared" si="2480"/>
        <v>0</v>
      </c>
      <c r="BK687" s="2" t="b">
        <f>H687='2020'!BH687</f>
        <v>1</v>
      </c>
    </row>
    <row r="688" ht="14.25" customHeight="1" hidden="1" spans="1:63" x14ac:dyDescent="0.25">
      <c r="A688" s="2">
        <v>76</v>
      </c>
      <c r="B688" s="14"/>
      <c r="D688" s="14" t="s">
        <v>51</v>
      </c>
      <c r="E688" s="2" t="s">
        <v>39</v>
      </c>
      <c r="F688" s="41">
        <v>500</v>
      </c>
      <c r="G688" s="28"/>
      <c r="H688" s="34">
        <f>'2020'!BH688</f>
        <v>500</v>
      </c>
      <c r="I688" s="13"/>
      <c r="J688" s="15"/>
      <c r="K688" s="15"/>
      <c r="L688" s="28"/>
      <c r="M688" s="13"/>
      <c r="N688" s="15"/>
      <c r="Q688" s="13"/>
      <c r="R688" s="15"/>
      <c r="S688" s="15"/>
      <c r="T688" s="28"/>
      <c r="U688" s="13"/>
      <c r="V688" s="15"/>
      <c r="Y688" s="186"/>
      <c r="Z688" s="2"/>
      <c r="AA688" s="15"/>
      <c r="AB688" s="28"/>
      <c r="AC688" s="15"/>
      <c r="AD688" s="15"/>
      <c r="AE688" s="180">
        <f>$F$13</f>
      </c>
      <c r="AF688" s="34"/>
      <c r="AG688" s="15"/>
      <c r="AH688" s="2"/>
      <c r="AI688" s="45"/>
      <c r="AJ688" s="15"/>
      <c r="AK688" s="13"/>
      <c r="AL688" s="15"/>
      <c r="AM688" s="45"/>
      <c r="AN688" s="305">
        <v>500</v>
      </c>
      <c r="AO688" s="13"/>
      <c r="AP688" s="15"/>
      <c r="AQ688" s="180"/>
      <c r="AR688" s="15"/>
      <c r="AS688" s="13"/>
      <c r="AT688" s="15"/>
      <c r="AU688" s="45"/>
      <c r="AV688" s="15"/>
      <c r="AW688" s="13"/>
      <c r="AX688" s="15"/>
      <c r="AY688" s="45"/>
      <c r="AZ688" s="28"/>
      <c r="BA688" s="13"/>
      <c r="BB688" s="15"/>
      <c r="BC688" s="45"/>
      <c r="BD688" s="28"/>
      <c r="BE688" s="14"/>
      <c r="BF688" s="41">
        <f t="shared" ref="BF688:BG688" si="2496">K688+O688+S688+W688+AA688+AE688+AI688+AM688+AQ688+AU688+AY688+BC688</f>
        <v>0</v>
      </c>
      <c r="BG688" s="34">
        <f t="shared" si="2496"/>
        <v>500</v>
      </c>
      <c r="BH688" s="35">
        <f t="shared" si="2480"/>
        <v>0</v>
      </c>
      <c r="BK688" s="2" t="b">
        <f>H688='2020'!BH688</f>
        <v>1</v>
      </c>
    </row>
    <row r="689" ht="14.25" customHeight="1" hidden="1" spans="1:63" x14ac:dyDescent="0.25">
      <c r="A689" s="2">
        <v>76</v>
      </c>
      <c r="B689" s="14"/>
      <c r="D689" s="14" t="s">
        <v>51</v>
      </c>
      <c r="E689" s="2" t="s">
        <v>49</v>
      </c>
      <c r="F689" s="41">
        <v>500</v>
      </c>
      <c r="G689" s="28"/>
      <c r="H689" s="34">
        <f>'2020'!BH689</f>
        <v>2075</v>
      </c>
      <c r="I689" s="13"/>
      <c r="J689" s="15"/>
      <c r="K689" s="15"/>
      <c r="L689" s="28"/>
      <c r="M689" s="13"/>
      <c r="N689" s="15"/>
      <c r="Q689" s="13"/>
      <c r="R689" s="15"/>
      <c r="S689" s="15"/>
      <c r="T689" s="28"/>
      <c r="U689" s="13"/>
      <c r="V689" s="15"/>
      <c r="Y689" s="186"/>
      <c r="Z689" s="2"/>
      <c r="AA689" s="15"/>
      <c r="AB689" s="28"/>
      <c r="AC689" s="15"/>
      <c r="AD689" s="15"/>
      <c r="AE689" s="34"/>
      <c r="AF689" s="34"/>
      <c r="AG689" s="15"/>
      <c r="AH689" s="2"/>
      <c r="AI689" s="45"/>
      <c r="AJ689" s="15"/>
      <c r="AK689" s="13"/>
      <c r="AL689" s="15"/>
      <c r="AM689" s="45"/>
      <c r="AN689" s="305">
        <v>2075</v>
      </c>
      <c r="AO689" s="13"/>
      <c r="AP689" s="15"/>
      <c r="AQ689" s="180">
        <f>B684*$F$14</f>
        <v>0</v>
      </c>
      <c r="AR689" s="15"/>
      <c r="AS689" s="13"/>
      <c r="AT689" s="15"/>
      <c r="AU689" s="45"/>
      <c r="AV689" s="15"/>
      <c r="AW689" s="13"/>
      <c r="AX689" s="15"/>
      <c r="AY689" s="45"/>
      <c r="AZ689" s="28"/>
      <c r="BA689" s="13"/>
      <c r="BB689" s="15"/>
      <c r="BC689" s="45"/>
      <c r="BD689" s="28"/>
      <c r="BE689" s="14"/>
      <c r="BF689" s="41">
        <f t="shared" ref="BF689:BG689" si="2497">K689+O689+S689+W689+AA689+AE689+AI689+AM689+AQ689+AU689+AY689+BC689</f>
        <v>0</v>
      </c>
      <c r="BG689" s="34">
        <f t="shared" si="2497"/>
        <v>2075</v>
      </c>
      <c r="BH689" s="35">
        <f t="shared" si="2480"/>
        <v>0</v>
      </c>
      <c r="BK689" s="2" t="b">
        <f>H689='2020'!BH689</f>
        <v>1</v>
      </c>
    </row>
    <row r="690" ht="14.25" customHeight="1" hidden="1" spans="1:63" x14ac:dyDescent="0.25">
      <c r="A690" s="2">
        <v>76</v>
      </c>
      <c r="B690" s="14"/>
      <c r="D690" s="14" t="s">
        <v>52</v>
      </c>
      <c r="E690" s="2" t="s">
        <v>39</v>
      </c>
      <c r="F690" s="41">
        <v>500</v>
      </c>
      <c r="G690" s="28"/>
      <c r="H690" s="34">
        <f>'2020'!BH690</f>
        <v>0</v>
      </c>
      <c r="I690" s="13"/>
      <c r="J690" s="15"/>
      <c r="K690" s="15"/>
      <c r="L690" s="28"/>
      <c r="M690" s="13"/>
      <c r="N690" s="15"/>
      <c r="Q690" s="13"/>
      <c r="R690" s="15"/>
      <c r="S690" s="15"/>
      <c r="T690" s="28"/>
      <c r="U690" s="13"/>
      <c r="V690" s="15"/>
      <c r="Y690" s="186"/>
      <c r="Z690" s="2"/>
      <c r="AA690" s="34">
        <f>$F$15</f>
      </c>
      <c r="AB690" s="28"/>
      <c r="AC690" s="15"/>
      <c r="AD690" s="15"/>
      <c r="AF690" s="34"/>
      <c r="AG690" s="15"/>
      <c r="AH690" s="2"/>
      <c r="AI690" s="45"/>
      <c r="AJ690" s="180"/>
      <c r="AK690" s="13"/>
      <c r="AL690" s="15"/>
      <c r="AM690" s="45"/>
      <c r="AN690" s="15"/>
      <c r="AO690" s="13"/>
      <c r="AP690" s="15"/>
      <c r="AQ690" s="45"/>
      <c r="AR690" s="15"/>
      <c r="AS690" s="13"/>
      <c r="AT690" s="15"/>
      <c r="AU690" s="45"/>
      <c r="AV690" s="15"/>
      <c r="AW690" s="13"/>
      <c r="AX690" s="15"/>
      <c r="AY690" s="45"/>
      <c r="AZ690" s="35"/>
      <c r="BA690" s="13"/>
      <c r="BB690" s="15"/>
      <c r="BC690" s="45"/>
      <c r="BD690" s="35"/>
      <c r="BE690" s="14"/>
      <c r="BF690" s="41">
        <f t="shared" ref="BF690:BG690" si="2498">K690+O690+S690+W690+AA690+AE690+AI690+AM690+AQ690+AU690+AY690+BC690</f>
        <v>0</v>
      </c>
      <c r="BG690" s="34">
        <f t="shared" si="2498"/>
        <v>0</v>
      </c>
      <c r="BH690" s="35">
        <f t="shared" si="2480"/>
        <v>0</v>
      </c>
      <c r="BK690" s="2" t="b">
        <f>H690='2020'!BH690</f>
        <v>1</v>
      </c>
    </row>
    <row r="691" ht="14.25" customHeight="1" hidden="1" spans="1:63" x14ac:dyDescent="0.25">
      <c r="A691" s="247">
        <v>76</v>
      </c>
      <c r="B691" s="21"/>
      <c r="C691" s="22" t="s">
        <v>53</v>
      </c>
      <c r="D691" s="21"/>
      <c r="E691" s="22"/>
      <c r="F691" s="20"/>
      <c r="G691" s="23"/>
      <c r="H691" s="51">
        <f>SUM(H683:H690)</f>
        <v>2665.1</v>
      </c>
      <c r="I691" s="52"/>
      <c r="J691" s="53"/>
      <c r="K691" s="51">
        <f t="shared" ref="K691:L691" si="2499">SUM(K683:K690)</f>
        <v>0</v>
      </c>
      <c r="L691" s="68">
        <f t="shared" si="2499"/>
        <v>0</v>
      </c>
      <c r="M691" s="52"/>
      <c r="N691" s="53"/>
      <c r="O691" s="51">
        <f t="shared" ref="O691:P691" si="2500">SUM(O683:O690)</f>
        <v>0</v>
      </c>
      <c r="P691" s="51">
        <f t="shared" si="2500"/>
        <v>0</v>
      </c>
      <c r="Q691" s="52"/>
      <c r="R691" s="53"/>
      <c r="S691" s="51">
        <f t="shared" ref="S691:T691" si="2501">SUM(S683:S690)</f>
        <v>0</v>
      </c>
      <c r="T691" s="51">
        <f t="shared" si="2501"/>
        <v>0</v>
      </c>
      <c r="U691" s="52"/>
      <c r="V691" s="53"/>
      <c r="W691" s="51">
        <f t="shared" ref="W691:X691" si="2502">SUM(W683:W690)</f>
        <v>0</v>
      </c>
      <c r="X691" s="51">
        <f t="shared" si="2502"/>
        <v>0</v>
      </c>
      <c r="Y691" s="300"/>
      <c r="Z691" s="301"/>
      <c r="AA691" s="51">
        <f t="shared" ref="AA691:AB691" si="2503">SUM(AA683:AA690)</f>
        <v>0</v>
      </c>
      <c r="AB691" s="51">
        <f t="shared" si="2503"/>
        <v>0</v>
      </c>
      <c r="AC691" s="52"/>
      <c r="AD691" s="53"/>
      <c r="AE691" s="51">
        <f t="shared" ref="AE691:AF691" si="2504">SUM(AE683:AE690)</f>
        <v>4565</v>
      </c>
      <c r="AF691" s="51">
        <f t="shared" si="2504"/>
        <v>0</v>
      </c>
      <c r="AG691" s="52"/>
      <c r="AH691" s="301"/>
      <c r="AI691" s="183">
        <f t="shared" ref="AI691:AJ691" si="2505">SUM(AI683:AI690)</f>
        <v>0</v>
      </c>
      <c r="AJ691" s="51">
        <f t="shared" si="2505"/>
        <v>0</v>
      </c>
      <c r="AK691" s="52"/>
      <c r="AL691" s="53"/>
      <c r="AM691" s="183">
        <f t="shared" ref="AM691:AN691" si="2506">SUM(AM683:AM690)</f>
        <v>40.7</v>
      </c>
      <c r="AN691" s="51">
        <f t="shared" si="2506"/>
        <v>7270.8</v>
      </c>
      <c r="AO691" s="52"/>
      <c r="AP691" s="53"/>
      <c r="AQ691" s="183">
        <f t="shared" ref="AQ691:AR691" si="2507">SUM(AQ683:AQ690)</f>
        <v>0</v>
      </c>
      <c r="AR691" s="51">
        <f t="shared" si="2507"/>
        <v>0</v>
      </c>
      <c r="AS691" s="52"/>
      <c r="AT691" s="53"/>
      <c r="AU691" s="183">
        <f t="shared" ref="AU691:AV691" si="2508">SUM(AU683:AU690)</f>
        <v>0</v>
      </c>
      <c r="AV691" s="68">
        <f t="shared" si="2508"/>
        <v>0</v>
      </c>
      <c r="AW691" s="52"/>
      <c r="AX691" s="53"/>
      <c r="AY691" s="183">
        <f t="shared" ref="AY691:AZ691" si="2509">SUM(AY683:AY690)</f>
        <v>0</v>
      </c>
      <c r="AZ691" s="68">
        <f t="shared" si="2509"/>
        <v>0</v>
      </c>
      <c r="BA691" s="52"/>
      <c r="BB691" s="53"/>
      <c r="BC691" s="183">
        <f t="shared" ref="BC691:BD691" si="2510">SUM(BC683:BC690)</f>
        <v>0</v>
      </c>
      <c r="BD691" s="68">
        <f t="shared" si="2510"/>
        <v>0</v>
      </c>
      <c r="BE691" s="69"/>
      <c r="BF691" s="70">
        <f t="shared" ref="BF691:BH691" si="2511">SUM(BF683:BF690)</f>
        <v>4605.7</v>
      </c>
      <c r="BG691" s="71">
        <f t="shared" si="2511"/>
        <v>7270.8</v>
      </c>
      <c r="BH691" s="72">
        <f t="shared" si="2511"/>
        <v>0</v>
      </c>
      <c r="BI691" s="34">
        <f>H691+BF691-BG691</f>
        <v>0</v>
      </c>
      <c r="BJ691" s="34">
        <f>BH691-BI691</f>
        <v>0</v>
      </c>
      <c r="BK691" s="2" t="b">
        <f>H691='2020'!BH691</f>
        <v>1</v>
      </c>
    </row>
    <row r="692" ht="14.25" customHeight="1" hidden="1" spans="1:63" x14ac:dyDescent="0.25">
      <c r="A692" s="2">
        <v>77</v>
      </c>
      <c r="B692" s="14"/>
      <c r="D692" s="14" t="s">
        <v>379</v>
      </c>
      <c r="F692" s="13"/>
      <c r="G692" s="28"/>
      <c r="H692" s="34">
        <f>'2020'!BH692</f>
        <v>0</v>
      </c>
      <c r="I692" s="13"/>
      <c r="J692" s="15"/>
      <c r="K692" s="15"/>
      <c r="L692" s="28"/>
      <c r="M692" s="13"/>
      <c r="N692" s="15"/>
      <c r="Q692" s="13"/>
      <c r="R692" s="15"/>
      <c r="S692" s="15"/>
      <c r="T692" s="28"/>
      <c r="U692" s="13"/>
      <c r="V692" s="15"/>
      <c r="Y692" s="186"/>
      <c r="Z692" s="2"/>
      <c r="AA692" s="15"/>
      <c r="AB692" s="28"/>
      <c r="AC692" s="15"/>
      <c r="AD692" s="15"/>
      <c r="AG692" s="15"/>
      <c r="AH692" s="2"/>
      <c r="AI692" s="45"/>
      <c r="AJ692" s="15"/>
      <c r="AK692" s="13"/>
      <c r="AM692" s="45"/>
      <c r="AO692" s="13"/>
      <c r="AQ692" s="45"/>
      <c r="AS692" s="13"/>
      <c r="AU692" s="45"/>
      <c r="AW692" s="13"/>
      <c r="AY692" s="45"/>
      <c r="AZ692" s="28"/>
      <c r="BA692" s="13"/>
      <c r="BB692" s="15"/>
      <c r="BC692" s="45"/>
      <c r="BD692" s="28"/>
      <c r="BE692" s="14"/>
      <c r="BF692" s="41">
        <f t="shared" ref="BF692:BG692" si="2512">K692+O692+S692+W692+AA692+AE692+AI692+AM692+AQ692+AU692+AY692+BC692</f>
        <v>0</v>
      </c>
      <c r="BG692" s="34">
        <f t="shared" si="2512"/>
        <v>0</v>
      </c>
      <c r="BH692" s="35">
        <f t="shared" ref="BH692:BH699" si="2513">H692+BF692-BG692</f>
        <v>0</v>
      </c>
      <c r="BK692" s="2" t="b">
        <f>H692='2020'!BH692</f>
        <v>1</v>
      </c>
    </row>
    <row r="693" ht="14.25" customHeight="1" hidden="1" spans="1:63" x14ac:dyDescent="0.25">
      <c r="A693" s="2">
        <v>77</v>
      </c>
      <c r="B693" s="14">
        <v>4.12</v>
      </c>
      <c r="C693" s="2" t="s">
        <v>268</v>
      </c>
      <c r="D693" s="14" t="s">
        <v>44</v>
      </c>
      <c r="E693" s="2" t="s">
        <v>45</v>
      </c>
      <c r="F693" s="41">
        <v>2.5</v>
      </c>
      <c r="G693" s="35">
        <v>2.6</v>
      </c>
      <c r="H693" s="34">
        <f>'2020'!BH693</f>
        <v>0</v>
      </c>
      <c r="I693" s="13">
        <v>2180</v>
      </c>
      <c r="J693" s="15">
        <f>I693-'2020'!BA693</f>
        <v>0</v>
      </c>
      <c r="K693" s="34">
        <f>J693*$F$8</f>
        <v>0</v>
      </c>
      <c r="L693" s="28"/>
      <c r="M693" s="13">
        <v>2180</v>
      </c>
      <c r="N693" s="15">
        <f t="shared" ref="N693:N694" si="2514">M693-I693</f>
        <v>0</v>
      </c>
      <c r="O693" s="34">
        <f>N693*$F$8</f>
        <v>0</v>
      </c>
      <c r="Q693" s="13">
        <v>2180</v>
      </c>
      <c r="R693" s="15">
        <f t="shared" ref="R693:R694" si="2515">Q693-M693</f>
        <v>0</v>
      </c>
      <c r="S693" s="34">
        <f>R693*$F$8</f>
        <v>0</v>
      </c>
      <c r="T693" s="28"/>
      <c r="U693" s="13">
        <v>2180</v>
      </c>
      <c r="V693" s="15">
        <f t="shared" ref="V693:V694" si="2516">U693-Q693</f>
        <v>0</v>
      </c>
      <c r="W693" s="34">
        <f>V693*$F$8</f>
        <v>0</v>
      </c>
      <c r="X693" s="34"/>
      <c r="Y693" s="186">
        <v>2241</v>
      </c>
      <c r="Z693" s="2">
        <f t="shared" ref="Z693:Z694" si="2517">Y693-U693</f>
        <v>61</v>
      </c>
      <c r="AA693" s="34">
        <f>Z693*$F$8</f>
        <v>158.6</v>
      </c>
      <c r="AB693" s="28"/>
      <c r="AC693" s="15">
        <v>2370</v>
      </c>
      <c r="AD693" s="15">
        <f t="shared" ref="AD693:AD694" si="2518">AC693-Y693</f>
        <v>129</v>
      </c>
      <c r="AE693" s="180">
        <f>AD693*$F$8</f>
        <v>335.4</v>
      </c>
      <c r="AF693" s="182">
        <v>494</v>
      </c>
      <c r="AG693" s="15">
        <v>2492</v>
      </c>
      <c r="AH693" s="2">
        <f t="shared" ref="AH693:AH694" si="2519">AG693-AC693</f>
        <v>122</v>
      </c>
      <c r="AI693" s="45">
        <f>AH693*$G$8</f>
        <v>329.4</v>
      </c>
      <c r="AJ693" s="326">
        <v>329.4</v>
      </c>
      <c r="AK693" s="13">
        <v>2595</v>
      </c>
      <c r="AL693" s="15">
        <f t="shared" ref="AL693:AL694" si="2520">AK693-AG693</f>
        <v>103</v>
      </c>
      <c r="AM693" s="45">
        <f>AL693*$G$8</f>
        <v>278.1</v>
      </c>
      <c r="AN693" s="327">
        <v>278.1</v>
      </c>
      <c r="AO693" s="13">
        <v>2667</v>
      </c>
      <c r="AP693" s="15">
        <f t="shared" ref="AP693:AP694" si="2521">AO693-AK693</f>
        <v>72</v>
      </c>
      <c r="AQ693" s="45">
        <f>AP693*$G$8</f>
        <v>194.4</v>
      </c>
      <c r="AR693" s="15"/>
      <c r="AS693" s="13">
        <v>2667</v>
      </c>
      <c r="AT693" s="15">
        <f t="shared" ref="AT693:AT694" si="2522">AS693-AO693</f>
        <v>0</v>
      </c>
      <c r="AU693" s="45">
        <f t="shared" ref="AU693:AU694" si="2523">AT693*$G$8</f>
        <v>0</v>
      </c>
      <c r="AV693" s="15"/>
      <c r="AW693" s="13">
        <v>2667</v>
      </c>
      <c r="AX693" s="15">
        <f t="shared" ref="AX693:AX694" si="2524">AW693-AS693</f>
        <v>0</v>
      </c>
      <c r="AY693" s="45">
        <f>AX693*$G$8</f>
        <v>0</v>
      </c>
      <c r="AZ693" s="246"/>
      <c r="BA693" s="13">
        <v>2667</v>
      </c>
      <c r="BB693" s="15">
        <f t="shared" ref="BB693:BB694" si="2525">BA693-AW693</f>
        <v>0</v>
      </c>
      <c r="BC693" s="45">
        <f>BB693*$G$8</f>
        <v>0</v>
      </c>
      <c r="BD693" s="208"/>
      <c r="BE693" s="40">
        <f t="shared" ref="BE693:BG693" si="2526">J693+N693+R693+V693+Z693+AD693+AH693+AL693+AP693+AT693+AX693+BB693</f>
        <v>487</v>
      </c>
      <c r="BF693" s="41">
        <f t="shared" si="2526"/>
        <v>1295.9</v>
      </c>
      <c r="BG693" s="34">
        <f t="shared" si="2526"/>
        <v>1101.5</v>
      </c>
      <c r="BH693" s="35">
        <f t="shared" si="2513"/>
        <v>194.4</v>
      </c>
      <c r="BK693" s="2" t="b">
        <f>H693='2020'!BH693</f>
        <v>1</v>
      </c>
    </row>
    <row r="694" ht="14.25" customHeight="1" hidden="1" spans="1:63" x14ac:dyDescent="0.25">
      <c r="A694" s="2">
        <v>77</v>
      </c>
      <c r="B694" s="14"/>
      <c r="C694" s="2" t="s">
        <v>269</v>
      </c>
      <c r="D694" s="14" t="s">
        <v>47</v>
      </c>
      <c r="E694" s="2" t="s">
        <v>48</v>
      </c>
      <c r="F694" s="13">
        <v>18.56</v>
      </c>
      <c r="G694" s="35">
        <v>19.46</v>
      </c>
      <c r="H694" s="34">
        <f>'2020'!BH694</f>
        <v>0</v>
      </c>
      <c r="I694" s="13">
        <v>404</v>
      </c>
      <c r="J694" s="15"/>
      <c r="K694" s="15"/>
      <c r="L694" s="28"/>
      <c r="M694" s="13">
        <v>404</v>
      </c>
      <c r="N694" s="15">
        <f t="shared" si="2514"/>
        <v>0</v>
      </c>
      <c r="Q694" s="13">
        <v>404</v>
      </c>
      <c r="R694" s="15">
        <f t="shared" si="2515"/>
        <v>0</v>
      </c>
      <c r="S694" s="15"/>
      <c r="T694" s="28"/>
      <c r="U694" s="13">
        <v>404</v>
      </c>
      <c r="V694" s="15">
        <f t="shared" si="2516"/>
        <v>0</v>
      </c>
      <c r="W694" s="180">
        <f>V694*$F$10</f>
        <v>0</v>
      </c>
      <c r="Y694" s="186">
        <v>405</v>
      </c>
      <c r="Z694" s="2">
        <f t="shared" si="2517"/>
        <v>1</v>
      </c>
      <c r="AA694" s="34">
        <f>Z694*$F$10</f>
        <v>19.46</v>
      </c>
      <c r="AB694" s="28"/>
      <c r="AC694" s="15">
        <v>419</v>
      </c>
      <c r="AD694" s="15">
        <f t="shared" si="2518"/>
        <v>14</v>
      </c>
      <c r="AE694" s="34">
        <f>AD694*$F$10</f>
        <v>272.44</v>
      </c>
      <c r="AF694" s="182">
        <v>291.9</v>
      </c>
      <c r="AG694" s="15">
        <v>429</v>
      </c>
      <c r="AH694" s="2">
        <f t="shared" si="2519"/>
        <v>10</v>
      </c>
      <c r="AI694" s="45">
        <f>AH694*$G$10</f>
        <v>203.5</v>
      </c>
      <c r="AJ694" s="326">
        <v>203.5</v>
      </c>
      <c r="AK694" s="13">
        <v>432</v>
      </c>
      <c r="AL694" s="15">
        <f t="shared" si="2520"/>
        <v>3</v>
      </c>
      <c r="AM694" s="45">
        <f>AL694*$G$10</f>
        <v>61.05</v>
      </c>
      <c r="AN694" s="327">
        <v>61.05</v>
      </c>
      <c r="AO694" s="13">
        <v>432</v>
      </c>
      <c r="AP694" s="15">
        <f t="shared" si="2521"/>
        <v>0</v>
      </c>
      <c r="AQ694" s="45">
        <f>AP694*$G$10</f>
        <v>0</v>
      </c>
      <c r="AR694" s="15"/>
      <c r="AS694" s="13">
        <v>432</v>
      </c>
      <c r="AT694" s="15">
        <f t="shared" si="2522"/>
        <v>0</v>
      </c>
      <c r="AU694" s="45">
        <f t="shared" si="2523"/>
        <v>0</v>
      </c>
      <c r="AV694" s="15"/>
      <c r="AW694" s="13">
        <v>432</v>
      </c>
      <c r="AX694" s="15">
        <f t="shared" si="2524"/>
        <v>0</v>
      </c>
      <c r="AY694" s="45"/>
      <c r="AZ694" s="208"/>
      <c r="BA694" s="13">
        <v>432</v>
      </c>
      <c r="BB694" s="15">
        <f t="shared" si="2525"/>
        <v>0</v>
      </c>
      <c r="BC694" s="45"/>
      <c r="BD694" s="208"/>
      <c r="BE694" s="40">
        <f t="shared" ref="BE694:BG694" si="2527">J694+N694+R694+V694+Z694+AD694+AH694+AL694+AP694+AT694+AX694+BB694</f>
        <v>28</v>
      </c>
      <c r="BF694" s="41">
        <f t="shared" si="2527"/>
        <v>556.45</v>
      </c>
      <c r="BG694" s="34">
        <f t="shared" si="2527"/>
        <v>556.45</v>
      </c>
      <c r="BH694" s="35">
        <f t="shared" si="2513"/>
        <v>0</v>
      </c>
      <c r="BK694" s="2" t="b">
        <f>H694='2020'!BH694</f>
        <v>1</v>
      </c>
    </row>
    <row r="695" ht="14.25" customHeight="1" hidden="1" spans="1:63" x14ac:dyDescent="0.25">
      <c r="A695" s="2">
        <v>77</v>
      </c>
      <c r="B695" s="14"/>
      <c r="C695" s="15" t="s">
        <v>158</v>
      </c>
      <c r="D695" s="14" t="s">
        <v>47</v>
      </c>
      <c r="E695" s="2" t="s">
        <v>49</v>
      </c>
      <c r="F695" s="41">
        <v>500</v>
      </c>
      <c r="G695" s="28"/>
      <c r="H695" s="34">
        <f>'2020'!BH695</f>
        <v>0</v>
      </c>
      <c r="I695" s="13"/>
      <c r="J695" s="15"/>
      <c r="K695" s="15"/>
      <c r="L695" s="28"/>
      <c r="M695" s="13"/>
      <c r="N695" s="15"/>
      <c r="Q695" s="13"/>
      <c r="R695" s="15"/>
      <c r="S695" s="15"/>
      <c r="T695" s="28"/>
      <c r="U695" s="13"/>
      <c r="V695" s="15"/>
      <c r="Y695" s="186"/>
      <c r="Z695" s="2"/>
      <c r="AA695" s="15"/>
      <c r="AB695" s="28"/>
      <c r="AC695" s="15"/>
      <c r="AD695" s="15"/>
      <c r="AF695" s="154"/>
      <c r="AG695" s="15"/>
      <c r="AH695" s="2"/>
      <c r="AI695" s="45"/>
      <c r="AJ695" s="15"/>
      <c r="AK695" s="13"/>
      <c r="AL695" s="15"/>
      <c r="AM695" s="45"/>
      <c r="AN695" s="15"/>
      <c r="AO695" s="13"/>
      <c r="AP695" s="15"/>
      <c r="AQ695" s="45"/>
      <c r="AR695" s="15"/>
      <c r="AS695" s="13"/>
      <c r="AT695" s="15"/>
      <c r="AU695" s="45"/>
      <c r="AV695" s="15"/>
      <c r="AW695" s="13"/>
      <c r="AX695" s="15"/>
      <c r="AY695" s="45"/>
      <c r="AZ695" s="28"/>
      <c r="BA695" s="13"/>
      <c r="BB695" s="15"/>
      <c r="BC695" s="45"/>
      <c r="BD695" s="28"/>
      <c r="BE695" s="14"/>
      <c r="BF695" s="41">
        <f t="shared" ref="BF695:BG695" si="2528">K695+O695+S695+W695+AA695+AE695+AI695+AM695+AQ695+AU695+AY695+BC695</f>
        <v>0</v>
      </c>
      <c r="BG695" s="34">
        <f t="shared" si="2528"/>
        <v>0</v>
      </c>
      <c r="BH695" s="35">
        <f t="shared" si="2513"/>
        <v>0</v>
      </c>
      <c r="BK695" s="2" t="b">
        <f>H695='2020'!BH695</f>
        <v>1</v>
      </c>
    </row>
    <row r="696" ht="14.25" customHeight="1" hidden="1" spans="1:63" x14ac:dyDescent="0.25">
      <c r="A696" s="2">
        <v>77</v>
      </c>
      <c r="B696" s="14"/>
      <c r="C696" s="2" t="s">
        <v>270</v>
      </c>
      <c r="D696" s="14" t="s">
        <v>50</v>
      </c>
      <c r="E696" s="2" t="s">
        <v>49</v>
      </c>
      <c r="F696" s="41">
        <v>1100</v>
      </c>
      <c r="G696" s="28"/>
      <c r="H696" s="34">
        <f>'2020'!BH696</f>
        <v>0</v>
      </c>
      <c r="I696" s="13"/>
      <c r="J696" s="15"/>
      <c r="K696" s="15"/>
      <c r="L696" s="28"/>
      <c r="M696" s="13"/>
      <c r="N696" s="15"/>
      <c r="Q696" s="13"/>
      <c r="R696" s="15"/>
      <c r="S696" s="15"/>
      <c r="T696" s="28"/>
      <c r="U696" s="13"/>
      <c r="V696" s="15"/>
      <c r="Y696" s="186"/>
      <c r="Z696" s="2"/>
      <c r="AA696" s="15"/>
      <c r="AB696" s="28"/>
      <c r="AC696" s="15"/>
      <c r="AD696" s="15"/>
      <c r="AE696" s="34">
        <f>B693*$F$12</f>
        <v>4532</v>
      </c>
      <c r="AF696" s="182">
        <v>4532</v>
      </c>
      <c r="AG696" s="15"/>
      <c r="AH696" s="2"/>
      <c r="AI696" s="45"/>
      <c r="AJ696" s="34"/>
      <c r="AK696" s="13"/>
      <c r="AL696" s="15"/>
      <c r="AM696" s="45"/>
      <c r="AN696" s="15"/>
      <c r="AO696" s="13"/>
      <c r="AP696" s="15"/>
      <c r="AQ696" s="45"/>
      <c r="AR696" s="15"/>
      <c r="AS696" s="13"/>
      <c r="AT696" s="15"/>
      <c r="AU696" s="45"/>
      <c r="AV696" s="15"/>
      <c r="AW696" s="13"/>
      <c r="AX696" s="15"/>
      <c r="AY696" s="45"/>
      <c r="AZ696" s="28"/>
      <c r="BA696" s="13"/>
      <c r="BB696" s="15"/>
      <c r="BC696" s="45"/>
      <c r="BD696" s="28"/>
      <c r="BE696" s="14"/>
      <c r="BF696" s="41">
        <f t="shared" ref="BF696:BG696" si="2529">K696+O696+S696+W696+AA696+AE696+AI696+AM696+AQ696+AU696+AY696+BC696</f>
        <v>4532</v>
      </c>
      <c r="BG696" s="34">
        <f t="shared" si="2529"/>
        <v>4532</v>
      </c>
      <c r="BH696" s="35">
        <f t="shared" si="2513"/>
        <v>0</v>
      </c>
      <c r="BK696" s="2" t="b">
        <f>H696='2020'!BH696</f>
        <v>1</v>
      </c>
    </row>
    <row r="697" ht="14.25" customHeight="1" hidden="1" spans="1:63" x14ac:dyDescent="0.25">
      <c r="A697" s="2">
        <v>77</v>
      </c>
      <c r="B697" s="14"/>
      <c r="D697" s="14" t="s">
        <v>51</v>
      </c>
      <c r="E697" s="2" t="s">
        <v>39</v>
      </c>
      <c r="F697" s="41">
        <v>500</v>
      </c>
      <c r="G697" s="28"/>
      <c r="H697" s="34">
        <f>'2020'!BH697</f>
        <v>500</v>
      </c>
      <c r="I697" s="13"/>
      <c r="J697" s="15"/>
      <c r="K697" s="15"/>
      <c r="L697" s="28"/>
      <c r="M697" s="13"/>
      <c r="N697" s="15"/>
      <c r="Q697" s="13"/>
      <c r="R697" s="15"/>
      <c r="S697" s="15"/>
      <c r="T697" s="28"/>
      <c r="U697" s="13"/>
      <c r="V697" s="15"/>
      <c r="Y697" s="186"/>
      <c r="Z697" s="2"/>
      <c r="AA697" s="15"/>
      <c r="AB697" s="28"/>
      <c r="AC697" s="15"/>
      <c r="AD697" s="15"/>
      <c r="AE697" s="180">
        <f>$F$13</f>
      </c>
      <c r="AF697" s="182">
        <v>500</v>
      </c>
      <c r="AG697" s="15"/>
      <c r="AH697" s="2"/>
      <c r="AI697" s="45"/>
      <c r="AJ697" s="15"/>
      <c r="AK697" s="13"/>
      <c r="AL697" s="15"/>
      <c r="AM697" s="45"/>
      <c r="AN697" s="15"/>
      <c r="AO697" s="13"/>
      <c r="AP697" s="15"/>
      <c r="AQ697" s="180"/>
      <c r="AR697" s="15"/>
      <c r="AS697" s="13"/>
      <c r="AT697" s="15"/>
      <c r="AU697" s="45"/>
      <c r="AV697" s="15"/>
      <c r="AW697" s="13"/>
      <c r="AX697" s="15"/>
      <c r="AY697" s="45"/>
      <c r="AZ697" s="28"/>
      <c r="BA697" s="13"/>
      <c r="BB697" s="15"/>
      <c r="BC697" s="45"/>
      <c r="BD697" s="28"/>
      <c r="BE697" s="14"/>
      <c r="BF697" s="41">
        <f t="shared" ref="BF697:BG697" si="2530">K697+O697+S697+W697+AA697+AE697+AI697+AM697+AQ697+AU697+AY697+BC697</f>
        <v>0</v>
      </c>
      <c r="BG697" s="34">
        <f t="shared" si="2530"/>
        <v>500</v>
      </c>
      <c r="BH697" s="35">
        <f t="shared" si="2513"/>
        <v>0</v>
      </c>
      <c r="BK697" s="2" t="b">
        <f>H697='2020'!BH697</f>
        <v>1</v>
      </c>
    </row>
    <row r="698" ht="14.25" customHeight="1" hidden="1" spans="1:63" x14ac:dyDescent="0.25">
      <c r="A698" s="2">
        <v>77</v>
      </c>
      <c r="B698" s="14"/>
      <c r="D698" s="14" t="s">
        <v>51</v>
      </c>
      <c r="E698" s="2" t="s">
        <v>49</v>
      </c>
      <c r="F698" s="41">
        <v>500</v>
      </c>
      <c r="G698" s="28"/>
      <c r="H698" s="34">
        <f>'2020'!BH698</f>
        <v>2060</v>
      </c>
      <c r="I698" s="13"/>
      <c r="J698" s="15"/>
      <c r="K698" s="15"/>
      <c r="L698" s="28"/>
      <c r="M698" s="13"/>
      <c r="N698" s="15"/>
      <c r="Q698" s="13"/>
      <c r="R698" s="15"/>
      <c r="S698" s="15"/>
      <c r="T698" s="28"/>
      <c r="U698" s="13"/>
      <c r="V698" s="15"/>
      <c r="Y698" s="186"/>
      <c r="Z698" s="2"/>
      <c r="AA698" s="15"/>
      <c r="AB698" s="28"/>
      <c r="AC698" s="15"/>
      <c r="AD698" s="15"/>
      <c r="AE698" s="34"/>
      <c r="AF698" s="182">
        <v>2060</v>
      </c>
      <c r="AG698" s="15"/>
      <c r="AH698" s="2"/>
      <c r="AI698" s="45"/>
      <c r="AJ698" s="15"/>
      <c r="AK698" s="13"/>
      <c r="AL698" s="15"/>
      <c r="AM698" s="45"/>
      <c r="AN698" s="15"/>
      <c r="AO698" s="13"/>
      <c r="AP698" s="15"/>
      <c r="AQ698" s="180">
        <f>B693*$F$14</f>
        <v>0</v>
      </c>
      <c r="AR698" s="15"/>
      <c r="AS698" s="13"/>
      <c r="AT698" s="15"/>
      <c r="AU698" s="45"/>
      <c r="AV698" s="15"/>
      <c r="AW698" s="13"/>
      <c r="AX698" s="15"/>
      <c r="AY698" s="45"/>
      <c r="AZ698" s="28"/>
      <c r="BA698" s="13"/>
      <c r="BB698" s="15"/>
      <c r="BC698" s="45"/>
      <c r="BD698" s="28"/>
      <c r="BE698" s="14"/>
      <c r="BF698" s="41">
        <f t="shared" ref="BF698:BG698" si="2531">K698+O698+S698+W698+AA698+AE698+AI698+AM698+AQ698+AU698+AY698+BC698</f>
        <v>0</v>
      </c>
      <c r="BG698" s="34">
        <f t="shared" si="2531"/>
        <v>2060</v>
      </c>
      <c r="BH698" s="35">
        <f t="shared" si="2513"/>
        <v>0</v>
      </c>
      <c r="BK698" s="2" t="b">
        <f>H698='2020'!BH698</f>
        <v>1</v>
      </c>
    </row>
    <row r="699" ht="14.25" customHeight="1" hidden="1" spans="1:63" x14ac:dyDescent="0.25">
      <c r="A699" s="2">
        <v>77</v>
      </c>
      <c r="B699" s="14"/>
      <c r="D699" s="14" t="s">
        <v>52</v>
      </c>
      <c r="E699" s="2" t="s">
        <v>39</v>
      </c>
      <c r="F699" s="41">
        <v>500</v>
      </c>
      <c r="G699" s="28"/>
      <c r="H699" s="34">
        <f>'2020'!BH699</f>
        <v>0</v>
      </c>
      <c r="I699" s="13"/>
      <c r="J699" s="15"/>
      <c r="K699" s="15"/>
      <c r="L699" s="28"/>
      <c r="M699" s="13"/>
      <c r="N699" s="15"/>
      <c r="Q699" s="13"/>
      <c r="R699" s="15"/>
      <c r="S699" s="15"/>
      <c r="T699" s="28"/>
      <c r="U699" s="13"/>
      <c r="V699" s="15"/>
      <c r="Y699" s="186"/>
      <c r="Z699" s="2"/>
      <c r="AA699" s="34">
        <f>$F$15</f>
      </c>
      <c r="AB699" s="35"/>
      <c r="AC699" s="15"/>
      <c r="AD699" s="15"/>
      <c r="AF699" s="180"/>
      <c r="AG699" s="15"/>
      <c r="AH699" s="2"/>
      <c r="AI699" s="45"/>
      <c r="AJ699" s="15"/>
      <c r="AK699" s="13"/>
      <c r="AL699" s="15"/>
      <c r="AM699" s="45"/>
      <c r="AN699" s="15"/>
      <c r="AO699" s="13"/>
      <c r="AP699" s="15"/>
      <c r="AQ699" s="45"/>
      <c r="AR699" s="15"/>
      <c r="AS699" s="13"/>
      <c r="AT699" s="15"/>
      <c r="AU699" s="45"/>
      <c r="AV699" s="15"/>
      <c r="AW699" s="13"/>
      <c r="AX699" s="15"/>
      <c r="AY699" s="45"/>
      <c r="AZ699" s="35"/>
      <c r="BA699" s="13"/>
      <c r="BB699" s="15"/>
      <c r="BC699" s="45"/>
      <c r="BD699" s="35"/>
      <c r="BE699" s="14"/>
      <c r="BF699" s="41">
        <f t="shared" ref="BF699:BG699" si="2532">K699+O699+S699+W699+AA699+AE699+AI699+AM699+AQ699+AU699+AY699+BC699</f>
        <v>0</v>
      </c>
      <c r="BG699" s="34">
        <f t="shared" si="2532"/>
        <v>0</v>
      </c>
      <c r="BH699" s="35">
        <f t="shared" si="2513"/>
        <v>0</v>
      </c>
      <c r="BK699" s="2" t="b">
        <f>H699='2020'!BH699</f>
        <v>1</v>
      </c>
    </row>
    <row r="700" ht="14.25" customHeight="1" hidden="1" spans="1:63" x14ac:dyDescent="0.25">
      <c r="A700" s="247">
        <v>77</v>
      </c>
      <c r="B700" s="21"/>
      <c r="C700" s="22" t="s">
        <v>53</v>
      </c>
      <c r="D700" s="21"/>
      <c r="E700" s="22"/>
      <c r="F700" s="20"/>
      <c r="G700" s="23"/>
      <c r="H700" s="51">
        <f>SUM(H692:H699)</f>
        <v>2560</v>
      </c>
      <c r="I700" s="52"/>
      <c r="J700" s="53"/>
      <c r="K700" s="51">
        <f t="shared" ref="K700:L700" si="2533">SUM(K692:K699)</f>
        <v>0</v>
      </c>
      <c r="L700" s="68">
        <f t="shared" si="2533"/>
        <v>0</v>
      </c>
      <c r="M700" s="52"/>
      <c r="N700" s="53"/>
      <c r="O700" s="51">
        <f t="shared" ref="O700:P700" si="2534">SUM(O692:O699)</f>
        <v>0</v>
      </c>
      <c r="P700" s="51">
        <f t="shared" si="2534"/>
        <v>0</v>
      </c>
      <c r="Q700" s="52"/>
      <c r="R700" s="53"/>
      <c r="S700" s="51">
        <f t="shared" ref="S700:T700" si="2535">SUM(S692:S699)</f>
        <v>0</v>
      </c>
      <c r="T700" s="51">
        <f t="shared" si="2535"/>
        <v>0</v>
      </c>
      <c r="U700" s="52"/>
      <c r="V700" s="53"/>
      <c r="W700" s="51">
        <f t="shared" ref="W700:X700" si="2536">SUM(W692:W699)</f>
        <v>0</v>
      </c>
      <c r="X700" s="51">
        <f t="shared" si="2536"/>
        <v>0</v>
      </c>
      <c r="Y700" s="300"/>
      <c r="Z700" s="301"/>
      <c r="AA700" s="51">
        <f t="shared" ref="AA700:AB700" si="2537">SUM(AA692:AA699)</f>
        <v>178.06</v>
      </c>
      <c r="AB700" s="51">
        <f t="shared" si="2537"/>
        <v>0</v>
      </c>
      <c r="AC700" s="52"/>
      <c r="AD700" s="53"/>
      <c r="AE700" s="51">
        <f t="shared" ref="AE700:AF700" si="2538">SUM(AE692:AE699)</f>
        <v>5139.84</v>
      </c>
      <c r="AF700" s="51">
        <f t="shared" si="2538"/>
        <v>7877.9</v>
      </c>
      <c r="AG700" s="52"/>
      <c r="AH700" s="301"/>
      <c r="AI700" s="183">
        <f t="shared" ref="AI700:AJ700" si="2539">SUM(AI692:AI699)</f>
        <v>532.9</v>
      </c>
      <c r="AJ700" s="51">
        <f t="shared" si="2539"/>
        <v>532.9</v>
      </c>
      <c r="AK700" s="52"/>
      <c r="AL700" s="53"/>
      <c r="AM700" s="183">
        <f t="shared" ref="AM700:AN700" si="2540">SUM(AM692:AM699)</f>
        <v>339.15</v>
      </c>
      <c r="AN700" s="51">
        <f t="shared" si="2540"/>
        <v>339.15</v>
      </c>
      <c r="AO700" s="52"/>
      <c r="AP700" s="53"/>
      <c r="AQ700" s="183">
        <f t="shared" ref="AQ700:AR700" si="2541">SUM(AQ692:AQ699)</f>
        <v>194.4</v>
      </c>
      <c r="AR700" s="51">
        <f t="shared" si="2541"/>
        <v>0</v>
      </c>
      <c r="AS700" s="52"/>
      <c r="AT700" s="53"/>
      <c r="AU700" s="183">
        <f t="shared" ref="AU700:AV700" si="2542">SUM(AU692:AU699)</f>
        <v>0</v>
      </c>
      <c r="AV700" s="68">
        <f t="shared" si="2542"/>
        <v>0</v>
      </c>
      <c r="AW700" s="52"/>
      <c r="AX700" s="53"/>
      <c r="AY700" s="183">
        <f t="shared" ref="AY700:AZ700" si="2543">SUM(AY692:AY699)</f>
        <v>0</v>
      </c>
      <c r="AZ700" s="68">
        <f t="shared" si="2543"/>
        <v>0</v>
      </c>
      <c r="BA700" s="52"/>
      <c r="BB700" s="53"/>
      <c r="BC700" s="183">
        <f t="shared" ref="BC700:BD700" si="2544">SUM(BC692:BC699)</f>
        <v>0</v>
      </c>
      <c r="BD700" s="68">
        <f t="shared" si="2544"/>
        <v>0</v>
      </c>
      <c r="BE700" s="69"/>
      <c r="BF700" s="70">
        <f t="shared" ref="BF700:BH700" si="2545">SUM(BF692:BF699)</f>
        <v>6384.35</v>
      </c>
      <c r="BG700" s="71">
        <f t="shared" si="2545"/>
        <v>8749.95</v>
      </c>
      <c r="BH700" s="72">
        <f t="shared" si="2545"/>
        <v>194.4</v>
      </c>
      <c r="BI700" s="34">
        <f>H700+BF700-BG700</f>
        <v>194.4</v>
      </c>
      <c r="BJ700" s="34">
        <f>BH700-BI700</f>
        <v>0</v>
      </c>
      <c r="BK700" s="2" t="b">
        <f>H700='2020'!BH700</f>
        <v>1</v>
      </c>
    </row>
    <row r="701" ht="14.25" customHeight="1" hidden="1" spans="1:63" x14ac:dyDescent="0.25">
      <c r="A701" s="2">
        <v>78</v>
      </c>
      <c r="B701" s="14"/>
      <c r="D701" s="14" t="s">
        <v>379</v>
      </c>
      <c r="F701" s="13"/>
      <c r="G701" s="28"/>
      <c r="H701" s="34">
        <f>'2020'!BH701</f>
        <v>0</v>
      </c>
      <c r="I701" s="13"/>
      <c r="J701" s="15"/>
      <c r="K701" s="15"/>
      <c r="L701" s="28"/>
      <c r="M701" s="13"/>
      <c r="N701" s="15"/>
      <c r="Q701" s="13"/>
      <c r="R701" s="15"/>
      <c r="S701" s="15"/>
      <c r="T701" s="28"/>
      <c r="U701" s="13"/>
      <c r="V701" s="15"/>
      <c r="Y701" s="186"/>
      <c r="Z701" s="2"/>
      <c r="AA701" s="15"/>
      <c r="AB701" s="28"/>
      <c r="AC701" s="15"/>
      <c r="AD701" s="15"/>
      <c r="AG701" s="15"/>
      <c r="AH701" s="2"/>
      <c r="AI701" s="45"/>
      <c r="AJ701" s="15"/>
      <c r="AK701" s="13"/>
      <c r="AM701" s="45"/>
      <c r="AO701" s="13"/>
      <c r="AQ701" s="45"/>
      <c r="AS701" s="13"/>
      <c r="AU701" s="45"/>
      <c r="AW701" s="13"/>
      <c r="AY701" s="45"/>
      <c r="AZ701" s="28"/>
      <c r="BA701" s="13"/>
      <c r="BB701" s="15"/>
      <c r="BC701" s="45"/>
      <c r="BD701" s="28"/>
      <c r="BE701" s="14"/>
      <c r="BF701" s="41">
        <f t="shared" ref="BF701:BG701" si="2546">K701+O701+S701+W701+AA701+AE701+AI701+AM701+AQ701+AU701+AY701+BC701</f>
        <v>0</v>
      </c>
      <c r="BG701" s="34">
        <f t="shared" si="2546"/>
        <v>0</v>
      </c>
      <c r="BH701" s="35">
        <f t="shared" ref="BH701:BH708" si="2547">H701+BF701-BG701</f>
        <v>0</v>
      </c>
      <c r="BK701" s="2" t="b">
        <f>H701='2020'!BH701</f>
        <v>1</v>
      </c>
    </row>
    <row r="702" ht="14.25" customHeight="1" hidden="1" spans="1:63" x14ac:dyDescent="0.25">
      <c r="A702" s="2">
        <v>78</v>
      </c>
      <c r="B702" s="14">
        <v>4.03</v>
      </c>
      <c r="C702" s="2" t="s">
        <v>271</v>
      </c>
      <c r="D702" s="14" t="s">
        <v>44</v>
      </c>
      <c r="E702" s="2" t="s">
        <v>45</v>
      </c>
      <c r="F702" s="41">
        <v>2.5</v>
      </c>
      <c r="G702" s="35">
        <v>2.6</v>
      </c>
      <c r="H702" s="34">
        <f>'2020'!BH702</f>
        <v>39.05</v>
      </c>
      <c r="I702" s="13">
        <v>75</v>
      </c>
      <c r="J702" s="15">
        <f>I702-'2020'!BA702</f>
        <v>0</v>
      </c>
      <c r="K702" s="34">
        <f>J702*$F$8</f>
        <v>0</v>
      </c>
      <c r="L702" s="28"/>
      <c r="M702" s="13">
        <v>75</v>
      </c>
      <c r="N702" s="15">
        <f t="shared" ref="N702:N703" si="2548">M702-I702</f>
        <v>0</v>
      </c>
      <c r="O702" s="34">
        <f>N702*$F$8</f>
        <v>0</v>
      </c>
      <c r="Q702" s="13">
        <v>75</v>
      </c>
      <c r="R702" s="15">
        <f t="shared" ref="R702:R703" si="2549">Q702-M702</f>
        <v>0</v>
      </c>
      <c r="S702" s="34">
        <f>R702*$F$8</f>
        <v>0</v>
      </c>
      <c r="T702" s="28"/>
      <c r="U702" s="13">
        <v>75</v>
      </c>
      <c r="V702" s="15">
        <f t="shared" ref="V702:V703" si="2550">U702-Q702</f>
        <v>0</v>
      </c>
      <c r="W702" s="34">
        <f>V702*$F$8</f>
        <v>0</v>
      </c>
      <c r="X702" s="15"/>
      <c r="Y702" s="186">
        <v>83</v>
      </c>
      <c r="Z702" s="2">
        <f t="shared" ref="Z702:Z703" si="2551">Y702-U702</f>
        <v>8</v>
      </c>
      <c r="AA702" s="34">
        <f>Z702*$F$8</f>
        <v>20.8</v>
      </c>
      <c r="AB702" s="28"/>
      <c r="AC702" s="15">
        <v>86</v>
      </c>
      <c r="AD702" s="15">
        <f t="shared" ref="AD702:AD703" si="2552">AC702-Y702</f>
        <v>3</v>
      </c>
      <c r="AE702" s="180">
        <f>AD702*$F$8</f>
        <v>7.8</v>
      </c>
      <c r="AF702" s="182">
        <v>67.65</v>
      </c>
      <c r="AG702" s="15">
        <v>88</v>
      </c>
      <c r="AH702" s="2">
        <f t="shared" ref="AH702:AH703" si="2553">AG702-AC702</f>
        <v>2</v>
      </c>
      <c r="AI702" s="45">
        <f>AH702*$G$8</f>
        <v>5.4</v>
      </c>
      <c r="AJ702" s="326">
        <v>5.4</v>
      </c>
      <c r="AK702" s="13">
        <v>89</v>
      </c>
      <c r="AL702" s="15">
        <f t="shared" ref="AL702:AL703" si="2554">AK702-AG702</f>
        <v>1</v>
      </c>
      <c r="AM702" s="45">
        <f>AL702*$G$8</f>
        <v>2.7</v>
      </c>
      <c r="AN702" s="306">
        <v>2.7</v>
      </c>
      <c r="AO702" s="13">
        <v>94</v>
      </c>
      <c r="AP702" s="15">
        <f t="shared" ref="AP702:AP703" si="2555">AO702-AK702</f>
        <v>5</v>
      </c>
      <c r="AQ702" s="45">
        <f>AP702*$G$8</f>
        <v>13.5</v>
      </c>
      <c r="AR702" s="15"/>
      <c r="AS702" s="13">
        <v>120</v>
      </c>
      <c r="AT702" s="15">
        <f t="shared" ref="AT702:AT703" si="2556">AS702-AO702</f>
        <v>26</v>
      </c>
      <c r="AU702" s="45">
        <f>AT702*$G$8</f>
        <v>70.2</v>
      </c>
      <c r="AV702" s="15"/>
      <c r="AW702" s="13">
        <v>121</v>
      </c>
      <c r="AX702" s="15">
        <f t="shared" ref="AX702:AX703" si="2557">AW702-AS702</f>
        <v>1</v>
      </c>
      <c r="AY702" s="45">
        <f>AX702*$G$8</f>
        <v>2.7</v>
      </c>
      <c r="AZ702" s="208"/>
      <c r="BA702" s="13">
        <v>121</v>
      </c>
      <c r="BB702" s="15">
        <f t="shared" ref="BB702:BB703" si="2558">BA702-AW702</f>
        <v>0</v>
      </c>
      <c r="BC702" s="45">
        <f>BB702*$G$8</f>
        <v>0</v>
      </c>
      <c r="BD702" s="208"/>
      <c r="BE702" s="40">
        <f t="shared" ref="BE702:BG702" si="2559">J702+N702+R702+V702+Z702+AD702+AH702+AL702+AP702+AT702+AX702+BB702</f>
        <v>46</v>
      </c>
      <c r="BF702" s="41">
        <f t="shared" si="2559"/>
        <v>123.1</v>
      </c>
      <c r="BG702" s="34">
        <f t="shared" si="2559"/>
        <v>75.75</v>
      </c>
      <c r="BH702" s="35">
        <f t="shared" si="2547"/>
        <v>86.4</v>
      </c>
      <c r="BK702" s="2" t="b">
        <f>H702='2020'!BH702</f>
        <v>1</v>
      </c>
    </row>
    <row r="703" ht="14.25" customHeight="1" hidden="1" spans="1:63" x14ac:dyDescent="0.25">
      <c r="A703" s="2">
        <v>78</v>
      </c>
      <c r="B703" s="14"/>
      <c r="C703" s="2" t="s">
        <v>61</v>
      </c>
      <c r="D703" s="14" t="s">
        <v>47</v>
      </c>
      <c r="E703" s="2" t="s">
        <v>48</v>
      </c>
      <c r="F703" s="13">
        <v>18.56</v>
      </c>
      <c r="G703" s="35">
        <v>19.46</v>
      </c>
      <c r="H703" s="34">
        <f>'2020'!BH703</f>
        <v>0</v>
      </c>
      <c r="I703" s="13">
        <v>162</v>
      </c>
      <c r="J703" s="15"/>
      <c r="K703" s="15"/>
      <c r="L703" s="28"/>
      <c r="M703" s="13">
        <v>162</v>
      </c>
      <c r="N703" s="15">
        <f t="shared" si="2548"/>
        <v>0</v>
      </c>
      <c r="Q703" s="13">
        <v>162</v>
      </c>
      <c r="R703" s="15">
        <f t="shared" si="2549"/>
        <v>0</v>
      </c>
      <c r="S703" s="15"/>
      <c r="T703" s="28"/>
      <c r="U703" s="13">
        <v>162</v>
      </c>
      <c r="V703" s="15">
        <f t="shared" si="2550"/>
        <v>0</v>
      </c>
      <c r="W703" s="180">
        <f>V703*$F$10</f>
        <v>0</v>
      </c>
      <c r="Y703" s="186">
        <v>166</v>
      </c>
      <c r="Z703" s="2">
        <f t="shared" si="2551"/>
        <v>4</v>
      </c>
      <c r="AA703" s="34">
        <f>Z703*$F$10</f>
        <v>77.84</v>
      </c>
      <c r="AB703" s="28"/>
      <c r="AC703" s="15">
        <v>182</v>
      </c>
      <c r="AD703" s="15">
        <f t="shared" si="2552"/>
        <v>16</v>
      </c>
      <c r="AE703" s="34">
        <f>AD703*$F$10</f>
        <v>311.36</v>
      </c>
      <c r="AF703" s="182">
        <v>389.2</v>
      </c>
      <c r="AG703" s="15">
        <v>188</v>
      </c>
      <c r="AH703" s="2">
        <f t="shared" si="2553"/>
        <v>6</v>
      </c>
      <c r="AI703" s="45">
        <f>AH703*$G$10</f>
        <v>122.1</v>
      </c>
      <c r="AJ703" s="326">
        <v>122.1</v>
      </c>
      <c r="AK703" s="13">
        <v>195</v>
      </c>
      <c r="AL703" s="15">
        <f t="shared" si="2554"/>
        <v>7</v>
      </c>
      <c r="AM703" s="45">
        <f>AL703*$G$10</f>
        <v>142.45</v>
      </c>
      <c r="AN703" s="306">
        <v>142.45</v>
      </c>
      <c r="AO703" s="13">
        <v>195</v>
      </c>
      <c r="AP703" s="15">
        <f t="shared" si="2555"/>
        <v>0</v>
      </c>
      <c r="AQ703" s="45">
        <f>AP703*$G$10</f>
        <v>0</v>
      </c>
      <c r="AR703" s="15"/>
      <c r="AS703" s="13">
        <v>195</v>
      </c>
      <c r="AT703" s="15">
        <f t="shared" si="2556"/>
        <v>0</v>
      </c>
      <c r="AU703" s="45">
        <f>AT703*$G$10</f>
        <v>0</v>
      </c>
      <c r="AV703" s="15"/>
      <c r="AW703" s="13">
        <v>195</v>
      </c>
      <c r="AX703" s="15">
        <f t="shared" si="2557"/>
        <v>0</v>
      </c>
      <c r="AY703" s="45"/>
      <c r="AZ703" s="208"/>
      <c r="BA703" s="13">
        <v>195</v>
      </c>
      <c r="BB703" s="15">
        <f t="shared" si="2558"/>
        <v>0</v>
      </c>
      <c r="BC703" s="45"/>
      <c r="BD703" s="208"/>
      <c r="BE703" s="40">
        <f t="shared" ref="BE703:BG703" si="2560">J703+N703+R703+V703+Z703+AD703+AH703+AL703+AP703+AT703+AX703+BB703</f>
        <v>33</v>
      </c>
      <c r="BF703" s="41">
        <f t="shared" si="2560"/>
        <v>653.75</v>
      </c>
      <c r="BG703" s="34">
        <f t="shared" si="2560"/>
        <v>653.75</v>
      </c>
      <c r="BH703" s="35">
        <f t="shared" si="2547"/>
        <v>0</v>
      </c>
      <c r="BK703" s="2" t="b">
        <f>H703='2020'!BH703</f>
        <v>1</v>
      </c>
    </row>
    <row r="704" ht="14.25" customHeight="1" hidden="1" spans="1:63" x14ac:dyDescent="0.25">
      <c r="A704" s="2">
        <v>78</v>
      </c>
      <c r="B704" s="14"/>
      <c r="C704" s="15" t="s">
        <v>272</v>
      </c>
      <c r="D704" s="14" t="s">
        <v>47</v>
      </c>
      <c r="E704" s="2" t="s">
        <v>49</v>
      </c>
      <c r="F704" s="41">
        <v>500</v>
      </c>
      <c r="G704" s="28"/>
      <c r="H704" s="34">
        <f>'2020'!BH704</f>
        <v>0</v>
      </c>
      <c r="I704" s="13"/>
      <c r="J704" s="15"/>
      <c r="K704" s="15"/>
      <c r="L704" s="28"/>
      <c r="M704" s="13"/>
      <c r="N704" s="15"/>
      <c r="Q704" s="13"/>
      <c r="R704" s="15"/>
      <c r="S704" s="15"/>
      <c r="T704" s="28"/>
      <c r="U704" s="13"/>
      <c r="V704" s="15"/>
      <c r="Y704" s="186"/>
      <c r="Z704" s="2"/>
      <c r="AA704" s="15"/>
      <c r="AB704" s="28"/>
      <c r="AC704" s="15"/>
      <c r="AD704" s="15"/>
      <c r="AF704" s="154"/>
      <c r="AG704" s="15"/>
      <c r="AH704" s="2"/>
      <c r="AI704" s="45"/>
      <c r="AJ704" s="154"/>
      <c r="AK704" s="13"/>
      <c r="AL704" s="15"/>
      <c r="AM704" s="45"/>
      <c r="AN704" s="15"/>
      <c r="AO704" s="13"/>
      <c r="AP704" s="15"/>
      <c r="AQ704" s="45"/>
      <c r="AR704" s="15"/>
      <c r="AS704" s="13"/>
      <c r="AT704" s="15"/>
      <c r="AU704" s="45"/>
      <c r="AV704" s="15"/>
      <c r="AW704" s="13"/>
      <c r="AX704" s="15"/>
      <c r="AY704" s="45"/>
      <c r="AZ704" s="28"/>
      <c r="BA704" s="13"/>
      <c r="BB704" s="15"/>
      <c r="BC704" s="45"/>
      <c r="BD704" s="28"/>
      <c r="BE704" s="14"/>
      <c r="BF704" s="41">
        <f t="shared" ref="BF704:BG704" si="2561">K704+O704+S704+W704+AA704+AE704+AI704+AM704+AQ704+AU704+AY704+BC704</f>
        <v>0</v>
      </c>
      <c r="BG704" s="34">
        <f t="shared" si="2561"/>
        <v>0</v>
      </c>
      <c r="BH704" s="35">
        <f t="shared" si="2547"/>
        <v>0</v>
      </c>
      <c r="BK704" s="2" t="b">
        <f>H704='2020'!BH704</f>
        <v>1</v>
      </c>
    </row>
    <row r="705" ht="14.25" customHeight="1" hidden="1" spans="1:63" x14ac:dyDescent="0.25">
      <c r="A705" s="2">
        <v>78</v>
      </c>
      <c r="B705" s="14"/>
      <c r="C705" s="2" t="s">
        <v>273</v>
      </c>
      <c r="D705" s="14" t="s">
        <v>50</v>
      </c>
      <c r="E705" s="2" t="s">
        <v>49</v>
      </c>
      <c r="F705" s="41">
        <v>1100</v>
      </c>
      <c r="G705" s="28"/>
      <c r="H705" s="34">
        <f>'2020'!BH705</f>
        <v>0</v>
      </c>
      <c r="I705" s="13"/>
      <c r="J705" s="15"/>
      <c r="K705" s="15"/>
      <c r="L705" s="28"/>
      <c r="M705" s="13"/>
      <c r="N705" s="15"/>
      <c r="Q705" s="13"/>
      <c r="R705" s="15"/>
      <c r="S705" s="15"/>
      <c r="T705" s="28"/>
      <c r="U705" s="13"/>
      <c r="V705" s="15"/>
      <c r="Y705" s="186"/>
      <c r="Z705" s="2"/>
      <c r="AA705" s="15"/>
      <c r="AB705" s="28"/>
      <c r="AC705" s="15"/>
      <c r="AD705" s="15"/>
      <c r="AE705" s="34">
        <f>B702*$F$12</f>
        <v>4433</v>
      </c>
      <c r="AF705" s="182">
        <v>4433</v>
      </c>
      <c r="AG705" s="15"/>
      <c r="AH705" s="2"/>
      <c r="AI705" s="45"/>
      <c r="AJ705" s="39"/>
      <c r="AK705" s="13"/>
      <c r="AL705" s="15"/>
      <c r="AM705" s="45"/>
      <c r="AN705" s="15"/>
      <c r="AO705" s="13"/>
      <c r="AP705" s="15"/>
      <c r="AQ705" s="45"/>
      <c r="AR705" s="15"/>
      <c r="AS705" s="13"/>
      <c r="AT705" s="15"/>
      <c r="AU705" s="45"/>
      <c r="AV705" s="15"/>
      <c r="AW705" s="13"/>
      <c r="AX705" s="15"/>
      <c r="AY705" s="45"/>
      <c r="AZ705" s="28"/>
      <c r="BA705" s="13"/>
      <c r="BB705" s="15"/>
      <c r="BC705" s="45"/>
      <c r="BD705" s="28"/>
      <c r="BE705" s="14"/>
      <c r="BF705" s="41">
        <f t="shared" ref="BF705:BG705" si="2562">K705+O705+S705+W705+AA705+AE705+AI705+AM705+AQ705+AU705+AY705+BC705</f>
        <v>4433</v>
      </c>
      <c r="BG705" s="34">
        <f t="shared" si="2562"/>
        <v>4433</v>
      </c>
      <c r="BH705" s="35">
        <f t="shared" si="2547"/>
        <v>0</v>
      </c>
      <c r="BK705" s="2" t="b">
        <f>H705='2020'!BH705</f>
        <v>1</v>
      </c>
    </row>
    <row r="706" ht="14.25" customHeight="1" hidden="1" spans="1:63" x14ac:dyDescent="0.25">
      <c r="A706" s="2">
        <v>78</v>
      </c>
      <c r="B706" s="14"/>
      <c r="C706" s="2" t="s">
        <v>274</v>
      </c>
      <c r="D706" s="14" t="s">
        <v>51</v>
      </c>
      <c r="E706" s="2" t="s">
        <v>39</v>
      </c>
      <c r="F706" s="41">
        <v>500</v>
      </c>
      <c r="G706" s="28"/>
      <c r="H706" s="34">
        <f>'2020'!BH706</f>
        <v>500</v>
      </c>
      <c r="I706" s="13"/>
      <c r="J706" s="15"/>
      <c r="K706" s="15"/>
      <c r="L706" s="28"/>
      <c r="M706" s="13"/>
      <c r="N706" s="15"/>
      <c r="Q706" s="13"/>
      <c r="R706" s="15"/>
      <c r="S706" s="15"/>
      <c r="T706" s="28"/>
      <c r="U706" s="13"/>
      <c r="V706" s="15"/>
      <c r="Y706" s="186"/>
      <c r="Z706" s="2"/>
      <c r="AA706" s="15"/>
      <c r="AB706" s="28"/>
      <c r="AC706" s="15"/>
      <c r="AD706" s="15"/>
      <c r="AE706" s="180">
        <f>$F$13</f>
      </c>
      <c r="AF706" s="182">
        <v>500</v>
      </c>
      <c r="AG706" s="15"/>
      <c r="AH706" s="2"/>
      <c r="AI706" s="45"/>
      <c r="AJ706" s="15"/>
      <c r="AK706" s="13"/>
      <c r="AL706" s="15"/>
      <c r="AM706" s="45"/>
      <c r="AN706" s="15"/>
      <c r="AO706" s="13"/>
      <c r="AP706" s="15"/>
      <c r="AQ706" s="180"/>
      <c r="AR706" s="15"/>
      <c r="AS706" s="13"/>
      <c r="AT706" s="15"/>
      <c r="AU706" s="45"/>
      <c r="AV706" s="15"/>
      <c r="AW706" s="13"/>
      <c r="AX706" s="15"/>
      <c r="AY706" s="45"/>
      <c r="AZ706" s="28"/>
      <c r="BA706" s="13"/>
      <c r="BB706" s="15"/>
      <c r="BC706" s="45"/>
      <c r="BD706" s="28"/>
      <c r="BE706" s="14"/>
      <c r="BF706" s="41">
        <f t="shared" ref="BF706:BG706" si="2563">K706+O706+S706+W706+AA706+AE706+AI706+AM706+AQ706+AU706+AY706+BC706</f>
        <v>0</v>
      </c>
      <c r="BG706" s="34">
        <f t="shared" si="2563"/>
        <v>500</v>
      </c>
      <c r="BH706" s="35">
        <f t="shared" si="2547"/>
        <v>0</v>
      </c>
      <c r="BK706" s="2" t="b">
        <f>H706='2020'!BH706</f>
        <v>1</v>
      </c>
    </row>
    <row r="707" ht="14.25" customHeight="1" hidden="1" spans="1:63" x14ac:dyDescent="0.25">
      <c r="A707" s="2">
        <v>78</v>
      </c>
      <c r="B707" s="14"/>
      <c r="D707" s="14" t="s">
        <v>51</v>
      </c>
      <c r="E707" s="2" t="s">
        <v>49</v>
      </c>
      <c r="F707" s="41">
        <v>500</v>
      </c>
      <c r="G707" s="28"/>
      <c r="H707" s="34">
        <f>'2020'!BH707</f>
        <v>2015</v>
      </c>
      <c r="I707" s="13"/>
      <c r="J707" s="15"/>
      <c r="K707" s="15"/>
      <c r="L707" s="28"/>
      <c r="M707" s="13"/>
      <c r="N707" s="15"/>
      <c r="Q707" s="13"/>
      <c r="R707" s="15"/>
      <c r="S707" s="15"/>
      <c r="T707" s="28"/>
      <c r="U707" s="13"/>
      <c r="V707" s="15"/>
      <c r="Y707" s="186"/>
      <c r="Z707" s="2"/>
      <c r="AA707" s="15"/>
      <c r="AB707" s="28"/>
      <c r="AC707" s="15"/>
      <c r="AD707" s="15"/>
      <c r="AE707" s="34"/>
      <c r="AF707" s="182">
        <v>2015</v>
      </c>
      <c r="AG707" s="15"/>
      <c r="AH707" s="2"/>
      <c r="AI707" s="45"/>
      <c r="AJ707" s="15"/>
      <c r="AK707" s="13"/>
      <c r="AL707" s="15"/>
      <c r="AM707" s="45"/>
      <c r="AN707" s="15"/>
      <c r="AO707" s="13"/>
      <c r="AP707" s="15"/>
      <c r="AQ707" s="180">
        <f>B702*$F$14</f>
        <v>0</v>
      </c>
      <c r="AR707" s="15"/>
      <c r="AS707" s="13"/>
      <c r="AT707" s="15"/>
      <c r="AU707" s="45"/>
      <c r="AV707" s="15"/>
      <c r="AW707" s="13"/>
      <c r="AX707" s="15"/>
      <c r="AY707" s="45"/>
      <c r="AZ707" s="28"/>
      <c r="BA707" s="13"/>
      <c r="BB707" s="15"/>
      <c r="BC707" s="45"/>
      <c r="BD707" s="28"/>
      <c r="BE707" s="14"/>
      <c r="BF707" s="41">
        <f t="shared" ref="BF707:BG707" si="2564">K707+O707+S707+W707+AA707+AE707+AI707+AM707+AQ707+AU707+AY707+BC707</f>
        <v>0</v>
      </c>
      <c r="BG707" s="34">
        <f t="shared" si="2564"/>
        <v>2015</v>
      </c>
      <c r="BH707" s="35">
        <f t="shared" si="2547"/>
        <v>0</v>
      </c>
      <c r="BK707" s="2" t="b">
        <f>H707='2020'!BH707</f>
        <v>1</v>
      </c>
    </row>
    <row r="708" ht="14.25" customHeight="1" hidden="1" spans="1:63" x14ac:dyDescent="0.25">
      <c r="A708" s="2">
        <v>78</v>
      </c>
      <c r="B708" s="14"/>
      <c r="D708" s="14" t="s">
        <v>52</v>
      </c>
      <c r="E708" s="2" t="s">
        <v>39</v>
      </c>
      <c r="F708" s="41">
        <v>500</v>
      </c>
      <c r="G708" s="28"/>
      <c r="H708" s="34">
        <f>'2020'!BH708</f>
        <v>0</v>
      </c>
      <c r="I708" s="13"/>
      <c r="J708" s="15"/>
      <c r="K708" s="15"/>
      <c r="L708" s="28"/>
      <c r="M708" s="13"/>
      <c r="N708" s="15"/>
      <c r="Q708" s="13"/>
      <c r="R708" s="15"/>
      <c r="S708" s="15"/>
      <c r="T708" s="28"/>
      <c r="U708" s="13"/>
      <c r="V708" s="15"/>
      <c r="Y708" s="186"/>
      <c r="Z708" s="2"/>
      <c r="AA708" s="34">
        <f>$F$15</f>
      </c>
      <c r="AB708" s="35"/>
      <c r="AC708" s="15"/>
      <c r="AD708" s="15"/>
      <c r="AF708" s="182"/>
      <c r="AG708" s="15"/>
      <c r="AH708" s="2"/>
      <c r="AI708" s="45"/>
      <c r="AJ708" s="15"/>
      <c r="AK708" s="13"/>
      <c r="AL708" s="15"/>
      <c r="AM708" s="45"/>
      <c r="AN708" s="15"/>
      <c r="AO708" s="13"/>
      <c r="AP708" s="15"/>
      <c r="AQ708" s="45"/>
      <c r="AR708" s="15"/>
      <c r="AS708" s="13"/>
      <c r="AT708" s="15"/>
      <c r="AU708" s="45"/>
      <c r="AV708" s="15"/>
      <c r="AW708" s="13"/>
      <c r="AX708" s="15"/>
      <c r="AY708" s="45"/>
      <c r="AZ708" s="35"/>
      <c r="BA708" s="13"/>
      <c r="BB708" s="15"/>
      <c r="BC708" s="45"/>
      <c r="BD708" s="35"/>
      <c r="BE708" s="14"/>
      <c r="BF708" s="41">
        <f t="shared" ref="BF708:BG708" si="2565">K708+O708+S708+W708+AA708+AE708+AI708+AM708+AQ708+AU708+AY708+BC708</f>
        <v>0</v>
      </c>
      <c r="BG708" s="34">
        <f t="shared" si="2565"/>
        <v>0</v>
      </c>
      <c r="BH708" s="35">
        <f t="shared" si="2547"/>
        <v>0</v>
      </c>
      <c r="BK708" s="2" t="b">
        <f>H708='2020'!BH708</f>
        <v>1</v>
      </c>
    </row>
    <row r="709" ht="14.25" customHeight="1" hidden="1" spans="1:63" x14ac:dyDescent="0.25">
      <c r="A709" s="247">
        <v>78</v>
      </c>
      <c r="B709" s="21"/>
      <c r="C709" s="22" t="s">
        <v>53</v>
      </c>
      <c r="D709" s="21"/>
      <c r="E709" s="22"/>
      <c r="F709" s="20"/>
      <c r="G709" s="23"/>
      <c r="H709" s="51">
        <f>SUM(H701:H708)</f>
        <v>2554.05</v>
      </c>
      <c r="I709" s="52"/>
      <c r="J709" s="53"/>
      <c r="K709" s="51">
        <f t="shared" ref="K709:L709" si="2566">SUM(K701:K708)</f>
        <v>0</v>
      </c>
      <c r="L709" s="68">
        <f t="shared" si="2566"/>
        <v>0</v>
      </c>
      <c r="M709" s="52"/>
      <c r="N709" s="53"/>
      <c r="O709" s="51">
        <f t="shared" ref="O709:P709" si="2567">SUM(O701:O708)</f>
        <v>0</v>
      </c>
      <c r="P709" s="51">
        <f t="shared" si="2567"/>
        <v>0</v>
      </c>
      <c r="Q709" s="52"/>
      <c r="R709" s="53"/>
      <c r="S709" s="51">
        <f t="shared" ref="S709:T709" si="2568">SUM(S701:S708)</f>
        <v>0</v>
      </c>
      <c r="T709" s="51">
        <f t="shared" si="2568"/>
        <v>0</v>
      </c>
      <c r="U709" s="52"/>
      <c r="V709" s="53"/>
      <c r="W709" s="51">
        <f t="shared" ref="W709:X709" si="2569">SUM(W701:W708)</f>
        <v>0</v>
      </c>
      <c r="X709" s="51">
        <f t="shared" si="2569"/>
        <v>0</v>
      </c>
      <c r="Y709" s="300"/>
      <c r="Z709" s="301"/>
      <c r="AA709" s="51">
        <f t="shared" ref="AA709:AB709" si="2570">SUM(AA701:AA708)</f>
        <v>98.64</v>
      </c>
      <c r="AB709" s="51">
        <f t="shared" si="2570"/>
        <v>0</v>
      </c>
      <c r="AC709" s="52"/>
      <c r="AD709" s="53"/>
      <c r="AE709" s="51">
        <f t="shared" ref="AE709:AF709" si="2571">SUM(AE701:AE708)</f>
        <v>4752.16</v>
      </c>
      <c r="AF709" s="51">
        <f t="shared" si="2571"/>
        <v>7404.85</v>
      </c>
      <c r="AG709" s="52"/>
      <c r="AH709" s="301"/>
      <c r="AI709" s="183">
        <f t="shared" ref="AI709:AJ709" si="2572">SUM(AI701:AI708)</f>
        <v>127.5</v>
      </c>
      <c r="AJ709" s="51">
        <f t="shared" si="2572"/>
        <v>127.5</v>
      </c>
      <c r="AK709" s="52"/>
      <c r="AL709" s="53"/>
      <c r="AM709" s="183">
        <f t="shared" ref="AM709:AN709" si="2573">SUM(AM701:AM708)</f>
        <v>145.15</v>
      </c>
      <c r="AN709" s="51">
        <f t="shared" si="2573"/>
        <v>145.15</v>
      </c>
      <c r="AO709" s="52"/>
      <c r="AP709" s="53"/>
      <c r="AQ709" s="183">
        <f t="shared" ref="AQ709:AR709" si="2574">SUM(AQ701:AQ708)</f>
        <v>13.5</v>
      </c>
      <c r="AR709" s="51">
        <f t="shared" si="2574"/>
        <v>0</v>
      </c>
      <c r="AS709" s="52"/>
      <c r="AT709" s="53"/>
      <c r="AU709" s="183">
        <f t="shared" ref="AU709:AV709" si="2575">SUM(AU701:AU708)</f>
        <v>70.2</v>
      </c>
      <c r="AV709" s="68">
        <f t="shared" si="2575"/>
        <v>0</v>
      </c>
      <c r="AW709" s="52"/>
      <c r="AX709" s="53"/>
      <c r="AY709" s="183">
        <f t="shared" ref="AY709:AZ709" si="2576">SUM(AY701:AY708)</f>
        <v>2.7</v>
      </c>
      <c r="AZ709" s="68">
        <f t="shared" si="2576"/>
        <v>0</v>
      </c>
      <c r="BA709" s="52"/>
      <c r="BB709" s="53"/>
      <c r="BC709" s="183">
        <f t="shared" ref="BC709:BD709" si="2577">SUM(BC701:BC708)</f>
        <v>0</v>
      </c>
      <c r="BD709" s="68">
        <f t="shared" si="2577"/>
        <v>0</v>
      </c>
      <c r="BE709" s="69"/>
      <c r="BF709" s="70">
        <f t="shared" ref="BF709:BH709" si="2578">SUM(BF701:BF708)</f>
        <v>5209.85</v>
      </c>
      <c r="BG709" s="71">
        <f t="shared" si="2578"/>
        <v>7677.5</v>
      </c>
      <c r="BH709" s="72">
        <f t="shared" si="2578"/>
        <v>86.4</v>
      </c>
      <c r="BI709" s="34">
        <f>H709+BF709-BG709</f>
        <v>86.4</v>
      </c>
      <c r="BJ709" s="34">
        <f>BH709-BI709</f>
        <v>0</v>
      </c>
      <c r="BK709" s="2" t="b">
        <f>H709='2020'!BH709</f>
        <v>1</v>
      </c>
    </row>
    <row r="710" ht="14.25" customHeight="1" hidden="1" spans="1:63" x14ac:dyDescent="0.25">
      <c r="A710" s="2">
        <v>79</v>
      </c>
      <c r="B710" s="14"/>
      <c r="D710" s="14" t="s">
        <v>411</v>
      </c>
      <c r="E710" s="2" t="s">
        <v>39</v>
      </c>
      <c r="F710" s="41"/>
      <c r="G710" s="28"/>
      <c r="H710" s="34">
        <f>'2020'!BH710</f>
        <v>51.64</v>
      </c>
      <c r="I710" s="13"/>
      <c r="J710" s="15"/>
      <c r="K710" s="34">
        <v>13.12</v>
      </c>
      <c r="L710" s="28"/>
      <c r="M710" s="13"/>
      <c r="N710" s="15"/>
      <c r="O710" s="2">
        <v>11.85</v>
      </c>
      <c r="Q710" s="13"/>
      <c r="R710" s="15"/>
      <c r="S710" s="15">
        <v>13.12</v>
      </c>
      <c r="T710" s="28"/>
      <c r="U710" s="13"/>
      <c r="V710" s="15"/>
      <c r="W710" s="2">
        <v>12.7</v>
      </c>
      <c r="X710" s="15"/>
      <c r="Y710" s="186"/>
      <c r="Z710" s="2"/>
      <c r="AA710" s="15">
        <v>13.12</v>
      </c>
      <c r="AB710" s="28"/>
      <c r="AC710" s="15"/>
      <c r="AD710" s="15"/>
      <c r="AE710" s="2">
        <v>3.7</v>
      </c>
      <c r="AG710" s="15"/>
      <c r="AH710" s="2"/>
      <c r="AI710" s="45"/>
      <c r="AJ710" s="15"/>
      <c r="AK710" s="13"/>
      <c r="AM710" s="45">
        <v>3.82</v>
      </c>
      <c r="AN710" s="15"/>
      <c r="AO710" s="13"/>
      <c r="AQ710" s="307">
        <v>25.55</v>
      </c>
      <c r="AR710" s="15"/>
      <c r="AS710" s="13"/>
      <c r="AU710" s="180"/>
      <c r="AV710" s="15"/>
      <c r="AW710" s="13"/>
      <c r="AY710" s="180"/>
      <c r="AZ710" s="28"/>
      <c r="BA710" s="13"/>
      <c r="BB710" s="15"/>
      <c r="BC710" s="180"/>
      <c r="BD710" s="28"/>
      <c r="BE710" s="14"/>
      <c r="BF710" s="41">
        <f t="shared" ref="BF710:BG710" si="2579">K710+O710+S710+W710+AA710+AE710+AI710+AM710+AQ710+AU710+AY710+BC710</f>
        <v>96.98</v>
      </c>
      <c r="BG710" s="34">
        <f t="shared" si="2579"/>
        <v>0</v>
      </c>
      <c r="BH710" s="35">
        <f t="shared" ref="BH710:BH717" si="2580">H710+BF710-BG710</f>
        <v>148.62</v>
      </c>
      <c r="BK710" s="2" t="b">
        <f>H710='2020'!BH710</f>
        <v>1</v>
      </c>
    </row>
    <row r="711" ht="14.25" customHeight="1" hidden="1" spans="1:63" x14ac:dyDescent="0.25">
      <c r="A711" s="147">
        <v>79</v>
      </c>
      <c r="B711" s="14">
        <v>4.24</v>
      </c>
      <c r="C711" s="2" t="s">
        <v>508</v>
      </c>
      <c r="D711" s="14" t="s">
        <v>44</v>
      </c>
      <c r="E711" s="2" t="s">
        <v>45</v>
      </c>
      <c r="F711" s="41">
        <v>2.5</v>
      </c>
      <c r="G711" s="35">
        <v>2.6</v>
      </c>
      <c r="H711" s="34">
        <f>'2020'!BH711</f>
        <v>0</v>
      </c>
      <c r="I711" s="13">
        <v>28</v>
      </c>
      <c r="J711" s="15">
        <f>I711-'2020'!BA711</f>
        <v>0</v>
      </c>
      <c r="K711" s="34">
        <f>J711*$F$8</f>
        <v>0</v>
      </c>
      <c r="L711" s="28"/>
      <c r="M711" s="13">
        <v>28</v>
      </c>
      <c r="N711" s="15">
        <f t="shared" ref="N711:N712" si="2581">M711-I711</f>
        <v>0</v>
      </c>
      <c r="O711" s="34">
        <f>N711*$F$8</f>
        <v>0</v>
      </c>
      <c r="Q711" s="13">
        <v>28</v>
      </c>
      <c r="R711" s="15">
        <f t="shared" ref="R711:R712" si="2582">Q711-M711</f>
        <v>0</v>
      </c>
      <c r="S711" s="34">
        <f>R711*$F$8</f>
        <v>0</v>
      </c>
      <c r="T711" s="28"/>
      <c r="U711" s="13">
        <v>28</v>
      </c>
      <c r="V711" s="15">
        <f t="shared" ref="V711:V712" si="2583">U711-Q711</f>
        <v>0</v>
      </c>
      <c r="W711" s="34">
        <f>V711*$F$8</f>
        <v>0</v>
      </c>
      <c r="X711" s="15"/>
      <c r="Y711" s="186">
        <v>29</v>
      </c>
      <c r="Z711" s="2">
        <f t="shared" ref="Z711:Z712" si="2584">Y711-U711</f>
        <v>1</v>
      </c>
      <c r="AA711" s="34">
        <f>Z711*$F$8</f>
        <v>2.6</v>
      </c>
      <c r="AB711" s="28"/>
      <c r="AC711" s="13">
        <v>29</v>
      </c>
      <c r="AD711" s="15">
        <f t="shared" ref="AD711:AD712" si="2585">AC711-Y711</f>
        <v>0</v>
      </c>
      <c r="AE711" s="180">
        <f>AD711*$F$8</f>
        <v>0</v>
      </c>
      <c r="AG711" s="13">
        <v>29</v>
      </c>
      <c r="AH711" s="2">
        <f t="shared" ref="AH711:AH712" si="2586">AG711-AC711</f>
        <v>0</v>
      </c>
      <c r="AI711" s="45">
        <f>AH711*$G$8</f>
        <v>0</v>
      </c>
      <c r="AJ711" s="15"/>
      <c r="AK711" s="13">
        <v>29</v>
      </c>
      <c r="AL711" s="15">
        <f t="shared" ref="AL711:AL712" si="2587">AK711-AG711</f>
        <v>0</v>
      </c>
      <c r="AM711" s="45">
        <f>AL711*$G$8</f>
        <v>0</v>
      </c>
      <c r="AN711" s="15"/>
      <c r="AO711" s="13">
        <v>35</v>
      </c>
      <c r="AP711" s="15">
        <f t="shared" ref="AP711:AP712" si="2588">AO711-AK711</f>
        <v>6</v>
      </c>
      <c r="AQ711" s="45">
        <f>AP711*$G$8</f>
        <v>16.2</v>
      </c>
      <c r="AR711" s="15"/>
      <c r="AS711" s="13">
        <v>35</v>
      </c>
      <c r="AT711" s="15">
        <f t="shared" ref="AT711:AT712" si="2589">AS711-AO711</f>
        <v>0</v>
      </c>
      <c r="AU711" s="45">
        <f>AT711*$G$8</f>
        <v>0</v>
      </c>
      <c r="AV711" s="15"/>
      <c r="AW711" s="13">
        <v>43</v>
      </c>
      <c r="AX711" s="15">
        <f t="shared" ref="AX711:AX712" si="2590">AW711-AS711</f>
        <v>8</v>
      </c>
      <c r="AY711" s="45">
        <f>AX711*$G$8</f>
        <v>21.6</v>
      </c>
      <c r="AZ711" s="208"/>
      <c r="BA711" s="13">
        <v>43</v>
      </c>
      <c r="BB711" s="15">
        <f t="shared" ref="BB711:BB712" si="2591">BA711-AW711</f>
        <v>0</v>
      </c>
      <c r="BC711" s="45">
        <f>BB711*$G$8</f>
        <v>0</v>
      </c>
      <c r="BD711" s="208"/>
      <c r="BE711" s="40">
        <f t="shared" ref="BE711:BG711" si="2592">J711+N711+R711+V711+Z711+AD711+AH711+AL711+AP711+AT711+AX711+BB711</f>
        <v>15</v>
      </c>
      <c r="BF711" s="41">
        <f t="shared" si="2592"/>
        <v>40.4</v>
      </c>
      <c r="BG711" s="34">
        <f t="shared" si="2592"/>
        <v>0</v>
      </c>
      <c r="BH711" s="35">
        <f t="shared" si="2580"/>
        <v>40.4</v>
      </c>
      <c r="BK711" s="2" t="b">
        <f>H711='2020'!BH711</f>
        <v>1</v>
      </c>
    </row>
    <row r="712" ht="14.25" customHeight="1" hidden="1" spans="1:63" x14ac:dyDescent="0.25">
      <c r="A712" s="2">
        <v>79</v>
      </c>
      <c r="B712" s="14"/>
      <c r="C712" s="2" t="s">
        <v>104</v>
      </c>
      <c r="D712" s="14" t="s">
        <v>47</v>
      </c>
      <c r="E712" s="2" t="s">
        <v>48</v>
      </c>
      <c r="F712" s="13">
        <v>18.56</v>
      </c>
      <c r="G712" s="35">
        <v>19.46</v>
      </c>
      <c r="H712" s="34">
        <f>'2020'!BH712</f>
        <v>-18.56</v>
      </c>
      <c r="I712" s="13">
        <v>1</v>
      </c>
      <c r="J712" s="15"/>
      <c r="K712" s="15"/>
      <c r="L712" s="28"/>
      <c r="M712" s="13">
        <v>1</v>
      </c>
      <c r="N712" s="15">
        <f t="shared" si="2581"/>
        <v>0</v>
      </c>
      <c r="Q712" s="13">
        <v>1</v>
      </c>
      <c r="R712" s="15">
        <f t="shared" si="2582"/>
        <v>0</v>
      </c>
      <c r="S712" s="15"/>
      <c r="T712" s="28"/>
      <c r="U712" s="13">
        <v>1</v>
      </c>
      <c r="V712" s="15">
        <f t="shared" si="2583"/>
        <v>0</v>
      </c>
      <c r="W712" s="180">
        <f>V712*$F$10</f>
        <v>0</v>
      </c>
      <c r="X712" s="15"/>
      <c r="Y712" s="186">
        <v>6</v>
      </c>
      <c r="Z712" s="2">
        <f t="shared" si="2584"/>
        <v>5</v>
      </c>
      <c r="AA712" s="34">
        <f>Z712*$F$10</f>
        <v>97.3</v>
      </c>
      <c r="AB712" s="28"/>
      <c r="AC712" s="15">
        <v>6</v>
      </c>
      <c r="AD712" s="15">
        <f t="shared" si="2585"/>
        <v>0</v>
      </c>
      <c r="AE712" s="34">
        <f>AD712*$F$10</f>
        <v>0</v>
      </c>
      <c r="AG712" s="15">
        <v>6</v>
      </c>
      <c r="AH712" s="2">
        <f t="shared" si="2586"/>
        <v>0</v>
      </c>
      <c r="AI712" s="45">
        <f>AH712*$G$10</f>
        <v>0</v>
      </c>
      <c r="AJ712" s="15"/>
      <c r="AK712" s="13">
        <v>6</v>
      </c>
      <c r="AL712" s="15">
        <f t="shared" si="2587"/>
        <v>0</v>
      </c>
      <c r="AM712" s="45">
        <f>AL712*$G$10</f>
        <v>0</v>
      </c>
      <c r="AN712" s="15"/>
      <c r="AO712" s="13">
        <v>6</v>
      </c>
      <c r="AP712" s="15">
        <f t="shared" si="2588"/>
        <v>0</v>
      </c>
      <c r="AQ712" s="45">
        <f>AP712*$G$10</f>
        <v>0</v>
      </c>
      <c r="AR712" s="15"/>
      <c r="AS712" s="13">
        <v>6</v>
      </c>
      <c r="AT712" s="15">
        <f t="shared" si="2589"/>
        <v>0</v>
      </c>
      <c r="AU712" s="45">
        <f>AT712*$G$10</f>
        <v>0</v>
      </c>
      <c r="AV712" s="15"/>
      <c r="AW712" s="13">
        <v>6</v>
      </c>
      <c r="AX712" s="15">
        <f t="shared" si="2590"/>
        <v>0</v>
      </c>
      <c r="AY712" s="45"/>
      <c r="AZ712" s="208"/>
      <c r="BA712" s="13">
        <v>6</v>
      </c>
      <c r="BB712" s="15">
        <f t="shared" si="2591"/>
        <v>0</v>
      </c>
      <c r="BC712" s="45"/>
      <c r="BD712" s="208"/>
      <c r="BE712" s="40">
        <f t="shared" ref="BE712:BG712" si="2593">J712+N712+R712+V712+Z712+AD712+AH712+AL712+AP712+AT712+AX712+BB712</f>
        <v>5</v>
      </c>
      <c r="BF712" s="41">
        <f t="shared" si="2593"/>
        <v>97.3</v>
      </c>
      <c r="BG712" s="34">
        <f t="shared" si="2593"/>
        <v>0</v>
      </c>
      <c r="BH712" s="35">
        <f t="shared" si="2580"/>
        <v>78.74</v>
      </c>
      <c r="BK712" s="2" t="b">
        <f>H712='2020'!BH712</f>
        <v>1</v>
      </c>
    </row>
    <row r="713" ht="14.25" customHeight="1" hidden="1" spans="1:63" x14ac:dyDescent="0.25">
      <c r="A713" s="2">
        <v>79</v>
      </c>
      <c r="B713" s="14"/>
      <c r="C713" s="73" t="s">
        <v>413</v>
      </c>
      <c r="D713" s="14" t="s">
        <v>47</v>
      </c>
      <c r="E713" s="2" t="s">
        <v>49</v>
      </c>
      <c r="F713" s="41">
        <v>500</v>
      </c>
      <c r="G713" s="28"/>
      <c r="H713" s="34">
        <f>'2020'!BH713</f>
        <v>0</v>
      </c>
      <c r="I713" s="13"/>
      <c r="J713" s="15"/>
      <c r="K713" s="15"/>
      <c r="L713" s="28"/>
      <c r="M713" s="13"/>
      <c r="N713" s="15"/>
      <c r="Q713" s="13"/>
      <c r="R713" s="15"/>
      <c r="S713" s="15"/>
      <c r="T713" s="28"/>
      <c r="U713" s="13"/>
      <c r="V713" s="15"/>
      <c r="X713" s="1"/>
      <c r="Y713" s="186"/>
      <c r="Z713" s="2"/>
      <c r="AA713" s="34"/>
      <c r="AB713" s="28"/>
      <c r="AC713" s="15"/>
      <c r="AD713" s="15"/>
      <c r="AG713" s="15"/>
      <c r="AH713" s="2"/>
      <c r="AI713" s="45"/>
      <c r="AJ713" s="15"/>
      <c r="AK713" s="13"/>
      <c r="AL713" s="15"/>
      <c r="AM713" s="45"/>
      <c r="AN713" s="15"/>
      <c r="AO713" s="13"/>
      <c r="AP713" s="15"/>
      <c r="AQ713" s="45"/>
      <c r="AR713" s="15"/>
      <c r="AS713" s="13"/>
      <c r="AT713" s="15"/>
      <c r="AU713" s="45"/>
      <c r="AV713" s="15"/>
      <c r="AW713" s="13"/>
      <c r="AX713" s="15"/>
      <c r="AY713" s="45"/>
      <c r="AZ713" s="28"/>
      <c r="BA713" s="13"/>
      <c r="BB713" s="15"/>
      <c r="BC713" s="45"/>
      <c r="BD713" s="28"/>
      <c r="BE713" s="14"/>
      <c r="BF713" s="41">
        <f t="shared" ref="BF713:BG713" si="2594">K713+O713+S713+W713+AA713+AE713+AI713+AM713+AQ713+AU713+AY713+BC713</f>
        <v>0</v>
      </c>
      <c r="BG713" s="34">
        <f t="shared" si="2594"/>
        <v>0</v>
      </c>
      <c r="BH713" s="35">
        <f t="shared" si="2580"/>
        <v>0</v>
      </c>
      <c r="BK713" s="2" t="b">
        <f>H713='2020'!BH713</f>
        <v>1</v>
      </c>
    </row>
    <row r="714" ht="14.25" customHeight="1" hidden="1" spans="1:63" x14ac:dyDescent="0.25">
      <c r="A714" s="2">
        <v>79</v>
      </c>
      <c r="B714" s="14"/>
      <c r="C714" s="73"/>
      <c r="D714" s="14" t="s">
        <v>50</v>
      </c>
      <c r="E714" s="2" t="s">
        <v>49</v>
      </c>
      <c r="F714" s="41">
        <v>1100</v>
      </c>
      <c r="G714" s="28"/>
      <c r="H714" s="34">
        <f>'2020'!BH714</f>
        <v>4231.86</v>
      </c>
      <c r="I714" s="13"/>
      <c r="J714" s="15"/>
      <c r="K714" s="15"/>
      <c r="L714" s="28"/>
      <c r="M714" s="13"/>
      <c r="N714" s="15"/>
      <c r="Q714" s="13"/>
      <c r="R714" s="15"/>
      <c r="S714" s="15"/>
      <c r="T714" s="28"/>
      <c r="U714" s="13"/>
      <c r="V714" s="15"/>
      <c r="X714" s="15"/>
      <c r="Y714" s="186"/>
      <c r="Z714" s="2"/>
      <c r="AA714" s="15"/>
      <c r="AB714" s="32">
        <v>3000</v>
      </c>
      <c r="AC714" s="15"/>
      <c r="AD714" s="15"/>
      <c r="AE714" s="34">
        <f>B711*$F$12</f>
        <v>4664</v>
      </c>
      <c r="AF714" s="34"/>
      <c r="AG714" s="15"/>
      <c r="AH714" s="2"/>
      <c r="AI714" s="45"/>
      <c r="AJ714" s="180"/>
      <c r="AK714" s="13"/>
      <c r="AL714" s="15"/>
      <c r="AM714" s="45"/>
      <c r="AN714" s="15"/>
      <c r="AO714" s="13"/>
      <c r="AP714" s="15"/>
      <c r="AQ714" s="45"/>
      <c r="AR714" s="15"/>
      <c r="AS714" s="13"/>
      <c r="AT714" s="15"/>
      <c r="AU714" s="45"/>
      <c r="AV714" s="15"/>
      <c r="AW714" s="13"/>
      <c r="AX714" s="15"/>
      <c r="AY714" s="45"/>
      <c r="AZ714" s="28"/>
      <c r="BA714" s="13"/>
      <c r="BB714" s="15"/>
      <c r="BC714" s="45"/>
      <c r="BD714" s="28"/>
      <c r="BE714" s="14"/>
      <c r="BF714" s="41">
        <f t="shared" ref="BF714:BG714" si="2595">K714+O714+S714+W714+AA714+AE714+AI714+AM714+AQ714+AU714+AY714+BC714</f>
        <v>4664</v>
      </c>
      <c r="BG714" s="34">
        <f t="shared" si="2595"/>
        <v>3000</v>
      </c>
      <c r="BH714" s="35">
        <f t="shared" si="2580"/>
        <v>5895.86</v>
      </c>
      <c r="BK714" s="2" t="b">
        <f>H714='2020'!BH714</f>
        <v>1</v>
      </c>
    </row>
    <row r="715" ht="14.25" customHeight="1" hidden="1" spans="1:63" x14ac:dyDescent="0.25">
      <c r="A715" s="2">
        <v>79</v>
      </c>
      <c r="B715" s="14"/>
      <c r="C715" s="73" t="s">
        <v>435</v>
      </c>
      <c r="D715" s="14" t="s">
        <v>51</v>
      </c>
      <c r="E715" s="2" t="s">
        <v>39</v>
      </c>
      <c r="F715" s="41">
        <v>500</v>
      </c>
      <c r="G715" s="28"/>
      <c r="H715" s="34">
        <f>'2020'!BH715</f>
        <v>500</v>
      </c>
      <c r="I715" s="13"/>
      <c r="J715" s="15"/>
      <c r="K715" s="15"/>
      <c r="L715" s="28"/>
      <c r="M715" s="13"/>
      <c r="N715" s="15"/>
      <c r="Q715" s="13"/>
      <c r="R715" s="15"/>
      <c r="S715" s="15"/>
      <c r="T715" s="28"/>
      <c r="U715" s="13"/>
      <c r="V715" s="15"/>
      <c r="Y715" s="186"/>
      <c r="Z715" s="2"/>
      <c r="AA715" s="15"/>
      <c r="AB715" s="28"/>
      <c r="AC715" s="15"/>
      <c r="AD715" s="15"/>
      <c r="AE715" s="180">
        <f>$F$13</f>
      </c>
      <c r="AG715" s="15"/>
      <c r="AH715" s="2"/>
      <c r="AI715" s="45"/>
      <c r="AJ715" s="15"/>
      <c r="AK715" s="13"/>
      <c r="AL715" s="15"/>
      <c r="AM715" s="45"/>
      <c r="AN715" s="15"/>
      <c r="AO715" s="13"/>
      <c r="AP715" s="15"/>
      <c r="AQ715" s="180"/>
      <c r="AR715" s="15"/>
      <c r="AS715" s="13"/>
      <c r="AT715" s="15"/>
      <c r="AU715" s="45"/>
      <c r="AV715" s="15"/>
      <c r="AW715" s="13"/>
      <c r="AX715" s="15"/>
      <c r="AY715" s="45"/>
      <c r="AZ715" s="28"/>
      <c r="BA715" s="13"/>
      <c r="BB715" s="15"/>
      <c r="BC715" s="45"/>
      <c r="BD715" s="28"/>
      <c r="BE715" s="14"/>
      <c r="BF715" s="41">
        <f t="shared" ref="BF715:BG715" si="2596">K715+O715+S715+W715+AA715+AE715+AI715+AM715+AQ715+AU715+AY715+BC715</f>
        <v>0</v>
      </c>
      <c r="BG715" s="34">
        <f t="shared" si="2596"/>
        <v>0</v>
      </c>
      <c r="BH715" s="35">
        <f t="shared" si="2580"/>
        <v>500</v>
      </c>
      <c r="BK715" s="2" t="b">
        <f>H715='2020'!BH715</f>
        <v>1</v>
      </c>
    </row>
    <row r="716" ht="14.25" customHeight="1" hidden="1" spans="1:63" x14ac:dyDescent="0.25">
      <c r="A716" s="2">
        <v>79</v>
      </c>
      <c r="B716" s="14"/>
      <c r="C716" s="73" t="s">
        <v>332</v>
      </c>
      <c r="D716" s="14" t="s">
        <v>51</v>
      </c>
      <c r="E716" s="2" t="s">
        <v>49</v>
      </c>
      <c r="F716" s="41">
        <v>500</v>
      </c>
      <c r="G716" s="28"/>
      <c r="H716" s="34">
        <f>'2020'!BH716</f>
        <v>2120</v>
      </c>
      <c r="I716" s="13"/>
      <c r="J716" s="15"/>
      <c r="K716" s="15"/>
      <c r="L716" s="28"/>
      <c r="M716" s="13"/>
      <c r="N716" s="15"/>
      <c r="Q716" s="13"/>
      <c r="R716" s="15"/>
      <c r="S716" s="15"/>
      <c r="T716" s="28"/>
      <c r="U716" s="13"/>
      <c r="V716" s="15"/>
      <c r="Y716" s="186"/>
      <c r="Z716" s="2"/>
      <c r="AA716" s="15"/>
      <c r="AB716" s="28"/>
      <c r="AC716" s="15"/>
      <c r="AD716" s="15"/>
      <c r="AE716" s="34"/>
      <c r="AG716" s="15"/>
      <c r="AH716" s="2"/>
      <c r="AI716" s="45"/>
      <c r="AJ716" s="15"/>
      <c r="AK716" s="13"/>
      <c r="AL716" s="15"/>
      <c r="AM716" s="45"/>
      <c r="AN716" s="15"/>
      <c r="AO716" s="13"/>
      <c r="AP716" s="15"/>
      <c r="AQ716" s="180">
        <f>B711*$F$14</f>
        <v>0</v>
      </c>
      <c r="AR716" s="15"/>
      <c r="AS716" s="13"/>
      <c r="AT716" s="15"/>
      <c r="AU716" s="45"/>
      <c r="AV716" s="15"/>
      <c r="AW716" s="13"/>
      <c r="AX716" s="15"/>
      <c r="AY716" s="45"/>
      <c r="AZ716" s="28"/>
      <c r="BA716" s="13"/>
      <c r="BB716" s="15"/>
      <c r="BC716" s="45"/>
      <c r="BD716" s="28"/>
      <c r="BE716" s="14"/>
      <c r="BF716" s="41">
        <f t="shared" ref="BF716:BG716" si="2597">K716+O716+S716+W716+AA716+AE716+AI716+AM716+AQ716+AU716+AY716+BC716</f>
        <v>0</v>
      </c>
      <c r="BG716" s="34">
        <f t="shared" si="2597"/>
        <v>0</v>
      </c>
      <c r="BH716" s="35">
        <f t="shared" si="2580"/>
        <v>2120</v>
      </c>
      <c r="BK716" s="2" t="b">
        <f>H716='2020'!BH716</f>
        <v>1</v>
      </c>
    </row>
    <row r="717" ht="14.25" customHeight="1" hidden="1" spans="1:63" x14ac:dyDescent="0.25">
      <c r="A717" s="2">
        <v>79</v>
      </c>
      <c r="B717" s="14"/>
      <c r="C717" s="15"/>
      <c r="D717" s="14" t="s">
        <v>52</v>
      </c>
      <c r="E717" s="2" t="s">
        <v>39</v>
      </c>
      <c r="F717" s="41">
        <v>500</v>
      </c>
      <c r="G717" s="28"/>
      <c r="H717" s="34">
        <f>'2020'!BH717</f>
        <v>0</v>
      </c>
      <c r="I717" s="13"/>
      <c r="J717" s="15"/>
      <c r="K717" s="15"/>
      <c r="L717" s="28"/>
      <c r="M717" s="13"/>
      <c r="N717" s="15"/>
      <c r="Q717" s="13"/>
      <c r="R717" s="15"/>
      <c r="S717" s="15"/>
      <c r="T717" s="28"/>
      <c r="U717" s="13"/>
      <c r="V717" s="15"/>
      <c r="Y717" s="186"/>
      <c r="Z717" s="2"/>
      <c r="AA717" s="84"/>
      <c r="AB717" s="35"/>
      <c r="AC717" s="15"/>
      <c r="AD717" s="15"/>
      <c r="AG717" s="15"/>
      <c r="AH717" s="2"/>
      <c r="AI717" s="45"/>
      <c r="AJ717" s="15"/>
      <c r="AK717" s="13"/>
      <c r="AL717" s="15"/>
      <c r="AM717" s="45"/>
      <c r="AN717" s="15"/>
      <c r="AO717" s="13"/>
      <c r="AP717" s="15"/>
      <c r="AQ717" s="45"/>
      <c r="AR717" s="15"/>
      <c r="AS717" s="13"/>
      <c r="AT717" s="15"/>
      <c r="AU717" s="45"/>
      <c r="AV717" s="15"/>
      <c r="AW717" s="13"/>
      <c r="AX717" s="15"/>
      <c r="AY717" s="45"/>
      <c r="AZ717" s="35"/>
      <c r="BA717" s="13"/>
      <c r="BB717" s="15"/>
      <c r="BC717" s="45"/>
      <c r="BD717" s="35"/>
      <c r="BE717" s="14"/>
      <c r="BF717" s="41">
        <f t="shared" ref="BF717:BG717" si="2598">K717+O717+S717+W717+AA717+AE717+AI717+AM717+AQ717+AU717+AY717+BC717</f>
        <v>0</v>
      </c>
      <c r="BG717" s="34">
        <f t="shared" si="2598"/>
        <v>0</v>
      </c>
      <c r="BH717" s="35">
        <f t="shared" si="2580"/>
        <v>0</v>
      </c>
      <c r="BK717" s="2" t="b">
        <f>H717='2020'!BH717</f>
        <v>1</v>
      </c>
    </row>
    <row r="718" ht="14.25" customHeight="1" hidden="1" spans="1:63" x14ac:dyDescent="0.25">
      <c r="A718" s="247">
        <v>79</v>
      </c>
      <c r="B718" s="21"/>
      <c r="C718" s="22" t="s">
        <v>53</v>
      </c>
      <c r="D718" s="21"/>
      <c r="E718" s="22"/>
      <c r="F718" s="20"/>
      <c r="G718" s="23"/>
      <c r="H718" s="51">
        <f>SUM(H710:H717)</f>
        <v>6884.94</v>
      </c>
      <c r="I718" s="52"/>
      <c r="J718" s="53"/>
      <c r="K718" s="51">
        <f t="shared" ref="K718:L718" si="2599">SUM(K710:K717)</f>
        <v>13.12</v>
      </c>
      <c r="L718" s="68">
        <f t="shared" si="2599"/>
        <v>0</v>
      </c>
      <c r="M718" s="52"/>
      <c r="N718" s="53"/>
      <c r="O718" s="51">
        <f t="shared" ref="O718:P718" si="2600">SUM(O710:O717)</f>
        <v>11.85</v>
      </c>
      <c r="P718" s="51">
        <f t="shared" si="2600"/>
        <v>0</v>
      </c>
      <c r="Q718" s="52"/>
      <c r="R718" s="53"/>
      <c r="S718" s="51">
        <f t="shared" ref="S718:T718" si="2601">SUM(S710:S717)</f>
        <v>13.12</v>
      </c>
      <c r="T718" s="51">
        <f t="shared" si="2601"/>
        <v>0</v>
      </c>
      <c r="U718" s="52"/>
      <c r="V718" s="53"/>
      <c r="W718" s="51">
        <f t="shared" ref="W718:X718" si="2602">SUM(W710:W717)</f>
        <v>12.7</v>
      </c>
      <c r="X718" s="51">
        <f t="shared" si="2602"/>
        <v>0</v>
      </c>
      <c r="Y718" s="300"/>
      <c r="Z718" s="301"/>
      <c r="AA718" s="51">
        <f t="shared" ref="AA718:AB718" si="2603">SUM(AA710:AA717)</f>
        <v>113.02</v>
      </c>
      <c r="AB718" s="51">
        <f t="shared" si="2603"/>
        <v>3000</v>
      </c>
      <c r="AC718" s="52"/>
      <c r="AD718" s="53"/>
      <c r="AE718" s="51">
        <f t="shared" ref="AE718:AF718" si="2604">SUM(AE710:AE717)</f>
        <v>4667.7</v>
      </c>
      <c r="AF718" s="51">
        <f t="shared" si="2604"/>
        <v>0</v>
      </c>
      <c r="AG718" s="52"/>
      <c r="AH718" s="301"/>
      <c r="AI718" s="183">
        <f t="shared" ref="AI718:AJ718" si="2605">SUM(AI710:AI717)</f>
        <v>0</v>
      </c>
      <c r="AJ718" s="51">
        <f t="shared" si="2605"/>
        <v>0</v>
      </c>
      <c r="AK718" s="52"/>
      <c r="AL718" s="53"/>
      <c r="AM718" s="183">
        <f t="shared" ref="AM718:AN718" si="2606">SUM(AM710:AM717)</f>
        <v>3.82</v>
      </c>
      <c r="AN718" s="51">
        <f t="shared" si="2606"/>
        <v>0</v>
      </c>
      <c r="AO718" s="52"/>
      <c r="AP718" s="53"/>
      <c r="AQ718" s="183">
        <f t="shared" ref="AQ718:AR718" si="2607">SUM(AQ710:AQ717)</f>
        <v>41.75</v>
      </c>
      <c r="AR718" s="51">
        <f t="shared" si="2607"/>
        <v>0</v>
      </c>
      <c r="AS718" s="52"/>
      <c r="AT718" s="53"/>
      <c r="AU718" s="183">
        <f t="shared" ref="AU718:AV718" si="2608">SUM(AU710:AU717)</f>
        <v>0</v>
      </c>
      <c r="AV718" s="68">
        <f t="shared" si="2608"/>
        <v>0</v>
      </c>
      <c r="AW718" s="52"/>
      <c r="AX718" s="53"/>
      <c r="AY718" s="183">
        <f t="shared" ref="AY718:AZ718" si="2609">SUM(AY710:AY717)</f>
        <v>21.6</v>
      </c>
      <c r="AZ718" s="68">
        <f t="shared" si="2609"/>
        <v>0</v>
      </c>
      <c r="BA718" s="52"/>
      <c r="BB718" s="53"/>
      <c r="BC718" s="183">
        <f t="shared" ref="BC718:BD718" si="2610">SUM(BC710:BC717)</f>
        <v>0</v>
      </c>
      <c r="BD718" s="68">
        <f t="shared" si="2610"/>
        <v>0</v>
      </c>
      <c r="BE718" s="69"/>
      <c r="BF718" s="70">
        <f t="shared" ref="BF718:BH718" si="2611">SUM(BF710:BF717)</f>
        <v>4898.68</v>
      </c>
      <c r="BG718" s="71">
        <f t="shared" si="2611"/>
        <v>3000</v>
      </c>
      <c r="BH718" s="72">
        <f t="shared" si="2611"/>
        <v>8783.62</v>
      </c>
      <c r="BI718" s="34">
        <f>H718+BF718-BG718</f>
        <v>8783.62</v>
      </c>
      <c r="BJ718" s="34">
        <f>BH718-BI718</f>
        <v>0</v>
      </c>
      <c r="BK718" s="2" t="b">
        <f>H718='2020'!BH718</f>
        <v>1</v>
      </c>
    </row>
    <row r="719" ht="14.25" customHeight="1" hidden="1" spans="1:63" x14ac:dyDescent="0.25">
      <c r="A719" s="2">
        <v>81</v>
      </c>
      <c r="B719" s="14"/>
      <c r="C719" s="15"/>
      <c r="D719" s="14" t="s">
        <v>379</v>
      </c>
      <c r="E719" s="15"/>
      <c r="F719" s="13"/>
      <c r="G719" s="28"/>
      <c r="H719" s="34">
        <f>'2020'!BH719</f>
        <v>0</v>
      </c>
      <c r="I719" s="13"/>
      <c r="J719" s="15"/>
      <c r="K719" s="34"/>
      <c r="L719" s="35"/>
      <c r="M719" s="13"/>
      <c r="N719" s="15"/>
      <c r="O719" s="34"/>
      <c r="P719" s="34"/>
      <c r="Q719" s="13"/>
      <c r="R719" s="15"/>
      <c r="S719" s="34"/>
      <c r="T719" s="35"/>
      <c r="U719" s="13"/>
      <c r="V719" s="15"/>
      <c r="W719" s="34"/>
      <c r="X719" s="34"/>
      <c r="Y719" s="186"/>
      <c r="Z719" s="2"/>
      <c r="AA719" s="34"/>
      <c r="AB719" s="35"/>
      <c r="AC719" s="15"/>
      <c r="AD719" s="15"/>
      <c r="AE719" s="34"/>
      <c r="AF719" s="34"/>
      <c r="AG719" s="15"/>
      <c r="AH719" s="2"/>
      <c r="AI719" s="45"/>
      <c r="AJ719" s="34"/>
      <c r="AK719" s="13"/>
      <c r="AL719" s="15"/>
      <c r="AM719" s="45"/>
      <c r="AN719" s="34"/>
      <c r="AO719" s="13"/>
      <c r="AP719" s="15"/>
      <c r="AQ719" s="45">
        <v>22.14</v>
      </c>
      <c r="AR719" s="34"/>
      <c r="AS719" s="13"/>
      <c r="AT719" s="15"/>
      <c r="AU719" s="45"/>
      <c r="AV719" s="34"/>
      <c r="AW719" s="13"/>
      <c r="AX719" s="15"/>
      <c r="AY719" s="45"/>
      <c r="AZ719" s="28"/>
      <c r="BA719" s="13"/>
      <c r="BB719" s="15"/>
      <c r="BC719" s="45"/>
      <c r="BD719" s="28"/>
      <c r="BE719" s="42"/>
      <c r="BF719" s="41">
        <f t="shared" ref="BF719:BG719" si="2612">K719+O719+S719+W719+AA719+AE719+AI719+AM719+AQ719+AU719+AY719+BC719</f>
        <v>22.14</v>
      </c>
      <c r="BG719" s="34">
        <f t="shared" si="2612"/>
        <v>0</v>
      </c>
      <c r="BH719" s="35">
        <f t="shared" ref="BH719:BH726" si="2613">H719+BF719-BG719</f>
        <v>22.14</v>
      </c>
      <c r="BI719" s="15"/>
      <c r="BJ719" s="15"/>
      <c r="BK719" s="15" t="b">
        <f>H719='2020'!BH719</f>
        <v>1</v>
      </c>
    </row>
    <row r="720" ht="14.25" customHeight="1" hidden="1" spans="1:63" x14ac:dyDescent="0.25">
      <c r="A720" s="2">
        <v>81</v>
      </c>
      <c r="B720" s="42">
        <v>4.3</v>
      </c>
      <c r="C720" s="15" t="s">
        <v>278</v>
      </c>
      <c r="D720" s="14" t="s">
        <v>44</v>
      </c>
      <c r="E720" s="15" t="s">
        <v>45</v>
      </c>
      <c r="F720" s="41">
        <v>2.5</v>
      </c>
      <c r="G720" s="35">
        <v>2.6</v>
      </c>
      <c r="H720" s="104">
        <f>'2020'!BH720</f>
        <v>0</v>
      </c>
      <c r="I720" s="13">
        <v>0</v>
      </c>
      <c r="J720" s="15">
        <f>I720-'2020'!BA720</f>
        <v>0</v>
      </c>
      <c r="K720" s="34">
        <f>J720*$F$8</f>
        <v>0</v>
      </c>
      <c r="L720" s="35"/>
      <c r="M720" s="13">
        <v>0</v>
      </c>
      <c r="N720" s="15">
        <f t="shared" ref="N720:N721" si="2614">M720-I720</f>
        <v>0</v>
      </c>
      <c r="O720" s="34">
        <f>N720*$F$8</f>
        <v>0</v>
      </c>
      <c r="P720" s="34"/>
      <c r="Q720" s="13">
        <v>0</v>
      </c>
      <c r="R720" s="15">
        <f t="shared" ref="R720:R721" si="2615">Q720-M720</f>
        <v>0</v>
      </c>
      <c r="S720" s="34">
        <f>R720*$F$8</f>
        <v>0</v>
      </c>
      <c r="T720" s="35"/>
      <c r="U720" s="13">
        <v>0</v>
      </c>
      <c r="V720" s="15">
        <f t="shared" ref="V720:V721" si="2616">U720-Q720</f>
        <v>0</v>
      </c>
      <c r="W720" s="34">
        <f>V720*$F$8</f>
        <v>0</v>
      </c>
      <c r="X720" s="34"/>
      <c r="Y720" s="186">
        <v>4</v>
      </c>
      <c r="Z720" s="2">
        <f>Y720-U720</f>
        <v>4</v>
      </c>
      <c r="AA720" s="34">
        <f>Z720*$F$8</f>
        <v>10.4</v>
      </c>
      <c r="AB720" s="35"/>
      <c r="AC720" s="15">
        <v>7</v>
      </c>
      <c r="AD720" s="15">
        <f t="shared" ref="AD720:AD721" si="2617">AC720-Y720</f>
        <v>3</v>
      </c>
      <c r="AE720" s="180">
        <f>AD720*$F$8</f>
        <v>7.8</v>
      </c>
      <c r="AF720" s="34"/>
      <c r="AG720" s="15">
        <v>8</v>
      </c>
      <c r="AH720" s="2">
        <f t="shared" ref="AH720:AH721" si="2618">AG720-AC720</f>
        <v>1</v>
      </c>
      <c r="AI720" s="45">
        <f>AH720*$G$8</f>
        <v>2.7</v>
      </c>
      <c r="AJ720" s="15"/>
      <c r="AK720" s="13">
        <v>10</v>
      </c>
      <c r="AL720" s="15">
        <f t="shared" ref="AL720:AL721" si="2619">AK720-AG720</f>
        <v>2</v>
      </c>
      <c r="AM720" s="45">
        <f>AL720*$G$8</f>
        <v>5.4</v>
      </c>
      <c r="AN720" s="15"/>
      <c r="AO720" s="13">
        <v>13</v>
      </c>
      <c r="AP720" s="15">
        <f t="shared" ref="AP720:AP721" si="2620">AO720-AK720</f>
        <v>3</v>
      </c>
      <c r="AQ720" s="45">
        <f>AP720*$G$8</f>
        <v>8.1</v>
      </c>
      <c r="AR720" s="15"/>
      <c r="AS720" s="13">
        <v>13</v>
      </c>
      <c r="AT720" s="15">
        <f t="shared" ref="AT720:AT721" si="2621">AS720-AO720</f>
        <v>0</v>
      </c>
      <c r="AU720" s="45">
        <f>AT720*$G$8</f>
        <v>0</v>
      </c>
      <c r="AV720" s="15"/>
      <c r="AW720" s="13">
        <v>13</v>
      </c>
      <c r="AX720" s="15">
        <f t="shared" ref="AX720:AX721" si="2622">AW720-AS720</f>
        <v>0</v>
      </c>
      <c r="AY720" s="45">
        <f>AX720*$G$8</f>
        <v>0</v>
      </c>
      <c r="AZ720" s="208"/>
      <c r="BA720" s="13">
        <v>13</v>
      </c>
      <c r="BB720" s="15">
        <f t="shared" ref="BB720:BB721" si="2623">BA720-AW720</f>
        <v>0</v>
      </c>
      <c r="BC720" s="45">
        <f>BB720*$G$8</f>
        <v>0</v>
      </c>
      <c r="BD720" s="208"/>
      <c r="BE720" s="40">
        <f t="shared" ref="BE720:BG720" si="2624">J720+N720+R720+V720+Z720+AD720+AH720+AL720+AP720+AT720+AX720+BB720</f>
        <v>13</v>
      </c>
      <c r="BF720" s="41">
        <f t="shared" si="2624"/>
        <v>34.4</v>
      </c>
      <c r="BG720" s="34">
        <f t="shared" si="2624"/>
        <v>0</v>
      </c>
      <c r="BH720" s="35">
        <f t="shared" si="2613"/>
        <v>34.4</v>
      </c>
      <c r="BI720" s="15"/>
      <c r="BJ720" s="15"/>
      <c r="BK720" s="15" t="b">
        <f>H720='2020'!BH720</f>
        <v>1</v>
      </c>
    </row>
    <row r="721" ht="14.25" customHeight="1" hidden="1" spans="1:63" x14ac:dyDescent="0.25">
      <c r="A721" s="2">
        <v>81</v>
      </c>
      <c r="B721" s="14"/>
      <c r="C721" s="15" t="s">
        <v>104</v>
      </c>
      <c r="D721" s="14" t="s">
        <v>47</v>
      </c>
      <c r="E721" s="15" t="s">
        <v>48</v>
      </c>
      <c r="F721" s="13">
        <v>18.56</v>
      </c>
      <c r="G721" s="35">
        <v>19.46</v>
      </c>
      <c r="H721" s="34">
        <f>'2020'!BH721</f>
        <v>-0.66</v>
      </c>
      <c r="I721" s="13">
        <v>40</v>
      </c>
      <c r="J721" s="15"/>
      <c r="K721" s="34"/>
      <c r="L721" s="35"/>
      <c r="M721" s="13">
        <v>40</v>
      </c>
      <c r="N721" s="15">
        <f t="shared" si="2614"/>
        <v>0</v>
      </c>
      <c r="O721" s="34"/>
      <c r="P721" s="34"/>
      <c r="Q721" s="13">
        <v>40</v>
      </c>
      <c r="R721" s="15">
        <f t="shared" si="2615"/>
        <v>0</v>
      </c>
      <c r="S721" s="34"/>
      <c r="T721" s="35"/>
      <c r="U721" s="13">
        <v>40</v>
      </c>
      <c r="V721" s="15">
        <f t="shared" si="2616"/>
        <v>0</v>
      </c>
      <c r="W721" s="34">
        <f>V721*$F$10</f>
        <v>0</v>
      </c>
      <c r="X721" s="34"/>
      <c r="Y721" s="186">
        <v>1</v>
      </c>
      <c r="Z721" s="2">
        <v>1</v>
      </c>
      <c r="AA721" s="34">
        <f>Z721*$F$10</f>
        <v>19.46</v>
      </c>
      <c r="AB721" s="35"/>
      <c r="AC721" s="15">
        <v>2</v>
      </c>
      <c r="AD721" s="15">
        <f t="shared" si="2617"/>
        <v>1</v>
      </c>
      <c r="AE721" s="34">
        <f>AD721*$F$10</f>
        <v>19.46</v>
      </c>
      <c r="AF721" s="34"/>
      <c r="AG721" s="15">
        <v>5</v>
      </c>
      <c r="AH721" s="2">
        <f t="shared" si="2618"/>
        <v>3</v>
      </c>
      <c r="AI721" s="45">
        <f>AH721*$G$10</f>
        <v>61.05</v>
      </c>
      <c r="AJ721" s="180"/>
      <c r="AK721" s="13">
        <v>7</v>
      </c>
      <c r="AL721" s="15">
        <f t="shared" si="2619"/>
        <v>2</v>
      </c>
      <c r="AM721" s="45">
        <f>AL721*$G$10</f>
        <v>40.7</v>
      </c>
      <c r="AN721" s="15"/>
      <c r="AO721" s="13">
        <v>9</v>
      </c>
      <c r="AP721" s="15">
        <f t="shared" si="2620"/>
        <v>2</v>
      </c>
      <c r="AQ721" s="45">
        <f>AP721*$G$10</f>
        <v>40.7</v>
      </c>
      <c r="AR721" s="15"/>
      <c r="AS721" s="13">
        <v>9</v>
      </c>
      <c r="AT721" s="15">
        <f t="shared" si="2621"/>
        <v>0</v>
      </c>
      <c r="AU721" s="45">
        <f>AT721*$G$10</f>
        <v>0</v>
      </c>
      <c r="AV721" s="15"/>
      <c r="AW721" s="13">
        <v>9</v>
      </c>
      <c r="AX721" s="15">
        <f t="shared" si="2622"/>
        <v>0</v>
      </c>
      <c r="AY721" s="45"/>
      <c r="AZ721" s="208"/>
      <c r="BA721" s="13">
        <v>9</v>
      </c>
      <c r="BB721" s="15">
        <f t="shared" si="2623"/>
        <v>0</v>
      </c>
      <c r="BC721" s="45"/>
      <c r="BD721" s="208"/>
      <c r="BE721" s="40">
        <f t="shared" ref="BE721:BG721" si="2625">J721+N721+R721+V721+Z721+AD721+AH721+AL721+AP721+AT721+AX721+BB721</f>
        <v>9</v>
      </c>
      <c r="BF721" s="41">
        <f t="shared" si="2625"/>
        <v>181.37</v>
      </c>
      <c r="BG721" s="34">
        <f t="shared" si="2625"/>
        <v>0</v>
      </c>
      <c r="BH721" s="35">
        <f t="shared" si="2613"/>
        <v>180.71</v>
      </c>
      <c r="BI721" s="15"/>
      <c r="BJ721" s="15"/>
      <c r="BK721" s="15" t="b">
        <f>H721='2020'!BH721</f>
        <v>1</v>
      </c>
    </row>
    <row r="722" ht="14.25" customHeight="1" hidden="1" spans="1:63" x14ac:dyDescent="0.25">
      <c r="A722" s="2">
        <v>81</v>
      </c>
      <c r="B722" s="14"/>
      <c r="C722" s="15" t="s">
        <v>332</v>
      </c>
      <c r="D722" s="14" t="s">
        <v>47</v>
      </c>
      <c r="E722" s="15" t="s">
        <v>49</v>
      </c>
      <c r="F722" s="41">
        <v>500</v>
      </c>
      <c r="G722" s="28"/>
      <c r="H722" s="34">
        <f>'2020'!BH722</f>
        <v>0</v>
      </c>
      <c r="I722" s="13"/>
      <c r="J722" s="15"/>
      <c r="K722" s="34"/>
      <c r="L722" s="35"/>
      <c r="M722" s="13"/>
      <c r="N722" s="15"/>
      <c r="O722" s="34"/>
      <c r="P722" s="34"/>
      <c r="Q722" s="13"/>
      <c r="R722" s="15"/>
      <c r="S722" s="34"/>
      <c r="T722" s="35"/>
      <c r="U722" s="13"/>
      <c r="V722" s="15"/>
      <c r="W722" s="34"/>
      <c r="X722" s="34"/>
      <c r="Y722" s="186"/>
      <c r="Z722" s="2"/>
      <c r="AA722" s="34"/>
      <c r="AB722" s="35"/>
      <c r="AC722" s="15"/>
      <c r="AD722" s="15"/>
      <c r="AE722" s="34"/>
      <c r="AF722" s="34"/>
      <c r="AG722" s="15"/>
      <c r="AH722" s="2"/>
      <c r="AI722" s="45"/>
      <c r="AJ722" s="15"/>
      <c r="AK722" s="13"/>
      <c r="AL722" s="15"/>
      <c r="AM722" s="45"/>
      <c r="AN722" s="15"/>
      <c r="AO722" s="13"/>
      <c r="AP722" s="15"/>
      <c r="AQ722" s="45"/>
      <c r="AR722" s="15"/>
      <c r="AS722" s="13"/>
      <c r="AT722" s="15"/>
      <c r="AU722" s="45"/>
      <c r="AV722" s="15"/>
      <c r="AW722" s="13"/>
      <c r="AX722" s="15"/>
      <c r="AY722" s="45"/>
      <c r="AZ722" s="28"/>
      <c r="BA722" s="13"/>
      <c r="BB722" s="15"/>
      <c r="BC722" s="45"/>
      <c r="BD722" s="28"/>
      <c r="BE722" s="14"/>
      <c r="BF722" s="41">
        <f t="shared" ref="BF722:BG722" si="2626">K722+O722+S722+W722+AA722+AE722+AI722+AM722+AQ722+AU722+AY722+BC722</f>
        <v>0</v>
      </c>
      <c r="BG722" s="34">
        <f t="shared" si="2626"/>
        <v>0</v>
      </c>
      <c r="BH722" s="35">
        <f t="shared" si="2613"/>
        <v>0</v>
      </c>
      <c r="BI722" s="15"/>
      <c r="BJ722" s="15"/>
      <c r="BK722" s="15" t="b">
        <f>H722='2020'!BH722</f>
        <v>1</v>
      </c>
    </row>
    <row r="723" ht="14.25" customHeight="1" hidden="1" spans="1:63" x14ac:dyDescent="0.25">
      <c r="A723" s="2">
        <v>81</v>
      </c>
      <c r="B723" s="14"/>
      <c r="C723" s="15"/>
      <c r="D723" s="14" t="s">
        <v>50</v>
      </c>
      <c r="E723" s="15" t="s">
        <v>49</v>
      </c>
      <c r="F723" s="41">
        <v>1100</v>
      </c>
      <c r="G723" s="28"/>
      <c r="H723" s="34">
        <f>'2020'!BH723</f>
        <v>0</v>
      </c>
      <c r="I723" s="13"/>
      <c r="J723" s="15"/>
      <c r="K723" s="34"/>
      <c r="L723" s="35"/>
      <c r="M723" s="13"/>
      <c r="N723" s="15"/>
      <c r="O723" s="34"/>
      <c r="P723" s="34"/>
      <c r="Q723" s="13"/>
      <c r="R723" s="15"/>
      <c r="S723" s="34"/>
      <c r="T723" s="35"/>
      <c r="U723" s="13"/>
      <c r="V723" s="15"/>
      <c r="W723" s="34"/>
      <c r="X723" s="34"/>
      <c r="Y723" s="186"/>
      <c r="Z723" s="2"/>
      <c r="AA723" s="34"/>
      <c r="AB723" s="35"/>
      <c r="AC723" s="15"/>
      <c r="AD723" s="15"/>
      <c r="AE723" s="34">
        <f>B720*$F$12</f>
        <v>4730</v>
      </c>
      <c r="AF723" s="180"/>
      <c r="AG723" s="15"/>
      <c r="AH723" s="2"/>
      <c r="AI723" s="45"/>
      <c r="AJ723" s="39"/>
      <c r="AK723" s="13"/>
      <c r="AL723" s="15"/>
      <c r="AM723" s="45"/>
      <c r="AN723" s="15"/>
      <c r="AO723" s="13"/>
      <c r="AP723" s="15"/>
      <c r="AQ723" s="45"/>
      <c r="AR723" s="15"/>
      <c r="AS723" s="13"/>
      <c r="AT723" s="15"/>
      <c r="AU723" s="45"/>
      <c r="AV723" s="15"/>
      <c r="AW723" s="13"/>
      <c r="AX723" s="15"/>
      <c r="AY723" s="45"/>
      <c r="AZ723" s="28"/>
      <c r="BA723" s="13"/>
      <c r="BB723" s="15"/>
      <c r="BC723" s="45"/>
      <c r="BD723" s="28"/>
      <c r="BE723" s="14"/>
      <c r="BF723" s="41">
        <f t="shared" ref="BF723:BG723" si="2627">K723+O723+S723+W723+AA723+AE723+AI723+AM723+AQ723+AU723+AY723+BC723</f>
        <v>4730</v>
      </c>
      <c r="BG723" s="34">
        <f t="shared" si="2627"/>
        <v>0</v>
      </c>
      <c r="BH723" s="35">
        <f t="shared" si="2613"/>
        <v>4730</v>
      </c>
      <c r="BI723" s="15"/>
      <c r="BJ723" s="15"/>
      <c r="BK723" s="15" t="b">
        <f>H723='2020'!BH723</f>
        <v>1</v>
      </c>
    </row>
    <row r="724" ht="14.25" customHeight="1" hidden="1" spans="1:63" x14ac:dyDescent="0.25">
      <c r="A724" s="2">
        <v>81</v>
      </c>
      <c r="B724" s="14"/>
      <c r="C724" s="15" t="s">
        <v>509</v>
      </c>
      <c r="D724" s="14" t="s">
        <v>51</v>
      </c>
      <c r="E724" s="15" t="s">
        <v>39</v>
      </c>
      <c r="F724" s="41">
        <v>500</v>
      </c>
      <c r="G724" s="28"/>
      <c r="H724" s="34">
        <f>'2020'!BH724</f>
        <v>500</v>
      </c>
      <c r="I724" s="13"/>
      <c r="J724" s="15"/>
      <c r="K724" s="34"/>
      <c r="L724" s="35"/>
      <c r="M724" s="13"/>
      <c r="N724" s="15"/>
      <c r="O724" s="34"/>
      <c r="P724" s="34"/>
      <c r="Q724" s="13"/>
      <c r="R724" s="15"/>
      <c r="S724" s="34"/>
      <c r="T724" s="35"/>
      <c r="U724" s="13"/>
      <c r="V724" s="15"/>
      <c r="W724" s="34"/>
      <c r="X724" s="34"/>
      <c r="Y724" s="186"/>
      <c r="Z724" s="2"/>
      <c r="AA724" s="34"/>
      <c r="AB724" s="35"/>
      <c r="AC724" s="15"/>
      <c r="AD724" s="15"/>
      <c r="AE724" s="180">
        <f>$F$13</f>
      </c>
      <c r="AF724" s="34"/>
      <c r="AG724" s="15"/>
      <c r="AH724" s="2"/>
      <c r="AI724" s="45"/>
      <c r="AJ724" s="15"/>
      <c r="AK724" s="13"/>
      <c r="AL724" s="15"/>
      <c r="AM724" s="45"/>
      <c r="AN724" s="15"/>
      <c r="AO724" s="13"/>
      <c r="AP724" s="15"/>
      <c r="AQ724" s="180"/>
      <c r="AR724" s="15"/>
      <c r="AS724" s="13"/>
      <c r="AT724" s="15"/>
      <c r="AU724" s="45"/>
      <c r="AV724" s="15"/>
      <c r="AW724" s="13"/>
      <c r="AX724" s="15"/>
      <c r="AY724" s="45"/>
      <c r="AZ724" s="28"/>
      <c r="BA724" s="13"/>
      <c r="BB724" s="15"/>
      <c r="BC724" s="45"/>
      <c r="BD724" s="28"/>
      <c r="BE724" s="14"/>
      <c r="BF724" s="41">
        <f t="shared" ref="BF724:BG724" si="2628">K724+O724+S724+W724+AA724+AE724+AI724+AM724+AQ724+AU724+AY724+BC724</f>
        <v>0</v>
      </c>
      <c r="BG724" s="34">
        <f t="shared" si="2628"/>
        <v>0</v>
      </c>
      <c r="BH724" s="35">
        <f t="shared" si="2613"/>
        <v>500</v>
      </c>
      <c r="BI724" s="15"/>
      <c r="BJ724" s="15"/>
      <c r="BK724" s="15" t="b">
        <f>H724='2020'!BH724</f>
        <v>1</v>
      </c>
    </row>
    <row r="725" ht="14.25" customHeight="1" hidden="1" spans="1:63" x14ac:dyDescent="0.25">
      <c r="A725" s="2">
        <v>81</v>
      </c>
      <c r="B725" s="14"/>
      <c r="C725" s="15"/>
      <c r="D725" s="14" t="s">
        <v>51</v>
      </c>
      <c r="E725" s="15" t="s">
        <v>49</v>
      </c>
      <c r="F725" s="41">
        <v>500</v>
      </c>
      <c r="G725" s="28"/>
      <c r="H725" s="34">
        <f>'2020'!BH725</f>
        <v>2150</v>
      </c>
      <c r="I725" s="13"/>
      <c r="J725" s="15"/>
      <c r="K725" s="34"/>
      <c r="L725" s="35"/>
      <c r="M725" s="13"/>
      <c r="N725" s="15"/>
      <c r="O725" s="34"/>
      <c r="P725" s="34"/>
      <c r="Q725" s="13"/>
      <c r="R725" s="15"/>
      <c r="S725" s="34"/>
      <c r="T725" s="35"/>
      <c r="U725" s="13"/>
      <c r="V725" s="15"/>
      <c r="W725" s="34"/>
      <c r="X725" s="34"/>
      <c r="Y725" s="186"/>
      <c r="Z725" s="2"/>
      <c r="AA725" s="34"/>
      <c r="AB725" s="35"/>
      <c r="AC725" s="15"/>
      <c r="AD725" s="15"/>
      <c r="AE725" s="34"/>
      <c r="AF725" s="34"/>
      <c r="AG725" s="15"/>
      <c r="AH725" s="2"/>
      <c r="AI725" s="45"/>
      <c r="AJ725" s="15"/>
      <c r="AK725" s="13"/>
      <c r="AL725" s="15"/>
      <c r="AM725" s="45"/>
      <c r="AN725" s="15"/>
      <c r="AO725" s="13"/>
      <c r="AP725" s="15"/>
      <c r="AQ725" s="180">
        <f>B720*$F$14</f>
        <v>0</v>
      </c>
      <c r="AR725" s="15"/>
      <c r="AS725" s="13"/>
      <c r="AT725" s="15"/>
      <c r="AU725" s="45"/>
      <c r="AV725" s="15"/>
      <c r="AW725" s="13"/>
      <c r="AX725" s="15"/>
      <c r="AY725" s="45"/>
      <c r="AZ725" s="28"/>
      <c r="BA725" s="13"/>
      <c r="BB725" s="15"/>
      <c r="BC725" s="45"/>
      <c r="BD725" s="28"/>
      <c r="BE725" s="14"/>
      <c r="BF725" s="41">
        <f t="shared" ref="BF725:BG725" si="2629">K725+O725+S725+W725+AA725+AE725+AI725+AM725+AQ725+AU725+AY725+BC725</f>
        <v>0</v>
      </c>
      <c r="BG725" s="34">
        <f t="shared" si="2629"/>
        <v>0</v>
      </c>
      <c r="BH725" s="35">
        <f t="shared" si="2613"/>
        <v>2150</v>
      </c>
      <c r="BI725" s="15"/>
      <c r="BJ725" s="15"/>
      <c r="BK725" s="15" t="b">
        <f>H725='2020'!BH725</f>
        <v>1</v>
      </c>
    </row>
    <row r="726" ht="14.25" customHeight="1" hidden="1" spans="1:63" x14ac:dyDescent="0.25">
      <c r="A726" s="2">
        <v>81</v>
      </c>
      <c r="B726" s="14"/>
      <c r="C726" s="15"/>
      <c r="D726" s="14" t="s">
        <v>52</v>
      </c>
      <c r="E726" s="15" t="s">
        <v>39</v>
      </c>
      <c r="F726" s="41">
        <v>500</v>
      </c>
      <c r="G726" s="28"/>
      <c r="H726" s="34">
        <f>'2020'!BH726</f>
        <v>0</v>
      </c>
      <c r="I726" s="13"/>
      <c r="J726" s="15"/>
      <c r="K726" s="34"/>
      <c r="L726" s="35"/>
      <c r="M726" s="13"/>
      <c r="N726" s="15"/>
      <c r="O726" s="34"/>
      <c r="P726" s="34"/>
      <c r="Q726" s="13"/>
      <c r="R726" s="15"/>
      <c r="S726" s="34"/>
      <c r="T726" s="35"/>
      <c r="U726" s="13"/>
      <c r="V726" s="15"/>
      <c r="W726" s="34"/>
      <c r="X726" s="34"/>
      <c r="Y726" s="186"/>
      <c r="Z726" s="2"/>
      <c r="AA726" s="34">
        <f>$F$15</f>
      </c>
      <c r="AB726" s="35"/>
      <c r="AC726" s="15"/>
      <c r="AD726" s="15"/>
      <c r="AE726" s="34"/>
      <c r="AF726" s="180"/>
      <c r="AG726" s="15"/>
      <c r="AH726" s="2"/>
      <c r="AI726" s="45"/>
      <c r="AJ726" s="15"/>
      <c r="AK726" s="13"/>
      <c r="AL726" s="15"/>
      <c r="AM726" s="45"/>
      <c r="AN726" s="15"/>
      <c r="AO726" s="13"/>
      <c r="AP726" s="15"/>
      <c r="AQ726" s="45"/>
      <c r="AR726" s="15"/>
      <c r="AS726" s="13"/>
      <c r="AT726" s="15"/>
      <c r="AU726" s="45"/>
      <c r="AV726" s="15"/>
      <c r="AW726" s="13"/>
      <c r="AX726" s="15"/>
      <c r="AY726" s="45"/>
      <c r="AZ726" s="35"/>
      <c r="BA726" s="13"/>
      <c r="BB726" s="15"/>
      <c r="BC726" s="45"/>
      <c r="BD726" s="35"/>
      <c r="BE726" s="14"/>
      <c r="BF726" s="41">
        <f t="shared" ref="BF726:BG726" si="2630">K726+O726+S726+W726+AA726+AE726+AI726+AM726+AQ726+AU726+AY726+BC726</f>
        <v>0</v>
      </c>
      <c r="BG726" s="34">
        <f t="shared" si="2630"/>
        <v>0</v>
      </c>
      <c r="BH726" s="35">
        <f t="shared" si="2613"/>
        <v>0</v>
      </c>
      <c r="BI726" s="15"/>
      <c r="BJ726" s="15"/>
      <c r="BK726" s="15" t="b">
        <f>H726='2020'!BH726</f>
        <v>1</v>
      </c>
    </row>
    <row r="727" ht="14.25" customHeight="1" hidden="1" spans="1:63" x14ac:dyDescent="0.25">
      <c r="A727" s="247">
        <v>81</v>
      </c>
      <c r="B727" s="21"/>
      <c r="C727" s="22" t="s">
        <v>53</v>
      </c>
      <c r="D727" s="21"/>
      <c r="E727" s="22"/>
      <c r="F727" s="20"/>
      <c r="G727" s="23"/>
      <c r="H727" s="51">
        <f>SUM(H719:H726)</f>
        <v>2649.34</v>
      </c>
      <c r="I727" s="52"/>
      <c r="J727" s="53"/>
      <c r="K727" s="51">
        <f t="shared" ref="K727:L727" si="2631">SUM(K719:K726)</f>
        <v>0</v>
      </c>
      <c r="L727" s="68">
        <f t="shared" si="2631"/>
        <v>0</v>
      </c>
      <c r="M727" s="52"/>
      <c r="N727" s="53"/>
      <c r="O727" s="51">
        <f t="shared" ref="O727:P727" si="2632">SUM(O719:O726)</f>
        <v>0</v>
      </c>
      <c r="P727" s="51">
        <f t="shared" si="2632"/>
        <v>0</v>
      </c>
      <c r="Q727" s="52"/>
      <c r="R727" s="53"/>
      <c r="S727" s="51">
        <f t="shared" ref="S727:T727" si="2633">SUM(S719:S726)</f>
        <v>0</v>
      </c>
      <c r="T727" s="51">
        <f t="shared" si="2633"/>
        <v>0</v>
      </c>
      <c r="U727" s="52"/>
      <c r="V727" s="53"/>
      <c r="W727" s="51">
        <f t="shared" ref="W727:X727" si="2634">SUM(W719:W726)</f>
        <v>0</v>
      </c>
      <c r="X727" s="51">
        <f t="shared" si="2634"/>
        <v>0</v>
      </c>
      <c r="Y727" s="300"/>
      <c r="Z727" s="301"/>
      <c r="AA727" s="51">
        <f t="shared" ref="AA727:AB727" si="2635">SUM(AA719:AA726)</f>
        <v>29.86</v>
      </c>
      <c r="AB727" s="51">
        <f t="shared" si="2635"/>
        <v>0</v>
      </c>
      <c r="AC727" s="52"/>
      <c r="AD727" s="53"/>
      <c r="AE727" s="51">
        <f t="shared" ref="AE727:AF727" si="2636">SUM(AE719:AE726)</f>
        <v>4757.26</v>
      </c>
      <c r="AF727" s="51">
        <f t="shared" si="2636"/>
        <v>0</v>
      </c>
      <c r="AG727" s="52"/>
      <c r="AH727" s="301"/>
      <c r="AI727" s="183">
        <f t="shared" ref="AI727:AJ727" si="2637">SUM(AI719:AI726)</f>
        <v>63.75</v>
      </c>
      <c r="AJ727" s="51">
        <f t="shared" si="2637"/>
        <v>0</v>
      </c>
      <c r="AK727" s="52"/>
      <c r="AL727" s="53"/>
      <c r="AM727" s="183">
        <f t="shared" ref="AM727:AN727" si="2638">SUM(AM719:AM726)</f>
        <v>46.1</v>
      </c>
      <c r="AN727" s="51">
        <f t="shared" si="2638"/>
        <v>0</v>
      </c>
      <c r="AO727" s="52"/>
      <c r="AP727" s="53"/>
      <c r="AQ727" s="183">
        <f t="shared" ref="AQ727:AR727" si="2639">SUM(AQ719:AQ726)</f>
        <v>70.94</v>
      </c>
      <c r="AR727" s="51">
        <f t="shared" si="2639"/>
        <v>0</v>
      </c>
      <c r="AS727" s="52"/>
      <c r="AT727" s="53"/>
      <c r="AU727" s="183">
        <f t="shared" ref="AU727:AV727" si="2640">SUM(AU719:AU726)</f>
        <v>0</v>
      </c>
      <c r="AV727" s="68">
        <f t="shared" si="2640"/>
        <v>0</v>
      </c>
      <c r="AW727" s="52"/>
      <c r="AX727" s="53"/>
      <c r="AY727" s="183">
        <f t="shared" ref="AY727:AZ727" si="2641">SUM(AY719:AY726)</f>
        <v>0</v>
      </c>
      <c r="AZ727" s="68">
        <f t="shared" si="2641"/>
        <v>0</v>
      </c>
      <c r="BA727" s="52"/>
      <c r="BB727" s="53"/>
      <c r="BC727" s="183">
        <f t="shared" ref="BC727:BD727" si="2642">SUM(BC719:BC726)</f>
        <v>0</v>
      </c>
      <c r="BD727" s="68">
        <f t="shared" si="2642"/>
        <v>0</v>
      </c>
      <c r="BE727" s="69"/>
      <c r="BF727" s="70">
        <f t="shared" ref="BF727:BH727" si="2643">SUM(BF719:BF726)</f>
        <v>4967.91</v>
      </c>
      <c r="BG727" s="71">
        <f t="shared" si="2643"/>
        <v>0</v>
      </c>
      <c r="BH727" s="72">
        <f t="shared" si="2643"/>
        <v>7617.25</v>
      </c>
      <c r="BI727" s="34">
        <f>H727+BF727-BG727</f>
        <v>7617.25</v>
      </c>
      <c r="BJ727" s="34">
        <f>BH727-BI727</f>
        <v>0</v>
      </c>
      <c r="BK727" s="2" t="b">
        <f>H727='2020'!BH727</f>
        <v>1</v>
      </c>
    </row>
    <row r="728" ht="14.25" customHeight="1" hidden="1" spans="1:63" x14ac:dyDescent="0.25">
      <c r="A728" s="2">
        <v>83</v>
      </c>
      <c r="B728" s="14"/>
      <c r="C728" s="15"/>
      <c r="D728" s="14" t="s">
        <v>379</v>
      </c>
      <c r="E728" s="15"/>
      <c r="F728" s="13"/>
      <c r="G728" s="28"/>
      <c r="H728" s="34">
        <f>'2020'!BH728</f>
        <v>0</v>
      </c>
      <c r="I728" s="13"/>
      <c r="J728" s="15"/>
      <c r="K728" s="34"/>
      <c r="L728" s="35"/>
      <c r="M728" s="13"/>
      <c r="N728" s="15"/>
      <c r="O728" s="34"/>
      <c r="P728" s="34"/>
      <c r="Q728" s="13"/>
      <c r="R728" s="15"/>
      <c r="S728" s="34"/>
      <c r="T728" s="35"/>
      <c r="U728" s="13"/>
      <c r="V728" s="15"/>
      <c r="W728" s="34"/>
      <c r="X728" s="34"/>
      <c r="Y728" s="186"/>
      <c r="Z728" s="2"/>
      <c r="AA728" s="34"/>
      <c r="AB728" s="35"/>
      <c r="AC728" s="15"/>
      <c r="AD728" s="15"/>
      <c r="AE728" s="34"/>
      <c r="AF728" s="34"/>
      <c r="AG728" s="15"/>
      <c r="AH728" s="2"/>
      <c r="AI728" s="45"/>
      <c r="AJ728" s="34"/>
      <c r="AK728" s="13"/>
      <c r="AL728" s="15"/>
      <c r="AM728" s="45"/>
      <c r="AN728" s="34"/>
      <c r="AO728" s="13"/>
      <c r="AP728" s="15"/>
      <c r="AQ728" s="45"/>
      <c r="AR728" s="34"/>
      <c r="AS728" s="13"/>
      <c r="AT728" s="15"/>
      <c r="AU728" s="45"/>
      <c r="AV728" s="34"/>
      <c r="AW728" s="13"/>
      <c r="AX728" s="15"/>
      <c r="AY728" s="45"/>
      <c r="AZ728" s="28"/>
      <c r="BA728" s="13"/>
      <c r="BB728" s="15"/>
      <c r="BC728" s="45"/>
      <c r="BD728" s="28"/>
      <c r="BE728" s="42"/>
      <c r="BF728" s="41">
        <f t="shared" ref="BF728:BG728" si="2644">K728+O728+S728+W728+AA728+AE728+AI728+AM728+AQ728+AU728+AY728+BC728</f>
        <v>0</v>
      </c>
      <c r="BG728" s="34">
        <f t="shared" si="2644"/>
        <v>0</v>
      </c>
      <c r="BH728" s="35">
        <f t="shared" ref="BH728:BH735" si="2645">H728+BF728-BG728</f>
        <v>0</v>
      </c>
      <c r="BI728" s="15"/>
      <c r="BJ728" s="15"/>
      <c r="BK728" s="15" t="b">
        <f>H728='2020'!BH728</f>
        <v>1</v>
      </c>
    </row>
    <row r="729" ht="14.25" customHeight="1" hidden="1" spans="1:63" x14ac:dyDescent="0.25">
      <c r="A729" s="2">
        <v>83</v>
      </c>
      <c r="B729" s="14">
        <v>4.29</v>
      </c>
      <c r="C729" s="15" t="s">
        <v>280</v>
      </c>
      <c r="D729" s="14" t="s">
        <v>44</v>
      </c>
      <c r="E729" s="15" t="s">
        <v>45</v>
      </c>
      <c r="F729" s="41">
        <v>2.5</v>
      </c>
      <c r="G729" s="35">
        <v>2.6</v>
      </c>
      <c r="H729" s="34">
        <f>'2020'!BH729</f>
        <v>175.21</v>
      </c>
      <c r="I729" s="13">
        <v>227</v>
      </c>
      <c r="J729" s="15">
        <f>I729-'2020'!BA729</f>
        <v>0</v>
      </c>
      <c r="K729" s="34">
        <f>J729*$F$8</f>
        <v>0</v>
      </c>
      <c r="L729" s="35"/>
      <c r="M729" s="13">
        <v>227</v>
      </c>
      <c r="N729" s="15">
        <f t="shared" ref="N729:N730" si="2646">M729-I729</f>
        <v>0</v>
      </c>
      <c r="O729" s="34">
        <f>N729*$F$8</f>
        <v>0</v>
      </c>
      <c r="P729" s="34"/>
      <c r="Q729" s="13">
        <v>227</v>
      </c>
      <c r="R729" s="15">
        <f t="shared" ref="R729:R730" si="2647">Q729-M729</f>
        <v>0</v>
      </c>
      <c r="S729" s="34">
        <f>R729*$F$8</f>
        <v>0</v>
      </c>
      <c r="T729" s="35"/>
      <c r="U729" s="13">
        <v>227</v>
      </c>
      <c r="V729" s="15">
        <f t="shared" ref="V729:V730" si="2648">U729-Q729</f>
        <v>0</v>
      </c>
      <c r="W729" s="34">
        <f>V729*$F$8</f>
        <v>0</v>
      </c>
      <c r="X729" s="34"/>
      <c r="Y729" s="186">
        <v>229</v>
      </c>
      <c r="Z729" s="2">
        <f>Y729-U729</f>
        <v>2</v>
      </c>
      <c r="AA729" s="34">
        <f>Z729*$F$8</f>
        <v>5.2</v>
      </c>
      <c r="AB729" s="35"/>
      <c r="AC729" s="15">
        <v>230</v>
      </c>
      <c r="AD729" s="15">
        <f>AC729-Y729</f>
        <v>1</v>
      </c>
      <c r="AE729" s="180">
        <f>AD729*$F$8</f>
        <v>2.6</v>
      </c>
      <c r="AF729" s="34"/>
      <c r="AG729" s="15">
        <v>231</v>
      </c>
      <c r="AH729" s="2">
        <f>AG729-AC729</f>
        <v>1</v>
      </c>
      <c r="AI729" s="45">
        <f>AH729*$G$8</f>
        <v>2.7</v>
      </c>
      <c r="AJ729" s="15"/>
      <c r="AK729" s="13">
        <v>231</v>
      </c>
      <c r="AL729" s="15">
        <f t="shared" ref="AL729:AL730" si="2649">AK729-AG729</f>
        <v>0</v>
      </c>
      <c r="AM729" s="45">
        <f>AL729*$G$8</f>
        <v>0</v>
      </c>
      <c r="AN729" s="306">
        <v>185.71</v>
      </c>
      <c r="AO729" s="13">
        <v>231</v>
      </c>
      <c r="AP729" s="15">
        <f t="shared" ref="AP729:AP730" si="2650">AO729-AK729</f>
        <v>0</v>
      </c>
      <c r="AQ729" s="45">
        <f>AP729*$G$8</f>
        <v>0</v>
      </c>
      <c r="AR729" s="15"/>
      <c r="AS729" s="13">
        <v>231</v>
      </c>
      <c r="AT729" s="15">
        <f t="shared" ref="AT729:AT730" si="2651">AS729-AO729</f>
        <v>0</v>
      </c>
      <c r="AU729" s="45">
        <f>AT729*$G$8</f>
        <v>0</v>
      </c>
      <c r="AV729" s="15"/>
      <c r="AW729" s="13">
        <v>231</v>
      </c>
      <c r="AX729" s="15">
        <f t="shared" ref="AX729:AX730" si="2652">AW729-AS729</f>
        <v>0</v>
      </c>
      <c r="AY729" s="45">
        <f>AX729*$G$8</f>
        <v>0</v>
      </c>
      <c r="AZ729" s="208"/>
      <c r="BA729" s="13">
        <v>231</v>
      </c>
      <c r="BB729" s="15">
        <f t="shared" ref="BB729:BB730" si="2653">BA729-AW729</f>
        <v>0</v>
      </c>
      <c r="BC729" s="45">
        <f>BB729*$G$8</f>
        <v>0</v>
      </c>
      <c r="BD729" s="208"/>
      <c r="BE729" s="40">
        <f t="shared" ref="BE729:BG729" si="2654">J729+N729+R729+V729+Z729+AD729+AH729+AL729+AP729+AT729+AX729+BB729</f>
        <v>4</v>
      </c>
      <c r="BF729" s="41">
        <f t="shared" si="2654"/>
        <v>10.5</v>
      </c>
      <c r="BG729" s="34">
        <f t="shared" si="2654"/>
        <v>185.71</v>
      </c>
      <c r="BH729" s="35">
        <f t="shared" si="2645"/>
        <v>0</v>
      </c>
      <c r="BI729" s="15"/>
      <c r="BJ729" s="15"/>
      <c r="BK729" s="15" t="b">
        <f>H729='2020'!BH729</f>
        <v>1</v>
      </c>
    </row>
    <row r="730" ht="14.25" customHeight="1" hidden="1" spans="1:63" x14ac:dyDescent="0.25">
      <c r="A730" s="2">
        <v>83</v>
      </c>
      <c r="B730" s="14"/>
      <c r="C730" s="15" t="s">
        <v>61</v>
      </c>
      <c r="D730" s="14" t="s">
        <v>47</v>
      </c>
      <c r="E730" s="15" t="s">
        <v>48</v>
      </c>
      <c r="F730" s="13">
        <v>18.56</v>
      </c>
      <c r="G730" s="35">
        <v>19.46</v>
      </c>
      <c r="H730" s="34">
        <f>'2020'!BH730</f>
        <v>121.36</v>
      </c>
      <c r="I730" s="13">
        <v>17</v>
      </c>
      <c r="J730" s="15"/>
      <c r="K730" s="34"/>
      <c r="L730" s="35"/>
      <c r="M730" s="13">
        <v>17</v>
      </c>
      <c r="N730" s="15">
        <f t="shared" si="2646"/>
        <v>0</v>
      </c>
      <c r="O730" s="34"/>
      <c r="P730" s="34"/>
      <c r="Q730" s="13">
        <v>17</v>
      </c>
      <c r="R730" s="15">
        <f t="shared" si="2647"/>
        <v>0</v>
      </c>
      <c r="S730" s="34"/>
      <c r="T730" s="35"/>
      <c r="U730" s="13">
        <v>18</v>
      </c>
      <c r="V730" s="15">
        <f t="shared" si="2648"/>
        <v>1</v>
      </c>
      <c r="W730" s="34">
        <f>V730*$F$10</f>
        <v>19.46</v>
      </c>
      <c r="X730" s="34"/>
      <c r="Y730" s="186">
        <v>0</v>
      </c>
      <c r="Z730" s="2">
        <v>0</v>
      </c>
      <c r="AA730" s="34">
        <f>Z730*$F$10</f>
        <v>0</v>
      </c>
      <c r="AB730" s="35"/>
      <c r="AC730" s="15">
        <v>0</v>
      </c>
      <c r="AD730" s="15">
        <v>0</v>
      </c>
      <c r="AE730" s="34">
        <f>AD730*$F$10</f>
        <v>0</v>
      </c>
      <c r="AF730" s="180"/>
      <c r="AG730" s="15">
        <v>0</v>
      </c>
      <c r="AH730" s="2">
        <v>0</v>
      </c>
      <c r="AI730" s="45">
        <f>AH730*$G$10</f>
        <v>0</v>
      </c>
      <c r="AJ730" s="15"/>
      <c r="AK730" s="13">
        <v>14</v>
      </c>
      <c r="AL730" s="15">
        <f t="shared" si="2649"/>
        <v>14</v>
      </c>
      <c r="AM730" s="45">
        <f>AL730*$G$10</f>
        <v>284.9</v>
      </c>
      <c r="AN730" s="306">
        <v>450.29</v>
      </c>
      <c r="AO730" s="13">
        <v>14</v>
      </c>
      <c r="AP730" s="15">
        <f t="shared" si="2650"/>
        <v>0</v>
      </c>
      <c r="AQ730" s="45">
        <f>AP730*$G$10</f>
        <v>0</v>
      </c>
      <c r="AR730" s="15"/>
      <c r="AS730" s="13">
        <v>14</v>
      </c>
      <c r="AT730" s="15">
        <f t="shared" si="2651"/>
        <v>0</v>
      </c>
      <c r="AU730" s="45">
        <f>AT730*$G$10</f>
        <v>0</v>
      </c>
      <c r="AV730" s="15"/>
      <c r="AW730" s="13">
        <v>14</v>
      </c>
      <c r="AX730" s="15">
        <f t="shared" si="2652"/>
        <v>0</v>
      </c>
      <c r="AY730" s="45"/>
      <c r="AZ730" s="208"/>
      <c r="BA730" s="13">
        <v>14</v>
      </c>
      <c r="BB730" s="15">
        <f t="shared" si="2653"/>
        <v>0</v>
      </c>
      <c r="BC730" s="45"/>
      <c r="BD730" s="208"/>
      <c r="BE730" s="40">
        <f t="shared" ref="BE730:BG730" si="2655">J730+N730+R730+V730+Z730+AD730+AH730+AL730+AP730+AT730+AX730+BB730</f>
        <v>15</v>
      </c>
      <c r="BF730" s="41">
        <f t="shared" si="2655"/>
        <v>304.36</v>
      </c>
      <c r="BG730" s="34">
        <f t="shared" si="2655"/>
        <v>450.29</v>
      </c>
      <c r="BH730" s="35">
        <f t="shared" si="2645"/>
        <v>-24.57</v>
      </c>
      <c r="BI730" s="15"/>
      <c r="BJ730" s="15"/>
      <c r="BK730" s="15" t="b">
        <f>H730='2020'!BH730</f>
        <v>1</v>
      </c>
    </row>
    <row r="731" ht="14.25" customHeight="1" hidden="1" spans="1:63" x14ac:dyDescent="0.25">
      <c r="A731" s="2">
        <v>83</v>
      </c>
      <c r="B731" s="14"/>
      <c r="C731" s="15" t="s">
        <v>102</v>
      </c>
      <c r="D731" s="14" t="s">
        <v>47</v>
      </c>
      <c r="E731" s="15" t="s">
        <v>49</v>
      </c>
      <c r="F731" s="41">
        <v>500</v>
      </c>
      <c r="G731" s="28"/>
      <c r="H731" s="34">
        <f>'2020'!BH731</f>
        <v>0</v>
      </c>
      <c r="I731" s="13"/>
      <c r="J731" s="15"/>
      <c r="K731" s="34"/>
      <c r="L731" s="35"/>
      <c r="M731" s="13"/>
      <c r="N731" s="15"/>
      <c r="O731" s="34"/>
      <c r="P731" s="34"/>
      <c r="Q731" s="13"/>
      <c r="R731" s="15"/>
      <c r="S731" s="34"/>
      <c r="T731" s="35"/>
      <c r="U731" s="13"/>
      <c r="V731" s="15"/>
      <c r="W731" s="34"/>
      <c r="X731" s="34"/>
      <c r="Y731" s="186"/>
      <c r="Z731" s="2"/>
      <c r="AA731" s="34"/>
      <c r="AB731" s="35"/>
      <c r="AC731" s="15"/>
      <c r="AD731" s="15"/>
      <c r="AE731" s="34"/>
      <c r="AF731" s="34"/>
      <c r="AG731" s="15"/>
      <c r="AH731" s="2"/>
      <c r="AI731" s="45"/>
      <c r="AJ731" s="15"/>
      <c r="AK731" s="13"/>
      <c r="AL731" s="15"/>
      <c r="AM731" s="45"/>
      <c r="AN731" s="15"/>
      <c r="AO731" s="13"/>
      <c r="AP731" s="15"/>
      <c r="AQ731" s="45"/>
      <c r="AR731" s="15"/>
      <c r="AS731" s="13"/>
      <c r="AT731" s="15"/>
      <c r="AU731" s="45"/>
      <c r="AV731" s="15"/>
      <c r="AW731" s="13"/>
      <c r="AX731" s="15"/>
      <c r="AY731" s="45"/>
      <c r="AZ731" s="28"/>
      <c r="BA731" s="13"/>
      <c r="BB731" s="15"/>
      <c r="BC731" s="45"/>
      <c r="BD731" s="28"/>
      <c r="BE731" s="14"/>
      <c r="BF731" s="41">
        <f t="shared" ref="BF731:BG731" si="2656">K731+O731+S731+W731+AA731+AE731+AI731+AM731+AQ731+AU731+AY731+BC731</f>
        <v>0</v>
      </c>
      <c r="BG731" s="34">
        <f t="shared" si="2656"/>
        <v>0</v>
      </c>
      <c r="BH731" s="35">
        <f t="shared" si="2645"/>
        <v>0</v>
      </c>
      <c r="BI731" s="15"/>
      <c r="BJ731" s="15"/>
      <c r="BK731" s="15" t="b">
        <f>H731='2020'!BH731</f>
        <v>1</v>
      </c>
    </row>
    <row r="732" ht="14.25" customHeight="1" hidden="1" spans="1:63" x14ac:dyDescent="0.25">
      <c r="A732" s="2">
        <v>83</v>
      </c>
      <c r="B732" s="14"/>
      <c r="C732" s="73"/>
      <c r="D732" s="14" t="s">
        <v>50</v>
      </c>
      <c r="E732" s="15" t="s">
        <v>49</v>
      </c>
      <c r="F732" s="41">
        <v>1100</v>
      </c>
      <c r="G732" s="28"/>
      <c r="H732" s="34">
        <f>'2020'!BH732</f>
        <v>0</v>
      </c>
      <c r="I732" s="13"/>
      <c r="J732" s="15"/>
      <c r="K732" s="34"/>
      <c r="L732" s="35"/>
      <c r="M732" s="13"/>
      <c r="N732" s="15"/>
      <c r="O732" s="34"/>
      <c r="P732" s="34"/>
      <c r="Q732" s="13"/>
      <c r="R732" s="15"/>
      <c r="S732" s="34"/>
      <c r="T732" s="35"/>
      <c r="U732" s="13"/>
      <c r="V732" s="15"/>
      <c r="W732" s="34"/>
      <c r="X732" s="34"/>
      <c r="Y732" s="186"/>
      <c r="Z732" s="2"/>
      <c r="AA732" s="34"/>
      <c r="AB732" s="35"/>
      <c r="AC732" s="15"/>
      <c r="AD732" s="15"/>
      <c r="AE732" s="34">
        <f>B729*$F$12</f>
        <v>4719</v>
      </c>
      <c r="AF732" s="180"/>
      <c r="AG732" s="15"/>
      <c r="AH732" s="2"/>
      <c r="AI732" s="45"/>
      <c r="AJ732" s="34"/>
      <c r="AK732" s="13"/>
      <c r="AL732" s="15"/>
      <c r="AM732" s="45"/>
      <c r="AN732" s="306">
        <v>4719</v>
      </c>
      <c r="AO732" s="13"/>
      <c r="AP732" s="15"/>
      <c r="AQ732" s="45"/>
      <c r="AR732" s="15"/>
      <c r="AS732" s="13"/>
      <c r="AT732" s="15"/>
      <c r="AU732" s="45"/>
      <c r="AV732" s="15"/>
      <c r="AW732" s="13"/>
      <c r="AX732" s="15"/>
      <c r="AY732" s="45"/>
      <c r="AZ732" s="28"/>
      <c r="BA732" s="13"/>
      <c r="BB732" s="15"/>
      <c r="BC732" s="45"/>
      <c r="BD732" s="28"/>
      <c r="BE732" s="14"/>
      <c r="BF732" s="41">
        <f t="shared" ref="BF732:BG732" si="2657">K732+O732+S732+W732+AA732+AE732+AI732+AM732+AQ732+AU732+AY732+BC732</f>
        <v>4719</v>
      </c>
      <c r="BG732" s="34">
        <f t="shared" si="2657"/>
        <v>4719</v>
      </c>
      <c r="BH732" s="35">
        <f t="shared" si="2645"/>
        <v>0</v>
      </c>
      <c r="BI732" s="15"/>
      <c r="BJ732" s="15"/>
      <c r="BK732" s="15" t="b">
        <f>H732='2020'!BH732</f>
        <v>1</v>
      </c>
    </row>
    <row r="733" ht="14.25" customHeight="1" hidden="1" spans="1:63" x14ac:dyDescent="0.25">
      <c r="A733" s="2">
        <v>83</v>
      </c>
      <c r="B733" s="14"/>
      <c r="C733" s="15" t="s">
        <v>153</v>
      </c>
      <c r="D733" s="14" t="s">
        <v>51</v>
      </c>
      <c r="E733" s="15" t="s">
        <v>39</v>
      </c>
      <c r="F733" s="41">
        <v>500</v>
      </c>
      <c r="G733" s="28"/>
      <c r="H733" s="34">
        <f>'2020'!BH733</f>
        <v>500</v>
      </c>
      <c r="I733" s="13"/>
      <c r="J733" s="15"/>
      <c r="K733" s="34"/>
      <c r="L733" s="35"/>
      <c r="M733" s="13"/>
      <c r="N733" s="15"/>
      <c r="O733" s="34"/>
      <c r="P733" s="34"/>
      <c r="Q733" s="13"/>
      <c r="R733" s="15"/>
      <c r="S733" s="34"/>
      <c r="T733" s="35"/>
      <c r="U733" s="13"/>
      <c r="V733" s="15"/>
      <c r="W733" s="34"/>
      <c r="X733" s="34"/>
      <c r="Y733" s="186"/>
      <c r="Z733" s="2"/>
      <c r="AA733" s="34"/>
      <c r="AB733" s="35"/>
      <c r="AC733" s="15"/>
      <c r="AD733" s="15"/>
      <c r="AE733" s="180">
        <f>$F$13</f>
      </c>
      <c r="AF733" s="34"/>
      <c r="AG733" s="15"/>
      <c r="AH733" s="2"/>
      <c r="AI733" s="45"/>
      <c r="AJ733" s="15"/>
      <c r="AK733" s="13"/>
      <c r="AL733" s="15"/>
      <c r="AM733" s="45"/>
      <c r="AN733" s="306">
        <v>500</v>
      </c>
      <c r="AO733" s="13"/>
      <c r="AP733" s="15"/>
      <c r="AQ733" s="180"/>
      <c r="AR733" s="15"/>
      <c r="AS733" s="13"/>
      <c r="AT733" s="15"/>
      <c r="AU733" s="45"/>
      <c r="AV733" s="15"/>
      <c r="AW733" s="13"/>
      <c r="AX733" s="15"/>
      <c r="AY733" s="45"/>
      <c r="AZ733" s="28"/>
      <c r="BA733" s="13"/>
      <c r="BB733" s="15"/>
      <c r="BC733" s="45"/>
      <c r="BD733" s="28"/>
      <c r="BE733" s="14"/>
      <c r="BF733" s="41">
        <f t="shared" ref="BF733:BG733" si="2658">K733+O733+S733+W733+AA733+AE733+AI733+AM733+AQ733+AU733+AY733+BC733</f>
        <v>0</v>
      </c>
      <c r="BG733" s="34">
        <f t="shared" si="2658"/>
        <v>500</v>
      </c>
      <c r="BH733" s="35">
        <f t="shared" si="2645"/>
        <v>0</v>
      </c>
      <c r="BI733" s="15"/>
      <c r="BJ733" s="15"/>
      <c r="BK733" s="15" t="b">
        <f>H733='2020'!BH733</f>
        <v>1</v>
      </c>
    </row>
    <row r="734" ht="14.25" customHeight="1" hidden="1" spans="1:63" x14ac:dyDescent="0.25">
      <c r="A734" s="2">
        <v>83</v>
      </c>
      <c r="B734" s="14"/>
      <c r="C734" s="15"/>
      <c r="D734" s="14" t="s">
        <v>51</v>
      </c>
      <c r="E734" s="15" t="s">
        <v>49</v>
      </c>
      <c r="F734" s="41">
        <v>500</v>
      </c>
      <c r="G734" s="28"/>
      <c r="H734" s="34">
        <f>'2020'!BH734</f>
        <v>2145</v>
      </c>
      <c r="I734" s="13"/>
      <c r="J734" s="15"/>
      <c r="K734" s="34"/>
      <c r="L734" s="35"/>
      <c r="M734" s="13"/>
      <c r="N734" s="15"/>
      <c r="O734" s="34"/>
      <c r="P734" s="34"/>
      <c r="Q734" s="13"/>
      <c r="R734" s="15"/>
      <c r="S734" s="34"/>
      <c r="T734" s="35"/>
      <c r="U734" s="13"/>
      <c r="V734" s="15"/>
      <c r="W734" s="34"/>
      <c r="X734" s="34"/>
      <c r="Y734" s="186"/>
      <c r="Z734" s="2"/>
      <c r="AA734" s="34"/>
      <c r="AB734" s="35"/>
      <c r="AC734" s="15"/>
      <c r="AD734" s="15"/>
      <c r="AE734" s="34"/>
      <c r="AF734" s="34"/>
      <c r="AG734" s="15"/>
      <c r="AH734" s="2"/>
      <c r="AI734" s="45"/>
      <c r="AJ734" s="15"/>
      <c r="AK734" s="13"/>
      <c r="AL734" s="15"/>
      <c r="AM734" s="45"/>
      <c r="AN734" s="306">
        <v>2145</v>
      </c>
      <c r="AO734" s="13"/>
      <c r="AP734" s="15"/>
      <c r="AQ734" s="180">
        <f>B729*$F$14</f>
        <v>0</v>
      </c>
      <c r="AR734" s="15"/>
      <c r="AS734" s="13"/>
      <c r="AT734" s="15"/>
      <c r="AU734" s="45"/>
      <c r="AV734" s="15"/>
      <c r="AW734" s="13"/>
      <c r="AX734" s="15"/>
      <c r="AY734" s="45"/>
      <c r="AZ734" s="28"/>
      <c r="BA734" s="13"/>
      <c r="BB734" s="15"/>
      <c r="BC734" s="45"/>
      <c r="BD734" s="28"/>
      <c r="BE734" s="14"/>
      <c r="BF734" s="41">
        <f t="shared" ref="BF734:BG734" si="2659">K734+O734+S734+W734+AA734+AE734+AI734+AM734+AQ734+AU734+AY734+BC734</f>
        <v>0</v>
      </c>
      <c r="BG734" s="34">
        <f t="shared" si="2659"/>
        <v>2145</v>
      </c>
      <c r="BH734" s="35">
        <f t="shared" si="2645"/>
        <v>0</v>
      </c>
      <c r="BI734" s="15"/>
      <c r="BJ734" s="15"/>
      <c r="BK734" s="15" t="b">
        <f>H734='2020'!BH734</f>
        <v>1</v>
      </c>
    </row>
    <row r="735" ht="14.25" customHeight="1" hidden="1" spans="1:63" x14ac:dyDescent="0.25">
      <c r="A735" s="2">
        <v>83</v>
      </c>
      <c r="B735" s="14"/>
      <c r="C735" s="15" t="s">
        <v>281</v>
      </c>
      <c r="D735" s="14" t="s">
        <v>52</v>
      </c>
      <c r="E735" s="15" t="s">
        <v>39</v>
      </c>
      <c r="F735" s="41">
        <v>500</v>
      </c>
      <c r="G735" s="28"/>
      <c r="H735" s="34">
        <f>'2020'!BH735</f>
        <v>0</v>
      </c>
      <c r="I735" s="13"/>
      <c r="J735" s="15"/>
      <c r="K735" s="34"/>
      <c r="L735" s="35"/>
      <c r="M735" s="13"/>
      <c r="N735" s="15"/>
      <c r="O735" s="34"/>
      <c r="P735" s="34"/>
      <c r="Q735" s="13"/>
      <c r="R735" s="15"/>
      <c r="S735" s="34"/>
      <c r="T735" s="35"/>
      <c r="U735" s="13"/>
      <c r="V735" s="15"/>
      <c r="W735" s="34"/>
      <c r="X735" s="34"/>
      <c r="Y735" s="186"/>
      <c r="Z735" s="2"/>
      <c r="AA735" s="34">
        <f>$F$15</f>
      </c>
      <c r="AB735" s="35"/>
      <c r="AC735" s="15"/>
      <c r="AD735" s="15"/>
      <c r="AE735" s="34"/>
      <c r="AF735" s="180"/>
      <c r="AG735" s="15"/>
      <c r="AH735" s="2"/>
      <c r="AI735" s="45"/>
      <c r="AJ735" s="15"/>
      <c r="AK735" s="13"/>
      <c r="AL735" s="15"/>
      <c r="AM735" s="45"/>
      <c r="AN735" s="15"/>
      <c r="AO735" s="13"/>
      <c r="AP735" s="15"/>
      <c r="AQ735" s="45"/>
      <c r="AR735" s="15"/>
      <c r="AS735" s="13"/>
      <c r="AT735" s="15"/>
      <c r="AU735" s="45"/>
      <c r="AV735" s="15"/>
      <c r="AW735" s="13"/>
      <c r="AX735" s="15"/>
      <c r="AY735" s="45"/>
      <c r="AZ735" s="35"/>
      <c r="BA735" s="13"/>
      <c r="BB735" s="15"/>
      <c r="BC735" s="45"/>
      <c r="BD735" s="35"/>
      <c r="BE735" s="14"/>
      <c r="BF735" s="41">
        <f t="shared" ref="BF735:BG735" si="2660">K735+O735+S735+W735+AA735+AE735+AI735+AM735+AQ735+AU735+AY735+BC735</f>
        <v>0</v>
      </c>
      <c r="BG735" s="34">
        <f t="shared" si="2660"/>
        <v>0</v>
      </c>
      <c r="BH735" s="35">
        <f t="shared" si="2645"/>
        <v>0</v>
      </c>
      <c r="BI735" s="15"/>
      <c r="BJ735" s="15"/>
      <c r="BK735" s="15" t="b">
        <f>H735='2020'!BH735</f>
        <v>1</v>
      </c>
    </row>
    <row r="736" ht="14.25" customHeight="1" hidden="1" spans="1:63" x14ac:dyDescent="0.25">
      <c r="A736" s="247">
        <v>83</v>
      </c>
      <c r="B736" s="21"/>
      <c r="C736" s="22" t="s">
        <v>53</v>
      </c>
      <c r="D736" s="21"/>
      <c r="E736" s="22"/>
      <c r="F736" s="20"/>
      <c r="G736" s="23"/>
      <c r="H736" s="51">
        <f>SUM(H728:H735)</f>
        <v>2941.57</v>
      </c>
      <c r="I736" s="52"/>
      <c r="J736" s="53"/>
      <c r="K736" s="51">
        <f t="shared" ref="K736:L736" si="2661">SUM(K728:K735)</f>
        <v>0</v>
      </c>
      <c r="L736" s="68">
        <f t="shared" si="2661"/>
        <v>0</v>
      </c>
      <c r="M736" s="52"/>
      <c r="N736" s="53"/>
      <c r="O736" s="51">
        <f t="shared" ref="O736:P736" si="2662">SUM(O728:O735)</f>
        <v>0</v>
      </c>
      <c r="P736" s="51">
        <f t="shared" si="2662"/>
        <v>0</v>
      </c>
      <c r="Q736" s="52"/>
      <c r="R736" s="53"/>
      <c r="S736" s="51">
        <f t="shared" ref="S736:T736" si="2663">SUM(S728:S735)</f>
        <v>0</v>
      </c>
      <c r="T736" s="51">
        <f t="shared" si="2663"/>
        <v>0</v>
      </c>
      <c r="U736" s="52"/>
      <c r="V736" s="53"/>
      <c r="W736" s="51">
        <f t="shared" ref="W736:X736" si="2664">SUM(W728:W735)</f>
        <v>19.46</v>
      </c>
      <c r="X736" s="51">
        <f t="shared" si="2664"/>
        <v>0</v>
      </c>
      <c r="Y736" s="300"/>
      <c r="Z736" s="301"/>
      <c r="AA736" s="51">
        <f t="shared" ref="AA736:AB736" si="2665">SUM(AA728:AA735)</f>
        <v>5.2</v>
      </c>
      <c r="AB736" s="51">
        <f t="shared" si="2665"/>
        <v>0</v>
      </c>
      <c r="AC736" s="52"/>
      <c r="AD736" s="53"/>
      <c r="AE736" s="51">
        <f t="shared" ref="AE736:AF736" si="2666">SUM(AE728:AE735)</f>
        <v>4721.6</v>
      </c>
      <c r="AF736" s="51">
        <f t="shared" si="2666"/>
        <v>0</v>
      </c>
      <c r="AG736" s="52"/>
      <c r="AH736" s="301"/>
      <c r="AI736" s="183">
        <f t="shared" ref="AI736:AJ736" si="2667">SUM(AI728:AI735)</f>
        <v>2.7</v>
      </c>
      <c r="AJ736" s="51">
        <f t="shared" si="2667"/>
        <v>0</v>
      </c>
      <c r="AK736" s="52"/>
      <c r="AL736" s="53"/>
      <c r="AM736" s="183">
        <f t="shared" ref="AM736:AN736" si="2668">SUM(AM728:AM735)</f>
        <v>284.9</v>
      </c>
      <c r="AN736" s="51">
        <f t="shared" si="2668"/>
        <v>8000</v>
      </c>
      <c r="AO736" s="52"/>
      <c r="AP736" s="53"/>
      <c r="AQ736" s="183">
        <f t="shared" ref="AQ736:AR736" si="2669">SUM(AQ728:AQ735)</f>
        <v>0</v>
      </c>
      <c r="AR736" s="51">
        <f t="shared" si="2669"/>
        <v>0</v>
      </c>
      <c r="AS736" s="52"/>
      <c r="AT736" s="53"/>
      <c r="AU736" s="183">
        <f t="shared" ref="AU736:AV736" si="2670">SUM(AU728:AU735)</f>
        <v>0</v>
      </c>
      <c r="AV736" s="68">
        <f t="shared" si="2670"/>
        <v>0</v>
      </c>
      <c r="AW736" s="52"/>
      <c r="AX736" s="53"/>
      <c r="AY736" s="183">
        <f t="shared" ref="AY736:AZ736" si="2671">SUM(AY728:AY735)</f>
        <v>0</v>
      </c>
      <c r="AZ736" s="68">
        <f t="shared" si="2671"/>
        <v>0</v>
      </c>
      <c r="BA736" s="52"/>
      <c r="BB736" s="53"/>
      <c r="BC736" s="183">
        <f t="shared" ref="BC736:BD736" si="2672">SUM(BC728:BC735)</f>
        <v>0</v>
      </c>
      <c r="BD736" s="68">
        <f t="shared" si="2672"/>
        <v>0</v>
      </c>
      <c r="BE736" s="69"/>
      <c r="BF736" s="70">
        <f t="shared" ref="BF736:BH736" si="2673">SUM(BF728:BF735)</f>
        <v>5033.86</v>
      </c>
      <c r="BG736" s="71">
        <f t="shared" si="2673"/>
        <v>8000</v>
      </c>
      <c r="BH736" s="72">
        <f t="shared" si="2673"/>
        <v>-24.57</v>
      </c>
      <c r="BI736" s="34">
        <f>H736+BF736-BG736</f>
        <v>-24.57</v>
      </c>
      <c r="BJ736" s="34">
        <f>BH736-BI736</f>
        <v>0</v>
      </c>
      <c r="BK736" s="2" t="b">
        <f>H736='2020'!BH736</f>
        <v>1</v>
      </c>
    </row>
    <row r="737" ht="14.25" customHeight="1" hidden="1" spans="1:63" x14ac:dyDescent="0.25">
      <c r="A737" s="2">
        <v>85</v>
      </c>
      <c r="B737" s="14"/>
      <c r="C737" s="15"/>
      <c r="D737" s="14" t="s">
        <v>379</v>
      </c>
      <c r="E737" s="15"/>
      <c r="F737" s="13"/>
      <c r="G737" s="28"/>
      <c r="H737" s="34">
        <f>'2020'!BH737</f>
        <v>0</v>
      </c>
      <c r="I737" s="13"/>
      <c r="J737" s="15"/>
      <c r="K737" s="34"/>
      <c r="L737" s="35"/>
      <c r="M737" s="13"/>
      <c r="N737" s="15"/>
      <c r="O737" s="34"/>
      <c r="P737" s="34"/>
      <c r="Q737" s="13"/>
      <c r="R737" s="15"/>
      <c r="S737" s="34"/>
      <c r="T737" s="35"/>
      <c r="U737" s="13"/>
      <c r="V737" s="15"/>
      <c r="W737" s="34"/>
      <c r="X737" s="34"/>
      <c r="Y737" s="186"/>
      <c r="Z737" s="2"/>
      <c r="AA737" s="34"/>
      <c r="AB737" s="35"/>
      <c r="AC737" s="15"/>
      <c r="AD737" s="15"/>
      <c r="AE737" s="34"/>
      <c r="AF737" s="34"/>
      <c r="AG737" s="15"/>
      <c r="AH737" s="2"/>
      <c r="AI737" s="45"/>
      <c r="AJ737" s="34"/>
      <c r="AK737" s="13"/>
      <c r="AL737" s="15"/>
      <c r="AM737" s="45"/>
      <c r="AN737" s="34"/>
      <c r="AO737" s="13"/>
      <c r="AP737" s="15"/>
      <c r="AQ737" s="45"/>
      <c r="AR737" s="34"/>
      <c r="AS737" s="13"/>
      <c r="AT737" s="15"/>
      <c r="AU737" s="45"/>
      <c r="AV737" s="34"/>
      <c r="AW737" s="13"/>
      <c r="AX737" s="15"/>
      <c r="AY737" s="45"/>
      <c r="AZ737" s="28"/>
      <c r="BA737" s="13"/>
      <c r="BB737" s="15"/>
      <c r="BC737" s="45"/>
      <c r="BD737" s="28"/>
      <c r="BE737" s="42"/>
      <c r="BF737" s="41">
        <f t="shared" ref="BF737:BG737" si="2674">K737+O737+S737+W737+AA737+AE737+AI737+AM737+AQ737+AU737+AY737+BC737</f>
        <v>0</v>
      </c>
      <c r="BG737" s="34">
        <f t="shared" si="2674"/>
        <v>0</v>
      </c>
      <c r="BH737" s="35">
        <f t="shared" ref="BH737:BH744" si="2675">H737+BF737-BG737</f>
        <v>0</v>
      </c>
      <c r="BI737" s="15"/>
      <c r="BJ737" s="15"/>
      <c r="BK737" s="15" t="b">
        <f>H737='2020'!BH737</f>
        <v>1</v>
      </c>
    </row>
    <row r="738" ht="14.25" customHeight="1" hidden="1" spans="1:63" x14ac:dyDescent="0.25">
      <c r="A738" s="2">
        <v>85</v>
      </c>
      <c r="B738" s="14">
        <v>4.27</v>
      </c>
      <c r="C738" s="15" t="s">
        <v>282</v>
      </c>
      <c r="D738" s="14" t="s">
        <v>44</v>
      </c>
      <c r="E738" s="15" t="s">
        <v>45</v>
      </c>
      <c r="F738" s="41">
        <v>2.5</v>
      </c>
      <c r="G738" s="35">
        <v>2.6</v>
      </c>
      <c r="H738" s="34">
        <f>'2020'!BH738</f>
        <v>161.33</v>
      </c>
      <c r="I738" s="13">
        <v>3681</v>
      </c>
      <c r="J738" s="15">
        <f>I738-'2020'!BA738</f>
        <v>0</v>
      </c>
      <c r="K738" s="34">
        <f>J738*$F$8</f>
        <v>0</v>
      </c>
      <c r="L738" s="35"/>
      <c r="M738" s="13">
        <v>3681</v>
      </c>
      <c r="N738" s="15">
        <f t="shared" ref="N738:N739" si="2676">M738-I738</f>
        <v>0</v>
      </c>
      <c r="O738" s="34">
        <f>N738*$F$8</f>
        <v>0</v>
      </c>
      <c r="P738" s="34"/>
      <c r="Q738" s="13">
        <v>3681</v>
      </c>
      <c r="R738" s="15">
        <f t="shared" ref="R738:R739" si="2677">Q738-M738</f>
        <v>0</v>
      </c>
      <c r="S738" s="34">
        <f>R738*$F$8</f>
        <v>0</v>
      </c>
      <c r="T738" s="35"/>
      <c r="U738" s="13">
        <v>3681</v>
      </c>
      <c r="V738" s="15">
        <f t="shared" ref="V738:V739" si="2678">U738-Q738</f>
        <v>0</v>
      </c>
      <c r="W738" s="34">
        <f>V738*$F$8</f>
        <v>0</v>
      </c>
      <c r="X738" s="34"/>
      <c r="Y738" s="186">
        <v>3762</v>
      </c>
      <c r="Z738" s="2">
        <f t="shared" ref="Z738:Z739" si="2679">Y738-U738</f>
        <v>81</v>
      </c>
      <c r="AA738" s="34">
        <f>Z738*$F$8</f>
        <v>210.6</v>
      </c>
      <c r="AB738" s="35"/>
      <c r="AC738" s="15">
        <v>3984</v>
      </c>
      <c r="AD738" s="15">
        <f t="shared" ref="AD738:AD739" si="2680">AC738-Y738</f>
        <v>222</v>
      </c>
      <c r="AE738" s="180">
        <f>AD738*$F$8</f>
        <v>577.2</v>
      </c>
      <c r="AF738" s="182">
        <v>1150</v>
      </c>
      <c r="AG738" s="15">
        <v>4147</v>
      </c>
      <c r="AH738" s="2">
        <f t="shared" ref="AH738:AH739" si="2681">AG738-AC738</f>
        <v>163</v>
      </c>
      <c r="AI738" s="45">
        <f>AH738*$G$8</f>
        <v>440.1</v>
      </c>
      <c r="AJ738" s="306">
        <f>28+503.55</f>
        <v>531.55</v>
      </c>
      <c r="AK738" s="13">
        <v>4578</v>
      </c>
      <c r="AL738" s="15">
        <f t="shared" ref="AL738:AL739" si="2682">AK738-AG738</f>
        <v>431</v>
      </c>
      <c r="AM738" s="45">
        <f>AL738*$G$8</f>
        <v>1163.7</v>
      </c>
      <c r="AN738" s="34"/>
      <c r="AO738" s="13">
        <v>4752</v>
      </c>
      <c r="AP738" s="15">
        <f t="shared" ref="AP738:AP739" si="2683">AO738-AK738</f>
        <v>174</v>
      </c>
      <c r="AQ738" s="45">
        <f>AP738*$G$8</f>
        <v>469.8</v>
      </c>
      <c r="AR738" s="15"/>
      <c r="AS738" s="13">
        <v>4753</v>
      </c>
      <c r="AT738" s="15">
        <f t="shared" ref="AT738:AT739" si="2684">AS738-AO738</f>
        <v>1</v>
      </c>
      <c r="AU738" s="45">
        <f>AT738*$G$8</f>
        <v>2.7</v>
      </c>
      <c r="AV738" s="15"/>
      <c r="AW738" s="13">
        <v>4753</v>
      </c>
      <c r="AX738" s="15">
        <f t="shared" ref="AX738:AX739" si="2685">AW738-AS738</f>
        <v>0</v>
      </c>
      <c r="AY738" s="45">
        <f>AX738*$G$8</f>
        <v>0</v>
      </c>
      <c r="AZ738" s="208"/>
      <c r="BA738" s="13">
        <v>4753</v>
      </c>
      <c r="BB738" s="15">
        <f t="shared" ref="BB738:BB739" si="2686">BA738-AW738</f>
        <v>0</v>
      </c>
      <c r="BC738" s="45">
        <f>BB738*$G$8</f>
        <v>0</v>
      </c>
      <c r="BD738" s="208"/>
      <c r="BE738" s="40">
        <f t="shared" ref="BE738:BG738" si="2687">J738+N738+R738+V738+Z738+AD738+AH738+AL738+AP738+AT738+AX738+BB738</f>
        <v>1072</v>
      </c>
      <c r="BF738" s="41">
        <f t="shared" si="2687"/>
        <v>2864.1</v>
      </c>
      <c r="BG738" s="34">
        <f t="shared" si="2687"/>
        <v>1681.55</v>
      </c>
      <c r="BH738" s="35">
        <f t="shared" si="2675"/>
        <v>1343.88</v>
      </c>
      <c r="BI738" s="15"/>
      <c r="BJ738" s="15"/>
      <c r="BK738" s="15" t="b">
        <f>H738='2020'!BH738</f>
        <v>1</v>
      </c>
    </row>
    <row r="739" ht="14.25" customHeight="1" hidden="1" spans="1:63" x14ac:dyDescent="0.25">
      <c r="A739" s="2">
        <v>85</v>
      </c>
      <c r="B739" s="14"/>
      <c r="C739" s="15" t="s">
        <v>114</v>
      </c>
      <c r="D739" s="14" t="s">
        <v>47</v>
      </c>
      <c r="E739" s="15" t="s">
        <v>48</v>
      </c>
      <c r="F739" s="13">
        <v>18.56</v>
      </c>
      <c r="G739" s="35">
        <v>19.46</v>
      </c>
      <c r="H739" s="34">
        <f>'2020'!BH739</f>
        <v>0</v>
      </c>
      <c r="I739" s="13">
        <v>160</v>
      </c>
      <c r="J739" s="15"/>
      <c r="K739" s="34"/>
      <c r="L739" s="35"/>
      <c r="M739" s="13">
        <v>160</v>
      </c>
      <c r="N739" s="15">
        <f t="shared" si="2676"/>
        <v>0</v>
      </c>
      <c r="O739" s="34"/>
      <c r="P739" s="34"/>
      <c r="Q739" s="13">
        <v>160</v>
      </c>
      <c r="R739" s="15">
        <f t="shared" si="2677"/>
        <v>0</v>
      </c>
      <c r="S739" s="34"/>
      <c r="T739" s="35"/>
      <c r="U739" s="13">
        <v>160</v>
      </c>
      <c r="V739" s="15">
        <f t="shared" si="2678"/>
        <v>0</v>
      </c>
      <c r="W739" s="34">
        <f>V739*$F$10</f>
        <v>0</v>
      </c>
      <c r="X739" s="34"/>
      <c r="Y739" s="186">
        <v>160</v>
      </c>
      <c r="Z739" s="2">
        <f t="shared" si="2679"/>
        <v>0</v>
      </c>
      <c r="AA739" s="34">
        <f>Z739*$F$10</f>
        <v>0</v>
      </c>
      <c r="AB739" s="35"/>
      <c r="AC739" s="13">
        <v>170</v>
      </c>
      <c r="AD739" s="15">
        <f t="shared" si="2680"/>
        <v>10</v>
      </c>
      <c r="AE739" s="34">
        <f>AD739*$F$10</f>
        <v>194.6</v>
      </c>
      <c r="AF739" s="182">
        <v>194.6</v>
      </c>
      <c r="AG739" s="13">
        <v>177</v>
      </c>
      <c r="AH739" s="2">
        <f t="shared" si="2681"/>
        <v>7</v>
      </c>
      <c r="AI739" s="45">
        <f>AH739*$G$10</f>
        <v>142.45</v>
      </c>
      <c r="AJ739" s="306">
        <v>291.85</v>
      </c>
      <c r="AK739" s="13">
        <v>192</v>
      </c>
      <c r="AL739" s="15">
        <f t="shared" si="2682"/>
        <v>15</v>
      </c>
      <c r="AM739" s="45">
        <f>AL739*$G$10</f>
        <v>305.25</v>
      </c>
      <c r="AN739" s="34"/>
      <c r="AO739" s="13">
        <v>196</v>
      </c>
      <c r="AP739" s="15">
        <f t="shared" si="2683"/>
        <v>4</v>
      </c>
      <c r="AQ739" s="45">
        <f>AP739*$G$10</f>
        <v>81.4</v>
      </c>
      <c r="AR739" s="15"/>
      <c r="AS739" s="13">
        <v>196</v>
      </c>
      <c r="AT739" s="15">
        <f t="shared" si="2684"/>
        <v>0</v>
      </c>
      <c r="AU739" s="45">
        <f>AT739*$G$10</f>
        <v>0</v>
      </c>
      <c r="AV739" s="15"/>
      <c r="AW739" s="13">
        <v>196</v>
      </c>
      <c r="AX739" s="15">
        <f t="shared" si="2685"/>
        <v>0</v>
      </c>
      <c r="AY739" s="45"/>
      <c r="AZ739" s="208"/>
      <c r="BA739" s="13">
        <v>196</v>
      </c>
      <c r="BB739" s="15">
        <f t="shared" si="2686"/>
        <v>0</v>
      </c>
      <c r="BC739" s="45"/>
      <c r="BD739" s="208"/>
      <c r="BE739" s="40">
        <f t="shared" ref="BE739:BG739" si="2688">J739+N739+R739+V739+Z739+AD739+AH739+AL739+AP739+AT739+AX739+BB739</f>
        <v>36</v>
      </c>
      <c r="BF739" s="41">
        <f t="shared" si="2688"/>
        <v>723.7</v>
      </c>
      <c r="BG739" s="34">
        <f t="shared" si="2688"/>
        <v>486.45</v>
      </c>
      <c r="BH739" s="35">
        <f t="shared" si="2675"/>
        <v>237.25</v>
      </c>
      <c r="BI739" s="15"/>
      <c r="BJ739" s="15"/>
      <c r="BK739" s="15" t="b">
        <f>H739='2020'!BH739</f>
        <v>1</v>
      </c>
    </row>
    <row r="740" ht="14.25" customHeight="1" hidden="1" spans="1:63" x14ac:dyDescent="0.25">
      <c r="A740" s="2">
        <v>85</v>
      </c>
      <c r="B740" s="14"/>
      <c r="C740" s="15" t="s">
        <v>102</v>
      </c>
      <c r="D740" s="14" t="s">
        <v>47</v>
      </c>
      <c r="E740" s="15" t="s">
        <v>49</v>
      </c>
      <c r="F740" s="41">
        <v>500</v>
      </c>
      <c r="G740" s="28"/>
      <c r="H740" s="34">
        <f>'2020'!BH740</f>
        <v>0</v>
      </c>
      <c r="I740" s="13"/>
      <c r="J740" s="15"/>
      <c r="K740" s="34"/>
      <c r="L740" s="35"/>
      <c r="M740" s="13"/>
      <c r="N740" s="15"/>
      <c r="O740" s="34"/>
      <c r="P740" s="34"/>
      <c r="Q740" s="13"/>
      <c r="R740" s="15"/>
      <c r="S740" s="34"/>
      <c r="T740" s="35"/>
      <c r="U740" s="13"/>
      <c r="V740" s="15"/>
      <c r="W740" s="34"/>
      <c r="X740" s="34"/>
      <c r="Y740" s="186"/>
      <c r="Z740" s="2"/>
      <c r="AA740" s="34"/>
      <c r="AB740" s="35"/>
      <c r="AC740" s="15"/>
      <c r="AD740" s="15"/>
      <c r="AE740" s="34"/>
      <c r="AF740" s="182"/>
      <c r="AG740" s="15"/>
      <c r="AH740" s="2"/>
      <c r="AI740" s="45"/>
      <c r="AJ740" s="154"/>
      <c r="AK740" s="13"/>
      <c r="AL740" s="15"/>
      <c r="AM740" s="45"/>
      <c r="AN740" s="15"/>
      <c r="AO740" s="13"/>
      <c r="AP740" s="15"/>
      <c r="AQ740" s="45"/>
      <c r="AR740" s="15"/>
      <c r="AS740" s="13"/>
      <c r="AT740" s="15"/>
      <c r="AU740" s="45"/>
      <c r="AV740" s="15"/>
      <c r="AW740" s="13"/>
      <c r="AX740" s="15"/>
      <c r="AY740" s="45"/>
      <c r="AZ740" s="28"/>
      <c r="BA740" s="13"/>
      <c r="BB740" s="15"/>
      <c r="BC740" s="45"/>
      <c r="BD740" s="28"/>
      <c r="BE740" s="14"/>
      <c r="BF740" s="41">
        <f t="shared" ref="BF740:BG740" si="2689">K740+O740+S740+W740+AA740+AE740+AI740+AM740+AQ740+AU740+AY740+BC740</f>
        <v>0</v>
      </c>
      <c r="BG740" s="34">
        <f t="shared" si="2689"/>
        <v>0</v>
      </c>
      <c r="BH740" s="35">
        <f t="shared" si="2675"/>
        <v>0</v>
      </c>
      <c r="BI740" s="15"/>
      <c r="BJ740" s="15"/>
      <c r="BK740" s="15" t="b">
        <f>H740='2020'!BH740</f>
        <v>1</v>
      </c>
    </row>
    <row r="741" ht="14.25" customHeight="1" hidden="1" spans="1:63" x14ac:dyDescent="0.25">
      <c r="A741" s="2">
        <v>85</v>
      </c>
      <c r="B741" s="14"/>
      <c r="C741" s="15" t="s">
        <v>283</v>
      </c>
      <c r="D741" s="14" t="s">
        <v>50</v>
      </c>
      <c r="E741" s="15" t="s">
        <v>49</v>
      </c>
      <c r="F741" s="41">
        <v>1100</v>
      </c>
      <c r="G741" s="28"/>
      <c r="H741" s="34">
        <f>'2020'!BH741</f>
        <v>0</v>
      </c>
      <c r="I741" s="13"/>
      <c r="J741" s="15"/>
      <c r="K741" s="34"/>
      <c r="L741" s="35"/>
      <c r="M741" s="13"/>
      <c r="N741" s="15"/>
      <c r="O741" s="34"/>
      <c r="P741" s="34"/>
      <c r="Q741" s="13"/>
      <c r="R741" s="15"/>
      <c r="S741" s="34"/>
      <c r="T741" s="35"/>
      <c r="U741" s="13"/>
      <c r="V741" s="15"/>
      <c r="W741" s="34"/>
      <c r="X741" s="34"/>
      <c r="Y741" s="186"/>
      <c r="Z741" s="2"/>
      <c r="AA741" s="34"/>
      <c r="AB741" s="35"/>
      <c r="AC741" s="15"/>
      <c r="AD741" s="15"/>
      <c r="AE741" s="34">
        <f>B738*$F$12</f>
        <v>4697</v>
      </c>
      <c r="AF741" s="182">
        <v>2520.4</v>
      </c>
      <c r="AG741" s="15"/>
      <c r="AH741" s="2"/>
      <c r="AI741" s="45"/>
      <c r="AJ741" s="326">
        <v>2176.6</v>
      </c>
      <c r="AK741" s="13"/>
      <c r="AL741" s="15"/>
      <c r="AM741" s="45"/>
      <c r="AN741" s="34"/>
      <c r="AO741" s="13"/>
      <c r="AP741" s="15"/>
      <c r="AQ741" s="45"/>
      <c r="AR741" s="15"/>
      <c r="AS741" s="13"/>
      <c r="AT741" s="15"/>
      <c r="AU741" s="45"/>
      <c r="AV741" s="15"/>
      <c r="AW741" s="13"/>
      <c r="AX741" s="15"/>
      <c r="AY741" s="45"/>
      <c r="AZ741" s="28"/>
      <c r="BA741" s="13"/>
      <c r="BB741" s="15"/>
      <c r="BC741" s="45"/>
      <c r="BD741" s="28"/>
      <c r="BE741" s="14"/>
      <c r="BF741" s="41">
        <f t="shared" ref="BF741:BG741" si="2690">K741+O741+S741+W741+AA741+AE741+AI741+AM741+AQ741+AU741+AY741+BC741</f>
        <v>4697</v>
      </c>
      <c r="BG741" s="34">
        <f t="shared" si="2690"/>
        <v>4697</v>
      </c>
      <c r="BH741" s="35">
        <f t="shared" si="2675"/>
        <v>0</v>
      </c>
      <c r="BI741" s="15"/>
      <c r="BJ741" s="15"/>
      <c r="BK741" s="15" t="b">
        <f>H741='2020'!BH741</f>
        <v>1</v>
      </c>
    </row>
    <row r="742" ht="14.25" customHeight="1" hidden="1" spans="1:63" x14ac:dyDescent="0.25">
      <c r="A742" s="2">
        <v>85</v>
      </c>
      <c r="B742" s="14"/>
      <c r="C742" s="15"/>
      <c r="D742" s="14" t="s">
        <v>51</v>
      </c>
      <c r="E742" s="15" t="s">
        <v>39</v>
      </c>
      <c r="F742" s="41">
        <v>500</v>
      </c>
      <c r="G742" s="28"/>
      <c r="H742" s="34">
        <f>'2020'!BH742</f>
        <v>500</v>
      </c>
      <c r="I742" s="13"/>
      <c r="J742" s="15"/>
      <c r="K742" s="34"/>
      <c r="L742" s="35"/>
      <c r="M742" s="13"/>
      <c r="N742" s="15"/>
      <c r="O742" s="34"/>
      <c r="P742" s="34"/>
      <c r="Q742" s="13"/>
      <c r="R742" s="15"/>
      <c r="S742" s="34"/>
      <c r="T742" s="35"/>
      <c r="U742" s="13"/>
      <c r="V742" s="15"/>
      <c r="W742" s="34"/>
      <c r="X742" s="34"/>
      <c r="Y742" s="186"/>
      <c r="Z742" s="2"/>
      <c r="AA742" s="34"/>
      <c r="AB742" s="35"/>
      <c r="AC742" s="15"/>
      <c r="AD742" s="15"/>
      <c r="AE742" s="180">
        <f>$F$13</f>
      </c>
      <c r="AF742" s="182">
        <v>500</v>
      </c>
      <c r="AG742" s="15"/>
      <c r="AH742" s="2"/>
      <c r="AI742" s="45"/>
      <c r="AJ742" s="180"/>
      <c r="AK742" s="13"/>
      <c r="AL742" s="15"/>
      <c r="AM742" s="45"/>
      <c r="AN742" s="15"/>
      <c r="AO742" s="13"/>
      <c r="AP742" s="15"/>
      <c r="AQ742" s="180"/>
      <c r="AR742" s="15"/>
      <c r="AS742" s="13"/>
      <c r="AT742" s="15"/>
      <c r="AU742" s="45"/>
      <c r="AV742" s="15"/>
      <c r="AW742" s="13"/>
      <c r="AX742" s="15"/>
      <c r="AY742" s="45"/>
      <c r="AZ742" s="28"/>
      <c r="BA742" s="13"/>
      <c r="BB742" s="15"/>
      <c r="BC742" s="45"/>
      <c r="BD742" s="28"/>
      <c r="BE742" s="14"/>
      <c r="BF742" s="41">
        <f t="shared" ref="BF742:BG742" si="2691">K742+O742+S742+W742+AA742+AE742+AI742+AM742+AQ742+AU742+AY742+BC742</f>
        <v>0</v>
      </c>
      <c r="BG742" s="34">
        <f t="shared" si="2691"/>
        <v>500</v>
      </c>
      <c r="BH742" s="35">
        <f t="shared" si="2675"/>
        <v>0</v>
      </c>
      <c r="BI742" s="15"/>
      <c r="BJ742" s="15"/>
      <c r="BK742" s="15" t="b">
        <f>H742='2020'!BH742</f>
        <v>1</v>
      </c>
    </row>
    <row r="743" ht="14.25" customHeight="1" hidden="1" spans="1:63" x14ac:dyDescent="0.25">
      <c r="A743" s="2">
        <v>85</v>
      </c>
      <c r="B743" s="14"/>
      <c r="C743" s="15"/>
      <c r="D743" s="14" t="s">
        <v>51</v>
      </c>
      <c r="E743" s="15" t="s">
        <v>49</v>
      </c>
      <c r="F743" s="41">
        <v>500</v>
      </c>
      <c r="G743" s="28"/>
      <c r="H743" s="34">
        <f>'2020'!BH743</f>
        <v>2135</v>
      </c>
      <c r="I743" s="13"/>
      <c r="J743" s="15"/>
      <c r="K743" s="34"/>
      <c r="L743" s="35"/>
      <c r="M743" s="13"/>
      <c r="N743" s="15"/>
      <c r="O743" s="34"/>
      <c r="P743" s="34"/>
      <c r="Q743" s="13"/>
      <c r="R743" s="15"/>
      <c r="S743" s="34"/>
      <c r="T743" s="35"/>
      <c r="U743" s="13"/>
      <c r="V743" s="15"/>
      <c r="W743" s="34"/>
      <c r="X743" s="34"/>
      <c r="Y743" s="186"/>
      <c r="Z743" s="2"/>
      <c r="AA743" s="34"/>
      <c r="AB743" s="35"/>
      <c r="AC743" s="15"/>
      <c r="AD743" s="15"/>
      <c r="AE743" s="34"/>
      <c r="AF743" s="182">
        <v>2135</v>
      </c>
      <c r="AG743" s="15"/>
      <c r="AH743" s="2"/>
      <c r="AI743" s="45"/>
      <c r="AJ743" s="180"/>
      <c r="AK743" s="13"/>
      <c r="AL743" s="15"/>
      <c r="AM743" s="45"/>
      <c r="AN743" s="15"/>
      <c r="AO743" s="13"/>
      <c r="AP743" s="15"/>
      <c r="AQ743" s="180">
        <f>B738*$F$14</f>
        <v>0</v>
      </c>
      <c r="AR743" s="15"/>
      <c r="AS743" s="13"/>
      <c r="AT743" s="15"/>
      <c r="AU743" s="45"/>
      <c r="AV743" s="15"/>
      <c r="AW743" s="13"/>
      <c r="AX743" s="15"/>
      <c r="AY743" s="45"/>
      <c r="AZ743" s="28"/>
      <c r="BA743" s="13"/>
      <c r="BB743" s="15"/>
      <c r="BC743" s="45"/>
      <c r="BD743" s="28"/>
      <c r="BE743" s="14"/>
      <c r="BF743" s="41">
        <f t="shared" ref="BF743:BG743" si="2692">K743+O743+S743+W743+AA743+AE743+AI743+AM743+AQ743+AU743+AY743+BC743</f>
        <v>0</v>
      </c>
      <c r="BG743" s="34">
        <f t="shared" si="2692"/>
        <v>2135</v>
      </c>
      <c r="BH743" s="35">
        <f t="shared" si="2675"/>
        <v>0</v>
      </c>
      <c r="BI743" s="15"/>
      <c r="BJ743" s="15"/>
      <c r="BK743" s="15" t="b">
        <f>H743='2020'!BH743</f>
        <v>1</v>
      </c>
    </row>
    <row r="744" ht="14.25" customHeight="1" hidden="1" spans="1:63" x14ac:dyDescent="0.25">
      <c r="A744" s="2">
        <v>85</v>
      </c>
      <c r="B744" s="14"/>
      <c r="C744" s="15"/>
      <c r="D744" s="14" t="s">
        <v>52</v>
      </c>
      <c r="E744" s="15" t="s">
        <v>39</v>
      </c>
      <c r="F744" s="41">
        <v>500</v>
      </c>
      <c r="G744" s="28"/>
      <c r="H744" s="34">
        <f>'2020'!BH744</f>
        <v>0</v>
      </c>
      <c r="I744" s="13"/>
      <c r="J744" s="15"/>
      <c r="K744" s="34"/>
      <c r="L744" s="35"/>
      <c r="M744" s="13"/>
      <c r="N744" s="15"/>
      <c r="O744" s="34"/>
      <c r="P744" s="34"/>
      <c r="Q744" s="13"/>
      <c r="R744" s="15"/>
      <c r="S744" s="34"/>
      <c r="T744" s="35"/>
      <c r="U744" s="13"/>
      <c r="V744" s="15"/>
      <c r="W744" s="34"/>
      <c r="X744" s="34"/>
      <c r="Y744" s="186"/>
      <c r="Z744" s="2"/>
      <c r="AA744" s="34">
        <f>$F$15</f>
      </c>
      <c r="AB744" s="35"/>
      <c r="AC744" s="15"/>
      <c r="AD744" s="15"/>
      <c r="AE744" s="34"/>
      <c r="AF744" s="34"/>
      <c r="AG744" s="15"/>
      <c r="AH744" s="2"/>
      <c r="AI744" s="45"/>
      <c r="AJ744" s="15"/>
      <c r="AK744" s="13"/>
      <c r="AL744" s="15"/>
      <c r="AM744" s="45"/>
      <c r="AN744" s="15"/>
      <c r="AO744" s="13"/>
      <c r="AP744" s="15"/>
      <c r="AQ744" s="45"/>
      <c r="AR744" s="15"/>
      <c r="AS744" s="13"/>
      <c r="AT744" s="15"/>
      <c r="AU744" s="45"/>
      <c r="AV744" s="15"/>
      <c r="AW744" s="13"/>
      <c r="AX744" s="15"/>
      <c r="AY744" s="45"/>
      <c r="AZ744" s="35"/>
      <c r="BA744" s="13"/>
      <c r="BB744" s="15"/>
      <c r="BC744" s="45"/>
      <c r="BD744" s="35"/>
      <c r="BE744" s="14"/>
      <c r="BF744" s="41">
        <f t="shared" ref="BF744:BG744" si="2693">K744+O744+S744+W744+AA744+AE744+AI744+AM744+AQ744+AU744+AY744+BC744</f>
        <v>0</v>
      </c>
      <c r="BG744" s="34">
        <f t="shared" si="2693"/>
        <v>0</v>
      </c>
      <c r="BH744" s="35">
        <f t="shared" si="2675"/>
        <v>0</v>
      </c>
      <c r="BI744" s="15"/>
      <c r="BJ744" s="15"/>
      <c r="BK744" s="15" t="b">
        <f>H744='2020'!BH744</f>
        <v>1</v>
      </c>
    </row>
    <row r="745" ht="14.25" customHeight="1" hidden="1" spans="1:63" x14ac:dyDescent="0.25">
      <c r="A745" s="247">
        <v>85</v>
      </c>
      <c r="B745" s="21"/>
      <c r="C745" s="22" t="s">
        <v>53</v>
      </c>
      <c r="D745" s="21"/>
      <c r="E745" s="22"/>
      <c r="F745" s="20"/>
      <c r="G745" s="23"/>
      <c r="H745" s="51">
        <f>SUM(H737:H744)</f>
        <v>2796.33</v>
      </c>
      <c r="I745" s="52"/>
      <c r="J745" s="53"/>
      <c r="K745" s="51">
        <f t="shared" ref="K745:L745" si="2694">SUM(K737:K744)</f>
        <v>0</v>
      </c>
      <c r="L745" s="68">
        <f t="shared" si="2694"/>
        <v>0</v>
      </c>
      <c r="M745" s="52"/>
      <c r="N745" s="53"/>
      <c r="O745" s="51">
        <f t="shared" ref="O745:P745" si="2695">SUM(O737:O744)</f>
        <v>0</v>
      </c>
      <c r="P745" s="51">
        <f t="shared" si="2695"/>
        <v>0</v>
      </c>
      <c r="Q745" s="52"/>
      <c r="R745" s="53"/>
      <c r="S745" s="51">
        <f t="shared" ref="S745:T745" si="2696">SUM(S737:S744)</f>
        <v>0</v>
      </c>
      <c r="T745" s="51">
        <f t="shared" si="2696"/>
        <v>0</v>
      </c>
      <c r="U745" s="52"/>
      <c r="V745" s="53"/>
      <c r="W745" s="51">
        <f t="shared" ref="W745:X745" si="2697">SUM(W737:W744)</f>
        <v>0</v>
      </c>
      <c r="X745" s="51">
        <f t="shared" si="2697"/>
        <v>0</v>
      </c>
      <c r="Y745" s="300"/>
      <c r="Z745" s="301"/>
      <c r="AA745" s="51">
        <f t="shared" ref="AA745:AB745" si="2698">SUM(AA737:AA744)</f>
        <v>210.6</v>
      </c>
      <c r="AB745" s="51">
        <f t="shared" si="2698"/>
        <v>0</v>
      </c>
      <c r="AC745" s="52"/>
      <c r="AD745" s="53"/>
      <c r="AE745" s="51">
        <f t="shared" ref="AE745:AF745" si="2699">SUM(AE737:AE744)</f>
        <v>5468.8</v>
      </c>
      <c r="AF745" s="51">
        <f t="shared" si="2699"/>
        <v>6500</v>
      </c>
      <c r="AG745" s="52"/>
      <c r="AH745" s="301"/>
      <c r="AI745" s="183">
        <f t="shared" ref="AI745:AJ745" si="2700">SUM(AI737:AI744)</f>
        <v>582.55</v>
      </c>
      <c r="AJ745" s="51">
        <f t="shared" si="2700"/>
        <v>3000</v>
      </c>
      <c r="AK745" s="52"/>
      <c r="AL745" s="53"/>
      <c r="AM745" s="183">
        <f t="shared" ref="AM745:AN745" si="2701">SUM(AM737:AM744)</f>
        <v>1468.95</v>
      </c>
      <c r="AN745" s="51">
        <f t="shared" si="2701"/>
        <v>0</v>
      </c>
      <c r="AO745" s="52"/>
      <c r="AP745" s="53"/>
      <c r="AQ745" s="183">
        <f t="shared" ref="AQ745:AR745" si="2702">SUM(AQ737:AQ744)</f>
        <v>551.2</v>
      </c>
      <c r="AR745" s="51">
        <f t="shared" si="2702"/>
        <v>0</v>
      </c>
      <c r="AS745" s="52"/>
      <c r="AT745" s="53"/>
      <c r="AU745" s="183">
        <f t="shared" ref="AU745:AV745" si="2703">SUM(AU737:AU744)</f>
        <v>2.7</v>
      </c>
      <c r="AV745" s="68">
        <f t="shared" si="2703"/>
        <v>0</v>
      </c>
      <c r="AW745" s="52"/>
      <c r="AX745" s="53"/>
      <c r="AY745" s="183">
        <f t="shared" ref="AY745:AZ745" si="2704">SUM(AY737:AY744)</f>
        <v>0</v>
      </c>
      <c r="AZ745" s="68">
        <f t="shared" si="2704"/>
        <v>0</v>
      </c>
      <c r="BA745" s="52"/>
      <c r="BB745" s="53"/>
      <c r="BC745" s="183">
        <f t="shared" ref="BC745:BD745" si="2705">SUM(BC737:BC744)</f>
        <v>0</v>
      </c>
      <c r="BD745" s="68">
        <f t="shared" si="2705"/>
        <v>0</v>
      </c>
      <c r="BE745" s="69"/>
      <c r="BF745" s="70">
        <f t="shared" ref="BF745:BH745" si="2706">SUM(BF737:BF744)</f>
        <v>8284.8</v>
      </c>
      <c r="BG745" s="71">
        <f t="shared" si="2706"/>
        <v>9500</v>
      </c>
      <c r="BH745" s="72">
        <f t="shared" si="2706"/>
        <v>1581.13</v>
      </c>
      <c r="BI745" s="34">
        <f>H745+BF745-BG745</f>
        <v>1581.13</v>
      </c>
      <c r="BJ745" s="34">
        <f>BH745-BI745</f>
        <v>0</v>
      </c>
      <c r="BK745" s="2" t="b">
        <f>H745='2020'!BH745</f>
        <v>1</v>
      </c>
    </row>
    <row r="746" ht="14.25" customHeight="1" hidden="1" spans="1:63" x14ac:dyDescent="0.25">
      <c r="A746" s="2">
        <v>87</v>
      </c>
      <c r="B746" s="14"/>
      <c r="C746" s="15"/>
      <c r="D746" s="14" t="s">
        <v>379</v>
      </c>
      <c r="E746" s="15"/>
      <c r="F746" s="13"/>
      <c r="G746" s="28"/>
      <c r="H746" s="34">
        <f>'2020'!BH746</f>
        <v>0</v>
      </c>
      <c r="I746" s="13"/>
      <c r="J746" s="15"/>
      <c r="K746" s="34"/>
      <c r="L746" s="35"/>
      <c r="M746" s="13"/>
      <c r="N746" s="15"/>
      <c r="O746" s="34"/>
      <c r="P746" s="34"/>
      <c r="Q746" s="13"/>
      <c r="R746" s="15"/>
      <c r="S746" s="34"/>
      <c r="T746" s="35"/>
      <c r="U746" s="13"/>
      <c r="V746" s="15"/>
      <c r="W746" s="34"/>
      <c r="X746" s="34"/>
      <c r="Y746" s="186"/>
      <c r="Z746" s="2"/>
      <c r="AA746" s="34"/>
      <c r="AB746" s="35"/>
      <c r="AC746" s="15"/>
      <c r="AD746" s="15"/>
      <c r="AE746" s="34"/>
      <c r="AF746" s="34"/>
      <c r="AG746" s="15"/>
      <c r="AH746" s="2"/>
      <c r="AI746" s="45"/>
      <c r="AJ746" s="34"/>
      <c r="AK746" s="13"/>
      <c r="AL746" s="15"/>
      <c r="AM746" s="45"/>
      <c r="AN746" s="34"/>
      <c r="AO746" s="13"/>
      <c r="AP746" s="15"/>
      <c r="AQ746" s="45"/>
      <c r="AR746" s="34"/>
      <c r="AS746" s="13"/>
      <c r="AT746" s="15"/>
      <c r="AU746" s="45"/>
      <c r="AV746" s="34"/>
      <c r="AW746" s="13"/>
      <c r="AX746" s="15"/>
      <c r="AY746" s="45"/>
      <c r="AZ746" s="28"/>
      <c r="BA746" s="13"/>
      <c r="BB746" s="15"/>
      <c r="BC746" s="45"/>
      <c r="BD746" s="28"/>
      <c r="BE746" s="42"/>
      <c r="BF746" s="41">
        <f t="shared" ref="BF746:BG746" si="2707">K746+O746+S746+W746+AA746+AE746+AI746+AM746+AQ746+AU746+AY746+BC746</f>
        <v>0</v>
      </c>
      <c r="BG746" s="34">
        <f t="shared" si="2707"/>
        <v>0</v>
      </c>
      <c r="BH746" s="35">
        <f t="shared" ref="BH746:BH753" si="2708">H746+BF746-BG746</f>
        <v>0</v>
      </c>
      <c r="BI746" s="15"/>
      <c r="BJ746" s="15"/>
      <c r="BK746" s="15" t="b">
        <f>H746='2020'!BH746</f>
        <v>1</v>
      </c>
    </row>
    <row r="747" ht="14.25" customHeight="1" hidden="1" spans="1:63" x14ac:dyDescent="0.25">
      <c r="A747" s="2">
        <v>87</v>
      </c>
      <c r="B747" s="14">
        <v>4.23</v>
      </c>
      <c r="C747" s="15" t="s">
        <v>284</v>
      </c>
      <c r="D747" s="14" t="s">
        <v>44</v>
      </c>
      <c r="E747" s="15" t="s">
        <v>45</v>
      </c>
      <c r="F747" s="41">
        <v>2.5</v>
      </c>
      <c r="G747" s="35">
        <v>2.6</v>
      </c>
      <c r="H747" s="34">
        <f>'2020'!BH747</f>
        <v>-21.37</v>
      </c>
      <c r="I747" s="13">
        <v>549</v>
      </c>
      <c r="J747" s="15">
        <f>I747-'2020'!BA747</f>
        <v>0</v>
      </c>
      <c r="K747" s="34">
        <f>J747*$F$8</f>
        <v>0</v>
      </c>
      <c r="L747" s="35"/>
      <c r="M747" s="13">
        <v>549</v>
      </c>
      <c r="N747" s="15">
        <f t="shared" ref="N747:N748" si="2709">M747-I747</f>
        <v>0</v>
      </c>
      <c r="O747" s="34">
        <f>N747*$F$8</f>
        <v>0</v>
      </c>
      <c r="P747" s="34"/>
      <c r="Q747" s="13">
        <v>549</v>
      </c>
      <c r="R747" s="15">
        <f t="shared" ref="R747:R748" si="2710">Q747-M747</f>
        <v>0</v>
      </c>
      <c r="S747" s="34">
        <f>R747*$F$8</f>
        <v>0</v>
      </c>
      <c r="T747" s="35"/>
      <c r="U747" s="13">
        <v>549</v>
      </c>
      <c r="V747" s="15">
        <f t="shared" ref="V747:V748" si="2711">U747-Q747</f>
        <v>0</v>
      </c>
      <c r="W747" s="34">
        <f>V747*$F$8</f>
        <v>0</v>
      </c>
      <c r="X747" s="34"/>
      <c r="Y747" s="186">
        <v>557</v>
      </c>
      <c r="Z747" s="2">
        <f t="shared" ref="Z747:Z748" si="2712">Y747-U747</f>
        <v>8</v>
      </c>
      <c r="AA747" s="34">
        <f>Z747*$F$8</f>
        <v>20.8</v>
      </c>
      <c r="AB747" s="35"/>
      <c r="AC747" s="15">
        <v>588</v>
      </c>
      <c r="AD747" s="15">
        <f t="shared" ref="AD747:AD748" si="2713">AC747-Y747</f>
        <v>31</v>
      </c>
      <c r="AE747" s="180">
        <f>AD747*$F$8</f>
        <v>80.6</v>
      </c>
      <c r="AF747" s="182">
        <v>80.03</v>
      </c>
      <c r="AG747" s="15">
        <v>627</v>
      </c>
      <c r="AH747" s="2">
        <f t="shared" ref="AH747:AH748" si="2714">AG747-AC747</f>
        <v>39</v>
      </c>
      <c r="AI747" s="45">
        <f>AH747*$G$8</f>
        <v>105.3</v>
      </c>
      <c r="AJ747" s="15"/>
      <c r="AK747" s="13">
        <v>688</v>
      </c>
      <c r="AL747" s="15">
        <f t="shared" ref="AL747:AL748" si="2715">AK747-AG747</f>
        <v>61</v>
      </c>
      <c r="AM747" s="45">
        <f>AL747*$G$8</f>
        <v>164.7</v>
      </c>
      <c r="AN747" s="15"/>
      <c r="AO747" s="13">
        <v>718</v>
      </c>
      <c r="AP747" s="15">
        <f t="shared" ref="AP747:AP748" si="2716">AO747-AK747</f>
        <v>30</v>
      </c>
      <c r="AQ747" s="45">
        <f>AP747*$G$8</f>
        <v>81</v>
      </c>
      <c r="AR747" s="15"/>
      <c r="AS747" s="13">
        <v>719</v>
      </c>
      <c r="AT747" s="15">
        <f t="shared" ref="AT747:AT748" si="2717">AS747-AO747</f>
        <v>1</v>
      </c>
      <c r="AU747" s="45">
        <f>AT747*$G$8</f>
        <v>2.7</v>
      </c>
      <c r="AV747" s="15"/>
      <c r="AW747" s="13">
        <v>719</v>
      </c>
      <c r="AX747" s="15">
        <f t="shared" ref="AX747:AX748" si="2718">AW747-AS747</f>
        <v>0</v>
      </c>
      <c r="AY747" s="45">
        <f>AX747*$G$8</f>
        <v>0</v>
      </c>
      <c r="AZ747" s="208"/>
      <c r="BA747" s="13">
        <v>719</v>
      </c>
      <c r="BB747" s="15">
        <f t="shared" ref="BB747:BB748" si="2719">BA747-AW747</f>
        <v>0</v>
      </c>
      <c r="BC747" s="45">
        <f>BB747*$G$8</f>
        <v>0</v>
      </c>
      <c r="BD747" s="208"/>
      <c r="BE747" s="40">
        <f t="shared" ref="BE747:BG747" si="2720">J747+N747+R747+V747+Z747+AD747+AH747+AL747+AP747+AT747+AX747+BB747</f>
        <v>170</v>
      </c>
      <c r="BF747" s="41">
        <f t="shared" si="2720"/>
        <v>455.1</v>
      </c>
      <c r="BG747" s="34">
        <f t="shared" si="2720"/>
        <v>80.03</v>
      </c>
      <c r="BH747" s="35">
        <f t="shared" si="2708"/>
        <v>353.7</v>
      </c>
      <c r="BI747" s="15"/>
      <c r="BJ747" s="15"/>
      <c r="BK747" s="15" t="b">
        <f>H747='2020'!BH747</f>
        <v>1</v>
      </c>
    </row>
    <row r="748" ht="14.25" customHeight="1" hidden="1" spans="1:63" x14ac:dyDescent="0.25">
      <c r="A748" s="2">
        <v>87</v>
      </c>
      <c r="B748" s="14"/>
      <c r="C748" s="15" t="s">
        <v>153</v>
      </c>
      <c r="D748" s="14" t="s">
        <v>47</v>
      </c>
      <c r="E748" s="15" t="s">
        <v>48</v>
      </c>
      <c r="F748" s="13">
        <v>18.56</v>
      </c>
      <c r="G748" s="35">
        <v>19.46</v>
      </c>
      <c r="H748" s="34">
        <f>'2020'!BH748</f>
        <v>0</v>
      </c>
      <c r="I748" s="13">
        <v>230</v>
      </c>
      <c r="J748" s="15"/>
      <c r="K748" s="34"/>
      <c r="L748" s="35"/>
      <c r="M748" s="13">
        <v>230</v>
      </c>
      <c r="N748" s="15">
        <f t="shared" si="2709"/>
        <v>0</v>
      </c>
      <c r="O748" s="34"/>
      <c r="P748" s="34"/>
      <c r="Q748" s="13">
        <v>230</v>
      </c>
      <c r="R748" s="15">
        <f t="shared" si="2710"/>
        <v>0</v>
      </c>
      <c r="S748" s="34"/>
      <c r="T748" s="35"/>
      <c r="U748" s="13">
        <v>230</v>
      </c>
      <c r="V748" s="15">
        <f t="shared" si="2711"/>
        <v>0</v>
      </c>
      <c r="W748" s="34">
        <f>V748*$F$10</f>
        <v>0</v>
      </c>
      <c r="X748" s="34"/>
      <c r="Y748" s="186">
        <v>230</v>
      </c>
      <c r="Z748" s="2">
        <f t="shared" si="2712"/>
        <v>0</v>
      </c>
      <c r="AA748" s="34">
        <f>Z748*$F$10</f>
        <v>0</v>
      </c>
      <c r="AB748" s="35"/>
      <c r="AC748" s="15">
        <v>243</v>
      </c>
      <c r="AD748" s="15">
        <f t="shared" si="2713"/>
        <v>13</v>
      </c>
      <c r="AE748" s="34">
        <f>AD748*$F$10</f>
        <v>252.98</v>
      </c>
      <c r="AF748" s="182">
        <v>252.98</v>
      </c>
      <c r="AG748" s="15">
        <v>243</v>
      </c>
      <c r="AH748" s="2">
        <f t="shared" si="2714"/>
        <v>0</v>
      </c>
      <c r="AI748" s="45">
        <f>AH748*$G$10</f>
        <v>0</v>
      </c>
      <c r="AJ748" s="15"/>
      <c r="AK748" s="13">
        <v>243</v>
      </c>
      <c r="AL748" s="15">
        <f t="shared" si="2715"/>
        <v>0</v>
      </c>
      <c r="AM748" s="45">
        <f>AL748*$G$10</f>
        <v>0</v>
      </c>
      <c r="AN748" s="15"/>
      <c r="AO748" s="13">
        <v>273</v>
      </c>
      <c r="AP748" s="15">
        <f t="shared" si="2716"/>
        <v>30</v>
      </c>
      <c r="AQ748" s="45">
        <f>AP748*$G$10</f>
        <v>610.5</v>
      </c>
      <c r="AR748" s="15"/>
      <c r="AS748" s="13">
        <v>273</v>
      </c>
      <c r="AT748" s="15">
        <f t="shared" si="2717"/>
        <v>0</v>
      </c>
      <c r="AU748" s="45">
        <f>AT748*$G$10</f>
        <v>0</v>
      </c>
      <c r="AV748" s="15"/>
      <c r="AW748" s="13">
        <v>273</v>
      </c>
      <c r="AX748" s="15">
        <f t="shared" si="2718"/>
        <v>0</v>
      </c>
      <c r="AY748" s="45"/>
      <c r="AZ748" s="208"/>
      <c r="BA748" s="13">
        <v>273</v>
      </c>
      <c r="BB748" s="15">
        <f t="shared" si="2719"/>
        <v>0</v>
      </c>
      <c r="BC748" s="45"/>
      <c r="BD748" s="208"/>
      <c r="BE748" s="40">
        <f t="shared" ref="BE748:BG748" si="2721">J748+N748+R748+V748+Z748+AD748+AH748+AL748+AP748+AT748+AX748+BB748</f>
        <v>43</v>
      </c>
      <c r="BF748" s="41">
        <f t="shared" si="2721"/>
        <v>863.48</v>
      </c>
      <c r="BG748" s="34">
        <f t="shared" si="2721"/>
        <v>252.98</v>
      </c>
      <c r="BH748" s="35">
        <f t="shared" si="2708"/>
        <v>610.5</v>
      </c>
      <c r="BI748" s="15"/>
      <c r="BJ748" s="15"/>
      <c r="BK748" s="15" t="b">
        <f>H748='2020'!BH748</f>
        <v>1</v>
      </c>
    </row>
    <row r="749" ht="14.25" customHeight="1" hidden="1" spans="1:63" x14ac:dyDescent="0.25">
      <c r="A749" s="2">
        <v>87</v>
      </c>
      <c r="B749" s="14"/>
      <c r="C749" s="15" t="s">
        <v>102</v>
      </c>
      <c r="D749" s="14" t="s">
        <v>47</v>
      </c>
      <c r="E749" s="15" t="s">
        <v>49</v>
      </c>
      <c r="F749" s="41">
        <v>500</v>
      </c>
      <c r="G749" s="28"/>
      <c r="H749" s="34">
        <f>'2020'!BH749</f>
        <v>0</v>
      </c>
      <c r="I749" s="13"/>
      <c r="J749" s="15"/>
      <c r="K749" s="34"/>
      <c r="L749" s="35"/>
      <c r="M749" s="13"/>
      <c r="N749" s="15"/>
      <c r="O749" s="34"/>
      <c r="P749" s="34"/>
      <c r="Q749" s="13"/>
      <c r="R749" s="15"/>
      <c r="S749" s="34"/>
      <c r="T749" s="35"/>
      <c r="U749" s="13"/>
      <c r="V749" s="15"/>
      <c r="W749" s="34"/>
      <c r="X749" s="34"/>
      <c r="Y749" s="186"/>
      <c r="Z749" s="2"/>
      <c r="AA749" s="34"/>
      <c r="AB749" s="35"/>
      <c r="AC749" s="15"/>
      <c r="AD749" s="15"/>
      <c r="AE749" s="34"/>
      <c r="AF749" s="182"/>
      <c r="AG749" s="15"/>
      <c r="AH749" s="2"/>
      <c r="AI749" s="45"/>
      <c r="AJ749" s="15"/>
      <c r="AK749" s="13"/>
      <c r="AL749" s="15"/>
      <c r="AM749" s="45"/>
      <c r="AN749" s="15"/>
      <c r="AO749" s="13"/>
      <c r="AP749" s="15"/>
      <c r="AQ749" s="45"/>
      <c r="AR749" s="15"/>
      <c r="AS749" s="13"/>
      <c r="AT749" s="15"/>
      <c r="AU749" s="45"/>
      <c r="AV749" s="15"/>
      <c r="AW749" s="13"/>
      <c r="AX749" s="15"/>
      <c r="AY749" s="45"/>
      <c r="AZ749" s="28"/>
      <c r="BA749" s="13"/>
      <c r="BB749" s="15"/>
      <c r="BC749" s="45"/>
      <c r="BD749" s="28"/>
      <c r="BE749" s="14"/>
      <c r="BF749" s="41">
        <f t="shared" ref="BF749:BG749" si="2722">K749+O749+S749+W749+AA749+AE749+AI749+AM749+AQ749+AU749+AY749+BC749</f>
        <v>0</v>
      </c>
      <c r="BG749" s="34">
        <f t="shared" si="2722"/>
        <v>0</v>
      </c>
      <c r="BH749" s="35">
        <f t="shared" si="2708"/>
        <v>0</v>
      </c>
      <c r="BI749" s="15"/>
      <c r="BJ749" s="15"/>
      <c r="BK749" s="15" t="b">
        <f>H749='2020'!BH749</f>
        <v>1</v>
      </c>
    </row>
    <row r="750" ht="14.25" customHeight="1" hidden="1" spans="1:63" x14ac:dyDescent="0.25">
      <c r="A750" s="2">
        <v>87</v>
      </c>
      <c r="B750" s="14"/>
      <c r="C750" s="15" t="s">
        <v>285</v>
      </c>
      <c r="D750" s="14" t="s">
        <v>50</v>
      </c>
      <c r="E750" s="15" t="s">
        <v>49</v>
      </c>
      <c r="F750" s="41">
        <v>1100</v>
      </c>
      <c r="G750" s="28"/>
      <c r="H750" s="34">
        <f>'2020'!BH750</f>
        <v>0</v>
      </c>
      <c r="I750" s="13"/>
      <c r="J750" s="15"/>
      <c r="K750" s="34"/>
      <c r="L750" s="35"/>
      <c r="M750" s="13"/>
      <c r="N750" s="15"/>
      <c r="O750" s="34"/>
      <c r="P750" s="34"/>
      <c r="Q750" s="13"/>
      <c r="R750" s="15"/>
      <c r="S750" s="34"/>
      <c r="T750" s="35"/>
      <c r="U750" s="13"/>
      <c r="V750" s="15"/>
      <c r="W750" s="34"/>
      <c r="X750" s="34"/>
      <c r="Y750" s="186"/>
      <c r="Z750" s="2"/>
      <c r="AA750" s="34"/>
      <c r="AB750" s="35"/>
      <c r="AC750" s="15"/>
      <c r="AD750" s="15"/>
      <c r="AE750" s="34">
        <f>B747*$F$12</f>
        <v>4653</v>
      </c>
      <c r="AF750" s="182">
        <v>4653</v>
      </c>
      <c r="AG750" s="15"/>
      <c r="AH750" s="2"/>
      <c r="AI750" s="45"/>
      <c r="AJ750" s="34"/>
      <c r="AK750" s="13"/>
      <c r="AL750" s="15"/>
      <c r="AM750" s="45"/>
      <c r="AN750" s="15"/>
      <c r="AO750" s="13"/>
      <c r="AP750" s="15"/>
      <c r="AQ750" s="45"/>
      <c r="AR750" s="15"/>
      <c r="AS750" s="13"/>
      <c r="AT750" s="15"/>
      <c r="AU750" s="45"/>
      <c r="AV750" s="15"/>
      <c r="AW750" s="13"/>
      <c r="AX750" s="15"/>
      <c r="AY750" s="45"/>
      <c r="AZ750" s="28"/>
      <c r="BA750" s="13"/>
      <c r="BB750" s="15"/>
      <c r="BC750" s="45"/>
      <c r="BD750" s="28"/>
      <c r="BE750" s="14"/>
      <c r="BF750" s="41">
        <f t="shared" ref="BF750:BG750" si="2723">K750+O750+S750+W750+AA750+AE750+AI750+AM750+AQ750+AU750+AY750+BC750</f>
        <v>4653</v>
      </c>
      <c r="BG750" s="34">
        <f t="shared" si="2723"/>
        <v>4653</v>
      </c>
      <c r="BH750" s="35">
        <f t="shared" si="2708"/>
        <v>0</v>
      </c>
      <c r="BI750" s="15"/>
      <c r="BJ750" s="15"/>
      <c r="BK750" s="15" t="b">
        <f>H750='2020'!BH750</f>
        <v>1</v>
      </c>
    </row>
    <row r="751" ht="14.25" customHeight="1" hidden="1" spans="1:63" x14ac:dyDescent="0.25">
      <c r="A751" s="2">
        <v>87</v>
      </c>
      <c r="B751" s="14"/>
      <c r="C751" s="15"/>
      <c r="D751" s="14" t="s">
        <v>51</v>
      </c>
      <c r="E751" s="15" t="s">
        <v>39</v>
      </c>
      <c r="F751" s="41">
        <v>500</v>
      </c>
      <c r="G751" s="28"/>
      <c r="H751" s="34">
        <f>'2020'!BH751</f>
        <v>500</v>
      </c>
      <c r="I751" s="13"/>
      <c r="J751" s="15"/>
      <c r="K751" s="34"/>
      <c r="L751" s="35"/>
      <c r="M751" s="13"/>
      <c r="N751" s="15"/>
      <c r="O751" s="34"/>
      <c r="P751" s="34"/>
      <c r="Q751" s="13"/>
      <c r="R751" s="15"/>
      <c r="S751" s="34"/>
      <c r="T751" s="35"/>
      <c r="U751" s="13"/>
      <c r="V751" s="15"/>
      <c r="W751" s="34"/>
      <c r="X751" s="34"/>
      <c r="Y751" s="186"/>
      <c r="Z751" s="2"/>
      <c r="AA751" s="34"/>
      <c r="AB751" s="35"/>
      <c r="AC751" s="15"/>
      <c r="AD751" s="15"/>
      <c r="AE751" s="180">
        <f>$F$13</f>
      </c>
      <c r="AF751" s="182">
        <v>500</v>
      </c>
      <c r="AG751" s="15"/>
      <c r="AH751" s="2"/>
      <c r="AI751" s="45"/>
      <c r="AJ751" s="15"/>
      <c r="AK751" s="13"/>
      <c r="AL751" s="15"/>
      <c r="AM751" s="45"/>
      <c r="AN751" s="15"/>
      <c r="AO751" s="13"/>
      <c r="AP751" s="15"/>
      <c r="AQ751" s="180"/>
      <c r="AR751" s="15"/>
      <c r="AS751" s="13"/>
      <c r="AT751" s="15"/>
      <c r="AU751" s="45"/>
      <c r="AV751" s="15"/>
      <c r="AW751" s="13"/>
      <c r="AX751" s="15"/>
      <c r="AY751" s="45"/>
      <c r="AZ751" s="28"/>
      <c r="BA751" s="13"/>
      <c r="BB751" s="15"/>
      <c r="BC751" s="45"/>
      <c r="BD751" s="28"/>
      <c r="BE751" s="14"/>
      <c r="BF751" s="41">
        <f t="shared" ref="BF751:BG751" si="2724">K751+O751+S751+W751+AA751+AE751+AI751+AM751+AQ751+AU751+AY751+BC751</f>
        <v>0</v>
      </c>
      <c r="BG751" s="34">
        <f t="shared" si="2724"/>
        <v>500</v>
      </c>
      <c r="BH751" s="35">
        <f t="shared" si="2708"/>
        <v>0</v>
      </c>
      <c r="BI751" s="15"/>
      <c r="BJ751" s="15"/>
      <c r="BK751" s="15" t="b">
        <f>H751='2020'!BH751</f>
        <v>1</v>
      </c>
    </row>
    <row r="752" ht="14.25" customHeight="1" hidden="1" spans="1:63" x14ac:dyDescent="0.25">
      <c r="A752" s="2">
        <v>87</v>
      </c>
      <c r="B752" s="14"/>
      <c r="C752" s="15"/>
      <c r="D752" s="14" t="s">
        <v>51</v>
      </c>
      <c r="E752" s="15" t="s">
        <v>49</v>
      </c>
      <c r="F752" s="41">
        <v>500</v>
      </c>
      <c r="G752" s="28"/>
      <c r="H752" s="34">
        <f>'2020'!BH752</f>
        <v>2115</v>
      </c>
      <c r="I752" s="13"/>
      <c r="J752" s="15"/>
      <c r="K752" s="34"/>
      <c r="L752" s="35"/>
      <c r="M752" s="13"/>
      <c r="N752" s="15"/>
      <c r="O752" s="34"/>
      <c r="P752" s="34"/>
      <c r="Q752" s="13"/>
      <c r="R752" s="15"/>
      <c r="S752" s="34"/>
      <c r="T752" s="35"/>
      <c r="U752" s="13"/>
      <c r="V752" s="15"/>
      <c r="W752" s="34"/>
      <c r="X752" s="34"/>
      <c r="Y752" s="186"/>
      <c r="Z752" s="2"/>
      <c r="AA752" s="34"/>
      <c r="AB752" s="35"/>
      <c r="AC752" s="15"/>
      <c r="AD752" s="15"/>
      <c r="AE752" s="34"/>
      <c r="AF752" s="182">
        <v>2115</v>
      </c>
      <c r="AG752" s="15"/>
      <c r="AH752" s="2"/>
      <c r="AI752" s="45"/>
      <c r="AJ752" s="15"/>
      <c r="AK752" s="13"/>
      <c r="AL752" s="15"/>
      <c r="AM752" s="45"/>
      <c r="AN752" s="15"/>
      <c r="AO752" s="13"/>
      <c r="AP752" s="15"/>
      <c r="AQ752" s="180">
        <f>B747*$F$14</f>
        <v>0</v>
      </c>
      <c r="AR752" s="15"/>
      <c r="AS752" s="13"/>
      <c r="AT752" s="15"/>
      <c r="AU752" s="45"/>
      <c r="AV752" s="15"/>
      <c r="AW752" s="13"/>
      <c r="AX752" s="15"/>
      <c r="AY752" s="45"/>
      <c r="AZ752" s="28"/>
      <c r="BA752" s="13"/>
      <c r="BB752" s="15"/>
      <c r="BC752" s="45"/>
      <c r="BD752" s="28"/>
      <c r="BE752" s="14"/>
      <c r="BF752" s="41">
        <f t="shared" ref="BF752:BG752" si="2725">K752+O752+S752+W752+AA752+AE752+AI752+AM752+AQ752+AU752+AY752+BC752</f>
        <v>0</v>
      </c>
      <c r="BG752" s="34">
        <f t="shared" si="2725"/>
        <v>2115</v>
      </c>
      <c r="BH752" s="35">
        <f t="shared" si="2708"/>
        <v>0</v>
      </c>
      <c r="BI752" s="15"/>
      <c r="BJ752" s="15"/>
      <c r="BK752" s="15" t="b">
        <f>H752='2020'!BH752</f>
        <v>1</v>
      </c>
    </row>
    <row r="753" ht="14.25" customHeight="1" hidden="1" spans="1:63" x14ac:dyDescent="0.25">
      <c r="A753" s="2">
        <v>87</v>
      </c>
      <c r="B753" s="14"/>
      <c r="C753" s="15"/>
      <c r="D753" s="14" t="s">
        <v>52</v>
      </c>
      <c r="E753" s="15" t="s">
        <v>39</v>
      </c>
      <c r="F753" s="41">
        <v>500</v>
      </c>
      <c r="G753" s="28"/>
      <c r="H753" s="34">
        <f>'2020'!BH753</f>
        <v>0</v>
      </c>
      <c r="I753" s="13"/>
      <c r="J753" s="15"/>
      <c r="K753" s="34"/>
      <c r="L753" s="35"/>
      <c r="M753" s="13"/>
      <c r="N753" s="15"/>
      <c r="O753" s="34"/>
      <c r="P753" s="34"/>
      <c r="Q753" s="13"/>
      <c r="R753" s="15"/>
      <c r="S753" s="34"/>
      <c r="T753" s="35"/>
      <c r="U753" s="13"/>
      <c r="V753" s="15"/>
      <c r="W753" s="34"/>
      <c r="X753" s="34"/>
      <c r="Y753" s="186"/>
      <c r="Z753" s="2"/>
      <c r="AA753" s="34">
        <f>$F$15</f>
      </c>
      <c r="AB753" s="35"/>
      <c r="AC753" s="15"/>
      <c r="AD753" s="15"/>
      <c r="AE753" s="34"/>
      <c r="AF753" s="180"/>
      <c r="AG753" s="15"/>
      <c r="AH753" s="2"/>
      <c r="AI753" s="45"/>
      <c r="AJ753" s="15"/>
      <c r="AK753" s="13"/>
      <c r="AL753" s="15"/>
      <c r="AM753" s="45"/>
      <c r="AN753" s="15"/>
      <c r="AO753" s="13"/>
      <c r="AP753" s="15"/>
      <c r="AQ753" s="45"/>
      <c r="AR753" s="15"/>
      <c r="AS753" s="13"/>
      <c r="AT753" s="15"/>
      <c r="AU753" s="45"/>
      <c r="AV753" s="15"/>
      <c r="AW753" s="13"/>
      <c r="AX753" s="15"/>
      <c r="AY753" s="45"/>
      <c r="AZ753" s="35"/>
      <c r="BA753" s="13"/>
      <c r="BB753" s="15"/>
      <c r="BC753" s="45"/>
      <c r="BD753" s="35"/>
      <c r="BE753" s="14"/>
      <c r="BF753" s="41">
        <f t="shared" ref="BF753:BG753" si="2726">K753+O753+S753+W753+AA753+AE753+AI753+AM753+AQ753+AU753+AY753+BC753</f>
        <v>0</v>
      </c>
      <c r="BG753" s="34">
        <f t="shared" si="2726"/>
        <v>0</v>
      </c>
      <c r="BH753" s="35">
        <f t="shared" si="2708"/>
        <v>0</v>
      </c>
      <c r="BI753" s="15"/>
      <c r="BJ753" s="15"/>
      <c r="BK753" s="15" t="b">
        <f>H753='2020'!BH753</f>
        <v>1</v>
      </c>
    </row>
    <row r="754" ht="14.25" customHeight="1" hidden="1" spans="1:63" x14ac:dyDescent="0.25">
      <c r="A754" s="247">
        <v>87</v>
      </c>
      <c r="B754" s="21"/>
      <c r="C754" s="22" t="s">
        <v>53</v>
      </c>
      <c r="D754" s="21"/>
      <c r="E754" s="22"/>
      <c r="F754" s="20"/>
      <c r="G754" s="23"/>
      <c r="H754" s="51">
        <f>SUM(H746:H753)</f>
        <v>2593.63</v>
      </c>
      <c r="I754" s="52"/>
      <c r="J754" s="53"/>
      <c r="K754" s="51">
        <f t="shared" ref="K754:L754" si="2727">SUM(K746:K753)</f>
        <v>0</v>
      </c>
      <c r="L754" s="68">
        <f t="shared" si="2727"/>
        <v>0</v>
      </c>
      <c r="M754" s="52"/>
      <c r="N754" s="53"/>
      <c r="O754" s="51">
        <f t="shared" ref="O754:P754" si="2728">SUM(O746:O753)</f>
        <v>0</v>
      </c>
      <c r="P754" s="51">
        <f t="shared" si="2728"/>
        <v>0</v>
      </c>
      <c r="Q754" s="52"/>
      <c r="R754" s="53"/>
      <c r="S754" s="51">
        <f t="shared" ref="S754:T754" si="2729">SUM(S746:S753)</f>
        <v>0</v>
      </c>
      <c r="T754" s="51">
        <f t="shared" si="2729"/>
        <v>0</v>
      </c>
      <c r="U754" s="52"/>
      <c r="V754" s="53"/>
      <c r="W754" s="51">
        <f t="shared" ref="W754:X754" si="2730">SUM(W746:W753)</f>
        <v>0</v>
      </c>
      <c r="X754" s="51">
        <f t="shared" si="2730"/>
        <v>0</v>
      </c>
      <c r="Y754" s="300"/>
      <c r="Z754" s="301"/>
      <c r="AA754" s="51">
        <f t="shared" ref="AA754:AB754" si="2731">SUM(AA746:AA753)</f>
        <v>20.8</v>
      </c>
      <c r="AB754" s="51">
        <f t="shared" si="2731"/>
        <v>0</v>
      </c>
      <c r="AC754" s="52"/>
      <c r="AD754" s="53"/>
      <c r="AE754" s="51">
        <f t="shared" ref="AE754:AF754" si="2732">SUM(AE746:AE753)</f>
        <v>4986.58</v>
      </c>
      <c r="AF754" s="51">
        <f t="shared" si="2732"/>
        <v>7601.01</v>
      </c>
      <c r="AG754" s="52"/>
      <c r="AH754" s="301"/>
      <c r="AI754" s="183">
        <f t="shared" ref="AI754:AJ754" si="2733">SUM(AI746:AI753)</f>
        <v>105.3</v>
      </c>
      <c r="AJ754" s="51">
        <f t="shared" si="2733"/>
        <v>0</v>
      </c>
      <c r="AK754" s="52"/>
      <c r="AL754" s="53"/>
      <c r="AM754" s="183">
        <f t="shared" ref="AM754:AN754" si="2734">SUM(AM746:AM753)</f>
        <v>164.7</v>
      </c>
      <c r="AN754" s="51">
        <f t="shared" si="2734"/>
        <v>0</v>
      </c>
      <c r="AO754" s="52"/>
      <c r="AP754" s="53"/>
      <c r="AQ754" s="183">
        <f t="shared" ref="AQ754:AR754" si="2735">SUM(AQ746:AQ753)</f>
        <v>691.5</v>
      </c>
      <c r="AR754" s="51">
        <f t="shared" si="2735"/>
        <v>0</v>
      </c>
      <c r="AS754" s="52"/>
      <c r="AT754" s="53"/>
      <c r="AU754" s="183">
        <f t="shared" ref="AU754:AV754" si="2736">SUM(AU746:AU753)</f>
        <v>2.7</v>
      </c>
      <c r="AV754" s="68">
        <f t="shared" si="2736"/>
        <v>0</v>
      </c>
      <c r="AW754" s="52"/>
      <c r="AX754" s="53"/>
      <c r="AY754" s="183">
        <f t="shared" ref="AY754:AZ754" si="2737">SUM(AY746:AY753)</f>
        <v>0</v>
      </c>
      <c r="AZ754" s="68">
        <f t="shared" si="2737"/>
        <v>0</v>
      </c>
      <c r="BA754" s="52"/>
      <c r="BB754" s="53"/>
      <c r="BC754" s="183">
        <f t="shared" ref="BC754:BD754" si="2738">SUM(BC746:BC753)</f>
        <v>0</v>
      </c>
      <c r="BD754" s="68">
        <f t="shared" si="2738"/>
        <v>0</v>
      </c>
      <c r="BE754" s="69"/>
      <c r="BF754" s="70">
        <f t="shared" ref="BF754:BH754" si="2739">SUM(BF746:BF753)</f>
        <v>5971.58</v>
      </c>
      <c r="BG754" s="71">
        <f t="shared" si="2739"/>
        <v>7601.01</v>
      </c>
      <c r="BH754" s="72">
        <f t="shared" si="2739"/>
        <v>964.2</v>
      </c>
      <c r="BI754" s="34">
        <f>H754+BF754-BG754</f>
        <v>964.2</v>
      </c>
      <c r="BJ754" s="34">
        <f>BH754-BI754</f>
        <v>0</v>
      </c>
      <c r="BK754" s="2" t="b">
        <f>H754='2020'!BH754</f>
        <v>1</v>
      </c>
    </row>
    <row r="755" ht="14.25" customHeight="1" hidden="1" spans="1:63" x14ac:dyDescent="0.25">
      <c r="A755" s="2">
        <v>89</v>
      </c>
      <c r="B755" s="14"/>
      <c r="C755" s="15"/>
      <c r="D755" s="14" t="s">
        <v>379</v>
      </c>
      <c r="E755" s="15"/>
      <c r="F755" s="13"/>
      <c r="G755" s="28"/>
      <c r="H755" s="34">
        <f>'2020'!BH755</f>
        <v>0</v>
      </c>
      <c r="I755" s="13"/>
      <c r="J755" s="15"/>
      <c r="K755" s="34"/>
      <c r="L755" s="35"/>
      <c r="M755" s="13"/>
      <c r="N755" s="15"/>
      <c r="O755" s="34"/>
      <c r="P755" s="34"/>
      <c r="Q755" s="13"/>
      <c r="R755" s="15"/>
      <c r="S755" s="34"/>
      <c r="T755" s="35"/>
      <c r="U755" s="13"/>
      <c r="V755" s="15"/>
      <c r="W755" s="34"/>
      <c r="X755" s="34"/>
      <c r="Y755" s="186"/>
      <c r="Z755" s="2"/>
      <c r="AA755" s="34"/>
      <c r="AB755" s="35"/>
      <c r="AC755" s="15"/>
      <c r="AD755" s="15"/>
      <c r="AE755" s="34"/>
      <c r="AF755" s="34"/>
      <c r="AG755" s="15"/>
      <c r="AH755" s="2"/>
      <c r="AI755" s="45"/>
      <c r="AJ755" s="34"/>
      <c r="AK755" s="13"/>
      <c r="AL755" s="15"/>
      <c r="AM755" s="45"/>
      <c r="AN755" s="34"/>
      <c r="AO755" s="13"/>
      <c r="AP755" s="15"/>
      <c r="AQ755" s="45"/>
      <c r="AR755" s="34"/>
      <c r="AS755" s="13"/>
      <c r="AT755" s="15"/>
      <c r="AU755" s="45"/>
      <c r="AV755" s="34"/>
      <c r="AW755" s="13"/>
      <c r="AX755" s="15"/>
      <c r="AY755" s="45"/>
      <c r="AZ755" s="28"/>
      <c r="BA755" s="13"/>
      <c r="BB755" s="15"/>
      <c r="BC755" s="45"/>
      <c r="BD755" s="28"/>
      <c r="BE755" s="42"/>
      <c r="BF755" s="41">
        <f t="shared" ref="BF755:BG755" si="2740">K755+O755+S755+W755+AA755+AE755+AI755+AM755+AQ755+AU755+AY755+BC755</f>
        <v>0</v>
      </c>
      <c r="BG755" s="34">
        <f t="shared" si="2740"/>
        <v>0</v>
      </c>
      <c r="BH755" s="35">
        <f t="shared" ref="BH755:BH762" si="2741">H755+BF755-BG755</f>
        <v>0</v>
      </c>
      <c r="BI755" s="15"/>
      <c r="BJ755" s="15"/>
      <c r="BK755" s="15" t="b">
        <f>H755='2020'!BH755</f>
        <v>1</v>
      </c>
    </row>
    <row r="756" ht="14.25" customHeight="1" hidden="1" spans="1:63" x14ac:dyDescent="0.25">
      <c r="A756" s="2">
        <v>89</v>
      </c>
      <c r="B756" s="14">
        <v>4.25</v>
      </c>
      <c r="C756" s="15" t="s">
        <v>286</v>
      </c>
      <c r="D756" s="14" t="s">
        <v>44</v>
      </c>
      <c r="E756" s="15" t="s">
        <v>45</v>
      </c>
      <c r="F756" s="41">
        <v>2.5</v>
      </c>
      <c r="G756" s="35">
        <v>2.6</v>
      </c>
      <c r="H756" s="104">
        <f>'2020'!BH756</f>
        <v>0</v>
      </c>
      <c r="I756" s="13">
        <v>0</v>
      </c>
      <c r="J756" s="15">
        <f>I756-'2020'!BA756</f>
        <v>0</v>
      </c>
      <c r="K756" s="34">
        <f>J756*$F$8</f>
        <v>0</v>
      </c>
      <c r="L756" s="35"/>
      <c r="M756" s="13">
        <v>0</v>
      </c>
      <c r="N756" s="15">
        <f t="shared" ref="N756:N757" si="2742">M756-I756</f>
        <v>0</v>
      </c>
      <c r="O756" s="34">
        <f>N756*$F$8</f>
        <v>0</v>
      </c>
      <c r="P756" s="34"/>
      <c r="Q756" s="13">
        <v>0</v>
      </c>
      <c r="R756" s="15">
        <f t="shared" ref="R756:R757" si="2743">Q756-M756</f>
        <v>0</v>
      </c>
      <c r="S756" s="34">
        <f>R756*$F$8</f>
        <v>0</v>
      </c>
      <c r="T756" s="35"/>
      <c r="U756" s="13">
        <v>0</v>
      </c>
      <c r="V756" s="15">
        <f t="shared" ref="V756:V757" si="2744">U756-Q756</f>
        <v>0</v>
      </c>
      <c r="W756" s="34">
        <f>V756*$F$8</f>
        <v>0</v>
      </c>
      <c r="X756" s="34"/>
      <c r="Y756" s="186"/>
      <c r="Z756" s="2">
        <f t="shared" ref="Z756:Z757" si="2745">Y756-U756</f>
        <v>0</v>
      </c>
      <c r="AA756" s="34">
        <f>Z756*$F$8</f>
        <v>0</v>
      </c>
      <c r="AB756" s="35"/>
      <c r="AC756" s="15"/>
      <c r="AD756" s="15">
        <f t="shared" ref="AD756:AD757" si="2746">AC756-Y756</f>
        <v>0</v>
      </c>
      <c r="AE756" s="180">
        <f>AD756*$F$8</f>
        <v>0</v>
      </c>
      <c r="AF756" s="187"/>
      <c r="AG756" s="15"/>
      <c r="AH756" s="2">
        <f t="shared" ref="AH756:AH757" si="2747">AG756-AC756</f>
        <v>0</v>
      </c>
      <c r="AI756" s="45">
        <f>AH756*$G$8</f>
        <v>0</v>
      </c>
      <c r="AJ756" s="15"/>
      <c r="AK756" s="13"/>
      <c r="AL756" s="15">
        <f t="shared" ref="AL756:AL757" si="2748">AK756-AG756</f>
        <v>0</v>
      </c>
      <c r="AM756" s="45">
        <f>AL756*$G$8</f>
        <v>0</v>
      </c>
      <c r="AN756" s="15"/>
      <c r="AO756" s="13"/>
      <c r="AP756" s="15">
        <f t="shared" ref="AP756:AP757" si="2749">AO756-AK756</f>
        <v>0</v>
      </c>
      <c r="AQ756" s="45">
        <f>AP756*$G$8</f>
        <v>0</v>
      </c>
      <c r="AR756" s="15"/>
      <c r="AS756" s="13"/>
      <c r="AT756" s="15">
        <f t="shared" ref="AT756:AT757" si="2750">AS756-AO756</f>
        <v>0</v>
      </c>
      <c r="AU756" s="45">
        <f>AT756*$G$8</f>
        <v>0</v>
      </c>
      <c r="AV756" s="15"/>
      <c r="AW756" s="13"/>
      <c r="AX756" s="15">
        <f t="shared" ref="AX756:AX757" si="2751">AW756-AS756</f>
        <v>0</v>
      </c>
      <c r="AY756" s="45">
        <f>AX756*$G$8</f>
        <v>0</v>
      </c>
      <c r="AZ756" s="208"/>
      <c r="BA756" s="13"/>
      <c r="BB756" s="15">
        <f t="shared" ref="BB756:BB757" si="2752">BA756-AW756</f>
        <v>0</v>
      </c>
      <c r="BC756" s="45">
        <f>BB756*$G$8</f>
        <v>0</v>
      </c>
      <c r="BD756" s="208"/>
      <c r="BE756" s="40">
        <f t="shared" ref="BE756:BG756" si="2753">J756+N756+R756+V756+Z756+AD756+AH756+AL756+AP756+AT756+AX756+BB756</f>
        <v>0</v>
      </c>
      <c r="BF756" s="41">
        <f t="shared" si="2753"/>
        <v>0</v>
      </c>
      <c r="BG756" s="34">
        <f t="shared" si="2753"/>
        <v>0</v>
      </c>
      <c r="BH756" s="35">
        <f t="shared" si="2741"/>
        <v>0</v>
      </c>
      <c r="BI756" s="15"/>
      <c r="BJ756" s="15"/>
      <c r="BK756" s="15" t="b">
        <f>H756='2020'!BH756</f>
        <v>1</v>
      </c>
    </row>
    <row r="757" ht="14.25" customHeight="1" hidden="1" spans="1:63" x14ac:dyDescent="0.25">
      <c r="A757" s="2">
        <v>89</v>
      </c>
      <c r="B757" s="14"/>
      <c r="C757" s="15" t="s">
        <v>163</v>
      </c>
      <c r="D757" s="14" t="s">
        <v>47</v>
      </c>
      <c r="E757" s="15" t="s">
        <v>48</v>
      </c>
      <c r="F757" s="13">
        <v>18.56</v>
      </c>
      <c r="G757" s="35">
        <v>19.46</v>
      </c>
      <c r="H757" s="34">
        <f>'2020'!BH757</f>
        <v>-255.14</v>
      </c>
      <c r="I757" s="13">
        <v>128</v>
      </c>
      <c r="J757" s="15"/>
      <c r="K757" s="34"/>
      <c r="L757" s="35"/>
      <c r="M757" s="13">
        <v>128</v>
      </c>
      <c r="N757" s="15">
        <f t="shared" si="2742"/>
        <v>0</v>
      </c>
      <c r="O757" s="34"/>
      <c r="P757" s="34"/>
      <c r="Q757" s="13">
        <v>128</v>
      </c>
      <c r="R757" s="15">
        <f t="shared" si="2743"/>
        <v>0</v>
      </c>
      <c r="S757" s="34"/>
      <c r="T757" s="35"/>
      <c r="U757" s="13">
        <v>128</v>
      </c>
      <c r="V757" s="15">
        <f t="shared" si="2744"/>
        <v>0</v>
      </c>
      <c r="W757" s="34">
        <f>V757*$F$10</f>
        <v>0</v>
      </c>
      <c r="X757" s="34"/>
      <c r="Y757" s="186">
        <v>145</v>
      </c>
      <c r="Z757" s="2">
        <f t="shared" si="2745"/>
        <v>17</v>
      </c>
      <c r="AA757" s="34">
        <f>Z757*$F$10</f>
        <v>330.82</v>
      </c>
      <c r="AB757" s="35"/>
      <c r="AC757" s="15">
        <v>157</v>
      </c>
      <c r="AD757" s="15">
        <f t="shared" si="2746"/>
        <v>12</v>
      </c>
      <c r="AE757" s="34">
        <f>AD757*$F$10</f>
        <v>233.52</v>
      </c>
      <c r="AF757" s="182">
        <v>309.2</v>
      </c>
      <c r="AG757" s="15">
        <v>159</v>
      </c>
      <c r="AH757" s="2">
        <f t="shared" si="2747"/>
        <v>2</v>
      </c>
      <c r="AI757" s="45">
        <f>AH757*$G$10</f>
        <v>40.7</v>
      </c>
      <c r="AJ757" s="15"/>
      <c r="AK757" s="13">
        <v>162</v>
      </c>
      <c r="AL757" s="15">
        <f t="shared" si="2748"/>
        <v>3</v>
      </c>
      <c r="AM757" s="45">
        <f>AL757*$G$10</f>
        <v>61.05</v>
      </c>
      <c r="AN757" s="305">
        <v>500</v>
      </c>
      <c r="AO757" s="13">
        <v>165</v>
      </c>
      <c r="AP757" s="15">
        <f t="shared" si="2749"/>
        <v>3</v>
      </c>
      <c r="AQ757" s="45">
        <f>AP757*$G$10</f>
        <v>61.05</v>
      </c>
      <c r="AR757" s="34"/>
      <c r="AS757" s="13">
        <v>165</v>
      </c>
      <c r="AT757" s="15">
        <f t="shared" si="2750"/>
        <v>0</v>
      </c>
      <c r="AU757" s="45">
        <f>AT757*$G$10</f>
        <v>0</v>
      </c>
      <c r="AV757" s="15"/>
      <c r="AW757" s="13">
        <v>165</v>
      </c>
      <c r="AX757" s="15">
        <f t="shared" si="2751"/>
        <v>0</v>
      </c>
      <c r="AY757" s="45"/>
      <c r="AZ757" s="208"/>
      <c r="BA757" s="13">
        <v>165</v>
      </c>
      <c r="BB757" s="15">
        <f t="shared" si="2752"/>
        <v>0</v>
      </c>
      <c r="BC757" s="45"/>
      <c r="BD757" s="208"/>
      <c r="BE757" s="40">
        <f t="shared" ref="BE757:BG757" si="2754">J757+N757+R757+V757+Z757+AD757+AH757+AL757+AP757+AT757+AX757+BB757</f>
        <v>37</v>
      </c>
      <c r="BF757" s="41">
        <f t="shared" si="2754"/>
        <v>727.14</v>
      </c>
      <c r="BG757" s="34">
        <f t="shared" si="2754"/>
        <v>809.2</v>
      </c>
      <c r="BH757" s="35">
        <f t="shared" si="2741"/>
        <v>-337.2</v>
      </c>
      <c r="BI757" s="15"/>
      <c r="BJ757" s="15"/>
      <c r="BK757" s="15" t="b">
        <f>H757='2020'!BH757</f>
        <v>1</v>
      </c>
    </row>
    <row r="758" ht="14.25" customHeight="1" hidden="1" spans="1:63" x14ac:dyDescent="0.25">
      <c r="A758" s="2">
        <v>89</v>
      </c>
      <c r="B758" s="14"/>
      <c r="C758" s="15" t="s">
        <v>107</v>
      </c>
      <c r="D758" s="14" t="s">
        <v>47</v>
      </c>
      <c r="E758" s="15" t="s">
        <v>49</v>
      </c>
      <c r="F758" s="41">
        <v>500</v>
      </c>
      <c r="G758" s="28"/>
      <c r="H758" s="34">
        <f>'2020'!BH758</f>
        <v>0</v>
      </c>
      <c r="I758" s="13"/>
      <c r="J758" s="15"/>
      <c r="K758" s="34"/>
      <c r="L758" s="35"/>
      <c r="M758" s="13"/>
      <c r="N758" s="15"/>
      <c r="O758" s="34"/>
      <c r="P758" s="34"/>
      <c r="Q758" s="13"/>
      <c r="R758" s="15"/>
      <c r="S758" s="34"/>
      <c r="T758" s="35"/>
      <c r="U758" s="13"/>
      <c r="V758" s="15"/>
      <c r="W758" s="34"/>
      <c r="X758" s="34"/>
      <c r="Y758" s="186"/>
      <c r="Z758" s="2"/>
      <c r="AA758" s="34"/>
      <c r="AB758" s="35"/>
      <c r="AC758" s="15"/>
      <c r="AD758" s="15"/>
      <c r="AE758" s="34"/>
      <c r="AF758" s="182"/>
      <c r="AG758" s="15"/>
      <c r="AH758" s="2"/>
      <c r="AI758" s="45"/>
      <c r="AJ758" s="15"/>
      <c r="AK758" s="13"/>
      <c r="AL758" s="15"/>
      <c r="AM758" s="45"/>
      <c r="AN758" s="15"/>
      <c r="AO758" s="13"/>
      <c r="AP758" s="15"/>
      <c r="AQ758" s="45"/>
      <c r="AR758" s="15"/>
      <c r="AS758" s="13"/>
      <c r="AT758" s="15"/>
      <c r="AU758" s="45"/>
      <c r="AV758" s="15"/>
      <c r="AW758" s="13"/>
      <c r="AX758" s="15"/>
      <c r="AY758" s="45"/>
      <c r="AZ758" s="28"/>
      <c r="BA758" s="13"/>
      <c r="BB758" s="15"/>
      <c r="BC758" s="45"/>
      <c r="BD758" s="28"/>
      <c r="BE758" s="14"/>
      <c r="BF758" s="41">
        <f t="shared" ref="BF758:BG758" si="2755">K758+O758+S758+W758+AA758+AE758+AI758+AM758+AQ758+AU758+AY758+BC758</f>
        <v>0</v>
      </c>
      <c r="BG758" s="34">
        <f t="shared" si="2755"/>
        <v>0</v>
      </c>
      <c r="BH758" s="35">
        <f t="shared" si="2741"/>
        <v>0</v>
      </c>
      <c r="BI758" s="15"/>
      <c r="BJ758" s="15"/>
      <c r="BK758" s="15" t="b">
        <f>H758='2020'!BH758</f>
        <v>1</v>
      </c>
    </row>
    <row r="759" ht="14.25" customHeight="1" hidden="1" spans="1:63" x14ac:dyDescent="0.25">
      <c r="A759" s="2">
        <v>89</v>
      </c>
      <c r="B759" s="14"/>
      <c r="C759" s="15" t="s">
        <v>287</v>
      </c>
      <c r="D759" s="14" t="s">
        <v>50</v>
      </c>
      <c r="E759" s="15" t="s">
        <v>49</v>
      </c>
      <c r="F759" s="41">
        <v>1100</v>
      </c>
      <c r="G759" s="28"/>
      <c r="H759" s="34">
        <f>'2020'!BH759</f>
        <v>0</v>
      </c>
      <c r="I759" s="13"/>
      <c r="J759" s="15"/>
      <c r="K759" s="34"/>
      <c r="L759" s="35"/>
      <c r="M759" s="13"/>
      <c r="N759" s="15"/>
      <c r="O759" s="34"/>
      <c r="P759" s="34"/>
      <c r="Q759" s="13"/>
      <c r="R759" s="15"/>
      <c r="S759" s="34"/>
      <c r="T759" s="35"/>
      <c r="U759" s="13"/>
      <c r="V759" s="15"/>
      <c r="W759" s="34"/>
      <c r="X759" s="34"/>
      <c r="Y759" s="186"/>
      <c r="Z759" s="2"/>
      <c r="AA759" s="34"/>
      <c r="AB759" s="35"/>
      <c r="AC759" s="15"/>
      <c r="AD759" s="15"/>
      <c r="AE759" s="34">
        <f>B756*$F$12</f>
        <v>4675</v>
      </c>
      <c r="AF759" s="182">
        <v>4675</v>
      </c>
      <c r="AG759" s="15"/>
      <c r="AH759" s="2"/>
      <c r="AI759" s="45"/>
      <c r="AJ759" s="34"/>
      <c r="AK759" s="13"/>
      <c r="AL759" s="15"/>
      <c r="AM759" s="45"/>
      <c r="AN759" s="15"/>
      <c r="AO759" s="13"/>
      <c r="AP759" s="15"/>
      <c r="AQ759" s="45"/>
      <c r="AR759" s="15"/>
      <c r="AS759" s="13"/>
      <c r="AT759" s="15"/>
      <c r="AU759" s="45"/>
      <c r="AV759" s="15"/>
      <c r="AW759" s="13"/>
      <c r="AX759" s="15"/>
      <c r="AY759" s="45"/>
      <c r="AZ759" s="28"/>
      <c r="BA759" s="13"/>
      <c r="BB759" s="15"/>
      <c r="BC759" s="45"/>
      <c r="BD759" s="28"/>
      <c r="BE759" s="14"/>
      <c r="BF759" s="41">
        <f t="shared" ref="BF759:BG759" si="2756">K759+O759+S759+W759+AA759+AE759+AI759+AM759+AQ759+AU759+AY759+BC759</f>
        <v>4675</v>
      </c>
      <c r="BG759" s="34">
        <f t="shared" si="2756"/>
        <v>4675</v>
      </c>
      <c r="BH759" s="35">
        <f t="shared" si="2741"/>
        <v>0</v>
      </c>
      <c r="BI759" s="15"/>
      <c r="BJ759" s="15"/>
      <c r="BK759" s="15" t="b">
        <f>H759='2020'!BH759</f>
        <v>1</v>
      </c>
    </row>
    <row r="760" ht="14.25" customHeight="1" hidden="1" spans="1:63" x14ac:dyDescent="0.25">
      <c r="A760" s="2">
        <v>89</v>
      </c>
      <c r="B760" s="14"/>
      <c r="C760" s="15"/>
      <c r="D760" s="14" t="s">
        <v>51</v>
      </c>
      <c r="E760" s="15" t="s">
        <v>39</v>
      </c>
      <c r="F760" s="41">
        <v>500</v>
      </c>
      <c r="G760" s="28"/>
      <c r="H760" s="34">
        <f>'2020'!BH760</f>
        <v>500</v>
      </c>
      <c r="I760" s="13"/>
      <c r="J760" s="15"/>
      <c r="K760" s="34"/>
      <c r="L760" s="35"/>
      <c r="M760" s="13"/>
      <c r="N760" s="15"/>
      <c r="O760" s="34"/>
      <c r="P760" s="34"/>
      <c r="Q760" s="13"/>
      <c r="R760" s="15"/>
      <c r="S760" s="34"/>
      <c r="T760" s="35"/>
      <c r="U760" s="13"/>
      <c r="V760" s="15"/>
      <c r="W760" s="34"/>
      <c r="X760" s="34"/>
      <c r="Y760" s="186"/>
      <c r="Z760" s="2"/>
      <c r="AA760" s="34"/>
      <c r="AB760" s="35"/>
      <c r="AC760" s="15"/>
      <c r="AD760" s="15"/>
      <c r="AE760" s="180">
        <f>$F$13</f>
      </c>
      <c r="AF760" s="182">
        <v>500</v>
      </c>
      <c r="AG760" s="15"/>
      <c r="AH760" s="2"/>
      <c r="AI760" s="45"/>
      <c r="AJ760" s="15"/>
      <c r="AK760" s="13"/>
      <c r="AL760" s="15"/>
      <c r="AM760" s="45"/>
      <c r="AN760" s="15"/>
      <c r="AO760" s="13"/>
      <c r="AP760" s="15"/>
      <c r="AQ760" s="180"/>
      <c r="AR760" s="15"/>
      <c r="AS760" s="13"/>
      <c r="AT760" s="15"/>
      <c r="AU760" s="45"/>
      <c r="AV760" s="15"/>
      <c r="AW760" s="13"/>
      <c r="AX760" s="15"/>
      <c r="AY760" s="45"/>
      <c r="AZ760" s="28"/>
      <c r="BA760" s="13"/>
      <c r="BB760" s="15"/>
      <c r="BC760" s="45"/>
      <c r="BD760" s="28"/>
      <c r="BE760" s="14"/>
      <c r="BF760" s="41">
        <f t="shared" ref="BF760:BG760" si="2757">K760+O760+S760+W760+AA760+AE760+AI760+AM760+AQ760+AU760+AY760+BC760</f>
        <v>0</v>
      </c>
      <c r="BG760" s="34">
        <f t="shared" si="2757"/>
        <v>500</v>
      </c>
      <c r="BH760" s="35">
        <f t="shared" si="2741"/>
        <v>0</v>
      </c>
      <c r="BI760" s="15"/>
      <c r="BJ760" s="15"/>
      <c r="BK760" s="15" t="b">
        <f>H760='2020'!BH760</f>
        <v>1</v>
      </c>
    </row>
    <row r="761" ht="14.25" customHeight="1" hidden="1" spans="1:63" x14ac:dyDescent="0.25">
      <c r="A761" s="2">
        <v>89</v>
      </c>
      <c r="B761" s="14"/>
      <c r="C761" s="15"/>
      <c r="D761" s="14" t="s">
        <v>51</v>
      </c>
      <c r="E761" s="15" t="s">
        <v>49</v>
      </c>
      <c r="F761" s="41">
        <v>500</v>
      </c>
      <c r="G761" s="28"/>
      <c r="H761" s="34">
        <f>'2020'!BH761</f>
        <v>2125</v>
      </c>
      <c r="I761" s="13"/>
      <c r="J761" s="15"/>
      <c r="K761" s="34"/>
      <c r="L761" s="35"/>
      <c r="M761" s="13"/>
      <c r="N761" s="15"/>
      <c r="O761" s="34"/>
      <c r="P761" s="34"/>
      <c r="Q761" s="13"/>
      <c r="R761" s="15"/>
      <c r="S761" s="34"/>
      <c r="T761" s="35"/>
      <c r="U761" s="13"/>
      <c r="V761" s="15"/>
      <c r="W761" s="34"/>
      <c r="X761" s="34"/>
      <c r="Y761" s="186"/>
      <c r="Z761" s="2"/>
      <c r="AA761" s="34"/>
      <c r="AB761" s="35"/>
      <c r="AC761" s="15"/>
      <c r="AD761" s="15"/>
      <c r="AE761" s="34"/>
      <c r="AF761" s="182">
        <v>2125</v>
      </c>
      <c r="AG761" s="15"/>
      <c r="AH761" s="2"/>
      <c r="AI761" s="45"/>
      <c r="AJ761" s="15"/>
      <c r="AK761" s="13"/>
      <c r="AL761" s="15"/>
      <c r="AM761" s="45"/>
      <c r="AN761" s="15"/>
      <c r="AO761" s="13"/>
      <c r="AP761" s="15"/>
      <c r="AQ761" s="180">
        <f>B756*$F$14</f>
        <v>0</v>
      </c>
      <c r="AR761" s="15"/>
      <c r="AS761" s="13"/>
      <c r="AT761" s="15"/>
      <c r="AU761" s="45"/>
      <c r="AV761" s="15"/>
      <c r="AW761" s="13"/>
      <c r="AX761" s="15"/>
      <c r="AY761" s="45"/>
      <c r="AZ761" s="28"/>
      <c r="BA761" s="13"/>
      <c r="BB761" s="15"/>
      <c r="BC761" s="45"/>
      <c r="BD761" s="28"/>
      <c r="BE761" s="14"/>
      <c r="BF761" s="41">
        <f t="shared" ref="BF761:BG761" si="2758">K761+O761+S761+W761+AA761+AE761+AI761+AM761+AQ761+AU761+AY761+BC761</f>
        <v>0</v>
      </c>
      <c r="BG761" s="34">
        <f t="shared" si="2758"/>
        <v>2125</v>
      </c>
      <c r="BH761" s="35">
        <f t="shared" si="2741"/>
        <v>0</v>
      </c>
      <c r="BI761" s="15"/>
      <c r="BJ761" s="15"/>
      <c r="BK761" s="15" t="b">
        <f>H761='2020'!BH761</f>
        <v>1</v>
      </c>
    </row>
    <row r="762" ht="14.25" customHeight="1" hidden="1" spans="1:63" x14ac:dyDescent="0.25">
      <c r="A762" s="2">
        <v>89</v>
      </c>
      <c r="B762" s="14"/>
      <c r="C762" s="15"/>
      <c r="D762" s="14" t="s">
        <v>52</v>
      </c>
      <c r="E762" s="15" t="s">
        <v>39</v>
      </c>
      <c r="F762" s="41">
        <v>500</v>
      </c>
      <c r="G762" s="28"/>
      <c r="H762" s="34">
        <f>'2020'!BH762</f>
        <v>0</v>
      </c>
      <c r="I762" s="13"/>
      <c r="J762" s="15"/>
      <c r="K762" s="34"/>
      <c r="L762" s="35"/>
      <c r="M762" s="13"/>
      <c r="N762" s="15"/>
      <c r="O762" s="34"/>
      <c r="P762" s="34"/>
      <c r="Q762" s="13"/>
      <c r="R762" s="15"/>
      <c r="S762" s="34"/>
      <c r="T762" s="35"/>
      <c r="U762" s="13"/>
      <c r="V762" s="15"/>
      <c r="W762" s="34"/>
      <c r="X762" s="34"/>
      <c r="Y762" s="186"/>
      <c r="Z762" s="2"/>
      <c r="AA762" s="34">
        <f>$F$15</f>
      </c>
      <c r="AB762" s="35"/>
      <c r="AC762" s="15"/>
      <c r="AD762" s="15"/>
      <c r="AE762" s="34"/>
      <c r="AF762" s="182"/>
      <c r="AG762" s="15"/>
      <c r="AH762" s="2"/>
      <c r="AI762" s="45"/>
      <c r="AJ762" s="15"/>
      <c r="AK762" s="13"/>
      <c r="AL762" s="15"/>
      <c r="AM762" s="45"/>
      <c r="AN762" s="15"/>
      <c r="AO762" s="13"/>
      <c r="AP762" s="15"/>
      <c r="AQ762" s="45"/>
      <c r="AR762" s="15"/>
      <c r="AS762" s="13"/>
      <c r="AT762" s="15"/>
      <c r="AU762" s="45"/>
      <c r="AV762" s="15"/>
      <c r="AW762" s="13"/>
      <c r="AX762" s="15"/>
      <c r="AY762" s="45"/>
      <c r="AZ762" s="35"/>
      <c r="BA762" s="13"/>
      <c r="BB762" s="15"/>
      <c r="BC762" s="45"/>
      <c r="BD762" s="35"/>
      <c r="BE762" s="14"/>
      <c r="BF762" s="41">
        <f t="shared" ref="BF762:BG762" si="2759">K762+O762+S762+W762+AA762+AE762+AI762+AM762+AQ762+AU762+AY762+BC762</f>
        <v>0</v>
      </c>
      <c r="BG762" s="34">
        <f t="shared" si="2759"/>
        <v>0</v>
      </c>
      <c r="BH762" s="35">
        <f t="shared" si="2741"/>
        <v>0</v>
      </c>
      <c r="BI762" s="15"/>
      <c r="BJ762" s="15"/>
      <c r="BK762" s="15" t="b">
        <f>H762='2020'!BH762</f>
        <v>1</v>
      </c>
    </row>
    <row r="763" ht="14.25" customHeight="1" hidden="1" spans="1:63" x14ac:dyDescent="0.25">
      <c r="A763" s="247">
        <v>89</v>
      </c>
      <c r="B763" s="21"/>
      <c r="C763" s="22" t="s">
        <v>53</v>
      </c>
      <c r="D763" s="21"/>
      <c r="E763" s="22"/>
      <c r="F763" s="20"/>
      <c r="G763" s="23"/>
      <c r="H763" s="51">
        <f>SUM(H755:H762)</f>
        <v>2369.86</v>
      </c>
      <c r="I763" s="52"/>
      <c r="J763" s="53"/>
      <c r="K763" s="51">
        <f t="shared" ref="K763:L763" si="2760">SUM(K755:K762)</f>
        <v>0</v>
      </c>
      <c r="L763" s="68">
        <f t="shared" si="2760"/>
        <v>0</v>
      </c>
      <c r="M763" s="52"/>
      <c r="N763" s="53"/>
      <c r="O763" s="51">
        <f t="shared" ref="O763:P763" si="2761">SUM(O755:O762)</f>
        <v>0</v>
      </c>
      <c r="P763" s="51">
        <f t="shared" si="2761"/>
        <v>0</v>
      </c>
      <c r="Q763" s="52"/>
      <c r="R763" s="53"/>
      <c r="S763" s="51">
        <f t="shared" ref="S763:T763" si="2762">SUM(S755:S762)</f>
        <v>0</v>
      </c>
      <c r="T763" s="51">
        <f t="shared" si="2762"/>
        <v>0</v>
      </c>
      <c r="U763" s="52"/>
      <c r="V763" s="53"/>
      <c r="W763" s="51">
        <f t="shared" ref="W763:X763" si="2763">SUM(W755:W762)</f>
        <v>0</v>
      </c>
      <c r="X763" s="51">
        <f t="shared" si="2763"/>
        <v>0</v>
      </c>
      <c r="Y763" s="300"/>
      <c r="Z763" s="301"/>
      <c r="AA763" s="51">
        <f t="shared" ref="AA763:AB763" si="2764">SUM(AA755:AA762)</f>
        <v>330.82</v>
      </c>
      <c r="AB763" s="51">
        <f t="shared" si="2764"/>
        <v>0</v>
      </c>
      <c r="AC763" s="52"/>
      <c r="AD763" s="53"/>
      <c r="AE763" s="51">
        <f t="shared" ref="AE763:AF763" si="2765">SUM(AE755:AE762)</f>
        <v>4908.52</v>
      </c>
      <c r="AF763" s="51">
        <f t="shared" si="2765"/>
        <v>7609.2</v>
      </c>
      <c r="AG763" s="52"/>
      <c r="AH763" s="301"/>
      <c r="AI763" s="183">
        <f t="shared" ref="AI763:AJ763" si="2766">SUM(AI755:AI762)</f>
        <v>40.7</v>
      </c>
      <c r="AJ763" s="51">
        <f t="shared" si="2766"/>
        <v>0</v>
      </c>
      <c r="AK763" s="52"/>
      <c r="AL763" s="53"/>
      <c r="AM763" s="183">
        <f t="shared" ref="AM763:AN763" si="2767">SUM(AM755:AM762)</f>
        <v>61.05</v>
      </c>
      <c r="AN763" s="51">
        <f t="shared" si="2767"/>
        <v>500</v>
      </c>
      <c r="AO763" s="52"/>
      <c r="AP763" s="53"/>
      <c r="AQ763" s="183">
        <f t="shared" ref="AQ763:AR763" si="2768">SUM(AQ755:AQ762)</f>
        <v>61.05</v>
      </c>
      <c r="AR763" s="51">
        <f t="shared" si="2768"/>
        <v>0</v>
      </c>
      <c r="AS763" s="52"/>
      <c r="AT763" s="53"/>
      <c r="AU763" s="183">
        <f t="shared" ref="AU763:AV763" si="2769">SUM(AU755:AU762)</f>
        <v>0</v>
      </c>
      <c r="AV763" s="68">
        <f t="shared" si="2769"/>
        <v>0</v>
      </c>
      <c r="AW763" s="52"/>
      <c r="AX763" s="53"/>
      <c r="AY763" s="183">
        <f t="shared" ref="AY763:AZ763" si="2770">SUM(AY755:AY762)</f>
        <v>0</v>
      </c>
      <c r="AZ763" s="68">
        <f t="shared" si="2770"/>
        <v>0</v>
      </c>
      <c r="BA763" s="52"/>
      <c r="BB763" s="53"/>
      <c r="BC763" s="183">
        <f t="shared" ref="BC763:BD763" si="2771">SUM(BC755:BC762)</f>
        <v>0</v>
      </c>
      <c r="BD763" s="68">
        <f t="shared" si="2771"/>
        <v>0</v>
      </c>
      <c r="BE763" s="69"/>
      <c r="BF763" s="70">
        <f t="shared" ref="BF763:BH763" si="2772">SUM(BF755:BF762)</f>
        <v>5402.14</v>
      </c>
      <c r="BG763" s="71">
        <f t="shared" si="2772"/>
        <v>8109.2</v>
      </c>
      <c r="BH763" s="72">
        <f t="shared" si="2772"/>
        <v>-337.2</v>
      </c>
      <c r="BI763" s="34">
        <f>H763+BF763-BG763</f>
        <v>-337.2</v>
      </c>
      <c r="BJ763" s="34">
        <f>BH763-BI763</f>
        <v>0</v>
      </c>
      <c r="BK763" s="2" t="b">
        <f>H763='2020'!BH763</f>
        <v>1</v>
      </c>
    </row>
    <row r="764" ht="14.25" customHeight="1" hidden="1" spans="1:63" x14ac:dyDescent="0.25">
      <c r="A764" s="2">
        <v>91</v>
      </c>
      <c r="B764" s="14"/>
      <c r="C764" s="15"/>
      <c r="D764" s="14" t="s">
        <v>379</v>
      </c>
      <c r="E764" s="15"/>
      <c r="F764" s="13"/>
      <c r="G764" s="28"/>
      <c r="H764" s="34">
        <f>'2020'!BH764</f>
        <v>0</v>
      </c>
      <c r="I764" s="13"/>
      <c r="J764" s="15"/>
      <c r="K764" s="34"/>
      <c r="L764" s="35"/>
      <c r="M764" s="13"/>
      <c r="N764" s="15"/>
      <c r="O764" s="34"/>
      <c r="P764" s="34"/>
      <c r="Q764" s="13"/>
      <c r="R764" s="15"/>
      <c r="S764" s="34"/>
      <c r="T764" s="35"/>
      <c r="U764" s="13"/>
      <c r="V764" s="15"/>
      <c r="W764" s="34"/>
      <c r="X764" s="34"/>
      <c r="Y764" s="186"/>
      <c r="Z764" s="2"/>
      <c r="AA764" s="34"/>
      <c r="AB764" s="35"/>
      <c r="AC764" s="15"/>
      <c r="AD764" s="15"/>
      <c r="AE764" s="34"/>
      <c r="AF764" s="182"/>
      <c r="AG764" s="15"/>
      <c r="AH764" s="2"/>
      <c r="AI764" s="45"/>
      <c r="AJ764" s="34"/>
      <c r="AK764" s="13"/>
      <c r="AL764" s="15"/>
      <c r="AM764" s="45"/>
      <c r="AN764" s="34"/>
      <c r="AO764" s="13"/>
      <c r="AP764" s="15"/>
      <c r="AQ764" s="45"/>
      <c r="AR764" s="34"/>
      <c r="AS764" s="13"/>
      <c r="AT764" s="15"/>
      <c r="AU764" s="45"/>
      <c r="AV764" s="34"/>
      <c r="AW764" s="13"/>
      <c r="AX764" s="15"/>
      <c r="AY764" s="45"/>
      <c r="AZ764" s="28"/>
      <c r="BA764" s="13"/>
      <c r="BB764" s="15"/>
      <c r="BC764" s="45"/>
      <c r="BD764" s="28"/>
      <c r="BE764" s="42"/>
      <c r="BF764" s="41">
        <f t="shared" ref="BF764:BG764" si="2773">K764+O764+S764+W764+AA764+AE764+AI764+AM764+AQ764+AU764+AY764+BC764</f>
        <v>0</v>
      </c>
      <c r="BG764" s="34">
        <f t="shared" si="2773"/>
        <v>0</v>
      </c>
      <c r="BH764" s="35">
        <f t="shared" ref="BH764:BH771" si="2774">H764+BF764-BG764</f>
        <v>0</v>
      </c>
      <c r="BI764" s="15"/>
      <c r="BJ764" s="15"/>
      <c r="BK764" s="15" t="b">
        <f>H764='2020'!BH764</f>
        <v>1</v>
      </c>
    </row>
    <row r="765" ht="14.25" customHeight="1" hidden="1" spans="1:63" x14ac:dyDescent="0.25">
      <c r="A765" s="2">
        <v>91</v>
      </c>
      <c r="B765" s="14">
        <v>4.23</v>
      </c>
      <c r="C765" s="15" t="s">
        <v>288</v>
      </c>
      <c r="D765" s="14" t="s">
        <v>44</v>
      </c>
      <c r="E765" s="15" t="s">
        <v>45</v>
      </c>
      <c r="F765" s="41">
        <v>2.5</v>
      </c>
      <c r="G765" s="35">
        <v>2.6</v>
      </c>
      <c r="H765" s="34">
        <f>'2020'!BH765</f>
        <v>5.2</v>
      </c>
      <c r="I765" s="13">
        <v>179</v>
      </c>
      <c r="J765" s="15">
        <f>I765-'2020'!BA765</f>
        <v>0</v>
      </c>
      <c r="K765" s="34">
        <f>J765*$F$8</f>
        <v>0</v>
      </c>
      <c r="L765" s="35"/>
      <c r="M765" s="13">
        <v>179</v>
      </c>
      <c r="N765" s="15">
        <f t="shared" ref="N765:N766" si="2775">M765-I765</f>
        <v>0</v>
      </c>
      <c r="O765" s="34">
        <f>N765*$F$8</f>
        <v>0</v>
      </c>
      <c r="P765" s="34"/>
      <c r="Q765" s="13">
        <v>179</v>
      </c>
      <c r="R765" s="15">
        <f t="shared" ref="R765:R766" si="2776">Q765-M765</f>
        <v>0</v>
      </c>
      <c r="S765" s="34">
        <f>R765*$F$8</f>
        <v>0</v>
      </c>
      <c r="T765" s="35"/>
      <c r="U765" s="13">
        <v>179</v>
      </c>
      <c r="V765" s="15">
        <f t="shared" ref="V765:V766" si="2777">U765-Q765</f>
        <v>0</v>
      </c>
      <c r="W765" s="34">
        <f>V765*$F$8</f>
        <v>0</v>
      </c>
      <c r="X765" s="34"/>
      <c r="Y765" s="186">
        <v>180</v>
      </c>
      <c r="Z765" s="2">
        <f t="shared" ref="Z765:Z766" si="2778">Y765-U765</f>
        <v>1</v>
      </c>
      <c r="AA765" s="34">
        <f>Z765*$F$8</f>
        <v>2.6</v>
      </c>
      <c r="AB765" s="35"/>
      <c r="AC765" s="15">
        <v>182</v>
      </c>
      <c r="AD765" s="15">
        <f t="shared" ref="AD765:AD766" si="2779">AC765-Y765</f>
        <v>2</v>
      </c>
      <c r="AE765" s="180">
        <f>AD765*$F$8</f>
        <v>5.2</v>
      </c>
      <c r="AF765" s="182">
        <v>13</v>
      </c>
      <c r="AG765" s="15">
        <v>182</v>
      </c>
      <c r="AH765" s="2">
        <f t="shared" ref="AH765:AH766" si="2780">AG765-AC765</f>
        <v>0</v>
      </c>
      <c r="AI765" s="45">
        <f>AH765*$G$8</f>
        <v>0</v>
      </c>
      <c r="AJ765" s="1"/>
      <c r="AK765" s="13">
        <v>182</v>
      </c>
      <c r="AL765" s="15">
        <f t="shared" ref="AL765:AL766" si="2781">AK765-AG765</f>
        <v>0</v>
      </c>
      <c r="AM765" s="45">
        <f>AL765*$G$8</f>
        <v>0</v>
      </c>
      <c r="AN765" s="15"/>
      <c r="AO765" s="13">
        <v>183</v>
      </c>
      <c r="AP765" s="15">
        <f t="shared" ref="AP765:AP766" si="2782">AO765-AK765</f>
        <v>1</v>
      </c>
      <c r="AQ765" s="45">
        <f>AP765*$G$8</f>
        <v>2.7</v>
      </c>
      <c r="AR765" s="15"/>
      <c r="AS765" s="13">
        <v>183</v>
      </c>
      <c r="AT765" s="15">
        <f t="shared" ref="AT765:AT766" si="2783">AS765-AO765</f>
        <v>0</v>
      </c>
      <c r="AU765" s="45">
        <f>AT765*$G$8</f>
        <v>0</v>
      </c>
      <c r="AV765" s="15"/>
      <c r="AW765" s="13">
        <v>183</v>
      </c>
      <c r="AX765" s="15">
        <f t="shared" ref="AX765:AX766" si="2784">AW765-AS765</f>
        <v>0</v>
      </c>
      <c r="AY765" s="45">
        <f>AX765*$G$8</f>
        <v>0</v>
      </c>
      <c r="AZ765" s="208"/>
      <c r="BA765" s="13">
        <v>183</v>
      </c>
      <c r="BB765" s="15">
        <f t="shared" ref="BB765:BB766" si="2785">BA765-AW765</f>
        <v>0</v>
      </c>
      <c r="BC765" s="45">
        <f>BB765*$G$8</f>
        <v>0</v>
      </c>
      <c r="BD765" s="208"/>
      <c r="BE765" s="40">
        <f t="shared" ref="BE765:BG765" si="2786">J765+N765+R765+V765+Z765+AD765+AH765+AL765+AP765+AT765+AX765+BB765</f>
        <v>4</v>
      </c>
      <c r="BF765" s="41">
        <f t="shared" si="2786"/>
        <v>10.5</v>
      </c>
      <c r="BG765" s="34">
        <f t="shared" si="2786"/>
        <v>13</v>
      </c>
      <c r="BH765" s="35">
        <f t="shared" si="2774"/>
        <v>2.7</v>
      </c>
      <c r="BI765" s="15"/>
      <c r="BJ765" s="15"/>
      <c r="BK765" s="15" t="b">
        <f>H765='2020'!BH765</f>
        <v>1</v>
      </c>
    </row>
    <row r="766" ht="14.25" customHeight="1" hidden="1" spans="1:63" x14ac:dyDescent="0.25">
      <c r="A766" s="2">
        <v>91</v>
      </c>
      <c r="B766" s="14"/>
      <c r="C766" s="15" t="s">
        <v>170</v>
      </c>
      <c r="D766" s="14" t="s">
        <v>47</v>
      </c>
      <c r="E766" s="15" t="s">
        <v>48</v>
      </c>
      <c r="F766" s="13">
        <v>18.56</v>
      </c>
      <c r="G766" s="35">
        <v>19.46</v>
      </c>
      <c r="H766" s="34">
        <f>'2020'!BH766</f>
        <v>-2.7</v>
      </c>
      <c r="I766" s="13">
        <v>99</v>
      </c>
      <c r="J766" s="15"/>
      <c r="K766" s="34"/>
      <c r="L766" s="35"/>
      <c r="M766" s="13">
        <v>99</v>
      </c>
      <c r="N766" s="15">
        <f t="shared" si="2775"/>
        <v>0</v>
      </c>
      <c r="O766" s="34"/>
      <c r="P766" s="34"/>
      <c r="Q766" s="13">
        <v>99</v>
      </c>
      <c r="R766" s="15">
        <f t="shared" si="2776"/>
        <v>0</v>
      </c>
      <c r="S766" s="34"/>
      <c r="T766" s="35"/>
      <c r="U766" s="13">
        <v>99</v>
      </c>
      <c r="V766" s="15">
        <f t="shared" si="2777"/>
        <v>0</v>
      </c>
      <c r="W766" s="34">
        <f>V766*$F$10</f>
        <v>0</v>
      </c>
      <c r="X766" s="34"/>
      <c r="Y766" s="186">
        <v>101</v>
      </c>
      <c r="Z766" s="2">
        <f t="shared" si="2778"/>
        <v>2</v>
      </c>
      <c r="AA766" s="34">
        <f>Z766*$F$10</f>
        <v>38.92</v>
      </c>
      <c r="AB766" s="35"/>
      <c r="AC766" s="15">
        <v>105</v>
      </c>
      <c r="AD766" s="15">
        <f t="shared" si="2779"/>
        <v>4</v>
      </c>
      <c r="AE766" s="34">
        <f>AD766*$F$10</f>
        <v>77.84</v>
      </c>
      <c r="AF766" s="182">
        <v>114.06</v>
      </c>
      <c r="AG766" s="15">
        <v>105</v>
      </c>
      <c r="AH766" s="2">
        <f t="shared" si="2780"/>
        <v>0</v>
      </c>
      <c r="AI766" s="45">
        <f>AH766*$G$10</f>
        <v>0</v>
      </c>
      <c r="AJ766" s="180"/>
      <c r="AK766" s="13">
        <v>108</v>
      </c>
      <c r="AL766" s="15">
        <f t="shared" si="2781"/>
        <v>3</v>
      </c>
      <c r="AM766" s="45">
        <f>AL766*$G$10</f>
        <v>61.05</v>
      </c>
      <c r="AN766" s="306">
        <v>61.05</v>
      </c>
      <c r="AO766" s="13">
        <v>108</v>
      </c>
      <c r="AP766" s="15">
        <f t="shared" si="2782"/>
        <v>0</v>
      </c>
      <c r="AQ766" s="45">
        <f>AP766*$G$10</f>
        <v>0</v>
      </c>
      <c r="AR766" s="15"/>
      <c r="AS766" s="13">
        <v>108</v>
      </c>
      <c r="AT766" s="15">
        <f t="shared" si="2783"/>
        <v>0</v>
      </c>
      <c r="AU766" s="45">
        <f>AT766*$G$10</f>
        <v>0</v>
      </c>
      <c r="AV766" s="15"/>
      <c r="AW766" s="13">
        <v>108</v>
      </c>
      <c r="AX766" s="15">
        <f t="shared" si="2784"/>
        <v>0</v>
      </c>
      <c r="AY766" s="45"/>
      <c r="AZ766" s="208"/>
      <c r="BA766" s="13">
        <v>108</v>
      </c>
      <c r="BB766" s="15">
        <f t="shared" si="2785"/>
        <v>0</v>
      </c>
      <c r="BC766" s="45"/>
      <c r="BD766" s="208"/>
      <c r="BE766" s="40">
        <f t="shared" ref="BE766:BG766" si="2787">J766+N766+R766+V766+Z766+AD766+AH766+AL766+AP766+AT766+AX766+BB766</f>
        <v>9</v>
      </c>
      <c r="BF766" s="41">
        <f t="shared" si="2787"/>
        <v>177.81</v>
      </c>
      <c r="BG766" s="34">
        <f t="shared" si="2787"/>
        <v>175.11</v>
      </c>
      <c r="BH766" s="35">
        <f t="shared" si="2774"/>
        <v>0</v>
      </c>
      <c r="BI766" s="15"/>
      <c r="BJ766" s="15"/>
      <c r="BK766" s="15" t="b">
        <f>H766='2020'!BH766</f>
        <v>1</v>
      </c>
    </row>
    <row r="767" ht="14.25" customHeight="1" hidden="1" spans="1:63" x14ac:dyDescent="0.25">
      <c r="A767" s="2">
        <v>91</v>
      </c>
      <c r="B767" s="14"/>
      <c r="C767" s="15" t="s">
        <v>289</v>
      </c>
      <c r="D767" s="14" t="s">
        <v>47</v>
      </c>
      <c r="E767" s="15" t="s">
        <v>49</v>
      </c>
      <c r="F767" s="41">
        <v>500</v>
      </c>
      <c r="G767" s="28"/>
      <c r="H767" s="34">
        <f>'2020'!BH767</f>
        <v>0</v>
      </c>
      <c r="I767" s="13"/>
      <c r="J767" s="15"/>
      <c r="K767" s="34"/>
      <c r="L767" s="35"/>
      <c r="M767" s="13"/>
      <c r="N767" s="15"/>
      <c r="O767" s="34"/>
      <c r="P767" s="34"/>
      <c r="Q767" s="13"/>
      <c r="R767" s="15"/>
      <c r="S767" s="34"/>
      <c r="T767" s="35"/>
      <c r="U767" s="13"/>
      <c r="V767" s="15"/>
      <c r="W767" s="34"/>
      <c r="X767" s="34"/>
      <c r="Y767" s="186"/>
      <c r="Z767" s="2"/>
      <c r="AA767" s="34"/>
      <c r="AB767" s="35"/>
      <c r="AC767" s="15"/>
      <c r="AD767" s="15"/>
      <c r="AE767" s="34"/>
      <c r="AF767" s="187"/>
      <c r="AG767" s="15"/>
      <c r="AH767" s="2"/>
      <c r="AI767" s="45"/>
      <c r="AJ767" s="15"/>
      <c r="AK767" s="13"/>
      <c r="AL767" s="15"/>
      <c r="AM767" s="45"/>
      <c r="AN767" s="15"/>
      <c r="AO767" s="13"/>
      <c r="AP767" s="15"/>
      <c r="AQ767" s="45"/>
      <c r="AR767" s="15"/>
      <c r="AS767" s="13"/>
      <c r="AT767" s="15"/>
      <c r="AU767" s="45"/>
      <c r="AV767" s="15"/>
      <c r="AW767" s="13"/>
      <c r="AX767" s="15"/>
      <c r="AY767" s="45"/>
      <c r="AZ767" s="28"/>
      <c r="BA767" s="13"/>
      <c r="BB767" s="15"/>
      <c r="BC767" s="45"/>
      <c r="BD767" s="28"/>
      <c r="BE767" s="14"/>
      <c r="BF767" s="41">
        <f t="shared" ref="BF767:BG767" si="2788">K767+O767+S767+W767+AA767+AE767+AI767+AM767+AQ767+AU767+AY767+BC767</f>
        <v>0</v>
      </c>
      <c r="BG767" s="34">
        <f t="shared" si="2788"/>
        <v>0</v>
      </c>
      <c r="BH767" s="35">
        <f t="shared" si="2774"/>
        <v>0</v>
      </c>
      <c r="BI767" s="15"/>
      <c r="BJ767" s="15"/>
      <c r="BK767" s="15" t="b">
        <f>H767='2020'!BH767</f>
        <v>1</v>
      </c>
    </row>
    <row r="768" ht="14.25" customHeight="1" hidden="1" spans="1:63" x14ac:dyDescent="0.25">
      <c r="A768" s="2">
        <v>91</v>
      </c>
      <c r="B768" s="14"/>
      <c r="C768" s="15" t="s">
        <v>290</v>
      </c>
      <c r="D768" s="14" t="s">
        <v>50</v>
      </c>
      <c r="E768" s="15" t="s">
        <v>49</v>
      </c>
      <c r="F768" s="41">
        <v>1100</v>
      </c>
      <c r="G768" s="28"/>
      <c r="H768" s="34">
        <f>'2020'!BH768</f>
        <v>0</v>
      </c>
      <c r="I768" s="13"/>
      <c r="J768" s="15"/>
      <c r="K768" s="34"/>
      <c r="L768" s="35"/>
      <c r="M768" s="13"/>
      <c r="N768" s="15"/>
      <c r="O768" s="34"/>
      <c r="P768" s="34"/>
      <c r="Q768" s="13"/>
      <c r="R768" s="15"/>
      <c r="S768" s="34"/>
      <c r="T768" s="35"/>
      <c r="U768" s="13"/>
      <c r="V768" s="15"/>
      <c r="W768" s="34"/>
      <c r="X768" s="34"/>
      <c r="Y768" s="186"/>
      <c r="Z768" s="2"/>
      <c r="AA768" s="34"/>
      <c r="AB768" s="35"/>
      <c r="AC768" s="15"/>
      <c r="AD768" s="15"/>
      <c r="AE768" s="34">
        <f>B765*$F$12</f>
        <v>4653</v>
      </c>
      <c r="AF768" s="182">
        <v>4653</v>
      </c>
      <c r="AG768" s="15"/>
      <c r="AH768" s="2"/>
      <c r="AI768" s="45"/>
      <c r="AJ768" s="34"/>
      <c r="AK768" s="13"/>
      <c r="AL768" s="15"/>
      <c r="AM768" s="45"/>
      <c r="AN768" s="15"/>
      <c r="AO768" s="13"/>
      <c r="AP768" s="15"/>
      <c r="AQ768" s="45"/>
      <c r="AR768" s="15"/>
      <c r="AS768" s="13"/>
      <c r="AT768" s="15"/>
      <c r="AU768" s="45"/>
      <c r="AV768" s="15"/>
      <c r="AW768" s="13"/>
      <c r="AX768" s="15"/>
      <c r="AY768" s="45"/>
      <c r="AZ768" s="28"/>
      <c r="BA768" s="13"/>
      <c r="BB768" s="15"/>
      <c r="BC768" s="45"/>
      <c r="BD768" s="28"/>
      <c r="BE768" s="14"/>
      <c r="BF768" s="41">
        <f t="shared" ref="BF768:BG768" si="2789">K768+O768+S768+W768+AA768+AE768+AI768+AM768+AQ768+AU768+AY768+BC768</f>
        <v>4653</v>
      </c>
      <c r="BG768" s="34">
        <f t="shared" si="2789"/>
        <v>4653</v>
      </c>
      <c r="BH768" s="35">
        <f t="shared" si="2774"/>
        <v>0</v>
      </c>
      <c r="BI768" s="15"/>
      <c r="BJ768" s="15"/>
      <c r="BK768" s="15" t="b">
        <f>H768='2020'!BH768</f>
        <v>1</v>
      </c>
    </row>
    <row r="769" ht="14.25" customHeight="1" hidden="1" spans="1:63" x14ac:dyDescent="0.25">
      <c r="A769" s="2">
        <v>91</v>
      </c>
      <c r="B769" s="14"/>
      <c r="C769" s="15" t="s">
        <v>291</v>
      </c>
      <c r="D769" s="14" t="s">
        <v>51</v>
      </c>
      <c r="E769" s="15" t="s">
        <v>39</v>
      </c>
      <c r="F769" s="41">
        <v>500</v>
      </c>
      <c r="G769" s="28"/>
      <c r="H769" s="34">
        <f>'2020'!BH769</f>
        <v>500</v>
      </c>
      <c r="I769" s="13"/>
      <c r="J769" s="15"/>
      <c r="K769" s="34"/>
      <c r="L769" s="35"/>
      <c r="M769" s="13"/>
      <c r="N769" s="15"/>
      <c r="O769" s="34"/>
      <c r="P769" s="34"/>
      <c r="Q769" s="13"/>
      <c r="R769" s="15"/>
      <c r="S769" s="34"/>
      <c r="T769" s="35"/>
      <c r="U769" s="13"/>
      <c r="V769" s="15"/>
      <c r="W769" s="34"/>
      <c r="X769" s="34"/>
      <c r="Y769" s="186"/>
      <c r="Z769" s="2"/>
      <c r="AA769" s="34"/>
      <c r="AB769" s="35"/>
      <c r="AC769" s="15"/>
      <c r="AD769" s="15"/>
      <c r="AE769" s="180">
        <f>$F$13</f>
      </c>
      <c r="AF769" s="182">
        <v>500</v>
      </c>
      <c r="AG769" s="15"/>
      <c r="AH769" s="2"/>
      <c r="AI769" s="45"/>
      <c r="AJ769" s="15"/>
      <c r="AK769" s="13"/>
      <c r="AL769" s="15"/>
      <c r="AM769" s="45"/>
      <c r="AN769" s="15"/>
      <c r="AO769" s="13"/>
      <c r="AP769" s="15"/>
      <c r="AQ769" s="180"/>
      <c r="AR769" s="15"/>
      <c r="AS769" s="13"/>
      <c r="AT769" s="15"/>
      <c r="AU769" s="45"/>
      <c r="AV769" s="15"/>
      <c r="AW769" s="13"/>
      <c r="AX769" s="15"/>
      <c r="AY769" s="45"/>
      <c r="AZ769" s="28"/>
      <c r="BA769" s="13"/>
      <c r="BB769" s="15"/>
      <c r="BC769" s="45"/>
      <c r="BD769" s="28"/>
      <c r="BE769" s="14"/>
      <c r="BF769" s="41">
        <f t="shared" ref="BF769:BG769" si="2790">K769+O769+S769+W769+AA769+AE769+AI769+AM769+AQ769+AU769+AY769+BC769</f>
        <v>0</v>
      </c>
      <c r="BG769" s="34">
        <f t="shared" si="2790"/>
        <v>500</v>
      </c>
      <c r="BH769" s="35">
        <f t="shared" si="2774"/>
        <v>0</v>
      </c>
      <c r="BI769" s="15"/>
      <c r="BJ769" s="15"/>
      <c r="BK769" s="15" t="b">
        <f>H769='2020'!BH769</f>
        <v>1</v>
      </c>
    </row>
    <row r="770" ht="14.25" customHeight="1" hidden="1" spans="1:63" x14ac:dyDescent="0.25">
      <c r="A770" s="2">
        <v>91</v>
      </c>
      <c r="B770" s="14"/>
      <c r="C770" s="15"/>
      <c r="D770" s="14" t="s">
        <v>51</v>
      </c>
      <c r="E770" s="15" t="s">
        <v>49</v>
      </c>
      <c r="F770" s="41">
        <v>500</v>
      </c>
      <c r="G770" s="28"/>
      <c r="H770" s="34">
        <f>'2020'!BH770</f>
        <v>2115</v>
      </c>
      <c r="I770" s="13"/>
      <c r="J770" s="15"/>
      <c r="K770" s="34"/>
      <c r="L770" s="35"/>
      <c r="M770" s="13"/>
      <c r="N770" s="15"/>
      <c r="O770" s="34"/>
      <c r="P770" s="34"/>
      <c r="Q770" s="13"/>
      <c r="R770" s="15"/>
      <c r="S770" s="34"/>
      <c r="T770" s="35"/>
      <c r="U770" s="13"/>
      <c r="V770" s="15"/>
      <c r="W770" s="34"/>
      <c r="X770" s="34"/>
      <c r="Y770" s="186"/>
      <c r="Z770" s="2"/>
      <c r="AA770" s="34"/>
      <c r="AB770" s="35"/>
      <c r="AC770" s="15"/>
      <c r="AD770" s="15"/>
      <c r="AE770" s="34"/>
      <c r="AF770" s="182">
        <v>2115</v>
      </c>
      <c r="AG770" s="15"/>
      <c r="AH770" s="2"/>
      <c r="AI770" s="45"/>
      <c r="AJ770" s="15"/>
      <c r="AK770" s="13"/>
      <c r="AL770" s="15"/>
      <c r="AM770" s="45"/>
      <c r="AN770" s="15"/>
      <c r="AO770" s="13"/>
      <c r="AP770" s="15"/>
      <c r="AQ770" s="180">
        <f>B765*$F$14</f>
        <v>0</v>
      </c>
      <c r="AR770" s="15"/>
      <c r="AS770" s="13"/>
      <c r="AT770" s="15"/>
      <c r="AU770" s="45"/>
      <c r="AV770" s="15"/>
      <c r="AW770" s="13"/>
      <c r="AX770" s="15"/>
      <c r="AY770" s="45"/>
      <c r="AZ770" s="28"/>
      <c r="BA770" s="13"/>
      <c r="BB770" s="15"/>
      <c r="BC770" s="45"/>
      <c r="BD770" s="28"/>
      <c r="BE770" s="14"/>
      <c r="BF770" s="41">
        <f t="shared" ref="BF770:BG770" si="2791">K770+O770+S770+W770+AA770+AE770+AI770+AM770+AQ770+AU770+AY770+BC770</f>
        <v>0</v>
      </c>
      <c r="BG770" s="34">
        <f t="shared" si="2791"/>
        <v>2115</v>
      </c>
      <c r="BH770" s="35">
        <f t="shared" si="2774"/>
        <v>0</v>
      </c>
      <c r="BI770" s="15"/>
      <c r="BJ770" s="15"/>
      <c r="BK770" s="15" t="b">
        <f>H770='2020'!BH770</f>
        <v>1</v>
      </c>
    </row>
    <row r="771" ht="14.25" customHeight="1" hidden="1" spans="1:63" x14ac:dyDescent="0.25">
      <c r="A771" s="2">
        <v>91</v>
      </c>
      <c r="B771" s="14"/>
      <c r="C771" s="15"/>
      <c r="D771" s="14" t="s">
        <v>52</v>
      </c>
      <c r="E771" s="15" t="s">
        <v>39</v>
      </c>
      <c r="F771" s="41">
        <v>500</v>
      </c>
      <c r="G771" s="28"/>
      <c r="H771" s="34">
        <f>'2020'!BH771</f>
        <v>0</v>
      </c>
      <c r="I771" s="13"/>
      <c r="J771" s="15"/>
      <c r="K771" s="34"/>
      <c r="L771" s="35"/>
      <c r="M771" s="13"/>
      <c r="N771" s="15"/>
      <c r="O771" s="34"/>
      <c r="P771" s="34"/>
      <c r="Q771" s="13"/>
      <c r="R771" s="15"/>
      <c r="S771" s="34"/>
      <c r="T771" s="35"/>
      <c r="U771" s="13"/>
      <c r="V771" s="15"/>
      <c r="W771" s="34"/>
      <c r="X771" s="34"/>
      <c r="Y771" s="186"/>
      <c r="Z771" s="2"/>
      <c r="AA771" s="34">
        <f>$F$15</f>
      </c>
      <c r="AB771" s="35"/>
      <c r="AC771" s="15"/>
      <c r="AD771" s="15"/>
      <c r="AE771" s="34"/>
      <c r="AF771" s="180"/>
      <c r="AG771" s="15"/>
      <c r="AH771" s="2"/>
      <c r="AI771" s="45"/>
      <c r="AJ771" s="180"/>
      <c r="AK771" s="13"/>
      <c r="AL771" s="15"/>
      <c r="AM771" s="45"/>
      <c r="AN771" s="15"/>
      <c r="AO771" s="13"/>
      <c r="AP771" s="15"/>
      <c r="AQ771" s="45"/>
      <c r="AR771" s="15"/>
      <c r="AS771" s="13"/>
      <c r="AT771" s="15"/>
      <c r="AU771" s="45"/>
      <c r="AV771" s="15"/>
      <c r="AW771" s="13"/>
      <c r="AX771" s="15"/>
      <c r="AY771" s="45"/>
      <c r="AZ771" s="35"/>
      <c r="BA771" s="13"/>
      <c r="BB771" s="15"/>
      <c r="BC771" s="45"/>
      <c r="BD771" s="35"/>
      <c r="BE771" s="14"/>
      <c r="BF771" s="41">
        <f t="shared" ref="BF771:BG771" si="2792">K771+O771+S771+W771+AA771+AE771+AI771+AM771+AQ771+AU771+AY771+BC771</f>
        <v>0</v>
      </c>
      <c r="BG771" s="34">
        <f t="shared" si="2792"/>
        <v>0</v>
      </c>
      <c r="BH771" s="35">
        <f t="shared" si="2774"/>
        <v>0</v>
      </c>
      <c r="BI771" s="15"/>
      <c r="BJ771" s="15"/>
      <c r="BK771" s="15" t="b">
        <f>H771='2020'!BH771</f>
        <v>1</v>
      </c>
    </row>
    <row r="772" ht="14.25" customHeight="1" hidden="1" spans="1:63" x14ac:dyDescent="0.25">
      <c r="A772" s="247">
        <v>91</v>
      </c>
      <c r="B772" s="21"/>
      <c r="C772" s="22" t="s">
        <v>53</v>
      </c>
      <c r="D772" s="21"/>
      <c r="E772" s="22"/>
      <c r="F772" s="20"/>
      <c r="G772" s="23"/>
      <c r="H772" s="51">
        <f>SUM(H764:H771)</f>
        <v>2617.5</v>
      </c>
      <c r="I772" s="52"/>
      <c r="J772" s="53"/>
      <c r="K772" s="51">
        <f t="shared" ref="K772:L772" si="2793">SUM(K764:K771)</f>
        <v>0</v>
      </c>
      <c r="L772" s="68">
        <f t="shared" si="2793"/>
        <v>0</v>
      </c>
      <c r="M772" s="52"/>
      <c r="N772" s="53"/>
      <c r="O772" s="51">
        <f t="shared" ref="O772:P772" si="2794">SUM(O764:O771)</f>
        <v>0</v>
      </c>
      <c r="P772" s="51">
        <f t="shared" si="2794"/>
        <v>0</v>
      </c>
      <c r="Q772" s="52"/>
      <c r="R772" s="53"/>
      <c r="S772" s="51">
        <f t="shared" ref="S772:T772" si="2795">SUM(S764:S771)</f>
        <v>0</v>
      </c>
      <c r="T772" s="51">
        <f t="shared" si="2795"/>
        <v>0</v>
      </c>
      <c r="U772" s="52"/>
      <c r="V772" s="53"/>
      <c r="W772" s="51">
        <f t="shared" ref="W772:X772" si="2796">SUM(W764:W771)</f>
        <v>0</v>
      </c>
      <c r="X772" s="51">
        <f t="shared" si="2796"/>
        <v>0</v>
      </c>
      <c r="Y772" s="300"/>
      <c r="Z772" s="301"/>
      <c r="AA772" s="51">
        <f t="shared" ref="AA772:AB772" si="2797">SUM(AA764:AA771)</f>
        <v>41.52</v>
      </c>
      <c r="AB772" s="51">
        <f t="shared" si="2797"/>
        <v>0</v>
      </c>
      <c r="AC772" s="52"/>
      <c r="AD772" s="53"/>
      <c r="AE772" s="51">
        <f t="shared" ref="AE772:AF772" si="2798">SUM(AE764:AE771)</f>
        <v>4736.04</v>
      </c>
      <c r="AF772" s="51">
        <f t="shared" si="2798"/>
        <v>7395.06</v>
      </c>
      <c r="AG772" s="52"/>
      <c r="AH772" s="301"/>
      <c r="AI772" s="183">
        <f t="shared" ref="AI772:AJ772" si="2799">SUM(AI764:AI771)</f>
        <v>0</v>
      </c>
      <c r="AJ772" s="51">
        <f t="shared" si="2799"/>
        <v>0</v>
      </c>
      <c r="AK772" s="52"/>
      <c r="AL772" s="53"/>
      <c r="AM772" s="183">
        <f t="shared" ref="AM772:AN772" si="2800">SUM(AM764:AM771)</f>
        <v>61.05</v>
      </c>
      <c r="AN772" s="51">
        <f t="shared" si="2800"/>
        <v>61.05</v>
      </c>
      <c r="AO772" s="52"/>
      <c r="AP772" s="53"/>
      <c r="AQ772" s="183">
        <f t="shared" ref="AQ772:AR772" si="2801">SUM(AQ764:AQ771)</f>
        <v>2.7</v>
      </c>
      <c r="AR772" s="51">
        <f t="shared" si="2801"/>
        <v>0</v>
      </c>
      <c r="AS772" s="52"/>
      <c r="AT772" s="53"/>
      <c r="AU772" s="183">
        <f t="shared" ref="AU772:AV772" si="2802">SUM(AU764:AU771)</f>
        <v>0</v>
      </c>
      <c r="AV772" s="68">
        <f t="shared" si="2802"/>
        <v>0</v>
      </c>
      <c r="AW772" s="52"/>
      <c r="AX772" s="53"/>
      <c r="AY772" s="183">
        <f t="shared" ref="AY772:AZ772" si="2803">SUM(AY764:AY771)</f>
        <v>0</v>
      </c>
      <c r="AZ772" s="68">
        <f t="shared" si="2803"/>
        <v>0</v>
      </c>
      <c r="BA772" s="52"/>
      <c r="BB772" s="53"/>
      <c r="BC772" s="183">
        <f t="shared" ref="BC772:BD772" si="2804">SUM(BC764:BC771)</f>
        <v>0</v>
      </c>
      <c r="BD772" s="68">
        <f t="shared" si="2804"/>
        <v>0</v>
      </c>
      <c r="BE772" s="69"/>
      <c r="BF772" s="70">
        <f t="shared" ref="BF772:BH772" si="2805">SUM(BF764:BF771)</f>
        <v>4841.31</v>
      </c>
      <c r="BG772" s="71">
        <f t="shared" si="2805"/>
        <v>7456.11</v>
      </c>
      <c r="BH772" s="72">
        <f t="shared" si="2805"/>
        <v>2.7</v>
      </c>
      <c r="BI772" s="34">
        <f>H772+BF772-BG772</f>
        <v>2.7</v>
      </c>
      <c r="BJ772" s="34">
        <f>BH772-BI772</f>
        <v>0</v>
      </c>
      <c r="BK772" s="2" t="b">
        <f>H772='2020'!BH772</f>
        <v>1</v>
      </c>
    </row>
    <row r="773" ht="14.25" customHeight="1" hidden="1" spans="1:63" x14ac:dyDescent="0.25">
      <c r="A773" s="89" t="s">
        <v>292</v>
      </c>
      <c r="B773" s="14"/>
      <c r="C773" s="15"/>
      <c r="D773" s="178" t="s">
        <v>486</v>
      </c>
      <c r="E773" s="15"/>
      <c r="F773" s="13"/>
      <c r="G773" s="28"/>
      <c r="H773" s="34">
        <f>'2020'!BH773</f>
        <v>0</v>
      </c>
      <c r="I773" s="13"/>
      <c r="J773" s="15"/>
      <c r="K773" s="34"/>
      <c r="L773" s="35"/>
      <c r="M773" s="13"/>
      <c r="N773" s="15"/>
      <c r="O773" s="34"/>
      <c r="P773" s="34"/>
      <c r="Q773" s="13"/>
      <c r="R773" s="15"/>
      <c r="S773" s="34"/>
      <c r="T773" s="35"/>
      <c r="U773" s="13"/>
      <c r="V773" s="15"/>
      <c r="W773" s="153"/>
      <c r="X773" s="34"/>
      <c r="Y773" s="186"/>
      <c r="Z773" s="2"/>
      <c r="AA773" s="34"/>
      <c r="AB773" s="35"/>
      <c r="AC773" s="15"/>
      <c r="AD773" s="15"/>
      <c r="AE773" s="34"/>
      <c r="AF773" s="34"/>
      <c r="AG773" s="15"/>
      <c r="AH773" s="2"/>
      <c r="AI773" s="45"/>
      <c r="AJ773" s="34"/>
      <c r="AK773" s="13"/>
      <c r="AL773" s="15"/>
      <c r="AM773" s="45"/>
      <c r="AN773" s="34"/>
      <c r="AO773" s="13"/>
      <c r="AP773" s="15"/>
      <c r="AQ773" s="45">
        <v>14.22</v>
      </c>
      <c r="AR773" s="34"/>
      <c r="AS773" s="13"/>
      <c r="AT773" s="15"/>
      <c r="AU773" s="45"/>
      <c r="AV773" s="34"/>
      <c r="AW773" s="13"/>
      <c r="AX773" s="15"/>
      <c r="AY773" s="45"/>
      <c r="AZ773" s="28"/>
      <c r="BA773" s="13"/>
      <c r="BB773" s="15"/>
      <c r="BC773" s="45"/>
      <c r="BD773" s="28"/>
      <c r="BE773" s="42"/>
      <c r="BF773" s="41">
        <f t="shared" ref="BF773:BG773" si="2806">K773+O773+S773+W773+AA773+AE773+AI773+AM773+AQ773+AU773+AY773+BC773</f>
        <v>14.22</v>
      </c>
      <c r="BG773" s="34">
        <f t="shared" si="2806"/>
        <v>0</v>
      </c>
      <c r="BH773" s="35">
        <f t="shared" ref="BH773:BH780" si="2807">H773+BF773-BG773</f>
        <v>14.22</v>
      </c>
      <c r="BI773" s="15"/>
      <c r="BJ773" s="15"/>
      <c r="BK773" s="15" t="b">
        <f>H773='2020'!BH773</f>
        <v>1</v>
      </c>
    </row>
    <row r="774" ht="14.25" customHeight="1" hidden="1" spans="1:63" x14ac:dyDescent="0.25">
      <c r="A774" s="89" t="s">
        <v>292</v>
      </c>
      <c r="B774" s="14">
        <v>4.31</v>
      </c>
      <c r="C774" s="15" t="s">
        <v>436</v>
      </c>
      <c r="D774" s="14" t="s">
        <v>44</v>
      </c>
      <c r="E774" s="15" t="s">
        <v>45</v>
      </c>
      <c r="F774" s="41">
        <v>2.5</v>
      </c>
      <c r="G774" s="35">
        <v>2.6</v>
      </c>
      <c r="H774" s="34">
        <f>'2020'!BH774</f>
        <v>0</v>
      </c>
      <c r="I774" s="13">
        <v>2775</v>
      </c>
      <c r="J774" s="15">
        <f>I774-'2020'!BA774</f>
        <v>668</v>
      </c>
      <c r="K774" s="34">
        <f>J774*$F$8</f>
        <v>1736.8</v>
      </c>
      <c r="L774" s="35"/>
      <c r="M774" s="13">
        <v>2775</v>
      </c>
      <c r="N774" s="15">
        <f t="shared" ref="N774:N775" si="2808">M774-I774</f>
        <v>0</v>
      </c>
      <c r="O774" s="34">
        <f>N774*$F$8</f>
        <v>0</v>
      </c>
      <c r="P774" s="34">
        <v>1734.2</v>
      </c>
      <c r="Q774" s="13">
        <v>2905</v>
      </c>
      <c r="R774" s="15">
        <f t="shared" ref="R774:R775" si="2809">Q774-M774</f>
        <v>130</v>
      </c>
      <c r="S774" s="34">
        <f>R774*$F$8</f>
        <v>338</v>
      </c>
      <c r="T774" s="35"/>
      <c r="U774" s="13">
        <v>3702</v>
      </c>
      <c r="V774" s="15">
        <f t="shared" ref="V774:V775" si="2810">U774-Q774</f>
        <v>797</v>
      </c>
      <c r="W774" s="34">
        <f>V774*$F$8</f>
        <v>2072.2</v>
      </c>
      <c r="X774" s="39">
        <v>500</v>
      </c>
      <c r="Y774" s="186">
        <v>4322</v>
      </c>
      <c r="Z774" s="2">
        <f>Y774-U774</f>
        <v>620</v>
      </c>
      <c r="AA774" s="34">
        <f>Z774*$F$8</f>
        <v>1612</v>
      </c>
      <c r="AB774" s="38">
        <v>2000</v>
      </c>
      <c r="AC774" s="15">
        <v>4624</v>
      </c>
      <c r="AD774" s="15">
        <f t="shared" ref="AD774:AD775" si="2811">AC774-Y774</f>
        <v>302</v>
      </c>
      <c r="AE774" s="180">
        <f>AD774*$F$8</f>
        <v>785.2</v>
      </c>
      <c r="AF774" s="248">
        <v>1525</v>
      </c>
      <c r="AG774" s="15">
        <v>4985</v>
      </c>
      <c r="AH774" s="2">
        <f t="shared" ref="AH774:AH775" si="2812">AG774-AC774</f>
        <v>361</v>
      </c>
      <c r="AI774" s="45">
        <f>AH774*$G$8</f>
        <v>974.7</v>
      </c>
      <c r="AJ774" s="304">
        <v>785</v>
      </c>
      <c r="AK774" s="13">
        <v>5410</v>
      </c>
      <c r="AL774" s="15">
        <f t="shared" ref="AL774:AL775" si="2813">AK774-AG774</f>
        <v>425</v>
      </c>
      <c r="AM774" s="45">
        <f>AL774*$G$8</f>
        <v>1147.5</v>
      </c>
      <c r="AN774" s="1">
        <v>974.7</v>
      </c>
      <c r="AO774" s="13">
        <v>5998</v>
      </c>
      <c r="AP774" s="15">
        <f t="shared" ref="AP774:AP775" si="2814">AO774-AK774</f>
        <v>588</v>
      </c>
      <c r="AQ774" s="45">
        <f>AP774*$G$8</f>
        <v>1587.6</v>
      </c>
      <c r="AR774" s="39">
        <v>1150</v>
      </c>
      <c r="AS774" s="13">
        <v>6940</v>
      </c>
      <c r="AT774" s="15">
        <f t="shared" ref="AT774:AT775" si="2815">AS774-AO774</f>
        <v>942</v>
      </c>
      <c r="AU774" s="45">
        <f>AT774*$G$8</f>
        <v>2543.4</v>
      </c>
      <c r="AV774" s="1">
        <v>2400</v>
      </c>
      <c r="AW774" s="13">
        <v>7625</v>
      </c>
      <c r="AX774" s="15">
        <f t="shared" ref="AX774:AX775" si="2816">AW774-AS774</f>
        <v>685</v>
      </c>
      <c r="AY774" s="45">
        <f>AX774*$G$8</f>
        <v>1849.5</v>
      </c>
      <c r="AZ774" s="246"/>
      <c r="BA774" s="13">
        <v>7625</v>
      </c>
      <c r="BB774" s="15">
        <f t="shared" ref="BB774:BB775" si="2817">BA774-AW774</f>
        <v>0</v>
      </c>
      <c r="BC774" s="45">
        <f>BB774*$G$8</f>
        <v>0</v>
      </c>
      <c r="BD774" s="246">
        <f>3500</f>
        <v>3500</v>
      </c>
      <c r="BE774" s="40">
        <f t="shared" ref="BE774:BG774" si="2818">J774+N774+R774+V774+Z774+AD774+AH774+AL774+AP774+AT774+AX774+BB774</f>
        <v>5518</v>
      </c>
      <c r="BF774" s="41">
        <f t="shared" si="2818"/>
        <v>14646.9</v>
      </c>
      <c r="BG774" s="34">
        <f t="shared" si="2818"/>
        <v>14568.9</v>
      </c>
      <c r="BH774" s="35">
        <f t="shared" si="2807"/>
        <v>78</v>
      </c>
      <c r="BI774" s="15"/>
      <c r="BJ774" s="15"/>
      <c r="BK774" s="15" t="b">
        <f>H774='2020'!BH774</f>
        <v>1</v>
      </c>
    </row>
    <row r="775" ht="14.25" customHeight="1" hidden="1" spans="1:63" x14ac:dyDescent="0.25">
      <c r="A775" s="89" t="s">
        <v>292</v>
      </c>
      <c r="B775" s="14"/>
      <c r="C775" s="15" t="s">
        <v>437</v>
      </c>
      <c r="D775" s="14" t="s">
        <v>47</v>
      </c>
      <c r="E775" s="15" t="s">
        <v>48</v>
      </c>
      <c r="F775" s="13">
        <v>18.56</v>
      </c>
      <c r="G775" s="35">
        <v>19.46</v>
      </c>
      <c r="H775" s="34">
        <f>'2020'!BH775</f>
        <v>0</v>
      </c>
      <c r="I775" s="13">
        <v>23</v>
      </c>
      <c r="J775" s="15"/>
      <c r="K775" s="34"/>
      <c r="L775" s="35"/>
      <c r="M775" s="13">
        <v>23</v>
      </c>
      <c r="N775" s="15">
        <f t="shared" si="2808"/>
        <v>0</v>
      </c>
      <c r="O775" s="34"/>
      <c r="P775" s="34"/>
      <c r="Q775" s="13">
        <v>23</v>
      </c>
      <c r="R775" s="15">
        <f t="shared" si="2809"/>
        <v>0</v>
      </c>
      <c r="S775" s="34"/>
      <c r="T775" s="35"/>
      <c r="U775" s="13">
        <v>23</v>
      </c>
      <c r="V775" s="15">
        <f t="shared" si="2810"/>
        <v>0</v>
      </c>
      <c r="W775" s="34">
        <f>V775*$F$10</f>
        <v>0</v>
      </c>
      <c r="X775" s="34"/>
      <c r="Y775" s="186">
        <v>1</v>
      </c>
      <c r="Z775" s="2">
        <v>0</v>
      </c>
      <c r="AA775" s="34">
        <f>Z775*$F$10</f>
        <v>0</v>
      </c>
      <c r="AB775" s="35"/>
      <c r="AC775" s="15">
        <v>3</v>
      </c>
      <c r="AD775" s="15">
        <f t="shared" si="2811"/>
        <v>2</v>
      </c>
      <c r="AE775" s="34">
        <f>AD775*$F$10</f>
        <v>38.92</v>
      </c>
      <c r="AF775" s="34"/>
      <c r="AG775" s="15">
        <v>9</v>
      </c>
      <c r="AH775" s="2">
        <f t="shared" si="2812"/>
        <v>6</v>
      </c>
      <c r="AI775" s="45">
        <f>AH775*$G$10</f>
        <v>122.1</v>
      </c>
      <c r="AJ775" s="187">
        <v>40</v>
      </c>
      <c r="AK775" s="13">
        <v>12</v>
      </c>
      <c r="AL775" s="15">
        <f t="shared" si="2813"/>
        <v>3</v>
      </c>
      <c r="AM775" s="45">
        <f>AL775*$G$10</f>
        <v>61.05</v>
      </c>
      <c r="AN775" s="1">
        <v>122.1</v>
      </c>
      <c r="AO775" s="13">
        <v>12</v>
      </c>
      <c r="AP775" s="15">
        <f t="shared" si="2814"/>
        <v>0</v>
      </c>
      <c r="AQ775" s="45">
        <f>AP775*$G$10</f>
        <v>0</v>
      </c>
      <c r="AR775" s="34"/>
      <c r="AS775" s="13">
        <v>12</v>
      </c>
      <c r="AT775" s="15">
        <f t="shared" si="2815"/>
        <v>0</v>
      </c>
      <c r="AU775" s="45">
        <f>AT775*$G$10</f>
        <v>0</v>
      </c>
      <c r="AV775" s="1">
        <v>61</v>
      </c>
      <c r="AW775" s="13">
        <v>12</v>
      </c>
      <c r="AX775" s="15">
        <f t="shared" si="2816"/>
        <v>0</v>
      </c>
      <c r="AY775" s="45"/>
      <c r="AZ775" s="208"/>
      <c r="BA775" s="13">
        <v>12</v>
      </c>
      <c r="BB775" s="15">
        <f t="shared" si="2817"/>
        <v>0</v>
      </c>
      <c r="BC775" s="45"/>
      <c r="BD775" s="208"/>
      <c r="BE775" s="40">
        <f t="shared" ref="BE775:BG775" si="2819">J775+N775+R775+V775+Z775+AD775+AH775+AL775+AP775+AT775+AX775+BB775</f>
        <v>11</v>
      </c>
      <c r="BF775" s="41">
        <f t="shared" si="2819"/>
        <v>222.07</v>
      </c>
      <c r="BG775" s="34">
        <f t="shared" si="2819"/>
        <v>223.1</v>
      </c>
      <c r="BH775" s="35">
        <f t="shared" si="2807"/>
        <v>-1.03</v>
      </c>
      <c r="BI775" s="15"/>
      <c r="BJ775" s="15"/>
      <c r="BK775" s="15" t="b">
        <f>H775='2020'!BH775</f>
        <v>1</v>
      </c>
    </row>
    <row r="776" ht="14.25" customHeight="1" hidden="1" spans="1:63" x14ac:dyDescent="0.25">
      <c r="A776" s="89" t="s">
        <v>292</v>
      </c>
      <c r="B776" s="14"/>
      <c r="C776" s="15" t="s">
        <v>68</v>
      </c>
      <c r="D776" s="14" t="s">
        <v>47</v>
      </c>
      <c r="E776" s="15" t="s">
        <v>49</v>
      </c>
      <c r="F776" s="41">
        <v>500</v>
      </c>
      <c r="G776" s="28"/>
      <c r="H776" s="34">
        <f>'2020'!BH776</f>
        <v>0</v>
      </c>
      <c r="I776" s="13"/>
      <c r="J776" s="15"/>
      <c r="K776" s="34"/>
      <c r="L776" s="35"/>
      <c r="M776" s="13"/>
      <c r="N776" s="15"/>
      <c r="O776" s="34"/>
      <c r="P776" s="34"/>
      <c r="Q776" s="13"/>
      <c r="R776" s="15"/>
      <c r="S776" s="34"/>
      <c r="T776" s="35"/>
      <c r="U776" s="13"/>
      <c r="V776" s="15"/>
      <c r="W776" s="34"/>
      <c r="X776" s="34"/>
      <c r="Y776" s="186"/>
      <c r="Z776" s="2"/>
      <c r="AA776" s="34"/>
      <c r="AB776" s="35"/>
      <c r="AC776" s="15"/>
      <c r="AD776" s="15"/>
      <c r="AE776" s="34"/>
      <c r="AF776" s="34"/>
      <c r="AG776" s="15"/>
      <c r="AH776" s="2"/>
      <c r="AI776" s="45"/>
      <c r="AJ776" s="15"/>
      <c r="AK776" s="13"/>
      <c r="AL776" s="15"/>
      <c r="AM776" s="45"/>
      <c r="AN776" s="15"/>
      <c r="AO776" s="13"/>
      <c r="AP776" s="15"/>
      <c r="AQ776" s="45"/>
      <c r="AR776" s="15"/>
      <c r="AS776" s="13"/>
      <c r="AT776" s="15"/>
      <c r="AU776" s="45"/>
      <c r="AV776" s="15"/>
      <c r="AW776" s="13"/>
      <c r="AX776" s="15"/>
      <c r="AY776" s="45"/>
      <c r="AZ776" s="28"/>
      <c r="BA776" s="13"/>
      <c r="BB776" s="15"/>
      <c r="BC776" s="45"/>
      <c r="BD776" s="28"/>
      <c r="BE776" s="14"/>
      <c r="BF776" s="41">
        <f t="shared" ref="BF776:BG776" si="2820">K776+O776+S776+W776+AA776+AE776+AI776+AM776+AQ776+AU776+AY776+BC776</f>
        <v>0</v>
      </c>
      <c r="BG776" s="34">
        <f t="shared" si="2820"/>
        <v>0</v>
      </c>
      <c r="BH776" s="35">
        <f t="shared" si="2807"/>
        <v>0</v>
      </c>
      <c r="BI776" s="15"/>
      <c r="BJ776" s="15"/>
      <c r="BK776" s="15" t="b">
        <f>H776='2020'!BH776</f>
        <v>1</v>
      </c>
    </row>
    <row r="777" ht="14.25" customHeight="1" hidden="1" spans="1:63" x14ac:dyDescent="0.25">
      <c r="A777" s="89" t="s">
        <v>292</v>
      </c>
      <c r="B777" s="14"/>
      <c r="C777" s="15" t="s">
        <v>438</v>
      </c>
      <c r="D777" s="14" t="s">
        <v>50</v>
      </c>
      <c r="E777" s="15" t="s">
        <v>49</v>
      </c>
      <c r="F777" s="41">
        <v>1100</v>
      </c>
      <c r="G777" s="28"/>
      <c r="H777" s="34">
        <f>'2020'!BH777</f>
        <v>0</v>
      </c>
      <c r="I777" s="13"/>
      <c r="J777" s="15"/>
      <c r="K777" s="34"/>
      <c r="L777" s="35"/>
      <c r="M777" s="13"/>
      <c r="N777" s="15"/>
      <c r="O777" s="34"/>
      <c r="P777" s="34"/>
      <c r="Q777" s="13"/>
      <c r="R777" s="15"/>
      <c r="S777" s="34"/>
      <c r="T777" s="35"/>
      <c r="U777" s="13"/>
      <c r="V777" s="15"/>
      <c r="W777" s="34"/>
      <c r="X777" s="34"/>
      <c r="Y777" s="186"/>
      <c r="Z777" s="2"/>
      <c r="AA777" s="34"/>
      <c r="AB777" s="35"/>
      <c r="AC777" s="15"/>
      <c r="AD777" s="15"/>
      <c r="AE777" s="34">
        <f>B774*$F$12</f>
        <v>4741</v>
      </c>
      <c r="AF777" s="34"/>
      <c r="AG777" s="15"/>
      <c r="AH777" s="2"/>
      <c r="AI777" s="45"/>
      <c r="AJ777" s="34"/>
      <c r="AK777" s="13"/>
      <c r="AL777" s="15"/>
      <c r="AM777" s="45"/>
      <c r="AN777" s="34"/>
      <c r="AO777" s="13"/>
      <c r="AP777" s="15"/>
      <c r="AQ777" s="45"/>
      <c r="AR777" s="15"/>
      <c r="AS777" s="13"/>
      <c r="AT777" s="15"/>
      <c r="AU777" s="45"/>
      <c r="AV777" s="1">
        <v>4741</v>
      </c>
      <c r="AW777" s="13"/>
      <c r="AX777" s="15"/>
      <c r="AY777" s="45"/>
      <c r="AZ777" s="28"/>
      <c r="BA777" s="13"/>
      <c r="BB777" s="15"/>
      <c r="BC777" s="45"/>
      <c r="BD777" s="28"/>
      <c r="BE777" s="14"/>
      <c r="BF777" s="41">
        <f t="shared" ref="BF777:BG777" si="2821">K777+O777+S777+W777+AA777+AE777+AI777+AM777+AQ777+AU777+AY777+BC777</f>
        <v>4741</v>
      </c>
      <c r="BG777" s="34">
        <f t="shared" si="2821"/>
        <v>4741</v>
      </c>
      <c r="BH777" s="35">
        <f t="shared" si="2807"/>
        <v>0</v>
      </c>
      <c r="BI777" s="15"/>
      <c r="BJ777" s="15"/>
      <c r="BK777" s="15" t="b">
        <f>H777='2020'!BH777</f>
        <v>1</v>
      </c>
    </row>
    <row r="778" ht="14.25" customHeight="1" hidden="1" spans="1:63" x14ac:dyDescent="0.25">
      <c r="A778" s="89" t="s">
        <v>292</v>
      </c>
      <c r="B778" s="14"/>
      <c r="C778" s="15" t="s">
        <v>439</v>
      </c>
      <c r="D778" s="14" t="s">
        <v>51</v>
      </c>
      <c r="E778" s="15" t="s">
        <v>39</v>
      </c>
      <c r="F778" s="41">
        <v>500</v>
      </c>
      <c r="G778" s="28"/>
      <c r="H778" s="34">
        <f>'2020'!BH778</f>
        <v>500</v>
      </c>
      <c r="I778" s="13"/>
      <c r="J778" s="15"/>
      <c r="K778" s="34"/>
      <c r="L778" s="35"/>
      <c r="M778" s="13"/>
      <c r="N778" s="15"/>
      <c r="O778" s="34"/>
      <c r="P778" s="34"/>
      <c r="Q778" s="13"/>
      <c r="R778" s="15"/>
      <c r="S778" s="34"/>
      <c r="T778" s="35"/>
      <c r="U778" s="13"/>
      <c r="V778" s="15"/>
      <c r="W778" s="34"/>
      <c r="X778" s="34"/>
      <c r="Y778" s="186"/>
      <c r="Z778" s="2"/>
      <c r="AA778" s="34"/>
      <c r="AB778" s="35"/>
      <c r="AC778" s="15"/>
      <c r="AD778" s="15"/>
      <c r="AE778" s="180">
        <f>$F$13</f>
      </c>
      <c r="AF778" s="39">
        <v>500</v>
      </c>
      <c r="AG778" s="15"/>
      <c r="AH778" s="2"/>
      <c r="AI778" s="45"/>
      <c r="AJ778" s="180"/>
      <c r="AK778" s="13"/>
      <c r="AL778" s="15"/>
      <c r="AM778" s="45"/>
      <c r="AN778" s="15"/>
      <c r="AO778" s="13"/>
      <c r="AP778" s="15"/>
      <c r="AQ778" s="180"/>
      <c r="AR778" s="15"/>
      <c r="AS778" s="13"/>
      <c r="AT778" s="15"/>
      <c r="AU778" s="45"/>
      <c r="AV778" s="15"/>
      <c r="AW778" s="13"/>
      <c r="AX778" s="15"/>
      <c r="AY778" s="45"/>
      <c r="AZ778" s="28"/>
      <c r="BA778" s="13"/>
      <c r="BB778" s="15"/>
      <c r="BC778" s="45"/>
      <c r="BD778" s="28"/>
      <c r="BE778" s="14"/>
      <c r="BF778" s="41">
        <f t="shared" ref="BF778:BG778" si="2822">K778+O778+S778+W778+AA778+AE778+AI778+AM778+AQ778+AU778+AY778+BC778</f>
        <v>0</v>
      </c>
      <c r="BG778" s="34">
        <f t="shared" si="2822"/>
        <v>500</v>
      </c>
      <c r="BH778" s="35">
        <f t="shared" si="2807"/>
        <v>0</v>
      </c>
      <c r="BI778" s="15"/>
      <c r="BJ778" s="15"/>
      <c r="BK778" s="15" t="b">
        <f>H778='2020'!BH778</f>
        <v>1</v>
      </c>
    </row>
    <row r="779" ht="14.25" customHeight="1" hidden="1" spans="1:63" x14ac:dyDescent="0.25">
      <c r="A779" s="89" t="s">
        <v>292</v>
      </c>
      <c r="B779" s="14"/>
      <c r="C779" s="15"/>
      <c r="D779" s="14" t="s">
        <v>51</v>
      </c>
      <c r="E779" s="15" t="s">
        <v>49</v>
      </c>
      <c r="F779" s="41">
        <v>500</v>
      </c>
      <c r="G779" s="28"/>
      <c r="H779" s="34">
        <f>'2020'!BH779</f>
        <v>2155</v>
      </c>
      <c r="I779" s="13"/>
      <c r="J779" s="15"/>
      <c r="K779" s="34"/>
      <c r="L779" s="35"/>
      <c r="M779" s="13"/>
      <c r="N779" s="15"/>
      <c r="O779" s="34"/>
      <c r="P779" s="34"/>
      <c r="Q779" s="13"/>
      <c r="R779" s="15"/>
      <c r="S779" s="34"/>
      <c r="T779" s="35"/>
      <c r="U779" s="13"/>
      <c r="V779" s="15"/>
      <c r="W779" s="34"/>
      <c r="X779" s="34"/>
      <c r="Y779" s="186"/>
      <c r="Z779" s="2"/>
      <c r="AA779" s="34"/>
      <c r="AB779" s="35"/>
      <c r="AC779" s="15"/>
      <c r="AD779" s="15"/>
      <c r="AE779" s="34"/>
      <c r="AF779" s="39">
        <v>2155</v>
      </c>
      <c r="AG779" s="15"/>
      <c r="AH779" s="2"/>
      <c r="AI779" s="45"/>
      <c r="AJ779" s="180"/>
      <c r="AK779" s="13"/>
      <c r="AL779" s="15"/>
      <c r="AM779" s="45"/>
      <c r="AN779" s="15"/>
      <c r="AO779" s="13"/>
      <c r="AP779" s="15"/>
      <c r="AQ779" s="180">
        <f>B774*$F$14</f>
        <v>0</v>
      </c>
      <c r="AR779" s="15"/>
      <c r="AS779" s="13"/>
      <c r="AT779" s="15"/>
      <c r="AU779" s="45"/>
      <c r="AV779" s="15"/>
      <c r="AW779" s="13"/>
      <c r="AX779" s="15"/>
      <c r="AY779" s="45"/>
      <c r="AZ779" s="28"/>
      <c r="BA779" s="13"/>
      <c r="BB779" s="15"/>
      <c r="BC779" s="45"/>
      <c r="BD779" s="28"/>
      <c r="BE779" s="14"/>
      <c r="BF779" s="41">
        <f t="shared" ref="BF779:BG779" si="2823">K779+O779+S779+W779+AA779+AE779+AI779+AM779+AQ779+AU779+AY779+BC779</f>
        <v>0</v>
      </c>
      <c r="BG779" s="34">
        <f t="shared" si="2823"/>
        <v>2155</v>
      </c>
      <c r="BH779" s="35">
        <f t="shared" si="2807"/>
        <v>0</v>
      </c>
      <c r="BI779" s="15"/>
      <c r="BJ779" s="15"/>
      <c r="BK779" s="15" t="b">
        <f>H779='2020'!BH779</f>
        <v>1</v>
      </c>
    </row>
    <row r="780" ht="14.25" customHeight="1" hidden="1" spans="1:63" x14ac:dyDescent="0.25">
      <c r="A780" s="89" t="s">
        <v>292</v>
      </c>
      <c r="B780" s="14"/>
      <c r="C780" s="15"/>
      <c r="D780" s="14" t="s">
        <v>52</v>
      </c>
      <c r="E780" s="15" t="s">
        <v>39</v>
      </c>
      <c r="F780" s="41">
        <v>500</v>
      </c>
      <c r="G780" s="28"/>
      <c r="H780" s="34">
        <f>'2020'!BH780</f>
        <v>0</v>
      </c>
      <c r="I780" s="13"/>
      <c r="J780" s="15"/>
      <c r="K780" s="34"/>
      <c r="L780" s="35"/>
      <c r="M780" s="13"/>
      <c r="N780" s="15"/>
      <c r="O780" s="34"/>
      <c r="P780" s="34"/>
      <c r="Q780" s="13"/>
      <c r="R780" s="15"/>
      <c r="S780" s="34"/>
      <c r="T780" s="35"/>
      <c r="U780" s="13"/>
      <c r="V780" s="15"/>
      <c r="W780" s="34"/>
      <c r="X780" s="34"/>
      <c r="Y780" s="186"/>
      <c r="Z780" s="2"/>
      <c r="AA780" s="34">
        <f>$F$15</f>
      </c>
      <c r="AB780" s="35"/>
      <c r="AC780" s="15"/>
      <c r="AD780" s="15"/>
      <c r="AE780" s="34"/>
      <c r="AF780" s="34"/>
      <c r="AG780" s="15"/>
      <c r="AH780" s="2"/>
      <c r="AI780" s="45"/>
      <c r="AJ780" s="15"/>
      <c r="AK780" s="13"/>
      <c r="AL780" s="15"/>
      <c r="AM780" s="45"/>
      <c r="AN780" s="15"/>
      <c r="AO780" s="13"/>
      <c r="AP780" s="15"/>
      <c r="AQ780" s="45"/>
      <c r="AR780" s="15"/>
      <c r="AS780" s="13"/>
      <c r="AT780" s="15"/>
      <c r="AU780" s="45"/>
      <c r="AV780" s="15"/>
      <c r="AW780" s="13"/>
      <c r="AX780" s="15"/>
      <c r="AY780" s="45"/>
      <c r="AZ780" s="35"/>
      <c r="BA780" s="13"/>
      <c r="BB780" s="15"/>
      <c r="BC780" s="45"/>
      <c r="BD780" s="35"/>
      <c r="BE780" s="14"/>
      <c r="BF780" s="41">
        <f t="shared" ref="BF780:BG780" si="2824">K780+O780+S780+W780+AA780+AE780+AI780+AM780+AQ780+AU780+AY780+BC780</f>
        <v>0</v>
      </c>
      <c r="BG780" s="34">
        <f t="shared" si="2824"/>
        <v>0</v>
      </c>
      <c r="BH780" s="35">
        <f t="shared" si="2807"/>
        <v>0</v>
      </c>
      <c r="BI780" s="15"/>
      <c r="BJ780" s="15"/>
      <c r="BK780" s="15" t="b">
        <f>H780='2020'!BH780</f>
        <v>1</v>
      </c>
    </row>
    <row r="781" ht="14.25" customHeight="1" hidden="1" spans="1:63" x14ac:dyDescent="0.25">
      <c r="A781" s="243" t="s">
        <v>510</v>
      </c>
      <c r="B781" s="21"/>
      <c r="C781" s="22" t="s">
        <v>53</v>
      </c>
      <c r="D781" s="21"/>
      <c r="E781" s="22"/>
      <c r="F781" s="20"/>
      <c r="G781" s="23"/>
      <c r="H781" s="51">
        <f>SUM(H773:H780)</f>
        <v>2655</v>
      </c>
      <c r="I781" s="52"/>
      <c r="J781" s="53"/>
      <c r="K781" s="51">
        <f t="shared" ref="K781:L781" si="2825">SUM(K773:K780)</f>
        <v>1736.8</v>
      </c>
      <c r="L781" s="68">
        <f t="shared" si="2825"/>
        <v>0</v>
      </c>
      <c r="M781" s="52"/>
      <c r="N781" s="53"/>
      <c r="O781" s="51">
        <f t="shared" ref="O781:P781" si="2826">SUM(O773:O780)</f>
        <v>0</v>
      </c>
      <c r="P781" s="51">
        <f t="shared" si="2826"/>
        <v>1734.2</v>
      </c>
      <c r="Q781" s="52"/>
      <c r="R781" s="53"/>
      <c r="S781" s="51">
        <f t="shared" ref="S781:T781" si="2827">SUM(S773:S780)</f>
        <v>338</v>
      </c>
      <c r="T781" s="51">
        <f t="shared" si="2827"/>
        <v>0</v>
      </c>
      <c r="U781" s="52"/>
      <c r="V781" s="53"/>
      <c r="W781" s="51">
        <f t="shared" ref="W781:X781" si="2828">SUM(W773:W780)</f>
        <v>2072.2</v>
      </c>
      <c r="X781" s="51">
        <f t="shared" si="2828"/>
        <v>500</v>
      </c>
      <c r="Y781" s="300"/>
      <c r="Z781" s="301"/>
      <c r="AA781" s="51">
        <f t="shared" ref="AA781:AB781" si="2829">SUM(AA773:AA780)</f>
        <v>1612</v>
      </c>
      <c r="AB781" s="51">
        <f t="shared" si="2829"/>
        <v>2000</v>
      </c>
      <c r="AC781" s="52"/>
      <c r="AD781" s="53"/>
      <c r="AE781" s="51">
        <f t="shared" ref="AE781:AF781" si="2830">SUM(AE773:AE780)</f>
        <v>5565.12</v>
      </c>
      <c r="AF781" s="51">
        <f t="shared" si="2830"/>
        <v>4180</v>
      </c>
      <c r="AG781" s="52"/>
      <c r="AH781" s="301"/>
      <c r="AI781" s="183">
        <f t="shared" ref="AI781:AJ781" si="2831">SUM(AI773:AI780)</f>
        <v>1096.8</v>
      </c>
      <c r="AJ781" s="51">
        <f t="shared" si="2831"/>
        <v>825</v>
      </c>
      <c r="AK781" s="52"/>
      <c r="AL781" s="53"/>
      <c r="AM781" s="183">
        <f t="shared" ref="AM781:AN781" si="2832">SUM(AM773:AM780)</f>
        <v>1208.55</v>
      </c>
      <c r="AN781" s="51">
        <f t="shared" si="2832"/>
        <v>1096.8</v>
      </c>
      <c r="AO781" s="52"/>
      <c r="AP781" s="53"/>
      <c r="AQ781" s="183">
        <f t="shared" ref="AQ781:AR781" si="2833">SUM(AQ773:AQ780)</f>
        <v>1601.82</v>
      </c>
      <c r="AR781" s="51">
        <f t="shared" si="2833"/>
        <v>1150</v>
      </c>
      <c r="AS781" s="52"/>
      <c r="AT781" s="53"/>
      <c r="AU781" s="183">
        <f t="shared" ref="AU781:AV781" si="2834">SUM(AU773:AU780)</f>
        <v>2543.4</v>
      </c>
      <c r="AV781" s="68">
        <f t="shared" si="2834"/>
        <v>7202</v>
      </c>
      <c r="AW781" s="52"/>
      <c r="AX781" s="53"/>
      <c r="AY781" s="183">
        <f t="shared" ref="AY781:AZ781" si="2835">SUM(AY773:AY780)</f>
        <v>1849.5</v>
      </c>
      <c r="AZ781" s="68">
        <f t="shared" si="2835"/>
        <v>0</v>
      </c>
      <c r="BA781" s="52"/>
      <c r="BB781" s="53"/>
      <c r="BC781" s="183">
        <f t="shared" ref="BC781:BD781" si="2836">SUM(BC773:BC780)</f>
        <v>0</v>
      </c>
      <c r="BD781" s="68">
        <f t="shared" si="2836"/>
        <v>3500</v>
      </c>
      <c r="BE781" s="69"/>
      <c r="BF781" s="70">
        <f t="shared" ref="BF781:BH781" si="2837">SUM(BF773:BF780)</f>
        <v>19624.19</v>
      </c>
      <c r="BG781" s="71">
        <f t="shared" si="2837"/>
        <v>22188</v>
      </c>
      <c r="BH781" s="72">
        <f t="shared" si="2837"/>
        <v>91.19</v>
      </c>
      <c r="BI781" s="34">
        <f>H781+BF781-BG781</f>
        <v>91.19</v>
      </c>
      <c r="BJ781" s="34">
        <f>BH781-BI781</f>
        <v>0</v>
      </c>
      <c r="BK781" s="2" t="b">
        <f>H781='2020'!BH781</f>
        <v>1</v>
      </c>
    </row>
    <row r="782" ht="14.25" customHeight="1" hidden="1" spans="1:63" x14ac:dyDescent="0.25">
      <c r="A782" s="89" t="s">
        <v>292</v>
      </c>
      <c r="B782" s="14"/>
      <c r="C782" s="15"/>
      <c r="D782" s="14" t="s">
        <v>379</v>
      </c>
      <c r="E782" s="15"/>
      <c r="F782" s="13"/>
      <c r="G782" s="28"/>
      <c r="H782" s="34">
        <f>'2020'!BH782</f>
        <v>0</v>
      </c>
      <c r="I782" s="13"/>
      <c r="J782" s="15"/>
      <c r="K782" s="34"/>
      <c r="L782" s="35"/>
      <c r="M782" s="13"/>
      <c r="N782" s="15"/>
      <c r="O782" s="34"/>
      <c r="P782" s="34"/>
      <c r="Q782" s="13"/>
      <c r="R782" s="15"/>
      <c r="S782" s="34"/>
      <c r="T782" s="35"/>
      <c r="U782" s="13"/>
      <c r="V782" s="15"/>
      <c r="W782" s="34"/>
      <c r="X782" s="34"/>
      <c r="Y782" s="186"/>
      <c r="Z782" s="2"/>
      <c r="AA782" s="34"/>
      <c r="AB782" s="35"/>
      <c r="AC782" s="15"/>
      <c r="AD782" s="15"/>
      <c r="AE782" s="34"/>
      <c r="AF782" s="34"/>
      <c r="AG782" s="15"/>
      <c r="AH782" s="2"/>
      <c r="AI782" s="45"/>
      <c r="AJ782" s="34"/>
      <c r="AK782" s="13"/>
      <c r="AL782" s="15"/>
      <c r="AM782" s="45"/>
      <c r="AN782" s="34"/>
      <c r="AO782" s="13"/>
      <c r="AP782" s="15"/>
      <c r="AQ782" s="45">
        <v>14.03</v>
      </c>
      <c r="AR782" s="34"/>
      <c r="AS782" s="13"/>
      <c r="AT782" s="15"/>
      <c r="AU782" s="45"/>
      <c r="AV782" s="34"/>
      <c r="AW782" s="13"/>
      <c r="AX782" s="15"/>
      <c r="AY782" s="45"/>
      <c r="AZ782" s="28"/>
      <c r="BA782" s="13"/>
      <c r="BB782" s="15"/>
      <c r="BC782" s="45"/>
      <c r="BD782" s="28"/>
      <c r="BE782" s="42"/>
      <c r="BF782" s="41">
        <f t="shared" ref="BF782:BG782" si="2838">K782+O782+S782+W782+AA782+AE782+AI782+AM782+AQ782+AU782+AY782+BC782</f>
        <v>14.03</v>
      </c>
      <c r="BG782" s="34">
        <f t="shared" si="2838"/>
        <v>0</v>
      </c>
      <c r="BH782" s="35">
        <f t="shared" ref="BH782:BH789" si="2839">H782+BF782-BG782</f>
        <v>14.03</v>
      </c>
      <c r="BI782" s="15"/>
      <c r="BJ782" s="15"/>
      <c r="BK782" s="15" t="b">
        <f>H782='2020'!BH782</f>
        <v>1</v>
      </c>
    </row>
    <row r="783" ht="14.25" customHeight="1" hidden="1" spans="1:63" x14ac:dyDescent="0.25">
      <c r="A783" s="89" t="s">
        <v>292</v>
      </c>
      <c r="B783" s="14">
        <v>4.25</v>
      </c>
      <c r="C783" s="15" t="s">
        <v>436</v>
      </c>
      <c r="D783" s="14" t="s">
        <v>44</v>
      </c>
      <c r="E783" s="15" t="s">
        <v>45</v>
      </c>
      <c r="F783" s="41">
        <v>2.5</v>
      </c>
      <c r="G783" s="35">
        <v>2.6</v>
      </c>
      <c r="H783" s="34">
        <f>'2020'!BH783</f>
        <v>0</v>
      </c>
      <c r="I783" s="13">
        <v>0</v>
      </c>
      <c r="J783" s="15">
        <f>I783-'2020'!BA783</f>
        <v>0</v>
      </c>
      <c r="K783" s="34">
        <f>J783*$F$8</f>
        <v>0</v>
      </c>
      <c r="L783" s="35"/>
      <c r="M783" s="13">
        <v>0</v>
      </c>
      <c r="N783" s="15">
        <f t="shared" ref="N783:N784" si="2840">M783-I783</f>
        <v>0</v>
      </c>
      <c r="O783" s="34">
        <f>N783*$F$8</f>
        <v>0</v>
      </c>
      <c r="P783" s="34"/>
      <c r="Q783" s="13">
        <v>0</v>
      </c>
      <c r="R783" s="15">
        <f t="shared" ref="R783:R784" si="2841">Q783-M783</f>
        <v>0</v>
      </c>
      <c r="S783" s="34">
        <f>R783*$F$8</f>
        <v>0</v>
      </c>
      <c r="T783" s="35"/>
      <c r="U783" s="13">
        <v>0</v>
      </c>
      <c r="V783" s="15">
        <f t="shared" ref="V783:V784" si="2842">U783-Q783</f>
        <v>0</v>
      </c>
      <c r="W783" s="34">
        <f>V783*$F$8</f>
        <v>0</v>
      </c>
      <c r="X783" s="34"/>
      <c r="Y783" s="186"/>
      <c r="Z783" s="2">
        <f t="shared" ref="Z783:Z784" si="2843">Y783-U783</f>
        <v>0</v>
      </c>
      <c r="AA783" s="34">
        <f>Z783*$F$8</f>
        <v>0</v>
      </c>
      <c r="AB783" s="35"/>
      <c r="AC783" s="15"/>
      <c r="AD783" s="15">
        <f t="shared" ref="AD783:AD784" si="2844">AC783-Y783</f>
        <v>0</v>
      </c>
      <c r="AE783" s="180">
        <f>AD783*$F$8</f>
        <v>0</v>
      </c>
      <c r="AF783" s="34"/>
      <c r="AG783" s="15">
        <v>152</v>
      </c>
      <c r="AH783" s="2">
        <f t="shared" ref="AH783:AH784" si="2845">AG783-AC783</f>
        <v>152</v>
      </c>
      <c r="AI783" s="45">
        <f>AH783*$G$8</f>
        <v>410.4</v>
      </c>
      <c r="AJ783" s="15"/>
      <c r="AK783" s="13">
        <v>253</v>
      </c>
      <c r="AL783" s="15">
        <f t="shared" ref="AL783:AL784" si="2846">AK783-AG783</f>
        <v>101</v>
      </c>
      <c r="AM783" s="45">
        <f>AL783*$G$8</f>
        <v>272.7</v>
      </c>
      <c r="AN783" s="1">
        <v>410.4</v>
      </c>
      <c r="AO783" s="13">
        <v>584</v>
      </c>
      <c r="AP783" s="15">
        <f t="shared" ref="AP783:AP784" si="2847">AO783-AK783</f>
        <v>331</v>
      </c>
      <c r="AQ783" s="45">
        <f>AP783*$G$8</f>
        <v>893.7</v>
      </c>
      <c r="AR783" s="1">
        <v>350</v>
      </c>
      <c r="AS783" s="13">
        <v>1075</v>
      </c>
      <c r="AT783" s="15">
        <f t="shared" ref="AT783:AT784" si="2848">AS783-AO783</f>
        <v>491</v>
      </c>
      <c r="AU783" s="45">
        <f>AT783*$G$8</f>
        <v>1325.7</v>
      </c>
      <c r="AV783" s="15"/>
      <c r="AW783" s="13">
        <v>1182</v>
      </c>
      <c r="AX783" s="15">
        <f t="shared" ref="AX783:AX784" si="2849">AW783-AS783</f>
        <v>107</v>
      </c>
      <c r="AY783" s="45">
        <f>AX783*$G$8</f>
        <v>288.9</v>
      </c>
      <c r="AZ783" s="208"/>
      <c r="BA783" s="13">
        <v>1182</v>
      </c>
      <c r="BB783" s="15">
        <f t="shared" ref="BB783:BB784" si="2850">BA783-AW783</f>
        <v>0</v>
      </c>
      <c r="BC783" s="45">
        <f>BB783*$G$8</f>
        <v>0</v>
      </c>
      <c r="BD783" s="208"/>
      <c r="BE783" s="40">
        <f t="shared" ref="BE783:BG783" si="2851">J783+N783+R783+V783+Z783+AD783+AH783+AL783+AP783+AT783+AX783+BB783</f>
        <v>1182</v>
      </c>
      <c r="BF783" s="41">
        <f t="shared" si="2851"/>
        <v>3191.4</v>
      </c>
      <c r="BG783" s="34">
        <f t="shared" si="2851"/>
        <v>760.4</v>
      </c>
      <c r="BH783" s="35">
        <f t="shared" si="2839"/>
        <v>2431</v>
      </c>
      <c r="BI783" s="15"/>
      <c r="BJ783" s="15"/>
      <c r="BK783" s="15" t="b">
        <f>H783='2020'!BH783</f>
        <v>1</v>
      </c>
    </row>
    <row r="784" ht="14.25" customHeight="1" hidden="1" spans="1:63" x14ac:dyDescent="0.25">
      <c r="A784" s="89" t="s">
        <v>292</v>
      </c>
      <c r="B784" s="14"/>
      <c r="C784" s="15" t="s">
        <v>437</v>
      </c>
      <c r="D784" s="14" t="s">
        <v>47</v>
      </c>
      <c r="E784" s="15" t="s">
        <v>48</v>
      </c>
      <c r="F784" s="13">
        <v>18.56</v>
      </c>
      <c r="G784" s="35">
        <v>19.46</v>
      </c>
      <c r="H784" s="34">
        <f>'2020'!BH784</f>
        <v>0</v>
      </c>
      <c r="I784" s="13">
        <v>9</v>
      </c>
      <c r="J784" s="15"/>
      <c r="K784" s="34"/>
      <c r="L784" s="35"/>
      <c r="M784" s="13">
        <v>9</v>
      </c>
      <c r="N784" s="15">
        <f t="shared" si="2840"/>
        <v>0</v>
      </c>
      <c r="O784" s="34"/>
      <c r="P784" s="34"/>
      <c r="Q784" s="13">
        <v>9</v>
      </c>
      <c r="R784" s="15">
        <f t="shared" si="2841"/>
        <v>0</v>
      </c>
      <c r="S784" s="34"/>
      <c r="T784" s="35"/>
      <c r="U784" s="13">
        <v>9</v>
      </c>
      <c r="V784" s="15">
        <f t="shared" si="2842"/>
        <v>0</v>
      </c>
      <c r="W784" s="34">
        <f>V784*$F$10</f>
        <v>0</v>
      </c>
      <c r="X784" s="34"/>
      <c r="Y784" s="186">
        <v>9</v>
      </c>
      <c r="Z784" s="2">
        <f t="shared" si="2843"/>
        <v>0</v>
      </c>
      <c r="AA784" s="34">
        <f>Z784*$F$10</f>
        <v>0</v>
      </c>
      <c r="AB784" s="35"/>
      <c r="AC784" s="15">
        <v>10</v>
      </c>
      <c r="AD784" s="15">
        <f t="shared" si="2844"/>
        <v>1</v>
      </c>
      <c r="AE784" s="34">
        <f>AD784*$F$10</f>
        <v>19.46</v>
      </c>
      <c r="AF784" s="34"/>
      <c r="AG784" s="15">
        <v>11</v>
      </c>
      <c r="AH784" s="2">
        <f t="shared" si="2845"/>
        <v>1</v>
      </c>
      <c r="AI784" s="45">
        <f>AH784*$G$10</f>
        <v>20.35</v>
      </c>
      <c r="AJ784" s="187">
        <v>20</v>
      </c>
      <c r="AK784" s="13">
        <v>15</v>
      </c>
      <c r="AL784" s="15">
        <f t="shared" si="2846"/>
        <v>4</v>
      </c>
      <c r="AM784" s="45">
        <f>AL784*$G$10</f>
        <v>81.4</v>
      </c>
      <c r="AN784" s="1">
        <v>22.9</v>
      </c>
      <c r="AO784" s="13">
        <v>18</v>
      </c>
      <c r="AP784" s="15">
        <f t="shared" si="2847"/>
        <v>3</v>
      </c>
      <c r="AQ784" s="45">
        <f>AP784*$G$10</f>
        <v>61.05</v>
      </c>
      <c r="AR784" s="1">
        <v>139</v>
      </c>
      <c r="AS784" s="13">
        <v>18</v>
      </c>
      <c r="AT784" s="15">
        <f t="shared" si="2848"/>
        <v>0</v>
      </c>
      <c r="AU784" s="45">
        <f>AT784*$G$10</f>
        <v>0</v>
      </c>
      <c r="AV784" s="15"/>
      <c r="AW784" s="13">
        <v>18</v>
      </c>
      <c r="AX784" s="15">
        <f t="shared" si="2849"/>
        <v>0</v>
      </c>
      <c r="AY784" s="45"/>
      <c r="AZ784" s="208"/>
      <c r="BA784" s="13">
        <v>18</v>
      </c>
      <c r="BB784" s="15">
        <f t="shared" si="2850"/>
        <v>0</v>
      </c>
      <c r="BC784" s="45"/>
      <c r="BD784" s="208"/>
      <c r="BE784" s="40">
        <f t="shared" ref="BE784:BG784" si="2852">J784+N784+R784+V784+Z784+AD784+AH784+AL784+AP784+AT784+AX784+BB784</f>
        <v>9</v>
      </c>
      <c r="BF784" s="41">
        <f t="shared" si="2852"/>
        <v>182.26</v>
      </c>
      <c r="BG784" s="34">
        <f t="shared" si="2852"/>
        <v>181.9</v>
      </c>
      <c r="BH784" s="35">
        <f t="shared" si="2839"/>
        <v>0.36</v>
      </c>
      <c r="BI784" s="15"/>
      <c r="BJ784" s="15"/>
      <c r="BK784" s="15" t="b">
        <f>H784='2020'!BH784</f>
        <v>1</v>
      </c>
    </row>
    <row r="785" ht="14.25" customHeight="1" hidden="1" spans="1:63" x14ac:dyDescent="0.25">
      <c r="A785" s="89" t="s">
        <v>292</v>
      </c>
      <c r="B785" s="14"/>
      <c r="C785" s="15" t="s">
        <v>68</v>
      </c>
      <c r="D785" s="14" t="s">
        <v>47</v>
      </c>
      <c r="E785" s="15" t="s">
        <v>49</v>
      </c>
      <c r="F785" s="41">
        <v>500</v>
      </c>
      <c r="G785" s="28"/>
      <c r="H785" s="34">
        <f>'2020'!BH785</f>
        <v>0</v>
      </c>
      <c r="I785" s="13"/>
      <c r="J785" s="15"/>
      <c r="K785" s="34"/>
      <c r="L785" s="35"/>
      <c r="M785" s="13"/>
      <c r="N785" s="15"/>
      <c r="O785" s="34"/>
      <c r="P785" s="34"/>
      <c r="Q785" s="13"/>
      <c r="R785" s="15"/>
      <c r="S785" s="34"/>
      <c r="T785" s="35"/>
      <c r="U785" s="13"/>
      <c r="V785" s="15"/>
      <c r="W785" s="34"/>
      <c r="X785" s="34"/>
      <c r="Y785" s="186"/>
      <c r="Z785" s="2"/>
      <c r="AA785" s="34"/>
      <c r="AB785" s="35"/>
      <c r="AC785" s="15"/>
      <c r="AD785" s="15"/>
      <c r="AE785" s="34"/>
      <c r="AF785" s="34"/>
      <c r="AG785" s="15"/>
      <c r="AH785" s="2"/>
      <c r="AI785" s="45"/>
      <c r="AJ785" s="15"/>
      <c r="AK785" s="13"/>
      <c r="AL785" s="15"/>
      <c r="AM785" s="45"/>
      <c r="AN785" s="15"/>
      <c r="AO785" s="13"/>
      <c r="AP785" s="15"/>
      <c r="AQ785" s="45"/>
      <c r="AR785" s="15"/>
      <c r="AS785" s="13"/>
      <c r="AT785" s="15"/>
      <c r="AU785" s="45"/>
      <c r="AV785" s="15"/>
      <c r="AW785" s="13"/>
      <c r="AX785" s="15"/>
      <c r="AY785" s="45"/>
      <c r="AZ785" s="28"/>
      <c r="BA785" s="13"/>
      <c r="BB785" s="15"/>
      <c r="BC785" s="45"/>
      <c r="BD785" s="28"/>
      <c r="BE785" s="14"/>
      <c r="BF785" s="41">
        <f t="shared" ref="BF785:BG785" si="2853">K785+O785+S785+W785+AA785+AE785+AI785+AM785+AQ785+AU785+AY785+BC785</f>
        <v>0</v>
      </c>
      <c r="BG785" s="34">
        <f t="shared" si="2853"/>
        <v>0</v>
      </c>
      <c r="BH785" s="35">
        <f t="shared" si="2839"/>
        <v>0</v>
      </c>
      <c r="BI785" s="15"/>
      <c r="BJ785" s="15"/>
      <c r="BK785" s="15" t="b">
        <f>H785='2020'!BH785</f>
        <v>1</v>
      </c>
    </row>
    <row r="786" ht="14.25" customHeight="1" hidden="1" spans="1:63" x14ac:dyDescent="0.25">
      <c r="A786" s="89" t="s">
        <v>292</v>
      </c>
      <c r="B786" s="14"/>
      <c r="C786" s="15" t="s">
        <v>438</v>
      </c>
      <c r="D786" s="14" t="s">
        <v>50</v>
      </c>
      <c r="E786" s="15" t="s">
        <v>49</v>
      </c>
      <c r="F786" s="41">
        <v>1100</v>
      </c>
      <c r="G786" s="28"/>
      <c r="H786" s="34">
        <f>'2020'!BH786</f>
        <v>0</v>
      </c>
      <c r="I786" s="13"/>
      <c r="J786" s="15"/>
      <c r="K786" s="34"/>
      <c r="L786" s="35"/>
      <c r="M786" s="13"/>
      <c r="N786" s="15"/>
      <c r="O786" s="34"/>
      <c r="P786" s="34"/>
      <c r="Q786" s="13"/>
      <c r="R786" s="15"/>
      <c r="S786" s="34"/>
      <c r="T786" s="35"/>
      <c r="U786" s="13"/>
      <c r="V786" s="15"/>
      <c r="W786" s="34"/>
      <c r="X786" s="34"/>
      <c r="Y786" s="186"/>
      <c r="Z786" s="2"/>
      <c r="AA786" s="34"/>
      <c r="AB786" s="35"/>
      <c r="AC786" s="15"/>
      <c r="AD786" s="15"/>
      <c r="AE786" s="34">
        <f>B783*$F$12</f>
        <v>4675</v>
      </c>
      <c r="AF786" s="34"/>
      <c r="AG786" s="15"/>
      <c r="AH786" s="2"/>
      <c r="AI786" s="45"/>
      <c r="AJ786" s="34"/>
      <c r="AK786" s="13"/>
      <c r="AL786" s="15"/>
      <c r="AM786" s="45"/>
      <c r="AN786" s="34"/>
      <c r="AO786" s="13"/>
      <c r="AP786" s="15"/>
      <c r="AQ786" s="45"/>
      <c r="AR786" s="15"/>
      <c r="AS786" s="13"/>
      <c r="AT786" s="15"/>
      <c r="AU786" s="45"/>
      <c r="AV786" s="1">
        <f>9416-AV777</f>
        <v>4675</v>
      </c>
      <c r="AW786" s="13"/>
      <c r="AX786" s="15"/>
      <c r="AY786" s="45"/>
      <c r="AZ786" s="28"/>
      <c r="BA786" s="13"/>
      <c r="BB786" s="15"/>
      <c r="BC786" s="45"/>
      <c r="BD786" s="28"/>
      <c r="BE786" s="14"/>
      <c r="BF786" s="41">
        <f t="shared" ref="BF786:BG786" si="2854">K786+O786+S786+W786+AA786+AE786+AI786+AM786+AQ786+AU786+AY786+BC786</f>
        <v>4675</v>
      </c>
      <c r="BG786" s="34">
        <f t="shared" si="2854"/>
        <v>4675</v>
      </c>
      <c r="BH786" s="35">
        <f t="shared" si="2839"/>
        <v>0</v>
      </c>
      <c r="BI786" s="15"/>
      <c r="BJ786" s="15"/>
      <c r="BK786" s="15" t="b">
        <f>H786='2020'!BH786</f>
        <v>1</v>
      </c>
    </row>
    <row r="787" ht="14.25" customHeight="1" hidden="1" spans="1:63" x14ac:dyDescent="0.25">
      <c r="A787" s="89" t="s">
        <v>292</v>
      </c>
      <c r="B787" s="14"/>
      <c r="C787" s="15" t="s">
        <v>439</v>
      </c>
      <c r="D787" s="14" t="s">
        <v>51</v>
      </c>
      <c r="E787" s="15" t="s">
        <v>39</v>
      </c>
      <c r="F787" s="41">
        <v>500</v>
      </c>
      <c r="G787" s="28"/>
      <c r="H787" s="34">
        <f>'2020'!BH787</f>
        <v>500</v>
      </c>
      <c r="I787" s="13"/>
      <c r="J787" s="15"/>
      <c r="K787" s="34"/>
      <c r="L787" s="35"/>
      <c r="M787" s="13"/>
      <c r="N787" s="15"/>
      <c r="O787" s="34"/>
      <c r="P787" s="34"/>
      <c r="Q787" s="13"/>
      <c r="R787" s="15"/>
      <c r="S787" s="34"/>
      <c r="T787" s="35"/>
      <c r="U787" s="13"/>
      <c r="V787" s="15"/>
      <c r="W787" s="34"/>
      <c r="X787" s="34"/>
      <c r="Y787" s="186"/>
      <c r="Z787" s="2"/>
      <c r="AA787" s="34"/>
      <c r="AB787" s="35"/>
      <c r="AC787" s="15"/>
      <c r="AD787" s="15"/>
      <c r="AE787" s="180">
        <f>$F$13</f>
      </c>
      <c r="AF787" s="39">
        <v>500</v>
      </c>
      <c r="AG787" s="15"/>
      <c r="AH787" s="2"/>
      <c r="AI787" s="45"/>
      <c r="AJ787" s="180"/>
      <c r="AK787" s="13"/>
      <c r="AL787" s="15"/>
      <c r="AM787" s="45"/>
      <c r="AN787" s="15"/>
      <c r="AO787" s="13"/>
      <c r="AP787" s="15"/>
      <c r="AQ787" s="180"/>
      <c r="AR787" s="15"/>
      <c r="AS787" s="13"/>
      <c r="AT787" s="15"/>
      <c r="AU787" s="45"/>
      <c r="AV787" s="15"/>
      <c r="AW787" s="13"/>
      <c r="AX787" s="15"/>
      <c r="AY787" s="45"/>
      <c r="AZ787" s="28"/>
      <c r="BA787" s="13"/>
      <c r="BB787" s="15"/>
      <c r="BC787" s="45"/>
      <c r="BD787" s="28"/>
      <c r="BE787" s="14"/>
      <c r="BF787" s="41">
        <f t="shared" ref="BF787:BG787" si="2855">K787+O787+S787+W787+AA787+AE787+AI787+AM787+AQ787+AU787+AY787+BC787</f>
        <v>0</v>
      </c>
      <c r="BG787" s="34">
        <f t="shared" si="2855"/>
        <v>500</v>
      </c>
      <c r="BH787" s="35">
        <f t="shared" si="2839"/>
        <v>0</v>
      </c>
      <c r="BI787" s="15"/>
      <c r="BJ787" s="15"/>
      <c r="BK787" s="15" t="b">
        <f>H787='2020'!BH787</f>
        <v>1</v>
      </c>
    </row>
    <row r="788" ht="14.25" customHeight="1" hidden="1" spans="1:63" x14ac:dyDescent="0.25">
      <c r="A788" s="89" t="s">
        <v>292</v>
      </c>
      <c r="B788" s="14"/>
      <c r="C788" s="15"/>
      <c r="D788" s="14" t="s">
        <v>51</v>
      </c>
      <c r="E788" s="15" t="s">
        <v>49</v>
      </c>
      <c r="F788" s="41">
        <v>500</v>
      </c>
      <c r="G788" s="28"/>
      <c r="H788" s="34">
        <f>'2020'!BH788</f>
        <v>2125</v>
      </c>
      <c r="I788" s="13"/>
      <c r="J788" s="15"/>
      <c r="K788" s="34"/>
      <c r="L788" s="35"/>
      <c r="M788" s="13"/>
      <c r="N788" s="15"/>
      <c r="O788" s="34"/>
      <c r="P788" s="34"/>
      <c r="Q788" s="13"/>
      <c r="R788" s="15"/>
      <c r="S788" s="34"/>
      <c r="T788" s="35"/>
      <c r="U788" s="13"/>
      <c r="V788" s="15"/>
      <c r="W788" s="34"/>
      <c r="X788" s="34"/>
      <c r="Y788" s="186"/>
      <c r="Z788" s="2"/>
      <c r="AA788" s="34"/>
      <c r="AB788" s="35"/>
      <c r="AC788" s="15"/>
      <c r="AD788" s="15"/>
      <c r="AE788" s="34"/>
      <c r="AF788" s="39">
        <v>2125</v>
      </c>
      <c r="AG788" s="15"/>
      <c r="AH788" s="2"/>
      <c r="AI788" s="45"/>
      <c r="AJ788" s="180"/>
      <c r="AK788" s="13"/>
      <c r="AL788" s="15"/>
      <c r="AM788" s="45"/>
      <c r="AN788" s="15"/>
      <c r="AO788" s="13"/>
      <c r="AP788" s="15"/>
      <c r="AQ788" s="180">
        <f>B783*$F$14</f>
        <v>0</v>
      </c>
      <c r="AR788" s="15"/>
      <c r="AS788" s="13"/>
      <c r="AT788" s="15"/>
      <c r="AU788" s="45"/>
      <c r="AV788" s="15"/>
      <c r="AW788" s="13"/>
      <c r="AX788" s="15"/>
      <c r="AY788" s="45"/>
      <c r="AZ788" s="28"/>
      <c r="BA788" s="13"/>
      <c r="BB788" s="15"/>
      <c r="BC788" s="45"/>
      <c r="BD788" s="28"/>
      <c r="BE788" s="14"/>
      <c r="BF788" s="41">
        <f t="shared" ref="BF788:BG788" si="2856">K788+O788+S788+W788+AA788+AE788+AI788+AM788+AQ788+AU788+AY788+BC788</f>
        <v>0</v>
      </c>
      <c r="BG788" s="34">
        <f t="shared" si="2856"/>
        <v>2125</v>
      </c>
      <c r="BH788" s="35">
        <f t="shared" si="2839"/>
        <v>0</v>
      </c>
      <c r="BI788" s="15"/>
      <c r="BJ788" s="15"/>
      <c r="BK788" s="15" t="b">
        <f>H788='2020'!BH788</f>
        <v>1</v>
      </c>
    </row>
    <row r="789" ht="14.25" customHeight="1" hidden="1" spans="1:63" x14ac:dyDescent="0.25">
      <c r="A789" s="89" t="s">
        <v>292</v>
      </c>
      <c r="B789" s="14"/>
      <c r="C789" s="15"/>
      <c r="D789" s="14" t="s">
        <v>52</v>
      </c>
      <c r="E789" s="15" t="s">
        <v>39</v>
      </c>
      <c r="F789" s="41">
        <v>500</v>
      </c>
      <c r="G789" s="28"/>
      <c r="H789" s="34">
        <f>'2020'!BH789</f>
        <v>0</v>
      </c>
      <c r="I789" s="13"/>
      <c r="J789" s="15"/>
      <c r="K789" s="34"/>
      <c r="L789" s="35"/>
      <c r="M789" s="13"/>
      <c r="N789" s="15"/>
      <c r="O789" s="34"/>
      <c r="P789" s="34"/>
      <c r="Q789" s="13"/>
      <c r="R789" s="15"/>
      <c r="S789" s="34"/>
      <c r="T789" s="35"/>
      <c r="U789" s="13"/>
      <c r="V789" s="15"/>
      <c r="W789" s="34"/>
      <c r="X789" s="34"/>
      <c r="Y789" s="186"/>
      <c r="Z789" s="2"/>
      <c r="AA789" s="34">
        <f>$F$15</f>
      </c>
      <c r="AB789" s="35"/>
      <c r="AC789" s="15"/>
      <c r="AD789" s="15"/>
      <c r="AE789" s="34"/>
      <c r="AF789" s="34"/>
      <c r="AG789" s="15"/>
      <c r="AH789" s="2"/>
      <c r="AI789" s="45"/>
      <c r="AJ789" s="15"/>
      <c r="AK789" s="13"/>
      <c r="AL789" s="15"/>
      <c r="AM789" s="45"/>
      <c r="AN789" s="15"/>
      <c r="AO789" s="13"/>
      <c r="AP789" s="15"/>
      <c r="AQ789" s="45"/>
      <c r="AR789" s="15"/>
      <c r="AS789" s="13"/>
      <c r="AT789" s="15"/>
      <c r="AU789" s="45"/>
      <c r="AV789" s="15"/>
      <c r="AW789" s="13"/>
      <c r="AX789" s="15"/>
      <c r="AY789" s="45"/>
      <c r="AZ789" s="35"/>
      <c r="BA789" s="13"/>
      <c r="BB789" s="15"/>
      <c r="BC789" s="45"/>
      <c r="BD789" s="35"/>
      <c r="BE789" s="14"/>
      <c r="BF789" s="41">
        <f t="shared" ref="BF789:BG789" si="2857">K789+O789+S789+W789+AA789+AE789+AI789+AM789+AQ789+AU789+AY789+BC789</f>
        <v>0</v>
      </c>
      <c r="BG789" s="34">
        <f t="shared" si="2857"/>
        <v>0</v>
      </c>
      <c r="BH789" s="35">
        <f t="shared" si="2839"/>
        <v>0</v>
      </c>
      <c r="BI789" s="15"/>
      <c r="BJ789" s="15"/>
      <c r="BK789" s="15" t="b">
        <f>H789='2020'!BH789</f>
        <v>1</v>
      </c>
    </row>
    <row r="790" ht="14.25" customHeight="1" hidden="1" spans="1:63" x14ac:dyDescent="0.25">
      <c r="A790" s="244" t="s">
        <v>297</v>
      </c>
      <c r="B790" s="21"/>
      <c r="C790" s="22" t="s">
        <v>53</v>
      </c>
      <c r="D790" s="21"/>
      <c r="E790" s="22"/>
      <c r="F790" s="20"/>
      <c r="G790" s="23"/>
      <c r="H790" s="51">
        <f>SUM(H782:H789)</f>
        <v>2625</v>
      </c>
      <c r="I790" s="52"/>
      <c r="J790" s="53"/>
      <c r="K790" s="51">
        <f t="shared" ref="K790:L790" si="2858">SUM(K782:K789)</f>
        <v>0</v>
      </c>
      <c r="L790" s="68">
        <f t="shared" si="2858"/>
        <v>0</v>
      </c>
      <c r="M790" s="52"/>
      <c r="N790" s="53"/>
      <c r="O790" s="51">
        <f t="shared" ref="O790:P790" si="2859">SUM(O782:O789)</f>
        <v>0</v>
      </c>
      <c r="P790" s="51">
        <f t="shared" si="2859"/>
        <v>0</v>
      </c>
      <c r="Q790" s="52"/>
      <c r="R790" s="53"/>
      <c r="S790" s="51">
        <f t="shared" ref="S790:T790" si="2860">SUM(S782:S789)</f>
        <v>0</v>
      </c>
      <c r="T790" s="51">
        <f t="shared" si="2860"/>
        <v>0</v>
      </c>
      <c r="U790" s="52"/>
      <c r="V790" s="53"/>
      <c r="W790" s="51">
        <f t="shared" ref="W790:X790" si="2861">SUM(W782:W789)</f>
        <v>0</v>
      </c>
      <c r="X790" s="51">
        <f t="shared" si="2861"/>
        <v>0</v>
      </c>
      <c r="Y790" s="300"/>
      <c r="Z790" s="301"/>
      <c r="AA790" s="51">
        <f t="shared" ref="AA790:AB790" si="2862">SUM(AA782:AA789)</f>
        <v>0</v>
      </c>
      <c r="AB790" s="51">
        <f t="shared" si="2862"/>
        <v>0</v>
      </c>
      <c r="AC790" s="52"/>
      <c r="AD790" s="53"/>
      <c r="AE790" s="51">
        <f t="shared" ref="AE790:AF790" si="2863">SUM(AE782:AE789)</f>
        <v>4694.46</v>
      </c>
      <c r="AF790" s="51">
        <f t="shared" si="2863"/>
        <v>2625</v>
      </c>
      <c r="AG790" s="52"/>
      <c r="AH790" s="301"/>
      <c r="AI790" s="183">
        <f t="shared" ref="AI790:AJ790" si="2864">SUM(AI782:AI789)</f>
        <v>430.75</v>
      </c>
      <c r="AJ790" s="51">
        <f t="shared" si="2864"/>
        <v>20</v>
      </c>
      <c r="AK790" s="52"/>
      <c r="AL790" s="53"/>
      <c r="AM790" s="183">
        <f t="shared" ref="AM790:AN790" si="2865">SUM(AM782:AM789)</f>
        <v>354.1</v>
      </c>
      <c r="AN790" s="51">
        <f t="shared" si="2865"/>
        <v>433.3</v>
      </c>
      <c r="AO790" s="52"/>
      <c r="AP790" s="53"/>
      <c r="AQ790" s="183">
        <f t="shared" ref="AQ790:AR790" si="2866">SUM(AQ782:AQ789)</f>
        <v>968.78</v>
      </c>
      <c r="AR790" s="51">
        <f t="shared" si="2866"/>
        <v>489</v>
      </c>
      <c r="AS790" s="52"/>
      <c r="AT790" s="53"/>
      <c r="AU790" s="183">
        <f t="shared" ref="AU790:AV790" si="2867">SUM(AU782:AU789)</f>
        <v>1325.7</v>
      </c>
      <c r="AV790" s="68">
        <f t="shared" si="2867"/>
        <v>4675</v>
      </c>
      <c r="AW790" s="52"/>
      <c r="AX790" s="53"/>
      <c r="AY790" s="183">
        <f t="shared" ref="AY790:AZ790" si="2868">SUM(AY782:AY789)</f>
        <v>288.9</v>
      </c>
      <c r="AZ790" s="68">
        <f t="shared" si="2868"/>
        <v>0</v>
      </c>
      <c r="BA790" s="52"/>
      <c r="BB790" s="53"/>
      <c r="BC790" s="183">
        <f t="shared" ref="BC790:BD790" si="2869">SUM(BC782:BC789)</f>
        <v>0</v>
      </c>
      <c r="BD790" s="68">
        <f t="shared" si="2869"/>
        <v>0</v>
      </c>
      <c r="BE790" s="69"/>
      <c r="BF790" s="70">
        <f t="shared" ref="BF790:BH790" si="2870">SUM(BF782:BF789)</f>
        <v>8062.69</v>
      </c>
      <c r="BG790" s="71">
        <f t="shared" si="2870"/>
        <v>8242.3</v>
      </c>
      <c r="BH790" s="72">
        <f t="shared" si="2870"/>
        <v>2445.39</v>
      </c>
      <c r="BI790" s="34">
        <f>H790+BF790-BG790</f>
        <v>2445.39</v>
      </c>
      <c r="BJ790" s="34">
        <f>BH790-BI790</f>
        <v>0</v>
      </c>
      <c r="BK790" s="2" t="b">
        <f>H790='2020'!BH790</f>
        <v>1</v>
      </c>
    </row>
    <row r="791" ht="14.25" customHeight="1" hidden="1" spans="1:63" x14ac:dyDescent="0.25">
      <c r="A791" s="2">
        <v>80</v>
      </c>
      <c r="B791" s="14"/>
      <c r="D791" s="14" t="s">
        <v>379</v>
      </c>
      <c r="F791" s="13"/>
      <c r="G791" s="28"/>
      <c r="H791" s="34">
        <f>'2020'!BH791</f>
        <v>0.92</v>
      </c>
      <c r="I791" s="13"/>
      <c r="J791" s="15"/>
      <c r="K791" s="15"/>
      <c r="L791" s="28"/>
      <c r="M791" s="13"/>
      <c r="N791" s="15"/>
      <c r="Q791" s="13"/>
      <c r="R791" s="15"/>
      <c r="S791" s="15"/>
      <c r="T791" s="28"/>
      <c r="U791" s="13"/>
      <c r="V791" s="15"/>
      <c r="Y791" s="186"/>
      <c r="Z791" s="2"/>
      <c r="AA791" s="15"/>
      <c r="AB791" s="28"/>
      <c r="AC791" s="15"/>
      <c r="AD791" s="15"/>
      <c r="AG791" s="15"/>
      <c r="AH791" s="2"/>
      <c r="AI791" s="45"/>
      <c r="AJ791" s="15"/>
      <c r="AK791" s="13"/>
      <c r="AM791" s="45"/>
      <c r="AO791" s="13"/>
      <c r="AQ791" s="180"/>
      <c r="AR791" s="1">
        <v>0.92</v>
      </c>
      <c r="AS791" s="13"/>
      <c r="AU791" s="45"/>
      <c r="AW791" s="13"/>
      <c r="AY791" s="45"/>
      <c r="AZ791" s="28"/>
      <c r="BA791" s="13"/>
      <c r="BB791" s="15"/>
      <c r="BC791" s="45"/>
      <c r="BD791" s="28"/>
      <c r="BE791" s="14"/>
      <c r="BF791" s="41">
        <f t="shared" ref="BF791:BG791" si="2871">K791+O791+S791+W791+AA791+AE791+AI791+AM791+AQ791+AU791+AY791+BC791</f>
        <v>0</v>
      </c>
      <c r="BG791" s="34">
        <f t="shared" si="2871"/>
        <v>0.92</v>
      </c>
      <c r="BH791" s="35">
        <f t="shared" ref="BH791:BH798" si="2872">H791+BF791-BG791</f>
        <v>0</v>
      </c>
      <c r="BK791" s="2" t="b">
        <f>H791='2020'!BH791</f>
        <v>1</v>
      </c>
    </row>
    <row r="792" ht="14.25" customHeight="1" hidden="1" spans="1:63" x14ac:dyDescent="0.25">
      <c r="A792" s="2">
        <v>80</v>
      </c>
      <c r="B792" s="14">
        <v>4.28</v>
      </c>
      <c r="C792" s="2" t="s">
        <v>298</v>
      </c>
      <c r="D792" s="14" t="s">
        <v>44</v>
      </c>
      <c r="E792" s="2" t="s">
        <v>45</v>
      </c>
      <c r="F792" s="41">
        <v>2.5</v>
      </c>
      <c r="G792" s="35">
        <v>2.6</v>
      </c>
      <c r="H792" s="34">
        <f>'2020'!BH792</f>
        <v>109.07</v>
      </c>
      <c r="I792" s="13">
        <v>1312</v>
      </c>
      <c r="J792" s="15">
        <f>I792-'2020'!BA792</f>
        <v>0</v>
      </c>
      <c r="K792" s="34">
        <f>J792*$F$8</f>
        <v>0</v>
      </c>
      <c r="L792" s="28"/>
      <c r="M792" s="13">
        <v>1312</v>
      </c>
      <c r="N792" s="15">
        <f t="shared" ref="N792:N793" si="2873">M792-I792</f>
        <v>0</v>
      </c>
      <c r="O792" s="34">
        <f>N792*$F$8</f>
        <v>0</v>
      </c>
      <c r="Q792" s="13">
        <v>1312</v>
      </c>
      <c r="R792" s="15">
        <f t="shared" ref="R792:R793" si="2874">Q792-M792</f>
        <v>0</v>
      </c>
      <c r="S792" s="34">
        <f>R792*$F$8</f>
        <v>0</v>
      </c>
      <c r="T792" s="28"/>
      <c r="U792" s="13">
        <v>1312</v>
      </c>
      <c r="V792" s="15">
        <f t="shared" ref="V792:V793" si="2875">U792-Q792</f>
        <v>0</v>
      </c>
      <c r="W792" s="34">
        <f>V792*$F$8</f>
        <v>0</v>
      </c>
      <c r="X792" s="34"/>
      <c r="Y792" s="186">
        <v>1329</v>
      </c>
      <c r="Z792" s="2">
        <f t="shared" ref="Z792:Z793" si="2876">Y792-U792</f>
        <v>17</v>
      </c>
      <c r="AA792" s="34">
        <f>Z792*$F$8</f>
        <v>44.2</v>
      </c>
      <c r="AB792" s="35"/>
      <c r="AC792" s="15">
        <v>1401</v>
      </c>
      <c r="AD792" s="15">
        <f t="shared" ref="AD792:AD793" si="2877">AC792-Y792</f>
        <v>72</v>
      </c>
      <c r="AE792" s="180">
        <f>AD792*$F$8</f>
        <v>187.2</v>
      </c>
      <c r="AF792" s="39">
        <v>510.05</v>
      </c>
      <c r="AG792" s="15">
        <v>1529</v>
      </c>
      <c r="AH792" s="2">
        <f t="shared" ref="AH792:AH793" si="2878">AG792-AC792</f>
        <v>128</v>
      </c>
      <c r="AI792" s="45">
        <f>AH792*$G$8</f>
        <v>345.6</v>
      </c>
      <c r="AJ792" s="187">
        <f>100+230</f>
        <v>330</v>
      </c>
      <c r="AK792" s="13">
        <v>1634</v>
      </c>
      <c r="AL792" s="15">
        <f t="shared" ref="AL792:AL793" si="2879">AK792-AG792</f>
        <v>105</v>
      </c>
      <c r="AM792" s="45">
        <f>AL792*$G$8</f>
        <v>283.5</v>
      </c>
      <c r="AN792" s="34"/>
      <c r="AO792" s="13">
        <v>1649</v>
      </c>
      <c r="AP792" s="15">
        <f t="shared" ref="AP792:AP793" si="2880">AO792-AK792</f>
        <v>15</v>
      </c>
      <c r="AQ792" s="45">
        <f>AP792*$G$8</f>
        <v>40.5</v>
      </c>
      <c r="AR792" s="1">
        <v>134.08</v>
      </c>
      <c r="AS792" s="13">
        <v>1655</v>
      </c>
      <c r="AT792" s="15">
        <f t="shared" ref="AT792:AT793" si="2881">AS792-AO792</f>
        <v>6</v>
      </c>
      <c r="AU792" s="45">
        <f t="shared" ref="AU792:AU793" si="2882">AT792*$G$8</f>
        <v>16.2</v>
      </c>
      <c r="AV792" s="1">
        <v>50</v>
      </c>
      <c r="AW792" s="13">
        <v>1657</v>
      </c>
      <c r="AX792" s="15">
        <f t="shared" ref="AX792:AX793" si="2883">AW792-AS792</f>
        <v>2</v>
      </c>
      <c r="AY792" s="45">
        <f>AX792*$G$8</f>
        <v>5.4</v>
      </c>
      <c r="AZ792" s="249">
        <v>40</v>
      </c>
      <c r="BA792" s="13">
        <v>1657</v>
      </c>
      <c r="BB792" s="15">
        <f t="shared" ref="BB792:BB793" si="2884">BA792-AW792</f>
        <v>0</v>
      </c>
      <c r="BC792" s="45">
        <f>BB792*$G$8</f>
        <v>0</v>
      </c>
      <c r="BD792" s="208"/>
      <c r="BE792" s="40">
        <f t="shared" ref="BE792:BG792" si="2885">J792+N792+R792+V792+Z792+AD792+AH792+AL792+AP792+AT792+AX792+BB792</f>
        <v>345</v>
      </c>
      <c r="BF792" s="41">
        <f t="shared" si="2885"/>
        <v>922.6</v>
      </c>
      <c r="BG792" s="34">
        <f t="shared" si="2885"/>
        <v>1064.13</v>
      </c>
      <c r="BH792" s="35">
        <f t="shared" si="2872"/>
        <v>-32.46</v>
      </c>
      <c r="BI792" s="34"/>
      <c r="BJ792" s="34"/>
      <c r="BK792" s="2" t="b">
        <f>H792='2020'!BH792</f>
        <v>1</v>
      </c>
    </row>
    <row r="793" ht="14.25" customHeight="1" hidden="1" spans="1:63" x14ac:dyDescent="0.25">
      <c r="A793" s="2">
        <v>80</v>
      </c>
      <c r="B793" s="14"/>
      <c r="C793" s="2" t="s">
        <v>215</v>
      </c>
      <c r="D793" s="14" t="s">
        <v>47</v>
      </c>
      <c r="E793" s="2" t="s">
        <v>48</v>
      </c>
      <c r="F793" s="13">
        <v>18.56</v>
      </c>
      <c r="G793" s="35">
        <v>19.46</v>
      </c>
      <c r="H793" s="34">
        <f>'2020'!BH793</f>
        <v>-75.86</v>
      </c>
      <c r="I793" s="13">
        <v>34</v>
      </c>
      <c r="J793" s="15"/>
      <c r="K793" s="15"/>
      <c r="L793" s="28"/>
      <c r="M793" s="13">
        <v>34</v>
      </c>
      <c r="N793" s="15">
        <f t="shared" si="2873"/>
        <v>0</v>
      </c>
      <c r="Q793" s="13">
        <v>34</v>
      </c>
      <c r="R793" s="15">
        <f t="shared" si="2874"/>
        <v>0</v>
      </c>
      <c r="S793" s="15"/>
      <c r="T793" s="28"/>
      <c r="U793" s="13">
        <v>34</v>
      </c>
      <c r="V793" s="15">
        <f t="shared" si="2875"/>
        <v>0</v>
      </c>
      <c r="W793" s="34">
        <f>V793*$F$10</f>
        <v>0</v>
      </c>
      <c r="Y793" s="186">
        <v>35</v>
      </c>
      <c r="Z793" s="2">
        <f t="shared" si="2876"/>
        <v>1</v>
      </c>
      <c r="AA793" s="34">
        <f>Z793*$F$10</f>
        <v>19.46</v>
      </c>
      <c r="AB793" s="28"/>
      <c r="AC793" s="15">
        <v>45</v>
      </c>
      <c r="AD793" s="15">
        <f t="shared" si="2877"/>
        <v>10</v>
      </c>
      <c r="AE793" s="34">
        <f>AD793*$F$10</f>
        <v>194.6</v>
      </c>
      <c r="AF793" s="1">
        <v>89.95</v>
      </c>
      <c r="AG793" s="15">
        <v>47</v>
      </c>
      <c r="AH793" s="2">
        <f t="shared" si="2878"/>
        <v>2</v>
      </c>
      <c r="AI793" s="45">
        <f>AH793*$G$10</f>
        <v>40.7</v>
      </c>
      <c r="AJ793" s="187">
        <v>150</v>
      </c>
      <c r="AK793" s="13">
        <v>50</v>
      </c>
      <c r="AL793" s="15">
        <f t="shared" si="2879"/>
        <v>3</v>
      </c>
      <c r="AM793" s="45">
        <f>AL793*$G$10</f>
        <v>61.05</v>
      </c>
      <c r="AN793" s="15"/>
      <c r="AO793" s="13">
        <v>50</v>
      </c>
      <c r="AP793" s="15">
        <f t="shared" si="2880"/>
        <v>0</v>
      </c>
      <c r="AQ793" s="45">
        <f>AP793*$G$10</f>
        <v>0</v>
      </c>
      <c r="AR793" s="39"/>
      <c r="AS793" s="13">
        <v>50</v>
      </c>
      <c r="AT793" s="15">
        <f t="shared" si="2881"/>
        <v>0</v>
      </c>
      <c r="AU793" s="45">
        <f t="shared" si="2882"/>
        <v>0</v>
      </c>
      <c r="AV793" s="15"/>
      <c r="AW793" s="13">
        <v>50</v>
      </c>
      <c r="AX793" s="15">
        <f t="shared" si="2883"/>
        <v>0</v>
      </c>
      <c r="AY793" s="45"/>
      <c r="AZ793" s="208"/>
      <c r="BA793" s="13">
        <v>50</v>
      </c>
      <c r="BB793" s="15">
        <f t="shared" si="2884"/>
        <v>0</v>
      </c>
      <c r="BC793" s="45"/>
      <c r="BD793" s="208"/>
      <c r="BE793" s="40">
        <f t="shared" ref="BE793:BG793" si="2886">J793+N793+R793+V793+Z793+AD793+AH793+AL793+AP793+AT793+AX793+BB793</f>
        <v>16</v>
      </c>
      <c r="BF793" s="41">
        <f t="shared" si="2886"/>
        <v>315.81</v>
      </c>
      <c r="BG793" s="34">
        <f t="shared" si="2886"/>
        <v>239.95</v>
      </c>
      <c r="BH793" s="35">
        <f t="shared" si="2872"/>
        <v>0</v>
      </c>
      <c r="BK793" s="2" t="b">
        <f>H793='2020'!BH793</f>
        <v>1</v>
      </c>
    </row>
    <row r="794" ht="14.25" customHeight="1" hidden="1" spans="1:63" x14ac:dyDescent="0.25">
      <c r="A794" s="2">
        <v>80</v>
      </c>
      <c r="B794" s="14"/>
      <c r="C794" s="2" t="s">
        <v>299</v>
      </c>
      <c r="D794" s="14" t="s">
        <v>47</v>
      </c>
      <c r="E794" s="2" t="s">
        <v>49</v>
      </c>
      <c r="F794" s="41">
        <v>500</v>
      </c>
      <c r="G794" s="28"/>
      <c r="H794" s="34">
        <f>'2020'!BH794</f>
        <v>0</v>
      </c>
      <c r="I794" s="13"/>
      <c r="J794" s="15"/>
      <c r="K794" s="15"/>
      <c r="L794" s="28"/>
      <c r="M794" s="13"/>
      <c r="N794" s="15"/>
      <c r="Q794" s="13"/>
      <c r="R794" s="15"/>
      <c r="S794" s="15"/>
      <c r="T794" s="28"/>
      <c r="U794" s="13"/>
      <c r="V794" s="15"/>
      <c r="Y794" s="186"/>
      <c r="Z794" s="2"/>
      <c r="AA794" s="15"/>
      <c r="AB794" s="28"/>
      <c r="AC794" s="15"/>
      <c r="AD794" s="15"/>
      <c r="AG794" s="15"/>
      <c r="AH794" s="2"/>
      <c r="AI794" s="45"/>
      <c r="AJ794" s="1"/>
      <c r="AK794" s="13"/>
      <c r="AL794" s="15"/>
      <c r="AM794" s="45"/>
      <c r="AN794" s="15"/>
      <c r="AO794" s="13"/>
      <c r="AP794" s="15"/>
      <c r="AQ794" s="45"/>
      <c r="AR794" s="1"/>
      <c r="AS794" s="13"/>
      <c r="AT794" s="15"/>
      <c r="AU794" s="45"/>
      <c r="AV794" s="15"/>
      <c r="AW794" s="13"/>
      <c r="AX794" s="15"/>
      <c r="AY794" s="45"/>
      <c r="AZ794" s="28"/>
      <c r="BA794" s="13"/>
      <c r="BB794" s="15"/>
      <c r="BC794" s="45"/>
      <c r="BD794" s="28"/>
      <c r="BE794" s="14"/>
      <c r="BF794" s="41">
        <f t="shared" ref="BF794:BG794" si="2887">K794+O794+S794+W794+AA794+AE794+AI794+AM794+AQ794+AU794+AY794+BC794</f>
        <v>0</v>
      </c>
      <c r="BG794" s="34">
        <f t="shared" si="2887"/>
        <v>0</v>
      </c>
      <c r="BH794" s="35">
        <f t="shared" si="2872"/>
        <v>0</v>
      </c>
      <c r="BK794" s="2" t="b">
        <f>H794='2020'!BH794</f>
        <v>1</v>
      </c>
    </row>
    <row r="795" ht="14.25" customHeight="1" hidden="1" spans="1:63" x14ac:dyDescent="0.25">
      <c r="A795" s="2">
        <v>80</v>
      </c>
      <c r="B795" s="14"/>
      <c r="C795" s="15" t="s">
        <v>440</v>
      </c>
      <c r="D795" s="14" t="s">
        <v>50</v>
      </c>
      <c r="E795" s="2" t="s">
        <v>49</v>
      </c>
      <c r="F795" s="41">
        <v>1100</v>
      </c>
      <c r="G795" s="28"/>
      <c r="H795" s="34">
        <f>'2020'!BH795</f>
        <v>0</v>
      </c>
      <c r="I795" s="13"/>
      <c r="J795" s="15"/>
      <c r="K795" s="15"/>
      <c r="L795" s="28"/>
      <c r="M795" s="13"/>
      <c r="N795" s="15"/>
      <c r="Q795" s="13"/>
      <c r="R795" s="15"/>
      <c r="S795" s="15"/>
      <c r="T795" s="28"/>
      <c r="U795" s="13"/>
      <c r="V795" s="15"/>
      <c r="Y795" s="186"/>
      <c r="Z795" s="2"/>
      <c r="AA795" s="15"/>
      <c r="AB795" s="28"/>
      <c r="AC795" s="15"/>
      <c r="AD795" s="15"/>
      <c r="AE795" s="34">
        <f>B792*$F$12</f>
        <v>4708</v>
      </c>
      <c r="AF795" s="15"/>
      <c r="AG795" s="15"/>
      <c r="AH795" s="2"/>
      <c r="AI795" s="45"/>
      <c r="AJ795" s="187">
        <f>708+1000+1000</f>
        <v>2708</v>
      </c>
      <c r="AK795" s="13"/>
      <c r="AL795" s="15"/>
      <c r="AM795" s="45"/>
      <c r="AN795" s="39">
        <v>1000</v>
      </c>
      <c r="AO795" s="13"/>
      <c r="AP795" s="15"/>
      <c r="AQ795" s="45"/>
      <c r="AR795" s="39">
        <v>1000</v>
      </c>
      <c r="AS795" s="13"/>
      <c r="AT795" s="15"/>
      <c r="AU795" s="45"/>
      <c r="AV795" s="15"/>
      <c r="AW795" s="13"/>
      <c r="AX795" s="15"/>
      <c r="AY795" s="45"/>
      <c r="AZ795" s="28"/>
      <c r="BA795" s="13"/>
      <c r="BB795" s="15"/>
      <c r="BC795" s="45"/>
      <c r="BD795" s="28"/>
      <c r="BE795" s="14"/>
      <c r="BF795" s="41">
        <f t="shared" ref="BF795:BG795" si="2888">K795+O795+S795+W795+AA795+AE795+AI795+AM795+AQ795+AU795+AY795+BC795</f>
        <v>4708</v>
      </c>
      <c r="BG795" s="34">
        <f t="shared" si="2888"/>
        <v>4708</v>
      </c>
      <c r="BH795" s="35">
        <f t="shared" si="2872"/>
        <v>0</v>
      </c>
      <c r="BK795" s="2" t="b">
        <f>H795='2020'!BH795</f>
        <v>1</v>
      </c>
    </row>
    <row r="796" ht="14.25" customHeight="1" hidden="1" spans="1:63" x14ac:dyDescent="0.25">
      <c r="A796" s="2">
        <v>80</v>
      </c>
      <c r="B796" s="14"/>
      <c r="D796" s="14" t="s">
        <v>51</v>
      </c>
      <c r="E796" s="2" t="s">
        <v>39</v>
      </c>
      <c r="F796" s="41">
        <v>500</v>
      </c>
      <c r="G796" s="28"/>
      <c r="H796" s="34">
        <f>'2020'!BH796</f>
        <v>500</v>
      </c>
      <c r="I796" s="13"/>
      <c r="J796" s="15"/>
      <c r="K796" s="15"/>
      <c r="L796" s="28"/>
      <c r="M796" s="13"/>
      <c r="N796" s="15"/>
      <c r="Q796" s="13"/>
      <c r="R796" s="15"/>
      <c r="S796" s="15"/>
      <c r="T796" s="28"/>
      <c r="U796" s="13"/>
      <c r="V796" s="15"/>
      <c r="Y796" s="186"/>
      <c r="Z796" s="2"/>
      <c r="AA796" s="15"/>
      <c r="AB796" s="28"/>
      <c r="AC796" s="15"/>
      <c r="AD796" s="15"/>
      <c r="AE796" s="180">
        <f>$F$13</f>
      </c>
      <c r="AG796" s="15"/>
      <c r="AH796" s="2"/>
      <c r="AI796" s="45"/>
      <c r="AJ796" s="187">
        <v>500</v>
      </c>
      <c r="AK796" s="13"/>
      <c r="AL796" s="15"/>
      <c r="AM796" s="45"/>
      <c r="AN796" s="15"/>
      <c r="AO796" s="13"/>
      <c r="AP796" s="15"/>
      <c r="AQ796" s="180"/>
      <c r="AR796" s="1"/>
      <c r="AS796" s="13"/>
      <c r="AT796" s="15"/>
      <c r="AU796" s="45"/>
      <c r="AV796" s="15"/>
      <c r="AW796" s="13"/>
      <c r="AX796" s="15"/>
      <c r="AY796" s="45"/>
      <c r="AZ796" s="28"/>
      <c r="BA796" s="13"/>
      <c r="BB796" s="15"/>
      <c r="BC796" s="45"/>
      <c r="BD796" s="28"/>
      <c r="BE796" s="14"/>
      <c r="BF796" s="41">
        <f t="shared" ref="BF796:BG796" si="2889">K796+O796+S796+W796+AA796+AE796+AI796+AM796+AQ796+AU796+AY796+BC796</f>
        <v>0</v>
      </c>
      <c r="BG796" s="34">
        <f t="shared" si="2889"/>
        <v>500</v>
      </c>
      <c r="BH796" s="35">
        <f t="shared" si="2872"/>
        <v>0</v>
      </c>
      <c r="BK796" s="2" t="b">
        <f>H796='2020'!BH796</f>
        <v>1</v>
      </c>
    </row>
    <row r="797" ht="14.25" customHeight="1" hidden="1" spans="1:63" x14ac:dyDescent="0.25">
      <c r="A797" s="2">
        <v>80</v>
      </c>
      <c r="B797" s="14"/>
      <c r="D797" s="14" t="s">
        <v>51</v>
      </c>
      <c r="E797" s="2" t="s">
        <v>49</v>
      </c>
      <c r="F797" s="41">
        <v>500</v>
      </c>
      <c r="G797" s="28"/>
      <c r="H797" s="34">
        <f>'2020'!BH797</f>
        <v>2140</v>
      </c>
      <c r="I797" s="13"/>
      <c r="J797" s="15"/>
      <c r="K797" s="15"/>
      <c r="L797" s="28"/>
      <c r="M797" s="13"/>
      <c r="N797" s="15"/>
      <c r="Q797" s="13"/>
      <c r="R797" s="15"/>
      <c r="S797" s="15"/>
      <c r="T797" s="28"/>
      <c r="U797" s="13"/>
      <c r="V797" s="15"/>
      <c r="Y797" s="186"/>
      <c r="Z797" s="2"/>
      <c r="AA797" s="15"/>
      <c r="AB797" s="28"/>
      <c r="AC797" s="15"/>
      <c r="AD797" s="15"/>
      <c r="AE797" s="34"/>
      <c r="AF797" s="1">
        <v>2140</v>
      </c>
      <c r="AG797" s="15"/>
      <c r="AH797" s="2"/>
      <c r="AI797" s="45"/>
      <c r="AJ797" s="248"/>
      <c r="AK797" s="13"/>
      <c r="AL797" s="15"/>
      <c r="AM797" s="45"/>
      <c r="AN797" s="15"/>
      <c r="AO797" s="13"/>
      <c r="AP797" s="15"/>
      <c r="AQ797" s="180">
        <f>B792*$F$14</f>
        <v>0</v>
      </c>
      <c r="AR797" s="1"/>
      <c r="AS797" s="13"/>
      <c r="AT797" s="15"/>
      <c r="AU797" s="45"/>
      <c r="AV797" s="15"/>
      <c r="AW797" s="13"/>
      <c r="AX797" s="15"/>
      <c r="AY797" s="45"/>
      <c r="AZ797" s="28"/>
      <c r="BA797" s="13"/>
      <c r="BB797" s="15"/>
      <c r="BC797" s="45"/>
      <c r="BD797" s="28"/>
      <c r="BE797" s="14"/>
      <c r="BF797" s="41">
        <f t="shared" ref="BF797:BG797" si="2890">K797+O797+S797+W797+AA797+AE797+AI797+AM797+AQ797+AU797+AY797+BC797</f>
        <v>0</v>
      </c>
      <c r="BG797" s="34">
        <f t="shared" si="2890"/>
        <v>2140</v>
      </c>
      <c r="BH797" s="35">
        <f t="shared" si="2872"/>
        <v>0</v>
      </c>
      <c r="BK797" s="2" t="b">
        <f>H797='2020'!BH797</f>
        <v>1</v>
      </c>
    </row>
    <row r="798" ht="14.25" customHeight="1" hidden="1" spans="1:63" x14ac:dyDescent="0.25">
      <c r="A798" s="2">
        <v>80</v>
      </c>
      <c r="B798" s="14"/>
      <c r="D798" s="14" t="s">
        <v>52</v>
      </c>
      <c r="E798" s="2" t="s">
        <v>39</v>
      </c>
      <c r="F798" s="41">
        <v>500</v>
      </c>
      <c r="G798" s="28"/>
      <c r="H798" s="34">
        <f>'2020'!BH798</f>
        <v>0</v>
      </c>
      <c r="I798" s="13"/>
      <c r="J798" s="15"/>
      <c r="K798" s="15"/>
      <c r="L798" s="28"/>
      <c r="M798" s="13"/>
      <c r="N798" s="15"/>
      <c r="Q798" s="13"/>
      <c r="R798" s="15"/>
      <c r="S798" s="15"/>
      <c r="T798" s="28"/>
      <c r="U798" s="13"/>
      <c r="V798" s="15"/>
      <c r="Y798" s="186"/>
      <c r="Z798" s="2"/>
      <c r="AA798" s="34">
        <f>$F$15</f>
      </c>
      <c r="AB798" s="28"/>
      <c r="AC798" s="15"/>
      <c r="AD798" s="15"/>
      <c r="AG798" s="15"/>
      <c r="AH798" s="2"/>
      <c r="AI798" s="45"/>
      <c r="AJ798" s="15"/>
      <c r="AK798" s="13"/>
      <c r="AL798" s="15"/>
      <c r="AM798" s="45"/>
      <c r="AN798" s="15"/>
      <c r="AO798" s="13"/>
      <c r="AP798" s="15"/>
      <c r="AQ798" s="45"/>
      <c r="AR798" s="39"/>
      <c r="AS798" s="13"/>
      <c r="AT798" s="15"/>
      <c r="AU798" s="45"/>
      <c r="AV798" s="15"/>
      <c r="AW798" s="13"/>
      <c r="AX798" s="15"/>
      <c r="AY798" s="45"/>
      <c r="AZ798" s="35"/>
      <c r="BA798" s="13"/>
      <c r="BB798" s="15"/>
      <c r="BC798" s="45"/>
      <c r="BD798" s="35"/>
      <c r="BE798" s="14"/>
      <c r="BF798" s="41">
        <f t="shared" ref="BF798:BG798" si="2891">K798+O798+S798+W798+AA798+AE798+AI798+AM798+AQ798+AU798+AY798+BC798</f>
        <v>0</v>
      </c>
      <c r="BG798" s="34">
        <f t="shared" si="2891"/>
        <v>0</v>
      </c>
      <c r="BH798" s="35">
        <f t="shared" si="2872"/>
        <v>0</v>
      </c>
      <c r="BK798" s="2" t="b">
        <f>H798='2020'!BH798</f>
        <v>1</v>
      </c>
    </row>
    <row r="799" ht="14.25" customHeight="1" hidden="1" spans="1:63" x14ac:dyDescent="0.25">
      <c r="A799" s="247">
        <v>80</v>
      </c>
      <c r="B799" s="21"/>
      <c r="C799" s="22" t="s">
        <v>53</v>
      </c>
      <c r="D799" s="21"/>
      <c r="E799" s="22"/>
      <c r="F799" s="20"/>
      <c r="G799" s="23"/>
      <c r="H799" s="51">
        <f>SUM(H791:H798)</f>
        <v>2674.13</v>
      </c>
      <c r="I799" s="52"/>
      <c r="J799" s="53"/>
      <c r="K799" s="51">
        <f t="shared" ref="K799:L799" si="2892">SUM(K791:K798)</f>
        <v>0</v>
      </c>
      <c r="L799" s="68">
        <f t="shared" si="2892"/>
        <v>0</v>
      </c>
      <c r="M799" s="52"/>
      <c r="N799" s="53"/>
      <c r="O799" s="51">
        <f t="shared" ref="O799:P799" si="2893">SUM(O791:O798)</f>
        <v>0</v>
      </c>
      <c r="P799" s="51">
        <f t="shared" si="2893"/>
        <v>0</v>
      </c>
      <c r="Q799" s="52"/>
      <c r="R799" s="53"/>
      <c r="S799" s="51">
        <f t="shared" ref="S799:T799" si="2894">SUM(S791:S798)</f>
        <v>0</v>
      </c>
      <c r="T799" s="51">
        <f t="shared" si="2894"/>
        <v>0</v>
      </c>
      <c r="U799" s="52"/>
      <c r="V799" s="53"/>
      <c r="W799" s="51">
        <f t="shared" ref="W799:X799" si="2895">SUM(W791:W798)</f>
        <v>0</v>
      </c>
      <c r="X799" s="51">
        <f t="shared" si="2895"/>
        <v>0</v>
      </c>
      <c r="Y799" s="300"/>
      <c r="Z799" s="301"/>
      <c r="AA799" s="51">
        <f t="shared" ref="AA799:AB799" si="2896">SUM(AA791:AA798)</f>
        <v>63.66</v>
      </c>
      <c r="AB799" s="51">
        <f t="shared" si="2896"/>
        <v>0</v>
      </c>
      <c r="AC799" s="52"/>
      <c r="AD799" s="53"/>
      <c r="AE799" s="51">
        <f t="shared" ref="AE799:AF799" si="2897">SUM(AE791:AE798)</f>
        <v>5089.8</v>
      </c>
      <c r="AF799" s="51">
        <f t="shared" si="2897"/>
        <v>2740</v>
      </c>
      <c r="AG799" s="52"/>
      <c r="AH799" s="301"/>
      <c r="AI799" s="183">
        <f t="shared" ref="AI799:AJ799" si="2898">SUM(AI791:AI798)</f>
        <v>386.3</v>
      </c>
      <c r="AJ799" s="51">
        <f t="shared" si="2898"/>
        <v>3688</v>
      </c>
      <c r="AK799" s="52"/>
      <c r="AL799" s="53"/>
      <c r="AM799" s="183">
        <f t="shared" ref="AM799:AN799" si="2899">SUM(AM791:AM798)</f>
        <v>344.55</v>
      </c>
      <c r="AN799" s="51">
        <f t="shared" si="2899"/>
        <v>1000</v>
      </c>
      <c r="AO799" s="52"/>
      <c r="AP799" s="53"/>
      <c r="AQ799" s="183">
        <f t="shared" ref="AQ799:AR799" si="2900">SUM(AQ791:AQ798)</f>
        <v>40.5</v>
      </c>
      <c r="AR799" s="329">
        <f t="shared" si="2900"/>
        <v>1135</v>
      </c>
      <c r="AS799" s="52"/>
      <c r="AT799" s="53"/>
      <c r="AU799" s="183">
        <f t="shared" ref="AU799:AV799" si="2901">SUM(AU791:AU798)</f>
        <v>16.2</v>
      </c>
      <c r="AV799" s="68">
        <f t="shared" si="2901"/>
        <v>50</v>
      </c>
      <c r="AW799" s="52"/>
      <c r="AX799" s="53"/>
      <c r="AY799" s="183">
        <f t="shared" ref="AY799:AZ799" si="2902">SUM(AY791:AY798)</f>
        <v>5.4</v>
      </c>
      <c r="AZ799" s="68">
        <f t="shared" si="2902"/>
        <v>40</v>
      </c>
      <c r="BA799" s="52"/>
      <c r="BB799" s="53"/>
      <c r="BC799" s="183">
        <f t="shared" ref="BC799:BD799" si="2903">SUM(BC791:BC798)</f>
        <v>0</v>
      </c>
      <c r="BD799" s="68">
        <f t="shared" si="2903"/>
        <v>0</v>
      </c>
      <c r="BE799" s="69"/>
      <c r="BF799" s="70">
        <f t="shared" ref="BF799:BH799" si="2904">SUM(BF791:BF798)</f>
        <v>5946.41</v>
      </c>
      <c r="BG799" s="71">
        <f t="shared" si="2904"/>
        <v>8653</v>
      </c>
      <c r="BH799" s="72">
        <f t="shared" si="2904"/>
        <v>-32.46</v>
      </c>
      <c r="BI799" s="34">
        <f>H799+BF799-BG799</f>
        <v>-32.46</v>
      </c>
      <c r="BJ799" s="34">
        <f>BH799-BI799</f>
        <v>0</v>
      </c>
      <c r="BK799" s="2" t="b">
        <f>H799='2020'!BH799</f>
        <v>1</v>
      </c>
    </row>
    <row r="800" ht="14.25" customHeight="1" hidden="1" spans="1:63" x14ac:dyDescent="0.25">
      <c r="A800" s="2">
        <v>82</v>
      </c>
      <c r="B800" s="14"/>
      <c r="D800" s="14" t="s">
        <v>379</v>
      </c>
      <c r="F800" s="13"/>
      <c r="G800" s="28"/>
      <c r="H800" s="34">
        <f>'2020'!BH800</f>
        <v>0.92</v>
      </c>
      <c r="I800" s="13"/>
      <c r="J800" s="15"/>
      <c r="K800" s="15"/>
      <c r="L800" s="28"/>
      <c r="M800" s="13"/>
      <c r="N800" s="15"/>
      <c r="Q800" s="13"/>
      <c r="R800" s="15"/>
      <c r="S800" s="15"/>
      <c r="T800" s="28"/>
      <c r="U800" s="13"/>
      <c r="V800" s="15"/>
      <c r="Y800" s="186"/>
      <c r="Z800" s="2"/>
      <c r="AA800" s="15"/>
      <c r="AB800" s="28"/>
      <c r="AC800" s="15"/>
      <c r="AD800" s="15"/>
      <c r="AG800" s="15"/>
      <c r="AH800" s="2"/>
      <c r="AI800" s="45"/>
      <c r="AJ800" s="15"/>
      <c r="AK800" s="13"/>
      <c r="AM800" s="45"/>
      <c r="AO800" s="13"/>
      <c r="AQ800" s="180"/>
      <c r="AR800" s="1">
        <v>0.92</v>
      </c>
      <c r="AS800" s="13"/>
      <c r="AU800" s="45"/>
      <c r="AW800" s="13"/>
      <c r="AY800" s="45"/>
      <c r="AZ800" s="28"/>
      <c r="BA800" s="13"/>
      <c r="BB800" s="15"/>
      <c r="BC800" s="45"/>
      <c r="BD800" s="28"/>
      <c r="BE800" s="14"/>
      <c r="BF800" s="41">
        <f t="shared" ref="BF800:BG800" si="2905">K800+O800+S800+W800+AA800+AE800+AI800+AM800+AQ800+AU800+AY800+BC800</f>
        <v>0</v>
      </c>
      <c r="BG800" s="34">
        <f t="shared" si="2905"/>
        <v>0.92</v>
      </c>
      <c r="BH800" s="35">
        <f t="shared" ref="BH800:BH807" si="2906">H800+BF800-BG800</f>
        <v>0</v>
      </c>
      <c r="BK800" s="2" t="b">
        <f>H800='2020'!BH800</f>
        <v>1</v>
      </c>
    </row>
    <row r="801" ht="14.25" customHeight="1" hidden="1" spans="1:63" x14ac:dyDescent="0.25">
      <c r="A801" s="89">
        <v>82</v>
      </c>
      <c r="B801" s="14">
        <v>4.28</v>
      </c>
      <c r="C801" s="2" t="s">
        <v>300</v>
      </c>
      <c r="D801" s="14" t="s">
        <v>44</v>
      </c>
      <c r="E801" s="2" t="s">
        <v>45</v>
      </c>
      <c r="F801" s="41">
        <v>2.5</v>
      </c>
      <c r="G801" s="35">
        <v>2.6</v>
      </c>
      <c r="H801" s="104">
        <f>'2020'!BH801</f>
        <v>0</v>
      </c>
      <c r="I801" s="13">
        <v>0</v>
      </c>
      <c r="J801" s="15">
        <f>I801-'2020'!BA801</f>
        <v>0</v>
      </c>
      <c r="K801" s="34">
        <f>J801*$F$8</f>
        <v>0</v>
      </c>
      <c r="L801" s="28"/>
      <c r="M801" s="13">
        <v>0</v>
      </c>
      <c r="N801" s="15">
        <f t="shared" ref="N801:N802" si="2907">M801-I801</f>
        <v>0</v>
      </c>
      <c r="O801" s="34">
        <f>N801*$F$8</f>
        <v>0</v>
      </c>
      <c r="Q801" s="13">
        <v>0</v>
      </c>
      <c r="R801" s="15">
        <f t="shared" ref="R801:R802" si="2908">Q801-M801</f>
        <v>0</v>
      </c>
      <c r="S801" s="34">
        <f>R801*$F$8</f>
        <v>0</v>
      </c>
      <c r="T801" s="28"/>
      <c r="U801" s="13">
        <v>0</v>
      </c>
      <c r="V801" s="15">
        <f t="shared" ref="V801:V802" si="2909">U801-Q801</f>
        <v>0</v>
      </c>
      <c r="W801" s="34">
        <f>V801*$F$8</f>
        <v>0</v>
      </c>
      <c r="Y801" s="186"/>
      <c r="Z801" s="2">
        <f t="shared" ref="Z801:Z802" si="2910">Y801-U801</f>
        <v>0</v>
      </c>
      <c r="AA801" s="34">
        <f>Z801*$F$8</f>
        <v>0</v>
      </c>
      <c r="AB801" s="28"/>
      <c r="AC801" s="15"/>
      <c r="AD801" s="15">
        <f t="shared" ref="AD801:AD802" si="2911">AC801-Y801</f>
        <v>0</v>
      </c>
      <c r="AE801" s="180">
        <f>AD801*$F$8</f>
        <v>0</v>
      </c>
      <c r="AG801" s="15">
        <v>0</v>
      </c>
      <c r="AH801" s="2">
        <f t="shared" ref="AH801:AH802" si="2912">AG801-AC801</f>
        <v>0</v>
      </c>
      <c r="AI801" s="45">
        <f>AH801*$G$8</f>
        <v>0</v>
      </c>
      <c r="AJ801" s="15"/>
      <c r="AK801" s="13">
        <v>0</v>
      </c>
      <c r="AL801" s="15">
        <f t="shared" ref="AL801:AL802" si="2913">AK801-AG801</f>
        <v>0</v>
      </c>
      <c r="AM801" s="45">
        <f>AL801*$G$8</f>
        <v>0</v>
      </c>
      <c r="AN801" s="15"/>
      <c r="AO801" s="13">
        <v>0</v>
      </c>
      <c r="AP801" s="15">
        <f t="shared" ref="AP801:AP802" si="2914">AO801-AK801</f>
        <v>0</v>
      </c>
      <c r="AQ801" s="45">
        <f>AP801*$G$8</f>
        <v>0</v>
      </c>
      <c r="AR801" s="1"/>
      <c r="AS801" s="13"/>
      <c r="AT801" s="15">
        <f t="shared" ref="AT801:AT802" si="2915">AS801-AO801</f>
        <v>0</v>
      </c>
      <c r="AU801" s="45">
        <f t="shared" ref="AU801:AU802" si="2916">AT801*$G$8</f>
        <v>0</v>
      </c>
      <c r="AV801" s="15"/>
      <c r="AW801" s="13"/>
      <c r="AX801" s="15">
        <f t="shared" ref="AX801:AX802" si="2917">AW801-AS801</f>
        <v>0</v>
      </c>
      <c r="AY801" s="45">
        <f>AX801*$G$8</f>
        <v>0</v>
      </c>
      <c r="AZ801" s="208"/>
      <c r="BA801" s="13"/>
      <c r="BB801" s="15">
        <f t="shared" ref="BB801:BB802" si="2918">BA801-AW801</f>
        <v>0</v>
      </c>
      <c r="BC801" s="45">
        <f>BB801*$G$8</f>
        <v>0</v>
      </c>
      <c r="BD801" s="208"/>
      <c r="BE801" s="40">
        <f t="shared" ref="BE801:BG801" si="2919">J801+N801+R801+V801+Z801+AD801+AH801+AL801+AP801+AT801+AX801+BB801</f>
        <v>0</v>
      </c>
      <c r="BF801" s="41">
        <f t="shared" si="2919"/>
        <v>0</v>
      </c>
      <c r="BG801" s="34">
        <f t="shared" si="2919"/>
        <v>0</v>
      </c>
      <c r="BH801" s="35">
        <f t="shared" si="2906"/>
        <v>0</v>
      </c>
      <c r="BK801" s="2" t="b">
        <f>H801='2020'!BH801</f>
        <v>1</v>
      </c>
    </row>
    <row r="802" ht="14.25" customHeight="1" hidden="1" spans="1:63" x14ac:dyDescent="0.25">
      <c r="A802" s="89">
        <v>82</v>
      </c>
      <c r="B802" s="14"/>
      <c r="C802" s="2" t="s">
        <v>87</v>
      </c>
      <c r="D802" s="14" t="s">
        <v>47</v>
      </c>
      <c r="E802" s="2" t="s">
        <v>48</v>
      </c>
      <c r="F802" s="13">
        <v>18.56</v>
      </c>
      <c r="G802" s="35">
        <v>19.46</v>
      </c>
      <c r="H802" s="34">
        <f>'2020'!BH802</f>
        <v>-20.39</v>
      </c>
      <c r="I802" s="13">
        <v>61</v>
      </c>
      <c r="J802" s="15"/>
      <c r="K802" s="15"/>
      <c r="L802" s="28"/>
      <c r="M802" s="13">
        <v>61</v>
      </c>
      <c r="N802" s="15">
        <f t="shared" si="2907"/>
        <v>0</v>
      </c>
      <c r="Q802" s="13">
        <v>61</v>
      </c>
      <c r="R802" s="15">
        <f t="shared" si="2908"/>
        <v>0</v>
      </c>
      <c r="S802" s="15"/>
      <c r="T802" s="28"/>
      <c r="U802" s="13">
        <v>61</v>
      </c>
      <c r="V802" s="15">
        <f t="shared" si="2909"/>
        <v>0</v>
      </c>
      <c r="W802" s="34">
        <f>V802*$F$10</f>
        <v>0</v>
      </c>
      <c r="Y802" s="186">
        <v>61</v>
      </c>
      <c r="Z802" s="2">
        <f t="shared" si="2910"/>
        <v>0</v>
      </c>
      <c r="AA802" s="34">
        <f>Z802*$F$10</f>
        <v>0</v>
      </c>
      <c r="AB802" s="28"/>
      <c r="AC802" s="15">
        <v>64</v>
      </c>
      <c r="AD802" s="15">
        <f t="shared" si="2911"/>
        <v>3</v>
      </c>
      <c r="AE802" s="34">
        <f>AD802*$F$10</f>
        <v>58.38</v>
      </c>
      <c r="AF802" s="1">
        <v>99.04</v>
      </c>
      <c r="AG802" s="15">
        <v>65</v>
      </c>
      <c r="AH802" s="2">
        <f t="shared" si="2912"/>
        <v>1</v>
      </c>
      <c r="AI802" s="45">
        <f>AH802*$G$10</f>
        <v>20.35</v>
      </c>
      <c r="AJ802" s="180"/>
      <c r="AK802" s="13">
        <v>67</v>
      </c>
      <c r="AL802" s="15">
        <f t="shared" si="2913"/>
        <v>2</v>
      </c>
      <c r="AM802" s="45">
        <f>AL802*$G$10</f>
        <v>40.7</v>
      </c>
      <c r="AN802" s="15"/>
      <c r="AO802" s="13">
        <v>69</v>
      </c>
      <c r="AP802" s="15">
        <f t="shared" si="2914"/>
        <v>2</v>
      </c>
      <c r="AQ802" s="45">
        <f>AP802*$G$10</f>
        <v>40.7</v>
      </c>
      <c r="AR802" s="39">
        <v>2.04</v>
      </c>
      <c r="AS802" s="13">
        <v>69</v>
      </c>
      <c r="AT802" s="15">
        <f t="shared" si="2915"/>
        <v>0</v>
      </c>
      <c r="AU802" s="45">
        <f t="shared" si="2916"/>
        <v>0</v>
      </c>
      <c r="AV802" s="15"/>
      <c r="AW802" s="13">
        <v>69</v>
      </c>
      <c r="AX802" s="15">
        <f t="shared" si="2917"/>
        <v>0</v>
      </c>
      <c r="AY802" s="45"/>
      <c r="AZ802" s="208">
        <v>40</v>
      </c>
      <c r="BA802" s="13">
        <v>69</v>
      </c>
      <c r="BB802" s="15">
        <f t="shared" si="2918"/>
        <v>0</v>
      </c>
      <c r="BC802" s="45"/>
      <c r="BD802" s="208"/>
      <c r="BE802" s="40">
        <f t="shared" ref="BE802:BG802" si="2920">J802+N802+R802+V802+Z802+AD802+AH802+AL802+AP802+AT802+AX802+BB802</f>
        <v>8</v>
      </c>
      <c r="BF802" s="41">
        <f t="shared" si="2920"/>
        <v>160.13</v>
      </c>
      <c r="BG802" s="34">
        <f t="shared" si="2920"/>
        <v>141.08</v>
      </c>
      <c r="BH802" s="35">
        <f t="shared" si="2906"/>
        <v>-1.34</v>
      </c>
      <c r="BK802" s="2" t="b">
        <f>H802='2020'!BH802</f>
        <v>1</v>
      </c>
    </row>
    <row r="803" ht="14.25" customHeight="1" hidden="1" spans="1:63" x14ac:dyDescent="0.25">
      <c r="A803" s="89">
        <v>82</v>
      </c>
      <c r="B803" s="14"/>
      <c r="C803" s="15" t="s">
        <v>68</v>
      </c>
      <c r="D803" s="14" t="s">
        <v>47</v>
      </c>
      <c r="E803" s="2" t="s">
        <v>49</v>
      </c>
      <c r="F803" s="41">
        <v>500</v>
      </c>
      <c r="G803" s="28"/>
      <c r="H803" s="34">
        <f>'2020'!BH803</f>
        <v>0</v>
      </c>
      <c r="I803" s="13"/>
      <c r="J803" s="15"/>
      <c r="K803" s="15"/>
      <c r="L803" s="28"/>
      <c r="M803" s="13"/>
      <c r="N803" s="15"/>
      <c r="Q803" s="13"/>
      <c r="R803" s="15"/>
      <c r="S803" s="15"/>
      <c r="T803" s="28"/>
      <c r="U803" s="13"/>
      <c r="V803" s="15"/>
      <c r="Y803" s="186"/>
      <c r="Z803" s="2"/>
      <c r="AA803" s="15"/>
      <c r="AB803" s="28"/>
      <c r="AC803" s="15"/>
      <c r="AD803" s="15"/>
      <c r="AG803" s="15"/>
      <c r="AH803" s="2"/>
      <c r="AI803" s="45"/>
      <c r="AJ803" s="15"/>
      <c r="AK803" s="13"/>
      <c r="AL803" s="15"/>
      <c r="AM803" s="45"/>
      <c r="AN803" s="15"/>
      <c r="AO803" s="13"/>
      <c r="AP803" s="15"/>
      <c r="AQ803" s="45"/>
      <c r="AR803" s="1"/>
      <c r="AS803" s="13"/>
      <c r="AT803" s="15"/>
      <c r="AU803" s="45"/>
      <c r="AV803" s="15"/>
      <c r="AW803" s="13"/>
      <c r="AX803" s="15"/>
      <c r="AY803" s="45"/>
      <c r="AZ803" s="28"/>
      <c r="BA803" s="13"/>
      <c r="BB803" s="15"/>
      <c r="BC803" s="45"/>
      <c r="BD803" s="28"/>
      <c r="BE803" s="14"/>
      <c r="BF803" s="41">
        <f t="shared" ref="BF803:BG803" si="2921">K803+O803+S803+W803+AA803+AE803+AI803+AM803+AQ803+AU803+AY803+BC803</f>
        <v>0</v>
      </c>
      <c r="BG803" s="34">
        <f t="shared" si="2921"/>
        <v>0</v>
      </c>
      <c r="BH803" s="35">
        <f t="shared" si="2906"/>
        <v>0</v>
      </c>
      <c r="BK803" s="2" t="b">
        <f>H803='2020'!BH803</f>
        <v>1</v>
      </c>
    </row>
    <row r="804" ht="14.25" customHeight="1" hidden="1" spans="1:63" x14ac:dyDescent="0.25">
      <c r="A804" s="89">
        <v>82</v>
      </c>
      <c r="B804" s="14"/>
      <c r="C804" s="2" t="s">
        <v>441</v>
      </c>
      <c r="D804" s="14" t="s">
        <v>50</v>
      </c>
      <c r="E804" s="2" t="s">
        <v>49</v>
      </c>
      <c r="F804" s="41">
        <v>1100</v>
      </c>
      <c r="G804" s="28"/>
      <c r="H804" s="34">
        <f>'2020'!BH804</f>
        <v>0</v>
      </c>
      <c r="I804" s="13"/>
      <c r="J804" s="15"/>
      <c r="K804" s="15"/>
      <c r="L804" s="28"/>
      <c r="M804" s="13"/>
      <c r="N804" s="15"/>
      <c r="Q804" s="13"/>
      <c r="R804" s="15"/>
      <c r="S804" s="15"/>
      <c r="T804" s="28"/>
      <c r="U804" s="13"/>
      <c r="V804" s="15"/>
      <c r="Y804" s="186"/>
      <c r="Z804" s="2"/>
      <c r="AA804" s="15"/>
      <c r="AB804" s="28"/>
      <c r="AC804" s="15"/>
      <c r="AD804" s="15"/>
      <c r="AE804" s="34">
        <f>B801*$F$12</f>
        <v>4708</v>
      </c>
      <c r="AF804" s="1">
        <v>385.96</v>
      </c>
      <c r="AG804" s="15"/>
      <c r="AH804" s="2"/>
      <c r="AI804" s="45"/>
      <c r="AJ804" s="187">
        <f>500+1000</f>
        <v>1500</v>
      </c>
      <c r="AK804" s="13"/>
      <c r="AL804" s="15"/>
      <c r="AM804" s="45"/>
      <c r="AN804" s="39">
        <v>1000</v>
      </c>
      <c r="AO804" s="13"/>
      <c r="AP804" s="15"/>
      <c r="AQ804" s="45"/>
      <c r="AR804" s="39">
        <v>1822.04</v>
      </c>
      <c r="AS804" s="13"/>
      <c r="AT804" s="15"/>
      <c r="AU804" s="45"/>
      <c r="AV804" s="15"/>
      <c r="AW804" s="13"/>
      <c r="AX804" s="15"/>
      <c r="AY804" s="45"/>
      <c r="AZ804" s="28"/>
      <c r="BA804" s="13"/>
      <c r="BB804" s="15"/>
      <c r="BC804" s="45"/>
      <c r="BD804" s="28"/>
      <c r="BE804" s="14"/>
      <c r="BF804" s="41">
        <f t="shared" ref="BF804:BG804" si="2922">K804+O804+S804+W804+AA804+AE804+AI804+AM804+AQ804+AU804+AY804+BC804</f>
        <v>4708</v>
      </c>
      <c r="BG804" s="34">
        <f t="shared" si="2922"/>
        <v>4708</v>
      </c>
      <c r="BH804" s="35">
        <f t="shared" si="2906"/>
        <v>0</v>
      </c>
      <c r="BK804" s="2" t="b">
        <f>H804='2020'!BH804</f>
        <v>1</v>
      </c>
    </row>
    <row r="805" ht="14.25" customHeight="1" hidden="1" spans="1:63" x14ac:dyDescent="0.25">
      <c r="A805" s="89">
        <v>82</v>
      </c>
      <c r="B805" s="14"/>
      <c r="D805" s="14" t="s">
        <v>51</v>
      </c>
      <c r="E805" s="2" t="s">
        <v>39</v>
      </c>
      <c r="F805" s="41">
        <v>500</v>
      </c>
      <c r="G805" s="28"/>
      <c r="H805" s="34">
        <f>'2020'!BH805</f>
        <v>500</v>
      </c>
      <c r="I805" s="13"/>
      <c r="J805" s="15"/>
      <c r="K805" s="15"/>
      <c r="L805" s="28"/>
      <c r="M805" s="13"/>
      <c r="N805" s="15"/>
      <c r="Q805" s="13"/>
      <c r="R805" s="15"/>
      <c r="S805" s="15"/>
      <c r="T805" s="28"/>
      <c r="U805" s="13"/>
      <c r="V805" s="15"/>
      <c r="Y805" s="186"/>
      <c r="Z805" s="2"/>
      <c r="AA805" s="15"/>
      <c r="AB805" s="28"/>
      <c r="AC805" s="15"/>
      <c r="AD805" s="15"/>
      <c r="AE805" s="180">
        <f>$F$13</f>
      </c>
      <c r="AG805" s="15"/>
      <c r="AH805" s="2"/>
      <c r="AI805" s="45"/>
      <c r="AJ805" s="187">
        <v>500</v>
      </c>
      <c r="AK805" s="13"/>
      <c r="AL805" s="15"/>
      <c r="AM805" s="45"/>
      <c r="AN805" s="15"/>
      <c r="AO805" s="13"/>
      <c r="AP805" s="15"/>
      <c r="AQ805" s="180"/>
      <c r="AR805" s="1"/>
      <c r="AS805" s="13"/>
      <c r="AT805" s="15"/>
      <c r="AU805" s="45"/>
      <c r="AV805" s="15"/>
      <c r="AW805" s="13"/>
      <c r="AX805" s="15"/>
      <c r="AY805" s="45"/>
      <c r="AZ805" s="28"/>
      <c r="BA805" s="13"/>
      <c r="BB805" s="15"/>
      <c r="BC805" s="45"/>
      <c r="BD805" s="28"/>
      <c r="BE805" s="14"/>
      <c r="BF805" s="41">
        <f t="shared" ref="BF805:BG805" si="2923">K805+O805+S805+W805+AA805+AE805+AI805+AM805+AQ805+AU805+AY805+BC805</f>
        <v>0</v>
      </c>
      <c r="BG805" s="34">
        <f t="shared" si="2923"/>
        <v>500</v>
      </c>
      <c r="BH805" s="35">
        <f t="shared" si="2906"/>
        <v>0</v>
      </c>
      <c r="BK805" s="2" t="b">
        <f>H805='2020'!BH805</f>
        <v>1</v>
      </c>
    </row>
    <row r="806" ht="14.25" customHeight="1" hidden="1" spans="1:63" x14ac:dyDescent="0.25">
      <c r="A806" s="89">
        <v>82</v>
      </c>
      <c r="B806" s="14"/>
      <c r="D806" s="14" t="s">
        <v>51</v>
      </c>
      <c r="E806" s="2" t="s">
        <v>49</v>
      </c>
      <c r="F806" s="41">
        <v>500</v>
      </c>
      <c r="G806" s="28"/>
      <c r="H806" s="34">
        <f>'2020'!BH806</f>
        <v>2140</v>
      </c>
      <c r="I806" s="13"/>
      <c r="J806" s="15"/>
      <c r="K806" s="15"/>
      <c r="L806" s="28"/>
      <c r="M806" s="13"/>
      <c r="N806" s="15"/>
      <c r="Q806" s="13"/>
      <c r="R806" s="15"/>
      <c r="S806" s="15"/>
      <c r="T806" s="28"/>
      <c r="U806" s="13"/>
      <c r="V806" s="15"/>
      <c r="Y806" s="186"/>
      <c r="Z806" s="2"/>
      <c r="AA806" s="15"/>
      <c r="AB806" s="28"/>
      <c r="AC806" s="15"/>
      <c r="AD806" s="15"/>
      <c r="AE806" s="34"/>
      <c r="AF806" s="1">
        <v>2140</v>
      </c>
      <c r="AG806" s="15"/>
      <c r="AH806" s="2"/>
      <c r="AI806" s="45"/>
      <c r="AJ806" s="180"/>
      <c r="AK806" s="13"/>
      <c r="AL806" s="15"/>
      <c r="AM806" s="45"/>
      <c r="AN806" s="15"/>
      <c r="AO806" s="13"/>
      <c r="AP806" s="15"/>
      <c r="AQ806" s="180">
        <f>B801*$F$14</f>
        <v>0</v>
      </c>
      <c r="AR806" s="1"/>
      <c r="AS806" s="13"/>
      <c r="AT806" s="15"/>
      <c r="AU806" s="45"/>
      <c r="AV806" s="15"/>
      <c r="AW806" s="13"/>
      <c r="AX806" s="15"/>
      <c r="AY806" s="45"/>
      <c r="AZ806" s="28"/>
      <c r="BA806" s="13"/>
      <c r="BB806" s="15"/>
      <c r="BC806" s="45"/>
      <c r="BD806" s="28"/>
      <c r="BE806" s="14"/>
      <c r="BF806" s="41">
        <f t="shared" ref="BF806:BG806" si="2924">K806+O806+S806+W806+AA806+AE806+AI806+AM806+AQ806+AU806+AY806+BC806</f>
        <v>0</v>
      </c>
      <c r="BG806" s="34">
        <f t="shared" si="2924"/>
        <v>2140</v>
      </c>
      <c r="BH806" s="35">
        <f t="shared" si="2906"/>
        <v>0</v>
      </c>
      <c r="BK806" s="2" t="b">
        <f>H806='2020'!BH806</f>
        <v>1</v>
      </c>
    </row>
    <row r="807" ht="14.25" customHeight="1" hidden="1" spans="1:63" x14ac:dyDescent="0.25">
      <c r="A807" s="89">
        <v>82</v>
      </c>
      <c r="B807" s="14"/>
      <c r="D807" s="14" t="s">
        <v>52</v>
      </c>
      <c r="E807" s="2" t="s">
        <v>39</v>
      </c>
      <c r="F807" s="41">
        <v>500</v>
      </c>
      <c r="G807" s="28"/>
      <c r="H807" s="34">
        <f>'2020'!BH807</f>
        <v>0</v>
      </c>
      <c r="I807" s="13"/>
      <c r="J807" s="15"/>
      <c r="K807" s="15"/>
      <c r="L807" s="28"/>
      <c r="M807" s="13"/>
      <c r="N807" s="15"/>
      <c r="Q807" s="13"/>
      <c r="R807" s="15"/>
      <c r="S807" s="15"/>
      <c r="T807" s="28"/>
      <c r="U807" s="13"/>
      <c r="V807" s="15"/>
      <c r="Y807" s="186"/>
      <c r="Z807" s="2"/>
      <c r="AA807" s="34">
        <f>$F$15</f>
      </c>
      <c r="AB807" s="35"/>
      <c r="AC807" s="15"/>
      <c r="AD807" s="15"/>
      <c r="AG807" s="15"/>
      <c r="AH807" s="2"/>
      <c r="AI807" s="45"/>
      <c r="AJ807" s="15"/>
      <c r="AK807" s="13"/>
      <c r="AL807" s="15"/>
      <c r="AM807" s="45"/>
      <c r="AN807" s="15"/>
      <c r="AO807" s="13"/>
      <c r="AP807" s="15"/>
      <c r="AQ807" s="45"/>
      <c r="AR807" s="39"/>
      <c r="AS807" s="13"/>
      <c r="AT807" s="15"/>
      <c r="AU807" s="45"/>
      <c r="AV807" s="15"/>
      <c r="AW807" s="13"/>
      <c r="AX807" s="15"/>
      <c r="AY807" s="45"/>
      <c r="AZ807" s="35"/>
      <c r="BA807" s="13"/>
      <c r="BB807" s="15"/>
      <c r="BC807" s="45"/>
      <c r="BD807" s="35"/>
      <c r="BE807" s="14"/>
      <c r="BF807" s="41">
        <f t="shared" ref="BF807:BG807" si="2925">K807+O807+S807+W807+AA807+AE807+AI807+AM807+AQ807+AU807+AY807+BC807</f>
        <v>0</v>
      </c>
      <c r="BG807" s="34">
        <f t="shared" si="2925"/>
        <v>0</v>
      </c>
      <c r="BH807" s="35">
        <f t="shared" si="2906"/>
        <v>0</v>
      </c>
      <c r="BK807" s="2" t="b">
        <f>H807='2020'!BH807</f>
        <v>1</v>
      </c>
    </row>
    <row r="808" ht="14.25" customHeight="1" hidden="1" spans="1:63" x14ac:dyDescent="0.25">
      <c r="A808" s="247">
        <v>82</v>
      </c>
      <c r="B808" s="21"/>
      <c r="C808" s="22" t="s">
        <v>53</v>
      </c>
      <c r="D808" s="21"/>
      <c r="E808" s="22"/>
      <c r="F808" s="20"/>
      <c r="G808" s="23"/>
      <c r="H808" s="51">
        <f>SUM(H800:H807)</f>
        <v>2620.53</v>
      </c>
      <c r="I808" s="52"/>
      <c r="J808" s="53"/>
      <c r="K808" s="51">
        <f t="shared" ref="K808:L808" si="2926">SUM(K800:K807)</f>
        <v>0</v>
      </c>
      <c r="L808" s="68">
        <f t="shared" si="2926"/>
        <v>0</v>
      </c>
      <c r="M808" s="52"/>
      <c r="N808" s="53"/>
      <c r="O808" s="51">
        <f t="shared" ref="O808:P808" si="2927">SUM(O800:O807)</f>
        <v>0</v>
      </c>
      <c r="P808" s="51">
        <f t="shared" si="2927"/>
        <v>0</v>
      </c>
      <c r="Q808" s="52"/>
      <c r="R808" s="53"/>
      <c r="S808" s="51">
        <f t="shared" ref="S808:T808" si="2928">SUM(S800:S807)</f>
        <v>0</v>
      </c>
      <c r="T808" s="51">
        <f t="shared" si="2928"/>
        <v>0</v>
      </c>
      <c r="U808" s="52"/>
      <c r="V808" s="53"/>
      <c r="W808" s="51">
        <f t="shared" ref="W808:X808" si="2929">SUM(W800:W807)</f>
        <v>0</v>
      </c>
      <c r="X808" s="51">
        <f t="shared" si="2929"/>
        <v>0</v>
      </c>
      <c r="Y808" s="300"/>
      <c r="Z808" s="301"/>
      <c r="AA808" s="51">
        <f t="shared" ref="AA808:AB808" si="2930">SUM(AA800:AA807)</f>
        <v>0</v>
      </c>
      <c r="AB808" s="51">
        <f t="shared" si="2930"/>
        <v>0</v>
      </c>
      <c r="AC808" s="52"/>
      <c r="AD808" s="53"/>
      <c r="AE808" s="51">
        <f t="shared" ref="AE808:AF808" si="2931">SUM(AE800:AE807)</f>
        <v>4766.38</v>
      </c>
      <c r="AF808" s="51">
        <f t="shared" si="2931"/>
        <v>2625</v>
      </c>
      <c r="AG808" s="52"/>
      <c r="AH808" s="301"/>
      <c r="AI808" s="183">
        <f t="shared" ref="AI808:AJ808" si="2932">SUM(AI800:AI807)</f>
        <v>20.35</v>
      </c>
      <c r="AJ808" s="51">
        <f t="shared" si="2932"/>
        <v>2000</v>
      </c>
      <c r="AK808" s="52"/>
      <c r="AL808" s="53"/>
      <c r="AM808" s="183">
        <f t="shared" ref="AM808:AN808" si="2933">SUM(AM800:AM807)</f>
        <v>40.7</v>
      </c>
      <c r="AN808" s="51">
        <f t="shared" si="2933"/>
        <v>1000</v>
      </c>
      <c r="AO808" s="52"/>
      <c r="AP808" s="53"/>
      <c r="AQ808" s="183">
        <f t="shared" ref="AQ808:AR808" si="2934">SUM(AQ800:AQ807)</f>
        <v>40.7</v>
      </c>
      <c r="AR808" s="329">
        <f t="shared" si="2934"/>
        <v>1825</v>
      </c>
      <c r="AS808" s="52"/>
      <c r="AT808" s="53"/>
      <c r="AU808" s="183">
        <f t="shared" ref="AU808:AV808" si="2935">SUM(AU800:AU807)</f>
        <v>0</v>
      </c>
      <c r="AV808" s="68">
        <f t="shared" si="2935"/>
        <v>0</v>
      </c>
      <c r="AW808" s="52"/>
      <c r="AX808" s="53"/>
      <c r="AY808" s="183">
        <f t="shared" ref="AY808:AZ808" si="2936">SUM(AY800:AY807)</f>
        <v>0</v>
      </c>
      <c r="AZ808" s="68">
        <f t="shared" si="2936"/>
        <v>40</v>
      </c>
      <c r="BA808" s="52"/>
      <c r="BB808" s="53"/>
      <c r="BC808" s="183">
        <f t="shared" ref="BC808:BD808" si="2937">SUM(BC800:BC807)</f>
        <v>0</v>
      </c>
      <c r="BD808" s="68">
        <f t="shared" si="2937"/>
        <v>0</v>
      </c>
      <c r="BE808" s="69"/>
      <c r="BF808" s="70">
        <f t="shared" ref="BF808:BH808" si="2938">SUM(BF800:BF807)</f>
        <v>4868.13</v>
      </c>
      <c r="BG808" s="71">
        <f t="shared" si="2938"/>
        <v>7490</v>
      </c>
      <c r="BH808" s="72">
        <f t="shared" si="2938"/>
        <v>-1.34</v>
      </c>
      <c r="BI808" s="34">
        <f>H808+BF808-BG808</f>
        <v>-1.34</v>
      </c>
      <c r="BJ808" s="34">
        <f>BH808-BI808</f>
        <v>0</v>
      </c>
      <c r="BK808" s="2" t="b">
        <f>H808='2020'!BH808</f>
        <v>1</v>
      </c>
    </row>
    <row r="809" ht="14.25" customHeight="1" hidden="1" spans="1:63" x14ac:dyDescent="0.25">
      <c r="A809" s="2">
        <v>84</v>
      </c>
      <c r="B809" s="14"/>
      <c r="D809" s="14" t="s">
        <v>411</v>
      </c>
      <c r="E809" s="2" t="s">
        <v>39</v>
      </c>
      <c r="F809" s="41"/>
      <c r="G809" s="28"/>
      <c r="H809" s="34">
        <f>'2020'!BH809</f>
        <v>36.91</v>
      </c>
      <c r="I809" s="13"/>
      <c r="J809" s="15"/>
      <c r="K809" s="34"/>
      <c r="L809" s="28"/>
      <c r="M809" s="13"/>
      <c r="N809" s="15"/>
      <c r="Q809" s="13"/>
      <c r="R809" s="15"/>
      <c r="S809" s="15"/>
      <c r="T809" s="28"/>
      <c r="U809" s="13"/>
      <c r="V809" s="15"/>
      <c r="W809" s="2"/>
      <c r="Y809" s="186"/>
      <c r="Z809" s="2"/>
      <c r="AA809" s="15"/>
      <c r="AB809" s="28"/>
      <c r="AC809" s="15"/>
      <c r="AD809" s="15"/>
      <c r="AF809" s="34"/>
      <c r="AG809" s="15"/>
      <c r="AH809" s="2"/>
      <c r="AI809" s="45"/>
      <c r="AJ809" s="39"/>
      <c r="AK809" s="13"/>
      <c r="AM809" s="45"/>
      <c r="AN809" s="305">
        <v>36.91</v>
      </c>
      <c r="AO809" s="13"/>
      <c r="AQ809" s="332">
        <v>6.12</v>
      </c>
      <c r="AS809" s="13"/>
      <c r="AU809" s="45"/>
      <c r="AW809" s="13"/>
      <c r="AY809" s="45"/>
      <c r="AZ809" s="28"/>
      <c r="BA809" s="13"/>
      <c r="BB809" s="15"/>
      <c r="BC809" s="45"/>
      <c r="BD809" s="28"/>
      <c r="BE809" s="14"/>
      <c r="BF809" s="41">
        <f t="shared" ref="BF809:BG809" si="2939">K809+O809+S809+W809+AA809+AE809+AI809+AM809+AQ809+AU809+AY809+BC809</f>
        <v>6.12</v>
      </c>
      <c r="BG809" s="34">
        <f t="shared" si="2939"/>
        <v>36.91</v>
      </c>
      <c r="BH809" s="35">
        <f t="shared" ref="BH809:BH816" si="2940">H809+BF809-BG809</f>
        <v>6.12</v>
      </c>
      <c r="BK809" s="2" t="b">
        <f>H809='2020'!BH809</f>
        <v>1</v>
      </c>
    </row>
    <row r="810" ht="14.25" customHeight="1" hidden="1" spans="1:63" x14ac:dyDescent="0.25">
      <c r="A810" s="89">
        <v>84</v>
      </c>
      <c r="B810" s="14">
        <v>4.18</v>
      </c>
      <c r="C810" s="2" t="s">
        <v>301</v>
      </c>
      <c r="D810" s="14" t="s">
        <v>44</v>
      </c>
      <c r="E810" s="2" t="s">
        <v>45</v>
      </c>
      <c r="F810" s="41">
        <v>2.5</v>
      </c>
      <c r="G810" s="35">
        <v>2.6</v>
      </c>
      <c r="H810" s="34">
        <f>'2020'!BH810</f>
        <v>-113.96</v>
      </c>
      <c r="I810" s="13">
        <v>39</v>
      </c>
      <c r="J810" s="15">
        <f>I810-'2020'!BA810</f>
        <v>0</v>
      </c>
      <c r="K810" s="34">
        <f>J810*$F$8</f>
        <v>0</v>
      </c>
      <c r="L810" s="28"/>
      <c r="M810" s="13">
        <v>39</v>
      </c>
      <c r="N810" s="15">
        <f t="shared" ref="N810:N811" si="2941">M810-I810</f>
        <v>0</v>
      </c>
      <c r="O810" s="34">
        <f>N810*$F$8</f>
        <v>0</v>
      </c>
      <c r="Q810" s="13">
        <v>39</v>
      </c>
      <c r="R810" s="15">
        <f t="shared" ref="R810:R811" si="2942">Q810-M810</f>
        <v>0</v>
      </c>
      <c r="S810" s="34">
        <f>R810*$F$8</f>
        <v>0</v>
      </c>
      <c r="T810" s="28"/>
      <c r="U810" s="13">
        <v>39</v>
      </c>
      <c r="V810" s="15">
        <f t="shared" ref="V810:V811" si="2943">U810-Q810</f>
        <v>0</v>
      </c>
      <c r="W810" s="34">
        <f>V810*$F$8</f>
        <v>0</v>
      </c>
      <c r="Y810" s="186">
        <v>44</v>
      </c>
      <c r="Z810" s="2">
        <f t="shared" ref="Z810:Z811" si="2944">Y810-U810</f>
        <v>5</v>
      </c>
      <c r="AA810" s="34">
        <f>Z810*$F$8</f>
        <v>13</v>
      </c>
      <c r="AB810" s="28"/>
      <c r="AC810" s="15">
        <v>52</v>
      </c>
      <c r="AD810" s="15">
        <f t="shared" ref="AD810:AD811" si="2945">AC810-Y810</f>
        <v>8</v>
      </c>
      <c r="AE810" s="180">
        <f>AD810*$F$8</f>
        <v>20.8</v>
      </c>
      <c r="AF810" s="248">
        <v>200</v>
      </c>
      <c r="AG810" s="15">
        <v>67</v>
      </c>
      <c r="AH810" s="2">
        <f t="shared" ref="AH810:AH811" si="2946">AG810-AC810</f>
        <v>15</v>
      </c>
      <c r="AI810" s="45">
        <f>AH810*$G$8</f>
        <v>40.5</v>
      </c>
      <c r="AJ810" s="15"/>
      <c r="AK810" s="13">
        <v>79</v>
      </c>
      <c r="AL810" s="15">
        <f t="shared" ref="AL810:AL811" si="2947">AK810-AG810</f>
        <v>12</v>
      </c>
      <c r="AM810" s="45">
        <f>AL810*$G$8</f>
        <v>32.4</v>
      </c>
      <c r="AN810" s="327">
        <v>32.4</v>
      </c>
      <c r="AO810" s="13">
        <v>97</v>
      </c>
      <c r="AP810" s="15">
        <f t="shared" ref="AP810:AP811" si="2948">AO810-AK810</f>
        <v>18</v>
      </c>
      <c r="AQ810" s="45">
        <f>AP810*$G$8</f>
        <v>48.6</v>
      </c>
      <c r="AR810" s="15"/>
      <c r="AS810" s="13">
        <v>102</v>
      </c>
      <c r="AT810" s="15">
        <f t="shared" ref="AT810:AT811" si="2949">AS810-AO810</f>
        <v>5</v>
      </c>
      <c r="AU810" s="45">
        <f>AT810*$G$8</f>
        <v>13.5</v>
      </c>
      <c r="AV810" s="15"/>
      <c r="AW810" s="13">
        <v>102</v>
      </c>
      <c r="AX810" s="15">
        <f t="shared" ref="AX810:AX811" si="2950">AW810-AS810</f>
        <v>0</v>
      </c>
      <c r="AY810" s="45">
        <f>AX810*$G$8</f>
        <v>0</v>
      </c>
      <c r="AZ810" s="208"/>
      <c r="BA810" s="13">
        <v>102</v>
      </c>
      <c r="BB810" s="15">
        <f t="shared" ref="BB810:BB811" si="2951">BA810-AW810</f>
        <v>0</v>
      </c>
      <c r="BC810" s="45">
        <f>BB810*$G$8</f>
        <v>0</v>
      </c>
      <c r="BD810" s="208"/>
      <c r="BE810" s="40">
        <f t="shared" ref="BE810:BG810" si="2952">J810+N810+R810+V810+Z810+AD810+AH810+AL810+AP810+AT810+AX810+BB810</f>
        <v>63</v>
      </c>
      <c r="BF810" s="41">
        <f t="shared" si="2952"/>
        <v>168.8</v>
      </c>
      <c r="BG810" s="34">
        <f t="shared" si="2952"/>
        <v>232.4</v>
      </c>
      <c r="BH810" s="35">
        <f t="shared" si="2940"/>
        <v>-177.56</v>
      </c>
      <c r="BK810" s="2" t="b">
        <f>H810='2020'!BH810</f>
        <v>1</v>
      </c>
    </row>
    <row r="811" ht="14.25" customHeight="1" hidden="1" spans="1:63" x14ac:dyDescent="0.25">
      <c r="A811" s="89">
        <v>84</v>
      </c>
      <c r="B811" s="14"/>
      <c r="C811" s="15" t="s">
        <v>87</v>
      </c>
      <c r="D811" s="14" t="s">
        <v>47</v>
      </c>
      <c r="E811" s="2" t="s">
        <v>48</v>
      </c>
      <c r="F811" s="13">
        <v>18.56</v>
      </c>
      <c r="G811" s="35">
        <v>19.46</v>
      </c>
      <c r="H811" s="34">
        <f>'2020'!BH811</f>
        <v>-186.86</v>
      </c>
      <c r="I811" s="13">
        <v>30</v>
      </c>
      <c r="J811" s="15"/>
      <c r="K811" s="15"/>
      <c r="L811" s="35"/>
      <c r="M811" s="13">
        <v>30</v>
      </c>
      <c r="N811" s="15">
        <f t="shared" si="2941"/>
        <v>0</v>
      </c>
      <c r="Q811" s="13">
        <v>30</v>
      </c>
      <c r="R811" s="15">
        <f t="shared" si="2942"/>
        <v>0</v>
      </c>
      <c r="S811" s="15"/>
      <c r="T811" s="28"/>
      <c r="U811" s="13">
        <v>30</v>
      </c>
      <c r="V811" s="15">
        <f t="shared" si="2943"/>
        <v>0</v>
      </c>
      <c r="W811" s="34">
        <f>V811*$F$10</f>
        <v>0</v>
      </c>
      <c r="Y811" s="186">
        <v>31</v>
      </c>
      <c r="Z811" s="2">
        <f t="shared" si="2944"/>
        <v>1</v>
      </c>
      <c r="AA811" s="34">
        <f>Z811*$F$10</f>
        <v>19.46</v>
      </c>
      <c r="AB811" s="28"/>
      <c r="AC811" s="15">
        <v>35</v>
      </c>
      <c r="AD811" s="15">
        <f t="shared" si="2945"/>
        <v>4</v>
      </c>
      <c r="AE811" s="34">
        <f>AD811*$F$10</f>
        <v>77.84</v>
      </c>
      <c r="AF811" s="1">
        <v>200</v>
      </c>
      <c r="AG811" s="15">
        <v>38</v>
      </c>
      <c r="AH811" s="2">
        <f t="shared" si="2946"/>
        <v>3</v>
      </c>
      <c r="AI811" s="45">
        <f>AH811*$G$10</f>
        <v>61.05</v>
      </c>
      <c r="AJ811" s="39"/>
      <c r="AK811" s="13">
        <v>43</v>
      </c>
      <c r="AL811" s="15">
        <f t="shared" si="2947"/>
        <v>5</v>
      </c>
      <c r="AM811" s="45">
        <f>AL811*$G$10</f>
        <v>101.75</v>
      </c>
      <c r="AN811" s="327">
        <v>101.75</v>
      </c>
      <c r="AO811" s="13">
        <v>45</v>
      </c>
      <c r="AP811" s="15">
        <f t="shared" si="2948"/>
        <v>2</v>
      </c>
      <c r="AQ811" s="45">
        <f>AP811*$G$10</f>
        <v>40.7</v>
      </c>
      <c r="AR811" s="15"/>
      <c r="AS811" s="13">
        <v>45</v>
      </c>
      <c r="AT811" s="15">
        <f t="shared" si="2949"/>
        <v>0</v>
      </c>
      <c r="AU811" s="45">
        <f>AT811*$G$10</f>
        <v>0</v>
      </c>
      <c r="AV811" s="15"/>
      <c r="AW811" s="13">
        <v>45</v>
      </c>
      <c r="AX811" s="15">
        <f t="shared" si="2950"/>
        <v>0</v>
      </c>
      <c r="AY811" s="45"/>
      <c r="AZ811" s="208"/>
      <c r="BA811" s="13">
        <v>45</v>
      </c>
      <c r="BB811" s="15">
        <f t="shared" si="2951"/>
        <v>0</v>
      </c>
      <c r="BC811" s="45"/>
      <c r="BD811" s="208"/>
      <c r="BE811" s="40">
        <f t="shared" ref="BE811:BG811" si="2953">J811+N811+R811+V811+Z811+AD811+AH811+AL811+AP811+AT811+AX811+BB811</f>
        <v>15</v>
      </c>
      <c r="BF811" s="41">
        <f t="shared" si="2953"/>
        <v>300.8</v>
      </c>
      <c r="BG811" s="34">
        <f t="shared" si="2953"/>
        <v>301.75</v>
      </c>
      <c r="BH811" s="35">
        <f t="shared" si="2940"/>
        <v>-187.81</v>
      </c>
      <c r="BK811" s="2" t="b">
        <f>H811='2020'!BH811</f>
        <v>1</v>
      </c>
    </row>
    <row r="812" ht="14.25" customHeight="1" hidden="1" spans="1:63" x14ac:dyDescent="0.25">
      <c r="A812" s="89">
        <v>84</v>
      </c>
      <c r="B812" s="14"/>
      <c r="C812" s="15" t="s">
        <v>302</v>
      </c>
      <c r="D812" s="14" t="s">
        <v>47</v>
      </c>
      <c r="E812" s="2" t="s">
        <v>49</v>
      </c>
      <c r="F812" s="41">
        <v>500</v>
      </c>
      <c r="G812" s="28"/>
      <c r="H812" s="34">
        <f>'2020'!BH812</f>
        <v>0</v>
      </c>
      <c r="I812" s="13"/>
      <c r="J812" s="15"/>
      <c r="K812" s="15"/>
      <c r="L812" s="28"/>
      <c r="M812" s="13"/>
      <c r="N812" s="15"/>
      <c r="Q812" s="13"/>
      <c r="R812" s="15"/>
      <c r="S812" s="15"/>
      <c r="T812" s="28"/>
      <c r="U812" s="13"/>
      <c r="V812" s="15"/>
      <c r="Y812" s="186"/>
      <c r="Z812" s="2"/>
      <c r="AA812" s="15"/>
      <c r="AB812" s="28"/>
      <c r="AC812" s="15"/>
      <c r="AD812" s="15"/>
      <c r="AG812" s="15"/>
      <c r="AH812" s="2"/>
      <c r="AI812" s="45"/>
      <c r="AJ812" s="15"/>
      <c r="AK812" s="13"/>
      <c r="AL812" s="15"/>
      <c r="AM812" s="45"/>
      <c r="AN812" s="15"/>
      <c r="AO812" s="13"/>
      <c r="AP812" s="15"/>
      <c r="AQ812" s="45"/>
      <c r="AR812" s="15"/>
      <c r="AS812" s="13"/>
      <c r="AT812" s="15"/>
      <c r="AU812" s="45"/>
      <c r="AV812" s="15"/>
      <c r="AW812" s="13"/>
      <c r="AX812" s="15"/>
      <c r="AY812" s="45"/>
      <c r="AZ812" s="28"/>
      <c r="BA812" s="13"/>
      <c r="BB812" s="15"/>
      <c r="BC812" s="45"/>
      <c r="BD812" s="28"/>
      <c r="BE812" s="14"/>
      <c r="BF812" s="41">
        <f t="shared" ref="BF812:BG812" si="2954">K812+O812+S812+W812+AA812+AE812+AI812+AM812+AQ812+AU812+AY812+BC812</f>
        <v>0</v>
      </c>
      <c r="BG812" s="34">
        <f t="shared" si="2954"/>
        <v>0</v>
      </c>
      <c r="BH812" s="35">
        <f t="shared" si="2940"/>
        <v>0</v>
      </c>
      <c r="BK812" s="2" t="b">
        <f>H812='2020'!BH812</f>
        <v>1</v>
      </c>
    </row>
    <row r="813" ht="14.25" customHeight="1" hidden="1" spans="1:63" x14ac:dyDescent="0.25">
      <c r="A813" s="89">
        <v>84</v>
      </c>
      <c r="B813" s="14"/>
      <c r="C813" s="2" t="s">
        <v>303</v>
      </c>
      <c r="D813" s="14" t="s">
        <v>50</v>
      </c>
      <c r="E813" s="2" t="s">
        <v>49</v>
      </c>
      <c r="F813" s="41">
        <v>1100</v>
      </c>
      <c r="G813" s="28"/>
      <c r="H813" s="34">
        <f>'2020'!BH813</f>
        <v>0</v>
      </c>
      <c r="I813" s="13"/>
      <c r="J813" s="15"/>
      <c r="K813" s="15"/>
      <c r="L813" s="35"/>
      <c r="M813" s="13"/>
      <c r="N813" s="15"/>
      <c r="Q813" s="13"/>
      <c r="R813" s="15"/>
      <c r="S813" s="15"/>
      <c r="T813" s="28"/>
      <c r="U813" s="13"/>
      <c r="V813" s="15"/>
      <c r="Y813" s="186"/>
      <c r="Z813" s="2"/>
      <c r="AA813" s="15"/>
      <c r="AB813" s="28"/>
      <c r="AC813" s="15"/>
      <c r="AD813" s="15"/>
      <c r="AE813" s="34">
        <f>B810*$F$12</f>
        <v>4598</v>
      </c>
      <c r="AF813" s="248">
        <v>2400</v>
      </c>
      <c r="AG813" s="15"/>
      <c r="AH813" s="2"/>
      <c r="AI813" s="45"/>
      <c r="AJ813" s="187">
        <v>500</v>
      </c>
      <c r="AK813" s="13"/>
      <c r="AL813" s="15"/>
      <c r="AM813" s="45"/>
      <c r="AN813" s="305">
        <v>1698</v>
      </c>
      <c r="AO813" s="13"/>
      <c r="AP813" s="15"/>
      <c r="AQ813" s="45"/>
      <c r="AR813" s="15"/>
      <c r="AS813" s="13"/>
      <c r="AT813" s="15"/>
      <c r="AU813" s="45"/>
      <c r="AV813" s="15"/>
      <c r="AW813" s="13"/>
      <c r="AX813" s="15"/>
      <c r="AY813" s="45"/>
      <c r="AZ813" s="28"/>
      <c r="BA813" s="13"/>
      <c r="BB813" s="15"/>
      <c r="BC813" s="45"/>
      <c r="BD813" s="28"/>
      <c r="BE813" s="14"/>
      <c r="BF813" s="41">
        <f t="shared" ref="BF813:BG813" si="2955">K813+O813+S813+W813+AA813+AE813+AI813+AM813+AQ813+AU813+AY813+BC813</f>
        <v>4598</v>
      </c>
      <c r="BG813" s="34">
        <f t="shared" si="2955"/>
        <v>4598</v>
      </c>
      <c r="BH813" s="35">
        <f t="shared" si="2940"/>
        <v>0</v>
      </c>
      <c r="BK813" s="2" t="b">
        <f>H813='2020'!BH813</f>
        <v>1</v>
      </c>
    </row>
    <row r="814" ht="14.25" customHeight="1" hidden="1" spans="1:63" x14ac:dyDescent="0.25">
      <c r="A814" s="89">
        <v>84</v>
      </c>
      <c r="B814" s="14"/>
      <c r="D814" s="14" t="s">
        <v>51</v>
      </c>
      <c r="E814" s="2" t="s">
        <v>39</v>
      </c>
      <c r="F814" s="41">
        <v>500</v>
      </c>
      <c r="G814" s="28"/>
      <c r="H814" s="34">
        <f>'2020'!BH814</f>
        <v>0</v>
      </c>
      <c r="I814" s="13"/>
      <c r="J814" s="15"/>
      <c r="K814" s="15"/>
      <c r="L814" s="28"/>
      <c r="M814" s="13"/>
      <c r="N814" s="15"/>
      <c r="Q814" s="13"/>
      <c r="R814" s="15"/>
      <c r="S814" s="15"/>
      <c r="T814" s="28"/>
      <c r="U814" s="13"/>
      <c r="V814" s="15"/>
      <c r="X814" s="34"/>
      <c r="Y814" s="186"/>
      <c r="Z814" s="2"/>
      <c r="AA814" s="15"/>
      <c r="AB814" s="28"/>
      <c r="AC814" s="15"/>
      <c r="AD814" s="15"/>
      <c r="AE814" s="180">
        <f>$F$13</f>
      </c>
      <c r="AG814" s="15"/>
      <c r="AH814" s="2"/>
      <c r="AI814" s="45"/>
      <c r="AJ814" s="15"/>
      <c r="AK814" s="13"/>
      <c r="AL814" s="15"/>
      <c r="AM814" s="45"/>
      <c r="AN814" s="15"/>
      <c r="AO814" s="13"/>
      <c r="AP814" s="15"/>
      <c r="AQ814" s="180"/>
      <c r="AR814" s="15"/>
      <c r="AS814" s="13"/>
      <c r="AT814" s="15"/>
      <c r="AU814" s="45"/>
      <c r="AV814" s="34"/>
      <c r="AW814" s="13"/>
      <c r="AX814" s="15"/>
      <c r="AY814" s="45"/>
      <c r="AZ814" s="28"/>
      <c r="BA814" s="13"/>
      <c r="BB814" s="15"/>
      <c r="BC814" s="45"/>
      <c r="BD814" s="28"/>
      <c r="BE814" s="14"/>
      <c r="BF814" s="41">
        <f t="shared" ref="BF814:BG814" si="2956">K814+O814+S814+W814+AA814+AE814+AI814+AM814+AQ814+AU814+AY814+BC814</f>
        <v>0</v>
      </c>
      <c r="BG814" s="34">
        <f t="shared" si="2956"/>
        <v>0</v>
      </c>
      <c r="BH814" s="35">
        <f t="shared" si="2940"/>
        <v>0</v>
      </c>
      <c r="BK814" s="2" t="b">
        <f>H814='2020'!BH814</f>
        <v>1</v>
      </c>
    </row>
    <row r="815" ht="14.25" customHeight="1" hidden="1" spans="1:63" x14ac:dyDescent="0.25">
      <c r="A815" s="89">
        <v>84</v>
      </c>
      <c r="B815" s="14"/>
      <c r="D815" s="14" t="s">
        <v>51</v>
      </c>
      <c r="E815" s="2" t="s">
        <v>49</v>
      </c>
      <c r="F815" s="41">
        <v>500</v>
      </c>
      <c r="G815" s="28"/>
      <c r="H815" s="34">
        <f>'2020'!BH815</f>
        <v>2040</v>
      </c>
      <c r="I815" s="13"/>
      <c r="J815" s="15"/>
      <c r="K815" s="15"/>
      <c r="L815" s="28"/>
      <c r="M815" s="13"/>
      <c r="N815" s="15"/>
      <c r="Q815" s="13"/>
      <c r="R815" s="15"/>
      <c r="S815" s="15"/>
      <c r="T815" s="28"/>
      <c r="U815" s="13"/>
      <c r="V815" s="15"/>
      <c r="X815" s="39"/>
      <c r="Y815" s="186"/>
      <c r="Z815" s="2"/>
      <c r="AA815" s="15"/>
      <c r="AB815" s="28"/>
      <c r="AC815" s="15"/>
      <c r="AD815" s="15"/>
      <c r="AE815" s="34"/>
      <c r="AG815" s="15"/>
      <c r="AH815" s="2"/>
      <c r="AI815" s="45"/>
      <c r="AJ815" s="15"/>
      <c r="AK815" s="13"/>
      <c r="AL815" s="15"/>
      <c r="AM815" s="45"/>
      <c r="AN815" s="15"/>
      <c r="AO815" s="13"/>
      <c r="AP815" s="15"/>
      <c r="AQ815" s="180">
        <f>B810*$F$14</f>
        <v>0</v>
      </c>
      <c r="AR815" s="1"/>
      <c r="AS815" s="13"/>
      <c r="AT815" s="15"/>
      <c r="AU815" s="45"/>
      <c r="AV815" s="39">
        <v>2000</v>
      </c>
      <c r="AW815" s="13"/>
      <c r="AX815" s="15"/>
      <c r="AY815" s="45"/>
      <c r="AZ815" s="28"/>
      <c r="BA815" s="13"/>
      <c r="BB815" s="15"/>
      <c r="BC815" s="45"/>
      <c r="BD815" s="28"/>
      <c r="BE815" s="14"/>
      <c r="BF815" s="41">
        <f t="shared" ref="BF815:BG815" si="2957">K815+O815+S815+W815+AA815+AE815+AI815+AM815+AQ815+AU815+AY815+BC815</f>
        <v>0</v>
      </c>
      <c r="BG815" s="34">
        <f t="shared" si="2957"/>
        <v>2000</v>
      </c>
      <c r="BH815" s="35">
        <f t="shared" si="2940"/>
        <v>40</v>
      </c>
      <c r="BK815" s="2" t="b">
        <f>H815='2020'!BH815</f>
        <v>1</v>
      </c>
    </row>
    <row r="816" ht="14.25" customHeight="1" hidden="1" spans="1:63" x14ac:dyDescent="0.25">
      <c r="A816" s="89">
        <v>84</v>
      </c>
      <c r="B816" s="14"/>
      <c r="D816" s="14" t="s">
        <v>52</v>
      </c>
      <c r="E816" s="2" t="s">
        <v>39</v>
      </c>
      <c r="F816" s="41">
        <v>500</v>
      </c>
      <c r="G816" s="28"/>
      <c r="H816" s="34">
        <f>'2020'!BH816</f>
        <v>0</v>
      </c>
      <c r="I816" s="13"/>
      <c r="J816" s="15"/>
      <c r="K816" s="15"/>
      <c r="L816" s="28"/>
      <c r="M816" s="13"/>
      <c r="N816" s="15"/>
      <c r="Q816" s="13"/>
      <c r="R816" s="15"/>
      <c r="S816" s="15"/>
      <c r="T816" s="28"/>
      <c r="U816" s="13"/>
      <c r="V816" s="15"/>
      <c r="Y816" s="186"/>
      <c r="Z816" s="2"/>
      <c r="AA816" s="34">
        <f>$F$15</f>
      </c>
      <c r="AB816" s="28"/>
      <c r="AC816" s="15"/>
      <c r="AD816" s="15"/>
      <c r="AF816" s="180"/>
      <c r="AG816" s="15"/>
      <c r="AH816" s="2"/>
      <c r="AI816" s="45"/>
      <c r="AJ816" s="15"/>
      <c r="AK816" s="13"/>
      <c r="AL816" s="15"/>
      <c r="AM816" s="45"/>
      <c r="AN816" s="15"/>
      <c r="AO816" s="13"/>
      <c r="AP816" s="15"/>
      <c r="AQ816" s="45"/>
      <c r="AR816" s="15"/>
      <c r="AS816" s="13"/>
      <c r="AT816" s="15"/>
      <c r="AU816" s="45"/>
      <c r="AV816" s="34"/>
      <c r="AW816" s="13"/>
      <c r="AX816" s="15"/>
      <c r="AY816" s="45"/>
      <c r="AZ816" s="35"/>
      <c r="BA816" s="13"/>
      <c r="BB816" s="15"/>
      <c r="BC816" s="45"/>
      <c r="BD816" s="35"/>
      <c r="BE816" s="14"/>
      <c r="BF816" s="41">
        <f t="shared" ref="BF816:BG816" si="2958">K816+O816+S816+W816+AA816+AE816+AI816+AM816+AQ816+AU816+AY816+BC816</f>
        <v>0</v>
      </c>
      <c r="BG816" s="34">
        <f t="shared" si="2958"/>
        <v>0</v>
      </c>
      <c r="BH816" s="35">
        <f t="shared" si="2940"/>
        <v>0</v>
      </c>
      <c r="BK816" s="2" t="b">
        <f>H816='2020'!BH816</f>
        <v>1</v>
      </c>
    </row>
    <row r="817" ht="14.25" customHeight="1" hidden="1" spans="1:63" x14ac:dyDescent="0.25">
      <c r="A817" s="247">
        <v>84</v>
      </c>
      <c r="B817" s="21"/>
      <c r="C817" s="22" t="s">
        <v>53</v>
      </c>
      <c r="D817" s="21"/>
      <c r="E817" s="22"/>
      <c r="F817" s="20"/>
      <c r="G817" s="23"/>
      <c r="H817" s="51">
        <f>SUM(H809:H816)</f>
        <v>1776.09</v>
      </c>
      <c r="I817" s="52"/>
      <c r="J817" s="53"/>
      <c r="K817" s="51">
        <f t="shared" ref="K817:L817" si="2959">SUM(K809:K816)</f>
        <v>0</v>
      </c>
      <c r="L817" s="68">
        <f t="shared" si="2959"/>
        <v>0</v>
      </c>
      <c r="M817" s="52"/>
      <c r="N817" s="53"/>
      <c r="O817" s="51">
        <f t="shared" ref="O817:P817" si="2960">SUM(O809:O816)</f>
        <v>0</v>
      </c>
      <c r="P817" s="51">
        <f t="shared" si="2960"/>
        <v>0</v>
      </c>
      <c r="Q817" s="52"/>
      <c r="R817" s="53"/>
      <c r="S817" s="51">
        <f t="shared" ref="S817:T817" si="2961">SUM(S809:S816)</f>
        <v>0</v>
      </c>
      <c r="T817" s="51">
        <f t="shared" si="2961"/>
        <v>0</v>
      </c>
      <c r="U817" s="52"/>
      <c r="V817" s="53"/>
      <c r="W817" s="51">
        <f t="shared" ref="W817:X817" si="2962">SUM(W809:W816)</f>
        <v>0</v>
      </c>
      <c r="X817" s="51">
        <f t="shared" si="2962"/>
        <v>0</v>
      </c>
      <c r="Y817" s="300"/>
      <c r="Z817" s="301"/>
      <c r="AA817" s="51">
        <f t="shared" ref="AA817:AB817" si="2963">SUM(AA809:AA816)</f>
        <v>32.46</v>
      </c>
      <c r="AB817" s="51">
        <f t="shared" si="2963"/>
        <v>0</v>
      </c>
      <c r="AC817" s="52"/>
      <c r="AD817" s="53"/>
      <c r="AE817" s="51">
        <f t="shared" ref="AE817:AF817" si="2964">SUM(AE809:AE816)</f>
        <v>4696.64</v>
      </c>
      <c r="AF817" s="51">
        <f t="shared" si="2964"/>
        <v>2800</v>
      </c>
      <c r="AG817" s="52"/>
      <c r="AH817" s="301"/>
      <c r="AI817" s="183">
        <f t="shared" ref="AI817:AJ817" si="2965">SUM(AI809:AI816)</f>
        <v>101.55</v>
      </c>
      <c r="AJ817" s="51">
        <f t="shared" si="2965"/>
        <v>500</v>
      </c>
      <c r="AK817" s="52"/>
      <c r="AL817" s="53"/>
      <c r="AM817" s="183">
        <f t="shared" ref="AM817:AN817" si="2966">SUM(AM809:AM816)</f>
        <v>134.15</v>
      </c>
      <c r="AN817" s="51">
        <f t="shared" si="2966"/>
        <v>1869.06</v>
      </c>
      <c r="AO817" s="52"/>
      <c r="AP817" s="53"/>
      <c r="AQ817" s="183">
        <f t="shared" ref="AQ817:AR817" si="2967">SUM(AQ809:AQ816)</f>
        <v>95.42</v>
      </c>
      <c r="AR817" s="51">
        <f t="shared" si="2967"/>
        <v>0</v>
      </c>
      <c r="AS817" s="52"/>
      <c r="AT817" s="53"/>
      <c r="AU817" s="183">
        <f t="shared" ref="AU817:AV817" si="2968">SUM(AU809:AU816)</f>
        <v>13.5</v>
      </c>
      <c r="AV817" s="68">
        <f t="shared" si="2968"/>
        <v>2000</v>
      </c>
      <c r="AW817" s="52"/>
      <c r="AX817" s="53"/>
      <c r="AY817" s="183">
        <f t="shared" ref="AY817:AZ817" si="2969">SUM(AY809:AY816)</f>
        <v>0</v>
      </c>
      <c r="AZ817" s="68">
        <f t="shared" si="2969"/>
        <v>0</v>
      </c>
      <c r="BA817" s="52"/>
      <c r="BB817" s="53"/>
      <c r="BC817" s="183">
        <f t="shared" ref="BC817:BD817" si="2970">SUM(BC809:BC816)</f>
        <v>0</v>
      </c>
      <c r="BD817" s="68">
        <f t="shared" si="2970"/>
        <v>0</v>
      </c>
      <c r="BE817" s="69"/>
      <c r="BF817" s="70">
        <f t="shared" ref="BF817:BH817" si="2971">SUM(BF809:BF816)</f>
        <v>5073.72</v>
      </c>
      <c r="BG817" s="71">
        <f t="shared" si="2971"/>
        <v>7169.06</v>
      </c>
      <c r="BH817" s="72">
        <f t="shared" si="2971"/>
        <v>-319.25</v>
      </c>
      <c r="BI817" s="34">
        <f>H817+BF817-BG817</f>
        <v>-319.25</v>
      </c>
      <c r="BJ817" s="34">
        <f>BH817-BI817</f>
        <v>0</v>
      </c>
      <c r="BK817" s="2" t="b">
        <f>H817='2020'!BH817</f>
        <v>1</v>
      </c>
    </row>
    <row r="818" ht="14.25" customHeight="1" hidden="1" spans="1:63" x14ac:dyDescent="0.25">
      <c r="A818" s="89">
        <v>86</v>
      </c>
      <c r="B818" s="14"/>
      <c r="D818" s="14" t="s">
        <v>379</v>
      </c>
      <c r="F818" s="13"/>
      <c r="G818" s="28"/>
      <c r="H818" s="34">
        <f>'2020'!BH818</f>
        <v>353.32</v>
      </c>
      <c r="I818" s="13"/>
      <c r="J818" s="15"/>
      <c r="K818" s="15">
        <v>33.26</v>
      </c>
      <c r="L818" s="28"/>
      <c r="M818" s="13"/>
      <c r="N818" s="15"/>
      <c r="O818" s="2">
        <v>30.04</v>
      </c>
      <c r="Q818" s="13"/>
      <c r="R818" s="15"/>
      <c r="S818" s="15">
        <v>33.26</v>
      </c>
      <c r="T818" s="28"/>
      <c r="U818" s="13"/>
      <c r="V818" s="15"/>
      <c r="W818" s="2">
        <v>32.19</v>
      </c>
      <c r="Y818" s="186"/>
      <c r="Z818" s="2"/>
      <c r="AA818" s="15">
        <v>33.26</v>
      </c>
      <c r="AB818" s="28"/>
      <c r="AC818" s="15"/>
      <c r="AD818" s="15"/>
      <c r="AE818" s="2">
        <v>32.19</v>
      </c>
      <c r="AG818" s="15"/>
      <c r="AH818" s="2"/>
      <c r="AI818" s="45"/>
      <c r="AJ818" s="15"/>
      <c r="AK818" s="13"/>
      <c r="AM818" s="45">
        <v>33.26</v>
      </c>
      <c r="AO818" s="13"/>
      <c r="AQ818" s="180">
        <v>53.99</v>
      </c>
      <c r="AS818" s="13"/>
      <c r="AU818" s="180"/>
      <c r="AW818" s="13"/>
      <c r="AY818" s="180"/>
      <c r="AZ818" s="28"/>
      <c r="BA818" s="13"/>
      <c r="BB818" s="15"/>
      <c r="BC818" s="180"/>
      <c r="BD818" s="28"/>
      <c r="BE818" s="14"/>
      <c r="BF818" s="41">
        <f t="shared" ref="BF818:BG818" si="2972">K818+O818+S818+W818+AA818+AE818+AI818+AM818+AQ818+AU818+AY818+BC818</f>
        <v>281.45</v>
      </c>
      <c r="BG818" s="34">
        <f t="shared" si="2972"/>
        <v>0</v>
      </c>
      <c r="BH818" s="35">
        <f t="shared" ref="BH818:BH825" si="2973">H818+BF818-BG818</f>
        <v>634.77</v>
      </c>
      <c r="BK818" s="2" t="b">
        <f>H818='2020'!BH818</f>
        <v>1</v>
      </c>
    </row>
    <row r="819" ht="14.25" customHeight="1" hidden="1" spans="1:63" x14ac:dyDescent="0.25">
      <c r="A819" s="89">
        <v>86</v>
      </c>
      <c r="B819" s="14">
        <v>4.23</v>
      </c>
      <c r="C819" s="2" t="s">
        <v>304</v>
      </c>
      <c r="D819" s="14" t="s">
        <v>44</v>
      </c>
      <c r="E819" s="2" t="s">
        <v>45</v>
      </c>
      <c r="F819" s="41">
        <v>2.5</v>
      </c>
      <c r="G819" s="35">
        <v>2.6</v>
      </c>
      <c r="H819" s="104">
        <f>'2020'!BH819</f>
        <v>0</v>
      </c>
      <c r="I819" s="13">
        <v>0</v>
      </c>
      <c r="J819" s="15">
        <f>I819-'2020'!BA819</f>
        <v>0</v>
      </c>
      <c r="K819" s="34">
        <f>J819*$F$8</f>
        <v>0</v>
      </c>
      <c r="L819" s="28"/>
      <c r="M819" s="13">
        <v>0</v>
      </c>
      <c r="N819" s="15">
        <f t="shared" ref="N819:N820" si="2974">M819-I819</f>
        <v>0</v>
      </c>
      <c r="O819" s="34">
        <f>N819*$F$8</f>
        <v>0</v>
      </c>
      <c r="Q819" s="13">
        <v>0</v>
      </c>
      <c r="R819" s="15">
        <f t="shared" ref="R819:R820" si="2975">Q819-M819</f>
        <v>0</v>
      </c>
      <c r="S819" s="34">
        <f>R819*$F$8</f>
        <v>0</v>
      </c>
      <c r="T819" s="28"/>
      <c r="U819" s="13">
        <v>0</v>
      </c>
      <c r="V819" s="15">
        <f t="shared" ref="V819:V820" si="2976">U819-Q819</f>
        <v>0</v>
      </c>
      <c r="W819" s="34">
        <f>V819*$F$8</f>
        <v>0</v>
      </c>
      <c r="Y819" s="186"/>
      <c r="Z819" s="2">
        <f t="shared" ref="Z819:Z820" si="2977">Y819-U819</f>
        <v>0</v>
      </c>
      <c r="AA819" s="34">
        <f>Z819*$F$8</f>
        <v>0</v>
      </c>
      <c r="AB819" s="28"/>
      <c r="AC819" s="15"/>
      <c r="AD819" s="15">
        <f t="shared" ref="AD819:AD820" si="2978">AC819-Y819</f>
        <v>0</v>
      </c>
      <c r="AE819" s="180">
        <f>AD819*$F$8</f>
        <v>0</v>
      </c>
      <c r="AG819" s="15"/>
      <c r="AH819" s="2">
        <f t="shared" ref="AH819:AH820" si="2979">AG819-AC819</f>
        <v>0</v>
      </c>
      <c r="AI819" s="45">
        <f>AH819*$G$8</f>
        <v>0</v>
      </c>
      <c r="AJ819" s="15"/>
      <c r="AK819" s="13"/>
      <c r="AL819" s="15">
        <f t="shared" ref="AL819:AL820" si="2980">AK819-AG819</f>
        <v>0</v>
      </c>
      <c r="AM819" s="45">
        <f>AL819*$G$8</f>
        <v>0</v>
      </c>
      <c r="AN819" s="15"/>
      <c r="AO819" s="13"/>
      <c r="AP819" s="15">
        <f t="shared" ref="AP819:AP820" si="2981">AO819-AK819</f>
        <v>0</v>
      </c>
      <c r="AQ819" s="45">
        <f>AP819*$G$8</f>
        <v>0</v>
      </c>
      <c r="AR819" s="15"/>
      <c r="AS819" s="13"/>
      <c r="AT819" s="15">
        <f t="shared" ref="AT819:AT820" si="2982">AS819-AO819</f>
        <v>0</v>
      </c>
      <c r="AU819" s="45">
        <f>AT819*$G$8</f>
        <v>0</v>
      </c>
      <c r="AV819" s="15"/>
      <c r="AW819" s="13"/>
      <c r="AX819" s="15">
        <f t="shared" ref="AX819:AX820" si="2983">AW819-AS819</f>
        <v>0</v>
      </c>
      <c r="AY819" s="45">
        <f>AX819*$G$8</f>
        <v>0</v>
      </c>
      <c r="AZ819" s="208"/>
      <c r="BA819" s="13"/>
      <c r="BB819" s="15">
        <f t="shared" ref="BB819:BB820" si="2984">BA819-AW819</f>
        <v>0</v>
      </c>
      <c r="BC819" s="45">
        <f>BB819*$G$8</f>
        <v>0</v>
      </c>
      <c r="BD819" s="208"/>
      <c r="BE819" s="40">
        <f t="shared" ref="BE819:BG819" si="2985">J819+N819+R819+V819+Z819+AD819+AH819+AL819+AP819+AT819+AX819+BB819</f>
        <v>0</v>
      </c>
      <c r="BF819" s="41">
        <f t="shared" si="2985"/>
        <v>0</v>
      </c>
      <c r="BG819" s="34">
        <f t="shared" si="2985"/>
        <v>0</v>
      </c>
      <c r="BH819" s="35">
        <f t="shared" si="2973"/>
        <v>0</v>
      </c>
      <c r="BK819" s="2" t="b">
        <f>H819='2020'!BH819</f>
        <v>1</v>
      </c>
    </row>
    <row r="820" ht="14.25" customHeight="1" hidden="1" spans="1:63" x14ac:dyDescent="0.25">
      <c r="A820" s="89">
        <v>86</v>
      </c>
      <c r="B820" s="14"/>
      <c r="C820" s="15" t="s">
        <v>305</v>
      </c>
      <c r="D820" s="14" t="s">
        <v>47</v>
      </c>
      <c r="E820" s="2" t="s">
        <v>48</v>
      </c>
      <c r="F820" s="13">
        <v>18.56</v>
      </c>
      <c r="G820" s="35">
        <v>19.46</v>
      </c>
      <c r="H820" s="34">
        <f>'2020'!BH820</f>
        <v>0</v>
      </c>
      <c r="I820" s="13"/>
      <c r="J820" s="15"/>
      <c r="K820" s="15"/>
      <c r="L820" s="28"/>
      <c r="M820" s="13"/>
      <c r="N820" s="15">
        <f t="shared" si="2974"/>
        <v>0</v>
      </c>
      <c r="Q820" s="13"/>
      <c r="R820" s="15">
        <f t="shared" si="2975"/>
        <v>0</v>
      </c>
      <c r="S820" s="15"/>
      <c r="T820" s="28"/>
      <c r="U820" s="13"/>
      <c r="V820" s="15">
        <f t="shared" si="2976"/>
        <v>0</v>
      </c>
      <c r="W820" s="34">
        <f>V820*$F$10</f>
        <v>0</v>
      </c>
      <c r="Y820" s="186"/>
      <c r="Z820" s="2">
        <f t="shared" si="2977"/>
        <v>0</v>
      </c>
      <c r="AA820" s="34">
        <f>Z820*$F$10</f>
        <v>0</v>
      </c>
      <c r="AB820" s="28"/>
      <c r="AC820" s="15"/>
      <c r="AD820" s="15">
        <f t="shared" si="2978"/>
        <v>0</v>
      </c>
      <c r="AE820" s="34">
        <f>AD820*$F$10</f>
        <v>0</v>
      </c>
      <c r="AG820" s="15"/>
      <c r="AH820" s="2">
        <f t="shared" si="2979"/>
        <v>0</v>
      </c>
      <c r="AI820" s="45">
        <f>AH820*$G$10</f>
        <v>0</v>
      </c>
      <c r="AJ820" s="15"/>
      <c r="AK820" s="13"/>
      <c r="AL820" s="15">
        <f t="shared" si="2980"/>
        <v>0</v>
      </c>
      <c r="AM820" s="45">
        <f>AL820*$G$10</f>
        <v>0</v>
      </c>
      <c r="AN820" s="15"/>
      <c r="AO820" s="13"/>
      <c r="AP820" s="15">
        <f t="shared" si="2981"/>
        <v>0</v>
      </c>
      <c r="AQ820" s="45">
        <f>AP820*$G$10</f>
        <v>0</v>
      </c>
      <c r="AR820" s="15"/>
      <c r="AS820" s="13"/>
      <c r="AT820" s="15">
        <f t="shared" si="2982"/>
        <v>0</v>
      </c>
      <c r="AU820" s="45">
        <f>AT820*$G$10</f>
        <v>0</v>
      </c>
      <c r="AV820" s="15"/>
      <c r="AW820" s="13"/>
      <c r="AX820" s="15">
        <f t="shared" si="2983"/>
        <v>0</v>
      </c>
      <c r="AY820" s="45"/>
      <c r="AZ820" s="208"/>
      <c r="BA820" s="13"/>
      <c r="BB820" s="15">
        <f t="shared" si="2984"/>
        <v>0</v>
      </c>
      <c r="BC820" s="45"/>
      <c r="BD820" s="208"/>
      <c r="BE820" s="40">
        <f t="shared" ref="BE820:BG820" si="2986">J820+N820+R820+V820+Z820+AD820+AH820+AL820+AP820+AT820+AX820+BB820</f>
        <v>0</v>
      </c>
      <c r="BF820" s="41">
        <f t="shared" si="2986"/>
        <v>0</v>
      </c>
      <c r="BG820" s="34">
        <f t="shared" si="2986"/>
        <v>0</v>
      </c>
      <c r="BH820" s="35">
        <f t="shared" si="2973"/>
        <v>0</v>
      </c>
      <c r="BK820" s="2" t="b">
        <f>H820='2020'!BH820</f>
        <v>1</v>
      </c>
    </row>
    <row r="821" ht="14.25" customHeight="1" hidden="1" spans="1:63" x14ac:dyDescent="0.25">
      <c r="A821" s="89">
        <v>86</v>
      </c>
      <c r="B821" s="14"/>
      <c r="C821" s="15" t="s">
        <v>306</v>
      </c>
      <c r="D821" s="14" t="s">
        <v>47</v>
      </c>
      <c r="E821" s="2" t="s">
        <v>49</v>
      </c>
      <c r="F821" s="41">
        <v>500</v>
      </c>
      <c r="G821" s="28"/>
      <c r="H821" s="144">
        <f>'2020'!BH821</f>
        <v>0</v>
      </c>
      <c r="I821" s="13"/>
      <c r="J821" s="15"/>
      <c r="K821" s="15"/>
      <c r="L821" s="28"/>
      <c r="M821" s="13"/>
      <c r="N821" s="15"/>
      <c r="Q821" s="13"/>
      <c r="R821" s="15"/>
      <c r="S821" s="15"/>
      <c r="T821" s="28"/>
      <c r="U821" s="13"/>
      <c r="V821" s="15"/>
      <c r="Y821" s="186"/>
      <c r="Z821" s="2"/>
      <c r="AA821" s="34"/>
      <c r="AB821" s="28"/>
      <c r="AC821" s="15"/>
      <c r="AD821" s="15"/>
      <c r="AG821" s="15"/>
      <c r="AH821" s="2"/>
      <c r="AI821" s="45"/>
      <c r="AJ821" s="15"/>
      <c r="AK821" s="13"/>
      <c r="AL821" s="15"/>
      <c r="AM821" s="45"/>
      <c r="AN821" s="15"/>
      <c r="AO821" s="13"/>
      <c r="AP821" s="15"/>
      <c r="AQ821" s="45"/>
      <c r="AR821" s="15"/>
      <c r="AS821" s="13"/>
      <c r="AT821" s="15"/>
      <c r="AU821" s="45"/>
      <c r="AV821" s="15"/>
      <c r="AW821" s="13"/>
      <c r="AX821" s="15"/>
      <c r="AY821" s="45"/>
      <c r="AZ821" s="28"/>
      <c r="BA821" s="13"/>
      <c r="BB821" s="15"/>
      <c r="BC821" s="45"/>
      <c r="BD821" s="28"/>
      <c r="BE821" s="40">
        <f t="shared" ref="BE821:BG821" si="2987">J821+N821+R821+V821+Z821+AD821+AH821+AL821+AP821+AT821+AX821+BB821</f>
        <v>0</v>
      </c>
      <c r="BF821" s="41">
        <f t="shared" si="2987"/>
        <v>0</v>
      </c>
      <c r="BG821" s="34">
        <f t="shared" si="2987"/>
        <v>0</v>
      </c>
      <c r="BH821" s="35">
        <f t="shared" si="2973"/>
        <v>0</v>
      </c>
      <c r="BK821" s="2" t="b">
        <f>H821='2020'!BH821</f>
        <v>1</v>
      </c>
    </row>
    <row r="822" ht="14.25" customHeight="1" hidden="1" spans="1:63" x14ac:dyDescent="0.25">
      <c r="A822" s="89">
        <v>86</v>
      </c>
      <c r="B822" s="14"/>
      <c r="C822" s="2" t="s">
        <v>307</v>
      </c>
      <c r="D822" s="14" t="s">
        <v>50</v>
      </c>
      <c r="E822" s="2" t="s">
        <v>49</v>
      </c>
      <c r="F822" s="41">
        <v>1100</v>
      </c>
      <c r="G822" s="28"/>
      <c r="H822" s="180">
        <f>'2020'!BH822</f>
        <v>9729</v>
      </c>
      <c r="I822" s="13"/>
      <c r="J822" s="15"/>
      <c r="K822" s="15"/>
      <c r="L822" s="28"/>
      <c r="M822" s="13"/>
      <c r="N822" s="15"/>
      <c r="Q822" s="13"/>
      <c r="R822" s="15"/>
      <c r="S822" s="15"/>
      <c r="T822" s="28"/>
      <c r="U822" s="13"/>
      <c r="V822" s="15"/>
      <c r="Y822" s="186"/>
      <c r="Z822" s="2"/>
      <c r="AA822" s="15"/>
      <c r="AB822" s="28"/>
      <c r="AC822" s="15"/>
      <c r="AD822" s="15"/>
      <c r="AE822" s="34">
        <f>B819*$F$12</f>
        <v>4653</v>
      </c>
      <c r="AG822" s="15"/>
      <c r="AH822" s="2"/>
      <c r="AI822" s="45"/>
      <c r="AJ822" s="39"/>
      <c r="AK822" s="13"/>
      <c r="AL822" s="15"/>
      <c r="AM822" s="45"/>
      <c r="AN822" s="15"/>
      <c r="AO822" s="13"/>
      <c r="AP822" s="15"/>
      <c r="AQ822" s="45"/>
      <c r="AR822" s="15"/>
      <c r="AS822" s="13"/>
      <c r="AT822" s="15"/>
      <c r="AU822" s="45"/>
      <c r="AV822" s="15"/>
      <c r="AW822" s="13"/>
      <c r="AX822" s="15"/>
      <c r="AY822" s="45"/>
      <c r="AZ822" s="28"/>
      <c r="BA822" s="13"/>
      <c r="BB822" s="15"/>
      <c r="BC822" s="45"/>
      <c r="BD822" s="28"/>
      <c r="BE822" s="14"/>
      <c r="BF822" s="41">
        <f t="shared" ref="BF822:BG822" si="2988">K822+O822+S822+W822+AA822+AE822+AI822+AM822+AQ822+AU822+AY822+BC822</f>
        <v>4653</v>
      </c>
      <c r="BG822" s="34">
        <f t="shared" si="2988"/>
        <v>0</v>
      </c>
      <c r="BH822" s="35">
        <f t="shared" si="2973"/>
        <v>14382</v>
      </c>
      <c r="BK822" s="2" t="b">
        <f>H822='2020'!BH822</f>
        <v>1</v>
      </c>
    </row>
    <row r="823" ht="14.25" customHeight="1" hidden="1" spans="1:63" x14ac:dyDescent="0.25">
      <c r="A823" s="89">
        <v>86</v>
      </c>
      <c r="B823" s="14"/>
      <c r="D823" s="14" t="s">
        <v>51</v>
      </c>
      <c r="E823" s="2" t="s">
        <v>39</v>
      </c>
      <c r="F823" s="41">
        <v>500</v>
      </c>
      <c r="G823" s="28"/>
      <c r="H823" s="180">
        <f>'2020'!BH823</f>
        <v>1500</v>
      </c>
      <c r="I823" s="13"/>
      <c r="J823" s="15"/>
      <c r="K823" s="15"/>
      <c r="L823" s="28"/>
      <c r="M823" s="13"/>
      <c r="N823" s="15"/>
      <c r="Q823" s="13"/>
      <c r="R823" s="15"/>
      <c r="S823" s="15"/>
      <c r="T823" s="28"/>
      <c r="U823" s="13"/>
      <c r="V823" s="15"/>
      <c r="Y823" s="186"/>
      <c r="Z823" s="2"/>
      <c r="AA823" s="15"/>
      <c r="AB823" s="28"/>
      <c r="AC823" s="15"/>
      <c r="AD823" s="15"/>
      <c r="AE823" s="180">
        <f>$F$13</f>
      </c>
      <c r="AG823" s="15"/>
      <c r="AH823" s="2"/>
      <c r="AI823" s="45"/>
      <c r="AJ823" s="39"/>
      <c r="AK823" s="13"/>
      <c r="AL823" s="15"/>
      <c r="AM823" s="45"/>
      <c r="AN823" s="15"/>
      <c r="AO823" s="13"/>
      <c r="AP823" s="15"/>
      <c r="AQ823" s="180"/>
      <c r="AR823" s="15"/>
      <c r="AS823" s="13"/>
      <c r="AT823" s="15"/>
      <c r="AU823" s="45"/>
      <c r="AV823" s="15"/>
      <c r="AW823" s="13"/>
      <c r="AX823" s="15"/>
      <c r="AY823" s="45"/>
      <c r="AZ823" s="28"/>
      <c r="BA823" s="13"/>
      <c r="BB823" s="15"/>
      <c r="BC823" s="45"/>
      <c r="BD823" s="28"/>
      <c r="BE823" s="14"/>
      <c r="BF823" s="41">
        <f t="shared" ref="BF823:BG823" si="2989">K823+O823+S823+W823+AA823+AE823+AI823+AM823+AQ823+AU823+AY823+BC823</f>
        <v>0</v>
      </c>
      <c r="BG823" s="34">
        <f t="shared" si="2989"/>
        <v>0</v>
      </c>
      <c r="BH823" s="35">
        <f t="shared" si="2973"/>
        <v>1500</v>
      </c>
      <c r="BK823" s="2" t="b">
        <f>H823='2020'!BH823</f>
        <v>1</v>
      </c>
    </row>
    <row r="824" ht="14.25" customHeight="1" hidden="1" spans="1:63" x14ac:dyDescent="0.25">
      <c r="A824" s="89">
        <v>86</v>
      </c>
      <c r="B824" s="14"/>
      <c r="D824" s="14" t="s">
        <v>51</v>
      </c>
      <c r="E824" s="2" t="s">
        <v>49</v>
      </c>
      <c r="F824" s="41">
        <v>500</v>
      </c>
      <c r="G824" s="28"/>
      <c r="H824" s="180">
        <f>'2020'!BH824</f>
        <v>2115</v>
      </c>
      <c r="I824" s="13"/>
      <c r="J824" s="15"/>
      <c r="K824" s="15"/>
      <c r="L824" s="28"/>
      <c r="M824" s="13"/>
      <c r="N824" s="15"/>
      <c r="Q824" s="13"/>
      <c r="R824" s="15"/>
      <c r="S824" s="15"/>
      <c r="T824" s="28"/>
      <c r="U824" s="13"/>
      <c r="V824" s="15"/>
      <c r="Y824" s="186"/>
      <c r="Z824" s="2"/>
      <c r="AA824" s="15"/>
      <c r="AB824" s="28"/>
      <c r="AC824" s="15"/>
      <c r="AD824" s="15"/>
      <c r="AE824" s="34"/>
      <c r="AG824" s="15"/>
      <c r="AH824" s="2"/>
      <c r="AI824" s="45"/>
      <c r="AJ824" s="39"/>
      <c r="AK824" s="13"/>
      <c r="AL824" s="15"/>
      <c r="AM824" s="45"/>
      <c r="AN824" s="15"/>
      <c r="AO824" s="13"/>
      <c r="AP824" s="15"/>
      <c r="AQ824" s="180">
        <f>B819*$F$14</f>
        <v>0</v>
      </c>
      <c r="AR824" s="15"/>
      <c r="AS824" s="13"/>
      <c r="AT824" s="15"/>
      <c r="AU824" s="45"/>
      <c r="AV824" s="15"/>
      <c r="AW824" s="13"/>
      <c r="AX824" s="15"/>
      <c r="AY824" s="45"/>
      <c r="AZ824" s="28"/>
      <c r="BA824" s="13"/>
      <c r="BB824" s="15"/>
      <c r="BC824" s="45"/>
      <c r="BD824" s="28"/>
      <c r="BE824" s="14"/>
      <c r="BF824" s="41">
        <f t="shared" ref="BF824:BG824" si="2990">K824+O824+S824+W824+AA824+AE824+AI824+AM824+AQ824+AU824+AY824+BC824</f>
        <v>0</v>
      </c>
      <c r="BG824" s="34">
        <f t="shared" si="2990"/>
        <v>0</v>
      </c>
      <c r="BH824" s="35">
        <f t="shared" si="2973"/>
        <v>2115</v>
      </c>
      <c r="BK824" s="2" t="b">
        <f>H824='2020'!BH824</f>
        <v>1</v>
      </c>
    </row>
    <row r="825" ht="14.25" customHeight="1" hidden="1" spans="1:63" x14ac:dyDescent="0.25">
      <c r="A825" s="89">
        <v>86</v>
      </c>
      <c r="B825" s="14"/>
      <c r="D825" s="14" t="s">
        <v>52</v>
      </c>
      <c r="E825" s="2" t="s">
        <v>39</v>
      </c>
      <c r="F825" s="41">
        <v>500</v>
      </c>
      <c r="G825" s="28"/>
      <c r="H825" s="180">
        <f>'2020'!BH825</f>
        <v>1000</v>
      </c>
      <c r="I825" s="13"/>
      <c r="J825" s="15"/>
      <c r="K825" s="15"/>
      <c r="L825" s="28"/>
      <c r="M825" s="13"/>
      <c r="N825" s="15"/>
      <c r="Q825" s="13"/>
      <c r="R825" s="15"/>
      <c r="S825" s="15"/>
      <c r="T825" s="28"/>
      <c r="U825" s="13"/>
      <c r="V825" s="15"/>
      <c r="Y825" s="186"/>
      <c r="Z825" s="2"/>
      <c r="AA825" s="34">
        <f>$F$15</f>
      </c>
      <c r="AB825" s="28"/>
      <c r="AC825" s="15"/>
      <c r="AD825" s="15"/>
      <c r="AG825" s="15"/>
      <c r="AH825" s="2"/>
      <c r="AI825" s="45"/>
      <c r="AJ825" s="39"/>
      <c r="AK825" s="13"/>
      <c r="AL825" s="15"/>
      <c r="AM825" s="45"/>
      <c r="AN825" s="15"/>
      <c r="AO825" s="13"/>
      <c r="AP825" s="15"/>
      <c r="AQ825" s="45"/>
      <c r="AR825" s="15"/>
      <c r="AS825" s="13"/>
      <c r="AT825" s="15"/>
      <c r="AU825" s="45"/>
      <c r="AV825" s="15"/>
      <c r="AW825" s="13"/>
      <c r="AX825" s="15"/>
      <c r="AY825" s="45"/>
      <c r="AZ825" s="35"/>
      <c r="BA825" s="13"/>
      <c r="BB825" s="15"/>
      <c r="BC825" s="45"/>
      <c r="BD825" s="35"/>
      <c r="BE825" s="14"/>
      <c r="BF825" s="41">
        <f t="shared" ref="BF825:BG825" si="2991">K825+O825+S825+W825+AA825+AE825+AI825+AM825+AQ825+AU825+AY825+BC825</f>
        <v>0</v>
      </c>
      <c r="BG825" s="34">
        <f t="shared" si="2991"/>
        <v>0</v>
      </c>
      <c r="BH825" s="35">
        <f t="shared" si="2973"/>
        <v>1000</v>
      </c>
      <c r="BK825" s="2" t="b">
        <f>H825='2020'!BH825</f>
        <v>1</v>
      </c>
    </row>
    <row r="826" ht="14.25" customHeight="1" hidden="1" spans="1:63" x14ac:dyDescent="0.25">
      <c r="A826" s="247">
        <v>86</v>
      </c>
      <c r="B826" s="21"/>
      <c r="C826" s="22" t="s">
        <v>53</v>
      </c>
      <c r="D826" s="21"/>
      <c r="E826" s="22"/>
      <c r="F826" s="20"/>
      <c r="G826" s="23"/>
      <c r="H826" s="51">
        <f>SUM(H818:H825)</f>
        <v>14697.32</v>
      </c>
      <c r="I826" s="52"/>
      <c r="J826" s="53"/>
      <c r="K826" s="51">
        <f t="shared" ref="K826:L826" si="2992">SUM(K818:K825)</f>
        <v>33.26</v>
      </c>
      <c r="L826" s="68">
        <f t="shared" si="2992"/>
        <v>0</v>
      </c>
      <c r="M826" s="52"/>
      <c r="N826" s="53"/>
      <c r="O826" s="51">
        <f t="shared" ref="O826:P826" si="2993">SUM(O818:O825)</f>
        <v>30.04</v>
      </c>
      <c r="P826" s="51">
        <f t="shared" si="2993"/>
        <v>0</v>
      </c>
      <c r="Q826" s="52"/>
      <c r="R826" s="53"/>
      <c r="S826" s="51">
        <f t="shared" ref="S826:T826" si="2994">SUM(S818:S825)</f>
        <v>33.26</v>
      </c>
      <c r="T826" s="51">
        <f t="shared" si="2994"/>
        <v>0</v>
      </c>
      <c r="U826" s="52"/>
      <c r="V826" s="53"/>
      <c r="W826" s="51">
        <f t="shared" ref="W826:X826" si="2995">SUM(W818:W825)</f>
        <v>32.19</v>
      </c>
      <c r="X826" s="51">
        <f t="shared" si="2995"/>
        <v>0</v>
      </c>
      <c r="Y826" s="300"/>
      <c r="Z826" s="301"/>
      <c r="AA826" s="51">
        <f t="shared" ref="AA826:AB826" si="2996">SUM(AA818:AA825)</f>
        <v>33.26</v>
      </c>
      <c r="AB826" s="51">
        <f t="shared" si="2996"/>
        <v>0</v>
      </c>
      <c r="AC826" s="52"/>
      <c r="AD826" s="53"/>
      <c r="AE826" s="51">
        <f t="shared" ref="AE826:AF826" si="2997">SUM(AE818:AE825)</f>
        <v>4685.19</v>
      </c>
      <c r="AF826" s="51">
        <f t="shared" si="2997"/>
        <v>0</v>
      </c>
      <c r="AG826" s="52"/>
      <c r="AH826" s="301"/>
      <c r="AI826" s="183">
        <f t="shared" ref="AI826:AJ826" si="2998">SUM(AI818:AI825)</f>
        <v>0</v>
      </c>
      <c r="AJ826" s="51">
        <f t="shared" si="2998"/>
        <v>0</v>
      </c>
      <c r="AK826" s="52"/>
      <c r="AL826" s="53"/>
      <c r="AM826" s="183">
        <f t="shared" ref="AM826:AN826" si="2999">SUM(AM818:AM825)</f>
        <v>33.26</v>
      </c>
      <c r="AN826" s="51">
        <f t="shared" si="2999"/>
        <v>0</v>
      </c>
      <c r="AO826" s="52"/>
      <c r="AP826" s="53"/>
      <c r="AQ826" s="183">
        <f t="shared" ref="AQ826:AR826" si="3000">SUM(AQ818:AQ825)</f>
        <v>53.99</v>
      </c>
      <c r="AR826" s="51">
        <f t="shared" si="3000"/>
        <v>0</v>
      </c>
      <c r="AS826" s="52"/>
      <c r="AT826" s="53"/>
      <c r="AU826" s="183">
        <f t="shared" ref="AU826:AV826" si="3001">SUM(AU818:AU825)</f>
        <v>0</v>
      </c>
      <c r="AV826" s="68">
        <f t="shared" si="3001"/>
        <v>0</v>
      </c>
      <c r="AW826" s="52"/>
      <c r="AX826" s="53"/>
      <c r="AY826" s="183">
        <f t="shared" ref="AY826:AZ826" si="3002">SUM(AY818:AY825)</f>
        <v>0</v>
      </c>
      <c r="AZ826" s="68">
        <f t="shared" si="3002"/>
        <v>0</v>
      </c>
      <c r="BA826" s="52"/>
      <c r="BB826" s="53"/>
      <c r="BC826" s="183">
        <f t="shared" ref="BC826:BD826" si="3003">SUM(BC818:BC825)</f>
        <v>0</v>
      </c>
      <c r="BD826" s="68">
        <f t="shared" si="3003"/>
        <v>0</v>
      </c>
      <c r="BE826" s="69"/>
      <c r="BF826" s="70">
        <f t="shared" ref="BF826:BH826" si="3004">SUM(BF818:BF825)</f>
        <v>4934.45</v>
      </c>
      <c r="BG826" s="71">
        <f t="shared" si="3004"/>
        <v>0</v>
      </c>
      <c r="BH826" s="72">
        <f t="shared" si="3004"/>
        <v>19631.77</v>
      </c>
      <c r="BI826" s="34">
        <f>H826+BF826-BG826</f>
        <v>19631.77</v>
      </c>
      <c r="BJ826" s="34">
        <f>BH826-BI826</f>
        <v>0</v>
      </c>
      <c r="BK826" s="2" t="b">
        <f>H826='2020'!BH826</f>
        <v>1</v>
      </c>
    </row>
    <row r="827" ht="14.25" customHeight="1" hidden="1" spans="1:63" x14ac:dyDescent="0.25">
      <c r="A827" s="89">
        <v>88</v>
      </c>
      <c r="B827" s="14"/>
      <c r="D827" s="14" t="s">
        <v>379</v>
      </c>
      <c r="F827" s="13"/>
      <c r="G827" s="28"/>
      <c r="H827" s="34">
        <f>'2020'!BH827</f>
        <v>9.77</v>
      </c>
      <c r="I827" s="13"/>
      <c r="J827" s="15"/>
      <c r="K827" s="15"/>
      <c r="L827" s="28"/>
      <c r="M827" s="13"/>
      <c r="N827" s="15"/>
      <c r="Q827" s="13"/>
      <c r="R827" s="15"/>
      <c r="S827" s="15"/>
      <c r="T827" s="28"/>
      <c r="U827" s="13"/>
      <c r="V827" s="15"/>
      <c r="Y827" s="186"/>
      <c r="Z827" s="2"/>
      <c r="AA827" s="15"/>
      <c r="AB827" s="28"/>
      <c r="AC827" s="15"/>
      <c r="AD827" s="15"/>
      <c r="AF827" s="1">
        <v>9.77</v>
      </c>
      <c r="AG827" s="15"/>
      <c r="AH827" s="2"/>
      <c r="AI827" s="45"/>
      <c r="AJ827" s="15"/>
      <c r="AK827" s="13"/>
      <c r="AM827" s="45"/>
      <c r="AO827" s="13"/>
      <c r="AQ827" s="180">
        <v>13.96</v>
      </c>
      <c r="AR827" s="15"/>
      <c r="AS827" s="13"/>
      <c r="AU827" s="45"/>
      <c r="AW827" s="13"/>
      <c r="AY827" s="45"/>
      <c r="AZ827" s="28"/>
      <c r="BA827" s="13"/>
      <c r="BB827" s="15"/>
      <c r="BC827" s="45"/>
      <c r="BD827" s="28">
        <v>14</v>
      </c>
      <c r="BE827" s="14"/>
      <c r="BF827" s="41">
        <f t="shared" ref="BF827:BG827" si="3005">K827+O827+S827+W827+AA827+AE827+AI827+AM827+AQ827+AU827+AY827+BC827</f>
        <v>13.96</v>
      </c>
      <c r="BG827" s="34">
        <f t="shared" si="3005"/>
        <v>23.77</v>
      </c>
      <c r="BH827" s="35">
        <f t="shared" ref="BH827:BH834" si="3006">H827+BF827-BG827</f>
        <v>-0.04</v>
      </c>
      <c r="BK827" s="2" t="b">
        <f>H827='2020'!BH827</f>
        <v>1</v>
      </c>
    </row>
    <row r="828" ht="14.25" customHeight="1" hidden="1" spans="1:63" x14ac:dyDescent="0.25">
      <c r="A828" s="89">
        <v>88</v>
      </c>
      <c r="B828" s="14">
        <v>4.23</v>
      </c>
      <c r="C828" s="2" t="s">
        <v>308</v>
      </c>
      <c r="D828" s="14" t="s">
        <v>44</v>
      </c>
      <c r="E828" s="2" t="s">
        <v>45</v>
      </c>
      <c r="F828" s="41">
        <v>2.5</v>
      </c>
      <c r="G828" s="35">
        <v>2.6</v>
      </c>
      <c r="H828" s="104">
        <f>'2020'!BH828</f>
        <v>0</v>
      </c>
      <c r="I828" s="13">
        <v>0</v>
      </c>
      <c r="J828" s="15">
        <f>I828-'2020'!BA828</f>
        <v>0</v>
      </c>
      <c r="K828" s="34">
        <f>J828*$F$8</f>
        <v>0</v>
      </c>
      <c r="L828" s="28"/>
      <c r="M828" s="13">
        <v>0</v>
      </c>
      <c r="N828" s="15">
        <f t="shared" ref="N828:N829" si="3007">M828-I828</f>
        <v>0</v>
      </c>
      <c r="O828" s="34">
        <f>N828*$F$8</f>
        <v>0</v>
      </c>
      <c r="Q828" s="13">
        <v>0</v>
      </c>
      <c r="R828" s="15">
        <f t="shared" ref="R828:R829" si="3008">Q828-M828</f>
        <v>0</v>
      </c>
      <c r="S828" s="34">
        <f>R828*$F$8</f>
        <v>0</v>
      </c>
      <c r="T828" s="28"/>
      <c r="U828" s="13">
        <v>0</v>
      </c>
      <c r="V828" s="15">
        <f t="shared" ref="V828:V829" si="3009">U828-Q828</f>
        <v>0</v>
      </c>
      <c r="W828" s="34">
        <f>V828*$F$8</f>
        <v>0</v>
      </c>
      <c r="Y828" s="186"/>
      <c r="Z828" s="2">
        <f t="shared" ref="Z828:Z829" si="3010">Y828-U828</f>
        <v>0</v>
      </c>
      <c r="AA828" s="34">
        <f>Z828*$F$8</f>
        <v>0</v>
      </c>
      <c r="AB828" s="28"/>
      <c r="AC828" s="15"/>
      <c r="AD828" s="15">
        <f t="shared" ref="AD828:AD829" si="3011">AC828-Y828</f>
        <v>0</v>
      </c>
      <c r="AE828" s="180">
        <f>AD828*$F$8</f>
        <v>0</v>
      </c>
      <c r="AF828" s="1"/>
      <c r="AG828" s="15"/>
      <c r="AH828" s="2">
        <f t="shared" ref="AH828:AH829" si="3012">AG828-AC828</f>
        <v>0</v>
      </c>
      <c r="AI828" s="45">
        <f>AH828*$G$8</f>
        <v>0</v>
      </c>
      <c r="AJ828" s="15"/>
      <c r="AK828" s="13"/>
      <c r="AL828" s="15">
        <f t="shared" ref="AL828:AL829" si="3013">AK828-AG828</f>
        <v>0</v>
      </c>
      <c r="AM828" s="45">
        <f>AL828*$G$8</f>
        <v>0</v>
      </c>
      <c r="AN828" s="15"/>
      <c r="AO828" s="13"/>
      <c r="AP828" s="15">
        <f t="shared" ref="AP828:AP829" si="3014">AO828-AK828</f>
        <v>0</v>
      </c>
      <c r="AQ828" s="45">
        <f>AP828*$G$8</f>
        <v>0</v>
      </c>
      <c r="AR828" s="15"/>
      <c r="AS828" s="13"/>
      <c r="AT828" s="15">
        <f t="shared" ref="AT828:AT829" si="3015">AS828-AO828</f>
        <v>0</v>
      </c>
      <c r="AU828" s="45">
        <f>AT828*$G$8</f>
        <v>0</v>
      </c>
      <c r="AV828" s="15"/>
      <c r="AW828" s="13"/>
      <c r="AX828" s="15">
        <f t="shared" ref="AX828:AX829" si="3016">AW828-AS828</f>
        <v>0</v>
      </c>
      <c r="AY828" s="45">
        <f>AX828*$G$8</f>
        <v>0</v>
      </c>
      <c r="AZ828" s="208"/>
      <c r="BA828" s="13"/>
      <c r="BB828" s="15">
        <f t="shared" ref="BB828:BB829" si="3017">BA828-AW828</f>
        <v>0</v>
      </c>
      <c r="BC828" s="45">
        <f>BB828*$G$8</f>
        <v>0</v>
      </c>
      <c r="BD828" s="208"/>
      <c r="BE828" s="40">
        <f t="shared" ref="BE828:BG828" si="3018">J828+N828+R828+V828+Z828+AD828+AH828+AL828+AP828+AT828+AX828+BB828</f>
        <v>0</v>
      </c>
      <c r="BF828" s="41">
        <f t="shared" si="3018"/>
        <v>0</v>
      </c>
      <c r="BG828" s="34">
        <f t="shared" si="3018"/>
        <v>0</v>
      </c>
      <c r="BH828" s="35">
        <f t="shared" si="3006"/>
        <v>0</v>
      </c>
      <c r="BK828" s="2" t="b">
        <f>H828='2020'!BH828</f>
        <v>1</v>
      </c>
    </row>
    <row r="829" ht="14.25" customHeight="1" hidden="1" spans="1:63" x14ac:dyDescent="0.25">
      <c r="A829" s="89">
        <v>88</v>
      </c>
      <c r="B829" s="14"/>
      <c r="C829" s="2" t="s">
        <v>309</v>
      </c>
      <c r="D829" s="14" t="s">
        <v>47</v>
      </c>
      <c r="E829" s="2" t="s">
        <v>48</v>
      </c>
      <c r="F829" s="13">
        <v>18.56</v>
      </c>
      <c r="G829" s="35">
        <v>19.46</v>
      </c>
      <c r="H829" s="34">
        <f>'2020'!BH829</f>
        <v>0</v>
      </c>
      <c r="I829" s="13"/>
      <c r="J829" s="15"/>
      <c r="K829" s="15"/>
      <c r="L829" s="28"/>
      <c r="M829" s="13"/>
      <c r="N829" s="15">
        <f t="shared" si="3007"/>
        <v>0</v>
      </c>
      <c r="Q829" s="13"/>
      <c r="R829" s="15">
        <f t="shared" si="3008"/>
        <v>0</v>
      </c>
      <c r="S829" s="15"/>
      <c r="T829" s="28"/>
      <c r="U829" s="13"/>
      <c r="V829" s="15">
        <f t="shared" si="3009"/>
        <v>0</v>
      </c>
      <c r="W829" s="34">
        <f>V829*$F$10</f>
        <v>0</v>
      </c>
      <c r="Y829" s="186"/>
      <c r="Z829" s="2">
        <f t="shared" si="3010"/>
        <v>0</v>
      </c>
      <c r="AA829" s="34">
        <f>Z829*$F$10</f>
        <v>0</v>
      </c>
      <c r="AB829" s="28"/>
      <c r="AC829" s="15"/>
      <c r="AD829" s="15">
        <f t="shared" si="3011"/>
        <v>0</v>
      </c>
      <c r="AE829" s="34">
        <f>AD829*$F$10</f>
        <v>0</v>
      </c>
      <c r="AF829" s="1"/>
      <c r="AG829" s="15"/>
      <c r="AH829" s="2">
        <f t="shared" si="3012"/>
        <v>0</v>
      </c>
      <c r="AI829" s="45">
        <f>AH829*$G$10</f>
        <v>0</v>
      </c>
      <c r="AJ829" s="15"/>
      <c r="AK829" s="13"/>
      <c r="AL829" s="15">
        <f t="shared" si="3013"/>
        <v>0</v>
      </c>
      <c r="AM829" s="45">
        <f>AL829*$G$10</f>
        <v>0</v>
      </c>
      <c r="AN829" s="15"/>
      <c r="AO829" s="13"/>
      <c r="AP829" s="15">
        <f t="shared" si="3014"/>
        <v>0</v>
      </c>
      <c r="AQ829" s="45">
        <f>AP829*$G$10</f>
        <v>0</v>
      </c>
      <c r="AR829" s="15"/>
      <c r="AS829" s="13"/>
      <c r="AT829" s="15">
        <f t="shared" si="3015"/>
        <v>0</v>
      </c>
      <c r="AU829" s="45">
        <f>AT829*$G$10</f>
        <v>0</v>
      </c>
      <c r="AV829" s="15"/>
      <c r="AW829" s="13"/>
      <c r="AX829" s="15">
        <f t="shared" si="3016"/>
        <v>0</v>
      </c>
      <c r="AY829" s="45"/>
      <c r="AZ829" s="208"/>
      <c r="BA829" s="13"/>
      <c r="BB829" s="15">
        <f t="shared" si="3017"/>
        <v>0</v>
      </c>
      <c r="BC829" s="45"/>
      <c r="BD829" s="208"/>
      <c r="BE829" s="40">
        <f t="shared" ref="BE829:BG829" si="3019">J829+N829+R829+V829+Z829+AD829+AH829+AL829+AP829+AT829+AX829+BB829</f>
        <v>0</v>
      </c>
      <c r="BF829" s="41">
        <f t="shared" si="3019"/>
        <v>0</v>
      </c>
      <c r="BG829" s="34">
        <f t="shared" si="3019"/>
        <v>0</v>
      </c>
      <c r="BH829" s="35">
        <f t="shared" si="3006"/>
        <v>0</v>
      </c>
      <c r="BK829" s="2" t="b">
        <f>H829='2020'!BH829</f>
        <v>1</v>
      </c>
    </row>
    <row r="830" ht="14.25" customHeight="1" hidden="1" spans="1:63" x14ac:dyDescent="0.25">
      <c r="A830" s="89">
        <v>88</v>
      </c>
      <c r="B830" s="14"/>
      <c r="C830" s="15" t="s">
        <v>72</v>
      </c>
      <c r="D830" s="14" t="s">
        <v>47</v>
      </c>
      <c r="E830" s="2" t="s">
        <v>49</v>
      </c>
      <c r="F830" s="41">
        <v>500</v>
      </c>
      <c r="G830" s="28"/>
      <c r="H830" s="144">
        <f>'2020'!BH830</f>
        <v>0</v>
      </c>
      <c r="I830" s="13"/>
      <c r="J830" s="15"/>
      <c r="K830" s="15"/>
      <c r="L830" s="28"/>
      <c r="M830" s="13"/>
      <c r="N830" s="15"/>
      <c r="Q830" s="13"/>
      <c r="R830" s="15"/>
      <c r="S830" s="15"/>
      <c r="T830" s="28"/>
      <c r="U830" s="13"/>
      <c r="V830" s="15"/>
      <c r="Y830" s="186"/>
      <c r="Z830" s="2"/>
      <c r="AA830" s="34"/>
      <c r="AB830" s="28"/>
      <c r="AC830" s="15"/>
      <c r="AD830" s="15"/>
      <c r="AF830" s="1"/>
      <c r="AG830" s="15"/>
      <c r="AH830" s="2"/>
      <c r="AI830" s="45"/>
      <c r="AJ830" s="15"/>
      <c r="AK830" s="13"/>
      <c r="AL830" s="15"/>
      <c r="AM830" s="45"/>
      <c r="AN830" s="15"/>
      <c r="AO830" s="13"/>
      <c r="AP830" s="15"/>
      <c r="AQ830" s="45"/>
      <c r="AR830" s="15"/>
      <c r="AS830" s="13"/>
      <c r="AT830" s="15"/>
      <c r="AU830" s="45"/>
      <c r="AV830" s="15"/>
      <c r="AW830" s="13"/>
      <c r="AX830" s="15"/>
      <c r="AY830" s="45"/>
      <c r="AZ830" s="28"/>
      <c r="BA830" s="13"/>
      <c r="BB830" s="15"/>
      <c r="BC830" s="45"/>
      <c r="BD830" s="28"/>
      <c r="BE830" s="40">
        <f t="shared" ref="BE830:BG830" si="3020">J830+N830+R830+V830+Z830+AD830+AH830+AL830+AP830+AT830+AX830+BB830</f>
        <v>0</v>
      </c>
      <c r="BF830" s="41">
        <f t="shared" si="3020"/>
        <v>0</v>
      </c>
      <c r="BG830" s="34">
        <f t="shared" si="3020"/>
        <v>0</v>
      </c>
      <c r="BH830" s="35">
        <f t="shared" si="3006"/>
        <v>0</v>
      </c>
      <c r="BK830" s="2" t="b">
        <f>H830='2020'!BH830</f>
        <v>1</v>
      </c>
    </row>
    <row r="831" ht="14.25" customHeight="1" hidden="1" spans="1:63" x14ac:dyDescent="0.25">
      <c r="A831" s="89">
        <v>88</v>
      </c>
      <c r="B831" s="14"/>
      <c r="C831" s="2" t="s">
        <v>310</v>
      </c>
      <c r="D831" s="14" t="s">
        <v>50</v>
      </c>
      <c r="E831" s="2" t="s">
        <v>49</v>
      </c>
      <c r="F831" s="41">
        <v>1100</v>
      </c>
      <c r="G831" s="28"/>
      <c r="H831" s="180">
        <f>'2020'!BH831</f>
        <v>0</v>
      </c>
      <c r="I831" s="13"/>
      <c r="J831" s="15"/>
      <c r="K831" s="15"/>
      <c r="L831" s="28"/>
      <c r="M831" s="13"/>
      <c r="N831" s="15"/>
      <c r="Q831" s="13"/>
      <c r="R831" s="15"/>
      <c r="S831" s="15"/>
      <c r="T831" s="28"/>
      <c r="U831" s="13"/>
      <c r="V831" s="15"/>
      <c r="Y831" s="186"/>
      <c r="Z831" s="2"/>
      <c r="AA831" s="15"/>
      <c r="AB831" s="28"/>
      <c r="AC831" s="15"/>
      <c r="AD831" s="15"/>
      <c r="AE831" s="34">
        <f>B828*$F$12</f>
        <v>4653</v>
      </c>
      <c r="AF831" s="1"/>
      <c r="AG831" s="15"/>
      <c r="AH831" s="2"/>
      <c r="AI831" s="45"/>
      <c r="AJ831" s="34"/>
      <c r="AK831" s="13"/>
      <c r="AL831" s="15"/>
      <c r="AM831" s="45"/>
      <c r="AN831" s="15"/>
      <c r="AO831" s="13"/>
      <c r="AP831" s="15"/>
      <c r="AQ831" s="45"/>
      <c r="AR831" s="34"/>
      <c r="AS831" s="13"/>
      <c r="AT831" s="15"/>
      <c r="AU831" s="45"/>
      <c r="AV831" s="15"/>
      <c r="AW831" s="13"/>
      <c r="AX831" s="15"/>
      <c r="AY831" s="45"/>
      <c r="AZ831" s="28"/>
      <c r="BA831" s="13"/>
      <c r="BB831" s="15"/>
      <c r="BC831" s="45"/>
      <c r="BD831" s="28">
        <v>4653</v>
      </c>
      <c r="BE831" s="14"/>
      <c r="BF831" s="41">
        <f t="shared" ref="BF831:BG831" si="3021">K831+O831+S831+W831+AA831+AE831+AI831+AM831+AQ831+AU831+AY831+BC831</f>
        <v>4653</v>
      </c>
      <c r="BG831" s="34">
        <f t="shared" si="3021"/>
        <v>4653</v>
      </c>
      <c r="BH831" s="35">
        <f t="shared" si="3006"/>
        <v>0</v>
      </c>
      <c r="BK831" s="2" t="b">
        <f>H831='2020'!BH831</f>
        <v>1</v>
      </c>
    </row>
    <row r="832" ht="14.25" customHeight="1" hidden="1" spans="1:63" x14ac:dyDescent="0.25">
      <c r="A832" s="89">
        <v>88</v>
      </c>
      <c r="B832" s="14"/>
      <c r="D832" s="14" t="s">
        <v>51</v>
      </c>
      <c r="E832" s="2" t="s">
        <v>39</v>
      </c>
      <c r="F832" s="41">
        <v>500</v>
      </c>
      <c r="G832" s="28"/>
      <c r="H832" s="180">
        <f>'2020'!BH832</f>
        <v>500</v>
      </c>
      <c r="I832" s="13"/>
      <c r="J832" s="15"/>
      <c r="K832" s="15"/>
      <c r="L832" s="28"/>
      <c r="M832" s="13"/>
      <c r="N832" s="15"/>
      <c r="Q832" s="13"/>
      <c r="R832" s="15"/>
      <c r="S832" s="15"/>
      <c r="T832" s="28"/>
      <c r="U832" s="13"/>
      <c r="V832" s="15"/>
      <c r="Y832" s="186"/>
      <c r="Z832" s="2"/>
      <c r="AA832" s="15"/>
      <c r="AB832" s="28"/>
      <c r="AC832" s="15"/>
      <c r="AD832" s="15"/>
      <c r="AE832" s="180">
        <f>$F$13</f>
      </c>
      <c r="AF832" s="1">
        <v>500</v>
      </c>
      <c r="AG832" s="15"/>
      <c r="AH832" s="2"/>
      <c r="AI832" s="45"/>
      <c r="AJ832" s="15"/>
      <c r="AK832" s="13"/>
      <c r="AL832" s="15"/>
      <c r="AM832" s="45"/>
      <c r="AN832" s="15"/>
      <c r="AO832" s="13"/>
      <c r="AP832" s="15"/>
      <c r="AQ832" s="180"/>
      <c r="AR832" s="15"/>
      <c r="AS832" s="13"/>
      <c r="AT832" s="15"/>
      <c r="AU832" s="45"/>
      <c r="AV832" s="15"/>
      <c r="AW832" s="13"/>
      <c r="AX832" s="15"/>
      <c r="AY832" s="45"/>
      <c r="AZ832" s="28"/>
      <c r="BA832" s="13"/>
      <c r="BB832" s="15"/>
      <c r="BC832" s="45"/>
      <c r="BD832" s="28"/>
      <c r="BE832" s="14"/>
      <c r="BF832" s="41">
        <f t="shared" ref="BF832:BG832" si="3022">K832+O832+S832+W832+AA832+AE832+AI832+AM832+AQ832+AU832+AY832+BC832</f>
        <v>0</v>
      </c>
      <c r="BG832" s="34">
        <f t="shared" si="3022"/>
        <v>500</v>
      </c>
      <c r="BH832" s="35">
        <f t="shared" si="3006"/>
        <v>0</v>
      </c>
      <c r="BK832" s="2" t="b">
        <f>H832='2020'!BH832</f>
        <v>1</v>
      </c>
    </row>
    <row r="833" ht="14.25" customHeight="1" hidden="1" spans="1:63" x14ac:dyDescent="0.25">
      <c r="A833" s="89">
        <v>88</v>
      </c>
      <c r="B833" s="14"/>
      <c r="D833" s="14" t="s">
        <v>51</v>
      </c>
      <c r="E833" s="2" t="s">
        <v>49</v>
      </c>
      <c r="F833" s="41">
        <v>500</v>
      </c>
      <c r="G833" s="28"/>
      <c r="H833" s="180">
        <f>'2020'!BH833</f>
        <v>2115</v>
      </c>
      <c r="I833" s="13"/>
      <c r="J833" s="15"/>
      <c r="K833" s="15"/>
      <c r="L833" s="28"/>
      <c r="M833" s="13"/>
      <c r="N833" s="15"/>
      <c r="Q833" s="13"/>
      <c r="R833" s="15"/>
      <c r="S833" s="15"/>
      <c r="T833" s="28"/>
      <c r="U833" s="13"/>
      <c r="V833" s="15"/>
      <c r="Y833" s="186"/>
      <c r="Z833" s="2"/>
      <c r="AA833" s="15"/>
      <c r="AB833" s="28"/>
      <c r="AC833" s="15"/>
      <c r="AD833" s="15"/>
      <c r="AE833" s="34"/>
      <c r="AF833" s="1">
        <v>2115</v>
      </c>
      <c r="AG833" s="15"/>
      <c r="AH833" s="2"/>
      <c r="AI833" s="45"/>
      <c r="AJ833" s="15"/>
      <c r="AK833" s="13"/>
      <c r="AL833" s="15"/>
      <c r="AM833" s="45"/>
      <c r="AN833" s="15"/>
      <c r="AO833" s="13"/>
      <c r="AP833" s="15"/>
      <c r="AQ833" s="180">
        <f>B828*$F$14</f>
        <v>0</v>
      </c>
      <c r="AR833" s="15"/>
      <c r="AS833" s="13"/>
      <c r="AT833" s="15"/>
      <c r="AU833" s="45"/>
      <c r="AV833" s="15"/>
      <c r="AW833" s="13"/>
      <c r="AX833" s="15"/>
      <c r="AY833" s="45"/>
      <c r="AZ833" s="28"/>
      <c r="BA833" s="13"/>
      <c r="BB833" s="15"/>
      <c r="BC833" s="45"/>
      <c r="BD833" s="28"/>
      <c r="BE833" s="14"/>
      <c r="BF833" s="41">
        <f t="shared" ref="BF833:BG833" si="3023">K833+O833+S833+W833+AA833+AE833+AI833+AM833+AQ833+AU833+AY833+BC833</f>
        <v>0</v>
      </c>
      <c r="BG833" s="34">
        <f t="shared" si="3023"/>
        <v>2115</v>
      </c>
      <c r="BH833" s="35">
        <f t="shared" si="3006"/>
        <v>0</v>
      </c>
      <c r="BK833" s="2" t="b">
        <f>H833='2020'!BH833</f>
        <v>1</v>
      </c>
    </row>
    <row r="834" ht="14.25" customHeight="1" hidden="1" spans="1:63" x14ac:dyDescent="0.25">
      <c r="A834" s="89">
        <v>88</v>
      </c>
      <c r="B834" s="14"/>
      <c r="D834" s="14" t="s">
        <v>52</v>
      </c>
      <c r="E834" s="2" t="s">
        <v>39</v>
      </c>
      <c r="F834" s="41">
        <v>500</v>
      </c>
      <c r="G834" s="28"/>
      <c r="H834" s="180">
        <f>'2020'!BH834</f>
        <v>0</v>
      </c>
      <c r="I834" s="13"/>
      <c r="J834" s="15"/>
      <c r="K834" s="15"/>
      <c r="L834" s="28"/>
      <c r="M834" s="13"/>
      <c r="N834" s="15"/>
      <c r="Q834" s="13"/>
      <c r="R834" s="15"/>
      <c r="S834" s="15"/>
      <c r="T834" s="28"/>
      <c r="U834" s="13"/>
      <c r="V834" s="15"/>
      <c r="Y834" s="186"/>
      <c r="Z834" s="2"/>
      <c r="AA834" s="34">
        <f>$F$15</f>
      </c>
      <c r="AB834" s="28"/>
      <c r="AC834" s="15"/>
      <c r="AD834" s="15"/>
      <c r="AG834" s="15"/>
      <c r="AH834" s="2"/>
      <c r="AI834" s="45"/>
      <c r="AJ834" s="15"/>
      <c r="AK834" s="13"/>
      <c r="AL834" s="15"/>
      <c r="AM834" s="45"/>
      <c r="AN834" s="15"/>
      <c r="AO834" s="13"/>
      <c r="AP834" s="15"/>
      <c r="AQ834" s="45"/>
      <c r="AR834" s="34"/>
      <c r="AS834" s="13"/>
      <c r="AT834" s="15"/>
      <c r="AU834" s="45"/>
      <c r="AV834" s="15"/>
      <c r="AW834" s="13"/>
      <c r="AX834" s="15"/>
      <c r="AY834" s="45"/>
      <c r="AZ834" s="35"/>
      <c r="BA834" s="13"/>
      <c r="BB834" s="15"/>
      <c r="BC834" s="45"/>
      <c r="BD834" s="35"/>
      <c r="BE834" s="14"/>
      <c r="BF834" s="41">
        <f t="shared" ref="BF834:BG834" si="3024">K834+O834+S834+W834+AA834+AE834+AI834+AM834+AQ834+AU834+AY834+BC834</f>
        <v>0</v>
      </c>
      <c r="BG834" s="34">
        <f t="shared" si="3024"/>
        <v>0</v>
      </c>
      <c r="BH834" s="35">
        <f t="shared" si="3006"/>
        <v>0</v>
      </c>
      <c r="BK834" s="2" t="b">
        <f>H834='2020'!BH834</f>
        <v>1</v>
      </c>
    </row>
    <row r="835" ht="14.25" customHeight="1" hidden="1" spans="1:63" x14ac:dyDescent="0.25">
      <c r="A835" s="247">
        <v>88</v>
      </c>
      <c r="B835" s="21"/>
      <c r="C835" s="22" t="s">
        <v>53</v>
      </c>
      <c r="D835" s="21"/>
      <c r="E835" s="22"/>
      <c r="F835" s="20"/>
      <c r="G835" s="23"/>
      <c r="H835" s="51">
        <f>SUM(H827:H834)</f>
        <v>2624.77</v>
      </c>
      <c r="I835" s="52"/>
      <c r="J835" s="53"/>
      <c r="K835" s="51">
        <f t="shared" ref="K835:L835" si="3025">SUM(K827:K834)</f>
        <v>0</v>
      </c>
      <c r="L835" s="68">
        <f t="shared" si="3025"/>
        <v>0</v>
      </c>
      <c r="M835" s="52"/>
      <c r="N835" s="53"/>
      <c r="O835" s="51">
        <f t="shared" ref="O835:P835" si="3026">SUM(O827:O834)</f>
        <v>0</v>
      </c>
      <c r="P835" s="51">
        <f t="shared" si="3026"/>
        <v>0</v>
      </c>
      <c r="Q835" s="52"/>
      <c r="R835" s="53"/>
      <c r="S835" s="51">
        <f t="shared" ref="S835:T835" si="3027">SUM(S827:S834)</f>
        <v>0</v>
      </c>
      <c r="T835" s="51">
        <f t="shared" si="3027"/>
        <v>0</v>
      </c>
      <c r="U835" s="52"/>
      <c r="V835" s="53"/>
      <c r="W835" s="51">
        <f t="shared" ref="W835:X835" si="3028">SUM(W827:W834)</f>
        <v>0</v>
      </c>
      <c r="X835" s="51">
        <f t="shared" si="3028"/>
        <v>0</v>
      </c>
      <c r="Y835" s="300"/>
      <c r="Z835" s="301"/>
      <c r="AA835" s="51">
        <f t="shared" ref="AA835:AB835" si="3029">SUM(AA827:AA834)</f>
        <v>0</v>
      </c>
      <c r="AB835" s="51">
        <f t="shared" si="3029"/>
        <v>0</v>
      </c>
      <c r="AC835" s="52"/>
      <c r="AD835" s="53"/>
      <c r="AE835" s="51">
        <f t="shared" ref="AE835:AF835" si="3030">SUM(AE827:AE834)</f>
        <v>4653</v>
      </c>
      <c r="AF835" s="51">
        <f t="shared" si="3030"/>
        <v>2624.77</v>
      </c>
      <c r="AG835" s="52"/>
      <c r="AH835" s="301"/>
      <c r="AI835" s="183">
        <f t="shared" ref="AI835:AJ835" si="3031">SUM(AI827:AI834)</f>
        <v>0</v>
      </c>
      <c r="AJ835" s="51">
        <f t="shared" si="3031"/>
        <v>0</v>
      </c>
      <c r="AK835" s="52"/>
      <c r="AL835" s="53"/>
      <c r="AM835" s="183">
        <f t="shared" ref="AM835:AN835" si="3032">SUM(AM827:AM834)</f>
        <v>0</v>
      </c>
      <c r="AN835" s="51">
        <f t="shared" si="3032"/>
        <v>0</v>
      </c>
      <c r="AO835" s="52"/>
      <c r="AP835" s="53"/>
      <c r="AQ835" s="183">
        <f t="shared" ref="AQ835:AR835" si="3033">SUM(AQ827:AQ834)</f>
        <v>13.96</v>
      </c>
      <c r="AR835" s="51">
        <f t="shared" si="3033"/>
        <v>0</v>
      </c>
      <c r="AS835" s="52"/>
      <c r="AT835" s="53"/>
      <c r="AU835" s="183">
        <f t="shared" ref="AU835:AV835" si="3034">SUM(AU827:AU834)</f>
        <v>0</v>
      </c>
      <c r="AV835" s="68">
        <f t="shared" si="3034"/>
        <v>0</v>
      </c>
      <c r="AW835" s="52"/>
      <c r="AX835" s="53"/>
      <c r="AY835" s="183">
        <f t="shared" ref="AY835:AZ835" si="3035">SUM(AY827:AY834)</f>
        <v>0</v>
      </c>
      <c r="AZ835" s="68">
        <f t="shared" si="3035"/>
        <v>0</v>
      </c>
      <c r="BA835" s="52"/>
      <c r="BB835" s="53"/>
      <c r="BC835" s="183">
        <f t="shared" ref="BC835:BD835" si="3036">SUM(BC827:BC834)</f>
        <v>0</v>
      </c>
      <c r="BD835" s="68">
        <f t="shared" si="3036"/>
        <v>4667</v>
      </c>
      <c r="BE835" s="69"/>
      <c r="BF835" s="70">
        <f t="shared" ref="BF835:BH835" si="3037">SUM(BF827:BF834)</f>
        <v>4666.96</v>
      </c>
      <c r="BG835" s="71">
        <f t="shared" si="3037"/>
        <v>7291.77</v>
      </c>
      <c r="BH835" s="72">
        <f t="shared" si="3037"/>
        <v>-0.04</v>
      </c>
      <c r="BI835" s="34">
        <f>H835+BF835-BG835</f>
        <v>-0.04</v>
      </c>
      <c r="BJ835" s="34">
        <f>BH835-BI835</f>
        <v>0</v>
      </c>
      <c r="BK835" s="2" t="b">
        <f>H835='2020'!BH835</f>
        <v>1</v>
      </c>
    </row>
    <row r="836" ht="14.25" customHeight="1" hidden="1" spans="1:63" x14ac:dyDescent="0.25">
      <c r="A836" s="89">
        <v>90</v>
      </c>
      <c r="B836" s="14"/>
      <c r="D836" s="14" t="s">
        <v>379</v>
      </c>
      <c r="F836" s="13"/>
      <c r="G836" s="28"/>
      <c r="H836" s="34">
        <f>'2020'!BH836</f>
        <v>9.77</v>
      </c>
      <c r="I836" s="13"/>
      <c r="J836" s="15"/>
      <c r="K836" s="15"/>
      <c r="L836" s="28"/>
      <c r="M836" s="13"/>
      <c r="N836" s="15"/>
      <c r="Q836" s="13"/>
      <c r="R836" s="15"/>
      <c r="S836" s="15"/>
      <c r="T836" s="28"/>
      <c r="U836" s="13"/>
      <c r="V836" s="15"/>
      <c r="Y836" s="186"/>
      <c r="Z836" s="2"/>
      <c r="AA836" s="15"/>
      <c r="AB836" s="28"/>
      <c r="AC836" s="15"/>
      <c r="AD836" s="15"/>
      <c r="AF836" s="1">
        <v>9.77</v>
      </c>
      <c r="AG836" s="15"/>
      <c r="AH836" s="2"/>
      <c r="AI836" s="45"/>
      <c r="AJ836" s="15"/>
      <c r="AK836" s="13"/>
      <c r="AM836" s="45"/>
      <c r="AO836" s="13"/>
      <c r="AQ836" s="180">
        <v>13.96</v>
      </c>
      <c r="AR836" s="15"/>
      <c r="AS836" s="13"/>
      <c r="AU836" s="45"/>
      <c r="AW836" s="13"/>
      <c r="AY836" s="45"/>
      <c r="AZ836" s="28"/>
      <c r="BA836" s="13"/>
      <c r="BB836" s="15"/>
      <c r="BC836" s="45"/>
      <c r="BD836" s="28">
        <v>14</v>
      </c>
      <c r="BE836" s="14"/>
      <c r="BF836" s="41">
        <f t="shared" ref="BF836:BG836" si="3038">K836+O836+S836+W836+AA836+AE836+AI836+AM836+AQ836+AU836+AY836+BC836</f>
        <v>13.96</v>
      </c>
      <c r="BG836" s="34">
        <f t="shared" si="3038"/>
        <v>23.77</v>
      </c>
      <c r="BH836" s="35">
        <f t="shared" ref="BH836:BH843" si="3039">H836+BF836-BG836</f>
        <v>-0.04</v>
      </c>
      <c r="BK836" s="2" t="b">
        <f>H836='2020'!BH836</f>
        <v>1</v>
      </c>
    </row>
    <row r="837" ht="14.25" customHeight="1" hidden="1" spans="1:63" x14ac:dyDescent="0.25">
      <c r="A837" s="89">
        <v>90</v>
      </c>
      <c r="B837" s="14">
        <v>4.23</v>
      </c>
      <c r="C837" s="2" t="s">
        <v>311</v>
      </c>
      <c r="D837" s="14" t="s">
        <v>44</v>
      </c>
      <c r="E837" s="2" t="s">
        <v>45</v>
      </c>
      <c r="F837" s="41">
        <v>2.5</v>
      </c>
      <c r="G837" s="35">
        <v>2.6</v>
      </c>
      <c r="H837" s="104">
        <f>'2020'!BH837</f>
        <v>0</v>
      </c>
      <c r="I837" s="13">
        <v>0</v>
      </c>
      <c r="J837" s="15">
        <f>I837-'2020'!BA837</f>
        <v>0</v>
      </c>
      <c r="K837" s="34">
        <f>J837*$F$8</f>
        <v>0</v>
      </c>
      <c r="L837" s="28"/>
      <c r="M837" s="13">
        <v>0</v>
      </c>
      <c r="N837" s="15">
        <f t="shared" ref="N837:N838" si="3040">M837-I837</f>
        <v>0</v>
      </c>
      <c r="O837" s="34">
        <f>N837*$F$8</f>
        <v>0</v>
      </c>
      <c r="Q837" s="13">
        <v>0</v>
      </c>
      <c r="R837" s="15">
        <f t="shared" ref="R837:R838" si="3041">Q837-M837</f>
        <v>0</v>
      </c>
      <c r="S837" s="34">
        <f>R837*$F$8</f>
        <v>0</v>
      </c>
      <c r="T837" s="28"/>
      <c r="U837" s="13">
        <v>0</v>
      </c>
      <c r="V837" s="15">
        <f t="shared" ref="V837:V838" si="3042">U837-Q837</f>
        <v>0</v>
      </c>
      <c r="W837" s="34">
        <f>V837*$F$8</f>
        <v>0</v>
      </c>
      <c r="Y837" s="186"/>
      <c r="Z837" s="2">
        <f t="shared" ref="Z837:Z838" si="3043">Y837-U837</f>
        <v>0</v>
      </c>
      <c r="AA837" s="34">
        <f>Z837*$F$8</f>
        <v>0</v>
      </c>
      <c r="AB837" s="28"/>
      <c r="AC837" s="15"/>
      <c r="AD837" s="15">
        <f t="shared" ref="AD837:AD838" si="3044">AC837-Y837</f>
        <v>0</v>
      </c>
      <c r="AE837" s="180">
        <f>AD837*$F$8</f>
        <v>0</v>
      </c>
      <c r="AF837" s="1"/>
      <c r="AG837" s="15"/>
      <c r="AH837" s="2">
        <f t="shared" ref="AH837:AH838" si="3045">AG837-AC837</f>
        <v>0</v>
      </c>
      <c r="AI837" s="45">
        <f>AH837*$G$8</f>
        <v>0</v>
      </c>
      <c r="AJ837" s="15"/>
      <c r="AK837" s="13"/>
      <c r="AL837" s="15">
        <f t="shared" ref="AL837:AL838" si="3046">AK837-AG837</f>
        <v>0</v>
      </c>
      <c r="AM837" s="45">
        <f>AL837*$G$8</f>
        <v>0</v>
      </c>
      <c r="AN837" s="15"/>
      <c r="AO837" s="13"/>
      <c r="AP837" s="15">
        <f t="shared" ref="AP837:AP838" si="3047">AO837-AK837</f>
        <v>0</v>
      </c>
      <c r="AQ837" s="45">
        <f>AP837*$G$8</f>
        <v>0</v>
      </c>
      <c r="AR837" s="15"/>
      <c r="AS837" s="13"/>
      <c r="AT837" s="15">
        <f t="shared" ref="AT837:AT838" si="3048">AS837-AO837</f>
        <v>0</v>
      </c>
      <c r="AU837" s="45">
        <f>AT837*$G$8</f>
        <v>0</v>
      </c>
      <c r="AV837" s="15"/>
      <c r="AW837" s="13"/>
      <c r="AX837" s="15">
        <f t="shared" ref="AX837:AX838" si="3049">AW837-AS837</f>
        <v>0</v>
      </c>
      <c r="AY837" s="45">
        <f>AX837*$G$8</f>
        <v>0</v>
      </c>
      <c r="AZ837" s="208"/>
      <c r="BA837" s="13"/>
      <c r="BB837" s="15">
        <f t="shared" ref="BB837:BB838" si="3050">BA837-AW837</f>
        <v>0</v>
      </c>
      <c r="BC837" s="45">
        <f>BB837*$G$8</f>
        <v>0</v>
      </c>
      <c r="BD837" s="208"/>
      <c r="BE837" s="40">
        <f t="shared" ref="BE837:BG837" si="3051">J837+N837+R837+V837+Z837+AD837+AH837+AL837+AP837+AT837+AX837+BB837</f>
        <v>0</v>
      </c>
      <c r="BF837" s="41">
        <f t="shared" si="3051"/>
        <v>0</v>
      </c>
      <c r="BG837" s="34">
        <f t="shared" si="3051"/>
        <v>0</v>
      </c>
      <c r="BH837" s="35">
        <f t="shared" si="3039"/>
        <v>0</v>
      </c>
      <c r="BK837" s="2" t="b">
        <f>H837='2020'!BH837</f>
        <v>1</v>
      </c>
    </row>
    <row r="838" ht="14.25" customHeight="1" hidden="1" spans="1:63" x14ac:dyDescent="0.25">
      <c r="A838" s="89">
        <v>90</v>
      </c>
      <c r="B838" s="14"/>
      <c r="C838" s="2" t="s">
        <v>83</v>
      </c>
      <c r="D838" s="14" t="s">
        <v>47</v>
      </c>
      <c r="E838" s="2" t="s">
        <v>48</v>
      </c>
      <c r="F838" s="13">
        <v>18.56</v>
      </c>
      <c r="G838" s="35">
        <v>19.46</v>
      </c>
      <c r="H838" s="34">
        <f>'2020'!BH838</f>
        <v>0</v>
      </c>
      <c r="I838" s="13"/>
      <c r="J838" s="15"/>
      <c r="K838" s="15"/>
      <c r="L838" s="28"/>
      <c r="M838" s="13"/>
      <c r="N838" s="15">
        <f t="shared" si="3040"/>
        <v>0</v>
      </c>
      <c r="Q838" s="13"/>
      <c r="R838" s="15">
        <f t="shared" si="3041"/>
        <v>0</v>
      </c>
      <c r="S838" s="15"/>
      <c r="T838" s="28"/>
      <c r="U838" s="13"/>
      <c r="V838" s="15">
        <f t="shared" si="3042"/>
        <v>0</v>
      </c>
      <c r="W838" s="34">
        <f>V838*$F$10</f>
        <v>0</v>
      </c>
      <c r="Y838" s="186"/>
      <c r="Z838" s="2">
        <f t="shared" si="3043"/>
        <v>0</v>
      </c>
      <c r="AA838" s="34">
        <f>Z838*$F$10</f>
        <v>0</v>
      </c>
      <c r="AB838" s="28"/>
      <c r="AC838" s="15"/>
      <c r="AD838" s="15">
        <f t="shared" si="3044"/>
        <v>0</v>
      </c>
      <c r="AE838" s="34">
        <f>AD838*$F$10</f>
        <v>0</v>
      </c>
      <c r="AF838" s="1"/>
      <c r="AG838" s="15"/>
      <c r="AH838" s="2">
        <f t="shared" si="3045"/>
        <v>0</v>
      </c>
      <c r="AI838" s="45">
        <f>AH838*$G$10</f>
        <v>0</v>
      </c>
      <c r="AJ838" s="15"/>
      <c r="AK838" s="13"/>
      <c r="AL838" s="15">
        <f t="shared" si="3046"/>
        <v>0</v>
      </c>
      <c r="AM838" s="45">
        <f>AL838*$G$10</f>
        <v>0</v>
      </c>
      <c r="AN838" s="15"/>
      <c r="AO838" s="13"/>
      <c r="AP838" s="15">
        <f t="shared" si="3047"/>
        <v>0</v>
      </c>
      <c r="AQ838" s="45">
        <f>AP838*$G$10</f>
        <v>0</v>
      </c>
      <c r="AR838" s="15"/>
      <c r="AS838" s="13"/>
      <c r="AT838" s="15">
        <f t="shared" si="3048"/>
        <v>0</v>
      </c>
      <c r="AU838" s="45">
        <f>AT838*$G$10</f>
        <v>0</v>
      </c>
      <c r="AV838" s="15"/>
      <c r="AW838" s="13"/>
      <c r="AX838" s="15">
        <f t="shared" si="3049"/>
        <v>0</v>
      </c>
      <c r="AY838" s="45"/>
      <c r="AZ838" s="208"/>
      <c r="BA838" s="13"/>
      <c r="BB838" s="15">
        <f t="shared" si="3050"/>
        <v>0</v>
      </c>
      <c r="BC838" s="45"/>
      <c r="BD838" s="208"/>
      <c r="BE838" s="40">
        <f t="shared" ref="BE838:BG838" si="3052">J838+N838+R838+V838+Z838+AD838+AH838+AL838+AP838+AT838+AX838+BB838</f>
        <v>0</v>
      </c>
      <c r="BF838" s="41">
        <f t="shared" si="3052"/>
        <v>0</v>
      </c>
      <c r="BG838" s="34">
        <f t="shared" si="3052"/>
        <v>0</v>
      </c>
      <c r="BH838" s="35">
        <f t="shared" si="3039"/>
        <v>0</v>
      </c>
      <c r="BK838" s="2" t="b">
        <f>H838='2020'!BH838</f>
        <v>1</v>
      </c>
    </row>
    <row r="839" ht="14.25" customHeight="1" hidden="1" spans="1:63" x14ac:dyDescent="0.25">
      <c r="A839" s="89">
        <v>90</v>
      </c>
      <c r="B839" s="14"/>
      <c r="C839" s="15" t="s">
        <v>107</v>
      </c>
      <c r="D839" s="14" t="s">
        <v>47</v>
      </c>
      <c r="E839" s="2" t="s">
        <v>49</v>
      </c>
      <c r="F839" s="41">
        <v>500</v>
      </c>
      <c r="G839" s="28"/>
      <c r="H839" s="144">
        <f>'2020'!BH839</f>
        <v>0</v>
      </c>
      <c r="I839" s="13"/>
      <c r="J839" s="15"/>
      <c r="K839" s="15"/>
      <c r="L839" s="28"/>
      <c r="M839" s="13"/>
      <c r="N839" s="15"/>
      <c r="Q839" s="13"/>
      <c r="R839" s="15"/>
      <c r="S839" s="15"/>
      <c r="T839" s="28"/>
      <c r="U839" s="13"/>
      <c r="V839" s="15"/>
      <c r="Y839" s="186"/>
      <c r="Z839" s="2"/>
      <c r="AA839" s="34"/>
      <c r="AB839" s="28"/>
      <c r="AC839" s="15"/>
      <c r="AD839" s="15"/>
      <c r="AF839" s="1"/>
      <c r="AG839" s="15"/>
      <c r="AH839" s="2"/>
      <c r="AI839" s="45"/>
      <c r="AJ839" s="15"/>
      <c r="AK839" s="13"/>
      <c r="AL839" s="15"/>
      <c r="AM839" s="45"/>
      <c r="AN839" s="15"/>
      <c r="AO839" s="13"/>
      <c r="AP839" s="15"/>
      <c r="AQ839" s="45"/>
      <c r="AR839" s="15"/>
      <c r="AS839" s="13"/>
      <c r="AT839" s="15"/>
      <c r="AU839" s="45"/>
      <c r="AV839" s="15"/>
      <c r="AW839" s="13"/>
      <c r="AX839" s="15"/>
      <c r="AY839" s="45"/>
      <c r="AZ839" s="28"/>
      <c r="BA839" s="13"/>
      <c r="BB839" s="15"/>
      <c r="BC839" s="45"/>
      <c r="BD839" s="28"/>
      <c r="BE839" s="40">
        <f t="shared" ref="BE839:BG839" si="3053">J839+N839+R839+V839+Z839+AD839+AH839+AL839+AP839+AT839+AX839+BB839</f>
        <v>0</v>
      </c>
      <c r="BF839" s="41">
        <f t="shared" si="3053"/>
        <v>0</v>
      </c>
      <c r="BG839" s="34">
        <f t="shared" si="3053"/>
        <v>0</v>
      </c>
      <c r="BH839" s="35">
        <f t="shared" si="3039"/>
        <v>0</v>
      </c>
      <c r="BK839" s="2" t="b">
        <f>H839='2020'!BH839</f>
        <v>1</v>
      </c>
    </row>
    <row r="840" ht="14.25" customHeight="1" hidden="1" spans="1:63" x14ac:dyDescent="0.25">
      <c r="A840" s="89">
        <v>90</v>
      </c>
      <c r="B840" s="14"/>
      <c r="D840" s="14" t="s">
        <v>50</v>
      </c>
      <c r="E840" s="2" t="s">
        <v>49</v>
      </c>
      <c r="F840" s="41">
        <v>1100</v>
      </c>
      <c r="G840" s="28"/>
      <c r="H840" s="180">
        <f>'2020'!BH840</f>
        <v>0</v>
      </c>
      <c r="I840" s="13"/>
      <c r="J840" s="15"/>
      <c r="K840" s="15"/>
      <c r="L840" s="28"/>
      <c r="M840" s="13"/>
      <c r="N840" s="15"/>
      <c r="Q840" s="13"/>
      <c r="R840" s="15"/>
      <c r="S840" s="15"/>
      <c r="T840" s="28"/>
      <c r="U840" s="13"/>
      <c r="V840" s="15"/>
      <c r="Y840" s="186"/>
      <c r="Z840" s="2"/>
      <c r="AA840" s="15"/>
      <c r="AB840" s="28"/>
      <c r="AC840" s="15"/>
      <c r="AD840" s="15"/>
      <c r="AE840" s="34">
        <f>B837*$F$12</f>
        <v>4653</v>
      </c>
      <c r="AF840" s="1"/>
      <c r="AG840" s="15"/>
      <c r="AH840" s="2"/>
      <c r="AI840" s="45"/>
      <c r="AJ840" s="34"/>
      <c r="AK840" s="13"/>
      <c r="AL840" s="15"/>
      <c r="AM840" s="45"/>
      <c r="AN840" s="15"/>
      <c r="AO840" s="13"/>
      <c r="AP840" s="15"/>
      <c r="AQ840" s="45"/>
      <c r="AR840" s="34"/>
      <c r="AS840" s="13"/>
      <c r="AT840" s="15"/>
      <c r="AU840" s="45"/>
      <c r="AV840" s="15"/>
      <c r="AW840" s="13"/>
      <c r="AX840" s="15"/>
      <c r="AY840" s="45"/>
      <c r="AZ840" s="28"/>
      <c r="BA840" s="13"/>
      <c r="BB840" s="15"/>
      <c r="BC840" s="45"/>
      <c r="BD840" s="28">
        <v>4653</v>
      </c>
      <c r="BE840" s="14"/>
      <c r="BF840" s="41">
        <f t="shared" ref="BF840:BG840" si="3054">K840+O840+S840+W840+AA840+AE840+AI840+AM840+AQ840+AU840+AY840+BC840</f>
        <v>4653</v>
      </c>
      <c r="BG840" s="34">
        <f t="shared" si="3054"/>
        <v>4653</v>
      </c>
      <c r="BH840" s="35">
        <f t="shared" si="3039"/>
        <v>0</v>
      </c>
      <c r="BK840" s="2" t="b">
        <f>H840='2020'!BH840</f>
        <v>1</v>
      </c>
    </row>
    <row r="841" ht="14.25" customHeight="1" hidden="1" spans="1:63" x14ac:dyDescent="0.25">
      <c r="A841" s="89">
        <v>90</v>
      </c>
      <c r="B841" s="14"/>
      <c r="D841" s="14" t="s">
        <v>51</v>
      </c>
      <c r="E841" s="2" t="s">
        <v>39</v>
      </c>
      <c r="F841" s="41">
        <v>500</v>
      </c>
      <c r="G841" s="28"/>
      <c r="H841" s="180">
        <f>'2020'!BH841</f>
        <v>500</v>
      </c>
      <c r="I841" s="13"/>
      <c r="J841" s="15"/>
      <c r="K841" s="15"/>
      <c r="L841" s="28"/>
      <c r="M841" s="13"/>
      <c r="N841" s="15"/>
      <c r="Q841" s="13"/>
      <c r="R841" s="15"/>
      <c r="S841" s="15"/>
      <c r="T841" s="28"/>
      <c r="U841" s="13"/>
      <c r="V841" s="15"/>
      <c r="Y841" s="186"/>
      <c r="Z841" s="2"/>
      <c r="AA841" s="15"/>
      <c r="AB841" s="28"/>
      <c r="AC841" s="15"/>
      <c r="AD841" s="15"/>
      <c r="AE841" s="180">
        <f>$F$13</f>
      </c>
      <c r="AF841" s="1">
        <v>500</v>
      </c>
      <c r="AG841" s="15"/>
      <c r="AH841" s="2"/>
      <c r="AI841" s="45"/>
      <c r="AJ841" s="15"/>
      <c r="AK841" s="13"/>
      <c r="AL841" s="15"/>
      <c r="AM841" s="45"/>
      <c r="AN841" s="15"/>
      <c r="AO841" s="13"/>
      <c r="AP841" s="15"/>
      <c r="AQ841" s="180"/>
      <c r="AR841" s="15"/>
      <c r="AS841" s="13"/>
      <c r="AT841" s="15"/>
      <c r="AU841" s="45"/>
      <c r="AV841" s="15"/>
      <c r="AW841" s="13"/>
      <c r="AX841" s="15"/>
      <c r="AY841" s="45"/>
      <c r="AZ841" s="28"/>
      <c r="BA841" s="13"/>
      <c r="BB841" s="15"/>
      <c r="BC841" s="45"/>
      <c r="BD841" s="28"/>
      <c r="BE841" s="14"/>
      <c r="BF841" s="41">
        <f t="shared" ref="BF841:BG841" si="3055">K841+O841+S841+W841+AA841+AE841+AI841+AM841+AQ841+AU841+AY841+BC841</f>
        <v>0</v>
      </c>
      <c r="BG841" s="34">
        <f t="shared" si="3055"/>
        <v>500</v>
      </c>
      <c r="BH841" s="35">
        <f t="shared" si="3039"/>
        <v>0</v>
      </c>
      <c r="BK841" s="2" t="b">
        <f>H841='2020'!BH841</f>
        <v>1</v>
      </c>
    </row>
    <row r="842" ht="14.25" customHeight="1" hidden="1" spans="1:63" x14ac:dyDescent="0.25">
      <c r="A842" s="89">
        <v>90</v>
      </c>
      <c r="B842" s="14"/>
      <c r="D842" s="14" t="s">
        <v>51</v>
      </c>
      <c r="E842" s="2" t="s">
        <v>49</v>
      </c>
      <c r="F842" s="41">
        <v>500</v>
      </c>
      <c r="G842" s="28"/>
      <c r="H842" s="180">
        <f>'2020'!BH842</f>
        <v>2115</v>
      </c>
      <c r="I842" s="13"/>
      <c r="J842" s="15"/>
      <c r="K842" s="15"/>
      <c r="L842" s="28"/>
      <c r="M842" s="13"/>
      <c r="N842" s="15"/>
      <c r="Q842" s="13"/>
      <c r="R842" s="15"/>
      <c r="S842" s="15"/>
      <c r="T842" s="28"/>
      <c r="U842" s="13"/>
      <c r="V842" s="15"/>
      <c r="Y842" s="186"/>
      <c r="Z842" s="2"/>
      <c r="AA842" s="15"/>
      <c r="AB842" s="28"/>
      <c r="AC842" s="15"/>
      <c r="AD842" s="15"/>
      <c r="AE842" s="34"/>
      <c r="AF842" s="1">
        <v>2115</v>
      </c>
      <c r="AG842" s="15"/>
      <c r="AH842" s="2"/>
      <c r="AI842" s="45"/>
      <c r="AJ842" s="15"/>
      <c r="AK842" s="13"/>
      <c r="AL842" s="15"/>
      <c r="AM842" s="45"/>
      <c r="AN842" s="15"/>
      <c r="AO842" s="13"/>
      <c r="AP842" s="15"/>
      <c r="AQ842" s="180">
        <f>B837*$F$14</f>
        <v>0</v>
      </c>
      <c r="AR842" s="15"/>
      <c r="AS842" s="13"/>
      <c r="AT842" s="15"/>
      <c r="AU842" s="45"/>
      <c r="AV842" s="15"/>
      <c r="AW842" s="13"/>
      <c r="AX842" s="15"/>
      <c r="AY842" s="45"/>
      <c r="AZ842" s="28"/>
      <c r="BA842" s="13"/>
      <c r="BB842" s="15"/>
      <c r="BC842" s="45"/>
      <c r="BD842" s="28"/>
      <c r="BE842" s="14"/>
      <c r="BF842" s="41">
        <f t="shared" ref="BF842:BG842" si="3056">K842+O842+S842+W842+AA842+AE842+AI842+AM842+AQ842+AU842+AY842+BC842</f>
        <v>0</v>
      </c>
      <c r="BG842" s="34">
        <f t="shared" si="3056"/>
        <v>2115</v>
      </c>
      <c r="BH842" s="35">
        <f t="shared" si="3039"/>
        <v>0</v>
      </c>
      <c r="BK842" s="2" t="b">
        <f>H842='2020'!BH842</f>
        <v>1</v>
      </c>
    </row>
    <row r="843" ht="14.25" customHeight="1" hidden="1" spans="1:63" x14ac:dyDescent="0.25">
      <c r="A843" s="89">
        <v>90</v>
      </c>
      <c r="B843" s="14"/>
      <c r="D843" s="14" t="s">
        <v>52</v>
      </c>
      <c r="E843" s="2" t="s">
        <v>39</v>
      </c>
      <c r="F843" s="41">
        <v>500</v>
      </c>
      <c r="G843" s="28"/>
      <c r="H843" s="180">
        <f>'2020'!BH843</f>
        <v>0</v>
      </c>
      <c r="I843" s="13"/>
      <c r="J843" s="15"/>
      <c r="K843" s="15"/>
      <c r="L843" s="28"/>
      <c r="M843" s="13"/>
      <c r="N843" s="15"/>
      <c r="Q843" s="13"/>
      <c r="R843" s="15"/>
      <c r="S843" s="15"/>
      <c r="T843" s="28"/>
      <c r="U843" s="13"/>
      <c r="V843" s="15"/>
      <c r="Y843" s="186"/>
      <c r="Z843" s="2"/>
      <c r="AA843" s="34">
        <f>$F$15</f>
      </c>
      <c r="AB843" s="28"/>
      <c r="AC843" s="15"/>
      <c r="AD843" s="15"/>
      <c r="AF843" s="1"/>
      <c r="AG843" s="15"/>
      <c r="AH843" s="2"/>
      <c r="AI843" s="45"/>
      <c r="AJ843" s="15"/>
      <c r="AK843" s="13"/>
      <c r="AL843" s="15"/>
      <c r="AM843" s="45"/>
      <c r="AN843" s="15"/>
      <c r="AO843" s="13"/>
      <c r="AP843" s="15"/>
      <c r="AQ843" s="45"/>
      <c r="AR843" s="34"/>
      <c r="AS843" s="13"/>
      <c r="AT843" s="15"/>
      <c r="AU843" s="45"/>
      <c r="AV843" s="15"/>
      <c r="AW843" s="13"/>
      <c r="AX843" s="15"/>
      <c r="AY843" s="45"/>
      <c r="AZ843" s="35"/>
      <c r="BA843" s="13"/>
      <c r="BB843" s="15"/>
      <c r="BC843" s="45"/>
      <c r="BD843" s="35"/>
      <c r="BE843" s="14"/>
      <c r="BF843" s="41">
        <f t="shared" ref="BF843:BG843" si="3057">K843+O843+S843+W843+AA843+AE843+AI843+AM843+AQ843+AU843+AY843+BC843</f>
        <v>0</v>
      </c>
      <c r="BG843" s="34">
        <f t="shared" si="3057"/>
        <v>0</v>
      </c>
      <c r="BH843" s="35">
        <f t="shared" si="3039"/>
        <v>0</v>
      </c>
      <c r="BK843" s="2" t="b">
        <f>H843='2020'!BH843</f>
        <v>1</v>
      </c>
    </row>
    <row r="844" ht="14.25" customHeight="1" hidden="1" spans="1:63" x14ac:dyDescent="0.25">
      <c r="A844" s="247">
        <v>90</v>
      </c>
      <c r="B844" s="21"/>
      <c r="C844" s="22" t="s">
        <v>53</v>
      </c>
      <c r="D844" s="21"/>
      <c r="E844" s="22"/>
      <c r="F844" s="20"/>
      <c r="G844" s="23"/>
      <c r="H844" s="51">
        <f>SUM(H836:H843)</f>
        <v>2624.77</v>
      </c>
      <c r="I844" s="52"/>
      <c r="J844" s="53"/>
      <c r="K844" s="51">
        <f t="shared" ref="K844:L844" si="3058">SUM(K836:K843)</f>
        <v>0</v>
      </c>
      <c r="L844" s="68">
        <f t="shared" si="3058"/>
        <v>0</v>
      </c>
      <c r="M844" s="52"/>
      <c r="N844" s="53"/>
      <c r="O844" s="51">
        <f t="shared" ref="O844:P844" si="3059">SUM(O836:O843)</f>
        <v>0</v>
      </c>
      <c r="P844" s="51">
        <f t="shared" si="3059"/>
        <v>0</v>
      </c>
      <c r="Q844" s="52"/>
      <c r="R844" s="53"/>
      <c r="S844" s="51">
        <f t="shared" ref="S844:T844" si="3060">SUM(S836:S843)</f>
        <v>0</v>
      </c>
      <c r="T844" s="51">
        <f t="shared" si="3060"/>
        <v>0</v>
      </c>
      <c r="U844" s="52"/>
      <c r="V844" s="53"/>
      <c r="W844" s="51">
        <f t="shared" ref="W844:X844" si="3061">SUM(W836:W843)</f>
        <v>0</v>
      </c>
      <c r="X844" s="51">
        <f t="shared" si="3061"/>
        <v>0</v>
      </c>
      <c r="Y844" s="300"/>
      <c r="Z844" s="301"/>
      <c r="AA844" s="51">
        <f t="shared" ref="AA844:AB844" si="3062">SUM(AA836:AA843)</f>
        <v>0</v>
      </c>
      <c r="AB844" s="51">
        <f t="shared" si="3062"/>
        <v>0</v>
      </c>
      <c r="AC844" s="52"/>
      <c r="AD844" s="53"/>
      <c r="AE844" s="51">
        <f t="shared" ref="AE844:AF844" si="3063">SUM(AE836:AE843)</f>
        <v>4653</v>
      </c>
      <c r="AF844" s="51">
        <f t="shared" si="3063"/>
        <v>2624.77</v>
      </c>
      <c r="AG844" s="52"/>
      <c r="AH844" s="301"/>
      <c r="AI844" s="183">
        <f t="shared" ref="AI844:AJ844" si="3064">SUM(AI836:AI843)</f>
        <v>0</v>
      </c>
      <c r="AJ844" s="51">
        <f t="shared" si="3064"/>
        <v>0</v>
      </c>
      <c r="AK844" s="52"/>
      <c r="AL844" s="53"/>
      <c r="AM844" s="183">
        <f t="shared" ref="AM844:AN844" si="3065">SUM(AM836:AM843)</f>
        <v>0</v>
      </c>
      <c r="AN844" s="51">
        <f t="shared" si="3065"/>
        <v>0</v>
      </c>
      <c r="AO844" s="52"/>
      <c r="AP844" s="53"/>
      <c r="AQ844" s="183">
        <f t="shared" ref="AQ844:AR844" si="3066">SUM(AQ836:AQ843)</f>
        <v>13.96</v>
      </c>
      <c r="AR844" s="51">
        <f t="shared" si="3066"/>
        <v>0</v>
      </c>
      <c r="AS844" s="52"/>
      <c r="AT844" s="53"/>
      <c r="AU844" s="183">
        <f t="shared" ref="AU844:AV844" si="3067">SUM(AU836:AU843)</f>
        <v>0</v>
      </c>
      <c r="AV844" s="68">
        <f t="shared" si="3067"/>
        <v>0</v>
      </c>
      <c r="AW844" s="52"/>
      <c r="AX844" s="53"/>
      <c r="AY844" s="183">
        <f t="shared" ref="AY844:AZ844" si="3068">SUM(AY836:AY843)</f>
        <v>0</v>
      </c>
      <c r="AZ844" s="68">
        <f t="shared" si="3068"/>
        <v>0</v>
      </c>
      <c r="BA844" s="52"/>
      <c r="BB844" s="53"/>
      <c r="BC844" s="183">
        <f t="shared" ref="BC844:BD844" si="3069">SUM(BC836:BC843)</f>
        <v>0</v>
      </c>
      <c r="BD844" s="68">
        <f t="shared" si="3069"/>
        <v>4667</v>
      </c>
      <c r="BE844" s="69"/>
      <c r="BF844" s="70">
        <f t="shared" ref="BF844:BH844" si="3070">SUM(BF836:BF843)</f>
        <v>4666.96</v>
      </c>
      <c r="BG844" s="71">
        <f t="shared" si="3070"/>
        <v>7291.77</v>
      </c>
      <c r="BH844" s="72">
        <f t="shared" si="3070"/>
        <v>-0.04</v>
      </c>
      <c r="BI844" s="34">
        <f>H844+BF844-BG844</f>
        <v>-0.04</v>
      </c>
      <c r="BJ844" s="34">
        <f>BH844-BI844</f>
        <v>0</v>
      </c>
      <c r="BK844" s="2" t="b">
        <f>H844='2020'!BH844</f>
        <v>1</v>
      </c>
    </row>
    <row r="845" ht="14.25" customHeight="1" hidden="1" spans="1:63" x14ac:dyDescent="0.25">
      <c r="A845" s="89">
        <v>92</v>
      </c>
      <c r="B845" s="14"/>
      <c r="D845" s="178" t="s">
        <v>486</v>
      </c>
      <c r="F845" s="13"/>
      <c r="G845" s="28"/>
      <c r="H845" s="34">
        <f>'2020'!BH845</f>
        <v>79</v>
      </c>
      <c r="I845" s="13"/>
      <c r="J845" s="15"/>
      <c r="K845" s="15"/>
      <c r="L845" s="28"/>
      <c r="M845" s="13"/>
      <c r="N845" s="15"/>
      <c r="Q845" s="13"/>
      <c r="R845" s="15"/>
      <c r="S845" s="15"/>
      <c r="T845" s="28"/>
      <c r="U845" s="13"/>
      <c r="V845" s="15"/>
      <c r="W845" s="153"/>
      <c r="Y845" s="186"/>
      <c r="Z845" s="2"/>
      <c r="AA845" s="15"/>
      <c r="AB845" s="28"/>
      <c r="AC845" s="15"/>
      <c r="AD845" s="15"/>
      <c r="AG845" s="15"/>
      <c r="AH845" s="2"/>
      <c r="AI845" s="45"/>
      <c r="AJ845" s="15"/>
      <c r="AK845" s="13"/>
      <c r="AM845" s="45"/>
      <c r="AO845" s="13"/>
      <c r="AQ845" s="45">
        <v>22.04</v>
      </c>
      <c r="AS845" s="13"/>
      <c r="AU845" s="45"/>
      <c r="AW845" s="13"/>
      <c r="AY845" s="45"/>
      <c r="AZ845" s="28"/>
      <c r="BA845" s="13"/>
      <c r="BB845" s="15"/>
      <c r="BC845" s="45"/>
      <c r="BD845" s="28"/>
      <c r="BE845" s="14"/>
      <c r="BF845" s="41">
        <f t="shared" ref="BF845:BG845" si="3071">K845+O845+S845+W845+AA845+AE845+AI845+AM845+AQ845+AU845+AY845+BC845</f>
        <v>22.04</v>
      </c>
      <c r="BG845" s="34">
        <f t="shared" si="3071"/>
        <v>0</v>
      </c>
      <c r="BH845" s="35">
        <f t="shared" ref="BH845:BH852" si="3072">H845+BF845-BG845</f>
        <v>101.04</v>
      </c>
      <c r="BK845" s="2" t="b">
        <f>H845='2020'!BH845</f>
        <v>1</v>
      </c>
    </row>
    <row r="846" ht="14.25" customHeight="1" hidden="1" spans="1:63" x14ac:dyDescent="0.25">
      <c r="A846" s="2">
        <v>92</v>
      </c>
      <c r="B846" s="14">
        <v>4.28</v>
      </c>
      <c r="C846" s="2" t="s">
        <v>312</v>
      </c>
      <c r="D846" s="14" t="s">
        <v>44</v>
      </c>
      <c r="E846" s="2" t="s">
        <v>45</v>
      </c>
      <c r="F846" s="41">
        <v>2.5</v>
      </c>
      <c r="G846" s="35">
        <v>2.6</v>
      </c>
      <c r="H846" s="180">
        <f>'2020'!BH846</f>
        <v>-12.8</v>
      </c>
      <c r="I846" s="13">
        <v>12043</v>
      </c>
      <c r="J846" s="15">
        <f>I846-'2020'!BA846</f>
        <v>629</v>
      </c>
      <c r="K846" s="34">
        <f>J846*$F$8</f>
        <v>1635.4</v>
      </c>
      <c r="L846" s="28"/>
      <c r="M846" s="13">
        <v>12420</v>
      </c>
      <c r="N846" s="15">
        <f t="shared" ref="N846:N847" si="3073">M846-I846</f>
        <v>377</v>
      </c>
      <c r="O846" s="34">
        <f>N846*$F$8</f>
        <v>980.2</v>
      </c>
      <c r="P846" s="1">
        <v>1700</v>
      </c>
      <c r="Q846" s="13">
        <v>12814</v>
      </c>
      <c r="R846" s="15">
        <f t="shared" ref="R846:R847" si="3074">Q846-M846</f>
        <v>394</v>
      </c>
      <c r="S846" s="34">
        <f>R846*$F$8</f>
        <v>1024.4</v>
      </c>
      <c r="T846" s="28"/>
      <c r="U846" s="13">
        <v>12814</v>
      </c>
      <c r="V846" s="15">
        <f t="shared" ref="V846:V847" si="3075">U846-Q846</f>
        <v>0</v>
      </c>
      <c r="W846" s="34">
        <f>V846*$F$8</f>
        <v>0</v>
      </c>
      <c r="X846" s="1">
        <v>2000</v>
      </c>
      <c r="Y846" s="186">
        <v>13019</v>
      </c>
      <c r="Z846" s="2">
        <f t="shared" ref="Z846:Z847" si="3076">Y846-U846</f>
        <v>205</v>
      </c>
      <c r="AA846" s="34">
        <f>Z846*$F$8</f>
        <v>533</v>
      </c>
      <c r="AB846" s="32">
        <v>1000</v>
      </c>
      <c r="AC846" s="15">
        <v>13130</v>
      </c>
      <c r="AD846" s="15">
        <f t="shared" ref="AD846:AD847" si="3077">AC846-Y846</f>
        <v>111</v>
      </c>
      <c r="AE846" s="180">
        <f>AD846*$F$8</f>
        <v>288.6</v>
      </c>
      <c r="AF846" s="180"/>
      <c r="AG846" s="15">
        <v>13229</v>
      </c>
      <c r="AH846" s="2">
        <f t="shared" ref="AH846:AH847" si="3078">AG846-AC846</f>
        <v>99</v>
      </c>
      <c r="AI846" s="45">
        <f>AH846*$G$8</f>
        <v>267.3</v>
      </c>
      <c r="AJ846" s="1"/>
      <c r="AK846" s="13">
        <v>13331</v>
      </c>
      <c r="AL846" s="15">
        <f t="shared" ref="AL846:AL847" si="3079">AK846-AG846</f>
        <v>102</v>
      </c>
      <c r="AM846" s="45">
        <f>AL846*$G$8</f>
        <v>275.4</v>
      </c>
      <c r="AN846" s="34"/>
      <c r="AO846" s="13">
        <v>13486</v>
      </c>
      <c r="AP846" s="15">
        <f t="shared" ref="AP846:AP847" si="3080">AO846-AK846</f>
        <v>155</v>
      </c>
      <c r="AQ846" s="45">
        <f>AP846*$G$8</f>
        <v>418.5</v>
      </c>
      <c r="AR846" s="15"/>
      <c r="AS846" s="13">
        <v>13840</v>
      </c>
      <c r="AT846" s="15">
        <f t="shared" ref="AT846:AT847" si="3081">AS846-AO846</f>
        <v>354</v>
      </c>
      <c r="AU846" s="45">
        <f>AT846*$G$8</f>
        <v>955.8</v>
      </c>
      <c r="AV846" s="34"/>
      <c r="AW846" s="13">
        <v>14277</v>
      </c>
      <c r="AX846" s="15">
        <f t="shared" ref="AX846:AX847" si="3082">AW846-AS846</f>
        <v>437</v>
      </c>
      <c r="AY846" s="45">
        <f>AX846*$G$8</f>
        <v>1179.9</v>
      </c>
      <c r="AZ846" s="208"/>
      <c r="BA846" s="13">
        <v>14715</v>
      </c>
      <c r="BB846" s="15">
        <f t="shared" ref="BB846:BB847" si="3083">BA846-AW846</f>
        <v>438</v>
      </c>
      <c r="BC846" s="45">
        <f>BB846*$G$8</f>
        <v>1182.6</v>
      </c>
      <c r="BD846" s="246">
        <v>1000</v>
      </c>
      <c r="BE846" s="40">
        <f t="shared" ref="BE846:BG846" si="3084">J846+N846+R846+V846+Z846+AD846+AH846+AL846+AP846+AT846+AX846+BB846</f>
        <v>3301</v>
      </c>
      <c r="BF846" s="41">
        <f t="shared" si="3084"/>
        <v>8741.1</v>
      </c>
      <c r="BG846" s="34">
        <f t="shared" si="3084"/>
        <v>5700</v>
      </c>
      <c r="BH846" s="35">
        <f t="shared" si="3072"/>
        <v>3028.3</v>
      </c>
      <c r="BK846" s="2" t="b">
        <f>H846='2020'!BH846</f>
        <v>1</v>
      </c>
    </row>
    <row r="847" ht="14.25" customHeight="1" hidden="1" spans="1:63" x14ac:dyDescent="0.25">
      <c r="A847" s="2">
        <v>92</v>
      </c>
      <c r="B847" s="14"/>
      <c r="C847" s="2" t="s">
        <v>114</v>
      </c>
      <c r="D847" s="14" t="s">
        <v>47</v>
      </c>
      <c r="E847" s="2" t="s">
        <v>48</v>
      </c>
      <c r="F847" s="13">
        <v>18.56</v>
      </c>
      <c r="G847" s="35">
        <v>19.46</v>
      </c>
      <c r="H847" s="180">
        <f>'2020'!BH847</f>
        <v>748.14</v>
      </c>
      <c r="I847" s="13">
        <v>235</v>
      </c>
      <c r="J847" s="15"/>
      <c r="K847" s="15"/>
      <c r="L847" s="28"/>
      <c r="M847" s="13">
        <v>235</v>
      </c>
      <c r="N847" s="15">
        <f t="shared" si="3073"/>
        <v>0</v>
      </c>
      <c r="Q847" s="13">
        <v>235</v>
      </c>
      <c r="R847" s="15">
        <f t="shared" si="3074"/>
        <v>0</v>
      </c>
      <c r="S847" s="15"/>
      <c r="T847" s="28"/>
      <c r="U847" s="13">
        <v>235</v>
      </c>
      <c r="V847" s="15">
        <f t="shared" si="3075"/>
        <v>0</v>
      </c>
      <c r="W847" s="180">
        <f>V847*$F$10</f>
        <v>0</v>
      </c>
      <c r="Y847" s="186">
        <v>235</v>
      </c>
      <c r="Z847" s="2">
        <f t="shared" si="3076"/>
        <v>0</v>
      </c>
      <c r="AA847" s="34">
        <f>Z847*$F$10</f>
        <v>0</v>
      </c>
      <c r="AB847" s="28"/>
      <c r="AC847" s="15">
        <v>237</v>
      </c>
      <c r="AD847" s="15">
        <f t="shared" si="3077"/>
        <v>2</v>
      </c>
      <c r="AE847" s="34">
        <f>AD847*$F$10</f>
        <v>38.92</v>
      </c>
      <c r="AF847" s="34"/>
      <c r="AG847" s="15">
        <v>237</v>
      </c>
      <c r="AH847" s="2">
        <f t="shared" si="3078"/>
        <v>0</v>
      </c>
      <c r="AI847" s="45">
        <f>AH847*$G$10</f>
        <v>0</v>
      </c>
      <c r="AJ847" s="39"/>
      <c r="AK847" s="13">
        <v>253</v>
      </c>
      <c r="AL847" s="15">
        <f t="shared" si="3079"/>
        <v>16</v>
      </c>
      <c r="AM847" s="45">
        <f>AL847*$G$10</f>
        <v>325.6</v>
      </c>
      <c r="AN847" s="15"/>
      <c r="AO847" s="13">
        <v>254</v>
      </c>
      <c r="AP847" s="15">
        <f t="shared" si="3080"/>
        <v>1</v>
      </c>
      <c r="AQ847" s="45">
        <f>AP847*$G$10</f>
        <v>20.35</v>
      </c>
      <c r="AR847" s="15"/>
      <c r="AS847" s="13">
        <v>254</v>
      </c>
      <c r="AT847" s="15">
        <f t="shared" si="3081"/>
        <v>0</v>
      </c>
      <c r="AU847" s="45">
        <f>AT847*$G$10</f>
        <v>0</v>
      </c>
      <c r="AV847" s="15"/>
      <c r="AW847" s="13">
        <v>254</v>
      </c>
      <c r="AX847" s="15">
        <f t="shared" si="3082"/>
        <v>0</v>
      </c>
      <c r="AY847" s="45"/>
      <c r="AZ847" s="208"/>
      <c r="BA847" s="13">
        <v>254</v>
      </c>
      <c r="BB847" s="15">
        <f t="shared" si="3083"/>
        <v>0</v>
      </c>
      <c r="BC847" s="45"/>
      <c r="BD847" s="208"/>
      <c r="BE847" s="40">
        <f t="shared" ref="BE847:BG847" si="3085">J847+N847+R847+V847+Z847+AD847+AH847+AL847+AP847+AT847+AX847+BB847</f>
        <v>19</v>
      </c>
      <c r="BF847" s="41">
        <f t="shared" si="3085"/>
        <v>384.87</v>
      </c>
      <c r="BG847" s="34">
        <f t="shared" si="3085"/>
        <v>0</v>
      </c>
      <c r="BH847" s="35">
        <f t="shared" si="3072"/>
        <v>1133.01</v>
      </c>
      <c r="BK847" s="2" t="b">
        <f>H847='2020'!BH847</f>
        <v>1</v>
      </c>
    </row>
    <row r="848" ht="14.25" customHeight="1" hidden="1" spans="1:63" x14ac:dyDescent="0.25">
      <c r="A848" s="2">
        <v>92</v>
      </c>
      <c r="B848" s="14"/>
      <c r="C848" s="2" t="s">
        <v>164</v>
      </c>
      <c r="D848" s="14" t="s">
        <v>47</v>
      </c>
      <c r="E848" s="2" t="s">
        <v>49</v>
      </c>
      <c r="F848" s="41">
        <v>500</v>
      </c>
      <c r="G848" s="28"/>
      <c r="H848" s="180">
        <f>'2020'!BH848</f>
        <v>0</v>
      </c>
      <c r="I848" s="13"/>
      <c r="J848" s="15"/>
      <c r="K848" s="15"/>
      <c r="L848" s="28"/>
      <c r="M848" s="13"/>
      <c r="N848" s="15"/>
      <c r="Q848" s="13"/>
      <c r="R848" s="15"/>
      <c r="S848" s="15"/>
      <c r="T848" s="28"/>
      <c r="U848" s="13"/>
      <c r="V848" s="15"/>
      <c r="Y848" s="186"/>
      <c r="Z848" s="2"/>
      <c r="AA848" s="15"/>
      <c r="AB848" s="28"/>
      <c r="AC848" s="15"/>
      <c r="AD848" s="15"/>
      <c r="AF848" s="34"/>
      <c r="AG848" s="15"/>
      <c r="AH848" s="2"/>
      <c r="AI848" s="45"/>
      <c r="AJ848" s="15"/>
      <c r="AK848" s="13"/>
      <c r="AL848" s="15"/>
      <c r="AM848" s="45"/>
      <c r="AN848" s="15"/>
      <c r="AO848" s="13"/>
      <c r="AP848" s="15"/>
      <c r="AQ848" s="45"/>
      <c r="AR848" s="15"/>
      <c r="AS848" s="13"/>
      <c r="AT848" s="15"/>
      <c r="AU848" s="45"/>
      <c r="AV848" s="15"/>
      <c r="AW848" s="13"/>
      <c r="AX848" s="15"/>
      <c r="AY848" s="45"/>
      <c r="AZ848" s="28"/>
      <c r="BA848" s="13"/>
      <c r="BB848" s="15"/>
      <c r="BC848" s="45"/>
      <c r="BD848" s="28"/>
      <c r="BE848" s="14"/>
      <c r="BF848" s="41">
        <f t="shared" ref="BF848:BG848" si="3086">K848+O848+S848+W848+AA848+AE848+AI848+AM848+AQ848+AU848+AY848+BC848</f>
        <v>0</v>
      </c>
      <c r="BG848" s="34">
        <f t="shared" si="3086"/>
        <v>0</v>
      </c>
      <c r="BH848" s="35">
        <f t="shared" si="3072"/>
        <v>0</v>
      </c>
      <c r="BK848" s="2" t="b">
        <f>H848='2020'!BH848</f>
        <v>1</v>
      </c>
    </row>
    <row r="849" ht="14.25" customHeight="1" hidden="1" spans="1:63" x14ac:dyDescent="0.25">
      <c r="A849" s="2">
        <v>92</v>
      </c>
      <c r="B849" s="14"/>
      <c r="C849" s="73" t="s">
        <v>442</v>
      </c>
      <c r="D849" s="14" t="s">
        <v>50</v>
      </c>
      <c r="E849" s="2" t="s">
        <v>49</v>
      </c>
      <c r="F849" s="41">
        <v>1100</v>
      </c>
      <c r="G849" s="28"/>
      <c r="H849" s="180">
        <f>'2020'!BH849</f>
        <v>0</v>
      </c>
      <c r="I849" s="13"/>
      <c r="J849" s="15"/>
      <c r="K849" s="15"/>
      <c r="L849" s="28"/>
      <c r="M849" s="13"/>
      <c r="N849" s="15"/>
      <c r="Q849" s="13"/>
      <c r="R849" s="15"/>
      <c r="S849" s="15"/>
      <c r="T849" s="28"/>
      <c r="U849" s="13"/>
      <c r="V849" s="15"/>
      <c r="Y849" s="186"/>
      <c r="Z849" s="2"/>
      <c r="AA849" s="15"/>
      <c r="AB849" s="28"/>
      <c r="AC849" s="15"/>
      <c r="AD849" s="15"/>
      <c r="AE849" s="34">
        <f>B846*$F$12</f>
        <v>4708</v>
      </c>
      <c r="AF849" s="180"/>
      <c r="AG849" s="15"/>
      <c r="AH849" s="2"/>
      <c r="AI849" s="45"/>
      <c r="AJ849" s="34"/>
      <c r="AK849" s="13"/>
      <c r="AL849" s="15"/>
      <c r="AM849" s="45"/>
      <c r="AN849" s="15"/>
      <c r="AO849" s="13"/>
      <c r="AP849" s="15"/>
      <c r="AQ849" s="45"/>
      <c r="AR849" s="15"/>
      <c r="AS849" s="13"/>
      <c r="AT849" s="15"/>
      <c r="AU849" s="45"/>
      <c r="AV849" s="15"/>
      <c r="AW849" s="13"/>
      <c r="AX849" s="15"/>
      <c r="AY849" s="45"/>
      <c r="AZ849" s="28"/>
      <c r="BA849" s="13"/>
      <c r="BB849" s="15"/>
      <c r="BC849" s="45"/>
      <c r="BD849" s="28"/>
      <c r="BE849" s="14"/>
      <c r="BF849" s="41">
        <f t="shared" ref="BF849:BG849" si="3087">K849+O849+S849+W849+AA849+AE849+AI849+AM849+AQ849+AU849+AY849+BC849</f>
        <v>4708</v>
      </c>
      <c r="BG849" s="34">
        <f t="shared" si="3087"/>
        <v>0</v>
      </c>
      <c r="BH849" s="35">
        <f t="shared" si="3072"/>
        <v>4708</v>
      </c>
      <c r="BK849" s="2" t="b">
        <f>H849='2020'!BH849</f>
        <v>1</v>
      </c>
    </row>
    <row r="850" ht="14.25" customHeight="1" hidden="1" spans="1:63" x14ac:dyDescent="0.25">
      <c r="A850" s="2">
        <v>92</v>
      </c>
      <c r="B850" s="14"/>
      <c r="C850" s="2" t="s">
        <v>314</v>
      </c>
      <c r="D850" s="14" t="s">
        <v>51</v>
      </c>
      <c r="E850" s="2" t="s">
        <v>39</v>
      </c>
      <c r="F850" s="41">
        <v>500</v>
      </c>
      <c r="G850" s="28"/>
      <c r="H850" s="180">
        <f>'2020'!BH850</f>
        <v>500</v>
      </c>
      <c r="I850" s="13"/>
      <c r="J850" s="15"/>
      <c r="K850" s="15"/>
      <c r="L850" s="28"/>
      <c r="M850" s="13"/>
      <c r="N850" s="15"/>
      <c r="Q850" s="13"/>
      <c r="R850" s="15"/>
      <c r="S850" s="15"/>
      <c r="T850" s="28"/>
      <c r="U850" s="13"/>
      <c r="V850" s="15"/>
      <c r="Y850" s="186"/>
      <c r="Z850" s="2"/>
      <c r="AA850" s="15"/>
      <c r="AB850" s="28"/>
      <c r="AC850" s="15"/>
      <c r="AD850" s="15"/>
      <c r="AE850" s="180">
        <f>$F$13</f>
      </c>
      <c r="AG850" s="15"/>
      <c r="AH850" s="2"/>
      <c r="AI850" s="45"/>
      <c r="AJ850" s="15"/>
      <c r="AK850" s="13"/>
      <c r="AL850" s="15"/>
      <c r="AM850" s="45"/>
      <c r="AN850" s="15"/>
      <c r="AO850" s="13"/>
      <c r="AP850" s="15"/>
      <c r="AQ850" s="180"/>
      <c r="AR850" s="15"/>
      <c r="AS850" s="13"/>
      <c r="AT850" s="15"/>
      <c r="AU850" s="45"/>
      <c r="AV850" s="15"/>
      <c r="AW850" s="13"/>
      <c r="AX850" s="15"/>
      <c r="AY850" s="45"/>
      <c r="AZ850" s="28"/>
      <c r="BA850" s="13"/>
      <c r="BB850" s="15"/>
      <c r="BC850" s="45"/>
      <c r="BD850" s="28"/>
      <c r="BE850" s="14"/>
      <c r="BF850" s="41">
        <f t="shared" ref="BF850:BG850" si="3088">K850+O850+S850+W850+AA850+AE850+AI850+AM850+AQ850+AU850+AY850+BC850</f>
        <v>0</v>
      </c>
      <c r="BG850" s="34">
        <f t="shared" si="3088"/>
        <v>0</v>
      </c>
      <c r="BH850" s="35">
        <f t="shared" si="3072"/>
        <v>500</v>
      </c>
      <c r="BK850" s="2" t="b">
        <f>H850='2020'!BH850</f>
        <v>1</v>
      </c>
    </row>
    <row r="851" ht="14.25" customHeight="1" hidden="1" spans="1:63" x14ac:dyDescent="0.25">
      <c r="A851" s="2">
        <v>92</v>
      </c>
      <c r="B851" s="14"/>
      <c r="D851" s="14" t="s">
        <v>51</v>
      </c>
      <c r="E851" s="2" t="s">
        <v>49</v>
      </c>
      <c r="F851" s="41">
        <v>500</v>
      </c>
      <c r="G851" s="28"/>
      <c r="H851" s="180">
        <f>'2020'!BH851</f>
        <v>2140</v>
      </c>
      <c r="I851" s="13"/>
      <c r="J851" s="15"/>
      <c r="K851" s="15"/>
      <c r="L851" s="28"/>
      <c r="M851" s="13"/>
      <c r="N851" s="15"/>
      <c r="Q851" s="13"/>
      <c r="R851" s="15"/>
      <c r="S851" s="15"/>
      <c r="T851" s="28"/>
      <c r="U851" s="13"/>
      <c r="V851" s="15"/>
      <c r="Y851" s="186"/>
      <c r="Z851" s="2"/>
      <c r="AA851" s="15"/>
      <c r="AB851" s="28"/>
      <c r="AC851" s="15"/>
      <c r="AD851" s="15"/>
      <c r="AE851" s="34"/>
      <c r="AG851" s="15"/>
      <c r="AH851" s="2"/>
      <c r="AI851" s="45"/>
      <c r="AJ851" s="15"/>
      <c r="AK851" s="13"/>
      <c r="AL851" s="15"/>
      <c r="AM851" s="45"/>
      <c r="AN851" s="15"/>
      <c r="AO851" s="13"/>
      <c r="AP851" s="15"/>
      <c r="AQ851" s="180">
        <f>B846*$F$14</f>
        <v>0</v>
      </c>
      <c r="AR851" s="15"/>
      <c r="AS851" s="13"/>
      <c r="AT851" s="15"/>
      <c r="AU851" s="45"/>
      <c r="AV851" s="15"/>
      <c r="AW851" s="13"/>
      <c r="AX851" s="15"/>
      <c r="AY851" s="45"/>
      <c r="AZ851" s="28"/>
      <c r="BA851" s="13"/>
      <c r="BB851" s="15"/>
      <c r="BC851" s="45"/>
      <c r="BD851" s="28"/>
      <c r="BE851" s="14"/>
      <c r="BF851" s="41">
        <f t="shared" ref="BF851:BG851" si="3089">K851+O851+S851+W851+AA851+AE851+AI851+AM851+AQ851+AU851+AY851+BC851</f>
        <v>0</v>
      </c>
      <c r="BG851" s="34">
        <f t="shared" si="3089"/>
        <v>0</v>
      </c>
      <c r="BH851" s="35">
        <f t="shared" si="3072"/>
        <v>2140</v>
      </c>
      <c r="BK851" s="2" t="b">
        <f>H851='2020'!BH851</f>
        <v>1</v>
      </c>
    </row>
    <row r="852" ht="14.25" customHeight="1" hidden="1" spans="1:63" x14ac:dyDescent="0.25">
      <c r="A852" s="2">
        <v>92</v>
      </c>
      <c r="B852" s="14"/>
      <c r="D852" s="14" t="s">
        <v>52</v>
      </c>
      <c r="E852" s="2" t="s">
        <v>39</v>
      </c>
      <c r="F852" s="41">
        <v>500</v>
      </c>
      <c r="G852" s="28"/>
      <c r="H852" s="180">
        <f>'2020'!BH852</f>
        <v>500</v>
      </c>
      <c r="I852" s="13"/>
      <c r="J852" s="15"/>
      <c r="K852" s="15"/>
      <c r="L852" s="28"/>
      <c r="M852" s="13"/>
      <c r="N852" s="15"/>
      <c r="Q852" s="13"/>
      <c r="R852" s="15"/>
      <c r="S852" s="15"/>
      <c r="T852" s="28"/>
      <c r="U852" s="13"/>
      <c r="V852" s="15"/>
      <c r="Y852" s="186"/>
      <c r="Z852" s="2"/>
      <c r="AA852" s="34">
        <f>$F$15</f>
      </c>
      <c r="AB852" s="28"/>
      <c r="AC852" s="15"/>
      <c r="AD852" s="15"/>
      <c r="AG852" s="15"/>
      <c r="AH852" s="2"/>
      <c r="AI852" s="45"/>
      <c r="AJ852" s="15"/>
      <c r="AK852" s="13"/>
      <c r="AL852" s="15"/>
      <c r="AM852" s="45"/>
      <c r="AN852" s="15"/>
      <c r="AO852" s="13"/>
      <c r="AP852" s="15"/>
      <c r="AQ852" s="45"/>
      <c r="AR852" s="15"/>
      <c r="AS852" s="13"/>
      <c r="AT852" s="15"/>
      <c r="AU852" s="45"/>
      <c r="AV852" s="15"/>
      <c r="AW852" s="13"/>
      <c r="AX852" s="15"/>
      <c r="AY852" s="45"/>
      <c r="AZ852" s="35"/>
      <c r="BA852" s="13"/>
      <c r="BB852" s="15"/>
      <c r="BC852" s="45"/>
      <c r="BD852" s="35"/>
      <c r="BE852" s="14"/>
      <c r="BF852" s="41">
        <f t="shared" ref="BF852:BG852" si="3090">K852+O852+S852+W852+AA852+AE852+AI852+AM852+AQ852+AU852+AY852+BC852</f>
        <v>0</v>
      </c>
      <c r="BG852" s="34">
        <f t="shared" si="3090"/>
        <v>0</v>
      </c>
      <c r="BH852" s="35">
        <f t="shared" si="3072"/>
        <v>500</v>
      </c>
      <c r="BK852" s="2" t="b">
        <f>H852='2020'!BH852</f>
        <v>1</v>
      </c>
    </row>
    <row r="853" ht="14.25" customHeight="1" hidden="1" spans="1:63" x14ac:dyDescent="0.25">
      <c r="A853" s="247">
        <v>92</v>
      </c>
      <c r="B853" s="21"/>
      <c r="C853" s="22" t="s">
        <v>53</v>
      </c>
      <c r="D853" s="21"/>
      <c r="E853" s="22"/>
      <c r="F853" s="20"/>
      <c r="G853" s="23"/>
      <c r="H853" s="51">
        <f>SUM(H845:H852)</f>
        <v>3954.34</v>
      </c>
      <c r="I853" s="52"/>
      <c r="J853" s="53"/>
      <c r="K853" s="51">
        <f t="shared" ref="K853:L853" si="3091">SUM(K845:K852)</f>
        <v>1635.4</v>
      </c>
      <c r="L853" s="68">
        <f t="shared" si="3091"/>
        <v>0</v>
      </c>
      <c r="M853" s="52"/>
      <c r="N853" s="53"/>
      <c r="O853" s="51">
        <f t="shared" ref="O853:P853" si="3092">SUM(O845:O852)</f>
        <v>980.2</v>
      </c>
      <c r="P853" s="51">
        <f t="shared" si="3092"/>
        <v>1700</v>
      </c>
      <c r="Q853" s="52"/>
      <c r="R853" s="53"/>
      <c r="S853" s="51">
        <f t="shared" ref="S853:T853" si="3093">SUM(S845:S852)</f>
        <v>1024.4</v>
      </c>
      <c r="T853" s="51">
        <f t="shared" si="3093"/>
        <v>0</v>
      </c>
      <c r="U853" s="52"/>
      <c r="V853" s="53"/>
      <c r="W853" s="51">
        <f t="shared" ref="W853:X853" si="3094">SUM(W845:W852)</f>
        <v>0</v>
      </c>
      <c r="X853" s="51">
        <f t="shared" si="3094"/>
        <v>2000</v>
      </c>
      <c r="Y853" s="300"/>
      <c r="Z853" s="301"/>
      <c r="AA853" s="51">
        <f t="shared" ref="AA853:AB853" si="3095">SUM(AA845:AA852)</f>
        <v>533</v>
      </c>
      <c r="AB853" s="51">
        <f t="shared" si="3095"/>
        <v>1000</v>
      </c>
      <c r="AC853" s="52"/>
      <c r="AD853" s="53"/>
      <c r="AE853" s="51">
        <f t="shared" ref="AE853:AF853" si="3096">SUM(AE845:AE852)</f>
        <v>5035.52</v>
      </c>
      <c r="AF853" s="51">
        <f t="shared" si="3096"/>
        <v>0</v>
      </c>
      <c r="AG853" s="52"/>
      <c r="AH853" s="301"/>
      <c r="AI853" s="183">
        <f t="shared" ref="AI853:AJ853" si="3097">SUM(AI845:AI852)</f>
        <v>267.3</v>
      </c>
      <c r="AJ853" s="51">
        <f t="shared" si="3097"/>
        <v>0</v>
      </c>
      <c r="AK853" s="52"/>
      <c r="AL853" s="53"/>
      <c r="AM853" s="183">
        <f t="shared" ref="AM853:AN853" si="3098">SUM(AM845:AM852)</f>
        <v>601</v>
      </c>
      <c r="AN853" s="51">
        <f t="shared" si="3098"/>
        <v>0</v>
      </c>
      <c r="AO853" s="52"/>
      <c r="AP853" s="53"/>
      <c r="AQ853" s="183">
        <f t="shared" ref="AQ853:AR853" si="3099">SUM(AQ845:AQ852)</f>
        <v>460.89</v>
      </c>
      <c r="AR853" s="51">
        <f t="shared" si="3099"/>
        <v>0</v>
      </c>
      <c r="AS853" s="52"/>
      <c r="AT853" s="53"/>
      <c r="AU853" s="183">
        <f t="shared" ref="AU853:AV853" si="3100">SUM(AU845:AU852)</f>
        <v>955.8</v>
      </c>
      <c r="AV853" s="68">
        <f t="shared" si="3100"/>
        <v>0</v>
      </c>
      <c r="AW853" s="52"/>
      <c r="AX853" s="53"/>
      <c r="AY853" s="183">
        <f t="shared" ref="AY853:AZ853" si="3101">SUM(AY845:AY852)</f>
        <v>1179.9</v>
      </c>
      <c r="AZ853" s="68">
        <f t="shared" si="3101"/>
        <v>0</v>
      </c>
      <c r="BA853" s="52"/>
      <c r="BB853" s="53"/>
      <c r="BC853" s="183">
        <f t="shared" ref="BC853:BD853" si="3102">SUM(BC845:BC852)</f>
        <v>1182.6</v>
      </c>
      <c r="BD853" s="68">
        <f t="shared" si="3102"/>
        <v>1000</v>
      </c>
      <c r="BE853" s="69"/>
      <c r="BF853" s="70">
        <f t="shared" ref="BF853:BH853" si="3103">SUM(BF845:BF852)</f>
        <v>13856.01</v>
      </c>
      <c r="BG853" s="71">
        <f t="shared" si="3103"/>
        <v>5700</v>
      </c>
      <c r="BH853" s="72">
        <f t="shared" si="3103"/>
        <v>12110.35</v>
      </c>
      <c r="BI853" s="34">
        <f>H853+BF853-BG853</f>
        <v>12110.35</v>
      </c>
      <c r="BJ853" s="34">
        <f>BH853-BI853</f>
        <v>0</v>
      </c>
      <c r="BK853" s="2" t="b">
        <f>H853='2020'!BH853</f>
        <v>1</v>
      </c>
    </row>
    <row r="854" ht="14.25" customHeight="1" hidden="1" spans="1:63" x14ac:dyDescent="0.25">
      <c r="A854" s="89" t="s">
        <v>315</v>
      </c>
      <c r="B854" s="14"/>
      <c r="D854" s="178" t="s">
        <v>486</v>
      </c>
      <c r="F854" s="13"/>
      <c r="G854" s="28"/>
      <c r="H854" s="34">
        <f>'2020'!BH854</f>
        <v>0</v>
      </c>
      <c r="I854" s="13"/>
      <c r="J854" s="15"/>
      <c r="K854" s="15"/>
      <c r="L854" s="28"/>
      <c r="M854" s="13"/>
      <c r="N854" s="15"/>
      <c r="Q854" s="13"/>
      <c r="R854" s="15"/>
      <c r="S854" s="15"/>
      <c r="T854" s="28"/>
      <c r="U854" s="13"/>
      <c r="V854" s="15"/>
      <c r="W854" s="153"/>
      <c r="X854" s="34"/>
      <c r="Y854" s="186"/>
      <c r="Z854" s="2"/>
      <c r="AA854" s="15"/>
      <c r="AB854" s="28"/>
      <c r="AC854" s="15"/>
      <c r="AD854" s="15"/>
      <c r="AG854" s="15"/>
      <c r="AH854" s="2"/>
      <c r="AI854" s="45"/>
      <c r="AJ854" s="15"/>
      <c r="AK854" s="13"/>
      <c r="AM854" s="45"/>
      <c r="AO854" s="13"/>
      <c r="AQ854" s="45">
        <v>14.39</v>
      </c>
      <c r="AR854" s="1"/>
      <c r="AS854" s="13"/>
      <c r="AU854" s="45"/>
      <c r="AW854" s="13"/>
      <c r="AY854" s="45"/>
      <c r="AZ854" s="28"/>
      <c r="BA854" s="13"/>
      <c r="BB854" s="15"/>
      <c r="BC854" s="45"/>
      <c r="BD854" s="28"/>
      <c r="BE854" s="14"/>
      <c r="BF854" s="41">
        <f t="shared" ref="BF854:BG854" si="3104">K854+O854+S854+W854+AA854+AE854+AI854+AM854+AQ854+AU854+AY854+BC854</f>
        <v>14.39</v>
      </c>
      <c r="BG854" s="34">
        <f t="shared" si="3104"/>
        <v>0</v>
      </c>
      <c r="BH854" s="35">
        <f t="shared" ref="BH854:BH861" si="3105">H854+BF854-BG854</f>
        <v>14.39</v>
      </c>
      <c r="BK854" s="2" t="b">
        <f>H854='2020'!BH854</f>
        <v>1</v>
      </c>
    </row>
    <row r="855" ht="14.25" customHeight="1" hidden="1" spans="1:63" x14ac:dyDescent="0.25">
      <c r="A855" s="89" t="s">
        <v>315</v>
      </c>
      <c r="B855" s="14">
        <v>4.36</v>
      </c>
      <c r="C855" s="2" t="s">
        <v>316</v>
      </c>
      <c r="D855" s="14" t="s">
        <v>44</v>
      </c>
      <c r="E855" s="2" t="s">
        <v>45</v>
      </c>
      <c r="F855" s="41">
        <v>2.5</v>
      </c>
      <c r="G855" s="35">
        <v>2.6</v>
      </c>
      <c r="H855" s="180">
        <f>'2020'!BH855</f>
        <v>-193.6</v>
      </c>
      <c r="I855" s="13">
        <v>40875</v>
      </c>
      <c r="J855" s="15">
        <f>I855-'2020'!BA855</f>
        <v>3252</v>
      </c>
      <c r="K855" s="34">
        <f>J855*$F$8</f>
        <v>8455.2</v>
      </c>
      <c r="L855" s="38">
        <v>9000</v>
      </c>
      <c r="M855" s="13">
        <v>43708</v>
      </c>
      <c r="N855" s="15">
        <f t="shared" ref="N855:N856" si="3106">M855-I855</f>
        <v>2833</v>
      </c>
      <c r="O855" s="34">
        <f>N855*$F$8</f>
        <v>7365.8</v>
      </c>
      <c r="P855" s="34"/>
      <c r="Q855" s="13">
        <v>45692</v>
      </c>
      <c r="R855" s="15">
        <f t="shared" ref="R855:R856" si="3107">Q855-M855</f>
        <v>1984</v>
      </c>
      <c r="S855" s="34">
        <f>R855*$F$8</f>
        <v>5158.4</v>
      </c>
      <c r="T855" s="32">
        <f>7000+5159</f>
        <v>12159</v>
      </c>
      <c r="U855" s="13">
        <v>46919</v>
      </c>
      <c r="V855" s="15">
        <f t="shared" ref="V855:V856" si="3108">U855-Q855</f>
        <v>1227</v>
      </c>
      <c r="W855" s="34">
        <f>V855*$F$8</f>
        <v>3190.2</v>
      </c>
      <c r="X855" s="34"/>
      <c r="Y855" s="186">
        <v>47569</v>
      </c>
      <c r="Z855" s="286">
        <f t="shared" ref="Z855:Z856" si="3109">Y855-U855</f>
        <v>650</v>
      </c>
      <c r="AA855" s="34">
        <f>Z855*$F$8</f>
        <v>1690</v>
      </c>
      <c r="AB855" s="28"/>
      <c r="AC855" s="15">
        <v>47914</v>
      </c>
      <c r="AD855" s="15">
        <f t="shared" ref="AD855:AD856" si="3110">AC855-Y855</f>
        <v>345</v>
      </c>
      <c r="AE855" s="180">
        <f>AD855*$F$8</f>
        <v>897</v>
      </c>
      <c r="AF855" s="248">
        <f>4000+510</f>
        <v>4510</v>
      </c>
      <c r="AG855" s="15">
        <v>48330</v>
      </c>
      <c r="AH855" s="2">
        <f t="shared" ref="AH855:AH856" si="3111">AG855-AC855</f>
        <v>416</v>
      </c>
      <c r="AI855" s="45">
        <f>AH855*$G$8</f>
        <v>1123.2</v>
      </c>
      <c r="AJ855" s="187">
        <f>900+1200</f>
        <v>2100</v>
      </c>
      <c r="AK855" s="13">
        <v>48825</v>
      </c>
      <c r="AL855" s="15">
        <f t="shared" ref="AL855:AL856" si="3112">AK855-AG855</f>
        <v>495</v>
      </c>
      <c r="AM855" s="45">
        <f>AL855*$G$8</f>
        <v>1336.5</v>
      </c>
      <c r="AN855" s="15"/>
      <c r="AO855" s="13">
        <v>49494</v>
      </c>
      <c r="AP855" s="15">
        <f t="shared" ref="AP855:AP856" si="3113">AO855-AK855</f>
        <v>669</v>
      </c>
      <c r="AQ855" s="45">
        <f>AP855*$G$8</f>
        <v>1806.3</v>
      </c>
      <c r="AR855" s="39">
        <v>1300</v>
      </c>
      <c r="AS855" s="13">
        <v>50827</v>
      </c>
      <c r="AT855" s="15">
        <f t="shared" ref="AT855:AT856" si="3114">AS855-AO855</f>
        <v>1333</v>
      </c>
      <c r="AU855" s="45">
        <f t="shared" ref="AU855:AU856" si="3115">AT855*$G$8</f>
        <v>3599.1</v>
      </c>
      <c r="AV855" s="39">
        <v>1900</v>
      </c>
      <c r="AW855" s="13">
        <v>53098</v>
      </c>
      <c r="AX855" s="15">
        <f t="shared" ref="AX855:AX856" si="3116">AW855-AS855</f>
        <v>2271</v>
      </c>
      <c r="AY855" s="45">
        <f>AX855*$G$8</f>
        <v>6131.7</v>
      </c>
      <c r="AZ855" s="242">
        <f>4000+5600</f>
        <v>9600</v>
      </c>
      <c r="BA855" s="13">
        <v>54960</v>
      </c>
      <c r="BB855" s="15">
        <f t="shared" ref="BB855:BB856" si="3117">BA855-AW855</f>
        <v>1862</v>
      </c>
      <c r="BC855" s="45">
        <f>BB855*$G$8</f>
        <v>5027.4</v>
      </c>
      <c r="BD855" s="246">
        <v>5050</v>
      </c>
      <c r="BE855" s="40">
        <f t="shared" ref="BE855:BG855" si="3118">J855+N855+R855+V855+Z855+AD855+AH855+AL855+AP855+AT855+AX855+BB855</f>
        <v>17337</v>
      </c>
      <c r="BF855" s="41">
        <f t="shared" si="3118"/>
        <v>45780.8</v>
      </c>
      <c r="BG855" s="34">
        <f t="shared" si="3118"/>
        <v>45619</v>
      </c>
      <c r="BH855" s="35">
        <f t="shared" si="3105"/>
        <v>-31.8</v>
      </c>
      <c r="BK855" s="2" t="b">
        <f>H855='2020'!BH855</f>
        <v>1</v>
      </c>
    </row>
    <row r="856" ht="14.25" customHeight="1" hidden="1" spans="1:63" x14ac:dyDescent="0.25">
      <c r="A856" s="89" t="s">
        <v>315</v>
      </c>
      <c r="B856" s="14"/>
      <c r="C856" s="2" t="s">
        <v>317</v>
      </c>
      <c r="D856" s="14" t="s">
        <v>47</v>
      </c>
      <c r="E856" s="2" t="s">
        <v>48</v>
      </c>
      <c r="F856" s="13">
        <v>18.56</v>
      </c>
      <c r="G856" s="35">
        <v>19.46</v>
      </c>
      <c r="H856" s="180">
        <f>'2020'!BH856</f>
        <v>-101.74</v>
      </c>
      <c r="I856" s="13">
        <v>181</v>
      </c>
      <c r="J856" s="15"/>
      <c r="K856" s="15"/>
      <c r="L856" s="28"/>
      <c r="M856" s="13">
        <v>181</v>
      </c>
      <c r="N856" s="15">
        <f t="shared" si="3106"/>
        <v>0</v>
      </c>
      <c r="Q856" s="13">
        <v>181</v>
      </c>
      <c r="R856" s="15">
        <f t="shared" si="3107"/>
        <v>0</v>
      </c>
      <c r="S856" s="15"/>
      <c r="T856" s="28"/>
      <c r="U856" s="13">
        <v>181</v>
      </c>
      <c r="V856" s="15">
        <f t="shared" si="3108"/>
        <v>0</v>
      </c>
      <c r="W856" s="34">
        <f>V856*$F$10</f>
        <v>0</v>
      </c>
      <c r="Y856" s="186">
        <v>183</v>
      </c>
      <c r="Z856" s="2">
        <f t="shared" si="3109"/>
        <v>2</v>
      </c>
      <c r="AA856" s="34">
        <f>Z856*$F$10</f>
        <v>38.92</v>
      </c>
      <c r="AB856" s="28"/>
      <c r="AC856" s="15">
        <v>187</v>
      </c>
      <c r="AD856" s="15">
        <f t="shared" si="3110"/>
        <v>4</v>
      </c>
      <c r="AE856" s="34">
        <f>AD856*$F$10</f>
        <v>77.84</v>
      </c>
      <c r="AF856" s="180"/>
      <c r="AG856" s="15">
        <v>190</v>
      </c>
      <c r="AH856" s="2">
        <f t="shared" si="3111"/>
        <v>3</v>
      </c>
      <c r="AI856" s="45">
        <f>AH856*$G$10</f>
        <v>61.05</v>
      </c>
      <c r="AJ856" s="187">
        <v>100</v>
      </c>
      <c r="AK856" s="13">
        <v>194</v>
      </c>
      <c r="AL856" s="15">
        <f t="shared" si="3112"/>
        <v>4</v>
      </c>
      <c r="AM856" s="45">
        <f>AL856*$G$10</f>
        <v>81.4</v>
      </c>
      <c r="AN856" s="34"/>
      <c r="AO856" s="13">
        <v>196</v>
      </c>
      <c r="AP856" s="15">
        <f t="shared" si="3113"/>
        <v>2</v>
      </c>
      <c r="AQ856" s="45">
        <f>AP856*$G$10</f>
        <v>40.7</v>
      </c>
      <c r="AR856" s="1">
        <v>98.17</v>
      </c>
      <c r="AS856" s="13">
        <v>196</v>
      </c>
      <c r="AT856" s="15">
        <f t="shared" si="3114"/>
        <v>0</v>
      </c>
      <c r="AU856" s="45">
        <f t="shared" si="3115"/>
        <v>0</v>
      </c>
      <c r="AV856" s="34"/>
      <c r="AW856" s="13">
        <v>196</v>
      </c>
      <c r="AX856" s="15">
        <f t="shared" si="3116"/>
        <v>0</v>
      </c>
      <c r="AY856" s="45"/>
      <c r="AZ856" s="208"/>
      <c r="BA856" s="13">
        <v>196</v>
      </c>
      <c r="BB856" s="15">
        <f t="shared" si="3117"/>
        <v>0</v>
      </c>
      <c r="BC856" s="45"/>
      <c r="BD856" s="208"/>
      <c r="BE856" s="40"/>
      <c r="BF856" s="41">
        <f t="shared" ref="BF856:BG856" si="3119">K856+O856+S856+W856+AA856+AE856+AI856+AM856+AQ856+AU856+AY856+BC856</f>
        <v>299.91</v>
      </c>
      <c r="BG856" s="34">
        <f t="shared" si="3119"/>
        <v>198.17</v>
      </c>
      <c r="BH856" s="35">
        <f t="shared" si="3105"/>
        <v>0</v>
      </c>
      <c r="BK856" s="2" t="b">
        <f>H856='2020'!BH856</f>
        <v>1</v>
      </c>
    </row>
    <row r="857" ht="14.25" customHeight="1" hidden="1" spans="1:63" x14ac:dyDescent="0.25">
      <c r="A857" s="89" t="s">
        <v>315</v>
      </c>
      <c r="B857" s="14"/>
      <c r="C857" s="2" t="s">
        <v>246</v>
      </c>
      <c r="D857" s="14" t="s">
        <v>47</v>
      </c>
      <c r="E857" s="2" t="s">
        <v>49</v>
      </c>
      <c r="F857" s="41">
        <v>500</v>
      </c>
      <c r="G857" s="28"/>
      <c r="H857" s="180">
        <f>'2020'!BH857</f>
        <v>0</v>
      </c>
      <c r="I857" s="13"/>
      <c r="J857" s="15"/>
      <c r="K857" s="15"/>
      <c r="L857" s="28"/>
      <c r="M857" s="13"/>
      <c r="N857" s="15"/>
      <c r="Q857" s="13"/>
      <c r="R857" s="15"/>
      <c r="S857" s="15"/>
      <c r="T857" s="28"/>
      <c r="U857" s="13"/>
      <c r="V857" s="15"/>
      <c r="Y857" s="186"/>
      <c r="Z857" s="2"/>
      <c r="AA857" s="15"/>
      <c r="AB857" s="28"/>
      <c r="AC857" s="15"/>
      <c r="AD857" s="15"/>
      <c r="AG857" s="15"/>
      <c r="AH857" s="2"/>
      <c r="AI857" s="45"/>
      <c r="AJ857" s="15"/>
      <c r="AK857" s="13"/>
      <c r="AL857" s="15"/>
      <c r="AM857" s="45"/>
      <c r="AN857" s="15"/>
      <c r="AO857" s="13"/>
      <c r="AP857" s="15"/>
      <c r="AQ857" s="45"/>
      <c r="AR857" s="15"/>
      <c r="AS857" s="13"/>
      <c r="AT857" s="15"/>
      <c r="AU857" s="45"/>
      <c r="AV857" s="15"/>
      <c r="AW857" s="13"/>
      <c r="AX857" s="15"/>
      <c r="AY857" s="45"/>
      <c r="AZ857" s="28"/>
      <c r="BA857" s="13"/>
      <c r="BB857" s="15"/>
      <c r="BC857" s="45"/>
      <c r="BD857" s="28"/>
      <c r="BE857" s="14"/>
      <c r="BF857" s="41">
        <f t="shared" ref="BF857:BG857" si="3120">K857+O857+S857+W857+AA857+AE857+AI857+AM857+AQ857+AU857+AY857+BC857</f>
        <v>0</v>
      </c>
      <c r="BG857" s="34">
        <f t="shared" si="3120"/>
        <v>0</v>
      </c>
      <c r="BH857" s="35">
        <f t="shared" si="3105"/>
        <v>0</v>
      </c>
      <c r="BK857" s="2" t="b">
        <f>H857='2020'!BH857</f>
        <v>1</v>
      </c>
    </row>
    <row r="858" ht="14.25" customHeight="1" hidden="1" spans="1:63" x14ac:dyDescent="0.25">
      <c r="A858" s="89" t="s">
        <v>315</v>
      </c>
      <c r="B858" s="14"/>
      <c r="C858" s="2" t="s">
        <v>318</v>
      </c>
      <c r="D858" s="14" t="s">
        <v>50</v>
      </c>
      <c r="E858" s="2" t="s">
        <v>49</v>
      </c>
      <c r="F858" s="41">
        <v>1100</v>
      </c>
      <c r="G858" s="28"/>
      <c r="H858" s="180">
        <f>'2020'!BH858</f>
        <v>0</v>
      </c>
      <c r="I858" s="13"/>
      <c r="J858" s="15"/>
      <c r="K858" s="15"/>
      <c r="L858" s="28"/>
      <c r="M858" s="13"/>
      <c r="N858" s="15"/>
      <c r="Q858" s="13"/>
      <c r="R858" s="15"/>
      <c r="S858" s="15"/>
      <c r="T858" s="28"/>
      <c r="U858" s="13"/>
      <c r="V858" s="15"/>
      <c r="Y858" s="186"/>
      <c r="Z858" s="2"/>
      <c r="AA858" s="15"/>
      <c r="AB858" s="28"/>
      <c r="AC858" s="15"/>
      <c r="AD858" s="15"/>
      <c r="AE858" s="34">
        <f>B855*$F$12</f>
        <v>4796</v>
      </c>
      <c r="AF858" s="180"/>
      <c r="AG858" s="15"/>
      <c r="AH858" s="2"/>
      <c r="AI858" s="45"/>
      <c r="AJ858" s="39"/>
      <c r="AK858" s="13"/>
      <c r="AL858" s="15"/>
      <c r="AM858" s="45"/>
      <c r="AN858" s="15"/>
      <c r="AO858" s="13"/>
      <c r="AP858" s="15"/>
      <c r="AQ858" s="45"/>
      <c r="AR858" s="15"/>
      <c r="AS858" s="13"/>
      <c r="AT858" s="15"/>
      <c r="AU858" s="45"/>
      <c r="AV858" s="15"/>
      <c r="AW858" s="13"/>
      <c r="AX858" s="15"/>
      <c r="AY858" s="45"/>
      <c r="AZ858" s="28"/>
      <c r="BA858" s="13"/>
      <c r="BB858" s="15"/>
      <c r="BC858" s="45"/>
      <c r="BD858" s="28"/>
      <c r="BE858" s="14"/>
      <c r="BF858" s="41">
        <f t="shared" ref="BF858:BG858" si="3121">K858+O858+S858+W858+AA858+AE858+AI858+AM858+AQ858+AU858+AY858+BC858</f>
        <v>4796</v>
      </c>
      <c r="BG858" s="34">
        <f t="shared" si="3121"/>
        <v>0</v>
      </c>
      <c r="BH858" s="35">
        <f t="shared" si="3105"/>
        <v>4796</v>
      </c>
      <c r="BK858" s="2" t="b">
        <f>H858='2020'!BH858</f>
        <v>1</v>
      </c>
    </row>
    <row r="859" ht="14.25" customHeight="1" hidden="1" spans="1:63" x14ac:dyDescent="0.25">
      <c r="A859" s="89" t="s">
        <v>315</v>
      </c>
      <c r="B859" s="14"/>
      <c r="C859" s="2" t="s">
        <v>417</v>
      </c>
      <c r="D859" s="14" t="s">
        <v>51</v>
      </c>
      <c r="E859" s="2" t="s">
        <v>39</v>
      </c>
      <c r="F859" s="41">
        <v>500</v>
      </c>
      <c r="G859" s="28"/>
      <c r="H859" s="180">
        <f>'2020'!BH859</f>
        <v>0</v>
      </c>
      <c r="I859" s="13"/>
      <c r="J859" s="15"/>
      <c r="K859" s="15"/>
      <c r="L859" s="28"/>
      <c r="M859" s="13"/>
      <c r="N859" s="15"/>
      <c r="Q859" s="13"/>
      <c r="R859" s="15"/>
      <c r="S859" s="15"/>
      <c r="T859" s="28"/>
      <c r="U859" s="13"/>
      <c r="V859" s="15"/>
      <c r="Y859" s="186"/>
      <c r="Z859" s="2"/>
      <c r="AA859" s="15"/>
      <c r="AB859" s="28"/>
      <c r="AC859" s="15"/>
      <c r="AD859" s="15"/>
      <c r="AE859" s="180">
        <f>$F$13</f>
      </c>
      <c r="AF859" s="180"/>
      <c r="AG859" s="15"/>
      <c r="AH859" s="2"/>
      <c r="AI859" s="45"/>
      <c r="AJ859" s="15"/>
      <c r="AK859" s="13"/>
      <c r="AL859" s="15"/>
      <c r="AM859" s="45"/>
      <c r="AN859" s="15"/>
      <c r="AO859" s="13"/>
      <c r="AP859" s="15"/>
      <c r="AQ859" s="180"/>
      <c r="AR859" s="15"/>
      <c r="AS859" s="13"/>
      <c r="AT859" s="15"/>
      <c r="AU859" s="45"/>
      <c r="AV859" s="15"/>
      <c r="AW859" s="13"/>
      <c r="AX859" s="15"/>
      <c r="AY859" s="45"/>
      <c r="AZ859" s="28"/>
      <c r="BA859" s="13"/>
      <c r="BB859" s="15"/>
      <c r="BC859" s="45"/>
      <c r="BD859" s="28"/>
      <c r="BE859" s="14"/>
      <c r="BF859" s="41">
        <f t="shared" ref="BF859:BG859" si="3122">K859+O859+S859+W859+AA859+AE859+AI859+AM859+AQ859+AU859+AY859+BC859</f>
        <v>0</v>
      </c>
      <c r="BG859" s="34">
        <f t="shared" si="3122"/>
        <v>0</v>
      </c>
      <c r="BH859" s="35">
        <f t="shared" si="3105"/>
        <v>0</v>
      </c>
      <c r="BK859" s="2" t="b">
        <f>H859='2020'!BH859</f>
        <v>1</v>
      </c>
    </row>
    <row r="860" ht="14.25" customHeight="1" hidden="1" spans="1:63" x14ac:dyDescent="0.25">
      <c r="A860" s="89" t="s">
        <v>315</v>
      </c>
      <c r="B860" s="14"/>
      <c r="C860" s="2" t="s">
        <v>443</v>
      </c>
      <c r="D860" s="14" t="s">
        <v>51</v>
      </c>
      <c r="E860" s="2" t="s">
        <v>49</v>
      </c>
      <c r="F860" s="41">
        <v>500</v>
      </c>
      <c r="G860" s="28"/>
      <c r="H860" s="180">
        <f>'2020'!BH860</f>
        <v>0</v>
      </c>
      <c r="I860" s="13"/>
      <c r="J860" s="15"/>
      <c r="K860" s="15"/>
      <c r="L860" s="28"/>
      <c r="M860" s="13"/>
      <c r="N860" s="15"/>
      <c r="Q860" s="13"/>
      <c r="R860" s="15"/>
      <c r="S860" s="15"/>
      <c r="T860" s="28"/>
      <c r="U860" s="13"/>
      <c r="V860" s="15"/>
      <c r="Y860" s="186"/>
      <c r="Z860" s="2"/>
      <c r="AA860" s="15"/>
      <c r="AB860" s="28"/>
      <c r="AC860" s="15"/>
      <c r="AD860" s="15"/>
      <c r="AE860" s="34"/>
      <c r="AF860" s="34"/>
      <c r="AG860" s="15"/>
      <c r="AH860" s="2"/>
      <c r="AI860" s="45"/>
      <c r="AJ860" s="15"/>
      <c r="AK860" s="13"/>
      <c r="AL860" s="15"/>
      <c r="AM860" s="45"/>
      <c r="AN860" s="15"/>
      <c r="AO860" s="13"/>
      <c r="AP860" s="15"/>
      <c r="AQ860" s="180">
        <f>B855*$F$14</f>
        <v>0</v>
      </c>
      <c r="AR860" s="15"/>
      <c r="AS860" s="13"/>
      <c r="AT860" s="15"/>
      <c r="AU860" s="45"/>
      <c r="AV860" s="15"/>
      <c r="AW860" s="13"/>
      <c r="AX860" s="15"/>
      <c r="AY860" s="45"/>
      <c r="AZ860" s="28"/>
      <c r="BA860" s="13"/>
      <c r="BB860" s="15"/>
      <c r="BC860" s="45"/>
      <c r="BD860" s="35"/>
      <c r="BE860" s="14"/>
      <c r="BF860" s="41">
        <f t="shared" ref="BF860:BG860" si="3123">K860+O860+S860+W860+AA860+AE860+AI860+AM860+AQ860+AU860+AY860+BC860</f>
        <v>0</v>
      </c>
      <c r="BG860" s="34">
        <f t="shared" si="3123"/>
        <v>0</v>
      </c>
      <c r="BH860" s="35">
        <f t="shared" si="3105"/>
        <v>0</v>
      </c>
      <c r="BK860" s="2" t="b">
        <f>H860='2020'!BH860</f>
        <v>1</v>
      </c>
    </row>
    <row r="861" ht="14.25" customHeight="1" hidden="1" spans="1:63" x14ac:dyDescent="0.25">
      <c r="A861" s="89" t="s">
        <v>315</v>
      </c>
      <c r="B861" s="14"/>
      <c r="D861" s="14" t="s">
        <v>52</v>
      </c>
      <c r="E861" s="2" t="s">
        <v>39</v>
      </c>
      <c r="F861" s="41">
        <v>500</v>
      </c>
      <c r="G861" s="28"/>
      <c r="H861" s="180">
        <f>'2020'!BH861</f>
        <v>0</v>
      </c>
      <c r="I861" s="13"/>
      <c r="J861" s="15"/>
      <c r="K861" s="15"/>
      <c r="L861" s="28"/>
      <c r="M861" s="13"/>
      <c r="N861" s="15"/>
      <c r="Q861" s="13"/>
      <c r="R861" s="15"/>
      <c r="S861" s="15"/>
      <c r="T861" s="28"/>
      <c r="U861" s="13"/>
      <c r="V861" s="15"/>
      <c r="Y861" s="186"/>
      <c r="Z861" s="2"/>
      <c r="AA861" s="34">
        <f>$F$15</f>
      </c>
      <c r="AB861" s="28"/>
      <c r="AC861" s="15"/>
      <c r="AD861" s="15"/>
      <c r="AF861" s="39"/>
      <c r="AG861" s="15"/>
      <c r="AH861" s="2"/>
      <c r="AI861" s="45"/>
      <c r="AJ861" s="15"/>
      <c r="AK861" s="13"/>
      <c r="AL861" s="15"/>
      <c r="AM861" s="45"/>
      <c r="AN861" s="15"/>
      <c r="AO861" s="13"/>
      <c r="AP861" s="15"/>
      <c r="AQ861" s="45"/>
      <c r="AR861" s="15"/>
      <c r="AS861" s="13"/>
      <c r="AT861" s="15"/>
      <c r="AU861" s="45"/>
      <c r="AV861" s="15"/>
      <c r="AW861" s="13"/>
      <c r="AX861" s="15"/>
      <c r="AY861" s="45"/>
      <c r="AZ861" s="35"/>
      <c r="BA861" s="13"/>
      <c r="BB861" s="15"/>
      <c r="BC861" s="45"/>
      <c r="BD861" s="35"/>
      <c r="BE861" s="14"/>
      <c r="BF861" s="41">
        <f t="shared" ref="BF861:BG861" si="3124">K861+O861+S861+W861+AA861+AE861+AI861+AM861+AQ861+AU861+AY861+BC861</f>
        <v>0</v>
      </c>
      <c r="BG861" s="34">
        <f t="shared" si="3124"/>
        <v>0</v>
      </c>
      <c r="BH861" s="35">
        <f t="shared" si="3105"/>
        <v>0</v>
      </c>
      <c r="BK861" s="2" t="b">
        <f>H861='2020'!BH861</f>
        <v>1</v>
      </c>
    </row>
    <row r="862" ht="14.25" customHeight="1" hidden="1" spans="1:63" x14ac:dyDescent="0.25">
      <c r="A862" s="243" t="s">
        <v>315</v>
      </c>
      <c r="B862" s="21"/>
      <c r="C862" s="22" t="s">
        <v>53</v>
      </c>
      <c r="D862" s="21"/>
      <c r="E862" s="22"/>
      <c r="F862" s="20"/>
      <c r="G862" s="23"/>
      <c r="H862" s="51">
        <f>SUM(H854:H861)</f>
        <v>-295.34</v>
      </c>
      <c r="I862" s="52"/>
      <c r="J862" s="53"/>
      <c r="K862" s="51">
        <f t="shared" ref="K862:L862" si="3125">SUM(K854:K861)</f>
        <v>8455.2</v>
      </c>
      <c r="L862" s="68">
        <f t="shared" si="3125"/>
        <v>9000</v>
      </c>
      <c r="M862" s="52"/>
      <c r="N862" s="53"/>
      <c r="O862" s="51">
        <f t="shared" ref="O862:P862" si="3126">SUM(O854:O861)</f>
        <v>7365.8</v>
      </c>
      <c r="P862" s="51">
        <f t="shared" si="3126"/>
        <v>0</v>
      </c>
      <c r="Q862" s="52"/>
      <c r="R862" s="53"/>
      <c r="S862" s="51">
        <f t="shared" ref="S862:T862" si="3127">SUM(S854:S861)</f>
        <v>5158.4</v>
      </c>
      <c r="T862" s="51">
        <f t="shared" si="3127"/>
        <v>12159</v>
      </c>
      <c r="U862" s="52"/>
      <c r="V862" s="53"/>
      <c r="W862" s="51">
        <f t="shared" ref="W862:X862" si="3128">SUM(W854:W861)</f>
        <v>3190.2</v>
      </c>
      <c r="X862" s="51">
        <f t="shared" si="3128"/>
        <v>0</v>
      </c>
      <c r="Y862" s="300"/>
      <c r="Z862" s="301"/>
      <c r="AA862" s="51">
        <f t="shared" ref="AA862:AB862" si="3129">SUM(AA854:AA861)</f>
        <v>1728.92</v>
      </c>
      <c r="AB862" s="51">
        <f t="shared" si="3129"/>
        <v>0</v>
      </c>
      <c r="AC862" s="52"/>
      <c r="AD862" s="53"/>
      <c r="AE862" s="51">
        <f t="shared" ref="AE862:AF862" si="3130">SUM(AE854:AE861)</f>
        <v>5770.84</v>
      </c>
      <c r="AF862" s="51">
        <f t="shared" si="3130"/>
        <v>4510</v>
      </c>
      <c r="AG862" s="52"/>
      <c r="AH862" s="301"/>
      <c r="AI862" s="183">
        <f t="shared" ref="AI862:AJ862" si="3131">SUM(AI854:AI861)</f>
        <v>1184.25</v>
      </c>
      <c r="AJ862" s="51">
        <f t="shared" si="3131"/>
        <v>2200</v>
      </c>
      <c r="AK862" s="52"/>
      <c r="AL862" s="53"/>
      <c r="AM862" s="183">
        <f t="shared" ref="AM862:AN862" si="3132">SUM(AM854:AM861)</f>
        <v>1417.9</v>
      </c>
      <c r="AN862" s="51">
        <f t="shared" si="3132"/>
        <v>0</v>
      </c>
      <c r="AO862" s="52"/>
      <c r="AP862" s="53"/>
      <c r="AQ862" s="183">
        <f t="shared" ref="AQ862:AR862" si="3133">SUM(AQ854:AQ861)</f>
        <v>1861.39</v>
      </c>
      <c r="AR862" s="51">
        <f t="shared" si="3133"/>
        <v>1398.17</v>
      </c>
      <c r="AS862" s="52"/>
      <c r="AT862" s="53"/>
      <c r="AU862" s="183">
        <f t="shared" ref="AU862:AV862" si="3134">SUM(AU854:AU861)</f>
        <v>3599.1</v>
      </c>
      <c r="AV862" s="68">
        <f t="shared" si="3134"/>
        <v>1900</v>
      </c>
      <c r="AW862" s="52"/>
      <c r="AX862" s="53"/>
      <c r="AY862" s="183">
        <f t="shared" ref="AY862:AZ862" si="3135">SUM(AY854:AY861)</f>
        <v>6131.7</v>
      </c>
      <c r="AZ862" s="68">
        <f t="shared" si="3135"/>
        <v>9600</v>
      </c>
      <c r="BA862" s="52"/>
      <c r="BB862" s="53"/>
      <c r="BC862" s="183">
        <f t="shared" ref="BC862:BD862" si="3136">SUM(BC854:BC861)</f>
        <v>5027.4</v>
      </c>
      <c r="BD862" s="68">
        <f t="shared" si="3136"/>
        <v>5050</v>
      </c>
      <c r="BE862" s="69"/>
      <c r="BF862" s="70">
        <f t="shared" ref="BF862:BH862" si="3137">SUM(BF854:BF861)</f>
        <v>50891.1</v>
      </c>
      <c r="BG862" s="71">
        <f t="shared" si="3137"/>
        <v>45817.17</v>
      </c>
      <c r="BH862" s="72">
        <f t="shared" si="3137"/>
        <v>4778.59</v>
      </c>
      <c r="BI862" s="34">
        <f>H862+BF862-BG862</f>
        <v>4778.59</v>
      </c>
      <c r="BJ862" s="34">
        <f>BH862-BI862</f>
        <v>0</v>
      </c>
      <c r="BK862" s="2" t="b">
        <f>H862='2020'!BH862</f>
        <v>1</v>
      </c>
    </row>
    <row r="863" ht="14.25" customHeight="1" hidden="1" spans="1:63" x14ac:dyDescent="0.25">
      <c r="A863" s="89" t="s">
        <v>315</v>
      </c>
      <c r="B863" s="14"/>
      <c r="D863" s="14" t="s">
        <v>379</v>
      </c>
      <c r="F863" s="13"/>
      <c r="G863" s="28"/>
      <c r="H863" s="34">
        <f>'2020'!BH863</f>
        <v>0</v>
      </c>
      <c r="I863" s="13"/>
      <c r="J863" s="15"/>
      <c r="K863" s="15"/>
      <c r="L863" s="28"/>
      <c r="M863" s="13"/>
      <c r="N863" s="15"/>
      <c r="Q863" s="13"/>
      <c r="R863" s="15"/>
      <c r="S863" s="15"/>
      <c r="T863" s="28"/>
      <c r="U863" s="13"/>
      <c r="V863" s="15"/>
      <c r="Y863" s="186"/>
      <c r="Z863" s="2"/>
      <c r="AA863" s="15"/>
      <c r="AB863" s="28"/>
      <c r="AC863" s="15"/>
      <c r="AD863" s="15"/>
      <c r="AG863" s="15"/>
      <c r="AH863" s="2"/>
      <c r="AI863" s="45"/>
      <c r="AJ863" s="15"/>
      <c r="AK863" s="13"/>
      <c r="AM863" s="45"/>
      <c r="AO863" s="13"/>
      <c r="AQ863" s="45">
        <v>14.52</v>
      </c>
      <c r="AS863" s="13"/>
      <c r="AU863" s="45"/>
      <c r="AW863" s="13"/>
      <c r="AY863" s="45"/>
      <c r="AZ863" s="28"/>
      <c r="BA863" s="13"/>
      <c r="BB863" s="15"/>
      <c r="BC863" s="45"/>
      <c r="BD863" s="28"/>
      <c r="BE863" s="14"/>
      <c r="BF863" s="41">
        <f t="shared" ref="BF863:BG863" si="3138">K863+O863+S863+W863+AA863+AE863+AI863+AM863+AQ863+AU863+AY863+BC863</f>
        <v>14.52</v>
      </c>
      <c r="BG863" s="34">
        <f t="shared" si="3138"/>
        <v>0</v>
      </c>
      <c r="BH863" s="35">
        <f t="shared" ref="BH863:BH870" si="3139">H863+BF863-BG863</f>
        <v>14.52</v>
      </c>
      <c r="BK863" s="2" t="b">
        <f>H863='2020'!BH863</f>
        <v>1</v>
      </c>
    </row>
    <row r="864" ht="14.25" customHeight="1" hidden="1" spans="1:63" x14ac:dyDescent="0.25">
      <c r="A864" s="89" t="s">
        <v>315</v>
      </c>
      <c r="B864" s="42">
        <v>4.4</v>
      </c>
      <c r="C864" s="2" t="s">
        <v>316</v>
      </c>
      <c r="D864" s="14" t="s">
        <v>44</v>
      </c>
      <c r="E864" s="2" t="s">
        <v>45</v>
      </c>
      <c r="F864" s="41">
        <v>2.5</v>
      </c>
      <c r="G864" s="35">
        <v>2.6</v>
      </c>
      <c r="H864" s="180">
        <f>'2020'!BH864</f>
        <v>0</v>
      </c>
      <c r="I864" s="13">
        <v>0</v>
      </c>
      <c r="J864" s="15">
        <f>I864-'2020'!BA864</f>
        <v>0</v>
      </c>
      <c r="K864" s="34">
        <f>J864*$F$8</f>
        <v>0</v>
      </c>
      <c r="L864" s="28"/>
      <c r="M864" s="13">
        <v>0</v>
      </c>
      <c r="N864" s="15">
        <f t="shared" ref="N864:N865" si="3140">M864-I864</f>
        <v>0</v>
      </c>
      <c r="O864" s="34">
        <f>N864*$F$8</f>
        <v>0</v>
      </c>
      <c r="P864" s="34"/>
      <c r="Q864" s="13">
        <v>0</v>
      </c>
      <c r="R864" s="15">
        <f t="shared" ref="R864:R865" si="3141">Q864-M864</f>
        <v>0</v>
      </c>
      <c r="S864" s="34">
        <f>R864*$F$8</f>
        <v>0</v>
      </c>
      <c r="T864" s="35"/>
      <c r="U864" s="13">
        <v>0</v>
      </c>
      <c r="V864" s="15">
        <f t="shared" ref="V864:V865" si="3142">U864-Q864</f>
        <v>0</v>
      </c>
      <c r="W864" s="34">
        <f>V864*$F$8</f>
        <v>0</v>
      </c>
      <c r="X864" s="15"/>
      <c r="Y864" s="186"/>
      <c r="Z864" s="2">
        <f>Y864-U864</f>
        <v>0</v>
      </c>
      <c r="AA864" s="34">
        <f>Z864*$F$8</f>
        <v>0</v>
      </c>
      <c r="AB864" s="28"/>
      <c r="AC864" s="15"/>
      <c r="AD864" s="15">
        <f t="shared" ref="AD864:AD865" si="3143">AC864-Y864</f>
        <v>0</v>
      </c>
      <c r="AE864" s="180">
        <f>AD864*$F$8</f>
        <v>0</v>
      </c>
      <c r="AF864" s="34"/>
      <c r="AG864" s="15"/>
      <c r="AH864" s="2">
        <f t="shared" ref="AH864:AH865" si="3144">AG864-AC864</f>
        <v>0</v>
      </c>
      <c r="AI864" s="45">
        <f>AH864*$G$8</f>
        <v>0</v>
      </c>
      <c r="AJ864" s="180"/>
      <c r="AK864" s="13"/>
      <c r="AL864" s="15">
        <f t="shared" ref="AL864:AL865" si="3145">AK864-AG864</f>
        <v>0</v>
      </c>
      <c r="AM864" s="45">
        <f>AL864*$G$8</f>
        <v>0</v>
      </c>
      <c r="AN864" s="15"/>
      <c r="AO864" s="13"/>
      <c r="AP864" s="15">
        <f t="shared" ref="AP864:AP865" si="3146">AO864-AK864</f>
        <v>0</v>
      </c>
      <c r="AQ864" s="45">
        <f>AP864*$G$8</f>
        <v>0</v>
      </c>
      <c r="AR864" s="15"/>
      <c r="AS864" s="13"/>
      <c r="AT864" s="15">
        <f t="shared" ref="AT864:AT865" si="3147">AS864-AO864</f>
        <v>0</v>
      </c>
      <c r="AU864" s="45">
        <f t="shared" ref="AU864:AU865" si="3148">AT864*$G$8</f>
        <v>0</v>
      </c>
      <c r="AV864" s="15"/>
      <c r="AW864" s="13"/>
      <c r="AX864" s="15">
        <f t="shared" ref="AX864:AX865" si="3149">AW864-AS864</f>
        <v>0</v>
      </c>
      <c r="AY864" s="45">
        <f>AX864*$G$8</f>
        <v>0</v>
      </c>
      <c r="AZ864" s="208"/>
      <c r="BA864" s="13"/>
      <c r="BB864" s="15">
        <f t="shared" ref="BB864:BB865" si="3150">BA864-AW864</f>
        <v>0</v>
      </c>
      <c r="BC864" s="45">
        <f>BB864*$G$8</f>
        <v>0</v>
      </c>
      <c r="BD864" s="208"/>
      <c r="BE864" s="40">
        <f t="shared" ref="BE864:BG864" si="3151">J864+N864+R864+V864+Z864+AD864+AH864+AL864+AP864+AT864+AX864+BB864</f>
        <v>0</v>
      </c>
      <c r="BF864" s="41">
        <f t="shared" si="3151"/>
        <v>0</v>
      </c>
      <c r="BG864" s="34">
        <f t="shared" si="3151"/>
        <v>0</v>
      </c>
      <c r="BH864" s="35">
        <f t="shared" si="3139"/>
        <v>0</v>
      </c>
      <c r="BK864" s="2" t="b">
        <f>H864='2020'!BH864</f>
        <v>1</v>
      </c>
    </row>
    <row r="865" ht="14.25" customHeight="1" hidden="1" spans="1:63" x14ac:dyDescent="0.25">
      <c r="A865" s="89" t="s">
        <v>315</v>
      </c>
      <c r="B865" s="14"/>
      <c r="C865" s="2" t="s">
        <v>317</v>
      </c>
      <c r="D865" s="14" t="s">
        <v>47</v>
      </c>
      <c r="E865" s="2" t="s">
        <v>48</v>
      </c>
      <c r="F865" s="13">
        <v>18.56</v>
      </c>
      <c r="G865" s="35">
        <v>19.46</v>
      </c>
      <c r="H865" s="180">
        <f>'2020'!BH865</f>
        <v>97.14</v>
      </c>
      <c r="I865" s="13">
        <v>56</v>
      </c>
      <c r="J865" s="15"/>
      <c r="K865" s="15"/>
      <c r="L865" s="28"/>
      <c r="M865" s="13">
        <v>56</v>
      </c>
      <c r="N865" s="15">
        <f t="shared" si="3140"/>
        <v>0</v>
      </c>
      <c r="Q865" s="13">
        <v>56</v>
      </c>
      <c r="R865" s="15">
        <f t="shared" si="3141"/>
        <v>0</v>
      </c>
      <c r="S865" s="15"/>
      <c r="T865" s="28"/>
      <c r="U865" s="13">
        <v>56</v>
      </c>
      <c r="V865" s="15">
        <f t="shared" si="3142"/>
        <v>0</v>
      </c>
      <c r="W865" s="180">
        <f>V865*$F$10</f>
        <v>0</v>
      </c>
      <c r="Y865" s="186">
        <v>1</v>
      </c>
      <c r="Z865" s="2">
        <v>1</v>
      </c>
      <c r="AA865" s="34">
        <f>Z865*$F$10</f>
        <v>19.46</v>
      </c>
      <c r="AB865" s="28"/>
      <c r="AC865" s="15">
        <v>6</v>
      </c>
      <c r="AD865" s="15">
        <f t="shared" si="3143"/>
        <v>5</v>
      </c>
      <c r="AE865" s="34">
        <f>AD865*$F$10</f>
        <v>97.3</v>
      </c>
      <c r="AF865" s="248">
        <v>116.6</v>
      </c>
      <c r="AG865" s="15">
        <v>8</v>
      </c>
      <c r="AH865" s="2">
        <f t="shared" si="3144"/>
        <v>2</v>
      </c>
      <c r="AI865" s="45">
        <f>AH865*$G$10</f>
        <v>40.7</v>
      </c>
      <c r="AJ865" s="187">
        <v>200</v>
      </c>
      <c r="AK865" s="13">
        <v>13</v>
      </c>
      <c r="AL865" s="15">
        <f t="shared" si="3145"/>
        <v>5</v>
      </c>
      <c r="AM865" s="45">
        <f>AL865*$G$10</f>
        <v>101.75</v>
      </c>
      <c r="AN865" s="34"/>
      <c r="AO865" s="13">
        <v>15</v>
      </c>
      <c r="AP865" s="15">
        <f t="shared" si="3146"/>
        <v>2</v>
      </c>
      <c r="AQ865" s="45">
        <f>AP865*$G$10</f>
        <v>40.7</v>
      </c>
      <c r="AR865" s="1">
        <v>1.83</v>
      </c>
      <c r="AS865" s="13">
        <v>15</v>
      </c>
      <c r="AT865" s="15">
        <f t="shared" si="3147"/>
        <v>0</v>
      </c>
      <c r="AU865" s="45">
        <f t="shared" si="3148"/>
        <v>0</v>
      </c>
      <c r="AV865" s="15"/>
      <c r="AW865" s="13">
        <v>15</v>
      </c>
      <c r="AX865" s="15">
        <f t="shared" si="3149"/>
        <v>0</v>
      </c>
      <c r="AY865" s="45"/>
      <c r="AZ865" s="249">
        <v>80</v>
      </c>
      <c r="BA865" s="13">
        <v>15</v>
      </c>
      <c r="BB865" s="15">
        <f t="shared" si="3150"/>
        <v>0</v>
      </c>
      <c r="BC865" s="45"/>
      <c r="BD865" s="208"/>
      <c r="BE865" s="40">
        <f t="shared" ref="BE865:BG865" si="3152">J865+N865+R865+V865+Z865+AD865+AH865+AL865+AP865+AT865+AX865+BB865</f>
        <v>15</v>
      </c>
      <c r="BF865" s="41">
        <f t="shared" si="3152"/>
        <v>299.91</v>
      </c>
      <c r="BG865" s="34">
        <f t="shared" si="3152"/>
        <v>398.43</v>
      </c>
      <c r="BH865" s="35">
        <f t="shared" si="3139"/>
        <v>-1.38</v>
      </c>
      <c r="BK865" s="2" t="b">
        <f>H865='2020'!BH865</f>
        <v>1</v>
      </c>
    </row>
    <row r="866" ht="14.25" customHeight="1" hidden="1" spans="1:63" x14ac:dyDescent="0.25">
      <c r="A866" s="89" t="s">
        <v>315</v>
      </c>
      <c r="B866" s="14"/>
      <c r="C866" s="2" t="s">
        <v>246</v>
      </c>
      <c r="D866" s="14" t="s">
        <v>47</v>
      </c>
      <c r="E866" s="2" t="s">
        <v>49</v>
      </c>
      <c r="F866" s="41">
        <v>500</v>
      </c>
      <c r="G866" s="28"/>
      <c r="H866" s="180">
        <f>'2020'!BH866</f>
        <v>0</v>
      </c>
      <c r="I866" s="13"/>
      <c r="J866" s="15"/>
      <c r="K866" s="15"/>
      <c r="L866" s="28"/>
      <c r="M866" s="13"/>
      <c r="N866" s="15"/>
      <c r="Q866" s="13"/>
      <c r="R866" s="15"/>
      <c r="S866" s="15"/>
      <c r="T866" s="28"/>
      <c r="U866" s="13"/>
      <c r="V866" s="15"/>
      <c r="Y866" s="186"/>
      <c r="Z866" s="2"/>
      <c r="AA866" s="15"/>
      <c r="AB866" s="28"/>
      <c r="AC866" s="15"/>
      <c r="AD866" s="15"/>
      <c r="AG866" s="15"/>
      <c r="AH866" s="2"/>
      <c r="AI866" s="45"/>
      <c r="AJ866" s="15"/>
      <c r="AK866" s="13"/>
      <c r="AL866" s="15"/>
      <c r="AM866" s="45"/>
      <c r="AN866" s="15"/>
      <c r="AO866" s="13"/>
      <c r="AP866" s="15"/>
      <c r="AQ866" s="45"/>
      <c r="AR866" s="15"/>
      <c r="AS866" s="13"/>
      <c r="AT866" s="15"/>
      <c r="AU866" s="45"/>
      <c r="AV866" s="15"/>
      <c r="AW866" s="13"/>
      <c r="AX866" s="15"/>
      <c r="AY866" s="45"/>
      <c r="AZ866" s="28"/>
      <c r="BA866" s="13"/>
      <c r="BB866" s="15"/>
      <c r="BC866" s="45"/>
      <c r="BD866" s="28"/>
      <c r="BE866" s="14"/>
      <c r="BF866" s="41">
        <f t="shared" ref="BF866:BG866" si="3153">K866+O866+S866+W866+AA866+AE866+AI866+AM866+AQ866+AU866+AY866+BC866</f>
        <v>0</v>
      </c>
      <c r="BG866" s="34">
        <f t="shared" si="3153"/>
        <v>0</v>
      </c>
      <c r="BH866" s="35">
        <f t="shared" si="3139"/>
        <v>0</v>
      </c>
      <c r="BK866" s="2" t="b">
        <f>H866='2020'!BH866</f>
        <v>1</v>
      </c>
    </row>
    <row r="867" ht="14.25" customHeight="1" hidden="1" spans="1:63" x14ac:dyDescent="0.25">
      <c r="A867" s="89" t="s">
        <v>315</v>
      </c>
      <c r="B867" s="14"/>
      <c r="C867" s="2" t="s">
        <v>318</v>
      </c>
      <c r="D867" s="14" t="s">
        <v>50</v>
      </c>
      <c r="E867" s="2" t="s">
        <v>49</v>
      </c>
      <c r="F867" s="41">
        <v>1100</v>
      </c>
      <c r="G867" s="28"/>
      <c r="H867" s="180">
        <f>'2020'!BH867</f>
        <v>0</v>
      </c>
      <c r="I867" s="13"/>
      <c r="J867" s="15"/>
      <c r="K867" s="15"/>
      <c r="L867" s="28"/>
      <c r="M867" s="13"/>
      <c r="N867" s="15"/>
      <c r="Q867" s="13"/>
      <c r="R867" s="15"/>
      <c r="S867" s="15"/>
      <c r="T867" s="28"/>
      <c r="U867" s="13"/>
      <c r="V867" s="15"/>
      <c r="Y867" s="186"/>
      <c r="Z867" s="2"/>
      <c r="AA867" s="15"/>
      <c r="AB867" s="28"/>
      <c r="AC867" s="15"/>
      <c r="AD867" s="15"/>
      <c r="AE867" s="34">
        <f>B864*$F$12</f>
        <v>4840</v>
      </c>
      <c r="AG867" s="15"/>
      <c r="AH867" s="2"/>
      <c r="AI867" s="45"/>
      <c r="AJ867" s="39"/>
      <c r="AK867" s="13"/>
      <c r="AL867" s="15"/>
      <c r="AM867" s="45"/>
      <c r="AN867" s="15"/>
      <c r="AO867" s="13"/>
      <c r="AP867" s="15"/>
      <c r="AQ867" s="45"/>
      <c r="AR867" s="34"/>
      <c r="AS867" s="13"/>
      <c r="AT867" s="15"/>
      <c r="AU867" s="45"/>
      <c r="AV867" s="15"/>
      <c r="AW867" s="13"/>
      <c r="AX867" s="15"/>
      <c r="AY867" s="45"/>
      <c r="AZ867" s="28"/>
      <c r="BA867" s="13"/>
      <c r="BB867" s="15"/>
      <c r="BC867" s="45"/>
      <c r="BD867" s="28"/>
      <c r="BE867" s="14"/>
      <c r="BF867" s="41">
        <f t="shared" ref="BF867:BG867" si="3154">K867+O867+S867+W867+AA867+AE867+AI867+AM867+AQ867+AU867+AY867+BC867</f>
        <v>4840</v>
      </c>
      <c r="BG867" s="34">
        <f t="shared" si="3154"/>
        <v>0</v>
      </c>
      <c r="BH867" s="35">
        <f t="shared" si="3139"/>
        <v>4840</v>
      </c>
      <c r="BK867" s="2" t="b">
        <f>H867='2020'!BH867</f>
        <v>1</v>
      </c>
    </row>
    <row r="868" ht="14.25" customHeight="1" hidden="1" spans="1:63" x14ac:dyDescent="0.25">
      <c r="A868" s="89" t="s">
        <v>315</v>
      </c>
      <c r="B868" s="14"/>
      <c r="C868" s="2" t="s">
        <v>417</v>
      </c>
      <c r="D868" s="14" t="s">
        <v>51</v>
      </c>
      <c r="E868" s="2" t="s">
        <v>39</v>
      </c>
      <c r="F868" s="41">
        <v>500</v>
      </c>
      <c r="G868" s="28"/>
      <c r="H868" s="180">
        <f>'2020'!BH868</f>
        <v>500</v>
      </c>
      <c r="I868" s="13"/>
      <c r="J868" s="15"/>
      <c r="K868" s="15"/>
      <c r="L868" s="28"/>
      <c r="M868" s="13"/>
      <c r="N868" s="15"/>
      <c r="Q868" s="13"/>
      <c r="R868" s="15"/>
      <c r="S868" s="15"/>
      <c r="T868" s="28"/>
      <c r="U868" s="13"/>
      <c r="V868" s="15"/>
      <c r="Y868" s="186"/>
      <c r="Z868" s="2"/>
      <c r="AA868" s="15"/>
      <c r="AB868" s="28"/>
      <c r="AC868" s="15"/>
      <c r="AD868" s="15"/>
      <c r="AE868" s="180">
        <f>$F$13</f>
      </c>
      <c r="AF868" s="1">
        <v>500</v>
      </c>
      <c r="AG868" s="15"/>
      <c r="AH868" s="2"/>
      <c r="AI868" s="45"/>
      <c r="AJ868" s="15"/>
      <c r="AK868" s="13"/>
      <c r="AL868" s="15"/>
      <c r="AM868" s="45"/>
      <c r="AN868" s="15"/>
      <c r="AO868" s="13"/>
      <c r="AP868" s="15"/>
      <c r="AQ868" s="180"/>
      <c r="AR868" s="15"/>
      <c r="AS868" s="13"/>
      <c r="AT868" s="15"/>
      <c r="AU868" s="45"/>
      <c r="AV868" s="15"/>
      <c r="AW868" s="13"/>
      <c r="AX868" s="15"/>
      <c r="AY868" s="45"/>
      <c r="AZ868" s="28"/>
      <c r="BA868" s="13"/>
      <c r="BB868" s="15"/>
      <c r="BC868" s="45"/>
      <c r="BD868" s="28"/>
      <c r="BE868" s="14"/>
      <c r="BF868" s="41">
        <f t="shared" ref="BF868:BG868" si="3155">K868+O868+S868+W868+AA868+AE868+AI868+AM868+AQ868+AU868+AY868+BC868</f>
        <v>0</v>
      </c>
      <c r="BG868" s="34">
        <f t="shared" si="3155"/>
        <v>500</v>
      </c>
      <c r="BH868" s="35">
        <f t="shared" si="3139"/>
        <v>0</v>
      </c>
      <c r="BK868" s="2" t="b">
        <f>H868='2020'!BH868</f>
        <v>1</v>
      </c>
    </row>
    <row r="869" ht="14.25" customHeight="1" hidden="1" spans="1:63" x14ac:dyDescent="0.25">
      <c r="A869" s="89" t="s">
        <v>315</v>
      </c>
      <c r="B869" s="14"/>
      <c r="C869" s="2" t="s">
        <v>443</v>
      </c>
      <c r="D869" s="14" t="s">
        <v>51</v>
      </c>
      <c r="E869" s="2" t="s">
        <v>49</v>
      </c>
      <c r="F869" s="41">
        <v>500</v>
      </c>
      <c r="G869" s="28"/>
      <c r="H869" s="180">
        <f>'2020'!BH869</f>
        <v>0</v>
      </c>
      <c r="I869" s="13"/>
      <c r="J869" s="15"/>
      <c r="K869" s="15"/>
      <c r="L869" s="28"/>
      <c r="M869" s="13"/>
      <c r="N869" s="15"/>
      <c r="Q869" s="13"/>
      <c r="R869" s="15"/>
      <c r="S869" s="15"/>
      <c r="T869" s="28"/>
      <c r="U869" s="13"/>
      <c r="V869" s="15"/>
      <c r="Y869" s="186"/>
      <c r="Z869" s="2"/>
      <c r="AA869" s="15"/>
      <c r="AB869" s="28"/>
      <c r="AC869" s="15"/>
      <c r="AD869" s="15"/>
      <c r="AE869" s="34"/>
      <c r="AG869" s="15"/>
      <c r="AH869" s="2"/>
      <c r="AI869" s="45"/>
      <c r="AJ869" s="15"/>
      <c r="AK869" s="13"/>
      <c r="AL869" s="15"/>
      <c r="AM869" s="45"/>
      <c r="AN869" s="15"/>
      <c r="AO869" s="13"/>
      <c r="AP869" s="15"/>
      <c r="AQ869" s="180">
        <f>B864*$F$14</f>
        <v>0</v>
      </c>
      <c r="AR869" s="15"/>
      <c r="AS869" s="13"/>
      <c r="AT869" s="15"/>
      <c r="AU869" s="45"/>
      <c r="AV869" s="15"/>
      <c r="AW869" s="13"/>
      <c r="AX869" s="15"/>
      <c r="AY869" s="45"/>
      <c r="AZ869" s="28"/>
      <c r="BA869" s="13"/>
      <c r="BB869" s="15"/>
      <c r="BC869" s="45"/>
      <c r="BD869" s="35"/>
      <c r="BE869" s="14"/>
      <c r="BF869" s="41">
        <f t="shared" ref="BF869:BG869" si="3156">K869+O869+S869+W869+AA869+AE869+AI869+AM869+AQ869+AU869+AY869+BC869</f>
        <v>0</v>
      </c>
      <c r="BG869" s="34">
        <f t="shared" si="3156"/>
        <v>0</v>
      </c>
      <c r="BH869" s="35">
        <f t="shared" si="3139"/>
        <v>0</v>
      </c>
      <c r="BK869" s="2" t="b">
        <f>H869='2020'!BH869</f>
        <v>1</v>
      </c>
    </row>
    <row r="870" ht="14.25" customHeight="1" hidden="1" spans="1:63" x14ac:dyDescent="0.25">
      <c r="A870" s="89" t="s">
        <v>315</v>
      </c>
      <c r="B870" s="14"/>
      <c r="D870" s="14" t="s">
        <v>52</v>
      </c>
      <c r="E870" s="2" t="s">
        <v>39</v>
      </c>
      <c r="F870" s="41">
        <v>500</v>
      </c>
      <c r="G870" s="28"/>
      <c r="H870" s="180">
        <f>'2020'!BH870</f>
        <v>0</v>
      </c>
      <c r="I870" s="13"/>
      <c r="J870" s="15"/>
      <c r="K870" s="15"/>
      <c r="L870" s="28"/>
      <c r="M870" s="13"/>
      <c r="N870" s="15"/>
      <c r="Q870" s="13"/>
      <c r="R870" s="15"/>
      <c r="S870" s="15"/>
      <c r="T870" s="28"/>
      <c r="U870" s="13"/>
      <c r="V870" s="15"/>
      <c r="Y870" s="186"/>
      <c r="Z870" s="2"/>
      <c r="AA870" s="34">
        <f>$F$15</f>
      </c>
      <c r="AB870" s="28"/>
      <c r="AC870" s="15"/>
      <c r="AD870" s="15"/>
      <c r="AG870" s="15"/>
      <c r="AH870" s="2"/>
      <c r="AI870" s="45"/>
      <c r="AJ870" s="15"/>
      <c r="AK870" s="13"/>
      <c r="AL870" s="15"/>
      <c r="AM870" s="45"/>
      <c r="AN870" s="15"/>
      <c r="AO870" s="13"/>
      <c r="AP870" s="15"/>
      <c r="AQ870" s="45"/>
      <c r="AR870" s="15"/>
      <c r="AS870" s="13"/>
      <c r="AT870" s="15"/>
      <c r="AU870" s="45"/>
      <c r="AV870" s="15"/>
      <c r="AW870" s="13"/>
      <c r="AX870" s="15"/>
      <c r="AY870" s="45"/>
      <c r="AZ870" s="35"/>
      <c r="BA870" s="13"/>
      <c r="BB870" s="15"/>
      <c r="BC870" s="45"/>
      <c r="BD870" s="35"/>
      <c r="BE870" s="14"/>
      <c r="BF870" s="41">
        <f t="shared" ref="BF870:BG870" si="3157">K870+O870+S870+W870+AA870+AE870+AI870+AM870+AQ870+AU870+AY870+BC870</f>
        <v>0</v>
      </c>
      <c r="BG870" s="34">
        <f t="shared" si="3157"/>
        <v>0</v>
      </c>
      <c r="BH870" s="35">
        <f t="shared" si="3139"/>
        <v>0</v>
      </c>
      <c r="BK870" s="2" t="b">
        <f>H870='2020'!BH870</f>
        <v>1</v>
      </c>
    </row>
    <row r="871" ht="14.25" customHeight="1" hidden="1" spans="1:63" x14ac:dyDescent="0.25">
      <c r="A871" s="243" t="s">
        <v>315</v>
      </c>
      <c r="B871" s="21"/>
      <c r="C871" s="22" t="s">
        <v>53</v>
      </c>
      <c r="D871" s="21"/>
      <c r="E871" s="22"/>
      <c r="F871" s="20"/>
      <c r="G871" s="23"/>
      <c r="H871" s="51">
        <f>SUM(H863:H870)</f>
        <v>597.14</v>
      </c>
      <c r="I871" s="52"/>
      <c r="J871" s="53"/>
      <c r="K871" s="51">
        <f t="shared" ref="K871:L871" si="3158">SUM(K863:K870)</f>
        <v>0</v>
      </c>
      <c r="L871" s="68">
        <f t="shared" si="3158"/>
        <v>0</v>
      </c>
      <c r="M871" s="52"/>
      <c r="N871" s="53"/>
      <c r="O871" s="51">
        <f t="shared" ref="O871:P871" si="3159">SUM(O863:O870)</f>
        <v>0</v>
      </c>
      <c r="P871" s="51">
        <f t="shared" si="3159"/>
        <v>0</v>
      </c>
      <c r="Q871" s="52"/>
      <c r="R871" s="53"/>
      <c r="S871" s="51">
        <f t="shared" ref="S871:T871" si="3160">SUM(S863:S870)</f>
        <v>0</v>
      </c>
      <c r="T871" s="51">
        <f t="shared" si="3160"/>
        <v>0</v>
      </c>
      <c r="U871" s="52"/>
      <c r="V871" s="53"/>
      <c r="W871" s="51">
        <f t="shared" ref="W871:X871" si="3161">SUM(W863:W870)</f>
        <v>0</v>
      </c>
      <c r="X871" s="51">
        <f t="shared" si="3161"/>
        <v>0</v>
      </c>
      <c r="Y871" s="300"/>
      <c r="Z871" s="301"/>
      <c r="AA871" s="51">
        <f t="shared" ref="AA871:AB871" si="3162">SUM(AA863:AA870)</f>
        <v>19.46</v>
      </c>
      <c r="AB871" s="51">
        <f t="shared" si="3162"/>
        <v>0</v>
      </c>
      <c r="AC871" s="52"/>
      <c r="AD871" s="53"/>
      <c r="AE871" s="51">
        <f t="shared" ref="AE871:AF871" si="3163">SUM(AE863:AE870)</f>
        <v>4937.3</v>
      </c>
      <c r="AF871" s="51">
        <f t="shared" si="3163"/>
        <v>616.6</v>
      </c>
      <c r="AG871" s="52"/>
      <c r="AH871" s="301"/>
      <c r="AI871" s="183">
        <f t="shared" ref="AI871:AJ871" si="3164">SUM(AI863:AI870)</f>
        <v>40.7</v>
      </c>
      <c r="AJ871" s="51">
        <f t="shared" si="3164"/>
        <v>200</v>
      </c>
      <c r="AK871" s="52"/>
      <c r="AL871" s="53"/>
      <c r="AM871" s="183">
        <f t="shared" ref="AM871:AN871" si="3165">SUM(AM863:AM870)</f>
        <v>101.75</v>
      </c>
      <c r="AN871" s="51">
        <f t="shared" si="3165"/>
        <v>0</v>
      </c>
      <c r="AO871" s="52"/>
      <c r="AP871" s="53"/>
      <c r="AQ871" s="183">
        <f t="shared" ref="AQ871:AR871" si="3166">SUM(AQ863:AQ870)</f>
        <v>55.22</v>
      </c>
      <c r="AR871" s="51">
        <f t="shared" si="3166"/>
        <v>1.83</v>
      </c>
      <c r="AS871" s="52"/>
      <c r="AT871" s="53"/>
      <c r="AU871" s="183">
        <f t="shared" ref="AU871:AV871" si="3167">SUM(AU863:AU870)</f>
        <v>0</v>
      </c>
      <c r="AV871" s="68">
        <f t="shared" si="3167"/>
        <v>0</v>
      </c>
      <c r="AW871" s="52"/>
      <c r="AX871" s="53"/>
      <c r="AY871" s="183">
        <f t="shared" ref="AY871:AZ871" si="3168">SUM(AY863:AY870)</f>
        <v>0</v>
      </c>
      <c r="AZ871" s="68">
        <f t="shared" si="3168"/>
        <v>80</v>
      </c>
      <c r="BA871" s="52"/>
      <c r="BB871" s="53"/>
      <c r="BC871" s="183">
        <f t="shared" ref="BC871:BD871" si="3169">SUM(BC863:BC870)</f>
        <v>0</v>
      </c>
      <c r="BD871" s="68">
        <f t="shared" si="3169"/>
        <v>0</v>
      </c>
      <c r="BE871" s="69"/>
      <c r="BF871" s="70">
        <f t="shared" ref="BF871:BH871" si="3170">SUM(BF863:BF870)</f>
        <v>5154.43</v>
      </c>
      <c r="BG871" s="71">
        <f t="shared" si="3170"/>
        <v>898.43</v>
      </c>
      <c r="BH871" s="72">
        <f t="shared" si="3170"/>
        <v>4853.14</v>
      </c>
      <c r="BI871" s="34">
        <f>H871+BF871-BG871</f>
        <v>4853.14</v>
      </c>
      <c r="BJ871" s="34">
        <f>BH871-BI871</f>
        <v>0</v>
      </c>
      <c r="BK871" s="2" t="b">
        <f>H871='2020'!BH871</f>
        <v>1</v>
      </c>
    </row>
    <row r="872" ht="14.25" customHeight="1" hidden="1" spans="1:63" x14ac:dyDescent="0.25">
      <c r="A872" s="2">
        <v>99</v>
      </c>
      <c r="B872" s="14"/>
      <c r="D872" s="14" t="s">
        <v>379</v>
      </c>
      <c r="F872" s="13"/>
      <c r="G872" s="28"/>
      <c r="H872" s="34">
        <f>'2020'!BH872</f>
        <v>2.36</v>
      </c>
      <c r="I872" s="13"/>
      <c r="J872" s="15"/>
      <c r="K872" s="15"/>
      <c r="L872" s="28"/>
      <c r="M872" s="13"/>
      <c r="N872" s="15"/>
      <c r="Q872" s="13"/>
      <c r="R872" s="15"/>
      <c r="S872" s="15"/>
      <c r="T872" s="28"/>
      <c r="U872" s="13"/>
      <c r="V872" s="15"/>
      <c r="W872" s="2"/>
      <c r="Y872" s="186"/>
      <c r="Z872" s="2"/>
      <c r="AA872" s="15"/>
      <c r="AB872" s="28"/>
      <c r="AC872" s="15"/>
      <c r="AD872" s="15"/>
      <c r="AG872" s="15"/>
      <c r="AH872" s="2"/>
      <c r="AI872" s="45"/>
      <c r="AJ872" s="15"/>
      <c r="AK872" s="13"/>
      <c r="AM872" s="45"/>
      <c r="AN872" s="15"/>
      <c r="AO872" s="13"/>
      <c r="AQ872" s="45">
        <v>23.24</v>
      </c>
      <c r="AS872" s="13"/>
      <c r="AU872" s="45"/>
      <c r="AW872" s="13"/>
      <c r="AY872" s="45"/>
      <c r="AZ872" s="28"/>
      <c r="BA872" s="13"/>
      <c r="BB872" s="15"/>
      <c r="BC872" s="45"/>
      <c r="BD872" s="28"/>
      <c r="BE872" s="14"/>
      <c r="BF872" s="41">
        <f t="shared" ref="BF872:BG872" si="3171">K872+O872+S872+W872+AA872+AE872+AI872+AM872+AQ872+AU872+AY872+BC872</f>
        <v>23.24</v>
      </c>
      <c r="BG872" s="34">
        <f t="shared" si="3171"/>
        <v>0</v>
      </c>
      <c r="BH872" s="35">
        <f t="shared" ref="BH872:BH879" si="3172">H872+BF872-BG872</f>
        <v>25.6</v>
      </c>
      <c r="BK872" s="2" t="b">
        <f>H872='2020'!BH872</f>
        <v>1</v>
      </c>
    </row>
    <row r="873" ht="14.25" customHeight="1" hidden="1" spans="1:63" x14ac:dyDescent="0.25">
      <c r="A873" s="2">
        <v>99</v>
      </c>
      <c r="B873" s="14">
        <v>4.53</v>
      </c>
      <c r="C873" s="2" t="s">
        <v>319</v>
      </c>
      <c r="D873" s="14" t="s">
        <v>44</v>
      </c>
      <c r="E873" s="2" t="s">
        <v>45</v>
      </c>
      <c r="F873" s="41">
        <v>2.5</v>
      </c>
      <c r="G873" s="35">
        <v>2.6</v>
      </c>
      <c r="H873" s="34">
        <f>'2020'!BH873</f>
        <v>-346.16</v>
      </c>
      <c r="I873" s="13">
        <v>144</v>
      </c>
      <c r="J873" s="15">
        <f>I873-'2020'!BA873</f>
        <v>0</v>
      </c>
      <c r="K873" s="34">
        <f>J873*$F$8</f>
        <v>0</v>
      </c>
      <c r="L873" s="28"/>
      <c r="M873" s="13">
        <v>144</v>
      </c>
      <c r="N873" s="15">
        <f t="shared" ref="N873:N874" si="3173">M873-I873</f>
        <v>0</v>
      </c>
      <c r="O873" s="34">
        <f>N873*$F$8</f>
        <v>0</v>
      </c>
      <c r="Q873" s="13">
        <v>144</v>
      </c>
      <c r="R873" s="15">
        <f t="shared" ref="R873:R874" si="3174">Q873-M873</f>
        <v>0</v>
      </c>
      <c r="S873" s="34">
        <f>R873*$F$8</f>
        <v>0</v>
      </c>
      <c r="T873" s="28"/>
      <c r="U873" s="13">
        <v>144</v>
      </c>
      <c r="V873" s="15">
        <f t="shared" ref="V873:V874" si="3175">U873-Q873</f>
        <v>0</v>
      </c>
      <c r="W873" s="34">
        <f>V873*$F$8</f>
        <v>0</v>
      </c>
      <c r="Y873" s="186">
        <v>144</v>
      </c>
      <c r="Z873" s="2">
        <f t="shared" ref="Z873:Z874" si="3176">Y873-U873</f>
        <v>0</v>
      </c>
      <c r="AA873" s="34">
        <f>Z873*$F$8</f>
        <v>0</v>
      </c>
      <c r="AB873" s="28"/>
      <c r="AC873" s="15">
        <v>144</v>
      </c>
      <c r="AD873" s="15">
        <f t="shared" ref="AD873:AD874" si="3177">AC873-Y873</f>
        <v>0</v>
      </c>
      <c r="AE873" s="180">
        <f>AD873*$F$8</f>
        <v>0</v>
      </c>
      <c r="AF873" s="34"/>
      <c r="AG873" s="15">
        <v>177</v>
      </c>
      <c r="AH873" s="2">
        <f t="shared" ref="AH873:AH874" si="3178">AG873-AC873</f>
        <v>33</v>
      </c>
      <c r="AI873" s="45">
        <f>AH873*$G$8</f>
        <v>89.1</v>
      </c>
      <c r="AJ873" s="39"/>
      <c r="AK873" s="13">
        <v>211</v>
      </c>
      <c r="AL873" s="15">
        <f t="shared" ref="AL873:AL874" si="3179">AK873-AG873</f>
        <v>34</v>
      </c>
      <c r="AM873" s="45">
        <f>AL873*$G$8</f>
        <v>91.8</v>
      </c>
      <c r="AN873" s="15"/>
      <c r="AO873" s="13">
        <v>211</v>
      </c>
      <c r="AP873" s="15">
        <f t="shared" ref="AP873:AP874" si="3180">AO873-AK873</f>
        <v>0</v>
      </c>
      <c r="AQ873" s="45">
        <f>AP873*$G$8</f>
        <v>0</v>
      </c>
      <c r="AR873" s="15"/>
      <c r="AS873" s="13">
        <v>245</v>
      </c>
      <c r="AT873" s="15">
        <f t="shared" ref="AT873:AT874" si="3181">AS873-AO873</f>
        <v>34</v>
      </c>
      <c r="AU873" s="45">
        <f t="shared" ref="AU873:AU874" si="3182">AT873*$G$8</f>
        <v>91.8</v>
      </c>
      <c r="AV873" s="15"/>
      <c r="AW873" s="13">
        <v>245</v>
      </c>
      <c r="AX873" s="15">
        <f t="shared" ref="AX873:AX874" si="3183">AW873-AS873</f>
        <v>0</v>
      </c>
      <c r="AY873" s="45">
        <f>AX873*$G$8</f>
        <v>0</v>
      </c>
      <c r="AZ873" s="208"/>
      <c r="BA873" s="13">
        <v>245</v>
      </c>
      <c r="BB873" s="15">
        <f t="shared" ref="BB873:BB874" si="3184">BA873-AW873</f>
        <v>0</v>
      </c>
      <c r="BC873" s="45">
        <f>BB873*$G$8</f>
        <v>0</v>
      </c>
      <c r="BD873" s="208"/>
      <c r="BE873" s="40">
        <f t="shared" ref="BE873:BG873" si="3185">J873+N873+R873+V873+Z873+AD873+AH873+AL873+AP873+AT873+AX873+BB873</f>
        <v>101</v>
      </c>
      <c r="BF873" s="41">
        <f t="shared" si="3185"/>
        <v>272.7</v>
      </c>
      <c r="BG873" s="34">
        <f t="shared" si="3185"/>
        <v>0</v>
      </c>
      <c r="BH873" s="35">
        <f t="shared" si="3172"/>
        <v>-73.46</v>
      </c>
      <c r="BK873" s="2" t="b">
        <f>H873='2020'!BH873</f>
        <v>1</v>
      </c>
    </row>
    <row r="874" ht="14.25" customHeight="1" hidden="1" spans="1:63" x14ac:dyDescent="0.25">
      <c r="A874" s="2">
        <v>99</v>
      </c>
      <c r="B874" s="14"/>
      <c r="C874" s="2" t="s">
        <v>61</v>
      </c>
      <c r="D874" s="14" t="s">
        <v>47</v>
      </c>
      <c r="E874" s="2" t="s">
        <v>48</v>
      </c>
      <c r="F874" s="13">
        <v>18.56</v>
      </c>
      <c r="G874" s="35">
        <v>19.46</v>
      </c>
      <c r="H874" s="90">
        <f>'2020'!BH874</f>
        <v>-224.94</v>
      </c>
      <c r="I874" s="13">
        <v>270</v>
      </c>
      <c r="J874" s="15"/>
      <c r="K874" s="15"/>
      <c r="L874" s="28"/>
      <c r="M874" s="13">
        <v>270</v>
      </c>
      <c r="N874" s="15">
        <f t="shared" si="3173"/>
        <v>0</v>
      </c>
      <c r="Q874" s="13">
        <v>270</v>
      </c>
      <c r="R874" s="15">
        <f t="shared" si="3174"/>
        <v>0</v>
      </c>
      <c r="S874" s="15"/>
      <c r="T874" s="28"/>
      <c r="U874" s="13">
        <v>270</v>
      </c>
      <c r="V874" s="15">
        <f t="shared" si="3175"/>
        <v>0</v>
      </c>
      <c r="W874" s="180">
        <f>V874*$F$10</f>
        <v>0</v>
      </c>
      <c r="Y874" s="186">
        <f>180+171</f>
        <v>351</v>
      </c>
      <c r="Z874" s="2">
        <f t="shared" si="3176"/>
        <v>81</v>
      </c>
      <c r="AA874" s="34">
        <f>Z874*$F$10</f>
        <v>1576.26</v>
      </c>
      <c r="AB874" s="28"/>
      <c r="AC874" s="13">
        <v>351</v>
      </c>
      <c r="AD874" s="15">
        <f t="shared" si="3177"/>
        <v>0</v>
      </c>
      <c r="AE874" s="34">
        <f>AD874*$F$10</f>
        <v>0</v>
      </c>
      <c r="AF874" s="34"/>
      <c r="AG874" s="13">
        <v>351</v>
      </c>
      <c r="AH874" s="2">
        <f t="shared" si="3178"/>
        <v>0</v>
      </c>
      <c r="AI874" s="45">
        <f>AH874*$G$10</f>
        <v>0</v>
      </c>
      <c r="AJ874" s="39"/>
      <c r="AK874" s="13">
        <v>351</v>
      </c>
      <c r="AL874" s="15">
        <f t="shared" si="3179"/>
        <v>0</v>
      </c>
      <c r="AM874" s="45">
        <f>AL874*$G$10</f>
        <v>0</v>
      </c>
      <c r="AN874" s="15"/>
      <c r="AO874" s="13">
        <v>351</v>
      </c>
      <c r="AP874" s="15">
        <f t="shared" si="3180"/>
        <v>0</v>
      </c>
      <c r="AQ874" s="45">
        <f>AP874*$G$10</f>
        <v>0</v>
      </c>
      <c r="AR874" s="15"/>
      <c r="AS874" s="13">
        <v>351</v>
      </c>
      <c r="AT874" s="15">
        <f t="shared" si="3181"/>
        <v>0</v>
      </c>
      <c r="AU874" s="45">
        <f t="shared" si="3182"/>
        <v>0</v>
      </c>
      <c r="AV874" s="15"/>
      <c r="AW874" s="13">
        <v>351</v>
      </c>
      <c r="AX874" s="15">
        <f t="shared" si="3183"/>
        <v>0</v>
      </c>
      <c r="AY874" s="45"/>
      <c r="AZ874" s="208"/>
      <c r="BA874" s="13">
        <v>351</v>
      </c>
      <c r="BB874" s="15">
        <f t="shared" si="3184"/>
        <v>0</v>
      </c>
      <c r="BC874" s="45"/>
      <c r="BD874" s="208"/>
      <c r="BE874" s="40">
        <f t="shared" ref="BE874:BG874" si="3186">J874+N874+R874+V874+Z874+AD874+AH874+AL874+AP874+AT874+AX874+BB874</f>
        <v>81</v>
      </c>
      <c r="BF874" s="41">
        <f t="shared" si="3186"/>
        <v>1576.26</v>
      </c>
      <c r="BG874" s="34">
        <f t="shared" si="3186"/>
        <v>0</v>
      </c>
      <c r="BH874" s="35">
        <f t="shared" si="3172"/>
        <v>1351.32</v>
      </c>
      <c r="BK874" s="2" t="b">
        <f>H874='2020'!BH874</f>
        <v>1</v>
      </c>
    </row>
    <row r="875" ht="14.25" customHeight="1" hidden="1" spans="1:63" x14ac:dyDescent="0.25">
      <c r="A875" s="2">
        <v>99</v>
      </c>
      <c r="B875" s="14"/>
      <c r="C875" s="15" t="s">
        <v>444</v>
      </c>
      <c r="D875" s="14" t="s">
        <v>47</v>
      </c>
      <c r="E875" s="2" t="s">
        <v>49</v>
      </c>
      <c r="F875" s="41">
        <v>500</v>
      </c>
      <c r="G875" s="28"/>
      <c r="H875" s="34">
        <f>'2020'!BH875</f>
        <v>0</v>
      </c>
      <c r="I875" s="13"/>
      <c r="J875" s="15"/>
      <c r="K875" s="15"/>
      <c r="L875" s="28"/>
      <c r="M875" s="13"/>
      <c r="N875" s="15"/>
      <c r="Q875" s="13"/>
      <c r="R875" s="15"/>
      <c r="S875" s="15"/>
      <c r="T875" s="28"/>
      <c r="U875" s="13"/>
      <c r="V875" s="15"/>
      <c r="Y875" s="186"/>
      <c r="Z875" s="2"/>
      <c r="AA875" s="15"/>
      <c r="AB875" s="28"/>
      <c r="AC875" s="15"/>
      <c r="AD875" s="15"/>
      <c r="AG875" s="15"/>
      <c r="AH875" s="2"/>
      <c r="AI875" s="45"/>
      <c r="AJ875" s="15"/>
      <c r="AK875" s="13"/>
      <c r="AL875" s="15"/>
      <c r="AM875" s="45"/>
      <c r="AN875" s="15"/>
      <c r="AO875" s="13"/>
      <c r="AP875" s="15"/>
      <c r="AQ875" s="45"/>
      <c r="AR875" s="15"/>
      <c r="AS875" s="13"/>
      <c r="AT875" s="15"/>
      <c r="AU875" s="45"/>
      <c r="AV875" s="15"/>
      <c r="AW875" s="13"/>
      <c r="AX875" s="15"/>
      <c r="AY875" s="45"/>
      <c r="AZ875" s="28"/>
      <c r="BA875" s="13"/>
      <c r="BB875" s="15"/>
      <c r="BC875" s="45"/>
      <c r="BD875" s="28"/>
      <c r="BE875" s="14"/>
      <c r="BF875" s="41">
        <f t="shared" ref="BF875:BG875" si="3187">K875+O875+S875+W875+AA875+AE875+AI875+AM875+AQ875+AU875+AY875+BC875</f>
        <v>0</v>
      </c>
      <c r="BG875" s="34">
        <f t="shared" si="3187"/>
        <v>0</v>
      </c>
      <c r="BH875" s="35">
        <f t="shared" si="3172"/>
        <v>0</v>
      </c>
      <c r="BK875" s="2" t="b">
        <f>H875='2020'!BH875</f>
        <v>1</v>
      </c>
    </row>
    <row r="876" ht="14.25" customHeight="1" hidden="1" spans="1:63" x14ac:dyDescent="0.25">
      <c r="A876" s="2">
        <v>99</v>
      </c>
      <c r="B876" s="14"/>
      <c r="C876" s="15" t="s">
        <v>445</v>
      </c>
      <c r="D876" s="14" t="s">
        <v>50</v>
      </c>
      <c r="E876" s="2" t="s">
        <v>49</v>
      </c>
      <c r="F876" s="41">
        <v>1100</v>
      </c>
      <c r="G876" s="28"/>
      <c r="H876" s="34">
        <f>'2020'!BH876</f>
        <v>0</v>
      </c>
      <c r="I876" s="13"/>
      <c r="J876" s="15"/>
      <c r="K876" s="15"/>
      <c r="L876" s="28"/>
      <c r="M876" s="13"/>
      <c r="N876" s="15"/>
      <c r="Q876" s="13"/>
      <c r="R876" s="15"/>
      <c r="S876" s="15"/>
      <c r="T876" s="28"/>
      <c r="U876" s="13"/>
      <c r="V876" s="15"/>
      <c r="Y876" s="186"/>
      <c r="Z876" s="2"/>
      <c r="AA876" s="15"/>
      <c r="AB876" s="28"/>
      <c r="AC876" s="15"/>
      <c r="AD876" s="15"/>
      <c r="AE876" s="34">
        <f>B873*$F$12</f>
        <v>4983</v>
      </c>
      <c r="AF876" s="34"/>
      <c r="AG876" s="15"/>
      <c r="AH876" s="2"/>
      <c r="AI876" s="45"/>
      <c r="AJ876" s="34"/>
      <c r="AK876" s="13"/>
      <c r="AL876" s="15"/>
      <c r="AM876" s="45"/>
      <c r="AN876" s="34"/>
      <c r="AO876" s="13"/>
      <c r="AP876" s="15"/>
      <c r="AQ876" s="45"/>
      <c r="AR876" s="15"/>
      <c r="AS876" s="13"/>
      <c r="AT876" s="15"/>
      <c r="AU876" s="45"/>
      <c r="AV876" s="15"/>
      <c r="AW876" s="13"/>
      <c r="AX876" s="15"/>
      <c r="AY876" s="45"/>
      <c r="AZ876" s="28"/>
      <c r="BA876" s="13"/>
      <c r="BB876" s="15"/>
      <c r="BC876" s="45"/>
      <c r="BD876" s="28"/>
      <c r="BE876" s="14"/>
      <c r="BF876" s="41">
        <f t="shared" ref="BF876:BG876" si="3188">K876+O876+S876+W876+AA876+AE876+AI876+AM876+AQ876+AU876+AY876+BC876</f>
        <v>4983</v>
      </c>
      <c r="BG876" s="34">
        <f t="shared" si="3188"/>
        <v>0</v>
      </c>
      <c r="BH876" s="35">
        <f t="shared" si="3172"/>
        <v>4983</v>
      </c>
      <c r="BK876" s="2" t="b">
        <f>H876='2020'!BH876</f>
        <v>1</v>
      </c>
    </row>
    <row r="877" ht="14.25" customHeight="1" hidden="1" spans="1:63" x14ac:dyDescent="0.25">
      <c r="A877" s="2">
        <v>99</v>
      </c>
      <c r="B877" s="14"/>
      <c r="D877" s="14" t="s">
        <v>51</v>
      </c>
      <c r="E877" s="2" t="s">
        <v>39</v>
      </c>
      <c r="F877" s="41">
        <v>500</v>
      </c>
      <c r="G877" s="28"/>
      <c r="H877" s="34">
        <f>'2020'!BH877</f>
        <v>500</v>
      </c>
      <c r="I877" s="13"/>
      <c r="J877" s="15"/>
      <c r="K877" s="15"/>
      <c r="L877" s="28"/>
      <c r="M877" s="13"/>
      <c r="N877" s="15"/>
      <c r="Q877" s="13"/>
      <c r="R877" s="15"/>
      <c r="S877" s="15"/>
      <c r="T877" s="28"/>
      <c r="U877" s="13"/>
      <c r="V877" s="15"/>
      <c r="Y877" s="186"/>
      <c r="Z877" s="2"/>
      <c r="AA877" s="15"/>
      <c r="AB877" s="28"/>
      <c r="AC877" s="15"/>
      <c r="AD877" s="15"/>
      <c r="AE877" s="180">
        <f>$F$13</f>
      </c>
      <c r="AG877" s="15"/>
      <c r="AH877" s="2"/>
      <c r="AI877" s="45"/>
      <c r="AJ877" s="15"/>
      <c r="AK877" s="13"/>
      <c r="AL877" s="15"/>
      <c r="AM877" s="45"/>
      <c r="AN877" s="15"/>
      <c r="AO877" s="13"/>
      <c r="AP877" s="15"/>
      <c r="AQ877" s="180"/>
      <c r="AR877" s="15"/>
      <c r="AS877" s="13"/>
      <c r="AT877" s="15"/>
      <c r="AU877" s="45"/>
      <c r="AV877" s="15"/>
      <c r="AW877" s="13"/>
      <c r="AX877" s="15"/>
      <c r="AY877" s="45"/>
      <c r="AZ877" s="28"/>
      <c r="BA877" s="13"/>
      <c r="BB877" s="15"/>
      <c r="BC877" s="45"/>
      <c r="BD877" s="28"/>
      <c r="BE877" s="14"/>
      <c r="BF877" s="41">
        <f t="shared" ref="BF877:BG877" si="3189">K877+O877+S877+W877+AA877+AE877+AI877+AM877+AQ877+AU877+AY877+BC877</f>
        <v>0</v>
      </c>
      <c r="BG877" s="34">
        <f t="shared" si="3189"/>
        <v>0</v>
      </c>
      <c r="BH877" s="35">
        <f t="shared" si="3172"/>
        <v>500</v>
      </c>
      <c r="BK877" s="2" t="b">
        <f>H877='2020'!BH877</f>
        <v>1</v>
      </c>
    </row>
    <row r="878" ht="14.25" customHeight="1" hidden="1" spans="1:63" x14ac:dyDescent="0.25">
      <c r="A878" s="2">
        <v>99</v>
      </c>
      <c r="B878" s="14"/>
      <c r="D878" s="14" t="s">
        <v>51</v>
      </c>
      <c r="E878" s="2" t="s">
        <v>49</v>
      </c>
      <c r="F878" s="41">
        <v>500</v>
      </c>
      <c r="G878" s="28"/>
      <c r="H878" s="34">
        <f>'2020'!BH878</f>
        <v>2265</v>
      </c>
      <c r="I878" s="13"/>
      <c r="J878" s="15"/>
      <c r="K878" s="15"/>
      <c r="L878" s="28"/>
      <c r="M878" s="13"/>
      <c r="N878" s="15"/>
      <c r="Q878" s="13"/>
      <c r="R878" s="15"/>
      <c r="S878" s="15"/>
      <c r="T878" s="28"/>
      <c r="U878" s="13"/>
      <c r="V878" s="15"/>
      <c r="Y878" s="186"/>
      <c r="Z878" s="2"/>
      <c r="AA878" s="15"/>
      <c r="AB878" s="28"/>
      <c r="AC878" s="15"/>
      <c r="AD878" s="15"/>
      <c r="AE878" s="34"/>
      <c r="AG878" s="15"/>
      <c r="AH878" s="2"/>
      <c r="AI878" s="45"/>
      <c r="AJ878" s="15"/>
      <c r="AK878" s="13"/>
      <c r="AL878" s="15"/>
      <c r="AM878" s="45"/>
      <c r="AN878" s="15"/>
      <c r="AO878" s="13"/>
      <c r="AP878" s="15"/>
      <c r="AQ878" s="180">
        <f>B873*$F$14</f>
        <v>0</v>
      </c>
      <c r="AR878" s="15"/>
      <c r="AS878" s="13"/>
      <c r="AT878" s="15"/>
      <c r="AU878" s="45"/>
      <c r="AV878" s="15"/>
      <c r="AW878" s="13"/>
      <c r="AX878" s="15"/>
      <c r="AY878" s="45"/>
      <c r="AZ878" s="28"/>
      <c r="BA878" s="13"/>
      <c r="BB878" s="15"/>
      <c r="BC878" s="45"/>
      <c r="BD878" s="28"/>
      <c r="BE878" s="14"/>
      <c r="BF878" s="41">
        <f t="shared" ref="BF878:BG878" si="3190">K878+O878+S878+W878+AA878+AE878+AI878+AM878+AQ878+AU878+AY878+BC878</f>
        <v>0</v>
      </c>
      <c r="BG878" s="34">
        <f t="shared" si="3190"/>
        <v>0</v>
      </c>
      <c r="BH878" s="35">
        <f t="shared" si="3172"/>
        <v>2265</v>
      </c>
      <c r="BK878" s="2" t="b">
        <f>H878='2020'!BH878</f>
        <v>1</v>
      </c>
    </row>
    <row r="879" ht="14.25" customHeight="1" hidden="1" spans="1:63" x14ac:dyDescent="0.25">
      <c r="A879" s="2">
        <v>99</v>
      </c>
      <c r="B879" s="14"/>
      <c r="D879" s="14" t="s">
        <v>52</v>
      </c>
      <c r="E879" s="2" t="s">
        <v>39</v>
      </c>
      <c r="F879" s="41">
        <v>500</v>
      </c>
      <c r="G879" s="28"/>
      <c r="H879" s="34">
        <f>'2020'!BH879</f>
        <v>0</v>
      </c>
      <c r="I879" s="13"/>
      <c r="J879" s="15"/>
      <c r="K879" s="15"/>
      <c r="L879" s="28"/>
      <c r="M879" s="13"/>
      <c r="N879" s="15"/>
      <c r="Q879" s="13"/>
      <c r="R879" s="15"/>
      <c r="S879" s="15"/>
      <c r="T879" s="28"/>
      <c r="U879" s="13"/>
      <c r="V879" s="15"/>
      <c r="Y879" s="186"/>
      <c r="Z879" s="2"/>
      <c r="AA879" s="34">
        <f>$F$15</f>
      </c>
      <c r="AB879" s="35"/>
      <c r="AC879" s="15"/>
      <c r="AD879" s="15"/>
      <c r="AG879" s="15"/>
      <c r="AH879" s="2"/>
      <c r="AI879" s="45"/>
      <c r="AJ879" s="15"/>
      <c r="AK879" s="13"/>
      <c r="AL879" s="15"/>
      <c r="AM879" s="45"/>
      <c r="AN879" s="34"/>
      <c r="AO879" s="13"/>
      <c r="AP879" s="15"/>
      <c r="AQ879" s="45"/>
      <c r="AR879" s="15"/>
      <c r="AS879" s="13"/>
      <c r="AT879" s="15"/>
      <c r="AU879" s="45"/>
      <c r="AV879" s="15"/>
      <c r="AW879" s="13"/>
      <c r="AX879" s="15"/>
      <c r="AY879" s="45"/>
      <c r="AZ879" s="35"/>
      <c r="BA879" s="13"/>
      <c r="BB879" s="15"/>
      <c r="BC879" s="45"/>
      <c r="BD879" s="35"/>
      <c r="BE879" s="14"/>
      <c r="BF879" s="41">
        <f t="shared" ref="BF879:BG879" si="3191">K879+O879+S879+W879+AA879+AE879+AI879+AM879+AQ879+AU879+AY879+BC879</f>
        <v>0</v>
      </c>
      <c r="BG879" s="34">
        <f t="shared" si="3191"/>
        <v>0</v>
      </c>
      <c r="BH879" s="35">
        <f t="shared" si="3172"/>
        <v>0</v>
      </c>
      <c r="BK879" s="2" t="b">
        <f>H879='2020'!BH879</f>
        <v>1</v>
      </c>
    </row>
    <row r="880" ht="14.25" customHeight="1" hidden="1" spans="1:63" x14ac:dyDescent="0.25">
      <c r="A880" s="247">
        <v>99</v>
      </c>
      <c r="B880" s="21"/>
      <c r="C880" s="22" t="s">
        <v>53</v>
      </c>
      <c r="D880" s="21"/>
      <c r="E880" s="22"/>
      <c r="F880" s="20"/>
      <c r="G880" s="23"/>
      <c r="H880" s="51">
        <f>SUM(H872:H879)</f>
        <v>2196.26</v>
      </c>
      <c r="I880" s="52"/>
      <c r="J880" s="53"/>
      <c r="K880" s="51">
        <f t="shared" ref="K880:L880" si="3192">SUM(K872:K879)</f>
        <v>0</v>
      </c>
      <c r="L880" s="68">
        <f t="shared" si="3192"/>
        <v>0</v>
      </c>
      <c r="M880" s="52"/>
      <c r="N880" s="53"/>
      <c r="O880" s="51">
        <f t="shared" ref="O880:P880" si="3193">SUM(O872:O879)</f>
        <v>0</v>
      </c>
      <c r="P880" s="51">
        <f t="shared" si="3193"/>
        <v>0</v>
      </c>
      <c r="Q880" s="52"/>
      <c r="R880" s="53"/>
      <c r="S880" s="51">
        <f t="shared" ref="S880:T880" si="3194">SUM(S872:S879)</f>
        <v>0</v>
      </c>
      <c r="T880" s="51">
        <f t="shared" si="3194"/>
        <v>0</v>
      </c>
      <c r="U880" s="52"/>
      <c r="V880" s="53"/>
      <c r="W880" s="51">
        <f t="shared" ref="W880:X880" si="3195">SUM(W872:W879)</f>
        <v>0</v>
      </c>
      <c r="X880" s="51">
        <f t="shared" si="3195"/>
        <v>0</v>
      </c>
      <c r="Y880" s="300"/>
      <c r="Z880" s="301"/>
      <c r="AA880" s="51">
        <f t="shared" ref="AA880:AB880" si="3196">SUM(AA872:AA879)</f>
        <v>1576.26</v>
      </c>
      <c r="AB880" s="51">
        <f t="shared" si="3196"/>
        <v>0</v>
      </c>
      <c r="AC880" s="52"/>
      <c r="AD880" s="53"/>
      <c r="AE880" s="51">
        <f t="shared" ref="AE880:AF880" si="3197">SUM(AE872:AE879)</f>
        <v>4983</v>
      </c>
      <c r="AF880" s="51">
        <f t="shared" si="3197"/>
        <v>0</v>
      </c>
      <c r="AG880" s="52"/>
      <c r="AH880" s="301"/>
      <c r="AI880" s="183">
        <f t="shared" ref="AI880:AJ880" si="3198">SUM(AI872:AI879)</f>
        <v>89.1</v>
      </c>
      <c r="AJ880" s="51">
        <f t="shared" si="3198"/>
        <v>0</v>
      </c>
      <c r="AK880" s="52"/>
      <c r="AL880" s="53"/>
      <c r="AM880" s="183">
        <f t="shared" ref="AM880:AN880" si="3199">SUM(AM872:AM879)</f>
        <v>91.8</v>
      </c>
      <c r="AN880" s="51">
        <f t="shared" si="3199"/>
        <v>0</v>
      </c>
      <c r="AO880" s="52"/>
      <c r="AP880" s="53"/>
      <c r="AQ880" s="183">
        <f t="shared" ref="AQ880:AR880" si="3200">SUM(AQ872:AQ879)</f>
        <v>23.24</v>
      </c>
      <c r="AR880" s="51">
        <f t="shared" si="3200"/>
        <v>0</v>
      </c>
      <c r="AS880" s="52"/>
      <c r="AT880" s="53"/>
      <c r="AU880" s="183">
        <f t="shared" ref="AU880:AV880" si="3201">SUM(AU872:AU879)</f>
        <v>91.8</v>
      </c>
      <c r="AV880" s="68">
        <f t="shared" si="3201"/>
        <v>0</v>
      </c>
      <c r="AW880" s="52"/>
      <c r="AX880" s="53"/>
      <c r="AY880" s="183">
        <f t="shared" ref="AY880:AZ880" si="3202">SUM(AY872:AY879)</f>
        <v>0</v>
      </c>
      <c r="AZ880" s="68">
        <f t="shared" si="3202"/>
        <v>0</v>
      </c>
      <c r="BA880" s="52"/>
      <c r="BB880" s="53"/>
      <c r="BC880" s="183">
        <f t="shared" ref="BC880:BD880" si="3203">SUM(BC872:BC879)</f>
        <v>0</v>
      </c>
      <c r="BD880" s="68">
        <f t="shared" si="3203"/>
        <v>0</v>
      </c>
      <c r="BE880" s="69"/>
      <c r="BF880" s="70">
        <f t="shared" ref="BF880:BH880" si="3204">SUM(BF872:BF879)</f>
        <v>6855.2</v>
      </c>
      <c r="BG880" s="71">
        <f t="shared" si="3204"/>
        <v>0</v>
      </c>
      <c r="BH880" s="72">
        <f t="shared" si="3204"/>
        <v>9051.46</v>
      </c>
      <c r="BI880" s="34">
        <f>H880+BF880-BG880</f>
        <v>9051.46</v>
      </c>
      <c r="BJ880" s="34">
        <f>BH880-BI880</f>
        <v>0</v>
      </c>
      <c r="BK880" s="2" t="b">
        <f>H880='2020'!BH880</f>
        <v>1</v>
      </c>
    </row>
    <row r="881" ht="14.25" customHeight="1" hidden="1" spans="1:63" x14ac:dyDescent="0.25">
      <c r="A881" s="2">
        <v>101</v>
      </c>
      <c r="B881" s="14"/>
      <c r="D881" s="178" t="s">
        <v>486</v>
      </c>
      <c r="F881" s="13"/>
      <c r="G881" s="28"/>
      <c r="H881" s="34">
        <f>'2020'!BH881</f>
        <v>0</v>
      </c>
      <c r="I881" s="13"/>
      <c r="J881" s="15"/>
      <c r="K881" s="15"/>
      <c r="L881" s="28"/>
      <c r="M881" s="13"/>
      <c r="N881" s="15"/>
      <c r="Q881" s="13"/>
      <c r="R881" s="15"/>
      <c r="S881" s="15"/>
      <c r="T881" s="28"/>
      <c r="U881" s="13"/>
      <c r="V881" s="15"/>
      <c r="W881" s="153"/>
      <c r="Y881" s="186"/>
      <c r="Z881" s="2"/>
      <c r="AA881" s="15"/>
      <c r="AB881" s="28"/>
      <c r="AC881" s="15"/>
      <c r="AD881" s="15"/>
      <c r="AG881" s="15"/>
      <c r="AH881" s="2"/>
      <c r="AI881" s="45"/>
      <c r="AJ881" s="180"/>
      <c r="AK881" s="13"/>
      <c r="AM881" s="45"/>
      <c r="AO881" s="13"/>
      <c r="AQ881" s="45"/>
      <c r="AS881" s="13"/>
      <c r="AU881" s="45"/>
      <c r="AW881" s="13"/>
      <c r="AY881" s="45"/>
      <c r="AZ881" s="28"/>
      <c r="BA881" s="13"/>
      <c r="BB881" s="15"/>
      <c r="BC881" s="45"/>
      <c r="BD881" s="28"/>
      <c r="BE881" s="14"/>
      <c r="BF881" s="41">
        <f t="shared" ref="BF881:BG881" si="3205">K881+O881+S881+W881+AA881+AE881+AI881+AM881+AQ881+AU881+AY881+BC881</f>
        <v>0</v>
      </c>
      <c r="BG881" s="34">
        <f t="shared" si="3205"/>
        <v>0</v>
      </c>
      <c r="BH881" s="35">
        <f t="shared" ref="BH881:BH888" si="3206">H881+BF881-BG881</f>
        <v>0</v>
      </c>
      <c r="BK881" s="2" t="b">
        <f>H881='2020'!BH881</f>
        <v>1</v>
      </c>
    </row>
    <row r="882" ht="14.25" customHeight="1" hidden="1" spans="1:63" x14ac:dyDescent="0.25">
      <c r="A882" s="2">
        <v>101</v>
      </c>
      <c r="B882" s="14">
        <v>4.46</v>
      </c>
      <c r="C882" s="2" t="s">
        <v>321</v>
      </c>
      <c r="D882" s="14" t="s">
        <v>44</v>
      </c>
      <c r="E882" s="2" t="s">
        <v>45</v>
      </c>
      <c r="F882" s="41">
        <v>2.5</v>
      </c>
      <c r="G882" s="35">
        <v>2.6</v>
      </c>
      <c r="H882" s="34">
        <f>'2020'!BH882</f>
        <v>13</v>
      </c>
      <c r="I882" s="13">
        <v>175</v>
      </c>
      <c r="J882" s="15">
        <f>I882-'2020'!BA882</f>
        <v>0</v>
      </c>
      <c r="K882" s="34">
        <f>J882*$F$8</f>
        <v>0</v>
      </c>
      <c r="L882" s="28"/>
      <c r="M882" s="13">
        <v>175</v>
      </c>
      <c r="N882" s="15">
        <f t="shared" ref="N882:N883" si="3207">M882-I882</f>
        <v>0</v>
      </c>
      <c r="O882" s="34">
        <f>N882*$F$8</f>
        <v>0</v>
      </c>
      <c r="Q882" s="13">
        <v>175</v>
      </c>
      <c r="R882" s="15">
        <f t="shared" ref="R882:R883" si="3208">Q882-M882</f>
        <v>0</v>
      </c>
      <c r="S882" s="34">
        <f>R882*$F$8</f>
        <v>0</v>
      </c>
      <c r="T882" s="28"/>
      <c r="U882" s="13">
        <v>175</v>
      </c>
      <c r="V882" s="15">
        <f t="shared" ref="V882:V883" si="3209">U882-Q882</f>
        <v>0</v>
      </c>
      <c r="W882" s="34">
        <f>V882*$F$8</f>
        <v>0</v>
      </c>
      <c r="X882" s="15"/>
      <c r="Y882" s="186">
        <v>181</v>
      </c>
      <c r="Z882" s="2">
        <f t="shared" ref="Z882:Z883" si="3210">Y882-U882</f>
        <v>6</v>
      </c>
      <c r="AA882" s="34">
        <f>Z882*$F$8</f>
        <v>15.6</v>
      </c>
      <c r="AB882" s="28"/>
      <c r="AC882" s="15">
        <v>186</v>
      </c>
      <c r="AD882" s="15">
        <f t="shared" ref="AD882:AD883" si="3211">AC882-Y882</f>
        <v>5</v>
      </c>
      <c r="AE882" s="180">
        <f>AD882*$F$8</f>
        <v>13</v>
      </c>
      <c r="AF882" s="2"/>
      <c r="AG882" s="15">
        <v>188</v>
      </c>
      <c r="AH882" s="2">
        <f t="shared" ref="AH882:AH883" si="3212">AG882-AC882</f>
        <v>2</v>
      </c>
      <c r="AI882" s="45">
        <f>AH882*$G$8</f>
        <v>5.4</v>
      </c>
      <c r="AJ882" s="326">
        <v>47</v>
      </c>
      <c r="AK882" s="13">
        <v>191</v>
      </c>
      <c r="AL882" s="15">
        <f t="shared" ref="AL882:AL883" si="3213">AK882-AG882</f>
        <v>3</v>
      </c>
      <c r="AM882" s="45">
        <f>AL882*$G$8</f>
        <v>8.1</v>
      </c>
      <c r="AN882" s="326">
        <v>8.1</v>
      </c>
      <c r="AO882" s="13">
        <v>194</v>
      </c>
      <c r="AP882" s="15">
        <f t="shared" ref="AP882:AP883" si="3214">AO882-AK882</f>
        <v>3</v>
      </c>
      <c r="AQ882" s="45">
        <f>AP882*$G$8</f>
        <v>8.1</v>
      </c>
      <c r="AR882" s="15"/>
      <c r="AS882" s="13">
        <v>195</v>
      </c>
      <c r="AT882" s="15">
        <f t="shared" ref="AT882:AT883" si="3215">AS882-AO882</f>
        <v>1</v>
      </c>
      <c r="AU882" s="45">
        <f t="shared" ref="AU882:AU883" si="3216">AT882*$G$8</f>
        <v>2.7</v>
      </c>
      <c r="AV882" s="15"/>
      <c r="AW882" s="13">
        <v>195</v>
      </c>
      <c r="AX882" s="15">
        <f t="shared" ref="AX882:AX883" si="3217">AW882-AS882</f>
        <v>0</v>
      </c>
      <c r="AY882" s="45">
        <f>AX882*$G$8</f>
        <v>0</v>
      </c>
      <c r="AZ882" s="208"/>
      <c r="BA882" s="13">
        <v>195</v>
      </c>
      <c r="BB882" s="15">
        <f t="shared" ref="BB882:BB883" si="3218">BA882-AW882</f>
        <v>0</v>
      </c>
      <c r="BC882" s="45">
        <f>BB882*$G$8</f>
        <v>0</v>
      </c>
      <c r="BD882" s="208"/>
      <c r="BE882" s="40">
        <f t="shared" ref="BE882:BG882" si="3219">J882+N882+R882+V882+Z882+AD882+AH882+AL882+AP882+AT882+AX882+BB882</f>
        <v>20</v>
      </c>
      <c r="BF882" s="41">
        <f t="shared" si="3219"/>
        <v>52.9</v>
      </c>
      <c r="BG882" s="34">
        <f t="shared" si="3219"/>
        <v>55.1</v>
      </c>
      <c r="BH882" s="35">
        <f t="shared" si="3206"/>
        <v>10.8</v>
      </c>
      <c r="BK882" s="2" t="b">
        <f>H882='2020'!BH882</f>
        <v>1</v>
      </c>
    </row>
    <row r="883" ht="14.25" customHeight="1" hidden="1" spans="1:63" x14ac:dyDescent="0.25">
      <c r="A883" s="2">
        <v>101</v>
      </c>
      <c r="B883" s="14"/>
      <c r="C883" s="2" t="s">
        <v>71</v>
      </c>
      <c r="D883" s="14" t="s">
        <v>47</v>
      </c>
      <c r="E883" s="2" t="s">
        <v>48</v>
      </c>
      <c r="F883" s="13">
        <v>18.56</v>
      </c>
      <c r="G883" s="35">
        <v>19.46</v>
      </c>
      <c r="H883" s="90">
        <f>'2020'!BH883</f>
        <v>36.29</v>
      </c>
      <c r="I883" s="13">
        <v>641</v>
      </c>
      <c r="J883" s="15"/>
      <c r="K883" s="15"/>
      <c r="L883" s="28"/>
      <c r="M883" s="13">
        <v>641</v>
      </c>
      <c r="N883" s="15">
        <f t="shared" si="3207"/>
        <v>0</v>
      </c>
      <c r="Q883" s="13">
        <v>641</v>
      </c>
      <c r="R883" s="15">
        <f t="shared" si="3208"/>
        <v>0</v>
      </c>
      <c r="S883" s="15"/>
      <c r="T883" s="28"/>
      <c r="U883" s="13">
        <v>641</v>
      </c>
      <c r="V883" s="15">
        <f t="shared" si="3209"/>
        <v>0</v>
      </c>
      <c r="W883" s="180">
        <f>V883*$F$10</f>
        <v>0</v>
      </c>
      <c r="Y883" s="186">
        <f>88+556</f>
        <v>644</v>
      </c>
      <c r="Z883" s="2">
        <f t="shared" si="3210"/>
        <v>3</v>
      </c>
      <c r="AA883" s="34">
        <f>Z883*$F$10</f>
        <v>58.38</v>
      </c>
      <c r="AB883" s="28"/>
      <c r="AC883" s="13">
        <f>96+558</f>
        <v>654</v>
      </c>
      <c r="AD883" s="15">
        <f t="shared" si="3211"/>
        <v>10</v>
      </c>
      <c r="AE883" s="34">
        <f>AD883*$F$10</f>
        <v>194.6</v>
      </c>
      <c r="AF883" s="180"/>
      <c r="AG883" s="13">
        <f>104+559</f>
        <v>663</v>
      </c>
      <c r="AH883" s="2">
        <f t="shared" si="3212"/>
        <v>9</v>
      </c>
      <c r="AI883" s="45">
        <f>AH883*$G$10</f>
        <v>183.15</v>
      </c>
      <c r="AJ883" s="326">
        <v>472.42</v>
      </c>
      <c r="AK883" s="13">
        <f>559+116</f>
        <v>675</v>
      </c>
      <c r="AL883" s="15">
        <f t="shared" si="3213"/>
        <v>12</v>
      </c>
      <c r="AM883" s="45">
        <f>AL883*$G$10</f>
        <v>244.2</v>
      </c>
      <c r="AN883" s="326">
        <v>244.2</v>
      </c>
      <c r="AO883" s="13">
        <f>559+116</f>
        <v>675</v>
      </c>
      <c r="AP883" s="15">
        <f t="shared" si="3214"/>
        <v>0</v>
      </c>
      <c r="AQ883" s="45">
        <f>AP883*$G$10</f>
        <v>0</v>
      </c>
      <c r="AR883" s="15"/>
      <c r="AS883" s="13">
        <f>559+116</f>
        <v>675</v>
      </c>
      <c r="AT883" s="15">
        <f t="shared" si="3215"/>
        <v>0</v>
      </c>
      <c r="AU883" s="45">
        <f t="shared" si="3216"/>
        <v>0</v>
      </c>
      <c r="AV883" s="15"/>
      <c r="AW883" s="13">
        <f>559+116</f>
        <v>675</v>
      </c>
      <c r="AX883" s="15">
        <f t="shared" si="3217"/>
        <v>0</v>
      </c>
      <c r="AY883" s="45"/>
      <c r="AZ883" s="208"/>
      <c r="BA883" s="13">
        <f>559+116</f>
        <v>675</v>
      </c>
      <c r="BB883" s="15">
        <f t="shared" si="3218"/>
        <v>0</v>
      </c>
      <c r="BC883" s="45"/>
      <c r="BD883" s="208"/>
      <c r="BE883" s="40">
        <f t="shared" ref="BE883:BG883" si="3220">J883+N883+R883+V883+Z883+AD883+AH883+AL883+AP883+AT883+AX883+BB883</f>
        <v>34</v>
      </c>
      <c r="BF883" s="41">
        <f t="shared" si="3220"/>
        <v>680.33</v>
      </c>
      <c r="BG883" s="34">
        <f t="shared" si="3220"/>
        <v>716.62</v>
      </c>
      <c r="BH883" s="35">
        <f t="shared" si="3206"/>
        <v>0</v>
      </c>
      <c r="BK883" s="2" t="b">
        <f>H883='2020'!BH883</f>
        <v>1</v>
      </c>
    </row>
    <row r="884" ht="14.25" customHeight="1" hidden="1" spans="1:63" x14ac:dyDescent="0.25">
      <c r="A884" s="2">
        <v>101</v>
      </c>
      <c r="B884" s="14"/>
      <c r="C884" s="2" t="s">
        <v>102</v>
      </c>
      <c r="D884" s="14" t="s">
        <v>47</v>
      </c>
      <c r="E884" s="2" t="s">
        <v>49</v>
      </c>
      <c r="F884" s="41">
        <v>500</v>
      </c>
      <c r="G884" s="28"/>
      <c r="H884" s="34">
        <f>'2020'!BH884</f>
        <v>0</v>
      </c>
      <c r="I884" s="13"/>
      <c r="J884" s="15"/>
      <c r="K884" s="15"/>
      <c r="L884" s="28"/>
      <c r="M884" s="13"/>
      <c r="N884" s="15"/>
      <c r="Q884" s="13"/>
      <c r="R884" s="15"/>
      <c r="S884" s="15"/>
      <c r="T884" s="28"/>
      <c r="U884" s="13"/>
      <c r="V884" s="15"/>
      <c r="Y884" s="186"/>
      <c r="Z884" s="2"/>
      <c r="AA884" s="15"/>
      <c r="AB884" s="28"/>
      <c r="AC884" s="15"/>
      <c r="AD884" s="15"/>
      <c r="AG884" s="15"/>
      <c r="AH884" s="2"/>
      <c r="AI884" s="45"/>
      <c r="AJ884" s="182"/>
      <c r="AK884" s="13"/>
      <c r="AL884" s="15"/>
      <c r="AM884" s="45"/>
      <c r="AN884" s="15"/>
      <c r="AO884" s="13"/>
      <c r="AP884" s="15"/>
      <c r="AQ884" s="45"/>
      <c r="AR884" s="15"/>
      <c r="AS884" s="13"/>
      <c r="AT884" s="15"/>
      <c r="AU884" s="45"/>
      <c r="AV884" s="15"/>
      <c r="AW884" s="13"/>
      <c r="AX884" s="15"/>
      <c r="AY884" s="45"/>
      <c r="AZ884" s="28"/>
      <c r="BA884" s="13"/>
      <c r="BB884" s="15"/>
      <c r="BC884" s="45"/>
      <c r="BD884" s="28"/>
      <c r="BE884" s="14"/>
      <c r="BF884" s="41">
        <f t="shared" ref="BF884:BG884" si="3221">K884+O884+S884+W884+AA884+AE884+AI884+AM884+AQ884+AU884+AY884+BC884</f>
        <v>0</v>
      </c>
      <c r="BG884" s="34">
        <f t="shared" si="3221"/>
        <v>0</v>
      </c>
      <c r="BH884" s="35">
        <f t="shared" si="3206"/>
        <v>0</v>
      </c>
      <c r="BK884" s="2" t="b">
        <f>H884='2020'!BH884</f>
        <v>1</v>
      </c>
    </row>
    <row r="885" ht="14.25" customHeight="1" hidden="1" spans="1:63" x14ac:dyDescent="0.25">
      <c r="A885" s="2">
        <v>101</v>
      </c>
      <c r="B885" s="14"/>
      <c r="C885" s="15" t="s">
        <v>446</v>
      </c>
      <c r="D885" s="14" t="s">
        <v>50</v>
      </c>
      <c r="E885" s="2" t="s">
        <v>49</v>
      </c>
      <c r="F885" s="41">
        <v>1100</v>
      </c>
      <c r="G885" s="28"/>
      <c r="H885" s="34">
        <f>'2020'!BH885</f>
        <v>0</v>
      </c>
      <c r="I885" s="13"/>
      <c r="J885" s="15"/>
      <c r="K885" s="15"/>
      <c r="L885" s="28"/>
      <c r="M885" s="13"/>
      <c r="N885" s="15"/>
      <c r="Q885" s="13"/>
      <c r="R885" s="15"/>
      <c r="S885" s="15"/>
      <c r="T885" s="28"/>
      <c r="U885" s="13"/>
      <c r="V885" s="15"/>
      <c r="Y885" s="186"/>
      <c r="Z885" s="2"/>
      <c r="AA885" s="15"/>
      <c r="AB885" s="28"/>
      <c r="AC885" s="15"/>
      <c r="AD885" s="15"/>
      <c r="AE885" s="34">
        <f>B882*$F$12</f>
        <v>4906</v>
      </c>
      <c r="AF885" s="180"/>
      <c r="AG885" s="15"/>
      <c r="AH885" s="2"/>
      <c r="AI885" s="45"/>
      <c r="AJ885" s="326">
        <v>4906</v>
      </c>
      <c r="AK885" s="13"/>
      <c r="AL885" s="15"/>
      <c r="AM885" s="45"/>
      <c r="AN885" s="15"/>
      <c r="AO885" s="13"/>
      <c r="AP885" s="15"/>
      <c r="AQ885" s="45"/>
      <c r="AR885" s="15"/>
      <c r="AS885" s="13"/>
      <c r="AT885" s="15"/>
      <c r="AU885" s="45"/>
      <c r="AV885" s="15"/>
      <c r="AW885" s="13"/>
      <c r="AX885" s="15"/>
      <c r="AY885" s="45"/>
      <c r="AZ885" s="28"/>
      <c r="BA885" s="13"/>
      <c r="BB885" s="15"/>
      <c r="BC885" s="45"/>
      <c r="BD885" s="28"/>
      <c r="BE885" s="14"/>
      <c r="BF885" s="41">
        <f t="shared" ref="BF885:BG885" si="3222">K885+O885+S885+W885+AA885+AE885+AI885+AM885+AQ885+AU885+AY885+BC885</f>
        <v>4906</v>
      </c>
      <c r="BG885" s="34">
        <f t="shared" si="3222"/>
        <v>4906</v>
      </c>
      <c r="BH885" s="35">
        <f t="shared" si="3206"/>
        <v>0</v>
      </c>
      <c r="BK885" s="2" t="b">
        <f>H885='2020'!BH885</f>
        <v>1</v>
      </c>
    </row>
    <row r="886" ht="14.25" customHeight="1" hidden="1" spans="1:63" x14ac:dyDescent="0.25">
      <c r="A886" s="2">
        <v>101</v>
      </c>
      <c r="B886" s="14"/>
      <c r="D886" s="14" t="s">
        <v>51</v>
      </c>
      <c r="E886" s="2" t="s">
        <v>39</v>
      </c>
      <c r="F886" s="41">
        <v>500</v>
      </c>
      <c r="G886" s="28"/>
      <c r="H886" s="34">
        <f>'2020'!BH886</f>
        <v>500</v>
      </c>
      <c r="I886" s="13"/>
      <c r="J886" s="15"/>
      <c r="K886" s="15"/>
      <c r="L886" s="28"/>
      <c r="M886" s="13"/>
      <c r="N886" s="15"/>
      <c r="Q886" s="13"/>
      <c r="R886" s="15"/>
      <c r="S886" s="15"/>
      <c r="T886" s="28"/>
      <c r="U886" s="13"/>
      <c r="V886" s="15"/>
      <c r="Y886" s="186"/>
      <c r="Z886" s="2"/>
      <c r="AA886" s="15"/>
      <c r="AB886" s="28"/>
      <c r="AC886" s="15"/>
      <c r="AD886" s="15"/>
      <c r="AE886" s="180">
        <f>$F$13</f>
      </c>
      <c r="AG886" s="15"/>
      <c r="AH886" s="2"/>
      <c r="AI886" s="45"/>
      <c r="AJ886" s="326">
        <v>500</v>
      </c>
      <c r="AK886" s="13"/>
      <c r="AL886" s="15"/>
      <c r="AM886" s="45"/>
      <c r="AN886" s="15"/>
      <c r="AO886" s="13"/>
      <c r="AP886" s="15"/>
      <c r="AQ886" s="180"/>
      <c r="AR886" s="15"/>
      <c r="AS886" s="13"/>
      <c r="AT886" s="15"/>
      <c r="AU886" s="45"/>
      <c r="AV886" s="15"/>
      <c r="AW886" s="13"/>
      <c r="AX886" s="15"/>
      <c r="AY886" s="45"/>
      <c r="AZ886" s="28"/>
      <c r="BA886" s="13"/>
      <c r="BB886" s="15"/>
      <c r="BC886" s="45"/>
      <c r="BD886" s="28"/>
      <c r="BE886" s="14"/>
      <c r="BF886" s="41">
        <f t="shared" ref="BF886:BG886" si="3223">K886+O886+S886+W886+AA886+AE886+AI886+AM886+AQ886+AU886+AY886+BC886</f>
        <v>0</v>
      </c>
      <c r="BG886" s="34">
        <f t="shared" si="3223"/>
        <v>500</v>
      </c>
      <c r="BH886" s="35">
        <f t="shared" si="3206"/>
        <v>0</v>
      </c>
      <c r="BK886" s="2" t="b">
        <f>H886='2020'!BH886</f>
        <v>1</v>
      </c>
    </row>
    <row r="887" ht="14.25" customHeight="1" hidden="1" spans="1:63" x14ac:dyDescent="0.25">
      <c r="A887" s="2">
        <v>101</v>
      </c>
      <c r="B887" s="14"/>
      <c r="D887" s="14" t="s">
        <v>51</v>
      </c>
      <c r="E887" s="2" t="s">
        <v>49</v>
      </c>
      <c r="F887" s="41">
        <v>500</v>
      </c>
      <c r="G887" s="28"/>
      <c r="H887" s="34">
        <f>'2020'!BH887</f>
        <v>2230</v>
      </c>
      <c r="I887" s="13"/>
      <c r="J887" s="15"/>
      <c r="K887" s="15"/>
      <c r="L887" s="28"/>
      <c r="M887" s="13"/>
      <c r="N887" s="15"/>
      <c r="Q887" s="13"/>
      <c r="R887" s="15"/>
      <c r="S887" s="15"/>
      <c r="T887" s="28"/>
      <c r="U887" s="13"/>
      <c r="V887" s="15"/>
      <c r="Y887" s="186"/>
      <c r="Z887" s="2"/>
      <c r="AA887" s="15"/>
      <c r="AB887" s="28"/>
      <c r="AC887" s="15"/>
      <c r="AD887" s="15"/>
      <c r="AE887" s="34"/>
      <c r="AG887" s="15"/>
      <c r="AH887" s="2"/>
      <c r="AI887" s="45"/>
      <c r="AJ887" s="326">
        <v>2230</v>
      </c>
      <c r="AK887" s="13"/>
      <c r="AL887" s="15"/>
      <c r="AM887" s="45"/>
      <c r="AN887" s="15"/>
      <c r="AO887" s="13"/>
      <c r="AP887" s="15"/>
      <c r="AQ887" s="180">
        <f>B882*$F$14</f>
        <v>0</v>
      </c>
      <c r="AR887" s="15"/>
      <c r="AS887" s="13"/>
      <c r="AT887" s="15"/>
      <c r="AU887" s="45"/>
      <c r="AV887" s="15"/>
      <c r="AW887" s="13"/>
      <c r="AX887" s="15"/>
      <c r="AY887" s="45"/>
      <c r="AZ887" s="28"/>
      <c r="BA887" s="13"/>
      <c r="BB887" s="15"/>
      <c r="BC887" s="45"/>
      <c r="BD887" s="28"/>
      <c r="BE887" s="14"/>
      <c r="BF887" s="41">
        <f t="shared" ref="BF887:BG887" si="3224">K887+O887+S887+W887+AA887+AE887+AI887+AM887+AQ887+AU887+AY887+BC887</f>
        <v>0</v>
      </c>
      <c r="BG887" s="34">
        <f t="shared" si="3224"/>
        <v>2230</v>
      </c>
      <c r="BH887" s="35">
        <f t="shared" si="3206"/>
        <v>0</v>
      </c>
      <c r="BK887" s="2" t="b">
        <f>H887='2020'!BH887</f>
        <v>1</v>
      </c>
    </row>
    <row r="888" ht="14.25" customHeight="1" hidden="1" spans="1:63" x14ac:dyDescent="0.25">
      <c r="A888" s="2">
        <v>101</v>
      </c>
      <c r="B888" s="14"/>
      <c r="D888" s="14" t="s">
        <v>52</v>
      </c>
      <c r="E888" s="2" t="s">
        <v>39</v>
      </c>
      <c r="F888" s="41">
        <v>500</v>
      </c>
      <c r="G888" s="28"/>
      <c r="H888" s="34">
        <f>'2020'!BH888</f>
        <v>0</v>
      </c>
      <c r="I888" s="13"/>
      <c r="J888" s="15"/>
      <c r="K888" s="15"/>
      <c r="L888" s="28"/>
      <c r="M888" s="13"/>
      <c r="N888" s="15"/>
      <c r="Q888" s="13"/>
      <c r="R888" s="15"/>
      <c r="S888" s="15"/>
      <c r="T888" s="28"/>
      <c r="U888" s="13"/>
      <c r="V888" s="15"/>
      <c r="Y888" s="186"/>
      <c r="Z888" s="2"/>
      <c r="AA888" s="34">
        <f>$F$15</f>
      </c>
      <c r="AB888" s="35"/>
      <c r="AC888" s="15"/>
      <c r="AD888" s="15"/>
      <c r="AF888" s="180"/>
      <c r="AG888" s="15"/>
      <c r="AH888" s="2"/>
      <c r="AI888" s="45"/>
      <c r="AJ888" s="180"/>
      <c r="AK888" s="13"/>
      <c r="AL888" s="15"/>
      <c r="AM888" s="45"/>
      <c r="AN888" s="15"/>
      <c r="AO888" s="13"/>
      <c r="AP888" s="15"/>
      <c r="AQ888" s="45"/>
      <c r="AR888" s="15"/>
      <c r="AS888" s="13"/>
      <c r="AT888" s="15"/>
      <c r="AU888" s="45"/>
      <c r="AV888" s="15"/>
      <c r="AW888" s="13"/>
      <c r="AX888" s="15"/>
      <c r="AY888" s="45"/>
      <c r="AZ888" s="35"/>
      <c r="BA888" s="13"/>
      <c r="BB888" s="15"/>
      <c r="BC888" s="45"/>
      <c r="BD888" s="35"/>
      <c r="BE888" s="14"/>
      <c r="BF888" s="41">
        <f t="shared" ref="BF888:BG888" si="3225">K888+O888+S888+W888+AA888+AE888+AI888+AM888+AQ888+AU888+AY888+BC888</f>
        <v>0</v>
      </c>
      <c r="BG888" s="34">
        <f t="shared" si="3225"/>
        <v>0</v>
      </c>
      <c r="BH888" s="35">
        <f t="shared" si="3206"/>
        <v>0</v>
      </c>
      <c r="BK888" s="2" t="b">
        <f>H888='2020'!BH888</f>
        <v>1</v>
      </c>
    </row>
    <row r="889" ht="14.25" customHeight="1" hidden="1" spans="1:63" x14ac:dyDescent="0.25">
      <c r="A889" s="247">
        <v>101</v>
      </c>
      <c r="B889" s="21"/>
      <c r="C889" s="22" t="s">
        <v>53</v>
      </c>
      <c r="D889" s="21"/>
      <c r="E889" s="22"/>
      <c r="F889" s="20"/>
      <c r="G889" s="23"/>
      <c r="H889" s="51">
        <f>SUM(H881:H888)</f>
        <v>2779.29</v>
      </c>
      <c r="I889" s="52"/>
      <c r="J889" s="53"/>
      <c r="K889" s="51">
        <f t="shared" ref="K889:L889" si="3226">SUM(K881:K888)</f>
        <v>0</v>
      </c>
      <c r="L889" s="68">
        <f t="shared" si="3226"/>
        <v>0</v>
      </c>
      <c r="M889" s="52"/>
      <c r="N889" s="53"/>
      <c r="O889" s="51">
        <f t="shared" ref="O889:P889" si="3227">SUM(O881:O888)</f>
        <v>0</v>
      </c>
      <c r="P889" s="51">
        <f t="shared" si="3227"/>
        <v>0</v>
      </c>
      <c r="Q889" s="52"/>
      <c r="R889" s="53"/>
      <c r="S889" s="51">
        <f t="shared" ref="S889:T889" si="3228">SUM(S881:S888)</f>
        <v>0</v>
      </c>
      <c r="T889" s="51">
        <f t="shared" si="3228"/>
        <v>0</v>
      </c>
      <c r="U889" s="52"/>
      <c r="V889" s="53"/>
      <c r="W889" s="51">
        <f t="shared" ref="W889:X889" si="3229">SUM(W881:W888)</f>
        <v>0</v>
      </c>
      <c r="X889" s="51">
        <f t="shared" si="3229"/>
        <v>0</v>
      </c>
      <c r="Y889" s="300"/>
      <c r="Z889" s="301"/>
      <c r="AA889" s="51">
        <f t="shared" ref="AA889:AB889" si="3230">SUM(AA881:AA888)</f>
        <v>73.98</v>
      </c>
      <c r="AB889" s="51">
        <f t="shared" si="3230"/>
        <v>0</v>
      </c>
      <c r="AC889" s="52"/>
      <c r="AD889" s="53"/>
      <c r="AE889" s="51">
        <f t="shared" ref="AE889:AF889" si="3231">SUM(AE881:AE888)</f>
        <v>5113.6</v>
      </c>
      <c r="AF889" s="51">
        <f t="shared" si="3231"/>
        <v>0</v>
      </c>
      <c r="AG889" s="52"/>
      <c r="AH889" s="301"/>
      <c r="AI889" s="183">
        <f t="shared" ref="AI889:AJ889" si="3232">SUM(AI881:AI888)</f>
        <v>188.55</v>
      </c>
      <c r="AJ889" s="51">
        <f t="shared" si="3232"/>
        <v>8155.42</v>
      </c>
      <c r="AK889" s="52"/>
      <c r="AL889" s="53"/>
      <c r="AM889" s="183">
        <f t="shared" ref="AM889:AN889" si="3233">SUM(AM881:AM888)</f>
        <v>252.3</v>
      </c>
      <c r="AN889" s="51">
        <f t="shared" si="3233"/>
        <v>252.3</v>
      </c>
      <c r="AO889" s="52"/>
      <c r="AP889" s="53"/>
      <c r="AQ889" s="183">
        <f t="shared" ref="AQ889:AR889" si="3234">SUM(AQ881:AQ888)</f>
        <v>8.1</v>
      </c>
      <c r="AR889" s="51">
        <f t="shared" si="3234"/>
        <v>0</v>
      </c>
      <c r="AS889" s="52"/>
      <c r="AT889" s="53"/>
      <c r="AU889" s="183">
        <f t="shared" ref="AU889:AV889" si="3235">SUM(AU881:AU888)</f>
        <v>2.7</v>
      </c>
      <c r="AV889" s="68">
        <f t="shared" si="3235"/>
        <v>0</v>
      </c>
      <c r="AW889" s="52"/>
      <c r="AX889" s="53"/>
      <c r="AY889" s="183">
        <f t="shared" ref="AY889:AZ889" si="3236">SUM(AY881:AY888)</f>
        <v>0</v>
      </c>
      <c r="AZ889" s="68">
        <f t="shared" si="3236"/>
        <v>0</v>
      </c>
      <c r="BA889" s="52"/>
      <c r="BB889" s="53"/>
      <c r="BC889" s="183">
        <f t="shared" ref="BC889:BD889" si="3237">SUM(BC881:BC888)</f>
        <v>0</v>
      </c>
      <c r="BD889" s="68">
        <f t="shared" si="3237"/>
        <v>0</v>
      </c>
      <c r="BE889" s="69"/>
      <c r="BF889" s="70">
        <f t="shared" ref="BF889:BH889" si="3238">SUM(BF881:BF888)</f>
        <v>5639.23</v>
      </c>
      <c r="BG889" s="71">
        <f t="shared" si="3238"/>
        <v>8407.72</v>
      </c>
      <c r="BH889" s="72">
        <f t="shared" si="3238"/>
        <v>10.8</v>
      </c>
      <c r="BI889" s="34">
        <f>H889+BF889-BG889</f>
        <v>10.8</v>
      </c>
      <c r="BJ889" s="34">
        <f>BH889-BI889</f>
        <v>0</v>
      </c>
      <c r="BK889" s="2" t="b">
        <f>H889='2020'!BH889</f>
        <v>1</v>
      </c>
    </row>
    <row r="890" ht="14.25" customHeight="1" hidden="1" spans="1:63" x14ac:dyDescent="0.25">
      <c r="A890" s="2">
        <v>103</v>
      </c>
      <c r="B890" s="14"/>
      <c r="D890" s="14" t="s">
        <v>379</v>
      </c>
      <c r="F890" s="13"/>
      <c r="G890" s="28"/>
      <c r="H890" s="34">
        <f>'2020'!BH890</f>
        <v>59.32</v>
      </c>
      <c r="I890" s="13"/>
      <c r="J890" s="15"/>
      <c r="K890" s="15">
        <v>8.75</v>
      </c>
      <c r="L890" s="32">
        <v>29.89</v>
      </c>
      <c r="M890" s="13"/>
      <c r="N890" s="15"/>
      <c r="Q890" s="13"/>
      <c r="R890" s="15"/>
      <c r="S890" s="15"/>
      <c r="T890" s="28"/>
      <c r="U890" s="13"/>
      <c r="V890" s="15"/>
      <c r="Y890" s="186"/>
      <c r="Z890" s="2"/>
      <c r="AA890" s="15"/>
      <c r="AB890" s="28"/>
      <c r="AC890" s="15"/>
      <c r="AD890" s="15"/>
      <c r="AG890" s="15"/>
      <c r="AH890" s="2"/>
      <c r="AI890" s="45"/>
      <c r="AJ890" s="306">
        <v>38.18</v>
      </c>
      <c r="AK890" s="13"/>
      <c r="AM890" s="45"/>
      <c r="AO890" s="13"/>
      <c r="AQ890" s="180"/>
      <c r="AS890" s="13"/>
      <c r="AU890" s="180"/>
      <c r="AW890" s="13"/>
      <c r="AY890" s="180"/>
      <c r="AZ890" s="28"/>
      <c r="BA890" s="13"/>
      <c r="BB890" s="15"/>
      <c r="BC890" s="180"/>
      <c r="BD890" s="28"/>
      <c r="BE890" s="14"/>
      <c r="BF890" s="41">
        <f t="shared" ref="BF890:BG890" si="3239">K890+O890+S890+W890+AA890+AE890+AI890+AM890+AQ890+AU890+AY890+BC890</f>
        <v>8.75</v>
      </c>
      <c r="BG890" s="34">
        <f t="shared" si="3239"/>
        <v>68.07</v>
      </c>
      <c r="BH890" s="35">
        <f t="shared" ref="BH890:BH897" si="3240">H890+BF890-BG890</f>
        <v>0</v>
      </c>
      <c r="BK890" s="2" t="b">
        <f>H890='2020'!BH890</f>
        <v>1</v>
      </c>
    </row>
    <row r="891" ht="14.25" customHeight="1" hidden="1" spans="1:63" x14ac:dyDescent="0.25">
      <c r="A891" s="2">
        <v>103</v>
      </c>
      <c r="B891" s="14">
        <v>4.42</v>
      </c>
      <c r="C891" s="15" t="s">
        <v>322</v>
      </c>
      <c r="D891" s="14" t="s">
        <v>44</v>
      </c>
      <c r="E891" s="2" t="s">
        <v>45</v>
      </c>
      <c r="F891" s="41">
        <v>2.5</v>
      </c>
      <c r="G891" s="35">
        <v>2.6</v>
      </c>
      <c r="H891" s="104">
        <f>'2020'!BH891</f>
        <v>0</v>
      </c>
      <c r="I891" s="13">
        <v>0</v>
      </c>
      <c r="J891" s="15">
        <f>I891-'2020'!BA891</f>
        <v>0</v>
      </c>
      <c r="K891" s="34">
        <f>J891*$F$8</f>
        <v>0</v>
      </c>
      <c r="L891" s="32"/>
      <c r="M891" s="13">
        <v>0</v>
      </c>
      <c r="N891" s="15">
        <f t="shared" ref="N891:N892" si="3241">M891-I891</f>
        <v>0</v>
      </c>
      <c r="O891" s="34">
        <f>N891*$F$8</f>
        <v>0</v>
      </c>
      <c r="Q891" s="13">
        <v>0</v>
      </c>
      <c r="R891" s="15">
        <f t="shared" ref="R891:R892" si="3242">Q891-M891</f>
        <v>0</v>
      </c>
      <c r="S891" s="34">
        <f>R891*$F$8</f>
        <v>0</v>
      </c>
      <c r="T891" s="28"/>
      <c r="U891" s="13">
        <v>0</v>
      </c>
      <c r="V891" s="15">
        <f t="shared" ref="V891:V892" si="3243">U891-Q891</f>
        <v>0</v>
      </c>
      <c r="W891" s="34">
        <f>V891*$F$8</f>
        <v>0</v>
      </c>
      <c r="Y891" s="186"/>
      <c r="Z891" s="2">
        <f t="shared" ref="Z891:Z892" si="3244">Y891-U891</f>
        <v>0</v>
      </c>
      <c r="AA891" s="34">
        <f>Z891*$F$8</f>
        <v>0</v>
      </c>
      <c r="AB891" s="28"/>
      <c r="AC891" s="15"/>
      <c r="AD891" s="15">
        <f t="shared" ref="AD891:AD892" si="3245">AC891-Y891</f>
        <v>0</v>
      </c>
      <c r="AE891" s="180">
        <f>AD891*$F$8</f>
        <v>0</v>
      </c>
      <c r="AG891" s="15"/>
      <c r="AH891" s="2">
        <f t="shared" ref="AH891:AH892" si="3246">AG891-AC891</f>
        <v>0</v>
      </c>
      <c r="AI891" s="45">
        <f>AH891*$G$8</f>
        <v>0</v>
      </c>
      <c r="AJ891" s="154"/>
      <c r="AK891" s="13">
        <v>3</v>
      </c>
      <c r="AL891" s="15">
        <f t="shared" ref="AL891:AL892" si="3247">AK891-AG891</f>
        <v>3</v>
      </c>
      <c r="AM891" s="45">
        <f>AL891*$G$8</f>
        <v>8.1</v>
      </c>
      <c r="AN891" s="15"/>
      <c r="AO891" s="13">
        <v>3</v>
      </c>
      <c r="AP891" s="15">
        <f t="shared" ref="AP891:AP892" si="3248">AO891-AK891</f>
        <v>0</v>
      </c>
      <c r="AQ891" s="45">
        <f>AP891*$G$8</f>
        <v>0</v>
      </c>
      <c r="AR891" s="15"/>
      <c r="AS891" s="13">
        <v>3</v>
      </c>
      <c r="AT891" s="15">
        <f t="shared" ref="AT891:AT892" si="3249">AS891-AO891</f>
        <v>0</v>
      </c>
      <c r="AU891" s="45">
        <f>AT891*$G$8</f>
        <v>0</v>
      </c>
      <c r="AV891" s="15"/>
      <c r="AW891" s="13">
        <v>3</v>
      </c>
      <c r="AX891" s="15">
        <f t="shared" ref="AX891:AX892" si="3250">AW891-AS891</f>
        <v>0</v>
      </c>
      <c r="AY891" s="45">
        <f>AX891*$G$8</f>
        <v>0</v>
      </c>
      <c r="AZ891" s="208"/>
      <c r="BA891" s="13">
        <v>3</v>
      </c>
      <c r="BB891" s="15">
        <f t="shared" ref="BB891:BB892" si="3251">BA891-AW891</f>
        <v>0</v>
      </c>
      <c r="BC891" s="45">
        <f>BB891*$G$8</f>
        <v>0</v>
      </c>
      <c r="BD891" s="208"/>
      <c r="BE891" s="40">
        <f t="shared" ref="BE891:BG891" si="3252">J891+N891+R891+V891+Z891+AD891+AH891+AL891+AP891+AT891+AX891+BB891</f>
        <v>3</v>
      </c>
      <c r="BF891" s="41">
        <f t="shared" si="3252"/>
        <v>8.1</v>
      </c>
      <c r="BG891" s="34">
        <f t="shared" si="3252"/>
        <v>0</v>
      </c>
      <c r="BH891" s="35">
        <f t="shared" si="3240"/>
        <v>8.1</v>
      </c>
      <c r="BK891" s="2" t="b">
        <f>H891='2020'!BH891</f>
        <v>1</v>
      </c>
    </row>
    <row r="892" ht="14.25" customHeight="1" hidden="1" spans="1:63" x14ac:dyDescent="0.25">
      <c r="A892" s="2">
        <v>103</v>
      </c>
      <c r="B892" s="14"/>
      <c r="C892" s="15" t="s">
        <v>93</v>
      </c>
      <c r="D892" s="14" t="s">
        <v>47</v>
      </c>
      <c r="E892" s="2" t="s">
        <v>48</v>
      </c>
      <c r="F892" s="13">
        <v>18.56</v>
      </c>
      <c r="G892" s="35">
        <v>19.46</v>
      </c>
      <c r="H892" s="34">
        <f>'2020'!BH892</f>
        <v>120.11</v>
      </c>
      <c r="I892" s="13">
        <v>26</v>
      </c>
      <c r="J892" s="15"/>
      <c r="K892" s="15"/>
      <c r="L892" s="32">
        <v>120.11</v>
      </c>
      <c r="M892" s="13">
        <v>26</v>
      </c>
      <c r="N892" s="15">
        <f t="shared" si="3241"/>
        <v>0</v>
      </c>
      <c r="Q892" s="13">
        <v>26</v>
      </c>
      <c r="R892" s="15">
        <f t="shared" si="3242"/>
        <v>0</v>
      </c>
      <c r="S892" s="15"/>
      <c r="T892" s="28"/>
      <c r="U892" s="13">
        <v>26</v>
      </c>
      <c r="V892" s="15">
        <f t="shared" si="3243"/>
        <v>0</v>
      </c>
      <c r="W892" s="34">
        <f>V892*$F$10</f>
        <v>0</v>
      </c>
      <c r="Y892" s="186">
        <v>28</v>
      </c>
      <c r="Z892" s="2">
        <f t="shared" si="3244"/>
        <v>2</v>
      </c>
      <c r="AA892" s="34">
        <f>Z892*$F$10</f>
        <v>38.92</v>
      </c>
      <c r="AB892" s="28"/>
      <c r="AC892" s="15">
        <v>32</v>
      </c>
      <c r="AD892" s="15">
        <f t="shared" si="3245"/>
        <v>4</v>
      </c>
      <c r="AE892" s="34">
        <f>AD892*$F$10</f>
        <v>77.84</v>
      </c>
      <c r="AG892" s="15">
        <v>34</v>
      </c>
      <c r="AH892" s="2">
        <f t="shared" si="3246"/>
        <v>2</v>
      </c>
      <c r="AI892" s="45">
        <f>AH892*$G$10</f>
        <v>40.7</v>
      </c>
      <c r="AJ892" s="306">
        <v>157.46</v>
      </c>
      <c r="AK892" s="13">
        <v>34</v>
      </c>
      <c r="AL892" s="15">
        <f t="shared" si="3247"/>
        <v>0</v>
      </c>
      <c r="AM892" s="45">
        <f>AL892*$G$10</f>
        <v>0</v>
      </c>
      <c r="AN892" s="15"/>
      <c r="AO892" s="13">
        <v>36</v>
      </c>
      <c r="AP892" s="15">
        <f t="shared" si="3248"/>
        <v>2</v>
      </c>
      <c r="AQ892" s="45">
        <f>AP892*$G$10</f>
        <v>40.7</v>
      </c>
      <c r="AR892" s="15"/>
      <c r="AS892" s="13">
        <v>36</v>
      </c>
      <c r="AT892" s="15">
        <f t="shared" si="3249"/>
        <v>0</v>
      </c>
      <c r="AU892" s="45">
        <f>AT892*$G$10</f>
        <v>0</v>
      </c>
      <c r="AV892" s="15"/>
      <c r="AW892" s="13">
        <v>36</v>
      </c>
      <c r="AX892" s="15">
        <f t="shared" si="3250"/>
        <v>0</v>
      </c>
      <c r="AY892" s="45"/>
      <c r="AZ892" s="208"/>
      <c r="BA892" s="13">
        <v>36</v>
      </c>
      <c r="BB892" s="15">
        <f t="shared" si="3251"/>
        <v>0</v>
      </c>
      <c r="BC892" s="45"/>
      <c r="BD892" s="208"/>
      <c r="BE892" s="40">
        <f t="shared" ref="BE892:BG892" si="3253">J892+N892+R892+V892+Z892+AD892+AH892+AL892+AP892+AT892+AX892+BB892</f>
        <v>10</v>
      </c>
      <c r="BF892" s="41">
        <f t="shared" si="3253"/>
        <v>198.16</v>
      </c>
      <c r="BG892" s="34">
        <f t="shared" si="3253"/>
        <v>277.57</v>
      </c>
      <c r="BH892" s="35">
        <f t="shared" si="3240"/>
        <v>40.7</v>
      </c>
      <c r="BK892" s="2" t="b">
        <f>H892='2020'!BH892</f>
        <v>1</v>
      </c>
    </row>
    <row r="893" ht="14.25" customHeight="1" hidden="1" spans="1:63" x14ac:dyDescent="0.25">
      <c r="A893" s="2">
        <v>103</v>
      </c>
      <c r="B893" s="14"/>
      <c r="C893" s="15" t="s">
        <v>84</v>
      </c>
      <c r="D893" s="14" t="s">
        <v>47</v>
      </c>
      <c r="E893" s="2" t="s">
        <v>49</v>
      </c>
      <c r="F893" s="41">
        <v>500</v>
      </c>
      <c r="G893" s="28"/>
      <c r="H893" s="34">
        <f>'2020'!BH893</f>
        <v>0</v>
      </c>
      <c r="I893" s="13"/>
      <c r="J893" s="15"/>
      <c r="K893" s="15"/>
      <c r="L893" s="32"/>
      <c r="M893" s="13"/>
      <c r="N893" s="15"/>
      <c r="Q893" s="13"/>
      <c r="R893" s="15"/>
      <c r="S893" s="15"/>
      <c r="T893" s="28"/>
      <c r="U893" s="13"/>
      <c r="V893" s="15"/>
      <c r="Y893" s="186"/>
      <c r="Z893" s="2"/>
      <c r="AA893" s="15"/>
      <c r="AB893" s="28"/>
      <c r="AC893" s="15"/>
      <c r="AD893" s="15"/>
      <c r="AG893" s="15"/>
      <c r="AH893" s="2"/>
      <c r="AI893" s="45"/>
      <c r="AJ893" s="154"/>
      <c r="AK893" s="13"/>
      <c r="AL893" s="15"/>
      <c r="AM893" s="45"/>
      <c r="AN893" s="15"/>
      <c r="AO893" s="13"/>
      <c r="AP893" s="15"/>
      <c r="AQ893" s="45"/>
      <c r="AR893" s="15"/>
      <c r="AS893" s="13"/>
      <c r="AT893" s="15"/>
      <c r="AU893" s="45"/>
      <c r="AV893" s="15"/>
      <c r="AW893" s="13"/>
      <c r="AX893" s="15"/>
      <c r="AY893" s="45"/>
      <c r="AZ893" s="28"/>
      <c r="BA893" s="13"/>
      <c r="BB893" s="15"/>
      <c r="BC893" s="45"/>
      <c r="BD893" s="28"/>
      <c r="BE893" s="14"/>
      <c r="BF893" s="41">
        <f t="shared" ref="BF893:BG893" si="3254">K893+O893+S893+W893+AA893+AE893+AI893+AM893+AQ893+AU893+AY893+BC893</f>
        <v>0</v>
      </c>
      <c r="BG893" s="34">
        <f t="shared" si="3254"/>
        <v>0</v>
      </c>
      <c r="BH893" s="35">
        <f t="shared" si="3240"/>
        <v>0</v>
      </c>
      <c r="BK893" s="2" t="b">
        <f>H893='2020'!BH893</f>
        <v>1</v>
      </c>
    </row>
    <row r="894" ht="14.25" customHeight="1" hidden="1" spans="1:63" x14ac:dyDescent="0.25">
      <c r="A894" s="2">
        <v>103</v>
      </c>
      <c r="B894" s="14"/>
      <c r="C894" s="15" t="s">
        <v>398</v>
      </c>
      <c r="D894" s="14" t="s">
        <v>50</v>
      </c>
      <c r="E894" s="2" t="s">
        <v>49</v>
      </c>
      <c r="F894" s="41">
        <v>1100</v>
      </c>
      <c r="G894" s="28"/>
      <c r="H894" s="34">
        <f>'2020'!BH894</f>
        <v>4862</v>
      </c>
      <c r="I894" s="13"/>
      <c r="J894" s="15"/>
      <c r="K894" s="15"/>
      <c r="L894" s="32">
        <v>4862</v>
      </c>
      <c r="M894" s="13"/>
      <c r="N894" s="15"/>
      <c r="Q894" s="13"/>
      <c r="R894" s="15"/>
      <c r="S894" s="15"/>
      <c r="T894" s="28"/>
      <c r="U894" s="13"/>
      <c r="V894" s="15"/>
      <c r="Y894" s="186"/>
      <c r="Z894" s="2"/>
      <c r="AA894" s="15"/>
      <c r="AB894" s="28"/>
      <c r="AC894" s="15"/>
      <c r="AD894" s="15"/>
      <c r="AE894" s="34">
        <f>B891*$F$12</f>
        <v>4862</v>
      </c>
      <c r="AG894" s="15"/>
      <c r="AH894" s="2"/>
      <c r="AI894" s="45"/>
      <c r="AJ894" s="326">
        <v>4862</v>
      </c>
      <c r="AK894" s="13"/>
      <c r="AL894" s="15"/>
      <c r="AM894" s="45"/>
      <c r="AN894" s="15"/>
      <c r="AO894" s="13"/>
      <c r="AP894" s="15"/>
      <c r="AQ894" s="45"/>
      <c r="AR894" s="15"/>
      <c r="AS894" s="13"/>
      <c r="AT894" s="15"/>
      <c r="AU894" s="45"/>
      <c r="AV894" s="15"/>
      <c r="AW894" s="13"/>
      <c r="AX894" s="15"/>
      <c r="AY894" s="45"/>
      <c r="AZ894" s="28"/>
      <c r="BA894" s="13"/>
      <c r="BB894" s="15"/>
      <c r="BC894" s="45"/>
      <c r="BD894" s="28"/>
      <c r="BE894" s="14"/>
      <c r="BF894" s="41">
        <f t="shared" ref="BF894:BG894" si="3255">K894+O894+S894+W894+AA894+AE894+AI894+AM894+AQ894+AU894+AY894+BC894</f>
        <v>4862</v>
      </c>
      <c r="BG894" s="34">
        <f t="shared" si="3255"/>
        <v>9724</v>
      </c>
      <c r="BH894" s="35">
        <f t="shared" si="3240"/>
        <v>0</v>
      </c>
      <c r="BK894" s="2" t="b">
        <f>H894='2020'!BH894</f>
        <v>1</v>
      </c>
    </row>
    <row r="895" ht="14.25" customHeight="1" hidden="1" spans="1:63" x14ac:dyDescent="0.25">
      <c r="A895" s="2">
        <v>103</v>
      </c>
      <c r="B895" s="14"/>
      <c r="D895" s="14" t="s">
        <v>51</v>
      </c>
      <c r="E895" s="2" t="s">
        <v>39</v>
      </c>
      <c r="F895" s="41">
        <v>500</v>
      </c>
      <c r="G895" s="28"/>
      <c r="H895" s="34">
        <f>'2020'!BH895</f>
        <v>500</v>
      </c>
      <c r="I895" s="13"/>
      <c r="J895" s="15"/>
      <c r="K895" s="15"/>
      <c r="L895" s="32">
        <v>500</v>
      </c>
      <c r="M895" s="13"/>
      <c r="N895" s="15"/>
      <c r="Q895" s="13"/>
      <c r="R895" s="15"/>
      <c r="S895" s="15"/>
      <c r="T895" s="28"/>
      <c r="U895" s="13"/>
      <c r="V895" s="15"/>
      <c r="Y895" s="186"/>
      <c r="Z895" s="2"/>
      <c r="AA895" s="15"/>
      <c r="AB895" s="28"/>
      <c r="AC895" s="15"/>
      <c r="AD895" s="15"/>
      <c r="AE895" s="180">
        <f>$F$13</f>
      </c>
      <c r="AG895" s="15"/>
      <c r="AH895" s="2"/>
      <c r="AI895" s="45"/>
      <c r="AJ895" s="154"/>
      <c r="AK895" s="13"/>
      <c r="AL895" s="15"/>
      <c r="AM895" s="45"/>
      <c r="AN895" s="15"/>
      <c r="AO895" s="13"/>
      <c r="AP895" s="15"/>
      <c r="AQ895" s="180"/>
      <c r="AR895" s="15"/>
      <c r="AS895" s="13"/>
      <c r="AT895" s="15"/>
      <c r="AU895" s="45"/>
      <c r="AV895" s="15"/>
      <c r="AW895" s="13"/>
      <c r="AX895" s="15"/>
      <c r="AY895" s="45"/>
      <c r="AZ895" s="28"/>
      <c r="BA895" s="13"/>
      <c r="BB895" s="15"/>
      <c r="BC895" s="45"/>
      <c r="BD895" s="28"/>
      <c r="BE895" s="14"/>
      <c r="BF895" s="41">
        <f t="shared" ref="BF895:BG895" si="3256">K895+O895+S895+W895+AA895+AE895+AI895+AM895+AQ895+AU895+AY895+BC895</f>
        <v>0</v>
      </c>
      <c r="BG895" s="34">
        <f t="shared" si="3256"/>
        <v>500</v>
      </c>
      <c r="BH895" s="35">
        <f t="shared" si="3240"/>
        <v>0</v>
      </c>
      <c r="BK895" s="2" t="b">
        <f>H895='2020'!BH895</f>
        <v>1</v>
      </c>
    </row>
    <row r="896" ht="14.25" customHeight="1" hidden="1" spans="1:63" x14ac:dyDescent="0.25">
      <c r="A896" s="2">
        <v>103</v>
      </c>
      <c r="B896" s="14"/>
      <c r="D896" s="14" t="s">
        <v>51</v>
      </c>
      <c r="E896" s="2" t="s">
        <v>49</v>
      </c>
      <c r="F896" s="41">
        <v>500</v>
      </c>
      <c r="G896" s="28"/>
      <c r="H896" s="34">
        <f>'2020'!BH896</f>
        <v>2210</v>
      </c>
      <c r="I896" s="13"/>
      <c r="J896" s="15"/>
      <c r="K896" s="15"/>
      <c r="L896" s="32">
        <v>2210</v>
      </c>
      <c r="M896" s="13"/>
      <c r="N896" s="15"/>
      <c r="Q896" s="13"/>
      <c r="R896" s="15"/>
      <c r="S896" s="15"/>
      <c r="T896" s="28"/>
      <c r="U896" s="13"/>
      <c r="V896" s="15"/>
      <c r="Y896" s="186"/>
      <c r="Z896" s="2"/>
      <c r="AA896" s="15"/>
      <c r="AB896" s="28"/>
      <c r="AC896" s="15"/>
      <c r="AD896" s="15"/>
      <c r="AE896" s="34"/>
      <c r="AG896" s="15"/>
      <c r="AH896" s="2"/>
      <c r="AI896" s="45"/>
      <c r="AJ896" s="15"/>
      <c r="AK896" s="13"/>
      <c r="AL896" s="15"/>
      <c r="AM896" s="45"/>
      <c r="AN896" s="15"/>
      <c r="AO896" s="13"/>
      <c r="AP896" s="15"/>
      <c r="AQ896" s="180">
        <f>B891*$F$14</f>
        <v>0</v>
      </c>
      <c r="AR896" s="15"/>
      <c r="AS896" s="13"/>
      <c r="AT896" s="15"/>
      <c r="AU896" s="45"/>
      <c r="AV896" s="15"/>
      <c r="AW896" s="13"/>
      <c r="AX896" s="15"/>
      <c r="AY896" s="45"/>
      <c r="AZ896" s="28"/>
      <c r="BA896" s="13"/>
      <c r="BB896" s="15"/>
      <c r="BC896" s="45"/>
      <c r="BD896" s="28"/>
      <c r="BE896" s="14"/>
      <c r="BF896" s="41">
        <f t="shared" ref="BF896:BG896" si="3257">K896+O896+S896+W896+AA896+AE896+AI896+AM896+AQ896+AU896+AY896+BC896</f>
        <v>0</v>
      </c>
      <c r="BG896" s="34">
        <f t="shared" si="3257"/>
        <v>2210</v>
      </c>
      <c r="BH896" s="35">
        <f t="shared" si="3240"/>
        <v>0</v>
      </c>
      <c r="BK896" s="2" t="b">
        <f>H896='2020'!BH896</f>
        <v>1</v>
      </c>
    </row>
    <row r="897" ht="14.25" customHeight="1" hidden="1" spans="1:63" x14ac:dyDescent="0.25">
      <c r="A897" s="2">
        <v>103</v>
      </c>
      <c r="B897" s="14"/>
      <c r="D897" s="14" t="s">
        <v>52</v>
      </c>
      <c r="E897" s="2" t="s">
        <v>39</v>
      </c>
      <c r="F897" s="41">
        <v>500</v>
      </c>
      <c r="G897" s="28"/>
      <c r="H897" s="34">
        <f>'2020'!BH897</f>
        <v>500</v>
      </c>
      <c r="I897" s="13"/>
      <c r="J897" s="15"/>
      <c r="K897" s="15"/>
      <c r="L897" s="32">
        <v>500</v>
      </c>
      <c r="M897" s="13"/>
      <c r="N897" s="15"/>
      <c r="Q897" s="13"/>
      <c r="R897" s="15"/>
      <c r="S897" s="15"/>
      <c r="T897" s="28"/>
      <c r="U897" s="13"/>
      <c r="V897" s="15"/>
      <c r="Y897" s="186"/>
      <c r="Z897" s="2"/>
      <c r="AA897" s="34">
        <f>$F$15</f>
      </c>
      <c r="AB897" s="28"/>
      <c r="AC897" s="15"/>
      <c r="AD897" s="15"/>
      <c r="AG897" s="15"/>
      <c r="AH897" s="2"/>
      <c r="AI897" s="45"/>
      <c r="AJ897" s="15"/>
      <c r="AK897" s="13"/>
      <c r="AL897" s="15"/>
      <c r="AM897" s="45"/>
      <c r="AN897" s="15"/>
      <c r="AO897" s="13"/>
      <c r="AP897" s="15"/>
      <c r="AQ897" s="45"/>
      <c r="AR897" s="15"/>
      <c r="AS897" s="13"/>
      <c r="AT897" s="15"/>
      <c r="AU897" s="45"/>
      <c r="AV897" s="15"/>
      <c r="AW897" s="13"/>
      <c r="AX897" s="15"/>
      <c r="AY897" s="45"/>
      <c r="AZ897" s="35"/>
      <c r="BA897" s="13"/>
      <c r="BB897" s="15"/>
      <c r="BC897" s="45"/>
      <c r="BD897" s="35"/>
      <c r="BE897" s="14"/>
      <c r="BF897" s="41">
        <f t="shared" ref="BF897:BG897" si="3258">K897+O897+S897+W897+AA897+AE897+AI897+AM897+AQ897+AU897+AY897+BC897</f>
        <v>0</v>
      </c>
      <c r="BG897" s="34">
        <f t="shared" si="3258"/>
        <v>500</v>
      </c>
      <c r="BH897" s="35">
        <f t="shared" si="3240"/>
        <v>0</v>
      </c>
      <c r="BK897" s="2" t="b">
        <f>H897='2020'!BH897</f>
        <v>1</v>
      </c>
    </row>
    <row r="898" ht="14.25" customHeight="1" hidden="1" spans="1:63" x14ac:dyDescent="0.25">
      <c r="A898" s="247">
        <v>103</v>
      </c>
      <c r="B898" s="21"/>
      <c r="C898" s="22" t="s">
        <v>53</v>
      </c>
      <c r="D898" s="21"/>
      <c r="E898" s="22"/>
      <c r="F898" s="20"/>
      <c r="G898" s="23"/>
      <c r="H898" s="51">
        <f>SUM(H890:H897)</f>
        <v>8251.43</v>
      </c>
      <c r="I898" s="52"/>
      <c r="J898" s="53"/>
      <c r="K898" s="51">
        <f t="shared" ref="K898:L898" si="3259">SUM(K890:K897)</f>
        <v>8.75</v>
      </c>
      <c r="L898" s="68">
        <f t="shared" si="3259"/>
        <v>8222</v>
      </c>
      <c r="M898" s="52"/>
      <c r="N898" s="53"/>
      <c r="O898" s="51">
        <f t="shared" ref="O898:P898" si="3260">SUM(O890:O897)</f>
        <v>0</v>
      </c>
      <c r="P898" s="51">
        <f t="shared" si="3260"/>
        <v>0</v>
      </c>
      <c r="Q898" s="52"/>
      <c r="R898" s="53"/>
      <c r="S898" s="51">
        <f t="shared" ref="S898:T898" si="3261">SUM(S890:S897)</f>
        <v>0</v>
      </c>
      <c r="T898" s="51">
        <f t="shared" si="3261"/>
        <v>0</v>
      </c>
      <c r="U898" s="52"/>
      <c r="V898" s="53"/>
      <c r="W898" s="51">
        <f t="shared" ref="W898:X898" si="3262">SUM(W890:W897)</f>
        <v>0</v>
      </c>
      <c r="X898" s="51">
        <f t="shared" si="3262"/>
        <v>0</v>
      </c>
      <c r="Y898" s="300"/>
      <c r="Z898" s="301"/>
      <c r="AA898" s="51">
        <f t="shared" ref="AA898:AB898" si="3263">SUM(AA890:AA897)</f>
        <v>38.92</v>
      </c>
      <c r="AB898" s="51">
        <f t="shared" si="3263"/>
        <v>0</v>
      </c>
      <c r="AC898" s="52"/>
      <c r="AD898" s="53"/>
      <c r="AE898" s="51">
        <f t="shared" ref="AE898:AF898" si="3264">SUM(AE890:AE897)</f>
        <v>4939.84</v>
      </c>
      <c r="AF898" s="51">
        <f t="shared" si="3264"/>
        <v>0</v>
      </c>
      <c r="AG898" s="52"/>
      <c r="AH898" s="301"/>
      <c r="AI898" s="183">
        <f t="shared" ref="AI898:AJ898" si="3265">SUM(AI890:AI897)</f>
        <v>40.7</v>
      </c>
      <c r="AJ898" s="51">
        <f t="shared" si="3265"/>
        <v>5057.64</v>
      </c>
      <c r="AK898" s="52"/>
      <c r="AL898" s="53"/>
      <c r="AM898" s="183">
        <f t="shared" ref="AM898:AN898" si="3266">SUM(AM890:AM897)</f>
        <v>8.1</v>
      </c>
      <c r="AN898" s="51">
        <f t="shared" si="3266"/>
        <v>0</v>
      </c>
      <c r="AO898" s="52"/>
      <c r="AP898" s="53"/>
      <c r="AQ898" s="183">
        <f t="shared" ref="AQ898:AR898" si="3267">SUM(AQ890:AQ897)</f>
        <v>40.7</v>
      </c>
      <c r="AR898" s="51">
        <f t="shared" si="3267"/>
        <v>0</v>
      </c>
      <c r="AS898" s="52"/>
      <c r="AT898" s="53"/>
      <c r="AU898" s="183">
        <f t="shared" ref="AU898:AV898" si="3268">SUM(AU890:AU897)</f>
        <v>0</v>
      </c>
      <c r="AV898" s="68">
        <f t="shared" si="3268"/>
        <v>0</v>
      </c>
      <c r="AW898" s="52"/>
      <c r="AX898" s="53"/>
      <c r="AY898" s="183">
        <f t="shared" ref="AY898:AZ898" si="3269">SUM(AY890:AY897)</f>
        <v>0</v>
      </c>
      <c r="AZ898" s="68">
        <f t="shared" si="3269"/>
        <v>0</v>
      </c>
      <c r="BA898" s="52"/>
      <c r="BB898" s="53"/>
      <c r="BC898" s="183">
        <f t="shared" ref="BC898:BD898" si="3270">SUM(BC890:BC897)</f>
        <v>0</v>
      </c>
      <c r="BD898" s="68">
        <f t="shared" si="3270"/>
        <v>0</v>
      </c>
      <c r="BE898" s="69"/>
      <c r="BF898" s="70">
        <f t="shared" ref="BF898:BH898" si="3271">SUM(BF890:BF897)</f>
        <v>5077.01</v>
      </c>
      <c r="BG898" s="71">
        <f t="shared" si="3271"/>
        <v>13279.64</v>
      </c>
      <c r="BH898" s="72">
        <f t="shared" si="3271"/>
        <v>48.8</v>
      </c>
      <c r="BI898" s="34">
        <f>H898+BF898-BG898</f>
        <v>48.8</v>
      </c>
      <c r="BJ898" s="34">
        <f>BH898-BI898</f>
        <v>0</v>
      </c>
      <c r="BK898" s="2" t="b">
        <f>H898='2020'!BH898</f>
        <v>1</v>
      </c>
    </row>
    <row r="899" ht="14.25" customHeight="1" hidden="1" spans="1:63" x14ac:dyDescent="0.25">
      <c r="A899" s="2">
        <v>105</v>
      </c>
      <c r="B899" s="14"/>
      <c r="D899" s="14" t="s">
        <v>379</v>
      </c>
      <c r="F899" s="13"/>
      <c r="G899" s="28"/>
      <c r="H899" s="34">
        <f>'2020'!BH899</f>
        <v>21.25</v>
      </c>
      <c r="I899" s="13"/>
      <c r="J899" s="15"/>
      <c r="K899" s="15"/>
      <c r="L899" s="28"/>
      <c r="M899" s="13"/>
      <c r="N899" s="15"/>
      <c r="Q899" s="13"/>
      <c r="R899" s="15"/>
      <c r="S899" s="15"/>
      <c r="T899" s="28"/>
      <c r="U899" s="13"/>
      <c r="V899" s="15"/>
      <c r="Y899" s="186"/>
      <c r="Z899" s="2"/>
      <c r="AA899" s="15"/>
      <c r="AB899" s="28"/>
      <c r="AC899" s="15"/>
      <c r="AD899" s="15"/>
      <c r="AG899" s="15"/>
      <c r="AH899" s="2"/>
      <c r="AI899" s="45"/>
      <c r="AJ899" s="304">
        <v>22</v>
      </c>
      <c r="AK899" s="13"/>
      <c r="AM899" s="45"/>
      <c r="AO899" s="13"/>
      <c r="AQ899" s="180">
        <v>14.55</v>
      </c>
      <c r="AS899" s="13"/>
      <c r="AU899" s="180"/>
      <c r="AW899" s="13"/>
      <c r="AY899" s="45"/>
      <c r="AZ899" s="28"/>
      <c r="BA899" s="13"/>
      <c r="BB899" s="15"/>
      <c r="BC899" s="45"/>
      <c r="BD899" s="28"/>
      <c r="BE899" s="14"/>
      <c r="BF899" s="41">
        <f t="shared" ref="BF899:BG899" si="3272">K899+O899+S899+W899+AA899+AE899+AI899+AM899+AQ899+AU899+AY899+BC899</f>
        <v>14.55</v>
      </c>
      <c r="BG899" s="34">
        <f t="shared" si="3272"/>
        <v>22</v>
      </c>
      <c r="BH899" s="35">
        <f t="shared" ref="BH899:BH906" si="3273">H899+BF899-BG899</f>
        <v>13.8</v>
      </c>
      <c r="BK899" s="2" t="b">
        <f>H899='2020'!BH899</f>
        <v>1</v>
      </c>
    </row>
    <row r="900" ht="14.25" customHeight="1" hidden="1" spans="1:63" x14ac:dyDescent="0.25">
      <c r="A900" s="2">
        <v>105</v>
      </c>
      <c r="B900" s="14">
        <v>4.41</v>
      </c>
      <c r="C900" s="2" t="s">
        <v>323</v>
      </c>
      <c r="D900" s="14" t="s">
        <v>44</v>
      </c>
      <c r="E900" s="2" t="s">
        <v>45</v>
      </c>
      <c r="F900" s="41">
        <v>2.5</v>
      </c>
      <c r="G900" s="35">
        <v>2.6</v>
      </c>
      <c r="H900" s="34">
        <f>'2020'!BH900</f>
        <v>-2.02</v>
      </c>
      <c r="I900" s="13">
        <v>1704</v>
      </c>
      <c r="J900" s="15">
        <f>I900-'2020'!BA900</f>
        <v>0</v>
      </c>
      <c r="K900" s="34">
        <f>J900*$F$8</f>
        <v>0</v>
      </c>
      <c r="L900" s="28"/>
      <c r="M900" s="13">
        <v>1704</v>
      </c>
      <c r="N900" s="15">
        <f t="shared" ref="N900:N901" si="3274">M900-I900</f>
        <v>0</v>
      </c>
      <c r="O900" s="34">
        <f>N900*$F$8</f>
        <v>0</v>
      </c>
      <c r="Q900" s="13">
        <v>1704</v>
      </c>
      <c r="R900" s="15">
        <f t="shared" ref="R900:R901" si="3275">Q900-M900</f>
        <v>0</v>
      </c>
      <c r="S900" s="34">
        <f>R900*$F$8</f>
        <v>0</v>
      </c>
      <c r="T900" s="28"/>
      <c r="U900" s="13">
        <v>1704</v>
      </c>
      <c r="V900" s="15">
        <f t="shared" ref="V900:V901" si="3276">U900-Q900</f>
        <v>0</v>
      </c>
      <c r="W900" s="34">
        <f>V900*$F$8</f>
        <v>0</v>
      </c>
      <c r="Y900" s="186">
        <v>1736</v>
      </c>
      <c r="Z900" s="2">
        <f t="shared" ref="Z900:Z901" si="3277">Y900-U900</f>
        <v>32</v>
      </c>
      <c r="AA900" s="34">
        <f>Z900*$F$8</f>
        <v>83.2</v>
      </c>
      <c r="AB900" s="28"/>
      <c r="AC900" s="15">
        <v>1931</v>
      </c>
      <c r="AD900" s="15">
        <f t="shared" ref="AD900:AD901" si="3278">AC900-Y900</f>
        <v>195</v>
      </c>
      <c r="AE900" s="180">
        <f>AD900*$F$8</f>
        <v>507</v>
      </c>
      <c r="AF900" s="180"/>
      <c r="AG900" s="15">
        <v>2105</v>
      </c>
      <c r="AH900" s="2">
        <f t="shared" ref="AH900:AH901" si="3279">AG900-AC900</f>
        <v>174</v>
      </c>
      <c r="AI900" s="45">
        <f>AH900*$G$8</f>
        <v>469.8</v>
      </c>
      <c r="AJ900" s="187">
        <v>589</v>
      </c>
      <c r="AK900" s="13">
        <v>2266</v>
      </c>
      <c r="AL900" s="15">
        <f t="shared" ref="AL900:AL901" si="3280">AK900-AG900</f>
        <v>161</v>
      </c>
      <c r="AM900" s="45">
        <f>AL900*$G$8</f>
        <v>434.7</v>
      </c>
      <c r="AN900" s="15"/>
      <c r="AO900" s="13">
        <v>2395</v>
      </c>
      <c r="AP900" s="15">
        <f t="shared" ref="AP900:AP901" si="3281">AO900-AK900</f>
        <v>129</v>
      </c>
      <c r="AQ900" s="45">
        <f>AP900*$G$8</f>
        <v>348.3</v>
      </c>
      <c r="AR900" s="34"/>
      <c r="AS900" s="13">
        <v>2540</v>
      </c>
      <c r="AT900" s="15">
        <f t="shared" ref="AT900:AT901" si="3282">AS900-AO900</f>
        <v>145</v>
      </c>
      <c r="AU900" s="45">
        <f>AT900*$G$8</f>
        <v>391.5</v>
      </c>
      <c r="AV900" s="39">
        <v>1643.48</v>
      </c>
      <c r="AW900" s="13">
        <v>2571</v>
      </c>
      <c r="AX900" s="15">
        <f t="shared" ref="AX900:AX901" si="3283">AW900-AS900</f>
        <v>31</v>
      </c>
      <c r="AY900" s="45">
        <f>AX900*$G$8</f>
        <v>83.7</v>
      </c>
      <c r="AZ900" s="246"/>
      <c r="BA900" s="13">
        <v>2571</v>
      </c>
      <c r="BB900" s="15">
        <f t="shared" ref="BB900:BB901" si="3284">BA900-AW900</f>
        <v>0</v>
      </c>
      <c r="BC900" s="45">
        <f>BB900*$G$8</f>
        <v>0</v>
      </c>
      <c r="BD900" s="208"/>
      <c r="BE900" s="40">
        <f t="shared" ref="BE900:BG900" si="3285">J900+N900+R900+V900+Z900+AD900+AH900+AL900+AP900+AT900+AX900+BB900</f>
        <v>867</v>
      </c>
      <c r="BF900" s="41">
        <f t="shared" si="3285"/>
        <v>2318.2</v>
      </c>
      <c r="BG900" s="34">
        <f t="shared" si="3285"/>
        <v>2232.48</v>
      </c>
      <c r="BH900" s="35">
        <f t="shared" si="3273"/>
        <v>83.7</v>
      </c>
      <c r="BK900" s="2" t="b">
        <f>H900='2020'!BH900</f>
        <v>1</v>
      </c>
    </row>
    <row r="901" ht="14.25" customHeight="1" hidden="1" spans="1:63" x14ac:dyDescent="0.25">
      <c r="A901" s="2">
        <v>105</v>
      </c>
      <c r="B901" s="14"/>
      <c r="C901" s="2" t="s">
        <v>79</v>
      </c>
      <c r="D901" s="14" t="s">
        <v>47</v>
      </c>
      <c r="E901" s="2" t="s">
        <v>48</v>
      </c>
      <c r="F901" s="13">
        <v>18.56</v>
      </c>
      <c r="G901" s="35">
        <v>19.46</v>
      </c>
      <c r="H901" s="34">
        <f>'2020'!BH901</f>
        <v>-1.94</v>
      </c>
      <c r="I901" s="13">
        <v>226</v>
      </c>
      <c r="J901" s="15"/>
      <c r="K901" s="15"/>
      <c r="L901" s="28"/>
      <c r="M901" s="13">
        <v>226</v>
      </c>
      <c r="N901" s="15">
        <f t="shared" si="3274"/>
        <v>0</v>
      </c>
      <c r="Q901" s="13">
        <v>226</v>
      </c>
      <c r="R901" s="15">
        <f t="shared" si="3275"/>
        <v>0</v>
      </c>
      <c r="S901" s="15"/>
      <c r="T901" s="28"/>
      <c r="U901" s="13">
        <v>226</v>
      </c>
      <c r="V901" s="15">
        <f t="shared" si="3276"/>
        <v>0</v>
      </c>
      <c r="W901" s="180">
        <f>V901*$F$10</f>
        <v>0</v>
      </c>
      <c r="Y901" s="186">
        <v>226</v>
      </c>
      <c r="Z901" s="2">
        <f t="shared" si="3277"/>
        <v>0</v>
      </c>
      <c r="AA901" s="34">
        <f>Z901*$F$10</f>
        <v>0</v>
      </c>
      <c r="AB901" s="28"/>
      <c r="AC901" s="15">
        <v>246</v>
      </c>
      <c r="AD901" s="15">
        <f t="shared" si="3278"/>
        <v>20</v>
      </c>
      <c r="AE901" s="34">
        <f>AD901*$F$10</f>
        <v>389.2</v>
      </c>
      <c r="AF901" s="180"/>
      <c r="AG901" s="15">
        <v>271</v>
      </c>
      <c r="AH901" s="2">
        <f t="shared" si="3279"/>
        <v>25</v>
      </c>
      <c r="AI901" s="45">
        <f>AH901*$G$10</f>
        <v>508.75</v>
      </c>
      <c r="AJ901" s="187">
        <f>388+45</f>
        <v>433</v>
      </c>
      <c r="AK901" s="13">
        <v>283</v>
      </c>
      <c r="AL901" s="15">
        <f t="shared" si="3280"/>
        <v>12</v>
      </c>
      <c r="AM901" s="45">
        <f>AL901*$G$10</f>
        <v>244.2</v>
      </c>
      <c r="AN901" s="15"/>
      <c r="AO901" s="13">
        <v>287</v>
      </c>
      <c r="AP901" s="15">
        <f t="shared" si="3281"/>
        <v>4</v>
      </c>
      <c r="AQ901" s="45">
        <f>AP901*$G$10</f>
        <v>81.4</v>
      </c>
      <c r="AR901" s="34"/>
      <c r="AS901" s="13">
        <v>287</v>
      </c>
      <c r="AT901" s="15">
        <f t="shared" si="3282"/>
        <v>0</v>
      </c>
      <c r="AU901" s="45">
        <f>AT901*$G$10</f>
        <v>0</v>
      </c>
      <c r="AV901" s="39">
        <f>2040-AV900</f>
        <v>396.52</v>
      </c>
      <c r="AW901" s="13">
        <v>287</v>
      </c>
      <c r="AX901" s="15">
        <f t="shared" si="3283"/>
        <v>0</v>
      </c>
      <c r="AY901" s="45"/>
      <c r="AZ901" s="208"/>
      <c r="BA901" s="13">
        <v>287</v>
      </c>
      <c r="BB901" s="15">
        <f t="shared" si="3284"/>
        <v>0</v>
      </c>
      <c r="BC901" s="45"/>
      <c r="BD901" s="208"/>
      <c r="BE901" s="40">
        <f t="shared" ref="BE901:BG901" si="3286">J901+N901+R901+V901+Z901+AD901+AH901+AL901+AP901+AT901+AX901+BB901</f>
        <v>61</v>
      </c>
      <c r="BF901" s="41">
        <f t="shared" si="3286"/>
        <v>1223.55</v>
      </c>
      <c r="BG901" s="34">
        <f t="shared" si="3286"/>
        <v>829.52</v>
      </c>
      <c r="BH901" s="35">
        <f t="shared" si="3273"/>
        <v>392.09</v>
      </c>
      <c r="BK901" s="2" t="b">
        <f>H901='2020'!BH901</f>
        <v>1</v>
      </c>
    </row>
    <row r="902" ht="14.25" customHeight="1" hidden="1" spans="1:63" x14ac:dyDescent="0.25">
      <c r="A902" s="2">
        <v>105</v>
      </c>
      <c r="B902" s="14"/>
      <c r="C902" s="15" t="s">
        <v>107</v>
      </c>
      <c r="D902" s="14" t="s">
        <v>47</v>
      </c>
      <c r="E902" s="2" t="s">
        <v>49</v>
      </c>
      <c r="F902" s="41">
        <v>500</v>
      </c>
      <c r="G902" s="28"/>
      <c r="H902" s="34">
        <f>'2020'!BH902</f>
        <v>0</v>
      </c>
      <c r="I902" s="13"/>
      <c r="J902" s="15"/>
      <c r="K902" s="15"/>
      <c r="L902" s="28"/>
      <c r="M902" s="13"/>
      <c r="N902" s="15"/>
      <c r="Q902" s="13"/>
      <c r="R902" s="15"/>
      <c r="S902" s="15"/>
      <c r="T902" s="28"/>
      <c r="U902" s="13"/>
      <c r="V902" s="15"/>
      <c r="Y902" s="186"/>
      <c r="Z902" s="2"/>
      <c r="AA902" s="15"/>
      <c r="AB902" s="28"/>
      <c r="AC902" s="15"/>
      <c r="AD902" s="15"/>
      <c r="AG902" s="15"/>
      <c r="AH902" s="2"/>
      <c r="AI902" s="45"/>
      <c r="AJ902" s="1"/>
      <c r="AK902" s="13"/>
      <c r="AL902" s="15"/>
      <c r="AM902" s="45"/>
      <c r="AN902" s="15"/>
      <c r="AO902" s="13"/>
      <c r="AP902" s="15"/>
      <c r="AQ902" s="45"/>
      <c r="AR902" s="1"/>
      <c r="AS902" s="13"/>
      <c r="AT902" s="15"/>
      <c r="AU902" s="45"/>
      <c r="AV902" s="1"/>
      <c r="AW902" s="13"/>
      <c r="AX902" s="15"/>
      <c r="AY902" s="45"/>
      <c r="AZ902" s="28"/>
      <c r="BA902" s="13"/>
      <c r="BB902" s="15"/>
      <c r="BC902" s="45"/>
      <c r="BD902" s="28"/>
      <c r="BE902" s="14"/>
      <c r="BF902" s="41">
        <f t="shared" ref="BF902:BG902" si="3287">K902+O902+S902+W902+AA902+AE902+AI902+AM902+AQ902+AU902+AY902+BC902</f>
        <v>0</v>
      </c>
      <c r="BG902" s="34">
        <f t="shared" si="3287"/>
        <v>0</v>
      </c>
      <c r="BH902" s="35">
        <f t="shared" si="3273"/>
        <v>0</v>
      </c>
      <c r="BK902" s="2" t="b">
        <f>H902='2020'!BH902</f>
        <v>1</v>
      </c>
    </row>
    <row r="903" ht="14.25" customHeight="1" hidden="1" spans="1:63" x14ac:dyDescent="0.25">
      <c r="A903" s="2">
        <v>105</v>
      </c>
      <c r="B903" s="14"/>
      <c r="C903" s="15" t="s">
        <v>324</v>
      </c>
      <c r="D903" s="14" t="s">
        <v>50</v>
      </c>
      <c r="E903" s="2" t="s">
        <v>49</v>
      </c>
      <c r="F903" s="41">
        <v>1100</v>
      </c>
      <c r="G903" s="28"/>
      <c r="H903" s="34">
        <f>'2020'!BH903</f>
        <v>0</v>
      </c>
      <c r="I903" s="13"/>
      <c r="J903" s="15"/>
      <c r="K903" s="15"/>
      <c r="L903" s="28"/>
      <c r="M903" s="13"/>
      <c r="N903" s="15"/>
      <c r="Q903" s="13"/>
      <c r="R903" s="15"/>
      <c r="S903" s="15"/>
      <c r="T903" s="28"/>
      <c r="U903" s="13"/>
      <c r="V903" s="15"/>
      <c r="Y903" s="186"/>
      <c r="Z903" s="2"/>
      <c r="AA903" s="15"/>
      <c r="AB903" s="28"/>
      <c r="AC903" s="15"/>
      <c r="AD903" s="15"/>
      <c r="AE903" s="34">
        <f>B900*$F$12</f>
        <v>4851</v>
      </c>
      <c r="AF903" s="34"/>
      <c r="AG903" s="15"/>
      <c r="AH903" s="2"/>
      <c r="AI903" s="45"/>
      <c r="AJ903" s="39"/>
      <c r="AK903" s="13"/>
      <c r="AL903" s="15"/>
      <c r="AM903" s="45"/>
      <c r="AN903" s="15"/>
      <c r="AO903" s="13"/>
      <c r="AP903" s="15"/>
      <c r="AQ903" s="45"/>
      <c r="AR903" s="34"/>
      <c r="AS903" s="13"/>
      <c r="AT903" s="15"/>
      <c r="AU903" s="45"/>
      <c r="AV903" s="39">
        <v>2400</v>
      </c>
      <c r="AW903" s="13"/>
      <c r="AX903" s="15"/>
      <c r="AY903" s="45"/>
      <c r="AZ903" s="28"/>
      <c r="BA903" s="13"/>
      <c r="BB903" s="15"/>
      <c r="BC903" s="45"/>
      <c r="BD903" s="28"/>
      <c r="BE903" s="14"/>
      <c r="BF903" s="41">
        <f t="shared" ref="BF903:BG903" si="3288">K903+O903+S903+W903+AA903+AE903+AI903+AM903+AQ903+AU903+AY903+BC903</f>
        <v>4851</v>
      </c>
      <c r="BG903" s="34">
        <f t="shared" si="3288"/>
        <v>2400</v>
      </c>
      <c r="BH903" s="35">
        <f t="shared" si="3273"/>
        <v>2451</v>
      </c>
      <c r="BK903" s="2" t="b">
        <f>H903='2020'!BH903</f>
        <v>1</v>
      </c>
    </row>
    <row r="904" ht="14.25" customHeight="1" hidden="1" spans="1:63" x14ac:dyDescent="0.25">
      <c r="A904" s="2">
        <v>105</v>
      </c>
      <c r="B904" s="14"/>
      <c r="C904" s="15" t="s">
        <v>447</v>
      </c>
      <c r="D904" s="14" t="s">
        <v>51</v>
      </c>
      <c r="E904" s="2" t="s">
        <v>39</v>
      </c>
      <c r="F904" s="41">
        <v>500</v>
      </c>
      <c r="G904" s="28"/>
      <c r="H904" s="34">
        <f>'2020'!BH904</f>
        <v>500</v>
      </c>
      <c r="I904" s="13"/>
      <c r="J904" s="15"/>
      <c r="K904" s="15"/>
      <c r="L904" s="28"/>
      <c r="M904" s="13"/>
      <c r="N904" s="15"/>
      <c r="Q904" s="13"/>
      <c r="R904" s="15"/>
      <c r="S904" s="15"/>
      <c r="T904" s="28"/>
      <c r="U904" s="13"/>
      <c r="V904" s="15"/>
      <c r="Y904" s="186"/>
      <c r="Z904" s="2"/>
      <c r="AA904" s="15"/>
      <c r="AB904" s="28"/>
      <c r="AC904" s="15"/>
      <c r="AD904" s="15"/>
      <c r="AE904" s="180">
        <f>$F$13</f>
      </c>
      <c r="AG904" s="15"/>
      <c r="AH904" s="2"/>
      <c r="AI904" s="45"/>
      <c r="AJ904" s="304">
        <v>500</v>
      </c>
      <c r="AK904" s="13"/>
      <c r="AL904" s="15"/>
      <c r="AM904" s="45"/>
      <c r="AN904" s="15"/>
      <c r="AO904" s="13"/>
      <c r="AP904" s="15"/>
      <c r="AQ904" s="180"/>
      <c r="AR904" s="1"/>
      <c r="AS904" s="13"/>
      <c r="AT904" s="15"/>
      <c r="AU904" s="45"/>
      <c r="AV904" s="15"/>
      <c r="AW904" s="13"/>
      <c r="AX904" s="15"/>
      <c r="AY904" s="45"/>
      <c r="AZ904" s="28"/>
      <c r="BA904" s="13"/>
      <c r="BB904" s="15"/>
      <c r="BC904" s="45"/>
      <c r="BD904" s="28"/>
      <c r="BE904" s="14"/>
      <c r="BF904" s="41">
        <f t="shared" ref="BF904:BG904" si="3289">K904+O904+S904+W904+AA904+AE904+AI904+AM904+AQ904+AU904+AY904+BC904</f>
        <v>0</v>
      </c>
      <c r="BG904" s="34">
        <f t="shared" si="3289"/>
        <v>500</v>
      </c>
      <c r="BH904" s="35">
        <f t="shared" si="3273"/>
        <v>0</v>
      </c>
      <c r="BK904" s="2" t="b">
        <f>H904='2020'!BH904</f>
        <v>1</v>
      </c>
    </row>
    <row r="905" ht="14.25" customHeight="1" hidden="1" spans="1:63" x14ac:dyDescent="0.25">
      <c r="A905" s="2">
        <v>105</v>
      </c>
      <c r="B905" s="14"/>
      <c r="C905" s="15" t="s">
        <v>448</v>
      </c>
      <c r="D905" s="14" t="s">
        <v>51</v>
      </c>
      <c r="E905" s="2" t="s">
        <v>49</v>
      </c>
      <c r="F905" s="41">
        <v>500</v>
      </c>
      <c r="G905" s="28"/>
      <c r="H905" s="34">
        <f>'2020'!BH905</f>
        <v>2205</v>
      </c>
      <c r="I905" s="13"/>
      <c r="J905" s="15"/>
      <c r="K905" s="15"/>
      <c r="L905" s="28"/>
      <c r="M905" s="13"/>
      <c r="N905" s="15"/>
      <c r="Q905" s="13"/>
      <c r="R905" s="15"/>
      <c r="S905" s="15"/>
      <c r="T905" s="28"/>
      <c r="U905" s="13"/>
      <c r="V905" s="15"/>
      <c r="Y905" s="186"/>
      <c r="Z905" s="2"/>
      <c r="AA905" s="15"/>
      <c r="AB905" s="28"/>
      <c r="AC905" s="15"/>
      <c r="AD905" s="15"/>
      <c r="AE905" s="34"/>
      <c r="AG905" s="15"/>
      <c r="AH905" s="2"/>
      <c r="AI905" s="45"/>
      <c r="AJ905" s="304">
        <v>2205</v>
      </c>
      <c r="AK905" s="13"/>
      <c r="AL905" s="15"/>
      <c r="AM905" s="45"/>
      <c r="AN905" s="15"/>
      <c r="AO905" s="13"/>
      <c r="AP905" s="15"/>
      <c r="AQ905" s="180">
        <f>B900*$F$14</f>
        <v>0</v>
      </c>
      <c r="AR905" s="15"/>
      <c r="AS905" s="13"/>
      <c r="AT905" s="15"/>
      <c r="AU905" s="45"/>
      <c r="AV905" s="15"/>
      <c r="AW905" s="13"/>
      <c r="AX905" s="15"/>
      <c r="AY905" s="45"/>
      <c r="AZ905" s="28"/>
      <c r="BA905" s="13"/>
      <c r="BB905" s="15"/>
      <c r="BC905" s="45"/>
      <c r="BD905" s="28"/>
      <c r="BE905" s="14"/>
      <c r="BF905" s="41">
        <f t="shared" ref="BF905:BG905" si="3290">K905+O905+S905+W905+AA905+AE905+AI905+AM905+AQ905+AU905+AY905+BC905</f>
        <v>0</v>
      </c>
      <c r="BG905" s="34">
        <f t="shared" si="3290"/>
        <v>2205</v>
      </c>
      <c r="BH905" s="35">
        <f t="shared" si="3273"/>
        <v>0</v>
      </c>
      <c r="BK905" s="2" t="b">
        <f>H905='2020'!BH905</f>
        <v>1</v>
      </c>
    </row>
    <row r="906" ht="14.25" customHeight="1" hidden="1" spans="1:63" x14ac:dyDescent="0.25">
      <c r="A906" s="2">
        <v>105</v>
      </c>
      <c r="B906" s="14"/>
      <c r="C906" s="15"/>
      <c r="D906" s="14" t="s">
        <v>52</v>
      </c>
      <c r="E906" s="2" t="s">
        <v>39</v>
      </c>
      <c r="F906" s="41">
        <v>500</v>
      </c>
      <c r="G906" s="28"/>
      <c r="H906" s="34">
        <f>'2020'!BH906</f>
        <v>0</v>
      </c>
      <c r="I906" s="13"/>
      <c r="J906" s="15"/>
      <c r="K906" s="15"/>
      <c r="L906" s="28"/>
      <c r="M906" s="13"/>
      <c r="N906" s="15"/>
      <c r="Q906" s="13"/>
      <c r="R906" s="15"/>
      <c r="S906" s="15"/>
      <c r="T906" s="28"/>
      <c r="U906" s="13"/>
      <c r="V906" s="15"/>
      <c r="Y906" s="186"/>
      <c r="Z906" s="2"/>
      <c r="AA906" s="34">
        <f>$F$15</f>
      </c>
      <c r="AB906" s="28"/>
      <c r="AC906" s="15"/>
      <c r="AD906" s="15"/>
      <c r="AG906" s="15"/>
      <c r="AH906" s="2"/>
      <c r="AI906" s="45"/>
      <c r="AJ906" s="34"/>
      <c r="AK906" s="13"/>
      <c r="AL906" s="15"/>
      <c r="AM906" s="45"/>
      <c r="AN906" s="15"/>
      <c r="AO906" s="13"/>
      <c r="AP906" s="15"/>
      <c r="AQ906" s="45"/>
      <c r="AR906" s="15"/>
      <c r="AS906" s="13"/>
      <c r="AT906" s="15"/>
      <c r="AU906" s="45"/>
      <c r="AV906" s="15"/>
      <c r="AW906" s="13"/>
      <c r="AX906" s="15"/>
      <c r="AY906" s="45"/>
      <c r="AZ906" s="35"/>
      <c r="BA906" s="13"/>
      <c r="BB906" s="15"/>
      <c r="BC906" s="45"/>
      <c r="BD906" s="35"/>
      <c r="BE906" s="14"/>
      <c r="BF906" s="41">
        <f t="shared" ref="BF906:BG906" si="3291">K906+O906+S906+W906+AA906+AE906+AI906+AM906+AQ906+AU906+AY906+BC906</f>
        <v>0</v>
      </c>
      <c r="BG906" s="34">
        <f t="shared" si="3291"/>
        <v>0</v>
      </c>
      <c r="BH906" s="35">
        <f t="shared" si="3273"/>
        <v>0</v>
      </c>
      <c r="BK906" s="2" t="b">
        <f>H906='2020'!BH906</f>
        <v>1</v>
      </c>
    </row>
    <row r="907" ht="14.25" customHeight="1" hidden="1" spans="1:63" x14ac:dyDescent="0.25">
      <c r="A907" s="247">
        <v>105</v>
      </c>
      <c r="B907" s="21"/>
      <c r="C907" s="22" t="s">
        <v>53</v>
      </c>
      <c r="D907" s="21"/>
      <c r="E907" s="22"/>
      <c r="F907" s="20"/>
      <c r="G907" s="23"/>
      <c r="H907" s="51">
        <f>SUM(H899:H906)</f>
        <v>2722.29</v>
      </c>
      <c r="I907" s="52"/>
      <c r="J907" s="53"/>
      <c r="K907" s="51">
        <f t="shared" ref="K907:L907" si="3292">SUM(K899:K906)</f>
        <v>0</v>
      </c>
      <c r="L907" s="68">
        <f t="shared" si="3292"/>
        <v>0</v>
      </c>
      <c r="M907" s="52"/>
      <c r="N907" s="53"/>
      <c r="O907" s="51">
        <f t="shared" ref="O907:P907" si="3293">SUM(O899:O906)</f>
        <v>0</v>
      </c>
      <c r="P907" s="51">
        <f t="shared" si="3293"/>
        <v>0</v>
      </c>
      <c r="Q907" s="52"/>
      <c r="R907" s="53"/>
      <c r="S907" s="51">
        <f t="shared" ref="S907:T907" si="3294">SUM(S899:S906)</f>
        <v>0</v>
      </c>
      <c r="T907" s="51">
        <f t="shared" si="3294"/>
        <v>0</v>
      </c>
      <c r="U907" s="52"/>
      <c r="V907" s="53"/>
      <c r="W907" s="51">
        <f t="shared" ref="W907:X907" si="3295">SUM(W899:W906)</f>
        <v>0</v>
      </c>
      <c r="X907" s="51">
        <f t="shared" si="3295"/>
        <v>0</v>
      </c>
      <c r="Y907" s="300"/>
      <c r="Z907" s="301"/>
      <c r="AA907" s="51">
        <f t="shared" ref="AA907:AB907" si="3296">SUM(AA899:AA906)</f>
        <v>83.2</v>
      </c>
      <c r="AB907" s="51">
        <f t="shared" si="3296"/>
        <v>0</v>
      </c>
      <c r="AC907" s="52"/>
      <c r="AD907" s="53"/>
      <c r="AE907" s="51">
        <f t="shared" ref="AE907:AF907" si="3297">SUM(AE899:AE906)</f>
        <v>5747.2</v>
      </c>
      <c r="AF907" s="51">
        <f t="shared" si="3297"/>
        <v>0</v>
      </c>
      <c r="AG907" s="52"/>
      <c r="AH907" s="301"/>
      <c r="AI907" s="183">
        <f t="shared" ref="AI907:AJ907" si="3298">SUM(AI899:AI906)</f>
        <v>978.55</v>
      </c>
      <c r="AJ907" s="51">
        <f t="shared" si="3298"/>
        <v>3749</v>
      </c>
      <c r="AK907" s="52"/>
      <c r="AL907" s="53"/>
      <c r="AM907" s="183">
        <f t="shared" ref="AM907:AN907" si="3299">SUM(AM899:AM906)</f>
        <v>678.9</v>
      </c>
      <c r="AN907" s="51">
        <f t="shared" si="3299"/>
        <v>0</v>
      </c>
      <c r="AO907" s="52"/>
      <c r="AP907" s="53"/>
      <c r="AQ907" s="183">
        <f t="shared" ref="AQ907:AR907" si="3300">SUM(AQ899:AQ906)</f>
        <v>444.25</v>
      </c>
      <c r="AR907" s="51">
        <f t="shared" si="3300"/>
        <v>0</v>
      </c>
      <c r="AS907" s="52"/>
      <c r="AT907" s="53"/>
      <c r="AU907" s="183">
        <f t="shared" ref="AU907:AV907" si="3301">SUM(AU899:AU906)</f>
        <v>391.5</v>
      </c>
      <c r="AV907" s="68">
        <f t="shared" si="3301"/>
        <v>4440</v>
      </c>
      <c r="AW907" s="52"/>
      <c r="AX907" s="53"/>
      <c r="AY907" s="183">
        <f t="shared" ref="AY907:AZ907" si="3302">SUM(AY899:AY906)</f>
        <v>83.7</v>
      </c>
      <c r="AZ907" s="68">
        <f t="shared" si="3302"/>
        <v>0</v>
      </c>
      <c r="BA907" s="52"/>
      <c r="BB907" s="53"/>
      <c r="BC907" s="183">
        <f t="shared" ref="BC907:BD907" si="3303">SUM(BC899:BC906)</f>
        <v>0</v>
      </c>
      <c r="BD907" s="68">
        <f t="shared" si="3303"/>
        <v>0</v>
      </c>
      <c r="BE907" s="69"/>
      <c r="BF907" s="70">
        <f t="shared" ref="BF907:BH907" si="3304">SUM(BF899:BF906)</f>
        <v>8407.3</v>
      </c>
      <c r="BG907" s="71">
        <f t="shared" si="3304"/>
        <v>8189</v>
      </c>
      <c r="BH907" s="72">
        <f t="shared" si="3304"/>
        <v>2940.59</v>
      </c>
      <c r="BI907" s="34">
        <f>H907+BF907-BG907</f>
        <v>2940.59</v>
      </c>
      <c r="BJ907" s="34">
        <f>BH907-BI907</f>
        <v>0</v>
      </c>
      <c r="BK907" s="2" t="b">
        <f>H907='2020'!BH907</f>
        <v>1</v>
      </c>
    </row>
    <row r="908" ht="14.25" customHeight="1" hidden="1" spans="1:63" x14ac:dyDescent="0.25">
      <c r="A908" s="2">
        <v>107</v>
      </c>
      <c r="B908" s="14"/>
      <c r="D908" s="14" t="s">
        <v>379</v>
      </c>
      <c r="F908" s="13"/>
      <c r="G908" s="28"/>
      <c r="H908" s="34">
        <f>'2020'!BH908</f>
        <v>0</v>
      </c>
      <c r="I908" s="13"/>
      <c r="J908" s="15"/>
      <c r="K908" s="15"/>
      <c r="L908" s="28"/>
      <c r="M908" s="13"/>
      <c r="N908" s="15"/>
      <c r="Q908" s="13"/>
      <c r="R908" s="15"/>
      <c r="S908" s="15"/>
      <c r="T908" s="28"/>
      <c r="U908" s="13"/>
      <c r="V908" s="15"/>
      <c r="Y908" s="186"/>
      <c r="Z908" s="2"/>
      <c r="AA908" s="15"/>
      <c r="AB908" s="28"/>
      <c r="AC908" s="15"/>
      <c r="AD908" s="15"/>
      <c r="AG908" s="15"/>
      <c r="AH908" s="2"/>
      <c r="AI908" s="45"/>
      <c r="AJ908" s="15"/>
      <c r="AK908" s="13"/>
      <c r="AM908" s="45"/>
      <c r="AO908" s="13"/>
      <c r="AQ908" s="45"/>
      <c r="AS908" s="13"/>
      <c r="AU908" s="45"/>
      <c r="AW908" s="13"/>
      <c r="AY908" s="45"/>
      <c r="AZ908" s="28"/>
      <c r="BA908" s="13"/>
      <c r="BB908" s="15"/>
      <c r="BC908" s="45"/>
      <c r="BD908" s="28"/>
      <c r="BE908" s="14"/>
      <c r="BF908" s="41">
        <f t="shared" ref="BF908:BG908" si="3305">K908+O908+S908+W908+AA908+AE908+AI908+AM908+AQ908+AU908+AY908+BC908</f>
        <v>0</v>
      </c>
      <c r="BG908" s="34">
        <f t="shared" si="3305"/>
        <v>0</v>
      </c>
      <c r="BH908" s="35">
        <f t="shared" ref="BH908:BH915" si="3306">H908+BF908-BG908</f>
        <v>0</v>
      </c>
      <c r="BK908" s="2" t="b">
        <f>H908='2020'!BH908</f>
        <v>1</v>
      </c>
    </row>
    <row r="909" ht="14.25" customHeight="1" hidden="1" spans="1:63" x14ac:dyDescent="0.25">
      <c r="A909" s="2">
        <v>107</v>
      </c>
      <c r="B909" s="14">
        <v>4.37</v>
      </c>
      <c r="C909" s="2" t="s">
        <v>325</v>
      </c>
      <c r="D909" s="14" t="s">
        <v>44</v>
      </c>
      <c r="E909" s="2" t="s">
        <v>45</v>
      </c>
      <c r="F909" s="41">
        <v>2.5</v>
      </c>
      <c r="G909" s="35">
        <v>2.6</v>
      </c>
      <c r="H909" s="34">
        <f>'2020'!BH909</f>
        <v>6.6</v>
      </c>
      <c r="I909" s="13">
        <v>295</v>
      </c>
      <c r="J909" s="15">
        <f>I909-'2020'!BA909</f>
        <v>0</v>
      </c>
      <c r="K909" s="34">
        <f>J909*$F$8</f>
        <v>0</v>
      </c>
      <c r="L909" s="28"/>
      <c r="M909" s="13">
        <v>295</v>
      </c>
      <c r="N909" s="15">
        <f t="shared" ref="N909:N910" si="3307">M909-I909</f>
        <v>0</v>
      </c>
      <c r="O909" s="34">
        <f>N909*$F$8</f>
        <v>0</v>
      </c>
      <c r="Q909" s="13">
        <v>295</v>
      </c>
      <c r="R909" s="15">
        <f t="shared" ref="R909:R910" si="3308">Q909-M909</f>
        <v>0</v>
      </c>
      <c r="S909" s="34">
        <f>R909*$F$8</f>
        <v>0</v>
      </c>
      <c r="T909" s="28"/>
      <c r="U909" s="13">
        <v>295</v>
      </c>
      <c r="V909" s="15">
        <f t="shared" ref="V909:V910" si="3309">U909-Q909</f>
        <v>0</v>
      </c>
      <c r="W909" s="34">
        <f>V909*$F$8</f>
        <v>0</v>
      </c>
      <c r="Y909" s="186">
        <v>322</v>
      </c>
      <c r="Z909" s="2">
        <f>Y909-U909</f>
        <v>27</v>
      </c>
      <c r="AA909" s="34">
        <f>Z909*$F$8</f>
        <v>70.2</v>
      </c>
      <c r="AB909" s="28"/>
      <c r="AC909" s="15">
        <v>416</v>
      </c>
      <c r="AD909" s="15">
        <f t="shared" ref="AD909:AD910" si="3310">AC909-Y909</f>
        <v>94</v>
      </c>
      <c r="AE909" s="180">
        <f>AD909*$F$8</f>
        <v>244.4</v>
      </c>
      <c r="AF909" s="2"/>
      <c r="AG909" s="15">
        <v>514</v>
      </c>
      <c r="AH909" s="2">
        <f t="shared" ref="AH909:AH910" si="3311">AG909-AC909</f>
        <v>98</v>
      </c>
      <c r="AI909" s="45">
        <f>AH909*$G$8</f>
        <v>264.6</v>
      </c>
      <c r="AJ909" s="326">
        <v>585.8</v>
      </c>
      <c r="AK909" s="13">
        <v>632</v>
      </c>
      <c r="AL909" s="15">
        <f t="shared" ref="AL909:AL910" si="3312">AK909-AG909</f>
        <v>118</v>
      </c>
      <c r="AM909" s="45">
        <f>AL909*$G$8</f>
        <v>318.6</v>
      </c>
      <c r="AN909" s="305">
        <v>318</v>
      </c>
      <c r="AO909" s="13">
        <v>687</v>
      </c>
      <c r="AP909" s="15">
        <f t="shared" ref="AP909:AP910" si="3313">AO909-AK909</f>
        <v>55</v>
      </c>
      <c r="AQ909" s="45">
        <f>AP909*$G$8</f>
        <v>148.5</v>
      </c>
      <c r="AR909" s="15"/>
      <c r="AS909" s="13">
        <v>695</v>
      </c>
      <c r="AT909" s="15">
        <f t="shared" ref="AT909:AT910" si="3314">AS909-AO909</f>
        <v>8</v>
      </c>
      <c r="AU909" s="45">
        <f t="shared" ref="AU909:AU910" si="3315">AT909*$G$8</f>
        <v>21.6</v>
      </c>
      <c r="AV909" s="15"/>
      <c r="AW909" s="13">
        <v>695</v>
      </c>
      <c r="AX909" s="15">
        <f t="shared" ref="AX909:AX910" si="3316">AW909-AS909</f>
        <v>0</v>
      </c>
      <c r="AY909" s="45">
        <f>AX909*$G$8</f>
        <v>0</v>
      </c>
      <c r="AZ909" s="208"/>
      <c r="BA909" s="13">
        <v>695</v>
      </c>
      <c r="BB909" s="15">
        <f t="shared" ref="BB909:BB910" si="3317">BA909-AW909</f>
        <v>0</v>
      </c>
      <c r="BC909" s="45">
        <f>BB909*$G$8</f>
        <v>0</v>
      </c>
      <c r="BD909" s="208"/>
      <c r="BE909" s="40">
        <f t="shared" ref="BE909:BG909" si="3318">J909+N909+R909+V909+Z909+AD909+AH909+AL909+AP909+AT909+AX909+BB909</f>
        <v>400</v>
      </c>
      <c r="BF909" s="41">
        <f t="shared" si="3318"/>
        <v>1067.9</v>
      </c>
      <c r="BG909" s="34">
        <f t="shared" si="3318"/>
        <v>903.8</v>
      </c>
      <c r="BH909" s="35">
        <f t="shared" si="3306"/>
        <v>170.7</v>
      </c>
      <c r="BK909" s="2" t="b">
        <f>H909='2020'!BH909</f>
        <v>1</v>
      </c>
    </row>
    <row r="910" ht="14.25" customHeight="1" hidden="1" spans="1:63" x14ac:dyDescent="0.25">
      <c r="A910" s="2">
        <v>107</v>
      </c>
      <c r="B910" s="14"/>
      <c r="C910" s="2" t="s">
        <v>71</v>
      </c>
      <c r="D910" s="14" t="s">
        <v>47</v>
      </c>
      <c r="E910" s="2" t="s">
        <v>48</v>
      </c>
      <c r="F910" s="13">
        <v>18.56</v>
      </c>
      <c r="G910" s="35">
        <v>19.46</v>
      </c>
      <c r="H910" s="34">
        <f>'2020'!BH910</f>
        <v>-197.49</v>
      </c>
      <c r="I910" s="13">
        <v>133</v>
      </c>
      <c r="J910" s="15"/>
      <c r="K910" s="15"/>
      <c r="L910" s="28"/>
      <c r="M910" s="13">
        <v>133</v>
      </c>
      <c r="N910" s="15">
        <f t="shared" si="3307"/>
        <v>0</v>
      </c>
      <c r="Q910" s="13">
        <v>133</v>
      </c>
      <c r="R910" s="15">
        <f t="shared" si="3308"/>
        <v>0</v>
      </c>
      <c r="S910" s="15"/>
      <c r="T910" s="28"/>
      <c r="U910" s="13">
        <v>134</v>
      </c>
      <c r="V910" s="15">
        <f t="shared" si="3309"/>
        <v>1</v>
      </c>
      <c r="W910" s="180">
        <f>V910*$F$10</f>
        <v>19.46</v>
      </c>
      <c r="Y910" s="186">
        <v>444</v>
      </c>
      <c r="Z910" s="2">
        <v>0</v>
      </c>
      <c r="AA910" s="34">
        <f>Z910*$F$10</f>
        <v>0</v>
      </c>
      <c r="AB910" s="28"/>
      <c r="AC910" s="15">
        <v>453</v>
      </c>
      <c r="AD910" s="15">
        <f t="shared" si="3310"/>
        <v>9</v>
      </c>
      <c r="AE910" s="34">
        <f>AD910*$F$10</f>
        <v>175.14</v>
      </c>
      <c r="AF910" s="2"/>
      <c r="AG910" s="15">
        <v>461</v>
      </c>
      <c r="AH910" s="2">
        <f t="shared" si="3311"/>
        <v>8</v>
      </c>
      <c r="AI910" s="45">
        <f>AH910*$G$10</f>
        <v>162.8</v>
      </c>
      <c r="AJ910" s="326">
        <v>167.2</v>
      </c>
      <c r="AK910" s="13">
        <v>468</v>
      </c>
      <c r="AL910" s="15">
        <f t="shared" si="3312"/>
        <v>7</v>
      </c>
      <c r="AM910" s="45">
        <f>AL910*$G$10</f>
        <v>142.45</v>
      </c>
      <c r="AN910" s="305">
        <v>142</v>
      </c>
      <c r="AO910" s="13">
        <v>472</v>
      </c>
      <c r="AP910" s="15">
        <f t="shared" si="3313"/>
        <v>4</v>
      </c>
      <c r="AQ910" s="45">
        <f>AP910*$G$10</f>
        <v>81.4</v>
      </c>
      <c r="AR910" s="15"/>
      <c r="AS910" s="13">
        <v>472</v>
      </c>
      <c r="AT910" s="15">
        <f t="shared" si="3314"/>
        <v>0</v>
      </c>
      <c r="AU910" s="45">
        <f t="shared" si="3315"/>
        <v>0</v>
      </c>
      <c r="AV910" s="15"/>
      <c r="AW910" s="13">
        <v>472</v>
      </c>
      <c r="AX910" s="15">
        <f t="shared" si="3316"/>
        <v>0</v>
      </c>
      <c r="AY910" s="45"/>
      <c r="AZ910" s="208"/>
      <c r="BA910" s="13">
        <v>472</v>
      </c>
      <c r="BB910" s="15">
        <f t="shared" si="3317"/>
        <v>0</v>
      </c>
      <c r="BC910" s="45"/>
      <c r="BD910" s="208"/>
      <c r="BE910" s="40">
        <f t="shared" ref="BE910:BG910" si="3319">J910+N910+R910+V910+Z910+AD910+AH910+AL910+AP910+AT910+AX910+BB910</f>
        <v>29</v>
      </c>
      <c r="BF910" s="41">
        <f t="shared" si="3319"/>
        <v>581.25</v>
      </c>
      <c r="BG910" s="34">
        <f t="shared" si="3319"/>
        <v>309.2</v>
      </c>
      <c r="BH910" s="35">
        <f t="shared" si="3306"/>
        <v>74.56</v>
      </c>
      <c r="BK910" s="2" t="b">
        <f>H910='2020'!BH910</f>
        <v>1</v>
      </c>
    </row>
    <row r="911" ht="14.25" customHeight="1" hidden="1" spans="1:63" x14ac:dyDescent="0.25">
      <c r="A911" s="2">
        <v>107</v>
      </c>
      <c r="B911" s="14"/>
      <c r="C911" s="2" t="s">
        <v>107</v>
      </c>
      <c r="D911" s="14" t="s">
        <v>47</v>
      </c>
      <c r="E911" s="2" t="s">
        <v>49</v>
      </c>
      <c r="F911" s="41">
        <v>500</v>
      </c>
      <c r="G911" s="28"/>
      <c r="H911" s="34">
        <f>'2020'!BH911</f>
        <v>0</v>
      </c>
      <c r="I911" s="13"/>
      <c r="J911" s="15"/>
      <c r="K911" s="15"/>
      <c r="L911" s="28"/>
      <c r="M911" s="13"/>
      <c r="N911" s="15"/>
      <c r="Q911" s="13"/>
      <c r="R911" s="15"/>
      <c r="S911" s="15"/>
      <c r="T911" s="28"/>
      <c r="U911" s="13"/>
      <c r="V911" s="15"/>
      <c r="Y911" s="186"/>
      <c r="Z911" s="2"/>
      <c r="AA911" s="15"/>
      <c r="AB911" s="28"/>
      <c r="AC911" s="15"/>
      <c r="AD911" s="15"/>
      <c r="AG911" s="15"/>
      <c r="AH911" s="2"/>
      <c r="AI911" s="45"/>
      <c r="AJ911" s="182"/>
      <c r="AK911" s="13"/>
      <c r="AL911" s="15"/>
      <c r="AM911" s="45"/>
      <c r="AN911" s="15"/>
      <c r="AO911" s="13"/>
      <c r="AP911" s="15"/>
      <c r="AQ911" s="45"/>
      <c r="AR911" s="15"/>
      <c r="AS911" s="13"/>
      <c r="AT911" s="15"/>
      <c r="AU911" s="45"/>
      <c r="AV911" s="15"/>
      <c r="AW911" s="13"/>
      <c r="AX911" s="15"/>
      <c r="AY911" s="45"/>
      <c r="AZ911" s="28"/>
      <c r="BA911" s="13"/>
      <c r="BB911" s="15"/>
      <c r="BC911" s="45"/>
      <c r="BD911" s="28"/>
      <c r="BE911" s="14"/>
      <c r="BF911" s="41">
        <f t="shared" ref="BF911:BG911" si="3320">K911+O911+S911+W911+AA911+AE911+AI911+AM911+AQ911+AU911+AY911+BC911</f>
        <v>0</v>
      </c>
      <c r="BG911" s="34">
        <f t="shared" si="3320"/>
        <v>0</v>
      </c>
      <c r="BH911" s="35">
        <f t="shared" si="3306"/>
        <v>0</v>
      </c>
      <c r="BK911" s="2" t="b">
        <f>H911='2020'!BH911</f>
        <v>1</v>
      </c>
    </row>
    <row r="912" ht="14.25" customHeight="1" hidden="1" spans="1:63" x14ac:dyDescent="0.25">
      <c r="A912" s="2">
        <v>107</v>
      </c>
      <c r="B912" s="14"/>
      <c r="C912" s="2" t="s">
        <v>449</v>
      </c>
      <c r="D912" s="14" t="s">
        <v>50</v>
      </c>
      <c r="E912" s="2" t="s">
        <v>49</v>
      </c>
      <c r="F912" s="41">
        <v>1100</v>
      </c>
      <c r="G912" s="28"/>
      <c r="H912" s="34">
        <f>'2020'!BH912</f>
        <v>0</v>
      </c>
      <c r="I912" s="13"/>
      <c r="J912" s="15"/>
      <c r="K912" s="15"/>
      <c r="L912" s="28"/>
      <c r="M912" s="13"/>
      <c r="N912" s="15"/>
      <c r="Q912" s="13"/>
      <c r="R912" s="15"/>
      <c r="S912" s="15"/>
      <c r="T912" s="28"/>
      <c r="U912" s="13"/>
      <c r="V912" s="15"/>
      <c r="Y912" s="186"/>
      <c r="Z912" s="2"/>
      <c r="AA912" s="15"/>
      <c r="AB912" s="28"/>
      <c r="AC912" s="15"/>
      <c r="AD912" s="15"/>
      <c r="AE912" s="34">
        <f>B909*$F$12</f>
        <v>4807</v>
      </c>
      <c r="AF912" s="180"/>
      <c r="AG912" s="15"/>
      <c r="AH912" s="2"/>
      <c r="AI912" s="45"/>
      <c r="AJ912" s="326">
        <v>4807</v>
      </c>
      <c r="AK912" s="13"/>
      <c r="AL912" s="15"/>
      <c r="AM912" s="45"/>
      <c r="AN912" s="15"/>
      <c r="AO912" s="13"/>
      <c r="AP912" s="15"/>
      <c r="AQ912" s="45"/>
      <c r="AR912" s="15"/>
      <c r="AS912" s="13"/>
      <c r="AT912" s="15"/>
      <c r="AU912" s="45"/>
      <c r="AV912" s="15"/>
      <c r="AW912" s="13"/>
      <c r="AX912" s="15"/>
      <c r="AY912" s="45"/>
      <c r="AZ912" s="28"/>
      <c r="BA912" s="13"/>
      <c r="BB912" s="15"/>
      <c r="BC912" s="45"/>
      <c r="BD912" s="28"/>
      <c r="BE912" s="14"/>
      <c r="BF912" s="41">
        <f t="shared" ref="BF912:BG912" si="3321">K912+O912+S912+W912+AA912+AE912+AI912+AM912+AQ912+AU912+AY912+BC912</f>
        <v>4807</v>
      </c>
      <c r="BG912" s="34">
        <f t="shared" si="3321"/>
        <v>4807</v>
      </c>
      <c r="BH912" s="35">
        <f t="shared" si="3306"/>
        <v>0</v>
      </c>
      <c r="BK912" s="2" t="b">
        <f>H912='2020'!BH912</f>
        <v>1</v>
      </c>
    </row>
    <row r="913" ht="14.25" customHeight="1" hidden="1" spans="1:63" x14ac:dyDescent="0.25">
      <c r="A913" s="2">
        <v>107</v>
      </c>
      <c r="B913" s="14"/>
      <c r="D913" s="14" t="s">
        <v>51</v>
      </c>
      <c r="E913" s="2" t="s">
        <v>39</v>
      </c>
      <c r="F913" s="41">
        <v>500</v>
      </c>
      <c r="G913" s="28"/>
      <c r="H913" s="34">
        <f>'2020'!BH913</f>
        <v>500</v>
      </c>
      <c r="I913" s="13"/>
      <c r="J913" s="15"/>
      <c r="K913" s="15"/>
      <c r="L913" s="28"/>
      <c r="M913" s="13"/>
      <c r="N913" s="15"/>
      <c r="Q913" s="13"/>
      <c r="R913" s="15"/>
      <c r="S913" s="15"/>
      <c r="T913" s="28"/>
      <c r="U913" s="13"/>
      <c r="V913" s="15"/>
      <c r="Y913" s="186"/>
      <c r="Z913" s="2"/>
      <c r="AA913" s="15"/>
      <c r="AB913" s="28"/>
      <c r="AC913" s="15"/>
      <c r="AD913" s="15"/>
      <c r="AE913" s="180">
        <f>$F$13</f>
      </c>
      <c r="AG913" s="15"/>
      <c r="AH913" s="2"/>
      <c r="AI913" s="45"/>
      <c r="AJ913" s="182"/>
      <c r="AK913" s="13"/>
      <c r="AL913" s="15"/>
      <c r="AM913" s="45"/>
      <c r="AN913" s="305">
        <v>500</v>
      </c>
      <c r="AO913" s="13"/>
      <c r="AP913" s="15"/>
      <c r="AQ913" s="180"/>
      <c r="AR913" s="15"/>
      <c r="AS913" s="13"/>
      <c r="AT913" s="15"/>
      <c r="AU913" s="45"/>
      <c r="AV913" s="15"/>
      <c r="AW913" s="13"/>
      <c r="AX913" s="15"/>
      <c r="AY913" s="45"/>
      <c r="AZ913" s="28"/>
      <c r="BA913" s="13"/>
      <c r="BB913" s="15"/>
      <c r="BC913" s="45"/>
      <c r="BD913" s="28"/>
      <c r="BE913" s="14"/>
      <c r="BF913" s="41">
        <f t="shared" ref="BF913:BG913" si="3322">K913+O913+S913+W913+AA913+AE913+AI913+AM913+AQ913+AU913+AY913+BC913</f>
        <v>0</v>
      </c>
      <c r="BG913" s="34">
        <f t="shared" si="3322"/>
        <v>500</v>
      </c>
      <c r="BH913" s="35">
        <f t="shared" si="3306"/>
        <v>0</v>
      </c>
      <c r="BK913" s="2" t="b">
        <f>H913='2020'!BH913</f>
        <v>1</v>
      </c>
    </row>
    <row r="914" ht="14.25" customHeight="1" hidden="1" spans="1:63" x14ac:dyDescent="0.25">
      <c r="A914" s="2">
        <v>107</v>
      </c>
      <c r="B914" s="14"/>
      <c r="D914" s="14" t="s">
        <v>51</v>
      </c>
      <c r="E914" s="2" t="s">
        <v>49</v>
      </c>
      <c r="F914" s="41">
        <v>500</v>
      </c>
      <c r="G914" s="28"/>
      <c r="H914" s="34">
        <f>'2020'!BH914</f>
        <v>2185</v>
      </c>
      <c r="I914" s="13"/>
      <c r="J914" s="15"/>
      <c r="K914" s="15"/>
      <c r="L914" s="28"/>
      <c r="M914" s="13"/>
      <c r="N914" s="15"/>
      <c r="Q914" s="13"/>
      <c r="R914" s="15"/>
      <c r="S914" s="15"/>
      <c r="T914" s="28"/>
      <c r="U914" s="13"/>
      <c r="V914" s="15"/>
      <c r="Y914" s="186"/>
      <c r="Z914" s="2"/>
      <c r="AA914" s="15"/>
      <c r="AB914" s="32">
        <v>2185</v>
      </c>
      <c r="AC914" s="15"/>
      <c r="AD914" s="15"/>
      <c r="AE914" s="34"/>
      <c r="AG914" s="15"/>
      <c r="AH914" s="2"/>
      <c r="AI914" s="45"/>
      <c r="AJ914" s="180"/>
      <c r="AK914" s="13"/>
      <c r="AL914" s="15"/>
      <c r="AM914" s="45"/>
      <c r="AN914" s="15"/>
      <c r="AO914" s="13"/>
      <c r="AP914" s="15"/>
      <c r="AQ914" s="180">
        <f>B909*$F$14</f>
        <v>0</v>
      </c>
      <c r="AR914" s="15"/>
      <c r="AS914" s="13"/>
      <c r="AT914" s="15"/>
      <c r="AU914" s="45"/>
      <c r="AV914" s="15"/>
      <c r="AW914" s="13"/>
      <c r="AX914" s="15"/>
      <c r="AY914" s="45"/>
      <c r="AZ914" s="28"/>
      <c r="BA914" s="13"/>
      <c r="BB914" s="15"/>
      <c r="BC914" s="45"/>
      <c r="BD914" s="28"/>
      <c r="BE914" s="14"/>
      <c r="BF914" s="41">
        <f t="shared" ref="BF914:BG914" si="3323">K914+O914+S914+W914+AA914+AE914+AI914+AM914+AQ914+AU914+AY914+BC914</f>
        <v>0</v>
      </c>
      <c r="BG914" s="34">
        <f t="shared" si="3323"/>
        <v>2185</v>
      </c>
      <c r="BH914" s="35">
        <f t="shared" si="3306"/>
        <v>0</v>
      </c>
      <c r="BK914" s="2" t="b">
        <f>H914='2020'!BH914</f>
        <v>1</v>
      </c>
    </row>
    <row r="915" ht="14.25" customHeight="1" hidden="1" spans="1:63" x14ac:dyDescent="0.25">
      <c r="A915" s="2">
        <v>107</v>
      </c>
      <c r="B915" s="14"/>
      <c r="D915" s="14" t="s">
        <v>52</v>
      </c>
      <c r="E915" s="2" t="s">
        <v>39</v>
      </c>
      <c r="F915" s="41">
        <v>500</v>
      </c>
      <c r="G915" s="28"/>
      <c r="H915" s="34">
        <f>'2020'!BH915</f>
        <v>0</v>
      </c>
      <c r="I915" s="13"/>
      <c r="J915" s="15"/>
      <c r="K915" s="15"/>
      <c r="L915" s="28"/>
      <c r="M915" s="13"/>
      <c r="N915" s="15"/>
      <c r="Q915" s="13"/>
      <c r="R915" s="15"/>
      <c r="S915" s="15"/>
      <c r="T915" s="28"/>
      <c r="U915" s="13"/>
      <c r="V915" s="15"/>
      <c r="Y915" s="186"/>
      <c r="Z915" s="2"/>
      <c r="AA915" s="34">
        <f>$F$15</f>
      </c>
      <c r="AB915" s="28"/>
      <c r="AC915" s="15"/>
      <c r="AD915" s="15"/>
      <c r="AF915" s="180"/>
      <c r="AG915" s="15"/>
      <c r="AH915" s="2"/>
      <c r="AI915" s="45"/>
      <c r="AJ915" s="180"/>
      <c r="AK915" s="13"/>
      <c r="AL915" s="15"/>
      <c r="AM915" s="45"/>
      <c r="AN915" s="15"/>
      <c r="AO915" s="13"/>
      <c r="AP915" s="15"/>
      <c r="AQ915" s="45"/>
      <c r="AR915" s="15"/>
      <c r="AS915" s="13"/>
      <c r="AT915" s="15"/>
      <c r="AU915" s="45"/>
      <c r="AV915" s="15"/>
      <c r="AW915" s="13"/>
      <c r="AX915" s="15"/>
      <c r="AY915" s="45"/>
      <c r="AZ915" s="35"/>
      <c r="BA915" s="13"/>
      <c r="BB915" s="15"/>
      <c r="BC915" s="45"/>
      <c r="BD915" s="35"/>
      <c r="BE915" s="14"/>
      <c r="BF915" s="41">
        <f t="shared" ref="BF915:BG915" si="3324">K915+O915+S915+W915+AA915+AE915+AI915+AM915+AQ915+AU915+AY915+BC915</f>
        <v>0</v>
      </c>
      <c r="BG915" s="34">
        <f t="shared" si="3324"/>
        <v>0</v>
      </c>
      <c r="BH915" s="35">
        <f t="shared" si="3306"/>
        <v>0</v>
      </c>
      <c r="BK915" s="2" t="b">
        <f>H915='2020'!BH915</f>
        <v>1</v>
      </c>
    </row>
    <row r="916" ht="14.25" customHeight="1" hidden="1" spans="1:63" x14ac:dyDescent="0.25">
      <c r="A916" s="244" t="s">
        <v>327</v>
      </c>
      <c r="B916" s="21"/>
      <c r="C916" s="22" t="s">
        <v>53</v>
      </c>
      <c r="D916" s="21"/>
      <c r="E916" s="22"/>
      <c r="F916" s="20"/>
      <c r="G916" s="23"/>
      <c r="H916" s="51">
        <f>SUM(H908:H915)</f>
        <v>2494.11</v>
      </c>
      <c r="I916" s="52"/>
      <c r="J916" s="53"/>
      <c r="K916" s="51">
        <f t="shared" ref="K916:L916" si="3325">SUM(K908:K915)</f>
        <v>0</v>
      </c>
      <c r="L916" s="68">
        <f t="shared" si="3325"/>
        <v>0</v>
      </c>
      <c r="M916" s="52"/>
      <c r="N916" s="53"/>
      <c r="O916" s="51">
        <f t="shared" ref="O916:P916" si="3326">SUM(O908:O915)</f>
        <v>0</v>
      </c>
      <c r="P916" s="51">
        <f t="shared" si="3326"/>
        <v>0</v>
      </c>
      <c r="Q916" s="52"/>
      <c r="R916" s="53"/>
      <c r="S916" s="51">
        <f t="shared" ref="S916:T916" si="3327">SUM(S908:S915)</f>
        <v>0</v>
      </c>
      <c r="T916" s="51">
        <f t="shared" si="3327"/>
        <v>0</v>
      </c>
      <c r="U916" s="52"/>
      <c r="V916" s="53"/>
      <c r="W916" s="51">
        <f t="shared" ref="W916:X916" si="3328">SUM(W908:W915)</f>
        <v>19.46</v>
      </c>
      <c r="X916" s="51">
        <f t="shared" si="3328"/>
        <v>0</v>
      </c>
      <c r="Y916" s="300"/>
      <c r="Z916" s="301"/>
      <c r="AA916" s="51">
        <f t="shared" ref="AA916:AB916" si="3329">SUM(AA908:AA915)</f>
        <v>70.2</v>
      </c>
      <c r="AB916" s="51">
        <f t="shared" si="3329"/>
        <v>2185</v>
      </c>
      <c r="AC916" s="52"/>
      <c r="AD916" s="53"/>
      <c r="AE916" s="51">
        <f t="shared" ref="AE916:AF916" si="3330">SUM(AE908:AE915)</f>
        <v>5226.54</v>
      </c>
      <c r="AF916" s="51">
        <f t="shared" si="3330"/>
        <v>0</v>
      </c>
      <c r="AG916" s="52"/>
      <c r="AH916" s="301"/>
      <c r="AI916" s="183">
        <f t="shared" ref="AI916:AJ916" si="3331">SUM(AI908:AI915)</f>
        <v>427.4</v>
      </c>
      <c r="AJ916" s="51">
        <f t="shared" si="3331"/>
        <v>5560</v>
      </c>
      <c r="AK916" s="52"/>
      <c r="AL916" s="53"/>
      <c r="AM916" s="183">
        <f t="shared" ref="AM916:AN916" si="3332">SUM(AM908:AM915)</f>
        <v>461.05</v>
      </c>
      <c r="AN916" s="51">
        <f t="shared" si="3332"/>
        <v>960</v>
      </c>
      <c r="AO916" s="52"/>
      <c r="AP916" s="53"/>
      <c r="AQ916" s="183">
        <f t="shared" ref="AQ916:AR916" si="3333">SUM(AQ908:AQ915)</f>
        <v>229.9</v>
      </c>
      <c r="AR916" s="51">
        <f t="shared" si="3333"/>
        <v>0</v>
      </c>
      <c r="AS916" s="52"/>
      <c r="AT916" s="53"/>
      <c r="AU916" s="183">
        <f t="shared" ref="AU916:AV916" si="3334">SUM(AU908:AU915)</f>
        <v>21.6</v>
      </c>
      <c r="AV916" s="68">
        <f t="shared" si="3334"/>
        <v>0</v>
      </c>
      <c r="AW916" s="52"/>
      <c r="AX916" s="53"/>
      <c r="AY916" s="183">
        <f t="shared" ref="AY916:AZ916" si="3335">SUM(AY908:AY915)</f>
        <v>0</v>
      </c>
      <c r="AZ916" s="68">
        <f t="shared" si="3335"/>
        <v>0</v>
      </c>
      <c r="BA916" s="52"/>
      <c r="BB916" s="53"/>
      <c r="BC916" s="183">
        <f t="shared" ref="BC916:BD916" si="3336">SUM(BC908:BC915)</f>
        <v>0</v>
      </c>
      <c r="BD916" s="68">
        <f t="shared" si="3336"/>
        <v>0</v>
      </c>
      <c r="BE916" s="69"/>
      <c r="BF916" s="70">
        <f t="shared" ref="BF916:BH916" si="3337">SUM(BF908:BF915)</f>
        <v>6456.15</v>
      </c>
      <c r="BG916" s="71">
        <f t="shared" si="3337"/>
        <v>8705</v>
      </c>
      <c r="BH916" s="72">
        <f t="shared" si="3337"/>
        <v>245.26</v>
      </c>
      <c r="BI916" s="34">
        <f>H916+BF916-BG916</f>
        <v>245.26</v>
      </c>
      <c r="BJ916" s="34">
        <f>BH916-BI916</f>
        <v>0</v>
      </c>
      <c r="BK916" s="2" t="b">
        <f>H916='2020'!BH916</f>
        <v>1</v>
      </c>
    </row>
    <row r="917" ht="14.25" customHeight="1" hidden="1" spans="1:63" x14ac:dyDescent="0.25">
      <c r="A917" s="2">
        <v>96</v>
      </c>
      <c r="B917" s="14"/>
      <c r="D917" s="14" t="s">
        <v>379</v>
      </c>
      <c r="F917" s="13"/>
      <c r="G917" s="28"/>
      <c r="H917" s="34">
        <f>'2020'!BH917</f>
        <v>50.47</v>
      </c>
      <c r="I917" s="13"/>
      <c r="J917" s="15"/>
      <c r="K917" s="15"/>
      <c r="L917" s="28"/>
      <c r="M917" s="13"/>
      <c r="N917" s="15"/>
      <c r="Q917" s="13"/>
      <c r="R917" s="15"/>
      <c r="S917" s="15"/>
      <c r="T917" s="28"/>
      <c r="U917" s="13"/>
      <c r="V917" s="15"/>
      <c r="Y917" s="186"/>
      <c r="Z917" s="2"/>
      <c r="AA917" s="15"/>
      <c r="AB917" s="28"/>
      <c r="AC917" s="15"/>
      <c r="AD917" s="15"/>
      <c r="AF917" s="1">
        <v>50.47</v>
      </c>
      <c r="AG917" s="15"/>
      <c r="AH917" s="2"/>
      <c r="AI917" s="45"/>
      <c r="AJ917" s="15"/>
      <c r="AK917" s="13"/>
      <c r="AM917" s="45"/>
      <c r="AO917" s="13"/>
      <c r="AQ917" s="180"/>
      <c r="AS917" s="13"/>
      <c r="AU917" s="180"/>
      <c r="AW917" s="13"/>
      <c r="AY917" s="180"/>
      <c r="AZ917" s="28"/>
      <c r="BA917" s="13"/>
      <c r="BB917" s="15"/>
      <c r="BC917" s="180"/>
      <c r="BD917" s="28"/>
      <c r="BE917" s="14"/>
      <c r="BF917" s="41">
        <f t="shared" ref="BF917:BG917" si="3338">K917+O917+S917+W917+AA917+AE917+AI917+AM917+AQ917+AU917+AY917+BC917</f>
        <v>0</v>
      </c>
      <c r="BG917" s="34">
        <f t="shared" si="3338"/>
        <v>50.47</v>
      </c>
      <c r="BH917" s="35">
        <f t="shared" ref="BH917:BH924" si="3339">H917+BF917-BG917</f>
        <v>0</v>
      </c>
      <c r="BK917" s="2" t="b">
        <f>H917='2020'!BH917</f>
        <v>1</v>
      </c>
    </row>
    <row r="918" ht="14.25" customHeight="1" hidden="1" spans="1:63" x14ac:dyDescent="0.25">
      <c r="A918" s="2">
        <v>96</v>
      </c>
      <c r="B918" s="14">
        <v>4.46</v>
      </c>
      <c r="C918" s="2" t="s">
        <v>450</v>
      </c>
      <c r="D918" s="14" t="s">
        <v>44</v>
      </c>
      <c r="E918" s="2" t="s">
        <v>45</v>
      </c>
      <c r="F918" s="41">
        <v>2.5</v>
      </c>
      <c r="G918" s="35">
        <v>2.6</v>
      </c>
      <c r="H918" s="104">
        <f>'2020'!BH918</f>
        <v>0</v>
      </c>
      <c r="I918" s="13">
        <v>0</v>
      </c>
      <c r="J918" s="15">
        <f>I918-'2020'!BA918</f>
        <v>0</v>
      </c>
      <c r="K918" s="34">
        <f>J918*$F$8</f>
        <v>0</v>
      </c>
      <c r="L918" s="28"/>
      <c r="M918" s="13">
        <v>0</v>
      </c>
      <c r="N918" s="15">
        <f t="shared" ref="N918:N919" si="3340">M918-I918</f>
        <v>0</v>
      </c>
      <c r="O918" s="34">
        <f>N918*$F$8</f>
        <v>0</v>
      </c>
      <c r="Q918" s="13">
        <v>0</v>
      </c>
      <c r="R918" s="15">
        <f t="shared" ref="R918:R919" si="3341">Q918-M918</f>
        <v>0</v>
      </c>
      <c r="S918" s="34">
        <f>R918*$F$8</f>
        <v>0</v>
      </c>
      <c r="T918" s="28"/>
      <c r="U918" s="13">
        <v>0</v>
      </c>
      <c r="V918" s="15">
        <f t="shared" ref="V918:V919" si="3342">U918-Q918</f>
        <v>0</v>
      </c>
      <c r="W918" s="34">
        <f>V918*$F$8</f>
        <v>0</v>
      </c>
      <c r="Y918" s="186"/>
      <c r="Z918" s="2">
        <f t="shared" ref="Z918:Z919" si="3343">Y918-U918</f>
        <v>0</v>
      </c>
      <c r="AA918" s="34">
        <f>Z918*$F$8</f>
        <v>0</v>
      </c>
      <c r="AB918" s="28"/>
      <c r="AC918" s="15"/>
      <c r="AD918" s="15">
        <f t="shared" ref="AD918:AD919" si="3344">AC918-Y918</f>
        <v>0</v>
      </c>
      <c r="AE918" s="180">
        <f>AD918*$F$8</f>
        <v>0</v>
      </c>
      <c r="AG918" s="15"/>
      <c r="AH918" s="2">
        <f t="shared" ref="AH918:AH919" si="3345">AG918-AC918</f>
        <v>0</v>
      </c>
      <c r="AI918" s="45">
        <f>AH918*$G$8</f>
        <v>0</v>
      </c>
      <c r="AJ918" s="15"/>
      <c r="AK918" s="13"/>
      <c r="AL918" s="15">
        <f t="shared" ref="AL918:AL919" si="3346">AK918-AG918</f>
        <v>0</v>
      </c>
      <c r="AM918" s="45">
        <f>AL918*$G$8</f>
        <v>0</v>
      </c>
      <c r="AN918" s="15"/>
      <c r="AO918" s="13"/>
      <c r="AP918" s="15">
        <f t="shared" ref="AP918:AP919" si="3347">AO918-AK918</f>
        <v>0</v>
      </c>
      <c r="AQ918" s="45">
        <f>AP918*$G$8</f>
        <v>0</v>
      </c>
      <c r="AR918" s="15"/>
      <c r="AS918" s="13"/>
      <c r="AT918" s="15">
        <f t="shared" ref="AT918:AT919" si="3348">AS918-AO918</f>
        <v>0</v>
      </c>
      <c r="AU918" s="45">
        <f>AT918*$G$8</f>
        <v>0</v>
      </c>
      <c r="AV918" s="15"/>
      <c r="AW918" s="13"/>
      <c r="AX918" s="15">
        <f t="shared" ref="AX918:AX919" si="3349">AW918-AS918</f>
        <v>0</v>
      </c>
      <c r="AY918" s="45">
        <f>AX918*$G$8</f>
        <v>0</v>
      </c>
      <c r="AZ918" s="208"/>
      <c r="BA918" s="13"/>
      <c r="BB918" s="15">
        <f t="shared" ref="BB918:BB919" si="3350">BA918-AW918</f>
        <v>0</v>
      </c>
      <c r="BC918" s="45">
        <f>BB918*$G$8</f>
        <v>0</v>
      </c>
      <c r="BD918" s="208"/>
      <c r="BE918" s="40">
        <f t="shared" ref="BE918:BG918" si="3351">J918+N918+R918+V918+Z918+AD918+AH918+AL918+AP918+AT918+AX918+BB918</f>
        <v>0</v>
      </c>
      <c r="BF918" s="41">
        <f t="shared" si="3351"/>
        <v>0</v>
      </c>
      <c r="BG918" s="34">
        <f t="shared" si="3351"/>
        <v>0</v>
      </c>
      <c r="BH918" s="35">
        <f t="shared" si="3339"/>
        <v>0</v>
      </c>
      <c r="BK918" s="2" t="b">
        <f>H918='2020'!BH918</f>
        <v>1</v>
      </c>
    </row>
    <row r="919" ht="14.25" customHeight="1" hidden="1" spans="1:63" x14ac:dyDescent="0.25">
      <c r="A919" s="2">
        <v>96</v>
      </c>
      <c r="B919" s="14"/>
      <c r="C919" s="2" t="s">
        <v>65</v>
      </c>
      <c r="D919" s="14" t="s">
        <v>47</v>
      </c>
      <c r="E919" s="2" t="s">
        <v>48</v>
      </c>
      <c r="F919" s="13">
        <v>18.56</v>
      </c>
      <c r="G919" s="35">
        <v>19.46</v>
      </c>
      <c r="H919" s="34">
        <f>'2020'!BH919</f>
        <v>0</v>
      </c>
      <c r="I919" s="13"/>
      <c r="J919" s="15"/>
      <c r="K919" s="15"/>
      <c r="L919" s="28"/>
      <c r="M919" s="13"/>
      <c r="N919" s="15">
        <f t="shared" si="3340"/>
        <v>0</v>
      </c>
      <c r="Q919" s="13"/>
      <c r="R919" s="15">
        <f t="shared" si="3341"/>
        <v>0</v>
      </c>
      <c r="S919" s="15"/>
      <c r="T919" s="28"/>
      <c r="U919" s="13"/>
      <c r="V919" s="15">
        <f t="shared" si="3342"/>
        <v>0</v>
      </c>
      <c r="W919" s="180">
        <f>V919*$F$10</f>
        <v>0</v>
      </c>
      <c r="Y919" s="186"/>
      <c r="Z919" s="2">
        <f t="shared" si="3343"/>
        <v>0</v>
      </c>
      <c r="AA919" s="34">
        <f>Z919*$F$10</f>
        <v>0</v>
      </c>
      <c r="AB919" s="28"/>
      <c r="AC919" s="15"/>
      <c r="AD919" s="15">
        <f t="shared" si="3344"/>
        <v>0</v>
      </c>
      <c r="AE919" s="34">
        <f>AD919*$F$10</f>
        <v>0</v>
      </c>
      <c r="AG919" s="15"/>
      <c r="AH919" s="2">
        <f t="shared" si="3345"/>
        <v>0</v>
      </c>
      <c r="AI919" s="45">
        <f>AH919*$G$10</f>
        <v>0</v>
      </c>
      <c r="AJ919" s="15"/>
      <c r="AK919" s="13"/>
      <c r="AL919" s="15">
        <f t="shared" si="3346"/>
        <v>0</v>
      </c>
      <c r="AM919" s="45">
        <f>AL919*$G$10</f>
        <v>0</v>
      </c>
      <c r="AN919" s="15"/>
      <c r="AO919" s="13"/>
      <c r="AP919" s="15">
        <f t="shared" si="3347"/>
        <v>0</v>
      </c>
      <c r="AQ919" s="45">
        <f>AP919*$G$10</f>
        <v>0</v>
      </c>
      <c r="AR919" s="15"/>
      <c r="AS919" s="13"/>
      <c r="AT919" s="15">
        <f t="shared" si="3348"/>
        <v>0</v>
      </c>
      <c r="AU919" s="45">
        <f>AT919*$G$10</f>
        <v>0</v>
      </c>
      <c r="AV919" s="15"/>
      <c r="AW919" s="13"/>
      <c r="AX919" s="15">
        <f t="shared" si="3349"/>
        <v>0</v>
      </c>
      <c r="AY919" s="45"/>
      <c r="AZ919" s="208"/>
      <c r="BA919" s="13"/>
      <c r="BB919" s="15">
        <f t="shared" si="3350"/>
        <v>0</v>
      </c>
      <c r="BC919" s="45"/>
      <c r="BD919" s="208"/>
      <c r="BE919" s="40">
        <f t="shared" ref="BE919:BG919" si="3352">J919+N919+R919+V919+Z919+AD919+AH919+AL919+AP919+AT919+AX919+BB919</f>
        <v>0</v>
      </c>
      <c r="BF919" s="41">
        <f t="shared" si="3352"/>
        <v>0</v>
      </c>
      <c r="BG919" s="34">
        <f t="shared" si="3352"/>
        <v>0</v>
      </c>
      <c r="BH919" s="35">
        <f t="shared" si="3339"/>
        <v>0</v>
      </c>
      <c r="BK919" s="2" t="b">
        <f>H919='2020'!BH919</f>
        <v>1</v>
      </c>
    </row>
    <row r="920" ht="14.25" customHeight="1" hidden="1" spans="1:63" x14ac:dyDescent="0.25">
      <c r="A920" s="2">
        <v>96</v>
      </c>
      <c r="B920" s="14"/>
      <c r="C920" s="15" t="s">
        <v>115</v>
      </c>
      <c r="D920" s="14" t="s">
        <v>47</v>
      </c>
      <c r="E920" s="2" t="s">
        <v>49</v>
      </c>
      <c r="F920" s="41">
        <v>500</v>
      </c>
      <c r="G920" s="28"/>
      <c r="H920" s="144">
        <f>'2020'!BH920</f>
        <v>0</v>
      </c>
      <c r="I920" s="13"/>
      <c r="J920" s="15"/>
      <c r="K920" s="15"/>
      <c r="L920" s="28"/>
      <c r="M920" s="13"/>
      <c r="N920" s="15"/>
      <c r="Q920" s="13"/>
      <c r="R920" s="15"/>
      <c r="S920" s="15"/>
      <c r="T920" s="28"/>
      <c r="U920" s="13"/>
      <c r="V920" s="15"/>
      <c r="Y920" s="186"/>
      <c r="Z920" s="2"/>
      <c r="AA920" s="34"/>
      <c r="AB920" s="28"/>
      <c r="AC920" s="15"/>
      <c r="AD920" s="15"/>
      <c r="AG920" s="15"/>
      <c r="AH920" s="2"/>
      <c r="AI920" s="45"/>
      <c r="AJ920" s="15"/>
      <c r="AK920" s="13"/>
      <c r="AL920" s="15"/>
      <c r="AM920" s="45"/>
      <c r="AN920" s="15"/>
      <c r="AO920" s="13"/>
      <c r="AP920" s="15"/>
      <c r="AQ920" s="45"/>
      <c r="AR920" s="15"/>
      <c r="AS920" s="13"/>
      <c r="AT920" s="15"/>
      <c r="AU920" s="45"/>
      <c r="AV920" s="15"/>
      <c r="AW920" s="13"/>
      <c r="AX920" s="15"/>
      <c r="AY920" s="45"/>
      <c r="AZ920" s="28"/>
      <c r="BA920" s="13"/>
      <c r="BB920" s="15"/>
      <c r="BC920" s="45"/>
      <c r="BD920" s="28"/>
      <c r="BE920" s="40">
        <f t="shared" ref="BE920:BG920" si="3353">J920+N920+R920+V920+Z920+AD920+AH920+AL920+AP920+AT920+AX920+BB920</f>
        <v>0</v>
      </c>
      <c r="BF920" s="41">
        <f t="shared" si="3353"/>
        <v>0</v>
      </c>
      <c r="BG920" s="34">
        <f t="shared" si="3353"/>
        <v>0</v>
      </c>
      <c r="BH920" s="35">
        <f t="shared" si="3339"/>
        <v>0</v>
      </c>
      <c r="BK920" s="2" t="b">
        <f>H920='2020'!BH920</f>
        <v>1</v>
      </c>
    </row>
    <row r="921" ht="14.25" customHeight="1" hidden="1" spans="1:63" x14ac:dyDescent="0.25">
      <c r="A921" s="2">
        <v>96</v>
      </c>
      <c r="B921" s="14"/>
      <c r="C921" s="2" t="s">
        <v>443</v>
      </c>
      <c r="D921" s="14" t="s">
        <v>50</v>
      </c>
      <c r="E921" s="2" t="s">
        <v>49</v>
      </c>
      <c r="F921" s="41">
        <v>1100</v>
      </c>
      <c r="G921" s="28"/>
      <c r="H921" s="180">
        <f>'2020'!BH921</f>
        <v>0</v>
      </c>
      <c r="I921" s="13"/>
      <c r="J921" s="15"/>
      <c r="K921" s="15"/>
      <c r="L921" s="28"/>
      <c r="M921" s="13"/>
      <c r="N921" s="15"/>
      <c r="Q921" s="13"/>
      <c r="R921" s="15"/>
      <c r="S921" s="15"/>
      <c r="T921" s="28"/>
      <c r="U921" s="13"/>
      <c r="V921" s="15"/>
      <c r="Y921" s="186"/>
      <c r="Z921" s="2"/>
      <c r="AA921" s="15"/>
      <c r="AB921" s="28"/>
      <c r="AC921" s="15"/>
      <c r="AD921" s="15"/>
      <c r="AE921" s="34">
        <f>B918*$F$12</f>
        <v>4906</v>
      </c>
      <c r="AG921" s="15"/>
      <c r="AH921" s="2"/>
      <c r="AI921" s="45"/>
      <c r="AJ921" s="34"/>
      <c r="AK921" s="13"/>
      <c r="AL921" s="15"/>
      <c r="AM921" s="45"/>
      <c r="AN921" s="15"/>
      <c r="AO921" s="13"/>
      <c r="AP921" s="15"/>
      <c r="AQ921" s="45"/>
      <c r="AR921" s="1">
        <v>4906</v>
      </c>
      <c r="AS921" s="13"/>
      <c r="AT921" s="15"/>
      <c r="AU921" s="45"/>
      <c r="AV921" s="15"/>
      <c r="AW921" s="13"/>
      <c r="AX921" s="15"/>
      <c r="AY921" s="45"/>
      <c r="AZ921" s="28"/>
      <c r="BA921" s="13"/>
      <c r="BB921" s="15"/>
      <c r="BC921" s="45"/>
      <c r="BD921" s="28"/>
      <c r="BE921" s="14"/>
      <c r="BF921" s="41">
        <f t="shared" ref="BF921:BG921" si="3354">K921+O921+S921+W921+AA921+AE921+AI921+AM921+AQ921+AU921+AY921+BC921</f>
        <v>4906</v>
      </c>
      <c r="BG921" s="34">
        <f t="shared" si="3354"/>
        <v>4906</v>
      </c>
      <c r="BH921" s="35">
        <f t="shared" si="3339"/>
        <v>0</v>
      </c>
      <c r="BK921" s="2" t="b">
        <f>H921='2020'!BH921</f>
        <v>1</v>
      </c>
    </row>
    <row r="922" ht="14.25" customHeight="1" hidden="1" spans="1:63" x14ac:dyDescent="0.25">
      <c r="A922" s="2">
        <v>96</v>
      </c>
      <c r="B922" s="14"/>
      <c r="D922" s="14" t="s">
        <v>51</v>
      </c>
      <c r="E922" s="2" t="s">
        <v>39</v>
      </c>
      <c r="F922" s="41">
        <v>500</v>
      </c>
      <c r="G922" s="28"/>
      <c r="H922" s="180">
        <f>'2020'!BH922</f>
        <v>470.44</v>
      </c>
      <c r="I922" s="13"/>
      <c r="J922" s="15"/>
      <c r="K922" s="15"/>
      <c r="L922" s="28"/>
      <c r="M922" s="13"/>
      <c r="N922" s="15"/>
      <c r="Q922" s="13"/>
      <c r="R922" s="15"/>
      <c r="S922" s="15"/>
      <c r="T922" s="28"/>
      <c r="U922" s="13"/>
      <c r="V922" s="15"/>
      <c r="Y922" s="186"/>
      <c r="Z922" s="2"/>
      <c r="AA922" s="15"/>
      <c r="AB922" s="28"/>
      <c r="AC922" s="15"/>
      <c r="AD922" s="15"/>
      <c r="AE922" s="180">
        <f>$F$13</f>
      </c>
      <c r="AF922" s="1">
        <v>470.44</v>
      </c>
      <c r="AG922" s="15"/>
      <c r="AH922" s="2"/>
      <c r="AI922" s="45"/>
      <c r="AJ922" s="15"/>
      <c r="AK922" s="13"/>
      <c r="AL922" s="15"/>
      <c r="AM922" s="45"/>
      <c r="AN922" s="15"/>
      <c r="AO922" s="13"/>
      <c r="AP922" s="15"/>
      <c r="AQ922" s="180"/>
      <c r="AR922" s="15"/>
      <c r="AS922" s="13"/>
      <c r="AT922" s="15"/>
      <c r="AU922" s="45"/>
      <c r="AV922" s="15"/>
      <c r="AW922" s="13"/>
      <c r="AX922" s="15"/>
      <c r="AY922" s="45"/>
      <c r="AZ922" s="28"/>
      <c r="BA922" s="13"/>
      <c r="BB922" s="15"/>
      <c r="BC922" s="45"/>
      <c r="BD922" s="28"/>
      <c r="BE922" s="14"/>
      <c r="BF922" s="41">
        <f t="shared" ref="BF922:BG922" si="3355">K922+O922+S922+W922+AA922+AE922+AI922+AM922+AQ922+AU922+AY922+BC922</f>
        <v>0</v>
      </c>
      <c r="BG922" s="34">
        <f t="shared" si="3355"/>
        <v>470.44</v>
      </c>
      <c r="BH922" s="35">
        <f t="shared" si="3339"/>
        <v>0</v>
      </c>
      <c r="BK922" s="2" t="b">
        <f>H922='2020'!BH922</f>
        <v>1</v>
      </c>
    </row>
    <row r="923" ht="14.25" customHeight="1" hidden="1" spans="1:63" x14ac:dyDescent="0.25">
      <c r="A923" s="2">
        <v>96</v>
      </c>
      <c r="B923" s="14"/>
      <c r="D923" s="14" t="s">
        <v>51</v>
      </c>
      <c r="E923" s="2" t="s">
        <v>49</v>
      </c>
      <c r="F923" s="41">
        <v>500</v>
      </c>
      <c r="G923" s="28"/>
      <c r="H923" s="180">
        <f>'2020'!BH923</f>
        <v>0</v>
      </c>
      <c r="I923" s="13"/>
      <c r="J923" s="15"/>
      <c r="K923" s="15"/>
      <c r="L923" s="28"/>
      <c r="M923" s="13"/>
      <c r="N923" s="15"/>
      <c r="Q923" s="13"/>
      <c r="R923" s="15"/>
      <c r="S923" s="15"/>
      <c r="T923" s="28"/>
      <c r="U923" s="13"/>
      <c r="V923" s="15"/>
      <c r="Y923" s="186"/>
      <c r="Z923" s="2"/>
      <c r="AA923" s="15"/>
      <c r="AB923" s="28"/>
      <c r="AC923" s="15"/>
      <c r="AD923" s="15"/>
      <c r="AE923" s="34"/>
      <c r="AG923" s="15"/>
      <c r="AH923" s="2"/>
      <c r="AI923" s="45"/>
      <c r="AJ923" s="15"/>
      <c r="AK923" s="13"/>
      <c r="AL923" s="15"/>
      <c r="AM923" s="45"/>
      <c r="AN923" s="15"/>
      <c r="AO923" s="13"/>
      <c r="AP923" s="15"/>
      <c r="AQ923" s="180">
        <f>B918*$F$14</f>
        <v>0</v>
      </c>
      <c r="AR923" s="15"/>
      <c r="AS923" s="13"/>
      <c r="AT923" s="15"/>
      <c r="AU923" s="45"/>
      <c r="AV923" s="15"/>
      <c r="AW923" s="13"/>
      <c r="AX923" s="15"/>
      <c r="AY923" s="45"/>
      <c r="AZ923" s="28"/>
      <c r="BA923" s="13"/>
      <c r="BB923" s="15"/>
      <c r="BC923" s="45"/>
      <c r="BD923" s="35"/>
      <c r="BE923" s="14"/>
      <c r="BF923" s="41">
        <f t="shared" ref="BF923:BG923" si="3356">K923+O923+S923+W923+AA923+AE923+AI923+AM923+AQ923+AU923+AY923+BC923</f>
        <v>0</v>
      </c>
      <c r="BG923" s="34">
        <f t="shared" si="3356"/>
        <v>0</v>
      </c>
      <c r="BH923" s="35">
        <f t="shared" si="3339"/>
        <v>0</v>
      </c>
      <c r="BK923" s="2" t="b">
        <f>H923='2020'!BH923</f>
        <v>1</v>
      </c>
    </row>
    <row r="924" ht="14.25" customHeight="1" hidden="1" spans="1:63" x14ac:dyDescent="0.25">
      <c r="A924" s="2">
        <v>96</v>
      </c>
      <c r="B924" s="14"/>
      <c r="D924" s="14" t="s">
        <v>52</v>
      </c>
      <c r="E924" s="2" t="s">
        <v>39</v>
      </c>
      <c r="F924" s="41">
        <v>500</v>
      </c>
      <c r="G924" s="28"/>
      <c r="H924" s="180">
        <f>'2020'!BH924</f>
        <v>0</v>
      </c>
      <c r="I924" s="13"/>
      <c r="J924" s="15"/>
      <c r="K924" s="15"/>
      <c r="L924" s="28"/>
      <c r="M924" s="13"/>
      <c r="N924" s="15"/>
      <c r="Q924" s="13"/>
      <c r="R924" s="15"/>
      <c r="S924" s="15"/>
      <c r="T924" s="28"/>
      <c r="U924" s="13"/>
      <c r="V924" s="15"/>
      <c r="X924" s="34"/>
      <c r="Y924" s="186"/>
      <c r="Z924" s="2"/>
      <c r="AA924" s="34">
        <f>$F$15</f>
      </c>
      <c r="AB924" s="28"/>
      <c r="AC924" s="15"/>
      <c r="AD924" s="15"/>
      <c r="AG924" s="15"/>
      <c r="AH924" s="2"/>
      <c r="AI924" s="45"/>
      <c r="AJ924" s="15"/>
      <c r="AK924" s="13"/>
      <c r="AL924" s="15"/>
      <c r="AM924" s="45"/>
      <c r="AN924" s="15"/>
      <c r="AO924" s="13"/>
      <c r="AP924" s="15"/>
      <c r="AQ924" s="45"/>
      <c r="AR924" s="15"/>
      <c r="AS924" s="13"/>
      <c r="AT924" s="15"/>
      <c r="AU924" s="45"/>
      <c r="AV924" s="15"/>
      <c r="AW924" s="13"/>
      <c r="AX924" s="15"/>
      <c r="AY924" s="45"/>
      <c r="AZ924" s="35"/>
      <c r="BA924" s="13"/>
      <c r="BB924" s="15"/>
      <c r="BC924" s="45"/>
      <c r="BD924" s="35"/>
      <c r="BE924" s="14"/>
      <c r="BF924" s="41">
        <f t="shared" ref="BF924:BG924" si="3357">K924+O924+S924+W924+AA924+AE924+AI924+AM924+AQ924+AU924+AY924+BC924</f>
        <v>0</v>
      </c>
      <c r="BG924" s="34">
        <f t="shared" si="3357"/>
        <v>0</v>
      </c>
      <c r="BH924" s="35">
        <f t="shared" si="3339"/>
        <v>0</v>
      </c>
      <c r="BK924" s="2" t="b">
        <f>H924='2020'!BH924</f>
        <v>1</v>
      </c>
    </row>
    <row r="925" ht="14.25" customHeight="1" hidden="1" spans="1:63" x14ac:dyDescent="0.25">
      <c r="A925" s="247">
        <v>96</v>
      </c>
      <c r="B925" s="21"/>
      <c r="C925" s="22" t="s">
        <v>53</v>
      </c>
      <c r="D925" s="21"/>
      <c r="E925" s="22"/>
      <c r="F925" s="20"/>
      <c r="G925" s="23"/>
      <c r="H925" s="51">
        <f>SUM(H917:H924)</f>
        <v>520.91</v>
      </c>
      <c r="I925" s="52"/>
      <c r="J925" s="53"/>
      <c r="K925" s="51">
        <f t="shared" ref="K925:L925" si="3358">SUM(K917:K924)</f>
        <v>0</v>
      </c>
      <c r="L925" s="68">
        <f t="shared" si="3358"/>
        <v>0</v>
      </c>
      <c r="M925" s="52"/>
      <c r="N925" s="53"/>
      <c r="O925" s="51">
        <f t="shared" ref="O925:P925" si="3359">SUM(O917:O924)</f>
        <v>0</v>
      </c>
      <c r="P925" s="51">
        <f t="shared" si="3359"/>
        <v>0</v>
      </c>
      <c r="Q925" s="52"/>
      <c r="R925" s="53"/>
      <c r="S925" s="51">
        <f t="shared" ref="S925:T925" si="3360">SUM(S917:S924)</f>
        <v>0</v>
      </c>
      <c r="T925" s="51">
        <f t="shared" si="3360"/>
        <v>0</v>
      </c>
      <c r="U925" s="52"/>
      <c r="V925" s="53"/>
      <c r="W925" s="51">
        <f t="shared" ref="W925:X925" si="3361">SUM(W917:W924)</f>
        <v>0</v>
      </c>
      <c r="X925" s="51">
        <f t="shared" si="3361"/>
        <v>0</v>
      </c>
      <c r="Y925" s="300"/>
      <c r="Z925" s="301"/>
      <c r="AA925" s="51">
        <f t="shared" ref="AA925:AB925" si="3362">SUM(AA917:AA924)</f>
        <v>0</v>
      </c>
      <c r="AB925" s="51">
        <f t="shared" si="3362"/>
        <v>0</v>
      </c>
      <c r="AC925" s="52"/>
      <c r="AD925" s="53"/>
      <c r="AE925" s="51">
        <f t="shared" ref="AE925:AF925" si="3363">SUM(AE917:AE924)</f>
        <v>4906</v>
      </c>
      <c r="AF925" s="51">
        <f t="shared" si="3363"/>
        <v>520.91</v>
      </c>
      <c r="AG925" s="52"/>
      <c r="AH925" s="301"/>
      <c r="AI925" s="183">
        <f t="shared" ref="AI925:AJ925" si="3364">SUM(AI917:AI924)</f>
        <v>0</v>
      </c>
      <c r="AJ925" s="51">
        <f t="shared" si="3364"/>
        <v>0</v>
      </c>
      <c r="AK925" s="52"/>
      <c r="AL925" s="53"/>
      <c r="AM925" s="183">
        <f t="shared" ref="AM925:AN925" si="3365">SUM(AM917:AM924)</f>
        <v>0</v>
      </c>
      <c r="AN925" s="51">
        <f t="shared" si="3365"/>
        <v>0</v>
      </c>
      <c r="AO925" s="52"/>
      <c r="AP925" s="53"/>
      <c r="AQ925" s="183">
        <f t="shared" ref="AQ925:AR925" si="3366">SUM(AQ917:AQ924)</f>
        <v>0</v>
      </c>
      <c r="AR925" s="51">
        <f t="shared" si="3366"/>
        <v>4906</v>
      </c>
      <c r="AS925" s="52"/>
      <c r="AT925" s="53"/>
      <c r="AU925" s="183">
        <f t="shared" ref="AU925:AV925" si="3367">SUM(AU917:AU924)</f>
        <v>0</v>
      </c>
      <c r="AV925" s="68">
        <f t="shared" si="3367"/>
        <v>0</v>
      </c>
      <c r="AW925" s="52"/>
      <c r="AX925" s="53"/>
      <c r="AY925" s="183">
        <f t="shared" ref="AY925:AZ925" si="3368">SUM(AY917:AY924)</f>
        <v>0</v>
      </c>
      <c r="AZ925" s="68">
        <f t="shared" si="3368"/>
        <v>0</v>
      </c>
      <c r="BA925" s="52"/>
      <c r="BB925" s="53"/>
      <c r="BC925" s="183">
        <f t="shared" ref="BC925:BD925" si="3369">SUM(BC917:BC924)</f>
        <v>0</v>
      </c>
      <c r="BD925" s="68">
        <f t="shared" si="3369"/>
        <v>0</v>
      </c>
      <c r="BE925" s="69"/>
      <c r="BF925" s="70">
        <f t="shared" ref="BF925:BH925" si="3370">SUM(BF917:BF924)</f>
        <v>4906</v>
      </c>
      <c r="BG925" s="71">
        <f t="shared" si="3370"/>
        <v>5426.91</v>
      </c>
      <c r="BH925" s="72">
        <f t="shared" si="3370"/>
        <v>0</v>
      </c>
      <c r="BI925" s="34">
        <f>H925+BF925-BG925</f>
        <v>0</v>
      </c>
      <c r="BJ925" s="34">
        <f>BH925-BI925</f>
        <v>0</v>
      </c>
      <c r="BK925" s="2" t="b">
        <f>H925='2020'!BH925</f>
        <v>1</v>
      </c>
    </row>
    <row r="926" ht="14.25" customHeight="1" hidden="1" spans="1:63" x14ac:dyDescent="0.25">
      <c r="A926" s="2">
        <v>98</v>
      </c>
      <c r="B926" s="14"/>
      <c r="D926" s="14" t="s">
        <v>379</v>
      </c>
      <c r="F926" s="13"/>
      <c r="G926" s="28"/>
      <c r="H926" s="34">
        <f>'2020'!BH926</f>
        <v>722.6</v>
      </c>
      <c r="I926" s="13"/>
      <c r="J926" s="15"/>
      <c r="K926" s="15">
        <v>55.23</v>
      </c>
      <c r="L926" s="28"/>
      <c r="M926" s="13"/>
      <c r="N926" s="15"/>
      <c r="O926" s="2">
        <v>49.88</v>
      </c>
      <c r="Q926" s="13"/>
      <c r="R926" s="15"/>
      <c r="S926" s="15">
        <v>55.23</v>
      </c>
      <c r="T926" s="28"/>
      <c r="U926" s="13"/>
      <c r="V926" s="15"/>
      <c r="W926" s="2">
        <v>44.56</v>
      </c>
      <c r="Y926" s="186"/>
      <c r="Z926" s="2"/>
      <c r="AA926" s="15"/>
      <c r="AB926" s="28"/>
      <c r="AC926" s="15"/>
      <c r="AD926" s="15"/>
      <c r="AF926" s="1">
        <v>927.5</v>
      </c>
      <c r="AG926" s="15"/>
      <c r="AH926" s="2"/>
      <c r="AI926" s="45"/>
      <c r="AJ926" s="15"/>
      <c r="AK926" s="13"/>
      <c r="AM926" s="45"/>
      <c r="AO926" s="13"/>
      <c r="AQ926" s="180">
        <v>14.68</v>
      </c>
      <c r="AS926" s="13"/>
      <c r="AU926" s="180"/>
      <c r="AW926" s="13"/>
      <c r="AY926" s="180"/>
      <c r="AZ926" s="28"/>
      <c r="BA926" s="13"/>
      <c r="BB926" s="15"/>
      <c r="BC926" s="180"/>
      <c r="BD926" s="28"/>
      <c r="BE926" s="14"/>
      <c r="BF926" s="41">
        <f t="shared" ref="BF926:BG926" si="3371">K926+O926+S926+W926+AA926+AE926+AI926+AM926+AQ926+AU926+AY926+BC926</f>
        <v>219.58</v>
      </c>
      <c r="BG926" s="34">
        <f t="shared" si="3371"/>
        <v>927.5</v>
      </c>
      <c r="BH926" s="35">
        <f t="shared" ref="BH926:BH933" si="3372">H926+BF926-BG926</f>
        <v>14.68</v>
      </c>
      <c r="BK926" s="2" t="b">
        <f>H926='2020'!BH926</f>
        <v>1</v>
      </c>
    </row>
    <row r="927" ht="14.25" customHeight="1" hidden="1" spans="1:63" x14ac:dyDescent="0.25">
      <c r="A927" s="2">
        <v>98</v>
      </c>
      <c r="B927" s="14">
        <v>4.45</v>
      </c>
      <c r="C927" s="2" t="s">
        <v>328</v>
      </c>
      <c r="D927" s="14" t="s">
        <v>44</v>
      </c>
      <c r="E927" s="2" t="s">
        <v>45</v>
      </c>
      <c r="F927" s="41">
        <v>2.5</v>
      </c>
      <c r="G927" s="35">
        <v>2.6</v>
      </c>
      <c r="H927" s="104">
        <f>'2020'!BH927</f>
        <v>0</v>
      </c>
      <c r="I927" s="13">
        <v>0</v>
      </c>
      <c r="J927" s="15">
        <f>I927-'2020'!BA927</f>
        <v>0</v>
      </c>
      <c r="K927" s="34">
        <f>J927*$F$8</f>
        <v>0</v>
      </c>
      <c r="L927" s="28"/>
      <c r="M927" s="13">
        <v>0</v>
      </c>
      <c r="N927" s="15">
        <f t="shared" ref="N927:N928" si="3373">M927-I927</f>
        <v>0</v>
      </c>
      <c r="O927" s="34">
        <f>N927*$F$8</f>
        <v>0</v>
      </c>
      <c r="Q927" s="13">
        <v>0</v>
      </c>
      <c r="R927" s="15">
        <f t="shared" ref="R927:R928" si="3374">Q927-M927</f>
        <v>0</v>
      </c>
      <c r="S927" s="34">
        <f>R927*$F$8</f>
        <v>0</v>
      </c>
      <c r="T927" s="28"/>
      <c r="U927" s="13">
        <v>0</v>
      </c>
      <c r="V927" s="15">
        <f t="shared" ref="V927:V928" si="3375">U927-Q927</f>
        <v>0</v>
      </c>
      <c r="W927" s="34">
        <f>V927*$F$8</f>
        <v>0</v>
      </c>
      <c r="Y927" s="186"/>
      <c r="Z927" s="2">
        <f>Y927-U927</f>
        <v>0</v>
      </c>
      <c r="AA927" s="34">
        <f>Z927*$F$8</f>
        <v>0</v>
      </c>
      <c r="AB927" s="28"/>
      <c r="AC927" s="15"/>
      <c r="AD927" s="15">
        <f>AC927-Y927</f>
        <v>0</v>
      </c>
      <c r="AE927" s="180">
        <f>AD927*$F$8</f>
        <v>0</v>
      </c>
      <c r="AF927" s="1">
        <v>332.68</v>
      </c>
      <c r="AG927" s="15"/>
      <c r="AH927" s="2">
        <f>AG927-AC927</f>
        <v>0</v>
      </c>
      <c r="AI927" s="45">
        <f>AH927*$G$8</f>
        <v>0</v>
      </c>
      <c r="AJ927" s="15"/>
      <c r="AK927" s="13"/>
      <c r="AL927" s="15">
        <f>AK927-AG927</f>
        <v>0</v>
      </c>
      <c r="AM927" s="45">
        <f>AL927*$G$8</f>
        <v>0</v>
      </c>
      <c r="AN927" s="15"/>
      <c r="AO927" s="13"/>
      <c r="AP927" s="15">
        <f>AO927-AK927</f>
        <v>0</v>
      </c>
      <c r="AQ927" s="45">
        <f>AP927*$G$8</f>
        <v>0</v>
      </c>
      <c r="AR927" s="15"/>
      <c r="AS927" s="13"/>
      <c r="AT927" s="15">
        <f>AS927-AO927</f>
        <v>0</v>
      </c>
      <c r="AU927" s="45">
        <f>AT927*$G$8</f>
        <v>0</v>
      </c>
      <c r="AV927" s="15"/>
      <c r="AW927" s="13"/>
      <c r="AX927" s="15">
        <f>AW927-AS927</f>
        <v>0</v>
      </c>
      <c r="AY927" s="45">
        <f>AX927*$G$8</f>
        <v>0</v>
      </c>
      <c r="AZ927" s="208"/>
      <c r="BA927" s="13"/>
      <c r="BB927" s="15">
        <f>BA927-AW927</f>
        <v>0</v>
      </c>
      <c r="BC927" s="45">
        <f>BB927*$G$8</f>
        <v>0</v>
      </c>
      <c r="BD927" s="208"/>
      <c r="BE927" s="40">
        <f t="shared" ref="BE927:BG927" si="3376">J927+N927+R927+V927+Z927+AD927+AH927+AL927+AP927+AT927+AX927+BB927</f>
        <v>0</v>
      </c>
      <c r="BF927" s="41">
        <f t="shared" si="3376"/>
        <v>0</v>
      </c>
      <c r="BG927" s="34">
        <f t="shared" si="3376"/>
        <v>332.68</v>
      </c>
      <c r="BH927" s="35">
        <f t="shared" si="3372"/>
        <v>-332.68</v>
      </c>
      <c r="BK927" s="2" t="b">
        <f>H927='2020'!BH927</f>
        <v>1</v>
      </c>
    </row>
    <row r="928" ht="14.25" customHeight="1" hidden="1" spans="1:63" x14ac:dyDescent="0.25">
      <c r="A928" s="2">
        <v>98</v>
      </c>
      <c r="B928" s="14"/>
      <c r="C928" s="2" t="s">
        <v>83</v>
      </c>
      <c r="D928" s="14" t="s">
        <v>47</v>
      </c>
      <c r="E928" s="2" t="s">
        <v>48</v>
      </c>
      <c r="F928" s="13">
        <v>18.56</v>
      </c>
      <c r="G928" s="35">
        <v>19.46</v>
      </c>
      <c r="H928" s="34">
        <f>'2020'!BH928</f>
        <v>-49.5</v>
      </c>
      <c r="I928" s="13">
        <v>166</v>
      </c>
      <c r="J928" s="15"/>
      <c r="K928" s="15"/>
      <c r="L928" s="28"/>
      <c r="M928" s="13">
        <v>166</v>
      </c>
      <c r="N928" s="15">
        <f t="shared" si="3373"/>
        <v>0</v>
      </c>
      <c r="Q928" s="13">
        <v>166</v>
      </c>
      <c r="R928" s="15">
        <f t="shared" si="3374"/>
        <v>0</v>
      </c>
      <c r="S928" s="15"/>
      <c r="T928" s="28"/>
      <c r="U928" s="13">
        <v>166</v>
      </c>
      <c r="V928" s="15">
        <f t="shared" si="3375"/>
        <v>0</v>
      </c>
      <c r="W928" s="34">
        <f>V928*$F$10</f>
        <v>0</v>
      </c>
      <c r="Y928" s="186">
        <v>1</v>
      </c>
      <c r="Z928" s="2">
        <v>0</v>
      </c>
      <c r="AA928" s="34">
        <f>Z928*$F$10</f>
        <v>0</v>
      </c>
      <c r="AB928" s="28"/>
      <c r="AC928" s="15"/>
      <c r="AD928" s="15">
        <v>0</v>
      </c>
      <c r="AE928" s="34">
        <f>AD928*$F$10</f>
        <v>0</v>
      </c>
      <c r="AF928" s="1"/>
      <c r="AG928" s="15"/>
      <c r="AH928" s="2">
        <v>0</v>
      </c>
      <c r="AI928" s="45">
        <f>AH928*$G$10</f>
        <v>0</v>
      </c>
      <c r="AJ928" s="15"/>
      <c r="AK928" s="13"/>
      <c r="AL928" s="15">
        <v>0</v>
      </c>
      <c r="AM928" s="45">
        <f>AL928*$G$10</f>
        <v>0</v>
      </c>
      <c r="AN928" s="15"/>
      <c r="AO928" s="13"/>
      <c r="AP928" s="15">
        <v>0</v>
      </c>
      <c r="AQ928" s="45">
        <f>AP928*$G$10</f>
        <v>0</v>
      </c>
      <c r="AR928" s="15"/>
      <c r="AS928" s="13"/>
      <c r="AT928" s="15">
        <v>0</v>
      </c>
      <c r="AU928" s="45">
        <f>AT928*$G$10</f>
        <v>0</v>
      </c>
      <c r="AV928" s="15"/>
      <c r="AW928" s="13"/>
      <c r="AX928" s="15">
        <v>0</v>
      </c>
      <c r="AY928" s="45"/>
      <c r="AZ928" s="208"/>
      <c r="BA928" s="13"/>
      <c r="BB928" s="15">
        <v>0</v>
      </c>
      <c r="BC928" s="45"/>
      <c r="BD928" s="208"/>
      <c r="BE928" s="40">
        <f t="shared" ref="BE928:BG928" si="3377">J928+N928+R928+V928+Z928+AD928+AH928+AL928+AP928+AT928+AX928+BB928</f>
        <v>0</v>
      </c>
      <c r="BF928" s="41">
        <f t="shared" si="3377"/>
        <v>0</v>
      </c>
      <c r="BG928" s="34">
        <f t="shared" si="3377"/>
        <v>0</v>
      </c>
      <c r="BH928" s="35">
        <f t="shared" si="3372"/>
        <v>-49.5</v>
      </c>
      <c r="BK928" s="2" t="b">
        <f>H928='2020'!BH928</f>
        <v>1</v>
      </c>
    </row>
    <row r="929" ht="14.25" customHeight="1" hidden="1" spans="1:63" x14ac:dyDescent="0.25">
      <c r="A929" s="2">
        <v>98</v>
      </c>
      <c r="B929" s="14"/>
      <c r="C929" s="2" t="s">
        <v>129</v>
      </c>
      <c r="D929" s="14" t="s">
        <v>47</v>
      </c>
      <c r="E929" s="2" t="s">
        <v>49</v>
      </c>
      <c r="F929" s="41">
        <v>500</v>
      </c>
      <c r="G929" s="28"/>
      <c r="H929" s="144">
        <f>'2020'!BH929</f>
        <v>0</v>
      </c>
      <c r="I929" s="13"/>
      <c r="J929" s="15"/>
      <c r="K929" s="15"/>
      <c r="L929" s="28"/>
      <c r="M929" s="13"/>
      <c r="N929" s="15"/>
      <c r="Q929" s="13"/>
      <c r="R929" s="15"/>
      <c r="S929" s="15"/>
      <c r="T929" s="28"/>
      <c r="U929" s="13"/>
      <c r="V929" s="15"/>
      <c r="Y929" s="186"/>
      <c r="Z929" s="2"/>
      <c r="AA929" s="15"/>
      <c r="AB929" s="28"/>
      <c r="AC929" s="15"/>
      <c r="AD929" s="15"/>
      <c r="AF929" s="1"/>
      <c r="AG929" s="15"/>
      <c r="AH929" s="2"/>
      <c r="AI929" s="45"/>
      <c r="AJ929" s="15"/>
      <c r="AK929" s="13"/>
      <c r="AL929" s="15"/>
      <c r="AM929" s="45"/>
      <c r="AN929" s="15"/>
      <c r="AO929" s="13"/>
      <c r="AP929" s="15"/>
      <c r="AQ929" s="45"/>
      <c r="AR929" s="15"/>
      <c r="AS929" s="13"/>
      <c r="AT929" s="15"/>
      <c r="AU929" s="45"/>
      <c r="AV929" s="15"/>
      <c r="AW929" s="13"/>
      <c r="AX929" s="15"/>
      <c r="AY929" s="45"/>
      <c r="AZ929" s="28"/>
      <c r="BA929" s="13"/>
      <c r="BB929" s="15"/>
      <c r="BC929" s="45"/>
      <c r="BD929" s="28"/>
      <c r="BE929" s="14"/>
      <c r="BF929" s="41">
        <f t="shared" ref="BF929:BG929" si="3378">K929+O929+S929+W929+AA929+AE929+AI929+AM929+AQ929+AU929+AY929+BC929</f>
        <v>0</v>
      </c>
      <c r="BG929" s="34">
        <f t="shared" si="3378"/>
        <v>0</v>
      </c>
      <c r="BH929" s="35">
        <f t="shared" si="3372"/>
        <v>0</v>
      </c>
      <c r="BK929" s="2" t="b">
        <f>H929='2020'!BH929</f>
        <v>1</v>
      </c>
    </row>
    <row r="930" ht="14.25" customHeight="1" hidden="1" spans="1:63" x14ac:dyDescent="0.25">
      <c r="A930" s="2">
        <v>98</v>
      </c>
      <c r="B930" s="14"/>
      <c r="C930" s="2" t="s">
        <v>329</v>
      </c>
      <c r="D930" s="14" t="s">
        <v>50</v>
      </c>
      <c r="E930" s="2" t="s">
        <v>49</v>
      </c>
      <c r="F930" s="41">
        <v>1100</v>
      </c>
      <c r="G930" s="28"/>
      <c r="H930" s="180">
        <f>'2020'!BH930</f>
        <v>14924.82</v>
      </c>
      <c r="I930" s="13"/>
      <c r="J930" s="15"/>
      <c r="K930" s="15"/>
      <c r="L930" s="28"/>
      <c r="M930" s="13"/>
      <c r="N930" s="15"/>
      <c r="Q930" s="13"/>
      <c r="R930" s="15"/>
      <c r="S930" s="15"/>
      <c r="T930" s="28"/>
      <c r="U930" s="13"/>
      <c r="V930" s="15"/>
      <c r="X930" s="1">
        <v>14924.82</v>
      </c>
      <c r="Y930" s="186"/>
      <c r="Z930" s="2"/>
      <c r="AA930" s="15"/>
      <c r="AB930" s="28"/>
      <c r="AC930" s="15"/>
      <c r="AD930" s="15"/>
      <c r="AE930" s="34">
        <f>B927*$F$12</f>
        <v>4895</v>
      </c>
      <c r="AF930" s="1"/>
      <c r="AG930" s="15"/>
      <c r="AH930" s="2"/>
      <c r="AI930" s="45"/>
      <c r="AJ930" s="39"/>
      <c r="AK930" s="13"/>
      <c r="AL930" s="15"/>
      <c r="AM930" s="45"/>
      <c r="AN930" s="15"/>
      <c r="AO930" s="13"/>
      <c r="AP930" s="15"/>
      <c r="AQ930" s="45"/>
      <c r="AR930" s="15"/>
      <c r="AS930" s="13"/>
      <c r="AT930" s="15"/>
      <c r="AU930" s="45"/>
      <c r="AV930" s="15"/>
      <c r="AW930" s="13"/>
      <c r="AX930" s="15"/>
      <c r="AY930" s="45"/>
      <c r="AZ930" s="28"/>
      <c r="BA930" s="13"/>
      <c r="BB930" s="15"/>
      <c r="BC930" s="45"/>
      <c r="BD930" s="28"/>
      <c r="BE930" s="14"/>
      <c r="BF930" s="41">
        <f t="shared" ref="BF930:BG930" si="3379">K930+O930+S930+W930+AA930+AE930+AI930+AM930+AQ930+AU930+AY930+BC930</f>
        <v>4895</v>
      </c>
      <c r="BG930" s="34">
        <f t="shared" si="3379"/>
        <v>14924.82</v>
      </c>
      <c r="BH930" s="35">
        <f t="shared" si="3372"/>
        <v>4895</v>
      </c>
      <c r="BK930" s="2" t="b">
        <f>H930='2020'!BH930</f>
        <v>1</v>
      </c>
    </row>
    <row r="931" ht="14.25" customHeight="1" hidden="1" spans="1:63" x14ac:dyDescent="0.25">
      <c r="A931" s="2">
        <v>98</v>
      </c>
      <c r="B931" s="14"/>
      <c r="D931" s="14" t="s">
        <v>51</v>
      </c>
      <c r="E931" s="2" t="s">
        <v>39</v>
      </c>
      <c r="F931" s="41">
        <v>500</v>
      </c>
      <c r="G931" s="28"/>
      <c r="H931" s="180">
        <f>'2020'!BH931</f>
        <v>3390</v>
      </c>
      <c r="I931" s="13"/>
      <c r="J931" s="15"/>
      <c r="K931" s="15"/>
      <c r="L931" s="28"/>
      <c r="M931" s="13"/>
      <c r="N931" s="15"/>
      <c r="Q931" s="13"/>
      <c r="R931" s="15"/>
      <c r="S931" s="15"/>
      <c r="T931" s="28"/>
      <c r="U931" s="13"/>
      <c r="V931" s="15"/>
      <c r="X931" s="1">
        <v>2850.183</v>
      </c>
      <c r="Y931" s="186"/>
      <c r="Z931" s="2"/>
      <c r="AA931" s="15"/>
      <c r="AB931" s="28"/>
      <c r="AC931" s="15"/>
      <c r="AD931" s="15"/>
      <c r="AE931" s="180">
        <f>$F$13</f>
      </c>
      <c r="AF931" s="1">
        <v>539.82</v>
      </c>
      <c r="AG931" s="15"/>
      <c r="AH931" s="2"/>
      <c r="AI931" s="45"/>
      <c r="AJ931" s="15"/>
      <c r="AK931" s="13"/>
      <c r="AL931" s="15"/>
      <c r="AM931" s="45"/>
      <c r="AN931" s="15"/>
      <c r="AO931" s="13"/>
      <c r="AP931" s="15"/>
      <c r="AQ931" s="180"/>
      <c r="AR931" s="15"/>
      <c r="AS931" s="13"/>
      <c r="AT931" s="15"/>
      <c r="AU931" s="45"/>
      <c r="AV931" s="15"/>
      <c r="AW931" s="13"/>
      <c r="AX931" s="15"/>
      <c r="AY931" s="45"/>
      <c r="AZ931" s="28"/>
      <c r="BA931" s="13"/>
      <c r="BB931" s="15"/>
      <c r="BC931" s="45"/>
      <c r="BD931" s="28"/>
      <c r="BE931" s="14"/>
      <c r="BF931" s="41">
        <f t="shared" ref="BF931:BG931" si="3380">K931+O931+S931+W931+AA931+AE931+AI931+AM931+AQ931+AU931+AY931+BC931</f>
        <v>0</v>
      </c>
      <c r="BG931" s="34">
        <f t="shared" si="3380"/>
        <v>3390.003</v>
      </c>
      <c r="BH931" s="35">
        <f t="shared" si="3372"/>
        <v>-0.003</v>
      </c>
      <c r="BK931" s="2" t="b">
        <f>H931='2020'!BH931</f>
        <v>1</v>
      </c>
    </row>
    <row r="932" ht="14.25" customHeight="1" hidden="1" spans="1:63" x14ac:dyDescent="0.25">
      <c r="A932" s="2">
        <v>98</v>
      </c>
      <c r="B932" s="14"/>
      <c r="D932" s="14" t="s">
        <v>51</v>
      </c>
      <c r="E932" s="2" t="s">
        <v>49</v>
      </c>
      <c r="F932" s="41">
        <v>500</v>
      </c>
      <c r="G932" s="28"/>
      <c r="H932" s="180">
        <f>'2020'!BH932</f>
        <v>2225</v>
      </c>
      <c r="I932" s="13"/>
      <c r="J932" s="15"/>
      <c r="K932" s="15"/>
      <c r="L932" s="28"/>
      <c r="M932" s="13"/>
      <c r="N932" s="15"/>
      <c r="Q932" s="13"/>
      <c r="R932" s="15"/>
      <c r="S932" s="15"/>
      <c r="T932" s="28"/>
      <c r="U932" s="13"/>
      <c r="V932" s="15"/>
      <c r="X932" s="1">
        <v>2225</v>
      </c>
      <c r="Y932" s="186"/>
      <c r="Z932" s="2"/>
      <c r="AA932" s="15"/>
      <c r="AB932" s="28"/>
      <c r="AC932" s="15"/>
      <c r="AD932" s="15"/>
      <c r="AE932" s="34"/>
      <c r="AF932" s="1"/>
      <c r="AG932" s="15"/>
      <c r="AH932" s="2"/>
      <c r="AI932" s="45"/>
      <c r="AJ932" s="15"/>
      <c r="AK932" s="13"/>
      <c r="AL932" s="15"/>
      <c r="AM932" s="45"/>
      <c r="AN932" s="15"/>
      <c r="AO932" s="13"/>
      <c r="AP932" s="15"/>
      <c r="AQ932" s="180">
        <f>B927*$F$14</f>
        <v>0</v>
      </c>
      <c r="AR932" s="15"/>
      <c r="AS932" s="13"/>
      <c r="AT932" s="15"/>
      <c r="AU932" s="45"/>
      <c r="AV932" s="15"/>
      <c r="AW932" s="13"/>
      <c r="AX932" s="15"/>
      <c r="AY932" s="45"/>
      <c r="AZ932" s="28"/>
      <c r="BA932" s="13"/>
      <c r="BB932" s="15"/>
      <c r="BC932" s="45"/>
      <c r="BD932" s="28"/>
      <c r="BE932" s="14"/>
      <c r="BF932" s="41">
        <f t="shared" ref="BF932:BG932" si="3381">K932+O932+S932+W932+AA932+AE932+AI932+AM932+AQ932+AU932+AY932+BC932</f>
        <v>0</v>
      </c>
      <c r="BG932" s="34">
        <f t="shared" si="3381"/>
        <v>2225</v>
      </c>
      <c r="BH932" s="35">
        <f t="shared" si="3372"/>
        <v>0</v>
      </c>
      <c r="BK932" s="2" t="b">
        <f>H932='2020'!BH932</f>
        <v>1</v>
      </c>
    </row>
    <row r="933" ht="14.25" customHeight="1" hidden="1" spans="1:63" x14ac:dyDescent="0.25">
      <c r="A933" s="2">
        <v>98</v>
      </c>
      <c r="B933" s="14"/>
      <c r="D933" s="14" t="s">
        <v>52</v>
      </c>
      <c r="E933" s="2" t="s">
        <v>39</v>
      </c>
      <c r="F933" s="41">
        <v>500</v>
      </c>
      <c r="G933" s="28"/>
      <c r="H933" s="180">
        <f>'2020'!BH933</f>
        <v>2200</v>
      </c>
      <c r="I933" s="13"/>
      <c r="J933" s="15"/>
      <c r="K933" s="15"/>
      <c r="L933" s="28"/>
      <c r="M933" s="13"/>
      <c r="N933" s="15"/>
      <c r="Q933" s="13"/>
      <c r="R933" s="15"/>
      <c r="S933" s="15"/>
      <c r="T933" s="28"/>
      <c r="U933" s="13"/>
      <c r="V933" s="15"/>
      <c r="Y933" s="186"/>
      <c r="Z933" s="2"/>
      <c r="AA933" s="34">
        <f>$F$15</f>
      </c>
      <c r="AB933" s="28"/>
      <c r="AC933" s="15"/>
      <c r="AD933" s="15"/>
      <c r="AF933" s="1">
        <v>2200</v>
      </c>
      <c r="AG933" s="15"/>
      <c r="AH933" s="2"/>
      <c r="AI933" s="45"/>
      <c r="AJ933" s="15"/>
      <c r="AK933" s="13"/>
      <c r="AL933" s="15"/>
      <c r="AM933" s="45"/>
      <c r="AN933" s="15"/>
      <c r="AO933" s="13"/>
      <c r="AP933" s="15"/>
      <c r="AQ933" s="45"/>
      <c r="AR933" s="15"/>
      <c r="AS933" s="13"/>
      <c r="AT933" s="15"/>
      <c r="AU933" s="45"/>
      <c r="AV933" s="15"/>
      <c r="AW933" s="13"/>
      <c r="AX933" s="15"/>
      <c r="AY933" s="45"/>
      <c r="AZ933" s="35"/>
      <c r="BA933" s="13"/>
      <c r="BB933" s="15"/>
      <c r="BC933" s="45"/>
      <c r="BD933" s="35"/>
      <c r="BE933" s="14"/>
      <c r="BF933" s="41">
        <f t="shared" ref="BF933:BG933" si="3382">K933+O933+S933+W933+AA933+AE933+AI933+AM933+AQ933+AU933+AY933+BC933</f>
        <v>0</v>
      </c>
      <c r="BG933" s="34">
        <f t="shared" si="3382"/>
        <v>2200</v>
      </c>
      <c r="BH933" s="35">
        <f t="shared" si="3372"/>
        <v>0</v>
      </c>
      <c r="BK933" s="2" t="b">
        <f>H933='2020'!BH933</f>
        <v>1</v>
      </c>
    </row>
    <row r="934" ht="14.25" customHeight="1" hidden="1" spans="1:63" x14ac:dyDescent="0.25">
      <c r="A934" s="247">
        <v>98</v>
      </c>
      <c r="B934" s="21"/>
      <c r="C934" s="22" t="s">
        <v>53</v>
      </c>
      <c r="D934" s="21"/>
      <c r="E934" s="22"/>
      <c r="F934" s="20"/>
      <c r="G934" s="23"/>
      <c r="H934" s="51">
        <f>SUM(H926:H933)</f>
        <v>23412.92</v>
      </c>
      <c r="I934" s="52"/>
      <c r="J934" s="53"/>
      <c r="K934" s="51">
        <f t="shared" ref="K934:L934" si="3383">SUM(K926:K933)</f>
        <v>55.23</v>
      </c>
      <c r="L934" s="68">
        <f t="shared" si="3383"/>
        <v>0</v>
      </c>
      <c r="M934" s="52"/>
      <c r="N934" s="53"/>
      <c r="O934" s="51">
        <f t="shared" ref="O934:P934" si="3384">SUM(O926:O933)</f>
        <v>49.88</v>
      </c>
      <c r="P934" s="51">
        <f t="shared" si="3384"/>
        <v>0</v>
      </c>
      <c r="Q934" s="52"/>
      <c r="R934" s="53"/>
      <c r="S934" s="51">
        <f t="shared" ref="S934:T934" si="3385">SUM(S926:S933)</f>
        <v>55.23</v>
      </c>
      <c r="T934" s="51">
        <f t="shared" si="3385"/>
        <v>0</v>
      </c>
      <c r="U934" s="52"/>
      <c r="V934" s="53"/>
      <c r="W934" s="51">
        <f t="shared" ref="W934:X934" si="3386">SUM(W926:W933)</f>
        <v>44.56</v>
      </c>
      <c r="X934" s="51">
        <f t="shared" si="3386"/>
        <v>20000.003</v>
      </c>
      <c r="Y934" s="300"/>
      <c r="Z934" s="301"/>
      <c r="AA934" s="51">
        <f t="shared" ref="AA934:AB934" si="3387">SUM(AA926:AA933)</f>
        <v>0</v>
      </c>
      <c r="AB934" s="51">
        <f t="shared" si="3387"/>
        <v>0</v>
      </c>
      <c r="AC934" s="52"/>
      <c r="AD934" s="53"/>
      <c r="AE934" s="51">
        <f t="shared" ref="AE934:AF934" si="3388">SUM(AE926:AE933)</f>
        <v>4895</v>
      </c>
      <c r="AF934" s="51">
        <f t="shared" si="3388"/>
        <v>4000</v>
      </c>
      <c r="AG934" s="52"/>
      <c r="AH934" s="301"/>
      <c r="AI934" s="183">
        <f t="shared" ref="AI934:AJ934" si="3389">SUM(AI926:AI933)</f>
        <v>0</v>
      </c>
      <c r="AJ934" s="51">
        <f t="shared" si="3389"/>
        <v>0</v>
      </c>
      <c r="AK934" s="52"/>
      <c r="AL934" s="53"/>
      <c r="AM934" s="183">
        <f t="shared" ref="AM934:AN934" si="3390">SUM(AM926:AM933)</f>
        <v>0</v>
      </c>
      <c r="AN934" s="51">
        <f t="shared" si="3390"/>
        <v>0</v>
      </c>
      <c r="AO934" s="52"/>
      <c r="AP934" s="53"/>
      <c r="AQ934" s="183">
        <f t="shared" ref="AQ934:AR934" si="3391">SUM(AQ926:AQ933)</f>
        <v>14.68</v>
      </c>
      <c r="AR934" s="51">
        <f t="shared" si="3391"/>
        <v>0</v>
      </c>
      <c r="AS934" s="52"/>
      <c r="AT934" s="53"/>
      <c r="AU934" s="183">
        <f t="shared" ref="AU934:AV934" si="3392">SUM(AU926:AU933)</f>
        <v>0</v>
      </c>
      <c r="AV934" s="68">
        <f t="shared" si="3392"/>
        <v>0</v>
      </c>
      <c r="AW934" s="52"/>
      <c r="AX934" s="53"/>
      <c r="AY934" s="183">
        <f t="shared" ref="AY934:AZ934" si="3393">SUM(AY926:AY933)</f>
        <v>0</v>
      </c>
      <c r="AZ934" s="68">
        <f t="shared" si="3393"/>
        <v>0</v>
      </c>
      <c r="BA934" s="52"/>
      <c r="BB934" s="53"/>
      <c r="BC934" s="183">
        <f t="shared" ref="BC934:BD934" si="3394">SUM(BC926:BC933)</f>
        <v>0</v>
      </c>
      <c r="BD934" s="68">
        <f t="shared" si="3394"/>
        <v>0</v>
      </c>
      <c r="BE934" s="69"/>
      <c r="BF934" s="70">
        <f t="shared" ref="BF934:BH934" si="3395">SUM(BF926:BF933)</f>
        <v>5114.58</v>
      </c>
      <c r="BG934" s="71">
        <f t="shared" si="3395"/>
        <v>24000.003</v>
      </c>
      <c r="BH934" s="72">
        <f t="shared" si="3395"/>
        <v>4527.497</v>
      </c>
      <c r="BI934" s="34">
        <f>H934+BF934-BG934</f>
        <v>4527.497</v>
      </c>
      <c r="BJ934" s="34">
        <f>BH934-BI934</f>
        <v>0</v>
      </c>
      <c r="BK934" s="2" t="b">
        <f>H934='2020'!BH934</f>
        <v>1</v>
      </c>
    </row>
    <row r="935" ht="14.25" customHeight="1" hidden="1" spans="1:63" x14ac:dyDescent="0.25">
      <c r="A935" s="2">
        <v>100</v>
      </c>
      <c r="B935" s="14"/>
      <c r="D935" s="14" t="s">
        <v>379</v>
      </c>
      <c r="F935" s="13"/>
      <c r="G935" s="28"/>
      <c r="H935" s="34">
        <f>'2020'!BH935</f>
        <v>51.89</v>
      </c>
      <c r="I935" s="13"/>
      <c r="J935" s="15"/>
      <c r="K935" s="34">
        <v>12.4</v>
      </c>
      <c r="L935" s="28"/>
      <c r="M935" s="13"/>
      <c r="N935" s="15"/>
      <c r="O935" s="2">
        <v>11.2</v>
      </c>
      <c r="Q935" s="13"/>
      <c r="R935" s="15"/>
      <c r="S935" s="34">
        <v>12.4</v>
      </c>
      <c r="T935" s="28"/>
      <c r="U935" s="13"/>
      <c r="V935" s="15"/>
      <c r="W935" s="180">
        <v>12</v>
      </c>
      <c r="Y935" s="186"/>
      <c r="Z935" s="2"/>
      <c r="AA935" s="34">
        <v>12.4</v>
      </c>
      <c r="AB935" s="28"/>
      <c r="AC935" s="15"/>
      <c r="AD935" s="15"/>
      <c r="AE935" s="34">
        <v>12</v>
      </c>
      <c r="AF935" s="2"/>
      <c r="AG935" s="15"/>
      <c r="AH935" s="2"/>
      <c r="AI935" s="45"/>
      <c r="AJ935" s="15"/>
      <c r="AK935" s="13"/>
      <c r="AM935" s="45">
        <v>12.4</v>
      </c>
      <c r="AO935" s="13"/>
      <c r="AQ935" s="180">
        <v>34.96</v>
      </c>
      <c r="AR935" s="34"/>
      <c r="AS935" s="13"/>
      <c r="AU935" s="180"/>
      <c r="AW935" s="13"/>
      <c r="AY935" s="180"/>
      <c r="AZ935" s="28"/>
      <c r="BA935" s="13"/>
      <c r="BB935" s="15"/>
      <c r="BC935" s="180"/>
      <c r="BD935" s="28"/>
      <c r="BE935" s="14"/>
      <c r="BF935" s="41">
        <f t="shared" ref="BF935:BG935" si="3396">K935+O935+S935+W935+AA935+AE935+AI935+AM935+AQ935+AU935+AY935+BC935</f>
        <v>119.76</v>
      </c>
      <c r="BG935" s="34">
        <f t="shared" si="3396"/>
        <v>0</v>
      </c>
      <c r="BH935" s="35">
        <f t="shared" ref="BH935:BH942" si="3397">H935+BF935-BG935</f>
        <v>171.65</v>
      </c>
      <c r="BK935" s="2" t="b">
        <f>H935='2020'!BH935</f>
        <v>1</v>
      </c>
    </row>
    <row r="936" ht="14.25" customHeight="1" hidden="1" spans="1:63" x14ac:dyDescent="0.25">
      <c r="A936" s="2">
        <v>100</v>
      </c>
      <c r="B936" s="14">
        <v>4.47</v>
      </c>
      <c r="C936" s="2" t="s">
        <v>330</v>
      </c>
      <c r="D936" s="14" t="s">
        <v>44</v>
      </c>
      <c r="E936" s="2" t="s">
        <v>45</v>
      </c>
      <c r="F936" s="41">
        <v>2.5</v>
      </c>
      <c r="G936" s="35">
        <v>2.6</v>
      </c>
      <c r="H936" s="34">
        <f>'2020'!BH936</f>
        <v>340.6</v>
      </c>
      <c r="I936" s="13">
        <v>746</v>
      </c>
      <c r="J936" s="15">
        <f>I936-'2020'!BA936</f>
        <v>0</v>
      </c>
      <c r="K936" s="34">
        <f>J936*$F$8</f>
        <v>0</v>
      </c>
      <c r="L936" s="28"/>
      <c r="M936" s="13">
        <v>746</v>
      </c>
      <c r="N936" s="15">
        <f t="shared" ref="N936:N937" si="3398">M936-I936</f>
        <v>0</v>
      </c>
      <c r="O936" s="34">
        <f>N936*$F$8</f>
        <v>0</v>
      </c>
      <c r="Q936" s="13">
        <v>746</v>
      </c>
      <c r="R936" s="15">
        <f t="shared" ref="R936:R937" si="3399">Q936-M936</f>
        <v>0</v>
      </c>
      <c r="S936" s="34">
        <f>R936*$F$8</f>
        <v>0</v>
      </c>
      <c r="T936" s="28"/>
      <c r="U936" s="13">
        <v>746</v>
      </c>
      <c r="V936" s="15">
        <f t="shared" ref="V936:V937" si="3400">U936-Q936</f>
        <v>0</v>
      </c>
      <c r="W936" s="34">
        <f>V936*$F$8</f>
        <v>0</v>
      </c>
      <c r="Y936" s="186">
        <v>879</v>
      </c>
      <c r="Z936" s="2">
        <f>Y936-U936</f>
        <v>133</v>
      </c>
      <c r="AA936" s="34">
        <f>Z936*$F$8</f>
        <v>345.8</v>
      </c>
      <c r="AB936" s="28"/>
      <c r="AC936" s="15">
        <v>962</v>
      </c>
      <c r="AD936" s="15">
        <f>AC936-Y936</f>
        <v>83</v>
      </c>
      <c r="AE936" s="180">
        <f>AD936*$F$8</f>
        <v>215.8</v>
      </c>
      <c r="AF936" s="317">
        <v>900</v>
      </c>
      <c r="AG936" s="15">
        <v>1007</v>
      </c>
      <c r="AH936" s="2">
        <f>AG936-AC936</f>
        <v>45</v>
      </c>
      <c r="AI936" s="45">
        <f>AH936*$G$8</f>
        <v>121.5</v>
      </c>
      <c r="AJ936" s="1"/>
      <c r="AK936" s="13">
        <v>1027</v>
      </c>
      <c r="AL936" s="15">
        <f>AK936-AG936</f>
        <v>20</v>
      </c>
      <c r="AM936" s="45">
        <f>AL936*$G$8</f>
        <v>54</v>
      </c>
      <c r="AN936" s="15"/>
      <c r="AO936" s="13">
        <v>1063</v>
      </c>
      <c r="AP936" s="15">
        <f>AO936-AK936</f>
        <v>36</v>
      </c>
      <c r="AQ936" s="45">
        <f>AP936*$G$8</f>
        <v>97.2</v>
      </c>
      <c r="AR936" s="34"/>
      <c r="AS936" s="13">
        <v>1129</v>
      </c>
      <c r="AT936" s="15">
        <f>AS936-AO936</f>
        <v>66</v>
      </c>
      <c r="AU936" s="45">
        <f>AT936*$G$8</f>
        <v>178.2</v>
      </c>
      <c r="AV936" s="1">
        <v>453.1</v>
      </c>
      <c r="AW936" s="13">
        <v>1129</v>
      </c>
      <c r="AX936" s="15">
        <f>AW936-AS936</f>
        <v>0</v>
      </c>
      <c r="AY936" s="45">
        <f>AX936*$G$8</f>
        <v>0</v>
      </c>
      <c r="AZ936" s="208"/>
      <c r="BA936" s="13">
        <v>1129</v>
      </c>
      <c r="BB936" s="15">
        <f>BA936-AW936</f>
        <v>0</v>
      </c>
      <c r="BC936" s="45">
        <f>BB936*$G$8</f>
        <v>0</v>
      </c>
      <c r="BD936" s="208"/>
      <c r="BE936" s="40">
        <f t="shared" ref="BE936:BG936" si="3401">J936+N936+R936+V936+Z936+AD936+AH936+AL936+AP936+AT936+AX936+BB936</f>
        <v>383</v>
      </c>
      <c r="BF936" s="41">
        <f t="shared" si="3401"/>
        <v>1012.5</v>
      </c>
      <c r="BG936" s="34">
        <f t="shared" si="3401"/>
        <v>1353.1</v>
      </c>
      <c r="BH936" s="35">
        <f t="shared" si="3397"/>
        <v>0</v>
      </c>
      <c r="BK936" s="2" t="b">
        <f>H936='2020'!BH936</f>
        <v>1</v>
      </c>
    </row>
    <row r="937" ht="14.25" customHeight="1" hidden="1" spans="1:63" x14ac:dyDescent="0.25">
      <c r="A937" s="2">
        <v>100</v>
      </c>
      <c r="B937" s="14"/>
      <c r="C937" s="2" t="s">
        <v>153</v>
      </c>
      <c r="D937" s="14" t="s">
        <v>47</v>
      </c>
      <c r="E937" s="2" t="s">
        <v>48</v>
      </c>
      <c r="F937" s="13">
        <v>18.56</v>
      </c>
      <c r="G937" s="35">
        <v>19.46</v>
      </c>
      <c r="H937" s="34">
        <f>'2020'!BH937</f>
        <v>0</v>
      </c>
      <c r="I937" s="13">
        <v>128</v>
      </c>
      <c r="J937" s="15"/>
      <c r="K937" s="15"/>
      <c r="L937" s="28"/>
      <c r="M937" s="13">
        <v>128</v>
      </c>
      <c r="N937" s="15">
        <f t="shared" si="3398"/>
        <v>0</v>
      </c>
      <c r="Q937" s="13">
        <v>128</v>
      </c>
      <c r="R937" s="15">
        <f t="shared" si="3399"/>
        <v>0</v>
      </c>
      <c r="S937" s="15"/>
      <c r="T937" s="28"/>
      <c r="U937" s="13">
        <v>143</v>
      </c>
      <c r="V937" s="15">
        <f t="shared" si="3400"/>
        <v>15</v>
      </c>
      <c r="W937" s="180">
        <f>V937*$F$10</f>
        <v>291.9</v>
      </c>
      <c r="Y937" s="186">
        <v>0</v>
      </c>
      <c r="Z937" s="2">
        <v>0</v>
      </c>
      <c r="AA937" s="34">
        <f>Z937*$F$10</f>
        <v>0</v>
      </c>
      <c r="AB937" s="28"/>
      <c r="AC937" s="15"/>
      <c r="AD937" s="15">
        <v>0</v>
      </c>
      <c r="AE937" s="34">
        <f>AD937*$F$10</f>
        <v>0</v>
      </c>
      <c r="AF937" s="317">
        <v>100</v>
      </c>
      <c r="AG937" s="15"/>
      <c r="AH937" s="2">
        <v>0</v>
      </c>
      <c r="AI937" s="45">
        <f>AH937*$G$10</f>
        <v>0</v>
      </c>
      <c r="AJ937" s="1"/>
      <c r="AK937" s="13"/>
      <c r="AL937" s="15">
        <v>0</v>
      </c>
      <c r="AM937" s="45">
        <f>AL937*$G$10</f>
        <v>0</v>
      </c>
      <c r="AN937" s="15"/>
      <c r="AO937" s="13"/>
      <c r="AP937" s="15">
        <v>0</v>
      </c>
      <c r="AQ937" s="45">
        <f>AP937*$G$10</f>
        <v>0</v>
      </c>
      <c r="AR937" s="15"/>
      <c r="AS937" s="13"/>
      <c r="AT937" s="15">
        <v>0</v>
      </c>
      <c r="AU937" s="45">
        <f>AT937*$G$10</f>
        <v>0</v>
      </c>
      <c r="AV937" s="1">
        <v>516.9</v>
      </c>
      <c r="AW937" s="13"/>
      <c r="AX937" s="15">
        <v>0</v>
      </c>
      <c r="AY937" s="45"/>
      <c r="AZ937" s="208"/>
      <c r="BA937" s="13"/>
      <c r="BB937" s="15">
        <v>0</v>
      </c>
      <c r="BC937" s="45"/>
      <c r="BD937" s="208"/>
      <c r="BE937" s="40">
        <f t="shared" ref="BE937:BG937" si="3402">J937+N937+R937+V937+Z937+AD937+AH937+AL937+AP937+AT937+AX937+BB937</f>
        <v>15</v>
      </c>
      <c r="BF937" s="41">
        <f t="shared" si="3402"/>
        <v>291.9</v>
      </c>
      <c r="BG937" s="34">
        <f t="shared" si="3402"/>
        <v>616.9</v>
      </c>
      <c r="BH937" s="35">
        <f t="shared" si="3397"/>
        <v>-325</v>
      </c>
      <c r="BK937" s="2" t="b">
        <f>H937='2020'!BH937</f>
        <v>1</v>
      </c>
    </row>
    <row r="938" ht="14.25" customHeight="1" hidden="1" spans="1:63" x14ac:dyDescent="0.25">
      <c r="A938" s="2">
        <v>100</v>
      </c>
      <c r="B938" s="14"/>
      <c r="C938" s="2" t="s">
        <v>80</v>
      </c>
      <c r="D938" s="14" t="s">
        <v>47</v>
      </c>
      <c r="E938" s="2" t="s">
        <v>49</v>
      </c>
      <c r="F938" s="41">
        <v>500</v>
      </c>
      <c r="G938" s="28"/>
      <c r="H938" s="34">
        <f>'2020'!BH938</f>
        <v>0</v>
      </c>
      <c r="I938" s="13"/>
      <c r="J938" s="15"/>
      <c r="K938" s="15"/>
      <c r="L938" s="28"/>
      <c r="M938" s="13"/>
      <c r="N938" s="15"/>
      <c r="Q938" s="13"/>
      <c r="R938" s="15"/>
      <c r="S938" s="15"/>
      <c r="T938" s="28"/>
      <c r="U938" s="13"/>
      <c r="V938" s="15"/>
      <c r="Y938" s="186"/>
      <c r="Z938" s="2"/>
      <c r="AA938" s="15"/>
      <c r="AB938" s="28"/>
      <c r="AC938" s="15"/>
      <c r="AD938" s="15"/>
      <c r="AG938" s="15"/>
      <c r="AH938" s="2"/>
      <c r="AI938" s="45"/>
      <c r="AJ938" s="15"/>
      <c r="AK938" s="13"/>
      <c r="AL938" s="15"/>
      <c r="AM938" s="45"/>
      <c r="AN938" s="15"/>
      <c r="AO938" s="13"/>
      <c r="AP938" s="15"/>
      <c r="AQ938" s="45"/>
      <c r="AR938" s="1"/>
      <c r="AS938" s="13"/>
      <c r="AT938" s="15"/>
      <c r="AU938" s="45"/>
      <c r="AV938" s="15"/>
      <c r="AW938" s="13"/>
      <c r="AX938" s="15"/>
      <c r="AY938" s="45"/>
      <c r="AZ938" s="28"/>
      <c r="BA938" s="13"/>
      <c r="BB938" s="15"/>
      <c r="BC938" s="45"/>
      <c r="BD938" s="28"/>
      <c r="BE938" s="14"/>
      <c r="BF938" s="41">
        <f t="shared" ref="BF938:BG938" si="3403">K938+O938+S938+W938+AA938+AE938+AI938+AM938+AQ938+AU938+AY938+BC938</f>
        <v>0</v>
      </c>
      <c r="BG938" s="34">
        <f t="shared" si="3403"/>
        <v>0</v>
      </c>
      <c r="BH938" s="35">
        <f t="shared" si="3397"/>
        <v>0</v>
      </c>
      <c r="BK938" s="2" t="b">
        <f>H938='2020'!BH938</f>
        <v>1</v>
      </c>
    </row>
    <row r="939" ht="14.25" customHeight="1" hidden="1" spans="1:63" x14ac:dyDescent="0.25">
      <c r="A939" s="2">
        <v>100</v>
      </c>
      <c r="B939" s="14"/>
      <c r="C939" s="2" t="s">
        <v>451</v>
      </c>
      <c r="D939" s="14" t="s">
        <v>50</v>
      </c>
      <c r="E939" s="2" t="s">
        <v>49</v>
      </c>
      <c r="F939" s="41">
        <v>1100</v>
      </c>
      <c r="G939" s="28"/>
      <c r="H939" s="34">
        <f>'2020'!BH939</f>
        <v>3000</v>
      </c>
      <c r="I939" s="13"/>
      <c r="J939" s="15"/>
      <c r="K939" s="15"/>
      <c r="L939" s="28"/>
      <c r="M939" s="13"/>
      <c r="N939" s="15"/>
      <c r="Q939" s="13"/>
      <c r="R939" s="15"/>
      <c r="S939" s="15"/>
      <c r="T939" s="28"/>
      <c r="U939" s="13"/>
      <c r="V939" s="15"/>
      <c r="Y939" s="186"/>
      <c r="Z939" s="2"/>
      <c r="AA939" s="15"/>
      <c r="AB939" s="28"/>
      <c r="AC939" s="15"/>
      <c r="AD939" s="15"/>
      <c r="AE939" s="34">
        <f>B936*$F$12</f>
        <v>4917</v>
      </c>
      <c r="AF939" s="180"/>
      <c r="AG939" s="15"/>
      <c r="AH939" s="2"/>
      <c r="AI939" s="45"/>
      <c r="AJ939" s="39"/>
      <c r="AK939" s="13"/>
      <c r="AL939" s="15"/>
      <c r="AM939" s="45"/>
      <c r="AN939" s="15"/>
      <c r="AO939" s="13"/>
      <c r="AP939" s="15"/>
      <c r="AQ939" s="45"/>
      <c r="AR939" s="34"/>
      <c r="AS939" s="13"/>
      <c r="AT939" s="15"/>
      <c r="AU939" s="45"/>
      <c r="AV939" s="15"/>
      <c r="AW939" s="13"/>
      <c r="AX939" s="15"/>
      <c r="AY939" s="45"/>
      <c r="AZ939" s="28"/>
      <c r="BA939" s="13"/>
      <c r="BB939" s="15"/>
      <c r="BC939" s="45"/>
      <c r="BD939" s="28"/>
      <c r="BE939" s="14"/>
      <c r="BF939" s="41">
        <f t="shared" ref="BF939:BG939" si="3404">K939+O939+S939+W939+AA939+AE939+AI939+AM939+AQ939+AU939+AY939+BC939</f>
        <v>4917</v>
      </c>
      <c r="BG939" s="34">
        <f t="shared" si="3404"/>
        <v>0</v>
      </c>
      <c r="BH939" s="35">
        <f t="shared" si="3397"/>
        <v>7917</v>
      </c>
      <c r="BK939" s="2" t="b">
        <f>H939='2020'!BH939</f>
        <v>1</v>
      </c>
    </row>
    <row r="940" ht="14.25" customHeight="1" hidden="1" spans="1:63" x14ac:dyDescent="0.25">
      <c r="A940" s="2">
        <v>100</v>
      </c>
      <c r="B940" s="14"/>
      <c r="D940" s="14" t="s">
        <v>51</v>
      </c>
      <c r="E940" s="2" t="s">
        <v>39</v>
      </c>
      <c r="F940" s="41">
        <v>500</v>
      </c>
      <c r="G940" s="28"/>
      <c r="H940" s="34">
        <f>'2020'!BH940</f>
        <v>1500</v>
      </c>
      <c r="I940" s="13"/>
      <c r="J940" s="15"/>
      <c r="K940" s="15"/>
      <c r="L940" s="28"/>
      <c r="M940" s="13"/>
      <c r="N940" s="15"/>
      <c r="Q940" s="13"/>
      <c r="R940" s="15"/>
      <c r="S940" s="15"/>
      <c r="T940" s="28"/>
      <c r="U940" s="13"/>
      <c r="V940" s="15"/>
      <c r="Y940" s="186"/>
      <c r="Z940" s="2"/>
      <c r="AA940" s="15"/>
      <c r="AB940" s="28"/>
      <c r="AC940" s="15"/>
      <c r="AD940" s="15"/>
      <c r="AE940" s="180">
        <f>$F$13</f>
      </c>
      <c r="AG940" s="15"/>
      <c r="AH940" s="2"/>
      <c r="AI940" s="45"/>
      <c r="AJ940" s="39"/>
      <c r="AK940" s="13"/>
      <c r="AL940" s="15"/>
      <c r="AM940" s="45"/>
      <c r="AN940" s="15"/>
      <c r="AO940" s="13"/>
      <c r="AP940" s="15"/>
      <c r="AQ940" s="180"/>
      <c r="AR940" s="1"/>
      <c r="AS940" s="13"/>
      <c r="AT940" s="15"/>
      <c r="AU940" s="45"/>
      <c r="AV940" s="15"/>
      <c r="AW940" s="13"/>
      <c r="AX940" s="15"/>
      <c r="AY940" s="45"/>
      <c r="AZ940" s="28"/>
      <c r="BA940" s="13"/>
      <c r="BB940" s="15"/>
      <c r="BC940" s="45"/>
      <c r="BD940" s="28"/>
      <c r="BE940" s="14"/>
      <c r="BF940" s="41">
        <f t="shared" ref="BF940:BG940" si="3405">K940+O940+S940+W940+AA940+AE940+AI940+AM940+AQ940+AU940+AY940+BC940</f>
        <v>0</v>
      </c>
      <c r="BG940" s="34">
        <f t="shared" si="3405"/>
        <v>0</v>
      </c>
      <c r="BH940" s="35">
        <f t="shared" si="3397"/>
        <v>1500</v>
      </c>
      <c r="BK940" s="2" t="b">
        <f>H940='2020'!BH940</f>
        <v>1</v>
      </c>
    </row>
    <row r="941" ht="14.25" customHeight="1" hidden="1" spans="1:63" x14ac:dyDescent="0.25">
      <c r="A941" s="2">
        <v>100</v>
      </c>
      <c r="B941" s="14"/>
      <c r="D941" s="14" t="s">
        <v>51</v>
      </c>
      <c r="E941" s="2" t="s">
        <v>49</v>
      </c>
      <c r="F941" s="41">
        <v>500</v>
      </c>
      <c r="G941" s="28"/>
      <c r="H941" s="34">
        <f>'2020'!BH941</f>
        <v>2235</v>
      </c>
      <c r="I941" s="13"/>
      <c r="J941" s="15"/>
      <c r="K941" s="15"/>
      <c r="L941" s="28"/>
      <c r="M941" s="13"/>
      <c r="N941" s="15"/>
      <c r="Q941" s="13"/>
      <c r="R941" s="15"/>
      <c r="S941" s="15"/>
      <c r="T941" s="28"/>
      <c r="U941" s="13"/>
      <c r="V941" s="15"/>
      <c r="Y941" s="186"/>
      <c r="Z941" s="2"/>
      <c r="AA941" s="15"/>
      <c r="AB941" s="28"/>
      <c r="AC941" s="15"/>
      <c r="AD941" s="15"/>
      <c r="AE941" s="34"/>
      <c r="AG941" s="15"/>
      <c r="AH941" s="2"/>
      <c r="AI941" s="45"/>
      <c r="AJ941" s="39"/>
      <c r="AK941" s="13"/>
      <c r="AL941" s="15"/>
      <c r="AM941" s="45"/>
      <c r="AN941" s="15"/>
      <c r="AO941" s="13"/>
      <c r="AP941" s="15"/>
      <c r="AQ941" s="180">
        <f>B936*$F$14</f>
        <v>0</v>
      </c>
      <c r="AR941" s="15"/>
      <c r="AS941" s="13"/>
      <c r="AT941" s="15"/>
      <c r="AU941" s="45"/>
      <c r="AV941" s="15"/>
      <c r="AW941" s="13"/>
      <c r="AX941" s="15"/>
      <c r="AY941" s="45"/>
      <c r="AZ941" s="28"/>
      <c r="BA941" s="13"/>
      <c r="BB941" s="15"/>
      <c r="BC941" s="45"/>
      <c r="BD941" s="28"/>
      <c r="BE941" s="14"/>
      <c r="BF941" s="41">
        <f t="shared" ref="BF941:BG941" si="3406">K941+O941+S941+W941+AA941+AE941+AI941+AM941+AQ941+AU941+AY941+BC941</f>
        <v>0</v>
      </c>
      <c r="BG941" s="34">
        <f t="shared" si="3406"/>
        <v>0</v>
      </c>
      <c r="BH941" s="35">
        <f t="shared" si="3397"/>
        <v>2235</v>
      </c>
      <c r="BK941" s="2" t="b">
        <f>H941='2020'!BH941</f>
        <v>1</v>
      </c>
    </row>
    <row r="942" ht="14.25" customHeight="1" hidden="1" spans="1:63" x14ac:dyDescent="0.25">
      <c r="A942" s="2">
        <v>100</v>
      </c>
      <c r="B942" s="14"/>
      <c r="D942" s="14" t="s">
        <v>52</v>
      </c>
      <c r="E942" s="2" t="s">
        <v>39</v>
      </c>
      <c r="F942" s="41">
        <v>500</v>
      </c>
      <c r="G942" s="28"/>
      <c r="H942" s="34">
        <f>'2020'!BH942</f>
        <v>500</v>
      </c>
      <c r="I942" s="13"/>
      <c r="J942" s="15"/>
      <c r="K942" s="15"/>
      <c r="L942" s="28"/>
      <c r="M942" s="13"/>
      <c r="N942" s="15"/>
      <c r="Q942" s="13"/>
      <c r="R942" s="15"/>
      <c r="S942" s="15"/>
      <c r="T942" s="28"/>
      <c r="U942" s="13"/>
      <c r="V942" s="15"/>
      <c r="X942" s="34"/>
      <c r="Y942" s="186"/>
      <c r="Z942" s="2"/>
      <c r="AA942" s="34">
        <f>$F$15</f>
      </c>
      <c r="AB942" s="28"/>
      <c r="AC942" s="15"/>
      <c r="AD942" s="15"/>
      <c r="AG942" s="15"/>
      <c r="AH942" s="2"/>
      <c r="AI942" s="45"/>
      <c r="AJ942" s="15"/>
      <c r="AK942" s="13"/>
      <c r="AL942" s="15"/>
      <c r="AM942" s="45"/>
      <c r="AN942" s="15"/>
      <c r="AO942" s="13"/>
      <c r="AP942" s="15"/>
      <c r="AQ942" s="45"/>
      <c r="AR942" s="15"/>
      <c r="AS942" s="13"/>
      <c r="AT942" s="15"/>
      <c r="AU942" s="45"/>
      <c r="AV942" s="15"/>
      <c r="AW942" s="13"/>
      <c r="AX942" s="15"/>
      <c r="AY942" s="45"/>
      <c r="AZ942" s="35"/>
      <c r="BA942" s="13"/>
      <c r="BB942" s="15"/>
      <c r="BC942" s="45"/>
      <c r="BD942" s="35"/>
      <c r="BE942" s="14"/>
      <c r="BF942" s="41">
        <f t="shared" ref="BF942:BG942" si="3407">K942+O942+S942+W942+AA942+AE942+AI942+AM942+AQ942+AU942+AY942+BC942</f>
        <v>0</v>
      </c>
      <c r="BG942" s="34">
        <f t="shared" si="3407"/>
        <v>0</v>
      </c>
      <c r="BH942" s="35">
        <f t="shared" si="3397"/>
        <v>500</v>
      </c>
      <c r="BK942" s="2" t="b">
        <f>H942='2020'!BH942</f>
        <v>1</v>
      </c>
    </row>
    <row r="943" ht="14.25" customHeight="1" hidden="1" spans="1:63" x14ac:dyDescent="0.25">
      <c r="A943" s="247">
        <v>100</v>
      </c>
      <c r="B943" s="21"/>
      <c r="C943" s="22" t="s">
        <v>53</v>
      </c>
      <c r="D943" s="21"/>
      <c r="E943" s="22"/>
      <c r="F943" s="20"/>
      <c r="G943" s="23"/>
      <c r="H943" s="51">
        <f>SUM(H935:H942)</f>
        <v>7627.49</v>
      </c>
      <c r="I943" s="52"/>
      <c r="J943" s="53"/>
      <c r="K943" s="51">
        <f t="shared" ref="K943:L943" si="3408">SUM(K935:K942)</f>
        <v>12.4</v>
      </c>
      <c r="L943" s="68">
        <f t="shared" si="3408"/>
        <v>0</v>
      </c>
      <c r="M943" s="52"/>
      <c r="N943" s="53"/>
      <c r="O943" s="51">
        <f t="shared" ref="O943:P943" si="3409">SUM(O935:O942)</f>
        <v>11.2</v>
      </c>
      <c r="P943" s="51">
        <f t="shared" si="3409"/>
        <v>0</v>
      </c>
      <c r="Q943" s="52"/>
      <c r="R943" s="53"/>
      <c r="S943" s="51">
        <f t="shared" ref="S943:T943" si="3410">SUM(S935:S942)</f>
        <v>12.4</v>
      </c>
      <c r="T943" s="51">
        <f t="shared" si="3410"/>
        <v>0</v>
      </c>
      <c r="U943" s="52"/>
      <c r="V943" s="53"/>
      <c r="W943" s="51">
        <f t="shared" ref="W943:X943" si="3411">SUM(W935:W942)</f>
        <v>303.9</v>
      </c>
      <c r="X943" s="51">
        <f t="shared" si="3411"/>
        <v>0</v>
      </c>
      <c r="Y943" s="300"/>
      <c r="Z943" s="301"/>
      <c r="AA943" s="51">
        <f t="shared" ref="AA943:AB943" si="3412">SUM(AA935:AA942)</f>
        <v>358.2</v>
      </c>
      <c r="AB943" s="51">
        <f t="shared" si="3412"/>
        <v>0</v>
      </c>
      <c r="AC943" s="52"/>
      <c r="AD943" s="53"/>
      <c r="AE943" s="51">
        <f t="shared" ref="AE943:AF943" si="3413">SUM(AE935:AE942)</f>
        <v>5144.8</v>
      </c>
      <c r="AF943" s="51">
        <f t="shared" si="3413"/>
        <v>1000</v>
      </c>
      <c r="AG943" s="52"/>
      <c r="AH943" s="301"/>
      <c r="AI943" s="183">
        <f t="shared" ref="AI943:AJ943" si="3414">SUM(AI935:AI942)</f>
        <v>121.5</v>
      </c>
      <c r="AJ943" s="51">
        <f t="shared" si="3414"/>
        <v>0</v>
      </c>
      <c r="AK943" s="52"/>
      <c r="AL943" s="53"/>
      <c r="AM943" s="183">
        <f t="shared" ref="AM943:AN943" si="3415">SUM(AM935:AM942)</f>
        <v>66.4</v>
      </c>
      <c r="AN943" s="51">
        <f t="shared" si="3415"/>
        <v>0</v>
      </c>
      <c r="AO943" s="52"/>
      <c r="AP943" s="53"/>
      <c r="AQ943" s="183">
        <f t="shared" ref="AQ943:AR943" si="3416">SUM(AQ935:AQ942)</f>
        <v>132.16</v>
      </c>
      <c r="AR943" s="51">
        <f t="shared" si="3416"/>
        <v>0</v>
      </c>
      <c r="AS943" s="52"/>
      <c r="AT943" s="53"/>
      <c r="AU943" s="183">
        <f t="shared" ref="AU943:AV943" si="3417">SUM(AU935:AU942)</f>
        <v>178.2</v>
      </c>
      <c r="AV943" s="68">
        <f t="shared" si="3417"/>
        <v>970</v>
      </c>
      <c r="AW943" s="52"/>
      <c r="AX943" s="53"/>
      <c r="AY943" s="183">
        <f t="shared" ref="AY943:AZ943" si="3418">SUM(AY935:AY942)</f>
        <v>0</v>
      </c>
      <c r="AZ943" s="68">
        <f t="shared" si="3418"/>
        <v>0</v>
      </c>
      <c r="BA943" s="52"/>
      <c r="BB943" s="53"/>
      <c r="BC943" s="183">
        <f t="shared" ref="BC943:BD943" si="3419">SUM(BC935:BC942)</f>
        <v>0</v>
      </c>
      <c r="BD943" s="68">
        <f t="shared" si="3419"/>
        <v>0</v>
      </c>
      <c r="BE943" s="69"/>
      <c r="BF943" s="70">
        <f t="shared" ref="BF943:BH943" si="3420">SUM(BF935:BF942)</f>
        <v>6341.16</v>
      </c>
      <c r="BG943" s="71">
        <f t="shared" si="3420"/>
        <v>1970</v>
      </c>
      <c r="BH943" s="72">
        <f t="shared" si="3420"/>
        <v>11998.65</v>
      </c>
      <c r="BI943" s="34">
        <f>H943+BF943-BG943</f>
        <v>11998.65</v>
      </c>
      <c r="BJ943" s="34">
        <f>BH943-BI943</f>
        <v>0</v>
      </c>
      <c r="BK943" s="2" t="b">
        <f>H943='2020'!BH943</f>
        <v>1</v>
      </c>
    </row>
    <row r="944" ht="14.25" customHeight="1" hidden="1" spans="1:63" x14ac:dyDescent="0.25">
      <c r="A944" s="2">
        <v>102</v>
      </c>
      <c r="B944" s="14"/>
      <c r="D944" s="178" t="s">
        <v>486</v>
      </c>
      <c r="F944" s="13"/>
      <c r="G944" s="28"/>
      <c r="H944" s="34">
        <f>'2020'!BH944</f>
        <v>85.55</v>
      </c>
      <c r="I944" s="13"/>
      <c r="J944" s="15"/>
      <c r="K944" s="15"/>
      <c r="L944" s="28"/>
      <c r="M944" s="13"/>
      <c r="N944" s="15"/>
      <c r="Q944" s="13"/>
      <c r="R944" s="15"/>
      <c r="S944" s="15"/>
      <c r="T944" s="28"/>
      <c r="U944" s="13"/>
      <c r="V944" s="15"/>
      <c r="W944" s="153"/>
      <c r="Y944" s="186"/>
      <c r="Z944" s="2"/>
      <c r="AA944" s="15"/>
      <c r="AB944" s="28"/>
      <c r="AC944" s="15"/>
      <c r="AD944" s="15"/>
      <c r="AG944" s="15"/>
      <c r="AH944" s="2"/>
      <c r="AI944" s="45"/>
      <c r="AJ944" s="304">
        <v>85.55</v>
      </c>
      <c r="AK944" s="13"/>
      <c r="AM944" s="45"/>
      <c r="AO944" s="13"/>
      <c r="AQ944" s="180"/>
      <c r="AS944" s="13"/>
      <c r="AU944" s="45"/>
      <c r="AW944" s="13"/>
      <c r="AY944" s="45"/>
      <c r="AZ944" s="28"/>
      <c r="BA944" s="13"/>
      <c r="BB944" s="15"/>
      <c r="BC944" s="45"/>
      <c r="BD944" s="28"/>
      <c r="BE944" s="14"/>
      <c r="BF944" s="41">
        <f t="shared" ref="BF944:BG944" si="3421">K944+O944+S944+W944+AA944+AE944+AI944+AM944+AQ944+AU944+AY944+BC944</f>
        <v>0</v>
      </c>
      <c r="BG944" s="34">
        <f t="shared" si="3421"/>
        <v>85.55</v>
      </c>
      <c r="BH944" s="35">
        <f t="shared" ref="BH944:BH951" si="3422">H944+BF944-BG944</f>
        <v>0</v>
      </c>
      <c r="BK944" s="2" t="b">
        <f>H944='2020'!BH944</f>
        <v>1</v>
      </c>
    </row>
    <row r="945" ht="14.25" customHeight="1" hidden="1" spans="1:63" x14ac:dyDescent="0.25">
      <c r="A945" s="147">
        <v>102</v>
      </c>
      <c r="B945" s="14">
        <v>4.45</v>
      </c>
      <c r="C945" s="2" t="s">
        <v>331</v>
      </c>
      <c r="D945" s="14" t="s">
        <v>44</v>
      </c>
      <c r="E945" s="2" t="s">
        <v>45</v>
      </c>
      <c r="F945" s="41">
        <v>2.5</v>
      </c>
      <c r="G945" s="35">
        <v>2.6</v>
      </c>
      <c r="H945" s="34">
        <f>'2020'!BH945</f>
        <v>203.6</v>
      </c>
      <c r="I945" s="13">
        <v>2210</v>
      </c>
      <c r="J945" s="15">
        <f>I945-'2020'!BA945</f>
        <v>45</v>
      </c>
      <c r="K945" s="34">
        <f>J945*$F$8</f>
        <v>117</v>
      </c>
      <c r="L945" s="28"/>
      <c r="M945" s="13">
        <v>2294</v>
      </c>
      <c r="N945" s="15">
        <f t="shared" ref="N945:N946" si="3423">M945-I945</f>
        <v>84</v>
      </c>
      <c r="O945" s="34">
        <f>N945*$F$8</f>
        <v>218.4</v>
      </c>
      <c r="Q945" s="13">
        <v>2294</v>
      </c>
      <c r="R945" s="15">
        <f t="shared" ref="R945:R946" si="3424">Q945-M945</f>
        <v>0</v>
      </c>
      <c r="S945" s="34">
        <f>R945*$F$8</f>
        <v>0</v>
      </c>
      <c r="T945" s="28"/>
      <c r="U945" s="13">
        <v>2307</v>
      </c>
      <c r="V945" s="15">
        <f t="shared" ref="V945:V946" si="3425">U945-Q945</f>
        <v>13</v>
      </c>
      <c r="W945" s="34">
        <f>V945*$F$8</f>
        <v>33.8</v>
      </c>
      <c r="X945" s="15"/>
      <c r="Y945" s="186">
        <v>2431</v>
      </c>
      <c r="Z945" s="2">
        <f t="shared" ref="Z945:Z946" si="3426">Y945-U945</f>
        <v>124</v>
      </c>
      <c r="AA945" s="34">
        <f>Z945*$F$8</f>
        <v>322.4</v>
      </c>
      <c r="AB945" s="28"/>
      <c r="AC945" s="15">
        <v>2754</v>
      </c>
      <c r="AD945" s="15">
        <f t="shared" ref="AD945:AD946" si="3427">AC945-Y945</f>
        <v>323</v>
      </c>
      <c r="AE945" s="180">
        <f>AD945*$F$8</f>
        <v>839.8</v>
      </c>
      <c r="AG945" s="15">
        <v>3234</v>
      </c>
      <c r="AH945" s="2">
        <f t="shared" ref="AH945:AH946" si="3428">AG945-AC945</f>
        <v>480</v>
      </c>
      <c r="AI945" s="45">
        <f>AH945*$G$8</f>
        <v>1296</v>
      </c>
      <c r="AJ945" s="304">
        <v>2294.45</v>
      </c>
      <c r="AK945" s="13">
        <v>3742</v>
      </c>
      <c r="AL945" s="15">
        <f t="shared" ref="AL945:AL946" si="3429">AK945-AG945</f>
        <v>508</v>
      </c>
      <c r="AM945" s="45">
        <f>AL945*$G$8</f>
        <v>1371.6</v>
      </c>
      <c r="AN945" s="15"/>
      <c r="AO945" s="13">
        <v>4017</v>
      </c>
      <c r="AP945" s="15">
        <f t="shared" ref="AP945:AP946" si="3430">AO945-AK945</f>
        <v>275</v>
      </c>
      <c r="AQ945" s="45">
        <f>AP945*$G$8</f>
        <v>742.5</v>
      </c>
      <c r="AR945" s="34"/>
      <c r="AS945" s="13">
        <v>4026</v>
      </c>
      <c r="AT945" s="15">
        <f t="shared" ref="AT945:AT946" si="3431">AS945-AO945</f>
        <v>9</v>
      </c>
      <c r="AU945" s="45">
        <f>AT945*$G$8</f>
        <v>24.3</v>
      </c>
      <c r="AV945" s="15"/>
      <c r="AW945" s="13">
        <v>4046</v>
      </c>
      <c r="AX945" s="15">
        <f t="shared" ref="AX945:AX946" si="3432">AW945-AS945</f>
        <v>20</v>
      </c>
      <c r="AY945" s="45">
        <f>AX945*$G$8</f>
        <v>54</v>
      </c>
      <c r="AZ945" s="208"/>
      <c r="BA945" s="13">
        <v>4046</v>
      </c>
      <c r="BB945" s="15">
        <f t="shared" ref="BB945:BB946" si="3433">BA945-AW945</f>
        <v>0</v>
      </c>
      <c r="BC945" s="45">
        <f>BB945*$G$8</f>
        <v>0</v>
      </c>
      <c r="BD945" s="208">
        <v>5000</v>
      </c>
      <c r="BE945" s="40">
        <f t="shared" ref="BE945:BG945" si="3434">J945+N945+R945+V945+Z945+AD945+AH945+AL945+AP945+AT945+AX945+BB945</f>
        <v>1881</v>
      </c>
      <c r="BF945" s="41">
        <f t="shared" si="3434"/>
        <v>5019.8</v>
      </c>
      <c r="BG945" s="34">
        <f t="shared" si="3434"/>
        <v>7294.45</v>
      </c>
      <c r="BH945" s="35">
        <f t="shared" si="3422"/>
        <v>-2071.05</v>
      </c>
      <c r="BK945" s="2" t="b">
        <f>H945='2020'!BH945</f>
        <v>1</v>
      </c>
    </row>
    <row r="946" ht="14.25" customHeight="1" hidden="1" spans="1:63" x14ac:dyDescent="0.25">
      <c r="A946" s="2">
        <v>102</v>
      </c>
      <c r="B946" s="14"/>
      <c r="C946" s="2" t="s">
        <v>313</v>
      </c>
      <c r="D946" s="14" t="s">
        <v>47</v>
      </c>
      <c r="E946" s="2" t="s">
        <v>48</v>
      </c>
      <c r="F946" s="13">
        <v>18.56</v>
      </c>
      <c r="G946" s="35">
        <v>19.46</v>
      </c>
      <c r="H946" s="34">
        <f>'2020'!BH946</f>
        <v>-250.81</v>
      </c>
      <c r="I946" s="13">
        <v>41</v>
      </c>
      <c r="J946" s="15"/>
      <c r="K946" s="15"/>
      <c r="L946" s="28"/>
      <c r="M946" s="13">
        <v>41</v>
      </c>
      <c r="N946" s="15">
        <f t="shared" si="3423"/>
        <v>0</v>
      </c>
      <c r="Q946" s="13">
        <v>41</v>
      </c>
      <c r="R946" s="15">
        <f t="shared" si="3424"/>
        <v>0</v>
      </c>
      <c r="S946" s="15"/>
      <c r="T946" s="28"/>
      <c r="U946" s="13">
        <v>41</v>
      </c>
      <c r="V946" s="15">
        <f t="shared" si="3425"/>
        <v>0</v>
      </c>
      <c r="W946" s="34">
        <f>V946*$F$10</f>
        <v>0</v>
      </c>
      <c r="Y946" s="186">
        <v>47</v>
      </c>
      <c r="Z946" s="2">
        <f t="shared" si="3426"/>
        <v>6</v>
      </c>
      <c r="AA946" s="34">
        <f>Z946*$F$10</f>
        <v>116.76</v>
      </c>
      <c r="AB946" s="28"/>
      <c r="AC946" s="15">
        <v>47</v>
      </c>
      <c r="AD946" s="15">
        <f t="shared" si="3427"/>
        <v>0</v>
      </c>
      <c r="AE946" s="34">
        <f>AD946*$F$10</f>
        <v>0</v>
      </c>
      <c r="AG946" s="15">
        <v>47</v>
      </c>
      <c r="AH946" s="2">
        <f t="shared" si="3428"/>
        <v>0</v>
      </c>
      <c r="AI946" s="45">
        <f>AH946*$G$10</f>
        <v>0</v>
      </c>
      <c r="AJ946" s="304"/>
      <c r="AK946" s="13">
        <v>47</v>
      </c>
      <c r="AL946" s="15">
        <f t="shared" si="3429"/>
        <v>0</v>
      </c>
      <c r="AM946" s="45">
        <f>AL946*$G$10</f>
        <v>0</v>
      </c>
      <c r="AN946" s="15"/>
      <c r="AO946" s="13">
        <v>47</v>
      </c>
      <c r="AP946" s="15">
        <f t="shared" si="3430"/>
        <v>0</v>
      </c>
      <c r="AQ946" s="45">
        <f>AP946*$G$10</f>
        <v>0</v>
      </c>
      <c r="AR946" s="1"/>
      <c r="AS946" s="13">
        <v>47</v>
      </c>
      <c r="AT946" s="15">
        <f t="shared" si="3431"/>
        <v>0</v>
      </c>
      <c r="AU946" s="45">
        <f>AT946*$G$10</f>
        <v>0</v>
      </c>
      <c r="AV946" s="15"/>
      <c r="AW946" s="13">
        <v>47</v>
      </c>
      <c r="AX946" s="15">
        <f t="shared" si="3432"/>
        <v>0</v>
      </c>
      <c r="AY946" s="45"/>
      <c r="AZ946" s="208"/>
      <c r="BA946" s="13">
        <v>47</v>
      </c>
      <c r="BB946" s="15">
        <f t="shared" si="3433"/>
        <v>0</v>
      </c>
      <c r="BC946" s="45"/>
      <c r="BD946" s="208"/>
      <c r="BE946" s="40">
        <f t="shared" ref="BE946:BG946" si="3435">J946+N946+R946+V946+Z946+AD946+AH946+AL946+AP946+AT946+AX946+BB946</f>
        <v>6</v>
      </c>
      <c r="BF946" s="41">
        <f t="shared" si="3435"/>
        <v>116.76</v>
      </c>
      <c r="BG946" s="34">
        <f t="shared" si="3435"/>
        <v>0</v>
      </c>
      <c r="BH946" s="35">
        <f t="shared" si="3422"/>
        <v>-134.05</v>
      </c>
      <c r="BK946" s="2" t="b">
        <f>H946='2020'!BH946</f>
        <v>1</v>
      </c>
    </row>
    <row r="947" ht="14.25" customHeight="1" hidden="1" spans="1:63" x14ac:dyDescent="0.25">
      <c r="A947" s="2">
        <v>102</v>
      </c>
      <c r="B947" s="14"/>
      <c r="C947" s="2" t="s">
        <v>332</v>
      </c>
      <c r="D947" s="14" t="s">
        <v>47</v>
      </c>
      <c r="E947" s="2" t="s">
        <v>49</v>
      </c>
      <c r="F947" s="41">
        <v>500</v>
      </c>
      <c r="G947" s="28"/>
      <c r="H947" s="34">
        <f>'2020'!BH947</f>
        <v>0</v>
      </c>
      <c r="I947" s="13"/>
      <c r="J947" s="15"/>
      <c r="K947" s="15"/>
      <c r="L947" s="28"/>
      <c r="M947" s="13"/>
      <c r="N947" s="15"/>
      <c r="Q947" s="13"/>
      <c r="R947" s="15"/>
      <c r="S947" s="15"/>
      <c r="T947" s="28"/>
      <c r="U947" s="13"/>
      <c r="V947" s="15"/>
      <c r="Y947" s="186"/>
      <c r="Z947" s="2"/>
      <c r="AA947" s="15"/>
      <c r="AB947" s="28"/>
      <c r="AC947" s="15"/>
      <c r="AD947" s="15"/>
      <c r="AG947" s="15"/>
      <c r="AH947" s="2"/>
      <c r="AI947" s="45"/>
      <c r="AJ947" s="304"/>
      <c r="AK947" s="13"/>
      <c r="AL947" s="15"/>
      <c r="AM947" s="45"/>
      <c r="AN947" s="15"/>
      <c r="AO947" s="13"/>
      <c r="AP947" s="15"/>
      <c r="AQ947" s="45"/>
      <c r="AR947" s="1"/>
      <c r="AS947" s="13"/>
      <c r="AT947" s="15"/>
      <c r="AU947" s="45"/>
      <c r="AV947" s="15"/>
      <c r="AW947" s="13"/>
      <c r="AX947" s="15"/>
      <c r="AY947" s="45"/>
      <c r="AZ947" s="28"/>
      <c r="BA947" s="13"/>
      <c r="BB947" s="15"/>
      <c r="BC947" s="45"/>
      <c r="BD947" s="28"/>
      <c r="BE947" s="14"/>
      <c r="BF947" s="41">
        <f t="shared" ref="BF947:BG947" si="3436">K947+O947+S947+W947+AA947+AE947+AI947+AM947+AQ947+AU947+AY947+BC947</f>
        <v>0</v>
      </c>
      <c r="BG947" s="34">
        <f t="shared" si="3436"/>
        <v>0</v>
      </c>
      <c r="BH947" s="35">
        <f t="shared" si="3422"/>
        <v>0</v>
      </c>
      <c r="BK947" s="2" t="b">
        <f>H947='2020'!BH947</f>
        <v>1</v>
      </c>
    </row>
    <row r="948" ht="14.25" customHeight="1" hidden="1" spans="1:63" x14ac:dyDescent="0.25">
      <c r="A948" s="2">
        <v>102</v>
      </c>
      <c r="B948" s="14"/>
      <c r="C948" s="15" t="s">
        <v>452</v>
      </c>
      <c r="D948" s="14" t="s">
        <v>50</v>
      </c>
      <c r="E948" s="2" t="s">
        <v>49</v>
      </c>
      <c r="F948" s="41">
        <v>1100</v>
      </c>
      <c r="G948" s="28"/>
      <c r="H948" s="34">
        <f>'2020'!BH948</f>
        <v>0</v>
      </c>
      <c r="I948" s="13"/>
      <c r="J948" s="15"/>
      <c r="K948" s="15"/>
      <c r="L948" s="28"/>
      <c r="M948" s="13"/>
      <c r="N948" s="15"/>
      <c r="Q948" s="13"/>
      <c r="R948" s="15"/>
      <c r="S948" s="15"/>
      <c r="T948" s="28"/>
      <c r="U948" s="13"/>
      <c r="V948" s="15"/>
      <c r="Y948" s="186"/>
      <c r="Z948" s="2"/>
      <c r="AA948" s="15"/>
      <c r="AB948" s="28"/>
      <c r="AC948" s="15"/>
      <c r="AD948" s="15"/>
      <c r="AE948" s="34">
        <f>B945*$F$12</f>
        <v>4895</v>
      </c>
      <c r="AG948" s="15"/>
      <c r="AH948" s="2"/>
      <c r="AI948" s="45"/>
      <c r="AJ948" s="187">
        <v>4895</v>
      </c>
      <c r="AK948" s="13"/>
      <c r="AL948" s="15"/>
      <c r="AM948" s="45"/>
      <c r="AN948" s="15"/>
      <c r="AO948" s="13"/>
      <c r="AP948" s="15"/>
      <c r="AQ948" s="45"/>
      <c r="AR948" s="34"/>
      <c r="AS948" s="13"/>
      <c r="AT948" s="15"/>
      <c r="AU948" s="45"/>
      <c r="AV948" s="15"/>
      <c r="AW948" s="13"/>
      <c r="AX948" s="15"/>
      <c r="AY948" s="45"/>
      <c r="AZ948" s="28"/>
      <c r="BA948" s="13"/>
      <c r="BB948" s="15"/>
      <c r="BC948" s="45"/>
      <c r="BD948" s="28"/>
      <c r="BE948" s="14"/>
      <c r="BF948" s="41">
        <f t="shared" ref="BF948:BG948" si="3437">K948+O948+S948+W948+AA948+AE948+AI948+AM948+AQ948+AU948+AY948+BC948</f>
        <v>4895</v>
      </c>
      <c r="BG948" s="34">
        <f t="shared" si="3437"/>
        <v>4895</v>
      </c>
      <c r="BH948" s="35">
        <f t="shared" si="3422"/>
        <v>0</v>
      </c>
      <c r="BK948" s="2" t="b">
        <f>H948='2020'!BH948</f>
        <v>1</v>
      </c>
    </row>
    <row r="949" ht="14.25" customHeight="1" hidden="1" spans="1:63" x14ac:dyDescent="0.25">
      <c r="A949" s="2">
        <v>102</v>
      </c>
      <c r="B949" s="14"/>
      <c r="D949" s="14" t="s">
        <v>51</v>
      </c>
      <c r="E949" s="2" t="s">
        <v>39</v>
      </c>
      <c r="F949" s="41">
        <v>500</v>
      </c>
      <c r="G949" s="28"/>
      <c r="H949" s="34">
        <f>'2020'!BH949</f>
        <v>500</v>
      </c>
      <c r="I949" s="13"/>
      <c r="J949" s="15"/>
      <c r="K949" s="15"/>
      <c r="L949" s="28"/>
      <c r="M949" s="13"/>
      <c r="N949" s="15"/>
      <c r="Q949" s="13"/>
      <c r="R949" s="15"/>
      <c r="S949" s="15"/>
      <c r="T949" s="28"/>
      <c r="U949" s="13"/>
      <c r="V949" s="15"/>
      <c r="Y949" s="186"/>
      <c r="Z949" s="2"/>
      <c r="AA949" s="15"/>
      <c r="AB949" s="28"/>
      <c r="AC949" s="15"/>
      <c r="AD949" s="15"/>
      <c r="AE949" s="180">
        <f>$F$13</f>
      </c>
      <c r="AG949" s="15"/>
      <c r="AH949" s="2"/>
      <c r="AI949" s="45"/>
      <c r="AJ949" s="304">
        <v>500</v>
      </c>
      <c r="AK949" s="13"/>
      <c r="AL949" s="15"/>
      <c r="AM949" s="45"/>
      <c r="AN949" s="15"/>
      <c r="AO949" s="13"/>
      <c r="AP949" s="15"/>
      <c r="AQ949" s="180"/>
      <c r="AR949" s="15"/>
      <c r="AS949" s="13"/>
      <c r="AT949" s="15"/>
      <c r="AU949" s="45"/>
      <c r="AV949" s="15"/>
      <c r="AW949" s="13"/>
      <c r="AX949" s="15"/>
      <c r="AY949" s="45"/>
      <c r="AZ949" s="28"/>
      <c r="BA949" s="13"/>
      <c r="BB949" s="15"/>
      <c r="BC949" s="45"/>
      <c r="BD949" s="28"/>
      <c r="BE949" s="14"/>
      <c r="BF949" s="41">
        <f t="shared" ref="BF949:BG949" si="3438">K949+O949+S949+W949+AA949+AE949+AI949+AM949+AQ949+AU949+AY949+BC949</f>
        <v>0</v>
      </c>
      <c r="BG949" s="34">
        <f t="shared" si="3438"/>
        <v>500</v>
      </c>
      <c r="BH949" s="35">
        <f t="shared" si="3422"/>
        <v>0</v>
      </c>
      <c r="BK949" s="2" t="b">
        <f>H949='2020'!BH949</f>
        <v>1</v>
      </c>
    </row>
    <row r="950" ht="14.25" customHeight="1" hidden="1" spans="1:63" x14ac:dyDescent="0.25">
      <c r="A950" s="2">
        <v>102</v>
      </c>
      <c r="B950" s="14"/>
      <c r="D950" s="14" t="s">
        <v>51</v>
      </c>
      <c r="E950" s="2" t="s">
        <v>49</v>
      </c>
      <c r="F950" s="41">
        <v>500</v>
      </c>
      <c r="G950" s="28"/>
      <c r="H950" s="34">
        <f>'2020'!BH950</f>
        <v>2225</v>
      </c>
      <c r="I950" s="13"/>
      <c r="J950" s="15"/>
      <c r="K950" s="15"/>
      <c r="L950" s="28"/>
      <c r="M950" s="13"/>
      <c r="N950" s="15"/>
      <c r="Q950" s="13"/>
      <c r="R950" s="15"/>
      <c r="S950" s="15"/>
      <c r="T950" s="28"/>
      <c r="U950" s="13"/>
      <c r="V950" s="15"/>
      <c r="Y950" s="186"/>
      <c r="Z950" s="2"/>
      <c r="AA950" s="15"/>
      <c r="AB950" s="28"/>
      <c r="AC950" s="15"/>
      <c r="AD950" s="15"/>
      <c r="AE950" s="34"/>
      <c r="AG950" s="15"/>
      <c r="AH950" s="2"/>
      <c r="AI950" s="45"/>
      <c r="AJ950" s="304">
        <v>2225</v>
      </c>
      <c r="AK950" s="13"/>
      <c r="AL950" s="15"/>
      <c r="AM950" s="45"/>
      <c r="AN950" s="15"/>
      <c r="AO950" s="13"/>
      <c r="AP950" s="15"/>
      <c r="AQ950" s="180">
        <f>B945*$F$14</f>
        <v>0</v>
      </c>
      <c r="AR950" s="15"/>
      <c r="AS950" s="13"/>
      <c r="AT950" s="15"/>
      <c r="AU950" s="45"/>
      <c r="AV950" s="15"/>
      <c r="AW950" s="13"/>
      <c r="AX950" s="15"/>
      <c r="AY950" s="45"/>
      <c r="AZ950" s="28"/>
      <c r="BA950" s="13"/>
      <c r="BB950" s="15"/>
      <c r="BC950" s="45"/>
      <c r="BD950" s="28"/>
      <c r="BE950" s="14"/>
      <c r="BF950" s="41">
        <f t="shared" ref="BF950:BG950" si="3439">K950+O950+S950+W950+AA950+AE950+AI950+AM950+AQ950+AU950+AY950+BC950</f>
        <v>0</v>
      </c>
      <c r="BG950" s="34">
        <f t="shared" si="3439"/>
        <v>2225</v>
      </c>
      <c r="BH950" s="35">
        <f t="shared" si="3422"/>
        <v>0</v>
      </c>
      <c r="BK950" s="2" t="b">
        <f>H950='2020'!BH950</f>
        <v>1</v>
      </c>
    </row>
    <row r="951" ht="14.25" customHeight="1" hidden="1" spans="1:63" x14ac:dyDescent="0.25">
      <c r="A951" s="2">
        <v>102</v>
      </c>
      <c r="B951" s="14"/>
      <c r="D951" s="14" t="s">
        <v>52</v>
      </c>
      <c r="E951" s="2" t="s">
        <v>39</v>
      </c>
      <c r="F951" s="41">
        <v>500</v>
      </c>
      <c r="G951" s="28"/>
      <c r="H951" s="34">
        <f>'2020'!BH951</f>
        <v>0</v>
      </c>
      <c r="I951" s="13"/>
      <c r="J951" s="15"/>
      <c r="K951" s="15"/>
      <c r="L951" s="28"/>
      <c r="M951" s="13"/>
      <c r="N951" s="15"/>
      <c r="Q951" s="13"/>
      <c r="R951" s="15"/>
      <c r="S951" s="15"/>
      <c r="T951" s="28"/>
      <c r="U951" s="13"/>
      <c r="V951" s="15"/>
      <c r="Y951" s="186"/>
      <c r="Z951" s="2"/>
      <c r="AA951" s="84"/>
      <c r="AB951" s="28"/>
      <c r="AC951" s="15"/>
      <c r="AD951" s="15"/>
      <c r="AG951" s="15"/>
      <c r="AH951" s="2"/>
      <c r="AI951" s="45"/>
      <c r="AJ951" s="15"/>
      <c r="AK951" s="13"/>
      <c r="AL951" s="15"/>
      <c r="AM951" s="45"/>
      <c r="AN951" s="15"/>
      <c r="AO951" s="13"/>
      <c r="AP951" s="15"/>
      <c r="AQ951" s="45"/>
      <c r="AR951" s="15"/>
      <c r="AS951" s="13"/>
      <c r="AT951" s="15"/>
      <c r="AU951" s="45"/>
      <c r="AV951" s="15"/>
      <c r="AW951" s="13"/>
      <c r="AX951" s="15"/>
      <c r="AY951" s="45"/>
      <c r="AZ951" s="35"/>
      <c r="BA951" s="13"/>
      <c r="BB951" s="15"/>
      <c r="BC951" s="45"/>
      <c r="BD951" s="35"/>
      <c r="BE951" s="14"/>
      <c r="BF951" s="41">
        <f t="shared" ref="BF951:BG951" si="3440">K951+O951+S951+W951+AA951+AE951+AI951+AM951+AQ951+AU951+AY951+BC951</f>
        <v>0</v>
      </c>
      <c r="BG951" s="34">
        <f t="shared" si="3440"/>
        <v>0</v>
      </c>
      <c r="BH951" s="35">
        <f t="shared" si="3422"/>
        <v>0</v>
      </c>
      <c r="BK951" s="2" t="b">
        <f>H951='2020'!BH951</f>
        <v>1</v>
      </c>
    </row>
    <row r="952" ht="14.25" customHeight="1" hidden="1" spans="1:63" x14ac:dyDescent="0.25">
      <c r="A952" s="247">
        <v>102</v>
      </c>
      <c r="B952" s="21"/>
      <c r="C952" s="22" t="s">
        <v>53</v>
      </c>
      <c r="D952" s="21"/>
      <c r="E952" s="22"/>
      <c r="F952" s="20"/>
      <c r="G952" s="23"/>
      <c r="H952" s="51">
        <f>SUM(H944:H951)</f>
        <v>2763.34</v>
      </c>
      <c r="I952" s="52"/>
      <c r="J952" s="53"/>
      <c r="K952" s="51">
        <f t="shared" ref="K952:L952" si="3441">SUM(K944:K951)</f>
        <v>117</v>
      </c>
      <c r="L952" s="68">
        <f t="shared" si="3441"/>
        <v>0</v>
      </c>
      <c r="M952" s="52"/>
      <c r="N952" s="53"/>
      <c r="O952" s="51">
        <f t="shared" ref="O952:P952" si="3442">SUM(O944:O951)</f>
        <v>218.4</v>
      </c>
      <c r="P952" s="51">
        <f t="shared" si="3442"/>
        <v>0</v>
      </c>
      <c r="Q952" s="52"/>
      <c r="R952" s="53"/>
      <c r="S952" s="51">
        <f t="shared" ref="S952:T952" si="3443">SUM(S944:S951)</f>
        <v>0</v>
      </c>
      <c r="T952" s="51">
        <f t="shared" si="3443"/>
        <v>0</v>
      </c>
      <c r="U952" s="52"/>
      <c r="V952" s="53"/>
      <c r="W952" s="51">
        <f t="shared" ref="W952:X952" si="3444">SUM(W944:W951)</f>
        <v>33.8</v>
      </c>
      <c r="X952" s="51">
        <f t="shared" si="3444"/>
        <v>0</v>
      </c>
      <c r="Y952" s="300"/>
      <c r="Z952" s="301"/>
      <c r="AA952" s="51">
        <f t="shared" ref="AA952:AB952" si="3445">SUM(AA944:AA951)</f>
        <v>439.16</v>
      </c>
      <c r="AB952" s="51">
        <f t="shared" si="3445"/>
        <v>0</v>
      </c>
      <c r="AC952" s="52"/>
      <c r="AD952" s="53"/>
      <c r="AE952" s="51">
        <f t="shared" ref="AE952:AF952" si="3446">SUM(AE944:AE951)</f>
        <v>5734.8</v>
      </c>
      <c r="AF952" s="51">
        <f t="shared" si="3446"/>
        <v>0</v>
      </c>
      <c r="AG952" s="52"/>
      <c r="AH952" s="301"/>
      <c r="AI952" s="183">
        <f t="shared" ref="AI952:AJ952" si="3447">SUM(AI944:AI951)</f>
        <v>1296</v>
      </c>
      <c r="AJ952" s="51">
        <f t="shared" si="3447"/>
        <v>10000</v>
      </c>
      <c r="AK952" s="52"/>
      <c r="AL952" s="53"/>
      <c r="AM952" s="183">
        <f t="shared" ref="AM952:AN952" si="3448">SUM(AM944:AM951)</f>
        <v>1371.6</v>
      </c>
      <c r="AN952" s="51">
        <f t="shared" si="3448"/>
        <v>0</v>
      </c>
      <c r="AO952" s="52"/>
      <c r="AP952" s="53"/>
      <c r="AQ952" s="183">
        <f t="shared" ref="AQ952:AR952" si="3449">SUM(AQ944:AQ951)</f>
        <v>742.5</v>
      </c>
      <c r="AR952" s="51">
        <f t="shared" si="3449"/>
        <v>0</v>
      </c>
      <c r="AS952" s="52"/>
      <c r="AT952" s="53"/>
      <c r="AU952" s="183">
        <f t="shared" ref="AU952:AV952" si="3450">SUM(AU944:AU951)</f>
        <v>24.3</v>
      </c>
      <c r="AV952" s="68">
        <f t="shared" si="3450"/>
        <v>0</v>
      </c>
      <c r="AW952" s="52"/>
      <c r="AX952" s="53"/>
      <c r="AY952" s="183">
        <f t="shared" ref="AY952:AZ952" si="3451">SUM(AY944:AY951)</f>
        <v>54</v>
      </c>
      <c r="AZ952" s="68">
        <f t="shared" si="3451"/>
        <v>0</v>
      </c>
      <c r="BA952" s="52"/>
      <c r="BB952" s="53"/>
      <c r="BC952" s="183">
        <f t="shared" ref="BC952:BD952" si="3452">SUM(BC944:BC951)</f>
        <v>0</v>
      </c>
      <c r="BD952" s="68">
        <f t="shared" si="3452"/>
        <v>5000</v>
      </c>
      <c r="BE952" s="69"/>
      <c r="BF952" s="70">
        <f t="shared" ref="BF952:BH952" si="3453">SUM(BF944:BF951)</f>
        <v>10031.56</v>
      </c>
      <c r="BG952" s="71">
        <f t="shared" si="3453"/>
        <v>15000</v>
      </c>
      <c r="BH952" s="72">
        <f t="shared" si="3453"/>
        <v>-2205.1</v>
      </c>
      <c r="BI952" s="34">
        <f>H952+BF952-BG952</f>
        <v>-2205.1</v>
      </c>
      <c r="BJ952" s="34">
        <f>BH952-BI952</f>
        <v>0</v>
      </c>
      <c r="BK952" s="2" t="b">
        <f>H952='2020'!BH952</f>
        <v>1</v>
      </c>
    </row>
    <row r="953" ht="14.25" customHeight="1" hidden="1" spans="1:63" x14ac:dyDescent="0.25">
      <c r="A953" s="2">
        <v>104</v>
      </c>
      <c r="B953" s="14"/>
      <c r="D953" s="14" t="s">
        <v>379</v>
      </c>
      <c r="F953" s="13"/>
      <c r="G953" s="28"/>
      <c r="H953" s="34">
        <f>'2020'!BH953</f>
        <v>0</v>
      </c>
      <c r="I953" s="13"/>
      <c r="J953" s="15"/>
      <c r="K953" s="15"/>
      <c r="L953" s="28"/>
      <c r="M953" s="13"/>
      <c r="N953" s="15"/>
      <c r="Q953" s="13"/>
      <c r="R953" s="15"/>
      <c r="S953" s="15"/>
      <c r="T953" s="28"/>
      <c r="U953" s="13"/>
      <c r="V953" s="15"/>
      <c r="Y953" s="186"/>
      <c r="Z953" s="2"/>
      <c r="AA953" s="15"/>
      <c r="AB953" s="28"/>
      <c r="AC953" s="15"/>
      <c r="AD953" s="15"/>
      <c r="AG953" s="15"/>
      <c r="AH953" s="2"/>
      <c r="AI953" s="45"/>
      <c r="AJ953" s="15"/>
      <c r="AK953" s="13"/>
      <c r="AM953" s="45"/>
      <c r="AO953" s="13"/>
      <c r="AQ953" s="45"/>
      <c r="AS953" s="13"/>
      <c r="AU953" s="45"/>
      <c r="AW953" s="13"/>
      <c r="AY953" s="45"/>
      <c r="AZ953" s="28"/>
      <c r="BA953" s="13"/>
      <c r="BB953" s="15"/>
      <c r="BC953" s="45"/>
      <c r="BD953" s="28"/>
      <c r="BE953" s="14"/>
      <c r="BF953" s="41">
        <f t="shared" ref="BF953:BG953" si="3454">K953+O953+S953+W953+AA953+AE953+AI953+AM953+AQ953+AU953+AY953+BC953</f>
        <v>0</v>
      </c>
      <c r="BG953" s="34">
        <f t="shared" si="3454"/>
        <v>0</v>
      </c>
      <c r="BH953" s="35">
        <f t="shared" ref="BH953:BH960" si="3455">H953+BF953-BG953</f>
        <v>0</v>
      </c>
      <c r="BK953" s="2" t="b">
        <f>H953='2020'!BH953</f>
        <v>1</v>
      </c>
    </row>
    <row r="954" ht="14.25" customHeight="1" hidden="1" spans="1:63" x14ac:dyDescent="0.25">
      <c r="A954" s="2">
        <v>104</v>
      </c>
      <c r="B954" s="14">
        <v>4.42</v>
      </c>
      <c r="C954" s="2" t="s">
        <v>333</v>
      </c>
      <c r="D954" s="14" t="s">
        <v>44</v>
      </c>
      <c r="E954" s="2" t="s">
        <v>45</v>
      </c>
      <c r="F954" s="41">
        <v>2.5</v>
      </c>
      <c r="G954" s="35">
        <v>2.6</v>
      </c>
      <c r="H954" s="34">
        <f>'2020'!BH954</f>
        <v>-4.04</v>
      </c>
      <c r="I954" s="13">
        <v>1140</v>
      </c>
      <c r="J954" s="15">
        <f>I954-'2020'!BA954</f>
        <v>0</v>
      </c>
      <c r="K954" s="34">
        <f>J954*$F$8</f>
        <v>0</v>
      </c>
      <c r="L954" s="28"/>
      <c r="M954" s="13">
        <v>1140</v>
      </c>
      <c r="N954" s="15">
        <f t="shared" ref="N954:N955" si="3456">M954-I954</f>
        <v>0</v>
      </c>
      <c r="O954" s="34">
        <f>N954*$F$8</f>
        <v>0</v>
      </c>
      <c r="Q954" s="13">
        <v>1140</v>
      </c>
      <c r="R954" s="15">
        <f t="shared" ref="R954:R955" si="3457">Q954-M954</f>
        <v>0</v>
      </c>
      <c r="S954" s="34">
        <f>R954*$F$8</f>
        <v>0</v>
      </c>
      <c r="T954" s="28"/>
      <c r="U954" s="13">
        <v>1140</v>
      </c>
      <c r="V954" s="15">
        <f t="shared" ref="V954:V955" si="3458">U954-Q954</f>
        <v>0</v>
      </c>
      <c r="W954" s="34">
        <f>V954*$F$8</f>
        <v>0</v>
      </c>
      <c r="X954" s="15"/>
      <c r="Y954" s="186">
        <v>1157</v>
      </c>
      <c r="Z954" s="2">
        <f t="shared" ref="Z954:Z955" si="3459">Y954-U954</f>
        <v>17</v>
      </c>
      <c r="AA954" s="34">
        <f>Z954*$F$8</f>
        <v>44.2</v>
      </c>
      <c r="AB954" s="28"/>
      <c r="AC954" s="15">
        <v>1162</v>
      </c>
      <c r="AD954" s="15">
        <f t="shared" ref="AD954:AD955" si="3460">AC954-Y954</f>
        <v>5</v>
      </c>
      <c r="AE954" s="180">
        <f>AD954*$F$8</f>
        <v>13</v>
      </c>
      <c r="AF954" s="182">
        <v>55.02</v>
      </c>
      <c r="AG954" s="15">
        <v>1164</v>
      </c>
      <c r="AH954" s="2">
        <f t="shared" ref="AH954:AH955" si="3461">AG954-AC954</f>
        <v>2</v>
      </c>
      <c r="AI954" s="45">
        <f>AH954*$G$8</f>
        <v>5.4</v>
      </c>
      <c r="AJ954" s="326">
        <v>3.54</v>
      </c>
      <c r="AK954" s="13">
        <v>1169</v>
      </c>
      <c r="AL954" s="15">
        <f t="shared" ref="AL954:AL955" si="3462">AK954-AG954</f>
        <v>5</v>
      </c>
      <c r="AM954" s="45">
        <f>AL954*$G$8</f>
        <v>13.5</v>
      </c>
      <c r="AN954" s="15"/>
      <c r="AO954" s="13">
        <v>1190</v>
      </c>
      <c r="AP954" s="15">
        <f t="shared" ref="AP954:AP955" si="3463">AO954-AK954</f>
        <v>21</v>
      </c>
      <c r="AQ954" s="45">
        <f>AP954*$G$8</f>
        <v>56.7</v>
      </c>
      <c r="AR954" s="15"/>
      <c r="AS954" s="13">
        <v>1196</v>
      </c>
      <c r="AT954" s="15">
        <f t="shared" ref="AT954:AT955" si="3464">AS954-AO954</f>
        <v>6</v>
      </c>
      <c r="AU954" s="45">
        <f>AT954*$G$8</f>
        <v>16.2</v>
      </c>
      <c r="AV954" s="1">
        <v>167.8</v>
      </c>
      <c r="AW954" s="13">
        <v>1196</v>
      </c>
      <c r="AX954" s="15">
        <f t="shared" ref="AX954:AX955" si="3465">AW954-AS954</f>
        <v>0</v>
      </c>
      <c r="AY954" s="45">
        <f>AX954*$G$8</f>
        <v>0</v>
      </c>
      <c r="AZ954" s="208"/>
      <c r="BA954" s="13">
        <v>1196</v>
      </c>
      <c r="BB954" s="15">
        <f t="shared" ref="BB954:BB955" si="3466">BA954-AW954</f>
        <v>0</v>
      </c>
      <c r="BC954" s="45">
        <f>BB954*$G$8</f>
        <v>0</v>
      </c>
      <c r="BD954" s="208"/>
      <c r="BE954" s="40">
        <f t="shared" ref="BE954:BG954" si="3467">J954+N954+R954+V954+Z954+AD954+AH954+AL954+AP954+AT954+AX954+BB954</f>
        <v>56</v>
      </c>
      <c r="BF954" s="41">
        <f t="shared" si="3467"/>
        <v>149</v>
      </c>
      <c r="BG954" s="34">
        <f t="shared" si="3467"/>
        <v>226.36</v>
      </c>
      <c r="BH954" s="35">
        <f t="shared" si="3455"/>
        <v>-81.4</v>
      </c>
      <c r="BK954" s="2" t="b">
        <f>H954='2020'!BH954</f>
        <v>1</v>
      </c>
    </row>
    <row r="955" ht="14.25" customHeight="1" hidden="1" spans="1:63" x14ac:dyDescent="0.25">
      <c r="A955" s="2">
        <v>104</v>
      </c>
      <c r="B955" s="14"/>
      <c r="C955" s="2" t="s">
        <v>163</v>
      </c>
      <c r="D955" s="14" t="s">
        <v>47</v>
      </c>
      <c r="E955" s="2" t="s">
        <v>48</v>
      </c>
      <c r="F955" s="13">
        <v>18.56</v>
      </c>
      <c r="G955" s="35">
        <v>19.46</v>
      </c>
      <c r="H955" s="34">
        <f>'2020'!BH955</f>
        <v>0</v>
      </c>
      <c r="I955" s="13">
        <v>238</v>
      </c>
      <c r="J955" s="15"/>
      <c r="K955" s="15"/>
      <c r="L955" s="28"/>
      <c r="M955" s="13">
        <v>238</v>
      </c>
      <c r="N955" s="15">
        <f t="shared" si="3456"/>
        <v>0</v>
      </c>
      <c r="Q955" s="13">
        <v>238</v>
      </c>
      <c r="R955" s="15">
        <f t="shared" si="3457"/>
        <v>0</v>
      </c>
      <c r="S955" s="15"/>
      <c r="T955" s="28"/>
      <c r="U955" s="13">
        <v>238</v>
      </c>
      <c r="V955" s="15">
        <f t="shared" si="3458"/>
        <v>0</v>
      </c>
      <c r="W955" s="180">
        <f>V955*$F$10</f>
        <v>0</v>
      </c>
      <c r="Y955" s="186">
        <v>238</v>
      </c>
      <c r="Z955" s="2">
        <f t="shared" si="3459"/>
        <v>0</v>
      </c>
      <c r="AA955" s="34">
        <f>Z955*$F$10</f>
        <v>0</v>
      </c>
      <c r="AB955" s="28"/>
      <c r="AC955" s="15">
        <v>251</v>
      </c>
      <c r="AD955" s="15">
        <f t="shared" si="3460"/>
        <v>13</v>
      </c>
      <c r="AE955" s="34">
        <f>AD955*$F$10</f>
        <v>252.98</v>
      </c>
      <c r="AF955" s="182">
        <v>252.98</v>
      </c>
      <c r="AG955" s="15">
        <v>260</v>
      </c>
      <c r="AH955" s="2">
        <f t="shared" si="3461"/>
        <v>9</v>
      </c>
      <c r="AI955" s="333">
        <f>AH955*$G$10</f>
        <v>183.15</v>
      </c>
      <c r="AJ955" s="326">
        <v>183.15</v>
      </c>
      <c r="AK955" s="13">
        <v>260</v>
      </c>
      <c r="AL955" s="15">
        <f t="shared" si="3462"/>
        <v>0</v>
      </c>
      <c r="AM955" s="45">
        <f>AL955*$G$10</f>
        <v>0</v>
      </c>
      <c r="AN955" s="15"/>
      <c r="AO955" s="13">
        <v>260</v>
      </c>
      <c r="AP955" s="15">
        <f t="shared" si="3463"/>
        <v>0</v>
      </c>
      <c r="AQ955" s="45">
        <f>AP955*$G$10</f>
        <v>0</v>
      </c>
      <c r="AR955" s="15"/>
      <c r="AS955" s="13">
        <v>260</v>
      </c>
      <c r="AT955" s="15">
        <f t="shared" si="3464"/>
        <v>0</v>
      </c>
      <c r="AU955" s="45">
        <f>AT955*$G$10</f>
        <v>0</v>
      </c>
      <c r="AV955" s="15"/>
      <c r="AW955" s="13">
        <v>260</v>
      </c>
      <c r="AX955" s="15">
        <f t="shared" si="3465"/>
        <v>0</v>
      </c>
      <c r="AY955" s="45"/>
      <c r="AZ955" s="208"/>
      <c r="BA955" s="13">
        <v>260</v>
      </c>
      <c r="BB955" s="15">
        <f t="shared" si="3466"/>
        <v>0</v>
      </c>
      <c r="BC955" s="45"/>
      <c r="BD955" s="208"/>
      <c r="BE955" s="40">
        <f t="shared" ref="BE955:BG955" si="3468">J955+N955+R955+V955+Z955+AD955+AH955+AL955+AP955+AT955+AX955+BB955</f>
        <v>22</v>
      </c>
      <c r="BF955" s="41">
        <f t="shared" si="3468"/>
        <v>436.13</v>
      </c>
      <c r="BG955" s="34">
        <f t="shared" si="3468"/>
        <v>436.13</v>
      </c>
      <c r="BH955" s="35">
        <f t="shared" si="3455"/>
        <v>0</v>
      </c>
      <c r="BK955" s="2" t="b">
        <f>H955='2020'!BH955</f>
        <v>1</v>
      </c>
    </row>
    <row r="956" ht="14.25" customHeight="1" hidden="1" spans="1:63" x14ac:dyDescent="0.25">
      <c r="A956" s="2">
        <v>104</v>
      </c>
      <c r="B956" s="14"/>
      <c r="C956" s="15" t="s">
        <v>334</v>
      </c>
      <c r="D956" s="14" t="s">
        <v>47</v>
      </c>
      <c r="E956" s="2" t="s">
        <v>49</v>
      </c>
      <c r="F956" s="41">
        <v>500</v>
      </c>
      <c r="G956" s="28"/>
      <c r="H956" s="34">
        <f>'2020'!BH956</f>
        <v>0</v>
      </c>
      <c r="I956" s="13"/>
      <c r="J956" s="15"/>
      <c r="K956" s="15"/>
      <c r="L956" s="28"/>
      <c r="M956" s="13"/>
      <c r="N956" s="15"/>
      <c r="Q956" s="13"/>
      <c r="R956" s="15"/>
      <c r="S956" s="15"/>
      <c r="T956" s="28"/>
      <c r="U956" s="13"/>
      <c r="V956" s="15"/>
      <c r="Y956" s="186"/>
      <c r="Z956" s="2"/>
      <c r="AA956" s="15"/>
      <c r="AB956" s="28"/>
      <c r="AC956" s="15"/>
      <c r="AD956" s="15"/>
      <c r="AF956" s="154"/>
      <c r="AG956" s="15"/>
      <c r="AH956" s="2"/>
      <c r="AI956" s="45"/>
      <c r="AJ956" s="15"/>
      <c r="AK956" s="13"/>
      <c r="AL956" s="15"/>
      <c r="AM956" s="45"/>
      <c r="AN956" s="15"/>
      <c r="AO956" s="13"/>
      <c r="AP956" s="15"/>
      <c r="AQ956" s="45"/>
      <c r="AR956" s="15"/>
      <c r="AS956" s="13"/>
      <c r="AT956" s="15"/>
      <c r="AU956" s="45"/>
      <c r="AV956" s="15"/>
      <c r="AW956" s="13"/>
      <c r="AX956" s="15"/>
      <c r="AY956" s="45"/>
      <c r="AZ956" s="32"/>
      <c r="BA956" s="13"/>
      <c r="BB956" s="15"/>
      <c r="BC956" s="45"/>
      <c r="BD956" s="28"/>
      <c r="BE956" s="14"/>
      <c r="BF956" s="41">
        <f t="shared" ref="BF956:BG956" si="3469">K956+O956+S956+W956+AA956+AE956+AI956+AM956+AQ956+AU956+AY956+BC956</f>
        <v>0</v>
      </c>
      <c r="BG956" s="34">
        <f t="shared" si="3469"/>
        <v>0</v>
      </c>
      <c r="BH956" s="35">
        <f t="shared" si="3455"/>
        <v>0</v>
      </c>
      <c r="BK956" s="2" t="b">
        <f>H956='2020'!BH956</f>
        <v>1</v>
      </c>
    </row>
    <row r="957" ht="14.25" customHeight="1" hidden="1" spans="1:63" x14ac:dyDescent="0.25">
      <c r="A957" s="2">
        <v>104</v>
      </c>
      <c r="B957" s="14"/>
      <c r="C957" s="2" t="s">
        <v>90</v>
      </c>
      <c r="D957" s="14" t="s">
        <v>50</v>
      </c>
      <c r="E957" s="2" t="s">
        <v>49</v>
      </c>
      <c r="F957" s="41">
        <v>1100</v>
      </c>
      <c r="G957" s="28"/>
      <c r="H957" s="34">
        <f>'2020'!BH957</f>
        <v>0</v>
      </c>
      <c r="I957" s="13"/>
      <c r="J957" s="15"/>
      <c r="K957" s="15"/>
      <c r="L957" s="28"/>
      <c r="M957" s="13"/>
      <c r="N957" s="15"/>
      <c r="Q957" s="13"/>
      <c r="R957" s="15"/>
      <c r="S957" s="15"/>
      <c r="T957" s="28"/>
      <c r="U957" s="13"/>
      <c r="V957" s="15"/>
      <c r="Y957" s="186"/>
      <c r="Z957" s="2"/>
      <c r="AA957" s="15"/>
      <c r="AB957" s="28"/>
      <c r="AC957" s="15"/>
      <c r="AD957" s="15"/>
      <c r="AE957" s="34">
        <f>B954*$F$12</f>
        <v>4862</v>
      </c>
      <c r="AF957" s="182">
        <v>4862</v>
      </c>
      <c r="AG957" s="15"/>
      <c r="AH957" s="2"/>
      <c r="AI957" s="45"/>
      <c r="AJ957" s="2"/>
      <c r="AK957" s="13"/>
      <c r="AL957" s="15"/>
      <c r="AM957" s="45"/>
      <c r="AN957" s="15"/>
      <c r="AO957" s="13"/>
      <c r="AP957" s="15"/>
      <c r="AQ957" s="45"/>
      <c r="AR957" s="15"/>
      <c r="AS957" s="13"/>
      <c r="AT957" s="15"/>
      <c r="AU957" s="45"/>
      <c r="AV957" s="15"/>
      <c r="AW957" s="13"/>
      <c r="AX957" s="15"/>
      <c r="AY957" s="45"/>
      <c r="AZ957" s="32"/>
      <c r="BA957" s="13"/>
      <c r="BB957" s="15"/>
      <c r="BC957" s="45"/>
      <c r="BD957" s="28"/>
      <c r="BE957" s="14"/>
      <c r="BF957" s="41">
        <f t="shared" ref="BF957:BG957" si="3470">K957+O957+S957+W957+AA957+AE957+AI957+AM957+AQ957+AU957+AY957+BC957</f>
        <v>4862</v>
      </c>
      <c r="BG957" s="34">
        <f t="shared" si="3470"/>
        <v>4862</v>
      </c>
      <c r="BH957" s="35">
        <f t="shared" si="3455"/>
        <v>0</v>
      </c>
      <c r="BK957" s="2" t="b">
        <f>H957='2020'!BH957</f>
        <v>1</v>
      </c>
    </row>
    <row r="958" ht="14.25" customHeight="1" hidden="1" spans="1:63" x14ac:dyDescent="0.25">
      <c r="A958" s="2">
        <v>104</v>
      </c>
      <c r="B958" s="14"/>
      <c r="C958" s="2" t="s">
        <v>335</v>
      </c>
      <c r="D958" s="14" t="s">
        <v>51</v>
      </c>
      <c r="E958" s="2" t="s">
        <v>39</v>
      </c>
      <c r="F958" s="41">
        <v>500</v>
      </c>
      <c r="G958" s="28"/>
      <c r="H958" s="34">
        <f>'2020'!BH958</f>
        <v>0</v>
      </c>
      <c r="I958" s="13"/>
      <c r="J958" s="15"/>
      <c r="K958" s="15"/>
      <c r="L958" s="28"/>
      <c r="M958" s="13"/>
      <c r="N958" s="15"/>
      <c r="Q958" s="13"/>
      <c r="R958" s="15"/>
      <c r="S958" s="15"/>
      <c r="T958" s="28"/>
      <c r="U958" s="13"/>
      <c r="V958" s="15"/>
      <c r="Y958" s="186"/>
      <c r="Z958" s="2"/>
      <c r="AA958" s="15"/>
      <c r="AB958" s="28"/>
      <c r="AC958" s="15"/>
      <c r="AD958" s="15"/>
      <c r="AE958" s="180">
        <f>$F$13</f>
      </c>
      <c r="AG958" s="15"/>
      <c r="AH958" s="2"/>
      <c r="AI958" s="45"/>
      <c r="AJ958" s="180"/>
      <c r="AK958" s="13"/>
      <c r="AL958" s="15"/>
      <c r="AM958" s="45"/>
      <c r="AN958" s="15"/>
      <c r="AO958" s="13"/>
      <c r="AP958" s="15"/>
      <c r="AQ958" s="180"/>
      <c r="AR958" s="15"/>
      <c r="AS958" s="13"/>
      <c r="AT958" s="15"/>
      <c r="AU958" s="45"/>
      <c r="AV958" s="15"/>
      <c r="AW958" s="13"/>
      <c r="AX958" s="15"/>
      <c r="AY958" s="45"/>
      <c r="AZ958" s="35"/>
      <c r="BA958" s="13"/>
      <c r="BB958" s="15"/>
      <c r="BC958" s="45"/>
      <c r="BD958" s="28"/>
      <c r="BE958" s="14"/>
      <c r="BF958" s="41">
        <f t="shared" ref="BF958:BG958" si="3471">K958+O958+S958+W958+AA958+AE958+AI958+AM958+AQ958+AU958+AY958+BC958</f>
        <v>0</v>
      </c>
      <c r="BG958" s="34">
        <f t="shared" si="3471"/>
        <v>0</v>
      </c>
      <c r="BH958" s="35">
        <f t="shared" si="3455"/>
        <v>0</v>
      </c>
      <c r="BK958" s="2" t="b">
        <f>H958='2020'!BH958</f>
        <v>1</v>
      </c>
    </row>
    <row r="959" ht="14.25" customHeight="1" hidden="1" spans="1:63" x14ac:dyDescent="0.25">
      <c r="A959" s="2">
        <v>104</v>
      </c>
      <c r="B959" s="14"/>
      <c r="D959" s="14" t="s">
        <v>51</v>
      </c>
      <c r="E959" s="2" t="s">
        <v>49</v>
      </c>
      <c r="F959" s="41">
        <v>500</v>
      </c>
      <c r="G959" s="28"/>
      <c r="H959" s="34">
        <f>'2020'!BH959</f>
        <v>0</v>
      </c>
      <c r="I959" s="13"/>
      <c r="J959" s="15"/>
      <c r="K959" s="15"/>
      <c r="L959" s="28"/>
      <c r="M959" s="13"/>
      <c r="N959" s="15"/>
      <c r="Q959" s="13"/>
      <c r="R959" s="15"/>
      <c r="S959" s="15"/>
      <c r="T959" s="28"/>
      <c r="U959" s="13"/>
      <c r="V959" s="15"/>
      <c r="Y959" s="186"/>
      <c r="Z959" s="2"/>
      <c r="AA959" s="15"/>
      <c r="AB959" s="28"/>
      <c r="AC959" s="15"/>
      <c r="AD959" s="15"/>
      <c r="AE959" s="34"/>
      <c r="AG959" s="15"/>
      <c r="AH959" s="2"/>
      <c r="AI959" s="45"/>
      <c r="AJ959" s="180"/>
      <c r="AK959" s="13"/>
      <c r="AL959" s="15"/>
      <c r="AM959" s="45"/>
      <c r="AN959" s="15"/>
      <c r="AO959" s="13"/>
      <c r="AP959" s="15"/>
      <c r="AQ959" s="180">
        <f>B954*$F$14</f>
        <v>0</v>
      </c>
      <c r="AR959" s="15"/>
      <c r="AS959" s="13"/>
      <c r="AT959" s="15"/>
      <c r="AU959" s="45"/>
      <c r="AV959" s="15"/>
      <c r="AW959" s="13"/>
      <c r="AX959" s="15"/>
      <c r="AY959" s="45"/>
      <c r="AZ959" s="35"/>
      <c r="BA959" s="13"/>
      <c r="BB959" s="15"/>
      <c r="BC959" s="45"/>
      <c r="BD959" s="28"/>
      <c r="BE959" s="14"/>
      <c r="BF959" s="41">
        <f t="shared" ref="BF959:BG959" si="3472">K959+O959+S959+W959+AA959+AE959+AI959+AM959+AQ959+AU959+AY959+BC959</f>
        <v>0</v>
      </c>
      <c r="BG959" s="34">
        <f t="shared" si="3472"/>
        <v>0</v>
      </c>
      <c r="BH959" s="35">
        <f t="shared" si="3455"/>
        <v>0</v>
      </c>
      <c r="BK959" s="2" t="b">
        <f>H959='2020'!BH959</f>
        <v>1</v>
      </c>
    </row>
    <row r="960" ht="14.25" customHeight="1" hidden="1" spans="1:63" x14ac:dyDescent="0.25">
      <c r="A960" s="2">
        <v>104</v>
      </c>
      <c r="B960" s="14"/>
      <c r="D960" s="14" t="s">
        <v>52</v>
      </c>
      <c r="E960" s="2" t="s">
        <v>39</v>
      </c>
      <c r="F960" s="41">
        <v>500</v>
      </c>
      <c r="G960" s="28"/>
      <c r="H960" s="34">
        <f>'2020'!BH960</f>
        <v>0</v>
      </c>
      <c r="I960" s="13"/>
      <c r="J960" s="15"/>
      <c r="K960" s="15"/>
      <c r="L960" s="28"/>
      <c r="M960" s="13"/>
      <c r="N960" s="15"/>
      <c r="Q960" s="13"/>
      <c r="R960" s="15"/>
      <c r="S960" s="15"/>
      <c r="T960" s="28"/>
      <c r="U960" s="13"/>
      <c r="V960" s="15"/>
      <c r="Y960" s="186"/>
      <c r="Z960" s="2"/>
      <c r="AA960" s="34">
        <f>$F$15</f>
      </c>
      <c r="AB960" s="28"/>
      <c r="AC960" s="15"/>
      <c r="AD960" s="15"/>
      <c r="AF960" s="180"/>
      <c r="AG960" s="15"/>
      <c r="AH960" s="2"/>
      <c r="AI960" s="45"/>
      <c r="AJ960" s="180"/>
      <c r="AK960" s="13"/>
      <c r="AL960" s="15"/>
      <c r="AM960" s="45"/>
      <c r="AN960" s="15"/>
      <c r="AO960" s="13"/>
      <c r="AP960" s="15"/>
      <c r="AQ960" s="45"/>
      <c r="AR960" s="15"/>
      <c r="AS960" s="13"/>
      <c r="AT960" s="15"/>
      <c r="AU960" s="45"/>
      <c r="AV960" s="15"/>
      <c r="AW960" s="13"/>
      <c r="AX960" s="15"/>
      <c r="AY960" s="45"/>
      <c r="AZ960" s="35"/>
      <c r="BA960" s="13"/>
      <c r="BB960" s="15"/>
      <c r="BC960" s="45"/>
      <c r="BD960" s="35"/>
      <c r="BE960" s="14"/>
      <c r="BF960" s="41">
        <f t="shared" ref="BF960:BG960" si="3473">K960+O960+S960+W960+AA960+AE960+AI960+AM960+AQ960+AU960+AY960+BC960</f>
        <v>0</v>
      </c>
      <c r="BG960" s="34">
        <f t="shared" si="3473"/>
        <v>0</v>
      </c>
      <c r="BH960" s="35">
        <f t="shared" si="3455"/>
        <v>0</v>
      </c>
      <c r="BK960" s="2" t="b">
        <f>H960='2020'!BH960</f>
        <v>1</v>
      </c>
    </row>
    <row r="961" ht="14.25" customHeight="1" hidden="1" spans="1:63" x14ac:dyDescent="0.25">
      <c r="A961" s="247">
        <v>104</v>
      </c>
      <c r="B961" s="21"/>
      <c r="C961" s="22" t="s">
        <v>53</v>
      </c>
      <c r="D961" s="21"/>
      <c r="E961" s="22"/>
      <c r="F961" s="20"/>
      <c r="G961" s="23"/>
      <c r="H961" s="51">
        <f>SUM(H953:H960)</f>
        <v>-4.04</v>
      </c>
      <c r="I961" s="52"/>
      <c r="J961" s="53"/>
      <c r="K961" s="51">
        <f t="shared" ref="K961:L961" si="3474">SUM(K953:K960)</f>
        <v>0</v>
      </c>
      <c r="L961" s="68">
        <f t="shared" si="3474"/>
        <v>0</v>
      </c>
      <c r="M961" s="52"/>
      <c r="N961" s="53"/>
      <c r="O961" s="51">
        <f t="shared" ref="O961:P961" si="3475">SUM(O953:O960)</f>
        <v>0</v>
      </c>
      <c r="P961" s="51">
        <f t="shared" si="3475"/>
        <v>0</v>
      </c>
      <c r="Q961" s="52"/>
      <c r="R961" s="53"/>
      <c r="S961" s="51">
        <f t="shared" ref="S961:T961" si="3476">SUM(S953:S960)</f>
        <v>0</v>
      </c>
      <c r="T961" s="51">
        <f t="shared" si="3476"/>
        <v>0</v>
      </c>
      <c r="U961" s="52"/>
      <c r="V961" s="53"/>
      <c r="W961" s="51">
        <f t="shared" ref="W961:X961" si="3477">SUM(W953:W960)</f>
        <v>0</v>
      </c>
      <c r="X961" s="51">
        <f t="shared" si="3477"/>
        <v>0</v>
      </c>
      <c r="Y961" s="300"/>
      <c r="Z961" s="301"/>
      <c r="AA961" s="51">
        <f t="shared" ref="AA961:AB961" si="3478">SUM(AA953:AA960)</f>
        <v>44.2</v>
      </c>
      <c r="AB961" s="51">
        <f t="shared" si="3478"/>
        <v>0</v>
      </c>
      <c r="AC961" s="52"/>
      <c r="AD961" s="53"/>
      <c r="AE961" s="51">
        <f t="shared" ref="AE961:AF961" si="3479">SUM(AE953:AE960)</f>
        <v>5127.98</v>
      </c>
      <c r="AF961" s="51">
        <f t="shared" si="3479"/>
        <v>5170</v>
      </c>
      <c r="AG961" s="52"/>
      <c r="AH961" s="301"/>
      <c r="AI961" s="183">
        <f t="shared" ref="AI961:AJ961" si="3480">SUM(AI953:AI960)</f>
        <v>188.55</v>
      </c>
      <c r="AJ961" s="51">
        <f t="shared" si="3480"/>
        <v>186.69</v>
      </c>
      <c r="AK961" s="52"/>
      <c r="AL961" s="53"/>
      <c r="AM961" s="183">
        <f t="shared" ref="AM961:AN961" si="3481">SUM(AM953:AM960)</f>
        <v>13.5</v>
      </c>
      <c r="AN961" s="51">
        <f t="shared" si="3481"/>
        <v>0</v>
      </c>
      <c r="AO961" s="52"/>
      <c r="AP961" s="53"/>
      <c r="AQ961" s="183">
        <f t="shared" ref="AQ961:AR961" si="3482">SUM(AQ953:AQ960)</f>
        <v>56.7</v>
      </c>
      <c r="AR961" s="51">
        <f t="shared" si="3482"/>
        <v>0</v>
      </c>
      <c r="AS961" s="52"/>
      <c r="AT961" s="53"/>
      <c r="AU961" s="183">
        <f t="shared" ref="AU961:AV961" si="3483">SUM(AU953:AU960)</f>
        <v>16.2</v>
      </c>
      <c r="AV961" s="68">
        <f t="shared" si="3483"/>
        <v>167.8</v>
      </c>
      <c r="AW961" s="52"/>
      <c r="AX961" s="53"/>
      <c r="AY961" s="183">
        <f t="shared" ref="AY961:AZ961" si="3484">SUM(AY953:AY960)</f>
        <v>0</v>
      </c>
      <c r="AZ961" s="68">
        <f t="shared" si="3484"/>
        <v>0</v>
      </c>
      <c r="BA961" s="52"/>
      <c r="BB961" s="53"/>
      <c r="BC961" s="183">
        <f t="shared" ref="BC961:BD961" si="3485">SUM(BC953:BC960)</f>
        <v>0</v>
      </c>
      <c r="BD961" s="68">
        <f t="shared" si="3485"/>
        <v>0</v>
      </c>
      <c r="BE961" s="69"/>
      <c r="BF961" s="70">
        <f t="shared" ref="BF961:BH961" si="3486">SUM(BF953:BF960)</f>
        <v>5447.13</v>
      </c>
      <c r="BG961" s="71">
        <f t="shared" si="3486"/>
        <v>5524.49</v>
      </c>
      <c r="BH961" s="72">
        <f t="shared" si="3486"/>
        <v>-81.4</v>
      </c>
      <c r="BI961" s="34">
        <f>H961+BF961-BG961</f>
        <v>-81.4</v>
      </c>
      <c r="BJ961" s="34">
        <f>BH961-BI961</f>
        <v>0</v>
      </c>
      <c r="BK961" s="2" t="b">
        <f>H961='2020'!BH961</f>
        <v>1</v>
      </c>
    </row>
    <row r="962" ht="14.25" customHeight="1" hidden="1" spans="1:63" x14ac:dyDescent="0.25">
      <c r="A962" s="2">
        <v>106</v>
      </c>
      <c r="B962" s="14"/>
      <c r="D962" s="14" t="s">
        <v>379</v>
      </c>
      <c r="F962" s="13"/>
      <c r="G962" s="28"/>
      <c r="H962" s="34">
        <f>'2020'!BH962</f>
        <v>0</v>
      </c>
      <c r="I962" s="13"/>
      <c r="J962" s="15"/>
      <c r="K962" s="15"/>
      <c r="L962" s="28"/>
      <c r="M962" s="13"/>
      <c r="N962" s="15"/>
      <c r="Q962" s="13"/>
      <c r="R962" s="15"/>
      <c r="S962" s="15"/>
      <c r="T962" s="28"/>
      <c r="U962" s="13"/>
      <c r="V962" s="15"/>
      <c r="Y962" s="186"/>
      <c r="Z962" s="2"/>
      <c r="AA962" s="15"/>
      <c r="AB962" s="28"/>
      <c r="AC962" s="15"/>
      <c r="AD962" s="15"/>
      <c r="AG962" s="15"/>
      <c r="AH962" s="2"/>
      <c r="AI962" s="45"/>
      <c r="AJ962" s="15"/>
      <c r="AK962" s="13"/>
      <c r="AM962" s="45"/>
      <c r="AO962" s="13"/>
      <c r="AQ962" s="45">
        <v>15.03</v>
      </c>
      <c r="AS962" s="13"/>
      <c r="AU962" s="45"/>
      <c r="AW962" s="13"/>
      <c r="AY962" s="45"/>
      <c r="AZ962" s="28"/>
      <c r="BA962" s="13"/>
      <c r="BB962" s="15"/>
      <c r="BC962" s="45"/>
      <c r="BD962" s="28"/>
      <c r="BE962" s="14"/>
      <c r="BF962" s="41">
        <f t="shared" ref="BF962:BG962" si="3487">K962+O962+S962+W962+AA962+AE962+AI962+AM962+AQ962+AU962+AY962+BC962</f>
        <v>15.03</v>
      </c>
      <c r="BG962" s="34">
        <f t="shared" si="3487"/>
        <v>0</v>
      </c>
      <c r="BH962" s="35">
        <f t="shared" ref="BH962:BH969" si="3488">H962+BF962-BG962</f>
        <v>15.03</v>
      </c>
      <c r="BK962" s="2" t="b">
        <f>H962='2020'!BH962</f>
        <v>1</v>
      </c>
    </row>
    <row r="963" ht="14.25" customHeight="1" hidden="1" spans="1:63" x14ac:dyDescent="0.25">
      <c r="A963" s="2">
        <v>106</v>
      </c>
      <c r="B963" s="14">
        <v>4.57</v>
      </c>
      <c r="C963" s="2" t="s">
        <v>336</v>
      </c>
      <c r="D963" s="14" t="s">
        <v>44</v>
      </c>
      <c r="E963" s="2" t="s">
        <v>45</v>
      </c>
      <c r="F963" s="41">
        <v>2.5</v>
      </c>
      <c r="G963" s="35">
        <v>2.6</v>
      </c>
      <c r="H963" s="104">
        <f>'2020'!BH963</f>
        <v>0</v>
      </c>
      <c r="I963" s="13">
        <v>0</v>
      </c>
      <c r="J963" s="15">
        <f>I963-'2020'!BA963</f>
        <v>0</v>
      </c>
      <c r="K963" s="34">
        <f>J963*$F$8</f>
        <v>0</v>
      </c>
      <c r="L963" s="28"/>
      <c r="M963" s="13">
        <v>0</v>
      </c>
      <c r="N963" s="15">
        <f t="shared" ref="N963:N964" si="3489">M963-I963</f>
        <v>0</v>
      </c>
      <c r="O963" s="34">
        <f>N963*$F$8</f>
        <v>0</v>
      </c>
      <c r="Q963" s="13">
        <v>0</v>
      </c>
      <c r="R963" s="15">
        <f t="shared" ref="R963:R964" si="3490">Q963-M963</f>
        <v>0</v>
      </c>
      <c r="S963" s="34">
        <f>R963*$F$8</f>
        <v>0</v>
      </c>
      <c r="T963" s="28"/>
      <c r="U963" s="13">
        <v>0</v>
      </c>
      <c r="V963" s="15">
        <f t="shared" ref="V963:V964" si="3491">U963-Q963</f>
        <v>0</v>
      </c>
      <c r="W963" s="34">
        <f>V963*$F$8</f>
        <v>0</v>
      </c>
      <c r="Y963" s="186"/>
      <c r="Z963" s="2">
        <f>Y963-U963</f>
        <v>0</v>
      </c>
      <c r="AA963" s="34">
        <f>Z963*$F$8</f>
        <v>0</v>
      </c>
      <c r="AB963" s="28"/>
      <c r="AC963" s="15"/>
      <c r="AD963" s="15">
        <f t="shared" ref="AD963:AD964" si="3492">AC963-Y963</f>
        <v>0</v>
      </c>
      <c r="AE963" s="180">
        <f>AD963*$F$8</f>
        <v>0</v>
      </c>
      <c r="AG963" s="15"/>
      <c r="AH963" s="2">
        <f t="shared" ref="AH963:AH964" si="3493">AG963-AC963</f>
        <v>0</v>
      </c>
      <c r="AI963" s="45">
        <f>AH963*$G$8</f>
        <v>0</v>
      </c>
      <c r="AJ963" s="15"/>
      <c r="AK963" s="13"/>
      <c r="AL963" s="15">
        <f t="shared" ref="AL963:AL964" si="3494">AK963-AG963</f>
        <v>0</v>
      </c>
      <c r="AM963" s="45">
        <f>AL963*$G$8</f>
        <v>0</v>
      </c>
      <c r="AN963" s="15"/>
      <c r="AO963" s="13"/>
      <c r="AP963" s="15">
        <f t="shared" ref="AP963:AP964" si="3495">AO963-AK963</f>
        <v>0</v>
      </c>
      <c r="AQ963" s="45">
        <f>AP963*$G$8</f>
        <v>0</v>
      </c>
      <c r="AR963" s="15"/>
      <c r="AS963" s="13"/>
      <c r="AT963" s="15">
        <f t="shared" ref="AT963:AT964" si="3496">AS963-AO963</f>
        <v>0</v>
      </c>
      <c r="AU963" s="45">
        <f>AT963*$G$8</f>
        <v>0</v>
      </c>
      <c r="AV963" s="15"/>
      <c r="AW963" s="13"/>
      <c r="AX963" s="15">
        <f t="shared" ref="AX963:AX964" si="3497">AW963-AS963</f>
        <v>0</v>
      </c>
      <c r="AY963" s="45">
        <f>AX963*$G$8</f>
        <v>0</v>
      </c>
      <c r="AZ963" s="208"/>
      <c r="BA963" s="13"/>
      <c r="BB963" s="15">
        <f t="shared" ref="BB963:BB964" si="3498">BA963-AW963</f>
        <v>0</v>
      </c>
      <c r="BC963" s="45">
        <f>BB963*$G$8</f>
        <v>0</v>
      </c>
      <c r="BD963" s="208"/>
      <c r="BE963" s="40">
        <f t="shared" ref="BE963:BG963" si="3499">J963+N963+R963+V963+Z963+AD963+AH963+AL963+AP963+AT963+AX963+BB963</f>
        <v>0</v>
      </c>
      <c r="BF963" s="41">
        <f t="shared" si="3499"/>
        <v>0</v>
      </c>
      <c r="BG963" s="34">
        <f t="shared" si="3499"/>
        <v>0</v>
      </c>
      <c r="BH963" s="35">
        <f t="shared" si="3488"/>
        <v>0</v>
      </c>
      <c r="BK963" s="2" t="b">
        <f>H963='2020'!BH963</f>
        <v>1</v>
      </c>
    </row>
    <row r="964" ht="14.25" customHeight="1" hidden="1" spans="1:63" x14ac:dyDescent="0.25">
      <c r="A964" s="2">
        <v>106</v>
      </c>
      <c r="B964" s="14"/>
      <c r="C964" s="2" t="s">
        <v>114</v>
      </c>
      <c r="D964" s="14" t="s">
        <v>47</v>
      </c>
      <c r="E964" s="2" t="s">
        <v>48</v>
      </c>
      <c r="F964" s="13">
        <v>18.56</v>
      </c>
      <c r="G964" s="35">
        <v>19.46</v>
      </c>
      <c r="H964" s="34">
        <f>'2020'!BH964</f>
        <v>227.22</v>
      </c>
      <c r="I964" s="13">
        <v>423</v>
      </c>
      <c r="J964" s="15"/>
      <c r="K964" s="15"/>
      <c r="L964" s="28"/>
      <c r="M964" s="13">
        <v>423</v>
      </c>
      <c r="N964" s="15">
        <f t="shared" si="3489"/>
        <v>0</v>
      </c>
      <c r="Q964" s="13">
        <v>423</v>
      </c>
      <c r="R964" s="15">
        <f t="shared" si="3490"/>
        <v>0</v>
      </c>
      <c r="S964" s="15"/>
      <c r="T964" s="28"/>
      <c r="U964" s="13">
        <v>423</v>
      </c>
      <c r="V964" s="15">
        <f t="shared" si="3491"/>
        <v>0</v>
      </c>
      <c r="W964" s="180">
        <f>V964*$F$10</f>
        <v>0</v>
      </c>
      <c r="Y964" s="186">
        <v>1</v>
      </c>
      <c r="Z964" s="2">
        <v>1</v>
      </c>
      <c r="AA964" s="34">
        <f>Z964*$F$10</f>
        <v>19.46</v>
      </c>
      <c r="AB964" s="28"/>
      <c r="AC964" s="15">
        <v>9</v>
      </c>
      <c r="AD964" s="15">
        <f t="shared" si="3492"/>
        <v>8</v>
      </c>
      <c r="AE964" s="34">
        <f>AD964*$F$10</f>
        <v>155.68</v>
      </c>
      <c r="AF964" s="1">
        <v>248</v>
      </c>
      <c r="AG964" s="15">
        <v>18</v>
      </c>
      <c r="AH964" s="2">
        <f t="shared" si="3493"/>
        <v>9</v>
      </c>
      <c r="AI964" s="45">
        <f>AH964*$G$10</f>
        <v>183.15</v>
      </c>
      <c r="AJ964" s="180"/>
      <c r="AK964" s="13">
        <v>20</v>
      </c>
      <c r="AL964" s="15">
        <f t="shared" si="3494"/>
        <v>2</v>
      </c>
      <c r="AM964" s="45">
        <f>AL964*$G$10</f>
        <v>40.7</v>
      </c>
      <c r="AN964" s="15"/>
      <c r="AO964" s="13">
        <v>22</v>
      </c>
      <c r="AP964" s="15">
        <f t="shared" si="3495"/>
        <v>2</v>
      </c>
      <c r="AQ964" s="45">
        <f>AP964*$G$10</f>
        <v>40.7</v>
      </c>
      <c r="AR964" s="15"/>
      <c r="AS964" s="13">
        <v>22</v>
      </c>
      <c r="AT964" s="15">
        <f t="shared" si="3496"/>
        <v>0</v>
      </c>
      <c r="AU964" s="45">
        <f>AT964*$G$10</f>
        <v>0</v>
      </c>
      <c r="AV964" s="15"/>
      <c r="AW964" s="13">
        <v>22</v>
      </c>
      <c r="AX964" s="15">
        <f t="shared" si="3497"/>
        <v>0</v>
      </c>
      <c r="AY964" s="45"/>
      <c r="AZ964" s="208"/>
      <c r="BA964" s="13">
        <v>22</v>
      </c>
      <c r="BB964" s="15">
        <f t="shared" si="3498"/>
        <v>0</v>
      </c>
      <c r="BC964" s="45"/>
      <c r="BD964" s="208"/>
      <c r="BE964" s="40">
        <f t="shared" ref="BE964:BG964" si="3500">J964+N964+R964+V964+Z964+AD964+AH964+AL964+AP964+AT964+AX964+BB964</f>
        <v>22</v>
      </c>
      <c r="BF964" s="41">
        <f t="shared" si="3500"/>
        <v>439.69</v>
      </c>
      <c r="BG964" s="34">
        <f t="shared" si="3500"/>
        <v>248</v>
      </c>
      <c r="BH964" s="35">
        <f t="shared" si="3488"/>
        <v>418.91</v>
      </c>
      <c r="BK964" s="2" t="b">
        <f>H964='2020'!BH964</f>
        <v>1</v>
      </c>
    </row>
    <row r="965" ht="14.25" customHeight="1" hidden="1" spans="1:63" x14ac:dyDescent="0.25">
      <c r="A965" s="2">
        <v>106</v>
      </c>
      <c r="B965" s="14"/>
      <c r="C965" s="2" t="s">
        <v>337</v>
      </c>
      <c r="D965" s="14" t="s">
        <v>47</v>
      </c>
      <c r="E965" s="2" t="s">
        <v>49</v>
      </c>
      <c r="F965" s="41">
        <v>500</v>
      </c>
      <c r="G965" s="28"/>
      <c r="H965" s="34">
        <f>'2020'!BH965</f>
        <v>16</v>
      </c>
      <c r="I965" s="13"/>
      <c r="J965" s="15"/>
      <c r="K965" s="15"/>
      <c r="L965" s="28"/>
      <c r="M965" s="13"/>
      <c r="N965" s="15"/>
      <c r="Q965" s="13"/>
      <c r="R965" s="15"/>
      <c r="S965" s="15"/>
      <c r="T965" s="28"/>
      <c r="U965" s="13"/>
      <c r="V965" s="15"/>
      <c r="Y965" s="186"/>
      <c r="Z965" s="2"/>
      <c r="AA965" s="34"/>
      <c r="AB965" s="28"/>
      <c r="AC965" s="15"/>
      <c r="AD965" s="15"/>
      <c r="AG965" s="15"/>
      <c r="AH965" s="2"/>
      <c r="AI965" s="45"/>
      <c r="AJ965" s="1"/>
      <c r="AK965" s="13"/>
      <c r="AL965" s="15"/>
      <c r="AM965" s="45"/>
      <c r="AN965" s="15"/>
      <c r="AO965" s="13"/>
      <c r="AP965" s="15"/>
      <c r="AQ965" s="45"/>
      <c r="AR965" s="15"/>
      <c r="AS965" s="13"/>
      <c r="AT965" s="15"/>
      <c r="AU965" s="45"/>
      <c r="AV965" s="15"/>
      <c r="AW965" s="13"/>
      <c r="AX965" s="15"/>
      <c r="AY965" s="45"/>
      <c r="AZ965" s="28"/>
      <c r="BA965" s="13"/>
      <c r="BB965" s="15"/>
      <c r="BC965" s="45"/>
      <c r="BD965" s="28"/>
      <c r="BE965" s="14"/>
      <c r="BF965" s="41">
        <f t="shared" ref="BF965:BG965" si="3501">K965+O965+S965+W965+AA965+AE965+AI965+AM965+AQ965+AU965+AY965+BC965</f>
        <v>0</v>
      </c>
      <c r="BG965" s="34">
        <f t="shared" si="3501"/>
        <v>0</v>
      </c>
      <c r="BH965" s="35">
        <f t="shared" si="3488"/>
        <v>16</v>
      </c>
      <c r="BK965" s="2" t="b">
        <f>H965='2020'!BH965</f>
        <v>1</v>
      </c>
    </row>
    <row r="966" ht="14.25" customHeight="1" hidden="1" spans="1:63" x14ac:dyDescent="0.25">
      <c r="A966" s="2">
        <v>106</v>
      </c>
      <c r="B966" s="14"/>
      <c r="C966" s="2" t="s">
        <v>453</v>
      </c>
      <c r="D966" s="14" t="s">
        <v>50</v>
      </c>
      <c r="E966" s="2" t="s">
        <v>49</v>
      </c>
      <c r="F966" s="41">
        <v>1100</v>
      </c>
      <c r="G966" s="28"/>
      <c r="H966" s="180">
        <f>'2020'!BH966</f>
        <v>-16</v>
      </c>
      <c r="I966" s="13"/>
      <c r="J966" s="15"/>
      <c r="K966" s="15"/>
      <c r="L966" s="28"/>
      <c r="M966" s="13"/>
      <c r="N966" s="15"/>
      <c r="Q966" s="13"/>
      <c r="R966" s="15"/>
      <c r="S966" s="15"/>
      <c r="T966" s="28"/>
      <c r="U966" s="13"/>
      <c r="V966" s="15"/>
      <c r="Y966" s="186"/>
      <c r="Z966" s="2"/>
      <c r="AA966" s="15"/>
      <c r="AB966" s="28"/>
      <c r="AC966" s="15"/>
      <c r="AD966" s="15"/>
      <c r="AE966" s="34">
        <f>B963*$F$12</f>
        <v>5027</v>
      </c>
      <c r="AF966" s="1"/>
      <c r="AG966" s="15"/>
      <c r="AH966" s="2"/>
      <c r="AI966" s="45"/>
      <c r="AJ966" s="180"/>
      <c r="AK966" s="13"/>
      <c r="AL966" s="15"/>
      <c r="AM966" s="45"/>
      <c r="AN966" s="15"/>
      <c r="AO966" s="13"/>
      <c r="AP966" s="15"/>
      <c r="AQ966" s="45"/>
      <c r="AR966" s="15"/>
      <c r="AS966" s="13"/>
      <c r="AT966" s="15"/>
      <c r="AU966" s="45"/>
      <c r="AV966" s="15"/>
      <c r="AW966" s="13"/>
      <c r="AX966" s="15"/>
      <c r="AY966" s="45"/>
      <c r="AZ966" s="28"/>
      <c r="BA966" s="13"/>
      <c r="BB966" s="15"/>
      <c r="BC966" s="45"/>
      <c r="BD966" s="28"/>
      <c r="BE966" s="14"/>
      <c r="BF966" s="41">
        <f t="shared" ref="BF966:BG966" si="3502">K966+O966+S966+W966+AA966+AE966+AI966+AM966+AQ966+AU966+AY966+BC966</f>
        <v>5027</v>
      </c>
      <c r="BG966" s="34">
        <f t="shared" si="3502"/>
        <v>0</v>
      </c>
      <c r="BH966" s="35">
        <f t="shared" si="3488"/>
        <v>5011</v>
      </c>
      <c r="BK966" s="2" t="b">
        <f>H966='2020'!BH966</f>
        <v>1</v>
      </c>
    </row>
    <row r="967" ht="14.25" customHeight="1" hidden="1" spans="1:63" x14ac:dyDescent="0.25">
      <c r="A967" s="2">
        <v>106</v>
      </c>
      <c r="B967" s="14"/>
      <c r="C967" s="2" t="s">
        <v>454</v>
      </c>
      <c r="D967" s="14" t="s">
        <v>51</v>
      </c>
      <c r="E967" s="2" t="s">
        <v>39</v>
      </c>
      <c r="F967" s="41">
        <v>500</v>
      </c>
      <c r="G967" s="28"/>
      <c r="H967" s="180">
        <f>'2020'!BH967</f>
        <v>500</v>
      </c>
      <c r="I967" s="13"/>
      <c r="J967" s="15"/>
      <c r="K967" s="15"/>
      <c r="L967" s="28"/>
      <c r="M967" s="13"/>
      <c r="N967" s="15"/>
      <c r="Q967" s="13"/>
      <c r="R967" s="15"/>
      <c r="S967" s="15"/>
      <c r="T967" s="28"/>
      <c r="U967" s="13"/>
      <c r="V967" s="15"/>
      <c r="Y967" s="186"/>
      <c r="Z967" s="2"/>
      <c r="AA967" s="15"/>
      <c r="AB967" s="28"/>
      <c r="AC967" s="15"/>
      <c r="AD967" s="15"/>
      <c r="AE967" s="180">
        <f>$F$13</f>
      </c>
      <c r="AF967" s="1">
        <v>500</v>
      </c>
      <c r="AG967" s="15"/>
      <c r="AH967" s="2"/>
      <c r="AI967" s="45"/>
      <c r="AJ967" s="180"/>
      <c r="AK967" s="13"/>
      <c r="AL967" s="15"/>
      <c r="AM967" s="45"/>
      <c r="AN967" s="15"/>
      <c r="AO967" s="13"/>
      <c r="AP967" s="15"/>
      <c r="AQ967" s="180"/>
      <c r="AR967" s="15"/>
      <c r="AS967" s="13"/>
      <c r="AT967" s="15"/>
      <c r="AU967" s="45"/>
      <c r="AV967" s="15"/>
      <c r="AW967" s="13"/>
      <c r="AX967" s="15"/>
      <c r="AY967" s="45"/>
      <c r="AZ967" s="28"/>
      <c r="BA967" s="13"/>
      <c r="BB967" s="15"/>
      <c r="BC967" s="45"/>
      <c r="BD967" s="28"/>
      <c r="BE967" s="14"/>
      <c r="BF967" s="41">
        <f t="shared" ref="BF967:BG967" si="3503">K967+O967+S967+W967+AA967+AE967+AI967+AM967+AQ967+AU967+AY967+BC967</f>
        <v>0</v>
      </c>
      <c r="BG967" s="34">
        <f t="shared" si="3503"/>
        <v>500</v>
      </c>
      <c r="BH967" s="35">
        <f t="shared" si="3488"/>
        <v>0</v>
      </c>
      <c r="BK967" s="2" t="b">
        <f>H967='2020'!BH967</f>
        <v>1</v>
      </c>
    </row>
    <row r="968" ht="14.25" customHeight="1" hidden="1" spans="1:63" x14ac:dyDescent="0.25">
      <c r="A968" s="2">
        <v>106</v>
      </c>
      <c r="B968" s="14"/>
      <c r="C968" s="2" t="s">
        <v>338</v>
      </c>
      <c r="D968" s="14" t="s">
        <v>51</v>
      </c>
      <c r="E968" s="2" t="s">
        <v>49</v>
      </c>
      <c r="F968" s="41">
        <v>500</v>
      </c>
      <c r="G968" s="28"/>
      <c r="H968" s="180">
        <f>'2020'!BH968</f>
        <v>2285</v>
      </c>
      <c r="I968" s="13"/>
      <c r="J968" s="15"/>
      <c r="K968" s="15"/>
      <c r="L968" s="28"/>
      <c r="M968" s="13"/>
      <c r="N968" s="15"/>
      <c r="Q968" s="13"/>
      <c r="R968" s="15"/>
      <c r="S968" s="15"/>
      <c r="T968" s="28"/>
      <c r="U968" s="13"/>
      <c r="V968" s="15"/>
      <c r="Y968" s="186"/>
      <c r="Z968" s="2"/>
      <c r="AA968" s="15"/>
      <c r="AB968" s="28"/>
      <c r="AC968" s="15"/>
      <c r="AD968" s="15"/>
      <c r="AE968" s="34"/>
      <c r="AF968" s="1">
        <v>2285</v>
      </c>
      <c r="AG968" s="15"/>
      <c r="AH968" s="2"/>
      <c r="AI968" s="45"/>
      <c r="AJ968" s="180"/>
      <c r="AK968" s="13"/>
      <c r="AL968" s="15"/>
      <c r="AM968" s="45"/>
      <c r="AN968" s="15"/>
      <c r="AO968" s="13"/>
      <c r="AP968" s="15"/>
      <c r="AQ968" s="180">
        <f>B963*$F$14</f>
        <v>0</v>
      </c>
      <c r="AR968" s="15"/>
      <c r="AS968" s="13"/>
      <c r="AT968" s="15"/>
      <c r="AU968" s="45"/>
      <c r="AV968" s="15"/>
      <c r="AW968" s="13"/>
      <c r="AX968" s="15"/>
      <c r="AY968" s="45"/>
      <c r="AZ968" s="28"/>
      <c r="BA968" s="13"/>
      <c r="BB968" s="15"/>
      <c r="BC968" s="45"/>
      <c r="BD968" s="28"/>
      <c r="BE968" s="14"/>
      <c r="BF968" s="41">
        <f t="shared" ref="BF968:BG968" si="3504">K968+O968+S968+W968+AA968+AE968+AI968+AM968+AQ968+AU968+AY968+BC968</f>
        <v>0</v>
      </c>
      <c r="BG968" s="34">
        <f t="shared" si="3504"/>
        <v>2285</v>
      </c>
      <c r="BH968" s="35">
        <f t="shared" si="3488"/>
        <v>0</v>
      </c>
      <c r="BK968" s="2" t="b">
        <f>H968='2020'!BH968</f>
        <v>1</v>
      </c>
    </row>
    <row r="969" ht="14.25" customHeight="1" hidden="1" spans="1:63" x14ac:dyDescent="0.25">
      <c r="A969" s="2">
        <v>106</v>
      </c>
      <c r="B969" s="14"/>
      <c r="D969" s="14" t="s">
        <v>52</v>
      </c>
      <c r="E969" s="2" t="s">
        <v>39</v>
      </c>
      <c r="F969" s="41">
        <v>500</v>
      </c>
      <c r="G969" s="28"/>
      <c r="H969" s="180">
        <f>'2020'!BH969</f>
        <v>0</v>
      </c>
      <c r="I969" s="13"/>
      <c r="J969" s="15"/>
      <c r="K969" s="15"/>
      <c r="L969" s="28"/>
      <c r="M969" s="13"/>
      <c r="N969" s="15"/>
      <c r="Q969" s="13"/>
      <c r="R969" s="15"/>
      <c r="S969" s="15"/>
      <c r="T969" s="28"/>
      <c r="U969" s="13"/>
      <c r="V969" s="15"/>
      <c r="Y969" s="186"/>
      <c r="Z969" s="2"/>
      <c r="AA969" s="34">
        <f>$F$15</f>
      </c>
      <c r="AB969" s="28"/>
      <c r="AC969" s="15"/>
      <c r="AD969" s="15"/>
      <c r="AF969" s="1"/>
      <c r="AG969" s="15"/>
      <c r="AH969" s="2"/>
      <c r="AI969" s="45"/>
      <c r="AJ969" s="180"/>
      <c r="AK969" s="13"/>
      <c r="AL969" s="15"/>
      <c r="AM969" s="45"/>
      <c r="AN969" s="15"/>
      <c r="AO969" s="13"/>
      <c r="AP969" s="15"/>
      <c r="AQ969" s="45"/>
      <c r="AR969" s="15"/>
      <c r="AS969" s="13"/>
      <c r="AT969" s="15"/>
      <c r="AU969" s="45"/>
      <c r="AV969" s="15"/>
      <c r="AW969" s="13"/>
      <c r="AX969" s="15"/>
      <c r="AY969" s="45"/>
      <c r="AZ969" s="35"/>
      <c r="BA969" s="13"/>
      <c r="BB969" s="15"/>
      <c r="BC969" s="45"/>
      <c r="BD969" s="35"/>
      <c r="BE969" s="14"/>
      <c r="BF969" s="41">
        <f t="shared" ref="BF969:BG969" si="3505">K969+O969+S969+W969+AA969+AE969+AI969+AM969+AQ969+AU969+AY969+BC969</f>
        <v>0</v>
      </c>
      <c r="BG969" s="34">
        <f t="shared" si="3505"/>
        <v>0</v>
      </c>
      <c r="BH969" s="35">
        <f t="shared" si="3488"/>
        <v>0</v>
      </c>
      <c r="BK969" s="2" t="b">
        <f>H969='2020'!BH969</f>
        <v>1</v>
      </c>
    </row>
    <row r="970" ht="14.25" customHeight="1" hidden="1" spans="1:63" x14ac:dyDescent="0.25">
      <c r="A970" s="247">
        <v>106</v>
      </c>
      <c r="B970" s="21"/>
      <c r="C970" s="22" t="s">
        <v>53</v>
      </c>
      <c r="D970" s="21"/>
      <c r="E970" s="22"/>
      <c r="F970" s="20"/>
      <c r="G970" s="23"/>
      <c r="H970" s="51">
        <f>SUM(H962:H969)</f>
        <v>3012.22</v>
      </c>
      <c r="I970" s="52"/>
      <c r="J970" s="53"/>
      <c r="K970" s="51">
        <f t="shared" ref="K970:L970" si="3506">SUM(K962:K969)</f>
        <v>0</v>
      </c>
      <c r="L970" s="68">
        <f t="shared" si="3506"/>
        <v>0</v>
      </c>
      <c r="M970" s="52"/>
      <c r="N970" s="53"/>
      <c r="O970" s="51">
        <f t="shared" ref="O970:P970" si="3507">SUM(O962:O969)</f>
        <v>0</v>
      </c>
      <c r="P970" s="51">
        <f t="shared" si="3507"/>
        <v>0</v>
      </c>
      <c r="Q970" s="52"/>
      <c r="R970" s="53"/>
      <c r="S970" s="51">
        <f t="shared" ref="S970:T970" si="3508">SUM(S962:S969)</f>
        <v>0</v>
      </c>
      <c r="T970" s="51">
        <f t="shared" si="3508"/>
        <v>0</v>
      </c>
      <c r="U970" s="52"/>
      <c r="V970" s="53"/>
      <c r="W970" s="51">
        <f t="shared" ref="W970:X970" si="3509">SUM(W962:W969)</f>
        <v>0</v>
      </c>
      <c r="X970" s="51">
        <f t="shared" si="3509"/>
        <v>0</v>
      </c>
      <c r="Y970" s="300"/>
      <c r="Z970" s="301"/>
      <c r="AA970" s="51">
        <f t="shared" ref="AA970:AB970" si="3510">SUM(AA962:AA969)</f>
        <v>19.46</v>
      </c>
      <c r="AB970" s="51">
        <f t="shared" si="3510"/>
        <v>0</v>
      </c>
      <c r="AC970" s="52"/>
      <c r="AD970" s="53"/>
      <c r="AE970" s="51">
        <f t="shared" ref="AE970:AF970" si="3511">SUM(AE962:AE969)</f>
        <v>5182.68</v>
      </c>
      <c r="AF970" s="51">
        <f t="shared" si="3511"/>
        <v>3033</v>
      </c>
      <c r="AG970" s="52"/>
      <c r="AH970" s="301"/>
      <c r="AI970" s="183">
        <f t="shared" ref="AI970:AJ970" si="3512">SUM(AI962:AI969)</f>
        <v>183.15</v>
      </c>
      <c r="AJ970" s="51">
        <f t="shared" si="3512"/>
        <v>0</v>
      </c>
      <c r="AK970" s="52"/>
      <c r="AL970" s="53"/>
      <c r="AM970" s="183">
        <f t="shared" ref="AM970:AN970" si="3513">SUM(AM962:AM969)</f>
        <v>40.7</v>
      </c>
      <c r="AN970" s="51">
        <f t="shared" si="3513"/>
        <v>0</v>
      </c>
      <c r="AO970" s="52"/>
      <c r="AP970" s="53"/>
      <c r="AQ970" s="183">
        <f t="shared" ref="AQ970:AR970" si="3514">SUM(AQ962:AQ969)</f>
        <v>55.73</v>
      </c>
      <c r="AR970" s="51">
        <f t="shared" si="3514"/>
        <v>0</v>
      </c>
      <c r="AS970" s="52"/>
      <c r="AT970" s="53"/>
      <c r="AU970" s="183">
        <f t="shared" ref="AU970:AV970" si="3515">SUM(AU962:AU969)</f>
        <v>0</v>
      </c>
      <c r="AV970" s="68">
        <f t="shared" si="3515"/>
        <v>0</v>
      </c>
      <c r="AW970" s="52"/>
      <c r="AX970" s="53"/>
      <c r="AY970" s="183">
        <f t="shared" ref="AY970:AZ970" si="3516">SUM(AY962:AY969)</f>
        <v>0</v>
      </c>
      <c r="AZ970" s="68">
        <f t="shared" si="3516"/>
        <v>0</v>
      </c>
      <c r="BA970" s="52"/>
      <c r="BB970" s="53"/>
      <c r="BC970" s="183">
        <f t="shared" ref="BC970:BD970" si="3517">SUM(BC962:BC969)</f>
        <v>0</v>
      </c>
      <c r="BD970" s="68">
        <f t="shared" si="3517"/>
        <v>0</v>
      </c>
      <c r="BE970" s="69"/>
      <c r="BF970" s="70">
        <f t="shared" ref="BF970:BH970" si="3518">SUM(BF962:BF969)</f>
        <v>5481.72</v>
      </c>
      <c r="BG970" s="71">
        <f t="shared" si="3518"/>
        <v>3033</v>
      </c>
      <c r="BH970" s="72">
        <f t="shared" si="3518"/>
        <v>5460.94</v>
      </c>
      <c r="BI970" s="34">
        <f>H970+BF970-BG970</f>
        <v>5460.94</v>
      </c>
      <c r="BJ970" s="34">
        <f>BH970-BI970</f>
        <v>0</v>
      </c>
      <c r="BK970" s="2" t="b">
        <f>H970='2020'!BH970</f>
        <v>1</v>
      </c>
    </row>
    <row r="971" ht="14.25" customHeight="1" hidden="1" spans="1:63" x14ac:dyDescent="0.25">
      <c r="A971" s="2">
        <v>108</v>
      </c>
      <c r="B971" s="14"/>
      <c r="D971" s="99" t="s">
        <v>132</v>
      </c>
      <c r="F971" s="13"/>
      <c r="G971" s="28"/>
      <c r="H971" s="34">
        <f>'2020'!BH971</f>
        <v>1787.91</v>
      </c>
      <c r="I971" s="13"/>
      <c r="J971" s="15"/>
      <c r="K971" s="15">
        <v>74.09</v>
      </c>
      <c r="L971" s="28"/>
      <c r="M971" s="13"/>
      <c r="N971" s="15"/>
      <c r="O971" s="2">
        <v>26.92</v>
      </c>
      <c r="Q971" s="13"/>
      <c r="R971" s="15"/>
      <c r="S971" s="15"/>
      <c r="T971" s="28"/>
      <c r="U971" s="13"/>
      <c r="V971" s="15"/>
      <c r="W971" s="2">
        <v>11.7</v>
      </c>
      <c r="Y971" s="186"/>
      <c r="Z971" s="2"/>
      <c r="AA971" s="15">
        <v>12.09</v>
      </c>
      <c r="AB971" s="28"/>
      <c r="AC971" s="15"/>
      <c r="AD971" s="15"/>
      <c r="AE971" s="2">
        <v>11.7</v>
      </c>
      <c r="AG971" s="15"/>
      <c r="AH971" s="2"/>
      <c r="AI971" s="45"/>
      <c r="AJ971" s="15"/>
      <c r="AK971" s="13"/>
      <c r="AM971" s="45"/>
      <c r="AO971" s="13"/>
      <c r="AQ971" s="180">
        <v>27.45</v>
      </c>
      <c r="AS971" s="13"/>
      <c r="AU971" s="180"/>
      <c r="AW971" s="13"/>
      <c r="AY971" s="180"/>
      <c r="AZ971" s="28"/>
      <c r="BA971" s="13"/>
      <c r="BB971" s="15"/>
      <c r="BC971" s="180"/>
      <c r="BD971" s="28"/>
      <c r="BE971" s="14"/>
      <c r="BF971" s="41">
        <f t="shared" ref="BF971:BG971" si="3519">K971+O971+S971+W971+AA971+AE971+AI971+AM971+AQ971+AU971+AY971+BC971</f>
        <v>163.95</v>
      </c>
      <c r="BG971" s="34">
        <f t="shared" si="3519"/>
        <v>0</v>
      </c>
      <c r="BH971" s="35">
        <f t="shared" ref="BH971:BH978" si="3520">H971+BF971-BG971</f>
        <v>1951.86</v>
      </c>
      <c r="BK971" s="2" t="b">
        <f>H971='2020'!BH971</f>
        <v>1</v>
      </c>
    </row>
    <row r="972" ht="14.25" customHeight="1" hidden="1" spans="1:63" x14ac:dyDescent="0.25">
      <c r="A972" s="2">
        <v>108</v>
      </c>
      <c r="B972" s="14">
        <v>4.32</v>
      </c>
      <c r="C972" s="2" t="s">
        <v>511</v>
      </c>
      <c r="D972" s="14" t="s">
        <v>44</v>
      </c>
      <c r="E972" s="2" t="s">
        <v>45</v>
      </c>
      <c r="F972" s="41">
        <v>2.5</v>
      </c>
      <c r="G972" s="35">
        <v>2.6</v>
      </c>
      <c r="H972" s="104">
        <f>'2020'!BH972</f>
        <v>0</v>
      </c>
      <c r="I972" s="13">
        <v>0</v>
      </c>
      <c r="J972" s="15">
        <f>I972-'2020'!BA972</f>
        <v>0</v>
      </c>
      <c r="K972" s="34">
        <f>J972*$F$8</f>
        <v>0</v>
      </c>
      <c r="L972" s="28"/>
      <c r="M972" s="13">
        <v>0</v>
      </c>
      <c r="N972" s="15">
        <f t="shared" ref="N972:N973" si="3521">M972-I972</f>
        <v>0</v>
      </c>
      <c r="O972" s="34">
        <f>N972*$F$8</f>
        <v>0</v>
      </c>
      <c r="Q972" s="13">
        <v>0</v>
      </c>
      <c r="R972" s="15">
        <f t="shared" ref="R972:R973" si="3522">Q972-M972</f>
        <v>0</v>
      </c>
      <c r="S972" s="34">
        <f>R972*$F$8</f>
        <v>0</v>
      </c>
      <c r="T972" s="28"/>
      <c r="U972" s="13">
        <v>0</v>
      </c>
      <c r="V972" s="15">
        <f t="shared" ref="V972:V973" si="3523">U972-Q972</f>
        <v>0</v>
      </c>
      <c r="W972" s="34">
        <f>V972*$F$8</f>
        <v>0</v>
      </c>
      <c r="Y972" s="186"/>
      <c r="Z972" s="2">
        <f t="shared" ref="Z972:Z973" si="3524">Y972-U972</f>
        <v>0</v>
      </c>
      <c r="AA972" s="34">
        <f>Z972*$F$8</f>
        <v>0</v>
      </c>
      <c r="AB972" s="28"/>
      <c r="AC972" s="15"/>
      <c r="AD972" s="15">
        <f t="shared" ref="AD972:AD973" si="3525">AC972-Y972</f>
        <v>0</v>
      </c>
      <c r="AE972" s="180">
        <f>AD972*$F$8</f>
        <v>0</v>
      </c>
      <c r="AG972" s="15"/>
      <c r="AH972" s="2">
        <f t="shared" ref="AH972:AH973" si="3526">AG972-AC972</f>
        <v>0</v>
      </c>
      <c r="AI972" s="45">
        <f>AH972*$G$8</f>
        <v>0</v>
      </c>
      <c r="AJ972" s="15"/>
      <c r="AK972" s="13"/>
      <c r="AL972" s="15">
        <f t="shared" ref="AL972:AL973" si="3527">AK972-AG972</f>
        <v>0</v>
      </c>
      <c r="AM972" s="45">
        <f>AL972*$G$8</f>
        <v>0</v>
      </c>
      <c r="AN972" s="15"/>
      <c r="AO972" s="13"/>
      <c r="AP972" s="15">
        <f t="shared" ref="AP972:AP973" si="3528">AO972-AK972</f>
        <v>0</v>
      </c>
      <c r="AQ972" s="45">
        <f>AP972*$G$8</f>
        <v>0</v>
      </c>
      <c r="AR972" s="15"/>
      <c r="AS972" s="13"/>
      <c r="AT972" s="15">
        <f t="shared" ref="AT972:AT973" si="3529">AS972-AO972</f>
        <v>0</v>
      </c>
      <c r="AU972" s="45">
        <f>AT972*$G$8</f>
        <v>0</v>
      </c>
      <c r="AV972" s="15"/>
      <c r="AW972" s="13"/>
      <c r="AX972" s="15">
        <f t="shared" ref="AX972:AX973" si="3530">AW972-AS972</f>
        <v>0</v>
      </c>
      <c r="AY972" s="45">
        <f>AX972*$G$8</f>
        <v>0</v>
      </c>
      <c r="AZ972" s="208"/>
      <c r="BA972" s="13"/>
      <c r="BB972" s="15">
        <f t="shared" ref="BB972:BB973" si="3531">BA972-AW972</f>
        <v>0</v>
      </c>
      <c r="BC972" s="45">
        <f>BB972*$G$8</f>
        <v>0</v>
      </c>
      <c r="BD972" s="208"/>
      <c r="BE972" s="40">
        <f t="shared" ref="BE972:BG972" si="3532">J972+N972+R972+V972+Z972+AD972+AH972+AL972+AP972+AT972+AX972+BB972</f>
        <v>0</v>
      </c>
      <c r="BF972" s="41">
        <f t="shared" si="3532"/>
        <v>0</v>
      </c>
      <c r="BG972" s="34">
        <f t="shared" si="3532"/>
        <v>0</v>
      </c>
      <c r="BH972" s="35">
        <f t="shared" si="3520"/>
        <v>0</v>
      </c>
      <c r="BK972" s="2" t="b">
        <f>H972='2020'!BH972</f>
        <v>1</v>
      </c>
    </row>
    <row r="973" ht="14.25" customHeight="1" hidden="1" spans="1:63" x14ac:dyDescent="0.25">
      <c r="A973" s="2">
        <v>108</v>
      </c>
      <c r="B973" s="14"/>
      <c r="C973" s="73" t="s">
        <v>104</v>
      </c>
      <c r="D973" s="14" t="s">
        <v>47</v>
      </c>
      <c r="E973" s="2" t="s">
        <v>48</v>
      </c>
      <c r="F973" s="13">
        <v>18.56</v>
      </c>
      <c r="G973" s="35">
        <v>19.46</v>
      </c>
      <c r="H973" s="34">
        <f>'2020'!BH973</f>
        <v>0</v>
      </c>
      <c r="I973" s="13"/>
      <c r="J973" s="15"/>
      <c r="K973" s="15"/>
      <c r="L973" s="28"/>
      <c r="M973" s="13"/>
      <c r="N973" s="15">
        <f t="shared" si="3521"/>
        <v>0</v>
      </c>
      <c r="Q973" s="13"/>
      <c r="R973" s="15">
        <f t="shared" si="3522"/>
        <v>0</v>
      </c>
      <c r="S973" s="15"/>
      <c r="T973" s="28"/>
      <c r="U973" s="13"/>
      <c r="V973" s="15">
        <f t="shared" si="3523"/>
        <v>0</v>
      </c>
      <c r="W973" s="180">
        <f>V973*$F$10</f>
        <v>0</v>
      </c>
      <c r="Y973" s="186"/>
      <c r="Z973" s="2">
        <f t="shared" si="3524"/>
        <v>0</v>
      </c>
      <c r="AA973" s="34">
        <f>Z973*$F$10</f>
        <v>0</v>
      </c>
      <c r="AB973" s="28"/>
      <c r="AC973" s="15"/>
      <c r="AD973" s="15">
        <f t="shared" si="3525"/>
        <v>0</v>
      </c>
      <c r="AE973" s="34">
        <f>AD973*$F$10</f>
        <v>0</v>
      </c>
      <c r="AG973" s="15"/>
      <c r="AH973" s="2">
        <f t="shared" si="3526"/>
        <v>0</v>
      </c>
      <c r="AI973" s="45">
        <f>AH973*$G$10</f>
        <v>0</v>
      </c>
      <c r="AJ973" s="15"/>
      <c r="AK973" s="13"/>
      <c r="AL973" s="15">
        <f t="shared" si="3527"/>
        <v>0</v>
      </c>
      <c r="AM973" s="45">
        <f>AL973*$G$10</f>
        <v>0</v>
      </c>
      <c r="AN973" s="15"/>
      <c r="AO973" s="13"/>
      <c r="AP973" s="15">
        <f t="shared" si="3528"/>
        <v>0</v>
      </c>
      <c r="AQ973" s="45">
        <f>AP973*$G$10</f>
        <v>0</v>
      </c>
      <c r="AR973" s="15"/>
      <c r="AS973" s="13"/>
      <c r="AT973" s="15">
        <f t="shared" si="3529"/>
        <v>0</v>
      </c>
      <c r="AU973" s="45">
        <f>AT973*$G$10</f>
        <v>0</v>
      </c>
      <c r="AV973" s="15"/>
      <c r="AW973" s="13"/>
      <c r="AX973" s="15">
        <f t="shared" si="3530"/>
        <v>0</v>
      </c>
      <c r="AY973" s="45"/>
      <c r="AZ973" s="208"/>
      <c r="BA973" s="13"/>
      <c r="BB973" s="15">
        <f t="shared" si="3531"/>
        <v>0</v>
      </c>
      <c r="BC973" s="45"/>
      <c r="BD973" s="208"/>
      <c r="BE973" s="40">
        <f t="shared" ref="BE973:BG973" si="3533">J973+N973+R973+V973+Z973+AD973+AH973+AL973+AP973+AT973+AX973+BB973</f>
        <v>0</v>
      </c>
      <c r="BF973" s="41">
        <f t="shared" si="3533"/>
        <v>0</v>
      </c>
      <c r="BG973" s="34">
        <f t="shared" si="3533"/>
        <v>0</v>
      </c>
      <c r="BH973" s="35">
        <f t="shared" si="3520"/>
        <v>0</v>
      </c>
      <c r="BK973" s="2" t="b">
        <f>H973='2020'!BH973</f>
        <v>1</v>
      </c>
    </row>
    <row r="974" ht="14.25" customHeight="1" hidden="1" spans="1:63" x14ac:dyDescent="0.25">
      <c r="A974" s="2">
        <v>108</v>
      </c>
      <c r="B974" s="14"/>
      <c r="C974" s="73" t="s">
        <v>512</v>
      </c>
      <c r="D974" s="14" t="s">
        <v>47</v>
      </c>
      <c r="E974" s="2" t="s">
        <v>49</v>
      </c>
      <c r="F974" s="41">
        <v>500</v>
      </c>
      <c r="G974" s="28"/>
      <c r="H974" s="144">
        <f>'2020'!BH974</f>
        <v>0</v>
      </c>
      <c r="I974" s="13"/>
      <c r="J974" s="15"/>
      <c r="K974" s="15"/>
      <c r="L974" s="28"/>
      <c r="M974" s="13"/>
      <c r="N974" s="15"/>
      <c r="Q974" s="13"/>
      <c r="R974" s="15"/>
      <c r="S974" s="15"/>
      <c r="T974" s="28"/>
      <c r="U974" s="13"/>
      <c r="V974" s="15"/>
      <c r="Y974" s="186"/>
      <c r="Z974" s="2"/>
      <c r="AA974" s="34"/>
      <c r="AB974" s="28"/>
      <c r="AC974" s="15"/>
      <c r="AD974" s="15"/>
      <c r="AG974" s="15"/>
      <c r="AH974" s="2"/>
      <c r="AI974" s="45"/>
      <c r="AJ974" s="15"/>
      <c r="AK974" s="13"/>
      <c r="AL974" s="15"/>
      <c r="AM974" s="45"/>
      <c r="AN974" s="15"/>
      <c r="AO974" s="13"/>
      <c r="AP974" s="15"/>
      <c r="AQ974" s="45"/>
      <c r="AR974" s="15"/>
      <c r="AS974" s="13"/>
      <c r="AT974" s="15"/>
      <c r="AU974" s="45"/>
      <c r="AV974" s="15"/>
      <c r="AW974" s="13"/>
      <c r="AX974" s="15"/>
      <c r="AY974" s="45"/>
      <c r="AZ974" s="28"/>
      <c r="BA974" s="13"/>
      <c r="BB974" s="15"/>
      <c r="BC974" s="45"/>
      <c r="BD974" s="28"/>
      <c r="BE974" s="40">
        <f t="shared" ref="BE974:BG974" si="3534">J974+N974+R974+V974+Z974+AD974+AH974+AL974+AP974+AT974+AX974+BB974</f>
        <v>0</v>
      </c>
      <c r="BF974" s="41">
        <f t="shared" si="3534"/>
        <v>0</v>
      </c>
      <c r="BG974" s="34">
        <f t="shared" si="3534"/>
        <v>0</v>
      </c>
      <c r="BH974" s="35">
        <f t="shared" si="3520"/>
        <v>0</v>
      </c>
      <c r="BK974" s="2" t="b">
        <f>H974='2020'!BH974</f>
        <v>1</v>
      </c>
    </row>
    <row r="975" ht="14.25" customHeight="1" hidden="1" spans="1:63" x14ac:dyDescent="0.25">
      <c r="A975" s="2">
        <v>108</v>
      </c>
      <c r="B975" s="14"/>
      <c r="D975" s="14" t="s">
        <v>50</v>
      </c>
      <c r="E975" s="2" t="s">
        <v>49</v>
      </c>
      <c r="F975" s="41">
        <v>1100</v>
      </c>
      <c r="G975" s="28"/>
      <c r="H975" s="180">
        <f>'2020'!BH975</f>
        <v>14131.64</v>
      </c>
      <c r="I975" s="13"/>
      <c r="J975" s="15"/>
      <c r="K975" s="15"/>
      <c r="L975" s="28"/>
      <c r="M975" s="13"/>
      <c r="N975" s="15"/>
      <c r="P975" s="1">
        <v>14131.64</v>
      </c>
      <c r="Q975" s="13"/>
      <c r="R975" s="15"/>
      <c r="S975" s="15"/>
      <c r="T975" s="28"/>
      <c r="U975" s="13"/>
      <c r="V975" s="15"/>
      <c r="Y975" s="186"/>
      <c r="Z975" s="2"/>
      <c r="AA975" s="15"/>
      <c r="AB975" s="35"/>
      <c r="AC975" s="15"/>
      <c r="AD975" s="15"/>
      <c r="AE975" s="34">
        <f>B972*$F$12</f>
        <v>4752</v>
      </c>
      <c r="AG975" s="15"/>
      <c r="AH975" s="2"/>
      <c r="AI975" s="45"/>
      <c r="AJ975" s="15"/>
      <c r="AK975" s="13"/>
      <c r="AL975" s="15"/>
      <c r="AM975" s="45"/>
      <c r="AN975" s="15"/>
      <c r="AO975" s="13"/>
      <c r="AP975" s="15"/>
      <c r="AQ975" s="45"/>
      <c r="AR975" s="15"/>
      <c r="AS975" s="13"/>
      <c r="AT975" s="15"/>
      <c r="AU975" s="45"/>
      <c r="AV975" s="15"/>
      <c r="AW975" s="13"/>
      <c r="AX975" s="15"/>
      <c r="AY975" s="45"/>
      <c r="AZ975" s="28"/>
      <c r="BA975" s="13"/>
      <c r="BB975" s="15"/>
      <c r="BC975" s="45"/>
      <c r="BD975" s="28"/>
      <c r="BE975" s="14"/>
      <c r="BF975" s="41">
        <f t="shared" ref="BF975:BG975" si="3535">K975+O975+S975+W975+AA975+AE975+AI975+AM975+AQ975+AU975+AY975+BC975</f>
        <v>4752</v>
      </c>
      <c r="BG975" s="34">
        <f t="shared" si="3535"/>
        <v>14131.64</v>
      </c>
      <c r="BH975" s="35">
        <f t="shared" si="3520"/>
        <v>4752</v>
      </c>
      <c r="BK975" s="2" t="b">
        <f>H975='2020'!BH975</f>
        <v>1</v>
      </c>
    </row>
    <row r="976" ht="14.25" customHeight="1" hidden="1" spans="1:63" x14ac:dyDescent="0.25">
      <c r="A976" s="2">
        <v>108</v>
      </c>
      <c r="B976" s="14"/>
      <c r="D976" s="14" t="s">
        <v>51</v>
      </c>
      <c r="E976" s="2" t="s">
        <v>39</v>
      </c>
      <c r="F976" s="41">
        <v>500</v>
      </c>
      <c r="G976" s="28"/>
      <c r="H976" s="180">
        <f>'2020'!BH976</f>
        <v>10268</v>
      </c>
      <c r="I976" s="13"/>
      <c r="J976" s="15"/>
      <c r="K976" s="15"/>
      <c r="L976" s="28"/>
      <c r="M976" s="13"/>
      <c r="N976" s="15"/>
      <c r="P976" s="1">
        <v>5868.36</v>
      </c>
      <c r="Q976" s="13"/>
      <c r="R976" s="15"/>
      <c r="S976" s="15"/>
      <c r="T976" s="28"/>
      <c r="U976" s="13"/>
      <c r="V976" s="15"/>
      <c r="Y976" s="186"/>
      <c r="Z976" s="2"/>
      <c r="AA976" s="15"/>
      <c r="AB976" s="28"/>
      <c r="AC976" s="15"/>
      <c r="AD976" s="15"/>
      <c r="AE976" s="180">
        <f>$F$13</f>
      </c>
      <c r="AG976" s="15"/>
      <c r="AH976" s="2"/>
      <c r="AI976" s="45"/>
      <c r="AJ976" s="15"/>
      <c r="AK976" s="13"/>
      <c r="AL976" s="15"/>
      <c r="AM976" s="45"/>
      <c r="AN976" s="15"/>
      <c r="AO976" s="13"/>
      <c r="AP976" s="15"/>
      <c r="AQ976" s="180"/>
      <c r="AR976" s="15"/>
      <c r="AS976" s="13"/>
      <c r="AT976" s="15"/>
      <c r="AU976" s="45"/>
      <c r="AV976" s="15"/>
      <c r="AW976" s="13"/>
      <c r="AX976" s="15"/>
      <c r="AY976" s="45"/>
      <c r="AZ976" s="28"/>
      <c r="BA976" s="13"/>
      <c r="BB976" s="15"/>
      <c r="BC976" s="45"/>
      <c r="BD976" s="28"/>
      <c r="BE976" s="14"/>
      <c r="BF976" s="41">
        <f t="shared" ref="BF976:BG976" si="3536">K976+O976+S976+W976+AA976+AE976+AI976+AM976+AQ976+AU976+AY976+BC976</f>
        <v>0</v>
      </c>
      <c r="BG976" s="34">
        <f t="shared" si="3536"/>
        <v>5868.36</v>
      </c>
      <c r="BH976" s="35">
        <f t="shared" si="3520"/>
        <v>4399.64</v>
      </c>
      <c r="BK976" s="2" t="b">
        <f>H976='2020'!BH976</f>
        <v>1</v>
      </c>
    </row>
    <row r="977" ht="14.25" customHeight="1" hidden="1" spans="1:63" x14ac:dyDescent="0.25">
      <c r="A977" s="2">
        <v>108</v>
      </c>
      <c r="B977" s="14"/>
      <c r="D977" s="14" t="s">
        <v>51</v>
      </c>
      <c r="E977" s="2" t="s">
        <v>49</v>
      </c>
      <c r="F977" s="41">
        <v>500</v>
      </c>
      <c r="G977" s="28"/>
      <c r="H977" s="180">
        <f>'2020'!BH977</f>
        <v>2160</v>
      </c>
      <c r="I977" s="13"/>
      <c r="J977" s="15"/>
      <c r="K977" s="15"/>
      <c r="L977" s="28"/>
      <c r="M977" s="13"/>
      <c r="N977" s="15"/>
      <c r="Q977" s="13"/>
      <c r="R977" s="15"/>
      <c r="S977" s="15"/>
      <c r="T977" s="28"/>
      <c r="U977" s="13"/>
      <c r="V977" s="15"/>
      <c r="Y977" s="186"/>
      <c r="Z977" s="2"/>
      <c r="AA977" s="15"/>
      <c r="AB977" s="32">
        <v>2160</v>
      </c>
      <c r="AC977" s="15"/>
      <c r="AD977" s="15"/>
      <c r="AE977" s="34"/>
      <c r="AG977" s="15"/>
      <c r="AH977" s="2"/>
      <c r="AI977" s="45"/>
      <c r="AJ977" s="15"/>
      <c r="AK977" s="13"/>
      <c r="AL977" s="15"/>
      <c r="AM977" s="45"/>
      <c r="AN977" s="15"/>
      <c r="AO977" s="13"/>
      <c r="AP977" s="15"/>
      <c r="AQ977" s="180">
        <f>B972*$F$14</f>
        <v>0</v>
      </c>
      <c r="AR977" s="15"/>
      <c r="AS977" s="13"/>
      <c r="AT977" s="15"/>
      <c r="AU977" s="45"/>
      <c r="AV977" s="15"/>
      <c r="AW977" s="13"/>
      <c r="AX977" s="15"/>
      <c r="AY977" s="45"/>
      <c r="AZ977" s="28"/>
      <c r="BA977" s="13"/>
      <c r="BB977" s="15"/>
      <c r="BC977" s="45"/>
      <c r="BD977" s="28"/>
      <c r="BE977" s="14"/>
      <c r="BF977" s="41">
        <f t="shared" ref="BF977:BG977" si="3537">K977+O977+S977+W977+AA977+AE977+AI977+AM977+AQ977+AU977+AY977+BC977</f>
        <v>0</v>
      </c>
      <c r="BG977" s="34">
        <f t="shared" si="3537"/>
        <v>2160</v>
      </c>
      <c r="BH977" s="35">
        <f t="shared" si="3520"/>
        <v>0</v>
      </c>
      <c r="BK977" s="2" t="b">
        <f>H977='2020'!BH977</f>
        <v>1</v>
      </c>
    </row>
    <row r="978" ht="14.25" customHeight="1" hidden="1" spans="1:63" x14ac:dyDescent="0.25">
      <c r="A978" s="2">
        <v>108</v>
      </c>
      <c r="B978" s="14"/>
      <c r="D978" s="14" t="s">
        <v>52</v>
      </c>
      <c r="E978" s="2" t="s">
        <v>39</v>
      </c>
      <c r="F978" s="41">
        <v>500</v>
      </c>
      <c r="G978" s="28"/>
      <c r="H978" s="180">
        <f>'2020'!BH978</f>
        <v>1650</v>
      </c>
      <c r="I978" s="13"/>
      <c r="J978" s="15"/>
      <c r="K978" s="15"/>
      <c r="L978" s="28"/>
      <c r="M978" s="13"/>
      <c r="N978" s="15"/>
      <c r="Q978" s="13"/>
      <c r="R978" s="15"/>
      <c r="S978" s="15"/>
      <c r="T978" s="28"/>
      <c r="U978" s="13"/>
      <c r="V978" s="15"/>
      <c r="Y978" s="186"/>
      <c r="Z978" s="2"/>
      <c r="AA978" s="34">
        <f>$F$15</f>
      </c>
      <c r="AB978" s="28"/>
      <c r="AC978" s="15"/>
      <c r="AD978" s="15"/>
      <c r="AG978" s="15"/>
      <c r="AH978" s="2"/>
      <c r="AI978" s="45"/>
      <c r="AJ978" s="15"/>
      <c r="AK978" s="13"/>
      <c r="AL978" s="15"/>
      <c r="AM978" s="45"/>
      <c r="AN978" s="15"/>
      <c r="AO978" s="13"/>
      <c r="AP978" s="15"/>
      <c r="AQ978" s="45"/>
      <c r="AR978" s="15"/>
      <c r="AS978" s="13"/>
      <c r="AT978" s="15"/>
      <c r="AU978" s="45"/>
      <c r="AV978" s="15"/>
      <c r="AW978" s="13"/>
      <c r="AX978" s="15"/>
      <c r="AY978" s="45"/>
      <c r="AZ978" s="35"/>
      <c r="BA978" s="13"/>
      <c r="BB978" s="15"/>
      <c r="BC978" s="45"/>
      <c r="BD978" s="35"/>
      <c r="BE978" s="14"/>
      <c r="BF978" s="41">
        <f t="shared" ref="BF978:BG978" si="3538">K978+O978+S978+W978+AA978+AE978+AI978+AM978+AQ978+AU978+AY978+BC978</f>
        <v>0</v>
      </c>
      <c r="BG978" s="34">
        <f t="shared" si="3538"/>
        <v>0</v>
      </c>
      <c r="BH978" s="35">
        <f t="shared" si="3520"/>
        <v>1650</v>
      </c>
      <c r="BK978" s="2" t="b">
        <f>H978='2020'!BH978</f>
        <v>1</v>
      </c>
    </row>
    <row r="979" ht="14.25" customHeight="1" hidden="1" spans="1:63" x14ac:dyDescent="0.25">
      <c r="A979" s="247">
        <v>108</v>
      </c>
      <c r="B979" s="21"/>
      <c r="C979" s="22" t="s">
        <v>53</v>
      </c>
      <c r="D979" s="21"/>
      <c r="E979" s="22"/>
      <c r="F979" s="109"/>
      <c r="G979" s="23"/>
      <c r="H979" s="51">
        <f>SUM(H971:H978)</f>
        <v>29997.55</v>
      </c>
      <c r="I979" s="52"/>
      <c r="J979" s="53"/>
      <c r="K979" s="51">
        <f t="shared" ref="K979:L979" si="3539">SUM(K971:K978)</f>
        <v>74.09</v>
      </c>
      <c r="L979" s="68">
        <f t="shared" si="3539"/>
        <v>0</v>
      </c>
      <c r="M979" s="52"/>
      <c r="N979" s="53"/>
      <c r="O979" s="51">
        <f t="shared" ref="O979:P979" si="3540">SUM(O971:O978)</f>
        <v>26.92</v>
      </c>
      <c r="P979" s="51">
        <f t="shared" si="3540"/>
        <v>20000</v>
      </c>
      <c r="Q979" s="52"/>
      <c r="R979" s="53"/>
      <c r="S979" s="51">
        <f t="shared" ref="S979:T979" si="3541">SUM(S971:S978)</f>
        <v>0</v>
      </c>
      <c r="T979" s="51">
        <f t="shared" si="3541"/>
        <v>0</v>
      </c>
      <c r="U979" s="52"/>
      <c r="V979" s="53"/>
      <c r="W979" s="51">
        <f t="shared" ref="W979:X979" si="3542">SUM(W971:W978)</f>
        <v>11.7</v>
      </c>
      <c r="X979" s="51">
        <f t="shared" si="3542"/>
        <v>0</v>
      </c>
      <c r="Y979" s="300"/>
      <c r="Z979" s="301"/>
      <c r="AA979" s="51">
        <f t="shared" ref="AA979:AB979" si="3543">SUM(AA971:AA978)</f>
        <v>12.09</v>
      </c>
      <c r="AB979" s="51">
        <f t="shared" si="3543"/>
        <v>2160</v>
      </c>
      <c r="AC979" s="52"/>
      <c r="AD979" s="53"/>
      <c r="AE979" s="51">
        <f t="shared" ref="AE979:AF979" si="3544">SUM(AE971:AE978)</f>
        <v>4763.7</v>
      </c>
      <c r="AF979" s="51">
        <f t="shared" si="3544"/>
        <v>0</v>
      </c>
      <c r="AG979" s="52"/>
      <c r="AH979" s="301"/>
      <c r="AI979" s="183">
        <f t="shared" ref="AI979:AJ979" si="3545">SUM(AI971:AI978)</f>
        <v>0</v>
      </c>
      <c r="AJ979" s="51">
        <f t="shared" si="3545"/>
        <v>0</v>
      </c>
      <c r="AK979" s="52"/>
      <c r="AL979" s="53"/>
      <c r="AM979" s="183">
        <f t="shared" ref="AM979:AN979" si="3546">SUM(AM971:AM978)</f>
        <v>0</v>
      </c>
      <c r="AN979" s="51">
        <f t="shared" si="3546"/>
        <v>0</v>
      </c>
      <c r="AO979" s="52"/>
      <c r="AP979" s="53"/>
      <c r="AQ979" s="183">
        <f t="shared" ref="AQ979:AR979" si="3547">SUM(AQ971:AQ978)</f>
        <v>27.45</v>
      </c>
      <c r="AR979" s="51">
        <f t="shared" si="3547"/>
        <v>0</v>
      </c>
      <c r="AS979" s="52"/>
      <c r="AT979" s="53"/>
      <c r="AU979" s="183">
        <f t="shared" ref="AU979:AV979" si="3548">SUM(AU971:AU978)</f>
        <v>0</v>
      </c>
      <c r="AV979" s="51">
        <f t="shared" si="3548"/>
        <v>0</v>
      </c>
      <c r="AW979" s="52"/>
      <c r="AX979" s="53"/>
      <c r="AY979" s="183">
        <f t="shared" ref="AY979:AZ979" si="3549">SUM(AY971:AY978)</f>
        <v>0</v>
      </c>
      <c r="AZ979" s="68">
        <f t="shared" si="3549"/>
        <v>0</v>
      </c>
      <c r="BA979" s="52"/>
      <c r="BB979" s="53"/>
      <c r="BC979" s="183">
        <f t="shared" ref="BC979:BD979" si="3550">SUM(BC971:BC978)</f>
        <v>0</v>
      </c>
      <c r="BD979" s="68">
        <f t="shared" si="3550"/>
        <v>0</v>
      </c>
      <c r="BE979" s="69"/>
      <c r="BF979" s="70">
        <f t="shared" ref="BF979:BH979" si="3551">SUM(BF971:BF978)</f>
        <v>4915.95</v>
      </c>
      <c r="BG979" s="71">
        <f t="shared" si="3551"/>
        <v>22160</v>
      </c>
      <c r="BH979" s="72">
        <f t="shared" si="3551"/>
        <v>12753.5</v>
      </c>
      <c r="BI979" s="34">
        <f>H979+BF979-BG979</f>
        <v>12753.5</v>
      </c>
      <c r="BJ979" s="34">
        <f>BH979-BI979</f>
        <v>0</v>
      </c>
      <c r="BK979" s="2" t="b">
        <f>H979='2020'!BH979</f>
        <v>1</v>
      </c>
    </row>
    <row r="980" ht="14.25" customHeight="1" hidden="1" spans="1:63" x14ac:dyDescent="0.25">
      <c r="A980" s="2">
        <v>109</v>
      </c>
      <c r="B980" s="14"/>
      <c r="D980" s="14" t="s">
        <v>379</v>
      </c>
      <c r="F980" s="41"/>
      <c r="G980" s="28"/>
      <c r="H980" s="34">
        <f>'2020'!BH980</f>
        <v>131.22</v>
      </c>
      <c r="I980" s="13"/>
      <c r="J980" s="15"/>
      <c r="K980" s="15">
        <v>21.21</v>
      </c>
      <c r="L980" s="28"/>
      <c r="M980" s="13"/>
      <c r="N980" s="15"/>
      <c r="O980" s="2">
        <v>19.16</v>
      </c>
      <c r="Q980" s="13"/>
      <c r="R980" s="15"/>
      <c r="S980" s="15">
        <v>21.21</v>
      </c>
      <c r="T980" s="28"/>
      <c r="U980" s="13"/>
      <c r="V980" s="15"/>
      <c r="W980" s="2">
        <v>20.53</v>
      </c>
      <c r="Y980" s="186"/>
      <c r="Z980" s="2"/>
      <c r="AA980" s="15">
        <v>3.42</v>
      </c>
      <c r="AB980" s="28">
        <v>210.73</v>
      </c>
      <c r="AC980" s="15"/>
      <c r="AD980" s="15"/>
      <c r="AG980" s="15"/>
      <c r="AH980" s="2"/>
      <c r="AI980" s="45"/>
      <c r="AJ980" s="15"/>
      <c r="AK980" s="13"/>
      <c r="AM980" s="45"/>
      <c r="AO980" s="13"/>
      <c r="AQ980" s="180">
        <v>20.53</v>
      </c>
      <c r="AS980" s="13"/>
      <c r="AU980" s="180"/>
      <c r="AW980" s="13"/>
      <c r="AY980" s="180"/>
      <c r="AZ980" s="28"/>
      <c r="BA980" s="13"/>
      <c r="BB980" s="15"/>
      <c r="BC980" s="180"/>
      <c r="BD980" s="28"/>
      <c r="BE980" s="14"/>
      <c r="BF980" s="41">
        <f t="shared" ref="BF980:BG980" si="3552">K980+O980+S980+W980+AA980+AE980+AI980+AM980+AQ980+AU980+AY980+BC980</f>
        <v>106.06</v>
      </c>
      <c r="BG980" s="34">
        <f t="shared" si="3552"/>
        <v>210.73</v>
      </c>
      <c r="BH980" s="35">
        <f t="shared" ref="BH980:BH987" si="3553">H980+BF980-BG980</f>
        <v>26.55</v>
      </c>
      <c r="BK980" s="2" t="b">
        <f>H980='2020'!BH980</f>
        <v>1</v>
      </c>
    </row>
    <row r="981" ht="14.25" customHeight="1" hidden="1" spans="1:63" x14ac:dyDescent="0.25">
      <c r="A981" s="2">
        <v>109</v>
      </c>
      <c r="B981" s="14">
        <v>6.22</v>
      </c>
      <c r="C981" s="2" t="s">
        <v>455</v>
      </c>
      <c r="D981" s="14" t="s">
        <v>44</v>
      </c>
      <c r="E981" s="2" t="s">
        <v>45</v>
      </c>
      <c r="F981" s="41">
        <v>2.5</v>
      </c>
      <c r="G981" s="35">
        <v>2.6</v>
      </c>
      <c r="H981" s="34">
        <f>'2020'!BH981</f>
        <v>15.2</v>
      </c>
      <c r="I981" s="13">
        <v>41</v>
      </c>
      <c r="J981" s="15">
        <f>I981-'2020'!BA981</f>
        <v>0</v>
      </c>
      <c r="K981" s="34">
        <f>J981*$F$8</f>
        <v>0</v>
      </c>
      <c r="L981" s="28"/>
      <c r="M981" s="13">
        <v>41</v>
      </c>
      <c r="N981" s="15">
        <f t="shared" ref="N981:N982" si="3554">M981-I981</f>
        <v>0</v>
      </c>
      <c r="O981" s="34">
        <f>N981*$F$8</f>
        <v>0</v>
      </c>
      <c r="Q981" s="13">
        <v>41</v>
      </c>
      <c r="R981" s="15">
        <f t="shared" ref="R981:R982" si="3555">Q981-M981</f>
        <v>0</v>
      </c>
      <c r="S981" s="34">
        <f>R981*$F$8</f>
        <v>0</v>
      </c>
      <c r="T981" s="28"/>
      <c r="U981" s="13">
        <v>41</v>
      </c>
      <c r="V981" s="15">
        <f t="shared" ref="V981:V982" si="3556">U981-Q981</f>
        <v>0</v>
      </c>
      <c r="W981" s="34">
        <f>V981*$F$8</f>
        <v>0</v>
      </c>
      <c r="Y981" s="186">
        <v>42</v>
      </c>
      <c r="Z981" s="2">
        <f t="shared" ref="Z981:Z982" si="3557">Y981-U981</f>
        <v>1</v>
      </c>
      <c r="AA981" s="34">
        <f>Z981*$F$8</f>
        <v>2.6</v>
      </c>
      <c r="AB981" s="28">
        <v>17.8</v>
      </c>
      <c r="AC981" s="15">
        <v>43</v>
      </c>
      <c r="AD981" s="15">
        <f t="shared" ref="AD981:AD982" si="3558">AC981-Y981</f>
        <v>1</v>
      </c>
      <c r="AE981" s="180">
        <f>AD981*$F$8</f>
        <v>2.6</v>
      </c>
      <c r="AG981" s="15">
        <v>45</v>
      </c>
      <c r="AH981" s="2">
        <f t="shared" ref="AH981:AH982" si="3559">AG981-AC981</f>
        <v>2</v>
      </c>
      <c r="AI981" s="45">
        <f>AH981*$G$8</f>
        <v>5.4</v>
      </c>
      <c r="AJ981" s="15"/>
      <c r="AK981" s="13">
        <v>46</v>
      </c>
      <c r="AL981" s="15">
        <f t="shared" ref="AL981:AL982" si="3560">AK981-AG981</f>
        <v>1</v>
      </c>
      <c r="AM981" s="45">
        <f>AL981*$G$8</f>
        <v>2.7</v>
      </c>
      <c r="AN981" s="15"/>
      <c r="AO981" s="13">
        <v>46</v>
      </c>
      <c r="AP981" s="15">
        <f t="shared" ref="AP981:AP982" si="3561">AO981-AK981</f>
        <v>0</v>
      </c>
      <c r="AQ981" s="45">
        <f>AP981*$G$8</f>
        <v>0</v>
      </c>
      <c r="AR981" s="15"/>
      <c r="AS981" s="13">
        <v>46</v>
      </c>
      <c r="AT981" s="15">
        <f t="shared" ref="AT981:AT982" si="3562">AS981-AO981</f>
        <v>0</v>
      </c>
      <c r="AU981" s="45">
        <f t="shared" ref="AU981:AU982" si="3563">AT981*$G$8</f>
        <v>0</v>
      </c>
      <c r="AV981" s="15"/>
      <c r="AW981" s="13">
        <v>46</v>
      </c>
      <c r="AX981" s="15">
        <f t="shared" ref="AX981:AX982" si="3564">AW981-AS981</f>
        <v>0</v>
      </c>
      <c r="AY981" s="45">
        <f>AX981*$G$8</f>
        <v>0</v>
      </c>
      <c r="AZ981" s="208"/>
      <c r="BA981" s="13">
        <v>46</v>
      </c>
      <c r="BB981" s="15">
        <f t="shared" ref="BB981:BB982" si="3565">BA981-AW981</f>
        <v>0</v>
      </c>
      <c r="BC981" s="45">
        <f>BB981*$G$8</f>
        <v>0</v>
      </c>
      <c r="BD981" s="208"/>
      <c r="BE981" s="40">
        <f t="shared" ref="BE981:BG981" si="3566">J981+N981+R981+V981+Z981+AD981+AH981+AL981+AP981+AT981+AX981+BB981</f>
        <v>5</v>
      </c>
      <c r="BF981" s="41">
        <f t="shared" si="3566"/>
        <v>13.3</v>
      </c>
      <c r="BG981" s="34">
        <f t="shared" si="3566"/>
        <v>17.8</v>
      </c>
      <c r="BH981" s="35">
        <f t="shared" si="3553"/>
        <v>10.7</v>
      </c>
      <c r="BK981" s="2" t="b">
        <f>H981='2020'!BH981</f>
        <v>1</v>
      </c>
    </row>
    <row r="982" ht="14.25" customHeight="1" hidden="1" spans="1:63" x14ac:dyDescent="0.25">
      <c r="A982" s="2">
        <v>109</v>
      </c>
      <c r="B982" s="14"/>
      <c r="C982" s="15" t="s">
        <v>456</v>
      </c>
      <c r="D982" s="14" t="s">
        <v>47</v>
      </c>
      <c r="E982" s="2" t="s">
        <v>48</v>
      </c>
      <c r="F982" s="41">
        <v>18.56</v>
      </c>
      <c r="G982" s="35">
        <v>19.46</v>
      </c>
      <c r="H982" s="34">
        <f>'2020'!BH982</f>
        <v>76.94</v>
      </c>
      <c r="I982" s="13">
        <v>8</v>
      </c>
      <c r="J982" s="15"/>
      <c r="K982" s="15"/>
      <c r="L982" s="28"/>
      <c r="M982" s="13">
        <v>8</v>
      </c>
      <c r="N982" s="15">
        <f t="shared" si="3554"/>
        <v>0</v>
      </c>
      <c r="Q982" s="13">
        <v>8</v>
      </c>
      <c r="R982" s="15">
        <f t="shared" si="3555"/>
        <v>0</v>
      </c>
      <c r="S982" s="15"/>
      <c r="T982" s="28"/>
      <c r="U982" s="13">
        <v>8</v>
      </c>
      <c r="V982" s="15">
        <f t="shared" si="3556"/>
        <v>0</v>
      </c>
      <c r="W982" s="180">
        <f>V982*$F$10</f>
        <v>0</v>
      </c>
      <c r="Y982" s="186">
        <v>8</v>
      </c>
      <c r="Z982" s="2">
        <f t="shared" si="3557"/>
        <v>0</v>
      </c>
      <c r="AA982" s="34">
        <f>Z982*$F$10</f>
        <v>0</v>
      </c>
      <c r="AB982" s="28">
        <v>76.94</v>
      </c>
      <c r="AC982" s="15">
        <v>8</v>
      </c>
      <c r="AD982" s="15">
        <f t="shared" si="3558"/>
        <v>0</v>
      </c>
      <c r="AE982" s="34">
        <f>AD982*$F$10</f>
        <v>0</v>
      </c>
      <c r="AG982" s="15">
        <v>8</v>
      </c>
      <c r="AH982" s="2">
        <f t="shared" si="3559"/>
        <v>0</v>
      </c>
      <c r="AI982" s="45">
        <f>AH982*$G$10</f>
        <v>0</v>
      </c>
      <c r="AJ982" s="15"/>
      <c r="AK982" s="13">
        <v>8</v>
      </c>
      <c r="AL982" s="15">
        <f t="shared" si="3560"/>
        <v>0</v>
      </c>
      <c r="AM982" s="45">
        <f>AL982*$G$10</f>
        <v>0</v>
      </c>
      <c r="AN982" s="15"/>
      <c r="AO982" s="13">
        <v>11</v>
      </c>
      <c r="AP982" s="15">
        <f t="shared" si="3561"/>
        <v>3</v>
      </c>
      <c r="AQ982" s="45">
        <f>AP982*$G$10</f>
        <v>61.05</v>
      </c>
      <c r="AR982" s="15"/>
      <c r="AS982" s="13">
        <v>11</v>
      </c>
      <c r="AT982" s="15">
        <f t="shared" si="3562"/>
        <v>0</v>
      </c>
      <c r="AU982" s="45">
        <f t="shared" si="3563"/>
        <v>0</v>
      </c>
      <c r="AV982" s="15"/>
      <c r="AW982" s="13">
        <v>11</v>
      </c>
      <c r="AX982" s="15">
        <f t="shared" si="3564"/>
        <v>0</v>
      </c>
      <c r="AY982" s="45"/>
      <c r="AZ982" s="208"/>
      <c r="BA982" s="13">
        <v>11</v>
      </c>
      <c r="BB982" s="15">
        <f t="shared" si="3565"/>
        <v>0</v>
      </c>
      <c r="BC982" s="45"/>
      <c r="BD982" s="208"/>
      <c r="BE982" s="40">
        <f t="shared" ref="BE982:BG982" si="3567">J982+N982+R982+V982+Z982+AD982+AH982+AL982+AP982+AT982+AX982+BB982</f>
        <v>3</v>
      </c>
      <c r="BF982" s="41">
        <f t="shared" si="3567"/>
        <v>61.05</v>
      </c>
      <c r="BG982" s="34">
        <f t="shared" si="3567"/>
        <v>76.94</v>
      </c>
      <c r="BH982" s="35">
        <f t="shared" si="3553"/>
        <v>61.05</v>
      </c>
      <c r="BK982" s="2" t="b">
        <f>H982='2020'!BH982</f>
        <v>1</v>
      </c>
    </row>
    <row r="983" ht="14.25" customHeight="1" hidden="1" spans="1:63" x14ac:dyDescent="0.25">
      <c r="A983" s="2">
        <v>109</v>
      </c>
      <c r="B983" s="14"/>
      <c r="C983" s="15" t="s">
        <v>111</v>
      </c>
      <c r="D983" s="14" t="s">
        <v>47</v>
      </c>
      <c r="E983" s="2" t="s">
        <v>49</v>
      </c>
      <c r="F983" s="41">
        <v>500</v>
      </c>
      <c r="G983" s="28"/>
      <c r="H983" s="34">
        <f>'2020'!BH983</f>
        <v>0</v>
      </c>
      <c r="I983" s="13"/>
      <c r="J983" s="15"/>
      <c r="K983" s="15"/>
      <c r="L983" s="28"/>
      <c r="M983" s="13"/>
      <c r="N983" s="15"/>
      <c r="Q983" s="13"/>
      <c r="R983" s="15"/>
      <c r="S983" s="15"/>
      <c r="T983" s="28"/>
      <c r="U983" s="13"/>
      <c r="V983" s="15"/>
      <c r="Y983" s="186"/>
      <c r="Z983" s="2"/>
      <c r="AA983" s="15"/>
      <c r="AB983" s="28"/>
      <c r="AC983" s="15"/>
      <c r="AD983" s="15"/>
      <c r="AG983" s="15"/>
      <c r="AH983" s="2"/>
      <c r="AI983" s="45"/>
      <c r="AJ983" s="15"/>
      <c r="AK983" s="13"/>
      <c r="AL983" s="15"/>
      <c r="AM983" s="45"/>
      <c r="AN983" s="15"/>
      <c r="AO983" s="13"/>
      <c r="AP983" s="15"/>
      <c r="AQ983" s="45"/>
      <c r="AR983" s="15"/>
      <c r="AS983" s="13"/>
      <c r="AT983" s="15"/>
      <c r="AU983" s="45"/>
      <c r="AV983" s="15"/>
      <c r="AW983" s="13"/>
      <c r="AX983" s="15"/>
      <c r="AY983" s="45"/>
      <c r="AZ983" s="28"/>
      <c r="BA983" s="13"/>
      <c r="BB983" s="15"/>
      <c r="BC983" s="45"/>
      <c r="BD983" s="28"/>
      <c r="BE983" s="14"/>
      <c r="BF983" s="41">
        <f t="shared" ref="BF983:BG983" si="3568">K983+O983+S983+W983+AA983+AE983+AI983+AM983+AQ983+AU983+AY983+BC983</f>
        <v>0</v>
      </c>
      <c r="BG983" s="34">
        <f t="shared" si="3568"/>
        <v>0</v>
      </c>
      <c r="BH983" s="35">
        <f t="shared" si="3553"/>
        <v>0</v>
      </c>
      <c r="BK983" s="2" t="b">
        <f>H983='2020'!BH983</f>
        <v>1</v>
      </c>
    </row>
    <row r="984" ht="14.25" customHeight="1" hidden="1" spans="1:63" x14ac:dyDescent="0.25">
      <c r="A984" s="2">
        <v>109</v>
      </c>
      <c r="B984" s="14"/>
      <c r="C984" s="15" t="s">
        <v>457</v>
      </c>
      <c r="D984" s="14" t="s">
        <v>50</v>
      </c>
      <c r="E984" s="2" t="s">
        <v>49</v>
      </c>
      <c r="F984" s="41">
        <v>1100</v>
      </c>
      <c r="G984" s="28"/>
      <c r="H984" s="34">
        <f>'2020'!BH984</f>
        <v>6842</v>
      </c>
      <c r="I984" s="13"/>
      <c r="J984" s="15"/>
      <c r="K984" s="15"/>
      <c r="L984" s="28"/>
      <c r="M984" s="13"/>
      <c r="N984" s="15"/>
      <c r="Q984" s="13"/>
      <c r="R984" s="15"/>
      <c r="S984" s="15"/>
      <c r="T984" s="28"/>
      <c r="U984" s="13"/>
      <c r="V984" s="15"/>
      <c r="Y984" s="186"/>
      <c r="Z984" s="2"/>
      <c r="AA984" s="15"/>
      <c r="AB984" s="28">
        <v>6842</v>
      </c>
      <c r="AC984" s="15"/>
      <c r="AD984" s="15"/>
      <c r="AE984" s="34">
        <f>B981*$F$12</f>
        <v>6842</v>
      </c>
      <c r="AG984" s="15"/>
      <c r="AH984" s="2"/>
      <c r="AI984" s="45"/>
      <c r="AJ984" s="15"/>
      <c r="AK984" s="13"/>
      <c r="AL984" s="15"/>
      <c r="AM984" s="45"/>
      <c r="AN984" s="15"/>
      <c r="AO984" s="13"/>
      <c r="AP984" s="15"/>
      <c r="AQ984" s="45"/>
      <c r="AR984" s="15"/>
      <c r="AS984" s="13"/>
      <c r="AT984" s="15"/>
      <c r="AU984" s="45"/>
      <c r="AV984" s="15"/>
      <c r="AW984" s="13"/>
      <c r="AX984" s="15"/>
      <c r="AY984" s="45"/>
      <c r="AZ984" s="28"/>
      <c r="BA984" s="13"/>
      <c r="BB984" s="15"/>
      <c r="BC984" s="45"/>
      <c r="BD984" s="28"/>
      <c r="BE984" s="14"/>
      <c r="BF984" s="41">
        <f t="shared" ref="BF984:BG984" si="3569">K984+O984+S984+W984+AA984+AE984+AI984+AM984+AQ984+AU984+AY984+BC984</f>
        <v>6842</v>
      </c>
      <c r="BG984" s="34">
        <f t="shared" si="3569"/>
        <v>6842</v>
      </c>
      <c r="BH984" s="35">
        <f t="shared" si="3553"/>
        <v>6842</v>
      </c>
      <c r="BK984" s="2" t="b">
        <f>H984='2020'!BH984</f>
        <v>1</v>
      </c>
    </row>
    <row r="985" ht="14.25" customHeight="1" hidden="1" spans="1:63" x14ac:dyDescent="0.25">
      <c r="A985" s="2">
        <v>109</v>
      </c>
      <c r="B985" s="14"/>
      <c r="D985" s="14" t="s">
        <v>51</v>
      </c>
      <c r="E985" s="2" t="s">
        <v>39</v>
      </c>
      <c r="F985" s="41">
        <v>500</v>
      </c>
      <c r="G985" s="28"/>
      <c r="H985" s="34">
        <f>'2020'!BH985</f>
        <v>500</v>
      </c>
      <c r="I985" s="13"/>
      <c r="J985" s="15"/>
      <c r="K985" s="15"/>
      <c r="L985" s="28"/>
      <c r="M985" s="13"/>
      <c r="N985" s="15"/>
      <c r="Q985" s="13"/>
      <c r="R985" s="15"/>
      <c r="S985" s="15"/>
      <c r="T985" s="28"/>
      <c r="U985" s="13"/>
      <c r="V985" s="15"/>
      <c r="Y985" s="186"/>
      <c r="Z985" s="2"/>
      <c r="AA985" s="15"/>
      <c r="AB985" s="28">
        <v>500</v>
      </c>
      <c r="AC985" s="15"/>
      <c r="AD985" s="15"/>
      <c r="AE985" s="180">
        <f>$F$13</f>
      </c>
      <c r="AG985" s="15"/>
      <c r="AH985" s="2"/>
      <c r="AI985" s="45"/>
      <c r="AJ985" s="15"/>
      <c r="AK985" s="13"/>
      <c r="AL985" s="15"/>
      <c r="AM985" s="45"/>
      <c r="AN985" s="15"/>
      <c r="AO985" s="13"/>
      <c r="AP985" s="15"/>
      <c r="AQ985" s="180"/>
      <c r="AR985" s="15"/>
      <c r="AS985" s="13"/>
      <c r="AT985" s="15"/>
      <c r="AU985" s="45"/>
      <c r="AV985" s="15"/>
      <c r="AW985" s="13"/>
      <c r="AX985" s="15"/>
      <c r="AY985" s="45"/>
      <c r="AZ985" s="28"/>
      <c r="BA985" s="13"/>
      <c r="BB985" s="15"/>
      <c r="BC985" s="45"/>
      <c r="BD985" s="28"/>
      <c r="BE985" s="14"/>
      <c r="BF985" s="41">
        <f t="shared" ref="BF985:BG985" si="3570">K985+O985+S985+W985+AA985+AE985+AI985+AM985+AQ985+AU985+AY985+BC985</f>
        <v>0</v>
      </c>
      <c r="BG985" s="34">
        <f t="shared" si="3570"/>
        <v>500</v>
      </c>
      <c r="BH985" s="35">
        <f t="shared" si="3553"/>
        <v>0</v>
      </c>
      <c r="BK985" s="2" t="b">
        <f>H985='2020'!BH985</f>
        <v>1</v>
      </c>
    </row>
    <row r="986" ht="14.25" customHeight="1" hidden="1" spans="1:63" x14ac:dyDescent="0.25">
      <c r="A986" s="2">
        <v>109</v>
      </c>
      <c r="B986" s="14"/>
      <c r="D986" s="14" t="s">
        <v>51</v>
      </c>
      <c r="E986" s="2" t="s">
        <v>49</v>
      </c>
      <c r="F986" s="41">
        <v>500</v>
      </c>
      <c r="G986" s="28"/>
      <c r="H986" s="34">
        <f>'2020'!BH986</f>
        <v>3110</v>
      </c>
      <c r="I986" s="13"/>
      <c r="J986" s="15"/>
      <c r="K986" s="15"/>
      <c r="L986" s="28"/>
      <c r="M986" s="13"/>
      <c r="N986" s="15"/>
      <c r="Q986" s="13"/>
      <c r="R986" s="15"/>
      <c r="S986" s="15"/>
      <c r="T986" s="28"/>
      <c r="U986" s="13"/>
      <c r="V986" s="15"/>
      <c r="Y986" s="186"/>
      <c r="Z986" s="2"/>
      <c r="AA986" s="15"/>
      <c r="AB986" s="28">
        <v>3110</v>
      </c>
      <c r="AC986" s="15"/>
      <c r="AD986" s="15"/>
      <c r="AE986" s="34"/>
      <c r="AG986" s="15"/>
      <c r="AH986" s="2"/>
      <c r="AI986" s="45"/>
      <c r="AJ986" s="15"/>
      <c r="AK986" s="13"/>
      <c r="AL986" s="15"/>
      <c r="AM986" s="45"/>
      <c r="AN986" s="15"/>
      <c r="AO986" s="13"/>
      <c r="AP986" s="15"/>
      <c r="AQ986" s="180">
        <f>B981*$F$14</f>
        <v>0</v>
      </c>
      <c r="AR986" s="15"/>
      <c r="AS986" s="13"/>
      <c r="AT986" s="15"/>
      <c r="AU986" s="45"/>
      <c r="AV986" s="15"/>
      <c r="AW986" s="13"/>
      <c r="AX986" s="15"/>
      <c r="AY986" s="45"/>
      <c r="AZ986" s="28"/>
      <c r="BA986" s="13"/>
      <c r="BB986" s="15"/>
      <c r="BC986" s="45"/>
      <c r="BD986" s="28"/>
      <c r="BE986" s="14"/>
      <c r="BF986" s="41">
        <f t="shared" ref="BF986:BG986" si="3571">K986+O986+S986+W986+AA986+AE986+AI986+AM986+AQ986+AU986+AY986+BC986</f>
        <v>0</v>
      </c>
      <c r="BG986" s="34">
        <f t="shared" si="3571"/>
        <v>3110</v>
      </c>
      <c r="BH986" s="35">
        <f t="shared" si="3553"/>
        <v>0</v>
      </c>
      <c r="BK986" s="2" t="b">
        <f>H986='2020'!BH986</f>
        <v>1</v>
      </c>
    </row>
    <row r="987" ht="14.25" customHeight="1" hidden="1" spans="1:63" x14ac:dyDescent="0.25">
      <c r="A987" s="2">
        <v>109</v>
      </c>
      <c r="B987" s="14"/>
      <c r="C987" s="15"/>
      <c r="D987" s="14" t="s">
        <v>52</v>
      </c>
      <c r="E987" s="2" t="s">
        <v>39</v>
      </c>
      <c r="F987" s="41">
        <v>500</v>
      </c>
      <c r="G987" s="28"/>
      <c r="H987" s="34">
        <f>'2020'!BH987</f>
        <v>500</v>
      </c>
      <c r="I987" s="13"/>
      <c r="J987" s="15"/>
      <c r="K987" s="15"/>
      <c r="L987" s="28"/>
      <c r="M987" s="13"/>
      <c r="N987" s="15"/>
      <c r="Q987" s="13"/>
      <c r="R987" s="15"/>
      <c r="S987" s="15"/>
      <c r="T987" s="28"/>
      <c r="U987" s="13"/>
      <c r="V987" s="15"/>
      <c r="Y987" s="186"/>
      <c r="Z987" s="2"/>
      <c r="AA987" s="34">
        <f>$F$15</f>
      </c>
      <c r="AB987" s="28">
        <v>500</v>
      </c>
      <c r="AC987" s="15"/>
      <c r="AD987" s="15"/>
      <c r="AG987" s="15"/>
      <c r="AH987" s="2"/>
      <c r="AI987" s="45"/>
      <c r="AJ987" s="15"/>
      <c r="AK987" s="13"/>
      <c r="AL987" s="15"/>
      <c r="AM987" s="45"/>
      <c r="AN987" s="15"/>
      <c r="AO987" s="13"/>
      <c r="AP987" s="15"/>
      <c r="AQ987" s="45"/>
      <c r="AR987" s="15"/>
      <c r="AS987" s="13"/>
      <c r="AT987" s="15"/>
      <c r="AU987" s="45"/>
      <c r="AV987" s="15"/>
      <c r="AW987" s="13"/>
      <c r="AX987" s="15"/>
      <c r="AY987" s="45"/>
      <c r="AZ987" s="35"/>
      <c r="BA987" s="13"/>
      <c r="BB987" s="15"/>
      <c r="BC987" s="45"/>
      <c r="BD987" s="35"/>
      <c r="BE987" s="14"/>
      <c r="BF987" s="41">
        <f t="shared" ref="BF987:BG987" si="3572">K987+O987+S987+W987+AA987+AE987+AI987+AM987+AQ987+AU987+AY987+BC987</f>
        <v>0</v>
      </c>
      <c r="BG987" s="34">
        <f t="shared" si="3572"/>
        <v>500</v>
      </c>
      <c r="BH987" s="35">
        <f t="shared" si="3553"/>
        <v>0</v>
      </c>
      <c r="BK987" s="2" t="b">
        <f>H987='2020'!BH987</f>
        <v>1</v>
      </c>
    </row>
    <row r="988" ht="14.25" customHeight="1" hidden="1" spans="1:63" x14ac:dyDescent="0.25">
      <c r="A988" s="247">
        <v>109</v>
      </c>
      <c r="B988" s="21"/>
      <c r="C988" s="22" t="s">
        <v>53</v>
      </c>
      <c r="D988" s="21"/>
      <c r="E988" s="22"/>
      <c r="F988" s="109"/>
      <c r="G988" s="23"/>
      <c r="H988" s="51">
        <f>SUM(H980:H987)</f>
        <v>11175.36</v>
      </c>
      <c r="I988" s="52"/>
      <c r="J988" s="53"/>
      <c r="K988" s="51">
        <f t="shared" ref="K988:L988" si="3573">SUM(K980:K987)</f>
        <v>21.21</v>
      </c>
      <c r="L988" s="68">
        <f t="shared" si="3573"/>
        <v>0</v>
      </c>
      <c r="M988" s="52"/>
      <c r="N988" s="53"/>
      <c r="O988" s="51">
        <f t="shared" ref="O988:P988" si="3574">SUM(O980:O987)</f>
        <v>19.16</v>
      </c>
      <c r="P988" s="51">
        <f t="shared" si="3574"/>
        <v>0</v>
      </c>
      <c r="Q988" s="52"/>
      <c r="R988" s="53"/>
      <c r="S988" s="51">
        <f t="shared" ref="S988:T988" si="3575">SUM(S980:S987)</f>
        <v>21.21</v>
      </c>
      <c r="T988" s="51">
        <f t="shared" si="3575"/>
        <v>0</v>
      </c>
      <c r="U988" s="52"/>
      <c r="V988" s="53"/>
      <c r="W988" s="51">
        <f t="shared" ref="W988:X988" si="3576">SUM(W980:W987)</f>
        <v>20.53</v>
      </c>
      <c r="X988" s="51">
        <f t="shared" si="3576"/>
        <v>0</v>
      </c>
      <c r="Y988" s="300"/>
      <c r="Z988" s="301"/>
      <c r="AA988" s="51">
        <f t="shared" ref="AA988:AB988" si="3577">SUM(AA980:AA987)</f>
        <v>6.02</v>
      </c>
      <c r="AB988" s="51">
        <f t="shared" si="3577"/>
        <v>11257.47</v>
      </c>
      <c r="AC988" s="52"/>
      <c r="AD988" s="53"/>
      <c r="AE988" s="51">
        <f t="shared" ref="AE988:AF988" si="3578">SUM(AE980:AE987)</f>
        <v>6844.6</v>
      </c>
      <c r="AF988" s="51">
        <f t="shared" si="3578"/>
        <v>0</v>
      </c>
      <c r="AG988" s="52"/>
      <c r="AH988" s="301"/>
      <c r="AI988" s="183">
        <f t="shared" ref="AI988:AJ988" si="3579">SUM(AI980:AI987)</f>
        <v>5.4</v>
      </c>
      <c r="AJ988" s="51">
        <f t="shared" si="3579"/>
        <v>0</v>
      </c>
      <c r="AK988" s="52"/>
      <c r="AL988" s="53"/>
      <c r="AM988" s="183">
        <f t="shared" ref="AM988:AN988" si="3580">SUM(AM980:AM987)</f>
        <v>2.7</v>
      </c>
      <c r="AN988" s="51">
        <f t="shared" si="3580"/>
        <v>0</v>
      </c>
      <c r="AO988" s="52"/>
      <c r="AP988" s="53"/>
      <c r="AQ988" s="183">
        <f t="shared" ref="AQ988:AR988" si="3581">SUM(AQ980:AQ987)</f>
        <v>81.58</v>
      </c>
      <c r="AR988" s="51">
        <f t="shared" si="3581"/>
        <v>0</v>
      </c>
      <c r="AS988" s="52"/>
      <c r="AT988" s="53"/>
      <c r="AU988" s="183">
        <f t="shared" ref="AU988:AV988" si="3582">SUM(AU980:AU987)</f>
        <v>0</v>
      </c>
      <c r="AV988" s="68">
        <f t="shared" si="3582"/>
        <v>0</v>
      </c>
      <c r="AW988" s="52"/>
      <c r="AX988" s="53"/>
      <c r="AY988" s="183">
        <f t="shared" ref="AY988:AZ988" si="3583">SUM(AY980:AY987)</f>
        <v>0</v>
      </c>
      <c r="AZ988" s="68">
        <f t="shared" si="3583"/>
        <v>0</v>
      </c>
      <c r="BA988" s="52"/>
      <c r="BB988" s="53"/>
      <c r="BC988" s="183">
        <f t="shared" ref="BC988:BD988" si="3584">SUM(BC980:BC987)</f>
        <v>0</v>
      </c>
      <c r="BD988" s="68">
        <f t="shared" si="3584"/>
        <v>0</v>
      </c>
      <c r="BE988" s="69"/>
      <c r="BF988" s="70">
        <f t="shared" ref="BF988:BH988" si="3585">SUM(BF980:BF987)</f>
        <v>7022.41</v>
      </c>
      <c r="BG988" s="71">
        <f t="shared" si="3585"/>
        <v>11257.47</v>
      </c>
      <c r="BH988" s="72">
        <f t="shared" si="3585"/>
        <v>6940.3</v>
      </c>
      <c r="BI988" s="34">
        <f>H988+BF988-BG988</f>
        <v>6940.3</v>
      </c>
      <c r="BJ988" s="34">
        <f>BH988-BI988</f>
        <v>0</v>
      </c>
      <c r="BK988" s="2" t="b">
        <f>H988='2020'!BH988</f>
        <v>1</v>
      </c>
    </row>
    <row r="989" ht="14.25" customHeight="1" hidden="1" spans="1:63" x14ac:dyDescent="0.25">
      <c r="A989" s="2">
        <v>110</v>
      </c>
      <c r="B989" s="14"/>
      <c r="D989" s="178" t="s">
        <v>486</v>
      </c>
      <c r="F989" s="41"/>
      <c r="G989" s="28"/>
      <c r="H989" s="34">
        <f>'2020'!BH989</f>
        <v>141.72</v>
      </c>
      <c r="I989" s="13"/>
      <c r="J989" s="15"/>
      <c r="K989" s="15">
        <v>16.74</v>
      </c>
      <c r="L989" s="28"/>
      <c r="M989" s="13"/>
      <c r="N989" s="15"/>
      <c r="O989" s="2">
        <v>15.12</v>
      </c>
      <c r="Q989" s="13"/>
      <c r="R989" s="15"/>
      <c r="S989" s="15">
        <v>16.74</v>
      </c>
      <c r="T989" s="28"/>
      <c r="U989" s="13"/>
      <c r="V989" s="15"/>
      <c r="W989" s="153">
        <v>16.2</v>
      </c>
      <c r="Y989" s="186"/>
      <c r="Z989" s="2"/>
      <c r="AA989" s="15">
        <v>16.74</v>
      </c>
      <c r="AB989" s="28"/>
      <c r="AC989" s="15"/>
      <c r="AD989" s="15"/>
      <c r="AE989" s="2">
        <v>16.2</v>
      </c>
      <c r="AG989" s="15"/>
      <c r="AH989" s="2"/>
      <c r="AI989" s="45"/>
      <c r="AJ989" s="15"/>
      <c r="AK989" s="13"/>
      <c r="AM989" s="45">
        <v>16.74</v>
      </c>
      <c r="AO989" s="13"/>
      <c r="AQ989" s="180">
        <v>41.27</v>
      </c>
      <c r="AS989" s="13"/>
      <c r="AU989" s="180">
        <v>42.64</v>
      </c>
      <c r="AW989" s="13"/>
      <c r="AY989" s="180">
        <v>41.27</v>
      </c>
      <c r="AZ989" s="28"/>
      <c r="BA989" s="13"/>
      <c r="BB989" s="15"/>
      <c r="BC989" s="180">
        <v>42.64</v>
      </c>
      <c r="BD989" s="28"/>
      <c r="BE989" s="14"/>
      <c r="BF989" s="41">
        <f t="shared" ref="BF989:BG989" si="3586">K989+O989+S989+W989+AA989+AE989+AI989+AM989+AQ989+AU989+AY989+BC989</f>
        <v>282.3</v>
      </c>
      <c r="BG989" s="34">
        <f t="shared" si="3586"/>
        <v>0</v>
      </c>
      <c r="BH989" s="35">
        <f t="shared" ref="BH989:BH996" si="3587">H989+BF989-BG989</f>
        <v>424.02</v>
      </c>
      <c r="BK989" s="2" t="b">
        <f>H989='2020'!BH989</f>
        <v>1</v>
      </c>
    </row>
    <row r="990" ht="14.25" customHeight="1" hidden="1" spans="1:63" x14ac:dyDescent="0.25">
      <c r="A990" s="2">
        <v>110</v>
      </c>
      <c r="B990" s="14">
        <v>4.91</v>
      </c>
      <c r="C990" s="2" t="s">
        <v>342</v>
      </c>
      <c r="D990" s="14" t="s">
        <v>44</v>
      </c>
      <c r="E990" s="2" t="s">
        <v>45</v>
      </c>
      <c r="F990" s="41">
        <v>2.5</v>
      </c>
      <c r="G990" s="35">
        <v>2.6</v>
      </c>
      <c r="H990" s="34">
        <f>'2020'!BH990</f>
        <v>101.1</v>
      </c>
      <c r="I990" s="13">
        <v>151</v>
      </c>
      <c r="J990" s="15">
        <f>I990-'2020'!BA990</f>
        <v>0</v>
      </c>
      <c r="K990" s="34">
        <f>J990*$F$8</f>
        <v>0</v>
      </c>
      <c r="L990" s="28"/>
      <c r="M990" s="13">
        <v>151</v>
      </c>
      <c r="N990" s="15">
        <f t="shared" ref="N990:N991" si="3588">M990-I990</f>
        <v>0</v>
      </c>
      <c r="O990" s="34">
        <f>N990*$F$8</f>
        <v>0</v>
      </c>
      <c r="Q990" s="13">
        <v>151</v>
      </c>
      <c r="R990" s="15">
        <f t="shared" ref="R990:R991" si="3589">Q990-M990</f>
        <v>0</v>
      </c>
      <c r="S990" s="34">
        <f>R990*$F$8</f>
        <v>0</v>
      </c>
      <c r="T990" s="28"/>
      <c r="U990" s="13">
        <v>151</v>
      </c>
      <c r="V990" s="15">
        <f t="shared" ref="V990:V991" si="3590">U990-Q990</f>
        <v>0</v>
      </c>
      <c r="W990" s="180">
        <f>V990*$F$8</f>
        <v>0</v>
      </c>
      <c r="Y990" s="186">
        <v>152</v>
      </c>
      <c r="Z990" s="2">
        <f t="shared" ref="Z990:Z991" si="3591">Y990-U990</f>
        <v>1</v>
      </c>
      <c r="AA990" s="34">
        <f>Z990*$F$8</f>
        <v>2.6</v>
      </c>
      <c r="AB990" s="28"/>
      <c r="AC990" s="15">
        <v>152</v>
      </c>
      <c r="AD990" s="15">
        <f t="shared" ref="AD990:AD991" si="3592">AC990-Y990</f>
        <v>0</v>
      </c>
      <c r="AE990" s="180">
        <f>AD990*$F$8</f>
        <v>0</v>
      </c>
      <c r="AG990" s="15">
        <v>152</v>
      </c>
      <c r="AH990" s="2">
        <f t="shared" ref="AH990:AH991" si="3593">AG990-AC990</f>
        <v>0</v>
      </c>
      <c r="AI990" s="45">
        <f>AH990*$G$8</f>
        <v>0</v>
      </c>
      <c r="AJ990" s="1"/>
      <c r="AK990" s="13">
        <v>152</v>
      </c>
      <c r="AL990" s="15">
        <f t="shared" ref="AL990:AL991" si="3594">AK990-AG990</f>
        <v>0</v>
      </c>
      <c r="AM990" s="45">
        <f>AL990*$G$8</f>
        <v>0</v>
      </c>
      <c r="AN990" s="15"/>
      <c r="AO990" s="13">
        <v>153</v>
      </c>
      <c r="AP990" s="15">
        <f t="shared" ref="AP990:AP991" si="3595">AO990-AK990</f>
        <v>1</v>
      </c>
      <c r="AQ990" s="45">
        <f>AP990*$G$8</f>
        <v>2.7</v>
      </c>
      <c r="AR990" s="15"/>
      <c r="AS990" s="13">
        <v>154</v>
      </c>
      <c r="AT990" s="15">
        <f t="shared" ref="AT990:AT991" si="3596">AS990-AO990</f>
        <v>1</v>
      </c>
      <c r="AU990" s="45">
        <f>AT990*$G$8</f>
        <v>2.7</v>
      </c>
      <c r="AV990" s="15"/>
      <c r="AW990" s="13">
        <v>154</v>
      </c>
      <c r="AX990" s="15">
        <f t="shared" ref="AX990:AX991" si="3597">AW990-AS990</f>
        <v>0</v>
      </c>
      <c r="AY990" s="45">
        <f>AX990*$G$8</f>
        <v>0</v>
      </c>
      <c r="AZ990" s="208"/>
      <c r="BA990" s="13">
        <v>154</v>
      </c>
      <c r="BB990" s="15">
        <f t="shared" ref="BB990:BB991" si="3598">BA990-AW990</f>
        <v>0</v>
      </c>
      <c r="BC990" s="45">
        <f>BB990*$G$8</f>
        <v>0</v>
      </c>
      <c r="BD990" s="208"/>
      <c r="BE990" s="40">
        <f t="shared" ref="BE990:BG990" si="3599">J990+N990+R990+V990+Z990+AD990+AH990+AL990+AP990+AT990+AX990+BB990</f>
        <v>3</v>
      </c>
      <c r="BF990" s="41">
        <f t="shared" si="3599"/>
        <v>8</v>
      </c>
      <c r="BG990" s="34">
        <f t="shared" si="3599"/>
        <v>0</v>
      </c>
      <c r="BH990" s="35">
        <f t="shared" si="3587"/>
        <v>109.1</v>
      </c>
      <c r="BK990" s="2" t="b">
        <f>H990='2020'!BH990</f>
        <v>1</v>
      </c>
    </row>
    <row r="991" ht="14.25" customHeight="1" hidden="1" spans="1:63" x14ac:dyDescent="0.25">
      <c r="A991" s="2">
        <v>110</v>
      </c>
      <c r="B991" s="14"/>
      <c r="C991" s="15" t="s">
        <v>343</v>
      </c>
      <c r="D991" s="14" t="s">
        <v>47</v>
      </c>
      <c r="E991" s="2" t="s">
        <v>48</v>
      </c>
      <c r="F991" s="41">
        <v>18.56</v>
      </c>
      <c r="G991" s="35">
        <v>19.46</v>
      </c>
      <c r="H991" s="34">
        <f>'2020'!BH991</f>
        <v>38.02</v>
      </c>
      <c r="I991" s="13">
        <v>41</v>
      </c>
      <c r="J991" s="15"/>
      <c r="K991" s="15"/>
      <c r="L991" s="28"/>
      <c r="M991" s="13">
        <v>41</v>
      </c>
      <c r="N991" s="15">
        <f t="shared" si="3588"/>
        <v>0</v>
      </c>
      <c r="Q991" s="13">
        <v>41</v>
      </c>
      <c r="R991" s="15">
        <f t="shared" si="3589"/>
        <v>0</v>
      </c>
      <c r="S991" s="15"/>
      <c r="T991" s="28"/>
      <c r="U991" s="13">
        <v>41</v>
      </c>
      <c r="V991" s="15">
        <f t="shared" si="3590"/>
        <v>0</v>
      </c>
      <c r="W991" s="34">
        <f>V991*$F$10</f>
        <v>0</v>
      </c>
      <c r="Y991" s="186">
        <v>41</v>
      </c>
      <c r="Z991" s="2">
        <f t="shared" si="3591"/>
        <v>0</v>
      </c>
      <c r="AA991" s="34">
        <f>Z991*$F$10</f>
        <v>0</v>
      </c>
      <c r="AB991" s="28"/>
      <c r="AC991" s="15">
        <v>41</v>
      </c>
      <c r="AD991" s="15">
        <f t="shared" si="3592"/>
        <v>0</v>
      </c>
      <c r="AE991" s="34">
        <f>AD991*$F$10</f>
        <v>0</v>
      </c>
      <c r="AG991" s="15">
        <v>41</v>
      </c>
      <c r="AH991" s="2">
        <f t="shared" si="3593"/>
        <v>0</v>
      </c>
      <c r="AI991" s="45">
        <f>AH991*$G$10</f>
        <v>0</v>
      </c>
      <c r="AJ991" s="39"/>
      <c r="AK991" s="13">
        <v>41</v>
      </c>
      <c r="AL991" s="15">
        <f t="shared" si="3594"/>
        <v>0</v>
      </c>
      <c r="AM991" s="45">
        <f>AL991*$G$10</f>
        <v>0</v>
      </c>
      <c r="AN991" s="15"/>
      <c r="AO991" s="13">
        <v>41</v>
      </c>
      <c r="AP991" s="15">
        <f t="shared" si="3595"/>
        <v>0</v>
      </c>
      <c r="AQ991" s="45">
        <f>AP991*$G$10</f>
        <v>0</v>
      </c>
      <c r="AR991" s="15"/>
      <c r="AS991" s="13">
        <v>41</v>
      </c>
      <c r="AT991" s="15">
        <f t="shared" si="3596"/>
        <v>0</v>
      </c>
      <c r="AU991" s="45">
        <f>AT991*$G$10</f>
        <v>0</v>
      </c>
      <c r="AV991" s="15"/>
      <c r="AW991" s="13">
        <v>41</v>
      </c>
      <c r="AX991" s="15">
        <f t="shared" si="3597"/>
        <v>0</v>
      </c>
      <c r="AY991" s="45"/>
      <c r="AZ991" s="208"/>
      <c r="BA991" s="13">
        <v>41</v>
      </c>
      <c r="BB991" s="15">
        <f t="shared" si="3598"/>
        <v>0</v>
      </c>
      <c r="BC991" s="45"/>
      <c r="BD991" s="208"/>
      <c r="BE991" s="40">
        <f t="shared" ref="BE991:BG991" si="3600">J991+N991+R991+V991+Z991+AD991+AH991+AL991+AP991+AT991+AX991+BB991</f>
        <v>0</v>
      </c>
      <c r="BF991" s="41">
        <f t="shared" si="3600"/>
        <v>0</v>
      </c>
      <c r="BG991" s="34">
        <f t="shared" si="3600"/>
        <v>0</v>
      </c>
      <c r="BH991" s="35">
        <f t="shared" si="3587"/>
        <v>38.02</v>
      </c>
      <c r="BK991" s="2" t="b">
        <f>H991='2020'!BH991</f>
        <v>1</v>
      </c>
    </row>
    <row r="992" ht="14.25" customHeight="1" hidden="1" spans="1:63" x14ac:dyDescent="0.25">
      <c r="A992" s="2">
        <v>110</v>
      </c>
      <c r="B992" s="14"/>
      <c r="C992" s="15" t="s">
        <v>194</v>
      </c>
      <c r="D992" s="14" t="s">
        <v>47</v>
      </c>
      <c r="E992" s="2" t="s">
        <v>49</v>
      </c>
      <c r="F992" s="41">
        <v>500</v>
      </c>
      <c r="G992" s="28"/>
      <c r="H992" s="34">
        <f>'2020'!BH992</f>
        <v>0</v>
      </c>
      <c r="I992" s="13"/>
      <c r="J992" s="15"/>
      <c r="K992" s="15"/>
      <c r="L992" s="28"/>
      <c r="M992" s="13"/>
      <c r="N992" s="15"/>
      <c r="Q992" s="13"/>
      <c r="R992" s="15"/>
      <c r="S992" s="15"/>
      <c r="T992" s="28"/>
      <c r="U992" s="13"/>
      <c r="V992" s="15"/>
      <c r="W992" s="153"/>
      <c r="Y992" s="186"/>
      <c r="Z992" s="2"/>
      <c r="AA992" s="15"/>
      <c r="AB992" s="28"/>
      <c r="AC992" s="15"/>
      <c r="AD992" s="15"/>
      <c r="AG992" s="15"/>
      <c r="AH992" s="2"/>
      <c r="AI992" s="45"/>
      <c r="AJ992" s="15"/>
      <c r="AK992" s="13"/>
      <c r="AL992" s="15"/>
      <c r="AM992" s="45"/>
      <c r="AN992" s="15"/>
      <c r="AO992" s="13"/>
      <c r="AP992" s="15"/>
      <c r="AQ992" s="45"/>
      <c r="AR992" s="15"/>
      <c r="AS992" s="13"/>
      <c r="AT992" s="15"/>
      <c r="AU992" s="45"/>
      <c r="AV992" s="15"/>
      <c r="AW992" s="13"/>
      <c r="AX992" s="15"/>
      <c r="AY992" s="45"/>
      <c r="AZ992" s="28"/>
      <c r="BA992" s="13"/>
      <c r="BB992" s="15"/>
      <c r="BC992" s="45"/>
      <c r="BD992" s="28"/>
      <c r="BE992" s="14"/>
      <c r="BF992" s="41">
        <f t="shared" ref="BF992:BG992" si="3601">K992+O992+S992+W992+AA992+AE992+AI992+AM992+AQ992+AU992+AY992+BC992</f>
        <v>0</v>
      </c>
      <c r="BG992" s="34">
        <f t="shared" si="3601"/>
        <v>0</v>
      </c>
      <c r="BH992" s="35">
        <f t="shared" si="3587"/>
        <v>0</v>
      </c>
      <c r="BK992" s="2" t="b">
        <f>H992='2020'!BH992</f>
        <v>1</v>
      </c>
    </row>
    <row r="993" ht="14.25" customHeight="1" hidden="1" spans="1:63" x14ac:dyDescent="0.25">
      <c r="A993" s="2">
        <v>110</v>
      </c>
      <c r="B993" s="14"/>
      <c r="C993" s="2" t="s">
        <v>344</v>
      </c>
      <c r="D993" s="14" t="s">
        <v>50</v>
      </c>
      <c r="E993" s="2" t="s">
        <v>49</v>
      </c>
      <c r="F993" s="41">
        <v>1100</v>
      </c>
      <c r="G993" s="28"/>
      <c r="H993" s="34">
        <f>'2020'!BH993</f>
        <v>5401</v>
      </c>
      <c r="I993" s="13"/>
      <c r="J993" s="15"/>
      <c r="K993" s="15"/>
      <c r="L993" s="28"/>
      <c r="M993" s="13"/>
      <c r="N993" s="15"/>
      <c r="Q993" s="13"/>
      <c r="R993" s="15"/>
      <c r="S993" s="15"/>
      <c r="T993" s="28"/>
      <c r="U993" s="13"/>
      <c r="V993" s="15"/>
      <c r="W993" s="153"/>
      <c r="Y993" s="186"/>
      <c r="Z993" s="2"/>
      <c r="AA993" s="15"/>
      <c r="AB993" s="28"/>
      <c r="AC993" s="15"/>
      <c r="AD993" s="15"/>
      <c r="AE993" s="34">
        <f>B990*$F$12</f>
        <v>5401</v>
      </c>
      <c r="AG993" s="15"/>
      <c r="AH993" s="2"/>
      <c r="AI993" s="45"/>
      <c r="AJ993" s="1"/>
      <c r="AK993" s="13"/>
      <c r="AL993" s="15"/>
      <c r="AM993" s="45"/>
      <c r="AN993" s="15"/>
      <c r="AO993" s="13"/>
      <c r="AP993" s="15"/>
      <c r="AQ993" s="45"/>
      <c r="AR993" s="15"/>
      <c r="AS993" s="13"/>
      <c r="AT993" s="15"/>
      <c r="AU993" s="45"/>
      <c r="AV993" s="15"/>
      <c r="AW993" s="13"/>
      <c r="AX993" s="15"/>
      <c r="AY993" s="45"/>
      <c r="AZ993" s="28"/>
      <c r="BA993" s="13"/>
      <c r="BB993" s="15"/>
      <c r="BC993" s="45"/>
      <c r="BD993" s="28"/>
      <c r="BE993" s="14"/>
      <c r="BF993" s="41">
        <f t="shared" ref="BF993:BG993" si="3602">K993+O993+S993+W993+AA993+AE993+AI993+AM993+AQ993+AU993+AY993+BC993</f>
        <v>5401</v>
      </c>
      <c r="BG993" s="34">
        <f t="shared" si="3602"/>
        <v>0</v>
      </c>
      <c r="BH993" s="35">
        <f t="shared" si="3587"/>
        <v>10802</v>
      </c>
      <c r="BK993" s="2" t="b">
        <f>H993='2020'!BH993</f>
        <v>1</v>
      </c>
    </row>
    <row r="994" ht="14.25" customHeight="1" hidden="1" spans="1:63" x14ac:dyDescent="0.25">
      <c r="A994" s="2">
        <v>110</v>
      </c>
      <c r="B994" s="14"/>
      <c r="D994" s="14" t="s">
        <v>51</v>
      </c>
      <c r="E994" s="2" t="s">
        <v>39</v>
      </c>
      <c r="F994" s="41">
        <v>500</v>
      </c>
      <c r="G994" s="28"/>
      <c r="H994" s="34">
        <f>'2020'!BH994</f>
        <v>500</v>
      </c>
      <c r="I994" s="13"/>
      <c r="J994" s="15"/>
      <c r="K994" s="15"/>
      <c r="L994" s="28"/>
      <c r="M994" s="13"/>
      <c r="N994" s="15"/>
      <c r="Q994" s="13"/>
      <c r="R994" s="15"/>
      <c r="S994" s="15"/>
      <c r="T994" s="28"/>
      <c r="U994" s="13"/>
      <c r="V994" s="15"/>
      <c r="W994" s="153"/>
      <c r="Y994" s="186"/>
      <c r="Z994" s="2"/>
      <c r="AA994" s="15"/>
      <c r="AB994" s="28"/>
      <c r="AC994" s="15"/>
      <c r="AD994" s="15"/>
      <c r="AE994" s="180">
        <f>$F$13</f>
      </c>
      <c r="AG994" s="15"/>
      <c r="AH994" s="2"/>
      <c r="AI994" s="45"/>
      <c r="AJ994" s="15"/>
      <c r="AK994" s="13"/>
      <c r="AL994" s="15"/>
      <c r="AM994" s="45"/>
      <c r="AN994" s="15"/>
      <c r="AO994" s="13"/>
      <c r="AP994" s="15"/>
      <c r="AQ994" s="180"/>
      <c r="AR994" s="15"/>
      <c r="AS994" s="13"/>
      <c r="AT994" s="15"/>
      <c r="AU994" s="45"/>
      <c r="AV994" s="15"/>
      <c r="AW994" s="13"/>
      <c r="AX994" s="15"/>
      <c r="AY994" s="45"/>
      <c r="AZ994" s="28"/>
      <c r="BA994" s="13"/>
      <c r="BB994" s="15"/>
      <c r="BC994" s="45"/>
      <c r="BD994" s="28"/>
      <c r="BE994" s="14"/>
      <c r="BF994" s="41">
        <f t="shared" ref="BF994:BG994" si="3603">K994+O994+S994+W994+AA994+AE994+AI994+AM994+AQ994+AU994+AY994+BC994</f>
        <v>0</v>
      </c>
      <c r="BG994" s="34">
        <f t="shared" si="3603"/>
        <v>0</v>
      </c>
      <c r="BH994" s="35">
        <f t="shared" si="3587"/>
        <v>500</v>
      </c>
      <c r="BK994" s="2" t="b">
        <f>H994='2020'!BH994</f>
        <v>1</v>
      </c>
    </row>
    <row r="995" ht="14.25" customHeight="1" hidden="1" spans="1:63" x14ac:dyDescent="0.25">
      <c r="A995" s="2">
        <v>110</v>
      </c>
      <c r="B995" s="14"/>
      <c r="D995" s="14" t="s">
        <v>51</v>
      </c>
      <c r="E995" s="2" t="s">
        <v>49</v>
      </c>
      <c r="F995" s="41">
        <v>500</v>
      </c>
      <c r="G995" s="28"/>
      <c r="H995" s="34">
        <f>'2020'!BH995</f>
        <v>2455</v>
      </c>
      <c r="I995" s="13"/>
      <c r="J995" s="15"/>
      <c r="K995" s="15"/>
      <c r="L995" s="28"/>
      <c r="M995" s="13"/>
      <c r="N995" s="15"/>
      <c r="Q995" s="13"/>
      <c r="R995" s="15"/>
      <c r="S995" s="15"/>
      <c r="T995" s="28"/>
      <c r="U995" s="13"/>
      <c r="V995" s="15"/>
      <c r="W995" s="153"/>
      <c r="Y995" s="186"/>
      <c r="Z995" s="2"/>
      <c r="AA995" s="15"/>
      <c r="AB995" s="28"/>
      <c r="AC995" s="15"/>
      <c r="AD995" s="15"/>
      <c r="AE995" s="34"/>
      <c r="AG995" s="15"/>
      <c r="AH995" s="2"/>
      <c r="AI995" s="45"/>
      <c r="AJ995" s="15"/>
      <c r="AK995" s="13"/>
      <c r="AL995" s="15"/>
      <c r="AM995" s="45"/>
      <c r="AN995" s="15"/>
      <c r="AO995" s="13"/>
      <c r="AP995" s="15"/>
      <c r="AQ995" s="180">
        <f>B990*$F$14</f>
        <v>0</v>
      </c>
      <c r="AR995" s="15"/>
      <c r="AS995" s="13"/>
      <c r="AT995" s="15"/>
      <c r="AU995" s="45"/>
      <c r="AV995" s="15"/>
      <c r="AW995" s="13"/>
      <c r="AX995" s="15"/>
      <c r="AY995" s="45"/>
      <c r="AZ995" s="28"/>
      <c r="BA995" s="13"/>
      <c r="BB995" s="15"/>
      <c r="BC995" s="45"/>
      <c r="BD995" s="28"/>
      <c r="BE995" s="14"/>
      <c r="BF995" s="41">
        <f t="shared" ref="BF995:BG995" si="3604">K995+O995+S995+W995+AA995+AE995+AI995+AM995+AQ995+AU995+AY995+BC995</f>
        <v>0</v>
      </c>
      <c r="BG995" s="34">
        <f t="shared" si="3604"/>
        <v>0</v>
      </c>
      <c r="BH995" s="35">
        <f t="shared" si="3587"/>
        <v>2455</v>
      </c>
      <c r="BK995" s="2" t="b">
        <f>H995='2020'!BH995</f>
        <v>1</v>
      </c>
    </row>
    <row r="996" ht="14.25" customHeight="1" hidden="1" spans="1:63" x14ac:dyDescent="0.25">
      <c r="A996" s="2">
        <v>110</v>
      </c>
      <c r="B996" s="14"/>
      <c r="D996" s="14" t="s">
        <v>52</v>
      </c>
      <c r="E996" s="2" t="s">
        <v>39</v>
      </c>
      <c r="F996" s="41">
        <v>500</v>
      </c>
      <c r="G996" s="28"/>
      <c r="H996" s="34">
        <f>'2020'!BH996</f>
        <v>500</v>
      </c>
      <c r="I996" s="13"/>
      <c r="J996" s="15"/>
      <c r="K996" s="15"/>
      <c r="L996" s="28"/>
      <c r="M996" s="13"/>
      <c r="N996" s="15"/>
      <c r="Q996" s="13"/>
      <c r="R996" s="15"/>
      <c r="S996" s="15"/>
      <c r="T996" s="28"/>
      <c r="U996" s="13"/>
      <c r="V996" s="15"/>
      <c r="W996" s="153"/>
      <c r="Y996" s="186"/>
      <c r="Z996" s="2"/>
      <c r="AA996" s="34">
        <f>$F$15</f>
      </c>
      <c r="AB996" s="28"/>
      <c r="AC996" s="15"/>
      <c r="AD996" s="15"/>
      <c r="AG996" s="15"/>
      <c r="AH996" s="2"/>
      <c r="AI996" s="45"/>
      <c r="AJ996" s="15"/>
      <c r="AK996" s="13"/>
      <c r="AL996" s="15"/>
      <c r="AM996" s="45"/>
      <c r="AN996" s="15"/>
      <c r="AO996" s="13"/>
      <c r="AP996" s="15"/>
      <c r="AQ996" s="45"/>
      <c r="AR996" s="15"/>
      <c r="AS996" s="13"/>
      <c r="AT996" s="15"/>
      <c r="AU996" s="45"/>
      <c r="AV996" s="15"/>
      <c r="AW996" s="13"/>
      <c r="AX996" s="15"/>
      <c r="AY996" s="45"/>
      <c r="AZ996" s="35"/>
      <c r="BA996" s="13"/>
      <c r="BB996" s="15"/>
      <c r="BC996" s="45"/>
      <c r="BD996" s="35"/>
      <c r="BE996" s="14"/>
      <c r="BF996" s="41">
        <f t="shared" ref="BF996:BG996" si="3605">K996+O996+S996+W996+AA996+AE996+AI996+AM996+AQ996+AU996+AY996+BC996</f>
        <v>0</v>
      </c>
      <c r="BG996" s="34">
        <f t="shared" si="3605"/>
        <v>0</v>
      </c>
      <c r="BH996" s="35">
        <f t="shared" si="3587"/>
        <v>500</v>
      </c>
      <c r="BK996" s="2" t="b">
        <f>H996='2020'!BH996</f>
        <v>1</v>
      </c>
    </row>
    <row r="997" ht="14.25" customHeight="1" hidden="1" spans="1:63" x14ac:dyDescent="0.25">
      <c r="A997" s="247">
        <v>110</v>
      </c>
      <c r="B997" s="21"/>
      <c r="C997" s="22" t="s">
        <v>53</v>
      </c>
      <c r="D997" s="21"/>
      <c r="E997" s="22"/>
      <c r="F997" s="109"/>
      <c r="G997" s="23"/>
      <c r="H997" s="51">
        <f>SUM(H989:H996)</f>
        <v>9136.84</v>
      </c>
      <c r="I997" s="52"/>
      <c r="J997" s="53"/>
      <c r="K997" s="51">
        <f t="shared" ref="K997:L997" si="3606">SUM(K989:K996)</f>
        <v>16.74</v>
      </c>
      <c r="L997" s="68">
        <f t="shared" si="3606"/>
        <v>0</v>
      </c>
      <c r="M997" s="52"/>
      <c r="N997" s="53"/>
      <c r="O997" s="51">
        <f t="shared" ref="O997:P997" si="3607">SUM(O989:O996)</f>
        <v>15.12</v>
      </c>
      <c r="P997" s="51">
        <f t="shared" si="3607"/>
        <v>0</v>
      </c>
      <c r="Q997" s="52"/>
      <c r="R997" s="53"/>
      <c r="S997" s="51">
        <f t="shared" ref="S997:T997" si="3608">SUM(S989:S996)</f>
        <v>16.74</v>
      </c>
      <c r="T997" s="51">
        <f t="shared" si="3608"/>
        <v>0</v>
      </c>
      <c r="U997" s="52"/>
      <c r="V997" s="53"/>
      <c r="W997" s="183">
        <f t="shared" ref="W997:X997" si="3609">SUM(W989:W996)</f>
        <v>16.2</v>
      </c>
      <c r="X997" s="51">
        <f t="shared" si="3609"/>
        <v>0</v>
      </c>
      <c r="Y997" s="300"/>
      <c r="Z997" s="301"/>
      <c r="AA997" s="51">
        <f t="shared" ref="AA997:AB997" si="3610">SUM(AA989:AA996)</f>
        <v>19.34</v>
      </c>
      <c r="AB997" s="51">
        <f t="shared" si="3610"/>
        <v>0</v>
      </c>
      <c r="AC997" s="52"/>
      <c r="AD997" s="53"/>
      <c r="AE997" s="51">
        <f t="shared" ref="AE997:AF997" si="3611">SUM(AE989:AE996)</f>
        <v>5417.2</v>
      </c>
      <c r="AF997" s="51">
        <f t="shared" si="3611"/>
        <v>0</v>
      </c>
      <c r="AG997" s="52"/>
      <c r="AH997" s="301"/>
      <c r="AI997" s="183">
        <f t="shared" ref="AI997:AJ997" si="3612">SUM(AI989:AI996)</f>
        <v>0</v>
      </c>
      <c r="AJ997" s="51">
        <f t="shared" si="3612"/>
        <v>0</v>
      </c>
      <c r="AK997" s="52"/>
      <c r="AL997" s="53"/>
      <c r="AM997" s="183">
        <f t="shared" ref="AM997:AN997" si="3613">SUM(AM989:AM996)</f>
        <v>16.74</v>
      </c>
      <c r="AN997" s="51">
        <f t="shared" si="3613"/>
        <v>0</v>
      </c>
      <c r="AO997" s="52"/>
      <c r="AP997" s="53"/>
      <c r="AQ997" s="183">
        <f t="shared" ref="AQ997:AR997" si="3614">SUM(AQ989:AQ996)</f>
        <v>43.97</v>
      </c>
      <c r="AR997" s="51">
        <f t="shared" si="3614"/>
        <v>0</v>
      </c>
      <c r="AS997" s="52"/>
      <c r="AT997" s="53"/>
      <c r="AU997" s="183">
        <f t="shared" ref="AU997:AV997" si="3615">SUM(AU989:AU996)</f>
        <v>45.34</v>
      </c>
      <c r="AV997" s="68">
        <f t="shared" si="3615"/>
        <v>0</v>
      </c>
      <c r="AW997" s="52"/>
      <c r="AX997" s="53"/>
      <c r="AY997" s="183">
        <f t="shared" ref="AY997:AZ997" si="3616">SUM(AY989:AY996)</f>
        <v>41.27</v>
      </c>
      <c r="AZ997" s="68">
        <f t="shared" si="3616"/>
        <v>0</v>
      </c>
      <c r="BA997" s="52"/>
      <c r="BB997" s="53"/>
      <c r="BC997" s="183">
        <f t="shared" ref="BC997:BD997" si="3617">SUM(BC989:BC996)</f>
        <v>42.64</v>
      </c>
      <c r="BD997" s="68">
        <f t="shared" si="3617"/>
        <v>0</v>
      </c>
      <c r="BE997" s="69"/>
      <c r="BF997" s="70">
        <f t="shared" ref="BF997:BH997" si="3618">SUM(BF989:BF996)</f>
        <v>5691.3</v>
      </c>
      <c r="BG997" s="71">
        <f t="shared" si="3618"/>
        <v>0</v>
      </c>
      <c r="BH997" s="72">
        <f t="shared" si="3618"/>
        <v>14828.14</v>
      </c>
      <c r="BI997" s="34">
        <f>H997+BF997-BG997</f>
        <v>14828.14</v>
      </c>
      <c r="BJ997" s="34">
        <f>BH997-BI997</f>
        <v>0</v>
      </c>
      <c r="BK997" s="2" t="b">
        <f>H997='2020'!BH997</f>
        <v>1</v>
      </c>
    </row>
    <row r="998" ht="14.25" customHeight="1" hidden="1" spans="1:63" x14ac:dyDescent="0.25">
      <c r="A998" s="2">
        <v>111</v>
      </c>
      <c r="B998" s="14"/>
      <c r="D998" s="178" t="s">
        <v>486</v>
      </c>
      <c r="F998" s="41"/>
      <c r="G998" s="28"/>
      <c r="H998" s="34">
        <f>'2020'!BH998</f>
        <v>0.1</v>
      </c>
      <c r="I998" s="13"/>
      <c r="J998" s="15"/>
      <c r="K998" s="15"/>
      <c r="L998" s="28"/>
      <c r="M998" s="13"/>
      <c r="N998" s="15"/>
      <c r="Q998" s="13"/>
      <c r="R998" s="15"/>
      <c r="S998" s="15"/>
      <c r="T998" s="28"/>
      <c r="U998" s="13"/>
      <c r="V998" s="15"/>
      <c r="W998" s="153"/>
      <c r="Y998" s="186"/>
      <c r="Z998" s="2"/>
      <c r="AA998" s="15"/>
      <c r="AB998" s="28"/>
      <c r="AC998" s="15"/>
      <c r="AD998" s="15"/>
      <c r="AG998" s="15"/>
      <c r="AH998" s="2"/>
      <c r="AI998" s="45"/>
      <c r="AJ998" s="15"/>
      <c r="AK998" s="13"/>
      <c r="AM998" s="45"/>
      <c r="AO998" s="13"/>
      <c r="AQ998" s="45"/>
      <c r="AS998" s="13"/>
      <c r="AU998" s="45"/>
      <c r="AW998" s="13"/>
      <c r="AY998" s="45"/>
      <c r="AZ998" s="28"/>
      <c r="BA998" s="13"/>
      <c r="BB998" s="15"/>
      <c r="BC998" s="45"/>
      <c r="BD998" s="28"/>
      <c r="BE998" s="14"/>
      <c r="BF998" s="41">
        <f t="shared" ref="BF998:BG998" si="3619">K998+O998+S998+W998+AA998+AE998+AI998+AM998+AQ998+AU998+AY998+BC998</f>
        <v>0</v>
      </c>
      <c r="BG998" s="34">
        <f t="shared" si="3619"/>
        <v>0</v>
      </c>
      <c r="BH998" s="35">
        <f t="shared" ref="BH998:BH1005" si="3620">H998+BF998-BG998</f>
        <v>0.1</v>
      </c>
      <c r="BK998" s="2" t="b">
        <f>H998='2020'!BH998</f>
        <v>1</v>
      </c>
    </row>
    <row r="999" ht="14.25" customHeight="1" hidden="1" spans="1:63" x14ac:dyDescent="0.25">
      <c r="A999" s="2">
        <v>111</v>
      </c>
      <c r="B999" s="42">
        <v>6.8</v>
      </c>
      <c r="C999" s="2" t="s">
        <v>513</v>
      </c>
      <c r="D999" s="14" t="s">
        <v>44</v>
      </c>
      <c r="E999" s="2" t="s">
        <v>45</v>
      </c>
      <c r="F999" s="41">
        <v>2.5</v>
      </c>
      <c r="G999" s="35">
        <v>2.6</v>
      </c>
      <c r="H999" s="34">
        <f>'2020'!BH999</f>
        <v>7746.4</v>
      </c>
      <c r="I999" s="13">
        <v>9941</v>
      </c>
      <c r="J999" s="15">
        <f>I999-'2020'!BA999</f>
        <v>3233</v>
      </c>
      <c r="K999" s="34">
        <f>J999*$F$8</f>
        <v>8405.8</v>
      </c>
      <c r="L999" s="32">
        <v>10000</v>
      </c>
      <c r="M999" s="13">
        <v>14379</v>
      </c>
      <c r="N999" s="15">
        <f t="shared" ref="N999:N1000" si="3621">M999-I999</f>
        <v>4438</v>
      </c>
      <c r="O999" s="34">
        <f>N999*$F$8</f>
        <v>11538.8</v>
      </c>
      <c r="P999" s="1">
        <v>7000</v>
      </c>
      <c r="Q999" s="13">
        <v>17955</v>
      </c>
      <c r="R999" s="15">
        <f t="shared" ref="R999:R1000" si="3622">Q999-M999</f>
        <v>3576</v>
      </c>
      <c r="S999" s="34">
        <f>R999*$F$8</f>
        <v>9297.6</v>
      </c>
      <c r="T999" s="32">
        <v>19900</v>
      </c>
      <c r="U999" s="13">
        <v>20687</v>
      </c>
      <c r="V999" s="15">
        <f t="shared" ref="V999:V1000" si="3623">U999-Q999</f>
        <v>2732</v>
      </c>
      <c r="W999" s="34">
        <f>V999*$F$8</f>
        <v>7103.2</v>
      </c>
      <c r="Y999" s="186">
        <v>663</v>
      </c>
      <c r="Z999" s="2">
        <v>1063</v>
      </c>
      <c r="AA999" s="34">
        <f>Z999*$F$8</f>
        <v>2763.8</v>
      </c>
      <c r="AB999" s="38">
        <v>7500</v>
      </c>
      <c r="AC999" s="15">
        <v>1347</v>
      </c>
      <c r="AD999" s="15">
        <f t="shared" ref="AD999:AD1000" si="3624">AC999-Y999</f>
        <v>684</v>
      </c>
      <c r="AE999" s="180">
        <f>AD999*$F$8</f>
        <v>1778.4</v>
      </c>
      <c r="AF999" s="1">
        <v>5500</v>
      </c>
      <c r="AG999" s="15">
        <v>2119</v>
      </c>
      <c r="AH999" s="2">
        <f t="shared" ref="AH999:AH1000" si="3625">AG999-AC999</f>
        <v>772</v>
      </c>
      <c r="AI999" s="45">
        <f>AH999*$G$8</f>
        <v>2084.4</v>
      </c>
      <c r="AJ999" s="180"/>
      <c r="AK999" s="13">
        <v>2876</v>
      </c>
      <c r="AL999" s="15">
        <f t="shared" ref="AL999:AL1000" si="3626">AK999-AG999</f>
        <v>757</v>
      </c>
      <c r="AM999" s="45">
        <f>AL999*$G$8</f>
        <v>2043.9</v>
      </c>
      <c r="AN999" s="15"/>
      <c r="AO999" s="13">
        <v>4139</v>
      </c>
      <c r="AP999" s="15">
        <f t="shared" ref="AP999:AP1000" si="3627">AO999-AK999</f>
        <v>1263</v>
      </c>
      <c r="AQ999" s="45">
        <f>AP999*$G$8</f>
        <v>3410.1</v>
      </c>
      <c r="AR999" s="1">
        <v>3000</v>
      </c>
      <c r="AS999" s="13">
        <v>6151</v>
      </c>
      <c r="AT999" s="15">
        <f t="shared" ref="AT999:AT1000" si="3628">AS999-AO999</f>
        <v>2012</v>
      </c>
      <c r="AU999" s="45">
        <f>AT999*$G$8</f>
        <v>5432.4</v>
      </c>
      <c r="AV999" s="1">
        <v>3300</v>
      </c>
      <c r="AW999" s="13">
        <v>10036</v>
      </c>
      <c r="AX999" s="15">
        <f t="shared" ref="AX999:AX1000" si="3629">AW999-AS999</f>
        <v>3885</v>
      </c>
      <c r="AY999" s="45">
        <f>AX999*$G$8</f>
        <v>10489.5</v>
      </c>
      <c r="AZ999" s="242">
        <f>5100+10800</f>
        <v>15900</v>
      </c>
      <c r="BA999" s="13">
        <v>12885</v>
      </c>
      <c r="BB999" s="15">
        <f t="shared" ref="BB999:BB1000" si="3630">BA999-AW999</f>
        <v>2849</v>
      </c>
      <c r="BC999" s="45">
        <f>BB999*$G$8</f>
        <v>7692.3</v>
      </c>
      <c r="BD999" s="208">
        <v>7700</v>
      </c>
      <c r="BE999" s="40">
        <f t="shared" ref="BE999:BG999" si="3631">J999+N999+R999+V999+Z999+AD999+AH999+AL999+AP999+AT999+AX999+BB999</f>
        <v>27264</v>
      </c>
      <c r="BF999" s="41">
        <f t="shared" si="3631"/>
        <v>72040.2</v>
      </c>
      <c r="BG999" s="34">
        <f t="shared" si="3631"/>
        <v>79800</v>
      </c>
      <c r="BH999" s="35">
        <f t="shared" si="3620"/>
        <v>-13.4</v>
      </c>
      <c r="BK999" s="2" t="b">
        <f>H999='2020'!BH999</f>
        <v>1</v>
      </c>
    </row>
    <row r="1000" ht="14.25" customHeight="1" hidden="1" spans="1:63" x14ac:dyDescent="0.25">
      <c r="A1000" s="2">
        <v>111</v>
      </c>
      <c r="B1000" s="14"/>
      <c r="C1000" s="2" t="s">
        <v>514</v>
      </c>
      <c r="D1000" s="14" t="s">
        <v>47</v>
      </c>
      <c r="E1000" s="2" t="s">
        <v>48</v>
      </c>
      <c r="F1000" s="41">
        <v>18.56</v>
      </c>
      <c r="G1000" s="35">
        <v>19.46</v>
      </c>
      <c r="H1000" s="34">
        <f>'2020'!BH1000</f>
        <v>-6.84</v>
      </c>
      <c r="I1000" s="13">
        <v>6</v>
      </c>
      <c r="J1000" s="15"/>
      <c r="K1000" s="15"/>
      <c r="L1000" s="28"/>
      <c r="M1000" s="13">
        <v>6</v>
      </c>
      <c r="N1000" s="15">
        <f t="shared" si="3621"/>
        <v>0</v>
      </c>
      <c r="Q1000" s="13">
        <v>6</v>
      </c>
      <c r="R1000" s="15">
        <f t="shared" si="3622"/>
        <v>0</v>
      </c>
      <c r="S1000" s="15"/>
      <c r="T1000" s="28"/>
      <c r="U1000" s="13">
        <v>6</v>
      </c>
      <c r="V1000" s="15">
        <f t="shared" si="3623"/>
        <v>0</v>
      </c>
      <c r="W1000" s="180">
        <f>V1000*$F$10</f>
        <v>0</v>
      </c>
      <c r="Y1000" s="186">
        <v>7</v>
      </c>
      <c r="Z1000" s="2">
        <f>Y1000-U1000</f>
        <v>1</v>
      </c>
      <c r="AA1000" s="34">
        <f>Z1000*$F$10</f>
        <v>19.46</v>
      </c>
      <c r="AB1000" s="28"/>
      <c r="AC1000" s="13">
        <v>9</v>
      </c>
      <c r="AD1000" s="15">
        <f t="shared" si="3624"/>
        <v>2</v>
      </c>
      <c r="AE1000" s="34">
        <f>AD1000*$F$10</f>
        <v>38.92</v>
      </c>
      <c r="AF1000" s="1">
        <v>500</v>
      </c>
      <c r="AG1000" s="13">
        <v>13</v>
      </c>
      <c r="AH1000" s="2">
        <f t="shared" si="3625"/>
        <v>4</v>
      </c>
      <c r="AI1000" s="45">
        <f>AH1000*$G$10</f>
        <v>81.4</v>
      </c>
      <c r="AJ1000" s="180"/>
      <c r="AK1000" s="13">
        <v>15</v>
      </c>
      <c r="AL1000" s="15">
        <f t="shared" si="3626"/>
        <v>2</v>
      </c>
      <c r="AM1000" s="45">
        <f>AL1000*$G$10</f>
        <v>40.7</v>
      </c>
      <c r="AN1000" s="15"/>
      <c r="AO1000" s="13">
        <v>15</v>
      </c>
      <c r="AP1000" s="15">
        <f t="shared" si="3627"/>
        <v>0</v>
      </c>
      <c r="AQ1000" s="45">
        <f>AP1000*$G$10</f>
        <v>0</v>
      </c>
      <c r="AR1000" s="15"/>
      <c r="AS1000" s="13">
        <v>15</v>
      </c>
      <c r="AT1000" s="15">
        <f t="shared" si="3628"/>
        <v>0</v>
      </c>
      <c r="AU1000" s="45">
        <f>AT1000*$G$10</f>
        <v>0</v>
      </c>
      <c r="AV1000" s="15"/>
      <c r="AW1000" s="13">
        <v>15</v>
      </c>
      <c r="AX1000" s="15">
        <f t="shared" si="3629"/>
        <v>0</v>
      </c>
      <c r="AY1000" s="45"/>
      <c r="AZ1000" s="249"/>
      <c r="BA1000" s="13">
        <v>15</v>
      </c>
      <c r="BB1000" s="15">
        <f t="shared" si="3630"/>
        <v>0</v>
      </c>
      <c r="BC1000" s="45"/>
      <c r="BD1000" s="208"/>
      <c r="BE1000" s="40">
        <f t="shared" ref="BE1000:BG1000" si="3632">J1000+N1000+R1000+V1000+Z1000+AD1000+AH1000+AL1000+AP1000+AT1000+AX1000+BB1000</f>
        <v>9</v>
      </c>
      <c r="BF1000" s="41">
        <f t="shared" si="3632"/>
        <v>180.48</v>
      </c>
      <c r="BG1000" s="34">
        <f t="shared" si="3632"/>
        <v>500</v>
      </c>
      <c r="BH1000" s="35">
        <f t="shared" si="3620"/>
        <v>-326.36</v>
      </c>
      <c r="BK1000" s="2" t="b">
        <f>H1000='2020'!BH1000</f>
        <v>1</v>
      </c>
    </row>
    <row r="1001" ht="14.25" customHeight="1" hidden="1" spans="1:63" x14ac:dyDescent="0.25">
      <c r="A1001" s="2">
        <v>111</v>
      </c>
      <c r="B1001" s="14"/>
      <c r="C1001" s="15" t="s">
        <v>84</v>
      </c>
      <c r="D1001" s="14" t="s">
        <v>47</v>
      </c>
      <c r="E1001" s="2" t="s">
        <v>49</v>
      </c>
      <c r="F1001" s="41">
        <v>500</v>
      </c>
      <c r="G1001" s="28"/>
      <c r="H1001" s="34">
        <f>'2020'!BH1001</f>
        <v>0</v>
      </c>
      <c r="I1001" s="13"/>
      <c r="J1001" s="15"/>
      <c r="K1001" s="15"/>
      <c r="L1001" s="28"/>
      <c r="M1001" s="13"/>
      <c r="N1001" s="15"/>
      <c r="Q1001" s="13"/>
      <c r="R1001" s="15"/>
      <c r="S1001" s="15"/>
      <c r="T1001" s="28"/>
      <c r="U1001" s="13"/>
      <c r="V1001" s="15"/>
      <c r="Y1001" s="186"/>
      <c r="Z1001" s="2"/>
      <c r="AA1001" s="15"/>
      <c r="AB1001" s="28"/>
      <c r="AC1001" s="15"/>
      <c r="AD1001" s="15"/>
      <c r="AG1001" s="15"/>
      <c r="AH1001" s="2"/>
      <c r="AI1001" s="45"/>
      <c r="AJ1001" s="1"/>
      <c r="AK1001" s="13"/>
      <c r="AL1001" s="15"/>
      <c r="AM1001" s="45"/>
      <c r="AN1001" s="15"/>
      <c r="AO1001" s="13"/>
      <c r="AP1001" s="15"/>
      <c r="AQ1001" s="45"/>
      <c r="AR1001" s="15"/>
      <c r="AS1001" s="13"/>
      <c r="AT1001" s="15"/>
      <c r="AU1001" s="45"/>
      <c r="AV1001" s="15"/>
      <c r="AW1001" s="13"/>
      <c r="AX1001" s="15"/>
      <c r="AY1001" s="45"/>
      <c r="AZ1001" s="32"/>
      <c r="BA1001" s="13"/>
      <c r="BB1001" s="15"/>
      <c r="BC1001" s="45"/>
      <c r="BD1001" s="28"/>
      <c r="BE1001" s="14"/>
      <c r="BF1001" s="41">
        <f t="shared" ref="BF1001:BG1001" si="3633">K1001+O1001+S1001+W1001+AA1001+AE1001+AI1001+AM1001+AQ1001+AU1001+AY1001+BC1001</f>
        <v>0</v>
      </c>
      <c r="BG1001" s="34">
        <f t="shared" si="3633"/>
        <v>0</v>
      </c>
      <c r="BH1001" s="35">
        <f t="shared" si="3620"/>
        <v>0</v>
      </c>
      <c r="BK1001" s="2" t="b">
        <f>H1001='2020'!BH1001</f>
        <v>1</v>
      </c>
    </row>
    <row r="1002" ht="14.25" customHeight="1" hidden="1" spans="1:63" x14ac:dyDescent="0.25">
      <c r="A1002" s="2">
        <v>111</v>
      </c>
      <c r="B1002" s="14"/>
      <c r="D1002" s="14" t="s">
        <v>50</v>
      </c>
      <c r="E1002" s="2" t="s">
        <v>49</v>
      </c>
      <c r="F1002" s="41">
        <v>1100</v>
      </c>
      <c r="G1002" s="28"/>
      <c r="H1002" s="34">
        <f>'2020'!BH1002</f>
        <v>0</v>
      </c>
      <c r="I1002" s="13"/>
      <c r="J1002" s="15"/>
      <c r="K1002" s="15"/>
      <c r="L1002" s="28"/>
      <c r="M1002" s="13"/>
      <c r="N1002" s="15"/>
      <c r="Q1002" s="13"/>
      <c r="R1002" s="15"/>
      <c r="S1002" s="15"/>
      <c r="T1002" s="28"/>
      <c r="U1002" s="13"/>
      <c r="V1002" s="15"/>
      <c r="Y1002" s="186"/>
      <c r="Z1002" s="2"/>
      <c r="AA1002" s="15"/>
      <c r="AB1002" s="28"/>
      <c r="AC1002" s="15"/>
      <c r="AD1002" s="15"/>
      <c r="AE1002" s="34">
        <f>B999*$F$12</f>
        <v>7480</v>
      </c>
      <c r="AG1002" s="15"/>
      <c r="AH1002" s="2"/>
      <c r="AI1002" s="45"/>
      <c r="AJ1002" s="187">
        <v>7480</v>
      </c>
      <c r="AK1002" s="13"/>
      <c r="AL1002" s="15"/>
      <c r="AM1002" s="45"/>
      <c r="AN1002" s="15"/>
      <c r="AO1002" s="13"/>
      <c r="AP1002" s="15"/>
      <c r="AQ1002" s="45"/>
      <c r="AR1002" s="15"/>
      <c r="AS1002" s="13"/>
      <c r="AT1002" s="15"/>
      <c r="AU1002" s="45"/>
      <c r="AV1002" s="15"/>
      <c r="AW1002" s="13"/>
      <c r="AX1002" s="15"/>
      <c r="AY1002" s="45"/>
      <c r="AZ1002" s="32"/>
      <c r="BA1002" s="13"/>
      <c r="BB1002" s="15"/>
      <c r="BC1002" s="45"/>
      <c r="BD1002" s="28"/>
      <c r="BE1002" s="14"/>
      <c r="BF1002" s="41">
        <f t="shared" ref="BF1002:BG1002" si="3634">K1002+O1002+S1002+W1002+AA1002+AE1002+AI1002+AM1002+AQ1002+AU1002+AY1002+BC1002</f>
        <v>7480</v>
      </c>
      <c r="BG1002" s="34">
        <f t="shared" si="3634"/>
        <v>7480</v>
      </c>
      <c r="BH1002" s="35">
        <f t="shared" si="3620"/>
        <v>0</v>
      </c>
      <c r="BK1002" s="2" t="b">
        <f>H1002='2020'!BH1002</f>
        <v>1</v>
      </c>
    </row>
    <row r="1003" ht="14.25" customHeight="1" hidden="1" spans="1:63" x14ac:dyDescent="0.25">
      <c r="A1003" s="2">
        <v>111</v>
      </c>
      <c r="B1003" s="14"/>
      <c r="C1003" s="2" t="s">
        <v>459</v>
      </c>
      <c r="D1003" s="14" t="s">
        <v>51</v>
      </c>
      <c r="E1003" s="2" t="s">
        <v>39</v>
      </c>
      <c r="F1003" s="41">
        <v>500</v>
      </c>
      <c r="G1003" s="28"/>
      <c r="H1003" s="34">
        <f>'2020'!BH1003</f>
        <v>0</v>
      </c>
      <c r="I1003" s="13"/>
      <c r="J1003" s="15"/>
      <c r="K1003" s="15"/>
      <c r="L1003" s="28"/>
      <c r="M1003" s="13"/>
      <c r="N1003" s="15"/>
      <c r="Q1003" s="13"/>
      <c r="R1003" s="15"/>
      <c r="S1003" s="15"/>
      <c r="T1003" s="28"/>
      <c r="U1003" s="13"/>
      <c r="V1003" s="15"/>
      <c r="Y1003" s="186"/>
      <c r="Z1003" s="2"/>
      <c r="AA1003" s="15"/>
      <c r="AB1003" s="28"/>
      <c r="AC1003" s="15"/>
      <c r="AD1003" s="15"/>
      <c r="AE1003" s="180">
        <f>$F$13</f>
      </c>
      <c r="AG1003" s="15"/>
      <c r="AH1003" s="2"/>
      <c r="AI1003" s="45"/>
      <c r="AJ1003" s="15"/>
      <c r="AK1003" s="13"/>
      <c r="AL1003" s="15"/>
      <c r="AM1003" s="45"/>
      <c r="AN1003" s="15"/>
      <c r="AO1003" s="13"/>
      <c r="AP1003" s="15"/>
      <c r="AQ1003" s="180"/>
      <c r="AR1003" s="15"/>
      <c r="AS1003" s="13"/>
      <c r="AT1003" s="15"/>
      <c r="AU1003" s="45"/>
      <c r="AV1003" s="15"/>
      <c r="AW1003" s="13"/>
      <c r="AX1003" s="15"/>
      <c r="AY1003" s="45"/>
      <c r="AZ1003" s="35"/>
      <c r="BA1003" s="13"/>
      <c r="BB1003" s="15"/>
      <c r="BC1003" s="45"/>
      <c r="BD1003" s="28"/>
      <c r="BE1003" s="14"/>
      <c r="BF1003" s="41">
        <f t="shared" ref="BF1003:BG1003" si="3635">K1003+O1003+S1003+W1003+AA1003+AE1003+AI1003+AM1003+AQ1003+AU1003+AY1003+BC1003</f>
        <v>0</v>
      </c>
      <c r="BG1003" s="34">
        <f t="shared" si="3635"/>
        <v>0</v>
      </c>
      <c r="BH1003" s="35">
        <f t="shared" si="3620"/>
        <v>0</v>
      </c>
      <c r="BK1003" s="2" t="b">
        <f>H1003='2020'!BH1003</f>
        <v>1</v>
      </c>
    </row>
    <row r="1004" ht="14.25" customHeight="1" hidden="1" spans="1:63" x14ac:dyDescent="0.25">
      <c r="A1004" s="2">
        <v>111</v>
      </c>
      <c r="B1004" s="14"/>
      <c r="D1004" s="14" t="s">
        <v>51</v>
      </c>
      <c r="E1004" s="2" t="s">
        <v>49</v>
      </c>
      <c r="F1004" s="41">
        <v>500</v>
      </c>
      <c r="G1004" s="28"/>
      <c r="H1004" s="34">
        <f>'2020'!BH1004</f>
        <v>0</v>
      </c>
      <c r="I1004" s="13"/>
      <c r="J1004" s="15"/>
      <c r="K1004" s="15"/>
      <c r="L1004" s="28"/>
      <c r="M1004" s="13"/>
      <c r="N1004" s="15"/>
      <c r="Q1004" s="13"/>
      <c r="R1004" s="15"/>
      <c r="S1004" s="15"/>
      <c r="T1004" s="28"/>
      <c r="U1004" s="13"/>
      <c r="V1004" s="15"/>
      <c r="Y1004" s="186"/>
      <c r="Z1004" s="2"/>
      <c r="AA1004" s="15"/>
      <c r="AB1004" s="28"/>
      <c r="AC1004" s="15"/>
      <c r="AD1004" s="15"/>
      <c r="AE1004" s="34"/>
      <c r="AG1004" s="15"/>
      <c r="AH1004" s="2"/>
      <c r="AI1004" s="45"/>
      <c r="AJ1004" s="15"/>
      <c r="AK1004" s="13"/>
      <c r="AL1004" s="15"/>
      <c r="AM1004" s="45"/>
      <c r="AN1004" s="15"/>
      <c r="AO1004" s="13"/>
      <c r="AP1004" s="15"/>
      <c r="AQ1004" s="180">
        <f>B999*$F$14</f>
        <v>0</v>
      </c>
      <c r="AR1004" s="15"/>
      <c r="AS1004" s="13"/>
      <c r="AT1004" s="15"/>
      <c r="AU1004" s="45"/>
      <c r="AV1004" s="15"/>
      <c r="AW1004" s="13"/>
      <c r="AX1004" s="15"/>
      <c r="AY1004" s="45"/>
      <c r="AZ1004" s="35"/>
      <c r="BA1004" s="13"/>
      <c r="BB1004" s="15"/>
      <c r="BC1004" s="45"/>
      <c r="BD1004" s="28"/>
      <c r="BE1004" s="14"/>
      <c r="BF1004" s="41">
        <f t="shared" ref="BF1004:BG1004" si="3636">K1004+O1004+S1004+W1004+AA1004+AE1004+AI1004+AM1004+AQ1004+AU1004+AY1004+BC1004</f>
        <v>0</v>
      </c>
      <c r="BG1004" s="34">
        <f t="shared" si="3636"/>
        <v>0</v>
      </c>
      <c r="BH1004" s="35">
        <f t="shared" si="3620"/>
        <v>0</v>
      </c>
      <c r="BK1004" s="2" t="b">
        <f>H1004='2020'!BH1004</f>
        <v>1</v>
      </c>
    </row>
    <row r="1005" ht="14.25" customHeight="1" hidden="1" spans="1:63" x14ac:dyDescent="0.25">
      <c r="A1005" s="2">
        <v>111</v>
      </c>
      <c r="B1005" s="14"/>
      <c r="D1005" s="14" t="s">
        <v>52</v>
      </c>
      <c r="E1005" s="2" t="s">
        <v>39</v>
      </c>
      <c r="F1005" s="41">
        <v>500</v>
      </c>
      <c r="G1005" s="28"/>
      <c r="H1005" s="34">
        <f>'2020'!BH1005</f>
        <v>0</v>
      </c>
      <c r="I1005" s="13"/>
      <c r="J1005" s="15"/>
      <c r="K1005" s="15"/>
      <c r="L1005" s="28"/>
      <c r="M1005" s="13"/>
      <c r="N1005" s="15"/>
      <c r="Q1005" s="13"/>
      <c r="R1005" s="15"/>
      <c r="S1005" s="15"/>
      <c r="T1005" s="28"/>
      <c r="U1005" s="13"/>
      <c r="V1005" s="15"/>
      <c r="Y1005" s="186"/>
      <c r="Z1005" s="2"/>
      <c r="AA1005" s="34">
        <f>$F$15</f>
      </c>
      <c r="AB1005" s="28"/>
      <c r="AC1005" s="15"/>
      <c r="AD1005" s="15"/>
      <c r="AG1005" s="15"/>
      <c r="AH1005" s="2"/>
      <c r="AI1005" s="45"/>
      <c r="AJ1005" s="180"/>
      <c r="AK1005" s="13"/>
      <c r="AL1005" s="15"/>
      <c r="AM1005" s="45"/>
      <c r="AN1005" s="15"/>
      <c r="AO1005" s="13"/>
      <c r="AP1005" s="15"/>
      <c r="AQ1005" s="45"/>
      <c r="AR1005" s="15"/>
      <c r="AS1005" s="13"/>
      <c r="AT1005" s="15"/>
      <c r="AU1005" s="45"/>
      <c r="AV1005" s="15"/>
      <c r="AW1005" s="13"/>
      <c r="AX1005" s="15"/>
      <c r="AY1005" s="45"/>
      <c r="AZ1005" s="38"/>
      <c r="BA1005" s="13"/>
      <c r="BB1005" s="15"/>
      <c r="BC1005" s="45"/>
      <c r="BD1005" s="35"/>
      <c r="BE1005" s="14"/>
      <c r="BF1005" s="41">
        <f t="shared" ref="BF1005:BG1005" si="3637">K1005+O1005+S1005+W1005+AA1005+AE1005+AI1005+AM1005+AQ1005+AU1005+AY1005+BC1005</f>
        <v>0</v>
      </c>
      <c r="BG1005" s="34">
        <f t="shared" si="3637"/>
        <v>0</v>
      </c>
      <c r="BH1005" s="35">
        <f t="shared" si="3620"/>
        <v>0</v>
      </c>
      <c r="BK1005" s="2" t="b">
        <f>H1005='2020'!BH1005</f>
        <v>1</v>
      </c>
    </row>
    <row r="1006" ht="14.25" customHeight="1" hidden="1" spans="1:63" x14ac:dyDescent="0.25">
      <c r="A1006" s="247">
        <v>111</v>
      </c>
      <c r="B1006" s="21"/>
      <c r="C1006" s="22" t="s">
        <v>53</v>
      </c>
      <c r="D1006" s="21"/>
      <c r="E1006" s="22"/>
      <c r="F1006" s="109"/>
      <c r="G1006" s="23"/>
      <c r="H1006" s="51">
        <f>SUM(H998:H1005)</f>
        <v>7739.66</v>
      </c>
      <c r="I1006" s="52"/>
      <c r="J1006" s="53"/>
      <c r="K1006" s="51">
        <f t="shared" ref="K1006:L1006" si="3638">SUM(K998:K1005)</f>
        <v>8405.8</v>
      </c>
      <c r="L1006" s="68">
        <f t="shared" si="3638"/>
        <v>10000</v>
      </c>
      <c r="M1006" s="52"/>
      <c r="N1006" s="53"/>
      <c r="O1006" s="51">
        <f t="shared" ref="O1006:P1006" si="3639">SUM(O998:O1005)</f>
        <v>11538.8</v>
      </c>
      <c r="P1006" s="51">
        <f t="shared" si="3639"/>
        <v>7000</v>
      </c>
      <c r="Q1006" s="52"/>
      <c r="R1006" s="53"/>
      <c r="S1006" s="51">
        <f t="shared" ref="S1006:T1006" si="3640">SUM(S998:S1005)</f>
        <v>9297.6</v>
      </c>
      <c r="T1006" s="51">
        <f t="shared" si="3640"/>
        <v>19900</v>
      </c>
      <c r="U1006" s="52"/>
      <c r="V1006" s="53"/>
      <c r="W1006" s="51">
        <f t="shared" ref="W1006:X1006" si="3641">SUM(W998:W1005)</f>
        <v>7103.2</v>
      </c>
      <c r="X1006" s="51">
        <f t="shared" si="3641"/>
        <v>0</v>
      </c>
      <c r="Y1006" s="300"/>
      <c r="Z1006" s="301"/>
      <c r="AA1006" s="51">
        <f t="shared" ref="AA1006:AB1006" si="3642">SUM(AA998:AA1005)</f>
        <v>2783.26</v>
      </c>
      <c r="AB1006" s="51">
        <f t="shared" si="3642"/>
        <v>7500</v>
      </c>
      <c r="AC1006" s="52"/>
      <c r="AD1006" s="53"/>
      <c r="AE1006" s="51">
        <f t="shared" ref="AE1006:AF1006" si="3643">SUM(AE998:AE1005)</f>
        <v>9297.32</v>
      </c>
      <c r="AF1006" s="51">
        <f t="shared" si="3643"/>
        <v>6000</v>
      </c>
      <c r="AG1006" s="52"/>
      <c r="AH1006" s="301"/>
      <c r="AI1006" s="183">
        <f t="shared" ref="AI1006:AJ1006" si="3644">SUM(AI998:AI1005)</f>
        <v>2165.8</v>
      </c>
      <c r="AJ1006" s="51">
        <f t="shared" si="3644"/>
        <v>7480</v>
      </c>
      <c r="AK1006" s="52"/>
      <c r="AL1006" s="53"/>
      <c r="AM1006" s="183">
        <f t="shared" ref="AM1006:AN1006" si="3645">SUM(AM998:AM1005)</f>
        <v>2084.6</v>
      </c>
      <c r="AN1006" s="51">
        <f t="shared" si="3645"/>
        <v>0</v>
      </c>
      <c r="AO1006" s="52"/>
      <c r="AP1006" s="53"/>
      <c r="AQ1006" s="183">
        <f t="shared" ref="AQ1006:AR1006" si="3646">SUM(AQ998:AQ1005)</f>
        <v>3410.1</v>
      </c>
      <c r="AR1006" s="51">
        <f t="shared" si="3646"/>
        <v>3000</v>
      </c>
      <c r="AS1006" s="52"/>
      <c r="AT1006" s="53"/>
      <c r="AU1006" s="183">
        <f t="shared" ref="AU1006:AV1006" si="3647">SUM(AU998:AU1005)</f>
        <v>5432.4</v>
      </c>
      <c r="AV1006" s="68">
        <f t="shared" si="3647"/>
        <v>3300</v>
      </c>
      <c r="AW1006" s="52"/>
      <c r="AX1006" s="53"/>
      <c r="AY1006" s="183">
        <f t="shared" ref="AY1006:AZ1006" si="3648">SUM(AY998:AY1005)</f>
        <v>10489.5</v>
      </c>
      <c r="AZ1006" s="68">
        <f t="shared" si="3648"/>
        <v>15900</v>
      </c>
      <c r="BA1006" s="52"/>
      <c r="BB1006" s="53"/>
      <c r="BC1006" s="183">
        <f t="shared" ref="BC1006:BD1006" si="3649">SUM(BC998:BC1005)</f>
        <v>7692.3</v>
      </c>
      <c r="BD1006" s="68">
        <f t="shared" si="3649"/>
        <v>7700</v>
      </c>
      <c r="BE1006" s="69"/>
      <c r="BF1006" s="70">
        <f t="shared" ref="BF1006:BH1006" si="3650">SUM(BF998:BF1005)</f>
        <v>79700.68</v>
      </c>
      <c r="BG1006" s="71">
        <f t="shared" si="3650"/>
        <v>87780</v>
      </c>
      <c r="BH1006" s="72">
        <f t="shared" si="3650"/>
        <v>-339.66</v>
      </c>
      <c r="BI1006" s="34">
        <f>H1006+BF1006-BG1006</f>
        <v>-339.66</v>
      </c>
      <c r="BJ1006" s="34">
        <f>BH1006-BI1006</f>
        <v>0</v>
      </c>
      <c r="BK1006" s="2" t="b">
        <f>H1006='2020'!BH1006</f>
        <v>1</v>
      </c>
    </row>
    <row r="1007" ht="14.25" customHeight="1" hidden="1" spans="1:63" x14ac:dyDescent="0.25">
      <c r="A1007" s="2">
        <v>112</v>
      </c>
      <c r="B1007" s="14"/>
      <c r="D1007" s="14" t="s">
        <v>379</v>
      </c>
      <c r="F1007" s="41"/>
      <c r="G1007" s="28"/>
      <c r="H1007" s="34">
        <f>'2020'!BH1007</f>
        <v>28.25</v>
      </c>
      <c r="I1007" s="13"/>
      <c r="J1007" s="15"/>
      <c r="K1007" s="15"/>
      <c r="L1007" s="28"/>
      <c r="M1007" s="13"/>
      <c r="N1007" s="15"/>
      <c r="Q1007" s="13"/>
      <c r="R1007" s="15"/>
      <c r="S1007" s="15"/>
      <c r="T1007" s="28"/>
      <c r="U1007" s="13"/>
      <c r="V1007" s="15"/>
      <c r="Y1007" s="186"/>
      <c r="Z1007" s="2"/>
      <c r="AA1007" s="15"/>
      <c r="AB1007" s="28"/>
      <c r="AC1007" s="15"/>
      <c r="AD1007" s="15"/>
      <c r="AG1007" s="15"/>
      <c r="AH1007" s="2"/>
      <c r="AI1007" s="45"/>
      <c r="AJ1007" s="15"/>
      <c r="AK1007" s="13"/>
      <c r="AM1007" s="45"/>
      <c r="AO1007" s="13"/>
      <c r="AQ1007" s="180"/>
      <c r="AS1007" s="13"/>
      <c r="AU1007" s="180"/>
      <c r="AW1007" s="13"/>
      <c r="AY1007" s="45"/>
      <c r="AZ1007" s="28"/>
      <c r="BA1007" s="13"/>
      <c r="BB1007" s="15"/>
      <c r="BC1007" s="45"/>
      <c r="BD1007" s="28"/>
      <c r="BE1007" s="14"/>
      <c r="BF1007" s="41">
        <f t="shared" ref="BF1007:BG1007" si="3651">K1007+O1007+S1007+W1007+AA1007+AE1007+AI1007+AM1007+AQ1007+AU1007+AY1007+BC1007</f>
        <v>0</v>
      </c>
      <c r="BG1007" s="34">
        <f t="shared" si="3651"/>
        <v>0</v>
      </c>
      <c r="BH1007" s="35">
        <f t="shared" ref="BH1007:BH1014" si="3652">H1007+BF1007-BG1007</f>
        <v>28.25</v>
      </c>
      <c r="BK1007" s="2" t="b">
        <f>H1007='2020'!BH1007</f>
        <v>1</v>
      </c>
    </row>
    <row r="1008" ht="14.25" customHeight="1" hidden="1" spans="1:63" x14ac:dyDescent="0.25">
      <c r="A1008" s="2">
        <v>112</v>
      </c>
      <c r="B1008" s="14">
        <v>4.94</v>
      </c>
      <c r="C1008" s="15" t="s">
        <v>347</v>
      </c>
      <c r="D1008" s="14" t="s">
        <v>44</v>
      </c>
      <c r="E1008" s="2" t="s">
        <v>45</v>
      </c>
      <c r="F1008" s="41">
        <v>2.5</v>
      </c>
      <c r="G1008" s="35">
        <v>2.6</v>
      </c>
      <c r="H1008" s="34">
        <f>'2020'!BH1008</f>
        <v>-0.49</v>
      </c>
      <c r="I1008" s="13">
        <v>174</v>
      </c>
      <c r="J1008" s="15">
        <f>I1008-'2020'!BA1008</f>
        <v>0</v>
      </c>
      <c r="K1008" s="34">
        <f>J1008*$F$8</f>
        <v>0</v>
      </c>
      <c r="L1008" s="28"/>
      <c r="M1008" s="13">
        <v>174</v>
      </c>
      <c r="N1008" s="15">
        <f t="shared" ref="N1008:N1009" si="3653">M1008-I1008</f>
        <v>0</v>
      </c>
      <c r="O1008" s="34">
        <f>N1008*$F$8</f>
        <v>0</v>
      </c>
      <c r="Q1008" s="13">
        <v>174</v>
      </c>
      <c r="R1008" s="15">
        <f t="shared" ref="R1008:R1009" si="3654">Q1008-M1008</f>
        <v>0</v>
      </c>
      <c r="S1008" s="34">
        <f>R1008*$F$8</f>
        <v>0</v>
      </c>
      <c r="T1008" s="28"/>
      <c r="U1008" s="13">
        <v>174</v>
      </c>
      <c r="V1008" s="15">
        <f t="shared" ref="V1008:V1009" si="3655">U1008-Q1008</f>
        <v>0</v>
      </c>
      <c r="W1008" s="34">
        <f>V1008*$F$8</f>
        <v>0</v>
      </c>
      <c r="Y1008" s="186">
        <v>176</v>
      </c>
      <c r="Z1008" s="2">
        <f t="shared" ref="Z1008:Z1009" si="3656">Y1008-U1008</f>
        <v>2</v>
      </c>
      <c r="AA1008" s="34">
        <f>Z1008*$F$8</f>
        <v>5.2</v>
      </c>
      <c r="AB1008" s="28"/>
      <c r="AC1008" s="15">
        <v>179</v>
      </c>
      <c r="AD1008" s="15">
        <f t="shared" ref="AD1008:AD1009" si="3657">AC1008-Y1008</f>
        <v>3</v>
      </c>
      <c r="AE1008" s="180">
        <f>AD1008*$F$8</f>
        <v>7.8</v>
      </c>
      <c r="AF1008" s="34"/>
      <c r="AG1008" s="15">
        <v>182</v>
      </c>
      <c r="AH1008" s="2">
        <f t="shared" ref="AH1008:AH1009" si="3658">AG1008-AC1008</f>
        <v>3</v>
      </c>
      <c r="AI1008" s="45">
        <f>AH1008*$G$8</f>
        <v>8.1</v>
      </c>
      <c r="AJ1008" s="180"/>
      <c r="AK1008" s="13">
        <v>184</v>
      </c>
      <c r="AL1008" s="15">
        <f t="shared" ref="AL1008:AL1009" si="3659">AK1008-AG1008</f>
        <v>2</v>
      </c>
      <c r="AM1008" s="45">
        <f>AL1008*$G$8</f>
        <v>5.4</v>
      </c>
      <c r="AN1008" s="15"/>
      <c r="AO1008" s="13">
        <v>186</v>
      </c>
      <c r="AP1008" s="15">
        <f t="shared" ref="AP1008:AP1009" si="3660">AO1008-AK1008</f>
        <v>2</v>
      </c>
      <c r="AQ1008" s="45">
        <f>AP1008*$G$8</f>
        <v>5.4</v>
      </c>
      <c r="AR1008" s="15"/>
      <c r="AS1008" s="13">
        <v>186</v>
      </c>
      <c r="AT1008" s="15">
        <f t="shared" ref="AT1008:AT1009" si="3661">AS1008-AO1008</f>
        <v>0</v>
      </c>
      <c r="AU1008" s="45">
        <f>AT1008*$G$8</f>
        <v>0</v>
      </c>
      <c r="AV1008" s="15"/>
      <c r="AW1008" s="13">
        <v>186</v>
      </c>
      <c r="AX1008" s="15">
        <f t="shared" ref="AX1008:AX1009" si="3662">AW1008-AS1008</f>
        <v>0</v>
      </c>
      <c r="AY1008" s="45">
        <f>AX1008*$G$8</f>
        <v>0</v>
      </c>
      <c r="AZ1008" s="208"/>
      <c r="BA1008" s="13">
        <v>186</v>
      </c>
      <c r="BB1008" s="15">
        <f t="shared" ref="BB1008:BB1009" si="3663">BA1008-AW1008</f>
        <v>0</v>
      </c>
      <c r="BC1008" s="45">
        <f>BB1008*$G$8</f>
        <v>0</v>
      </c>
      <c r="BD1008" s="208"/>
      <c r="BE1008" s="40">
        <f t="shared" ref="BE1008:BG1008" si="3664">J1008+N1008+R1008+V1008+Z1008+AD1008+AH1008+AL1008+AP1008+AT1008+AX1008+BB1008</f>
        <v>12</v>
      </c>
      <c r="BF1008" s="41">
        <f t="shared" si="3664"/>
        <v>31.9</v>
      </c>
      <c r="BG1008" s="34">
        <f t="shared" si="3664"/>
        <v>0</v>
      </c>
      <c r="BH1008" s="35">
        <f t="shared" si="3652"/>
        <v>31.41</v>
      </c>
      <c r="BK1008" s="2" t="b">
        <f>H1008='2020'!BH1008</f>
        <v>1</v>
      </c>
    </row>
    <row r="1009" ht="14.25" customHeight="1" hidden="1" spans="1:63" x14ac:dyDescent="0.25">
      <c r="A1009" s="2">
        <v>112</v>
      </c>
      <c r="B1009" s="14"/>
      <c r="C1009" s="15" t="s">
        <v>114</v>
      </c>
      <c r="D1009" s="14" t="s">
        <v>47</v>
      </c>
      <c r="E1009" s="2" t="s">
        <v>48</v>
      </c>
      <c r="F1009" s="41">
        <v>18.56</v>
      </c>
      <c r="G1009" s="35">
        <v>19.46</v>
      </c>
      <c r="H1009" s="90">
        <f>'2020'!BH1009</f>
        <v>3.09</v>
      </c>
      <c r="I1009" s="13">
        <f>39+9</f>
        <v>48</v>
      </c>
      <c r="J1009" s="15"/>
      <c r="K1009" s="15"/>
      <c r="L1009" s="28"/>
      <c r="M1009" s="13">
        <f>39+9</f>
        <v>48</v>
      </c>
      <c r="N1009" s="15">
        <f t="shared" si="3653"/>
        <v>0</v>
      </c>
      <c r="Q1009" s="13">
        <f>39+9</f>
        <v>48</v>
      </c>
      <c r="R1009" s="15">
        <f t="shared" si="3654"/>
        <v>0</v>
      </c>
      <c r="S1009" s="15"/>
      <c r="T1009" s="28"/>
      <c r="U1009" s="13">
        <f>39+9</f>
        <v>48</v>
      </c>
      <c r="V1009" s="15">
        <f t="shared" si="3655"/>
        <v>0</v>
      </c>
      <c r="W1009" s="34">
        <f>V1009*$F$10</f>
        <v>0</v>
      </c>
      <c r="Y1009" s="186">
        <f>14+38</f>
        <v>52</v>
      </c>
      <c r="Z1009" s="2">
        <f t="shared" si="3656"/>
        <v>4</v>
      </c>
      <c r="AA1009" s="34">
        <f>Z1009*$F$10</f>
        <v>77.84</v>
      </c>
      <c r="AB1009" s="28"/>
      <c r="AC1009" s="186">
        <f>14+38</f>
        <v>52</v>
      </c>
      <c r="AD1009" s="15">
        <f t="shared" si="3657"/>
        <v>0</v>
      </c>
      <c r="AE1009" s="34">
        <f>AD1009*$F$10</f>
        <v>0</v>
      </c>
      <c r="AF1009" s="34"/>
      <c r="AG1009" s="186">
        <f>14+38</f>
        <v>52</v>
      </c>
      <c r="AH1009" s="2">
        <f t="shared" si="3658"/>
        <v>0</v>
      </c>
      <c r="AI1009" s="45">
        <f>AH1009*$G$10</f>
        <v>0</v>
      </c>
      <c r="AJ1009" s="180"/>
      <c r="AK1009" s="13">
        <f>14+38</f>
        <v>52</v>
      </c>
      <c r="AL1009" s="15">
        <f t="shared" si="3659"/>
        <v>0</v>
      </c>
      <c r="AM1009" s="45">
        <f>AL1009*$G$10</f>
        <v>0</v>
      </c>
      <c r="AN1009" s="15"/>
      <c r="AO1009" s="13">
        <f>14+38</f>
        <v>52</v>
      </c>
      <c r="AP1009" s="15">
        <f t="shared" si="3660"/>
        <v>0</v>
      </c>
      <c r="AQ1009" s="45">
        <f>AP1009*$G$10</f>
        <v>0</v>
      </c>
      <c r="AR1009" s="15"/>
      <c r="AS1009" s="13">
        <f>14+38</f>
        <v>52</v>
      </c>
      <c r="AT1009" s="15">
        <f t="shared" si="3661"/>
        <v>0</v>
      </c>
      <c r="AU1009" s="45">
        <f>AT1009*$G$10</f>
        <v>0</v>
      </c>
      <c r="AV1009" s="15"/>
      <c r="AW1009" s="13">
        <f>14+38</f>
        <v>52</v>
      </c>
      <c r="AX1009" s="15">
        <f t="shared" si="3662"/>
        <v>0</v>
      </c>
      <c r="AY1009" s="45"/>
      <c r="AZ1009" s="208"/>
      <c r="BA1009" s="13">
        <f>14+38</f>
        <v>52</v>
      </c>
      <c r="BB1009" s="15">
        <f t="shared" si="3663"/>
        <v>0</v>
      </c>
      <c r="BC1009" s="45"/>
      <c r="BD1009" s="208"/>
      <c r="BE1009" s="40">
        <f t="shared" ref="BE1009:BG1009" si="3665">J1009+N1009+R1009+V1009+Z1009+AD1009+AH1009+AL1009+AP1009+AT1009+AX1009+BB1009</f>
        <v>4</v>
      </c>
      <c r="BF1009" s="41">
        <f t="shared" si="3665"/>
        <v>77.84</v>
      </c>
      <c r="BG1009" s="34">
        <f t="shared" si="3665"/>
        <v>0</v>
      </c>
      <c r="BH1009" s="35">
        <f t="shared" si="3652"/>
        <v>80.93</v>
      </c>
      <c r="BK1009" s="2" t="b">
        <f>H1009='2020'!BH1009</f>
        <v>1</v>
      </c>
    </row>
    <row r="1010" ht="14.25" customHeight="1" hidden="1" spans="1:63" x14ac:dyDescent="0.25">
      <c r="A1010" s="2">
        <v>112</v>
      </c>
      <c r="B1010" s="14"/>
      <c r="C1010" s="15" t="s">
        <v>460</v>
      </c>
      <c r="D1010" s="14" t="s">
        <v>47</v>
      </c>
      <c r="E1010" s="2" t="s">
        <v>49</v>
      </c>
      <c r="F1010" s="41">
        <v>500</v>
      </c>
      <c r="G1010" s="28"/>
      <c r="H1010" s="34">
        <f>'2020'!BH1010</f>
        <v>0</v>
      </c>
      <c r="I1010" s="13"/>
      <c r="J1010" s="15"/>
      <c r="K1010" s="15"/>
      <c r="L1010" s="28"/>
      <c r="M1010" s="13"/>
      <c r="N1010" s="15"/>
      <c r="Q1010" s="13"/>
      <c r="R1010" s="15"/>
      <c r="S1010" s="15"/>
      <c r="T1010" s="28"/>
      <c r="U1010" s="13"/>
      <c r="V1010" s="15"/>
      <c r="Y1010" s="186"/>
      <c r="Z1010" s="2"/>
      <c r="AA1010" s="34"/>
      <c r="AB1010" s="28"/>
      <c r="AC1010" s="15"/>
      <c r="AD1010" s="15"/>
      <c r="AF1010" s="15"/>
      <c r="AG1010" s="15"/>
      <c r="AH1010" s="2"/>
      <c r="AI1010" s="45"/>
      <c r="AJ1010" s="15"/>
      <c r="AK1010" s="13"/>
      <c r="AL1010" s="15"/>
      <c r="AM1010" s="45"/>
      <c r="AN1010" s="15"/>
      <c r="AO1010" s="13"/>
      <c r="AP1010" s="15"/>
      <c r="AQ1010" s="45"/>
      <c r="AR1010" s="15"/>
      <c r="AS1010" s="13"/>
      <c r="AT1010" s="15"/>
      <c r="AU1010" s="45"/>
      <c r="AV1010" s="15"/>
      <c r="AW1010" s="13"/>
      <c r="AX1010" s="15"/>
      <c r="AY1010" s="45"/>
      <c r="AZ1010" s="28"/>
      <c r="BA1010" s="13"/>
      <c r="BB1010" s="15"/>
      <c r="BC1010" s="45"/>
      <c r="BD1010" s="28"/>
      <c r="BE1010" s="14"/>
      <c r="BF1010" s="41">
        <f t="shared" ref="BF1010:BG1010" si="3666">K1010+O1010+S1010+W1010+AA1010+AE1010+AI1010+AM1010+AQ1010+AU1010+AY1010+BC1010</f>
        <v>0</v>
      </c>
      <c r="BG1010" s="34">
        <f t="shared" si="3666"/>
        <v>0</v>
      </c>
      <c r="BH1010" s="35">
        <f t="shared" si="3652"/>
        <v>0</v>
      </c>
      <c r="BK1010" s="2" t="b">
        <f>H1010='2020'!BH1010</f>
        <v>1</v>
      </c>
    </row>
    <row r="1011" ht="14.25" customHeight="1" hidden="1" spans="1:63" x14ac:dyDescent="0.25">
      <c r="A1011" s="2">
        <v>112</v>
      </c>
      <c r="B1011" s="14"/>
      <c r="C1011" s="15"/>
      <c r="D1011" s="14" t="s">
        <v>50</v>
      </c>
      <c r="E1011" s="2" t="s">
        <v>49</v>
      </c>
      <c r="F1011" s="41">
        <v>1100</v>
      </c>
      <c r="G1011" s="28"/>
      <c r="H1011" s="34">
        <f>'2020'!BH1011</f>
        <v>0</v>
      </c>
      <c r="I1011" s="13"/>
      <c r="J1011" s="15"/>
      <c r="K1011" s="15"/>
      <c r="L1011" s="28"/>
      <c r="M1011" s="13"/>
      <c r="N1011" s="15"/>
      <c r="Q1011" s="13"/>
      <c r="R1011" s="15"/>
      <c r="S1011" s="15"/>
      <c r="T1011" s="28"/>
      <c r="U1011" s="13"/>
      <c r="V1011" s="15"/>
      <c r="Y1011" s="186"/>
      <c r="Z1011" s="2"/>
      <c r="AA1011" s="15"/>
      <c r="AB1011" s="28"/>
      <c r="AC1011" s="15"/>
      <c r="AD1011" s="15"/>
      <c r="AE1011" s="34">
        <f>B1008*$F$12</f>
        <v>5434</v>
      </c>
      <c r="AF1011" s="15"/>
      <c r="AG1011" s="15"/>
      <c r="AH1011" s="2"/>
      <c r="AI1011" s="45"/>
      <c r="AJ1011" s="15"/>
      <c r="AK1011" s="13"/>
      <c r="AL1011" s="15"/>
      <c r="AM1011" s="45"/>
      <c r="AN1011" s="334">
        <v>5563.79</v>
      </c>
      <c r="AO1011" s="13"/>
      <c r="AP1011" s="15"/>
      <c r="AQ1011" s="45"/>
      <c r="AR1011" s="15"/>
      <c r="AS1011" s="13"/>
      <c r="AT1011" s="15"/>
      <c r="AU1011" s="45"/>
      <c r="AV1011" s="34"/>
      <c r="AW1011" s="13"/>
      <c r="AX1011" s="15"/>
      <c r="AY1011" s="45"/>
      <c r="AZ1011" s="28"/>
      <c r="BA1011" s="13"/>
      <c r="BB1011" s="15"/>
      <c r="BC1011" s="45"/>
      <c r="BD1011" s="28"/>
      <c r="BE1011" s="14"/>
      <c r="BF1011" s="41">
        <f t="shared" ref="BF1011:BG1011" si="3667">K1011+O1011+S1011+W1011+AA1011+AE1011+AI1011+AM1011+AQ1011+AU1011+AY1011+BC1011</f>
        <v>5434</v>
      </c>
      <c r="BG1011" s="34">
        <f t="shared" si="3667"/>
        <v>5563.79</v>
      </c>
      <c r="BH1011" s="35">
        <f t="shared" si="3652"/>
        <v>-129.79</v>
      </c>
      <c r="BK1011" s="2" t="b">
        <f>H1011='2020'!BH1011</f>
        <v>1</v>
      </c>
    </row>
    <row r="1012" ht="14.25" customHeight="1" hidden="1" spans="1:63" x14ac:dyDescent="0.25">
      <c r="A1012" s="2">
        <v>112</v>
      </c>
      <c r="B1012" s="14"/>
      <c r="D1012" s="14" t="s">
        <v>51</v>
      </c>
      <c r="E1012" s="2" t="s">
        <v>39</v>
      </c>
      <c r="F1012" s="41">
        <v>500</v>
      </c>
      <c r="G1012" s="28"/>
      <c r="H1012" s="34">
        <f>'2020'!BH1012</f>
        <v>0</v>
      </c>
      <c r="I1012" s="13"/>
      <c r="J1012" s="15"/>
      <c r="K1012" s="15"/>
      <c r="L1012" s="28"/>
      <c r="M1012" s="13"/>
      <c r="N1012" s="15"/>
      <c r="Q1012" s="13"/>
      <c r="R1012" s="15"/>
      <c r="S1012" s="15"/>
      <c r="T1012" s="28"/>
      <c r="U1012" s="13"/>
      <c r="V1012" s="15"/>
      <c r="Y1012" s="186"/>
      <c r="Z1012" s="2"/>
      <c r="AA1012" s="15"/>
      <c r="AB1012" s="28"/>
      <c r="AC1012" s="15"/>
      <c r="AD1012" s="15"/>
      <c r="AE1012" s="180">
        <f>$F$13</f>
      </c>
      <c r="AF1012" s="34"/>
      <c r="AG1012" s="15"/>
      <c r="AH1012" s="2"/>
      <c r="AI1012" s="45"/>
      <c r="AJ1012" s="15"/>
      <c r="AK1012" s="13"/>
      <c r="AL1012" s="15"/>
      <c r="AM1012" s="45"/>
      <c r="AN1012" s="15"/>
      <c r="AO1012" s="13"/>
      <c r="AP1012" s="15"/>
      <c r="AQ1012" s="180"/>
      <c r="AR1012" s="15"/>
      <c r="AS1012" s="13"/>
      <c r="AT1012" s="15"/>
      <c r="AU1012" s="45"/>
      <c r="AV1012" s="15"/>
      <c r="AW1012" s="13"/>
      <c r="AX1012" s="15"/>
      <c r="AY1012" s="45"/>
      <c r="AZ1012" s="28"/>
      <c r="BA1012" s="13"/>
      <c r="BB1012" s="15"/>
      <c r="BC1012" s="45"/>
      <c r="BD1012" s="28"/>
      <c r="BE1012" s="14"/>
      <c r="BF1012" s="41">
        <f t="shared" ref="BF1012:BG1012" si="3668">K1012+O1012+S1012+W1012+AA1012+AE1012+AI1012+AM1012+AQ1012+AU1012+AY1012+BC1012</f>
        <v>0</v>
      </c>
      <c r="BG1012" s="34">
        <f t="shared" si="3668"/>
        <v>0</v>
      </c>
      <c r="BH1012" s="35">
        <f t="shared" si="3652"/>
        <v>0</v>
      </c>
      <c r="BK1012" s="2" t="b">
        <f>H1012='2020'!BH1012</f>
        <v>1</v>
      </c>
    </row>
    <row r="1013" ht="14.25" customHeight="1" hidden="1" spans="1:63" x14ac:dyDescent="0.25">
      <c r="A1013" s="2">
        <v>112</v>
      </c>
      <c r="B1013" s="14"/>
      <c r="D1013" s="14" t="s">
        <v>51</v>
      </c>
      <c r="E1013" s="2" t="s">
        <v>49</v>
      </c>
      <c r="F1013" s="41">
        <v>500</v>
      </c>
      <c r="G1013" s="28"/>
      <c r="H1013" s="34">
        <f>'2020'!BH1013</f>
        <v>0</v>
      </c>
      <c r="I1013" s="13"/>
      <c r="J1013" s="15"/>
      <c r="K1013" s="15"/>
      <c r="L1013" s="28"/>
      <c r="M1013" s="13"/>
      <c r="N1013" s="15"/>
      <c r="Q1013" s="13"/>
      <c r="R1013" s="15"/>
      <c r="S1013" s="15"/>
      <c r="T1013" s="28"/>
      <c r="U1013" s="13"/>
      <c r="V1013" s="15"/>
      <c r="Y1013" s="186"/>
      <c r="Z1013" s="2"/>
      <c r="AA1013" s="15"/>
      <c r="AB1013" s="28"/>
      <c r="AC1013" s="15"/>
      <c r="AD1013" s="15"/>
      <c r="AE1013" s="34"/>
      <c r="AF1013" s="34"/>
      <c r="AG1013" s="15"/>
      <c r="AH1013" s="2"/>
      <c r="AI1013" s="45"/>
      <c r="AJ1013" s="15"/>
      <c r="AK1013" s="13"/>
      <c r="AL1013" s="15"/>
      <c r="AM1013" s="45"/>
      <c r="AN1013" s="15"/>
      <c r="AO1013" s="13"/>
      <c r="AP1013" s="15"/>
      <c r="AQ1013" s="180">
        <f>B1008*$F$14</f>
        <v>0</v>
      </c>
      <c r="AR1013" s="15"/>
      <c r="AS1013" s="13"/>
      <c r="AT1013" s="15"/>
      <c r="AU1013" s="45"/>
      <c r="AV1013" s="34"/>
      <c r="AW1013" s="13"/>
      <c r="AX1013" s="15"/>
      <c r="AY1013" s="45"/>
      <c r="AZ1013" s="28"/>
      <c r="BA1013" s="13"/>
      <c r="BB1013" s="15"/>
      <c r="BC1013" s="45"/>
      <c r="BD1013" s="28"/>
      <c r="BE1013" s="14"/>
      <c r="BF1013" s="41">
        <f t="shared" ref="BF1013:BG1013" si="3669">K1013+O1013+S1013+W1013+AA1013+AE1013+AI1013+AM1013+AQ1013+AU1013+AY1013+BC1013</f>
        <v>0</v>
      </c>
      <c r="BG1013" s="34">
        <f t="shared" si="3669"/>
        <v>0</v>
      </c>
      <c r="BH1013" s="35">
        <f t="shared" si="3652"/>
        <v>0</v>
      </c>
      <c r="BK1013" s="2" t="b">
        <f>H1013='2020'!BH1013</f>
        <v>1</v>
      </c>
    </row>
    <row r="1014" ht="14.25" customHeight="1" hidden="1" spans="1:63" x14ac:dyDescent="0.25">
      <c r="A1014" s="2">
        <v>112</v>
      </c>
      <c r="B1014" s="14"/>
      <c r="D1014" s="14" t="s">
        <v>52</v>
      </c>
      <c r="E1014" s="2" t="s">
        <v>39</v>
      </c>
      <c r="F1014" s="41">
        <v>500</v>
      </c>
      <c r="G1014" s="28"/>
      <c r="H1014" s="34">
        <f>'2020'!BH1014</f>
        <v>0</v>
      </c>
      <c r="I1014" s="13"/>
      <c r="J1014" s="15"/>
      <c r="K1014" s="15"/>
      <c r="L1014" s="28"/>
      <c r="M1014" s="13"/>
      <c r="N1014" s="15"/>
      <c r="Q1014" s="13"/>
      <c r="R1014" s="15"/>
      <c r="S1014" s="15"/>
      <c r="T1014" s="28"/>
      <c r="U1014" s="13"/>
      <c r="V1014" s="15"/>
      <c r="Y1014" s="186"/>
      <c r="Z1014" s="2"/>
      <c r="AA1014" s="34">
        <f>$F$15</f>
      </c>
      <c r="AB1014" s="35"/>
      <c r="AC1014" s="15"/>
      <c r="AD1014" s="15"/>
      <c r="AF1014" s="34"/>
      <c r="AG1014" s="15"/>
      <c r="AH1014" s="2"/>
      <c r="AI1014" s="45"/>
      <c r="AJ1014" s="15"/>
      <c r="AK1014" s="13"/>
      <c r="AL1014" s="15"/>
      <c r="AM1014" s="45"/>
      <c r="AN1014" s="15"/>
      <c r="AO1014" s="13"/>
      <c r="AP1014" s="15"/>
      <c r="AQ1014" s="45"/>
      <c r="AR1014" s="15"/>
      <c r="AS1014" s="13"/>
      <c r="AT1014" s="15"/>
      <c r="AU1014" s="45"/>
      <c r="AV1014" s="15"/>
      <c r="AW1014" s="13"/>
      <c r="AX1014" s="15"/>
      <c r="AY1014" s="45"/>
      <c r="AZ1014" s="35"/>
      <c r="BA1014" s="13"/>
      <c r="BB1014" s="15"/>
      <c r="BC1014" s="45"/>
      <c r="BD1014" s="35"/>
      <c r="BE1014" s="14"/>
      <c r="BF1014" s="41">
        <f t="shared" ref="BF1014:BG1014" si="3670">K1014+O1014+S1014+W1014+AA1014+AE1014+AI1014+AM1014+AQ1014+AU1014+AY1014+BC1014</f>
        <v>0</v>
      </c>
      <c r="BG1014" s="34">
        <f t="shared" si="3670"/>
        <v>0</v>
      </c>
      <c r="BH1014" s="35">
        <f t="shared" si="3652"/>
        <v>0</v>
      </c>
      <c r="BK1014" s="2" t="b">
        <f>H1014='2020'!BH1014</f>
        <v>1</v>
      </c>
    </row>
    <row r="1015" ht="14.25" customHeight="1" hidden="1" spans="1:63" x14ac:dyDescent="0.25">
      <c r="A1015" s="247">
        <v>112</v>
      </c>
      <c r="B1015" s="21"/>
      <c r="C1015" s="22" t="s">
        <v>53</v>
      </c>
      <c r="D1015" s="21"/>
      <c r="E1015" s="22"/>
      <c r="F1015" s="109"/>
      <c r="G1015" s="23"/>
      <c r="H1015" s="51">
        <f>SUM(H1007:H1014)</f>
        <v>30.85</v>
      </c>
      <c r="I1015" s="52"/>
      <c r="J1015" s="53"/>
      <c r="K1015" s="51">
        <f t="shared" ref="K1015:L1015" si="3671">SUM(K1007:K1014)</f>
        <v>0</v>
      </c>
      <c r="L1015" s="68">
        <f t="shared" si="3671"/>
        <v>0</v>
      </c>
      <c r="M1015" s="52"/>
      <c r="N1015" s="53"/>
      <c r="O1015" s="51">
        <f t="shared" ref="O1015:P1015" si="3672">SUM(O1007:O1014)</f>
        <v>0</v>
      </c>
      <c r="P1015" s="51">
        <f t="shared" si="3672"/>
        <v>0</v>
      </c>
      <c r="Q1015" s="52"/>
      <c r="R1015" s="53"/>
      <c r="S1015" s="51">
        <f t="shared" ref="S1015:T1015" si="3673">SUM(S1007:S1014)</f>
        <v>0</v>
      </c>
      <c r="T1015" s="51">
        <f t="shared" si="3673"/>
        <v>0</v>
      </c>
      <c r="U1015" s="52"/>
      <c r="V1015" s="53"/>
      <c r="W1015" s="51">
        <f t="shared" ref="W1015:X1015" si="3674">SUM(W1007:W1014)</f>
        <v>0</v>
      </c>
      <c r="X1015" s="51">
        <f t="shared" si="3674"/>
        <v>0</v>
      </c>
      <c r="Y1015" s="300"/>
      <c r="Z1015" s="301"/>
      <c r="AA1015" s="51">
        <f t="shared" ref="AA1015:AB1015" si="3675">SUM(AA1007:AA1014)</f>
        <v>83.04</v>
      </c>
      <c r="AB1015" s="51">
        <f t="shared" si="3675"/>
        <v>0</v>
      </c>
      <c r="AC1015" s="52"/>
      <c r="AD1015" s="53"/>
      <c r="AE1015" s="51">
        <f t="shared" ref="AE1015:AF1015" si="3676">SUM(AE1007:AE1014)</f>
        <v>5441.8</v>
      </c>
      <c r="AF1015" s="51">
        <f t="shared" si="3676"/>
        <v>0</v>
      </c>
      <c r="AG1015" s="52"/>
      <c r="AH1015" s="301"/>
      <c r="AI1015" s="183">
        <f t="shared" ref="AI1015:AJ1015" si="3677">SUM(AI1007:AI1014)</f>
        <v>8.1</v>
      </c>
      <c r="AJ1015" s="51">
        <f t="shared" si="3677"/>
        <v>0</v>
      </c>
      <c r="AK1015" s="52"/>
      <c r="AL1015" s="53"/>
      <c r="AM1015" s="183">
        <f t="shared" ref="AM1015:AN1015" si="3678">SUM(AM1007:AM1014)</f>
        <v>5.4</v>
      </c>
      <c r="AN1015" s="51">
        <f t="shared" si="3678"/>
        <v>5563.79</v>
      </c>
      <c r="AO1015" s="52"/>
      <c r="AP1015" s="53"/>
      <c r="AQ1015" s="183">
        <f t="shared" ref="AQ1015:AR1015" si="3679">SUM(AQ1007:AQ1014)</f>
        <v>5.4</v>
      </c>
      <c r="AR1015" s="51">
        <f t="shared" si="3679"/>
        <v>0</v>
      </c>
      <c r="AS1015" s="52"/>
      <c r="AT1015" s="53"/>
      <c r="AU1015" s="183">
        <f t="shared" ref="AU1015:AV1015" si="3680">SUM(AU1007:AU1014)</f>
        <v>0</v>
      </c>
      <c r="AV1015" s="68">
        <f t="shared" si="3680"/>
        <v>0</v>
      </c>
      <c r="AW1015" s="52"/>
      <c r="AX1015" s="53"/>
      <c r="AY1015" s="183">
        <f t="shared" ref="AY1015:AZ1015" si="3681">SUM(AY1007:AY1014)</f>
        <v>0</v>
      </c>
      <c r="AZ1015" s="68">
        <f t="shared" si="3681"/>
        <v>0</v>
      </c>
      <c r="BA1015" s="52"/>
      <c r="BB1015" s="53"/>
      <c r="BC1015" s="183">
        <f t="shared" ref="BC1015:BD1015" si="3682">SUM(BC1007:BC1014)</f>
        <v>0</v>
      </c>
      <c r="BD1015" s="68">
        <f t="shared" si="3682"/>
        <v>0</v>
      </c>
      <c r="BE1015" s="69"/>
      <c r="BF1015" s="70">
        <f t="shared" ref="BF1015:BH1015" si="3683">SUM(BF1007:BF1014)</f>
        <v>5543.74</v>
      </c>
      <c r="BG1015" s="71">
        <f t="shared" si="3683"/>
        <v>5563.79</v>
      </c>
      <c r="BH1015" s="72">
        <f t="shared" si="3683"/>
        <v>10.8</v>
      </c>
      <c r="BI1015" s="34">
        <f>H1015+BF1015-BG1015</f>
        <v>10.8</v>
      </c>
      <c r="BJ1015" s="34">
        <f>BH1015-BI1015</f>
        <v>0</v>
      </c>
      <c r="BK1015" s="2" t="b">
        <f>H1015='2020'!BH1015</f>
        <v>1</v>
      </c>
    </row>
    <row r="1016" ht="14.25" customHeight="1" hidden="1" spans="1:63" x14ac:dyDescent="0.25">
      <c r="A1016" s="2">
        <v>113</v>
      </c>
      <c r="B1016" s="14"/>
      <c r="D1016" s="14" t="s">
        <v>379</v>
      </c>
      <c r="F1016" s="41"/>
      <c r="G1016" s="28"/>
      <c r="H1016" s="34">
        <f>'2020'!BH1016</f>
        <v>665.55</v>
      </c>
      <c r="I1016" s="13"/>
      <c r="J1016" s="15"/>
      <c r="K1016" s="15">
        <v>55.02</v>
      </c>
      <c r="L1016" s="28"/>
      <c r="M1016" s="13"/>
      <c r="N1016" s="15"/>
      <c r="O1016" s="2">
        <v>49.69</v>
      </c>
      <c r="Q1016" s="13"/>
      <c r="R1016" s="15"/>
      <c r="S1016" s="15">
        <v>55.02</v>
      </c>
      <c r="T1016" s="28"/>
      <c r="U1016" s="13"/>
      <c r="V1016" s="15"/>
      <c r="W1016" s="2">
        <v>53.24</v>
      </c>
      <c r="Y1016" s="186"/>
      <c r="Z1016" s="2"/>
      <c r="AA1016" s="15">
        <v>55.02</v>
      </c>
      <c r="AB1016" s="28"/>
      <c r="AC1016" s="15"/>
      <c r="AD1016" s="15"/>
      <c r="AE1016" s="2">
        <v>53.24</v>
      </c>
      <c r="AG1016" s="15"/>
      <c r="AH1016" s="2"/>
      <c r="AI1016" s="45"/>
      <c r="AJ1016" s="15"/>
      <c r="AK1016" s="13"/>
      <c r="AM1016" s="45">
        <v>55.02</v>
      </c>
      <c r="AO1016" s="13"/>
      <c r="AQ1016" s="180">
        <v>78.65</v>
      </c>
      <c r="AS1016" s="13"/>
      <c r="AU1016" s="180"/>
      <c r="AW1016" s="13"/>
      <c r="AY1016" s="180"/>
      <c r="AZ1016" s="28"/>
      <c r="BA1016" s="13"/>
      <c r="BB1016" s="15"/>
      <c r="BC1016" s="180"/>
      <c r="BD1016" s="28"/>
      <c r="BE1016" s="14"/>
      <c r="BF1016" s="41">
        <f t="shared" ref="BF1016:BG1016" si="3684">K1016+O1016+S1016+W1016+AA1016+AE1016+AI1016+AM1016+AQ1016+AU1016+AY1016+BC1016</f>
        <v>454.9</v>
      </c>
      <c r="BG1016" s="34">
        <f t="shared" si="3684"/>
        <v>0</v>
      </c>
      <c r="BH1016" s="35">
        <f t="shared" ref="BH1016:BH1023" si="3685">H1016+BF1016-BG1016</f>
        <v>1120.45</v>
      </c>
      <c r="BK1016" s="2" t="b">
        <f>H1016='2020'!BH1016</f>
        <v>1</v>
      </c>
    </row>
    <row r="1017" ht="14.25" customHeight="1" hidden="1" spans="1:63" x14ac:dyDescent="0.25">
      <c r="A1017" s="2">
        <v>113</v>
      </c>
      <c r="B1017" s="14">
        <v>4.98</v>
      </c>
      <c r="C1017" s="2" t="s">
        <v>348</v>
      </c>
      <c r="D1017" s="14" t="s">
        <v>44</v>
      </c>
      <c r="E1017" s="2" t="s">
        <v>45</v>
      </c>
      <c r="F1017" s="41">
        <v>2.5</v>
      </c>
      <c r="G1017" s="35">
        <v>2.6</v>
      </c>
      <c r="H1017" s="104">
        <f>'2020'!BH1017</f>
        <v>0</v>
      </c>
      <c r="I1017" s="13">
        <v>0</v>
      </c>
      <c r="J1017" s="15">
        <f>I1017-'2020'!BA1017</f>
        <v>0</v>
      </c>
      <c r="K1017" s="34">
        <f>J1017*$F$8</f>
        <v>0</v>
      </c>
      <c r="L1017" s="28"/>
      <c r="M1017" s="13">
        <v>0</v>
      </c>
      <c r="N1017" s="15">
        <f t="shared" ref="N1017:N1018" si="3686">M1017-I1017</f>
        <v>0</v>
      </c>
      <c r="O1017" s="34">
        <f>N1017*$F$8</f>
        <v>0</v>
      </c>
      <c r="Q1017" s="13">
        <v>0</v>
      </c>
      <c r="R1017" s="15">
        <f t="shared" ref="R1017:R1018" si="3687">Q1017-M1017</f>
        <v>0</v>
      </c>
      <c r="S1017" s="34">
        <f>R1017*$F$8</f>
        <v>0</v>
      </c>
      <c r="T1017" s="28"/>
      <c r="U1017" s="13">
        <v>0</v>
      </c>
      <c r="V1017" s="15">
        <f t="shared" ref="V1017:V1018" si="3688">U1017-Q1017</f>
        <v>0</v>
      </c>
      <c r="W1017" s="34">
        <f>V1017*$F$8</f>
        <v>0</v>
      </c>
      <c r="Y1017" s="186"/>
      <c r="Z1017" s="2">
        <f t="shared" ref="Z1017:Z1018" si="3689">Y1017-U1017</f>
        <v>0</v>
      </c>
      <c r="AA1017" s="34">
        <f>Z1017*$F$8</f>
        <v>0</v>
      </c>
      <c r="AB1017" s="28"/>
      <c r="AC1017" s="15"/>
      <c r="AD1017" s="15">
        <f t="shared" ref="AD1017:AD1018" si="3690">AC1017-Y1017</f>
        <v>0</v>
      </c>
      <c r="AE1017" s="180">
        <f>AD1017*$F$8</f>
        <v>0</v>
      </c>
      <c r="AG1017" s="15"/>
      <c r="AH1017" s="2">
        <f t="shared" ref="AH1017:AH1018" si="3691">AG1017-AC1017</f>
        <v>0</v>
      </c>
      <c r="AI1017" s="45">
        <f>AH1017*$G$8</f>
        <v>0</v>
      </c>
      <c r="AJ1017" s="15"/>
      <c r="AK1017" s="13">
        <v>2</v>
      </c>
      <c r="AL1017" s="15">
        <f t="shared" ref="AL1017:AL1018" si="3692">AK1017-AG1017</f>
        <v>2</v>
      </c>
      <c r="AM1017" s="45">
        <f>AL1017*$G$8</f>
        <v>5.4</v>
      </c>
      <c r="AN1017" s="15"/>
      <c r="AO1017" s="13">
        <v>2</v>
      </c>
      <c r="AP1017" s="15">
        <f t="shared" ref="AP1017:AP1018" si="3693">AO1017-AK1017</f>
        <v>0</v>
      </c>
      <c r="AQ1017" s="45">
        <f>AP1017*$G$8</f>
        <v>0</v>
      </c>
      <c r="AR1017" s="15"/>
      <c r="AS1017" s="13">
        <v>2</v>
      </c>
      <c r="AT1017" s="15">
        <f t="shared" ref="AT1017:AT1018" si="3694">AS1017-AO1017</f>
        <v>0</v>
      </c>
      <c r="AU1017" s="45">
        <f>AT1017*$G$8</f>
        <v>0</v>
      </c>
      <c r="AV1017" s="15"/>
      <c r="AW1017" s="13">
        <v>2</v>
      </c>
      <c r="AX1017" s="15">
        <f t="shared" ref="AX1017:AX1018" si="3695">AW1017-AS1017</f>
        <v>0</v>
      </c>
      <c r="AY1017" s="45">
        <f>AX1017*$G$8</f>
        <v>0</v>
      </c>
      <c r="AZ1017" s="208"/>
      <c r="BA1017" s="13">
        <v>2</v>
      </c>
      <c r="BB1017" s="15">
        <f t="shared" ref="BB1017:BB1018" si="3696">BA1017-AW1017</f>
        <v>0</v>
      </c>
      <c r="BC1017" s="45">
        <f>BB1017*$G$8</f>
        <v>0</v>
      </c>
      <c r="BD1017" s="208"/>
      <c r="BE1017" s="40">
        <f t="shared" ref="BE1017:BG1017" si="3697">J1017+N1017+R1017+V1017+Z1017+AD1017+AH1017+AL1017+AP1017+AT1017+AX1017+BB1017</f>
        <v>2</v>
      </c>
      <c r="BF1017" s="41">
        <f t="shared" si="3697"/>
        <v>5.4</v>
      </c>
      <c r="BG1017" s="34">
        <f t="shared" si="3697"/>
        <v>0</v>
      </c>
      <c r="BH1017" s="35">
        <f t="shared" si="3685"/>
        <v>5.4</v>
      </c>
      <c r="BK1017" s="2" t="b">
        <f>H1017='2020'!BH1017</f>
        <v>1</v>
      </c>
    </row>
    <row r="1018" ht="14.25" customHeight="1" hidden="1" spans="1:63" x14ac:dyDescent="0.25">
      <c r="A1018" s="2">
        <v>113</v>
      </c>
      <c r="B1018" s="14"/>
      <c r="C1018" s="2" t="s">
        <v>98</v>
      </c>
      <c r="D1018" s="14" t="s">
        <v>47</v>
      </c>
      <c r="E1018" s="2" t="s">
        <v>48</v>
      </c>
      <c r="F1018" s="41">
        <v>18.56</v>
      </c>
      <c r="G1018" s="35">
        <v>19.46</v>
      </c>
      <c r="H1018" s="34">
        <f>'2020'!BH1018</f>
        <v>0</v>
      </c>
      <c r="I1018" s="13"/>
      <c r="J1018" s="15"/>
      <c r="K1018" s="15"/>
      <c r="L1018" s="28"/>
      <c r="M1018" s="13"/>
      <c r="N1018" s="15">
        <f t="shared" si="3686"/>
        <v>0</v>
      </c>
      <c r="Q1018" s="13"/>
      <c r="R1018" s="15">
        <f t="shared" si="3687"/>
        <v>0</v>
      </c>
      <c r="S1018" s="15"/>
      <c r="T1018" s="28"/>
      <c r="U1018" s="13"/>
      <c r="V1018" s="15">
        <f t="shared" si="3688"/>
        <v>0</v>
      </c>
      <c r="W1018" s="34">
        <f>V1018*$F$10</f>
        <v>0</v>
      </c>
      <c r="Y1018" s="186"/>
      <c r="Z1018" s="2">
        <f t="shared" si="3689"/>
        <v>0</v>
      </c>
      <c r="AA1018" s="34">
        <f>Z1018*$F$10</f>
        <v>0</v>
      </c>
      <c r="AB1018" s="28"/>
      <c r="AC1018" s="15"/>
      <c r="AD1018" s="15">
        <f t="shared" si="3690"/>
        <v>0</v>
      </c>
      <c r="AE1018" s="34">
        <f>AD1018*$F$10</f>
        <v>0</v>
      </c>
      <c r="AG1018" s="15"/>
      <c r="AH1018" s="2">
        <f t="shared" si="3691"/>
        <v>0</v>
      </c>
      <c r="AI1018" s="45">
        <f>AH1018*$G$10</f>
        <v>0</v>
      </c>
      <c r="AJ1018" s="15"/>
      <c r="AK1018" s="13"/>
      <c r="AL1018" s="15">
        <f t="shared" si="3692"/>
        <v>0</v>
      </c>
      <c r="AM1018" s="45">
        <f>AL1018*$G$10</f>
        <v>0</v>
      </c>
      <c r="AN1018" s="15"/>
      <c r="AO1018" s="13"/>
      <c r="AP1018" s="15">
        <f t="shared" si="3693"/>
        <v>0</v>
      </c>
      <c r="AQ1018" s="45">
        <f>AP1018*$G$10</f>
        <v>0</v>
      </c>
      <c r="AR1018" s="15"/>
      <c r="AS1018" s="13"/>
      <c r="AT1018" s="15">
        <f t="shared" si="3694"/>
        <v>0</v>
      </c>
      <c r="AU1018" s="45">
        <f>AT1018*$G$10</f>
        <v>0</v>
      </c>
      <c r="AV1018" s="15"/>
      <c r="AW1018" s="13"/>
      <c r="AX1018" s="15">
        <f t="shared" si="3695"/>
        <v>0</v>
      </c>
      <c r="AY1018" s="45"/>
      <c r="AZ1018" s="208"/>
      <c r="BA1018" s="13"/>
      <c r="BB1018" s="15">
        <f t="shared" si="3696"/>
        <v>0</v>
      </c>
      <c r="BC1018" s="45"/>
      <c r="BD1018" s="208"/>
      <c r="BE1018" s="40">
        <f t="shared" ref="BE1018:BG1018" si="3698">J1018+N1018+R1018+V1018+Z1018+AD1018+AH1018+AL1018+AP1018+AT1018+AX1018+BB1018</f>
        <v>0</v>
      </c>
      <c r="BF1018" s="41">
        <f t="shared" si="3698"/>
        <v>0</v>
      </c>
      <c r="BG1018" s="34">
        <f t="shared" si="3698"/>
        <v>0</v>
      </c>
      <c r="BH1018" s="35">
        <f t="shared" si="3685"/>
        <v>0</v>
      </c>
      <c r="BK1018" s="2" t="b">
        <f>H1018='2020'!BH1018</f>
        <v>1</v>
      </c>
    </row>
    <row r="1019" ht="14.25" customHeight="1" hidden="1" spans="1:63" x14ac:dyDescent="0.25">
      <c r="A1019" s="2">
        <v>113</v>
      </c>
      <c r="B1019" s="14"/>
      <c r="C1019" s="2" t="s">
        <v>55</v>
      </c>
      <c r="D1019" s="14" t="s">
        <v>47</v>
      </c>
      <c r="E1019" s="2" t="s">
        <v>49</v>
      </c>
      <c r="F1019" s="41">
        <v>500</v>
      </c>
      <c r="G1019" s="28"/>
      <c r="H1019" s="144">
        <f>'2020'!BH1019</f>
        <v>0</v>
      </c>
      <c r="I1019" s="13"/>
      <c r="J1019" s="15"/>
      <c r="K1019" s="15"/>
      <c r="L1019" s="28"/>
      <c r="M1019" s="13"/>
      <c r="N1019" s="15"/>
      <c r="Q1019" s="13"/>
      <c r="R1019" s="15"/>
      <c r="S1019" s="15"/>
      <c r="T1019" s="28"/>
      <c r="U1019" s="13"/>
      <c r="V1019" s="15"/>
      <c r="Y1019" s="186"/>
      <c r="Z1019" s="2"/>
      <c r="AA1019" s="34"/>
      <c r="AB1019" s="28"/>
      <c r="AC1019" s="15"/>
      <c r="AD1019" s="15"/>
      <c r="AG1019" s="15"/>
      <c r="AH1019" s="2"/>
      <c r="AI1019" s="45"/>
      <c r="AJ1019" s="15"/>
      <c r="AK1019" s="13"/>
      <c r="AL1019" s="15"/>
      <c r="AM1019" s="45"/>
      <c r="AN1019" s="15"/>
      <c r="AO1019" s="13"/>
      <c r="AP1019" s="15"/>
      <c r="AQ1019" s="45"/>
      <c r="AR1019" s="15"/>
      <c r="AS1019" s="13"/>
      <c r="AT1019" s="15"/>
      <c r="AU1019" s="45"/>
      <c r="AV1019" s="15"/>
      <c r="AW1019" s="13"/>
      <c r="AX1019" s="15"/>
      <c r="AY1019" s="45"/>
      <c r="AZ1019" s="28"/>
      <c r="BA1019" s="13"/>
      <c r="BB1019" s="15"/>
      <c r="BC1019" s="45"/>
      <c r="BD1019" s="28"/>
      <c r="BE1019" s="40">
        <f t="shared" ref="BE1019:BG1019" si="3699">J1019+N1019+R1019+V1019+Z1019+AD1019+AH1019+AL1019+AP1019+AT1019+AX1019+BB1019</f>
        <v>0</v>
      </c>
      <c r="BF1019" s="41">
        <f t="shared" si="3699"/>
        <v>0</v>
      </c>
      <c r="BG1019" s="34">
        <f t="shared" si="3699"/>
        <v>0</v>
      </c>
      <c r="BH1019" s="35">
        <f t="shared" si="3685"/>
        <v>0</v>
      </c>
      <c r="BK1019" s="2" t="b">
        <f>H1019='2020'!BH1019</f>
        <v>1</v>
      </c>
    </row>
    <row r="1020" ht="14.25" customHeight="1" hidden="1" spans="1:63" x14ac:dyDescent="0.25">
      <c r="A1020" s="2">
        <v>113</v>
      </c>
      <c r="B1020" s="14"/>
      <c r="D1020" s="14" t="s">
        <v>50</v>
      </c>
      <c r="E1020" s="2" t="s">
        <v>49</v>
      </c>
      <c r="F1020" s="41">
        <v>1100</v>
      </c>
      <c r="G1020" s="28"/>
      <c r="H1020" s="180">
        <f>'2020'!BH1020</f>
        <v>16747.14</v>
      </c>
      <c r="I1020" s="13"/>
      <c r="J1020" s="15"/>
      <c r="K1020" s="15"/>
      <c r="L1020" s="28"/>
      <c r="M1020" s="13"/>
      <c r="N1020" s="15"/>
      <c r="Q1020" s="13"/>
      <c r="R1020" s="15"/>
      <c r="S1020" s="15"/>
      <c r="T1020" s="28"/>
      <c r="U1020" s="13"/>
      <c r="V1020" s="15"/>
      <c r="Y1020" s="186"/>
      <c r="Z1020" s="2"/>
      <c r="AA1020" s="15"/>
      <c r="AB1020" s="28"/>
      <c r="AC1020" s="15"/>
      <c r="AD1020" s="15"/>
      <c r="AE1020" s="34">
        <f>B1017*$F$12</f>
        <v>5478</v>
      </c>
      <c r="AG1020" s="15"/>
      <c r="AH1020" s="2"/>
      <c r="AI1020" s="45"/>
      <c r="AJ1020" s="15"/>
      <c r="AK1020" s="13"/>
      <c r="AL1020" s="15"/>
      <c r="AM1020" s="45"/>
      <c r="AN1020" s="15"/>
      <c r="AO1020" s="13"/>
      <c r="AP1020" s="15"/>
      <c r="AQ1020" s="45"/>
      <c r="AR1020" s="15"/>
      <c r="AS1020" s="13"/>
      <c r="AT1020" s="15"/>
      <c r="AU1020" s="45"/>
      <c r="AV1020" s="15"/>
      <c r="AW1020" s="13"/>
      <c r="AX1020" s="15"/>
      <c r="AY1020" s="45"/>
      <c r="AZ1020" s="28"/>
      <c r="BA1020" s="13"/>
      <c r="BB1020" s="15"/>
      <c r="BC1020" s="45"/>
      <c r="BD1020" s="28"/>
      <c r="BE1020" s="14"/>
      <c r="BF1020" s="41">
        <f t="shared" ref="BF1020:BG1020" si="3700">K1020+O1020+S1020+W1020+AA1020+AE1020+AI1020+AM1020+AQ1020+AU1020+AY1020+BC1020</f>
        <v>5478</v>
      </c>
      <c r="BG1020" s="34">
        <f t="shared" si="3700"/>
        <v>0</v>
      </c>
      <c r="BH1020" s="35">
        <f t="shared" si="3685"/>
        <v>22225.14</v>
      </c>
      <c r="BK1020" s="2" t="b">
        <f>H1020='2020'!BH1020</f>
        <v>1</v>
      </c>
    </row>
    <row r="1021" ht="14.25" customHeight="1" hidden="1" spans="1:63" x14ac:dyDescent="0.25">
      <c r="A1021" s="2">
        <v>113</v>
      </c>
      <c r="B1021" s="14"/>
      <c r="D1021" s="14" t="s">
        <v>51</v>
      </c>
      <c r="E1021" s="2" t="s">
        <v>39</v>
      </c>
      <c r="F1021" s="41">
        <v>500</v>
      </c>
      <c r="G1021" s="28"/>
      <c r="H1021" s="180">
        <f>'2020'!BH1021</f>
        <v>1500</v>
      </c>
      <c r="I1021" s="13"/>
      <c r="J1021" s="15"/>
      <c r="K1021" s="15"/>
      <c r="L1021" s="28"/>
      <c r="M1021" s="13"/>
      <c r="N1021" s="15"/>
      <c r="Q1021" s="13"/>
      <c r="R1021" s="15"/>
      <c r="S1021" s="15"/>
      <c r="T1021" s="28"/>
      <c r="U1021" s="13"/>
      <c r="V1021" s="15"/>
      <c r="Y1021" s="186"/>
      <c r="Z1021" s="2"/>
      <c r="AA1021" s="15"/>
      <c r="AB1021" s="28"/>
      <c r="AC1021" s="15"/>
      <c r="AD1021" s="15"/>
      <c r="AE1021" s="180">
        <f>$F$13</f>
      </c>
      <c r="AG1021" s="15"/>
      <c r="AH1021" s="2"/>
      <c r="AI1021" s="45"/>
      <c r="AJ1021" s="15"/>
      <c r="AK1021" s="13"/>
      <c r="AL1021" s="15"/>
      <c r="AM1021" s="45"/>
      <c r="AN1021" s="15"/>
      <c r="AO1021" s="13"/>
      <c r="AP1021" s="15"/>
      <c r="AQ1021" s="180"/>
      <c r="AR1021" s="15"/>
      <c r="AS1021" s="13"/>
      <c r="AT1021" s="15"/>
      <c r="AU1021" s="45"/>
      <c r="AV1021" s="15"/>
      <c r="AW1021" s="13"/>
      <c r="AX1021" s="15"/>
      <c r="AY1021" s="45"/>
      <c r="AZ1021" s="28"/>
      <c r="BA1021" s="13"/>
      <c r="BB1021" s="15"/>
      <c r="BC1021" s="45"/>
      <c r="BD1021" s="28"/>
      <c r="BE1021" s="14"/>
      <c r="BF1021" s="41">
        <f t="shared" ref="BF1021:BG1021" si="3701">K1021+O1021+S1021+W1021+AA1021+AE1021+AI1021+AM1021+AQ1021+AU1021+AY1021+BC1021</f>
        <v>0</v>
      </c>
      <c r="BG1021" s="34">
        <f t="shared" si="3701"/>
        <v>0</v>
      </c>
      <c r="BH1021" s="35">
        <f t="shared" si="3685"/>
        <v>1500</v>
      </c>
      <c r="BK1021" s="2" t="b">
        <f>H1021='2020'!BH1021</f>
        <v>1</v>
      </c>
    </row>
    <row r="1022" ht="14.25" customHeight="1" hidden="1" spans="1:63" x14ac:dyDescent="0.25">
      <c r="A1022" s="2">
        <v>113</v>
      </c>
      <c r="B1022" s="14"/>
      <c r="D1022" s="14" t="s">
        <v>51</v>
      </c>
      <c r="E1022" s="2" t="s">
        <v>49</v>
      </c>
      <c r="F1022" s="41">
        <v>500</v>
      </c>
      <c r="G1022" s="28"/>
      <c r="H1022" s="180">
        <f>'2020'!BH1022</f>
        <v>2490</v>
      </c>
      <c r="I1022" s="13"/>
      <c r="J1022" s="15"/>
      <c r="K1022" s="15"/>
      <c r="L1022" s="28"/>
      <c r="M1022" s="13"/>
      <c r="N1022" s="15"/>
      <c r="Q1022" s="13"/>
      <c r="R1022" s="15"/>
      <c r="S1022" s="15"/>
      <c r="T1022" s="28"/>
      <c r="U1022" s="13"/>
      <c r="V1022" s="15"/>
      <c r="Y1022" s="186"/>
      <c r="Z1022" s="2"/>
      <c r="AA1022" s="15"/>
      <c r="AB1022" s="28"/>
      <c r="AC1022" s="15"/>
      <c r="AD1022" s="15"/>
      <c r="AE1022" s="34"/>
      <c r="AG1022" s="15"/>
      <c r="AH1022" s="2"/>
      <c r="AI1022" s="45"/>
      <c r="AJ1022" s="15"/>
      <c r="AK1022" s="13"/>
      <c r="AL1022" s="15"/>
      <c r="AM1022" s="45"/>
      <c r="AN1022" s="15"/>
      <c r="AO1022" s="13"/>
      <c r="AP1022" s="15"/>
      <c r="AQ1022" s="180">
        <f>B1017*$F$14</f>
        <v>0</v>
      </c>
      <c r="AR1022" s="15"/>
      <c r="AS1022" s="13"/>
      <c r="AT1022" s="15"/>
      <c r="AU1022" s="45"/>
      <c r="AV1022" s="15"/>
      <c r="AW1022" s="13"/>
      <c r="AX1022" s="15"/>
      <c r="AY1022" s="45"/>
      <c r="AZ1022" s="28"/>
      <c r="BA1022" s="13"/>
      <c r="BB1022" s="15"/>
      <c r="BC1022" s="45"/>
      <c r="BD1022" s="28"/>
      <c r="BE1022" s="14"/>
      <c r="BF1022" s="41">
        <f t="shared" ref="BF1022:BG1022" si="3702">K1022+O1022+S1022+W1022+AA1022+AE1022+AI1022+AM1022+AQ1022+AU1022+AY1022+BC1022</f>
        <v>0</v>
      </c>
      <c r="BG1022" s="34">
        <f t="shared" si="3702"/>
        <v>0</v>
      </c>
      <c r="BH1022" s="35">
        <f t="shared" si="3685"/>
        <v>2490</v>
      </c>
      <c r="BK1022" s="2" t="b">
        <f>H1022='2020'!BH1022</f>
        <v>1</v>
      </c>
    </row>
    <row r="1023" ht="14.25" customHeight="1" hidden="1" spans="1:63" x14ac:dyDescent="0.25">
      <c r="A1023" s="2">
        <v>113</v>
      </c>
      <c r="B1023" s="14"/>
      <c r="D1023" s="14" t="s">
        <v>52</v>
      </c>
      <c r="E1023" s="2" t="s">
        <v>39</v>
      </c>
      <c r="F1023" s="41">
        <v>500</v>
      </c>
      <c r="G1023" s="28"/>
      <c r="H1023" s="180">
        <f>'2020'!BH1023</f>
        <v>1350</v>
      </c>
      <c r="I1023" s="13"/>
      <c r="J1023" s="15"/>
      <c r="K1023" s="15"/>
      <c r="L1023" s="28"/>
      <c r="M1023" s="13"/>
      <c r="N1023" s="15"/>
      <c r="Q1023" s="13"/>
      <c r="R1023" s="15"/>
      <c r="S1023" s="15"/>
      <c r="T1023" s="28"/>
      <c r="U1023" s="13"/>
      <c r="V1023" s="15"/>
      <c r="Y1023" s="186"/>
      <c r="Z1023" s="2"/>
      <c r="AA1023" s="34">
        <f>$F$15</f>
      </c>
      <c r="AB1023" s="28"/>
      <c r="AC1023" s="15"/>
      <c r="AD1023" s="15"/>
      <c r="AG1023" s="15"/>
      <c r="AH1023" s="2"/>
      <c r="AI1023" s="45"/>
      <c r="AJ1023" s="15"/>
      <c r="AK1023" s="13"/>
      <c r="AL1023" s="15"/>
      <c r="AM1023" s="45"/>
      <c r="AN1023" s="15"/>
      <c r="AO1023" s="13"/>
      <c r="AP1023" s="15"/>
      <c r="AQ1023" s="45"/>
      <c r="AR1023" s="15"/>
      <c r="AS1023" s="13"/>
      <c r="AT1023" s="15"/>
      <c r="AU1023" s="45"/>
      <c r="AV1023" s="15"/>
      <c r="AW1023" s="13"/>
      <c r="AX1023" s="15"/>
      <c r="AY1023" s="45"/>
      <c r="AZ1023" s="35"/>
      <c r="BA1023" s="13"/>
      <c r="BB1023" s="15"/>
      <c r="BC1023" s="45"/>
      <c r="BD1023" s="35"/>
      <c r="BE1023" s="14"/>
      <c r="BF1023" s="41">
        <f t="shared" ref="BF1023:BG1023" si="3703">K1023+O1023+S1023+W1023+AA1023+AE1023+AI1023+AM1023+AQ1023+AU1023+AY1023+BC1023</f>
        <v>0</v>
      </c>
      <c r="BG1023" s="34">
        <f t="shared" si="3703"/>
        <v>0</v>
      </c>
      <c r="BH1023" s="35">
        <f t="shared" si="3685"/>
        <v>1350</v>
      </c>
      <c r="BK1023" s="2" t="b">
        <f>H1023='2020'!BH1023</f>
        <v>1</v>
      </c>
    </row>
    <row r="1024" ht="14.25" customHeight="1" hidden="1" spans="1:63" x14ac:dyDescent="0.25">
      <c r="A1024" s="247">
        <v>113</v>
      </c>
      <c r="B1024" s="21"/>
      <c r="C1024" s="22" t="s">
        <v>53</v>
      </c>
      <c r="D1024" s="21"/>
      <c r="E1024" s="22"/>
      <c r="F1024" s="20"/>
      <c r="G1024" s="23"/>
      <c r="H1024" s="51">
        <f>SUM(H1016:H1023)</f>
        <v>22752.69</v>
      </c>
      <c r="I1024" s="52"/>
      <c r="J1024" s="53"/>
      <c r="K1024" s="51">
        <f t="shared" ref="K1024:L1024" si="3704">SUM(K1016:K1023)</f>
        <v>55.02</v>
      </c>
      <c r="L1024" s="68">
        <f t="shared" si="3704"/>
        <v>0</v>
      </c>
      <c r="M1024" s="52"/>
      <c r="N1024" s="53"/>
      <c r="O1024" s="51">
        <f t="shared" ref="O1024:P1024" si="3705">SUM(O1016:O1023)</f>
        <v>49.69</v>
      </c>
      <c r="P1024" s="51">
        <f t="shared" si="3705"/>
        <v>0</v>
      </c>
      <c r="Q1024" s="52"/>
      <c r="R1024" s="53"/>
      <c r="S1024" s="51">
        <f t="shared" ref="S1024:T1024" si="3706">SUM(S1016:S1023)</f>
        <v>55.02</v>
      </c>
      <c r="T1024" s="51">
        <f t="shared" si="3706"/>
        <v>0</v>
      </c>
      <c r="U1024" s="52"/>
      <c r="V1024" s="53"/>
      <c r="W1024" s="51">
        <f t="shared" ref="W1024:X1024" si="3707">SUM(W1016:W1023)</f>
        <v>53.24</v>
      </c>
      <c r="X1024" s="51">
        <f t="shared" si="3707"/>
        <v>0</v>
      </c>
      <c r="Y1024" s="300"/>
      <c r="Z1024" s="301"/>
      <c r="AA1024" s="51">
        <f t="shared" ref="AA1024:AB1024" si="3708">SUM(AA1016:AA1023)</f>
        <v>55.02</v>
      </c>
      <c r="AB1024" s="51">
        <f t="shared" si="3708"/>
        <v>0</v>
      </c>
      <c r="AC1024" s="52"/>
      <c r="AD1024" s="53"/>
      <c r="AE1024" s="51">
        <f t="shared" ref="AE1024:AF1024" si="3709">SUM(AE1016:AE1023)</f>
        <v>5531.24</v>
      </c>
      <c r="AF1024" s="51">
        <f t="shared" si="3709"/>
        <v>0</v>
      </c>
      <c r="AG1024" s="52"/>
      <c r="AH1024" s="301"/>
      <c r="AI1024" s="51">
        <f t="shared" ref="AI1024:AJ1024" si="3710">SUM(AI1016:AI1023)</f>
        <v>0</v>
      </c>
      <c r="AJ1024" s="51">
        <f t="shared" si="3710"/>
        <v>0</v>
      </c>
      <c r="AK1024" s="52"/>
      <c r="AL1024" s="53"/>
      <c r="AM1024" s="51">
        <f t="shared" ref="AM1024:AN1024" si="3711">SUM(AM1016:AM1023)</f>
        <v>60.42</v>
      </c>
      <c r="AN1024" s="51">
        <f t="shared" si="3711"/>
        <v>0</v>
      </c>
      <c r="AO1024" s="52"/>
      <c r="AP1024" s="53"/>
      <c r="AQ1024" s="183">
        <f t="shared" ref="AQ1024:AR1024" si="3712">SUM(AQ1016:AQ1023)</f>
        <v>78.65</v>
      </c>
      <c r="AR1024" s="51">
        <f t="shared" si="3712"/>
        <v>0</v>
      </c>
      <c r="AS1024" s="52"/>
      <c r="AT1024" s="53"/>
      <c r="AU1024" s="183">
        <f t="shared" ref="AU1024:AV1024" si="3713">SUM(AU1016:AU1023)</f>
        <v>0</v>
      </c>
      <c r="AV1024" s="68">
        <f t="shared" si="3713"/>
        <v>0</v>
      </c>
      <c r="AW1024" s="52"/>
      <c r="AX1024" s="53"/>
      <c r="AY1024" s="183">
        <f t="shared" ref="AY1024:AZ1024" si="3714">SUM(AY1016:AY1023)</f>
        <v>0</v>
      </c>
      <c r="AZ1024" s="68">
        <f t="shared" si="3714"/>
        <v>0</v>
      </c>
      <c r="BA1024" s="52"/>
      <c r="BB1024" s="53"/>
      <c r="BC1024" s="183">
        <f t="shared" ref="BC1024:BD1024" si="3715">SUM(BC1016:BC1023)</f>
        <v>0</v>
      </c>
      <c r="BD1024" s="68">
        <f t="shared" si="3715"/>
        <v>0</v>
      </c>
      <c r="BE1024" s="69"/>
      <c r="BF1024" s="70">
        <f t="shared" ref="BF1024:BH1024" si="3716">SUM(BF1016:BF1023)</f>
        <v>5938.3</v>
      </c>
      <c r="BG1024" s="71">
        <f t="shared" si="3716"/>
        <v>0</v>
      </c>
      <c r="BH1024" s="72">
        <f t="shared" si="3716"/>
        <v>28690.99</v>
      </c>
      <c r="BI1024" s="34">
        <f>H1024+BF1024-BG1024</f>
        <v>28690.99</v>
      </c>
      <c r="BJ1024" s="34">
        <f>BH1024-BI1024</f>
        <v>0</v>
      </c>
      <c r="BK1024" s="2" t="b">
        <f>H1024='2020'!BH1024</f>
        <v>1</v>
      </c>
    </row>
    <row r="1025" ht="14.25" customHeight="1" hidden="1" spans="1:63" x14ac:dyDescent="0.25">
      <c r="A1025" s="2">
        <v>114</v>
      </c>
      <c r="B1025" s="14"/>
      <c r="D1025" s="14" t="s">
        <v>379</v>
      </c>
      <c r="F1025" s="13"/>
      <c r="G1025" s="28"/>
      <c r="H1025" s="34">
        <f>'2020'!BH1025</f>
        <v>10.48</v>
      </c>
      <c r="I1025" s="13"/>
      <c r="J1025" s="15"/>
      <c r="K1025" s="15"/>
      <c r="L1025" s="28"/>
      <c r="M1025" s="13"/>
      <c r="N1025" s="15"/>
      <c r="Q1025" s="13"/>
      <c r="R1025" s="15"/>
      <c r="S1025" s="15"/>
      <c r="T1025" s="28"/>
      <c r="U1025" s="13"/>
      <c r="V1025" s="15"/>
      <c r="Y1025" s="186"/>
      <c r="Z1025" s="2"/>
      <c r="AA1025" s="15"/>
      <c r="AB1025" s="28"/>
      <c r="AC1025" s="15"/>
      <c r="AD1025" s="15"/>
      <c r="AG1025" s="15"/>
      <c r="AH1025" s="2"/>
      <c r="AI1025" s="45"/>
      <c r="AJ1025" s="15"/>
      <c r="AK1025" s="13"/>
      <c r="AM1025" s="45"/>
      <c r="AN1025" s="15"/>
      <c r="AO1025" s="13"/>
      <c r="AQ1025" s="180"/>
      <c r="AR1025" s="15"/>
      <c r="AS1025" s="13"/>
      <c r="AU1025" s="45"/>
      <c r="AV1025" s="15"/>
      <c r="AW1025" s="13"/>
      <c r="AY1025" s="45"/>
      <c r="AZ1025" s="28"/>
      <c r="BA1025" s="13"/>
      <c r="BB1025" s="15"/>
      <c r="BC1025" s="45"/>
      <c r="BD1025" s="28"/>
      <c r="BE1025" s="14"/>
      <c r="BF1025" s="41">
        <f t="shared" ref="BF1025:BG1025" si="3717">K1025+O1025+S1025+W1025+AA1025+AE1025+AI1025+AM1025+AQ1025+AU1025+AY1025+BC1025</f>
        <v>0</v>
      </c>
      <c r="BG1025" s="34">
        <f t="shared" si="3717"/>
        <v>0</v>
      </c>
      <c r="BH1025" s="35">
        <f t="shared" ref="BH1025:BH1032" si="3718">H1025+BF1025-BG1025</f>
        <v>10.48</v>
      </c>
      <c r="BK1025" s="2" t="b">
        <f>H1025='2020'!BH1025</f>
        <v>1</v>
      </c>
    </row>
    <row r="1026" ht="14.25" customHeight="1" hidden="1" spans="1:63" x14ac:dyDescent="0.25">
      <c r="A1026" s="2">
        <v>114</v>
      </c>
      <c r="B1026" s="14">
        <v>4.86</v>
      </c>
      <c r="C1026" s="2" t="s">
        <v>515</v>
      </c>
      <c r="D1026" s="14" t="s">
        <v>44</v>
      </c>
      <c r="E1026" s="2" t="s">
        <v>45</v>
      </c>
      <c r="F1026" s="41">
        <v>2.5</v>
      </c>
      <c r="G1026" s="35">
        <v>2.6</v>
      </c>
      <c r="H1026" s="34">
        <f>'2020'!BH1026</f>
        <v>-389.3</v>
      </c>
      <c r="I1026" s="13">
        <v>263</v>
      </c>
      <c r="J1026" s="15">
        <f>I1026-'2020'!BA1026</f>
        <v>0</v>
      </c>
      <c r="K1026" s="34">
        <f>J1026*$F$8</f>
        <v>0</v>
      </c>
      <c r="L1026" s="28"/>
      <c r="M1026" s="13">
        <v>263</v>
      </c>
      <c r="N1026" s="15">
        <f t="shared" ref="N1026:N1027" si="3719">M1026-I1026</f>
        <v>0</v>
      </c>
      <c r="O1026" s="34">
        <f>N1026*$F$8</f>
        <v>0</v>
      </c>
      <c r="Q1026" s="13">
        <v>263</v>
      </c>
      <c r="R1026" s="15">
        <f t="shared" ref="R1026:R1027" si="3720">Q1026-M1026</f>
        <v>0</v>
      </c>
      <c r="S1026" s="34">
        <f>R1026*$F$8</f>
        <v>0</v>
      </c>
      <c r="T1026" s="28"/>
      <c r="U1026" s="13">
        <v>263</v>
      </c>
      <c r="V1026" s="15">
        <f t="shared" ref="V1026:V1027" si="3721">U1026-Q1026</f>
        <v>0</v>
      </c>
      <c r="W1026" s="34">
        <f>V1026*$F$8</f>
        <v>0</v>
      </c>
      <c r="Y1026" s="186">
        <v>338</v>
      </c>
      <c r="Z1026" s="2">
        <f t="shared" ref="Z1026:Z1027" si="3722">Y1026-U1026</f>
        <v>75</v>
      </c>
      <c r="AA1026" s="34">
        <f>Z1026*$F$8</f>
        <v>195</v>
      </c>
      <c r="AB1026" s="28"/>
      <c r="AC1026" s="15">
        <v>464</v>
      </c>
      <c r="AD1026" s="15">
        <f t="shared" ref="AD1026:AD1027" si="3723">AC1026-Y1026</f>
        <v>126</v>
      </c>
      <c r="AE1026" s="180">
        <f>AD1026*$F$8</f>
        <v>327.6</v>
      </c>
      <c r="AG1026" s="15">
        <v>561</v>
      </c>
      <c r="AH1026" s="2">
        <f t="shared" ref="AH1026:AH1027" si="3724">AG1026-AC1026</f>
        <v>97</v>
      </c>
      <c r="AI1026" s="45">
        <f>AH1026*$G$8</f>
        <v>261.9</v>
      </c>
      <c r="AJ1026" s="187">
        <v>1000</v>
      </c>
      <c r="AK1026" s="13">
        <v>699</v>
      </c>
      <c r="AL1026" s="15">
        <f t="shared" ref="AL1026:AL1027" si="3725">AK1026-AG1026</f>
        <v>138</v>
      </c>
      <c r="AM1026" s="45">
        <f>AL1026*$G$8</f>
        <v>372.6</v>
      </c>
      <c r="AN1026" s="15"/>
      <c r="AO1026" s="13">
        <v>865</v>
      </c>
      <c r="AP1026" s="15">
        <f t="shared" ref="AP1026:AP1027" si="3726">AO1026-AK1026</f>
        <v>166</v>
      </c>
      <c r="AQ1026" s="45">
        <f>AP1026*$G$8</f>
        <v>448.2</v>
      </c>
      <c r="AR1026" s="39"/>
      <c r="AS1026" s="13">
        <v>902</v>
      </c>
      <c r="AT1026" s="15">
        <f t="shared" ref="AT1026:AT1027" si="3727">AS1026-AO1026</f>
        <v>37</v>
      </c>
      <c r="AU1026" s="45">
        <f>AT1026*$G$8</f>
        <v>99.9</v>
      </c>
      <c r="AV1026" s="1">
        <v>500</v>
      </c>
      <c r="AW1026" s="13">
        <v>902</v>
      </c>
      <c r="AX1026" s="15">
        <f t="shared" ref="AX1026:AX1027" si="3728">AW1026-AS1026</f>
        <v>0</v>
      </c>
      <c r="AY1026" s="45">
        <f>AX1026*$G$8</f>
        <v>0</v>
      </c>
      <c r="AZ1026" s="208"/>
      <c r="BA1026" s="13">
        <v>902</v>
      </c>
      <c r="BB1026" s="15">
        <f t="shared" ref="BB1026:BB1027" si="3729">BA1026-AW1026</f>
        <v>0</v>
      </c>
      <c r="BC1026" s="45">
        <f>BB1026*$G$8</f>
        <v>0</v>
      </c>
      <c r="BD1026" s="208"/>
      <c r="BE1026" s="40">
        <f t="shared" ref="BE1026:BG1026" si="3730">J1026+N1026+R1026+V1026+Z1026+AD1026+AH1026+AL1026+AP1026+AT1026+AX1026+BB1026</f>
        <v>639</v>
      </c>
      <c r="BF1026" s="41">
        <f t="shared" si="3730"/>
        <v>1705.2</v>
      </c>
      <c r="BG1026" s="34">
        <f t="shared" si="3730"/>
        <v>1500</v>
      </c>
      <c r="BH1026" s="35">
        <f t="shared" si="3718"/>
        <v>-184.1</v>
      </c>
      <c r="BK1026" s="2" t="b">
        <f>H1026='2020'!BH1026</f>
        <v>1</v>
      </c>
    </row>
    <row r="1027" ht="14.25" customHeight="1" hidden="1" spans="1:63" x14ac:dyDescent="0.25">
      <c r="A1027" s="2">
        <v>114</v>
      </c>
      <c r="B1027" s="14"/>
      <c r="C1027" s="2" t="s">
        <v>435</v>
      </c>
      <c r="D1027" s="14" t="s">
        <v>47</v>
      </c>
      <c r="E1027" s="2" t="s">
        <v>48</v>
      </c>
      <c r="F1027" s="13">
        <v>18.56</v>
      </c>
      <c r="G1027" s="35">
        <v>19.46</v>
      </c>
      <c r="H1027" s="34">
        <f>'2020'!BH1027</f>
        <v>-97.98</v>
      </c>
      <c r="I1027" s="13">
        <v>47</v>
      </c>
      <c r="J1027" s="15"/>
      <c r="K1027" s="15"/>
      <c r="L1027" s="28"/>
      <c r="M1027" s="13">
        <v>47</v>
      </c>
      <c r="N1027" s="15">
        <f t="shared" si="3719"/>
        <v>0</v>
      </c>
      <c r="Q1027" s="13">
        <v>47</v>
      </c>
      <c r="R1027" s="15">
        <f t="shared" si="3720"/>
        <v>0</v>
      </c>
      <c r="S1027" s="15"/>
      <c r="T1027" s="28"/>
      <c r="U1027" s="13">
        <v>47</v>
      </c>
      <c r="V1027" s="15">
        <f t="shared" si="3721"/>
        <v>0</v>
      </c>
      <c r="W1027" s="34">
        <f>V1027*$F$10</f>
        <v>0</v>
      </c>
      <c r="Y1027" s="186">
        <v>50</v>
      </c>
      <c r="Z1027" s="2">
        <f t="shared" si="3722"/>
        <v>3</v>
      </c>
      <c r="AA1027" s="34">
        <f>Z1027*$F$10</f>
        <v>58.38</v>
      </c>
      <c r="AB1027" s="28">
        <v>70</v>
      </c>
      <c r="AC1027" s="13">
        <v>69</v>
      </c>
      <c r="AD1027" s="15">
        <f t="shared" si="3723"/>
        <v>19</v>
      </c>
      <c r="AE1027" s="34">
        <f>AD1027*$F$10</f>
        <v>369.74</v>
      </c>
      <c r="AF1027" s="180"/>
      <c r="AG1027" s="13">
        <v>83</v>
      </c>
      <c r="AH1027" s="2">
        <f t="shared" si="3724"/>
        <v>14</v>
      </c>
      <c r="AI1027" s="45">
        <f>AH1027*$G$10</f>
        <v>284.9</v>
      </c>
      <c r="AJ1027" s="304">
        <v>500</v>
      </c>
      <c r="AK1027" s="13">
        <v>90</v>
      </c>
      <c r="AL1027" s="15">
        <f t="shared" si="3725"/>
        <v>7</v>
      </c>
      <c r="AM1027" s="45">
        <f>AL1027*$G$10</f>
        <v>142.45</v>
      </c>
      <c r="AN1027" s="1">
        <v>500</v>
      </c>
      <c r="AO1027" s="13">
        <v>93</v>
      </c>
      <c r="AP1027" s="15">
        <f t="shared" si="3726"/>
        <v>3</v>
      </c>
      <c r="AQ1027" s="45">
        <f>AP1027*$G$10</f>
        <v>61.05</v>
      </c>
      <c r="AR1027" s="34"/>
      <c r="AS1027" s="13">
        <v>93</v>
      </c>
      <c r="AT1027" s="15">
        <f t="shared" si="3727"/>
        <v>0</v>
      </c>
      <c r="AU1027" s="45">
        <f>AT1027*$G$10</f>
        <v>0</v>
      </c>
      <c r="AV1027" s="15"/>
      <c r="AW1027" s="13">
        <v>93</v>
      </c>
      <c r="AX1027" s="15">
        <f t="shared" si="3728"/>
        <v>0</v>
      </c>
      <c r="AY1027" s="45"/>
      <c r="AZ1027" s="208"/>
      <c r="BA1027" s="13">
        <v>93</v>
      </c>
      <c r="BB1027" s="15">
        <f t="shared" si="3729"/>
        <v>0</v>
      </c>
      <c r="BC1027" s="45"/>
      <c r="BD1027" s="208"/>
      <c r="BE1027" s="40">
        <f t="shared" ref="BE1027:BG1027" si="3731">J1027+N1027+R1027+V1027+Z1027+AD1027+AH1027+AL1027+AP1027+AT1027+AX1027+BB1027</f>
        <v>46</v>
      </c>
      <c r="BF1027" s="41">
        <f t="shared" si="3731"/>
        <v>916.52</v>
      </c>
      <c r="BG1027" s="34">
        <f t="shared" si="3731"/>
        <v>1070</v>
      </c>
      <c r="BH1027" s="35">
        <f t="shared" si="3718"/>
        <v>-251.46</v>
      </c>
      <c r="BK1027" s="2" t="b">
        <f>H1027='2020'!BH1027</f>
        <v>1</v>
      </c>
    </row>
    <row r="1028" ht="14.25" customHeight="1" hidden="1" spans="1:63" x14ac:dyDescent="0.25">
      <c r="A1028" s="2">
        <v>114</v>
      </c>
      <c r="B1028" s="14"/>
      <c r="C1028" s="2" t="s">
        <v>208</v>
      </c>
      <c r="D1028" s="14" t="s">
        <v>47</v>
      </c>
      <c r="E1028" s="2" t="s">
        <v>49</v>
      </c>
      <c r="F1028" s="41">
        <v>500</v>
      </c>
      <c r="G1028" s="28"/>
      <c r="H1028" s="34">
        <f>'2020'!BH1028</f>
        <v>0</v>
      </c>
      <c r="I1028" s="13"/>
      <c r="J1028" s="15"/>
      <c r="K1028" s="15"/>
      <c r="L1028" s="28"/>
      <c r="M1028" s="13"/>
      <c r="N1028" s="15"/>
      <c r="Q1028" s="13"/>
      <c r="R1028" s="15"/>
      <c r="S1028" s="15"/>
      <c r="T1028" s="28"/>
      <c r="U1028" s="13"/>
      <c r="V1028" s="15"/>
      <c r="Y1028" s="186"/>
      <c r="Z1028" s="2"/>
      <c r="AA1028" s="15"/>
      <c r="AB1028" s="28"/>
      <c r="AC1028" s="15"/>
      <c r="AD1028" s="15"/>
      <c r="AG1028" s="15"/>
      <c r="AH1028" s="2"/>
      <c r="AI1028" s="15"/>
      <c r="AJ1028" s="15"/>
      <c r="AK1028" s="13"/>
      <c r="AL1028" s="15"/>
      <c r="AM1028" s="15"/>
      <c r="AN1028" s="15"/>
      <c r="AO1028" s="13"/>
      <c r="AP1028" s="15"/>
      <c r="AQ1028" s="15"/>
      <c r="AR1028" s="15"/>
      <c r="AS1028" s="13"/>
      <c r="AT1028" s="15"/>
      <c r="AU1028" s="15"/>
      <c r="AV1028" s="15"/>
      <c r="AW1028" s="13"/>
      <c r="AX1028" s="15"/>
      <c r="AY1028" s="45"/>
      <c r="AZ1028" s="28"/>
      <c r="BA1028" s="13"/>
      <c r="BB1028" s="15"/>
      <c r="BC1028" s="45"/>
      <c r="BD1028" s="28"/>
      <c r="BE1028" s="14"/>
      <c r="BF1028" s="41">
        <f t="shared" ref="BF1028:BG1028" si="3732">K1028+O1028+S1028+W1028+AA1028+AE1028+AI1028+AM1028+AQ1028+AU1028+AY1028+BC1028</f>
        <v>0</v>
      </c>
      <c r="BG1028" s="34">
        <f t="shared" si="3732"/>
        <v>0</v>
      </c>
      <c r="BH1028" s="35">
        <f t="shared" si="3718"/>
        <v>0</v>
      </c>
      <c r="BK1028" s="2" t="b">
        <f>H1028='2020'!BH1028</f>
        <v>1</v>
      </c>
    </row>
    <row r="1029" ht="14.25" customHeight="1" hidden="1" spans="1:63" x14ac:dyDescent="0.25">
      <c r="A1029" s="2">
        <v>114</v>
      </c>
      <c r="B1029" s="14"/>
      <c r="D1029" s="14" t="s">
        <v>50</v>
      </c>
      <c r="E1029" s="2" t="s">
        <v>49</v>
      </c>
      <c r="F1029" s="41">
        <v>1100</v>
      </c>
      <c r="G1029" s="28"/>
      <c r="H1029" s="34">
        <f>'2020'!BH1029</f>
        <v>-154</v>
      </c>
      <c r="I1029" s="13"/>
      <c r="J1029" s="15"/>
      <c r="K1029" s="15"/>
      <c r="L1029" s="28"/>
      <c r="M1029" s="13"/>
      <c r="N1029" s="15"/>
      <c r="Q1029" s="13"/>
      <c r="R1029" s="15"/>
      <c r="S1029" s="15"/>
      <c r="T1029" s="28"/>
      <c r="U1029" s="13"/>
      <c r="V1029" s="15"/>
      <c r="Y1029" s="186"/>
      <c r="Z1029" s="2"/>
      <c r="AA1029" s="15"/>
      <c r="AB1029" s="28"/>
      <c r="AC1029" s="15"/>
      <c r="AD1029" s="15"/>
      <c r="AE1029" s="34">
        <f>B1026*$F$12</f>
        <v>5346</v>
      </c>
      <c r="AG1029" s="15"/>
      <c r="AH1029" s="2"/>
      <c r="AI1029" s="15"/>
      <c r="AJ1029" s="15"/>
      <c r="AK1029" s="13"/>
      <c r="AL1029" s="15"/>
      <c r="AM1029" s="15"/>
      <c r="AN1029" s="1">
        <v>5200</v>
      </c>
      <c r="AO1029" s="13"/>
      <c r="AP1029" s="15"/>
      <c r="AQ1029" s="15"/>
      <c r="AR1029" s="34"/>
      <c r="AS1029" s="13"/>
      <c r="AT1029" s="15"/>
      <c r="AU1029" s="15"/>
      <c r="AV1029" s="15"/>
      <c r="AW1029" s="13"/>
      <c r="AX1029" s="15"/>
      <c r="AY1029" s="45"/>
      <c r="AZ1029" s="28"/>
      <c r="BA1029" s="13"/>
      <c r="BB1029" s="15"/>
      <c r="BC1029" s="45"/>
      <c r="BD1029" s="28"/>
      <c r="BE1029" s="14"/>
      <c r="BF1029" s="41">
        <f t="shared" ref="BF1029:BG1029" si="3733">K1029+O1029+S1029+W1029+AA1029+AE1029+AI1029+AM1029+AQ1029+AU1029+AY1029+BC1029</f>
        <v>5346</v>
      </c>
      <c r="BG1029" s="34">
        <f t="shared" si="3733"/>
        <v>5200</v>
      </c>
      <c r="BH1029" s="35">
        <f t="shared" si="3718"/>
        <v>-8</v>
      </c>
      <c r="BK1029" s="2" t="b">
        <f>H1029='2020'!BH1029</f>
        <v>1</v>
      </c>
    </row>
    <row r="1030" ht="14.25" customHeight="1" hidden="1" spans="1:63" x14ac:dyDescent="0.25">
      <c r="A1030" s="2">
        <v>114</v>
      </c>
      <c r="B1030" s="14"/>
      <c r="C1030" s="2" t="s">
        <v>516</v>
      </c>
      <c r="D1030" s="14" t="s">
        <v>51</v>
      </c>
      <c r="E1030" s="2" t="s">
        <v>39</v>
      </c>
      <c r="F1030" s="41">
        <v>500</v>
      </c>
      <c r="G1030" s="28"/>
      <c r="H1030" s="34">
        <f>'2020'!BH1030</f>
        <v>500</v>
      </c>
      <c r="I1030" s="13"/>
      <c r="J1030" s="15"/>
      <c r="K1030" s="15"/>
      <c r="L1030" s="28"/>
      <c r="M1030" s="13"/>
      <c r="N1030" s="15"/>
      <c r="Q1030" s="13"/>
      <c r="R1030" s="15"/>
      <c r="S1030" s="15"/>
      <c r="T1030" s="28"/>
      <c r="U1030" s="13"/>
      <c r="V1030" s="15"/>
      <c r="Y1030" s="186"/>
      <c r="Z1030" s="2"/>
      <c r="AA1030" s="15"/>
      <c r="AB1030" s="28">
        <v>500</v>
      </c>
      <c r="AC1030" s="15"/>
      <c r="AD1030" s="15"/>
      <c r="AE1030" s="180">
        <f>$F$13</f>
      </c>
      <c r="AG1030" s="15"/>
      <c r="AH1030" s="2"/>
      <c r="AI1030" s="15"/>
      <c r="AJ1030" s="15"/>
      <c r="AK1030" s="13"/>
      <c r="AL1030" s="15"/>
      <c r="AM1030" s="15"/>
      <c r="AN1030" s="15"/>
      <c r="AO1030" s="13"/>
      <c r="AP1030" s="15"/>
      <c r="AQ1030" s="180"/>
      <c r="AR1030" s="15"/>
      <c r="AS1030" s="13"/>
      <c r="AT1030" s="15"/>
      <c r="AU1030" s="34"/>
      <c r="AV1030" s="15"/>
      <c r="AW1030" s="13"/>
      <c r="AX1030" s="15"/>
      <c r="AY1030" s="45"/>
      <c r="AZ1030" s="28"/>
      <c r="BA1030" s="13"/>
      <c r="BB1030" s="15"/>
      <c r="BC1030" s="45"/>
      <c r="BD1030" s="28"/>
      <c r="BE1030" s="14"/>
      <c r="BF1030" s="41">
        <f t="shared" ref="BF1030:BG1030" si="3734">K1030+O1030+S1030+W1030+AA1030+AE1030+AI1030+AM1030+AQ1030+AU1030+AY1030+BC1030</f>
        <v>0</v>
      </c>
      <c r="BG1030" s="34">
        <f t="shared" si="3734"/>
        <v>500</v>
      </c>
      <c r="BH1030" s="35">
        <f t="shared" si="3718"/>
        <v>0</v>
      </c>
      <c r="BK1030" s="2" t="b">
        <f>H1030='2020'!BH1030</f>
        <v>1</v>
      </c>
    </row>
    <row r="1031" ht="14.25" customHeight="1" hidden="1" spans="1:63" x14ac:dyDescent="0.25">
      <c r="A1031" s="2">
        <v>114</v>
      </c>
      <c r="B1031" s="14"/>
      <c r="D1031" s="14" t="s">
        <v>51</v>
      </c>
      <c r="E1031" s="2" t="s">
        <v>49</v>
      </c>
      <c r="F1031" s="41">
        <v>500</v>
      </c>
      <c r="G1031" s="28"/>
      <c r="H1031" s="34">
        <f>'2020'!BH1031</f>
        <v>130</v>
      </c>
      <c r="I1031" s="13"/>
      <c r="J1031" s="15"/>
      <c r="K1031" s="15"/>
      <c r="L1031" s="28"/>
      <c r="M1031" s="13"/>
      <c r="N1031" s="15"/>
      <c r="Q1031" s="13"/>
      <c r="R1031" s="15"/>
      <c r="S1031" s="15"/>
      <c r="T1031" s="28"/>
      <c r="U1031" s="13"/>
      <c r="V1031" s="15"/>
      <c r="Y1031" s="186"/>
      <c r="Z1031" s="2"/>
      <c r="AA1031" s="15"/>
      <c r="AB1031" s="28">
        <v>130</v>
      </c>
      <c r="AC1031" s="15"/>
      <c r="AD1031" s="15"/>
      <c r="AE1031" s="34"/>
      <c r="AG1031" s="15"/>
      <c r="AH1031" s="2"/>
      <c r="AI1031" s="15"/>
      <c r="AJ1031" s="15"/>
      <c r="AK1031" s="13"/>
      <c r="AL1031" s="15"/>
      <c r="AM1031" s="15"/>
      <c r="AN1031" s="15"/>
      <c r="AO1031" s="13"/>
      <c r="AP1031" s="15"/>
      <c r="AQ1031" s="180">
        <f>B1026*$F$14</f>
        <v>0</v>
      </c>
      <c r="AR1031" s="15"/>
      <c r="AS1031" s="13"/>
      <c r="AT1031" s="15"/>
      <c r="AU1031" s="34"/>
      <c r="AV1031" s="15"/>
      <c r="AW1031" s="13"/>
      <c r="AX1031" s="15"/>
      <c r="AY1031" s="45"/>
      <c r="AZ1031" s="35"/>
      <c r="BA1031" s="13"/>
      <c r="BB1031" s="15"/>
      <c r="BC1031" s="45"/>
      <c r="BD1031" s="28"/>
      <c r="BE1031" s="14"/>
      <c r="BF1031" s="41">
        <f t="shared" ref="BF1031:BG1031" si="3735">K1031+O1031+S1031+W1031+AA1031+AE1031+AI1031+AM1031+AQ1031+AU1031+AY1031+BC1031</f>
        <v>0</v>
      </c>
      <c r="BG1031" s="34">
        <f t="shared" si="3735"/>
        <v>130</v>
      </c>
      <c r="BH1031" s="35">
        <f t="shared" si="3718"/>
        <v>0</v>
      </c>
      <c r="BK1031" s="2" t="b">
        <f>H1031='2020'!BH1031</f>
        <v>1</v>
      </c>
    </row>
    <row r="1032" ht="14.25" customHeight="1" hidden="1" spans="1:63" x14ac:dyDescent="0.25">
      <c r="A1032" s="2">
        <v>114</v>
      </c>
      <c r="B1032" s="14"/>
      <c r="D1032" s="14" t="s">
        <v>52</v>
      </c>
      <c r="E1032" s="2" t="s">
        <v>39</v>
      </c>
      <c r="F1032" s="41">
        <v>500</v>
      </c>
      <c r="G1032" s="28"/>
      <c r="H1032" s="34">
        <f>'2020'!BH1032</f>
        <v>0</v>
      </c>
      <c r="I1032" s="13"/>
      <c r="J1032" s="15"/>
      <c r="K1032" s="15"/>
      <c r="L1032" s="28"/>
      <c r="M1032" s="13"/>
      <c r="N1032" s="15"/>
      <c r="Q1032" s="13"/>
      <c r="R1032" s="15"/>
      <c r="S1032" s="15"/>
      <c r="T1032" s="28"/>
      <c r="U1032" s="13"/>
      <c r="V1032" s="15"/>
      <c r="Y1032" s="186"/>
      <c r="Z1032" s="2"/>
      <c r="AA1032" s="34">
        <f>$F$15</f>
      </c>
      <c r="AB1032" s="28"/>
      <c r="AC1032" s="15"/>
      <c r="AD1032" s="15"/>
      <c r="AG1032" s="15"/>
      <c r="AH1032" s="2"/>
      <c r="AI1032" s="15"/>
      <c r="AJ1032" s="15"/>
      <c r="AK1032" s="13"/>
      <c r="AL1032" s="15"/>
      <c r="AM1032" s="15"/>
      <c r="AN1032" s="15"/>
      <c r="AO1032" s="13"/>
      <c r="AP1032" s="15"/>
      <c r="AQ1032" s="15"/>
      <c r="AR1032" s="15"/>
      <c r="AS1032" s="13"/>
      <c r="AT1032" s="15"/>
      <c r="AU1032" s="15"/>
      <c r="AV1032" s="15"/>
      <c r="AW1032" s="13"/>
      <c r="AX1032" s="15"/>
      <c r="AY1032" s="45"/>
      <c r="AZ1032" s="35"/>
      <c r="BA1032" s="13"/>
      <c r="BB1032" s="15"/>
      <c r="BC1032" s="45"/>
      <c r="BD1032" s="35"/>
      <c r="BE1032" s="14"/>
      <c r="BF1032" s="41">
        <f t="shared" ref="BF1032:BG1032" si="3736">K1032+O1032+S1032+W1032+AA1032+AE1032+AI1032+AM1032+AQ1032+AU1032+AY1032+BC1032</f>
        <v>0</v>
      </c>
      <c r="BG1032" s="34">
        <f t="shared" si="3736"/>
        <v>0</v>
      </c>
      <c r="BH1032" s="35">
        <f t="shared" si="3718"/>
        <v>0</v>
      </c>
      <c r="BK1032" s="2" t="b">
        <f>H1032='2020'!BH1032</f>
        <v>1</v>
      </c>
    </row>
    <row r="1033" ht="14.25" customHeight="1" hidden="1" spans="1:63" x14ac:dyDescent="0.25">
      <c r="A1033" s="247">
        <v>114</v>
      </c>
      <c r="B1033" s="21"/>
      <c r="C1033" s="22" t="s">
        <v>53</v>
      </c>
      <c r="D1033" s="21"/>
      <c r="E1033" s="22"/>
      <c r="F1033" s="20"/>
      <c r="G1033" s="23"/>
      <c r="H1033" s="51">
        <f>SUM(H1025:H1032)</f>
        <v>-0.8</v>
      </c>
      <c r="I1033" s="52"/>
      <c r="J1033" s="53"/>
      <c r="K1033" s="51">
        <f t="shared" ref="K1033:L1033" si="3737">SUM(K1025:K1032)</f>
        <v>0</v>
      </c>
      <c r="L1033" s="68">
        <f t="shared" si="3737"/>
        <v>0</v>
      </c>
      <c r="M1033" s="52"/>
      <c r="N1033" s="15">
        <f>M1033-I1033</f>
        <v>0</v>
      </c>
      <c r="O1033" s="51">
        <f t="shared" ref="O1033:P1033" si="3738">SUM(O1025:O1032)</f>
        <v>0</v>
      </c>
      <c r="P1033" s="51">
        <f t="shared" si="3738"/>
        <v>0</v>
      </c>
      <c r="Q1033" s="52"/>
      <c r="R1033" s="53">
        <f>Q1033-M1033</f>
        <v>0</v>
      </c>
      <c r="S1033" s="51">
        <f t="shared" ref="S1033:T1033" si="3739">SUM(S1025:S1032)</f>
        <v>0</v>
      </c>
      <c r="T1033" s="51">
        <f t="shared" si="3739"/>
        <v>0</v>
      </c>
      <c r="U1033" s="52"/>
      <c r="V1033" s="53">
        <f>U1033-Q1033</f>
        <v>0</v>
      </c>
      <c r="W1033" s="51">
        <f t="shared" ref="W1033:X1033" si="3740">SUM(W1025:W1032)</f>
        <v>0</v>
      </c>
      <c r="X1033" s="51">
        <f t="shared" si="3740"/>
        <v>0</v>
      </c>
      <c r="Y1033" s="300"/>
      <c r="Z1033" s="301">
        <f>Y1033-U1033</f>
        <v>0</v>
      </c>
      <c r="AA1033" s="51">
        <f t="shared" ref="AA1033:AB1033" si="3741">SUM(AA1025:AA1032)</f>
        <v>253.38</v>
      </c>
      <c r="AB1033" s="51">
        <f t="shared" si="3741"/>
        <v>700</v>
      </c>
      <c r="AC1033" s="52"/>
      <c r="AD1033" s="53">
        <f>AC1033-Y1033</f>
        <v>0</v>
      </c>
      <c r="AE1033" s="51">
        <f t="shared" ref="AE1033:AF1033" si="3742">SUM(AE1025:AE1032)</f>
        <v>6043.34</v>
      </c>
      <c r="AF1033" s="51">
        <f t="shared" si="3742"/>
        <v>0</v>
      </c>
      <c r="AG1033" s="52"/>
      <c r="AH1033" s="301">
        <f>AG1033-AC1033</f>
        <v>0</v>
      </c>
      <c r="AI1033" s="183">
        <f t="shared" ref="AI1033:AJ1033" si="3743">SUM(AI1025:AI1032)</f>
        <v>546.8</v>
      </c>
      <c r="AJ1033" s="51">
        <f t="shared" si="3743"/>
        <v>1500</v>
      </c>
      <c r="AK1033" s="52"/>
      <c r="AL1033" s="53">
        <f>AK1033-AG1033</f>
        <v>0</v>
      </c>
      <c r="AM1033" s="51">
        <f t="shared" ref="AM1033:AN1033" si="3744">SUM(AM1025:AM1032)</f>
        <v>515.05</v>
      </c>
      <c r="AN1033" s="51">
        <f t="shared" si="3744"/>
        <v>5700</v>
      </c>
      <c r="AO1033" s="52"/>
      <c r="AP1033" s="53">
        <f>AO1033-AK1033</f>
        <v>0</v>
      </c>
      <c r="AQ1033" s="51">
        <f t="shared" ref="AQ1033:AR1033" si="3745">SUM(AQ1025:AQ1032)</f>
        <v>509.25</v>
      </c>
      <c r="AR1033" s="51">
        <f t="shared" si="3745"/>
        <v>0</v>
      </c>
      <c r="AS1033" s="52"/>
      <c r="AT1033" s="53">
        <f>AS1033-AO1033</f>
        <v>0</v>
      </c>
      <c r="AU1033" s="51">
        <f t="shared" ref="AU1033:AV1033" si="3746">SUM(AU1025:AU1032)</f>
        <v>99.9</v>
      </c>
      <c r="AV1033" s="68">
        <f t="shared" si="3746"/>
        <v>500</v>
      </c>
      <c r="AW1033" s="52"/>
      <c r="AX1033" s="53">
        <f>AW1033-AS1033</f>
        <v>0</v>
      </c>
      <c r="AY1033" s="183">
        <f t="shared" ref="AY1033:AZ1033" si="3747">SUM(AY1025:AY1032)</f>
        <v>0</v>
      </c>
      <c r="AZ1033" s="68">
        <f t="shared" si="3747"/>
        <v>0</v>
      </c>
      <c r="BA1033" s="52"/>
      <c r="BB1033" s="53">
        <f>BA1033-AW1033</f>
        <v>0</v>
      </c>
      <c r="BC1033" s="183">
        <f t="shared" ref="BC1033:BD1033" si="3748">SUM(BC1025:BC1032)</f>
        <v>0</v>
      </c>
      <c r="BD1033" s="68">
        <f t="shared" si="3748"/>
        <v>0</v>
      </c>
      <c r="BE1033" s="69"/>
      <c r="BF1033" s="70">
        <f t="shared" ref="BF1033:BH1033" si="3749">SUM(BF1025:BF1032)</f>
        <v>7967.72</v>
      </c>
      <c r="BG1033" s="71">
        <f t="shared" si="3749"/>
        <v>8400</v>
      </c>
      <c r="BH1033" s="72">
        <f t="shared" si="3749"/>
        <v>-433.08</v>
      </c>
      <c r="BI1033" s="34">
        <f>H1033+BF1033-BG1033</f>
        <v>-433.08</v>
      </c>
      <c r="BJ1033" s="34">
        <f>BH1033-BI1033</f>
        <v>0</v>
      </c>
      <c r="BK1033" s="2" t="b">
        <f>H1033='2020'!BH1033</f>
        <v>1</v>
      </c>
    </row>
    <row r="1034" ht="14.25" customHeight="1" hidden="1" spans="25:40" x14ac:dyDescent="0.25">
      <c r="Y1034" s="15"/>
      <c r="Z1034" s="15"/>
      <c r="AN1034" s="15"/>
    </row>
    <row r="1035" ht="14.25" customHeight="1" hidden="1" spans="2:63" x14ac:dyDescent="0.25">
      <c r="B1035" s="106">
        <f>SUM(B18,B27,B36,B45,B54,B63,B72,B81,B90,B99,B108,B117,B126,B135,B144,B153,B162,B171,B180,B189,B198,B207,B216,B225,B234,B243,B252,B261,B270,B279,B288,B297,B306,B315,B324,B333,B342,B351,B360,B369,B378,B387,B396,B405,B414,B423,B432,B441,B450,B459,B468,B477,B486,B495,B504,B513,B522,B531,B540,B549,B558,B567,B576,B585,B594,B603,B612,B621,B630,B639,B648,B657,B666,B675,B684,B693,B702,B711,B720,B729,B738,B747,B756,B765,B783,B774,B792,B801,B810,B819,B828,B837,B846,B855,B864,B873,B882,B891,B900,B909,B918,B927,B936,B945,B954,B963,B972,B981,B990,B999,B1008,B1017,B1026)</f>
        <v>501.56</v>
      </c>
      <c r="C1035" s="2" t="s">
        <v>350</v>
      </c>
      <c r="H1035" s="107">
        <f>SUM(H16,H25,H34,H43,H52,H61,H70,H79,H88,H97,H106,H115,H124,H133,H142,H151,H160,H169,H178,H187,H196,H205,H214,H223,H232,H241,H250,H259,H268,H277,H286,H295,H304,H313,H322,H331,H340,H349,H358,H367,H376,H385,H394,H403,H412,H421,H430,H439,H448,H457,H466,H475,H484,H493,H502,H511,H520,H529,H538,H547,H556,H565,H574,H583,H592,H601,H610,H619,H628,H637,H646,H655,H664,H673,H682,H691,H700,H709,H718,H727,H736,H745,H754,H763,H772,H781,H790,H799,H808,H817,H826,H835,H844,H853,H862,H871,H880,H889,H898,H907,H916,H925,H934,H943,H952,H961,H970,H979,H988,H997,H1006,H1015,H1024,H1033)</f>
        <v>517928.37</v>
      </c>
      <c r="K1035" s="107">
        <f t="shared" ref="K1035:L1035" si="3750">SUM(K16,K25,K34,K43,K52,K61,K70,K79,K88,K97,K106,K115,K124,K133,K142,K151,K160,K169,K178,K187,K196,K205,K214,K223,K232,K241,K250,K259,K268,K277,K286,K295,K304,K313,K322,K331,K340,K349,K358,K367,K376,K385,K394,K403,K412,K421,K430,K439,K448,K457,K466,K475,K484,K493,K502,K511,K520,K529,K538,K547,K556,K565,K574,K583,K592,K601,K610,K619,K628,K637,K646,K655,K664,K673,K682,K691,K700,K709,K718,K727,K736,K745,K754,K763,K772,K781,K790,K799,K808,K817,K826,K835,K844,K853,K862,K871,K880,K889,K898,K907,K916,K925,K934,K943,K952,K961,K970,K979,K988,K997,K1006,K1015,K1024,K1033)</f>
        <v>56392.16</v>
      </c>
      <c r="L1035" s="107">
        <f t="shared" si="3750"/>
        <v>52104</v>
      </c>
      <c r="O1035" s="107">
        <f t="shared" ref="O1035:P1035" si="3751">SUM(O16,O25,O34,O43,O52,O61,O70,O79,O88,O97,O106,O115,O124,O133,O142,O151,O160,O169,O178,O187,O196,O205,O214,O223,O232,O241,O250,O259,O268,O277,O286,O295,O304,O313,O322,O331,O340,O349,O358,O367,O376,O385,O394,O403,O412,O421,O430,O439,O448,O457,O466,O475,O484,O493,O502,O511,O520,O529,O538,O547,O556,O565,O574,O583,O592,O601,O610,O619,O628,O637,O646,O655,O664,O673,O682,O691,O700,O709,O718,O727,O736,O745,O754,O763,O772,O781,O790,O799,O808,O817,O826,O835,O844,O853,O862,O871,O880,O889,O898,O907,O916,O925,O934,O943,O952,O961,O970,O979,O988,O997,O1006,O1015,O1024,O1033)</f>
        <v>47777.33</v>
      </c>
      <c r="P1035" s="107">
        <f t="shared" si="3751"/>
        <v>62475.2</v>
      </c>
      <c r="S1035" s="107">
        <f t="shared" ref="S1035:T1035" si="3752">SUM(S16,S25,S34,S43,S52,S61,S70,S79,S88,S97,S106,S115,S124,S133,S142,S151,S160,S169,S178,S187,S196,S205,S214,S223,S232,S241,S250,S259,S268,S277,S286,S295,S304,S313,S322,S331,S340,S349,S358,S367,S376,S385,S394,S403,S412,S421,S430,S439,S448,S457,S466,S475,S484,S493,S502,S511,S520,S529,S538,S547,S556,S565,S574,S583,S592,S601,S610,S619,S628,S637,S646,S655,S664,S673,S682,S691,S700,S709,S718,S727,S736,S745,S754,S763,S772,S781,S790,S799,S808,S817,S826,S835,S844,S853,S862,S871,S880,S889,S898,S907,S916,S925,S934,S943,S952,S961,S970,S979,S988,S997,S1006,S1015,S1024,S1033)</f>
        <v>40201.02</v>
      </c>
      <c r="T1035" s="107">
        <f t="shared" si="3752"/>
        <v>71944.739</v>
      </c>
      <c r="W1035" s="107">
        <f t="shared" ref="W1035:X1035" si="3753">SUM(W16,W25,W34,W43,W52,W61,W70,W79,W88,W97,W106,W115,W124,W133,W142,W151,W160,W169,W178,W187,W196,W205,W214,W223,W232,W241,W250,W259,W268,W277,W286,W295,W304,W313,W322,W331,W340,W349,W358,W367,W376,W385,W394,W403,W412,W421,W430,W439,W448,W457,W466,W475,W484,W493,W502,W511,W520,W529,W538,W547,W556,W565,W574,W583,W592,W601,W610,W619,W628,W637,W646,W655,W664,W673,W682,W691,W700,W709,W718,W727,W736,W745,W754,W763,W772,W781,W790,W799,W808,W817,W826,W835,W844,W853,W862,W871,W880,W889,W898,W907,W916,W925,W934,W943,W952,W961,W970,W979,W988,W997,W1006,W1015,W1024,W1033)</f>
        <v>33359.17</v>
      </c>
      <c r="X1035" s="107">
        <f t="shared" si="3753"/>
        <v>64658.913</v>
      </c>
      <c r="AA1035" s="107">
        <f t="shared" ref="AA1035:AB1035" si="3754">SUM(AA16,AA25,AA34,AA43,AA52,AA61,AA70,AA79,AA88,AA97,AA106,AA115,AA124,AA133,AA142,AA151,AA160,AA169,AA178,AA187,AA196,AA205,AA214,AA223,AA232,AA241,AA250,AA259,AA268,AA277,AA286,AA295,AA304,AA313,AA322,AA331,AA340,AA349,AA358,AA367,AA376,AA385,AA394,AA403,AA412,AA421,AA430,AA439,AA448,AA457,AA466,AA475,AA484,AA493,AA502,AA511,AA520,AA529,AA538,AA547,AA556,AA565,AA574,AA583,AA592,AA601,AA610,AA619,AA628,AA637,AA646,AA655,AA664,AA673,AA682,AA691,AA700,AA709,AA718,AA727,AA736,AA745,AA754,AA763,AA772,AA781,AA790,AA799,AA808,AA817,AA826,AA835,AA844,AA853,AA862,AA871,AA880,AA889,AA898,AA907,AA916,AA925,AA934,AA943,AA952,AA961,AA970,AA979,AA988,AA997,AA1006,AA1015,AA1024,AA1033)</f>
        <v>35659.01</v>
      </c>
      <c r="AB1035" s="107">
        <f t="shared" si="3754"/>
        <v>72389.03</v>
      </c>
      <c r="AE1035" s="107">
        <f t="shared" ref="AE1035:AF1035" si="3755">SUM(AE16,AE25,AE34,AE43,AE52,AE61,AE70,AE79,AE88,AE97,AE106,AE115,AE124,AE133,AE142,AE151,AE160,AE169,AE178,AE187,AE196,AE205,AE214,AE223,AE232,AE241,AE250,AE259,AE268,AE277,AE286,AE295,AE304,AE313,AE322,AE331,AE340,AE349,AE358,AE367,AE376,AE385,AE394,AE403,AE412,AE421,AE430,AE439,AE448,AE457,AE466,AE475,AE484,AE493,AE502,AE511,AE520,AE529,AE538,AE547,AE556,AE565,AE574,AE583,AE592,AE601,AE610,AE619,AE628,AE637,AE646,AE655,AE664,AE673,AE682,AE691,AE700,AE709,AE718,AE727,AE736,AE745,AE754,AE763,AE772,AE781,AE790,AE799,AE808,AE817,AE826,AE835,AE844,AE853,AE862,AE871,AE880,AE889,AE898,AE907,AE916,AE925,AE934,AE943,AE952,AE961,AE970,AE979,AE988,AE997,AE1006,AE1015,AE1024,AE1033)</f>
        <v>583288.11</v>
      </c>
      <c r="AF1035" s="107">
        <f t="shared" si="3755"/>
        <v>282792.83</v>
      </c>
      <c r="AI1035" s="107">
        <f t="shared" ref="AI1035:AJ1035" si="3756">SUM(AI16,AI25,AI34,AI43,AI52,AI61,AI70,AI79,AI88,AI97,AI106,AI115,AI124,AI133,AI142,AI151,AI160,AI169,AI178,AI187,AI196,AI205,AI214,AI223,AI232,AI241,AI250,AI259,AI268,AI277,AI286,AI295,AI304,AI313,AI322,AI331,AI340,AI349,AI358,AI367,AI376,AI385,AI394,AI403,AI412,AI421,AI430,AI439,AI448,AI457,AI466,AI475,AI484,AI493,AI502,AI511,AI520,AI529,AI538,AI547,AI556,AI565,AI574,AI583,AI592,AI601,AI610,AI619,AI628,AI637,AI646,AI655,AI664,AI673,AI682,AI691,AI700,AI709,AI718,AI727,AI736,AI745,AI754,AI763,AI772,AI781,AI790,AI799,AI808,AI817,AI826,AI835,AI844,AI853,AI862,AI871,AI880,AI889,AI898,AI907,AI916,AI925,AI934,AI943,AI952,AI961,AI970,AI979,AI988,AI997,AI1006,AI1015,AI1024,AI1033)</f>
        <v>31448.7</v>
      </c>
      <c r="AJ1035" s="107">
        <f t="shared" si="3756"/>
        <v>205329.33</v>
      </c>
      <c r="AM1035" s="107">
        <f t="shared" ref="AM1035:AN1035" si="3757">SUM(AM16,AM25,AM34,AM43,AM52,AM61,AM70,AM79,AM88,AM97,AM106,AM115,AM124,AM133,AM142,AM151,AM160,AM169,AM178,AM187,AM196,AM205,AM214,AM223,AM232,AM241,AM250,AM259,AM268,AM277,AM286,AM295,AM304,AM313,AM322,AM331,AM340,AM349,AM358,AM367,AM376,AM385,AM394,AM403,AM412,AM421,AM430,AM439,AM448,AM457,AM466,AM475,AM484,AM493,AM502,AM511,AM520,AM529,AM538,AM547,AM556,AM565,AM574,AM583,AM592,AM601,AM610,AM619,AM628,AM637,AM646,AM655,AM664,AM673,AM682,AM691,AM700,AM709,AM718,AM727,AM736,AM745,AM754,AM763,AM772,AM781,AM790,AM799,AM808,AM817,AM826,AM835,AM844,AM853,AM862,AM871,AM880,AM889,AM898,AM907,AM916,AM925,AM934,AM943,AM952,AM961,AM970,AM979,AM988,AM997,AM1006,AM1015,AM1024,AM1033)</f>
        <v>31330.18</v>
      </c>
      <c r="AN1035" s="107">
        <f t="shared" si="3757"/>
        <v>134287.86</v>
      </c>
      <c r="AQ1035" s="107">
        <f t="shared" ref="AQ1035:AR1035" si="3758">SUM(AQ16,AQ25,AQ34,AQ43,AQ52,AQ61,AQ70,AQ79,AQ88,AQ97,AQ106,AQ115,AQ124,AQ133,AQ142,AQ151,AQ160,AQ169,AQ178,AQ187,AQ196,AQ205,AQ214,AQ223,AQ232,AQ241,AQ250,AQ259,AQ268,AQ277,AQ286,AQ295,AQ304,AQ313,AQ322,AQ331,AQ340,AQ349,AQ358,AQ367,AQ376,AQ385,AQ394,AQ403,AQ412,AQ421,AQ430,AQ439,AQ448,AQ457,AQ466,AQ475,AQ484,AQ493,AQ502,AQ511,AQ520,AQ529,AQ538,AQ547,AQ556,AQ565,AQ574,AQ583,AQ592,AQ601,AQ610,AQ619,AQ628,AQ637,AQ646,AQ655,AQ664,AQ673,AQ682,AQ691,AQ700,AQ709,AQ718,AQ727,AQ736,AQ745,AQ754,AQ763,AQ772,AQ781,AQ790,AQ799,AQ808,AQ817,AQ826,AQ835,AQ844,AQ853,AQ862,AQ871,AQ880,AQ889,AQ898,AQ907,AQ916,AQ925,AQ934,AQ943,AQ952,AQ961,AQ970,AQ979,AQ988,AQ997,AQ1006,AQ1015,AQ1024,AQ1033)</f>
        <v>36775.17</v>
      </c>
      <c r="AR1035" s="107">
        <f t="shared" si="3758"/>
        <v>58873.05</v>
      </c>
      <c r="AU1035" s="107">
        <f t="shared" ref="AU1035:AV1035" si="3759">SUM(AU16,AU25,AU34,AU43,AU52,AU61,AU70,AU79,AU88,AU97,AU106,AU115,AU124,AU133,AU142,AU151,AU160,AU169,AU178,AU187,AU196,AU205,AU214,AU223,AU232,AU241,AU250,AU259,AU268,AU277,AU286,AU295,AU304,AU313,AU322,AU331,AU340,AU349,AU358,AU367,AU376,AU385,AU394,AU403,AU412,AU421,AU430,AU439,AU448,AU457,AU466,AU475,AU484,AU493,AU502,AU511,AU520,AU529,AU538,AU547,AU556,AU565,AU574,AU583,AU592,AU601,AU610,AU619,AU628,AU637,AU646,AU655,AU664,AU673,AU682,AU691,AU700,AU709,AU718,AU727,AU736,AU745,AU754,AU763,AU772,AU781,AU790,AU799,AU808,AU817,AU826,AU835,AU844,AU853,AU862,AU871,AU880,AU889,AU898,AU907,AU916,AU925,AU934,AU943,AU952,AU961,AU970,AU979,AU988,AU997,AU1006,AU1015,AU1024,AU1033)</f>
        <v>41077.24</v>
      </c>
      <c r="AV1035" s="107">
        <f t="shared" si="3759"/>
        <v>38746.6</v>
      </c>
      <c r="AY1035" s="107">
        <f t="shared" ref="AY1035:AZ1035" si="3760">SUM(AY16,AY25,AY34,AY43,AY52,AY61,AY70,AY79,AY88,AY97,AY106,AY115,AY124,AY133,AY142,AY151,AY160,AY169,AY178,AY187,AY196,AY205,AY214,AY223,AY232,AY241,AY250,AY259,AY268,AY277,AY286,AY295,AY304,AY313,AY322,AY331,AY340,AY349,AY358,AY367,AY376,AY385,AY394,AY403,AY412,AY421,AY430,AY439,AY448,AY457,AY466,AY475,AY484,AY493,AY502,AY511,AY520,AY529,AY538,AY547,AY556,AY565,AY574,AY583,AY592,AY601,AY610,AY619,AY628,AY637,AY646,AY655,AY664,AY673,AY682,AY691,AY700,AY709,AY718,AY727,AY736,AY745,AY754,AY763,AY772,AY781,AY790,AY799,AY808,AY817,AY826,AY835,AY844,AY853,AY862,AY871,AY880,AY889,AY898,AY907,AY916,AY925,AY934,AY943,AY952,AY961,AY970,AY979,AY988,AY997,AY1006,AY1015,AY1024,AY1033)</f>
        <v>55518.17</v>
      </c>
      <c r="AZ1035" s="107">
        <f t="shared" si="3760"/>
        <v>49563.89</v>
      </c>
      <c r="BC1035" s="107">
        <f t="shared" ref="BC1035:BD1035" si="3761">SUM(BC16,BC25,BC34,BC43,BC52,BC61,BC70,BC79,BC88,BC97,BC106,BC115,BC124,BC133,BC142,BC151,BC160,BC169,BC178,BC187,BC196,BC205,BC214,BC223,BC232,BC241,BC250,BC259,BC268,BC277,BC286,BC295,BC304,BC313,BC322,BC331,BC340,BC349,BC358,BC367,BC376,BC385,BC394,BC403,BC412,BC421,BC430,BC439,BC448,BC457,BC466,BC475,BC484,BC493,BC502,BC511,BC520,BC529,BC538,BC547,BC556,BC565,BC574,BC583,BC592,BC601,BC610,BC619,BC628,BC637,BC646,BC655,BC664,BC673,BC682,BC691,BC700,BC709,BC718,BC727,BC736,BC745,BC754,BC763,BC772,BC781,BC790,BC799,BC808,BC817,BC826,BC835,BC844,BC853,BC862,BC871,BC880,BC889,BC898,BC907,BC916,BC925,BC934,BC943,BC952,BC961,BC970,BC979,BC988,BC997,BC1006,BC1015,BC1024,BC1033)</f>
        <v>40475.14</v>
      </c>
      <c r="BD1035" s="107">
        <f t="shared" si="3761"/>
        <v>88601.2</v>
      </c>
      <c r="BE1035" s="107"/>
      <c r="BF1035" s="107">
        <f t="shared" ref="BF1035:BH1035" si="3762">SUM(BF16,BF25,BF34,BF43,BF52,BF61,BF70,BF79,BF88,BF97,BF106,BF115,BF124,BF133,BF142,BF151,BF160,BF169,BF178,BF187,BF196,BF205,BF214,BF223,BF232,BF241,BF250,BF259,BF268,BF277,BF286,BF295,BF304,BF313,BF322,BF331,BF340,BF349,BF358,BF367,BF376,BF385,BF394,BF403,BF412,BF421,BF430,BF439,BF448,BF457,BF466,BF475,BF484,BF493,BF502,BF511,BF520,BF529,BF538,BF547,BF556,BF565,BF574,BF583,BF592,BF601,BF610,BF619,BF628,BF637,BF646,BF655,BF664,BF673,BF682,BF691,BF700,BF709,BF718,BF727,BF736,BF745,BF754,BF763,BF772,BF781,BF790,BF799,BF808,BF817,BF826,BF835,BF844,BF853,BF862,BF871,BF880,BF889,BF898,BF907,BF916,BF925,BF934,BF943,BF952,BF961,BF970,BF979,BF988,BF997,BF1006,BF1015,BF1024,BF1033)</f>
        <v>1033301.4</v>
      </c>
      <c r="BG1035" s="107">
        <f t="shared" si="3762"/>
        <v>1181766.642</v>
      </c>
      <c r="BH1035" s="107">
        <f t="shared" si="3762"/>
        <v>369463.128</v>
      </c>
      <c r="BI1035" s="34">
        <f>H1035+BF1035-BG1035</f>
        <v>369463.128</v>
      </c>
      <c r="BJ1035" s="34">
        <f>BH1035-BI1035</f>
        <v>1.164153218e-10</v>
      </c>
      <c r="BK1035" s="2" t="b">
        <f>H1035='2020'!BH1035</f>
        <v>0</v>
      </c>
    </row>
    <row r="1036" ht="14.25" customHeight="1" hidden="1" spans="3:60" x14ac:dyDescent="0.25">
      <c r="C1036" s="2" t="s">
        <v>351</v>
      </c>
      <c r="D1036" s="155" t="s">
        <v>517</v>
      </c>
      <c r="H1036" s="136">
        <f t="shared" ref="H1036:H1037" si="3763">SUM(H7,H17,H26,H35,H44,H53,H62,H71,H80,H89,H98,H107,H116,H125,H134,H143,H152,H161,H170,H179,H188,H197,H206,H215,H224,H233,H242,H251,H260,H269,H278,H287,H296,H305,H314,H323,H332,H341,H350,H359,H368,H377,H386,H395,H404,H413,H422,H431,H440,H449,H458,H467,H476,H485,H494,H503,H512,H521,H530,H539,H548,H557,H566,H575,H584,H593,H602,H611,H620,H629,H638,H647,H656,H665,H674,H683,H692,H701,H710,H719,H728,H737,H746,H755,H764,H773,H782,H791,H800,H809,H818,H827,H836,H845,H854,H863,H872,H881,H890,H899,H908,H917,H926,H935,H944,H953,H962,H971,H980,H989,H998,H1007,H1016,H1025)</f>
        <v>13160.66</v>
      </c>
      <c r="K1036" s="136">
        <f t="shared" ref="K1036:L1036" si="3764">SUM(K7,K17,K26,K35,K44,K53,K62,K71,K80,K89,K98,K107,K116,K125,K134,K143,K152,K161,K170,K179,K188,K197,K206,K215,K224,K233,K242,K251,K260,K269,K278,K287,K296,K305,K314,K323,K332,K341,K350,K359,K368,K377,K386,K395,K404,K413,K422,K431,K440,K449,K458,K467,K476,K485,K494,K503,K512,K521,K530,K539,K548,K557,K566,K575,K584,K593,K602,K611,K620,K629,K638,K647,K656,K665,K674,K683,K692,K701,K710,K719,K728,K737,K746,K755,K764,K773,K782,K791,K800,K809,K818,K827,K836,K845,K854,K863,K872,K881,K890,K899,K908,K917,K926,K935,K944,K953,K962,K971,K980,K989,K998,K1007,K1016,K1025)</f>
        <v>616.96</v>
      </c>
      <c r="L1036" s="34">
        <f t="shared" si="3764"/>
        <v>29.89</v>
      </c>
      <c r="O1036" s="136">
        <f t="shared" ref="O1036:P1036" si="3765">SUM(O7,O17,O26,O35,O44,O53,O62,O71,O80,O89,O98,O107,O116,O125,O134,O143,O152,O161,O170,O179,O188,O197,O206,O215,O224,O233,O242,O251,O260,O269,O278,O287,O296,O305,O314,O323,O332,O341,O350,O359,O368,O377,O386,O395,O404,O413,O422,O431,O440,O449,O458,O467,O476,O485,O494,O503,O512,O521,O530,O539,O548,O557,O566,O575,O584,O593,O602,O611,O620,O629,O638,O647,O656,O665,O674,O683,O692,O701,O710,O719,O728,O737,O746,O755,O764,O773,O782,O791,O800,O809,O818,O827,O836,O845,O854,O863,O872,O881,O890,O899,O908,O917,O926,O935,O944,O953,O962,O971,O980,O989,O998,O1007,O1016,O1025)</f>
        <v>509.33</v>
      </c>
      <c r="P1036" s="34">
        <f t="shared" si="3765"/>
        <v>0</v>
      </c>
      <c r="S1036" s="136">
        <f t="shared" ref="S1036:T1036" si="3766">SUM(S7,S17,S26,S35,S44,S53,S62,S71,S80,S89,S98,S107,S116,S125,S134,S143,S152,S161,S170,S179,S188,S197,S206,S215,S224,S233,S242,S251,S260,S269,S278,S287,S296,S305,S314,S323,S332,S341,S350,S359,S368,S377,S386,S395,S404,S413,S422,S431,S440,S449,S458,S467,S476,S485,S494,S503,S512,S521,S530,S539,S548,S557,S566,S575,S584,S593,S602,S611,S620,S629,S638,S647,S656,S665,S674,S683,S692,S701,S710,S719,S728,S737,S746,S755,S764,S773,S782,S791,S800,S809,S818,S827,S836,S845,S854,S863,S872,S881,S890,S899,S908,S917,S926,S935,S944,S953,S962,S971,S980,S989,S998,S1007,S1016,S1025)</f>
        <v>522.42</v>
      </c>
      <c r="T1036" s="34">
        <f t="shared" si="3766"/>
        <v>306.18</v>
      </c>
      <c r="W1036" s="136">
        <f t="shared" ref="W1036:X1036" si="3767">SUM(W7,W17,W26,W35,W44,W53,W62,W71,W80,W89,W98,W107,W116,W125,W134,W143,W152,W161,W170,W179,W188,W197,W206,W215,W224,W233,W242,W251,W260,W269,W278,W287,W296,W305,W314,W323,W332,W341,W350,W359,W368,W377,W386,W395,W404,W413,W422,W431,W440,W449,W458,W467,W476,W485,W494,W503,W512,W521,W530,W539,W548,W557,W566,W575,W584,W593,W602,W611,W620,W629,W638,W647,W656,W665,W674,W683,W692,W701,W710,W719,W728,W737,W746,W755,W764,W773,W782,W791,W800,W809,W818,W827,W836,W845,W854,W863,W872,W881,W890,W899,W908,W917,W926,W935,W944,W953,W962,W971,W980,W989,W998,W1007,W1016,W1025)</f>
        <v>503.77</v>
      </c>
      <c r="X1036" s="34">
        <f t="shared" si="3767"/>
        <v>0</v>
      </c>
      <c r="AA1036" s="136">
        <f t="shared" ref="AA1036:AB1036" si="3768">SUM(AA7,AA17,AA26,AA35,AA44,AA53,AA62,AA71,AA80,AA89,AA98,AA107,AA116,AA125,AA134,AA143,AA152,AA161,AA170,AA179,AA188,AA197,AA206,AA215,AA224,AA233,AA242,AA251,AA260,AA269,AA278,AA287,AA296,AA305,AA314,AA323,AA332,AA341,AA350,AA359,AA368,AA377,AA386,AA395,AA404,AA413,AA422,AA431,AA440,AA449,AA458,AA467,AA476,AA485,AA494,AA503,AA512,AA521,AA530,AA539,AA548,AA557,AA566,AA575,AA584,AA593,AA602,AA611,AA620,AA629,AA638,AA647,AA656,AA665,AA674,AA683,AA692,AA701,AA710,AA719,AA728,AA737,AA746,AA755,AA764,AA773,AA782,AA791,AA800,AA809,AA818,AA827,AA836,AA845,AA854,AA863,AA872,AA881,AA890,AA899,AA908,AA917,AA926,AA935,AA944,AA953,AA962,AA971,AA980,AA989,AA998,AA1007,AA1016,AA1025)</f>
        <v>456.71</v>
      </c>
      <c r="AB1036" s="34">
        <f t="shared" si="3768"/>
        <v>227.34</v>
      </c>
      <c r="AE1036" s="136">
        <f t="shared" ref="AE1036:AF1036" si="3769">SUM(AE7,AE17,AE26,AE35,AE44,AE53,AE62,AE71,AE80,AE89,AE98,AE107,AE116,AE125,AE134,AE143,AE152,AE161,AE170,AE179,AE188,AE197,AE206,AE215,AE224,AE233,AE242,AE251,AE260,AE269,AE278,AE287,AE296,AE305,AE314,AE323,AE332,AE341,AE350,AE359,AE368,AE377,AE386,AE395,AE404,AE413,AE422,AE431,AE440,AE449,AE458,AE467,AE476,AE485,AE494,AE503,AE512,AE521,AE530,AE539,AE548,AE557,AE566,AE575,AE584,AE593,AE602,AE611,AE620,AE629,AE638,AE647,AE656,AE665,AE674,AE683,AE692,AE701,AE710,AE719,AE728,AE737,AE746,AE755,AE764,AE773,AE782,AE791,AE800,AE809,AE818,AE827,AE836,AE845,AE854,AE863,AE872,AE881,AE890,AE899,AE908,AE917,AE926,AE935,AE944,AE953,AE962,AE971,AE980,AE989,AE998,AE1007,AE1016,AE1025)</f>
        <v>428.83</v>
      </c>
      <c r="AF1036" s="34">
        <f t="shared" si="3769"/>
        <v>1048.42</v>
      </c>
      <c r="AI1036" s="136">
        <f t="shared" ref="AI1036:AJ1036" si="3770">SUM(AI7,AI17,AI26,AI35,AI44,AI53,AI62,AI71,AI80,AI89,AI98,AI107,AI116,AI125,AI134,AI143,AI152,AI161,AI170,AI179,AI188,AI197,AI206,AI215,AI224,AI233,AI242,AI251,AI260,AI269,AI278,AI287,AI296,AI305,AI314,AI323,AI332,AI341,AI350,AI359,AI368,AI377,AI386,AI395,AI404,AI413,AI422,AI431,AI440,AI449,AI458,AI467,AI476,AI485,AI494,AI503,AI512,AI521,AI530,AI539,AI548,AI557,AI566,AI575,AI584,AI593,AI602,AI611,AI620,AI629,AI638,AI647,AI656,AI665,AI674,AI683,AI692,AI701,AI710,AI719,AI728,AI737,AI746,AI755,AI764,AI773,AI782,AI791,AI800,AI809,AI818,AI827,AI836,AI845,AI854,AI863,AI872,AI881,AI890,AI899,AI908,AI917,AI926,AI935,AI944,AI953,AI962,AI971,AI980,AI989,AI998,AI1007,AI1016,AI1025)</f>
        <v>0</v>
      </c>
      <c r="AJ1036" s="34">
        <f t="shared" si="3770"/>
        <v>827</v>
      </c>
      <c r="AM1036" s="136">
        <f t="shared" ref="AM1036:AN1036" si="3771">SUM(AM7,AM17,AM26,AM35,AM44,AM53,AM62,AM71,AM80,AM89,AM98,AM107,AM116,AM125,AM134,AM143,AM152,AM161,AM170,AM179,AM188,AM197,AM206,AM215,AM224,AM233,AM242,AM251,AM260,AM269,AM278,AM287,AM296,AM305,AM314,AM323,AM332,AM341,AM350,AM359,AM368,AM377,AM386,AM395,AM404,AM413,AM422,AM431,AM440,AM449,AM458,AM467,AM476,AM485,AM494,AM503,AM512,AM521,AM530,AM539,AM548,AM557,AM566,AM575,AM584,AM593,AM602,AM611,AM620,AM629,AM638,AM647,AM656,AM665,AM674,AM683,AM692,AM701,AM710,AM719,AM728,AM737,AM746,AM755,AM764,AM773,AM782,AM791,AM800,AM809,AM818,AM827,AM836,AM845,AM854,AM863,AM872,AM881,AM890,AM899,AM908,AM917,AM926,AM935,AM944,AM953,AM962,AM971,AM980,AM989,AM998,AM1007,AM1016,AM1025)</f>
        <v>377.98</v>
      </c>
      <c r="AN1036" s="34">
        <f t="shared" si="3771"/>
        <v>104.05</v>
      </c>
      <c r="AQ1036" s="136">
        <f t="shared" ref="AQ1036:AR1036" si="3772">SUM(AQ7,AQ17,AQ26,AQ35,AQ44,AQ53,AQ62,AQ71,AQ80,AQ89,AQ98,AQ107,AQ116,AQ125,AQ134,AQ143,AQ152,AQ161,AQ170,AQ179,AQ188,AQ197,AQ206,AQ215,AQ224,AQ233,AQ242,AQ251,AQ260,AQ269,AQ278,AQ287,AQ296,AQ305,AQ314,AQ323,AQ332,AQ341,AQ350,AQ359,AQ368,AQ377,AQ386,AQ395,AQ404,AQ413,AQ422,AQ431,AQ440,AQ449,AQ458,AQ467,AQ476,AQ485,AQ494,AQ503,AQ512,AQ521,AQ530,AQ539,AQ548,AQ557,AQ566,AQ575,AQ584,AQ593,AQ602,AQ611,AQ620,AQ629,AQ638,AQ647,AQ656,AQ665,AQ674,AQ683,AQ692,AQ701,AQ710,AQ719,AQ728,AQ737,AQ746,AQ755,AQ764,AQ773,AQ782,AQ791,AQ800,AQ809,AQ818,AQ827,AQ836,AQ845,AQ854,AQ863,AQ872,AQ881,AQ890,AQ899,AQ908,AQ917,AQ926,AQ935,AQ944,AQ953,AQ962,AQ971,AQ980,AQ989,AQ998,AQ1007,AQ1016,AQ1025)</f>
        <v>1064.02</v>
      </c>
      <c r="AR1036" s="34">
        <f t="shared" si="3772"/>
        <v>10.02</v>
      </c>
      <c r="AU1036" s="136">
        <f t="shared" ref="AU1036:AV1036" si="3773">SUM(AU7,AU17,AU26,AU35,AU44,AU53,AU62,AU71,AU80,AU89,AU98,AU107,AU116,AU125,AU134,AU143,AU152,AU161,AU170,AU179,AU188,AU197,AU206,AU215,AU224,AU233,AU242,AU251,AU260,AU269,AU278,AU287,AU296,AU305,AU314,AU323,AU332,AU341,AU350,AU359,AU368,AU377,AU386,AU395,AU404,AU413,AU422,AU431,AU440,AU449,AU458,AU467,AU476,AU485,AU494,AU503,AU512,AU521,AU530,AU539,AU548,AU557,AU566,AU575,AU584,AU593,AU602,AU611,AU620,AU629,AU638,AU647,AU656,AU665,AU674,AU683,AU692,AU701,AU710,AU719,AU728,AU737,AU746,AU755,AU764,AU773,AU782,AU791,AU800,AU809,AU818,AU827,AU836,AU845,AU854,AU863,AU872,AU881,AU890,AU899,AU908,AU917,AU926,AU935,AU944,AU953,AU962,AU971,AU980,AU989,AU998,AU1007,AU1016,AU1025)</f>
        <v>42.64</v>
      </c>
      <c r="AV1036" s="34">
        <f t="shared" si="3773"/>
        <v>26.2</v>
      </c>
      <c r="AY1036" s="136">
        <f t="shared" ref="AY1036:AZ1036" si="3774">SUM(AY7,AY17,AY26,AY35,AY44,AY53,AY62,AY71,AY80,AY89,AY98,AY107,AY116,AY125,AY134,AY143,AY152,AY161,AY170,AY179,AY188,AY197,AY206,AY215,AY224,AY233,AY242,AY251,AY260,AY269,AY278,AY287,AY296,AY305,AY314,AY323,AY332,AY341,AY350,AY359,AY368,AY377,AY386,AY395,AY404,AY413,AY422,AY431,AY440,AY449,AY458,AY467,AY476,AY485,AY494,AY503,AY512,AY521,AY530,AY539,AY548,AY557,AY566,AY575,AY584,AY593,AY602,AY611,AY620,AY629,AY638,AY647,AY656,AY665,AY674,AY683,AY692,AY701,AY710,AY719,AY728,AY737,AY746,AY755,AY764,AY773,AY782,AY791,AY800,AY809,AY818,AY827,AY836,AY845,AY854,AY863,AY872,AY881,AY890,AY899,AY908,AY917,AY926,AY935,AY944,AY953,AY962,AY971,AY980,AY989,AY998,AY1007,AY1016,AY1025)</f>
        <v>41.27</v>
      </c>
      <c r="AZ1036" s="34">
        <f t="shared" si="3774"/>
        <v>11.74</v>
      </c>
      <c r="BC1036" s="136">
        <f t="shared" ref="BC1036:BD1036" si="3775">SUM(BC7,BC17,BC26,BC35,BC44,BC53,BC62,BC71,BC80,BC89,BC98,BC107,BC116,BC125,BC134,BC143,BC152,BC161,BC170,BC179,BC188,BC197,BC206,BC215,BC224,BC233,BC242,BC251,BC260,BC269,BC278,BC287,BC296,BC305,BC314,BC323,BC332,BC341,BC350,BC359,BC368,BC377,BC386,BC395,BC404,BC413,BC422,BC431,BC440,BC449,BC458,BC467,BC476,BC485,BC494,BC503,BC512,BC521,BC530,BC539,BC548,BC557,BC566,BC575,BC584,BC593,BC602,BC611,BC620,BC629,BC638,BC647,BC656,BC665,BC674,BC683,BC692,BC701,BC710,BC719,BC728,BC737,BC746,BC755,BC764,BC773,BC782,BC791,BC800,BC809,BC818,BC827,BC836,BC845,BC854,BC863,BC872,BC881,BC890,BC899,BC908,BC917,BC926,BC935,BC944,BC953,BC962,BC971,BC980,BC989,BC998,BC1007,BC1016,BC1025)</f>
        <v>42.64</v>
      </c>
      <c r="BD1036" s="34">
        <f t="shared" si="3775"/>
        <v>58</v>
      </c>
      <c r="BE1036" s="41"/>
      <c r="BF1036" s="263">
        <f t="shared" ref="BF1036:BH1036" si="3776">SUM(BF7,BF17,BF26,BF35,BF44,BF53,BF62,BF71,BF80,BF89,BF98,BF107,BF116,BF125,BF134,BF143,BF152,BF161,BF170,BF179,BF188,BF197,BF206,BF215,BF224,BF233,BF242,BF251,BF260,BF269,BF278,BF287,BF296,BF305,BF314,BF323,BF332,BF341,BF350,BF359,BF368,BF377,BF386,BF395,BF404,BF413,BF422,BF431,BF440,BF449,BF458,BF467,BF476,BF485,BF494,BF503,BF512,BF521,BF530,BF539,BF548,BF557,BF566,BF575,BF584,BF593,BF602,BF611,BF620,BF629,BF638,BF647,BF656,BF665,BF674,BF683,BF692,BF701,BF710,BF719,BF728,BF737,BF746,BF755,BF764,BF773,BF782,BF791,BF800,BF809,BF818,BF827,BF836,BF845,BF854,BF863,BF872,BF881,BF890,BF899,BF908,BF917,BF926,BF935,BF944,BF953,BF962,BF971,BF980,BF989,BF998,BF1007,BF1016,BF1025)</f>
        <v>4606.57</v>
      </c>
      <c r="BG1036" s="170">
        <f t="shared" si="3776"/>
        <v>2648.84</v>
      </c>
      <c r="BH1036" s="172">
        <f t="shared" si="3776"/>
        <v>15118.39</v>
      </c>
    </row>
    <row r="1037" ht="14.25" customHeight="1" hidden="1" spans="4:60" x14ac:dyDescent="0.25">
      <c r="D1037" s="15" t="s">
        <v>44</v>
      </c>
      <c r="E1037" s="2" t="s">
        <v>45</v>
      </c>
      <c r="H1037" s="34">
        <f t="shared" si="3763"/>
        <v>31295.66</v>
      </c>
      <c r="I1037" s="37">
        <f t="shared" ref="I1037:BD1037" si="3777">SUM(I8,I18,I27,I36,I45,I54,I63,I72,I81,I90,I99,I108,I117,I126,I135,I144,I153,I162,I171,I180,I189,I198,I207,I216,I225,I234,I243,I252,I261,I270,I279,I288,I297,I306,I315,I324,I333,I342,I351,I360,I369,I378,I387,I396,I405,I414,I423,I432,I441,I450,I459,I468,I477,I486,I495,I504,I513,I522,I531,I540,I549,I558,I567,I576,I585,I594,I603,I612,I621,I630,I639,I648,I657,I666,I675,I684,I693,I702,I711,I720,I729,I738,I747,I756,I765,I774,I783,I792,I801,I810,I819,I828,I837,I846,I855,I864,I873,I882,I891,I900,I909,I918,I927,I936,I945,I954,I963,I972,I981,I990,I999,I1008,I1017,I1026)</f>
        <v>273144</v>
      </c>
      <c r="J1037" s="37">
        <f t="shared" si="3777"/>
        <v>21452</v>
      </c>
      <c r="K1037" s="34">
        <f t="shared" si="3777"/>
        <v>55775.2</v>
      </c>
      <c r="L1037" s="34">
        <f t="shared" si="3777"/>
        <v>43882</v>
      </c>
      <c r="M1037" s="37">
        <f t="shared" si="3777"/>
        <v>291324</v>
      </c>
      <c r="N1037" s="37">
        <f t="shared" si="3777"/>
        <v>18180</v>
      </c>
      <c r="O1037" s="34">
        <f t="shared" si="3777"/>
        <v>47268</v>
      </c>
      <c r="P1037" s="34">
        <f t="shared" si="3777"/>
        <v>34410.2</v>
      </c>
      <c r="Q1037" s="37">
        <f t="shared" si="3777"/>
        <v>306585</v>
      </c>
      <c r="R1037" s="37">
        <f t="shared" si="3777"/>
        <v>15261</v>
      </c>
      <c r="S1037" s="34">
        <f t="shared" si="3777"/>
        <v>39678.6</v>
      </c>
      <c r="T1037" s="34">
        <f t="shared" si="3777"/>
        <v>58024.949</v>
      </c>
      <c r="U1037" s="37">
        <f t="shared" si="3777"/>
        <v>319072</v>
      </c>
      <c r="V1037" s="37">
        <f t="shared" si="3777"/>
        <v>12487</v>
      </c>
      <c r="W1037" s="34">
        <f t="shared" si="3777"/>
        <v>32466.2</v>
      </c>
      <c r="X1037" s="34">
        <f t="shared" si="3777"/>
        <v>26686.33</v>
      </c>
      <c r="Y1037" s="37">
        <f t="shared" si="3777"/>
        <v>308156</v>
      </c>
      <c r="Z1037" s="37">
        <f t="shared" si="3777"/>
        <v>10171</v>
      </c>
      <c r="AA1037" s="34">
        <f t="shared" si="3777"/>
        <v>26444.6</v>
      </c>
      <c r="AB1037" s="34">
        <f t="shared" si="3777"/>
        <v>25007.73</v>
      </c>
      <c r="AC1037" s="37">
        <f t="shared" si="3777"/>
        <v>316332</v>
      </c>
      <c r="AD1037" s="37">
        <f t="shared" si="3777"/>
        <v>8176</v>
      </c>
      <c r="AE1037" s="34">
        <f t="shared" si="3777"/>
        <v>21257.6</v>
      </c>
      <c r="AF1037" s="34">
        <f t="shared" si="3777"/>
        <v>38749.9</v>
      </c>
      <c r="AG1037" s="37">
        <f t="shared" si="3777"/>
        <v>324596</v>
      </c>
      <c r="AH1037" s="37">
        <f t="shared" si="3777"/>
        <v>8663</v>
      </c>
      <c r="AI1037" s="34">
        <f t="shared" si="3777"/>
        <v>23390.1</v>
      </c>
      <c r="AJ1037" s="34">
        <f t="shared" si="3777"/>
        <v>18071.97</v>
      </c>
      <c r="AK1037" s="37">
        <f t="shared" si="3777"/>
        <v>333256</v>
      </c>
      <c r="AL1037" s="37">
        <f t="shared" si="3777"/>
        <v>8660</v>
      </c>
      <c r="AM1037" s="34">
        <f t="shared" si="3777"/>
        <v>23382</v>
      </c>
      <c r="AN1037" s="34">
        <f t="shared" si="3777"/>
        <v>20514.25</v>
      </c>
      <c r="AO1037" s="37">
        <f t="shared" si="3777"/>
        <v>344788</v>
      </c>
      <c r="AP1037" s="37">
        <f t="shared" si="3777"/>
        <v>11532</v>
      </c>
      <c r="AQ1037" s="34">
        <f t="shared" si="3777"/>
        <v>31091.7</v>
      </c>
      <c r="AR1037" s="34">
        <f t="shared" si="3777"/>
        <v>34802.3</v>
      </c>
      <c r="AS1037" s="37">
        <f t="shared" si="3777"/>
        <v>359986</v>
      </c>
      <c r="AT1037" s="37">
        <f t="shared" si="3777"/>
        <v>15198</v>
      </c>
      <c r="AU1037" s="34">
        <f t="shared" si="3777"/>
        <v>41034.6</v>
      </c>
      <c r="AV1037" s="34">
        <f t="shared" si="3777"/>
        <v>14888.24</v>
      </c>
      <c r="AW1037" s="37">
        <f t="shared" si="3777"/>
        <v>380533</v>
      </c>
      <c r="AX1037" s="37">
        <f t="shared" si="3777"/>
        <v>20547</v>
      </c>
      <c r="AY1037" s="34">
        <f t="shared" si="3777"/>
        <v>55476.9</v>
      </c>
      <c r="AZ1037" s="34">
        <f t="shared" si="3777"/>
        <v>40522.8</v>
      </c>
      <c r="BA1037" s="37">
        <f t="shared" si="3777"/>
        <v>393468</v>
      </c>
      <c r="BB1037" s="37">
        <f t="shared" si="3777"/>
        <v>14975</v>
      </c>
      <c r="BC1037" s="34">
        <f t="shared" si="3777"/>
        <v>40432.5</v>
      </c>
      <c r="BD1037" s="34">
        <f t="shared" si="3777"/>
        <v>73792.2</v>
      </c>
      <c r="BE1037" s="36">
        <f t="shared" ref="BE1037:BE1038" si="3778">J1037+N1037+R1037+V1037+Z1037+AD1037+AH1037+AL1037+AP1037+AT1037+AX1037+BB1037</f>
        <v>165302</v>
      </c>
      <c r="BF1037" s="34">
        <f t="shared" ref="BF1037:BH1037" si="3779">SUM(BF8,BF18,BF27,BF36,BF45,BF54,BF63,BF72,BF81,BF90,BF99,BF108,BF117,BF126,BF135,BF144,BF153,BF162,BF171,BF180,BF189,BF198,BF207,BF216,BF225,BF234,BF243,BF252,BF261,BF270,BF279,BF288,BF297,BF306,BF315,BF324,BF333,BF342,BF351,BF360,BF369,BF378,BF387,BF396,BF405,BF414,BF423,BF432,BF441,BF450,BF459,BF468,BF477,BF486,BF495,BF504,BF513,BF522,BF531,BF540,BF549,BF558,BF567,BF576,BF585,BF594,BF603,BF612,BF621,BF630,BF639,BF648,BF657,BF666,BF675,BF684,BF693,BF702,BF711,BF720,BF729,BF738,BF747,BF756,BF765,BF774,BF783,BF792,BF801,BF810,BF819,BF828,BF837,BF846,BF855,BF864,BF873,BF882,BF891,BF900,BF909,BF918,BF927,BF936,BF945,BF954,BF963,BF972,BF981,BF990,BF999,BF1008,BF1017,BF1026)</f>
        <v>437698</v>
      </c>
      <c r="BG1037" s="34">
        <f t="shared" si="3779"/>
        <v>429352.869</v>
      </c>
      <c r="BH1037" s="35">
        <f t="shared" si="3779"/>
        <v>39640.791</v>
      </c>
    </row>
    <row r="1038" ht="14.25" customHeight="1" hidden="1" spans="4:60" x14ac:dyDescent="0.25">
      <c r="D1038" s="15" t="s">
        <v>47</v>
      </c>
      <c r="E1038" s="2" t="s">
        <v>48</v>
      </c>
      <c r="H1038" s="34">
        <f t="shared" ref="H1038:BD1038" si="3780">SUM(H10,H19,H28,H37,H46,H55,H64,H73,H82,H91,H100,H109,H118,H127,H136,H145,H154,H163,H172,H181,H190,H199,H208,H217,H226,H235,H244,H253,H262,H271,H280,H289,H298,H307,H316,H325,H334,H343,H352,H361,H370,H379,H388,H397,H406,H415,H424,H433,H442,H451,H460,H469,H478,H487,H496,H505,H514,H523,H532,H541,H550,H559,H568,H577,H586,H595,H604,H613,H622,H631,H640,H649,H658,H667,H676,H685,H694,H703,H712,H721,H730,H739,H748,H757,H766,H775,H784,H793,H802,H811,H820,H829,H838,H847,H856,H865,H874,H883,H892,H901,H910,H919,H928,H937,H946,H955,H964,H973,H982,H991,H1000,H1009,H1018,H1027)</f>
        <v>-1015.36</v>
      </c>
      <c r="I1038" s="37">
        <f t="shared" si="3780"/>
        <v>12197</v>
      </c>
      <c r="J1038" s="37">
        <f t="shared" si="3780"/>
        <v>0</v>
      </c>
      <c r="K1038" s="34">
        <f t="shared" si="3780"/>
        <v>0</v>
      </c>
      <c r="L1038" s="34">
        <f t="shared" si="3780"/>
        <v>120.11</v>
      </c>
      <c r="M1038" s="37">
        <f t="shared" si="3780"/>
        <v>12197</v>
      </c>
      <c r="N1038" s="37">
        <f t="shared" si="3780"/>
        <v>0</v>
      </c>
      <c r="O1038" s="34">
        <f t="shared" si="3780"/>
        <v>0</v>
      </c>
      <c r="P1038" s="34">
        <f t="shared" si="3780"/>
        <v>0</v>
      </c>
      <c r="Q1038" s="37">
        <f t="shared" si="3780"/>
        <v>12204</v>
      </c>
      <c r="R1038" s="37">
        <f t="shared" si="3780"/>
        <v>7</v>
      </c>
      <c r="S1038" s="34">
        <f t="shared" si="3780"/>
        <v>0</v>
      </c>
      <c r="T1038" s="34">
        <f t="shared" si="3780"/>
        <v>184.18</v>
      </c>
      <c r="U1038" s="37">
        <f t="shared" si="3780"/>
        <v>12224</v>
      </c>
      <c r="V1038" s="37">
        <f t="shared" si="3780"/>
        <v>20</v>
      </c>
      <c r="W1038" s="34">
        <f t="shared" si="3780"/>
        <v>389.2</v>
      </c>
      <c r="X1038" s="34">
        <f t="shared" si="3780"/>
        <v>118.22</v>
      </c>
      <c r="Y1038" s="37">
        <f t="shared" si="3780"/>
        <v>11233</v>
      </c>
      <c r="Z1038" s="37">
        <f t="shared" si="3780"/>
        <v>245</v>
      </c>
      <c r="AA1038" s="34">
        <f t="shared" si="3780"/>
        <v>4767.7</v>
      </c>
      <c r="AB1038" s="34">
        <f t="shared" si="3780"/>
        <v>1336.94</v>
      </c>
      <c r="AC1038" s="37">
        <f t="shared" si="3780"/>
        <v>11748</v>
      </c>
      <c r="AD1038" s="37">
        <f t="shared" si="3780"/>
        <v>508</v>
      </c>
      <c r="AE1038" s="34">
        <f t="shared" si="3780"/>
        <v>9885.68</v>
      </c>
      <c r="AF1038" s="34">
        <f t="shared" si="3780"/>
        <v>10965.95</v>
      </c>
      <c r="AG1038" s="37">
        <f t="shared" si="3780"/>
        <v>12144</v>
      </c>
      <c r="AH1038" s="37">
        <f t="shared" si="3780"/>
        <v>396</v>
      </c>
      <c r="AI1038" s="34">
        <f t="shared" si="3780"/>
        <v>8058.6</v>
      </c>
      <c r="AJ1038" s="34">
        <f t="shared" si="3780"/>
        <v>8771.19</v>
      </c>
      <c r="AK1038" s="37">
        <f t="shared" si="3780"/>
        <v>12516</v>
      </c>
      <c r="AL1038" s="37">
        <f t="shared" si="3780"/>
        <v>372</v>
      </c>
      <c r="AM1038" s="34">
        <f t="shared" si="3780"/>
        <v>7570.2</v>
      </c>
      <c r="AN1038" s="34">
        <f t="shared" si="3780"/>
        <v>7326.07</v>
      </c>
      <c r="AO1038" s="37">
        <f t="shared" si="3780"/>
        <v>12743</v>
      </c>
      <c r="AP1038" s="37">
        <f t="shared" si="3780"/>
        <v>227</v>
      </c>
      <c r="AQ1038" s="34">
        <f t="shared" si="3780"/>
        <v>4619.45</v>
      </c>
      <c r="AR1038" s="34">
        <f t="shared" si="3780"/>
        <v>2264.84</v>
      </c>
      <c r="AS1038" s="37">
        <f t="shared" si="3780"/>
        <v>12743</v>
      </c>
      <c r="AT1038" s="37">
        <f t="shared" si="3780"/>
        <v>0</v>
      </c>
      <c r="AU1038" s="34">
        <f t="shared" si="3780"/>
        <v>0</v>
      </c>
      <c r="AV1038" s="34">
        <f t="shared" si="3780"/>
        <v>1439.92</v>
      </c>
      <c r="AW1038" s="37">
        <f t="shared" si="3780"/>
        <v>12743</v>
      </c>
      <c r="AX1038" s="37">
        <f t="shared" si="3780"/>
        <v>0</v>
      </c>
      <c r="AY1038" s="34">
        <f t="shared" si="3780"/>
        <v>0</v>
      </c>
      <c r="AZ1038" s="34">
        <f t="shared" si="3780"/>
        <v>595.35</v>
      </c>
      <c r="BA1038" s="37">
        <f t="shared" si="3780"/>
        <v>12743</v>
      </c>
      <c r="BB1038" s="37">
        <f t="shared" si="3780"/>
        <v>0</v>
      </c>
      <c r="BC1038" s="34">
        <f t="shared" si="3780"/>
        <v>0</v>
      </c>
      <c r="BD1038" s="34">
        <f t="shared" si="3780"/>
        <v>0</v>
      </c>
      <c r="BE1038" s="36">
        <f t="shared" si="3778"/>
        <v>1775</v>
      </c>
      <c r="BF1038" s="34">
        <f t="shared" ref="BF1038:BH1038" si="3781">SUM(BF10,BF19,BF28,BF37,BF46,BF55,BF64,BF73,BF82,BF91,BF100,BF109,BF118,BF127,BF136,BF145,BF154,BF163,BF172,BF181,BF190,BF199,BF208,BF217,BF226,BF235,BF244,BF253,BF262,BF271,BF280,BF289,BF298,BF307,BF316,BF325,BF334,BF343,BF352,BF361,BF370,BF379,BF388,BF397,BF406,BF415,BF424,BF433,BF442,BF451,BF460,BF469,BF478,BF487,BF496,BF505,BF514,BF523,BF532,BF541,BF550,BF559,BF568,BF577,BF586,BF595,BF604,BF613,BF622,BF631,BF640,BF649,BF658,BF667,BF676,BF685,BF694,BF703,BF712,BF721,BF730,BF739,BF748,BF757,BF766,BF775,BF784,BF793,BF802,BF811,BF820,BF829,BF838,BF847,BF856,BF865,BF874,BF883,BF892,BF901,BF910,BF919,BF928,BF937,BF946,BF955,BF964,BF973,BF982,BF991,BF1000,BF1009,BF1018,BF1027)</f>
        <v>35290.83</v>
      </c>
      <c r="BG1038" s="34">
        <f t="shared" si="3781"/>
        <v>33122.77</v>
      </c>
      <c r="BH1038" s="35">
        <f t="shared" si="3781"/>
        <v>1152.7</v>
      </c>
    </row>
    <row r="1039" ht="14.25" customHeight="1" hidden="1" spans="4:60" x14ac:dyDescent="0.25">
      <c r="D1039" s="15" t="s">
        <v>47</v>
      </c>
      <c r="E1039" s="2" t="s">
        <v>49</v>
      </c>
      <c r="H1039" s="34">
        <f t="shared" ref="H1039:H1043" si="3782">SUM(H11,H20,H29,H38,H47,H56,H65,H74,H83,H92,H101,H110,H119,H128,H137,H146,H155,H164,H173,H182,H191,H200,H209,H218,H227,H236,H245,H254,H263,H272,H281,H290,H299,H308,H317,H326,H335,H344,H353,H362,H371,H380,H389,H398,H407,H416,H425,H434,H443,H452,H461,H470,H479,H488,H497,H506,H515,H524,H533,H542,H551,H560,H569,H578,H587,H596,H605,H614,H623,H632,H641,H650,H659,H668,H677,H686,H695,H704,H713,H722,H731,H740,H749,H758,H767,H776,H785,H794,H803,H812,H821,H830,H839,H848,H857,H866,H875,H884,H893,H902,H911,H920,H929,H938,H947,H956,H965,H974,H983,H992,H1001,H1010,H1019,H1028)</f>
        <v>1219</v>
      </c>
      <c r="K1039" s="34">
        <f t="shared" ref="K1039:L1039" si="3783">SUM(K11,K20,K29,K38,K47,K56,K65,K74,K83,K92,K101,K110,K119,K128,K137,K146,K155,K164,K173,K182,K191,K200,K209,K218,K227,K236,K245,K254,K263,K272,K281,K290,K299,K308,K317,K326,K335,K344,K353,K362,K371,K380,K389,K398,K407,K416,K425,K434,K443,K452,K461,K470,K479,K488,K497,K506,K515,K524,K533,K542,K551,K560,K569,K578,K587,K596,K605,K614,K623,K632,K641,K650,K659,K668,K677,K686,K695,K704,K713,K722,K731,K740,K749,K758,K767,K776,K785,K794,K803,K812,K821,K830,K839,K848,K857,K866,K875,K884,K893,K902,K911,K920,K929,K938,K947,K956,K965,K974,K983,K992,K1001,K1010,K1019,K1028)</f>
        <v>0</v>
      </c>
      <c r="L1039" s="34">
        <f t="shared" si="3783"/>
        <v>0</v>
      </c>
      <c r="O1039" s="34">
        <f t="shared" ref="O1039:P1039" si="3784">SUM(O11,O20,O29,O38,O47,O56,O65,O74,O83,O92,O101,O110,O119,O128,O137,O146,O155,O164,O173,O182,O191,O200,O209,O218,O227,O236,O245,O254,O263,O272,O281,O290,O299,O308,O317,O326,O335,O344,O353,O362,O371,O380,O389,O398,O407,O416,O425,O434,O443,O452,O461,O470,O479,O488,O497,O506,O515,O524,O533,O542,O551,O560,O569,O578,O587,O596,O605,O614,O623,O632,O641,O650,O659,O668,O677,O686,O695,O704,O713,O722,O731,O740,O749,O758,O767,O776,O785,O794,O803,O812,O821,O830,O839,O848,O857,O866,O875,O884,O893,O902,O911,O920,O929,O938,O947,O956,O965,O974,O983,O992,O1001,O1010,O1019,O1028)</f>
        <v>0</v>
      </c>
      <c r="P1039" s="34">
        <f t="shared" si="3784"/>
        <v>0</v>
      </c>
      <c r="S1039" s="34">
        <f t="shared" ref="S1039:T1039" si="3785">SUM(S11,S20,S29,S38,S47,S56,S65,S74,S83,S92,S101,S110,S119,S128,S137,S146,S155,S164,S173,S182,S191,S200,S209,S218,S227,S236,S245,S254,S263,S272,S281,S290,S299,S308,S317,S326,S335,S344,S353,S362,S371,S380,S389,S398,S407,S416,S425,S434,S443,S452,S461,S470,S479,S488,S497,S506,S515,S524,S533,S542,S551,S560,S569,S578,S587,S596,S605,S614,S623,S632,S641,S650,S659,S668,S677,S686,S695,S704,S713,S722,S731,S740,S749,S758,S767,S776,S785,S794,S803,S812,S821,S830,S839,S848,S857,S866,S875,S884,S893,S902,S911,S920,S929,S938,S947,S956,S965,S974,S983,S992,S1001,S1010,S1019,S1028)</f>
        <v>0</v>
      </c>
      <c r="T1039" s="34">
        <f t="shared" si="3785"/>
        <v>1203</v>
      </c>
      <c r="W1039" s="34">
        <f t="shared" ref="W1039:X1039" si="3786">SUM(W11,W20,W29,W38,W47,W56,W65,W74,W83,W92,W101,W110,W119,W128,W137,W146,W155,W164,W173,W182,W191,W200,W209,W218,W227,W236,W245,W254,W263,W272,W281,W290,W299,W308,W317,W326,W335,W344,W353,W362,W371,W380,W389,W398,W407,W416,W425,W434,W443,W452,W461,W470,W479,W488,W497,W506,W515,W524,W533,W542,W551,W560,W569,W578,W587,W596,W605,W614,W623,W632,W641,W650,W659,W668,W677,W686,W695,W704,W713,W722,W731,W740,W749,W758,W767,W776,W785,W794,W803,W812,W821,W830,W839,W848,W857,W866,W875,W884,W893,W902,W911,W920,W929,W938,W947,W956,W965,W974,W983,W992,W1001,W1010,W1019,W1028)</f>
        <v>0</v>
      </c>
      <c r="X1039" s="34">
        <f t="shared" si="3786"/>
        <v>0</v>
      </c>
      <c r="AA1039" s="34">
        <f t="shared" ref="AA1039:AB1039" si="3787">SUM(AA11,AA20,AA29,AA38,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,AA497,AA506,AA515,AA524,AA533,AA542,AA551,AA560,AA569,AA578,AA587,AA596,AA605,AA614,AA623,AA632,AA641,AA650,AA659,AA668,AA677,AA686,AA695,AA704,AA713,AA722,AA731,AA740,AA749,AA758,AA767,AA776,AA785,AA794,AA803,AA812,AA821,AA830,AA839,AA848,AA857,AA866,AA875,AA884,AA893,AA902,AA911,AA920,AA929,AA938,AA947,AA956,AA965,AA974,AA983,AA992,AA1001,AA1010,AA1019,AA1028)</f>
        <v>3990</v>
      </c>
      <c r="AB1039" s="34">
        <f t="shared" si="3787"/>
        <v>0</v>
      </c>
      <c r="AE1039" s="34">
        <f t="shared" ref="AE1039:AF1039" si="3788">SUM(AE11,AE20,AE29,AE38,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,AE497,AE506,AE515,AE524,AE533,AE542,AE551,AE560,AE569,AE578,AE587,AE596,AE605,AE614,AE623,AE632,AE641,AE650,AE659,AE668,AE677,AE686,AE695,AE704,AE713,AE722,AE731,AE740,AE749,AE758,AE767,AE776,AE785,AE794,AE803,AE812,AE821,AE830,AE839,AE848,AE857,AE866,AE875,AE884,AE893,AE902,AE911,AE920,AE929,AE938,AE947,AE956,AE965,AE974,AE983,AE992,AE1001,AE1010,AE1019,AE1028)</f>
        <v>0</v>
      </c>
      <c r="AF1039" s="34">
        <f t="shared" si="3788"/>
        <v>0</v>
      </c>
      <c r="AI1039" s="34">
        <f t="shared" ref="AI1039:AJ1039" si="3789">SUM(AI11,AI20,AI29,AI38,AI47,AI56,AI65,AI74,AI83,AI92,AI101,AI110,AI119,AI128,AI137,AI146,AI155,AI164,AI173,AI182,AI191,AI200,AI209,AI218,AI227,AI236,AI245,AI254,AI263,AI272,AI281,AI290,AI299,AI308,AI317,AI326,AI335,AI344,AI353,AI362,AI371,AI380,AI389,AI398,AI407,AI416,AI425,AI434,AI443,AI452,AI461,AI470,AI479,AI488,AI497,AI506,AI515,AI524,AI533,AI542,AI551,AI560,AI569,AI578,AI587,AI596,AI605,AI614,AI623,AI632,AI641,AI650,AI659,AI668,AI677,AI686,AI695,AI704,AI713,AI722,AI731,AI740,AI749,AI758,AI767,AI776,AI785,AI794,AI803,AI812,AI821,AI830,AI839,AI848,AI857,AI866,AI875,AI884,AI893,AI902,AI911,AI920,AI929,AI938,AI947,AI956,AI965,AI974,AI983,AI992,AI1001,AI1010,AI1019,AI1028)</f>
        <v>0</v>
      </c>
      <c r="AJ1039" s="34">
        <f t="shared" si="3789"/>
        <v>0</v>
      </c>
      <c r="AM1039" s="34">
        <f t="shared" ref="AM1039:AN1039" si="3790">SUM(AM11,AM20,AM29,AM38,AM47,AM56,AM65,AM74,AM83,AM92,AM101,AM110,AM119,AM128,AM137,AM146,AM155,AM164,AM173,AM182,AM191,AM200,AM209,AM218,AM227,AM236,AM245,AM254,AM263,AM272,AM281,AM290,AM299,AM308,AM317,AM326,AM335,AM344,AM353,AM362,AM371,AM380,AM389,AM398,AM407,AM416,AM425,AM434,AM443,AM452,AM461,AM470,AM479,AM488,AM497,AM506,AM515,AM524,AM533,AM542,AM551,AM560,AM569,AM578,AM587,AM596,AM605,AM614,AM623,AM632,AM641,AM650,AM659,AM668,AM677,AM686,AM695,AM704,AM713,AM722,AM731,AM740,AM749,AM758,AM767,AM776,AM785,AM794,AM803,AM812,AM821,AM830,AM839,AM848,AM857,AM866,AM875,AM884,AM893,AM902,AM911,AM920,AM929,AM938,AM947,AM956,AM965,AM974,AM983,AM992,AM1001,AM1010,AM1019,AM1028)</f>
        <v>0</v>
      </c>
      <c r="AN1039" s="34">
        <f t="shared" si="3790"/>
        <v>3990</v>
      </c>
      <c r="AQ1039" s="34">
        <f t="shared" ref="AQ1039:AR1039" si="3791">SUM(AQ11,AQ20,AQ29,AQ38,AQ47,AQ56,AQ65,AQ74,AQ83,AQ92,AQ101,AQ110,AQ119,AQ128,AQ137,AQ146,AQ155,AQ164,AQ173,AQ182,AQ191,AQ200,AQ209,AQ218,AQ227,AQ236,AQ245,AQ254,AQ263,AQ272,AQ281,AQ290,AQ299,AQ308,AQ317,AQ326,AQ335,AQ344,AQ353,AQ362,AQ371,AQ380,AQ389,AQ398,AQ407,AQ416,AQ425,AQ434,AQ443,AQ452,AQ461,AQ470,AQ479,AQ488,AQ497,AQ506,AQ515,AQ524,AQ533,AQ542,AQ551,AQ560,AQ569,AQ578,AQ587,AQ596,AQ605,AQ614,AQ623,AQ632,AQ641,AQ650,AQ659,AQ668,AQ677,AQ686,AQ695,AQ704,AQ713,AQ722,AQ731,AQ740,AQ749,AQ758,AQ767,AQ776,AQ785,AQ794,AQ803,AQ812,AQ821,AQ830,AQ839,AQ848,AQ857,AQ866,AQ875,AQ884,AQ893,AQ902,AQ911,AQ920,AQ929,AQ938,AQ947,AQ956,AQ965,AQ974,AQ983,AQ992,AQ1001,AQ1010,AQ1019,AQ1028)</f>
        <v>0</v>
      </c>
      <c r="AR1039" s="34">
        <f t="shared" si="3791"/>
        <v>0</v>
      </c>
      <c r="AU1039" s="34">
        <f t="shared" ref="AU1039:AV1039" si="3792">SUM(AU11,AU20,AU29,AU38,AU47,AU56,AU65,AU74,AU83,AU92,AU101,AU110,AU119,AU128,AU137,AU146,AU155,AU164,AU173,AU182,AU191,AU200,AU209,AU218,AU227,AU236,AU245,AU254,AU263,AU272,AU281,AU290,AU299,AU308,AU317,AU326,AU335,AU344,AU353,AU362,AU371,AU380,AU389,AU398,AU407,AU416,AU425,AU434,AU443,AU452,AU461,AU470,AU479,AU488,AU497,AU506,AU515,AU524,AU533,AU542,AU551,AU560,AU569,AU578,AU587,AU596,AU605,AU614,AU623,AU632,AU641,AU650,AU659,AU668,AU677,AU686,AU695,AU704,AU713,AU722,AU731,AU740,AU749,AU758,AU767,AU776,AU785,AU794,AU803,AU812,AU821,AU830,AU839,AU848,AU857,AU866,AU875,AU884,AU893,AU902,AU911,AU920,AU929,AU938,AU947,AU956,AU965,AU974,AU983,AU992,AU1001,AU1010,AU1019,AU1028)</f>
        <v>0</v>
      </c>
      <c r="AV1039" s="34">
        <f t="shared" si="3792"/>
        <v>0</v>
      </c>
      <c r="AY1039" s="34">
        <f t="shared" ref="AY1039:AZ1039" si="3793">SUM(AY11,AY20,AY29,AY38,AY47,AY56,AY65,AY74,AY83,AY92,AY101,AY110,AY119,AY128,AY137,AY146,AY155,AY164,AY173,AY182,AY191,AY200,AY209,AY218,AY227,AY236,AY245,AY254,AY263,AY272,AY281,AY290,AY299,AY308,AY317,AY326,AY335,AY344,AY353,AY362,AY371,AY380,AY389,AY398,AY407,AY416,AY425,AY434,AY443,AY452,AY461,AY470,AY479,AY488,AY497,AY506,AY515,AY524,AY533,AY542,AY551,AY560,AY569,AY578,AY587,AY596,AY605,AY614,AY623,AY632,AY641,AY650,AY659,AY668,AY677,AY686,AY695,AY704,AY713,AY722,AY731,AY740,AY749,AY758,AY767,AY776,AY785,AY794,AY803,AY812,AY821,AY830,AY839,AY848,AY857,AY866,AY875,AY884,AY893,AY902,AY911,AY920,AY929,AY938,AY947,AY956,AY965,AY974,AY983,AY992,AY1001,AY1010,AY1019,AY1028)</f>
        <v>0</v>
      </c>
      <c r="AZ1039" s="34">
        <f t="shared" si="3793"/>
        <v>0</v>
      </c>
      <c r="BC1039" s="34">
        <f t="shared" ref="BC1039:BD1039" si="3794">SUM(BC11,BC20,BC29,BC38,BC47,BC56,BC65,BC74,BC83,BC92,BC101,BC110,BC119,BC128,BC137,BC146,BC155,BC164,BC173,BC182,BC191,BC200,BC209,BC218,BC227,BC236,BC245,BC254,BC263,BC272,BC281,BC290,BC299,BC308,BC317,BC326,BC335,BC344,BC353,BC362,BC371,BC380,BC389,BC398,BC407,BC416,BC425,BC434,BC443,BC452,BC461,BC470,BC479,BC488,BC497,BC506,BC515,BC524,BC533,BC542,BC551,BC560,BC569,BC578,BC587,BC596,BC605,BC614,BC623,BC632,BC641,BC650,BC659,BC668,BC677,BC686,BC695,BC704,BC713,BC722,BC731,BC740,BC749,BC758,BC767,BC776,BC785,BC794,BC803,BC812,BC821,BC830,BC839,BC848,BC857,BC866,BC875,BC884,BC893,BC902,BC911,BC920,BC929,BC938,BC947,BC956,BC965,BC974,BC983,BC992,BC1001,BC1010,BC1019,BC1028)</f>
        <v>0</v>
      </c>
      <c r="BD1039" s="34">
        <f t="shared" si="3794"/>
        <v>0</v>
      </c>
      <c r="BE1039" s="41"/>
      <c r="BF1039" s="34">
        <f t="shared" ref="BF1039:BH1039" si="3795">SUM(BF11,BF20,BF29,BF38,BF47,BF56,BF65,BF74,BF83,BF92,BF101,BF110,BF119,BF128,BF137,BF146,BF155,BF164,BF173,BF182,BF191,BF200,BF209,BF218,BF227,BF236,BF245,BF254,BF263,BF272,BF281,BF290,BF299,BF308,BF317,BF326,BF335,BF344,BF353,BF362,BF371,BF380,BF389,BF398,BF407,BF416,BF425,BF434,BF443,BF452,BF461,BF470,BF479,BF488,BF497,BF506,BF515,BF524,BF533,BF542,BF551,BF560,BF569,BF578,BF587,BF596,BF605,BF614,BF623,BF632,BF641,BF650,BF659,BF668,BF677,BF686,BF695,BF704,BF713,BF722,BF731,BF740,BF749,BF758,BF767,BF776,BF785,BF794,BF803,BF812,BF821,BF830,BF839,BF848,BF857,BF866,BF875,BF884,BF893,BF902,BF911,BF920,BF929,BF938,BF947,BF956,BF965,BF974,BF983,BF992,BF1001,BF1010,BF1019,BF1028)</f>
        <v>3990</v>
      </c>
      <c r="BG1039" s="34">
        <f t="shared" si="3795"/>
        <v>5193</v>
      </c>
      <c r="BH1039" s="35">
        <f t="shared" si="3795"/>
        <v>16</v>
      </c>
    </row>
    <row r="1040" ht="14.25" customHeight="1" hidden="1" spans="4:60" x14ac:dyDescent="0.25">
      <c r="D1040" s="15" t="s">
        <v>50</v>
      </c>
      <c r="E1040" s="2" t="s">
        <v>49</v>
      </c>
      <c r="H1040" s="34">
        <f t="shared" si="3782"/>
        <v>166609.11</v>
      </c>
      <c r="K1040" s="34">
        <f t="shared" ref="K1040:L1040" si="3796">SUM(K12,K21,K30,K39,K48,K57,K66,K75,K84,K93,K102,K111,K120,K129,K138,K147,K156,K165,K174,K183,K192,K201,K210,K219,K228,K237,K246,K255,K264,K273,K282,K291,K300,K309,K318,K327,K336,K345,K354,K363,K372,K381,K390,K399,K408,K417,K426,K435,K444,K453,K462,K471,K480,K489,K498,K507,K516,K525,K534,K543,K552,K561,K570,K579,K588,K597,K606,K615,K624,K633,K642,K651,K660,K669,K678,K687,K696,K705,K714,K723,K732,K741,K750,K759,K768,K777,K786,K795,K804,K813,K822,K831,K840,K849,K858,K867,K876,K885,K894,K903,K912,K921,K930,K939,K948,K957,K966,K975,K984,K993,K1002,K1011,K1020,K1029)</f>
        <v>0</v>
      </c>
      <c r="L1040" s="34">
        <f t="shared" si="3796"/>
        <v>4862</v>
      </c>
      <c r="O1040" s="34">
        <f t="shared" ref="O1040:P1040" si="3797">SUM(O12,O21,O30,O39,O48,O57,O66,O75,O84,O93,O102,O111,O120,O129,O138,O147,O156,O165,O174,O183,O192,O201,O210,O219,O228,O237,O246,O255,O264,O273,O282,O291,O300,O309,O318,O327,O336,O345,O354,O363,O372,O381,O390,O399,O408,O417,O426,O435,O444,O453,O462,O471,O480,O489,O498,O507,O516,O525,O534,O543,O552,O561,O570,O579,O588,O597,O606,O615,O624,O633,O642,O651,O660,O669,O678,O687,O696,O705,O714,O723,O732,O741,O750,O759,O768,O777,O786,O795,O804,O813,O822,O831,O840,O849,O858,O867,O876,O885,O894,O903,O912,O921,O930,O939,O948,O957,O966,O975,O984,O993,O1002,O1011,O1020,O1029)</f>
        <v>0</v>
      </c>
      <c r="P1040" s="34">
        <f t="shared" si="3797"/>
        <v>14131.64</v>
      </c>
      <c r="S1040" s="34">
        <f t="shared" ref="S1040:T1040" si="3798">SUM(S12,S21,S30,S39,S48,S57,S66,S75,S84,S93,S102,S111,S120,S129,S138,S147,S156,S165,S174,S183,S192,S201,S210,S219,S228,S237,S246,S255,S264,S273,S282,S291,S300,S309,S318,S327,S336,S345,S354,S363,S372,S381,S390,S399,S408,S417,S426,S435,S444,S453,S462,S471,S480,S489,S498,S507,S516,S525,S534,S543,S552,S561,S570,S579,S588,S597,S606,S615,S624,S633,S642,S651,S660,S669,S678,S687,S696,S705,S714,S723,S732,S741,S750,S759,S768,S777,S786,S795,S804,S813,S822,S831,S840,S849,S858,S867,S876,S885,S894,S903,S912,S921,S930,S939,S948,S957,S966,S975,S984,S993,S1002,S1011,S1020,S1029)</f>
        <v>0</v>
      </c>
      <c r="T1040" s="34">
        <f t="shared" si="3798"/>
        <v>6408.43</v>
      </c>
      <c r="W1040" s="34">
        <f t="shared" ref="W1040:X1040" si="3799">SUM(W12,W21,W30,W39,W48,W57,W66,W75,W84,W93,W102,W111,W120,W129,W138,W147,W156,W165,W174,W183,W192,W201,W210,W219,W228,W237,W246,W255,W264,W273,W282,W291,W300,W309,W318,W327,W336,W345,W354,W363,W372,W381,W390,W399,W408,W417,W426,W435,W444,W453,W462,W471,W480,W489,W498,W507,W516,W525,W534,W543,W552,W561,W570,W579,W588,W597,W606,W615,W624,W633,W642,W651,W660,W669,W678,W687,W696,W705,W714,W723,W732,W741,W750,W759,W768,W777,W786,W795,W804,W813,W822,W831,W840,W849,W858,W867,W876,W885,W894,W903,W912,W921,W930,W939,W948,W957,W966,W975,W984,W993,W1002,W1011,W1020,W1029)</f>
        <v>0</v>
      </c>
      <c r="X1040" s="34">
        <f t="shared" si="3799"/>
        <v>14924.82</v>
      </c>
      <c r="AA1040" s="34">
        <f t="shared" ref="AA1040:AB1040" si="3800">SUM(AA12,AA21,AA30,AA39,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,AA498,AA507,AA516,AA525,AA534,AA543,AA552,AA561,AA570,AA579,AA588,AA597,AA606,AA615,AA624,AA633,AA642,AA651,AA660,AA669,AA678,AA687,AA696,AA705,AA714,AA723,AA732,AA741,AA750,AA759,AA768,AA777,AA786,AA795,AA804,AA813,AA822,AA831,AA840,AA849,AA858,AA867,AA876,AA885,AA894,AA903,AA912,AA921,AA930,AA939,AA948,AA957,AA966,AA975,AA984,AA993,AA1002,AA1011,AA1020,AA1029)</f>
        <v>0</v>
      </c>
      <c r="AB1040" s="34">
        <f t="shared" si="3800"/>
        <v>18842.02</v>
      </c>
      <c r="AE1040" s="34">
        <f t="shared" ref="AE1040:AF1040" si="3801">SUM(AE12,AE21,AE30,AE39,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,AE498,AE507,AE516,AE525,AE534,AE543,AE552,AE561,AE570,AE579,AE588,AE597,AE606,AE615,AE624,AE633,AE642,AE651,AE660,AE669,AE678,AE687,AE696,AE705,AE714,AE723,AE732,AE741,AE750,AE759,AE768,AE777,AE786,AE795,AE804,AE813,AE822,AE831,AE840,AE849,AE858,AE867,AE876,AE885,AE894,AE903,AE912,AE921,AE930,AE939,AE948,AE957,AE966,AE975,AE984,AE993,AE1002,AE1011,AE1020,AE1029)</f>
        <v>551716</v>
      </c>
      <c r="AF1040" s="34">
        <f t="shared" si="3801"/>
        <v>139100.17</v>
      </c>
      <c r="AI1040" s="34">
        <f t="shared" ref="AI1040:AJ1040" si="3802">SUM(AI12,AI21,AI30,AI39,AI48,AI57,AI66,AI75,AI84,AI93,AI102,AI111,AI120,AI129,AI138,AI147,AI156,AI165,AI174,AI183,AI192,AI201,AI210,AI219,AI228,AI237,AI246,AI255,AI264,AI273,AI282,AI291,AI300,AI309,AI318,AI327,AI336,AI345,AI354,AI363,AI372,AI381,AI390,AI399,AI408,AI417,AI426,AI435,AI444,AI453,AI462,AI471,AI480,AI489,AI498,AI507,AI516,AI525,AI534,AI543,AI552,AI561,AI570,AI579,AI588,AI597,AI606,AI615,AI624,AI633,AI642,AI651,AI660,AI669,AI678,AI687,AI696,AI705,AI714,AI723,AI732,AI741,AI750,AI759,AI768,AI777,AI786,AI795,AI804,AI813,AI822,AI831,AI840,AI849,AI858,AI867,AI876,AI885,AI894,AI903,AI912,AI921,AI930,AI939,AI948,AI957,AI966,AI975,AI984,AI993,AI1002,AI1011,AI1020,AI1029)</f>
        <v>0</v>
      </c>
      <c r="AJ1040" s="34">
        <f t="shared" si="3802"/>
        <v>143887.3</v>
      </c>
      <c r="AM1040" s="34">
        <f t="shared" ref="AM1040:AN1040" si="3803">SUM(AM12,AM21,AM30,AM39,AM48,AM57,AM66,AM75,AM84,AM93,AM102,AM111,AM120,AM129,AM138,AM147,AM156,AM165,AM174,AM183,AM192,AM201,AM210,AM219,AM228,AM237,AM246,AM255,AM264,AM273,AM282,AM291,AM300,AM309,AM318,AM327,AM336,AM345,AM354,AM363,AM372,AM381,AM390,AM399,AM408,AM417,AM426,AM435,AM444,AM453,AM462,AM471,AM480,AM489,AM498,AM507,AM516,AM525,AM534,AM543,AM552,AM561,AM570,AM579,AM588,AM597,AM606,AM615,AM624,AM633,AM642,AM651,AM660,AM669,AM678,AM687,AM696,AM705,AM714,AM723,AM732,AM741,AM750,AM759,AM768,AM777,AM786,AM795,AM804,AM813,AM822,AM831,AM840,AM849,AM858,AM867,AM876,AM885,AM894,AM903,AM912,AM921,AM930,AM939,AM948,AM957,AM966,AM975,AM984,AM993,AM1002,AM1011,AM1020,AM1029)</f>
        <v>0</v>
      </c>
      <c r="AN1040" s="34">
        <f t="shared" si="3803"/>
        <v>87058.49</v>
      </c>
      <c r="AQ1040" s="34">
        <f t="shared" ref="AQ1040:AR1040" si="3804">SUM(AQ12,AQ21,AQ30,AQ39,AQ48,AQ57,AQ66,AQ75,AQ84,AQ93,AQ102,AQ111,AQ120,AQ129,AQ138,AQ147,AQ156,AQ165,AQ174,AQ183,AQ192,AQ201,AQ210,AQ219,AQ228,AQ237,AQ246,AQ255,AQ264,AQ273,AQ282,AQ291,AQ300,AQ309,AQ318,AQ327,AQ336,AQ345,AQ354,AQ363,AQ372,AQ381,AQ390,AQ399,AQ408,AQ417,AQ426,AQ435,AQ444,AQ453,AQ462,AQ471,AQ480,AQ489,AQ498,AQ507,AQ516,AQ525,AQ534,AQ543,AQ552,AQ561,AQ570,AQ579,AQ588,AQ597,AQ606,AQ615,AQ624,AQ633,AQ642,AQ651,AQ660,AQ669,AQ678,AQ687,AQ696,AQ705,AQ714,AQ723,AQ732,AQ741,AQ750,AQ759,AQ768,AQ777,AQ786,AQ795,AQ804,AQ813,AQ822,AQ831,AQ840,AQ849,AQ858,AQ867,AQ876,AQ885,AQ894,AQ903,AQ912,AQ921,AQ930,AQ939,AQ948,AQ957,AQ966,AQ975,AQ984,AQ993,AQ1002,AQ1011,AQ1020,AQ1029)</f>
        <v>0</v>
      </c>
      <c r="AR1040" s="34">
        <f t="shared" si="3804"/>
        <v>18870.89</v>
      </c>
      <c r="AU1040" s="34">
        <f t="shared" ref="AU1040:AV1040" si="3805">SUM(AU12,AU21,AU30,AU39,AU48,AU57,AU66,AU75,AU84,AU93,AU102,AU111,AU120,AU129,AU138,AU147,AU156,AU165,AU174,AU183,AU192,AU201,AU210,AU219,AU228,AU237,AU246,AU255,AU264,AU273,AU282,AU291,AU300,AU309,AU318,AU327,AU336,AU345,AU354,AU363,AU372,AU381,AU390,AU399,AU408,AU417,AU426,AU435,AU444,AU453,AU462,AU471,AU480,AU489,AU498,AU507,AU516,AU525,AU534,AU543,AU552,AU561,AU570,AU579,AU588,AU597,AU606,AU615,AU624,AU633,AU642,AU651,AU660,AU669,AU678,AU687,AU696,AU705,AU714,AU723,AU732,AU741,AU750,AU759,AU768,AU777,AU786,AU795,AU804,AU813,AU822,AU831,AU840,AU849,AU858,AU867,AU876,AU885,AU894,AU903,AU912,AU921,AU930,AU939,AU948,AU957,AU966,AU975,AU984,AU993,AU1002,AU1011,AU1020,AU1029)</f>
        <v>0</v>
      </c>
      <c r="AV1040" s="34">
        <f t="shared" si="3805"/>
        <v>20392.24</v>
      </c>
      <c r="AY1040" s="34">
        <f t="shared" ref="AY1040:AZ1040" si="3806">SUM(AY12,AY21,AY30,AY39,AY48,AY57,AY66,AY75,AY84,AY93,AY102,AY111,AY120,AY129,AY138,AY147,AY156,AY165,AY174,AY183,AY192,AY201,AY210,AY219,AY228,AY237,AY246,AY255,AY264,AY273,AY282,AY291,AY300,AY309,AY318,AY327,AY336,AY345,AY354,AY363,AY372,AY381,AY390,AY399,AY408,AY417,AY426,AY435,AY444,AY453,AY462,AY471,AY480,AY489,AY498,AY507,AY516,AY525,AY534,AY543,AY552,AY561,AY570,AY579,AY588,AY597,AY606,AY615,AY624,AY633,AY642,AY651,AY660,AY669,AY678,AY687,AY696,AY705,AY714,AY723,AY732,AY741,AY750,AY759,AY768,AY777,AY786,AY795,AY804,AY813,AY822,AY831,AY840,AY849,AY858,AY867,AY876,AY885,AY894,AY903,AY912,AY921,AY930,AY939,AY948,AY957,AY966,AY975,AY984,AY993,AY1002,AY1011,AY1020,AY1029)</f>
        <v>0</v>
      </c>
      <c r="AZ1040" s="34">
        <f t="shared" si="3806"/>
        <v>8434</v>
      </c>
      <c r="BC1040" s="34">
        <f t="shared" ref="BC1040:BD1040" si="3807">SUM(BC12,BC21,BC30,BC39,BC48,BC57,BC66,BC75,BC84,BC93,BC102,BC111,BC120,BC129,BC138,BC147,BC156,BC165,BC174,BC183,BC192,BC201,BC210,BC219,BC228,BC237,BC246,BC255,BC264,BC273,BC282,BC291,BC300,BC309,BC318,BC327,BC336,BC345,BC354,BC363,BC372,BC381,BC390,BC399,BC408,BC417,BC426,BC435,BC444,BC453,BC462,BC471,BC480,BC489,BC498,BC507,BC516,BC525,BC534,BC543,BC552,BC561,BC570,BC579,BC588,BC597,BC606,BC615,BC624,BC633,BC642,BC651,BC660,BC669,BC678,BC687,BC696,BC705,BC714,BC723,BC732,BC741,BC750,BC759,BC768,BC777,BC786,BC795,BC804,BC813,BC822,BC831,BC840,BC849,BC858,BC867,BC876,BC885,BC894,BC903,BC912,BC921,BC930,BC939,BC948,BC957,BC966,BC975,BC984,BC993,BC1002,BC1011,BC1020,BC1029)</f>
        <v>0</v>
      </c>
      <c r="BD1040" s="34">
        <f t="shared" si="3807"/>
        <v>14751</v>
      </c>
      <c r="BE1040" s="41"/>
      <c r="BF1040" s="34">
        <f t="shared" ref="BF1040:BH1040" si="3808">SUM(BF12,BF21,BF30,BF39,BF48,BF57,BF66,BF75,BF84,BF93,BF102,BF111,BF120,BF129,BF138,BF147,BF156,BF165,BF174,BF183,BF192,BF201,BF210,BF219,BF228,BF237,BF246,BF255,BF264,BF273,BF282,BF291,BF300,BF309,BF318,BF327,BF336,BF345,BF354,BF363,BF372,BF381,BF390,BF399,BF408,BF417,BF426,BF435,BF444,BF453,BF462,BF471,BF480,BF489,BF498,BF507,BF516,BF525,BF534,BF543,BF552,BF561,BF570,BF579,BF588,BF597,BF606,BF615,BF624,BF633,BF642,BF651,BF660,BF669,BF678,BF687,BF696,BF705,BF714,BF723,BF732,BF741,BF750,BF759,BF768,BF777,BF786,BF795,BF804,BF813,BF822,BF831,BF840,BF849,BF858,BF867,BF876,BF885,BF894,BF903,BF912,BF921,BF930,BF939,BF948,BF957,BF966,BF975,BF984,BF993,BF1002,BF1011,BF1020,BF1029)</f>
        <v>551716</v>
      </c>
      <c r="BG1040" s="34">
        <f t="shared" si="3808"/>
        <v>491663</v>
      </c>
      <c r="BH1040" s="35">
        <f t="shared" si="3808"/>
        <v>226662.11</v>
      </c>
    </row>
    <row r="1041" ht="14.25" customHeight="1" hidden="1" spans="4:60" x14ac:dyDescent="0.25">
      <c r="D1041" s="15" t="s">
        <v>51</v>
      </c>
      <c r="E1041" s="2" t="s">
        <v>39</v>
      </c>
      <c r="H1041" s="34">
        <f t="shared" si="3782"/>
        <v>82963.44</v>
      </c>
      <c r="K1041" s="34">
        <f t="shared" ref="K1041:L1041" si="3809">SUM(K13,K22,K31,K40,K49,K58,K67,K76,K85,K94,K103,K112,K121,K130,K139,K148,K157,K166,K175,K184,K193,K202,K211,K220,K229,K238,K247,K256,K265,K274,K283,K292,K301,K310,K319,K328,K337,K346,K355,K364,K373,K382,K391,K400,K409,K418,K427,K436,K445,K454,K463,K472,K481,K490,K499,K508,K517,K526,K535,K544,K553,K562,K571,K580,K589,K598,K607,K616,K625,K634,K643,K652,K661,K670,K679,K688,K697,K706,K715,K724,K733,K742,K751,K760,K769,K778,K787,K796,K805,K814,K823,K832,K841,K850,K859,K868,K877,K886,K895,K904,K913,K922,K931,K940,K949,K958,K967,K976,K985,K994,K1003,K1012,K1021,K1030)</f>
        <v>0</v>
      </c>
      <c r="L1041" s="34">
        <f t="shared" si="3809"/>
        <v>500</v>
      </c>
      <c r="O1041" s="34">
        <f t="shared" ref="O1041:P1041" si="3810">SUM(O13,O22,O31,O40,O49,O58,O67,O76,O85,O94,O103,O112,O121,O130,O139,O148,O157,O166,O175,O184,O193,O202,O211,O220,O229,O238,O247,O256,O265,O274,O283,O292,O301,O310,O319,O328,O337,O346,O355,O364,O373,O382,O391,O400,O409,O418,O427,O436,O445,O454,O463,O472,O481,O490,O499,O508,O517,O526,O535,O544,O553,O562,O571,O580,O589,O598,O607,O616,O625,O634,O643,O652,O661,O670,O679,O688,O697,O706,O715,O724,O733,O742,O751,O760,O769,O778,O787,O796,O805,O814,O823,O832,O841,O850,O859,O868,O877,O886,O895,O904,O913,O922,O931,O940,O949,O958,O967,O976,O985,O994,O1003,O1012,O1021,O1030)</f>
        <v>0</v>
      </c>
      <c r="P1041" s="34">
        <f t="shared" si="3810"/>
        <v>7368.36</v>
      </c>
      <c r="S1041" s="34">
        <f t="shared" ref="S1041:T1041" si="3811">SUM(S13,S22,S31,S40,S49,S58,S67,S76,S85,S94,S103,S112,S121,S130,S139,S148,S157,S166,S175,S184,S193,S202,S211,S220,S229,S238,S247,S256,S265,S274,S283,S292,S301,S310,S319,S328,S337,S346,S355,S364,S373,S382,S391,S400,S409,S418,S427,S436,S445,S454,S463,S472,S481,S490,S499,S508,S517,S526,S535,S544,S553,S562,S571,S580,S589,S598,S607,S616,S625,S634,S643,S652,S661,S670,S679,S688,S697,S706,S715,S724,S733,S742,S751,S760,S769,S778,S787,S796,S805,S814,S823,S832,S841,S850,S859,S868,S877,S886,S895,S904,S913,S922,S931,S940,S949,S958,S967,S976,S985,S994,S1003,S1012,S1021,S1030)</f>
        <v>0</v>
      </c>
      <c r="T1041" s="34">
        <f t="shared" si="3811"/>
        <v>1500</v>
      </c>
      <c r="W1041" s="34">
        <f t="shared" ref="W1041:X1041" si="3812">SUM(W13,W22,W31,W40,W49,W58,W67,W76,W85,W94,W103,W112,W121,W130,W139,W148,W157,W166,W175,W184,W193,W202,W211,W220,W229,W238,W247,W256,W265,W274,W283,W292,W301,W310,W319,W328,W337,W346,W355,W364,W373,W382,W391,W400,W409,W418,W427,W436,W445,W454,W463,W472,W481,W490,W499,W508,W517,W526,W535,W544,W553,W562,W571,W580,W589,W598,W607,W616,W625,W634,W643,W652,W661,W670,W679,W688,W697,W706,W715,W724,W733,W742,W751,W760,W769,W778,W787,W796,W805,W814,W823,W832,W841,W850,W859,W868,W877,W886,W895,W904,W913,W922,W931,W940,W949,W958,W967,W976,W985,W994,W1003,W1012,W1021,W1030)</f>
        <v>0</v>
      </c>
      <c r="X1041" s="34">
        <f t="shared" si="3812"/>
        <v>5350.183</v>
      </c>
      <c r="AA1041" s="34">
        <f t="shared" ref="AA1041:AB1041" si="3813">SUM(AA13,AA22,AA31,AA40,AA49,AA58,AA67,AA76,AA85,AA94,AA103,AA112,AA121,AA130,AA139,AA148,AA157,AA166,AA175,AA184,AA193,AA202,AA211,AA220,AA229,AA238,AA247,AA256,AA265,AA274,AA283,AA292,AA301,AA310,AA319,AA328,AA337,AA346,AA355,AA364,AA373,AA382,AA391,AA400,AA409,AA418,AA427,AA436,AA445,AA454,AA463,AA472,AA481,AA490,AA499,AA508,AA517,AA526,AA535,AA544,AA553,AA562,AA571,AA580,AA589,AA598,AA607,AA616,AA625,AA634,AA643,AA652,AA661,AA670,AA679,AA688,AA697,AA706,AA715,AA724,AA733,AA742,AA751,AA760,AA769,AA778,AA787,AA796,AA805,AA814,AA823,AA832,AA841,AA850,AA859,AA868,AA877,AA886,AA895,AA904,AA913,AA922,AA931,AA940,AA949,AA958,AA967,AA976,AA985,AA994,AA1003,AA1012,AA1021,AA1030)</f>
        <v>0</v>
      </c>
      <c r="AB1041" s="34">
        <f t="shared" si="3813"/>
        <v>4000</v>
      </c>
      <c r="AE1041" s="34">
        <f t="shared" ref="AE1041:AF1041" si="3814">SUM(AE13,AE22,AE31,AE40,AE49,AE58,AE67,AE76,AE85,AE94,AE103,AE112,AE121,AE130,AE139,AE148,AE157,AE166,AE175,AE184,AE193,AE202,AE211,AE220,AE229,AE238,AE247,AE256,AE265,AE274,AE283,AE292,AE301,AE310,AE319,AE328,AE337,AE346,AE355,AE364,AE373,AE382,AE391,AE400,AE409,AE418,AE427,AE436,AE445,AE454,AE463,AE472,AE481,AE490,AE499,AE508,AE517,AE526,AE535,AE544,AE553,AE562,AE571,AE580,AE589,AE598,AE607,AE616,AE625,AE634,AE643,AE652,AE661,AE670,AE679,AE688,AE697,AE706,AE715,AE724,AE733,AE742,AE751,AE760,AE769,AE778,AE787,AE796,AE805,AE814,AE823,AE832,AE841,AE850,AE859,AE868,AE877,AE886,AE895,AE904,AE913,AE922,AE931,AE940,AE949,AE958,AE967,AE976,AE985,AE994,AE1003,AE1012,AE1021,AE1030)</f>
        <v>0</v>
      </c>
      <c r="AF1041" s="34">
        <f t="shared" si="3814"/>
        <v>17510.26</v>
      </c>
      <c r="AI1041" s="34">
        <f t="shared" ref="AI1041:AJ1041" si="3815">SUM(AI13,AI22,AI31,AI40,AI49,AI58,AI67,AI76,AI85,AI94,AI103,AI112,AI121,AI130,AI139,AI148,AI157,AI166,AI175,AI184,AI193,AI202,AI211,AI220,AI229,AI238,AI247,AI256,AI265,AI274,AI283,AI292,AI301,AI310,AI319,AI328,AI337,AI346,AI355,AI364,AI373,AI382,AI391,AI400,AI409,AI418,AI427,AI436,AI445,AI454,AI463,AI472,AI481,AI490,AI499,AI508,AI517,AI526,AI535,AI544,AI553,AI562,AI571,AI580,AI589,AI598,AI607,AI616,AI625,AI634,AI643,AI652,AI661,AI670,AI679,AI688,AI697,AI706,AI715,AI724,AI733,AI742,AI751,AI760,AI769,AI778,AI787,AI796,AI805,AI814,AI823,AI832,AI841,AI850,AI859,AI868,AI877,AI886,AI895,AI904,AI913,AI922,AI931,AI940,AI949,AI958,AI967,AI976,AI985,AI994,AI1003,AI1012,AI1021,AI1030)</f>
        <v>0</v>
      </c>
      <c r="AJ1041" s="34">
        <f t="shared" si="3815"/>
        <v>6750</v>
      </c>
      <c r="AM1041" s="34">
        <f t="shared" ref="AM1041:AN1041" si="3816">SUM(AM13,AM22,AM31,AM40,AM49,AM58,AM67,AM76,AM85,AM94,AM103,AM112,AM121,AM130,AM139,AM148,AM157,AM166,AM175,AM184,AM193,AM202,AM211,AM220,AM229,AM238,AM247,AM256,AM265,AM274,AM283,AM292,AM301,AM310,AM319,AM328,AM337,AM346,AM355,AM364,AM373,AM382,AM391,AM400,AM409,AM418,AM427,AM436,AM445,AM454,AM463,AM472,AM481,AM490,AM499,AM508,AM517,AM526,AM535,AM544,AM553,AM562,AM571,AM580,AM589,AM598,AM607,AM616,AM625,AM634,AM643,AM652,AM661,AM670,AM679,AM688,AM697,AM706,AM715,AM724,AM733,AM742,AM751,AM760,AM769,AM778,AM787,AM796,AM805,AM814,AM823,AM832,AM841,AM850,AM859,AM868,AM877,AM886,AM895,AM904,AM913,AM922,AM931,AM940,AM949,AM958,AM967,AM976,AM985,AM994,AM1003,AM1012,AM1021,AM1030)</f>
        <v>0</v>
      </c>
      <c r="AN1041" s="34">
        <f t="shared" si="3816"/>
        <v>4250</v>
      </c>
      <c r="AQ1041" s="34">
        <f t="shared" ref="AQ1041:AR1041" si="3817">SUM(AQ13,AQ22,AQ31,AQ40,AQ49,AQ58,AQ67,AQ76,AQ85,AQ94,AQ103,AQ112,AQ121,AQ130,AQ139,AQ148,AQ157,AQ166,AQ175,AQ184,AQ193,AQ202,AQ211,AQ220,AQ229,AQ238,AQ247,AQ256,AQ265,AQ274,AQ283,AQ292,AQ301,AQ310,AQ319,AQ328,AQ337,AQ346,AQ355,AQ364,AQ373,AQ382,AQ391,AQ400,AQ409,AQ418,AQ427,AQ436,AQ445,AQ454,AQ463,AQ472,AQ481,AQ490,AQ499,AQ508,AQ517,AQ526,AQ535,AQ544,AQ553,AQ562,AQ571,AQ580,AQ589,AQ598,AQ607,AQ616,AQ625,AQ634,AQ643,AQ652,AQ661,AQ670,AQ679,AQ688,AQ697,AQ706,AQ715,AQ724,AQ733,AQ742,AQ751,AQ760,AQ769,AQ778,AQ787,AQ796,AQ805,AQ814,AQ823,AQ832,AQ841,AQ850,AQ859,AQ868,AQ877,AQ886,AQ895,AQ904,AQ913,AQ922,AQ931,AQ940,AQ949,AQ958,AQ967,AQ976,AQ985,AQ994,AQ1003,AQ1012,AQ1021,AQ1030)</f>
        <v>0</v>
      </c>
      <c r="AR1041" s="34">
        <f t="shared" si="3817"/>
        <v>500</v>
      </c>
      <c r="AU1041" s="34">
        <f t="shared" ref="AU1041:AV1041" si="3818">SUM(AU13,AU22,AU31,AU40,AU49,AU58,AU67,AU76,AU85,AU94,AU103,AU112,AU121,AU130,AU139,AU148,AU157,AU166,AU175,AU184,AU193,AU202,AU211,AU220,AU229,AU238,AU247,AU256,AU265,AU274,AU283,AU292,AU301,AU310,AU319,AU328,AU337,AU346,AU355,AU364,AU373,AU382,AU391,AU400,AU409,AU418,AU427,AU436,AU445,AU454,AU463,AU472,AU481,AU490,AU499,AU508,AU517,AU526,AU535,AU544,AU553,AU562,AU571,AU580,AU589,AU598,AU607,AU616,AU625,AU634,AU643,AU652,AU661,AU670,AU679,AU688,AU697,AU706,AU715,AU724,AU733,AU742,AU751,AU760,AU769,AU778,AU787,AU796,AU805,AU814,AU823,AU832,AU841,AU850,AU859,AU868,AU877,AU886,AU895,AU904,AU913,AU922,AU931,AU940,AU949,AU958,AU967,AU976,AU985,AU994,AU1003,AU1012,AU1021,AU1030)</f>
        <v>0</v>
      </c>
      <c r="AV1041" s="34">
        <f t="shared" si="3818"/>
        <v>0</v>
      </c>
      <c r="AY1041" s="34">
        <f t="shared" ref="AY1041:AZ1041" si="3819">SUM(AY13,AY22,AY31,AY40,AY49,AY58,AY67,AY76,AY85,AY94,AY103,AY112,AY121,AY130,AY139,AY148,AY157,AY166,AY175,AY184,AY193,AY202,AY211,AY220,AY229,AY238,AY247,AY256,AY265,AY274,AY283,AY292,AY301,AY310,AY319,AY328,AY337,AY346,AY355,AY364,AY373,AY382,AY391,AY400,AY409,AY418,AY427,AY436,AY445,AY454,AY463,AY472,AY481,AY490,AY499,AY508,AY517,AY526,AY535,AY544,AY553,AY562,AY571,AY580,AY589,AY598,AY607,AY616,AY625,AY634,AY643,AY652,AY661,AY670,AY679,AY688,AY697,AY706,AY715,AY724,AY733,AY742,AY751,AY760,AY769,AY778,AY787,AY796,AY805,AY814,AY823,AY832,AY841,AY850,AY859,AY868,AY877,AY886,AY895,AY904,AY913,AY922,AY931,AY940,AY949,AY958,AY967,AY976,AY985,AY994,AY1003,AY1012,AY1021,AY1030)</f>
        <v>0</v>
      </c>
      <c r="AZ1041" s="34">
        <f t="shared" si="3819"/>
        <v>0</v>
      </c>
      <c r="BC1041" s="34">
        <f t="shared" ref="BC1041:BD1041" si="3820">SUM(BC13,BC22,BC31,BC40,BC49,BC58,BC67,BC76,BC85,BC94,BC103,BC112,BC121,BC130,BC139,BC148,BC157,BC166,BC175,BC184,BC193,BC202,BC211,BC220,BC229,BC238,BC247,BC256,BC265,BC274,BC283,BC292,BC301,BC310,BC319,BC328,BC337,BC346,BC355,BC364,BC373,BC382,BC391,BC400,BC409,BC418,BC427,BC436,BC445,BC454,BC463,BC472,BC481,BC490,BC499,BC508,BC517,BC526,BC535,BC544,BC553,BC562,BC571,BC580,BC589,BC598,BC607,BC616,BC625,BC634,BC643,BC652,BC661,BC670,BC679,BC688,BC697,BC706,BC715,BC724,BC733,BC742,BC751,BC760,BC769,BC778,BC787,BC796,BC805,BC814,BC823,BC832,BC841,BC850,BC859,BC868,BC877,BC886,BC895,BC904,BC913,BC922,BC931,BC940,BC949,BC958,BC967,BC976,BC985,BC994,BC1003,BC1012,BC1021,BC1030)</f>
        <v>0</v>
      </c>
      <c r="BD1041" s="34">
        <f t="shared" si="3820"/>
        <v>0</v>
      </c>
      <c r="BE1041" s="41"/>
      <c r="BF1041" s="34">
        <f t="shared" ref="BF1041:BH1041" si="3821">SUM(BF13,BF22,BF31,BF40,BF49,BF58,BF67,BF76,BF85,BF94,BF103,BF112,BF121,BF130,BF139,BF148,BF157,BF166,BF175,BF184,BF193,BF202,BF211,BF220,BF229,BF238,BF247,BF256,BF265,BF274,BF283,BF292,BF301,BF310,BF319,BF328,BF337,BF346,BF355,BF364,BF373,BF382,BF391,BF400,BF409,BF418,BF427,BF436,BF445,BF454,BF463,BF472,BF481,BF490,BF499,BF508,BF517,BF526,BF535,BF544,BF553,BF562,BF571,BF580,BF589,BF598,BF607,BF616,BF625,BF634,BF643,BF652,BF661,BF670,BF679,BF688,BF697,BF706,BF715,BF724,BF733,BF742,BF751,BF760,BF769,BF778,BF787,BF796,BF805,BF814,BF823,BF832,BF841,BF850,BF859,BF868,BF877,BF886,BF895,BF904,BF913,BF922,BF931,BF940,BF949,BF958,BF967,BF976,BF985,BF994,BF1003,BF1012,BF1021,BF1030)</f>
        <v>0</v>
      </c>
      <c r="BG1041" s="34">
        <f t="shared" si="3821"/>
        <v>47728.803</v>
      </c>
      <c r="BH1041" s="35">
        <f t="shared" si="3821"/>
        <v>35234.637</v>
      </c>
    </row>
    <row r="1042" ht="14.25" customHeight="1" hidden="1" spans="4:60" x14ac:dyDescent="0.25">
      <c r="D1042" s="15" t="s">
        <v>51</v>
      </c>
      <c r="E1042" s="2" t="s">
        <v>49</v>
      </c>
      <c r="H1042" s="34">
        <f t="shared" si="3782"/>
        <v>205995.86</v>
      </c>
      <c r="K1042" s="34">
        <f t="shared" ref="K1042:L1042" si="3822">SUM(K14,K23,K32,K41,K50,K59,K68,K77,K86,K95,K104,K113,K122,K131,K140,K149,K158,K167,K176,K185,K194,K203,K212,K221,K230,K239,K248,K257,K266,K275,K284,K293,K302,K311,K320,K329,K338,K347,K356,K365,K374,K383,K392,K401,K410,K419,K428,K437,K446,K455,K464,K473,K482,K491,K500,K509,K518,K527,K536,K545,K554,K563,K572,K581,K590,K599,K608,K617,K626,K635,K644,K653,K662,K671,K680,K689,K698,K707,K716,K725,K734,K743,K752,K761,K770,K779,K788,K797,K806,K815,K824,K833,K842,K851,K860,K869,K878,K887,K896,K905,K914,K923,K932,K941,K950,K959,K968,K977,K986,K995,K1004,K1013,K1022,K1031)</f>
        <v>0</v>
      </c>
      <c r="L1042" s="34">
        <f t="shared" si="3822"/>
        <v>2210</v>
      </c>
      <c r="O1042" s="34">
        <f t="shared" ref="O1042:P1042" si="3823">SUM(O14,O23,O32,O41,O50,O59,O68,O77,O86,O95,O104,O113,O122,O131,O140,O149,O158,O167,O176,O185,O194,O203,O212,O221,O230,O239,O248,O257,O266,O275,O284,O293,O302,O311,O320,O329,O338,O347,O356,O365,O374,O383,O392,O401,O410,O419,O428,O437,O446,O455,O464,O473,O482,O491,O500,O509,O518,O527,O536,O545,O554,O563,O572,O581,O590,O599,O608,O617,O626,O635,O644,O653,O662,O671,O680,O689,O698,O707,O716,O725,O734,O743,O752,O761,O770,O779,O788,O797,O806,O815,O824,O833,O842,O851,O860,O869,O878,O887,O896,O905,O914,O923,O932,O941,O950,O959,O968,O977,O986,O995,O1004,O1013,O1022,O1031)</f>
        <v>0</v>
      </c>
      <c r="P1042" s="34">
        <f t="shared" si="3823"/>
        <v>6565</v>
      </c>
      <c r="S1042" s="34">
        <f t="shared" ref="S1042:T1042" si="3824">SUM(S14,S23,S32,S41,S50,S59,S68,S77,S86,S95,S104,S113,S122,S131,S140,S149,S158,S167,S176,S185,S194,S203,S212,S221,S230,S239,S248,S257,S266,S275,S284,S293,S302,S311,S320,S329,S338,S347,S356,S365,S374,S383,S392,S401,S410,S419,S428,S437,S446,S455,S464,S473,S482,S491,S500,S509,S518,S527,S536,S545,S554,S563,S572,S581,S590,S599,S608,S617,S626,S635,S644,S653,S662,S671,S680,S689,S698,S707,S716,S725,S734,S743,S752,S761,S770,S779,S788,S797,S806,S815,S824,S833,S842,S851,S860,S869,S878,S887,S896,S905,S914,S923,S932,S941,S950,S959,S968,S977,S986,S995,S1004,S1013,S1022,S1031)</f>
        <v>0</v>
      </c>
      <c r="T1042" s="34">
        <f t="shared" si="3824"/>
        <v>2968</v>
      </c>
      <c r="W1042" s="34">
        <f t="shared" ref="W1042:X1042" si="3825">SUM(W14,W23,W32,W41,W50,W59,W68,W77,W86,W95,W104,W113,W122,W131,W140,W149,W158,W167,W176,W185,W194,W203,W212,W221,W230,W239,W248,W257,W266,W275,W284,W293,W302,W311,W320,W329,W338,W347,W356,W365,W374,W383,W392,W401,W410,W419,W428,W437,W446,W455,W464,W473,W482,W491,W500,W509,W518,W527,W536,W545,W554,W563,W572,W581,W590,W599,W608,W617,W626,W635,W644,W653,W662,W671,W680,W689,W698,W707,W716,W725,W734,W743,W752,W761,W770,W779,W788,W797,W806,W815,W824,W833,W842,W851,W860,W869,W878,W887,W896,W905,W914,W923,W932,W941,W950,W959,W968,W977,W986,W995,W1004,W1013,W1022,W1031)</f>
        <v>0</v>
      </c>
      <c r="X1042" s="34">
        <f t="shared" si="3825"/>
        <v>17579.36</v>
      </c>
      <c r="AA1042" s="34">
        <f t="shared" ref="AA1042:AB1042" si="3826">SUM(AA14,AA23,AA32,AA41,AA50,AA59,AA68,AA77,AA86,AA95,AA104,AA113,AA122,AA131,AA140,AA149,AA158,AA167,AA176,AA185,AA194,AA203,AA212,AA221,AA230,AA239,AA248,AA257,AA266,AA275,AA284,AA293,AA302,AA311,AA320,AA329,AA338,AA347,AA356,AA365,AA374,AA383,AA392,AA401,AA410,AA419,AA428,AA437,AA446,AA455,AA464,AA473,AA482,AA491,AA500,AA509,AA518,AA527,AA536,AA545,AA554,AA563,AA572,AA581,AA590,AA599,AA608,AA617,AA626,AA635,AA644,AA653,AA662,AA671,AA680,AA689,AA698,AA707,AA716,AA725,AA734,AA743,AA752,AA761,AA770,AA779,AA788,AA797,AA806,AA815,AA824,AA833,AA842,AA851,AA860,AA869,AA878,AA887,AA896,AA905,AA914,AA923,AA932,AA941,AA950,AA959,AA968,AA977,AA986,AA995,AA1004,AA1013,AA1022,AA1031)</f>
        <v>0</v>
      </c>
      <c r="AB1042" s="34">
        <f t="shared" si="3826"/>
        <v>21975</v>
      </c>
      <c r="AE1042" s="34">
        <f t="shared" ref="AE1042:AF1042" si="3827">SUM(AE14,AE23,AE32,AE41,AE50,AE59,AE68,AE77,AE86,AE95,AE104,AE113,AE122,AE131,AE140,AE149,AE158,AE167,AE176,AE185,AE194,AE203,AE212,AE221,AE230,AE239,AE248,AE257,AE266,AE275,AE284,AE293,AE302,AE311,AE320,AE329,AE338,AE347,AE356,AE365,AE374,AE383,AE392,AE401,AE410,AE419,AE428,AE437,AE446,AE455,AE464,AE473,AE482,AE491,AE500,AE509,AE518,AE527,AE536,AE545,AE554,AE563,AE572,AE581,AE590,AE599,AE608,AE617,AE626,AE635,AE644,AE653,AE662,AE671,AE680,AE689,AE698,AE707,AE716,AE725,AE734,AE743,AE752,AE761,AE770,AE779,AE788,AE797,AE806,AE815,AE824,AE833,AE842,AE851,AE860,AE869,AE878,AE887,AE896,AE905,AE914,AE923,AE932,AE941,AE950,AE959,AE968,AE977,AE986,AE995,AE1004,AE1013,AE1022,AE1031)</f>
        <v>0</v>
      </c>
      <c r="AF1042" s="34">
        <f t="shared" si="3827"/>
        <v>72718.13</v>
      </c>
      <c r="AI1042" s="34">
        <f t="shared" ref="AI1042:AJ1042" si="3828">SUM(AI14,AI23,AI32,AI41,AI50,AI59,AI68,AI77,AI86,AI95,AI104,AI113,AI122,AI131,AI140,AI149,AI158,AI167,AI176,AI185,AI194,AI203,AI212,AI221,AI230,AI239,AI248,AI257,AI266,AI275,AI284,AI293,AI302,AI311,AI320,AI329,AI338,AI347,AI356,AI365,AI374,AI383,AI392,AI401,AI410,AI419,AI428,AI437,AI446,AI455,AI464,AI473,AI482,AI491,AI500,AI509,AI518,AI527,AI536,AI545,AI554,AI563,AI572,AI581,AI590,AI599,AI608,AI617,AI626,AI635,AI644,AI653,AI662,AI671,AI680,AI689,AI698,AI707,AI716,AI725,AI734,AI743,AI752,AI761,AI770,AI779,AI788,AI797,AI806,AI815,AI824,AI833,AI842,AI851,AI860,AI869,AI878,AI887,AI896,AI905,AI914,AI923,AI932,AI941,AI950,AI959,AI968,AI977,AI986,AI995,AI1004,AI1013,AI1022,AI1031)</f>
        <v>0</v>
      </c>
      <c r="AJ1042" s="34">
        <f t="shared" si="3828"/>
        <v>26021.87</v>
      </c>
      <c r="AM1042" s="34">
        <f t="shared" ref="AM1042:AN1042" si="3829">SUM(AM14,AM23,AM32,AM41,AM50,AM59,AM68,AM77,AM86,AM95,AM104,AM113,AM122,AM131,AM140,AM149,AM158,AM167,AM176,AM185,AM194,AM203,AM212,AM221,AM230,AM239,AM248,AM257,AM266,AM275,AM284,AM293,AM302,AM311,AM320,AM329,AM338,AM347,AM356,AM365,AM374,AM383,AM392,AM401,AM410,AM419,AM428,AM437,AM446,AM455,AM464,AM473,AM482,AM491,AM500,AM509,AM518,AM527,AM536,AM545,AM554,AM563,AM572,AM581,AM590,AM599,AM608,AM617,AM626,AM635,AM644,AM653,AM662,AM671,AM680,AM689,AM698,AM707,AM716,AM725,AM734,AM743,AM752,AM761,AM770,AM779,AM788,AM797,AM806,AM815,AM824,AM833,AM842,AM851,AM860,AM869,AM878,AM887,AM896,AM905,AM914,AM923,AM932,AM941,AM950,AM959,AM968,AM977,AM986,AM995,AM1004,AM1013,AM1022,AM1031)</f>
        <v>0</v>
      </c>
      <c r="AN1042" s="34">
        <f t="shared" si="3829"/>
        <v>11045</v>
      </c>
      <c r="AQ1042" s="34">
        <f t="shared" ref="AQ1042:AR1042" si="3830">SUM(AQ14,AQ23,AQ32,AQ41,AQ50,AQ59,AQ68,AQ77,AQ86,AQ95,AQ104,AQ113,AQ122,AQ131,AQ140,AQ149,AQ158,AQ167,AQ176,AQ185,AQ194,AQ203,AQ212,AQ221,AQ230,AQ239,AQ248,AQ257,AQ266,AQ275,AQ284,AQ293,AQ302,AQ311,AQ320,AQ329,AQ338,AQ347,AQ356,AQ365,AQ374,AQ383,AQ392,AQ401,AQ410,AQ419,AQ428,AQ437,AQ446,AQ455,AQ464,AQ473,AQ482,AQ491,AQ500,AQ509,AQ518,AQ527,AQ536,AQ545,AQ554,AQ563,AQ572,AQ581,AQ590,AQ599,AQ608,AQ617,AQ626,AQ635,AQ644,AQ653,AQ662,AQ671,AQ680,AQ689,AQ698,AQ707,AQ716,AQ725,AQ734,AQ743,AQ752,AQ761,AQ770,AQ779,AQ788,AQ797,AQ806,AQ815,AQ824,AQ833,AQ842,AQ851,AQ860,AQ869,AQ878,AQ887,AQ896,AQ905,AQ914,AQ923,AQ932,AQ941,AQ950,AQ959,AQ968,AQ977,AQ986,AQ995,AQ1004,AQ1013,AQ1022,AQ1031)</f>
        <v>0</v>
      </c>
      <c r="AR1042" s="34">
        <f t="shared" si="3830"/>
        <v>2425</v>
      </c>
      <c r="AU1042" s="34">
        <f t="shared" ref="AU1042:AV1042" si="3831">SUM(AU14,AU23,AU32,AU41,AU50,AU59,AU68,AU77,AU86,AU95,AU104,AU113,AU122,AU131,AU140,AU149,AU158,AU167,AU176,AU185,AU194,AU203,AU212,AU221,AU230,AU239,AU248,AU257,AU266,AU275,AU284,AU293,AU302,AU311,AU320,AU329,AU338,AU347,AU356,AU365,AU374,AU383,AU392,AU401,AU410,AU419,AU428,AU437,AU446,AU455,AU464,AU473,AU482,AU491,AU500,AU509,AU518,AU527,AU536,AU545,AU554,AU563,AU572,AU581,AU590,AU599,AU608,AU617,AU626,AU635,AU644,AU653,AU662,AU671,AU680,AU689,AU698,AU707,AU716,AU725,AU734,AU743,AU752,AU761,AU770,AU779,AU788,AU797,AU806,AU815,AU824,AU833,AU842,AU851,AU860,AU869,AU878,AU887,AU896,AU905,AU914,AU923,AU932,AU941,AU950,AU959,AU968,AU977,AU986,AU995,AU1004,AU1013,AU1022,AU1031)</f>
        <v>0</v>
      </c>
      <c r="AV1042" s="34">
        <f t="shared" si="3831"/>
        <v>2000</v>
      </c>
      <c r="AY1042" s="34">
        <f t="shared" ref="AY1042:AZ1042" si="3832">SUM(AY14,AY23,AY32,AY41,AY50,AY59,AY68,AY77,AY86,AY95,AY104,AY113,AY122,AY131,AY140,AY149,AY158,AY167,AY176,AY185,AY194,AY203,AY212,AY221,AY230,AY239,AY248,AY257,AY266,AY275,AY284,AY293,AY302,AY311,AY320,AY329,AY338,AY347,AY356,AY365,AY374,AY383,AY392,AY401,AY410,AY419,AY428,AY437,AY446,AY455,AY464,AY473,AY482,AY491,AY500,AY509,AY518,AY527,AY536,AY545,AY554,AY563,AY572,AY581,AY590,AY599,AY608,AY617,AY626,AY635,AY644,AY653,AY662,AY671,AY680,AY689,AY698,AY707,AY716,AY725,AY734,AY743,AY752,AY761,AY770,AY779,AY788,AY797,AY806,AY815,AY824,AY833,AY842,AY851,AY860,AY869,AY878,AY887,AY896,AY905,AY914,AY923,AY932,AY941,AY950,AY959,AY968,AY977,AY986,AY995,AY1004,AY1013,AY1022,AY1031)</f>
        <v>0</v>
      </c>
      <c r="AZ1042" s="34">
        <f t="shared" si="3832"/>
        <v>0</v>
      </c>
      <c r="BC1042" s="34">
        <f t="shared" ref="BC1042:BD1042" si="3833">SUM(BC14,BC23,BC32,BC41,BC50,BC59,BC68,BC77,BC86,BC95,BC104,BC113,BC122,BC131,BC140,BC149,BC158,BC167,BC176,BC185,BC194,BC203,BC212,BC221,BC230,BC239,BC248,BC257,BC266,BC275,BC284,BC293,BC302,BC311,BC320,BC329,BC338,BC347,BC356,BC365,BC374,BC383,BC392,BC401,BC410,BC419,BC428,BC437,BC446,BC455,BC464,BC473,BC482,BC491,BC500,BC509,BC518,BC527,BC536,BC545,BC554,BC563,BC572,BC581,BC590,BC599,BC608,BC617,BC626,BC635,BC644,BC653,BC662,BC671,BC680,BC689,BC698,BC707,BC716,BC725,BC734,BC743,BC752,BC761,BC770,BC779,BC788,BC797,BC806,BC815,BC824,BC833,BC842,BC851,BC860,BC869,BC878,BC887,BC896,BC905,BC914,BC923,BC932,BC941,BC950,BC959,BC968,BC977,BC986,BC995,BC1004,BC1013,BC1022,BC1031)</f>
        <v>0</v>
      </c>
      <c r="BD1042" s="34">
        <f t="shared" si="3833"/>
        <v>0</v>
      </c>
      <c r="BE1042" s="41"/>
      <c r="BF1042" s="34">
        <f t="shared" ref="BF1042:BH1042" si="3834">SUM(BF14,BF23,BF32,BF41,BF50,BF59,BF68,BF77,BF86,BF95,BF104,BF113,BF122,BF131,BF140,BF149,BF158,BF167,BF176,BF185,BF194,BF203,BF212,BF221,BF230,BF239,BF248,BF257,BF266,BF275,BF284,BF293,BF302,BF311,BF320,BF329,BF338,BF347,BF356,BF365,BF374,BF383,BF392,BF401,BF410,BF419,BF428,BF437,BF446,BF455,BF464,BF473,BF482,BF491,BF500,BF509,BF518,BF527,BF536,BF545,BF554,BF563,BF572,BF581,BF590,BF599,BF608,BF617,BF626,BF635,BF644,BF653,BF662,BF671,BF680,BF689,BF698,BF707,BF716,BF725,BF734,BF743,BF752,BF761,BF770,BF779,BF788,BF797,BF806,BF815,BF824,BF833,BF842,BF851,BF860,BF869,BF878,BF887,BF896,BF905,BF914,BF923,BF932,BF941,BF950,BF959,BF968,BF977,BF986,BF995,BF1004,BF1013,BF1022,BF1031)</f>
        <v>0</v>
      </c>
      <c r="BG1042" s="34">
        <f t="shared" si="3834"/>
        <v>165507.36</v>
      </c>
      <c r="BH1042" s="35">
        <f t="shared" si="3834"/>
        <v>40488.5</v>
      </c>
    </row>
    <row r="1043" ht="14.25" customHeight="1" hidden="1" spans="4:60" x14ac:dyDescent="0.25">
      <c r="D1043" s="15" t="s">
        <v>52</v>
      </c>
      <c r="E1043" s="2" t="s">
        <v>39</v>
      </c>
      <c r="H1043" s="34">
        <f t="shared" si="3782"/>
        <v>17700</v>
      </c>
      <c r="K1043" s="34">
        <f t="shared" ref="K1043:L1043" si="3835">SUM(K15,K24,K33,K42,K51,K60,K69,K78,K87,K96,K105,K114,K123,K132,K141,K150,K159,K168,K177,K186,K195,K204,K213,K222,K231,K240,K249,K258,K267,K276,K285,K294,K303,K312,K321,K330,K339,K348,K357,K366,K375,K384,K393,K402,K411,K420,K429,K438,K447,K456,K465,K474,K483,K492,K501,K510,K519,K528,K537,K546,K555,K564,K573,K582,K591,K600,K609,K618,K627,K636,K645,K654,K663,K672,K681,K690,K699,K708,K717,K726,K735,K744,K753,K762,K771,K780,K789,K798,K807,K816,K825,K834,K843,K852,K861,K870,K879,K888,K897,K906,K915,K924,K933,K942,K951,K960,K969,K978,K987,K996,K1005,K1014,K1023,K1032)</f>
        <v>0</v>
      </c>
      <c r="L1043" s="34">
        <f t="shared" si="3835"/>
        <v>500</v>
      </c>
      <c r="O1043" s="34">
        <f t="shared" ref="O1043:P1043" si="3836">SUM(O15,O24,O33,O42,O51,O60,O69,O78,O87,O96,O105,O114,O123,O132,O141,O150,O159,O168,O177,O186,O195,O204,O213,O222,O231,O240,O249,O258,O267,O276,O285,O294,O303,O312,O321,O330,O339,O348,O357,O366,O375,O384,O393,O402,O411,O420,O429,O438,O447,O456,O465,O474,O483,O492,O501,O510,O519,O528,O537,O546,O555,O564,O573,O582,O591,O600,O609,O618,O627,O636,O645,O654,O663,O672,O681,O690,O699,O708,O717,O726,O735,O744,O753,O762,O771,O780,O789,O798,O807,O816,O825,O834,O843,O852,O861,O870,O879,O888,O897,O906,O915,O924,O933,O942,O951,O960,O969,O978,O987,O996,O1005,O1014,O1023,O1032)</f>
        <v>0</v>
      </c>
      <c r="P1043" s="34">
        <f t="shared" si="3836"/>
        <v>0</v>
      </c>
      <c r="S1043" s="34">
        <f t="shared" ref="S1043:T1043" si="3837">SUM(S15,S24,S33,S42,S51,S60,S69,S78,S87,S96,S105,S114,S123,S132,S141,S150,S159,S168,S177,S186,S195,S204,S213,S222,S231,S240,S249,S258,S267,S276,S285,S294,S303,S312,S321,S330,S339,S348,S357,S366,S375,S384,S393,S402,S411,S420,S429,S438,S447,S456,S465,S474,S483,S492,S501,S510,S519,S528,S537,S546,S555,S564,S573,S582,S591,S600,S609,S618,S627,S636,S645,S654,S663,S672,S681,S690,S699,S708,S717,S726,S735,S744,S753,S762,S771,S780,S789,S798,S807,S816,S825,S834,S843,S852,S861,S870,S879,S888,S897,S906,S915,S924,S933,S942,S951,S960,S969,S978,S987,S996,S1005,S1014,S1023,S1032)</f>
        <v>0</v>
      </c>
      <c r="T1043" s="34">
        <f t="shared" si="3837"/>
        <v>1350</v>
      </c>
      <c r="W1043" s="34">
        <f t="shared" ref="W1043:X1043" si="3838">SUM(W15,W24,W33,W42,W51,W60,W69,W78,W87,W96,W105,W114,W123,W132,W141,W150,W159,W168,W177,W186,W195,W204,W213,W222,W231,W240,W249,W258,W267,W276,W285,W294,W303,W312,W321,W330,W339,W348,W357,W366,W375,W384,W393,W402,W411,W420,W429,W438,W447,W456,W465,W474,W483,W492,W501,W510,W519,W528,W537,W546,W555,W564,W573,W582,W591,W600,W609,W618,W627,W636,W645,W654,W663,W672,W681,W690,W699,W708,W717,W726,W735,W744,W753,W762,W771,W780,W789,W798,W807,W816,W825,W834,W843,W852,W861,W870,W879,W888,W897,W906,W915,W924,W933,W942,W951,W960,W969,W978,W987,W996,W1005,W1014,W1023,W1032)</f>
        <v>0</v>
      </c>
      <c r="X1043" s="34">
        <f t="shared" si="3838"/>
        <v>0</v>
      </c>
      <c r="AA1043" s="34">
        <f t="shared" ref="AA1043:AB1043" si="3839">SUM(AA15,AA24,AA33,AA42,AA51,AA60,AA69,AA78,AA87,AA96,AA105,AA114,AA123,AA132,AA141,AA150,AA159,AA168,AA177,AA186,AA195,AA204,AA213,AA222,AA231,AA240,AA249,AA258,AA267,AA276,AA285,AA294,AA303,AA312,AA321,AA330,AA339,AA348,AA357,AA366,AA375,AA384,AA393,AA402,AA411,AA420,AA429,AA438,AA447,AA456,AA465,AA474,AA483,AA492,AA501,AA510,AA519,AA528,AA537,AA546,AA555,AA564,AA573,AA582,AA591,AA600,AA609,AA618,AA627,AA636,AA645,AA654,AA663,AA672,AA681,AA690,AA699,AA708,AA717,AA726,AA735,AA744,AA753,AA762,AA771,AA780,AA789,AA798,AA807,AA816,AA825,AA834,AA843,AA852,AA861,AA870,AA879,AA888,AA897,AA906,AA915,AA924,AA933,AA942,AA951,AA960,AA969,AA978,AA987,AA996,AA1005,AA1014,AA1023,AA1032)</f>
        <v>0</v>
      </c>
      <c r="AB1043" s="34">
        <f t="shared" si="3839"/>
        <v>1000</v>
      </c>
      <c r="AE1043" s="34">
        <f t="shared" ref="AE1043:AF1043" si="3840">SUM(AE15,AE24,AE33,AE42,AE51,AE60,AE69,AE78,AE87,AE96,AE105,AE114,AE123,AE132,AE141,AE150,AE159,AE168,AE177,AE186,AE195,AE204,AE213,AE222,AE231,AE240,AE249,AE258,AE267,AE276,AE285,AE294,AE303,AE312,AE321,AE330,AE339,AE348,AE357,AE366,AE375,AE384,AE393,AE402,AE411,AE420,AE429,AE438,AE447,AE456,AE465,AE474,AE483,AE492,AE501,AE510,AE519,AE528,AE537,AE546,AE555,AE564,AE573,AE582,AE591,AE600,AE609,AE618,AE627,AE636,AE645,AE654,AE663,AE672,AE681,AE690,AE699,AE708,AE717,AE726,AE735,AE744,AE753,AE762,AE771,AE780,AE789,AE798,AE807,AE816,AE825,AE834,AE843,AE852,AE861,AE870,AE879,AE888,AE897,AE906,AE915,AE924,AE933,AE942,AE951,AE960,AE969,AE978,AE987,AE996,AE1005,AE1014,AE1023,AE1032)</f>
        <v>0</v>
      </c>
      <c r="AF1043" s="34">
        <f t="shared" si="3840"/>
        <v>2700</v>
      </c>
      <c r="AI1043" s="34">
        <f t="shared" ref="AI1043:AJ1043" si="3841">SUM(AI15,AI24,AI33,AI42,AI51,AI60,AI69,AI78,AI87,AI96,AI105,AI114,AI123,AI132,AI141,AI150,AI159,AI168,AI177,AI186,AI195,AI204,AI213,AI222,AI231,AI240,AI249,AI258,AI267,AI276,AI285,AI294,AI303,AI312,AI321,AI330,AI339,AI348,AI357,AI366,AI375,AI384,AI393,AI402,AI411,AI420,AI429,AI438,AI447,AI456,AI465,AI474,AI483,AI492,AI501,AI510,AI519,AI528,AI537,AI546,AI555,AI564,AI573,AI582,AI591,AI600,AI609,AI618,AI627,AI636,AI645,AI654,AI663,AI672,AI681,AI690,AI699,AI708,AI717,AI726,AI735,AI744,AI753,AI762,AI771,AI780,AI789,AI798,AI807,AI816,AI825,AI834,AI843,AI852,AI861,AI870,AI879,AI888,AI897,AI906,AI915,AI924,AI933,AI942,AI951,AI960,AI969,AI978,AI987,AI996,AI1005,AI1014,AI1023,AI1032)</f>
        <v>0</v>
      </c>
      <c r="AJ1043" s="34">
        <f t="shared" si="3841"/>
        <v>1000</v>
      </c>
      <c r="AM1043" s="34">
        <f t="shared" ref="AM1043:AN1043" si="3842">SUM(AM15,AM24,AM33,AM42,AM51,AM60,AM69,AM78,AM87,AM96,AM105,AM114,AM123,AM132,AM141,AM150,AM159,AM168,AM177,AM186,AM195,AM204,AM213,AM222,AM231,AM240,AM249,AM258,AM267,AM276,AM285,AM294,AM303,AM312,AM321,AM330,AM339,AM348,AM357,AM366,AM375,AM384,AM393,AM402,AM411,AM420,AM429,AM438,AM447,AM456,AM465,AM474,AM483,AM492,AM501,AM510,AM519,AM528,AM537,AM546,AM555,AM564,AM573,AM582,AM591,AM600,AM609,AM618,AM627,AM636,AM645,AM654,AM663,AM672,AM681,AM690,AM699,AM708,AM717,AM726,AM735,AM744,AM753,AM762,AM771,AM780,AM789,AM798,AM807,AM816,AM825,AM834,AM843,AM852,AM861,AM870,AM879,AM888,AM897,AM906,AM915,AM924,AM933,AM942,AM951,AM960,AM969,AM978,AM987,AM996,AM1005,AM1014,AM1023,AM1032)</f>
        <v>0</v>
      </c>
      <c r="AN1043" s="34">
        <f t="shared" si="3842"/>
        <v>0</v>
      </c>
      <c r="AQ1043" s="34">
        <f t="shared" ref="AQ1043:AR1043" si="3843">SUM(AQ15,AQ24,AQ33,AQ42,AQ51,AQ60,AQ69,AQ78,AQ87,AQ96,AQ105,AQ114,AQ123,AQ132,AQ141,AQ150,AQ159,AQ168,AQ177,AQ186,AQ195,AQ204,AQ213,AQ222,AQ231,AQ240,AQ249,AQ258,AQ267,AQ276,AQ285,AQ294,AQ303,AQ312,AQ321,AQ330,AQ339,AQ348,AQ357,AQ366,AQ375,AQ384,AQ393,AQ402,AQ411,AQ420,AQ429,AQ438,AQ447,AQ456,AQ465,AQ474,AQ483,AQ492,AQ501,AQ510,AQ519,AQ528,AQ537,AQ546,AQ555,AQ564,AQ573,AQ582,AQ591,AQ600,AQ609,AQ618,AQ627,AQ636,AQ645,AQ654,AQ663,AQ672,AQ681,AQ690,AQ699,AQ708,AQ717,AQ726,AQ735,AQ744,AQ753,AQ762,AQ771,AQ780,AQ789,AQ798,AQ807,AQ816,AQ825,AQ834,AQ843,AQ852,AQ861,AQ870,AQ879,AQ888,AQ897,AQ906,AQ915,AQ924,AQ933,AQ942,AQ951,AQ960,AQ969,AQ978,AQ987,AQ996,AQ1005,AQ1014,AQ1023,AQ1032)</f>
        <v>0</v>
      </c>
      <c r="AR1043" s="34">
        <f t="shared" si="3843"/>
        <v>0</v>
      </c>
      <c r="AU1043" s="34">
        <f t="shared" ref="AU1043:AV1043" si="3844">SUM(AU15,AU24,AU33,AU42,AU51,AU60,AU69,AU78,AU87,AU96,AU105,AU114,AU123,AU132,AU141,AU150,AU159,AU168,AU177,AU186,AU195,AU204,AU213,AU222,AU231,AU240,AU249,AU258,AU267,AU276,AU285,AU294,AU303,AU312,AU321,AU330,AU339,AU348,AU357,AU366,AU375,AU384,AU393,AU402,AU411,AU420,AU429,AU438,AU447,AU456,AU465,AU474,AU483,AU492,AU501,AU510,AU519,AU528,AU537,AU546,AU555,AU564,AU573,AU582,AU591,AU600,AU609,AU618,AU627,AU636,AU645,AU654,AU663,AU672,AU681,AU690,AU699,AU708,AU717,AU726,AU735,AU744,AU753,AU762,AU771,AU780,AU789,AU798,AU807,AU816,AU825,AU834,AU843,AU852,AU861,AU870,AU879,AU888,AU897,AU906,AU915,AU924,AU933,AU942,AU951,AU960,AU969,AU978,AU987,AU996,AU1005,AU1014,AU1023,AU1032)</f>
        <v>0</v>
      </c>
      <c r="AV1043" s="34">
        <f t="shared" si="3844"/>
        <v>0</v>
      </c>
      <c r="AY1043" s="34">
        <f t="shared" ref="AY1043:AZ1043" si="3845">SUM(AY15,AY24,AY33,AY42,AY51,AY60,AY69,AY78,AY87,AY96,AY105,AY114,AY123,AY132,AY141,AY150,AY159,AY168,AY177,AY186,AY195,AY204,AY213,AY222,AY231,AY240,AY249,AY258,AY267,AY276,AY285,AY294,AY303,AY312,AY321,AY330,AY339,AY348,AY357,AY366,AY375,AY384,AY393,AY402,AY411,AY420,AY429,AY438,AY447,AY456,AY465,AY474,AY483,AY492,AY501,AY510,AY519,AY528,AY537,AY546,AY555,AY564,AY573,AY582,AY591,AY600,AY609,AY618,AY627,AY636,AY645,AY654,AY663,AY672,AY681,AY690,AY699,AY708,AY717,AY726,AY735,AY744,AY753,AY762,AY771,AY780,AY789,AY798,AY807,AY816,AY825,AY834,AY843,AY852,AY861,AY870,AY879,AY888,AY897,AY906,AY915,AY924,AY933,AY942,AY951,AY960,AY969,AY978,AY987,AY996,AY1005,AY1014,AY1023,AY1032)</f>
        <v>0</v>
      </c>
      <c r="AZ1043" s="34">
        <f t="shared" si="3845"/>
        <v>0</v>
      </c>
      <c r="BC1043" s="34">
        <f t="shared" ref="BC1043:BD1043" si="3846">SUM(BC15,BC24,BC33,BC42,BC51,BC60,BC69,BC78,BC87,BC96,BC105,BC114,BC123,BC132,BC141,BC150,BC159,BC168,BC177,BC186,BC195,BC204,BC213,BC222,BC231,BC240,BC249,BC258,BC267,BC276,BC285,BC294,BC303,BC312,BC321,BC330,BC339,BC348,BC357,BC366,BC375,BC384,BC393,BC402,BC411,BC420,BC429,BC438,BC447,BC456,BC465,BC474,BC483,BC492,BC501,BC510,BC519,BC528,BC537,BC546,BC555,BC564,BC573,BC582,BC591,BC600,BC609,BC618,BC627,BC636,BC645,BC654,BC663,BC672,BC681,BC690,BC699,BC708,BC717,BC726,BC735,BC744,BC753,BC762,BC771,BC780,BC789,BC798,BC807,BC816,BC825,BC834,BC843,BC852,BC861,BC870,BC879,BC888,BC897,BC906,BC915,BC924,BC933,BC942,BC951,BC960,BC969,BC978,BC987,BC996,BC1005,BC1014,BC1023,BC1032)</f>
        <v>0</v>
      </c>
      <c r="BD1043" s="34">
        <f t="shared" si="3846"/>
        <v>0</v>
      </c>
      <c r="BE1043" s="109"/>
      <c r="BF1043" s="110">
        <f t="shared" ref="BF1043:BH1043" si="3847">SUM(BF15,BF24,BF33,BF42,BF51,BF60,BF69,BF78,BF87,BF96,BF105,BF114,BF123,BF132,BF141,BF150,BF159,BF168,BF177,BF186,BF195,BF204,BF213,BF222,BF231,BF240,BF249,BF258,BF267,BF276,BF285,BF294,BF303,BF312,BF321,BF330,BF339,BF348,BF357,BF366,BF375,BF384,BF393,BF402,BF411,BF420,BF429,BF438,BF447,BF456,BF465,BF474,BF483,BF492,BF501,BF510,BF519,BF528,BF537,BF546,BF555,BF564,BF573,BF582,BF591,BF600,BF609,BF618,BF627,BF636,BF645,BF654,BF663,BF672,BF681,BF690,BF699,BF708,BF717,BF726,BF735,BF744,BF753,BF762,BF771,BF780,BF789,BF798,BF807,BF816,BF825,BF834,BF843,BF852,BF861,BF870,BF879,BF888,BF897,BF906,BF915,BF924,BF933,BF942,BF951,BF960,BF969,BF978,BF987,BF996,BF1005,BF1014,BF1023,BF1032)</f>
        <v>0</v>
      </c>
      <c r="BG1043" s="110">
        <f t="shared" si="3847"/>
        <v>6550</v>
      </c>
      <c r="BH1043" s="111">
        <f t="shared" si="3847"/>
        <v>11150</v>
      </c>
    </row>
    <row r="1044" ht="14.25" customHeight="1" hidden="1" spans="3:56" x14ac:dyDescent="0.25">
      <c r="C1044" s="60" t="s">
        <v>351</v>
      </c>
      <c r="D1044" s="264" t="s">
        <v>518</v>
      </c>
      <c r="L1044" s="62"/>
      <c r="P1044" s="60"/>
      <c r="T1044" s="60"/>
      <c r="X1044" s="62"/>
      <c r="AB1044" s="60"/>
      <c r="AF1044" s="265">
        <v>78587.53</v>
      </c>
      <c r="AJ1044" s="266">
        <v>90968.60000000002</v>
      </c>
      <c r="AN1044" s="266">
        <v>57462.59</v>
      </c>
      <c r="AR1044" s="267"/>
      <c r="AV1044" s="267"/>
      <c r="AZ1044" s="153"/>
      <c r="BD1044" s="62"/>
    </row>
    <row r="1045" ht="14.25" customHeight="1" hidden="1" spans="4:49" x14ac:dyDescent="0.25">
      <c r="D1045" s="268" t="s">
        <v>519</v>
      </c>
      <c r="AF1045" s="269">
        <f>AF1035-AF1044</f>
        <v>204205.3</v>
      </c>
      <c r="AJ1045" s="269">
        <f>AJ1035-AJ1044</f>
        <v>114360.73</v>
      </c>
      <c r="AN1045" s="269">
        <f>AN1035-AN1044</f>
        <v>76825.27</v>
      </c>
      <c r="AR1045" s="117"/>
      <c r="AV1045" s="117"/>
      <c r="AW1045" s="34"/>
    </row>
    <row r="1046" ht="14.25" customHeight="1" hidden="1" spans="4:40" x14ac:dyDescent="0.25">
      <c r="D1046" s="270" t="s">
        <v>44</v>
      </c>
      <c r="AF1046" s="270"/>
      <c r="AG1046" s="270"/>
      <c r="AJ1046" s="335"/>
      <c r="AN1046" s="270"/>
    </row>
    <row r="1047" ht="14.25" customHeight="1" hidden="1" spans="4:40" x14ac:dyDescent="0.25">
      <c r="D1047" s="270" t="s">
        <v>47</v>
      </c>
      <c r="E1047" s="270" t="s">
        <v>48</v>
      </c>
      <c r="AE1047" s="272"/>
      <c r="AF1047" s="272"/>
      <c r="AI1047" s="273"/>
      <c r="AJ1047" s="273"/>
      <c r="AN1047" s="273"/>
    </row>
    <row r="1048" ht="14.25" customHeight="1" hidden="1" spans="4:40" x14ac:dyDescent="0.25">
      <c r="D1048" s="270" t="s">
        <v>47</v>
      </c>
      <c r="E1048" s="270" t="s">
        <v>49</v>
      </c>
      <c r="AF1048" s="272"/>
      <c r="AG1048" s="270"/>
      <c r="AJ1048" s="272"/>
      <c r="AN1048" s="272"/>
    </row>
    <row r="1049" ht="14.25" customHeight="1" hidden="1" spans="4:40" x14ac:dyDescent="0.25">
      <c r="D1049" s="270" t="s">
        <v>50</v>
      </c>
      <c r="AF1049" s="270"/>
      <c r="AG1049" s="270"/>
      <c r="AJ1049" s="270"/>
      <c r="AN1049" s="270"/>
    </row>
    <row r="1050" ht="14.25" customHeight="1" hidden="1" spans="4:40" x14ac:dyDescent="0.25">
      <c r="D1050" s="270" t="s">
        <v>51</v>
      </c>
      <c r="AF1050" s="275"/>
      <c r="AG1050" s="270"/>
      <c r="AJ1050" s="275"/>
      <c r="AN1050" s="275"/>
    </row>
    <row r="1051" ht="14.25" customHeight="1" hidden="1" spans="4:40" x14ac:dyDescent="0.25">
      <c r="D1051" s="270" t="s">
        <v>52</v>
      </c>
      <c r="AF1051" s="275"/>
      <c r="AG1051" s="270"/>
      <c r="AJ1051" s="275"/>
      <c r="AN1051" s="275"/>
    </row>
    <row r="1052" ht="14.25" customHeight="1" hidden="1" spans="4:40" x14ac:dyDescent="0.25">
      <c r="D1052" s="270" t="s">
        <v>486</v>
      </c>
      <c r="AJ1052" s="275"/>
      <c r="AN1052" s="275"/>
    </row>
    <row r="1053" ht="15.75" customHeight="1" spans="32:32" x14ac:dyDescent="0.25">
      <c r="AF1053" s="34"/>
    </row>
    <row r="1054" ht="15.75" customHeight="1" spans="8:8" x14ac:dyDescent="0.25">
      <c r="H1054" s="34">
        <f>H1035-'2020'!BH1035</f>
        <v>6315.4</v>
      </c>
    </row>
  </sheetData>
  <autoFilter ref="$A$6:$BK$1052"/>
  <mergeCells count="15">
    <mergeCell ref="F3:G3"/>
    <mergeCell ref="I3:L3"/>
    <mergeCell ref="M3:P3"/>
    <mergeCell ref="Q3:T3"/>
    <mergeCell ref="U3:X3"/>
    <mergeCell ref="Y3:AB3"/>
    <mergeCell ref="AC3:AF3"/>
    <mergeCell ref="AG3:AJ3"/>
    <mergeCell ref="AK3:AN3"/>
    <mergeCell ref="AO3:AR3"/>
    <mergeCell ref="AS3:AV3"/>
    <mergeCell ref="AW3:AZ3"/>
    <mergeCell ref="BA3:BD3"/>
    <mergeCell ref="BE3:BH3"/>
    <mergeCell ref="BI3:BK5"/>
  </mergeCells>
  <conditionalFormatting sqref="AU8:AU1027">
    <cfRule type="cellIs" dxfId="0" priority="1" operator="lessThan">
      <formula>0</formula>
    </cfRule>
  </conditionalFormatting>
  <pageMargins left="0.196527777777778" right="0" top="0.7875" bottom="0.196527777777778" header="0" footer="0"/>
  <pageSetup paperSize="9" orientation="portrait" horizontalDpi="4294967295" verticalDpi="4294967295" scale="95" fitToWidth="1" fitToHeight="1" firstPageNumber="1" useFirstPageNumber="1" copies="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E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14" customWidth="1"/>
    <col min="2" max="2" width="8.43" customWidth="1"/>
    <col min="3" max="3" width="6.43" hidden="1" outlineLevel="1" collapsed="1" customWidth="1"/>
    <col min="4" max="4" width="14.86" hidden="1" outlineLevel="1" collapsed="1" customWidth="1"/>
    <col min="5" max="6" width="9.86" customWidth="1"/>
    <col min="7" max="7" width="8.14" customWidth="1"/>
    <col min="8" max="8" width="8.43" customWidth="1"/>
    <col min="9" max="9" width="9.43" customWidth="1"/>
    <col min="10" max="10" width="9.57" customWidth="1"/>
    <col min="11" max="12" width="9.43" customWidth="1"/>
    <col min="13" max="13" width="12" customWidth="1"/>
    <col min="14" max="14" width="12" outlineLevel="1" collapsed="1" customWidth="1"/>
    <col min="15" max="15" width="5.57" outlineLevel="1" collapsed="1" customWidth="1"/>
    <col min="16" max="16" width="6.86" outlineLevel="1" collapsed="1" customWidth="1"/>
    <col min="17" max="17" width="9.43" outlineLevel="1" collapsed="1" customWidth="1"/>
    <col min="18" max="18" width="12.14" outlineLevel="1" collapsed="1" customWidth="1"/>
    <col min="19" max="19" width="5.86" outlineLevel="1" collapsed="1" customWidth="1"/>
    <col min="20" max="20" width="6.14" outlineLevel="1" collapsed="1" customWidth="1"/>
    <col min="21" max="22" width="8.86" outlineLevel="1" collapsed="1" customWidth="1"/>
    <col min="23" max="23" width="5.86" outlineLevel="1" collapsed="1" customWidth="1"/>
    <col min="24" max="24" width="9.86" outlineLevel="1" collapsed="1" customWidth="1"/>
    <col min="25" max="25" width="12.57" outlineLevel="1" collapsed="1" customWidth="1"/>
    <col min="26" max="26" width="12.14" outlineLevel="1" collapsed="1" customWidth="1"/>
    <col min="27" max="28" width="8.86" outlineLevel="1" collapsed="1" customWidth="1"/>
    <col min="29" max="29" width="8.86" customWidth="1"/>
    <col min="30" max="30" width="10.14" customWidth="1"/>
    <col min="31" max="31" width="8.86" customWidth="1"/>
  </cols>
  <sheetData>
    <row r="1" spans="1:28" x14ac:dyDescent="0.25">
      <c r="A1" s="15"/>
      <c r="B1" s="112"/>
      <c r="C1" s="112"/>
      <c r="E1" s="1" t="str">
        <f>'2020'!B1</f>
        <v>СВОДНАЯ ВЕДОМОСТЬ СНТ "СОЛНЫШКО"</v>
      </c>
      <c r="J1" s="2" t="str">
        <f>'2021'!F1</f>
        <v>на 15 декабря 2021 года</v>
      </c>
      <c r="O1" s="154">
        <v>31</v>
      </c>
      <c r="AB1" s="154" t="s">
        <v>520</v>
      </c>
    </row>
    <row r="2" spans="1:28" x14ac:dyDescent="0.25">
      <c r="A2" s="15"/>
      <c r="B2" s="112"/>
      <c r="C2" s="112"/>
      <c r="E2" s="2" t="s">
        <v>352</v>
      </c>
      <c r="P2" s="155" t="s">
        <v>464</v>
      </c>
      <c r="Y2" s="2" t="s">
        <v>521</v>
      </c>
      <c r="AB2" s="154" t="s">
        <v>522</v>
      </c>
    </row>
    <row r="3" spans="1:30" x14ac:dyDescent="0.25">
      <c r="A3" s="3"/>
      <c r="B3" s="17" t="s">
        <v>353</v>
      </c>
      <c r="C3" s="17" t="s">
        <v>354</v>
      </c>
      <c r="D3" s="16" t="s">
        <v>355</v>
      </c>
      <c r="E3" s="156" t="s">
        <v>465</v>
      </c>
      <c r="F3" s="4" t="s">
        <v>44</v>
      </c>
      <c r="G3" s="4" t="s">
        <v>466</v>
      </c>
      <c r="H3" s="4" t="s">
        <v>467</v>
      </c>
      <c r="I3" s="156" t="s">
        <v>50</v>
      </c>
      <c r="J3" s="156" t="s">
        <v>51</v>
      </c>
      <c r="K3" s="156" t="s">
        <v>523</v>
      </c>
      <c r="L3" s="4" t="s">
        <v>52</v>
      </c>
      <c r="M3" s="4" t="s">
        <v>35</v>
      </c>
      <c r="N3" s="156" t="s">
        <v>468</v>
      </c>
      <c r="O3" s="3"/>
      <c r="P3" s="276" t="s">
        <v>469</v>
      </c>
      <c r="Q3" s="157"/>
      <c r="R3" s="157"/>
      <c r="S3" s="12"/>
      <c r="T3" s="6" t="s">
        <v>470</v>
      </c>
      <c r="U3" s="9"/>
      <c r="V3" s="9"/>
      <c r="W3" s="9"/>
      <c r="X3" s="17" t="s">
        <v>471</v>
      </c>
      <c r="Y3" s="277" t="s">
        <v>524</v>
      </c>
      <c r="Z3" s="156" t="s">
        <v>468</v>
      </c>
      <c r="AA3" s="112" t="s">
        <v>535</v>
      </c>
      <c r="AB3" s="154" t="s">
        <v>525</v>
      </c>
      <c r="AC3" s="6" t="s">
        <v>526</v>
      </c>
      <c r="AD3" s="7"/>
    </row>
    <row r="4" spans="1:30" x14ac:dyDescent="0.25">
      <c r="A4" s="20"/>
      <c r="B4" s="113" t="s">
        <v>23</v>
      </c>
      <c r="C4" s="24"/>
      <c r="D4" s="23"/>
      <c r="E4" s="14" t="s">
        <v>472</v>
      </c>
      <c r="F4" s="14"/>
      <c r="G4" s="14" t="s">
        <v>48</v>
      </c>
      <c r="H4" s="14" t="s">
        <v>354</v>
      </c>
      <c r="I4" s="14"/>
      <c r="J4" s="14"/>
      <c r="K4" s="178" t="s">
        <v>354</v>
      </c>
      <c r="L4" s="14"/>
      <c r="M4" s="14" t="s">
        <v>40</v>
      </c>
      <c r="N4" s="43" t="s">
        <v>536</v>
      </c>
      <c r="O4" s="24" t="s">
        <v>474</v>
      </c>
      <c r="P4" s="115" t="s">
        <v>475</v>
      </c>
      <c r="Q4" s="115" t="s">
        <v>476</v>
      </c>
      <c r="R4" s="115" t="s">
        <v>477</v>
      </c>
      <c r="S4" s="115" t="s">
        <v>474</v>
      </c>
      <c r="T4" s="24" t="s">
        <v>475</v>
      </c>
      <c r="U4" s="24" t="s">
        <v>476</v>
      </c>
      <c r="V4" s="24" t="s">
        <v>477</v>
      </c>
      <c r="W4" s="158" t="s">
        <v>474</v>
      </c>
      <c r="X4" s="24" t="s">
        <v>478</v>
      </c>
      <c r="Y4" s="278" t="s">
        <v>528</v>
      </c>
      <c r="Z4" s="43" t="s">
        <v>537</v>
      </c>
      <c r="AB4" s="279" t="s">
        <v>379</v>
      </c>
      <c r="AC4" s="117" t="s">
        <v>39</v>
      </c>
      <c r="AD4" s="117" t="s">
        <v>49</v>
      </c>
    </row>
    <row r="5" spans="1:30" x14ac:dyDescent="0.25">
      <c r="A5" s="114" t="s">
        <v>41</v>
      </c>
      <c r="B5" s="115">
        <v>1</v>
      </c>
      <c r="C5" s="116">
        <v>4</v>
      </c>
      <c r="D5" s="117" t="s">
        <v>43</v>
      </c>
      <c r="E5" s="106">
        <f>'2021'!BH7</f>
        <v>0</v>
      </c>
      <c r="F5" s="106">
        <f>'2021'!BH8</f>
        <v>3737.11</v>
      </c>
      <c r="G5" s="106">
        <f>'2021'!BH10</f>
        <v>0</v>
      </c>
      <c r="H5" s="106">
        <f>'2021'!BH11</f>
        <v>0</v>
      </c>
      <c r="I5" s="106">
        <f>'2021'!BH12</f>
        <v>0</v>
      </c>
      <c r="J5" s="106">
        <f>'2021'!BH13</f>
        <v>0</v>
      </c>
      <c r="K5" s="106">
        <f>'2021'!BH14</f>
        <v>0</v>
      </c>
      <c r="L5" s="106">
        <f>'2021'!BH15</f>
        <v>0</v>
      </c>
      <c r="M5" s="106">
        <f t="shared" ref="M5:M118" si="0">SUM(E5:L5)</f>
        <v>3737.11</v>
      </c>
      <c r="N5" s="106">
        <v>-1</v>
      </c>
      <c r="O5" s="37"/>
      <c r="X5" s="280">
        <f t="shared" ref="X5:X118" si="1">ROUND(0.01%*(N5*O5+R5*S5+V5*W5),2)</f>
        <v>0</v>
      </c>
      <c r="Y5" s="281">
        <f t="shared" ref="Y5:Y118" si="2">N5-Q5-U5</f>
        <v>-1</v>
      </c>
      <c r="Z5" s="42">
        <f t="shared" ref="Z5:Z8" si="3">(I5+J5+K5)-AC5-AD5</f>
        <v>0</v>
      </c>
      <c r="AA5" s="2" t="b">
        <f>D5='2021'!C8</f>
        <v>1</v>
      </c>
      <c r="AB5" s="2" t="b">
        <f>X5='2021'!AQ7</f>
        <v>1</v>
      </c>
      <c r="AC5" s="34"/>
      <c r="AD5" s="34"/>
    </row>
    <row r="6" spans="1:31" x14ac:dyDescent="0.25">
      <c r="A6" s="14"/>
      <c r="B6" s="115">
        <v>2</v>
      </c>
      <c r="C6" s="115">
        <v>4.12</v>
      </c>
      <c r="D6" s="117" t="s">
        <v>359</v>
      </c>
      <c r="E6" s="106">
        <f>'2021'!BH17</f>
        <v>0</v>
      </c>
      <c r="F6" s="106">
        <f>'2021'!BH18</f>
        <v>0</v>
      </c>
      <c r="G6" s="106">
        <f>'2021'!BH19</f>
        <v>0</v>
      </c>
      <c r="H6" s="106">
        <f>'2021'!BH20</f>
        <v>0</v>
      </c>
      <c r="I6" s="106">
        <f>'2021'!BH21</f>
        <v>0</v>
      </c>
      <c r="J6" s="106">
        <f>'2021'!BH22</f>
        <v>0</v>
      </c>
      <c r="K6" s="106">
        <f>'2021'!BH23</f>
        <v>0</v>
      </c>
      <c r="L6" s="106">
        <f>'2021'!BH24</f>
        <v>0</v>
      </c>
      <c r="M6" s="106">
        <f t="shared" si="0"/>
        <v>0</v>
      </c>
      <c r="N6" s="106">
        <v>0</v>
      </c>
      <c r="O6" s="37"/>
      <c r="X6" s="280">
        <f t="shared" si="1"/>
        <v>0</v>
      </c>
      <c r="Y6" s="281">
        <f t="shared" si="2"/>
        <v>0</v>
      </c>
      <c r="Z6" s="42">
        <f t="shared" si="3"/>
        <v>0</v>
      </c>
      <c r="AA6" s="2" t="b">
        <f>D6='2021'!C18</f>
        <v>1</v>
      </c>
      <c r="AB6" s="2" t="b">
        <f>X6='2021'!AQ17</f>
        <v>1</v>
      </c>
      <c r="AC6" s="34"/>
      <c r="AD6" s="34"/>
      <c r="AE6" s="34"/>
    </row>
    <row r="7" spans="1:31" x14ac:dyDescent="0.25">
      <c r="A7" s="14"/>
      <c r="B7" s="115">
        <v>3</v>
      </c>
      <c r="C7" s="116">
        <v>4</v>
      </c>
      <c r="D7" s="117" t="s">
        <v>60</v>
      </c>
      <c r="E7" s="106">
        <f>'2021'!BH26</f>
        <v>0</v>
      </c>
      <c r="F7" s="106">
        <f>'2021'!BH27</f>
        <v>2.7</v>
      </c>
      <c r="G7" s="106">
        <f>'2021'!BH28</f>
        <v>0</v>
      </c>
      <c r="H7" s="106">
        <f>'2021'!BH29</f>
        <v>0</v>
      </c>
      <c r="I7" s="106">
        <f>'2021'!BH30</f>
        <v>0</v>
      </c>
      <c r="J7" s="106">
        <f>'2021'!BH31</f>
        <v>0</v>
      </c>
      <c r="K7" s="106">
        <f>'2021'!BH32</f>
        <v>0</v>
      </c>
      <c r="L7" s="106">
        <f>'2021'!BH33</f>
        <v>0</v>
      </c>
      <c r="M7" s="106">
        <f t="shared" si="0"/>
        <v>2.7</v>
      </c>
      <c r="N7" s="106">
        <v>0</v>
      </c>
      <c r="O7" s="37"/>
      <c r="X7" s="280">
        <f t="shared" si="1"/>
        <v>0</v>
      </c>
      <c r="Y7" s="281">
        <f t="shared" si="2"/>
        <v>0</v>
      </c>
      <c r="Z7" s="42">
        <f t="shared" si="3"/>
        <v>0</v>
      </c>
      <c r="AA7" s="2" t="b">
        <f>D7='2021'!C27</f>
        <v>1</v>
      </c>
      <c r="AB7" s="2" t="b">
        <f>X7='2021'!AQ26</f>
        <v>1</v>
      </c>
      <c r="AC7" s="34"/>
      <c r="AD7" s="34"/>
      <c r="AE7" s="34"/>
    </row>
    <row r="8" spans="1:31" x14ac:dyDescent="0.25">
      <c r="A8" s="14"/>
      <c r="B8" s="115">
        <v>4</v>
      </c>
      <c r="C8" s="115">
        <v>3.95</v>
      </c>
      <c r="D8" s="117" t="s">
        <v>64</v>
      </c>
      <c r="E8" s="106">
        <f>'2021'!BH35</f>
        <v>20.46</v>
      </c>
      <c r="F8" s="106">
        <f>'2021'!BH36</f>
        <v>0</v>
      </c>
      <c r="G8" s="106">
        <f>'2021'!BH37</f>
        <v>-38.81</v>
      </c>
      <c r="H8" s="106">
        <f>'2021'!BH38</f>
        <v>0</v>
      </c>
      <c r="I8" s="106">
        <f>'2021'!BH39</f>
        <v>4345</v>
      </c>
      <c r="J8" s="106">
        <f>'2021'!BH40</f>
        <v>500</v>
      </c>
      <c r="K8" s="106">
        <f>'2021'!BH41</f>
        <v>1975</v>
      </c>
      <c r="L8" s="106">
        <f>'2021'!BH42</f>
        <v>0</v>
      </c>
      <c r="M8" s="106">
        <f t="shared" si="0"/>
        <v>6801.65</v>
      </c>
      <c r="N8" s="106">
        <v>6820</v>
      </c>
      <c r="O8" s="37">
        <f>IF(P8&gt;0,P8-1,$O$1)</f>
        <v>31</v>
      </c>
      <c r="X8" s="282">
        <f t="shared" si="1"/>
        <v>21.14</v>
      </c>
      <c r="Y8" s="281">
        <f t="shared" si="2"/>
        <v>6820</v>
      </c>
      <c r="Z8" s="42">
        <f t="shared" si="3"/>
        <v>6820</v>
      </c>
      <c r="AA8" s="2" t="b">
        <f>D8='2021'!C36</f>
        <v>1</v>
      </c>
      <c r="AB8" s="2" t="b">
        <f>X8='2021'!AQ35</f>
        <v>0</v>
      </c>
      <c r="AC8" s="34"/>
      <c r="AD8" s="34"/>
      <c r="AE8" s="34"/>
    </row>
    <row r="9" spans="1:31" x14ac:dyDescent="0.25">
      <c r="A9" s="14"/>
      <c r="B9" s="115">
        <v>5</v>
      </c>
      <c r="C9" s="115">
        <v>5.08</v>
      </c>
      <c r="D9" s="2" t="s">
        <v>488</v>
      </c>
      <c r="E9" s="106">
        <f>'2021'!BH44</f>
        <v>0</v>
      </c>
      <c r="F9" s="106">
        <f>'2021'!BH45</f>
        <v>0</v>
      </c>
      <c r="G9" s="106">
        <f>'2021'!BH46</f>
        <v>0</v>
      </c>
      <c r="H9" s="106">
        <f>'2021'!BH47</f>
        <v>0</v>
      </c>
      <c r="I9" s="106">
        <f>'2021'!BH48</f>
        <v>0</v>
      </c>
      <c r="J9" s="106">
        <f>'2021'!BH49</f>
        <v>0</v>
      </c>
      <c r="K9" s="106">
        <f>'2021'!BH50</f>
        <v>0</v>
      </c>
      <c r="L9" s="106">
        <f>'2021'!BH51</f>
        <v>0</v>
      </c>
      <c r="M9" s="106">
        <f t="shared" si="0"/>
        <v>0</v>
      </c>
      <c r="N9" s="106">
        <v>0</v>
      </c>
      <c r="O9" s="37"/>
      <c r="X9" s="280">
        <f t="shared" si="1"/>
        <v>0</v>
      </c>
      <c r="Y9" s="281">
        <f t="shared" si="2"/>
        <v>0</v>
      </c>
      <c r="Z9" s="42">
        <f>(I9+J9+K9)-AC9-AD9-AM9</f>
        <v>0</v>
      </c>
      <c r="AA9" s="2" t="b">
        <f>D9='2021'!C45</f>
        <v>1</v>
      </c>
      <c r="AB9" s="2" t="b">
        <f>X9='2021'!AQ44</f>
        <v>1</v>
      </c>
      <c r="AC9" s="34"/>
      <c r="AD9" s="34"/>
      <c r="AE9" s="34"/>
    </row>
    <row r="10" spans="1:31" x14ac:dyDescent="0.25">
      <c r="A10" s="14"/>
      <c r="B10" s="115">
        <v>6</v>
      </c>
      <c r="C10" s="115">
        <v>4.01</v>
      </c>
      <c r="D10" s="117" t="s">
        <v>70</v>
      </c>
      <c r="E10" s="106">
        <f>'2021'!BH53</f>
        <v>0</v>
      </c>
      <c r="F10" s="106">
        <f>'2021'!BH54</f>
        <v>0</v>
      </c>
      <c r="G10" s="106">
        <f>'2021'!BH55</f>
        <v>0</v>
      </c>
      <c r="H10" s="106">
        <f>'2021'!BH56</f>
        <v>0</v>
      </c>
      <c r="I10" s="106">
        <f>'2021'!BH57</f>
        <v>0</v>
      </c>
      <c r="J10" s="106">
        <f>'2021'!BH58</f>
        <v>0</v>
      </c>
      <c r="K10" s="106">
        <f>'2021'!BH59</f>
        <v>0</v>
      </c>
      <c r="L10" s="106">
        <f>'2021'!BH60</f>
        <v>0</v>
      </c>
      <c r="M10" s="106">
        <f t="shared" si="0"/>
        <v>0</v>
      </c>
      <c r="N10" s="106">
        <v>545.17</v>
      </c>
      <c r="O10" s="37">
        <f>IF(P10&gt;0,P10-1,$O$1)</f>
        <v>31</v>
      </c>
      <c r="U10" s="34"/>
      <c r="V10" s="34"/>
      <c r="W10" s="37"/>
      <c r="X10" s="282">
        <f t="shared" si="1"/>
        <v>1.69</v>
      </c>
      <c r="Y10" s="281">
        <f t="shared" si="2"/>
        <v>545.17</v>
      </c>
      <c r="Z10" s="42">
        <f t="shared" ref="Z10:Z118" si="4">(I10+J10+K10)-AC10-AD10</f>
        <v>0</v>
      </c>
      <c r="AA10" s="2" t="b">
        <f>D10='2021'!C54</f>
        <v>1</v>
      </c>
      <c r="AB10" s="2" t="b">
        <f>X10='2021'!AQ53</f>
        <v>0</v>
      </c>
      <c r="AC10" s="34"/>
      <c r="AD10" s="34"/>
      <c r="AE10" s="34"/>
    </row>
    <row r="11" spans="1:31" x14ac:dyDescent="0.25">
      <c r="A11" s="14"/>
      <c r="B11" s="115">
        <v>7</v>
      </c>
      <c r="C11" s="115">
        <v>4.85</v>
      </c>
      <c r="D11" s="117" t="s">
        <v>74</v>
      </c>
      <c r="E11" s="106">
        <f>'2021'!BH62</f>
        <v>0</v>
      </c>
      <c r="F11" s="106">
        <f>'2021'!BH63</f>
        <v>10.8</v>
      </c>
      <c r="G11" s="106">
        <f>'2021'!BH64</f>
        <v>-287</v>
      </c>
      <c r="H11" s="106">
        <f>'2021'!BH65</f>
        <v>0</v>
      </c>
      <c r="I11" s="106">
        <f>'2021'!BH66</f>
        <v>-1352.85</v>
      </c>
      <c r="J11" s="106">
        <f>'2021'!BH67</f>
        <v>0</v>
      </c>
      <c r="K11" s="106">
        <f>'2021'!BH68</f>
        <v>0</v>
      </c>
      <c r="L11" s="106">
        <f>'2021'!BH69</f>
        <v>0</v>
      </c>
      <c r="M11" s="106">
        <f t="shared" si="0"/>
        <v>-1629.05</v>
      </c>
      <c r="N11" s="106">
        <v>-1352.85</v>
      </c>
      <c r="O11" s="37"/>
      <c r="P11" s="15"/>
      <c r="Q11" s="34"/>
      <c r="R11" s="34"/>
      <c r="S11" s="37"/>
      <c r="T11" s="15"/>
      <c r="U11" s="15"/>
      <c r="V11" s="15"/>
      <c r="W11" s="15"/>
      <c r="X11" s="280">
        <f t="shared" si="1"/>
        <v>0</v>
      </c>
      <c r="Y11" s="281">
        <f t="shared" si="2"/>
        <v>-1352.85</v>
      </c>
      <c r="Z11" s="42">
        <f t="shared" si="4"/>
        <v>-1352.85</v>
      </c>
      <c r="AA11" s="2" t="b">
        <f>D11='2021'!C63</f>
        <v>1</v>
      </c>
      <c r="AB11" s="2" t="b">
        <f>X11='2021'!AQ62</f>
        <v>1</v>
      </c>
      <c r="AC11" s="34"/>
      <c r="AD11" s="34"/>
      <c r="AE11" s="34"/>
    </row>
    <row r="12" spans="1:31" x14ac:dyDescent="0.25">
      <c r="A12" s="14"/>
      <c r="B12" s="115">
        <v>8</v>
      </c>
      <c r="C12" s="116">
        <v>4</v>
      </c>
      <c r="D12" s="2" t="s">
        <v>383</v>
      </c>
      <c r="E12" s="106">
        <f>'2021'!BH71</f>
        <v>0</v>
      </c>
      <c r="F12" s="106">
        <f>'2021'!BH72</f>
        <v>-204.8</v>
      </c>
      <c r="G12" s="106">
        <f>'2021'!BH73</f>
        <v>-132.24</v>
      </c>
      <c r="H12" s="106">
        <f>'2021'!BH74</f>
        <v>0</v>
      </c>
      <c r="I12" s="106">
        <f>'2021'!BH75</f>
        <v>0</v>
      </c>
      <c r="J12" s="106">
        <f>'2021'!BH76</f>
        <v>0</v>
      </c>
      <c r="K12" s="106">
        <f>'2021'!BH77</f>
        <v>0</v>
      </c>
      <c r="L12" s="106">
        <f>'2021'!BH78</f>
        <v>0</v>
      </c>
      <c r="M12" s="106">
        <f t="shared" si="0"/>
        <v>-337.04</v>
      </c>
      <c r="N12" s="106">
        <v>0</v>
      </c>
      <c r="O12" s="37"/>
      <c r="X12" s="280">
        <f t="shared" si="1"/>
        <v>0</v>
      </c>
      <c r="Y12" s="281">
        <f t="shared" si="2"/>
        <v>0</v>
      </c>
      <c r="Z12" s="42">
        <f t="shared" si="4"/>
        <v>0</v>
      </c>
      <c r="AA12" s="2" t="b">
        <f>D12='2021'!C72</f>
        <v>1</v>
      </c>
      <c r="AB12" s="2" t="b">
        <f>X12='2021'!AQ71</f>
        <v>1</v>
      </c>
      <c r="AC12" s="34"/>
      <c r="AD12" s="34"/>
      <c r="AE12" s="34"/>
    </row>
    <row r="13" spans="1:31" x14ac:dyDescent="0.25">
      <c r="A13" s="14"/>
      <c r="B13" s="115">
        <v>9</v>
      </c>
      <c r="C13" s="115">
        <v>4.03</v>
      </c>
      <c r="D13" s="117" t="s">
        <v>82</v>
      </c>
      <c r="E13" s="106">
        <f>'2021'!BH80</f>
        <v>0</v>
      </c>
      <c r="F13" s="106">
        <f>'2021'!BH81</f>
        <v>-285.03</v>
      </c>
      <c r="G13" s="106">
        <f>'2021'!BH82</f>
        <v>61.05</v>
      </c>
      <c r="H13" s="106">
        <f>'2021'!BH83</f>
        <v>0</v>
      </c>
      <c r="I13" s="106">
        <f>'2021'!BH84</f>
        <v>0</v>
      </c>
      <c r="J13" s="106">
        <f>'2021'!BH85</f>
        <v>0</v>
      </c>
      <c r="K13" s="106">
        <f>'2021'!BH86</f>
        <v>0</v>
      </c>
      <c r="L13" s="106">
        <f>'2021'!BH87</f>
        <v>0</v>
      </c>
      <c r="M13" s="106">
        <f t="shared" si="0"/>
        <v>-223.98</v>
      </c>
      <c r="N13" s="106">
        <v>0</v>
      </c>
      <c r="O13" s="37"/>
      <c r="X13" s="280">
        <f t="shared" si="1"/>
        <v>0</v>
      </c>
      <c r="Y13" s="281">
        <f t="shared" si="2"/>
        <v>0</v>
      </c>
      <c r="Z13" s="42">
        <f t="shared" si="4"/>
        <v>0</v>
      </c>
      <c r="AA13" s="2" t="b">
        <f>D13='2021'!C81</f>
        <v>1</v>
      </c>
      <c r="AB13" s="2" t="b">
        <f>X13='2021'!AQ80</f>
        <v>1</v>
      </c>
      <c r="AC13" s="34"/>
      <c r="AD13" s="34"/>
      <c r="AE13" s="34"/>
    </row>
    <row r="14" spans="1:31" x14ac:dyDescent="0.25">
      <c r="A14" s="14"/>
      <c r="B14" s="115">
        <v>10</v>
      </c>
      <c r="C14" s="115">
        <v>4.01</v>
      </c>
      <c r="D14" s="117" t="s">
        <v>86</v>
      </c>
      <c r="E14" s="106">
        <f>'2021'!BH89</f>
        <v>0</v>
      </c>
      <c r="F14" s="106">
        <f>'2021'!BH90</f>
        <v>0</v>
      </c>
      <c r="G14" s="106">
        <f>'2021'!BH91</f>
        <v>-244.79</v>
      </c>
      <c r="H14" s="106">
        <f>'2021'!BH92</f>
        <v>0</v>
      </c>
      <c r="I14" s="106">
        <f>'2021'!BH93</f>
        <v>0</v>
      </c>
      <c r="J14" s="106">
        <f>'2021'!BH94</f>
        <v>0</v>
      </c>
      <c r="K14" s="106">
        <f>'2021'!BH95</f>
        <v>0</v>
      </c>
      <c r="L14" s="106">
        <f>'2021'!BH96</f>
        <v>0</v>
      </c>
      <c r="M14" s="106">
        <f t="shared" si="0"/>
        <v>-244.79</v>
      </c>
      <c r="N14" s="106">
        <v>0</v>
      </c>
      <c r="O14" s="37"/>
      <c r="X14" s="280">
        <f t="shared" si="1"/>
        <v>0</v>
      </c>
      <c r="Y14" s="281">
        <f t="shared" si="2"/>
        <v>0</v>
      </c>
      <c r="Z14" s="42">
        <f t="shared" si="4"/>
        <v>0</v>
      </c>
      <c r="AA14" s="2" t="b">
        <f>D14='2021'!C90</f>
        <v>1</v>
      </c>
      <c r="AB14" s="2" t="b">
        <f>X14='2021'!AQ89</f>
        <v>1</v>
      </c>
      <c r="AC14" s="34"/>
      <c r="AD14" s="34"/>
      <c r="AE14" s="34"/>
    </row>
    <row r="15" spans="1:31" x14ac:dyDescent="0.25">
      <c r="A15" s="14"/>
      <c r="B15" s="115">
        <v>11</v>
      </c>
      <c r="C15" s="115">
        <v>4.02</v>
      </c>
      <c r="D15" s="117" t="s">
        <v>89</v>
      </c>
      <c r="E15" s="106">
        <f>'2021'!BH98</f>
        <v>0</v>
      </c>
      <c r="F15" s="106">
        <f>'2021'!BH99</f>
        <v>-78</v>
      </c>
      <c r="G15" s="106">
        <f>'2021'!BH100</f>
        <v>0</v>
      </c>
      <c r="H15" s="106">
        <f>'2021'!BH101</f>
        <v>0</v>
      </c>
      <c r="I15" s="106">
        <f>'2021'!BH102</f>
        <v>0</v>
      </c>
      <c r="J15" s="106">
        <f>'2021'!BH103</f>
        <v>0</v>
      </c>
      <c r="K15" s="106">
        <f>'2021'!BH104</f>
        <v>0</v>
      </c>
      <c r="L15" s="106">
        <f>'2021'!BH105</f>
        <v>0</v>
      </c>
      <c r="M15" s="106">
        <f t="shared" si="0"/>
        <v>-78</v>
      </c>
      <c r="N15" s="106">
        <v>0</v>
      </c>
      <c r="O15" s="37"/>
      <c r="X15" s="280">
        <f t="shared" si="1"/>
        <v>0</v>
      </c>
      <c r="Y15" s="281">
        <f t="shared" si="2"/>
        <v>0</v>
      </c>
      <c r="Z15" s="42">
        <f t="shared" si="4"/>
        <v>0</v>
      </c>
      <c r="AA15" s="2" t="b">
        <f>D15='2021'!C99</f>
        <v>1</v>
      </c>
      <c r="AB15" s="2" t="b">
        <f>X15='2021'!AQ98</f>
        <v>1</v>
      </c>
      <c r="AC15" s="34"/>
      <c r="AD15" s="34"/>
      <c r="AE15" s="34"/>
    </row>
    <row r="16" spans="1:31" x14ac:dyDescent="0.25">
      <c r="A16" s="14"/>
      <c r="B16" s="115">
        <v>12</v>
      </c>
      <c r="C16" s="115">
        <v>4.02</v>
      </c>
      <c r="D16" s="117" t="s">
        <v>92</v>
      </c>
      <c r="E16" s="106">
        <f>'2021'!BH107</f>
        <v>0</v>
      </c>
      <c r="F16" s="106">
        <f>'2021'!BH108</f>
        <v>0</v>
      </c>
      <c r="G16" s="106">
        <f>'2021'!BH109</f>
        <v>0</v>
      </c>
      <c r="H16" s="106">
        <f>'2021'!BH110</f>
        <v>0</v>
      </c>
      <c r="I16" s="106">
        <f>'2021'!BH111</f>
        <v>0</v>
      </c>
      <c r="J16" s="106">
        <f>'2021'!BH112</f>
        <v>0</v>
      </c>
      <c r="K16" s="106">
        <f>'2021'!BH113</f>
        <v>0</v>
      </c>
      <c r="L16" s="106">
        <f>'2021'!BH114</f>
        <v>0</v>
      </c>
      <c r="M16" s="106">
        <f t="shared" si="0"/>
        <v>0</v>
      </c>
      <c r="N16" s="106">
        <v>0</v>
      </c>
      <c r="O16" s="37"/>
      <c r="P16" s="15"/>
      <c r="Q16" s="34"/>
      <c r="R16" s="34"/>
      <c r="X16" s="280">
        <f t="shared" si="1"/>
        <v>0</v>
      </c>
      <c r="Y16" s="281">
        <f t="shared" si="2"/>
        <v>0</v>
      </c>
      <c r="Z16" s="42">
        <f t="shared" si="4"/>
        <v>0</v>
      </c>
      <c r="AA16" s="2" t="b">
        <f>D16='2021'!C108</f>
        <v>1</v>
      </c>
      <c r="AB16" s="2" t="b">
        <f>X16='2021'!AQ107</f>
        <v>1</v>
      </c>
      <c r="AC16" s="34"/>
      <c r="AD16" s="34"/>
      <c r="AE16" s="34"/>
    </row>
    <row r="17" spans="1:31" x14ac:dyDescent="0.25">
      <c r="A17" s="14"/>
      <c r="B17" s="115" t="s">
        <v>96</v>
      </c>
      <c r="C17" s="115">
        <v>3.94</v>
      </c>
      <c r="D17" s="117" t="s">
        <v>492</v>
      </c>
      <c r="E17" s="106">
        <f>'2021'!BH116</f>
        <v>0</v>
      </c>
      <c r="F17" s="106">
        <f>'2021'!BH117</f>
        <v>-171.82</v>
      </c>
      <c r="G17" s="106">
        <f>'2021'!BH118</f>
        <v>0</v>
      </c>
      <c r="H17" s="106">
        <f>'2021'!BH119</f>
        <v>0</v>
      </c>
      <c r="I17" s="106">
        <f>'2021'!BH120</f>
        <v>0</v>
      </c>
      <c r="J17" s="106">
        <f>'2021'!BH121</f>
        <v>0</v>
      </c>
      <c r="K17" s="106">
        <f>'2021'!BH122</f>
        <v>0</v>
      </c>
      <c r="L17" s="106">
        <f>'2021'!BH123</f>
        <v>0</v>
      </c>
      <c r="M17" s="106">
        <f t="shared" si="0"/>
        <v>-171.82</v>
      </c>
      <c r="N17" s="106">
        <v>4334</v>
      </c>
      <c r="O17" s="37">
        <f t="shared" ref="O17:O18" si="5">IF(P17&gt;0,P17-1,$O$1)</f>
        <v>31</v>
      </c>
      <c r="P17" s="15"/>
      <c r="Q17" s="15"/>
      <c r="R17" s="34"/>
      <c r="S17" s="37"/>
      <c r="T17" s="15"/>
      <c r="U17" s="15"/>
      <c r="V17" s="15"/>
      <c r="W17" s="15"/>
      <c r="X17" s="282">
        <f t="shared" si="1"/>
        <v>13.44</v>
      </c>
      <c r="Y17" s="281">
        <f t="shared" si="2"/>
        <v>4334</v>
      </c>
      <c r="Z17" s="42">
        <f t="shared" si="4"/>
        <v>0</v>
      </c>
      <c r="AA17" s="2" t="b">
        <f>D17='2021'!C117</f>
        <v>1</v>
      </c>
      <c r="AB17" s="2" t="b">
        <f>X17='2021'!AQ116</f>
        <v>0</v>
      </c>
      <c r="AC17" s="34"/>
      <c r="AD17" s="34"/>
      <c r="AE17" s="34"/>
    </row>
    <row r="18" spans="1:31" x14ac:dyDescent="0.25">
      <c r="A18" s="14"/>
      <c r="B18" s="115" t="s">
        <v>96</v>
      </c>
      <c r="C18" s="116">
        <v>4</v>
      </c>
      <c r="D18" s="2" t="s">
        <v>492</v>
      </c>
      <c r="E18" s="106">
        <f>'2021'!BH125</f>
        <v>0</v>
      </c>
      <c r="F18" s="106">
        <f>'2021'!BH126</f>
        <v>0</v>
      </c>
      <c r="G18" s="106">
        <f>'2021'!BH127</f>
        <v>0</v>
      </c>
      <c r="H18" s="106">
        <f>'2021'!BH128</f>
        <v>0</v>
      </c>
      <c r="I18" s="106">
        <f>'2021'!BH129</f>
        <v>0</v>
      </c>
      <c r="J18" s="106">
        <f>'2021'!BH130</f>
        <v>0</v>
      </c>
      <c r="K18" s="106">
        <f>'2021'!BH131</f>
        <v>0</v>
      </c>
      <c r="L18" s="106">
        <f>'2021'!BH132</f>
        <v>0</v>
      </c>
      <c r="M18" s="106">
        <f t="shared" si="0"/>
        <v>0</v>
      </c>
      <c r="N18" s="106">
        <v>4400</v>
      </c>
      <c r="O18" s="37">
        <f t="shared" si="5"/>
        <v>31</v>
      </c>
      <c r="P18" s="15"/>
      <c r="Q18" s="15"/>
      <c r="R18" s="34"/>
      <c r="S18" s="37"/>
      <c r="T18" s="15"/>
      <c r="U18" s="15"/>
      <c r="V18" s="15"/>
      <c r="W18" s="15"/>
      <c r="X18" s="282">
        <f t="shared" si="1"/>
        <v>13.64</v>
      </c>
      <c r="Y18" s="281">
        <f t="shared" si="2"/>
        <v>4400</v>
      </c>
      <c r="Z18" s="42">
        <f t="shared" si="4"/>
        <v>0</v>
      </c>
      <c r="AA18" s="2" t="b">
        <f>D18='2021'!C126</f>
        <v>1</v>
      </c>
      <c r="AB18" s="2" t="b">
        <f>X18='2021'!AQ125</f>
        <v>0</v>
      </c>
      <c r="AC18" s="34"/>
      <c r="AD18" s="34"/>
      <c r="AE18" s="34"/>
    </row>
    <row r="19" spans="1:31" x14ac:dyDescent="0.25">
      <c r="A19" s="14"/>
      <c r="B19" s="115">
        <v>14</v>
      </c>
      <c r="C19" s="115">
        <v>4.02</v>
      </c>
      <c r="D19" s="117" t="s">
        <v>100</v>
      </c>
      <c r="E19" s="106">
        <f>'2021'!BH134</f>
        <v>0</v>
      </c>
      <c r="F19" s="106">
        <f>'2021'!BH135</f>
        <v>0</v>
      </c>
      <c r="G19" s="106">
        <f>'2021'!BH136</f>
        <v>20.35</v>
      </c>
      <c r="H19" s="106">
        <f>'2021'!BH137</f>
        <v>0</v>
      </c>
      <c r="I19" s="106">
        <f>'2021'!BH138</f>
        <v>0</v>
      </c>
      <c r="J19" s="106">
        <f>'2021'!BH139</f>
        <v>0</v>
      </c>
      <c r="K19" s="106">
        <f>'2021'!BH140</f>
        <v>0</v>
      </c>
      <c r="L19" s="106">
        <f>'2021'!BH141</f>
        <v>0</v>
      </c>
      <c r="M19" s="106">
        <f t="shared" si="0"/>
        <v>20.35</v>
      </c>
      <c r="N19" s="106">
        <v>0</v>
      </c>
      <c r="O19" s="37"/>
      <c r="X19" s="280">
        <f t="shared" si="1"/>
        <v>0</v>
      </c>
      <c r="Y19" s="281">
        <f t="shared" si="2"/>
        <v>0</v>
      </c>
      <c r="Z19" s="42">
        <f t="shared" si="4"/>
        <v>0</v>
      </c>
      <c r="AA19" s="2" t="b">
        <f>D19='2021'!C135</f>
        <v>1</v>
      </c>
      <c r="AB19" s="2" t="b">
        <f>X19='2021'!AQ134</f>
        <v>1</v>
      </c>
      <c r="AC19" s="34"/>
      <c r="AD19" s="34"/>
      <c r="AE19" s="34"/>
    </row>
    <row r="20" spans="1:31" x14ac:dyDescent="0.25">
      <c r="A20" s="14"/>
      <c r="B20" s="115">
        <v>16</v>
      </c>
      <c r="C20" s="115">
        <v>3.98</v>
      </c>
      <c r="D20" s="117" t="s">
        <v>103</v>
      </c>
      <c r="E20" s="106">
        <f>'2021'!BH143</f>
        <v>11.6</v>
      </c>
      <c r="F20" s="106">
        <f>'2021'!BH144</f>
        <v>-403.37</v>
      </c>
      <c r="G20" s="106">
        <f>'2021'!BH145</f>
        <v>-637.49</v>
      </c>
      <c r="H20" s="106">
        <f>'2021'!BH146</f>
        <v>0</v>
      </c>
      <c r="I20" s="106">
        <f>'2021'!BH147</f>
        <v>3868</v>
      </c>
      <c r="J20" s="106">
        <f>'2021'!BH148</f>
        <v>0</v>
      </c>
      <c r="K20" s="106">
        <f>'2021'!BH149</f>
        <v>0</v>
      </c>
      <c r="L20" s="106">
        <f>'2021'!BH150</f>
        <v>0</v>
      </c>
      <c r="M20" s="106">
        <f t="shared" si="0"/>
        <v>2838.74</v>
      </c>
      <c r="N20" s="106">
        <v>3868</v>
      </c>
      <c r="O20" s="37">
        <f>IF(P20&gt;0,P20-1,$O$1)</f>
        <v>31</v>
      </c>
      <c r="X20" s="282">
        <f t="shared" si="1"/>
        <v>11.99</v>
      </c>
      <c r="Y20" s="281">
        <f t="shared" si="2"/>
        <v>3868</v>
      </c>
      <c r="Z20" s="42">
        <f t="shared" si="4"/>
        <v>3868</v>
      </c>
      <c r="AA20" s="2" t="b">
        <f>D20='2021'!C144</f>
        <v>1</v>
      </c>
      <c r="AB20" s="2" t="b">
        <f>X20='2021'!AQ143</f>
        <v>0</v>
      </c>
      <c r="AC20" s="34"/>
      <c r="AD20" s="34"/>
      <c r="AE20" s="34"/>
    </row>
    <row r="21" ht="15.75" customHeight="1" spans="1:31" x14ac:dyDescent="0.25">
      <c r="A21" s="14"/>
      <c r="B21" s="115">
        <v>17</v>
      </c>
      <c r="C21" s="116">
        <v>4</v>
      </c>
      <c r="D21" s="117" t="s">
        <v>106</v>
      </c>
      <c r="E21" s="106">
        <f>'2021'!BH152</f>
        <v>0</v>
      </c>
      <c r="F21" s="106">
        <f>'2021'!BH153</f>
        <v>-11.49</v>
      </c>
      <c r="G21" s="106">
        <f>'2021'!BH154</f>
        <v>-9.82</v>
      </c>
      <c r="H21" s="106">
        <f>'2021'!BH155</f>
        <v>0</v>
      </c>
      <c r="I21" s="106">
        <f>'2021'!BH156</f>
        <v>0</v>
      </c>
      <c r="J21" s="106">
        <f>'2021'!BH157</f>
        <v>0</v>
      </c>
      <c r="K21" s="106">
        <f>'2021'!BH158</f>
        <v>0</v>
      </c>
      <c r="L21" s="106">
        <f>'2021'!BH159</f>
        <v>0</v>
      </c>
      <c r="M21" s="106">
        <f t="shared" si="0"/>
        <v>-21.31</v>
      </c>
      <c r="N21" s="106">
        <v>0</v>
      </c>
      <c r="O21" s="37"/>
      <c r="X21" s="280">
        <f t="shared" si="1"/>
        <v>0</v>
      </c>
      <c r="Y21" s="281">
        <f t="shared" si="2"/>
        <v>0</v>
      </c>
      <c r="Z21" s="42">
        <f t="shared" si="4"/>
        <v>0</v>
      </c>
      <c r="AA21" s="2" t="b">
        <f>D21='2021'!C153</f>
        <v>1</v>
      </c>
      <c r="AB21" s="2" t="b">
        <f>X21='2021'!AQ152</f>
        <v>1</v>
      </c>
      <c r="AC21" s="34"/>
      <c r="AD21" s="34"/>
      <c r="AE21" s="34"/>
    </row>
    <row r="22" ht="15.75" customHeight="1" spans="1:31" x14ac:dyDescent="0.25">
      <c r="A22" s="14"/>
      <c r="B22" s="115">
        <v>18</v>
      </c>
      <c r="C22" s="115">
        <v>4.03</v>
      </c>
      <c r="D22" s="117" t="s">
        <v>109</v>
      </c>
      <c r="E22" s="106">
        <f>'2021'!BH161</f>
        <v>0</v>
      </c>
      <c r="F22" s="106">
        <f>'2021'!BH162</f>
        <v>228.78</v>
      </c>
      <c r="G22" s="106">
        <f>'2021'!BH163</f>
        <v>0</v>
      </c>
      <c r="H22" s="106">
        <f>'2021'!BH164</f>
        <v>0</v>
      </c>
      <c r="I22" s="106">
        <f>'2021'!BH165</f>
        <v>0</v>
      </c>
      <c r="J22" s="106">
        <f>'2021'!BH166</f>
        <v>0</v>
      </c>
      <c r="K22" s="106">
        <f>'2021'!BH167</f>
        <v>0</v>
      </c>
      <c r="L22" s="106">
        <f>'2021'!BH168</f>
        <v>0</v>
      </c>
      <c r="M22" s="106">
        <f t="shared" si="0"/>
        <v>228.78</v>
      </c>
      <c r="N22" s="106">
        <v>0</v>
      </c>
      <c r="O22" s="37"/>
      <c r="X22" s="280">
        <f t="shared" si="1"/>
        <v>0</v>
      </c>
      <c r="Y22" s="281">
        <f t="shared" si="2"/>
        <v>0</v>
      </c>
      <c r="Z22" s="42">
        <f t="shared" si="4"/>
        <v>0</v>
      </c>
      <c r="AA22" s="2" t="b">
        <f>D22='2021'!C162</f>
        <v>1</v>
      </c>
      <c r="AB22" s="2" t="b">
        <f>X22='2021'!AQ161</f>
        <v>1</v>
      </c>
      <c r="AC22" s="34"/>
      <c r="AD22" s="34"/>
      <c r="AE22" s="34"/>
    </row>
    <row r="23" ht="15.75" customHeight="1" spans="1:31" x14ac:dyDescent="0.25">
      <c r="A23" s="21"/>
      <c r="B23" s="115">
        <v>19</v>
      </c>
      <c r="C23" s="116">
        <v>4.1</v>
      </c>
      <c r="D23" s="117" t="s">
        <v>113</v>
      </c>
      <c r="E23" s="106">
        <f>'2021'!BH170</f>
        <v>0.73</v>
      </c>
      <c r="F23" s="106">
        <f>'2021'!BH171</f>
        <v>0</v>
      </c>
      <c r="G23" s="106">
        <f>'2021'!BH172</f>
        <v>-239.13</v>
      </c>
      <c r="H23" s="106">
        <f>'2021'!BH173</f>
        <v>0</v>
      </c>
      <c r="I23" s="106">
        <f>'2021'!BH174</f>
        <v>0</v>
      </c>
      <c r="J23" s="106">
        <f>'2021'!BH175</f>
        <v>0</v>
      </c>
      <c r="K23" s="106">
        <f>'2021'!BH176</f>
        <v>0</v>
      </c>
      <c r="L23" s="106">
        <f>'2021'!BH177</f>
        <v>0</v>
      </c>
      <c r="M23" s="106">
        <f t="shared" si="0"/>
        <v>-238.4</v>
      </c>
      <c r="N23" s="106">
        <v>0</v>
      </c>
      <c r="O23" s="37"/>
      <c r="X23" s="280">
        <f t="shared" si="1"/>
        <v>0</v>
      </c>
      <c r="Y23" s="281">
        <f t="shared" si="2"/>
        <v>0</v>
      </c>
      <c r="Z23" s="42">
        <f t="shared" si="4"/>
        <v>0</v>
      </c>
      <c r="AA23" s="2" t="b">
        <f>D23='2021'!C171</f>
        <v>1</v>
      </c>
      <c r="AB23" s="2" t="b">
        <f>X23='2021'!AQ170</f>
        <v>1</v>
      </c>
      <c r="AC23" s="34"/>
      <c r="AD23" s="34"/>
      <c r="AE23" s="34"/>
    </row>
    <row r="24" ht="15.75" customHeight="1" spans="1:31" x14ac:dyDescent="0.25">
      <c r="A24" s="114" t="s">
        <v>116</v>
      </c>
      <c r="B24" s="115" t="s">
        <v>117</v>
      </c>
      <c r="C24" s="283">
        <v>4</v>
      </c>
      <c r="D24" s="117" t="s">
        <v>118</v>
      </c>
      <c r="E24" s="106">
        <f>'2021'!BH179</f>
        <v>0</v>
      </c>
      <c r="F24" s="106">
        <f>'2021'!BH180</f>
        <v>0</v>
      </c>
      <c r="G24" s="106">
        <f>'2021'!BH181</f>
        <v>-194.45</v>
      </c>
      <c r="H24" s="106">
        <f>'2021'!BH182</f>
        <v>0</v>
      </c>
      <c r="I24" s="106">
        <f>'2021'!BH183</f>
        <v>0</v>
      </c>
      <c r="J24" s="106">
        <f>'2021'!BH184</f>
        <v>0</v>
      </c>
      <c r="K24" s="106">
        <f>'2021'!BH185</f>
        <v>0</v>
      </c>
      <c r="L24" s="106">
        <f>'2021'!BH186</f>
        <v>0</v>
      </c>
      <c r="M24" s="106">
        <f t="shared" si="0"/>
        <v>-194.45</v>
      </c>
      <c r="N24" s="106">
        <v>0</v>
      </c>
      <c r="O24" s="37"/>
      <c r="X24" s="280">
        <f t="shared" si="1"/>
        <v>0</v>
      </c>
      <c r="Y24" s="281">
        <f t="shared" si="2"/>
        <v>0</v>
      </c>
      <c r="Z24" s="42">
        <f t="shared" si="4"/>
        <v>0</v>
      </c>
      <c r="AA24" s="2" t="b">
        <f>D24='2021'!C180</f>
        <v>1</v>
      </c>
      <c r="AB24" s="2" t="b">
        <f>X24='2021'!AQ179</f>
        <v>1</v>
      </c>
      <c r="AC24" s="34"/>
      <c r="AD24" s="34"/>
      <c r="AE24" s="34"/>
    </row>
    <row r="25" ht="15.75" customHeight="1" spans="1:31" x14ac:dyDescent="0.25">
      <c r="A25" s="27"/>
      <c r="B25" s="115" t="s">
        <v>117</v>
      </c>
      <c r="C25" s="283">
        <v>4</v>
      </c>
      <c r="D25" s="117" t="s">
        <v>118</v>
      </c>
      <c r="E25" s="106">
        <f>'2021'!BH188</f>
        <v>0</v>
      </c>
      <c r="F25" s="106">
        <f>'2021'!BH189</f>
        <v>0</v>
      </c>
      <c r="G25" s="106">
        <f>'2021'!BH190</f>
        <v>0</v>
      </c>
      <c r="H25" s="106">
        <f>'2021'!BH191</f>
        <v>0</v>
      </c>
      <c r="I25" s="106">
        <f>'2021'!BH192</f>
        <v>0</v>
      </c>
      <c r="J25" s="106">
        <f>'2021'!BH193</f>
        <v>0</v>
      </c>
      <c r="K25" s="106">
        <f>'2021'!BH194</f>
        <v>0</v>
      </c>
      <c r="L25" s="106">
        <f>'2021'!BH195</f>
        <v>0</v>
      </c>
      <c r="M25" s="106">
        <f t="shared" si="0"/>
        <v>0</v>
      </c>
      <c r="N25" s="106">
        <v>0</v>
      </c>
      <c r="O25" s="37"/>
      <c r="X25" s="280">
        <f t="shared" si="1"/>
        <v>0</v>
      </c>
      <c r="Y25" s="281">
        <f t="shared" si="2"/>
        <v>0</v>
      </c>
      <c r="Z25" s="42">
        <f t="shared" si="4"/>
        <v>0</v>
      </c>
      <c r="AA25" s="2" t="b">
        <f>D25='2021'!C189</f>
        <v>1</v>
      </c>
      <c r="AB25" s="2" t="b">
        <f>X25='2021'!AQ188</f>
        <v>1</v>
      </c>
      <c r="AC25" s="34"/>
      <c r="AD25" s="34"/>
      <c r="AE25" s="34"/>
    </row>
    <row r="26" ht="15.75" customHeight="1" spans="1:31" x14ac:dyDescent="0.25">
      <c r="A26" s="14"/>
      <c r="B26" s="115">
        <v>21</v>
      </c>
      <c r="C26" s="115">
        <v>3.96</v>
      </c>
      <c r="D26" s="117" t="s">
        <v>120</v>
      </c>
      <c r="E26" s="106">
        <f>'2021'!BH197</f>
        <v>-0.1</v>
      </c>
      <c r="F26" s="106">
        <f>'2021'!BH198</f>
        <v>40.3</v>
      </c>
      <c r="G26" s="106">
        <f>'2021'!BH199</f>
        <v>39.78</v>
      </c>
      <c r="H26" s="106">
        <f>'2021'!BH200</f>
        <v>0</v>
      </c>
      <c r="I26" s="106">
        <f>'2021'!BH201</f>
        <v>0</v>
      </c>
      <c r="J26" s="106">
        <f>'2021'!BH202</f>
        <v>0</v>
      </c>
      <c r="K26" s="106">
        <f>'2021'!BH203</f>
        <v>0</v>
      </c>
      <c r="L26" s="106">
        <f>'2021'!BH204</f>
        <v>0</v>
      </c>
      <c r="M26" s="106">
        <f t="shared" si="0"/>
        <v>79.98</v>
      </c>
      <c r="N26" s="106">
        <v>0</v>
      </c>
      <c r="O26" s="37"/>
      <c r="P26" s="15"/>
      <c r="Q26" s="34"/>
      <c r="R26" s="34"/>
      <c r="S26" s="37"/>
      <c r="T26" s="15"/>
      <c r="U26" s="15"/>
      <c r="V26" s="15"/>
      <c r="W26" s="15"/>
      <c r="X26" s="280">
        <f t="shared" si="1"/>
        <v>0</v>
      </c>
      <c r="Y26" s="281">
        <f t="shared" si="2"/>
        <v>0</v>
      </c>
      <c r="Z26" s="42">
        <f t="shared" si="4"/>
        <v>0</v>
      </c>
      <c r="AA26" s="2" t="b">
        <f>D26='2021'!C198</f>
        <v>1</v>
      </c>
      <c r="AB26" s="2" t="b">
        <f>X26='2021'!AQ197</f>
        <v>1</v>
      </c>
      <c r="AC26" s="34"/>
      <c r="AD26" s="34"/>
      <c r="AE26" s="34"/>
    </row>
    <row r="27" ht="15.75" customHeight="1" spans="1:31" x14ac:dyDescent="0.25">
      <c r="A27" s="14"/>
      <c r="B27" s="115">
        <v>23</v>
      </c>
      <c r="C27" s="115">
        <v>3.98</v>
      </c>
      <c r="D27" s="117" t="s">
        <v>124</v>
      </c>
      <c r="E27" s="106">
        <f>'2021'!BH206</f>
        <v>0</v>
      </c>
      <c r="F27" s="106">
        <f>'2021'!BH207</f>
        <v>2319.28</v>
      </c>
      <c r="G27" s="106">
        <f>'2021'!BH208</f>
        <v>161.86</v>
      </c>
      <c r="H27" s="106">
        <f>'2021'!BH209</f>
        <v>0</v>
      </c>
      <c r="I27" s="106">
        <f>'2021'!BH210</f>
        <v>0</v>
      </c>
      <c r="J27" s="106">
        <f>'2021'!BH211</f>
        <v>0</v>
      </c>
      <c r="K27" s="106">
        <f>'2021'!BH212</f>
        <v>0</v>
      </c>
      <c r="L27" s="106">
        <f>'2021'!BH213</f>
        <v>0</v>
      </c>
      <c r="M27" s="106">
        <f t="shared" si="0"/>
        <v>2481.14</v>
      </c>
      <c r="N27" s="106">
        <v>0</v>
      </c>
      <c r="O27" s="37"/>
      <c r="X27" s="280">
        <f t="shared" si="1"/>
        <v>0</v>
      </c>
      <c r="Y27" s="281">
        <f t="shared" si="2"/>
        <v>0</v>
      </c>
      <c r="Z27" s="42">
        <f t="shared" si="4"/>
        <v>0</v>
      </c>
      <c r="AA27" s="2" t="b">
        <f>D27='2021'!C207</f>
        <v>1</v>
      </c>
      <c r="AB27" s="2" t="b">
        <f>X27='2021'!AQ206</f>
        <v>1</v>
      </c>
      <c r="AC27" s="34"/>
      <c r="AD27" s="34"/>
      <c r="AE27" s="34"/>
    </row>
    <row r="28" ht="15.75" customHeight="1" spans="1:31" x14ac:dyDescent="0.25">
      <c r="A28" s="14"/>
      <c r="B28" s="115">
        <v>24</v>
      </c>
      <c r="C28" s="115">
        <v>4.01</v>
      </c>
      <c r="D28" s="117" t="s">
        <v>127</v>
      </c>
      <c r="E28" s="106">
        <f>'2021'!BH215</f>
        <v>0</v>
      </c>
      <c r="F28" s="106">
        <f>'2021'!BH216</f>
        <v>0</v>
      </c>
      <c r="G28" s="106">
        <f>'2021'!BH217</f>
        <v>0</v>
      </c>
      <c r="H28" s="106">
        <f>'2021'!BH218</f>
        <v>0</v>
      </c>
      <c r="I28" s="106">
        <f>'2021'!BH219</f>
        <v>0</v>
      </c>
      <c r="J28" s="106">
        <f>'2021'!BH220</f>
        <v>0</v>
      </c>
      <c r="K28" s="106">
        <f>'2021'!BH221</f>
        <v>0</v>
      </c>
      <c r="L28" s="106">
        <f>'2021'!BH222</f>
        <v>0</v>
      </c>
      <c r="M28" s="106">
        <f t="shared" si="0"/>
        <v>0</v>
      </c>
      <c r="N28" s="106">
        <v>0</v>
      </c>
      <c r="O28" s="37"/>
      <c r="X28" s="280">
        <f t="shared" si="1"/>
        <v>0</v>
      </c>
      <c r="Y28" s="281">
        <f t="shared" si="2"/>
        <v>0</v>
      </c>
      <c r="Z28" s="42">
        <f t="shared" si="4"/>
        <v>0</v>
      </c>
      <c r="AA28" s="2" t="b">
        <f>D28='2021'!C216</f>
        <v>1</v>
      </c>
      <c r="AB28" s="2" t="b">
        <f>X28='2021'!AQ215</f>
        <v>1</v>
      </c>
      <c r="AC28" s="34"/>
      <c r="AD28" s="34"/>
      <c r="AE28" s="34"/>
    </row>
    <row r="29" ht="15.75" customHeight="1" spans="1:31" x14ac:dyDescent="0.25">
      <c r="A29" s="14"/>
      <c r="B29" s="115">
        <v>25</v>
      </c>
      <c r="C29" s="116">
        <v>4</v>
      </c>
      <c r="D29" s="117" t="s">
        <v>131</v>
      </c>
      <c r="E29" s="106">
        <f>'2021'!BH224</f>
        <v>183.88</v>
      </c>
      <c r="F29" s="106">
        <f>'2021'!BH225</f>
        <v>25.39</v>
      </c>
      <c r="G29" s="106">
        <f>'2021'!BH226</f>
        <v>0</v>
      </c>
      <c r="H29" s="106">
        <f>'2021'!BH227</f>
        <v>0</v>
      </c>
      <c r="I29" s="106">
        <f>'2021'!BH228</f>
        <v>8800</v>
      </c>
      <c r="J29" s="106">
        <f>'2021'!BH229</f>
        <v>500</v>
      </c>
      <c r="K29" s="106">
        <f>'2021'!BH230</f>
        <v>2000</v>
      </c>
      <c r="L29" s="106">
        <f>'2021'!BH231</f>
        <v>500</v>
      </c>
      <c r="M29" s="106">
        <f t="shared" si="0"/>
        <v>12009.27</v>
      </c>
      <c r="N29" s="106">
        <v>11300</v>
      </c>
      <c r="O29" s="37">
        <f t="shared" ref="O29:O31" si="6">IF(P29&gt;0,P29-1,$O$1)</f>
        <v>31</v>
      </c>
      <c r="P29" s="15"/>
      <c r="Q29" s="34"/>
      <c r="R29" s="34"/>
      <c r="S29" s="37"/>
      <c r="T29" s="15"/>
      <c r="U29" s="15"/>
      <c r="V29" s="15"/>
      <c r="W29" s="15"/>
      <c r="X29" s="282">
        <f t="shared" si="1"/>
        <v>35.03</v>
      </c>
      <c r="Y29" s="281">
        <f t="shared" si="2"/>
        <v>11300</v>
      </c>
      <c r="Z29" s="42">
        <f t="shared" si="4"/>
        <v>11300</v>
      </c>
      <c r="AA29" s="2" t="b">
        <f>D29='2021'!C225</f>
        <v>1</v>
      </c>
      <c r="AB29" s="2" t="b">
        <f>X29='2021'!AQ224</f>
        <v>0</v>
      </c>
      <c r="AC29" s="34"/>
      <c r="AD29" s="34"/>
      <c r="AE29" s="34"/>
    </row>
    <row r="30" ht="15.75" customHeight="1" spans="1:31" x14ac:dyDescent="0.25">
      <c r="A30" s="14"/>
      <c r="B30" s="115">
        <v>26</v>
      </c>
      <c r="C30" s="115">
        <v>3.98</v>
      </c>
      <c r="D30" s="117" t="s">
        <v>133</v>
      </c>
      <c r="E30" s="106">
        <f>'2021'!BH233</f>
        <v>7687.4</v>
      </c>
      <c r="F30" s="106">
        <f>'2021'!BH234</f>
        <v>0</v>
      </c>
      <c r="G30" s="106">
        <f>'2021'!BH235</f>
        <v>0</v>
      </c>
      <c r="H30" s="106">
        <f>'2021'!BH236</f>
        <v>0</v>
      </c>
      <c r="I30" s="106">
        <f>'2021'!BH237</f>
        <v>28906.26</v>
      </c>
      <c r="J30" s="106">
        <f>'2021'!BH238</f>
        <v>17027</v>
      </c>
      <c r="K30" s="106">
        <f>'2021'!BH239</f>
        <v>1990</v>
      </c>
      <c r="L30" s="106">
        <f>'2021'!BH240</f>
        <v>2450</v>
      </c>
      <c r="M30" s="106">
        <f t="shared" si="0"/>
        <v>58060.66</v>
      </c>
      <c r="N30" s="106">
        <v>47923.26</v>
      </c>
      <c r="O30" s="37">
        <f t="shared" si="6"/>
        <v>31</v>
      </c>
      <c r="P30" s="15"/>
      <c r="Q30" s="15"/>
      <c r="R30" s="15"/>
      <c r="S30" s="15"/>
      <c r="T30" s="15"/>
      <c r="U30" s="15"/>
      <c r="V30" s="15"/>
      <c r="W30" s="15"/>
      <c r="X30" s="282">
        <f t="shared" si="1"/>
        <v>148.56</v>
      </c>
      <c r="Y30" s="281">
        <f t="shared" si="2"/>
        <v>47923.26</v>
      </c>
      <c r="Z30" s="42">
        <f t="shared" si="4"/>
        <v>47923.26</v>
      </c>
      <c r="AA30" s="2" t="b">
        <f>D30='2021'!C234</f>
        <v>1</v>
      </c>
      <c r="AB30" s="2" t="b">
        <f>X30='2021'!AQ233</f>
        <v>0</v>
      </c>
      <c r="AC30" s="34"/>
      <c r="AD30" s="34"/>
      <c r="AE30" s="34"/>
    </row>
    <row r="31" ht="15.75" customHeight="1" spans="1:31" x14ac:dyDescent="0.25">
      <c r="A31" s="14"/>
      <c r="B31" s="115">
        <v>27</v>
      </c>
      <c r="C31" s="115">
        <v>4.04</v>
      </c>
      <c r="D31" s="117" t="s">
        <v>136</v>
      </c>
      <c r="E31" s="106">
        <f>'2021'!BH242</f>
        <v>1696.86</v>
      </c>
      <c r="F31" s="106">
        <f>'2021'!BH243</f>
        <v>0</v>
      </c>
      <c r="G31" s="106">
        <f>'2021'!BH244</f>
        <v>0</v>
      </c>
      <c r="H31" s="106">
        <f>'2021'!BH245</f>
        <v>0</v>
      </c>
      <c r="I31" s="106">
        <f>'2021'!BH246</f>
        <v>26822.03</v>
      </c>
      <c r="J31" s="106">
        <f>'2021'!BH247</f>
        <v>3308</v>
      </c>
      <c r="K31" s="106">
        <f>'2021'!BH248</f>
        <v>2020</v>
      </c>
      <c r="L31" s="106">
        <f>'2021'!BH249</f>
        <v>2200</v>
      </c>
      <c r="M31" s="106">
        <f t="shared" si="0"/>
        <v>36046.89</v>
      </c>
      <c r="N31" s="106">
        <v>32150.03</v>
      </c>
      <c r="O31" s="37">
        <f t="shared" si="6"/>
        <v>31</v>
      </c>
      <c r="P31" s="15"/>
      <c r="Q31" s="15"/>
      <c r="R31" s="15"/>
      <c r="S31" s="15"/>
      <c r="T31" s="15"/>
      <c r="U31" s="15"/>
      <c r="V31" s="15"/>
      <c r="W31" s="15"/>
      <c r="X31" s="282">
        <f t="shared" si="1"/>
        <v>99.67</v>
      </c>
      <c r="Y31" s="281">
        <f t="shared" si="2"/>
        <v>32150.03</v>
      </c>
      <c r="Z31" s="42">
        <f t="shared" si="4"/>
        <v>32150.03</v>
      </c>
      <c r="AA31" s="2" t="b">
        <f>D31='2021'!C243</f>
        <v>1</v>
      </c>
      <c r="AB31" s="2" t="b">
        <f>X31='2021'!AQ242</f>
        <v>0</v>
      </c>
      <c r="AC31" s="34"/>
      <c r="AD31" s="34"/>
      <c r="AE31" s="34"/>
    </row>
    <row r="32" ht="15.75" customHeight="1" spans="1:31" x14ac:dyDescent="0.25">
      <c r="A32" s="14"/>
      <c r="B32" s="115">
        <v>28</v>
      </c>
      <c r="C32" s="115">
        <v>3.96</v>
      </c>
      <c r="D32" s="117" t="s">
        <v>140</v>
      </c>
      <c r="E32" s="106">
        <f>'2021'!BH251</f>
        <v>0</v>
      </c>
      <c r="F32" s="106">
        <f>'2021'!BH252</f>
        <v>2003.4</v>
      </c>
      <c r="G32" s="106">
        <f>'2021'!BH253</f>
        <v>0</v>
      </c>
      <c r="H32" s="106">
        <f>'2021'!BH254</f>
        <v>0</v>
      </c>
      <c r="I32" s="106">
        <f>'2021'!BH255</f>
        <v>0</v>
      </c>
      <c r="J32" s="106">
        <f>'2021'!BH256</f>
        <v>0</v>
      </c>
      <c r="K32" s="106">
        <f>'2021'!BH257</f>
        <v>0</v>
      </c>
      <c r="L32" s="106">
        <f>'2021'!BH258</f>
        <v>0</v>
      </c>
      <c r="M32" s="106">
        <f t="shared" si="0"/>
        <v>2003.4</v>
      </c>
      <c r="N32" s="106">
        <v>0</v>
      </c>
      <c r="O32" s="37"/>
      <c r="X32" s="280">
        <f t="shared" si="1"/>
        <v>0</v>
      </c>
      <c r="Y32" s="281">
        <f t="shared" si="2"/>
        <v>0</v>
      </c>
      <c r="Z32" s="42">
        <f t="shared" si="4"/>
        <v>0</v>
      </c>
      <c r="AA32" s="2" t="b">
        <f>D32='2021'!C252</f>
        <v>1</v>
      </c>
      <c r="AB32" s="2" t="b">
        <f>X32='2021'!AQ251</f>
        <v>1</v>
      </c>
      <c r="AC32" s="34"/>
      <c r="AD32" s="34"/>
      <c r="AE32" s="34"/>
    </row>
    <row r="33" ht="15.75" customHeight="1" spans="1:31" x14ac:dyDescent="0.25">
      <c r="A33" s="14"/>
      <c r="B33" s="115">
        <v>30</v>
      </c>
      <c r="C33" s="115">
        <v>4.05</v>
      </c>
      <c r="D33" s="117" t="s">
        <v>496</v>
      </c>
      <c r="E33" s="106">
        <f>'2021'!BH260</f>
        <v>0</v>
      </c>
      <c r="F33" s="106">
        <f>'2021'!BH261</f>
        <v>0</v>
      </c>
      <c r="G33" s="106">
        <f>'2021'!BH262</f>
        <v>0</v>
      </c>
      <c r="H33" s="106">
        <f>'2021'!BH263</f>
        <v>0</v>
      </c>
      <c r="I33" s="106">
        <f>'2021'!BH264</f>
        <v>0</v>
      </c>
      <c r="J33" s="106">
        <f>'2021'!BH265</f>
        <v>0</v>
      </c>
      <c r="K33" s="106">
        <f>'2021'!BH266</f>
        <v>0</v>
      </c>
      <c r="L33" s="106">
        <f>'2021'!BH267</f>
        <v>0</v>
      </c>
      <c r="M33" s="106">
        <f t="shared" si="0"/>
        <v>0</v>
      </c>
      <c r="N33" s="106">
        <v>0</v>
      </c>
      <c r="O33" s="37"/>
      <c r="X33" s="280">
        <f t="shared" si="1"/>
        <v>0</v>
      </c>
      <c r="Y33" s="281">
        <f t="shared" si="2"/>
        <v>0</v>
      </c>
      <c r="Z33" s="42">
        <f t="shared" si="4"/>
        <v>0</v>
      </c>
      <c r="AA33" s="2" t="b">
        <f>D33='2021'!C261</f>
        <v>1</v>
      </c>
      <c r="AB33" s="2" t="b">
        <f>X33='2021'!AQ260</f>
        <v>1</v>
      </c>
      <c r="AC33" s="34"/>
      <c r="AD33" s="34"/>
      <c r="AE33" s="34"/>
    </row>
    <row r="34" ht="15.75" customHeight="1" spans="1:31" x14ac:dyDescent="0.25">
      <c r="A34" s="14"/>
      <c r="B34" s="115">
        <v>29</v>
      </c>
      <c r="C34" s="115">
        <v>4.02</v>
      </c>
      <c r="D34" s="117" t="s">
        <v>146</v>
      </c>
      <c r="E34" s="106">
        <f>'2021'!BH269</f>
        <v>0</v>
      </c>
      <c r="F34" s="106">
        <f>'2021'!BH270</f>
        <v>0</v>
      </c>
      <c r="G34" s="106">
        <f>'2021'!BH271</f>
        <v>-2.84</v>
      </c>
      <c r="H34" s="106">
        <f>'2021'!BH272</f>
        <v>0</v>
      </c>
      <c r="I34" s="106">
        <f>'2021'!BH273</f>
        <v>0</v>
      </c>
      <c r="J34" s="106">
        <f>'2021'!BH274</f>
        <v>0</v>
      </c>
      <c r="K34" s="106">
        <f>'2021'!BH275</f>
        <v>0</v>
      </c>
      <c r="L34" s="106">
        <f>'2021'!BH276</f>
        <v>0</v>
      </c>
      <c r="M34" s="106">
        <f t="shared" si="0"/>
        <v>-2.84</v>
      </c>
      <c r="N34" s="106">
        <v>0</v>
      </c>
      <c r="O34" s="37"/>
      <c r="X34" s="280">
        <f t="shared" si="1"/>
        <v>0</v>
      </c>
      <c r="Y34" s="281">
        <f t="shared" si="2"/>
        <v>0</v>
      </c>
      <c r="Z34" s="42">
        <f t="shared" si="4"/>
        <v>0</v>
      </c>
      <c r="AA34" s="2" t="b">
        <f>D34='2021'!C270</f>
        <v>1</v>
      </c>
      <c r="AB34" s="2" t="b">
        <f>X34='2021'!AQ269</f>
        <v>1</v>
      </c>
      <c r="AC34" s="34"/>
      <c r="AD34" s="34"/>
      <c r="AE34" s="34"/>
    </row>
    <row r="35" ht="15.75" customHeight="1" spans="1:31" x14ac:dyDescent="0.25">
      <c r="A35" s="14"/>
      <c r="B35" s="115">
        <v>31</v>
      </c>
      <c r="C35" s="116">
        <v>4</v>
      </c>
      <c r="D35" s="117" t="s">
        <v>149</v>
      </c>
      <c r="E35" s="106">
        <f>'2021'!BH278</f>
        <v>0</v>
      </c>
      <c r="F35" s="106">
        <f>'2021'!BH279</f>
        <v>0</v>
      </c>
      <c r="G35" s="106">
        <f>'2021'!BH280</f>
        <v>-8.48</v>
      </c>
      <c r="H35" s="106">
        <f>'2021'!BH281</f>
        <v>0</v>
      </c>
      <c r="I35" s="106">
        <f>'2021'!BH282</f>
        <v>0</v>
      </c>
      <c r="J35" s="106">
        <f>'2021'!BH283</f>
        <v>0</v>
      </c>
      <c r="K35" s="106">
        <f>'2021'!BH284</f>
        <v>0</v>
      </c>
      <c r="L35" s="106">
        <f>'2021'!BH285</f>
        <v>0</v>
      </c>
      <c r="M35" s="106">
        <f t="shared" si="0"/>
        <v>-8.48</v>
      </c>
      <c r="N35" s="106">
        <v>-1</v>
      </c>
      <c r="O35" s="37"/>
      <c r="X35" s="280">
        <f t="shared" si="1"/>
        <v>0</v>
      </c>
      <c r="Y35" s="281">
        <f t="shared" si="2"/>
        <v>-1</v>
      </c>
      <c r="Z35" s="42">
        <f t="shared" si="4"/>
        <v>0</v>
      </c>
      <c r="AA35" s="2" t="b">
        <f>D35='2021'!C279</f>
        <v>1</v>
      </c>
      <c r="AB35" s="2" t="b">
        <f>X35='2021'!AQ278</f>
        <v>1</v>
      </c>
      <c r="AC35" s="34"/>
      <c r="AD35" s="34"/>
      <c r="AE35" s="34"/>
    </row>
    <row r="36" ht="15.75" customHeight="1" spans="1:31" x14ac:dyDescent="0.25">
      <c r="A36" s="14"/>
      <c r="B36" s="115">
        <v>32</v>
      </c>
      <c r="C36" s="115">
        <v>3.96</v>
      </c>
      <c r="D36" s="117" t="s">
        <v>152</v>
      </c>
      <c r="E36" s="106">
        <f>'2021'!BH287</f>
        <v>0</v>
      </c>
      <c r="F36" s="106">
        <f>'2021'!BH288</f>
        <v>310.5</v>
      </c>
      <c r="G36" s="106">
        <f>'2021'!BH289</f>
        <v>0</v>
      </c>
      <c r="H36" s="106">
        <f>'2021'!BH290</f>
        <v>0</v>
      </c>
      <c r="I36" s="106">
        <f>'2021'!BH291</f>
        <v>0</v>
      </c>
      <c r="J36" s="106">
        <f>'2021'!BH292</f>
        <v>0</v>
      </c>
      <c r="K36" s="106">
        <f>'2021'!BH293</f>
        <v>0</v>
      </c>
      <c r="L36" s="106">
        <f>'2021'!BH294</f>
        <v>0</v>
      </c>
      <c r="M36" s="106">
        <f t="shared" si="0"/>
        <v>310.5</v>
      </c>
      <c r="N36" s="106">
        <v>0</v>
      </c>
      <c r="O36" s="37"/>
      <c r="X36" s="280">
        <f t="shared" si="1"/>
        <v>0</v>
      </c>
      <c r="Y36" s="281">
        <f t="shared" si="2"/>
        <v>0</v>
      </c>
      <c r="Z36" s="42">
        <f t="shared" si="4"/>
        <v>0</v>
      </c>
      <c r="AA36" s="2" t="b">
        <f>D36='2021'!C288</f>
        <v>1</v>
      </c>
      <c r="AB36" s="2" t="b">
        <f>X36='2021'!AQ287</f>
        <v>1</v>
      </c>
      <c r="AC36" s="34"/>
      <c r="AD36" s="34"/>
      <c r="AE36" s="34"/>
    </row>
    <row r="37" ht="15.75" customHeight="1" spans="1:31" x14ac:dyDescent="0.25">
      <c r="A37" s="14"/>
      <c r="B37" s="115">
        <v>33</v>
      </c>
      <c r="C37" s="115">
        <v>4.01</v>
      </c>
      <c r="D37" s="117" t="s">
        <v>154</v>
      </c>
      <c r="E37" s="106">
        <f>'2021'!BH296</f>
        <v>81.46</v>
      </c>
      <c r="F37" s="106">
        <f>'2021'!BH297</f>
        <v>0.341</v>
      </c>
      <c r="G37" s="106">
        <f>'2021'!BH298</f>
        <v>0</v>
      </c>
      <c r="H37" s="106">
        <f>'2021'!BH299</f>
        <v>0</v>
      </c>
      <c r="I37" s="106">
        <f>'2021'!BH300</f>
        <v>4411</v>
      </c>
      <c r="J37" s="106">
        <f>'2021'!BH301</f>
        <v>0</v>
      </c>
      <c r="K37" s="106">
        <f>'2021'!BH302</f>
        <v>0</v>
      </c>
      <c r="L37" s="106">
        <f>'2021'!BH303</f>
        <v>0</v>
      </c>
      <c r="M37" s="106">
        <f t="shared" si="0"/>
        <v>4492.801</v>
      </c>
      <c r="N37" s="106">
        <v>4411</v>
      </c>
      <c r="O37" s="37">
        <f t="shared" ref="O37:O38" si="7">IF(P37&gt;0,P37-1,$O$1)</f>
        <v>31</v>
      </c>
      <c r="T37" s="15"/>
      <c r="U37" s="15"/>
      <c r="V37" s="15"/>
      <c r="W37" s="15"/>
      <c r="X37" s="282">
        <f t="shared" si="1"/>
        <v>13.67</v>
      </c>
      <c r="Y37" s="281">
        <f t="shared" si="2"/>
        <v>4411</v>
      </c>
      <c r="Z37" s="42">
        <f t="shared" si="4"/>
        <v>4411</v>
      </c>
      <c r="AA37" s="2" t="b">
        <f>D37='2021'!C297</f>
        <v>1</v>
      </c>
      <c r="AB37" s="2" t="b">
        <f>X37='2021'!AQ296</f>
        <v>0</v>
      </c>
      <c r="AC37" s="34"/>
      <c r="AD37" s="34"/>
      <c r="AE37" s="34"/>
    </row>
    <row r="38" ht="15.75" customHeight="1" spans="1:31" x14ac:dyDescent="0.25">
      <c r="A38" s="14"/>
      <c r="B38" s="115">
        <v>34</v>
      </c>
      <c r="C38" s="115">
        <v>4.01</v>
      </c>
      <c r="D38" s="117" t="s">
        <v>155</v>
      </c>
      <c r="E38" s="106">
        <f>'2021'!BH305</f>
        <v>221.4</v>
      </c>
      <c r="F38" s="106">
        <f>'2021'!BH306</f>
        <v>3333.1</v>
      </c>
      <c r="G38" s="106">
        <f>'2021'!BH307</f>
        <v>-169.42</v>
      </c>
      <c r="H38" s="106">
        <f>'2021'!BH308</f>
        <v>0</v>
      </c>
      <c r="I38" s="106">
        <f>'2021'!BH309</f>
        <v>6822</v>
      </c>
      <c r="J38" s="106">
        <f>'2021'!BH310</f>
        <v>500</v>
      </c>
      <c r="K38" s="106">
        <f>'2021'!BH311</f>
        <v>2005</v>
      </c>
      <c r="L38" s="106">
        <f>'2021'!BH312</f>
        <v>0</v>
      </c>
      <c r="M38" s="106">
        <f t="shared" si="0"/>
        <v>12712.08</v>
      </c>
      <c r="N38" s="106">
        <v>9327</v>
      </c>
      <c r="O38" s="37">
        <f t="shared" si="7"/>
        <v>31</v>
      </c>
      <c r="P38" s="15"/>
      <c r="Q38" s="15"/>
      <c r="R38" s="15"/>
      <c r="S38" s="15"/>
      <c r="T38" s="15"/>
      <c r="U38" s="15"/>
      <c r="V38" s="15"/>
      <c r="W38" s="15"/>
      <c r="X38" s="284">
        <f t="shared" si="1"/>
        <v>28.91</v>
      </c>
      <c r="Y38" s="281">
        <f t="shared" si="2"/>
        <v>9327</v>
      </c>
      <c r="Z38" s="42">
        <f t="shared" si="4"/>
        <v>9327</v>
      </c>
      <c r="AA38" s="2" t="b">
        <f>D38='2021'!C306</f>
        <v>1</v>
      </c>
      <c r="AB38" s="2" t="b">
        <f>X38='2021'!AQ305</f>
        <v>0</v>
      </c>
      <c r="AC38" s="34"/>
      <c r="AD38" s="34"/>
      <c r="AE38" s="34"/>
    </row>
    <row r="39" ht="15.75" customHeight="1" spans="1:31" x14ac:dyDescent="0.25">
      <c r="A39" s="14"/>
      <c r="B39" s="115">
        <v>35</v>
      </c>
      <c r="C39" s="115">
        <v>4.01</v>
      </c>
      <c r="D39" s="117" t="s">
        <v>157</v>
      </c>
      <c r="E39" s="106">
        <f>'2021'!BH314</f>
        <v>0</v>
      </c>
      <c r="F39" s="106">
        <f>'2021'!BH315</f>
        <v>0</v>
      </c>
      <c r="G39" s="106">
        <f>'2021'!BH316</f>
        <v>-39.21</v>
      </c>
      <c r="H39" s="106">
        <f>'2021'!BH317</f>
        <v>0</v>
      </c>
      <c r="I39" s="106">
        <f>'2021'!BH318</f>
        <v>0</v>
      </c>
      <c r="J39" s="106">
        <f>'2021'!BH319</f>
        <v>0</v>
      </c>
      <c r="K39" s="106">
        <f>'2021'!BH320</f>
        <v>0</v>
      </c>
      <c r="L39" s="106">
        <f>'2021'!BH321</f>
        <v>0</v>
      </c>
      <c r="M39" s="106">
        <f t="shared" si="0"/>
        <v>-39.21</v>
      </c>
      <c r="N39" s="106">
        <v>0</v>
      </c>
      <c r="O39" s="37"/>
      <c r="X39" s="285">
        <f t="shared" si="1"/>
        <v>0</v>
      </c>
      <c r="Y39" s="281">
        <f t="shared" si="2"/>
        <v>0</v>
      </c>
      <c r="Z39" s="42">
        <f t="shared" si="4"/>
        <v>0</v>
      </c>
      <c r="AA39" s="2" t="b">
        <f>D39='2021'!C315</f>
        <v>1</v>
      </c>
      <c r="AB39" s="2" t="b">
        <f>X39='2021'!AQ314</f>
        <v>1</v>
      </c>
      <c r="AC39" s="34"/>
      <c r="AD39" s="34"/>
      <c r="AE39" s="34"/>
    </row>
    <row r="40" ht="15.75" customHeight="1" spans="1:31" x14ac:dyDescent="0.25">
      <c r="A40" s="14"/>
      <c r="B40" s="115">
        <v>36</v>
      </c>
      <c r="C40" s="115">
        <v>4.03</v>
      </c>
      <c r="D40" s="117" t="s">
        <v>160</v>
      </c>
      <c r="E40" s="106">
        <f>'2021'!BH323</f>
        <v>7.55</v>
      </c>
      <c r="F40" s="106">
        <f>'2021'!BH324</f>
        <v>345.6</v>
      </c>
      <c r="G40" s="106">
        <f>'2021'!BH325</f>
        <v>-100</v>
      </c>
      <c r="H40" s="106">
        <f>'2021'!BH326</f>
        <v>0</v>
      </c>
      <c r="I40" s="106">
        <f>'2021'!BH327</f>
        <v>0</v>
      </c>
      <c r="J40" s="106">
        <f>'2021'!BH328</f>
        <v>500</v>
      </c>
      <c r="K40" s="106">
        <f>'2021'!BH329</f>
        <v>2015</v>
      </c>
      <c r="L40" s="106">
        <f>'2021'!BH330</f>
        <v>0</v>
      </c>
      <c r="M40" s="106">
        <f t="shared" si="0"/>
        <v>2768.15</v>
      </c>
      <c r="N40" s="106">
        <v>2515</v>
      </c>
      <c r="O40" s="37">
        <f t="shared" ref="O40:O41" si="8">IF(P40&gt;0,P40-1,$O$1)</f>
        <v>31</v>
      </c>
      <c r="X40" s="284">
        <f t="shared" si="1"/>
        <v>7.8</v>
      </c>
      <c r="Y40" s="281">
        <f t="shared" si="2"/>
        <v>2515</v>
      </c>
      <c r="Z40" s="42">
        <f t="shared" si="4"/>
        <v>2515</v>
      </c>
      <c r="AA40" s="2" t="b">
        <f>D40='2021'!C324</f>
        <v>1</v>
      </c>
      <c r="AB40" s="2" t="b">
        <f>X40='2021'!AQ323</f>
        <v>0</v>
      </c>
      <c r="AC40" s="34"/>
      <c r="AD40" s="34"/>
      <c r="AE40" s="34"/>
    </row>
    <row r="41" ht="15.75" customHeight="1" spans="1:31" x14ac:dyDescent="0.25">
      <c r="A41" s="14"/>
      <c r="B41" s="115">
        <v>37</v>
      </c>
      <c r="C41" s="115">
        <v>4.06</v>
      </c>
      <c r="D41" s="117" t="s">
        <v>162</v>
      </c>
      <c r="E41" s="106">
        <f>'2021'!BH332</f>
        <v>6.09</v>
      </c>
      <c r="F41" s="106">
        <f>'2021'!BH333</f>
        <v>0</v>
      </c>
      <c r="G41" s="106">
        <f>'2021'!BH334</f>
        <v>31.24</v>
      </c>
      <c r="H41" s="106">
        <f>'2021'!BH335</f>
        <v>0</v>
      </c>
      <c r="I41" s="106">
        <f>'2021'!BH336</f>
        <v>0</v>
      </c>
      <c r="J41" s="106">
        <f>'2021'!BH337</f>
        <v>0</v>
      </c>
      <c r="K41" s="106">
        <f>'2021'!BH338</f>
        <v>2030</v>
      </c>
      <c r="L41" s="106">
        <f>'2021'!BH339</f>
        <v>0</v>
      </c>
      <c r="M41" s="106">
        <f t="shared" si="0"/>
        <v>2067.33</v>
      </c>
      <c r="N41" s="106">
        <v>2030</v>
      </c>
      <c r="O41" s="37">
        <f t="shared" si="8"/>
        <v>31</v>
      </c>
      <c r="X41" s="284">
        <f t="shared" si="1"/>
        <v>6.29</v>
      </c>
      <c r="Y41" s="281">
        <f t="shared" si="2"/>
        <v>2030</v>
      </c>
      <c r="Z41" s="42">
        <f t="shared" si="4"/>
        <v>2030</v>
      </c>
      <c r="AA41" s="2" t="b">
        <f>D41='2021'!C333</f>
        <v>1</v>
      </c>
      <c r="AB41" s="2" t="b">
        <f>X41='2021'!AQ332</f>
        <v>0</v>
      </c>
      <c r="AC41" s="34"/>
      <c r="AD41" s="34"/>
      <c r="AE41" s="34"/>
    </row>
    <row r="42" ht="15.75" customHeight="1" spans="1:31" x14ac:dyDescent="0.25">
      <c r="A42" s="14"/>
      <c r="B42" s="115">
        <v>38</v>
      </c>
      <c r="C42" s="115">
        <v>4.34</v>
      </c>
      <c r="D42" s="117" t="s">
        <v>167</v>
      </c>
      <c r="E42" s="106">
        <f>'2021'!BH341</f>
        <v>0</v>
      </c>
      <c r="F42" s="106">
        <f>'2021'!BH342</f>
        <v>0</v>
      </c>
      <c r="G42" s="106">
        <f>'2021'!BH343</f>
        <v>0</v>
      </c>
      <c r="H42" s="106">
        <f>'2021'!BH344</f>
        <v>0</v>
      </c>
      <c r="I42" s="106">
        <f>'2021'!BH345</f>
        <v>0</v>
      </c>
      <c r="J42" s="106">
        <f>'2021'!BH346</f>
        <v>0</v>
      </c>
      <c r="K42" s="106">
        <f>'2021'!BH347</f>
        <v>0</v>
      </c>
      <c r="L42" s="106">
        <f>'2021'!BH348</f>
        <v>0</v>
      </c>
      <c r="M42" s="106">
        <f t="shared" si="0"/>
        <v>0</v>
      </c>
      <c r="N42" s="106">
        <v>0</v>
      </c>
      <c r="O42" s="37"/>
      <c r="X42" s="285">
        <f t="shared" si="1"/>
        <v>0</v>
      </c>
      <c r="Y42" s="281">
        <f t="shared" si="2"/>
        <v>0</v>
      </c>
      <c r="Z42" s="42">
        <f t="shared" si="4"/>
        <v>0</v>
      </c>
      <c r="AA42" s="2" t="b">
        <f>D42='2021'!C342</f>
        <v>1</v>
      </c>
      <c r="AB42" s="2" t="b">
        <f>X42='2021'!AQ341</f>
        <v>1</v>
      </c>
      <c r="AC42" s="34"/>
      <c r="AD42" s="34"/>
      <c r="AE42" s="34"/>
    </row>
    <row r="43" ht="15.75" customHeight="1" spans="1:31" x14ac:dyDescent="0.25">
      <c r="A43" s="21"/>
      <c r="B43" s="115">
        <v>39</v>
      </c>
      <c r="C43" s="116">
        <v>4</v>
      </c>
      <c r="D43" s="2" t="s">
        <v>402</v>
      </c>
      <c r="E43" s="106">
        <f>'2021'!BH350</f>
        <v>0</v>
      </c>
      <c r="F43" s="106">
        <f>'2021'!BH351</f>
        <v>-10640.2</v>
      </c>
      <c r="G43" s="106">
        <f>'2021'!BH352</f>
        <v>0</v>
      </c>
      <c r="H43" s="106">
        <f>'2021'!BH353</f>
        <v>0</v>
      </c>
      <c r="I43" s="106">
        <f>'2021'!BH354</f>
        <v>-4600</v>
      </c>
      <c r="J43" s="106">
        <f>'2021'!BH355</f>
        <v>0</v>
      </c>
      <c r="K43" s="106">
        <f>'2021'!BH356</f>
        <v>0</v>
      </c>
      <c r="L43" s="106">
        <f>'2021'!BH357</f>
        <v>-500</v>
      </c>
      <c r="M43" s="106">
        <f t="shared" si="0"/>
        <v>-15740.2</v>
      </c>
      <c r="N43" s="106">
        <v>-4600</v>
      </c>
      <c r="O43" s="37"/>
      <c r="P43" s="15"/>
      <c r="Q43" s="15"/>
      <c r="R43" s="34"/>
      <c r="S43" s="37"/>
      <c r="T43" s="15"/>
      <c r="U43" s="15"/>
      <c r="V43" s="15"/>
      <c r="W43" s="15"/>
      <c r="X43" s="285">
        <f t="shared" si="1"/>
        <v>0</v>
      </c>
      <c r="Y43" s="281">
        <f t="shared" si="2"/>
        <v>-4600</v>
      </c>
      <c r="Z43" s="42">
        <f t="shared" si="4"/>
        <v>-4600</v>
      </c>
      <c r="AA43" s="2" t="b">
        <f>D43='2021'!C351</f>
        <v>1</v>
      </c>
      <c r="AB43" s="2" t="b">
        <f>X43='2021'!AQ350</f>
        <v>1</v>
      </c>
      <c r="AC43" s="34"/>
      <c r="AD43" s="34"/>
      <c r="AE43" s="34"/>
    </row>
    <row r="44" ht="15.75" customHeight="1" spans="1:31" x14ac:dyDescent="0.25">
      <c r="A44" s="114" t="s">
        <v>173</v>
      </c>
      <c r="B44" s="115">
        <v>40</v>
      </c>
      <c r="C44" s="115">
        <v>4.92</v>
      </c>
      <c r="D44" s="117" t="s">
        <v>174</v>
      </c>
      <c r="E44" s="106">
        <f>'2021'!BH359</f>
        <v>13.24</v>
      </c>
      <c r="F44" s="106">
        <f>'2021'!BH360</f>
        <v>3501.33</v>
      </c>
      <c r="G44" s="106">
        <f>'2021'!BH361</f>
        <v>1.32</v>
      </c>
      <c r="H44" s="106">
        <f>'2021'!BH362</f>
        <v>0</v>
      </c>
      <c r="I44" s="106">
        <f>'2021'!BH363</f>
        <v>-18</v>
      </c>
      <c r="J44" s="106">
        <f>'2021'!BH364</f>
        <v>0</v>
      </c>
      <c r="K44" s="106">
        <f>'2021'!BH365</f>
        <v>0</v>
      </c>
      <c r="L44" s="106">
        <f>'2021'!BH366</f>
        <v>0</v>
      </c>
      <c r="M44" s="106">
        <f t="shared" si="0"/>
        <v>3497.89</v>
      </c>
      <c r="N44" s="106">
        <v>4412</v>
      </c>
      <c r="O44" s="37">
        <f t="shared" ref="O44:O48" si="9">IF(P44&gt;0,P44-1,$O$1)</f>
        <v>31</v>
      </c>
      <c r="X44" s="284">
        <f t="shared" si="1"/>
        <v>13.68</v>
      </c>
      <c r="Y44" s="281">
        <f t="shared" si="2"/>
        <v>4412</v>
      </c>
      <c r="Z44" s="42">
        <f t="shared" si="4"/>
        <v>-18</v>
      </c>
      <c r="AA44" s="2" t="b">
        <f>D44='2021'!C360</f>
        <v>1</v>
      </c>
      <c r="AB44" s="2" t="b">
        <f>X44='2021'!AQ359</f>
        <v>0</v>
      </c>
      <c r="AC44" s="34"/>
      <c r="AD44" s="34"/>
      <c r="AE44" s="34"/>
    </row>
    <row r="45" ht="15.75" customHeight="1" spans="1:31" x14ac:dyDescent="0.25">
      <c r="A45" s="14"/>
      <c r="B45" s="115">
        <v>41</v>
      </c>
      <c r="C45" s="115">
        <v>4.87</v>
      </c>
      <c r="D45" s="117" t="s">
        <v>177</v>
      </c>
      <c r="E45" s="106">
        <f>'2021'!BH368</f>
        <v>246.56</v>
      </c>
      <c r="F45" s="106">
        <f>'2021'!BH369</f>
        <v>-20</v>
      </c>
      <c r="G45" s="106">
        <f>'2021'!BH370</f>
        <v>55.68</v>
      </c>
      <c r="H45" s="106">
        <f>'2021'!BH371</f>
        <v>0</v>
      </c>
      <c r="I45" s="106">
        <f>'2021'!BH372</f>
        <v>10714</v>
      </c>
      <c r="J45" s="106">
        <f>'2021'!BH373</f>
        <v>500</v>
      </c>
      <c r="K45" s="106">
        <f>'2021'!BH374</f>
        <v>2435</v>
      </c>
      <c r="L45" s="106">
        <f>'2021'!BH375</f>
        <v>500</v>
      </c>
      <c r="M45" s="106">
        <f t="shared" si="0"/>
        <v>14431.24</v>
      </c>
      <c r="N45" s="106">
        <v>13649</v>
      </c>
      <c r="O45" s="37">
        <f t="shared" si="9"/>
        <v>31</v>
      </c>
      <c r="X45" s="284">
        <f t="shared" si="1"/>
        <v>42.31</v>
      </c>
      <c r="Y45" s="281">
        <f t="shared" si="2"/>
        <v>13649</v>
      </c>
      <c r="Z45" s="42">
        <f t="shared" si="4"/>
        <v>13649</v>
      </c>
      <c r="AA45" s="2" t="b">
        <f>D45='2021'!C369</f>
        <v>1</v>
      </c>
      <c r="AB45" s="2" t="b">
        <f>X45='2021'!AQ368</f>
        <v>0</v>
      </c>
      <c r="AC45" s="34"/>
      <c r="AD45" s="34"/>
      <c r="AE45" s="34"/>
    </row>
    <row r="46" ht="15.75" customHeight="1" spans="1:31" x14ac:dyDescent="0.25">
      <c r="A46" s="14"/>
      <c r="B46" s="115">
        <v>42</v>
      </c>
      <c r="C46" s="116">
        <v>4.9</v>
      </c>
      <c r="D46" s="2" t="s">
        <v>181</v>
      </c>
      <c r="E46" s="106">
        <f>'2021'!BH377</f>
        <v>23.18</v>
      </c>
      <c r="F46" s="106">
        <f>'2021'!BH378</f>
        <v>10504.54</v>
      </c>
      <c r="G46" s="106">
        <f>'2021'!BH379</f>
        <v>359.18</v>
      </c>
      <c r="H46" s="106">
        <f>'2021'!BH380</f>
        <v>0</v>
      </c>
      <c r="I46" s="106">
        <f>'2021'!BH381</f>
        <v>5390</v>
      </c>
      <c r="J46" s="106">
        <f>'2021'!BH382</f>
        <v>0</v>
      </c>
      <c r="K46" s="106">
        <f>'2021'!BH383</f>
        <v>0.5</v>
      </c>
      <c r="L46" s="106">
        <f>'2021'!BH384</f>
        <v>0</v>
      </c>
      <c r="M46" s="106">
        <f t="shared" si="0"/>
        <v>16277.4</v>
      </c>
      <c r="N46" s="106">
        <v>5390.5</v>
      </c>
      <c r="O46" s="37">
        <f t="shared" si="9"/>
        <v>31</v>
      </c>
      <c r="Q46" s="34"/>
      <c r="R46" s="34"/>
      <c r="T46" s="15"/>
      <c r="U46" s="15"/>
      <c r="V46" s="15"/>
      <c r="W46" s="15"/>
      <c r="X46" s="282">
        <f t="shared" si="1"/>
        <v>16.71</v>
      </c>
      <c r="Y46" s="281">
        <f t="shared" si="2"/>
        <v>5390.5</v>
      </c>
      <c r="Z46" s="42">
        <f t="shared" si="4"/>
        <v>5390.5</v>
      </c>
      <c r="AA46" s="2" t="b">
        <f>D46='2021'!C378</f>
        <v>1</v>
      </c>
      <c r="AB46" s="2" t="b">
        <f>X46='2021'!AQ377</f>
        <v>0</v>
      </c>
      <c r="AC46" s="34"/>
      <c r="AD46" s="34"/>
      <c r="AE46" s="34"/>
    </row>
    <row r="47" ht="15.75" customHeight="1" spans="1:31" x14ac:dyDescent="0.25">
      <c r="A47" s="14"/>
      <c r="B47" s="115">
        <v>43</v>
      </c>
      <c r="C47" s="115">
        <v>4.96</v>
      </c>
      <c r="D47" s="117" t="s">
        <v>185</v>
      </c>
      <c r="E47" s="106">
        <f>'2021'!BH386</f>
        <v>-193.06</v>
      </c>
      <c r="F47" s="106">
        <f>'2021'!BH387</f>
        <v>390.09</v>
      </c>
      <c r="G47" s="106">
        <f>'2021'!BH388</f>
        <v>51.91</v>
      </c>
      <c r="H47" s="106">
        <f>'2021'!BH389</f>
        <v>0</v>
      </c>
      <c r="I47" s="106">
        <f>'2021'!BH390</f>
        <v>456</v>
      </c>
      <c r="J47" s="106">
        <f>'2021'!BH391</f>
        <v>0</v>
      </c>
      <c r="K47" s="106">
        <f>'2021'!BH392</f>
        <v>-27</v>
      </c>
      <c r="L47" s="106">
        <f>'2021'!BH393</f>
        <v>0</v>
      </c>
      <c r="M47" s="106">
        <f t="shared" si="0"/>
        <v>677.94</v>
      </c>
      <c r="N47" s="106">
        <v>429.000000000001</v>
      </c>
      <c r="O47" s="37">
        <f t="shared" si="9"/>
        <v>31</v>
      </c>
      <c r="Q47" s="34"/>
      <c r="R47" s="34"/>
      <c r="X47" s="282">
        <f t="shared" si="1"/>
        <v>1.33</v>
      </c>
      <c r="Y47" s="281">
        <f t="shared" si="2"/>
        <v>429</v>
      </c>
      <c r="Z47" s="42">
        <f t="shared" si="4"/>
        <v>429</v>
      </c>
      <c r="AA47" s="2" t="b">
        <f>D47='2021'!C387</f>
        <v>1</v>
      </c>
      <c r="AB47" s="2" t="b">
        <f>X47='2021'!AQ386</f>
        <v>0</v>
      </c>
      <c r="AC47" s="34"/>
      <c r="AD47" s="34"/>
      <c r="AE47" s="34"/>
    </row>
    <row r="48" ht="15.75" customHeight="1" spans="1:31" x14ac:dyDescent="0.25">
      <c r="A48" s="14"/>
      <c r="B48" s="115">
        <v>44</v>
      </c>
      <c r="C48" s="115">
        <v>4.01</v>
      </c>
      <c r="D48" s="15" t="s">
        <v>412</v>
      </c>
      <c r="E48" s="106">
        <f>'2021'!BH395</f>
        <v>189.99</v>
      </c>
      <c r="F48" s="106">
        <f>'2021'!BH396</f>
        <v>87.2</v>
      </c>
      <c r="G48" s="106">
        <f>'2021'!BH397</f>
        <v>272.32</v>
      </c>
      <c r="H48" s="106">
        <f>'2021'!BH398</f>
        <v>0</v>
      </c>
      <c r="I48" s="106">
        <f>'2021'!BH399</f>
        <v>8822</v>
      </c>
      <c r="J48" s="106">
        <f>'2021'!BH400</f>
        <v>500</v>
      </c>
      <c r="K48" s="106">
        <f>'2021'!BH401</f>
        <v>2005</v>
      </c>
      <c r="L48" s="106">
        <f>'2021'!BH402</f>
        <v>500</v>
      </c>
      <c r="M48" s="106">
        <f t="shared" si="0"/>
        <v>12376.51</v>
      </c>
      <c r="N48" s="106">
        <v>11327</v>
      </c>
      <c r="O48" s="37">
        <f t="shared" si="9"/>
        <v>31</v>
      </c>
      <c r="P48" s="15"/>
      <c r="Q48" s="34"/>
      <c r="R48" s="34"/>
      <c r="S48" s="37"/>
      <c r="T48" s="15"/>
      <c r="U48" s="15"/>
      <c r="V48" s="15"/>
      <c r="W48" s="15"/>
      <c r="X48" s="282">
        <f t="shared" si="1"/>
        <v>35.11</v>
      </c>
      <c r="Y48" s="281">
        <f t="shared" si="2"/>
        <v>11327</v>
      </c>
      <c r="Z48" s="42">
        <f t="shared" si="4"/>
        <v>11327</v>
      </c>
      <c r="AA48" s="2" t="b">
        <f>D48='2021'!C396</f>
        <v>1</v>
      </c>
      <c r="AB48" s="2" t="b">
        <f>X48='2021'!AQ395</f>
        <v>0</v>
      </c>
      <c r="AC48" s="34"/>
      <c r="AD48" s="34"/>
      <c r="AE48" s="34"/>
    </row>
    <row r="49" ht="15.75" customHeight="1" spans="1:31" x14ac:dyDescent="0.25">
      <c r="A49" s="14"/>
      <c r="B49" s="115">
        <v>45</v>
      </c>
      <c r="C49" s="115">
        <v>5.04</v>
      </c>
      <c r="D49" s="117" t="s">
        <v>189</v>
      </c>
      <c r="E49" s="106">
        <f>'2021'!BH404</f>
        <v>0</v>
      </c>
      <c r="F49" s="106">
        <f>'2021'!BH405</f>
        <v>0</v>
      </c>
      <c r="G49" s="106">
        <f>'2021'!BH406</f>
        <v>0</v>
      </c>
      <c r="H49" s="106">
        <f>'2021'!BH407</f>
        <v>0</v>
      </c>
      <c r="I49" s="106">
        <f>'2021'!BH408</f>
        <v>0</v>
      </c>
      <c r="J49" s="106">
        <f>'2021'!BH409</f>
        <v>0</v>
      </c>
      <c r="K49" s="106">
        <f>'2021'!BH410</f>
        <v>0</v>
      </c>
      <c r="L49" s="106">
        <f>'2021'!BH411</f>
        <v>0</v>
      </c>
      <c r="M49" s="106">
        <f t="shared" si="0"/>
        <v>0</v>
      </c>
      <c r="N49" s="106">
        <v>0</v>
      </c>
      <c r="O49" s="37"/>
      <c r="X49" s="280">
        <f t="shared" si="1"/>
        <v>0</v>
      </c>
      <c r="Y49" s="281">
        <f t="shared" si="2"/>
        <v>0</v>
      </c>
      <c r="Z49" s="42">
        <f t="shared" si="4"/>
        <v>0</v>
      </c>
      <c r="AA49" s="2" t="b">
        <f>D49='2021'!C405</f>
        <v>1</v>
      </c>
      <c r="AB49" s="2" t="b">
        <f>X49='2021'!AQ404</f>
        <v>1</v>
      </c>
      <c r="AC49" s="34"/>
      <c r="AD49" s="34"/>
      <c r="AE49" s="34"/>
    </row>
    <row r="50" ht="15.75" customHeight="1" spans="1:31" x14ac:dyDescent="0.25">
      <c r="A50" s="14"/>
      <c r="B50" s="115">
        <v>46</v>
      </c>
      <c r="C50" s="116">
        <v>4</v>
      </c>
      <c r="D50" s="117" t="s">
        <v>188</v>
      </c>
      <c r="E50" s="106">
        <f>'2021'!BH413</f>
        <v>0</v>
      </c>
      <c r="F50" s="106">
        <f>'2021'!BH414</f>
        <v>202.5</v>
      </c>
      <c r="G50" s="106">
        <f>'2021'!BH415</f>
        <v>0</v>
      </c>
      <c r="H50" s="106">
        <f>'2021'!BH416</f>
        <v>0</v>
      </c>
      <c r="I50" s="106">
        <f>'2021'!BH417</f>
        <v>0</v>
      </c>
      <c r="J50" s="106">
        <f>'2021'!BH418</f>
        <v>0</v>
      </c>
      <c r="K50" s="106">
        <f>'2021'!BH419</f>
        <v>0</v>
      </c>
      <c r="L50" s="106">
        <f>'2021'!BH420</f>
        <v>0</v>
      </c>
      <c r="M50" s="106">
        <f t="shared" si="0"/>
        <v>202.5</v>
      </c>
      <c r="N50" s="106">
        <v>0</v>
      </c>
      <c r="O50" s="37"/>
      <c r="X50" s="280">
        <f t="shared" si="1"/>
        <v>0</v>
      </c>
      <c r="Y50" s="281">
        <f t="shared" si="2"/>
        <v>0</v>
      </c>
      <c r="Z50" s="42">
        <f t="shared" si="4"/>
        <v>0</v>
      </c>
      <c r="AA50" s="2" t="b">
        <f>D50='2021'!C414</f>
        <v>1</v>
      </c>
      <c r="AB50" s="2" t="b">
        <f>X50='2021'!AQ413</f>
        <v>1</v>
      </c>
      <c r="AC50" s="34"/>
      <c r="AD50" s="34"/>
      <c r="AE50" s="34"/>
    </row>
    <row r="51" ht="15.75" customHeight="1" spans="1:31" x14ac:dyDescent="0.25">
      <c r="A51" s="14"/>
      <c r="B51" s="115">
        <v>47</v>
      </c>
      <c r="C51" s="116">
        <v>5</v>
      </c>
      <c r="D51" s="117" t="s">
        <v>192</v>
      </c>
      <c r="E51" s="106">
        <f>'2021'!BH422</f>
        <v>1.75</v>
      </c>
      <c r="F51" s="106">
        <f>'2021'!BH423</f>
        <v>0</v>
      </c>
      <c r="G51" s="106">
        <f>'2021'!BH424</f>
        <v>-0.02</v>
      </c>
      <c r="H51" s="106">
        <f>'2021'!BH425</f>
        <v>0</v>
      </c>
      <c r="I51" s="106">
        <f>'2021'!BH426</f>
        <v>583.82</v>
      </c>
      <c r="J51" s="106">
        <f>'2021'!BH427</f>
        <v>0</v>
      </c>
      <c r="K51" s="106">
        <f>'2021'!BH428</f>
        <v>0</v>
      </c>
      <c r="L51" s="106">
        <f>'2021'!BH429</f>
        <v>0</v>
      </c>
      <c r="M51" s="106">
        <f t="shared" si="0"/>
        <v>585.55</v>
      </c>
      <c r="N51" s="106">
        <v>583.82</v>
      </c>
      <c r="O51" s="37">
        <f>IF(P51&gt;0,P51-1,$O$1)</f>
        <v>31</v>
      </c>
      <c r="Q51" s="34"/>
      <c r="R51" s="34"/>
      <c r="X51" s="282">
        <f t="shared" si="1"/>
        <v>1.81</v>
      </c>
      <c r="Y51" s="281">
        <f t="shared" si="2"/>
        <v>583.82</v>
      </c>
      <c r="Z51" s="42">
        <f t="shared" si="4"/>
        <v>583.82</v>
      </c>
      <c r="AA51" s="2" t="b">
        <f>D51='2021'!C423</f>
        <v>1</v>
      </c>
      <c r="AB51" s="2" t="b">
        <f>X51='2021'!AQ422</f>
        <v>0</v>
      </c>
      <c r="AC51" s="34"/>
      <c r="AD51" s="34"/>
      <c r="AE51" s="34"/>
    </row>
    <row r="52" ht="15.75" customHeight="1" spans="1:31" x14ac:dyDescent="0.25">
      <c r="A52" s="14"/>
      <c r="B52" s="115">
        <v>48</v>
      </c>
      <c r="C52" s="115">
        <v>5.93</v>
      </c>
      <c r="D52" s="117" t="s">
        <v>97</v>
      </c>
      <c r="E52" s="106">
        <f>'2021'!BH431</f>
        <v>0</v>
      </c>
      <c r="F52" s="106">
        <f>'2021'!BH432</f>
        <v>0</v>
      </c>
      <c r="G52" s="106">
        <f>'2021'!BH433</f>
        <v>-56.15</v>
      </c>
      <c r="H52" s="106">
        <f>'2021'!BH434</f>
        <v>0</v>
      </c>
      <c r="I52" s="106">
        <f>'2021'!BH435</f>
        <v>0</v>
      </c>
      <c r="J52" s="106">
        <f>'2021'!BH436</f>
        <v>0</v>
      </c>
      <c r="K52" s="106">
        <f>'2021'!BH437</f>
        <v>0</v>
      </c>
      <c r="L52" s="106">
        <f>'2021'!BH438</f>
        <v>0</v>
      </c>
      <c r="M52" s="106">
        <f t="shared" si="0"/>
        <v>-56.15</v>
      </c>
      <c r="N52" s="106">
        <v>0</v>
      </c>
      <c r="O52" s="37"/>
      <c r="P52" s="15"/>
      <c r="Q52" s="34"/>
      <c r="R52" s="34"/>
      <c r="S52" s="37"/>
      <c r="T52" s="15"/>
      <c r="U52" s="15"/>
      <c r="V52" s="15"/>
      <c r="W52" s="15"/>
      <c r="X52" s="280">
        <f t="shared" si="1"/>
        <v>0</v>
      </c>
      <c r="Y52" s="281">
        <f t="shared" si="2"/>
        <v>0</v>
      </c>
      <c r="Z52" s="42">
        <f t="shared" si="4"/>
        <v>0</v>
      </c>
      <c r="AA52" s="2" t="b">
        <f>D52='2021'!C432</f>
        <v>1</v>
      </c>
      <c r="AB52" s="2" t="b">
        <f>X52='2021'!AQ431</f>
        <v>1</v>
      </c>
      <c r="AC52" s="34"/>
      <c r="AD52" s="34"/>
      <c r="AE52" s="34"/>
    </row>
    <row r="53" ht="15.75" customHeight="1" spans="1:31" x14ac:dyDescent="0.25">
      <c r="A53" s="14"/>
      <c r="B53" s="115">
        <v>49</v>
      </c>
      <c r="C53" s="115">
        <v>5.03</v>
      </c>
      <c r="D53" s="117" t="s">
        <v>197</v>
      </c>
      <c r="E53" s="106">
        <f>'2021'!BH440</f>
        <v>0</v>
      </c>
      <c r="F53" s="106">
        <f>'2021'!BH441</f>
        <v>0</v>
      </c>
      <c r="G53" s="106">
        <f>'2021'!BH442</f>
        <v>0</v>
      </c>
      <c r="H53" s="106">
        <f>'2021'!BH443</f>
        <v>0</v>
      </c>
      <c r="I53" s="106">
        <f>'2021'!BH444</f>
        <v>0</v>
      </c>
      <c r="J53" s="106">
        <f>'2021'!BH445</f>
        <v>0</v>
      </c>
      <c r="K53" s="106">
        <f>'2021'!BH446</f>
        <v>0</v>
      </c>
      <c r="L53" s="106">
        <f>'2021'!BH447</f>
        <v>0</v>
      </c>
      <c r="M53" s="106">
        <f t="shared" si="0"/>
        <v>0</v>
      </c>
      <c r="N53" s="106">
        <v>0</v>
      </c>
      <c r="O53" s="37"/>
      <c r="X53" s="280">
        <f t="shared" si="1"/>
        <v>0</v>
      </c>
      <c r="Y53" s="281">
        <f t="shared" si="2"/>
        <v>0</v>
      </c>
      <c r="Z53" s="42">
        <f t="shared" si="4"/>
        <v>0</v>
      </c>
      <c r="AA53" s="2" t="b">
        <f>D53='2021'!C441</f>
        <v>1</v>
      </c>
      <c r="AB53" s="2" t="b">
        <f>X53='2021'!AQ440</f>
        <v>1</v>
      </c>
      <c r="AC53" s="34"/>
      <c r="AD53" s="34"/>
      <c r="AE53" s="34"/>
    </row>
    <row r="54" ht="15.75" customHeight="1" spans="1:31" x14ac:dyDescent="0.25">
      <c r="A54" s="14"/>
      <c r="B54" s="115">
        <v>50</v>
      </c>
      <c r="C54" s="115">
        <v>6.05</v>
      </c>
      <c r="D54" s="117" t="s">
        <v>200</v>
      </c>
      <c r="E54" s="106">
        <f>'2021'!BH449</f>
        <v>-0.48</v>
      </c>
      <c r="F54" s="106">
        <f>'2021'!BH450</f>
        <v>2441.8</v>
      </c>
      <c r="G54" s="106">
        <f>'2021'!BH451</f>
        <v>39.85</v>
      </c>
      <c r="H54" s="106">
        <f>'2021'!BH452</f>
        <v>0</v>
      </c>
      <c r="I54" s="106">
        <f>'2021'!BH453</f>
        <v>0</v>
      </c>
      <c r="J54" s="106">
        <f>'2021'!BH454</f>
        <v>0</v>
      </c>
      <c r="K54" s="106">
        <f>'2021'!BH455</f>
        <v>0</v>
      </c>
      <c r="L54" s="106">
        <f>'2021'!BH456</f>
        <v>0</v>
      </c>
      <c r="M54" s="106">
        <f t="shared" si="0"/>
        <v>2481.17</v>
      </c>
      <c r="N54" s="106">
        <v>0</v>
      </c>
      <c r="O54" s="37"/>
      <c r="X54" s="280">
        <f t="shared" si="1"/>
        <v>0</v>
      </c>
      <c r="Y54" s="281">
        <f t="shared" si="2"/>
        <v>0</v>
      </c>
      <c r="Z54" s="42">
        <f t="shared" si="4"/>
        <v>0</v>
      </c>
      <c r="AA54" s="2" t="b">
        <f>D54='2021'!C450</f>
        <v>1</v>
      </c>
      <c r="AB54" s="2" t="b">
        <f>X54='2021'!AQ449</f>
        <v>1</v>
      </c>
      <c r="AC54" s="34"/>
      <c r="AD54" s="34"/>
      <c r="AE54" s="34"/>
    </row>
    <row r="55" ht="15.75" customHeight="1" spans="1:31" x14ac:dyDescent="0.25">
      <c r="A55" s="14"/>
      <c r="B55" s="115">
        <v>51</v>
      </c>
      <c r="C55" s="115">
        <v>4.95</v>
      </c>
      <c r="D55" s="117" t="s">
        <v>204</v>
      </c>
      <c r="E55" s="106">
        <f>'2021'!BH458</f>
        <v>-15.33</v>
      </c>
      <c r="F55" s="106">
        <f>'2021'!BH459</f>
        <v>-1414</v>
      </c>
      <c r="G55" s="106">
        <f>'2021'!BH460</f>
        <v>-209.47</v>
      </c>
      <c r="H55" s="106">
        <f>'2021'!BH461</f>
        <v>0</v>
      </c>
      <c r="I55" s="106">
        <f>'2021'!BH462</f>
        <v>0</v>
      </c>
      <c r="J55" s="106">
        <f>'2021'!BH463</f>
        <v>0</v>
      </c>
      <c r="K55" s="106">
        <f>'2021'!BH464</f>
        <v>0</v>
      </c>
      <c r="L55" s="106">
        <f>'2021'!BH465</f>
        <v>0</v>
      </c>
      <c r="M55" s="106">
        <f t="shared" si="0"/>
        <v>-1638.8</v>
      </c>
      <c r="N55" s="106">
        <v>5445</v>
      </c>
      <c r="O55" s="37">
        <f>IF(P55&gt;0,P55-1,$O$1)</f>
        <v>31</v>
      </c>
      <c r="P55" s="15"/>
      <c r="Q55" s="34"/>
      <c r="R55" s="34"/>
      <c r="S55" s="37"/>
      <c r="T55" s="15"/>
      <c r="U55" s="15"/>
      <c r="V55" s="15"/>
      <c r="W55" s="15"/>
      <c r="X55" s="282">
        <f t="shared" si="1"/>
        <v>16.88</v>
      </c>
      <c r="Y55" s="281">
        <f t="shared" si="2"/>
        <v>5445</v>
      </c>
      <c r="Z55" s="42">
        <f t="shared" si="4"/>
        <v>0</v>
      </c>
      <c r="AA55" s="2" t="b">
        <f>D55='2021'!C459</f>
        <v>1</v>
      </c>
      <c r="AB55" s="2" t="b">
        <f>X55='2021'!AQ458</f>
        <v>0</v>
      </c>
      <c r="AC55" s="34"/>
      <c r="AD55" s="34"/>
      <c r="AE55" s="34"/>
    </row>
    <row r="56" ht="15.75" customHeight="1" spans="1:31" x14ac:dyDescent="0.25">
      <c r="A56" s="14"/>
      <c r="B56" s="115">
        <v>52</v>
      </c>
      <c r="C56" s="116">
        <v>5</v>
      </c>
      <c r="D56" s="117" t="s">
        <v>206</v>
      </c>
      <c r="E56" s="106">
        <f>'2021'!BH467</f>
        <v>0</v>
      </c>
      <c r="F56" s="106">
        <f>'2021'!BH468</f>
        <v>-111.34</v>
      </c>
      <c r="G56" s="106">
        <f>'2021'!BH469</f>
        <v>-61.14</v>
      </c>
      <c r="H56" s="106">
        <f>'2021'!BH470</f>
        <v>0</v>
      </c>
      <c r="I56" s="106">
        <f>'2021'!BH471</f>
        <v>0</v>
      </c>
      <c r="J56" s="106">
        <f>'2021'!BH472</f>
        <v>0</v>
      </c>
      <c r="K56" s="106">
        <f>'2021'!BH473</f>
        <v>0</v>
      </c>
      <c r="L56" s="106">
        <f>'2021'!BH474</f>
        <v>0</v>
      </c>
      <c r="M56" s="106">
        <f t="shared" si="0"/>
        <v>-172.48</v>
      </c>
      <c r="N56" s="106">
        <v>0</v>
      </c>
      <c r="O56" s="37"/>
      <c r="X56" s="280">
        <f t="shared" si="1"/>
        <v>0</v>
      </c>
      <c r="Y56" s="281">
        <f t="shared" si="2"/>
        <v>0</v>
      </c>
      <c r="Z56" s="42">
        <f t="shared" si="4"/>
        <v>0</v>
      </c>
      <c r="AA56" s="2" t="b">
        <f>D56='2021'!C468</f>
        <v>1</v>
      </c>
      <c r="AB56" s="2" t="b">
        <f>X56='2021'!AQ467</f>
        <v>1</v>
      </c>
      <c r="AC56" s="34"/>
      <c r="AD56" s="34"/>
      <c r="AE56" s="34"/>
    </row>
    <row r="57" ht="15.75" customHeight="1" spans="1:31" x14ac:dyDescent="0.25">
      <c r="A57" s="14"/>
      <c r="B57" s="115">
        <v>53</v>
      </c>
      <c r="C57" s="115">
        <v>5.05</v>
      </c>
      <c r="D57" s="117" t="s">
        <v>210</v>
      </c>
      <c r="E57" s="106">
        <f>'2021'!BH476</f>
        <v>0.5</v>
      </c>
      <c r="F57" s="106">
        <f>'2021'!BH477</f>
        <v>1730.53</v>
      </c>
      <c r="G57" s="106">
        <f>'2021'!BH478</f>
        <v>-282.43</v>
      </c>
      <c r="H57" s="106">
        <f>'2021'!BH479</f>
        <v>0</v>
      </c>
      <c r="I57" s="106">
        <f>'2021'!BH480</f>
        <v>0</v>
      </c>
      <c r="J57" s="106">
        <f>'2021'!BH481</f>
        <v>0</v>
      </c>
      <c r="K57" s="106">
        <f>'2021'!BH482</f>
        <v>0</v>
      </c>
      <c r="L57" s="106">
        <f>'2021'!BH483</f>
        <v>0</v>
      </c>
      <c r="M57" s="106">
        <f t="shared" si="0"/>
        <v>1448.6</v>
      </c>
      <c r="N57" s="106">
        <v>0</v>
      </c>
      <c r="O57" s="37"/>
      <c r="X57" s="280">
        <f t="shared" si="1"/>
        <v>0</v>
      </c>
      <c r="Y57" s="281">
        <f t="shared" si="2"/>
        <v>0</v>
      </c>
      <c r="Z57" s="42">
        <f t="shared" si="4"/>
        <v>0</v>
      </c>
      <c r="AA57" s="2" t="b">
        <f>D57='2021'!C477</f>
        <v>1</v>
      </c>
      <c r="AB57" s="2" t="b">
        <f>X57='2021'!AQ476</f>
        <v>1</v>
      </c>
      <c r="AC57" s="34"/>
      <c r="AD57" s="34"/>
      <c r="AE57" s="34"/>
    </row>
    <row r="58" ht="15.75" customHeight="1" spans="1:31" x14ac:dyDescent="0.25">
      <c r="A58" s="14"/>
      <c r="B58" s="115">
        <v>54</v>
      </c>
      <c r="C58" s="115">
        <v>5.54</v>
      </c>
      <c r="D58" s="117" t="s">
        <v>212</v>
      </c>
      <c r="E58" s="106">
        <f>'2021'!BH485</f>
        <v>0</v>
      </c>
      <c r="F58" s="106">
        <f>'2021'!BH486</f>
        <v>210.6</v>
      </c>
      <c r="G58" s="106">
        <f>'2021'!BH487</f>
        <v>0</v>
      </c>
      <c r="H58" s="106">
        <f>'2021'!BH488</f>
        <v>0</v>
      </c>
      <c r="I58" s="106">
        <f>'2021'!BH489</f>
        <v>0</v>
      </c>
      <c r="J58" s="106">
        <f>'2021'!BH490</f>
        <v>0</v>
      </c>
      <c r="K58" s="106">
        <f>'2021'!BH491</f>
        <v>0</v>
      </c>
      <c r="L58" s="106">
        <f>'2021'!BH492</f>
        <v>0</v>
      </c>
      <c r="M58" s="106">
        <f t="shared" si="0"/>
        <v>210.6</v>
      </c>
      <c r="N58" s="106">
        <v>0</v>
      </c>
      <c r="O58" s="37"/>
      <c r="P58" s="15"/>
      <c r="Q58" s="15"/>
      <c r="R58" s="34"/>
      <c r="S58" s="37"/>
      <c r="T58" s="15"/>
      <c r="U58" s="15"/>
      <c r="V58" s="15"/>
      <c r="W58" s="15"/>
      <c r="X58" s="280">
        <f t="shared" si="1"/>
        <v>0</v>
      </c>
      <c r="Y58" s="281">
        <f t="shared" si="2"/>
        <v>0</v>
      </c>
      <c r="Z58" s="42">
        <f t="shared" si="4"/>
        <v>0</v>
      </c>
      <c r="AA58" s="2" t="b">
        <f>D58='2021'!C486</f>
        <v>1</v>
      </c>
      <c r="AB58" s="2" t="b">
        <f>X58='2021'!AQ485</f>
        <v>1</v>
      </c>
      <c r="AC58" s="34"/>
      <c r="AD58" s="34"/>
      <c r="AE58" s="34"/>
    </row>
    <row r="59" ht="15.75" customHeight="1" spans="1:31" x14ac:dyDescent="0.25">
      <c r="A59" s="21"/>
      <c r="B59" s="115">
        <v>55</v>
      </c>
      <c r="C59" s="116">
        <v>5.5</v>
      </c>
      <c r="D59" s="117" t="s">
        <v>214</v>
      </c>
      <c r="E59" s="106">
        <f>'2021'!BH494</f>
        <v>14.34</v>
      </c>
      <c r="F59" s="106">
        <f>'2021'!BH495</f>
        <v>2.7</v>
      </c>
      <c r="G59" s="106">
        <f>'2021'!BH496</f>
        <v>0</v>
      </c>
      <c r="H59" s="106">
        <f>'2021'!BH497</f>
        <v>0</v>
      </c>
      <c r="I59" s="106">
        <f>'2021'!BH498</f>
        <v>4778.64</v>
      </c>
      <c r="J59" s="106">
        <f>'2021'!BH499</f>
        <v>0</v>
      </c>
      <c r="K59" s="106">
        <f>'2021'!BH500</f>
        <v>0</v>
      </c>
      <c r="L59" s="106">
        <f>'2021'!BH501</f>
        <v>0</v>
      </c>
      <c r="M59" s="106">
        <f t="shared" si="0"/>
        <v>4795.68</v>
      </c>
      <c r="N59" s="106">
        <v>4778.64</v>
      </c>
      <c r="O59" s="37">
        <f>IF(P59&gt;0,P59-1,$O$1)</f>
        <v>31</v>
      </c>
      <c r="X59" s="282">
        <f t="shared" si="1"/>
        <v>14.81</v>
      </c>
      <c r="Y59" s="281">
        <f t="shared" si="2"/>
        <v>4778.64</v>
      </c>
      <c r="Z59" s="42">
        <f t="shared" si="4"/>
        <v>4778.64</v>
      </c>
      <c r="AA59" s="2" t="b">
        <f>D59='2021'!C495</f>
        <v>1</v>
      </c>
      <c r="AB59" s="2" t="b">
        <f>X59='2021'!AQ494</f>
        <v>0</v>
      </c>
      <c r="AC59" s="34"/>
      <c r="AD59" s="34"/>
      <c r="AE59" s="34"/>
    </row>
    <row r="60" ht="15.75" customHeight="1" spans="1:31" x14ac:dyDescent="0.25">
      <c r="A60" s="114" t="s">
        <v>217</v>
      </c>
      <c r="B60" s="115">
        <v>56</v>
      </c>
      <c r="C60" s="115">
        <v>6.23</v>
      </c>
      <c r="D60" s="117" t="s">
        <v>423</v>
      </c>
      <c r="E60" s="106">
        <f>'2021'!BH503</f>
        <v>0</v>
      </c>
      <c r="F60" s="106">
        <f>'2021'!BH504</f>
        <v>0</v>
      </c>
      <c r="G60" s="106">
        <f>'2021'!BH505</f>
        <v>-21.3</v>
      </c>
      <c r="H60" s="106">
        <f>'2021'!BH506</f>
        <v>0</v>
      </c>
      <c r="I60" s="106">
        <f>'2021'!BH507</f>
        <v>0</v>
      </c>
      <c r="J60" s="106">
        <f>'2021'!BH508</f>
        <v>0</v>
      </c>
      <c r="K60" s="106">
        <f>'2021'!BH509</f>
        <v>0</v>
      </c>
      <c r="L60" s="106">
        <f>'2021'!BH510</f>
        <v>0</v>
      </c>
      <c r="M60" s="106">
        <f t="shared" si="0"/>
        <v>-21.3</v>
      </c>
      <c r="N60" s="106">
        <v>0</v>
      </c>
      <c r="O60" s="37"/>
      <c r="X60" s="280">
        <f t="shared" si="1"/>
        <v>0</v>
      </c>
      <c r="Y60" s="281">
        <f t="shared" si="2"/>
        <v>0</v>
      </c>
      <c r="Z60" s="42">
        <f t="shared" si="4"/>
        <v>0</v>
      </c>
      <c r="AA60" s="2" t="b">
        <f>D60='2021'!C504</f>
        <v>1</v>
      </c>
      <c r="AB60" s="2" t="b">
        <f>X60='2021'!AQ503</f>
        <v>1</v>
      </c>
      <c r="AC60" s="34"/>
      <c r="AD60" s="34"/>
      <c r="AE60" s="34"/>
    </row>
    <row r="61" ht="15.75" customHeight="1" spans="1:31" x14ac:dyDescent="0.25">
      <c r="A61" s="14"/>
      <c r="B61" s="115">
        <v>57</v>
      </c>
      <c r="C61" s="116">
        <v>4</v>
      </c>
      <c r="D61" s="2" t="s">
        <v>502</v>
      </c>
      <c r="E61" s="106">
        <f>'2021'!BH512</f>
        <v>0</v>
      </c>
      <c r="F61" s="106">
        <f>'2021'!BH513</f>
        <v>29.7</v>
      </c>
      <c r="G61" s="106">
        <f>'2021'!BH514</f>
        <v>0</v>
      </c>
      <c r="H61" s="106">
        <f>'2021'!BH515</f>
        <v>0</v>
      </c>
      <c r="I61" s="106">
        <f>'2021'!BH516</f>
        <v>0</v>
      </c>
      <c r="J61" s="106">
        <f>'2021'!BH517</f>
        <v>0</v>
      </c>
      <c r="K61" s="106">
        <f>'2021'!BH518</f>
        <v>0</v>
      </c>
      <c r="L61" s="106">
        <f>'2021'!BH519</f>
        <v>0</v>
      </c>
      <c r="M61" s="106">
        <f t="shared" si="0"/>
        <v>29.7</v>
      </c>
      <c r="N61" s="106">
        <v>3914</v>
      </c>
      <c r="O61" s="37">
        <f t="shared" ref="O61:O62" si="10">IF(P61&gt;0,P61-1,$O$1)</f>
        <v>31</v>
      </c>
      <c r="Q61" s="34"/>
      <c r="R61" s="34"/>
      <c r="T61" s="15"/>
      <c r="U61" s="15"/>
      <c r="V61" s="15"/>
      <c r="W61" s="15"/>
      <c r="X61" s="282">
        <f t="shared" si="1"/>
        <v>12.13</v>
      </c>
      <c r="Y61" s="281">
        <f t="shared" si="2"/>
        <v>3914</v>
      </c>
      <c r="Z61" s="42">
        <f t="shared" si="4"/>
        <v>0</v>
      </c>
      <c r="AA61" s="2" t="b">
        <f>D61='2021'!C513</f>
        <v>1</v>
      </c>
      <c r="AB61" s="2" t="b">
        <f>X61='2021'!AQ512</f>
        <v>0</v>
      </c>
      <c r="AC61" s="34"/>
      <c r="AD61" s="34"/>
      <c r="AE61" s="34"/>
    </row>
    <row r="62" ht="15.75" customHeight="1" spans="1:31" x14ac:dyDescent="0.25">
      <c r="A62" s="14"/>
      <c r="B62" s="115">
        <v>59</v>
      </c>
      <c r="C62" s="116">
        <v>4</v>
      </c>
      <c r="D62" s="117" t="s">
        <v>221</v>
      </c>
      <c r="E62" s="106">
        <f>'2021'!BH521</f>
        <v>83.13</v>
      </c>
      <c r="F62" s="106">
        <f>'2021'!BH522</f>
        <v>6498.9</v>
      </c>
      <c r="G62" s="106">
        <f>'2021'!BH523</f>
        <v>0</v>
      </c>
      <c r="H62" s="106">
        <f>'2021'!BH524</f>
        <v>0</v>
      </c>
      <c r="I62" s="106">
        <f>'2021'!BH525</f>
        <v>4400</v>
      </c>
      <c r="J62" s="106">
        <f>'2021'!BH526</f>
        <v>0</v>
      </c>
      <c r="K62" s="106">
        <f>'2021'!BH527</f>
        <v>0</v>
      </c>
      <c r="L62" s="106">
        <f>'2021'!BH528</f>
        <v>0</v>
      </c>
      <c r="M62" s="106">
        <f t="shared" si="0"/>
        <v>10982.03</v>
      </c>
      <c r="N62" s="106">
        <v>4400</v>
      </c>
      <c r="O62" s="37">
        <f t="shared" si="10"/>
        <v>31</v>
      </c>
      <c r="P62" s="15"/>
      <c r="Q62" s="15"/>
      <c r="R62" s="15"/>
      <c r="S62" s="15"/>
      <c r="T62" s="15"/>
      <c r="U62" s="15"/>
      <c r="V62" s="15"/>
      <c r="W62" s="15"/>
      <c r="X62" s="282">
        <f t="shared" si="1"/>
        <v>13.64</v>
      </c>
      <c r="Y62" s="281">
        <f t="shared" si="2"/>
        <v>4400</v>
      </c>
      <c r="Z62" s="42">
        <f t="shared" si="4"/>
        <v>4400</v>
      </c>
      <c r="AA62" s="2" t="b">
        <f>D62='2021'!C522</f>
        <v>1</v>
      </c>
      <c r="AB62" s="2" t="b">
        <f>X62='2021'!AQ521</f>
        <v>0</v>
      </c>
      <c r="AC62" s="34"/>
      <c r="AD62" s="34"/>
      <c r="AE62" s="34"/>
    </row>
    <row r="63" ht="15.75" customHeight="1" spans="1:31" x14ac:dyDescent="0.25">
      <c r="A63" s="14"/>
      <c r="B63" s="115">
        <v>58</v>
      </c>
      <c r="C63" s="115">
        <v>5.08</v>
      </c>
      <c r="D63" s="117" t="s">
        <v>223</v>
      </c>
      <c r="E63" s="106">
        <f>'2021'!BH530</f>
        <v>0</v>
      </c>
      <c r="F63" s="106">
        <f>'2021'!BH531</f>
        <v>-474.54</v>
      </c>
      <c r="G63" s="106">
        <f>'2021'!BH532</f>
        <v>0</v>
      </c>
      <c r="H63" s="106">
        <f>'2021'!BH533</f>
        <v>0</v>
      </c>
      <c r="I63" s="106">
        <f>'2021'!BH534</f>
        <v>0</v>
      </c>
      <c r="J63" s="106">
        <f>'2021'!BH535</f>
        <v>0</v>
      </c>
      <c r="K63" s="106">
        <f>'2021'!BH536</f>
        <v>0</v>
      </c>
      <c r="L63" s="106">
        <f>'2021'!BH537</f>
        <v>0</v>
      </c>
      <c r="M63" s="106">
        <f t="shared" si="0"/>
        <v>-474.54</v>
      </c>
      <c r="N63" s="106">
        <v>-1407</v>
      </c>
      <c r="O63" s="37"/>
      <c r="X63" s="280">
        <f t="shared" si="1"/>
        <v>0</v>
      </c>
      <c r="Y63" s="281">
        <f t="shared" si="2"/>
        <v>-1407</v>
      </c>
      <c r="Z63" s="42">
        <f t="shared" si="4"/>
        <v>0</v>
      </c>
      <c r="AA63" s="2" t="b">
        <f>D63='2021'!C531</f>
        <v>1</v>
      </c>
      <c r="AB63" s="2" t="b">
        <f>X63='2021'!AQ530</f>
        <v>1</v>
      </c>
      <c r="AC63" s="34"/>
      <c r="AD63" s="34"/>
      <c r="AE63" s="34"/>
    </row>
    <row r="64" ht="15.75" customHeight="1" spans="1:31" x14ac:dyDescent="0.25">
      <c r="A64" s="14"/>
      <c r="B64" s="115">
        <v>60</v>
      </c>
      <c r="C64" s="116">
        <v>4.4</v>
      </c>
      <c r="D64" s="117" t="s">
        <v>227</v>
      </c>
      <c r="E64" s="106">
        <f>'2021'!BH539</f>
        <v>0</v>
      </c>
      <c r="F64" s="106">
        <f>'2021'!BH540</f>
        <v>-237</v>
      </c>
      <c r="G64" s="106">
        <f>'2021'!BH541</f>
        <v>-65.14</v>
      </c>
      <c r="H64" s="106">
        <f>'2021'!BH542</f>
        <v>0</v>
      </c>
      <c r="I64" s="106">
        <f>'2021'!BH543</f>
        <v>0</v>
      </c>
      <c r="J64" s="106">
        <f>'2021'!BH544</f>
        <v>0</v>
      </c>
      <c r="K64" s="106">
        <f>'2021'!BH545</f>
        <v>0</v>
      </c>
      <c r="L64" s="106">
        <f>'2021'!BH546</f>
        <v>0</v>
      </c>
      <c r="M64" s="106">
        <f t="shared" si="0"/>
        <v>-302.14</v>
      </c>
      <c r="N64" s="106">
        <v>0</v>
      </c>
      <c r="O64" s="37"/>
      <c r="X64" s="280">
        <f t="shared" si="1"/>
        <v>0</v>
      </c>
      <c r="Y64" s="281">
        <f t="shared" si="2"/>
        <v>0</v>
      </c>
      <c r="Z64" s="42">
        <f t="shared" si="4"/>
        <v>0</v>
      </c>
      <c r="AA64" s="2" t="b">
        <f>D64='2021'!C540</f>
        <v>1</v>
      </c>
      <c r="AB64" s="2" t="b">
        <f>X64='2021'!AQ539</f>
        <v>1</v>
      </c>
      <c r="AC64" s="34"/>
      <c r="AD64" s="34"/>
      <c r="AE64" s="34"/>
    </row>
    <row r="65" ht="15.75" customHeight="1" spans="1:31" x14ac:dyDescent="0.25">
      <c r="A65" s="14"/>
      <c r="B65" s="115">
        <v>61</v>
      </c>
      <c r="C65" s="115">
        <v>4.71</v>
      </c>
      <c r="D65" s="117" t="s">
        <v>231</v>
      </c>
      <c r="E65" s="106">
        <f>'2021'!BH548</f>
        <v>0</v>
      </c>
      <c r="F65" s="106">
        <f>'2021'!BH549</f>
        <v>99.7</v>
      </c>
      <c r="G65" s="106">
        <f>'2021'!BH550</f>
        <v>-57.55</v>
      </c>
      <c r="H65" s="106">
        <f>'2021'!BH551</f>
        <v>0</v>
      </c>
      <c r="I65" s="106">
        <f>'2021'!BH552</f>
        <v>0</v>
      </c>
      <c r="J65" s="106">
        <f>'2021'!BH553</f>
        <v>0</v>
      </c>
      <c r="K65" s="106">
        <f>'2021'!BH554</f>
        <v>0</v>
      </c>
      <c r="L65" s="106">
        <f>'2021'!BH555</f>
        <v>0</v>
      </c>
      <c r="M65" s="106">
        <f t="shared" si="0"/>
        <v>42.15</v>
      </c>
      <c r="N65" s="106">
        <v>0</v>
      </c>
      <c r="O65" s="37"/>
      <c r="X65" s="280">
        <f t="shared" si="1"/>
        <v>0</v>
      </c>
      <c r="Y65" s="281">
        <f t="shared" si="2"/>
        <v>0</v>
      </c>
      <c r="Z65" s="42">
        <f t="shared" si="4"/>
        <v>0</v>
      </c>
      <c r="AA65" s="2" t="b">
        <f>D65='2021'!C549</f>
        <v>1</v>
      </c>
      <c r="AB65" s="2" t="b">
        <f>X65='2021'!AQ548</f>
        <v>1</v>
      </c>
      <c r="AC65" s="34"/>
      <c r="AD65" s="34"/>
      <c r="AE65" s="34"/>
    </row>
    <row r="66" ht="15.75" customHeight="1" spans="1:31" x14ac:dyDescent="0.25">
      <c r="A66" s="14"/>
      <c r="B66" s="115">
        <v>62</v>
      </c>
      <c r="C66" s="116">
        <v>4.6</v>
      </c>
      <c r="D66" s="15" t="s">
        <v>236</v>
      </c>
      <c r="E66" s="106">
        <f>'2021'!BH557</f>
        <v>0</v>
      </c>
      <c r="F66" s="106">
        <f>'2021'!BH558</f>
        <v>-107.2</v>
      </c>
      <c r="G66" s="106">
        <f>'2021'!BH559</f>
        <v>-5.7</v>
      </c>
      <c r="H66" s="106">
        <f>'2021'!BH560</f>
        <v>0</v>
      </c>
      <c r="I66" s="106">
        <f>'2021'!BH561</f>
        <v>0</v>
      </c>
      <c r="J66" s="106">
        <f>'2021'!BH562</f>
        <v>0</v>
      </c>
      <c r="K66" s="106">
        <f>'2021'!BH563</f>
        <v>0</v>
      </c>
      <c r="L66" s="106">
        <f>'2021'!BH564</f>
        <v>0</v>
      </c>
      <c r="M66" s="106">
        <f t="shared" si="0"/>
        <v>-112.9</v>
      </c>
      <c r="N66" s="106">
        <v>0</v>
      </c>
      <c r="O66" s="37"/>
      <c r="X66" s="280">
        <f t="shared" si="1"/>
        <v>0</v>
      </c>
      <c r="Y66" s="281">
        <f t="shared" si="2"/>
        <v>0</v>
      </c>
      <c r="Z66" s="42">
        <f t="shared" si="4"/>
        <v>0</v>
      </c>
      <c r="AA66" s="2" t="b">
        <f>D66='2021'!C558</f>
        <v>1</v>
      </c>
      <c r="AB66" s="2" t="b">
        <f>X66='2021'!AQ557</f>
        <v>1</v>
      </c>
      <c r="AC66" s="34"/>
      <c r="AD66" s="34"/>
      <c r="AE66" s="34"/>
    </row>
    <row r="67" ht="15.75" customHeight="1" spans="1:31" x14ac:dyDescent="0.25">
      <c r="A67" s="14"/>
      <c r="B67" s="115" t="s">
        <v>237</v>
      </c>
      <c r="C67" s="115">
        <v>4.01</v>
      </c>
      <c r="D67" s="117" t="s">
        <v>238</v>
      </c>
      <c r="E67" s="106">
        <f>'2021'!BH566</f>
        <v>0</v>
      </c>
      <c r="F67" s="106">
        <f>'2021'!BH567</f>
        <v>25.5</v>
      </c>
      <c r="G67" s="106">
        <f>'2021'!BH568</f>
        <v>1.75</v>
      </c>
      <c r="H67" s="106">
        <f>'2021'!BH569</f>
        <v>0</v>
      </c>
      <c r="I67" s="106">
        <f>'2021'!BH570</f>
        <v>0</v>
      </c>
      <c r="J67" s="106">
        <f>'2021'!BH571</f>
        <v>0</v>
      </c>
      <c r="K67" s="106">
        <f>'2021'!BH572</f>
        <v>0</v>
      </c>
      <c r="L67" s="106">
        <f>'2021'!BH573</f>
        <v>0</v>
      </c>
      <c r="M67" s="106">
        <f t="shared" si="0"/>
        <v>27.25</v>
      </c>
      <c r="N67" s="106">
        <v>0</v>
      </c>
      <c r="O67" s="37"/>
      <c r="X67" s="280">
        <f t="shared" si="1"/>
        <v>0</v>
      </c>
      <c r="Y67" s="281">
        <f t="shared" si="2"/>
        <v>0</v>
      </c>
      <c r="Z67" s="42">
        <f t="shared" si="4"/>
        <v>0</v>
      </c>
      <c r="AA67" s="2" t="b">
        <f>D67='2021'!C567</f>
        <v>1</v>
      </c>
      <c r="AB67" s="2" t="b">
        <f>X67='2021'!AQ566</f>
        <v>1</v>
      </c>
      <c r="AC67" s="34"/>
      <c r="AD67" s="34"/>
      <c r="AE67" s="34"/>
    </row>
    <row r="68" ht="15.75" customHeight="1" spans="1:31" x14ac:dyDescent="0.25">
      <c r="A68" s="14"/>
      <c r="B68" s="115" t="s">
        <v>237</v>
      </c>
      <c r="C68" s="115">
        <v>4.01</v>
      </c>
      <c r="D68" s="117" t="s">
        <v>238</v>
      </c>
      <c r="E68" s="106">
        <f>'2021'!BH575</f>
        <v>3.53</v>
      </c>
      <c r="F68" s="106">
        <f>'2021'!BH576</f>
        <v>0</v>
      </c>
      <c r="G68" s="106">
        <f>'2021'!BH577</f>
        <v>0</v>
      </c>
      <c r="H68" s="106">
        <f>'2021'!BH578</f>
        <v>0</v>
      </c>
      <c r="I68" s="106">
        <f>'2021'!BH579</f>
        <v>0</v>
      </c>
      <c r="J68" s="106">
        <f>'2021'!BH580</f>
        <v>0</v>
      </c>
      <c r="K68" s="106">
        <f>'2021'!BH581</f>
        <v>0</v>
      </c>
      <c r="L68" s="106">
        <f>'2021'!BH582</f>
        <v>0</v>
      </c>
      <c r="M68" s="106">
        <f t="shared" si="0"/>
        <v>3.53</v>
      </c>
      <c r="N68" s="106">
        <v>0</v>
      </c>
      <c r="O68" s="37"/>
      <c r="X68" s="280">
        <f t="shared" si="1"/>
        <v>0</v>
      </c>
      <c r="Y68" s="281">
        <f t="shared" si="2"/>
        <v>0</v>
      </c>
      <c r="Z68" s="42">
        <f t="shared" si="4"/>
        <v>0</v>
      </c>
      <c r="AA68" s="2" t="b">
        <f>D68='2021'!C576</f>
        <v>1</v>
      </c>
      <c r="AB68" s="2" t="b">
        <f>X68='2021'!AQ575</f>
        <v>1</v>
      </c>
      <c r="AC68" s="34"/>
      <c r="AD68" s="34"/>
      <c r="AE68" s="34"/>
    </row>
    <row r="69" ht="15.75" customHeight="1" spans="1:31" x14ac:dyDescent="0.25">
      <c r="A69" s="14"/>
      <c r="B69" s="115">
        <v>64</v>
      </c>
      <c r="C69" s="115">
        <v>4.24</v>
      </c>
      <c r="D69" s="117" t="s">
        <v>241</v>
      </c>
      <c r="E69" s="106">
        <f>'2021'!BH584</f>
        <v>0</v>
      </c>
      <c r="F69" s="106">
        <f>'2021'!BH585</f>
        <v>-40.09</v>
      </c>
      <c r="G69" s="106">
        <f>'2021'!BH586</f>
        <v>145.48</v>
      </c>
      <c r="H69" s="106">
        <f>'2021'!BH587</f>
        <v>0</v>
      </c>
      <c r="I69" s="106">
        <f>'2021'!BH588</f>
        <v>0</v>
      </c>
      <c r="J69" s="106">
        <f>'2021'!BH589</f>
        <v>0</v>
      </c>
      <c r="K69" s="106">
        <f>'2021'!BH590</f>
        <v>0</v>
      </c>
      <c r="L69" s="106">
        <f>'2021'!BH591</f>
        <v>0</v>
      </c>
      <c r="M69" s="106">
        <f t="shared" si="0"/>
        <v>105.39</v>
      </c>
      <c r="N69" s="106">
        <v>0</v>
      </c>
      <c r="O69" s="37"/>
      <c r="P69" s="15"/>
      <c r="Q69" s="15"/>
      <c r="R69" s="15"/>
      <c r="S69" s="15"/>
      <c r="T69" s="15"/>
      <c r="U69" s="15"/>
      <c r="V69" s="15"/>
      <c r="W69" s="15"/>
      <c r="X69" s="285">
        <f t="shared" si="1"/>
        <v>0</v>
      </c>
      <c r="Y69" s="281">
        <f t="shared" si="2"/>
        <v>0</v>
      </c>
      <c r="Z69" s="42">
        <f t="shared" si="4"/>
        <v>0</v>
      </c>
      <c r="AA69" s="2" t="b">
        <f>D69='2021'!C585</f>
        <v>1</v>
      </c>
      <c r="AB69" s="2" t="b">
        <f>X69='2021'!AQ584</f>
        <v>1</v>
      </c>
      <c r="AC69" s="34"/>
      <c r="AD69" s="34"/>
      <c r="AE69" s="34"/>
    </row>
    <row r="70" ht="15.75" customHeight="1" spans="1:31" x14ac:dyDescent="0.25">
      <c r="A70" s="14"/>
      <c r="B70" s="115">
        <v>66</v>
      </c>
      <c r="C70" s="115">
        <v>4.66</v>
      </c>
      <c r="D70" s="117" t="s">
        <v>244</v>
      </c>
      <c r="E70" s="106">
        <f>'2021'!BH593</f>
        <v>0</v>
      </c>
      <c r="F70" s="106">
        <f>'2021'!BH594</f>
        <v>2.7</v>
      </c>
      <c r="G70" s="106">
        <f>'2021'!BH595</f>
        <v>0</v>
      </c>
      <c r="H70" s="106">
        <f>'2021'!BH596</f>
        <v>0</v>
      </c>
      <c r="I70" s="106">
        <f>'2021'!BH597</f>
        <v>0</v>
      </c>
      <c r="J70" s="106">
        <f>'2021'!BH598</f>
        <v>0</v>
      </c>
      <c r="K70" s="106">
        <f>'2021'!BH599</f>
        <v>0</v>
      </c>
      <c r="L70" s="106">
        <f>'2021'!BH600</f>
        <v>0</v>
      </c>
      <c r="M70" s="106">
        <f t="shared" si="0"/>
        <v>2.7</v>
      </c>
      <c r="N70" s="106">
        <v>0</v>
      </c>
      <c r="O70" s="37"/>
      <c r="P70" s="15"/>
      <c r="Q70" s="15"/>
      <c r="R70" s="15"/>
      <c r="S70" s="15"/>
      <c r="T70" s="15"/>
      <c r="U70" s="15"/>
      <c r="V70" s="15"/>
      <c r="W70" s="15"/>
      <c r="X70" s="280">
        <f t="shared" si="1"/>
        <v>0</v>
      </c>
      <c r="Y70" s="281">
        <f t="shared" si="2"/>
        <v>0</v>
      </c>
      <c r="Z70" s="42">
        <f t="shared" si="4"/>
        <v>0</v>
      </c>
      <c r="AA70" s="2" t="b">
        <f>D70='2021'!C594</f>
        <v>1</v>
      </c>
      <c r="AB70" s="2" t="b">
        <f>X70='2021'!AQ593</f>
        <v>1</v>
      </c>
      <c r="AC70" s="34"/>
      <c r="AD70" s="34"/>
      <c r="AE70" s="34"/>
    </row>
    <row r="71" ht="15.75" customHeight="1" spans="1:31" x14ac:dyDescent="0.25">
      <c r="A71" s="14"/>
      <c r="B71" s="115">
        <v>67</v>
      </c>
      <c r="C71" s="115">
        <v>6.08</v>
      </c>
      <c r="D71" s="117" t="s">
        <v>245</v>
      </c>
      <c r="E71" s="106">
        <f>'2021'!BH602</f>
        <v>0</v>
      </c>
      <c r="F71" s="106">
        <f>'2021'!BH603</f>
        <v>18.5</v>
      </c>
      <c r="G71" s="106">
        <f>'2021'!BH604</f>
        <v>-130.99</v>
      </c>
      <c r="H71" s="106">
        <f>'2021'!BH605</f>
        <v>0</v>
      </c>
      <c r="I71" s="106">
        <f>'2021'!BH606</f>
        <v>0</v>
      </c>
      <c r="J71" s="106">
        <f>'2021'!BH607</f>
        <v>0</v>
      </c>
      <c r="K71" s="106">
        <f>'2021'!BH608</f>
        <v>0</v>
      </c>
      <c r="L71" s="106">
        <f>'2021'!BH609</f>
        <v>0</v>
      </c>
      <c r="M71" s="106">
        <f t="shared" si="0"/>
        <v>-112.49</v>
      </c>
      <c r="N71" s="106">
        <v>0</v>
      </c>
      <c r="O71" s="37"/>
      <c r="X71" s="280">
        <f t="shared" si="1"/>
        <v>0</v>
      </c>
      <c r="Y71" s="281">
        <f t="shared" si="2"/>
        <v>0</v>
      </c>
      <c r="Z71" s="42">
        <f t="shared" si="4"/>
        <v>0</v>
      </c>
      <c r="AA71" s="2" t="b">
        <f>D71='2021'!C603</f>
        <v>1</v>
      </c>
      <c r="AB71" s="2" t="b">
        <f>X71='2021'!AQ602</f>
        <v>1</v>
      </c>
      <c r="AC71" s="34"/>
      <c r="AD71" s="34"/>
      <c r="AE71" s="34"/>
    </row>
    <row r="72" ht="15.75" customHeight="1" spans="1:31" x14ac:dyDescent="0.25">
      <c r="A72" s="14"/>
      <c r="B72" s="115" t="s">
        <v>248</v>
      </c>
      <c r="C72" s="115">
        <v>4.01</v>
      </c>
      <c r="D72" s="117" t="s">
        <v>505</v>
      </c>
      <c r="E72" s="106">
        <f>'2021'!BH611</f>
        <v>0</v>
      </c>
      <c r="F72" s="106">
        <f>'2021'!BH612</f>
        <v>523.8</v>
      </c>
      <c r="G72" s="106">
        <f>'2021'!BH613</f>
        <v>142.45</v>
      </c>
      <c r="H72" s="106">
        <f>'2021'!BH614</f>
        <v>0</v>
      </c>
      <c r="I72" s="106">
        <f>'2021'!BH615</f>
        <v>0</v>
      </c>
      <c r="J72" s="106">
        <f>'2021'!BH616</f>
        <v>0</v>
      </c>
      <c r="K72" s="106">
        <f>'2021'!BH617</f>
        <v>0</v>
      </c>
      <c r="L72" s="106">
        <f>'2021'!BH618</f>
        <v>0</v>
      </c>
      <c r="M72" s="106">
        <f t="shared" si="0"/>
        <v>666.25</v>
      </c>
      <c r="N72" s="106">
        <v>0</v>
      </c>
      <c r="O72" s="37"/>
      <c r="X72" s="280">
        <f t="shared" si="1"/>
        <v>0</v>
      </c>
      <c r="Y72" s="281">
        <f t="shared" si="2"/>
        <v>0</v>
      </c>
      <c r="Z72" s="42">
        <f t="shared" si="4"/>
        <v>0</v>
      </c>
      <c r="AA72" s="2" t="b">
        <f>D72='2021'!C612</f>
        <v>1</v>
      </c>
      <c r="AB72" s="2" t="b">
        <f>X72='2021'!AQ611</f>
        <v>1</v>
      </c>
      <c r="AC72" s="34"/>
      <c r="AD72" s="34"/>
      <c r="AE72" s="34"/>
    </row>
    <row r="73" ht="15.75" customHeight="1" spans="1:31" x14ac:dyDescent="0.25">
      <c r="A73" s="14"/>
      <c r="B73" s="115" t="s">
        <v>248</v>
      </c>
      <c r="C73" s="115">
        <v>4.02</v>
      </c>
      <c r="D73" s="2" t="s">
        <v>505</v>
      </c>
      <c r="E73" s="106">
        <f>'2021'!BH620</f>
        <v>46.88</v>
      </c>
      <c r="F73" s="106">
        <f>'2021'!BH621</f>
        <v>0</v>
      </c>
      <c r="G73" s="106">
        <f>'2021'!BH622</f>
        <v>0</v>
      </c>
      <c r="H73" s="106">
        <f>'2021'!BH623</f>
        <v>0</v>
      </c>
      <c r="I73" s="106">
        <f>'2021'!BH624</f>
        <v>4422</v>
      </c>
      <c r="J73" s="106">
        <f>'2021'!BH625</f>
        <v>0</v>
      </c>
      <c r="K73" s="106">
        <f>'2021'!BH626</f>
        <v>0</v>
      </c>
      <c r="L73" s="106">
        <f>'2021'!BH627</f>
        <v>0</v>
      </c>
      <c r="M73" s="106">
        <f t="shared" si="0"/>
        <v>4468.88</v>
      </c>
      <c r="N73" s="106">
        <v>4422</v>
      </c>
      <c r="O73" s="37">
        <f t="shared" ref="O73:O74" si="11">IF(P73&gt;0,P73-1,$O$1)</f>
        <v>31</v>
      </c>
      <c r="X73" s="282">
        <f t="shared" si="1"/>
        <v>13.71</v>
      </c>
      <c r="Y73" s="281">
        <f t="shared" si="2"/>
        <v>4422</v>
      </c>
      <c r="Z73" s="42">
        <f t="shared" si="4"/>
        <v>4422</v>
      </c>
      <c r="AA73" s="2" t="b">
        <f>D73='2021'!C621</f>
        <v>1</v>
      </c>
      <c r="AB73" s="2" t="b">
        <f>X73='2021'!AQ620</f>
        <v>0</v>
      </c>
      <c r="AC73" s="34"/>
      <c r="AD73" s="34"/>
      <c r="AE73" s="34"/>
    </row>
    <row r="74" ht="15.75" customHeight="1" spans="1:31" x14ac:dyDescent="0.25">
      <c r="A74" s="14"/>
      <c r="B74" s="115">
        <v>69</v>
      </c>
      <c r="C74" s="115">
        <v>4.03</v>
      </c>
      <c r="D74" s="117" t="s">
        <v>253</v>
      </c>
      <c r="E74" s="106">
        <f>'2021'!BH629</f>
        <v>7.04</v>
      </c>
      <c r="F74" s="106">
        <f>'2021'!BH630</f>
        <v>1015.2</v>
      </c>
      <c r="G74" s="106">
        <f>'2021'!BH631</f>
        <v>0</v>
      </c>
      <c r="H74" s="106">
        <f>'2021'!BH632</f>
        <v>0</v>
      </c>
      <c r="I74" s="106">
        <f>'2021'!BH633</f>
        <v>0</v>
      </c>
      <c r="J74" s="106">
        <f>'2021'!BH634</f>
        <v>0</v>
      </c>
      <c r="K74" s="106">
        <f>'2021'!BH635</f>
        <v>2015</v>
      </c>
      <c r="L74" s="106">
        <f>'2021'!BH636</f>
        <v>0</v>
      </c>
      <c r="M74" s="106">
        <f t="shared" si="0"/>
        <v>3037.24</v>
      </c>
      <c r="N74" s="106">
        <v>2015</v>
      </c>
      <c r="O74" s="37">
        <f t="shared" si="11"/>
        <v>31</v>
      </c>
      <c r="P74" s="15"/>
      <c r="Q74" s="34"/>
      <c r="R74" s="34"/>
      <c r="S74" s="37"/>
      <c r="T74" s="15"/>
      <c r="U74" s="15"/>
      <c r="V74" s="15"/>
      <c r="W74" s="15"/>
      <c r="X74" s="282">
        <f t="shared" si="1"/>
        <v>6.25</v>
      </c>
      <c r="Y74" s="281">
        <f t="shared" si="2"/>
        <v>2015</v>
      </c>
      <c r="Z74" s="42">
        <f t="shared" si="4"/>
        <v>2015</v>
      </c>
      <c r="AA74" s="2" t="b">
        <f>D74='2021'!C630</f>
        <v>1</v>
      </c>
      <c r="AB74" s="2" t="b">
        <f>X74='2021'!AQ629</f>
        <v>0</v>
      </c>
      <c r="AC74" s="34"/>
      <c r="AD74" s="34"/>
      <c r="AE74" s="34"/>
    </row>
    <row r="75" ht="15.75" customHeight="1" spans="1:31" x14ac:dyDescent="0.25">
      <c r="A75" s="14"/>
      <c r="B75" s="115">
        <v>71</v>
      </c>
      <c r="C75" s="115">
        <v>5.98</v>
      </c>
      <c r="D75" s="117" t="s">
        <v>255</v>
      </c>
      <c r="E75" s="106">
        <f>'2021'!BH638</f>
        <v>0</v>
      </c>
      <c r="F75" s="106">
        <f>'2021'!BH639</f>
        <v>43.2</v>
      </c>
      <c r="G75" s="106">
        <f>'2021'!BH640</f>
        <v>0</v>
      </c>
      <c r="H75" s="106">
        <f>'2021'!BH641</f>
        <v>0</v>
      </c>
      <c r="I75" s="106">
        <f>'2021'!BH642</f>
        <v>0</v>
      </c>
      <c r="J75" s="106">
        <f>'2021'!BH643</f>
        <v>0</v>
      </c>
      <c r="K75" s="106">
        <f>'2021'!BH644</f>
        <v>0</v>
      </c>
      <c r="L75" s="106">
        <f>'2021'!BH645</f>
        <v>0</v>
      </c>
      <c r="M75" s="106">
        <f t="shared" si="0"/>
        <v>43.2</v>
      </c>
      <c r="N75" s="106">
        <v>0</v>
      </c>
      <c r="O75" s="37"/>
      <c r="X75" s="280">
        <f t="shared" si="1"/>
        <v>0</v>
      </c>
      <c r="Y75" s="281">
        <f t="shared" si="2"/>
        <v>0</v>
      </c>
      <c r="Z75" s="42">
        <f t="shared" si="4"/>
        <v>0</v>
      </c>
      <c r="AA75" s="2" t="b">
        <f>D75='2021'!C639</f>
        <v>1</v>
      </c>
      <c r="AB75" s="2" t="b">
        <f>X75='2021'!AQ638</f>
        <v>1</v>
      </c>
      <c r="AC75" s="34"/>
      <c r="AD75" s="34"/>
      <c r="AE75" s="34"/>
    </row>
    <row r="76" ht="15.75" customHeight="1" spans="1:31" x14ac:dyDescent="0.25">
      <c r="A76" s="14"/>
      <c r="B76" s="115">
        <v>72</v>
      </c>
      <c r="C76" s="115">
        <v>4.03</v>
      </c>
      <c r="D76" s="195" t="s">
        <v>506</v>
      </c>
      <c r="E76" s="106">
        <f>'2021'!BH647</f>
        <v>7.55</v>
      </c>
      <c r="F76" s="106">
        <f>'2021'!BH648</f>
        <v>9128.7</v>
      </c>
      <c r="G76" s="106">
        <f>'2021'!BH649</f>
        <v>-123.24</v>
      </c>
      <c r="H76" s="106">
        <f>'2021'!BH650</f>
        <v>0</v>
      </c>
      <c r="I76" s="106">
        <f>'2021'!BH651</f>
        <v>0</v>
      </c>
      <c r="J76" s="106">
        <f>'2021'!BH652</f>
        <v>500</v>
      </c>
      <c r="K76" s="106">
        <f>'2021'!BH653</f>
        <v>2015</v>
      </c>
      <c r="L76" s="106">
        <f>'2021'!BH654</f>
        <v>0</v>
      </c>
      <c r="M76" s="106">
        <f t="shared" si="0"/>
        <v>11528.01</v>
      </c>
      <c r="N76" s="106">
        <v>2515</v>
      </c>
      <c r="O76" s="37">
        <f>IF(P76&gt;0,P76-1,$O$1)</f>
        <v>31</v>
      </c>
      <c r="X76" s="282">
        <f t="shared" si="1"/>
        <v>7.8</v>
      </c>
      <c r="Y76" s="281">
        <f t="shared" si="2"/>
        <v>2515</v>
      </c>
      <c r="Z76" s="42">
        <f t="shared" si="4"/>
        <v>2515</v>
      </c>
      <c r="AA76" s="2" t="b">
        <f>D76='2021'!C648</f>
        <v>1</v>
      </c>
      <c r="AB76" s="2" t="b">
        <f>X76='2021'!AQ647</f>
        <v>0</v>
      </c>
      <c r="AC76" s="34"/>
      <c r="AD76" s="34"/>
      <c r="AE76" s="34"/>
    </row>
    <row r="77" ht="15.75" customHeight="1" spans="1:31" x14ac:dyDescent="0.25">
      <c r="A77" s="14"/>
      <c r="B77" s="115">
        <v>73</v>
      </c>
      <c r="C77" s="115">
        <v>4.02</v>
      </c>
      <c r="D77" s="117" t="s">
        <v>259</v>
      </c>
      <c r="E77" s="106">
        <f>'2021'!BH656</f>
        <v>0</v>
      </c>
      <c r="F77" s="106">
        <f>'2021'!BH657</f>
        <v>0</v>
      </c>
      <c r="G77" s="106">
        <f>'2021'!BH658</f>
        <v>0</v>
      </c>
      <c r="H77" s="106">
        <f>'2021'!BH659</f>
        <v>0</v>
      </c>
      <c r="I77" s="106">
        <f>'2021'!BH660</f>
        <v>0</v>
      </c>
      <c r="J77" s="106">
        <f>'2021'!BH661</f>
        <v>0</v>
      </c>
      <c r="K77" s="106">
        <f>'2021'!BH662</f>
        <v>0</v>
      </c>
      <c r="L77" s="106">
        <f>'2021'!BH663</f>
        <v>0</v>
      </c>
      <c r="M77" s="106">
        <f t="shared" si="0"/>
        <v>0</v>
      </c>
      <c r="N77" s="106">
        <v>0</v>
      </c>
      <c r="O77" s="37"/>
      <c r="P77" s="15"/>
      <c r="Q77" s="34"/>
      <c r="R77" s="34"/>
      <c r="S77" s="37"/>
      <c r="T77" s="15"/>
      <c r="U77" s="15"/>
      <c r="V77" s="15"/>
      <c r="W77" s="15"/>
      <c r="X77" s="280">
        <f t="shared" si="1"/>
        <v>0</v>
      </c>
      <c r="Y77" s="281">
        <f t="shared" si="2"/>
        <v>0</v>
      </c>
      <c r="Z77" s="42">
        <f t="shared" si="4"/>
        <v>0</v>
      </c>
      <c r="AA77" s="2" t="b">
        <f>D77='2021'!C657</f>
        <v>1</v>
      </c>
      <c r="AB77" s="2" t="b">
        <f>X77='2021'!AQ656</f>
        <v>1</v>
      </c>
      <c r="AC77" s="34"/>
      <c r="AD77" s="34"/>
      <c r="AE77" s="34"/>
    </row>
    <row r="78" ht="15.75" customHeight="1" spans="1:31" x14ac:dyDescent="0.25">
      <c r="A78" s="21"/>
      <c r="B78" s="115">
        <v>74</v>
      </c>
      <c r="C78" s="115">
        <v>4.97</v>
      </c>
      <c r="D78" s="117" t="s">
        <v>262</v>
      </c>
      <c r="E78" s="106">
        <f>'2021'!BH665</f>
        <v>0</v>
      </c>
      <c r="F78" s="106">
        <f>'2021'!BH666</f>
        <v>0</v>
      </c>
      <c r="G78" s="106">
        <f>'2021'!BH667</f>
        <v>-173.16</v>
      </c>
      <c r="H78" s="106">
        <f>'2021'!BH668</f>
        <v>0</v>
      </c>
      <c r="I78" s="106">
        <f>'2021'!BH669</f>
        <v>0</v>
      </c>
      <c r="J78" s="106">
        <f>'2021'!BH670</f>
        <v>0</v>
      </c>
      <c r="K78" s="106">
        <f>'2021'!BH671</f>
        <v>0</v>
      </c>
      <c r="L78" s="106">
        <f>'2021'!BH672</f>
        <v>0</v>
      </c>
      <c r="M78" s="106">
        <f t="shared" si="0"/>
        <v>-173.16</v>
      </c>
      <c r="N78" s="106">
        <v>0</v>
      </c>
      <c r="O78" s="37"/>
      <c r="X78" s="280">
        <f t="shared" si="1"/>
        <v>0</v>
      </c>
      <c r="Y78" s="281">
        <f t="shared" si="2"/>
        <v>0</v>
      </c>
      <c r="Z78" s="42">
        <f t="shared" si="4"/>
        <v>0</v>
      </c>
      <c r="AA78" s="2" t="b">
        <f>D78='2021'!C666</f>
        <v>1</v>
      </c>
      <c r="AB78" s="2" t="b">
        <f>X78='2021'!AQ665</f>
        <v>1</v>
      </c>
      <c r="AC78" s="34"/>
      <c r="AD78" s="34"/>
      <c r="AE78" s="34"/>
    </row>
    <row r="79" ht="15.75" customHeight="1" spans="1:31" x14ac:dyDescent="0.25">
      <c r="A79" s="114" t="s">
        <v>264</v>
      </c>
      <c r="B79" s="115">
        <v>75</v>
      </c>
      <c r="C79" s="115">
        <v>4.15</v>
      </c>
      <c r="D79" s="117" t="s">
        <v>265</v>
      </c>
      <c r="E79" s="106">
        <f>'2021'!BH674</f>
        <v>0</v>
      </c>
      <c r="F79" s="106">
        <f>'2021'!BH675</f>
        <v>0</v>
      </c>
      <c r="G79" s="106">
        <f>'2021'!BH676</f>
        <v>0</v>
      </c>
      <c r="H79" s="106">
        <f>'2021'!BH677</f>
        <v>0</v>
      </c>
      <c r="I79" s="106">
        <f>'2021'!BH678</f>
        <v>0</v>
      </c>
      <c r="J79" s="106">
        <f>'2021'!BH679</f>
        <v>0</v>
      </c>
      <c r="K79" s="106">
        <f>'2021'!BH680</f>
        <v>0</v>
      </c>
      <c r="L79" s="106">
        <f>'2021'!BH681</f>
        <v>0</v>
      </c>
      <c r="M79" s="106">
        <f t="shared" si="0"/>
        <v>0</v>
      </c>
      <c r="N79" s="106">
        <v>0</v>
      </c>
      <c r="O79" s="37"/>
      <c r="X79" s="280">
        <f t="shared" si="1"/>
        <v>0</v>
      </c>
      <c r="Y79" s="281">
        <f t="shared" si="2"/>
        <v>0</v>
      </c>
      <c r="Z79" s="42">
        <f t="shared" si="4"/>
        <v>0</v>
      </c>
      <c r="AA79" s="2" t="b">
        <f>D79='2021'!C675</f>
        <v>1</v>
      </c>
      <c r="AB79" s="2" t="b">
        <f>X79='2021'!AQ674</f>
        <v>1</v>
      </c>
      <c r="AC79" s="34"/>
      <c r="AD79" s="34"/>
      <c r="AE79" s="34"/>
    </row>
    <row r="80" ht="15.75" customHeight="1" spans="1:31" x14ac:dyDescent="0.25">
      <c r="A80" s="14"/>
      <c r="B80" s="115">
        <v>76</v>
      </c>
      <c r="C80" s="115">
        <v>4.15</v>
      </c>
      <c r="D80" s="117" t="s">
        <v>267</v>
      </c>
      <c r="E80" s="106">
        <f>'2021'!BH683</f>
        <v>0</v>
      </c>
      <c r="F80" s="106">
        <f>'2021'!BH684</f>
        <v>0</v>
      </c>
      <c r="G80" s="106">
        <f>'2021'!BH685</f>
        <v>0</v>
      </c>
      <c r="H80" s="106">
        <f>'2021'!BH686</f>
        <v>0</v>
      </c>
      <c r="I80" s="106">
        <f>'2021'!BH687</f>
        <v>0</v>
      </c>
      <c r="J80" s="106">
        <f>'2021'!BH688</f>
        <v>0</v>
      </c>
      <c r="K80" s="106">
        <f>'2021'!BH689</f>
        <v>0</v>
      </c>
      <c r="L80" s="106">
        <f>'2021'!BH690</f>
        <v>0</v>
      </c>
      <c r="M80" s="106">
        <f t="shared" si="0"/>
        <v>0</v>
      </c>
      <c r="N80" s="106">
        <v>0</v>
      </c>
      <c r="O80" s="37"/>
      <c r="X80" s="280">
        <f t="shared" si="1"/>
        <v>0</v>
      </c>
      <c r="Y80" s="281">
        <f t="shared" si="2"/>
        <v>0</v>
      </c>
      <c r="Z80" s="42">
        <f t="shared" si="4"/>
        <v>0</v>
      </c>
      <c r="AA80" s="2" t="b">
        <f>D80='2021'!C684</f>
        <v>1</v>
      </c>
      <c r="AB80" s="2" t="b">
        <f>X80='2021'!AQ683</f>
        <v>1</v>
      </c>
      <c r="AC80" s="34"/>
      <c r="AD80" s="34"/>
      <c r="AE80" s="34"/>
    </row>
    <row r="81" ht="15.75" customHeight="1" spans="1:31" x14ac:dyDescent="0.25">
      <c r="A81" s="14"/>
      <c r="B81" s="115">
        <v>77</v>
      </c>
      <c r="C81" s="115">
        <v>4.12</v>
      </c>
      <c r="D81" s="117" t="s">
        <v>268</v>
      </c>
      <c r="E81" s="106">
        <f>'2021'!BH692</f>
        <v>0</v>
      </c>
      <c r="F81" s="106">
        <f>'2021'!BH693</f>
        <v>194.4</v>
      </c>
      <c r="G81" s="106">
        <f>'2021'!BH694</f>
        <v>0</v>
      </c>
      <c r="H81" s="106">
        <f>'2021'!BH695</f>
        <v>0</v>
      </c>
      <c r="I81" s="106">
        <f>'2021'!BH696</f>
        <v>0</v>
      </c>
      <c r="J81" s="106">
        <f>'2021'!BH697</f>
        <v>0</v>
      </c>
      <c r="K81" s="106">
        <f>'2021'!BH698</f>
        <v>0</v>
      </c>
      <c r="L81" s="106">
        <f>'2021'!BH699</f>
        <v>0</v>
      </c>
      <c r="M81" s="106">
        <f t="shared" si="0"/>
        <v>194.4</v>
      </c>
      <c r="N81" s="106">
        <v>0</v>
      </c>
      <c r="O81" s="37"/>
      <c r="X81" s="280">
        <f t="shared" si="1"/>
        <v>0</v>
      </c>
      <c r="Y81" s="281">
        <f t="shared" si="2"/>
        <v>0</v>
      </c>
      <c r="Z81" s="42">
        <f t="shared" si="4"/>
        <v>0</v>
      </c>
      <c r="AA81" s="2" t="b">
        <f>D81='2021'!C693</f>
        <v>1</v>
      </c>
      <c r="AB81" s="2" t="b">
        <f>X81='2021'!AQ692</f>
        <v>1</v>
      </c>
      <c r="AC81" s="34"/>
      <c r="AD81" s="34"/>
      <c r="AE81" s="34"/>
    </row>
    <row r="82" ht="15.75" customHeight="1" spans="1:31" x14ac:dyDescent="0.25">
      <c r="A82" s="14"/>
      <c r="B82" s="115">
        <v>78</v>
      </c>
      <c r="C82" s="115">
        <v>4.03</v>
      </c>
      <c r="D82" s="117" t="s">
        <v>271</v>
      </c>
      <c r="E82" s="106">
        <f>'2021'!BH701</f>
        <v>0</v>
      </c>
      <c r="F82" s="106">
        <f>'2021'!BH702</f>
        <v>86.4</v>
      </c>
      <c r="G82" s="106">
        <f>'2021'!BH703</f>
        <v>0</v>
      </c>
      <c r="H82" s="106">
        <f>'2021'!BH704</f>
        <v>0</v>
      </c>
      <c r="I82" s="106">
        <f>'2021'!BH705</f>
        <v>0</v>
      </c>
      <c r="J82" s="106">
        <f>'2021'!BH706</f>
        <v>0</v>
      </c>
      <c r="K82" s="106">
        <f>'2021'!BH707</f>
        <v>0</v>
      </c>
      <c r="L82" s="106">
        <f>'2021'!BH708</f>
        <v>0</v>
      </c>
      <c r="M82" s="106">
        <f t="shared" si="0"/>
        <v>86.4</v>
      </c>
      <c r="N82" s="106">
        <v>0</v>
      </c>
      <c r="O82" s="37"/>
      <c r="X82" s="280">
        <f t="shared" si="1"/>
        <v>0</v>
      </c>
      <c r="Y82" s="281">
        <f t="shared" si="2"/>
        <v>0</v>
      </c>
      <c r="Z82" s="42">
        <f t="shared" si="4"/>
        <v>0</v>
      </c>
      <c r="AA82" s="2" t="b">
        <f>D82='2021'!C702</f>
        <v>1</v>
      </c>
      <c r="AB82" s="2" t="b">
        <f>X82='2021'!AQ701</f>
        <v>1</v>
      </c>
      <c r="AC82" s="34"/>
      <c r="AD82" s="34"/>
      <c r="AE82" s="34"/>
    </row>
    <row r="83" ht="15.75" customHeight="1" spans="1:31" x14ac:dyDescent="0.25">
      <c r="A83" s="14"/>
      <c r="B83" s="115">
        <v>79</v>
      </c>
      <c r="C83" s="115">
        <v>4.24</v>
      </c>
      <c r="D83" s="2" t="s">
        <v>508</v>
      </c>
      <c r="E83" s="106">
        <f>'2021'!BH710</f>
        <v>148.62</v>
      </c>
      <c r="F83" s="106">
        <f>'2021'!BH711</f>
        <v>40.4</v>
      </c>
      <c r="G83" s="106">
        <f>'2021'!BH712</f>
        <v>78.74</v>
      </c>
      <c r="H83" s="106">
        <f>'2021'!BH713</f>
        <v>0</v>
      </c>
      <c r="I83" s="106">
        <f>'2021'!BH714</f>
        <v>5895.86</v>
      </c>
      <c r="J83" s="106">
        <f>'2021'!BH715</f>
        <v>500</v>
      </c>
      <c r="K83" s="106">
        <f>'2021'!BH716</f>
        <v>2120</v>
      </c>
      <c r="L83" s="106">
        <f>'2021'!BH717</f>
        <v>0</v>
      </c>
      <c r="M83" s="106">
        <f t="shared" si="0"/>
        <v>8783.62</v>
      </c>
      <c r="N83" s="106">
        <v>8515.86</v>
      </c>
      <c r="O83" s="37">
        <f t="shared" ref="O83:O84" si="12">IF(P83&gt;0,P83-1,$O$1)</f>
        <v>31</v>
      </c>
      <c r="P83" s="15"/>
      <c r="Q83" s="34"/>
      <c r="R83" s="34"/>
      <c r="S83" s="37"/>
      <c r="T83" s="15"/>
      <c r="U83" s="15"/>
      <c r="V83" s="15"/>
      <c r="W83" s="15"/>
      <c r="X83" s="284">
        <f t="shared" si="1"/>
        <v>26.4</v>
      </c>
      <c r="Y83" s="281">
        <f t="shared" si="2"/>
        <v>8515.86</v>
      </c>
      <c r="Z83" s="42">
        <f t="shared" si="4"/>
        <v>8515.86</v>
      </c>
      <c r="AA83" s="2" t="b">
        <f>D83='2021'!C711</f>
        <v>1</v>
      </c>
      <c r="AB83" s="2" t="b">
        <f>X83='2021'!AQ710</f>
        <v>0</v>
      </c>
      <c r="AC83" s="34"/>
      <c r="AD83" s="34"/>
      <c r="AE83" s="34"/>
    </row>
    <row r="84" ht="15.75" customHeight="1" spans="1:31" x14ac:dyDescent="0.25">
      <c r="A84" s="14"/>
      <c r="B84" s="115">
        <v>81</v>
      </c>
      <c r="C84" s="116">
        <v>4.3</v>
      </c>
      <c r="D84" s="117" t="s">
        <v>278</v>
      </c>
      <c r="E84" s="106">
        <f>'2021'!BH719</f>
        <v>22.14</v>
      </c>
      <c r="F84" s="106">
        <f>'2021'!BH720</f>
        <v>34.4</v>
      </c>
      <c r="G84" s="106">
        <f>'2021'!BH721</f>
        <v>180.71</v>
      </c>
      <c r="H84" s="106">
        <f>'2021'!BH722</f>
        <v>0</v>
      </c>
      <c r="I84" s="106">
        <f>'2021'!BH723</f>
        <v>4730</v>
      </c>
      <c r="J84" s="106">
        <f>'2021'!BH724</f>
        <v>500</v>
      </c>
      <c r="K84" s="106">
        <f>'2021'!BH725</f>
        <v>2150</v>
      </c>
      <c r="L84" s="106">
        <f>'2021'!BH726</f>
        <v>0</v>
      </c>
      <c r="M84" s="106">
        <f t="shared" si="0"/>
        <v>7617.25</v>
      </c>
      <c r="N84" s="106">
        <v>7380</v>
      </c>
      <c r="O84" s="37">
        <f t="shared" si="12"/>
        <v>31</v>
      </c>
      <c r="X84" s="284">
        <f t="shared" si="1"/>
        <v>22.88</v>
      </c>
      <c r="Y84" s="281">
        <f t="shared" si="2"/>
        <v>7380</v>
      </c>
      <c r="Z84" s="42">
        <f t="shared" si="4"/>
        <v>7380</v>
      </c>
      <c r="AA84" s="2" t="b">
        <f>D84='2021'!C720</f>
        <v>1</v>
      </c>
      <c r="AB84" s="2" t="b">
        <f>X84='2021'!AQ719</f>
        <v>0</v>
      </c>
      <c r="AC84" s="34"/>
      <c r="AD84" s="34"/>
      <c r="AE84" s="34"/>
    </row>
    <row r="85" ht="15.75" customHeight="1" spans="1:31" x14ac:dyDescent="0.25">
      <c r="A85" s="14"/>
      <c r="B85" s="115">
        <v>83</v>
      </c>
      <c r="C85" s="115">
        <v>4.29</v>
      </c>
      <c r="D85" s="117" t="s">
        <v>280</v>
      </c>
      <c r="E85" s="106">
        <f>'2021'!BH728</f>
        <v>0</v>
      </c>
      <c r="F85" s="106">
        <f>'2021'!BH729</f>
        <v>0</v>
      </c>
      <c r="G85" s="106">
        <f>'2021'!BH730</f>
        <v>-24.57</v>
      </c>
      <c r="H85" s="106">
        <f>'2021'!BH731</f>
        <v>0</v>
      </c>
      <c r="I85" s="106">
        <f>'2021'!BH732</f>
        <v>0</v>
      </c>
      <c r="J85" s="106">
        <f>'2021'!BH733</f>
        <v>0</v>
      </c>
      <c r="K85" s="106">
        <f>'2021'!BH734</f>
        <v>0</v>
      </c>
      <c r="L85" s="106">
        <f>'2021'!BH735</f>
        <v>0</v>
      </c>
      <c r="M85" s="106">
        <f t="shared" si="0"/>
        <v>-24.57</v>
      </c>
      <c r="N85" s="106">
        <v>0</v>
      </c>
      <c r="O85" s="37"/>
      <c r="X85" s="285">
        <f t="shared" si="1"/>
        <v>0</v>
      </c>
      <c r="Y85" s="281">
        <f t="shared" si="2"/>
        <v>0</v>
      </c>
      <c r="Z85" s="42">
        <f t="shared" si="4"/>
        <v>0</v>
      </c>
      <c r="AA85" s="2" t="b">
        <f>D85='2021'!C729</f>
        <v>1</v>
      </c>
      <c r="AB85" s="2" t="b">
        <f>X85='2021'!AQ728</f>
        <v>1</v>
      </c>
      <c r="AC85" s="34"/>
      <c r="AD85" s="34"/>
      <c r="AE85" s="34"/>
    </row>
    <row r="86" ht="15.75" customHeight="1" spans="1:31" x14ac:dyDescent="0.25">
      <c r="A86" s="14"/>
      <c r="B86" s="115">
        <v>85</v>
      </c>
      <c r="C86" s="115">
        <v>4.27</v>
      </c>
      <c r="D86" s="117" t="s">
        <v>282</v>
      </c>
      <c r="E86" s="106">
        <f>'2021'!BH737</f>
        <v>0</v>
      </c>
      <c r="F86" s="106">
        <f>'2021'!BH738</f>
        <v>1343.88</v>
      </c>
      <c r="G86" s="106">
        <f>'2021'!BH739</f>
        <v>237.25</v>
      </c>
      <c r="H86" s="106">
        <f>'2021'!BH740</f>
        <v>0</v>
      </c>
      <c r="I86" s="106">
        <f>'2021'!BH741</f>
        <v>0</v>
      </c>
      <c r="J86" s="106">
        <f>'2021'!BH742</f>
        <v>0</v>
      </c>
      <c r="K86" s="106">
        <f>'2021'!BH743</f>
        <v>0</v>
      </c>
      <c r="L86" s="106">
        <f>'2021'!BH744</f>
        <v>0</v>
      </c>
      <c r="M86" s="106">
        <f t="shared" si="0"/>
        <v>1581.13</v>
      </c>
      <c r="N86" s="106">
        <v>0</v>
      </c>
      <c r="O86" s="37"/>
      <c r="X86" s="285">
        <f t="shared" si="1"/>
        <v>0</v>
      </c>
      <c r="Y86" s="281">
        <f t="shared" si="2"/>
        <v>0</v>
      </c>
      <c r="Z86" s="42">
        <f t="shared" si="4"/>
        <v>0</v>
      </c>
      <c r="AA86" s="2" t="b">
        <f>D86='2021'!C738</f>
        <v>1</v>
      </c>
      <c r="AB86" s="2" t="b">
        <f>X86='2021'!AQ737</f>
        <v>1</v>
      </c>
      <c r="AC86" s="34"/>
      <c r="AD86" s="34"/>
      <c r="AE86" s="34"/>
    </row>
    <row r="87" ht="15.75" customHeight="1" spans="1:31" x14ac:dyDescent="0.25">
      <c r="A87" s="14"/>
      <c r="B87" s="115">
        <v>87</v>
      </c>
      <c r="C87" s="115">
        <v>4.23</v>
      </c>
      <c r="D87" s="117" t="s">
        <v>284</v>
      </c>
      <c r="E87" s="106">
        <f>'2021'!BH746</f>
        <v>0</v>
      </c>
      <c r="F87" s="106">
        <f>'2021'!BH747</f>
        <v>353.7</v>
      </c>
      <c r="G87" s="106">
        <f>'2021'!BH748</f>
        <v>610.5</v>
      </c>
      <c r="H87" s="106">
        <f>'2021'!BH749</f>
        <v>0</v>
      </c>
      <c r="I87" s="106">
        <f>'2021'!BH750</f>
        <v>0</v>
      </c>
      <c r="J87" s="106">
        <f>'2021'!BH751</f>
        <v>0</v>
      </c>
      <c r="K87" s="106">
        <f>'2021'!BH752</f>
        <v>0</v>
      </c>
      <c r="L87" s="106">
        <f>'2021'!BH753</f>
        <v>0</v>
      </c>
      <c r="M87" s="106">
        <f t="shared" si="0"/>
        <v>964.2</v>
      </c>
      <c r="N87" s="106">
        <v>0</v>
      </c>
      <c r="O87" s="37"/>
      <c r="X87" s="285">
        <f t="shared" si="1"/>
        <v>0</v>
      </c>
      <c r="Y87" s="281">
        <f t="shared" si="2"/>
        <v>0</v>
      </c>
      <c r="Z87" s="42">
        <f t="shared" si="4"/>
        <v>0</v>
      </c>
      <c r="AA87" s="2" t="b">
        <f>D87='2021'!C747</f>
        <v>1</v>
      </c>
      <c r="AB87" s="2" t="b">
        <f>X87='2021'!AQ746</f>
        <v>1</v>
      </c>
      <c r="AC87" s="34"/>
      <c r="AD87" s="34"/>
      <c r="AE87" s="34"/>
    </row>
    <row r="88" ht="15.75" customHeight="1" spans="1:31" x14ac:dyDescent="0.25">
      <c r="A88" s="14"/>
      <c r="B88" s="115">
        <v>89</v>
      </c>
      <c r="C88" s="115">
        <v>4.25</v>
      </c>
      <c r="D88" s="117" t="s">
        <v>286</v>
      </c>
      <c r="E88" s="106">
        <f>'2021'!BH755</f>
        <v>0</v>
      </c>
      <c r="F88" s="106">
        <f>'2021'!BH756</f>
        <v>0</v>
      </c>
      <c r="G88" s="106">
        <f>'2021'!BH757</f>
        <v>-337.2</v>
      </c>
      <c r="H88" s="106">
        <f>'2021'!BH758</f>
        <v>0</v>
      </c>
      <c r="I88" s="106">
        <f>'2021'!BH759</f>
        <v>0</v>
      </c>
      <c r="J88" s="106">
        <f>'2021'!BH760</f>
        <v>0</v>
      </c>
      <c r="K88" s="106">
        <f>'2021'!BH761</f>
        <v>0</v>
      </c>
      <c r="L88" s="106">
        <f>'2021'!BH762</f>
        <v>0</v>
      </c>
      <c r="M88" s="106">
        <f t="shared" si="0"/>
        <v>-337.2</v>
      </c>
      <c r="N88" s="106">
        <v>0</v>
      </c>
      <c r="O88" s="37"/>
      <c r="X88" s="285">
        <f t="shared" si="1"/>
        <v>0</v>
      </c>
      <c r="Y88" s="281">
        <f t="shared" si="2"/>
        <v>0</v>
      </c>
      <c r="Z88" s="42">
        <f t="shared" si="4"/>
        <v>0</v>
      </c>
      <c r="AA88" s="2" t="b">
        <f>D88='2021'!C756</f>
        <v>1</v>
      </c>
      <c r="AB88" s="2" t="b">
        <f>X88='2021'!AQ755</f>
        <v>1</v>
      </c>
      <c r="AC88" s="34"/>
      <c r="AD88" s="34"/>
      <c r="AE88" s="34"/>
    </row>
    <row r="89" ht="15.75" customHeight="1" spans="1:31" x14ac:dyDescent="0.25">
      <c r="A89" s="14"/>
      <c r="B89" s="115">
        <v>91</v>
      </c>
      <c r="C89" s="115">
        <v>4.23</v>
      </c>
      <c r="D89" s="117" t="s">
        <v>288</v>
      </c>
      <c r="E89" s="106">
        <f>'2021'!BH764</f>
        <v>0</v>
      </c>
      <c r="F89" s="106">
        <f>'2021'!BH765</f>
        <v>2.7</v>
      </c>
      <c r="G89" s="106">
        <f>'2021'!BH766</f>
        <v>0</v>
      </c>
      <c r="H89" s="106">
        <f>'2021'!BH767</f>
        <v>0</v>
      </c>
      <c r="I89" s="106">
        <f>'2021'!BH768</f>
        <v>0</v>
      </c>
      <c r="J89" s="106">
        <f>'2021'!BH769</f>
        <v>0</v>
      </c>
      <c r="K89" s="106">
        <f>'2021'!BH770</f>
        <v>0</v>
      </c>
      <c r="L89" s="106">
        <f>'2021'!BH771</f>
        <v>0</v>
      </c>
      <c r="M89" s="106">
        <f t="shared" si="0"/>
        <v>2.7</v>
      </c>
      <c r="N89" s="106">
        <v>0</v>
      </c>
      <c r="O89" s="37"/>
      <c r="X89" s="285">
        <f t="shared" si="1"/>
        <v>0</v>
      </c>
      <c r="Y89" s="281">
        <f t="shared" si="2"/>
        <v>0</v>
      </c>
      <c r="Z89" s="42">
        <f t="shared" si="4"/>
        <v>0</v>
      </c>
      <c r="AA89" s="2" t="b">
        <f>D89='2021'!C765</f>
        <v>1</v>
      </c>
      <c r="AB89" s="2" t="b">
        <f>X89='2021'!AQ764</f>
        <v>1</v>
      </c>
      <c r="AC89" s="34"/>
      <c r="AD89" s="34"/>
      <c r="AE89" s="34"/>
    </row>
    <row r="90" ht="15.75" customHeight="1" spans="1:31" x14ac:dyDescent="0.25">
      <c r="A90" s="21"/>
      <c r="B90" s="115" t="s">
        <v>292</v>
      </c>
      <c r="C90" s="115">
        <v>4.31</v>
      </c>
      <c r="D90" s="117" t="s">
        <v>436</v>
      </c>
      <c r="E90" s="106">
        <f>'2021'!BH773</f>
        <v>14.22</v>
      </c>
      <c r="F90" s="106">
        <f>'2021'!BH774</f>
        <v>78</v>
      </c>
      <c r="G90" s="106">
        <f>'2021'!BH775</f>
        <v>-1.03</v>
      </c>
      <c r="H90" s="106">
        <f>'2021'!BH776</f>
        <v>0</v>
      </c>
      <c r="I90" s="106">
        <f>'2021'!BH777</f>
        <v>0</v>
      </c>
      <c r="J90" s="106">
        <f>'2021'!BH778</f>
        <v>0</v>
      </c>
      <c r="K90" s="106">
        <f>'2021'!BH779</f>
        <v>0</v>
      </c>
      <c r="L90" s="106">
        <f>'2021'!BH780</f>
        <v>0</v>
      </c>
      <c r="M90" s="106">
        <f t="shared" si="0"/>
        <v>91.19</v>
      </c>
      <c r="N90" s="106">
        <v>4741</v>
      </c>
      <c r="O90" s="37">
        <f t="shared" ref="O90:O91" si="13">IF(P90&gt;0,P90-1,$O$1)</f>
        <v>31</v>
      </c>
      <c r="X90" s="284">
        <f t="shared" si="1"/>
        <v>14.7</v>
      </c>
      <c r="Y90" s="281">
        <f t="shared" si="2"/>
        <v>4741</v>
      </c>
      <c r="Z90" s="42">
        <f t="shared" si="4"/>
        <v>0</v>
      </c>
      <c r="AA90" s="2" t="b">
        <f>D90='2021'!C774</f>
        <v>1</v>
      </c>
      <c r="AB90" s="2" t="b">
        <f>X90='2021'!AQ773</f>
        <v>0</v>
      </c>
      <c r="AC90" s="34"/>
      <c r="AD90" s="34"/>
      <c r="AE90" s="34"/>
    </row>
    <row r="91" ht="15.75" customHeight="1" spans="1:31" x14ac:dyDescent="0.25">
      <c r="A91" s="21"/>
      <c r="B91" s="115" t="s">
        <v>292</v>
      </c>
      <c r="C91" s="115">
        <v>4.25</v>
      </c>
      <c r="D91" s="15" t="s">
        <v>436</v>
      </c>
      <c r="E91" s="106">
        <f>'2021'!BH782</f>
        <v>14.03</v>
      </c>
      <c r="F91" s="106">
        <f>'2021'!BH783</f>
        <v>2431</v>
      </c>
      <c r="G91" s="106">
        <f>'2021'!BH784</f>
        <v>0.36</v>
      </c>
      <c r="H91" s="106">
        <f>'2021'!BH785</f>
        <v>0</v>
      </c>
      <c r="I91" s="106">
        <f>'2021'!BH786</f>
        <v>0</v>
      </c>
      <c r="J91" s="106">
        <f>'2021'!BH787</f>
        <v>0</v>
      </c>
      <c r="K91" s="106">
        <f>'2021'!BH788</f>
        <v>0</v>
      </c>
      <c r="L91" s="106">
        <f>'2021'!BH789</f>
        <v>0</v>
      </c>
      <c r="M91" s="106">
        <f t="shared" si="0"/>
        <v>2445.39</v>
      </c>
      <c r="N91" s="106">
        <v>4675</v>
      </c>
      <c r="O91" s="37">
        <f t="shared" si="13"/>
        <v>31</v>
      </c>
      <c r="X91" s="284">
        <f t="shared" si="1"/>
        <v>14.49</v>
      </c>
      <c r="Y91" s="281">
        <f t="shared" si="2"/>
        <v>4675</v>
      </c>
      <c r="Z91" s="42">
        <f t="shared" si="4"/>
        <v>0</v>
      </c>
      <c r="AA91" s="2" t="b">
        <f>D91='2021'!C783</f>
        <v>1</v>
      </c>
      <c r="AB91" s="2" t="b">
        <f>X91='2021'!AQ782</f>
        <v>0</v>
      </c>
      <c r="AC91" s="34"/>
      <c r="AD91" s="34"/>
      <c r="AE91" s="34"/>
    </row>
    <row r="92" ht="15.75" customHeight="1" spans="1:31" x14ac:dyDescent="0.25">
      <c r="A92" s="114" t="s">
        <v>297</v>
      </c>
      <c r="B92" s="115">
        <v>80</v>
      </c>
      <c r="C92" s="115">
        <v>4.28</v>
      </c>
      <c r="D92" s="117" t="s">
        <v>298</v>
      </c>
      <c r="E92" s="106">
        <f>'2021'!BH791</f>
        <v>0</v>
      </c>
      <c r="F92" s="106">
        <f>'2021'!BH792</f>
        <v>-32.46</v>
      </c>
      <c r="G92" s="106">
        <f>'2021'!BH793</f>
        <v>0</v>
      </c>
      <c r="H92" s="106">
        <f>'2021'!BH794</f>
        <v>0</v>
      </c>
      <c r="I92" s="106">
        <f>'2021'!BH795</f>
        <v>0</v>
      </c>
      <c r="J92" s="106">
        <f>'2021'!BH796</f>
        <v>0</v>
      </c>
      <c r="K92" s="106">
        <f>'2021'!BH797</f>
        <v>0</v>
      </c>
      <c r="L92" s="106">
        <f>'2021'!BH798</f>
        <v>0</v>
      </c>
      <c r="M92" s="106">
        <f t="shared" si="0"/>
        <v>-32.46</v>
      </c>
      <c r="N92" s="106">
        <v>0</v>
      </c>
      <c r="O92" s="37"/>
      <c r="Q92" s="34"/>
      <c r="R92" s="34"/>
      <c r="X92" s="285">
        <f t="shared" si="1"/>
        <v>0</v>
      </c>
      <c r="Y92" s="281">
        <f t="shared" si="2"/>
        <v>0</v>
      </c>
      <c r="Z92" s="42">
        <f t="shared" si="4"/>
        <v>0</v>
      </c>
      <c r="AA92" s="2" t="b">
        <f>D92='2021'!C792</f>
        <v>1</v>
      </c>
      <c r="AB92" s="2" t="b">
        <f>X92='2021'!AQ791</f>
        <v>1</v>
      </c>
      <c r="AC92" s="34"/>
      <c r="AD92" s="34"/>
      <c r="AE92" s="34"/>
    </row>
    <row r="93" ht="15.75" customHeight="1" spans="1:31" x14ac:dyDescent="0.25">
      <c r="A93" s="14"/>
      <c r="B93" s="115">
        <v>82</v>
      </c>
      <c r="C93" s="115">
        <v>4.28</v>
      </c>
      <c r="D93" s="117" t="s">
        <v>300</v>
      </c>
      <c r="E93" s="106">
        <f>'2021'!BH800</f>
        <v>0</v>
      </c>
      <c r="F93" s="106">
        <f>'2021'!BH801</f>
        <v>0</v>
      </c>
      <c r="G93" s="106">
        <f>'2021'!BH802</f>
        <v>-1.34</v>
      </c>
      <c r="H93" s="106">
        <f>'2021'!BH803</f>
        <v>0</v>
      </c>
      <c r="I93" s="106">
        <f>'2021'!BH804</f>
        <v>0</v>
      </c>
      <c r="J93" s="106">
        <f>'2021'!BH805</f>
        <v>0</v>
      </c>
      <c r="K93" s="106">
        <f>'2021'!BH806</f>
        <v>0</v>
      </c>
      <c r="L93" s="106">
        <f>'2021'!BH807</f>
        <v>0</v>
      </c>
      <c r="M93" s="106">
        <f t="shared" si="0"/>
        <v>-1.34</v>
      </c>
      <c r="N93" s="106">
        <v>0</v>
      </c>
      <c r="O93" s="37"/>
      <c r="Q93" s="34"/>
      <c r="R93" s="34"/>
      <c r="X93" s="285">
        <f t="shared" si="1"/>
        <v>0</v>
      </c>
      <c r="Y93" s="281">
        <f t="shared" si="2"/>
        <v>0</v>
      </c>
      <c r="Z93" s="42">
        <f t="shared" si="4"/>
        <v>0</v>
      </c>
      <c r="AA93" s="2" t="b">
        <f>D93='2021'!C801</f>
        <v>1</v>
      </c>
      <c r="AB93" s="2" t="b">
        <f>X93='2021'!AQ800</f>
        <v>1</v>
      </c>
      <c r="AC93" s="34"/>
      <c r="AD93" s="34"/>
      <c r="AE93" s="34"/>
    </row>
    <row r="94" ht="15.75" customHeight="1" spans="1:31" x14ac:dyDescent="0.25">
      <c r="A94" s="14"/>
      <c r="B94" s="115">
        <v>84</v>
      </c>
      <c r="C94" s="115">
        <v>4.18</v>
      </c>
      <c r="D94" s="117" t="s">
        <v>301</v>
      </c>
      <c r="E94" s="106">
        <f>'2021'!BH809</f>
        <v>6.12</v>
      </c>
      <c r="F94" s="106">
        <f>'2021'!BH810</f>
        <v>-177.56</v>
      </c>
      <c r="G94" s="106">
        <f>'2021'!BH811</f>
        <v>-187.81</v>
      </c>
      <c r="H94" s="106">
        <f>'2021'!BH812</f>
        <v>0</v>
      </c>
      <c r="I94" s="106">
        <f>'2021'!BH813</f>
        <v>0</v>
      </c>
      <c r="J94" s="106">
        <f>'2021'!BH814</f>
        <v>0</v>
      </c>
      <c r="K94" s="106">
        <f>'2021'!BH815</f>
        <v>40</v>
      </c>
      <c r="L94" s="106">
        <f>'2021'!BH816</f>
        <v>0</v>
      </c>
      <c r="M94" s="106">
        <f t="shared" si="0"/>
        <v>-319.25</v>
      </c>
      <c r="N94" s="106">
        <v>2040</v>
      </c>
      <c r="O94" s="37">
        <f t="shared" ref="O94:O101" si="14">IF(P94&gt;0,P94-1,$O$1)</f>
        <v>31</v>
      </c>
      <c r="P94" s="15"/>
      <c r="Q94" s="34"/>
      <c r="R94" s="34"/>
      <c r="S94" s="37"/>
      <c r="T94" s="15"/>
      <c r="U94" s="34"/>
      <c r="V94" s="34"/>
      <c r="W94" s="37"/>
      <c r="X94" s="284">
        <f t="shared" si="1"/>
        <v>6.32</v>
      </c>
      <c r="Y94" s="281">
        <f t="shared" si="2"/>
        <v>2040</v>
      </c>
      <c r="Z94" s="42">
        <f t="shared" si="4"/>
        <v>40</v>
      </c>
      <c r="AA94" s="2" t="b">
        <f>D94='2021'!C810</f>
        <v>1</v>
      </c>
      <c r="AB94" s="2" t="b">
        <f>X94='2021'!AQ809</f>
        <v>0</v>
      </c>
      <c r="AC94" s="34"/>
      <c r="AD94" s="34"/>
      <c r="AE94" s="34"/>
    </row>
    <row r="95" ht="15.75" customHeight="1" spans="1:31" x14ac:dyDescent="0.25">
      <c r="A95" s="14"/>
      <c r="B95" s="115">
        <v>86</v>
      </c>
      <c r="C95" s="115">
        <v>4.23</v>
      </c>
      <c r="D95" s="117" t="s">
        <v>304</v>
      </c>
      <c r="E95" s="106">
        <f>'2021'!BH818</f>
        <v>634.77</v>
      </c>
      <c r="F95" s="106">
        <f>'2021'!BH819</f>
        <v>0</v>
      </c>
      <c r="G95" s="106">
        <f>'2021'!BH820</f>
        <v>0</v>
      </c>
      <c r="H95" s="106">
        <f>'2021'!BH821</f>
        <v>0</v>
      </c>
      <c r="I95" s="106">
        <f>'2021'!BH822</f>
        <v>14382</v>
      </c>
      <c r="J95" s="106">
        <f>'2021'!BH823</f>
        <v>1500</v>
      </c>
      <c r="K95" s="106">
        <f>'2021'!BH824</f>
        <v>2115</v>
      </c>
      <c r="L95" s="106">
        <f>'2021'!BH825</f>
        <v>1000</v>
      </c>
      <c r="M95" s="106">
        <f t="shared" si="0"/>
        <v>19631.77</v>
      </c>
      <c r="N95" s="106">
        <v>17997</v>
      </c>
      <c r="O95" s="37">
        <f t="shared" si="14"/>
        <v>31</v>
      </c>
      <c r="P95" s="15"/>
      <c r="Q95" s="15"/>
      <c r="R95" s="15"/>
      <c r="S95" s="15"/>
      <c r="T95" s="15"/>
      <c r="U95" s="15"/>
      <c r="V95" s="15"/>
      <c r="W95" s="15"/>
      <c r="X95" s="284">
        <f t="shared" si="1"/>
        <v>55.79</v>
      </c>
      <c r="Y95" s="281">
        <f t="shared" si="2"/>
        <v>17997</v>
      </c>
      <c r="Z95" s="42">
        <f t="shared" si="4"/>
        <v>17997</v>
      </c>
      <c r="AA95" s="2" t="b">
        <f>D95='2021'!C819</f>
        <v>1</v>
      </c>
      <c r="AB95" s="2" t="b">
        <f>X95='2021'!AQ818</f>
        <v>0</v>
      </c>
      <c r="AC95" s="34"/>
      <c r="AD95" s="34"/>
      <c r="AE95" s="34"/>
    </row>
    <row r="96" ht="15.75" customHeight="1" spans="1:31" x14ac:dyDescent="0.25">
      <c r="A96" s="14"/>
      <c r="B96" s="115">
        <v>88</v>
      </c>
      <c r="C96" s="115">
        <v>4.23</v>
      </c>
      <c r="D96" s="117" t="s">
        <v>308</v>
      </c>
      <c r="E96" s="106">
        <f>'2021'!BH827</f>
        <v>-0.04</v>
      </c>
      <c r="F96" s="106">
        <f>'2021'!BH828</f>
        <v>0</v>
      </c>
      <c r="G96" s="106">
        <f>'2021'!BH829</f>
        <v>0</v>
      </c>
      <c r="H96" s="106">
        <f>'2021'!BH830</f>
        <v>0</v>
      </c>
      <c r="I96" s="106">
        <f>'2021'!BH831</f>
        <v>0</v>
      </c>
      <c r="J96" s="106">
        <f>'2021'!BH832</f>
        <v>0</v>
      </c>
      <c r="K96" s="106">
        <f>'2021'!BH833</f>
        <v>0</v>
      </c>
      <c r="L96" s="106">
        <f>'2021'!BH834</f>
        <v>0</v>
      </c>
      <c r="M96" s="106">
        <f t="shared" si="0"/>
        <v>-0.04</v>
      </c>
      <c r="N96" s="106">
        <v>4653</v>
      </c>
      <c r="O96" s="37">
        <f t="shared" si="14"/>
        <v>31</v>
      </c>
      <c r="P96" s="15"/>
      <c r="Q96" s="34"/>
      <c r="R96" s="34"/>
      <c r="T96" s="15"/>
      <c r="U96" s="15"/>
      <c r="V96" s="15"/>
      <c r="W96" s="15"/>
      <c r="X96" s="284">
        <f t="shared" si="1"/>
        <v>14.42</v>
      </c>
      <c r="Y96" s="281">
        <f t="shared" si="2"/>
        <v>4653</v>
      </c>
      <c r="Z96" s="42">
        <f t="shared" si="4"/>
        <v>0</v>
      </c>
      <c r="AA96" s="2" t="b">
        <f>D96='2021'!C828</f>
        <v>1</v>
      </c>
      <c r="AB96" s="2" t="b">
        <f>X96='2021'!AQ827</f>
        <v>0</v>
      </c>
      <c r="AC96" s="34"/>
      <c r="AD96" s="34"/>
      <c r="AE96" s="34"/>
    </row>
    <row r="97" ht="15.75" customHeight="1" spans="1:31" x14ac:dyDescent="0.25">
      <c r="A97" s="14"/>
      <c r="B97" s="115">
        <v>90</v>
      </c>
      <c r="C97" s="115">
        <v>4.23</v>
      </c>
      <c r="D97" s="117" t="s">
        <v>311</v>
      </c>
      <c r="E97" s="106">
        <f>'2021'!BH836</f>
        <v>-0.04</v>
      </c>
      <c r="F97" s="106">
        <f>'2021'!BH837</f>
        <v>0</v>
      </c>
      <c r="G97" s="106">
        <f>'2021'!BH838</f>
        <v>0</v>
      </c>
      <c r="H97" s="106">
        <f>'2021'!BH839</f>
        <v>0</v>
      </c>
      <c r="I97" s="106">
        <f>'2021'!BH840</f>
        <v>0</v>
      </c>
      <c r="J97" s="106">
        <f>'2021'!BH841</f>
        <v>0</v>
      </c>
      <c r="K97" s="106">
        <f>'2021'!BH842</f>
        <v>0</v>
      </c>
      <c r="L97" s="106">
        <f>'2021'!BH843</f>
        <v>0</v>
      </c>
      <c r="M97" s="106">
        <f t="shared" si="0"/>
        <v>-0.04</v>
      </c>
      <c r="N97" s="106">
        <v>4653</v>
      </c>
      <c r="O97" s="37">
        <f t="shared" si="14"/>
        <v>31</v>
      </c>
      <c r="P97" s="15"/>
      <c r="Q97" s="34"/>
      <c r="R97" s="34"/>
      <c r="T97" s="15"/>
      <c r="U97" s="15"/>
      <c r="V97" s="15"/>
      <c r="W97" s="15"/>
      <c r="X97" s="284">
        <f t="shared" si="1"/>
        <v>14.42</v>
      </c>
      <c r="Y97" s="281">
        <f t="shared" si="2"/>
        <v>4653</v>
      </c>
      <c r="Z97" s="42">
        <f t="shared" si="4"/>
        <v>0</v>
      </c>
      <c r="AA97" s="2" t="b">
        <f>D97='2021'!C837</f>
        <v>1</v>
      </c>
      <c r="AB97" s="2" t="b">
        <f>X97='2021'!AQ836</f>
        <v>0</v>
      </c>
      <c r="AC97" s="34"/>
      <c r="AD97" s="34"/>
      <c r="AE97" s="34"/>
    </row>
    <row r="98" ht="15.75" customHeight="1" spans="1:31" x14ac:dyDescent="0.25">
      <c r="A98" s="14"/>
      <c r="B98" s="115">
        <v>92</v>
      </c>
      <c r="C98" s="115">
        <v>4.28</v>
      </c>
      <c r="D98" s="117" t="s">
        <v>312</v>
      </c>
      <c r="E98" s="106">
        <f>'2021'!BH845</f>
        <v>101.04</v>
      </c>
      <c r="F98" s="106">
        <f>'2021'!BH846</f>
        <v>3028.3</v>
      </c>
      <c r="G98" s="106">
        <f>'2021'!BH847</f>
        <v>1133.01</v>
      </c>
      <c r="H98" s="106">
        <f>'2021'!BH848</f>
        <v>0</v>
      </c>
      <c r="I98" s="106">
        <f>'2021'!BH849</f>
        <v>4708</v>
      </c>
      <c r="J98" s="106">
        <f>'2021'!BH850</f>
        <v>500</v>
      </c>
      <c r="K98" s="106">
        <f>'2021'!BH851</f>
        <v>2140</v>
      </c>
      <c r="L98" s="106">
        <f>'2021'!BH852</f>
        <v>500</v>
      </c>
      <c r="M98" s="106">
        <f t="shared" si="0"/>
        <v>12110.35</v>
      </c>
      <c r="N98" s="106">
        <v>7348</v>
      </c>
      <c r="O98" s="37">
        <f t="shared" si="14"/>
        <v>31</v>
      </c>
      <c r="P98" s="15"/>
      <c r="Q98" s="34"/>
      <c r="R98" s="34"/>
      <c r="S98" s="37"/>
      <c r="T98" s="15"/>
      <c r="U98" s="15"/>
      <c r="V98" s="15"/>
      <c r="W98" s="15"/>
      <c r="X98" s="284">
        <f t="shared" si="1"/>
        <v>22.78</v>
      </c>
      <c r="Y98" s="281">
        <f t="shared" si="2"/>
        <v>7348</v>
      </c>
      <c r="Z98" s="42">
        <f t="shared" si="4"/>
        <v>7348</v>
      </c>
      <c r="AA98" s="2" t="b">
        <f>D98='2021'!C846</f>
        <v>1</v>
      </c>
      <c r="AB98" s="2" t="b">
        <f>X98='2021'!AQ845</f>
        <v>0</v>
      </c>
      <c r="AC98" s="34"/>
      <c r="AD98" s="34"/>
      <c r="AE98" s="34"/>
    </row>
    <row r="99" ht="15.75" customHeight="1" spans="1:31" x14ac:dyDescent="0.25">
      <c r="A99" s="14"/>
      <c r="B99" s="115" t="s">
        <v>315</v>
      </c>
      <c r="C99" s="115">
        <v>4.36</v>
      </c>
      <c r="D99" s="117" t="s">
        <v>316</v>
      </c>
      <c r="E99" s="106">
        <f>'2021'!BH854</f>
        <v>14.39</v>
      </c>
      <c r="F99" s="106">
        <f>'2021'!BH855</f>
        <v>-31.8</v>
      </c>
      <c r="G99" s="106">
        <f>'2021'!BH856</f>
        <v>0</v>
      </c>
      <c r="H99" s="106">
        <f>'2021'!BH857</f>
        <v>0</v>
      </c>
      <c r="I99" s="106">
        <f>'2021'!BH858</f>
        <v>4796</v>
      </c>
      <c r="J99" s="106">
        <f>'2021'!BH859</f>
        <v>0</v>
      </c>
      <c r="K99" s="106">
        <f>'2021'!BH860</f>
        <v>0</v>
      </c>
      <c r="L99" s="106">
        <f>'2021'!BH861</f>
        <v>0</v>
      </c>
      <c r="M99" s="106">
        <f t="shared" si="0"/>
        <v>4778.59</v>
      </c>
      <c r="N99" s="106">
        <v>4796</v>
      </c>
      <c r="O99" s="37">
        <f t="shared" si="14"/>
        <v>31</v>
      </c>
      <c r="X99" s="284">
        <f t="shared" si="1"/>
        <v>14.87</v>
      </c>
      <c r="Y99" s="281">
        <f t="shared" si="2"/>
        <v>4796</v>
      </c>
      <c r="Z99" s="42">
        <f t="shared" si="4"/>
        <v>4796</v>
      </c>
      <c r="AA99" s="2" t="b">
        <f>D99='2021'!C855</f>
        <v>1</v>
      </c>
      <c r="AB99" s="2" t="b">
        <f>X99='2021'!AQ854</f>
        <v>0</v>
      </c>
      <c r="AC99" s="34"/>
      <c r="AD99" s="34"/>
      <c r="AE99" s="34"/>
    </row>
    <row r="100" ht="15.75" customHeight="1" spans="1:31" x14ac:dyDescent="0.25">
      <c r="A100" s="14"/>
      <c r="B100" s="115" t="s">
        <v>315</v>
      </c>
      <c r="C100" s="116">
        <v>4.4</v>
      </c>
      <c r="D100" s="117" t="s">
        <v>316</v>
      </c>
      <c r="E100" s="106">
        <f>'2021'!BH863</f>
        <v>14.52</v>
      </c>
      <c r="F100" s="106">
        <f>'2021'!BH864</f>
        <v>0</v>
      </c>
      <c r="G100" s="106">
        <f>'2021'!BH865</f>
        <v>-1.38</v>
      </c>
      <c r="H100" s="106">
        <f>'2021'!BH866</f>
        <v>0</v>
      </c>
      <c r="I100" s="106">
        <f>'2021'!BH867</f>
        <v>4840</v>
      </c>
      <c r="J100" s="106">
        <f>'2021'!BH868</f>
        <v>0</v>
      </c>
      <c r="K100" s="106">
        <f>'2021'!BH869</f>
        <v>0</v>
      </c>
      <c r="L100" s="106">
        <f>'2021'!BH870</f>
        <v>0</v>
      </c>
      <c r="M100" s="106">
        <f t="shared" si="0"/>
        <v>4853.14</v>
      </c>
      <c r="N100" s="106">
        <v>4840</v>
      </c>
      <c r="O100" s="37">
        <f t="shared" si="14"/>
        <v>31</v>
      </c>
      <c r="Q100" s="34"/>
      <c r="R100" s="34"/>
      <c r="X100" s="284">
        <f t="shared" si="1"/>
        <v>15</v>
      </c>
      <c r="Y100" s="281">
        <f t="shared" si="2"/>
        <v>4840</v>
      </c>
      <c r="Z100" s="42">
        <f t="shared" si="4"/>
        <v>4840</v>
      </c>
      <c r="AA100" s="2" t="b">
        <f>D100='2021'!C864</f>
        <v>1</v>
      </c>
      <c r="AB100" s="2" t="b">
        <f>X100='2021'!AQ863</f>
        <v>0</v>
      </c>
      <c r="AC100" s="34"/>
      <c r="AD100" s="34"/>
      <c r="AE100" s="34"/>
    </row>
    <row r="101" ht="15.75" customHeight="1" spans="1:31" x14ac:dyDescent="0.25">
      <c r="A101" s="14"/>
      <c r="B101" s="115">
        <v>99</v>
      </c>
      <c r="C101" s="115">
        <v>4.53</v>
      </c>
      <c r="D101" s="117" t="s">
        <v>319</v>
      </c>
      <c r="E101" s="106">
        <f>'2021'!BH872</f>
        <v>25.6</v>
      </c>
      <c r="F101" s="106">
        <f>'2021'!BH873</f>
        <v>-73.46</v>
      </c>
      <c r="G101" s="106">
        <f>'2021'!BH874</f>
        <v>1351.32</v>
      </c>
      <c r="H101" s="106">
        <f>'2021'!BH875</f>
        <v>0</v>
      </c>
      <c r="I101" s="106">
        <f>'2021'!BH876</f>
        <v>4983</v>
      </c>
      <c r="J101" s="106">
        <f>'2021'!BH877</f>
        <v>500</v>
      </c>
      <c r="K101" s="106">
        <f>'2021'!BH878</f>
        <v>2265</v>
      </c>
      <c r="L101" s="106">
        <f>'2021'!BH879</f>
        <v>0</v>
      </c>
      <c r="M101" s="106">
        <f t="shared" si="0"/>
        <v>9051.46</v>
      </c>
      <c r="N101" s="106">
        <v>7748</v>
      </c>
      <c r="O101" s="37">
        <f t="shared" si="14"/>
        <v>31</v>
      </c>
      <c r="Q101" s="34"/>
      <c r="R101" s="34"/>
      <c r="T101" s="15"/>
      <c r="U101" s="15"/>
      <c r="V101" s="15"/>
      <c r="W101" s="15"/>
      <c r="X101" s="282">
        <f t="shared" si="1"/>
        <v>24.02</v>
      </c>
      <c r="Y101" s="281">
        <f t="shared" si="2"/>
        <v>7748</v>
      </c>
      <c r="Z101" s="42">
        <f t="shared" si="4"/>
        <v>7748</v>
      </c>
      <c r="AA101" s="2" t="b">
        <f>D101='2021'!C873</f>
        <v>1</v>
      </c>
      <c r="AB101" s="2" t="b">
        <f>X101='2021'!AQ872</f>
        <v>0</v>
      </c>
      <c r="AC101" s="34"/>
      <c r="AD101" s="34"/>
      <c r="AE101" s="34"/>
    </row>
    <row r="102" ht="15.75" customHeight="1" spans="1:31" x14ac:dyDescent="0.25">
      <c r="A102" s="14"/>
      <c r="B102" s="115">
        <v>101</v>
      </c>
      <c r="C102" s="115">
        <v>4.46</v>
      </c>
      <c r="D102" s="117" t="s">
        <v>321</v>
      </c>
      <c r="E102" s="106">
        <f>'2021'!BH881</f>
        <v>0</v>
      </c>
      <c r="F102" s="106">
        <f>'2021'!BH882</f>
        <v>10.8</v>
      </c>
      <c r="G102" s="106">
        <f>'2021'!BH883</f>
        <v>0</v>
      </c>
      <c r="H102" s="106">
        <f>'2021'!BH884</f>
        <v>0</v>
      </c>
      <c r="I102" s="106">
        <f>'2021'!BH885</f>
        <v>0</v>
      </c>
      <c r="J102" s="106">
        <f>'2021'!BH886</f>
        <v>0</v>
      </c>
      <c r="K102" s="106">
        <f>'2021'!BH887</f>
        <v>0</v>
      </c>
      <c r="L102" s="106">
        <f>'2021'!BH888</f>
        <v>0</v>
      </c>
      <c r="M102" s="106">
        <f t="shared" si="0"/>
        <v>10.8</v>
      </c>
      <c r="N102" s="106">
        <v>0</v>
      </c>
      <c r="O102" s="37"/>
      <c r="X102" s="280">
        <f t="shared" si="1"/>
        <v>0</v>
      </c>
      <c r="Y102" s="281">
        <f t="shared" si="2"/>
        <v>0</v>
      </c>
      <c r="Z102" s="42">
        <f t="shared" si="4"/>
        <v>0</v>
      </c>
      <c r="AA102" s="2" t="b">
        <f>D102='2021'!C882</f>
        <v>1</v>
      </c>
      <c r="AB102" s="2" t="b">
        <f>X102='2021'!AQ881</f>
        <v>1</v>
      </c>
      <c r="AC102" s="34"/>
      <c r="AD102" s="34"/>
      <c r="AE102" s="34"/>
    </row>
    <row r="103" ht="15.75" customHeight="1" spans="1:31" x14ac:dyDescent="0.25">
      <c r="A103" s="14"/>
      <c r="B103" s="115">
        <v>103</v>
      </c>
      <c r="C103" s="115">
        <v>4.42</v>
      </c>
      <c r="D103" s="117" t="s">
        <v>322</v>
      </c>
      <c r="E103" s="106">
        <f>'2021'!BH890</f>
        <v>0</v>
      </c>
      <c r="F103" s="106">
        <f>'2021'!BH891</f>
        <v>8.1</v>
      </c>
      <c r="G103" s="106">
        <f>'2021'!BH892</f>
        <v>40.7</v>
      </c>
      <c r="H103" s="106">
        <f>'2021'!BH893</f>
        <v>0</v>
      </c>
      <c r="I103" s="106">
        <f>'2021'!BH894</f>
        <v>0</v>
      </c>
      <c r="J103" s="106">
        <f>'2021'!BH895</f>
        <v>0</v>
      </c>
      <c r="K103" s="106">
        <f>'2021'!BH896</f>
        <v>0</v>
      </c>
      <c r="L103" s="106">
        <f>'2021'!BH897</f>
        <v>0</v>
      </c>
      <c r="M103" s="106">
        <f t="shared" si="0"/>
        <v>48.8</v>
      </c>
      <c r="N103" s="106">
        <v>0</v>
      </c>
      <c r="O103" s="37"/>
      <c r="P103" s="15"/>
      <c r="Q103" s="15"/>
      <c r="R103" s="34"/>
      <c r="S103" s="37"/>
      <c r="T103" s="15"/>
      <c r="U103" s="15"/>
      <c r="V103" s="15"/>
      <c r="W103" s="15"/>
      <c r="X103" s="284">
        <f t="shared" si="1"/>
        <v>0</v>
      </c>
      <c r="Y103" s="281">
        <f t="shared" si="2"/>
        <v>0</v>
      </c>
      <c r="Z103" s="42">
        <f t="shared" si="4"/>
        <v>0</v>
      </c>
      <c r="AA103" s="2" t="b">
        <f>D103='2021'!C891</f>
        <v>1</v>
      </c>
      <c r="AB103" s="2" t="b">
        <f>X103='2021'!AQ890</f>
        <v>1</v>
      </c>
      <c r="AC103" s="34"/>
      <c r="AD103" s="34"/>
      <c r="AE103" s="34"/>
    </row>
    <row r="104" ht="15.75" customHeight="1" spans="1:31" x14ac:dyDescent="0.25">
      <c r="A104" s="14"/>
      <c r="B104" s="115">
        <v>105</v>
      </c>
      <c r="C104" s="115">
        <v>4.41</v>
      </c>
      <c r="D104" s="117" t="s">
        <v>323</v>
      </c>
      <c r="E104" s="106">
        <f>'2021'!BH899</f>
        <v>13.8</v>
      </c>
      <c r="F104" s="106">
        <f>'2021'!BH900</f>
        <v>83.7</v>
      </c>
      <c r="G104" s="106">
        <f>'2021'!BH901</f>
        <v>392.09</v>
      </c>
      <c r="H104" s="106">
        <f>'2021'!BH902</f>
        <v>0</v>
      </c>
      <c r="I104" s="106">
        <f>'2021'!BH903</f>
        <v>2451</v>
      </c>
      <c r="J104" s="106">
        <f>'2021'!BH904</f>
        <v>0</v>
      </c>
      <c r="K104" s="106">
        <f>'2021'!BH905</f>
        <v>0</v>
      </c>
      <c r="L104" s="106">
        <f>'2021'!BH906</f>
        <v>0</v>
      </c>
      <c r="M104" s="106">
        <f t="shared" si="0"/>
        <v>2940.59</v>
      </c>
      <c r="N104" s="106">
        <v>4851</v>
      </c>
      <c r="O104" s="37">
        <f>IF(P104&gt;0,P104-1,$O$1)</f>
        <v>31</v>
      </c>
      <c r="P104" s="15"/>
      <c r="Q104" s="34"/>
      <c r="R104" s="34"/>
      <c r="T104" s="15"/>
      <c r="U104" s="15"/>
      <c r="V104" s="15"/>
      <c r="W104" s="15"/>
      <c r="X104" s="284">
        <f t="shared" si="1"/>
        <v>15.04</v>
      </c>
      <c r="Y104" s="281">
        <f t="shared" si="2"/>
        <v>4851</v>
      </c>
      <c r="Z104" s="42">
        <f t="shared" si="4"/>
        <v>2451</v>
      </c>
      <c r="AA104" s="2" t="b">
        <f>D104='2021'!C900</f>
        <v>1</v>
      </c>
      <c r="AB104" s="2" t="b">
        <f>X104='2021'!AQ899</f>
        <v>0</v>
      </c>
      <c r="AC104" s="34"/>
      <c r="AD104" s="34"/>
      <c r="AE104" s="34"/>
    </row>
    <row r="105" ht="15.75" customHeight="1" spans="1:31" x14ac:dyDescent="0.25">
      <c r="A105" s="21"/>
      <c r="B105" s="115">
        <v>107</v>
      </c>
      <c r="C105" s="115">
        <v>4.37</v>
      </c>
      <c r="D105" s="117" t="s">
        <v>325</v>
      </c>
      <c r="E105" s="106">
        <f>'2021'!BH908</f>
        <v>0</v>
      </c>
      <c r="F105" s="106">
        <f>'2021'!BH909</f>
        <v>170.7</v>
      </c>
      <c r="G105" s="106">
        <f>'2021'!BH910</f>
        <v>74.56</v>
      </c>
      <c r="H105" s="106">
        <f>'2021'!BH911</f>
        <v>0</v>
      </c>
      <c r="I105" s="106">
        <f>'2021'!BH912</f>
        <v>0</v>
      </c>
      <c r="J105" s="106">
        <f>'2021'!BH913</f>
        <v>0</v>
      </c>
      <c r="K105" s="106">
        <f>'2021'!BH914</f>
        <v>0</v>
      </c>
      <c r="L105" s="106">
        <f>'2021'!BH915</f>
        <v>0</v>
      </c>
      <c r="M105" s="106">
        <f t="shared" si="0"/>
        <v>245.26</v>
      </c>
      <c r="N105" s="106">
        <v>0</v>
      </c>
      <c r="O105" s="37"/>
      <c r="X105" s="285">
        <f t="shared" si="1"/>
        <v>0</v>
      </c>
      <c r="Y105" s="281">
        <f t="shared" si="2"/>
        <v>0</v>
      </c>
      <c r="Z105" s="42">
        <f t="shared" si="4"/>
        <v>0</v>
      </c>
      <c r="AA105" s="2" t="b">
        <f>D105='2021'!C909</f>
        <v>1</v>
      </c>
      <c r="AB105" s="2" t="b">
        <f>X105='2021'!AQ908</f>
        <v>1</v>
      </c>
      <c r="AC105" s="34"/>
      <c r="AD105" s="34"/>
      <c r="AE105" s="34"/>
    </row>
    <row r="106" ht="15.75" customHeight="1" spans="1:31" x14ac:dyDescent="0.25">
      <c r="A106" s="114" t="s">
        <v>327</v>
      </c>
      <c r="B106" s="115">
        <v>96</v>
      </c>
      <c r="C106" s="115">
        <v>4.46</v>
      </c>
      <c r="D106" s="117" t="s">
        <v>450</v>
      </c>
      <c r="E106" s="106">
        <f>'2021'!BH917</f>
        <v>0</v>
      </c>
      <c r="F106" s="106">
        <f>'2021'!BH918</f>
        <v>0</v>
      </c>
      <c r="G106" s="106">
        <f>'2021'!BH919</f>
        <v>0</v>
      </c>
      <c r="H106" s="106">
        <f>'2021'!BH920</f>
        <v>0</v>
      </c>
      <c r="I106" s="106">
        <f>'2021'!BH921</f>
        <v>0</v>
      </c>
      <c r="J106" s="106">
        <f>'2021'!BH922</f>
        <v>0</v>
      </c>
      <c r="K106" s="106">
        <f>'2021'!BH923</f>
        <v>0</v>
      </c>
      <c r="L106" s="106">
        <f>'2021'!BH924</f>
        <v>0</v>
      </c>
      <c r="M106" s="106">
        <f t="shared" si="0"/>
        <v>0</v>
      </c>
      <c r="N106" s="106">
        <v>0</v>
      </c>
      <c r="O106" s="37"/>
      <c r="X106" s="284">
        <f t="shared" si="1"/>
        <v>0</v>
      </c>
      <c r="Y106" s="281">
        <f t="shared" si="2"/>
        <v>0</v>
      </c>
      <c r="Z106" s="42">
        <f t="shared" si="4"/>
        <v>0</v>
      </c>
      <c r="AA106" s="2" t="b">
        <f>D106='2021'!C918</f>
        <v>1</v>
      </c>
      <c r="AB106" s="2" t="b">
        <f>X106='2021'!AQ917</f>
        <v>1</v>
      </c>
      <c r="AC106" s="34"/>
      <c r="AD106" s="34"/>
      <c r="AE106" s="34"/>
    </row>
    <row r="107" ht="15.75" customHeight="1" spans="1:31" x14ac:dyDescent="0.25">
      <c r="A107" s="14"/>
      <c r="B107" s="115">
        <v>98</v>
      </c>
      <c r="C107" s="115">
        <v>4.45</v>
      </c>
      <c r="D107" s="117" t="s">
        <v>328</v>
      </c>
      <c r="E107" s="106">
        <f>'2021'!BH926</f>
        <v>14.68</v>
      </c>
      <c r="F107" s="106">
        <f>'2021'!BH927</f>
        <v>-332.68</v>
      </c>
      <c r="G107" s="106">
        <f>'2021'!BH928</f>
        <v>-49.5</v>
      </c>
      <c r="H107" s="106">
        <f>'2021'!BH929</f>
        <v>0</v>
      </c>
      <c r="I107" s="106">
        <f>'2021'!BH930</f>
        <v>4895</v>
      </c>
      <c r="J107" s="106">
        <f>'2021'!BH931</f>
        <v>-0.003</v>
      </c>
      <c r="K107" s="106">
        <f>'2021'!BH932</f>
        <v>0</v>
      </c>
      <c r="L107" s="106">
        <f>'2021'!BH933</f>
        <v>0</v>
      </c>
      <c r="M107" s="106">
        <f t="shared" si="0"/>
        <v>4527.497</v>
      </c>
      <c r="N107" s="106">
        <v>4894.997</v>
      </c>
      <c r="O107" s="37">
        <f t="shared" ref="O107:O108" si="15">IF(P107&gt;0,P107-1,$O$1)</f>
        <v>31</v>
      </c>
      <c r="P107" s="15"/>
      <c r="Q107" s="34"/>
      <c r="R107" s="34"/>
      <c r="S107" s="37"/>
      <c r="T107" s="15"/>
      <c r="U107" s="15"/>
      <c r="V107" s="15"/>
      <c r="W107" s="15"/>
      <c r="X107" s="284">
        <f t="shared" si="1"/>
        <v>15.17</v>
      </c>
      <c r="Y107" s="281">
        <f t="shared" si="2"/>
        <v>4894.997</v>
      </c>
      <c r="Z107" s="42">
        <f t="shared" si="4"/>
        <v>4894.997</v>
      </c>
      <c r="AA107" s="2" t="b">
        <f>D107='2021'!C927</f>
        <v>1</v>
      </c>
      <c r="AB107" s="2" t="b">
        <f>X107='2021'!AQ926</f>
        <v>0</v>
      </c>
      <c r="AC107" s="34"/>
      <c r="AD107" s="34"/>
      <c r="AE107" s="34"/>
    </row>
    <row r="108" ht="15.75" customHeight="1" spans="1:31" x14ac:dyDescent="0.25">
      <c r="A108" s="14"/>
      <c r="B108" s="115">
        <v>100</v>
      </c>
      <c r="C108" s="115">
        <v>4.47</v>
      </c>
      <c r="D108" s="117" t="s">
        <v>330</v>
      </c>
      <c r="E108" s="106">
        <f>'2021'!BH935</f>
        <v>171.65</v>
      </c>
      <c r="F108" s="106">
        <f>'2021'!BH936</f>
        <v>0</v>
      </c>
      <c r="G108" s="106">
        <f>'2021'!BH937</f>
        <v>-325</v>
      </c>
      <c r="H108" s="106">
        <f>'2021'!BH938</f>
        <v>0</v>
      </c>
      <c r="I108" s="106">
        <f>'2021'!BH939</f>
        <v>7917</v>
      </c>
      <c r="J108" s="106">
        <f>'2021'!BH940</f>
        <v>1500</v>
      </c>
      <c r="K108" s="106">
        <f>'2021'!BH941</f>
        <v>2235</v>
      </c>
      <c r="L108" s="106">
        <f>'2021'!BH942</f>
        <v>500</v>
      </c>
      <c r="M108" s="106">
        <f t="shared" si="0"/>
        <v>11998.65</v>
      </c>
      <c r="N108" s="106">
        <v>11652</v>
      </c>
      <c r="O108" s="37">
        <f t="shared" si="15"/>
        <v>31</v>
      </c>
      <c r="P108" s="15"/>
      <c r="Q108" s="34"/>
      <c r="R108" s="34"/>
      <c r="T108" s="15"/>
      <c r="U108" s="15"/>
      <c r="V108" s="15"/>
      <c r="W108" s="15"/>
      <c r="X108" s="284">
        <f t="shared" si="1"/>
        <v>36.12</v>
      </c>
      <c r="Y108" s="281">
        <f t="shared" si="2"/>
        <v>11652</v>
      </c>
      <c r="Z108" s="42">
        <f t="shared" si="4"/>
        <v>11652</v>
      </c>
      <c r="AA108" s="2" t="b">
        <f>D108='2021'!C936</f>
        <v>1</v>
      </c>
      <c r="AB108" s="2" t="b">
        <f>X108='2021'!AQ935</f>
        <v>0</v>
      </c>
      <c r="AC108" s="34"/>
      <c r="AD108" s="34"/>
      <c r="AE108" s="34"/>
    </row>
    <row r="109" ht="15.75" customHeight="1" spans="1:31" x14ac:dyDescent="0.25">
      <c r="A109" s="14"/>
      <c r="B109" s="115">
        <v>102</v>
      </c>
      <c r="C109" s="115">
        <v>4.45</v>
      </c>
      <c r="D109" s="117" t="s">
        <v>331</v>
      </c>
      <c r="E109" s="106">
        <f>'2021'!BH944</f>
        <v>0</v>
      </c>
      <c r="F109" s="106">
        <f>'2021'!BH945</f>
        <v>-2071.05</v>
      </c>
      <c r="G109" s="106">
        <f>'2021'!BH946</f>
        <v>-134.05</v>
      </c>
      <c r="H109" s="106">
        <f>'2021'!BH947</f>
        <v>0</v>
      </c>
      <c r="I109" s="106">
        <f>'2021'!BH948</f>
        <v>0</v>
      </c>
      <c r="J109" s="106">
        <f>'2021'!BH949</f>
        <v>0</v>
      </c>
      <c r="K109" s="106">
        <f>'2021'!BH950</f>
        <v>0</v>
      </c>
      <c r="L109" s="106">
        <f>'2021'!BH951</f>
        <v>0</v>
      </c>
      <c r="M109" s="106">
        <f t="shared" si="0"/>
        <v>-2205.1</v>
      </c>
      <c r="N109" s="106">
        <v>0</v>
      </c>
      <c r="O109" s="37"/>
      <c r="P109" s="15"/>
      <c r="Q109" s="34"/>
      <c r="R109" s="34"/>
      <c r="T109" s="15"/>
      <c r="U109" s="15"/>
      <c r="V109" s="15"/>
      <c r="W109" s="15"/>
      <c r="X109" s="285">
        <f t="shared" si="1"/>
        <v>0</v>
      </c>
      <c r="Y109" s="281">
        <f t="shared" si="2"/>
        <v>0</v>
      </c>
      <c r="Z109" s="42">
        <f t="shared" si="4"/>
        <v>0</v>
      </c>
      <c r="AA109" s="2" t="b">
        <f>D109='2021'!C945</f>
        <v>1</v>
      </c>
      <c r="AB109" s="2" t="b">
        <f>X109='2021'!AQ944</f>
        <v>1</v>
      </c>
      <c r="AC109" s="34"/>
      <c r="AD109" s="34"/>
      <c r="AE109" s="34"/>
    </row>
    <row r="110" ht="15.75" customHeight="1" spans="1:31" x14ac:dyDescent="0.25">
      <c r="A110" s="14"/>
      <c r="B110" s="115">
        <v>104</v>
      </c>
      <c r="C110" s="115">
        <v>4.42</v>
      </c>
      <c r="D110" s="117" t="s">
        <v>333</v>
      </c>
      <c r="E110" s="106">
        <f>'2021'!BH953</f>
        <v>0</v>
      </c>
      <c r="F110" s="106">
        <f>'2021'!BH954</f>
        <v>-81.4</v>
      </c>
      <c r="G110" s="106">
        <f>'2021'!BH955</f>
        <v>0</v>
      </c>
      <c r="H110" s="106">
        <f>'2021'!BH956</f>
        <v>0</v>
      </c>
      <c r="I110" s="106">
        <f>'2021'!BH957</f>
        <v>0</v>
      </c>
      <c r="J110" s="106">
        <f>'2021'!BH958</f>
        <v>0</v>
      </c>
      <c r="K110" s="106">
        <f>'2021'!BH959</f>
        <v>0</v>
      </c>
      <c r="L110" s="106">
        <f>'2021'!BH960</f>
        <v>0</v>
      </c>
      <c r="M110" s="106">
        <f t="shared" si="0"/>
        <v>-81.4</v>
      </c>
      <c r="N110" s="106">
        <v>0</v>
      </c>
      <c r="O110" s="37"/>
      <c r="X110" s="285">
        <f t="shared" si="1"/>
        <v>0</v>
      </c>
      <c r="Y110" s="281">
        <f t="shared" si="2"/>
        <v>0</v>
      </c>
      <c r="Z110" s="42">
        <f t="shared" si="4"/>
        <v>0</v>
      </c>
      <c r="AA110" s="2" t="b">
        <f>D110='2021'!C954</f>
        <v>1</v>
      </c>
      <c r="AB110" s="2" t="b">
        <f>X110='2021'!AQ953</f>
        <v>1</v>
      </c>
      <c r="AC110" s="34"/>
      <c r="AD110" s="34"/>
      <c r="AE110" s="34"/>
    </row>
    <row r="111" ht="15.75" customHeight="1" spans="1:31" x14ac:dyDescent="0.25">
      <c r="A111" s="14"/>
      <c r="B111" s="115">
        <v>106</v>
      </c>
      <c r="C111" s="115">
        <v>4.57</v>
      </c>
      <c r="D111" s="117" t="s">
        <v>336</v>
      </c>
      <c r="E111" s="106">
        <f>'2021'!BH962</f>
        <v>15.03</v>
      </c>
      <c r="F111" s="106">
        <f>'2021'!BH963</f>
        <v>0</v>
      </c>
      <c r="G111" s="106">
        <f>'2021'!BH964</f>
        <v>418.91</v>
      </c>
      <c r="H111" s="106">
        <f>'2021'!BH965</f>
        <v>16</v>
      </c>
      <c r="I111" s="106">
        <f>'2021'!BH966</f>
        <v>5011</v>
      </c>
      <c r="J111" s="106">
        <f>'2021'!BH967</f>
        <v>0</v>
      </c>
      <c r="K111" s="106">
        <f>'2021'!BH968</f>
        <v>0</v>
      </c>
      <c r="L111" s="106">
        <f>'2021'!BH969</f>
        <v>0</v>
      </c>
      <c r="M111" s="106">
        <f t="shared" si="0"/>
        <v>5460.94</v>
      </c>
      <c r="N111" s="106">
        <v>5011</v>
      </c>
      <c r="O111" s="37">
        <f t="shared" ref="O111:O114" si="16">IF(P111&gt;0,P111-1,$O$1)</f>
        <v>31</v>
      </c>
      <c r="X111" s="284">
        <f t="shared" si="1"/>
        <v>15.53</v>
      </c>
      <c r="Y111" s="281">
        <f t="shared" si="2"/>
        <v>5011</v>
      </c>
      <c r="Z111" s="42">
        <f t="shared" si="4"/>
        <v>5011</v>
      </c>
      <c r="AA111" s="2" t="b">
        <f>D111='2021'!C963</f>
        <v>1</v>
      </c>
      <c r="AB111" s="2" t="b">
        <f>X111='2021'!AQ962</f>
        <v>0</v>
      </c>
      <c r="AC111" s="34"/>
      <c r="AD111" s="34"/>
      <c r="AE111" s="34"/>
    </row>
    <row r="112" ht="15.75" customHeight="1" spans="1:31" x14ac:dyDescent="0.25">
      <c r="A112" s="14"/>
      <c r="B112" s="115">
        <v>108</v>
      </c>
      <c r="C112" s="115">
        <v>4.32</v>
      </c>
      <c r="D112" s="117" t="s">
        <v>511</v>
      </c>
      <c r="E112" s="106">
        <f>'2021'!BH971</f>
        <v>1951.86</v>
      </c>
      <c r="F112" s="106">
        <f>'2021'!BH972</f>
        <v>0</v>
      </c>
      <c r="G112" s="106">
        <f>'2021'!BH973</f>
        <v>0</v>
      </c>
      <c r="H112" s="106">
        <f>'2021'!BH974</f>
        <v>0</v>
      </c>
      <c r="I112" s="106">
        <f>'2021'!BH975</f>
        <v>4752</v>
      </c>
      <c r="J112" s="106">
        <f>'2021'!BH976</f>
        <v>4399.64</v>
      </c>
      <c r="K112" s="106">
        <f>'2021'!BH977</f>
        <v>0</v>
      </c>
      <c r="L112" s="106">
        <f>'2021'!BH978</f>
        <v>1650</v>
      </c>
      <c r="M112" s="106">
        <f t="shared" si="0"/>
        <v>12753.5</v>
      </c>
      <c r="N112" s="106">
        <v>9151.64</v>
      </c>
      <c r="O112" s="37">
        <f t="shared" si="16"/>
        <v>31</v>
      </c>
      <c r="P112" s="15"/>
      <c r="Q112" s="15"/>
      <c r="R112" s="15"/>
      <c r="S112" s="15"/>
      <c r="T112" s="15"/>
      <c r="U112" s="15"/>
      <c r="V112" s="15"/>
      <c r="W112" s="15"/>
      <c r="X112" s="284">
        <f t="shared" si="1"/>
        <v>28.37</v>
      </c>
      <c r="Y112" s="281">
        <f t="shared" si="2"/>
        <v>9151.64</v>
      </c>
      <c r="Z112" s="42">
        <f t="shared" si="4"/>
        <v>9151.64</v>
      </c>
      <c r="AA112" s="2" t="b">
        <f>D112='2021'!C972</f>
        <v>1</v>
      </c>
      <c r="AB112" s="2" t="b">
        <f>X112='2021'!AQ971</f>
        <v>0</v>
      </c>
      <c r="AC112" s="34"/>
      <c r="AD112" s="34"/>
      <c r="AE112" s="34"/>
    </row>
    <row r="113" ht="15.75" customHeight="1" spans="1:31" x14ac:dyDescent="0.25">
      <c r="A113" s="14"/>
      <c r="B113" s="115">
        <v>109</v>
      </c>
      <c r="C113" s="115">
        <v>6.22</v>
      </c>
      <c r="D113" s="2" t="s">
        <v>455</v>
      </c>
      <c r="E113" s="106">
        <f>'2021'!BH980</f>
        <v>26.55</v>
      </c>
      <c r="F113" s="106">
        <f>'2021'!BH981</f>
        <v>10.7</v>
      </c>
      <c r="G113" s="106">
        <f>'2021'!BH982</f>
        <v>61.05</v>
      </c>
      <c r="H113" s="106">
        <f>'2021'!BH983</f>
        <v>0</v>
      </c>
      <c r="I113" s="106">
        <f>'2021'!BH984</f>
        <v>6842</v>
      </c>
      <c r="J113" s="106">
        <f>'2021'!BH985</f>
        <v>0</v>
      </c>
      <c r="K113" s="106">
        <f>'2021'!BH986</f>
        <v>0</v>
      </c>
      <c r="L113" s="106">
        <f>'2021'!BH987</f>
        <v>0</v>
      </c>
      <c r="M113" s="106">
        <f t="shared" si="0"/>
        <v>6940.3</v>
      </c>
      <c r="N113" s="106">
        <v>6842</v>
      </c>
      <c r="O113" s="37">
        <f t="shared" si="16"/>
        <v>31</v>
      </c>
      <c r="P113" s="15"/>
      <c r="Q113" s="34"/>
      <c r="R113" s="15"/>
      <c r="S113" s="15"/>
      <c r="T113" s="15"/>
      <c r="U113" s="15"/>
      <c r="V113" s="15"/>
      <c r="W113" s="15"/>
      <c r="X113" s="284">
        <f t="shared" si="1"/>
        <v>21.21</v>
      </c>
      <c r="Y113" s="281">
        <f t="shared" si="2"/>
        <v>6842</v>
      </c>
      <c r="Z113" s="42">
        <f t="shared" si="4"/>
        <v>6842</v>
      </c>
      <c r="AA113" s="2" t="b">
        <f>D113='2021'!C981</f>
        <v>1</v>
      </c>
      <c r="AB113" s="2" t="b">
        <f>X113='2021'!AQ980</f>
        <v>0</v>
      </c>
      <c r="AC113" s="34"/>
      <c r="AD113" s="34"/>
      <c r="AE113" s="34"/>
    </row>
    <row r="114" ht="15.75" customHeight="1" spans="1:31" x14ac:dyDescent="0.25">
      <c r="A114" s="14"/>
      <c r="B114" s="115">
        <v>110</v>
      </c>
      <c r="C114" s="115">
        <v>4.91</v>
      </c>
      <c r="D114" s="117" t="s">
        <v>342</v>
      </c>
      <c r="E114" s="106">
        <f>'2021'!BH989</f>
        <v>424.02</v>
      </c>
      <c r="F114" s="106">
        <f>'2021'!BH990</f>
        <v>109.1</v>
      </c>
      <c r="G114" s="106">
        <f>'2021'!BH991</f>
        <v>38.02</v>
      </c>
      <c r="H114" s="106">
        <f>'2021'!BH992</f>
        <v>0</v>
      </c>
      <c r="I114" s="106">
        <f>'2021'!BH993</f>
        <v>10802</v>
      </c>
      <c r="J114" s="106">
        <f>'2021'!BH994</f>
        <v>500</v>
      </c>
      <c r="K114" s="106">
        <f>'2021'!BH995</f>
        <v>2455</v>
      </c>
      <c r="L114" s="106">
        <f>'2021'!BH996</f>
        <v>500</v>
      </c>
      <c r="M114" s="106">
        <f t="shared" si="0"/>
        <v>14828.14</v>
      </c>
      <c r="N114" s="106">
        <v>13757</v>
      </c>
      <c r="O114" s="37">
        <f t="shared" si="16"/>
        <v>31</v>
      </c>
      <c r="P114" s="15"/>
      <c r="Q114" s="34"/>
      <c r="R114" s="34"/>
      <c r="S114" s="37"/>
      <c r="T114" s="15"/>
      <c r="U114" s="15"/>
      <c r="V114" s="15"/>
      <c r="W114" s="15"/>
      <c r="X114" s="284">
        <f t="shared" si="1"/>
        <v>42.65</v>
      </c>
      <c r="Y114" s="281">
        <f t="shared" si="2"/>
        <v>13757</v>
      </c>
      <c r="Z114" s="42">
        <f t="shared" si="4"/>
        <v>13757</v>
      </c>
      <c r="AA114" s="2" t="b">
        <f>D114='2021'!C990</f>
        <v>1</v>
      </c>
      <c r="AB114" s="2" t="b">
        <f>X114='2021'!AQ989</f>
        <v>0</v>
      </c>
      <c r="AC114" s="34"/>
      <c r="AD114" s="34"/>
      <c r="AE114" s="34"/>
    </row>
    <row r="115" ht="15.75" customHeight="1" spans="1:31" x14ac:dyDescent="0.25">
      <c r="A115" s="14"/>
      <c r="B115" s="115">
        <v>111</v>
      </c>
      <c r="C115" s="116">
        <v>6.8</v>
      </c>
      <c r="D115" s="2" t="s">
        <v>513</v>
      </c>
      <c r="E115" s="106">
        <f>'2021'!BH998</f>
        <v>0.1</v>
      </c>
      <c r="F115" s="106">
        <f>'2021'!BH999</f>
        <v>-13.4</v>
      </c>
      <c r="G115" s="106">
        <f>'2021'!BH1000</f>
        <v>-326.36</v>
      </c>
      <c r="H115" s="106">
        <f>'2021'!BH1001</f>
        <v>0</v>
      </c>
      <c r="I115" s="106">
        <f>'2021'!BH1002</f>
        <v>0</v>
      </c>
      <c r="J115" s="106">
        <f>'2021'!BH1003</f>
        <v>0</v>
      </c>
      <c r="K115" s="106">
        <f>'2021'!BH1004</f>
        <v>0</v>
      </c>
      <c r="L115" s="106">
        <f>'2021'!BH1005</f>
        <v>0</v>
      </c>
      <c r="M115" s="106">
        <f t="shared" si="0"/>
        <v>-339.66</v>
      </c>
      <c r="N115" s="106">
        <v>0</v>
      </c>
      <c r="O115" s="37"/>
      <c r="P115" s="15"/>
      <c r="Q115" s="34"/>
      <c r="R115" s="34"/>
      <c r="S115" s="37"/>
      <c r="T115" s="15"/>
      <c r="U115" s="15"/>
      <c r="V115" s="15"/>
      <c r="W115" s="15"/>
      <c r="X115" s="285">
        <f t="shared" si="1"/>
        <v>0</v>
      </c>
      <c r="Y115" s="281">
        <f t="shared" si="2"/>
        <v>0</v>
      </c>
      <c r="Z115" s="42">
        <f t="shared" si="4"/>
        <v>0</v>
      </c>
      <c r="AA115" s="2" t="b">
        <f>D115='2021'!C999</f>
        <v>1</v>
      </c>
      <c r="AB115" s="2" t="b">
        <f>X115='2021'!AQ998</f>
        <v>1</v>
      </c>
      <c r="AC115" s="34"/>
      <c r="AD115" s="34"/>
      <c r="AE115" s="34"/>
    </row>
    <row r="116" ht="15.75" customHeight="1" spans="1:31" x14ac:dyDescent="0.25">
      <c r="A116" s="14"/>
      <c r="B116" s="115">
        <v>112</v>
      </c>
      <c r="C116" s="115">
        <v>4.94</v>
      </c>
      <c r="D116" s="117" t="s">
        <v>347</v>
      </c>
      <c r="E116" s="106">
        <f>'2021'!BH1007</f>
        <v>28.25</v>
      </c>
      <c r="F116" s="106">
        <f>'2021'!BH1008</f>
        <v>31.41</v>
      </c>
      <c r="G116" s="106">
        <f>'2021'!BH1009</f>
        <v>80.93</v>
      </c>
      <c r="H116" s="106">
        <f>'2021'!BH1010</f>
        <v>0</v>
      </c>
      <c r="I116" s="106">
        <f>'2021'!BH1011</f>
        <v>-129.79</v>
      </c>
      <c r="J116" s="106">
        <f>'2021'!BH1012</f>
        <v>0</v>
      </c>
      <c r="K116" s="106">
        <f>'2021'!BH1013</f>
        <v>0</v>
      </c>
      <c r="L116" s="106">
        <f>'2021'!BH1014</f>
        <v>0</v>
      </c>
      <c r="M116" s="106">
        <f t="shared" si="0"/>
        <v>10.8</v>
      </c>
      <c r="N116" s="106">
        <v>-129.79</v>
      </c>
      <c r="O116" s="37"/>
      <c r="Q116" s="34"/>
      <c r="R116" s="34"/>
      <c r="X116" s="285">
        <f t="shared" si="1"/>
        <v>0</v>
      </c>
      <c r="Y116" s="281">
        <f t="shared" si="2"/>
        <v>-129.79</v>
      </c>
      <c r="Z116" s="42">
        <f t="shared" si="4"/>
        <v>-129.79</v>
      </c>
      <c r="AA116" s="2" t="b">
        <f>D116='2021'!C1008</f>
        <v>1</v>
      </c>
      <c r="AB116" s="2" t="b">
        <f>X116='2021'!AQ1007</f>
        <v>1</v>
      </c>
      <c r="AC116" s="34"/>
      <c r="AD116" s="34"/>
      <c r="AE116" s="34"/>
    </row>
    <row r="117" ht="15.75" customHeight="1" spans="1:31" x14ac:dyDescent="0.25">
      <c r="A117" s="14"/>
      <c r="B117" s="115">
        <v>113</v>
      </c>
      <c r="C117" s="115">
        <v>4.98</v>
      </c>
      <c r="D117" s="117" t="s">
        <v>348</v>
      </c>
      <c r="E117" s="106">
        <f>'2021'!BH1016</f>
        <v>1120.45</v>
      </c>
      <c r="F117" s="106">
        <f>'2021'!BH1017</f>
        <v>5.4</v>
      </c>
      <c r="G117" s="106">
        <f>'2021'!BH1018</f>
        <v>0</v>
      </c>
      <c r="H117" s="106">
        <f>'2021'!BH1019</f>
        <v>0</v>
      </c>
      <c r="I117" s="106">
        <f>'2021'!BH1020</f>
        <v>22225.14</v>
      </c>
      <c r="J117" s="106">
        <f>'2021'!BH1021</f>
        <v>1500</v>
      </c>
      <c r="K117" s="106">
        <f>'2021'!BH1022</f>
        <v>2490</v>
      </c>
      <c r="L117" s="106">
        <f>'2021'!BH1023</f>
        <v>1350</v>
      </c>
      <c r="M117" s="106">
        <f t="shared" si="0"/>
        <v>28690.99</v>
      </c>
      <c r="N117" s="106">
        <v>26215.14</v>
      </c>
      <c r="O117" s="37">
        <f>IF(P117&gt;0,P117-1,$O$1)</f>
        <v>31</v>
      </c>
      <c r="P117" s="15"/>
      <c r="Q117" s="15"/>
      <c r="R117" s="15"/>
      <c r="S117" s="15"/>
      <c r="T117" s="15"/>
      <c r="U117" s="15"/>
      <c r="V117" s="15"/>
      <c r="W117" s="15"/>
      <c r="X117" s="284">
        <f t="shared" si="1"/>
        <v>81.27</v>
      </c>
      <c r="Y117" s="281">
        <f t="shared" si="2"/>
        <v>26215.14</v>
      </c>
      <c r="Z117" s="42">
        <f t="shared" si="4"/>
        <v>26215.14</v>
      </c>
      <c r="AA117" s="2" t="b">
        <f>D117='2021'!C1017</f>
        <v>1</v>
      </c>
      <c r="AB117" s="2" t="b">
        <f>X117='2021'!AQ1016</f>
        <v>0</v>
      </c>
      <c r="AC117" s="34"/>
      <c r="AD117" s="34"/>
      <c r="AE117" s="34"/>
    </row>
    <row r="118" ht="15.75" customHeight="1" spans="1:31" x14ac:dyDescent="0.25">
      <c r="A118" s="14"/>
      <c r="B118" s="118">
        <v>114</v>
      </c>
      <c r="C118" s="115">
        <v>4.86</v>
      </c>
      <c r="D118" s="2" t="s">
        <v>515</v>
      </c>
      <c r="E118" s="106">
        <f>'2021'!BH1025</f>
        <v>10.48</v>
      </c>
      <c r="F118" s="106">
        <f>'2021'!BH1026</f>
        <v>-184.1</v>
      </c>
      <c r="G118" s="106">
        <f>'2021'!BH1027</f>
        <v>-251.46</v>
      </c>
      <c r="H118" s="106">
        <f>'2021'!BH1028</f>
        <v>0</v>
      </c>
      <c r="I118" s="106">
        <f>'2021'!BH1029</f>
        <v>-8</v>
      </c>
      <c r="J118" s="106">
        <f>'2021'!BH1030</f>
        <v>0</v>
      </c>
      <c r="K118" s="106">
        <f>'2021'!BH1031</f>
        <v>0</v>
      </c>
      <c r="L118" s="106">
        <f>'2021'!BH1032</f>
        <v>0</v>
      </c>
      <c r="M118" s="106">
        <f t="shared" si="0"/>
        <v>-433.08</v>
      </c>
      <c r="N118" s="106">
        <v>-7.99999999999909</v>
      </c>
      <c r="O118" s="287"/>
      <c r="P118" s="15"/>
      <c r="Q118" s="34"/>
      <c r="R118" s="34"/>
      <c r="T118" s="15"/>
      <c r="U118" s="34"/>
      <c r="V118" s="34"/>
      <c r="W118" s="37"/>
      <c r="X118" s="285">
        <f t="shared" si="1"/>
        <v>0</v>
      </c>
      <c r="Y118" s="281">
        <f t="shared" si="2"/>
        <v>-8</v>
      </c>
      <c r="Z118" s="42">
        <f t="shared" si="4"/>
        <v>-8</v>
      </c>
      <c r="AA118" s="2" t="b">
        <f>D118='2021'!C1026</f>
        <v>1</v>
      </c>
      <c r="AB118" s="2" t="b">
        <f>X118='2021'!AQ1025</f>
        <v>1</v>
      </c>
      <c r="AC118" s="34"/>
      <c r="AD118" s="34"/>
      <c r="AE118" s="34"/>
    </row>
    <row r="119" ht="15.75" customHeight="1" spans="1:30" x14ac:dyDescent="0.25">
      <c r="A119" s="117"/>
      <c r="B119" s="115" t="s">
        <v>350</v>
      </c>
      <c r="C119" s="116">
        <f>SUM(C5:C118)</f>
        <v>505.74</v>
      </c>
      <c r="D119" s="117"/>
      <c r="E119" s="106">
        <f t="shared" ref="E119:N119" si="17">SUM(E5:E118)</f>
        <v>15118.39</v>
      </c>
      <c r="F119" s="106">
        <f t="shared" si="17"/>
        <v>39640.791</v>
      </c>
      <c r="G119" s="106">
        <f t="shared" si="17"/>
        <v>1152.7</v>
      </c>
      <c r="H119" s="106">
        <f t="shared" si="17"/>
        <v>16</v>
      </c>
      <c r="I119" s="106">
        <f t="shared" si="17"/>
        <v>226662.11</v>
      </c>
      <c r="J119" s="106">
        <f t="shared" si="17"/>
        <v>35234.637</v>
      </c>
      <c r="K119" s="106">
        <f t="shared" si="17"/>
        <v>40488.5</v>
      </c>
      <c r="L119" s="106">
        <f t="shared" si="17"/>
        <v>11150</v>
      </c>
      <c r="M119" s="288">
        <f t="shared" si="17"/>
        <v>369463.128</v>
      </c>
      <c r="N119" s="106">
        <f t="shared" si="17"/>
        <v>347166.417</v>
      </c>
      <c r="O119" s="106"/>
      <c r="P119" s="117"/>
      <c r="Q119" s="289">
        <f>SUM(Q5:Q118)</f>
        <v>0</v>
      </c>
      <c r="R119" s="117"/>
      <c r="S119" s="117"/>
      <c r="T119" s="117"/>
      <c r="U119" s="106">
        <f>SUM(U5:U118)</f>
        <v>0</v>
      </c>
      <c r="V119" s="117"/>
      <c r="W119" s="117"/>
      <c r="X119" s="290">
        <f>SUBTOTAL(9,X5:X118)</f>
        <v>1099.45</v>
      </c>
      <c r="Y119" s="291">
        <f t="shared" ref="Y119:Z119" si="18">SUM(Y5:Y118)</f>
        <v>347166.417</v>
      </c>
      <c r="Z119" s="106">
        <f t="shared" si="18"/>
        <v>302385.247</v>
      </c>
      <c r="AB119" s="292" t="b">
        <f>X119='2021'!AQ1036</f>
        <v>0</v>
      </c>
      <c r="AC119" s="291"/>
      <c r="AD119" s="291"/>
    </row>
    <row r="120" ht="15.75" customHeight="1" spans="1:17" x14ac:dyDescent="0.25">
      <c r="A120" s="15"/>
      <c r="B120" s="112"/>
      <c r="C120" s="112"/>
      <c r="Q120" s="34"/>
    </row>
    <row r="121" ht="15.75" customHeight="1" spans="1:30" x14ac:dyDescent="0.25" outlineLevel="1" collapsed="1">
      <c r="A121" s="15"/>
      <c r="B121" s="112"/>
      <c r="C121" s="112"/>
      <c r="E121" s="120" t="b">
        <f>E119='2021'!BH1036</f>
        <v>1</v>
      </c>
      <c r="F121" s="120" t="b">
        <f>F119='2021'!BH1037</f>
        <v>1</v>
      </c>
      <c r="G121" s="120" t="b">
        <f>G119='2021'!BH1038</f>
        <v>1</v>
      </c>
      <c r="H121" s="120" t="b">
        <f>H119='2021'!BH1039</f>
        <v>1</v>
      </c>
      <c r="I121" s="120" t="b">
        <f>I119='2021'!BH1040</f>
        <v>1</v>
      </c>
      <c r="J121" s="120" t="b">
        <f>J119='2021'!BH1041</f>
        <v>1</v>
      </c>
      <c r="K121" s="120" t="b">
        <f>K119='2021'!BH1042</f>
        <v>1</v>
      </c>
      <c r="L121" s="120" t="b">
        <f>L119='2021'!BH1043</f>
        <v>1</v>
      </c>
      <c r="M121" s="293" t="b">
        <f>M119='2021'!BH1035</f>
        <v>1</v>
      </c>
      <c r="N121" s="112"/>
      <c r="Y121" s="34" t="b">
        <f>Y119=N119-Q119-U119</f>
        <v>1</v>
      </c>
      <c r="Z121" s="2" t="b">
        <f>Z119=('2020'!BH1040+'2020'!BH1041+'2020'!BH1042)-AC119-AD119</f>
        <v>0</v>
      </c>
      <c r="AC121" s="34" t="b">
        <f>AC119='2020'!AQ1041</f>
        <v>0</v>
      </c>
      <c r="AD121" s="34" t="b">
        <f>AD119='2020'!AQ1042</f>
        <v>0</v>
      </c>
    </row>
    <row r="122" ht="15.75" customHeight="1" spans="1:25" x14ac:dyDescent="0.25">
      <c r="A122" s="15"/>
      <c r="B122" s="112"/>
      <c r="C122" s="112"/>
      <c r="Y122" s="154"/>
    </row>
    <row r="123" ht="15.75" customHeight="1" spans="1:14" x14ac:dyDescent="0.25">
      <c r="A123" s="15"/>
      <c r="B123" s="112"/>
      <c r="C123" s="112"/>
      <c r="I123" s="2" t="s">
        <v>538</v>
      </c>
      <c r="N123" s="34"/>
    </row>
    <row r="124" ht="15.75" customHeight="1" spans="1:3" x14ac:dyDescent="0.25">
      <c r="A124" s="15"/>
      <c r="B124" s="112"/>
      <c r="C124" s="112"/>
    </row>
    <row r="125" ht="15.75" customHeight="1" spans="1:14" x14ac:dyDescent="0.25">
      <c r="A125" s="15"/>
      <c r="B125" s="112"/>
      <c r="C125" s="112"/>
      <c r="N125" s="34"/>
    </row>
    <row r="126" ht="15.75" customHeight="1" spans="1:14" x14ac:dyDescent="0.25">
      <c r="A126" s="15"/>
      <c r="B126" s="112"/>
      <c r="C126" s="112"/>
      <c r="N126" s="34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spans="1:3" x14ac:dyDescent="0.25">
      <c r="A316" s="15"/>
      <c r="B316" s="112"/>
      <c r="C316" s="112"/>
    </row>
    <row r="317" ht="15.75" customHeight="1" spans="1:3" x14ac:dyDescent="0.25">
      <c r="A317" s="15"/>
      <c r="B317" s="112"/>
      <c r="C317" s="112"/>
    </row>
    <row r="318" ht="15.75" customHeight="1" spans="1:3" x14ac:dyDescent="0.25">
      <c r="A318" s="15"/>
      <c r="B318" s="112"/>
      <c r="C318" s="112"/>
    </row>
    <row r="319" ht="15.75" customHeight="1" spans="1:3" x14ac:dyDescent="0.25">
      <c r="A319" s="15"/>
      <c r="B319" s="112"/>
      <c r="C319" s="112"/>
    </row>
    <row r="320" ht="15.75" customHeight="1" spans="1:3" x14ac:dyDescent="0.25">
      <c r="A320" s="15"/>
      <c r="B320" s="112"/>
      <c r="C320" s="112"/>
    </row>
    <row r="321" ht="15.75" customHeight="1" spans="1:3" x14ac:dyDescent="0.25">
      <c r="A321" s="15"/>
      <c r="B321" s="112"/>
      <c r="C321" s="112"/>
    </row>
    <row r="322" ht="15.75" customHeight="1" spans="1:3" x14ac:dyDescent="0.25">
      <c r="A322" s="15"/>
      <c r="B322" s="112"/>
      <c r="C322" s="112"/>
    </row>
    <row r="323" ht="15.75" customHeight="1" spans="1:3" x14ac:dyDescent="0.25">
      <c r="A323" s="15"/>
      <c r="B323" s="112"/>
      <c r="C323" s="112"/>
    </row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A$1:$AD$118"/>
  <mergeCells count="3">
    <mergeCell ref="P3:S3"/>
    <mergeCell ref="T3:W3"/>
    <mergeCell ref="AC3:AD3"/>
  </mergeCells>
  <conditionalFormatting sqref="N5:N118">
    <cfRule type="cellIs" dxfId="1" priority="1" operator="greaterThan">
      <formula>0.1</formula>
    </cfRule>
  </conditionalFormatting>
  <pageMargins left="0.39375" right="0" top="0.196527777777778" bottom="0.196527777777778" header="0" footer="0"/>
  <pageSetup paperSize="9" orientation="portrait" horizontalDpi="4294967295" verticalDpi="4294967295" scale="100" fitToWidth="1" fitToHeight="0" firstPageNumber="1" useFirstPageNumber="1" copies="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F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14" customWidth="1"/>
    <col min="2" max="2" width="7.14" customWidth="1"/>
    <col min="3" max="3" width="6.43" outlineLevel="1" collapsed="1" customWidth="1"/>
    <col min="4" max="4" width="13.86" outlineLevel="1" collapsed="1" customWidth="1"/>
    <col min="5" max="6" width="7.14" customWidth="1"/>
    <col min="7" max="7" width="7.14" outlineLevel="1" collapsed="1" customWidth="1"/>
    <col min="8" max="8" width="7.14" customWidth="1"/>
    <col min="9" max="9" width="7.14" outlineLevel="1" collapsed="1" customWidth="1"/>
    <col min="10" max="10" width="7.14" customWidth="1"/>
    <col min="11" max="11" width="7.14" outlineLevel="1" collapsed="1" customWidth="1"/>
    <col min="12" max="12" width="7.14" customWidth="1"/>
    <col min="13" max="13" width="7.14" outlineLevel="1" collapsed="1" customWidth="1"/>
    <col min="14" max="14" width="7.14" customWidth="1"/>
    <col min="15" max="15" width="7.14" outlineLevel="1" collapsed="1" customWidth="1"/>
    <col min="16" max="16" width="7.14" customWidth="1"/>
    <col min="17" max="17" width="7.14" outlineLevel="1" collapsed="1" customWidth="1"/>
    <col min="18" max="18" width="7.14" customWidth="1"/>
    <col min="19" max="19" width="7.14" outlineLevel="1" collapsed="1" customWidth="1"/>
    <col min="20" max="20" width="7.14" customWidth="1"/>
    <col min="21" max="21" width="7.14" outlineLevel="1" collapsed="1" customWidth="1"/>
    <col min="22" max="22" width="7.14" customWidth="1"/>
    <col min="23" max="23" width="7.14" outlineLevel="1" collapsed="1" customWidth="1"/>
    <col min="24" max="24" width="7.14" customWidth="1"/>
    <col min="25" max="25" width="7.14" outlineLevel="1" collapsed="1" customWidth="1"/>
    <col min="26" max="26" width="7.14" customWidth="1"/>
    <col min="27" max="27" width="8.43" outlineLevel="1" collapsed="1" customWidth="1"/>
    <col min="28" max="28" width="7.14" outlineLevel="1" collapsed="1" customWidth="1"/>
    <col min="29" max="29" width="7.14" customWidth="1"/>
    <col min="30" max="30" width="7.14" outlineLevel="1" collapsed="1" customWidth="1"/>
    <col min="31" max="31" width="7.43" customWidth="1"/>
    <col min="32" max="32" width="8.86" outlineLevel="1" collapsed="1" customWidth="1"/>
  </cols>
  <sheetData>
    <row r="1" spans="1:16" x14ac:dyDescent="0.25">
      <c r="A1" s="1" t="s">
        <v>365</v>
      </c>
      <c r="B1" s="112"/>
      <c r="C1" s="112"/>
      <c r="E1" s="2" t="str">
        <f>'2021'!F1</f>
        <v>на 15 декабря 2021 года</v>
      </c>
      <c r="F1" s="1"/>
      <c r="G1" s="1"/>
      <c r="H1" s="1"/>
      <c r="I1" s="1"/>
      <c r="J1" s="1"/>
      <c r="L1" s="1"/>
      <c r="M1" s="1"/>
      <c r="N1" s="1"/>
      <c r="O1" s="1"/>
      <c r="P1" s="1"/>
    </row>
    <row r="2" spans="1:3" x14ac:dyDescent="0.25">
      <c r="A2" s="15" t="s">
        <v>366</v>
      </c>
      <c r="B2" s="112"/>
      <c r="C2" s="112"/>
    </row>
    <row r="3" spans="1:32" x14ac:dyDescent="0.25">
      <c r="A3" s="4"/>
      <c r="B3" s="17" t="s">
        <v>2</v>
      </c>
      <c r="C3" s="17" t="s">
        <v>354</v>
      </c>
      <c r="D3" s="16" t="s">
        <v>355</v>
      </c>
      <c r="E3" s="11" t="s">
        <v>9</v>
      </c>
      <c r="F3" s="12"/>
      <c r="G3" s="11" t="s">
        <v>10</v>
      </c>
      <c r="H3" s="12"/>
      <c r="I3" s="11" t="s">
        <v>11</v>
      </c>
      <c r="J3" s="12"/>
      <c r="K3" s="11" t="s">
        <v>12</v>
      </c>
      <c r="L3" s="12"/>
      <c r="M3" s="11" t="s">
        <v>13</v>
      </c>
      <c r="N3" s="12"/>
      <c r="O3" s="11" t="s">
        <v>14</v>
      </c>
      <c r="P3" s="12"/>
      <c r="Q3" s="11" t="s">
        <v>15</v>
      </c>
      <c r="R3" s="12"/>
      <c r="S3" s="11" t="s">
        <v>16</v>
      </c>
      <c r="T3" s="12"/>
      <c r="U3" s="11" t="s">
        <v>17</v>
      </c>
      <c r="V3" s="12"/>
      <c r="W3" s="11" t="s">
        <v>18</v>
      </c>
      <c r="X3" s="12"/>
      <c r="Y3" s="6" t="s">
        <v>19</v>
      </c>
      <c r="Z3" s="9"/>
      <c r="AA3" s="7"/>
      <c r="AB3" s="6" t="s">
        <v>20</v>
      </c>
      <c r="AC3" s="9"/>
      <c r="AD3" s="7"/>
      <c r="AE3" s="17" t="s">
        <v>367</v>
      </c>
      <c r="AF3" s="17" t="s">
        <v>368</v>
      </c>
    </row>
    <row r="4" spans="1:32" x14ac:dyDescent="0.25">
      <c r="A4" s="21"/>
      <c r="B4" s="24" t="s">
        <v>23</v>
      </c>
      <c r="C4" s="24"/>
      <c r="D4" s="23"/>
      <c r="E4" s="4" t="s">
        <v>30</v>
      </c>
      <c r="F4" s="4" t="s">
        <v>3</v>
      </c>
      <c r="G4" s="4" t="s">
        <v>30</v>
      </c>
      <c r="H4" s="4" t="s">
        <v>3</v>
      </c>
      <c r="I4" s="4" t="s">
        <v>30</v>
      </c>
      <c r="J4" s="4" t="s">
        <v>3</v>
      </c>
      <c r="K4" s="4" t="s">
        <v>30</v>
      </c>
      <c r="L4" s="4" t="s">
        <v>3</v>
      </c>
      <c r="M4" s="4" t="s">
        <v>30</v>
      </c>
      <c r="N4" s="4" t="s">
        <v>3</v>
      </c>
      <c r="O4" s="4" t="s">
        <v>30</v>
      </c>
      <c r="P4" s="4" t="s">
        <v>3</v>
      </c>
      <c r="Q4" s="4" t="s">
        <v>30</v>
      </c>
      <c r="R4" s="4" t="s">
        <v>3</v>
      </c>
      <c r="S4" s="4" t="s">
        <v>30</v>
      </c>
      <c r="T4" s="4" t="s">
        <v>3</v>
      </c>
      <c r="U4" s="4" t="s">
        <v>30</v>
      </c>
      <c r="V4" s="4" t="s">
        <v>3</v>
      </c>
      <c r="W4" s="4" t="s">
        <v>30</v>
      </c>
      <c r="X4" s="4" t="s">
        <v>3</v>
      </c>
      <c r="Y4" s="4" t="s">
        <v>30</v>
      </c>
      <c r="Z4" s="4" t="s">
        <v>3</v>
      </c>
      <c r="AA4" s="4" t="s">
        <v>369</v>
      </c>
      <c r="AB4" s="4" t="s">
        <v>30</v>
      </c>
      <c r="AC4" s="4" t="s">
        <v>3</v>
      </c>
      <c r="AD4" s="4" t="s">
        <v>369</v>
      </c>
      <c r="AE4" s="113" t="s">
        <v>370</v>
      </c>
      <c r="AF4" s="113" t="s">
        <v>370</v>
      </c>
    </row>
    <row r="5" spans="1:32" x14ac:dyDescent="0.25">
      <c r="A5" s="114" t="s">
        <v>41</v>
      </c>
      <c r="B5" s="115">
        <v>1</v>
      </c>
      <c r="C5" s="116">
        <v>4</v>
      </c>
      <c r="D5" s="117" t="s">
        <v>43</v>
      </c>
      <c r="E5" s="119">
        <f>'2021'!I8</f>
        <v>5601</v>
      </c>
      <c r="F5" s="21">
        <f>'2021'!J8</f>
        <v>49</v>
      </c>
      <c r="G5" s="119">
        <f>'2021'!M8</f>
        <v>5691</v>
      </c>
      <c r="H5" s="119">
        <f>'2021'!N8</f>
        <v>90</v>
      </c>
      <c r="I5" s="119">
        <f>'2021'!Q8</f>
        <v>5744</v>
      </c>
      <c r="J5" s="119">
        <f>'2021'!R8</f>
        <v>53</v>
      </c>
      <c r="K5" s="119">
        <f>'2021'!U8</f>
        <v>5806</v>
      </c>
      <c r="L5" s="119">
        <f>'2021'!V8</f>
        <v>62</v>
      </c>
      <c r="M5" s="119">
        <f>'2021'!Y8</f>
        <v>5809</v>
      </c>
      <c r="N5" s="119">
        <f>'2021'!Z8</f>
        <v>3</v>
      </c>
      <c r="O5" s="119">
        <f>'2021'!AC8</f>
        <v>5853</v>
      </c>
      <c r="P5" s="119">
        <f>'2021'!AD8</f>
        <v>44</v>
      </c>
      <c r="Q5" s="119">
        <f>'2021'!AG8</f>
        <v>5909</v>
      </c>
      <c r="R5" s="119">
        <f>'2021'!AH8</f>
        <v>56</v>
      </c>
      <c r="S5" s="119">
        <f>'2021'!AK8</f>
        <v>5965</v>
      </c>
      <c r="T5" s="119">
        <f>'2021'!AL8</f>
        <v>56</v>
      </c>
      <c r="U5" s="119">
        <f>'2021'!AO8</f>
        <v>6012</v>
      </c>
      <c r="V5" s="119">
        <f>'2021'!AP8</f>
        <v>47</v>
      </c>
      <c r="W5" s="119">
        <f>'2021'!AS8</f>
        <v>6067</v>
      </c>
      <c r="X5" s="119">
        <f>'2021'!AT8</f>
        <v>55</v>
      </c>
      <c r="Y5" s="119">
        <f>'2021'!AW8</f>
        <v>6159</v>
      </c>
      <c r="Z5" s="119">
        <f>'2021'!AX8</f>
        <v>92</v>
      </c>
      <c r="AA5" s="119"/>
      <c r="AB5" s="119">
        <f>'2021'!BA8</f>
        <v>6215</v>
      </c>
      <c r="AC5" s="119">
        <f>'2021'!BB8</f>
        <v>56</v>
      </c>
      <c r="AD5" s="119"/>
      <c r="AE5" s="119">
        <f>'2021'!BE8</f>
        <v>663</v>
      </c>
      <c r="AF5" s="119">
        <f t="shared" ref="AF5:AF118" si="0">AA5+AD5</f>
        <v>0</v>
      </c>
    </row>
    <row r="6" spans="1:32" x14ac:dyDescent="0.25">
      <c r="A6" s="14"/>
      <c r="B6" s="115">
        <v>2</v>
      </c>
      <c r="C6" s="115">
        <v>4.12</v>
      </c>
      <c r="D6" s="117" t="s">
        <v>359</v>
      </c>
      <c r="E6" s="119">
        <f>'2021'!I18</f>
        <v>29520</v>
      </c>
      <c r="F6" s="119">
        <f>'2021'!J18</f>
        <v>1000</v>
      </c>
      <c r="G6" s="119">
        <f>'2021'!M18</f>
        <v>30384</v>
      </c>
      <c r="H6" s="119">
        <f>'2021'!N18</f>
        <v>864</v>
      </c>
      <c r="I6" s="119">
        <f>'2021'!Q18</f>
        <v>31034</v>
      </c>
      <c r="J6" s="119">
        <f>'2021'!R18</f>
        <v>650</v>
      </c>
      <c r="K6" s="119">
        <f>'2021'!U18</f>
        <v>31661</v>
      </c>
      <c r="L6" s="119">
        <f>'2021'!V18</f>
        <v>627</v>
      </c>
      <c r="M6" s="119">
        <f>'2021'!Y18</f>
        <v>32280</v>
      </c>
      <c r="N6" s="119">
        <f>'2021'!Z18</f>
        <v>619</v>
      </c>
      <c r="O6" s="119">
        <f>'2021'!AC18</f>
        <v>32772</v>
      </c>
      <c r="P6" s="119">
        <f>'2021'!AD18</f>
        <v>492</v>
      </c>
      <c r="Q6" s="119">
        <f>'2021'!AG18</f>
        <v>33338</v>
      </c>
      <c r="R6" s="119">
        <f>'2021'!AH18</f>
        <v>566</v>
      </c>
      <c r="S6" s="119">
        <f>'2021'!AK18</f>
        <v>33845</v>
      </c>
      <c r="T6" s="119">
        <f>'2021'!AL18</f>
        <v>507</v>
      </c>
      <c r="U6" s="119">
        <f>'2021'!AO18</f>
        <v>34224</v>
      </c>
      <c r="V6" s="119">
        <f>'2021'!AP18</f>
        <v>379</v>
      </c>
      <c r="W6" s="119">
        <f>'2021'!AS18</f>
        <v>34636</v>
      </c>
      <c r="X6" s="119">
        <f>'2021'!AT18</f>
        <v>412</v>
      </c>
      <c r="Y6" s="119">
        <f>'2021'!AW18</f>
        <v>35166</v>
      </c>
      <c r="Z6" s="119">
        <f>'2021'!AX18</f>
        <v>530</v>
      </c>
      <c r="AA6" s="119"/>
      <c r="AB6" s="119">
        <f>'2021'!BA18</f>
        <v>35593</v>
      </c>
      <c r="AC6" s="119">
        <f>'2021'!BB18</f>
        <v>427</v>
      </c>
      <c r="AD6" s="119"/>
      <c r="AE6" s="119">
        <f>'2021'!BE18</f>
        <v>7073</v>
      </c>
      <c r="AF6" s="119">
        <f t="shared" si="0"/>
        <v>0</v>
      </c>
    </row>
    <row r="7" spans="1:32" x14ac:dyDescent="0.25">
      <c r="A7" s="14"/>
      <c r="B7" s="115">
        <v>3</v>
      </c>
      <c r="C7" s="116">
        <v>4</v>
      </c>
      <c r="D7" s="117" t="s">
        <v>60</v>
      </c>
      <c r="E7" s="119">
        <f>'2021'!I27</f>
        <v>56</v>
      </c>
      <c r="F7" s="119">
        <f>'2021'!J27</f>
        <v>0</v>
      </c>
      <c r="G7" s="119">
        <f>'2021'!M27</f>
        <v>56</v>
      </c>
      <c r="H7" s="119">
        <f>'2021'!N27</f>
        <v>0</v>
      </c>
      <c r="I7" s="119">
        <f>'2021'!Q27</f>
        <v>56</v>
      </c>
      <c r="J7" s="119">
        <f>'2021'!R27</f>
        <v>0</v>
      </c>
      <c r="K7" s="119">
        <f>'2021'!U27</f>
        <v>56</v>
      </c>
      <c r="L7" s="119">
        <f>'2021'!V27</f>
        <v>0</v>
      </c>
      <c r="M7" s="119">
        <f>'2021'!Y27</f>
        <v>59</v>
      </c>
      <c r="N7" s="119">
        <f>'2021'!Z27</f>
        <v>3</v>
      </c>
      <c r="O7" s="119">
        <f>'2021'!AC27</f>
        <v>61</v>
      </c>
      <c r="P7" s="119">
        <f>'2021'!AD27</f>
        <v>2</v>
      </c>
      <c r="Q7" s="119">
        <f>'2021'!AG27</f>
        <v>62</v>
      </c>
      <c r="R7" s="119">
        <f>'2021'!AH27</f>
        <v>1</v>
      </c>
      <c r="S7" s="119">
        <f>'2021'!AK27</f>
        <v>62</v>
      </c>
      <c r="T7" s="119">
        <f>'2021'!AL27</f>
        <v>0</v>
      </c>
      <c r="U7" s="119">
        <f>'2021'!AO27</f>
        <v>62</v>
      </c>
      <c r="V7" s="119">
        <f>'2021'!AP27</f>
        <v>0</v>
      </c>
      <c r="W7" s="119">
        <f>'2021'!AS27</f>
        <v>63</v>
      </c>
      <c r="X7" s="119">
        <f>'2021'!AT27</f>
        <v>1</v>
      </c>
      <c r="Y7" s="119">
        <f>'2021'!AW27</f>
        <v>63</v>
      </c>
      <c r="Z7" s="119">
        <f>'2021'!AX27</f>
        <v>0</v>
      </c>
      <c r="AA7" s="119"/>
      <c r="AB7" s="119">
        <f>'2021'!BA27</f>
        <v>63</v>
      </c>
      <c r="AC7" s="119">
        <f>'2021'!BB27</f>
        <v>0</v>
      </c>
      <c r="AD7" s="119"/>
      <c r="AE7" s="119">
        <f>'2021'!BE27</f>
        <v>7</v>
      </c>
      <c r="AF7" s="119">
        <f t="shared" si="0"/>
        <v>0</v>
      </c>
    </row>
    <row r="8" spans="1:32" x14ac:dyDescent="0.25">
      <c r="A8" s="14"/>
      <c r="B8" s="115">
        <v>4</v>
      </c>
      <c r="C8" s="115">
        <v>3.95</v>
      </c>
      <c r="D8" s="117" t="s">
        <v>64</v>
      </c>
      <c r="E8" s="119">
        <f>'2021'!I36</f>
        <v>0</v>
      </c>
      <c r="F8" s="119">
        <f>'2021'!J36</f>
        <v>0</v>
      </c>
      <c r="G8" s="119">
        <f>'2021'!M36</f>
        <v>0</v>
      </c>
      <c r="H8" s="119">
        <f>'2021'!N36</f>
        <v>0</v>
      </c>
      <c r="I8" s="119">
        <f>'2021'!Q36</f>
        <v>0</v>
      </c>
      <c r="J8" s="119">
        <f>'2021'!R36</f>
        <v>0</v>
      </c>
      <c r="K8" s="119">
        <f>'2021'!U36</f>
        <v>0</v>
      </c>
      <c r="L8" s="119">
        <f>'2021'!V36</f>
        <v>0</v>
      </c>
      <c r="M8" s="119">
        <f>'2021'!Y36</f>
      </c>
      <c r="N8" s="119">
        <f>'2021'!Z36</f>
        <v>0</v>
      </c>
      <c r="O8" s="119">
        <f>'2021'!AC36</f>
      </c>
      <c r="P8" s="119">
        <f>'2021'!AD36</f>
        <v>0</v>
      </c>
      <c r="Q8" s="119">
        <f>'2021'!AG36</f>
      </c>
      <c r="R8" s="119">
        <f>'2021'!AH36</f>
        <v>0</v>
      </c>
      <c r="S8" s="119">
        <f>'2021'!AK36</f>
      </c>
      <c r="T8" s="119">
        <f>'2021'!AL36</f>
        <v>0</v>
      </c>
      <c r="U8" s="119">
        <f>'2021'!AO36</f>
      </c>
      <c r="V8" s="119">
        <f>'2021'!AP36</f>
        <v>0</v>
      </c>
      <c r="W8" s="119">
        <f>'2021'!AS36</f>
      </c>
      <c r="X8" s="119">
        <f>'2021'!AT36</f>
        <v>0</v>
      </c>
      <c r="Y8" s="119">
        <f>'2021'!AW36</f>
      </c>
      <c r="Z8" s="119">
        <f>'2021'!AX36</f>
        <v>0</v>
      </c>
      <c r="AA8" s="119"/>
      <c r="AB8" s="119">
        <f>'2021'!BA36</f>
      </c>
      <c r="AC8" s="119">
        <f>'2021'!BB36</f>
        <v>0</v>
      </c>
      <c r="AD8" s="119"/>
      <c r="AE8" s="119">
        <f>'2021'!BE36</f>
        <v>0</v>
      </c>
      <c r="AF8" s="119">
        <f t="shared" si="0"/>
        <v>0</v>
      </c>
    </row>
    <row r="9" spans="1:32" x14ac:dyDescent="0.25">
      <c r="A9" s="14"/>
      <c r="B9" s="115">
        <v>5</v>
      </c>
      <c r="C9" s="115">
        <v>5.08</v>
      </c>
      <c r="D9" s="2" t="s">
        <v>488</v>
      </c>
      <c r="E9" s="119">
        <f>'2021'!I45</f>
        <v>6</v>
      </c>
      <c r="F9" s="119">
        <f>'2021'!J45</f>
        <v>0</v>
      </c>
      <c r="G9" s="119">
        <f>'2021'!M45</f>
        <v>6</v>
      </c>
      <c r="H9" s="119">
        <f>'2021'!N45</f>
        <v>0</v>
      </c>
      <c r="I9" s="119">
        <f>'2021'!Q45</f>
        <v>6</v>
      </c>
      <c r="J9" s="119">
        <f>'2021'!R45</f>
        <v>0</v>
      </c>
      <c r="K9" s="119">
        <f>'2021'!U45</f>
        <v>6</v>
      </c>
      <c r="L9" s="119">
        <f>'2021'!V45</f>
        <v>0</v>
      </c>
      <c r="M9" s="119">
        <f>'2021'!Y45</f>
        <v>57</v>
      </c>
      <c r="N9" s="119">
        <f>'2021'!Z45</f>
        <v>51</v>
      </c>
      <c r="O9" s="119">
        <f>'2021'!AC45</f>
        <v>264</v>
      </c>
      <c r="P9" s="119">
        <f>'2021'!AD45</f>
        <v>207</v>
      </c>
      <c r="Q9" s="119">
        <f>'2021'!AG45</f>
        <v>547</v>
      </c>
      <c r="R9" s="119">
        <f>'2021'!AH45</f>
        <v>283</v>
      </c>
      <c r="S9" s="119">
        <f>'2021'!AK45</f>
        <v>776</v>
      </c>
      <c r="T9" s="119">
        <f>'2021'!AL45</f>
        <v>229</v>
      </c>
      <c r="U9" s="119">
        <f>'2021'!AO45</f>
        <v>980</v>
      </c>
      <c r="V9" s="119">
        <f>'2021'!AP45</f>
        <v>204</v>
      </c>
      <c r="W9" s="119">
        <f>'2021'!AS45</f>
        <v>1005</v>
      </c>
      <c r="X9" s="119">
        <f>'2021'!AT45</f>
        <v>25</v>
      </c>
      <c r="Y9" s="119">
        <f>'2021'!AW45</f>
        <v>1005</v>
      </c>
      <c r="Z9" s="119">
        <f>'2021'!AX45</f>
        <v>0</v>
      </c>
      <c r="AA9" s="119"/>
      <c r="AB9" s="119">
        <f>'2021'!BA45</f>
        <v>1005</v>
      </c>
      <c r="AC9" s="119">
        <f>'2021'!BB45</f>
        <v>0</v>
      </c>
      <c r="AD9" s="119"/>
      <c r="AE9" s="119">
        <f>'2021'!BE45</f>
        <v>999</v>
      </c>
      <c r="AF9" s="119">
        <f t="shared" si="0"/>
        <v>0</v>
      </c>
    </row>
    <row r="10" spans="1:32" x14ac:dyDescent="0.25">
      <c r="A10" s="14"/>
      <c r="B10" s="115">
        <v>6</v>
      </c>
      <c r="C10" s="115">
        <v>4.01</v>
      </c>
      <c r="D10" s="117" t="s">
        <v>70</v>
      </c>
      <c r="E10" s="119">
        <f>'2021'!I54</f>
        <v>14</v>
      </c>
      <c r="F10" s="119">
        <f>'2021'!J54</f>
        <v>0</v>
      </c>
      <c r="G10" s="119">
        <f>'2021'!M54</f>
        <v>14</v>
      </c>
      <c r="H10" s="119">
        <f>'2021'!N54</f>
        <v>0</v>
      </c>
      <c r="I10" s="119">
        <f>'2021'!Q54</f>
        <v>14</v>
      </c>
      <c r="J10" s="119">
        <f>'2021'!R54</f>
        <v>0</v>
      </c>
      <c r="K10" s="119">
        <f>'2021'!U54</f>
        <v>14</v>
      </c>
      <c r="L10" s="119">
        <f>'2021'!V54</f>
        <v>0</v>
      </c>
      <c r="M10" s="119">
        <f>'2021'!Y54</f>
        <v>16</v>
      </c>
      <c r="N10" s="119">
        <f>'2021'!Z54</f>
        <v>2</v>
      </c>
      <c r="O10" s="119">
        <f>'2021'!AC54</f>
        <v>19</v>
      </c>
      <c r="P10" s="119">
        <f>'2021'!AD54</f>
        <v>3</v>
      </c>
      <c r="Q10" s="119">
        <f>'2021'!AG54</f>
        <v>21</v>
      </c>
      <c r="R10" s="119">
        <f>'2021'!AH54</f>
        <v>2</v>
      </c>
      <c r="S10" s="119">
        <f>'2021'!AK54</f>
        <v>22</v>
      </c>
      <c r="T10" s="119">
        <f>'2021'!AL54</f>
        <v>1</v>
      </c>
      <c r="U10" s="119">
        <f>'2021'!AO54</f>
        <v>23</v>
      </c>
      <c r="V10" s="119">
        <f>'2021'!AP54</f>
        <v>1</v>
      </c>
      <c r="W10" s="119">
        <f>'2021'!AS54</f>
        <v>23</v>
      </c>
      <c r="X10" s="119">
        <f>'2021'!AT54</f>
        <v>0</v>
      </c>
      <c r="Y10" s="119">
        <f>'2021'!AW54</f>
        <v>23</v>
      </c>
      <c r="Z10" s="119">
        <f>'2021'!AX54</f>
        <v>0</v>
      </c>
      <c r="AA10" s="119"/>
      <c r="AB10" s="119">
        <f>'2021'!BA54</f>
        <v>23</v>
      </c>
      <c r="AC10" s="119">
        <f>'2021'!BB54</f>
        <v>0</v>
      </c>
      <c r="AD10" s="119"/>
      <c r="AE10" s="119">
        <f>'2021'!BE54</f>
        <v>9</v>
      </c>
      <c r="AF10" s="119">
        <f t="shared" si="0"/>
        <v>0</v>
      </c>
    </row>
    <row r="11" spans="1:32" x14ac:dyDescent="0.25">
      <c r="A11" s="14"/>
      <c r="B11" s="115">
        <v>7</v>
      </c>
      <c r="C11" s="115">
        <v>4.85</v>
      </c>
      <c r="D11" s="117" t="s">
        <v>74</v>
      </c>
      <c r="E11" s="119">
        <f>'2021'!I63</f>
        <v>448</v>
      </c>
      <c r="F11" s="119">
        <f>'2021'!J63</f>
        <v>0</v>
      </c>
      <c r="G11" s="119">
        <f>'2021'!M63</f>
        <v>448</v>
      </c>
      <c r="H11" s="119">
        <f>'2021'!N63</f>
        <v>0</v>
      </c>
      <c r="I11" s="119">
        <f>'2021'!Q63</f>
        <v>448</v>
      </c>
      <c r="J11" s="119">
        <f>'2021'!R63</f>
        <v>0</v>
      </c>
      <c r="K11" s="119">
        <f>'2021'!U63</f>
        <v>448</v>
      </c>
      <c r="L11" s="119">
        <f>'2021'!V63</f>
        <v>0</v>
      </c>
      <c r="M11" s="119">
        <f>'2021'!Y63</f>
        <v>449</v>
      </c>
      <c r="N11" s="119">
        <f>'2021'!Z63</f>
        <v>1</v>
      </c>
      <c r="O11" s="119">
        <f>'2021'!AC63</f>
        <v>461</v>
      </c>
      <c r="P11" s="119">
        <f>'2021'!AD63</f>
        <v>12</v>
      </c>
      <c r="Q11" s="119">
        <f>'2021'!AG63</f>
        <v>486</v>
      </c>
      <c r="R11" s="119">
        <f>'2021'!AH63</f>
        <v>25</v>
      </c>
      <c r="S11" s="119">
        <f>'2021'!AK63</f>
        <v>532</v>
      </c>
      <c r="T11" s="119">
        <f>'2021'!AL63</f>
        <v>46</v>
      </c>
      <c r="U11" s="119">
        <f>'2021'!AO63</f>
        <v>558</v>
      </c>
      <c r="V11" s="119">
        <f>'2021'!AP63</f>
        <v>26</v>
      </c>
      <c r="W11" s="119">
        <f>'2021'!AS63</f>
        <v>562</v>
      </c>
      <c r="X11" s="119">
        <f>'2021'!AT63</f>
        <v>4</v>
      </c>
      <c r="Y11" s="119">
        <f>'2021'!AW63</f>
        <v>562</v>
      </c>
      <c r="Z11" s="119">
        <f>'2021'!AX63</f>
        <v>0</v>
      </c>
      <c r="AA11" s="119"/>
      <c r="AB11" s="119">
        <f>'2021'!BA63</f>
        <v>562</v>
      </c>
      <c r="AC11" s="119">
        <f>'2021'!BB63</f>
        <v>0</v>
      </c>
      <c r="AD11" s="119"/>
      <c r="AE11" s="119">
        <f>'2021'!BE63</f>
        <v>114</v>
      </c>
      <c r="AF11" s="119">
        <f t="shared" si="0"/>
        <v>0</v>
      </c>
    </row>
    <row r="12" spans="1:32" x14ac:dyDescent="0.25">
      <c r="A12" s="14"/>
      <c r="B12" s="115">
        <v>8</v>
      </c>
      <c r="C12" s="116">
        <v>4</v>
      </c>
      <c r="D12" s="2" t="s">
        <v>383</v>
      </c>
      <c r="E12" s="119">
        <f>'2021'!I72</f>
        <v>509</v>
      </c>
      <c r="F12" s="119">
        <f>'2021'!J72</f>
        <v>0</v>
      </c>
      <c r="G12" s="119">
        <f>'2021'!M72</f>
        <v>509</v>
      </c>
      <c r="H12" s="119">
        <f>'2021'!N72</f>
        <v>0</v>
      </c>
      <c r="I12" s="119">
        <f>'2021'!Q72</f>
        <v>509</v>
      </c>
      <c r="J12" s="119">
        <f>'2021'!R72</f>
        <v>0</v>
      </c>
      <c r="K12" s="119">
        <f>'2021'!U72</f>
        <v>509</v>
      </c>
      <c r="L12" s="119">
        <f>'2021'!V72</f>
        <v>0</v>
      </c>
      <c r="M12" s="119">
        <f>'2021'!Y72</f>
        <v>543</v>
      </c>
      <c r="N12" s="119">
        <f>'2021'!Z72</f>
        <v>34</v>
      </c>
      <c r="O12" s="119">
        <f>'2021'!AC72</f>
        <v>602</v>
      </c>
      <c r="P12" s="119">
        <f>'2021'!AD72</f>
        <v>59</v>
      </c>
      <c r="Q12" s="119">
        <f>'2021'!AG72</f>
        <v>654</v>
      </c>
      <c r="R12" s="119">
        <f>'2021'!AH72</f>
        <v>52</v>
      </c>
      <c r="S12" s="119">
        <f>'2021'!AK72</f>
        <v>696</v>
      </c>
      <c r="T12" s="119">
        <f>'2021'!AL72</f>
        <v>42</v>
      </c>
      <c r="U12" s="119">
        <f>'2021'!AO72</f>
        <v>728</v>
      </c>
      <c r="V12" s="119">
        <f>'2021'!AP72</f>
        <v>32</v>
      </c>
      <c r="W12" s="119">
        <f>'2021'!AS72</f>
        <v>731</v>
      </c>
      <c r="X12" s="119">
        <f>'2021'!AT72</f>
        <v>3</v>
      </c>
      <c r="Y12" s="119">
        <f>'2021'!AW72</f>
        <v>731</v>
      </c>
      <c r="Z12" s="119">
        <f>'2021'!AX72</f>
        <v>0</v>
      </c>
      <c r="AA12" s="119"/>
      <c r="AB12" s="119">
        <f>'2021'!BA72</f>
        <v>731</v>
      </c>
      <c r="AC12" s="119">
        <f>'2021'!BB72</f>
        <v>0</v>
      </c>
      <c r="AD12" s="119"/>
      <c r="AE12" s="119">
        <f>'2021'!BE72</f>
        <v>222</v>
      </c>
      <c r="AF12" s="119">
        <f t="shared" si="0"/>
        <v>0</v>
      </c>
    </row>
    <row r="13" spans="1:32" x14ac:dyDescent="0.25">
      <c r="A13" s="14"/>
      <c r="B13" s="115">
        <v>9</v>
      </c>
      <c r="C13" s="115">
        <v>4.03</v>
      </c>
      <c r="D13" s="117" t="s">
        <v>82</v>
      </c>
      <c r="E13" s="119">
        <f>'2021'!I81</f>
        <v>46</v>
      </c>
      <c r="F13" s="119">
        <f>'2021'!J81</f>
        <v>0</v>
      </c>
      <c r="G13" s="119">
        <f>'2021'!M81</f>
        <v>46</v>
      </c>
      <c r="H13" s="119">
        <f>'2021'!N81</f>
        <v>0</v>
      </c>
      <c r="I13" s="119">
        <f>'2021'!Q81</f>
        <v>46</v>
      </c>
      <c r="J13" s="119">
        <f>'2021'!R81</f>
        <v>0</v>
      </c>
      <c r="K13" s="119">
        <f>'2021'!U81</f>
        <v>46</v>
      </c>
      <c r="L13" s="119">
        <f>'2021'!V81</f>
        <v>0</v>
      </c>
      <c r="M13" s="119">
        <f>'2021'!Y81</f>
        <v>46</v>
      </c>
      <c r="N13" s="119">
        <f>'2021'!Z81</f>
        <v>0</v>
      </c>
      <c r="O13" s="119">
        <f>'2021'!AC81</f>
        <v>46</v>
      </c>
      <c r="P13" s="119">
        <f>'2021'!AD81</f>
        <v>0</v>
      </c>
      <c r="Q13" s="119">
        <f>'2021'!AG81</f>
        <v>46</v>
      </c>
      <c r="R13" s="119">
        <f>'2021'!AH81</f>
        <v>0</v>
      </c>
      <c r="S13" s="119">
        <f>'2021'!AK81</f>
        <v>46</v>
      </c>
      <c r="T13" s="119">
        <f>'2021'!AL81</f>
        <v>0</v>
      </c>
      <c r="U13" s="119">
        <f>'2021'!AO81</f>
        <v>46</v>
      </c>
      <c r="V13" s="119">
        <f>'2021'!AP81</f>
        <v>0</v>
      </c>
      <c r="W13" s="119">
        <f>'2021'!AS81</f>
        <v>46</v>
      </c>
      <c r="X13" s="119">
        <f>'2021'!AT81</f>
        <v>0</v>
      </c>
      <c r="Y13" s="119">
        <f>'2021'!AW81</f>
        <v>46</v>
      </c>
      <c r="Z13" s="119">
        <f>'2021'!AX81</f>
        <v>0</v>
      </c>
      <c r="AA13" s="119"/>
      <c r="AB13" s="119">
        <f>'2021'!BA81</f>
        <v>46</v>
      </c>
      <c r="AC13" s="119">
        <f>'2021'!BB81</f>
        <v>0</v>
      </c>
      <c r="AD13" s="119"/>
      <c r="AE13" s="119">
        <f>'2021'!BE81</f>
        <v>0</v>
      </c>
      <c r="AF13" s="119">
        <f t="shared" si="0"/>
        <v>0</v>
      </c>
    </row>
    <row r="14" spans="1:32" x14ac:dyDescent="0.25">
      <c r="A14" s="14"/>
      <c r="B14" s="115">
        <v>10</v>
      </c>
      <c r="C14" s="115">
        <v>4.01</v>
      </c>
      <c r="D14" s="117" t="s">
        <v>86</v>
      </c>
      <c r="E14" s="119">
        <f>'2021'!I90</f>
        <v>0</v>
      </c>
      <c r="F14" s="119">
        <f>'2021'!J90</f>
        <v>0</v>
      </c>
      <c r="G14" s="119">
        <f>'2021'!M90</f>
        <v>0</v>
      </c>
      <c r="H14" s="119">
        <f>'2021'!N90</f>
        <v>0</v>
      </c>
      <c r="I14" s="119">
        <f>'2021'!Q90</f>
        <v>0</v>
      </c>
      <c r="J14" s="119">
        <f>'2021'!R90</f>
        <v>0</v>
      </c>
      <c r="K14" s="119">
        <f>'2021'!U90</f>
        <v>0</v>
      </c>
      <c r="L14" s="119">
        <f>'2021'!V90</f>
        <v>0</v>
      </c>
      <c r="M14" s="119">
        <f>'2021'!Y90</f>
      </c>
      <c r="N14" s="119">
        <f>'2021'!Z90</f>
        <v>0</v>
      </c>
      <c r="O14" s="119">
        <f>'2021'!AC90</f>
      </c>
      <c r="P14" s="119">
        <f>'2021'!AD90</f>
        <v>0</v>
      </c>
      <c r="Q14" s="119">
        <f>'2021'!AG90</f>
      </c>
      <c r="R14" s="119">
        <f>'2021'!AH90</f>
        <v>0</v>
      </c>
      <c r="S14" s="119">
        <f>'2021'!AK90</f>
      </c>
      <c r="T14" s="119">
        <f>'2021'!AL90</f>
        <v>0</v>
      </c>
      <c r="U14" s="119">
        <f>'2021'!AO90</f>
      </c>
      <c r="V14" s="119">
        <f>'2021'!AP90</f>
        <v>0</v>
      </c>
      <c r="W14" s="119">
        <f>'2021'!AS90</f>
      </c>
      <c r="X14" s="119">
        <f>'2021'!AT90</f>
        <v>0</v>
      </c>
      <c r="Y14" s="119">
        <f>'2021'!AW90</f>
      </c>
      <c r="Z14" s="119">
        <f>'2021'!AX90</f>
        <v>0</v>
      </c>
      <c r="AA14" s="119"/>
      <c r="AB14" s="119">
        <f>'2021'!BA90</f>
      </c>
      <c r="AC14" s="119">
        <f>'2021'!BB90</f>
        <v>0</v>
      </c>
      <c r="AD14" s="119"/>
      <c r="AE14" s="119">
        <f>'2021'!BE90</f>
        <v>0</v>
      </c>
      <c r="AF14" s="119">
        <f t="shared" si="0"/>
        <v>0</v>
      </c>
    </row>
    <row r="15" spans="1:32" x14ac:dyDescent="0.25">
      <c r="A15" s="14"/>
      <c r="B15" s="115">
        <v>11</v>
      </c>
      <c r="C15" s="115">
        <v>4.02</v>
      </c>
      <c r="D15" s="117" t="s">
        <v>89</v>
      </c>
      <c r="E15" s="119">
        <f>'2021'!I99</f>
        <v>36</v>
      </c>
      <c r="F15" s="119">
        <f>'2021'!J99</f>
        <v>0</v>
      </c>
      <c r="G15" s="119">
        <f>'2021'!M99</f>
        <v>36</v>
      </c>
      <c r="H15" s="119">
        <f>'2021'!N99</f>
        <v>0</v>
      </c>
      <c r="I15" s="119">
        <f>'2021'!Q99</f>
        <v>36</v>
      </c>
      <c r="J15" s="119">
        <f>'2021'!R99</f>
        <v>0</v>
      </c>
      <c r="K15" s="119">
        <f>'2021'!U99</f>
        <v>36</v>
      </c>
      <c r="L15" s="119">
        <f>'2021'!V99</f>
        <v>0</v>
      </c>
      <c r="M15" s="119">
        <f>'2021'!Y99</f>
        <v>36</v>
      </c>
      <c r="N15" s="119">
        <f>'2021'!Z99</f>
        <v>0</v>
      </c>
      <c r="O15" s="119">
        <f>'2021'!AC99</f>
        <v>36</v>
      </c>
      <c r="P15" s="119">
        <f>'2021'!AD99</f>
        <v>0</v>
      </c>
      <c r="Q15" s="119">
        <f>'2021'!AG99</f>
        <v>36</v>
      </c>
      <c r="R15" s="119">
        <f>'2021'!AH99</f>
        <v>0</v>
      </c>
      <c r="S15" s="119">
        <f>'2021'!AK99</f>
        <v>36</v>
      </c>
      <c r="T15" s="119">
        <f>'2021'!AL99</f>
        <v>0</v>
      </c>
      <c r="U15" s="119">
        <f>'2021'!AO99</f>
        <v>36</v>
      </c>
      <c r="V15" s="119">
        <f>'2021'!AP99</f>
        <v>0</v>
      </c>
      <c r="W15" s="119">
        <f>'2021'!AS99</f>
        <v>36</v>
      </c>
      <c r="X15" s="119">
        <f>'2021'!AT99</f>
        <v>0</v>
      </c>
      <c r="Y15" s="119">
        <f>'2021'!AW99</f>
        <v>36</v>
      </c>
      <c r="Z15" s="119">
        <f>'2021'!AX99</f>
        <v>0</v>
      </c>
      <c r="AA15" s="119"/>
      <c r="AB15" s="119">
        <f>'2021'!BA99</f>
        <v>36</v>
      </c>
      <c r="AC15" s="119">
        <f>'2021'!BB99</f>
        <v>0</v>
      </c>
      <c r="AD15" s="119"/>
      <c r="AE15" s="119">
        <f>'2021'!BE99</f>
        <v>0</v>
      </c>
      <c r="AF15" s="119">
        <f t="shared" si="0"/>
        <v>0</v>
      </c>
    </row>
    <row r="16" spans="1:32" x14ac:dyDescent="0.25">
      <c r="A16" s="14"/>
      <c r="B16" s="115">
        <v>12</v>
      </c>
      <c r="C16" s="115">
        <v>4.02</v>
      </c>
      <c r="D16" s="117" t="s">
        <v>92</v>
      </c>
      <c r="E16" s="119">
        <f>'2021'!I108</f>
        <v>0</v>
      </c>
      <c r="F16" s="119">
        <f>'2021'!J108</f>
        <v>0</v>
      </c>
      <c r="G16" s="119">
        <f>'2021'!M108</f>
        <v>0</v>
      </c>
      <c r="H16" s="119">
        <f>'2021'!N108</f>
        <v>0</v>
      </c>
      <c r="I16" s="119">
        <f>'2021'!Q108</f>
        <v>0</v>
      </c>
      <c r="J16" s="119">
        <f>'2021'!R108</f>
        <v>0</v>
      </c>
      <c r="K16" s="119">
        <f>'2021'!U108</f>
        <v>0</v>
      </c>
      <c r="L16" s="119">
        <f>'2021'!V108</f>
        <v>0</v>
      </c>
      <c r="M16" s="119">
        <f>'2021'!Y108</f>
      </c>
      <c r="N16" s="119">
        <f>'2021'!Z108</f>
        <v>0</v>
      </c>
      <c r="O16" s="119">
        <f>'2021'!AC108</f>
      </c>
      <c r="P16" s="119">
        <f>'2021'!AD108</f>
        <v>0</v>
      </c>
      <c r="Q16" s="119">
        <f>'2021'!AG108</f>
      </c>
      <c r="R16" s="119">
        <f>'2021'!AH108</f>
        <v>0</v>
      </c>
      <c r="S16" s="119">
        <f>'2021'!AK108</f>
      </c>
      <c r="T16" s="119">
        <f>'2021'!AL108</f>
        <v>0</v>
      </c>
      <c r="U16" s="119">
        <f>'2021'!AO108</f>
      </c>
      <c r="V16" s="119">
        <f>'2021'!AP108</f>
        <v>0</v>
      </c>
      <c r="W16" s="119">
        <f>'2021'!AS108</f>
      </c>
      <c r="X16" s="119">
        <f>'2021'!AT108</f>
        <v>0</v>
      </c>
      <c r="Y16" s="119">
        <f>'2021'!AW108</f>
      </c>
      <c r="Z16" s="119">
        <f>'2021'!AX108</f>
        <v>0</v>
      </c>
      <c r="AA16" s="119"/>
      <c r="AB16" s="119">
        <f>'2021'!BA108</f>
      </c>
      <c r="AC16" s="119">
        <f>'2021'!BB108</f>
        <v>0</v>
      </c>
      <c r="AD16" s="119"/>
      <c r="AE16" s="119">
        <f>'2021'!BE108</f>
        <v>0</v>
      </c>
      <c r="AF16" s="119">
        <f t="shared" si="0"/>
        <v>0</v>
      </c>
    </row>
    <row r="17" spans="1:32" x14ac:dyDescent="0.25">
      <c r="A17" s="14"/>
      <c r="B17" s="115" t="s">
        <v>96</v>
      </c>
      <c r="C17" s="115">
        <v>3.94</v>
      </c>
      <c r="D17" s="117" t="s">
        <v>97</v>
      </c>
      <c r="E17" s="119">
        <f>'2021'!I117</f>
        <v>6537</v>
      </c>
      <c r="F17" s="119">
        <f>'2021'!J117</f>
        <v>64</v>
      </c>
      <c r="G17" s="119">
        <f>'2021'!M117</f>
        <v>6537</v>
      </c>
      <c r="H17" s="119">
        <f>'2021'!N117</f>
        <v>0</v>
      </c>
      <c r="I17" s="119">
        <f>'2021'!Q117</f>
        <v>6537</v>
      </c>
      <c r="J17" s="119">
        <f>'2021'!R117</f>
        <v>0</v>
      </c>
      <c r="K17" s="119">
        <f>'2021'!U117</f>
        <v>6541</v>
      </c>
      <c r="L17" s="119">
        <f>'2021'!V117</f>
        <v>4</v>
      </c>
      <c r="M17" s="119">
        <f>'2021'!Y117</f>
        <v>6607</v>
      </c>
      <c r="N17" s="119">
        <f>'2021'!Z117</f>
        <v>66</v>
      </c>
      <c r="O17" s="119">
        <f>'2021'!AC117</f>
        <v>6708</v>
      </c>
      <c r="P17" s="119">
        <f>'2021'!AD117</f>
        <v>101</v>
      </c>
      <c r="Q17" s="119">
        <f>'2021'!AG117</f>
        <v>6788</v>
      </c>
      <c r="R17" s="119">
        <f>'2021'!AH117</f>
        <v>80</v>
      </c>
      <c r="S17" s="119">
        <f>'2021'!AK117</f>
        <v>6952</v>
      </c>
      <c r="T17" s="119">
        <f>'2021'!AL117</f>
        <v>164</v>
      </c>
      <c r="U17" s="119">
        <f>'2021'!AO117</f>
        <v>7199</v>
      </c>
      <c r="V17" s="119">
        <f>'2021'!AP117</f>
        <v>247</v>
      </c>
      <c r="W17" s="119">
        <f>'2021'!AS117</f>
        <v>7797</v>
      </c>
      <c r="X17" s="119">
        <f>'2021'!AT117</f>
        <v>598</v>
      </c>
      <c r="Y17" s="119">
        <f>'2021'!AW117</f>
        <v>8068</v>
      </c>
      <c r="Z17" s="119">
        <f>'2021'!AX117</f>
        <v>271</v>
      </c>
      <c r="AA17" s="119"/>
      <c r="AB17" s="119">
        <f>'2021'!BA117</f>
        <v>8068</v>
      </c>
      <c r="AC17" s="119">
        <f>'2021'!BB117</f>
        <v>0</v>
      </c>
      <c r="AD17" s="119"/>
      <c r="AE17" s="119">
        <f>'2021'!BE117</f>
        <v>1595</v>
      </c>
      <c r="AF17" s="119">
        <f t="shared" si="0"/>
        <v>0</v>
      </c>
    </row>
    <row r="18" spans="1:32" x14ac:dyDescent="0.25">
      <c r="A18" s="14"/>
      <c r="B18" s="115" t="s">
        <v>96</v>
      </c>
      <c r="C18" s="116">
        <v>4</v>
      </c>
      <c r="D18" s="117" t="s">
        <v>97</v>
      </c>
      <c r="E18" s="119">
        <f>'2021'!I126</f>
        <v>0</v>
      </c>
      <c r="F18" s="119">
        <f>'2021'!J126</f>
        <v>0</v>
      </c>
      <c r="G18" s="119">
        <f>'2021'!M126</f>
        <v>0</v>
      </c>
      <c r="H18" s="119">
        <f>'2021'!N126</f>
        <v>0</v>
      </c>
      <c r="I18" s="119">
        <f>'2021'!Q126</f>
        <v>0</v>
      </c>
      <c r="J18" s="119">
        <f>'2021'!R126</f>
        <v>0</v>
      </c>
      <c r="K18" s="119">
        <f>'2021'!U126</f>
        <v>0</v>
      </c>
      <c r="L18" s="119">
        <f>'2021'!V126</f>
        <v>0</v>
      </c>
      <c r="M18" s="119">
        <f>'2021'!Y126</f>
      </c>
      <c r="N18" s="119">
        <f>'2021'!Z126</f>
        <v>0</v>
      </c>
      <c r="O18" s="119">
        <f>'2021'!AC126</f>
      </c>
      <c r="P18" s="119">
        <f>'2021'!AD126</f>
        <v>0</v>
      </c>
      <c r="Q18" s="119">
        <f>'2021'!AG126</f>
      </c>
      <c r="R18" s="119">
        <f>'2021'!AH126</f>
        <v>0</v>
      </c>
      <c r="S18" s="119">
        <f>'2021'!AK126</f>
      </c>
      <c r="T18" s="119">
        <f>'2021'!AL126</f>
        <v>0</v>
      </c>
      <c r="U18" s="119">
        <f>'2021'!AO126</f>
      </c>
      <c r="V18" s="119">
        <f>'2021'!AP126</f>
        <v>0</v>
      </c>
      <c r="W18" s="119">
        <f>'2021'!AS126</f>
      </c>
      <c r="X18" s="119">
        <f>'2021'!AT126</f>
        <v>0</v>
      </c>
      <c r="Y18" s="119">
        <f>'2021'!AW126</f>
      </c>
      <c r="Z18" s="119">
        <f>'2021'!AX126</f>
        <v>0</v>
      </c>
      <c r="AA18" s="119"/>
      <c r="AB18" s="119">
        <f>'2021'!BA126</f>
      </c>
      <c r="AC18" s="119">
        <f>'2021'!BB126</f>
        <v>0</v>
      </c>
      <c r="AD18" s="119"/>
      <c r="AE18" s="119">
        <f>'2021'!BE126</f>
        <v>0</v>
      </c>
      <c r="AF18" s="119">
        <f t="shared" si="0"/>
        <v>0</v>
      </c>
    </row>
    <row r="19" spans="1:32" x14ac:dyDescent="0.25">
      <c r="A19" s="14"/>
      <c r="B19" s="115">
        <v>14</v>
      </c>
      <c r="C19" s="115">
        <v>4.02</v>
      </c>
      <c r="D19" s="117" t="s">
        <v>100</v>
      </c>
      <c r="E19" s="119">
        <f>'2021'!I135</f>
        <v>0</v>
      </c>
      <c r="F19" s="119">
        <f>'2021'!J135</f>
        <v>0</v>
      </c>
      <c r="G19" s="119">
        <f>'2021'!M135</f>
        <v>0</v>
      </c>
      <c r="H19" s="119">
        <f>'2021'!N135</f>
        <v>0</v>
      </c>
      <c r="I19" s="119">
        <f>'2021'!Q135</f>
        <v>0</v>
      </c>
      <c r="J19" s="119">
        <f>'2021'!R135</f>
        <v>0</v>
      </c>
      <c r="K19" s="119">
        <f>'2021'!U135</f>
        <v>0</v>
      </c>
      <c r="L19" s="119">
        <f>'2021'!V135</f>
        <v>0</v>
      </c>
      <c r="M19" s="119">
        <f>'2021'!Y135</f>
      </c>
      <c r="N19" s="119">
        <f>'2021'!Z135</f>
        <v>0</v>
      </c>
      <c r="O19" s="119">
        <f>'2021'!AC135</f>
      </c>
      <c r="P19" s="119">
        <f>'2021'!AD135</f>
        <v>0</v>
      </c>
      <c r="Q19" s="119">
        <f>'2021'!AG135</f>
      </c>
      <c r="R19" s="119">
        <f>'2021'!AH135</f>
        <v>0</v>
      </c>
      <c r="S19" s="119">
        <f>'2021'!AK135</f>
      </c>
      <c r="T19" s="119">
        <f>'2021'!AL135</f>
        <v>0</v>
      </c>
      <c r="U19" s="119">
        <f>'2021'!AO135</f>
      </c>
      <c r="V19" s="119">
        <f>'2021'!AP135</f>
        <v>0</v>
      </c>
      <c r="W19" s="119">
        <f>'2021'!AS135</f>
      </c>
      <c r="X19" s="119">
        <f>'2021'!AT135</f>
        <v>0</v>
      </c>
      <c r="Y19" s="119">
        <f>'2021'!AW135</f>
      </c>
      <c r="Z19" s="119">
        <f>'2021'!AX135</f>
        <v>0</v>
      </c>
      <c r="AA19" s="119"/>
      <c r="AB19" s="119">
        <f>'2021'!BA135</f>
      </c>
      <c r="AC19" s="119">
        <f>'2021'!BB135</f>
        <v>0</v>
      </c>
      <c r="AD19" s="119"/>
      <c r="AE19" s="119">
        <f>'2021'!BE135</f>
        <v>0</v>
      </c>
      <c r="AF19" s="119">
        <f t="shared" si="0"/>
        <v>0</v>
      </c>
    </row>
    <row r="20" spans="1:32" x14ac:dyDescent="0.25">
      <c r="A20" s="14"/>
      <c r="B20" s="115">
        <v>16</v>
      </c>
      <c r="C20" s="115">
        <v>3.98</v>
      </c>
      <c r="D20" s="117" t="s">
        <v>103</v>
      </c>
      <c r="E20" s="119">
        <f>'2021'!I144</f>
        <v>1249</v>
      </c>
      <c r="F20" s="119">
        <f>'2021'!J144</f>
        <v>0</v>
      </c>
      <c r="G20" s="119">
        <f>'2021'!M144</f>
        <v>1249</v>
      </c>
      <c r="H20" s="119">
        <f>'2021'!N144</f>
        <v>0</v>
      </c>
      <c r="I20" s="119">
        <f>'2021'!Q144</f>
        <v>1249</v>
      </c>
      <c r="J20" s="119">
        <f>'2021'!R144</f>
        <v>0</v>
      </c>
      <c r="K20" s="119">
        <f>'2021'!U144</f>
        <v>1249</v>
      </c>
      <c r="L20" s="119">
        <f>'2021'!V144</f>
        <v>0</v>
      </c>
      <c r="M20" s="119">
        <f>'2021'!Y144</f>
        <v>1265</v>
      </c>
      <c r="N20" s="119">
        <f>'2021'!Z144</f>
        <v>16</v>
      </c>
      <c r="O20" s="119">
        <f>'2021'!AC144</f>
        <v>1278</v>
      </c>
      <c r="P20" s="119">
        <f>'2021'!AD144</f>
        <v>13</v>
      </c>
      <c r="Q20" s="119">
        <f>'2021'!AG144</f>
        <v>1312</v>
      </c>
      <c r="R20" s="119">
        <f>'2021'!AH144</f>
        <v>34</v>
      </c>
      <c r="S20" s="119">
        <f>'2021'!AK144</f>
        <v>1319</v>
      </c>
      <c r="T20" s="119">
        <f>'2021'!AL144</f>
        <v>7</v>
      </c>
      <c r="U20" s="119">
        <f>'2021'!AO144</f>
        <v>1321</v>
      </c>
      <c r="V20" s="119">
        <f>'2021'!AP144</f>
        <v>2</v>
      </c>
      <c r="W20" s="119">
        <f>'2021'!AS144</f>
        <v>1328</v>
      </c>
      <c r="X20" s="119">
        <f>'2021'!AT144</f>
        <v>7</v>
      </c>
      <c r="Y20" s="119">
        <f>'2021'!AW144</f>
        <v>1328</v>
      </c>
      <c r="Z20" s="119">
        <f>'2021'!AX144</f>
        <v>0</v>
      </c>
      <c r="AA20" s="119"/>
      <c r="AB20" s="119">
        <f>'2021'!BA144</f>
        <v>1328</v>
      </c>
      <c r="AC20" s="119">
        <f>'2021'!BB144</f>
        <v>0</v>
      </c>
      <c r="AD20" s="119"/>
      <c r="AE20" s="119">
        <f>'2021'!BE144</f>
        <v>79</v>
      </c>
      <c r="AF20" s="119">
        <f t="shared" si="0"/>
        <v>0</v>
      </c>
    </row>
    <row r="21" ht="15.75" customHeight="1" spans="1:32" x14ac:dyDescent="0.25">
      <c r="A21" s="14"/>
      <c r="B21" s="115">
        <v>17</v>
      </c>
      <c r="C21" s="116">
        <v>4</v>
      </c>
      <c r="D21" s="117" t="s">
        <v>106</v>
      </c>
      <c r="E21" s="119">
        <f>'2021'!I153</f>
        <v>95</v>
      </c>
      <c r="F21" s="119">
        <f>'2021'!J153</f>
        <v>0</v>
      </c>
      <c r="G21" s="119">
        <f>'2021'!M153</f>
        <v>95</v>
      </c>
      <c r="H21" s="119">
        <f>'2021'!N153</f>
        <v>0</v>
      </c>
      <c r="I21" s="119">
        <f>'2021'!Q153</f>
        <v>95</v>
      </c>
      <c r="J21" s="119">
        <f>'2021'!R153</f>
        <v>0</v>
      </c>
      <c r="K21" s="119">
        <f>'2021'!U153</f>
        <v>95</v>
      </c>
      <c r="L21" s="119">
        <f>'2021'!V153</f>
        <v>0</v>
      </c>
      <c r="M21" s="119">
        <f>'2021'!Y153</f>
        <v>103</v>
      </c>
      <c r="N21" s="119">
        <f>'2021'!Z153</f>
        <v>8</v>
      </c>
      <c r="O21" s="119">
        <f>'2021'!AC153</f>
        <v>120</v>
      </c>
      <c r="P21" s="119">
        <f>'2021'!AD153</f>
        <v>17</v>
      </c>
      <c r="Q21" s="119">
        <f>'2021'!AG153</f>
        <v>141</v>
      </c>
      <c r="R21" s="119">
        <f>'2021'!AH153</f>
        <v>21</v>
      </c>
      <c r="S21" s="119">
        <f>'2021'!AK153</f>
        <v>155</v>
      </c>
      <c r="T21" s="119">
        <f>'2021'!AL153</f>
        <v>14</v>
      </c>
      <c r="U21" s="119">
        <f>'2021'!AO153</f>
        <v>180</v>
      </c>
      <c r="V21" s="119">
        <f>'2021'!AP153</f>
        <v>25</v>
      </c>
      <c r="W21" s="119">
        <f>'2021'!AS153</f>
        <v>192</v>
      </c>
      <c r="X21" s="119">
        <f>'2021'!AT153</f>
        <v>12</v>
      </c>
      <c r="Y21" s="119">
        <f>'2021'!AW153</f>
        <v>192</v>
      </c>
      <c r="Z21" s="119">
        <f>'2021'!AX153</f>
        <v>0</v>
      </c>
      <c r="AA21" s="119"/>
      <c r="AB21" s="119">
        <f>'2021'!BA153</f>
        <v>192</v>
      </c>
      <c r="AC21" s="119">
        <f>'2021'!BB153</f>
        <v>0</v>
      </c>
      <c r="AD21" s="119"/>
      <c r="AE21" s="119">
        <f>'2021'!BE153</f>
        <v>97</v>
      </c>
      <c r="AF21" s="119">
        <f t="shared" si="0"/>
        <v>0</v>
      </c>
    </row>
    <row r="22" ht="15.75" customHeight="1" spans="1:32" x14ac:dyDescent="0.25">
      <c r="A22" s="14"/>
      <c r="B22" s="115">
        <v>18</v>
      </c>
      <c r="C22" s="115">
        <v>4.03</v>
      </c>
      <c r="D22" s="117" t="s">
        <v>109</v>
      </c>
      <c r="E22" s="119">
        <f>'2021'!I162</f>
        <v>359</v>
      </c>
      <c r="F22" s="119">
        <f>'2021'!J162</f>
        <v>0</v>
      </c>
      <c r="G22" s="119">
        <f>'2021'!M162</f>
        <v>359</v>
      </c>
      <c r="H22" s="119">
        <f>'2021'!N162</f>
        <v>0</v>
      </c>
      <c r="I22" s="119">
        <f>'2021'!Q162</f>
        <v>359</v>
      </c>
      <c r="J22" s="119">
        <f>'2021'!R162</f>
        <v>0</v>
      </c>
      <c r="K22" s="119">
        <f>'2021'!U162</f>
        <v>359</v>
      </c>
      <c r="L22" s="119">
        <f>'2021'!V162</f>
        <v>0</v>
      </c>
      <c r="M22" s="119">
        <f>'2021'!Y162</f>
        <v>372</v>
      </c>
      <c r="N22" s="119">
        <f>'2021'!Z162</f>
        <v>13</v>
      </c>
      <c r="O22" s="119">
        <f>'2021'!AC162</f>
        <v>382</v>
      </c>
      <c r="P22" s="119">
        <f>'2021'!AD162</f>
        <v>10</v>
      </c>
      <c r="Q22" s="119">
        <f>'2021'!AG162</f>
        <v>395</v>
      </c>
      <c r="R22" s="119">
        <f>'2021'!AH162</f>
        <v>13</v>
      </c>
      <c r="S22" s="119">
        <f>'2021'!AK162</f>
        <v>404</v>
      </c>
      <c r="T22" s="119">
        <f>'2021'!AL162</f>
        <v>9</v>
      </c>
      <c r="U22" s="119">
        <f>'2021'!AO162</f>
        <v>428</v>
      </c>
      <c r="V22" s="119">
        <f>'2021'!AP162</f>
        <v>24</v>
      </c>
      <c r="W22" s="119">
        <f>'2021'!AS162</f>
        <v>487</v>
      </c>
      <c r="X22" s="119">
        <f>'2021'!AT162</f>
        <v>59</v>
      </c>
      <c r="Y22" s="119">
        <f>'2021'!AW162</f>
        <v>489</v>
      </c>
      <c r="Z22" s="119">
        <f>'2021'!AX162</f>
        <v>2</v>
      </c>
      <c r="AA22" s="119"/>
      <c r="AB22" s="119">
        <f>'2021'!BA162</f>
        <v>489</v>
      </c>
      <c r="AC22" s="119">
        <f>'2021'!BB162</f>
        <v>0</v>
      </c>
      <c r="AD22" s="119"/>
      <c r="AE22" s="119">
        <f>'2021'!BE162</f>
        <v>130</v>
      </c>
      <c r="AF22" s="119">
        <f t="shared" si="0"/>
        <v>0</v>
      </c>
    </row>
    <row r="23" ht="15.75" customHeight="1" spans="1:32" x14ac:dyDescent="0.25">
      <c r="A23" s="21"/>
      <c r="B23" s="115">
        <v>19</v>
      </c>
      <c r="C23" s="116">
        <v>4.1</v>
      </c>
      <c r="D23" s="117" t="s">
        <v>113</v>
      </c>
      <c r="E23" s="119">
        <f>'2021'!I171</f>
        <v>1</v>
      </c>
      <c r="F23" s="119">
        <f>'2021'!J171</f>
        <v>0</v>
      </c>
      <c r="G23" s="119">
        <f>'2021'!M171</f>
        <v>1</v>
      </c>
      <c r="H23" s="119">
        <f>'2021'!N171</f>
        <v>0</v>
      </c>
      <c r="I23" s="119">
        <f>'2021'!Q171</f>
        <v>1</v>
      </c>
      <c r="J23" s="119">
        <f>'2021'!R171</f>
        <v>0</v>
      </c>
      <c r="K23" s="119">
        <f>'2021'!U171</f>
        <v>1</v>
      </c>
      <c r="L23" s="119">
        <f>'2021'!V171</f>
        <v>0</v>
      </c>
      <c r="M23" s="119">
        <f>'2021'!Y171</f>
        <v>1</v>
      </c>
      <c r="N23" s="119">
        <f>'2021'!Z171</f>
        <v>0</v>
      </c>
      <c r="O23" s="119">
        <f>'2021'!AC171</f>
        <v>1</v>
      </c>
      <c r="P23" s="119">
        <f>'2021'!AD171</f>
        <v>0</v>
      </c>
      <c r="Q23" s="119">
        <f>'2021'!AG171</f>
        <v>1</v>
      </c>
      <c r="R23" s="119">
        <f>'2021'!AH171</f>
        <v>0</v>
      </c>
      <c r="S23" s="119">
        <f>'2021'!AK171</f>
        <v>1</v>
      </c>
      <c r="T23" s="119">
        <f>'2021'!AL171</f>
        <v>0</v>
      </c>
      <c r="U23" s="119">
        <f>'2021'!AO171</f>
        <v>1</v>
      </c>
      <c r="V23" s="119">
        <f>'2021'!AP171</f>
        <v>0</v>
      </c>
      <c r="W23" s="119">
        <f>'2021'!AS171</f>
        <v>1</v>
      </c>
      <c r="X23" s="119">
        <f>'2021'!AT171</f>
        <v>0</v>
      </c>
      <c r="Y23" s="119">
        <f>'2021'!AW171</f>
        <v>1</v>
      </c>
      <c r="Z23" s="119">
        <f>'2021'!AX171</f>
        <v>0</v>
      </c>
      <c r="AA23" s="119"/>
      <c r="AB23" s="119">
        <f>'2021'!BA171</f>
        <v>1</v>
      </c>
      <c r="AC23" s="119">
        <f>'2021'!BB171</f>
        <v>0</v>
      </c>
      <c r="AD23" s="119"/>
      <c r="AE23" s="119">
        <f>'2021'!BE171</f>
        <v>0</v>
      </c>
      <c r="AF23" s="119">
        <f t="shared" si="0"/>
        <v>0</v>
      </c>
    </row>
    <row r="24" ht="15.75" customHeight="1" spans="1:32" x14ac:dyDescent="0.25">
      <c r="A24" s="114" t="s">
        <v>116</v>
      </c>
      <c r="B24" s="115" t="s">
        <v>117</v>
      </c>
      <c r="C24" s="283">
        <v>4</v>
      </c>
      <c r="D24" s="117" t="s">
        <v>118</v>
      </c>
      <c r="E24" s="119">
        <f>'2021'!I180</f>
        <v>3265</v>
      </c>
      <c r="F24" s="119">
        <f>'2021'!J180</f>
        <v>0</v>
      </c>
      <c r="G24" s="119">
        <f>'2021'!M180</f>
        <v>3265</v>
      </c>
      <c r="H24" s="119">
        <f>'2021'!N180</f>
        <v>0</v>
      </c>
      <c r="I24" s="119">
        <f>'2021'!Q180</f>
        <v>3265</v>
      </c>
      <c r="J24" s="119">
        <f>'2021'!R180</f>
        <v>0</v>
      </c>
      <c r="K24" s="119">
        <f>'2021'!U180</f>
        <v>3265</v>
      </c>
      <c r="L24" s="119">
        <f>'2021'!V180</f>
        <v>0</v>
      </c>
      <c r="M24" s="119">
        <f>'2021'!Y180</f>
        <v>3270</v>
      </c>
      <c r="N24" s="119">
        <f>'2021'!Z180</f>
        <v>5</v>
      </c>
      <c r="O24" s="119">
        <f>'2021'!AC180</f>
        <v>3270</v>
      </c>
      <c r="P24" s="119">
        <f>'2021'!AD180</f>
        <v>0</v>
      </c>
      <c r="Q24" s="119">
        <f>'2021'!AG180</f>
        <v>3271</v>
      </c>
      <c r="R24" s="119">
        <f>'2021'!AH180</f>
        <v>1</v>
      </c>
      <c r="S24" s="119">
        <f>'2021'!AK180</f>
        <v>3271</v>
      </c>
      <c r="T24" s="119">
        <f>'2021'!AL180</f>
        <v>0</v>
      </c>
      <c r="U24" s="119">
        <f>'2021'!AO180</f>
        <v>3271</v>
      </c>
      <c r="V24" s="119">
        <f>'2021'!AP180</f>
        <v>0</v>
      </c>
      <c r="W24" s="119">
        <f>'2021'!AS180</f>
        <v>3271</v>
      </c>
      <c r="X24" s="119">
        <f>'2021'!AT180</f>
        <v>0</v>
      </c>
      <c r="Y24" s="119">
        <f>'2021'!AW180</f>
        <v>3271</v>
      </c>
      <c r="Z24" s="119">
        <f>'2021'!AX180</f>
        <v>0</v>
      </c>
      <c r="AA24" s="119"/>
      <c r="AB24" s="119">
        <f>'2021'!BA180</f>
        <v>3271</v>
      </c>
      <c r="AC24" s="119">
        <f>'2021'!BB180</f>
        <v>0</v>
      </c>
      <c r="AD24" s="119"/>
      <c r="AE24" s="119">
        <f>'2021'!BE180</f>
        <v>6</v>
      </c>
      <c r="AF24" s="119">
        <f t="shared" si="0"/>
        <v>0</v>
      </c>
    </row>
    <row r="25" ht="15.75" customHeight="1" spans="1:32" x14ac:dyDescent="0.25">
      <c r="A25" s="27"/>
      <c r="B25" s="115" t="s">
        <v>530</v>
      </c>
      <c r="C25" s="283">
        <v>4</v>
      </c>
      <c r="D25" s="117" t="s">
        <v>118</v>
      </c>
      <c r="E25" s="119">
        <f>'2021'!I189</f>
        <v>0</v>
      </c>
      <c r="F25" s="119">
        <f>'2021'!J189</f>
        <v>0</v>
      </c>
      <c r="G25" s="119">
        <f>'2021'!M189</f>
        <v>0</v>
      </c>
      <c r="H25" s="119">
        <f>'2021'!N189</f>
        <v>0</v>
      </c>
      <c r="I25" s="119">
        <f>'2021'!Q189</f>
        <v>0</v>
      </c>
      <c r="J25" s="119">
        <f>'2021'!R189</f>
        <v>0</v>
      </c>
      <c r="K25" s="119">
        <f>'2021'!U189</f>
        <v>0</v>
      </c>
      <c r="L25" s="119">
        <f>'2021'!V189</f>
        <v>0</v>
      </c>
      <c r="M25" s="119">
        <f>'2021'!Y189</f>
      </c>
      <c r="N25" s="119">
        <f>'2021'!Z189</f>
        <v>0</v>
      </c>
      <c r="O25" s="119">
        <f>'2021'!AC189</f>
      </c>
      <c r="P25" s="119">
        <f>'2021'!AD189</f>
        <v>0</v>
      </c>
      <c r="Q25" s="119">
        <f>'2021'!AG189</f>
      </c>
      <c r="R25" s="119">
        <f>'2021'!AH189</f>
        <v>0</v>
      </c>
      <c r="S25" s="119">
        <f>'2021'!AK189</f>
      </c>
      <c r="T25" s="119">
        <f>'2021'!AL189</f>
        <v>0</v>
      </c>
      <c r="U25" s="119">
        <f>'2021'!AO189</f>
      </c>
      <c r="V25" s="119">
        <f>'2021'!AP189</f>
        <v>0</v>
      </c>
      <c r="W25" s="119">
        <f>'2021'!AS189</f>
      </c>
      <c r="X25" s="119">
        <f>'2021'!AT189</f>
        <v>0</v>
      </c>
      <c r="Y25" s="119">
        <f>'2021'!AW189</f>
      </c>
      <c r="Z25" s="119">
        <f>'2021'!AX189</f>
        <v>0</v>
      </c>
      <c r="AA25" s="119"/>
      <c r="AB25" s="119">
        <f>'2021'!BA189</f>
      </c>
      <c r="AC25" s="119">
        <f>'2021'!BB189</f>
        <v>0</v>
      </c>
      <c r="AD25" s="119"/>
      <c r="AE25" s="119">
        <f>'2021'!BE189</f>
        <v>0</v>
      </c>
      <c r="AF25" s="119">
        <f t="shared" si="0"/>
        <v>0</v>
      </c>
    </row>
    <row r="26" ht="15.75" customHeight="1" spans="1:32" x14ac:dyDescent="0.25">
      <c r="A26" s="14"/>
      <c r="B26" s="115">
        <v>21</v>
      </c>
      <c r="C26" s="115">
        <v>3.96</v>
      </c>
      <c r="D26" s="117" t="s">
        <v>120</v>
      </c>
      <c r="E26" s="119">
        <f>'2021'!I198</f>
        <v>2216</v>
      </c>
      <c r="F26" s="119">
        <f>'2021'!J198</f>
        <v>23</v>
      </c>
      <c r="G26" s="119">
        <f>'2021'!M198</f>
        <v>2237</v>
      </c>
      <c r="H26" s="119">
        <f>'2021'!N198</f>
        <v>21</v>
      </c>
      <c r="I26" s="119">
        <f>'2021'!Q198</f>
        <v>2257</v>
      </c>
      <c r="J26" s="119">
        <f>'2021'!R198</f>
        <v>20</v>
      </c>
      <c r="K26" s="119">
        <f>'2021'!U198</f>
        <v>2280</v>
      </c>
      <c r="L26" s="119">
        <f>'2021'!V198</f>
        <v>23</v>
      </c>
      <c r="M26" s="119">
        <f>'2021'!Y198</f>
        <v>2376</v>
      </c>
      <c r="N26" s="119">
        <f>'2021'!Z198</f>
        <v>96</v>
      </c>
      <c r="O26" s="119">
        <f>'2021'!AC198</f>
        <v>2458</v>
      </c>
      <c r="P26" s="119">
        <f>'2021'!AD198</f>
        <v>82</v>
      </c>
      <c r="Q26" s="119">
        <f>'2021'!AG198</f>
        <v>2542</v>
      </c>
      <c r="R26" s="119">
        <f>'2021'!AH198</f>
        <v>84</v>
      </c>
      <c r="S26" s="119">
        <f>'2021'!AK198</f>
        <v>2617</v>
      </c>
      <c r="T26" s="119">
        <f>'2021'!AL198</f>
        <v>75</v>
      </c>
      <c r="U26" s="119">
        <f>'2021'!AO198</f>
        <v>2658</v>
      </c>
      <c r="V26" s="119">
        <f>'2021'!AP198</f>
        <v>41</v>
      </c>
      <c r="W26" s="119">
        <f>'2021'!AS198</f>
        <v>2684</v>
      </c>
      <c r="X26" s="119">
        <f>'2021'!AT198</f>
        <v>26</v>
      </c>
      <c r="Y26" s="119">
        <f>'2021'!AW198</f>
        <v>2711</v>
      </c>
      <c r="Z26" s="119">
        <f>'2021'!AX198</f>
        <v>27</v>
      </c>
      <c r="AA26" s="119"/>
      <c r="AB26" s="119">
        <f>'2021'!BA198</f>
        <v>2726</v>
      </c>
      <c r="AC26" s="119">
        <f>'2021'!BB198</f>
        <v>15</v>
      </c>
      <c r="AD26" s="119"/>
      <c r="AE26" s="119">
        <f>'2021'!BE198</f>
        <v>533</v>
      </c>
      <c r="AF26" s="119">
        <f t="shared" si="0"/>
        <v>0</v>
      </c>
    </row>
    <row r="27" ht="15.75" customHeight="1" spans="1:32" x14ac:dyDescent="0.25">
      <c r="A27" s="14"/>
      <c r="B27" s="115">
        <v>23</v>
      </c>
      <c r="C27" s="115">
        <v>3.98</v>
      </c>
      <c r="D27" s="117" t="s">
        <v>124</v>
      </c>
      <c r="E27" s="119">
        <f>'2021'!I207</f>
        <v>5766</v>
      </c>
      <c r="F27" s="119">
        <f>'2021'!J207</f>
        <v>0</v>
      </c>
      <c r="G27" s="119">
        <f>'2021'!M207</f>
        <v>5766</v>
      </c>
      <c r="H27" s="119">
        <f>'2021'!N207</f>
        <v>0</v>
      </c>
      <c r="I27" s="119">
        <f>'2021'!Q207</f>
        <v>5766</v>
      </c>
      <c r="J27" s="119">
        <f>'2021'!R207</f>
        <v>0</v>
      </c>
      <c r="K27" s="119">
        <f>'2021'!U207</f>
        <v>5766</v>
      </c>
      <c r="L27" s="119">
        <f>'2021'!V207</f>
        <v>0</v>
      </c>
      <c r="M27" s="119">
        <f>'2021'!Y207</f>
        <v>6185</v>
      </c>
      <c r="N27" s="119">
        <f>'2021'!Z207</f>
        <v>419</v>
      </c>
      <c r="O27" s="119">
        <f>'2021'!AC207</f>
        <v>6576</v>
      </c>
      <c r="P27" s="119">
        <f>'2021'!AD207</f>
        <v>391</v>
      </c>
      <c r="Q27" s="119">
        <f>'2021'!AG207</f>
        <v>6818</v>
      </c>
      <c r="R27" s="119">
        <f>'2021'!AH207</f>
        <v>242</v>
      </c>
      <c r="S27" s="119">
        <f>'2021'!AK207</f>
        <v>7085</v>
      </c>
      <c r="T27" s="119">
        <f>'2021'!AL207</f>
        <v>267</v>
      </c>
      <c r="U27" s="119">
        <f>'2021'!AO207</f>
        <v>7872</v>
      </c>
      <c r="V27" s="119">
        <f>'2021'!AP207</f>
        <v>787</v>
      </c>
      <c r="W27" s="119">
        <f>'2021'!AS207</f>
        <v>7944</v>
      </c>
      <c r="X27" s="119">
        <f>'2021'!AT207</f>
        <v>72</v>
      </c>
      <c r="Y27" s="119">
        <f>'2021'!AW207</f>
        <v>7944</v>
      </c>
      <c r="Z27" s="119">
        <f>'2021'!AX207</f>
        <v>0</v>
      </c>
      <c r="AA27" s="119"/>
      <c r="AB27" s="119">
        <f>'2021'!BA207</f>
        <v>7944</v>
      </c>
      <c r="AC27" s="119">
        <f>'2021'!BB207</f>
        <v>0</v>
      </c>
      <c r="AD27" s="119"/>
      <c r="AE27" s="119">
        <f>'2021'!BE207</f>
        <v>2178</v>
      </c>
      <c r="AF27" s="119">
        <f t="shared" si="0"/>
        <v>0</v>
      </c>
    </row>
    <row r="28" ht="15.75" customHeight="1" spans="1:32" x14ac:dyDescent="0.25">
      <c r="A28" s="14"/>
      <c r="B28" s="115">
        <v>24</v>
      </c>
      <c r="C28" s="115">
        <v>4.01</v>
      </c>
      <c r="D28" s="117" t="s">
        <v>127</v>
      </c>
      <c r="E28" s="119">
        <f>'2021'!I216</f>
        <v>257</v>
      </c>
      <c r="F28" s="119">
        <f>'2021'!J216</f>
        <v>0</v>
      </c>
      <c r="G28" s="119">
        <f>'2021'!M216</f>
        <v>257</v>
      </c>
      <c r="H28" s="119">
        <f>'2021'!N216</f>
        <v>0</v>
      </c>
      <c r="I28" s="119">
        <f>'2021'!Q216</f>
        <v>257</v>
      </c>
      <c r="J28" s="119">
        <f>'2021'!R216</f>
        <v>0</v>
      </c>
      <c r="K28" s="119">
        <f>'2021'!U216</f>
        <v>257</v>
      </c>
      <c r="L28" s="119">
        <f>'2021'!V216</f>
        <v>0</v>
      </c>
      <c r="M28" s="119">
        <f>'2021'!Y216</f>
        <v>335</v>
      </c>
      <c r="N28" s="119">
        <f>'2021'!Z216</f>
        <v>78</v>
      </c>
      <c r="O28" s="119">
        <f>'2021'!AC216</f>
        <v>493</v>
      </c>
      <c r="P28" s="119">
        <f>'2021'!AD216</f>
        <v>158</v>
      </c>
      <c r="Q28" s="119">
        <f>'2021'!AG216</f>
        <v>597</v>
      </c>
      <c r="R28" s="119">
        <f>'2021'!AH216</f>
        <v>104</v>
      </c>
      <c r="S28" s="119">
        <f>'2021'!AK216</f>
        <v>741</v>
      </c>
      <c r="T28" s="119">
        <f>'2021'!AL216</f>
        <v>144</v>
      </c>
      <c r="U28" s="119">
        <f>'2021'!AO216</f>
        <v>774</v>
      </c>
      <c r="V28" s="119">
        <f>'2021'!AP216</f>
        <v>33</v>
      </c>
      <c r="W28" s="119">
        <f>'2021'!AS216</f>
        <v>774</v>
      </c>
      <c r="X28" s="119">
        <f>'2021'!AT216</f>
        <v>0</v>
      </c>
      <c r="Y28" s="119">
        <f>'2021'!AW216</f>
        <v>774</v>
      </c>
      <c r="Z28" s="119">
        <f>'2021'!AX216</f>
        <v>0</v>
      </c>
      <c r="AA28" s="119"/>
      <c r="AB28" s="119">
        <f>'2021'!BA216</f>
        <v>774</v>
      </c>
      <c r="AC28" s="119">
        <f>'2021'!BB216</f>
        <v>0</v>
      </c>
      <c r="AD28" s="119"/>
      <c r="AE28" s="119">
        <f>'2021'!BE216</f>
        <v>517</v>
      </c>
      <c r="AF28" s="119">
        <f t="shared" si="0"/>
        <v>0</v>
      </c>
    </row>
    <row r="29" ht="15.75" customHeight="1" spans="1:32" x14ac:dyDescent="0.25">
      <c r="A29" s="14"/>
      <c r="B29" s="115">
        <v>25</v>
      </c>
      <c r="C29" s="116">
        <v>4</v>
      </c>
      <c r="D29" s="117" t="s">
        <v>131</v>
      </c>
      <c r="E29" s="119">
        <f>'2021'!I225</f>
        <v>26</v>
      </c>
      <c r="F29" s="119">
        <f>'2021'!J225</f>
        <v>0</v>
      </c>
      <c r="G29" s="119">
        <f>'2021'!M225</f>
        <v>26</v>
      </c>
      <c r="H29" s="119">
        <f>'2021'!N225</f>
        <v>0</v>
      </c>
      <c r="I29" s="119">
        <f>'2021'!Q225</f>
        <v>26</v>
      </c>
      <c r="J29" s="119">
        <f>'2021'!R225</f>
        <v>0</v>
      </c>
      <c r="K29" s="119">
        <f>'2021'!U225</f>
        <v>26</v>
      </c>
      <c r="L29" s="119">
        <f>'2021'!V225</f>
        <v>0</v>
      </c>
      <c r="M29" s="119">
        <f>'2021'!Y225</f>
        <v>36</v>
      </c>
      <c r="N29" s="119">
        <f>'2021'!Z225</f>
        <v>10</v>
      </c>
      <c r="O29" s="119">
        <f>'2021'!AC225</f>
        <v>36</v>
      </c>
      <c r="P29" s="119">
        <f>'2021'!AD225</f>
        <v>0</v>
      </c>
      <c r="Q29" s="119">
        <f>'2021'!AG225</f>
        <v>37</v>
      </c>
      <c r="R29" s="119">
        <f>'2021'!AH225</f>
        <v>1</v>
      </c>
      <c r="S29" s="119">
        <f>'2021'!AK225</f>
        <v>41</v>
      </c>
      <c r="T29" s="119">
        <f>'2021'!AL225</f>
        <v>4</v>
      </c>
      <c r="U29" s="119">
        <f>'2021'!AO225</f>
        <v>47</v>
      </c>
      <c r="V29" s="119">
        <f>'2021'!AP225</f>
        <v>6</v>
      </c>
      <c r="W29" s="119">
        <f>'2021'!AS225</f>
        <v>47</v>
      </c>
      <c r="X29" s="119">
        <f>'2021'!AT225</f>
        <v>0</v>
      </c>
      <c r="Y29" s="119">
        <f>'2021'!AW225</f>
        <v>48</v>
      </c>
      <c r="Z29" s="119">
        <f>'2021'!AX225</f>
        <v>1</v>
      </c>
      <c r="AA29" s="119"/>
      <c r="AB29" s="119">
        <f>'2021'!BA225</f>
        <v>48</v>
      </c>
      <c r="AC29" s="119">
        <f>'2021'!BB225</f>
        <v>0</v>
      </c>
      <c r="AD29" s="119"/>
      <c r="AE29" s="119">
        <f>'2021'!BE225</f>
        <v>22</v>
      </c>
      <c r="AF29" s="119">
        <f t="shared" si="0"/>
        <v>0</v>
      </c>
    </row>
    <row r="30" ht="15.75" customHeight="1" spans="1:32" x14ac:dyDescent="0.25">
      <c r="A30" s="14"/>
      <c r="B30" s="115">
        <v>26</v>
      </c>
      <c r="C30" s="115">
        <v>3.98</v>
      </c>
      <c r="D30" s="117" t="s">
        <v>133</v>
      </c>
      <c r="E30" s="119">
        <f>'2021'!I234</f>
        <v>0</v>
      </c>
      <c r="F30" s="119">
        <f>'2021'!J234</f>
        <v>0</v>
      </c>
      <c r="G30" s="119">
        <f>'2021'!M234</f>
        <v>0</v>
      </c>
      <c r="H30" s="119">
        <f>'2021'!N234</f>
        <v>0</v>
      </c>
      <c r="I30" s="119">
        <f>'2021'!Q234</f>
        <v>0</v>
      </c>
      <c r="J30" s="119">
        <f>'2021'!R234</f>
        <v>0</v>
      </c>
      <c r="K30" s="119">
        <f>'2021'!U234</f>
        <v>0</v>
      </c>
      <c r="L30" s="119">
        <f>'2021'!V234</f>
        <v>0</v>
      </c>
      <c r="M30" s="119">
        <f>'2021'!Y234</f>
      </c>
      <c r="N30" s="119">
        <f>'2021'!Z234</f>
        <v>0</v>
      </c>
      <c r="O30" s="119">
        <f>'2021'!AC234</f>
      </c>
      <c r="P30" s="119">
        <f>'2021'!AD234</f>
        <v>0</v>
      </c>
      <c r="Q30" s="119">
        <f>'2021'!AG234</f>
      </c>
      <c r="R30" s="119">
        <f>'2021'!AH234</f>
        <v>0</v>
      </c>
      <c r="S30" s="119">
        <f>'2021'!AK234</f>
      </c>
      <c r="T30" s="119">
        <f>'2021'!AL234</f>
        <v>0</v>
      </c>
      <c r="U30" s="119">
        <f>'2021'!AO234</f>
      </c>
      <c r="V30" s="119">
        <f>'2021'!AP234</f>
        <v>0</v>
      </c>
      <c r="W30" s="119">
        <f>'2021'!AS234</f>
      </c>
      <c r="X30" s="119">
        <f>'2021'!AT234</f>
        <v>0</v>
      </c>
      <c r="Y30" s="119">
        <f>'2021'!AW234</f>
      </c>
      <c r="Z30" s="119">
        <f>'2021'!AX234</f>
        <v>0</v>
      </c>
      <c r="AA30" s="119"/>
      <c r="AB30" s="119">
        <f>'2021'!BA234</f>
      </c>
      <c r="AC30" s="119">
        <f>'2021'!BB234</f>
        <v>0</v>
      </c>
      <c r="AD30" s="119"/>
      <c r="AE30" s="119">
        <f>'2021'!BE234</f>
        <v>0</v>
      </c>
      <c r="AF30" s="119">
        <f t="shared" si="0"/>
        <v>0</v>
      </c>
    </row>
    <row r="31" ht="15.75" customHeight="1" spans="1:32" x14ac:dyDescent="0.25">
      <c r="A31" s="14"/>
      <c r="B31" s="115">
        <v>27</v>
      </c>
      <c r="C31" s="115">
        <v>4.04</v>
      </c>
      <c r="D31" s="117" t="s">
        <v>136</v>
      </c>
      <c r="E31" s="119">
        <f>'2021'!I243</f>
        <v>0</v>
      </c>
      <c r="F31" s="119">
        <f>'2021'!J243</f>
        <v>0</v>
      </c>
      <c r="G31" s="119">
        <f>'2021'!M243</f>
        <v>0</v>
      </c>
      <c r="H31" s="119">
        <f>'2021'!N243</f>
        <v>0</v>
      </c>
      <c r="I31" s="119">
        <f>'2021'!Q243</f>
        <v>0</v>
      </c>
      <c r="J31" s="119">
        <f>'2021'!R243</f>
        <v>0</v>
      </c>
      <c r="K31" s="119">
        <f>'2021'!U243</f>
        <v>0</v>
      </c>
      <c r="L31" s="119">
        <f>'2021'!V243</f>
        <v>0</v>
      </c>
      <c r="M31" s="119">
        <f>'2021'!Y243</f>
      </c>
      <c r="N31" s="119">
        <f>'2021'!Z243</f>
        <v>0</v>
      </c>
      <c r="O31" s="119">
        <f>'2021'!AC243</f>
      </c>
      <c r="P31" s="119">
        <f>'2021'!AD243</f>
        <v>0</v>
      </c>
      <c r="Q31" s="119">
        <f>'2021'!AG243</f>
      </c>
      <c r="R31" s="119">
        <f>'2021'!AH243</f>
        <v>0</v>
      </c>
      <c r="S31" s="119">
        <f>'2021'!AK243</f>
      </c>
      <c r="T31" s="119">
        <f>'2021'!AL243</f>
        <v>0</v>
      </c>
      <c r="U31" s="119">
        <f>'2021'!AO243</f>
      </c>
      <c r="V31" s="119">
        <f>'2021'!AP243</f>
        <v>0</v>
      </c>
      <c r="W31" s="119">
        <f>'2021'!AS243</f>
      </c>
      <c r="X31" s="119">
        <f>'2021'!AT243</f>
        <v>0</v>
      </c>
      <c r="Y31" s="119">
        <f>'2021'!AW243</f>
      </c>
      <c r="Z31" s="119">
        <f>'2021'!AX243</f>
        <v>0</v>
      </c>
      <c r="AA31" s="119"/>
      <c r="AB31" s="119">
        <f>'2021'!BA243</f>
      </c>
      <c r="AC31" s="119">
        <f>'2021'!BB243</f>
        <v>0</v>
      </c>
      <c r="AD31" s="119"/>
      <c r="AE31" s="119">
        <f>'2021'!BE243</f>
        <v>0</v>
      </c>
      <c r="AF31" s="119">
        <f t="shared" si="0"/>
        <v>0</v>
      </c>
    </row>
    <row r="32" ht="15.75" customHeight="1" spans="1:32" x14ac:dyDescent="0.25">
      <c r="A32" s="14"/>
      <c r="B32" s="115">
        <v>28</v>
      </c>
      <c r="C32" s="115">
        <v>3.96</v>
      </c>
      <c r="D32" s="117" t="s">
        <v>140</v>
      </c>
      <c r="E32" s="119">
        <f>'2021'!I252</f>
        <v>1986</v>
      </c>
      <c r="F32" s="119">
        <f>'2021'!J252</f>
        <v>955</v>
      </c>
      <c r="G32" s="119">
        <f>'2021'!M252</f>
        <v>2944</v>
      </c>
      <c r="H32" s="119">
        <f>'2021'!N252</f>
        <v>958</v>
      </c>
      <c r="I32" s="119">
        <f>'2021'!Q252</f>
        <v>3689</v>
      </c>
      <c r="J32" s="119">
        <f>'2021'!R252</f>
        <v>745</v>
      </c>
      <c r="K32" s="119">
        <f>'2021'!U252</f>
        <v>4117</v>
      </c>
      <c r="L32" s="119">
        <f>'2021'!V252</f>
        <v>428</v>
      </c>
      <c r="M32" s="119">
        <f>'2021'!Y252</f>
        <v>4273</v>
      </c>
      <c r="N32" s="119">
        <f>'2021'!Z252</f>
        <v>156</v>
      </c>
      <c r="O32" s="119">
        <f>'2021'!AC252</f>
        <v>4398</v>
      </c>
      <c r="P32" s="119">
        <f>'2021'!AD252</f>
        <v>125</v>
      </c>
      <c r="Q32" s="119">
        <f>'2021'!AG252</f>
        <v>4487</v>
      </c>
      <c r="R32" s="119">
        <f>'2021'!AH252</f>
        <v>89</v>
      </c>
      <c r="S32" s="119">
        <f>'2021'!AK252</f>
        <v>4572</v>
      </c>
      <c r="T32" s="119">
        <f>'2021'!AL252</f>
        <v>85</v>
      </c>
      <c r="U32" s="119">
        <f>'2021'!AO252</f>
        <v>4743</v>
      </c>
      <c r="V32" s="119">
        <f>'2021'!AP252</f>
        <v>171</v>
      </c>
      <c r="W32" s="119">
        <f>'2021'!AS252</f>
        <v>5125</v>
      </c>
      <c r="X32" s="119">
        <f>'2021'!AT252</f>
        <v>382</v>
      </c>
      <c r="Y32" s="119">
        <f>'2021'!AW252</f>
        <v>5829</v>
      </c>
      <c r="Z32" s="119">
        <f>'2021'!AX252</f>
        <v>704</v>
      </c>
      <c r="AA32" s="119"/>
      <c r="AB32" s="119">
        <f>'2021'!BA252</f>
        <v>6571</v>
      </c>
      <c r="AC32" s="119">
        <f>'2021'!BB252</f>
        <v>742</v>
      </c>
      <c r="AD32" s="119"/>
      <c r="AE32" s="119">
        <f>'2021'!BE252</f>
        <v>5540</v>
      </c>
      <c r="AF32" s="119">
        <f t="shared" si="0"/>
        <v>0</v>
      </c>
    </row>
    <row r="33" ht="15.75" customHeight="1" spans="1:32" x14ac:dyDescent="0.25">
      <c r="A33" s="14"/>
      <c r="B33" s="115">
        <v>30</v>
      </c>
      <c r="C33" s="115">
        <v>4.05</v>
      </c>
      <c r="D33" s="117" t="s">
        <v>496</v>
      </c>
      <c r="E33" s="119">
        <f>'2021'!I261</f>
        <v>7</v>
      </c>
      <c r="F33" s="119">
        <f>'2021'!J261</f>
        <v>0</v>
      </c>
      <c r="G33" s="119">
        <f>'2021'!M261</f>
        <v>7</v>
      </c>
      <c r="H33" s="119">
        <f>'2021'!N261</f>
        <v>0</v>
      </c>
      <c r="I33" s="119">
        <f>'2021'!Q261</f>
        <v>7</v>
      </c>
      <c r="J33" s="119">
        <f>'2021'!R261</f>
        <v>0</v>
      </c>
      <c r="K33" s="119">
        <f>'2021'!U261</f>
        <v>7</v>
      </c>
      <c r="L33" s="119">
        <f>'2021'!V261</f>
        <v>0</v>
      </c>
      <c r="M33" s="119">
        <f>'2021'!Y261</f>
        <v>9</v>
      </c>
      <c r="N33" s="119">
        <f>'2021'!Z261</f>
        <v>2</v>
      </c>
      <c r="O33" s="119">
        <f>'2021'!AC261</f>
        <v>18</v>
      </c>
      <c r="P33" s="119">
        <f>'2021'!AD261</f>
        <v>9</v>
      </c>
      <c r="Q33" s="119">
        <f>'2021'!AG261</f>
        <v>79</v>
      </c>
      <c r="R33" s="119">
        <f>'2021'!AH261</f>
        <v>61</v>
      </c>
      <c r="S33" s="119">
        <f>'2021'!AK261</f>
        <v>161</v>
      </c>
      <c r="T33" s="119">
        <f>'2021'!AL261</f>
        <v>82</v>
      </c>
      <c r="U33" s="119">
        <f>'2021'!AO261</f>
        <v>205</v>
      </c>
      <c r="V33" s="119">
        <f>'2021'!AP261</f>
        <v>44</v>
      </c>
      <c r="W33" s="119">
        <f>'2021'!AS261</f>
        <v>206</v>
      </c>
      <c r="X33" s="119">
        <f>'2021'!AT261</f>
        <v>1</v>
      </c>
      <c r="Y33" s="119">
        <f>'2021'!AW261</f>
        <v>206</v>
      </c>
      <c r="Z33" s="119">
        <f>'2021'!AX261</f>
        <v>0</v>
      </c>
      <c r="AA33" s="119"/>
      <c r="AB33" s="119">
        <f>'2021'!BA261</f>
        <v>206</v>
      </c>
      <c r="AC33" s="119">
        <f>'2021'!BB261</f>
        <v>0</v>
      </c>
      <c r="AD33" s="119"/>
      <c r="AE33" s="119">
        <f>'2021'!BE261</f>
        <v>199</v>
      </c>
      <c r="AF33" s="119">
        <f t="shared" si="0"/>
        <v>0</v>
      </c>
    </row>
    <row r="34" ht="15.75" customHeight="1" spans="1:32" x14ac:dyDescent="0.25">
      <c r="A34" s="14"/>
      <c r="B34" s="115">
        <v>29</v>
      </c>
      <c r="C34" s="115">
        <v>4.02</v>
      </c>
      <c r="D34" s="117" t="s">
        <v>146</v>
      </c>
      <c r="E34" s="119">
        <f>'2021'!I270</f>
        <v>0</v>
      </c>
      <c r="F34" s="119">
        <f>'2021'!J270</f>
      </c>
      <c r="G34" s="119">
        <f>'2021'!M270</f>
      </c>
      <c r="H34" s="119">
        <f>'2021'!N270</f>
        <v>0</v>
      </c>
      <c r="I34" s="119">
        <f>'2021'!Q270</f>
      </c>
      <c r="J34" s="119">
        <f>'2021'!R270</f>
        <v>0</v>
      </c>
      <c r="K34" s="119">
        <f>'2021'!U270</f>
        <v>0</v>
      </c>
      <c r="L34" s="119">
        <f>'2021'!V270</f>
        <v>0</v>
      </c>
      <c r="M34" s="119">
        <f>'2021'!Y270</f>
        <v>0</v>
      </c>
      <c r="N34" s="119">
        <f>'2021'!Z270</f>
        <v>0</v>
      </c>
      <c r="O34" s="119">
        <f>'2021'!AC270</f>
        <v>0</v>
      </c>
      <c r="P34" s="119">
        <f>'2021'!AD270</f>
        <v>0</v>
      </c>
      <c r="Q34" s="119">
        <f>'2021'!AG270</f>
        <v>0</v>
      </c>
      <c r="R34" s="119">
        <f>'2021'!AH270</f>
        <v>0</v>
      </c>
      <c r="S34" s="119">
        <f>'2021'!AK270</f>
        <v>0</v>
      </c>
      <c r="T34" s="119">
        <f>'2021'!AL270</f>
        <v>0</v>
      </c>
      <c r="U34" s="119">
        <f>'2021'!AO270</f>
        <v>0</v>
      </c>
      <c r="V34" s="119">
        <f>'2021'!AP270</f>
        <v>0</v>
      </c>
      <c r="W34" s="119">
        <f>'2021'!AS270</f>
      </c>
      <c r="X34" s="119">
        <f>'2021'!AT270</f>
        <v>0</v>
      </c>
      <c r="Y34" s="119">
        <f>'2021'!AW270</f>
      </c>
      <c r="Z34" s="119">
        <f>'2021'!AX270</f>
        <v>0</v>
      </c>
      <c r="AA34" s="119"/>
      <c r="AB34" s="119">
        <f>'2021'!BA270</f>
      </c>
      <c r="AC34" s="119">
        <f>'2021'!BB270</f>
        <v>0</v>
      </c>
      <c r="AD34" s="119"/>
      <c r="AE34" s="119">
        <f>'2021'!BE270</f>
        <v>0</v>
      </c>
      <c r="AF34" s="119">
        <f t="shared" si="0"/>
        <v>0</v>
      </c>
    </row>
    <row r="35" ht="15.75" customHeight="1" spans="1:32" x14ac:dyDescent="0.25">
      <c r="A35" s="14"/>
      <c r="B35" s="115">
        <v>31</v>
      </c>
      <c r="C35" s="116">
        <v>4</v>
      </c>
      <c r="D35" s="117" t="s">
        <v>149</v>
      </c>
      <c r="E35" s="119">
        <f>'2021'!I279</f>
        <v>5</v>
      </c>
      <c r="F35" s="119">
        <f>'2021'!J279</f>
        <v>0</v>
      </c>
      <c r="G35" s="119">
        <f>'2021'!M279</f>
        <v>5</v>
      </c>
      <c r="H35" s="119">
        <f>'2021'!N279</f>
        <v>0</v>
      </c>
      <c r="I35" s="119">
        <f>'2021'!Q279</f>
        <v>5</v>
      </c>
      <c r="J35" s="119">
        <f>'2021'!R279</f>
        <v>0</v>
      </c>
      <c r="K35" s="119">
        <f>'2021'!U279</f>
        <v>5</v>
      </c>
      <c r="L35" s="119">
        <f>'2021'!V279</f>
        <v>0</v>
      </c>
      <c r="M35" s="119">
        <f>'2021'!Y279</f>
        <v>5</v>
      </c>
      <c r="N35" s="119">
        <f>'2021'!Z279</f>
        <v>0</v>
      </c>
      <c r="O35" s="119">
        <f>'2021'!AC279</f>
        <v>5</v>
      </c>
      <c r="P35" s="119">
        <f>'2021'!AD279</f>
        <v>0</v>
      </c>
      <c r="Q35" s="119">
        <f>'2021'!AG279</f>
        <v>5</v>
      </c>
      <c r="R35" s="119">
        <f>'2021'!AH279</f>
        <v>0</v>
      </c>
      <c r="S35" s="119">
        <f>'2021'!AK279</f>
        <v>5</v>
      </c>
      <c r="T35" s="119">
        <f>'2021'!AL279</f>
        <v>0</v>
      </c>
      <c r="U35" s="119">
        <f>'2021'!AO279</f>
        <v>5</v>
      </c>
      <c r="V35" s="119">
        <f>'2021'!AP279</f>
        <v>0</v>
      </c>
      <c r="W35" s="119">
        <f>'2021'!AS279</f>
        <v>5</v>
      </c>
      <c r="X35" s="119">
        <f>'2021'!AT279</f>
        <v>0</v>
      </c>
      <c r="Y35" s="119">
        <f>'2021'!AW279</f>
        <v>5</v>
      </c>
      <c r="Z35" s="119">
        <f>'2021'!AX279</f>
        <v>0</v>
      </c>
      <c r="AA35" s="119"/>
      <c r="AB35" s="119">
        <f>'2021'!BA279</f>
        <v>5</v>
      </c>
      <c r="AC35" s="119">
        <f>'2021'!BB279</f>
        <v>0</v>
      </c>
      <c r="AD35" s="119"/>
      <c r="AE35" s="119">
        <f>'2021'!BE279</f>
        <v>0</v>
      </c>
      <c r="AF35" s="119">
        <f t="shared" si="0"/>
        <v>0</v>
      </c>
    </row>
    <row r="36" ht="15.75" customHeight="1" spans="1:32" x14ac:dyDescent="0.25">
      <c r="A36" s="14"/>
      <c r="B36" s="115">
        <v>32</v>
      </c>
      <c r="C36" s="115">
        <v>3.96</v>
      </c>
      <c r="D36" s="117" t="s">
        <v>152</v>
      </c>
      <c r="E36" s="119">
        <f>'2021'!I288</f>
        <v>991</v>
      </c>
      <c r="F36" s="119">
        <f>'2021'!J288</f>
        <v>0</v>
      </c>
      <c r="G36" s="119">
        <f>'2021'!M288</f>
        <v>991</v>
      </c>
      <c r="H36" s="119">
        <f>'2021'!N288</f>
        <v>0</v>
      </c>
      <c r="I36" s="119">
        <f>'2021'!Q288</f>
        <v>991</v>
      </c>
      <c r="J36" s="119">
        <f>'2021'!R288</f>
        <v>0</v>
      </c>
      <c r="K36" s="119">
        <f>'2021'!U288</f>
        <v>991</v>
      </c>
      <c r="L36" s="119">
        <f>'2021'!V288</f>
        <v>0</v>
      </c>
      <c r="M36" s="119">
        <f>'2021'!Y288</f>
        <v>1034</v>
      </c>
      <c r="N36" s="119">
        <f>'2021'!Z288</f>
        <v>43</v>
      </c>
      <c r="O36" s="119">
        <f>'2021'!AC288</f>
        <v>1092</v>
      </c>
      <c r="P36" s="119">
        <f>'2021'!AD288</f>
        <v>58</v>
      </c>
      <c r="Q36" s="119">
        <f>'2021'!AG288</f>
        <v>1167</v>
      </c>
      <c r="R36" s="119">
        <f>'2021'!AH288</f>
        <v>75</v>
      </c>
      <c r="S36" s="119">
        <f>'2021'!AK288</f>
        <v>1228</v>
      </c>
      <c r="T36" s="119">
        <f>'2021'!AL288</f>
        <v>61</v>
      </c>
      <c r="U36" s="119">
        <f>'2021'!AO288</f>
        <v>1275</v>
      </c>
      <c r="V36" s="119">
        <f>'2021'!AP288</f>
        <v>47</v>
      </c>
      <c r="W36" s="119">
        <f>'2021'!AS288</f>
        <v>1280</v>
      </c>
      <c r="X36" s="119">
        <f>'2021'!AT288</f>
        <v>5</v>
      </c>
      <c r="Y36" s="119">
        <f>'2021'!AW288</f>
        <v>1282</v>
      </c>
      <c r="Z36" s="119">
        <f>'2021'!AX288</f>
        <v>2</v>
      </c>
      <c r="AA36" s="119"/>
      <c r="AB36" s="119">
        <f>'2021'!BA288</f>
        <v>1282</v>
      </c>
      <c r="AC36" s="119">
        <f>'2021'!BB288</f>
        <v>0</v>
      </c>
      <c r="AD36" s="119"/>
      <c r="AE36" s="119">
        <f>'2021'!BE288</f>
        <v>291</v>
      </c>
      <c r="AF36" s="119">
        <f t="shared" si="0"/>
        <v>0</v>
      </c>
    </row>
    <row r="37" ht="15.75" customHeight="1" spans="1:32" x14ac:dyDescent="0.25">
      <c r="A37" s="14"/>
      <c r="B37" s="115">
        <v>33</v>
      </c>
      <c r="C37" s="115">
        <v>4.01</v>
      </c>
      <c r="D37" s="117" t="s">
        <v>154</v>
      </c>
      <c r="E37" s="119">
        <f>'2021'!I297</f>
        <v>33</v>
      </c>
      <c r="F37" s="119">
        <f>'2021'!J297</f>
        <v>0</v>
      </c>
      <c r="G37" s="119">
        <f>'2021'!M297</f>
        <v>33</v>
      </c>
      <c r="H37" s="119">
        <f>'2021'!N297</f>
        <v>0</v>
      </c>
      <c r="I37" s="119">
        <f>'2021'!Q297</f>
        <v>33</v>
      </c>
      <c r="J37" s="119">
        <f>'2021'!R297</f>
        <v>0</v>
      </c>
      <c r="K37" s="119">
        <f>'2021'!U297</f>
        <v>33</v>
      </c>
      <c r="L37" s="119">
        <f>'2021'!V297</f>
        <v>0</v>
      </c>
      <c r="M37" s="119">
        <f>'2021'!Y297</f>
        <v>33</v>
      </c>
      <c r="N37" s="119">
        <f>'2021'!Z297</f>
        <v>0</v>
      </c>
      <c r="O37" s="119">
        <f>'2021'!AC297</f>
        <v>33</v>
      </c>
      <c r="P37" s="119">
        <f>'2021'!AD297</f>
        <v>0</v>
      </c>
      <c r="Q37" s="119">
        <f>'2021'!AG297</f>
        <v>33</v>
      </c>
      <c r="R37" s="119">
        <f>'2021'!AH297</f>
        <v>0</v>
      </c>
      <c r="S37" s="119">
        <f>'2021'!AK297</f>
        <v>33</v>
      </c>
      <c r="T37" s="119">
        <f>'2021'!AL297</f>
        <v>0</v>
      </c>
      <c r="U37" s="119">
        <f>'2021'!AO297</f>
        <v>33</v>
      </c>
      <c r="V37" s="119">
        <f>'2021'!AP297</f>
        <v>0</v>
      </c>
      <c r="W37" s="119">
        <f>'2021'!AS297</f>
        <v>33</v>
      </c>
      <c r="X37" s="119">
        <f>'2021'!AT297</f>
        <v>0</v>
      </c>
      <c r="Y37" s="119">
        <f>'2021'!AW297</f>
        <v>33</v>
      </c>
      <c r="Z37" s="119">
        <f>'2021'!AX297</f>
        <v>0</v>
      </c>
      <c r="AA37" s="119"/>
      <c r="AB37" s="119">
        <f>'2021'!BA297</f>
        <v>33</v>
      </c>
      <c r="AC37" s="119">
        <f>'2021'!BB297</f>
        <v>0</v>
      </c>
      <c r="AD37" s="119"/>
      <c r="AE37" s="119">
        <f>'2021'!BE297</f>
        <v>0</v>
      </c>
      <c r="AF37" s="119">
        <f t="shared" si="0"/>
        <v>0</v>
      </c>
    </row>
    <row r="38" ht="15.75" customHeight="1" spans="1:32" x14ac:dyDescent="0.25">
      <c r="A38" s="14"/>
      <c r="B38" s="115">
        <v>34</v>
      </c>
      <c r="C38" s="115">
        <v>4.01</v>
      </c>
      <c r="D38" s="117" t="s">
        <v>155</v>
      </c>
      <c r="E38" s="119">
        <f>'2021'!I306</f>
        <v>4151</v>
      </c>
      <c r="F38" s="119">
        <f>'2021'!J306</f>
        <v>0</v>
      </c>
      <c r="G38" s="119">
        <f>'2021'!M306</f>
        <v>4151</v>
      </c>
      <c r="H38" s="119">
        <f>'2021'!N306</f>
        <v>0</v>
      </c>
      <c r="I38" s="119">
        <f>'2021'!Q306</f>
        <v>4383</v>
      </c>
      <c r="J38" s="119">
        <f>'2021'!R306</f>
        <v>232</v>
      </c>
      <c r="K38" s="119">
        <f>'2021'!U306</f>
        <v>4383</v>
      </c>
      <c r="L38" s="119">
        <f>'2021'!V306</f>
        <v>0</v>
      </c>
      <c r="M38" s="119">
        <f>'2021'!Y306</f>
        <v>5047</v>
      </c>
      <c r="N38" s="119">
        <f>'2021'!Z306</f>
        <v>664</v>
      </c>
      <c r="O38" s="119">
        <f>'2021'!AC306</f>
        <v>5050</v>
      </c>
      <c r="P38" s="119">
        <f>'2021'!AD306</f>
        <v>3</v>
      </c>
      <c r="Q38" s="119">
        <f>'2021'!AG306</f>
        <v>5058</v>
      </c>
      <c r="R38" s="119">
        <f>'2021'!AH306</f>
        <v>8</v>
      </c>
      <c r="S38" s="119">
        <f>'2021'!AK306</f>
        <v>5058</v>
      </c>
      <c r="T38" s="119">
        <f>'2021'!AL306</f>
        <v>0</v>
      </c>
      <c r="U38" s="119">
        <f>'2021'!AO306</f>
        <v>5066</v>
      </c>
      <c r="V38" s="119">
        <f>'2021'!AP306</f>
        <v>8</v>
      </c>
      <c r="W38" s="119">
        <f>'2021'!AS306</f>
        <v>5066</v>
      </c>
      <c r="X38" s="119">
        <f>'2021'!AT306</f>
        <v>0</v>
      </c>
      <c r="Y38" s="119">
        <f>'2021'!AW306</f>
        <v>5082</v>
      </c>
      <c r="Z38" s="119">
        <f>'2021'!AX306</f>
        <v>16</v>
      </c>
      <c r="AA38" s="119"/>
      <c r="AB38" s="119">
        <f>'2021'!BA306</f>
        <v>5082</v>
      </c>
      <c r="AC38" s="119">
        <f>'2021'!BB306</f>
        <v>0</v>
      </c>
      <c r="AD38" s="119"/>
      <c r="AE38" s="119">
        <f>'2021'!BE306</f>
        <v>931</v>
      </c>
      <c r="AF38" s="119">
        <f t="shared" si="0"/>
        <v>0</v>
      </c>
    </row>
    <row r="39" ht="15.75" customHeight="1" spans="1:32" x14ac:dyDescent="0.25">
      <c r="A39" s="14"/>
      <c r="B39" s="115">
        <v>35</v>
      </c>
      <c r="C39" s="115">
        <v>4.01</v>
      </c>
      <c r="D39" s="117" t="s">
        <v>157</v>
      </c>
      <c r="E39" s="119">
        <f>'2021'!I315</f>
        <v>33</v>
      </c>
      <c r="F39" s="119">
        <f>'2021'!J315</f>
        <v>0</v>
      </c>
      <c r="G39" s="119">
        <f>'2021'!M315</f>
        <v>33</v>
      </c>
      <c r="H39" s="119">
        <f>'2021'!N315</f>
        <v>0</v>
      </c>
      <c r="I39" s="119">
        <f>'2021'!Q315</f>
        <v>33</v>
      </c>
      <c r="J39" s="119">
        <f>'2021'!R315</f>
        <v>0</v>
      </c>
      <c r="K39" s="119">
        <f>'2021'!U315</f>
        <v>33</v>
      </c>
      <c r="L39" s="119">
        <f>'2021'!V315</f>
        <v>0</v>
      </c>
      <c r="M39" s="119">
        <f>'2021'!Y315</f>
        <v>33</v>
      </c>
      <c r="N39" s="119">
        <f>'2021'!Z315</f>
        <v>0</v>
      </c>
      <c r="O39" s="119">
        <f>'2021'!AC315</f>
        <v>33</v>
      </c>
      <c r="P39" s="119">
        <f>'2021'!AD315</f>
        <v>0</v>
      </c>
      <c r="Q39" s="119">
        <f>'2021'!AG315</f>
        <v>33</v>
      </c>
      <c r="R39" s="119">
        <f>'2021'!AH315</f>
        <v>0</v>
      </c>
      <c r="S39" s="119">
        <f>'2021'!AK315</f>
        <v>33</v>
      </c>
      <c r="T39" s="119">
        <f>'2021'!AL315</f>
        <v>0</v>
      </c>
      <c r="U39" s="119">
        <f>'2021'!AO315</f>
        <v>33</v>
      </c>
      <c r="V39" s="119">
        <f>'2021'!AP315</f>
        <v>0</v>
      </c>
      <c r="W39" s="119">
        <f>'2021'!AS315</f>
        <v>33</v>
      </c>
      <c r="X39" s="119">
        <f>'2021'!AT315</f>
        <v>0</v>
      </c>
      <c r="Y39" s="119">
        <f>'2021'!AW315</f>
        <v>33</v>
      </c>
      <c r="Z39" s="119">
        <f>'2021'!AX315</f>
        <v>0</v>
      </c>
      <c r="AA39" s="119"/>
      <c r="AB39" s="119">
        <f>'2021'!BA315</f>
        <v>33</v>
      </c>
      <c r="AC39" s="119">
        <f>'2021'!BB315</f>
        <v>0</v>
      </c>
      <c r="AD39" s="119"/>
      <c r="AE39" s="119">
        <f>'2021'!BE315</f>
        <v>0</v>
      </c>
      <c r="AF39" s="119">
        <f t="shared" si="0"/>
        <v>0</v>
      </c>
    </row>
    <row r="40" ht="15.75" customHeight="1" spans="1:32" x14ac:dyDescent="0.25">
      <c r="A40" s="14"/>
      <c r="B40" s="115">
        <v>36</v>
      </c>
      <c r="C40" s="115">
        <v>4.03</v>
      </c>
      <c r="D40" s="117" t="s">
        <v>160</v>
      </c>
      <c r="E40" s="119">
        <f>'2021'!I324</f>
        <v>428</v>
      </c>
      <c r="F40" s="119">
        <f>'2021'!J324</f>
        <v>0</v>
      </c>
      <c r="G40" s="119">
        <f>'2021'!M324</f>
        <v>428</v>
      </c>
      <c r="H40" s="119">
        <f>'2021'!N324</f>
        <v>0</v>
      </c>
      <c r="I40" s="119">
        <f>'2021'!Q324</f>
        <v>428</v>
      </c>
      <c r="J40" s="119">
        <f>'2021'!R324</f>
        <v>0</v>
      </c>
      <c r="K40" s="119">
        <f>'2021'!U324</f>
        <v>428</v>
      </c>
      <c r="L40" s="119">
        <f>'2021'!V324</f>
        <v>0</v>
      </c>
      <c r="M40" s="119">
        <f>'2021'!Y324</f>
        <v>438</v>
      </c>
      <c r="N40" s="119">
        <f>'2021'!Z324</f>
        <v>10</v>
      </c>
      <c r="O40" s="119">
        <f>'2021'!AC324</f>
        <v>451</v>
      </c>
      <c r="P40" s="119">
        <f>'2021'!AD324</f>
        <v>13</v>
      </c>
      <c r="Q40" s="119">
        <f>'2021'!AG324</f>
        <v>494</v>
      </c>
      <c r="R40" s="119">
        <f>'2021'!AH324</f>
        <v>43</v>
      </c>
      <c r="S40" s="119">
        <f>'2021'!AK324</f>
        <v>586</v>
      </c>
      <c r="T40" s="119">
        <f>'2021'!AL324</f>
        <v>92</v>
      </c>
      <c r="U40" s="119">
        <f>'2021'!AO324</f>
        <v>618</v>
      </c>
      <c r="V40" s="119">
        <f>'2021'!AP324</f>
        <v>32</v>
      </c>
      <c r="W40" s="119">
        <f>'2021'!AS324</f>
        <v>622</v>
      </c>
      <c r="X40" s="119">
        <f>'2021'!AT324</f>
        <v>4</v>
      </c>
      <c r="Y40" s="119">
        <f>'2021'!AW324</f>
        <v>622</v>
      </c>
      <c r="Z40" s="119">
        <f>'2021'!AX324</f>
        <v>0</v>
      </c>
      <c r="AA40" s="119"/>
      <c r="AB40" s="119">
        <f>'2021'!BA324</f>
        <v>622</v>
      </c>
      <c r="AC40" s="119">
        <f>'2021'!BB324</f>
        <v>0</v>
      </c>
      <c r="AD40" s="119"/>
      <c r="AE40" s="119">
        <f>'2021'!BE324</f>
        <v>194</v>
      </c>
      <c r="AF40" s="119">
        <f t="shared" si="0"/>
        <v>0</v>
      </c>
    </row>
    <row r="41" ht="15.75" customHeight="1" spans="1:32" x14ac:dyDescent="0.25">
      <c r="A41" s="14"/>
      <c r="B41" s="115">
        <v>37</v>
      </c>
      <c r="C41" s="115">
        <v>4.06</v>
      </c>
      <c r="D41" s="117" t="s">
        <v>162</v>
      </c>
      <c r="E41" s="119">
        <f>'2021'!I333</f>
        <v>0</v>
      </c>
      <c r="F41" s="119">
        <f>'2021'!J333</f>
        <v>0</v>
      </c>
      <c r="G41" s="119">
        <f>'2021'!M333</f>
        <v>0</v>
      </c>
      <c r="H41" s="119">
        <f>'2021'!N333</f>
        <v>0</v>
      </c>
      <c r="I41" s="119">
        <f>'2021'!Q333</f>
        <v>0</v>
      </c>
      <c r="J41" s="119">
        <f>'2021'!R333</f>
        <v>0</v>
      </c>
      <c r="K41" s="119">
        <f>'2021'!U333</f>
        <v>0</v>
      </c>
      <c r="L41" s="119">
        <f>'2021'!V333</f>
        <v>0</v>
      </c>
      <c r="M41" s="119">
        <f>'2021'!Y333</f>
      </c>
      <c r="N41" s="119">
        <f>'2021'!Z333</f>
        <v>0</v>
      </c>
      <c r="O41" s="119">
        <f>'2021'!AC333</f>
      </c>
      <c r="P41" s="119">
        <f>'2021'!AD333</f>
        <v>0</v>
      </c>
      <c r="Q41" s="119">
        <f>'2021'!AG333</f>
      </c>
      <c r="R41" s="119">
        <f>'2021'!AH333</f>
        <v>0</v>
      </c>
      <c r="S41" s="119">
        <f>'2021'!AK333</f>
      </c>
      <c r="T41" s="119">
        <f>'2021'!AL333</f>
        <v>0</v>
      </c>
      <c r="U41" s="119">
        <f>'2021'!AO333</f>
      </c>
      <c r="V41" s="119">
        <f>'2021'!AP333</f>
        <v>0</v>
      </c>
      <c r="W41" s="119">
        <f>'2021'!AS333</f>
      </c>
      <c r="X41" s="119">
        <f>'2021'!AT333</f>
        <v>0</v>
      </c>
      <c r="Y41" s="119">
        <f>'2021'!AW333</f>
      </c>
      <c r="Z41" s="119">
        <f>'2021'!AX333</f>
        <v>0</v>
      </c>
      <c r="AA41" s="119"/>
      <c r="AB41" s="119">
        <f>'2021'!BA333</f>
      </c>
      <c r="AC41" s="119">
        <f>'2021'!BB333</f>
        <v>0</v>
      </c>
      <c r="AD41" s="119"/>
      <c r="AE41" s="119">
        <f>'2021'!BE333</f>
        <v>0</v>
      </c>
      <c r="AF41" s="119">
        <f t="shared" si="0"/>
        <v>0</v>
      </c>
    </row>
    <row r="42" ht="15.75" customHeight="1" spans="1:32" x14ac:dyDescent="0.25">
      <c r="A42" s="14"/>
      <c r="B42" s="115">
        <v>38</v>
      </c>
      <c r="C42" s="115">
        <v>4.34</v>
      </c>
      <c r="D42" s="117" t="s">
        <v>167</v>
      </c>
      <c r="E42" s="119">
        <f>'2021'!I342</f>
        <v>18</v>
      </c>
      <c r="F42" s="119">
        <f>'2021'!J342</f>
        <v>0</v>
      </c>
      <c r="G42" s="119">
        <f>'2021'!M342</f>
        <v>18</v>
      </c>
      <c r="H42" s="119">
        <f>'2021'!N342</f>
        <v>0</v>
      </c>
      <c r="I42" s="119">
        <f>'2021'!Q342</f>
        <v>18</v>
      </c>
      <c r="J42" s="119">
        <f>'2021'!R342</f>
        <v>0</v>
      </c>
      <c r="K42" s="119">
        <f>'2021'!U342</f>
        <v>18</v>
      </c>
      <c r="L42" s="119">
        <f>'2021'!V342</f>
        <v>0</v>
      </c>
      <c r="M42" s="119">
        <f>'2021'!Y342</f>
        <v>18</v>
      </c>
      <c r="N42" s="119">
        <f>'2021'!Z342</f>
        <v>0</v>
      </c>
      <c r="O42" s="119">
        <f>'2021'!AC342</f>
        <v>18</v>
      </c>
      <c r="P42" s="119">
        <f>'2021'!AD342</f>
        <v>0</v>
      </c>
      <c r="Q42" s="119">
        <f>'2021'!AG342</f>
        <v>19</v>
      </c>
      <c r="R42" s="119">
        <f>'2021'!AH342</f>
        <v>1</v>
      </c>
      <c r="S42" s="119">
        <f>'2021'!AK342</f>
        <v>19</v>
      </c>
      <c r="T42" s="119">
        <f>'2021'!AL342</f>
        <v>0</v>
      </c>
      <c r="U42" s="119">
        <f>'2021'!AO342</f>
        <v>19</v>
      </c>
      <c r="V42" s="119">
        <f>'2021'!AP342</f>
        <v>0</v>
      </c>
      <c r="W42" s="119">
        <f>'2021'!AS342</f>
        <v>19</v>
      </c>
      <c r="X42" s="119">
        <f>'2021'!AT342</f>
        <v>0</v>
      </c>
      <c r="Y42" s="119">
        <f>'2021'!AW342</f>
        <v>19</v>
      </c>
      <c r="Z42" s="119">
        <f>'2021'!AX342</f>
        <v>0</v>
      </c>
      <c r="AA42" s="119"/>
      <c r="AB42" s="119">
        <f>'2021'!BA342</f>
        <v>19</v>
      </c>
      <c r="AC42" s="119">
        <f>'2021'!BB342</f>
        <v>0</v>
      </c>
      <c r="AD42" s="119"/>
      <c r="AE42" s="119">
        <f>'2021'!BE342</f>
        <v>1</v>
      </c>
      <c r="AF42" s="119">
        <f t="shared" si="0"/>
        <v>0</v>
      </c>
    </row>
    <row r="43" ht="15.75" customHeight="1" spans="1:32" x14ac:dyDescent="0.25">
      <c r="A43" s="21"/>
      <c r="B43" s="115">
        <v>39</v>
      </c>
      <c r="C43" s="116">
        <v>4</v>
      </c>
      <c r="D43" s="117" t="s">
        <v>169</v>
      </c>
      <c r="E43" s="119">
        <f>'2021'!I351</f>
        <v>209</v>
      </c>
      <c r="F43" s="119">
        <f>'2021'!J351</f>
        <v>0</v>
      </c>
      <c r="G43" s="119">
        <f>'2021'!M351</f>
        <v>209</v>
      </c>
      <c r="H43" s="119">
        <f>'2021'!N351</f>
        <v>0</v>
      </c>
      <c r="I43" s="119">
        <f>'2021'!Q351</f>
        <v>209</v>
      </c>
      <c r="J43" s="119">
        <f>'2021'!R351</f>
        <v>0</v>
      </c>
      <c r="K43" s="119">
        <f>'2021'!U351</f>
        <v>209</v>
      </c>
      <c r="L43" s="119">
        <f>'2021'!V351</f>
        <v>0</v>
      </c>
      <c r="M43" s="119">
        <f>'2021'!Y351</f>
        <v>278</v>
      </c>
      <c r="N43" s="119">
        <f>'2021'!Z351</f>
        <v>69</v>
      </c>
      <c r="O43" s="119">
        <f>'2021'!AC351</f>
        <v>399</v>
      </c>
      <c r="P43" s="119">
        <f>'2021'!AD351</f>
        <v>121</v>
      </c>
      <c r="Q43" s="119">
        <f>'2021'!AG351</f>
        <v>397</v>
      </c>
      <c r="R43" s="119">
        <f>'2021'!AH351</f>
        <v>397</v>
      </c>
      <c r="S43" s="119">
        <f>'2021'!AK351</f>
        <v>450</v>
      </c>
      <c r="T43" s="119">
        <f>'2021'!AL351</f>
        <v>53</v>
      </c>
      <c r="U43" s="119">
        <f>'2021'!AO351</f>
        <v>897</v>
      </c>
      <c r="V43" s="119">
        <f>'2021'!AP351</f>
        <v>447</v>
      </c>
      <c r="W43" s="119">
        <f>'2021'!AS351</f>
        <v>1030</v>
      </c>
      <c r="X43" s="119">
        <f>'2021'!AT351</f>
        <v>133</v>
      </c>
      <c r="Y43" s="119">
        <f>'2021'!AW351</f>
        <v>1093</v>
      </c>
      <c r="Z43" s="119">
        <f>'2021'!AX351</f>
        <v>63</v>
      </c>
      <c r="AA43" s="119"/>
      <c r="AB43" s="119">
        <f>'2021'!BA351</f>
        <v>1093</v>
      </c>
      <c r="AC43" s="119">
        <f>'2021'!BB351</f>
        <v>0</v>
      </c>
      <c r="AD43" s="119"/>
      <c r="AE43" s="119">
        <f>'2021'!BE351</f>
        <v>1283</v>
      </c>
      <c r="AF43" s="119">
        <f t="shared" si="0"/>
        <v>0</v>
      </c>
    </row>
    <row r="44" ht="15.75" customHeight="1" spans="1:32" x14ac:dyDescent="0.25">
      <c r="A44" s="114" t="s">
        <v>173</v>
      </c>
      <c r="B44" s="115">
        <v>40</v>
      </c>
      <c r="C44" s="115">
        <v>4.92</v>
      </c>
      <c r="D44" s="117" t="s">
        <v>174</v>
      </c>
      <c r="E44" s="119">
        <f>'2021'!I360</f>
        <v>34240</v>
      </c>
      <c r="F44" s="119">
        <f>'2021'!J360</f>
        <v>735</v>
      </c>
      <c r="G44" s="119">
        <f>'2021'!M360</f>
        <v>34730</v>
      </c>
      <c r="H44" s="119">
        <f>'2021'!N360</f>
        <v>490</v>
      </c>
      <c r="I44" s="119">
        <f>'2021'!Q360</f>
        <v>35142</v>
      </c>
      <c r="J44" s="119">
        <f>'2021'!R360</f>
        <v>412</v>
      </c>
      <c r="K44" s="119">
        <f>'2021'!U360</f>
        <v>35465</v>
      </c>
      <c r="L44" s="119">
        <f>'2021'!V360</f>
        <v>323</v>
      </c>
      <c r="M44" s="119">
        <f>'2021'!Y360</f>
        <v>35850</v>
      </c>
      <c r="N44" s="119">
        <f>'2021'!Z360</f>
        <v>385</v>
      </c>
      <c r="O44" s="119">
        <f>'2021'!AC360</f>
        <v>36077</v>
      </c>
      <c r="P44" s="119">
        <f>'2021'!AD360</f>
        <v>227</v>
      </c>
      <c r="Q44" s="119">
        <f>'2021'!AG360</f>
        <v>36325</v>
      </c>
      <c r="R44" s="119">
        <f>'2021'!AH360</f>
        <v>248</v>
      </c>
      <c r="S44" s="119">
        <f>'2021'!AK360</f>
        <v>36537</v>
      </c>
      <c r="T44" s="119">
        <f>'2021'!AL360</f>
        <v>212</v>
      </c>
      <c r="U44" s="119">
        <f>'2021'!AO360</f>
        <v>36868</v>
      </c>
      <c r="V44" s="119">
        <f>'2021'!AP360</f>
        <v>331</v>
      </c>
      <c r="W44" s="119">
        <f>'2021'!AS360</f>
        <v>37799</v>
      </c>
      <c r="X44" s="119">
        <f>'2021'!AT360</f>
        <v>931</v>
      </c>
      <c r="Y44" s="119">
        <f>'2021'!AW360</f>
        <v>39527</v>
      </c>
      <c r="Z44" s="119">
        <f>'2021'!AX360</f>
        <v>1728</v>
      </c>
      <c r="AA44" s="119"/>
      <c r="AB44" s="119">
        <f>'2021'!BA360</f>
        <v>40837</v>
      </c>
      <c r="AC44" s="119">
        <f>'2021'!BB360</f>
        <v>1310</v>
      </c>
      <c r="AD44" s="119"/>
      <c r="AE44" s="119">
        <f>'2021'!BE360</f>
        <v>7332</v>
      </c>
      <c r="AF44" s="119">
        <f t="shared" si="0"/>
        <v>0</v>
      </c>
    </row>
    <row r="45" ht="15.75" customHeight="1" spans="1:32" x14ac:dyDescent="0.25">
      <c r="A45" s="14"/>
      <c r="B45" s="115">
        <v>41</v>
      </c>
      <c r="C45" s="115">
        <v>4.87</v>
      </c>
      <c r="D45" s="117" t="s">
        <v>177</v>
      </c>
      <c r="E45" s="119">
        <f>'2021'!I369</f>
        <v>300</v>
      </c>
      <c r="F45" s="119">
        <f>'2021'!J369</f>
        <v>0</v>
      </c>
      <c r="G45" s="119">
        <f>'2021'!M369</f>
        <v>300</v>
      </c>
      <c r="H45" s="119">
        <f>'2021'!N369</f>
        <v>0</v>
      </c>
      <c r="I45" s="119">
        <f>'2021'!Q369</f>
        <v>300</v>
      </c>
      <c r="J45" s="119">
        <f>'2021'!R369</f>
        <v>0</v>
      </c>
      <c r="K45" s="119">
        <f>'2021'!U369</f>
        <v>300</v>
      </c>
      <c r="L45" s="119">
        <f>'2021'!V369</f>
        <v>0</v>
      </c>
      <c r="M45" s="119">
        <f>'2021'!Y369</f>
        <v>300</v>
      </c>
      <c r="N45" s="119">
        <f>'2021'!Z369</f>
        <v>0</v>
      </c>
      <c r="O45" s="119">
        <f>'2021'!AC369</f>
        <v>300</v>
      </c>
      <c r="P45" s="119">
        <f>'2021'!AD369</f>
        <v>0</v>
      </c>
      <c r="Q45" s="119">
        <f>'2021'!AG369</f>
        <v>300</v>
      </c>
      <c r="R45" s="119">
        <f>'2021'!AH369</f>
        <v>0</v>
      </c>
      <c r="S45" s="119">
        <f>'2021'!AK369</f>
        <v>300</v>
      </c>
      <c r="T45" s="119">
        <f>'2021'!AL369</f>
        <v>0</v>
      </c>
      <c r="U45" s="119">
        <f>'2021'!AO369</f>
        <v>300</v>
      </c>
      <c r="V45" s="119">
        <f>'2021'!AP369</f>
        <v>0</v>
      </c>
      <c r="W45" s="119">
        <f>'2021'!AS369</f>
        <v>300</v>
      </c>
      <c r="X45" s="119">
        <f>'2021'!AT369</f>
        <v>0</v>
      </c>
      <c r="Y45" s="119">
        <f>'2021'!AW369</f>
        <v>300</v>
      </c>
      <c r="Z45" s="119">
        <f>'2021'!AX369</f>
        <v>0</v>
      </c>
      <c r="AA45" s="119"/>
      <c r="AB45" s="119">
        <f>'2021'!BA369</f>
        <v>300</v>
      </c>
      <c r="AC45" s="119">
        <f>'2021'!BB369</f>
        <v>0</v>
      </c>
      <c r="AD45" s="119"/>
      <c r="AE45" s="119">
        <f>'2021'!BE369</f>
        <v>0</v>
      </c>
      <c r="AF45" s="119">
        <f t="shared" si="0"/>
        <v>0</v>
      </c>
    </row>
    <row r="46" ht="15.75" customHeight="1" spans="1:32" x14ac:dyDescent="0.25">
      <c r="A46" s="14"/>
      <c r="B46" s="115">
        <v>42</v>
      </c>
      <c r="C46" s="116">
        <v>4.9</v>
      </c>
      <c r="D46" s="2" t="s">
        <v>181</v>
      </c>
      <c r="E46" s="119">
        <f>'2021'!I378</f>
        <v>9869</v>
      </c>
      <c r="F46" s="119">
        <f>'2021'!J378</f>
        <v>3402</v>
      </c>
      <c r="G46" s="119">
        <f>'2021'!M378</f>
        <v>12779</v>
      </c>
      <c r="H46" s="119">
        <f>'2021'!N378</f>
        <v>2910</v>
      </c>
      <c r="I46" s="119">
        <f>'2021'!Q378</f>
        <v>14855</v>
      </c>
      <c r="J46" s="119">
        <f>'2021'!R378</f>
        <v>2076</v>
      </c>
      <c r="K46" s="119">
        <f>'2021'!U378</f>
        <v>16356</v>
      </c>
      <c r="L46" s="119">
        <f>'2021'!V378</f>
        <v>1501</v>
      </c>
      <c r="M46" s="119">
        <f>'2021'!Y378</f>
        <v>16756</v>
      </c>
      <c r="N46" s="119">
        <f>'2021'!Z378</f>
        <v>400</v>
      </c>
      <c r="O46" s="119">
        <f>'2021'!AC378</f>
        <v>17104</v>
      </c>
      <c r="P46" s="119">
        <f>'2021'!AD378</f>
        <v>348</v>
      </c>
      <c r="Q46" s="119">
        <f>'2021'!AG378</f>
        <v>17135</v>
      </c>
      <c r="R46" s="119">
        <f>'2021'!AH378</f>
        <v>31</v>
      </c>
      <c r="S46" s="119">
        <f>'2021'!AK378</f>
        <v>17304</v>
      </c>
      <c r="T46" s="119">
        <f>'2021'!AL378</f>
        <v>169</v>
      </c>
      <c r="U46" s="119">
        <f>'2021'!AO378</f>
        <v>17914</v>
      </c>
      <c r="V46" s="119">
        <f>'2021'!AP378</f>
        <v>610</v>
      </c>
      <c r="W46" s="119">
        <f>'2021'!AS378</f>
        <v>19300</v>
      </c>
      <c r="X46" s="119">
        <f>'2021'!AT378</f>
        <v>1386</v>
      </c>
      <c r="Y46" s="119">
        <f>'2021'!AW378</f>
        <v>21611</v>
      </c>
      <c r="Z46" s="119">
        <f>'2021'!AX378</f>
        <v>2311</v>
      </c>
      <c r="AA46" s="119"/>
      <c r="AB46" s="119">
        <f>'2021'!BA378</f>
        <v>23695</v>
      </c>
      <c r="AC46" s="119">
        <f>'2021'!BB378</f>
        <v>2084</v>
      </c>
      <c r="AD46" s="119"/>
      <c r="AE46" s="119">
        <f>'2021'!BE378</f>
        <v>17228</v>
      </c>
      <c r="AF46" s="119">
        <f t="shared" si="0"/>
        <v>0</v>
      </c>
    </row>
    <row r="47" ht="15.75" customHeight="1" spans="1:32" x14ac:dyDescent="0.25">
      <c r="A47" s="14"/>
      <c r="B47" s="115">
        <v>43</v>
      </c>
      <c r="C47" s="115">
        <v>4.96</v>
      </c>
      <c r="D47" s="117" t="s">
        <v>185</v>
      </c>
      <c r="E47" s="119">
        <f>'2021'!I387</f>
        <v>1928</v>
      </c>
      <c r="F47" s="119">
        <f>'2021'!J387</f>
        <v>0</v>
      </c>
      <c r="G47" s="119">
        <f>'2021'!M387</f>
        <v>1928</v>
      </c>
      <c r="H47" s="119">
        <f>'2021'!N387</f>
        <v>0</v>
      </c>
      <c r="I47" s="119">
        <f>'2021'!Q387</f>
        <v>1928</v>
      </c>
      <c r="J47" s="119">
        <f>'2021'!R387</f>
        <v>0</v>
      </c>
      <c r="K47" s="119">
        <f>'2021'!U387</f>
        <v>1968</v>
      </c>
      <c r="L47" s="119">
        <f>'2021'!V387</f>
        <v>40</v>
      </c>
      <c r="M47" s="119">
        <f>'2021'!Y387</f>
        <v>2037</v>
      </c>
      <c r="N47" s="119">
        <f>'2021'!Z387</f>
        <v>69</v>
      </c>
      <c r="O47" s="119">
        <f>'2021'!AC387</f>
        <v>2040</v>
      </c>
      <c r="P47" s="119">
        <f>'2021'!AD387</f>
        <v>3</v>
      </c>
      <c r="Q47" s="119">
        <f>'2021'!AG387</f>
        <v>2040</v>
      </c>
      <c r="R47" s="119">
        <f>'2021'!AH387</f>
        <v>0</v>
      </c>
      <c r="S47" s="119">
        <f>'2021'!AK387</f>
        <v>2040</v>
      </c>
      <c r="T47" s="119">
        <f>'2021'!AL387</f>
        <v>0</v>
      </c>
      <c r="U47" s="119">
        <f>'2021'!AO387</f>
        <v>2040</v>
      </c>
      <c r="V47" s="119">
        <f>'2021'!AP387</f>
        <v>0</v>
      </c>
      <c r="W47" s="119">
        <f>'2021'!AS387</f>
        <v>2040</v>
      </c>
      <c r="X47" s="119">
        <f>'2021'!AT387</f>
        <v>0</v>
      </c>
      <c r="Y47" s="119">
        <f>'2021'!AW387</f>
        <v>2040</v>
      </c>
      <c r="Z47" s="119">
        <f>'2021'!AX387</f>
        <v>0</v>
      </c>
      <c r="AA47" s="119"/>
      <c r="AB47" s="119">
        <f>'2021'!BA387</f>
        <v>359</v>
      </c>
      <c r="AC47" s="119">
        <f>'2021'!BB387</f>
        <v>359</v>
      </c>
      <c r="AD47" s="119"/>
      <c r="AE47" s="119">
        <f>'2021'!BE387</f>
        <v>471</v>
      </c>
      <c r="AF47" s="119">
        <f t="shared" si="0"/>
        <v>0</v>
      </c>
    </row>
    <row r="48" ht="15.75" customHeight="1" spans="1:32" x14ac:dyDescent="0.25">
      <c r="A48" s="14"/>
      <c r="B48" s="115">
        <v>44</v>
      </c>
      <c r="C48" s="115">
        <v>4.01</v>
      </c>
      <c r="D48" s="15" t="s">
        <v>412</v>
      </c>
      <c r="E48" s="119">
        <f>'2021'!I396</f>
        <v>25</v>
      </c>
      <c r="F48" s="119">
        <f>'2021'!J396</f>
        <v>0</v>
      </c>
      <c r="G48" s="119">
        <f>'2021'!M396</f>
        <v>25</v>
      </c>
      <c r="H48" s="119">
        <f>'2021'!N396</f>
        <v>0</v>
      </c>
      <c r="I48" s="119">
        <f>'2021'!Q396</f>
        <v>25</v>
      </c>
      <c r="J48" s="119">
        <f>'2021'!R396</f>
        <v>0</v>
      </c>
      <c r="K48" s="119">
        <f>'2021'!U396</f>
        <v>25</v>
      </c>
      <c r="L48" s="119">
        <f>'2021'!V396</f>
        <v>0</v>
      </c>
      <c r="M48" s="119">
        <f>'2021'!Y396</f>
        <v>25</v>
      </c>
      <c r="N48" s="119">
        <f>'2021'!Z396</f>
        <v>0</v>
      </c>
      <c r="O48" s="119">
        <f>'2021'!AC396</f>
        <v>26</v>
      </c>
      <c r="P48" s="119">
        <f>'2021'!AD396</f>
        <v>1</v>
      </c>
      <c r="Q48" s="119">
        <f>'2021'!AG396</f>
        <v>27</v>
      </c>
      <c r="R48" s="119">
        <f>'2021'!AH396</f>
        <v>1</v>
      </c>
      <c r="S48" s="119">
        <f>'2021'!AK396</f>
        <v>32</v>
      </c>
      <c r="T48" s="119">
        <f>'2021'!AL396</f>
        <v>5</v>
      </c>
      <c r="U48" s="119">
        <f>'2021'!AO396</f>
        <v>34</v>
      </c>
      <c r="V48" s="119">
        <f>'2021'!AP396</f>
        <v>2</v>
      </c>
      <c r="W48" s="119">
        <f>'2021'!AS396</f>
        <v>34</v>
      </c>
      <c r="X48" s="119">
        <f>'2021'!AT396</f>
        <v>0</v>
      </c>
      <c r="Y48" s="119">
        <f>'2021'!AW396</f>
        <v>34</v>
      </c>
      <c r="Z48" s="119">
        <f>'2021'!AX396</f>
        <v>0</v>
      </c>
      <c r="AA48" s="119"/>
      <c r="AB48" s="119">
        <f>'2021'!BA396</f>
        <v>34</v>
      </c>
      <c r="AC48" s="119">
        <f>'2021'!BB396</f>
        <v>0</v>
      </c>
      <c r="AD48" s="119"/>
      <c r="AE48" s="119">
        <f>'2021'!BE396</f>
        <v>9</v>
      </c>
      <c r="AF48" s="119">
        <f t="shared" si="0"/>
        <v>0</v>
      </c>
    </row>
    <row r="49" ht="15.75" customHeight="1" spans="1:32" x14ac:dyDescent="0.25">
      <c r="A49" s="14"/>
      <c r="B49" s="115">
        <v>45</v>
      </c>
      <c r="C49" s="115">
        <v>5.04</v>
      </c>
      <c r="D49" s="117" t="s">
        <v>189</v>
      </c>
      <c r="E49" s="119">
        <f>'2021'!I405</f>
        <v>13</v>
      </c>
      <c r="F49" s="119">
        <f>'2021'!J405</f>
        <v>0</v>
      </c>
      <c r="G49" s="119">
        <f>'2021'!M405</f>
        <v>13</v>
      </c>
      <c r="H49" s="119">
        <f>'2021'!N405</f>
        <v>0</v>
      </c>
      <c r="I49" s="119">
        <f>'2021'!Q405</f>
        <v>13</v>
      </c>
      <c r="J49" s="119">
        <f>'2021'!R405</f>
        <v>0</v>
      </c>
      <c r="K49" s="119">
        <f>'2021'!U405</f>
        <v>13</v>
      </c>
      <c r="L49" s="119">
        <f>'2021'!V405</f>
        <v>0</v>
      </c>
      <c r="M49" s="119">
        <f>'2021'!Y405</f>
        <v>13</v>
      </c>
      <c r="N49" s="119">
        <f>'2021'!Z405</f>
        <v>0</v>
      </c>
      <c r="O49" s="119">
        <f>'2021'!AC405</f>
        <v>13</v>
      </c>
      <c r="P49" s="119">
        <f>'2021'!AD405</f>
        <v>0</v>
      </c>
      <c r="Q49" s="119">
        <f>'2021'!AG405</f>
        <v>13</v>
      </c>
      <c r="R49" s="119">
        <f>'2021'!AH405</f>
        <v>0</v>
      </c>
      <c r="S49" s="119">
        <f>'2021'!AK405</f>
        <v>13</v>
      </c>
      <c r="T49" s="119">
        <f>'2021'!AL405</f>
        <v>0</v>
      </c>
      <c r="U49" s="119">
        <f>'2021'!AO405</f>
        <v>13</v>
      </c>
      <c r="V49" s="119">
        <f>'2021'!AP405</f>
        <v>0</v>
      </c>
      <c r="W49" s="119">
        <f>'2021'!AS405</f>
        <v>13</v>
      </c>
      <c r="X49" s="119">
        <f>'2021'!AT405</f>
        <v>0</v>
      </c>
      <c r="Y49" s="119">
        <f>'2021'!AW405</f>
        <v>13</v>
      </c>
      <c r="Z49" s="119">
        <f>'2021'!AX405</f>
        <v>0</v>
      </c>
      <c r="AA49" s="119"/>
      <c r="AB49" s="119">
        <f>'2021'!BA405</f>
        <v>13</v>
      </c>
      <c r="AC49" s="119">
        <f>'2021'!BB405</f>
        <v>0</v>
      </c>
      <c r="AD49" s="119"/>
      <c r="AE49" s="119">
        <f>'2021'!BE405</f>
        <v>0</v>
      </c>
      <c r="AF49" s="119">
        <f t="shared" si="0"/>
        <v>0</v>
      </c>
    </row>
    <row r="50" ht="15.75" customHeight="1" spans="1:32" x14ac:dyDescent="0.25">
      <c r="A50" s="14"/>
      <c r="B50" s="115">
        <v>46</v>
      </c>
      <c r="C50" s="116">
        <v>4</v>
      </c>
      <c r="D50" s="117" t="s">
        <v>188</v>
      </c>
      <c r="E50" s="119">
        <f>'2021'!I414</f>
        <v>3525</v>
      </c>
      <c r="F50" s="119">
        <f>'2021'!J414</f>
        <v>0</v>
      </c>
      <c r="G50" s="119">
        <f>'2021'!M414</f>
        <v>3525</v>
      </c>
      <c r="H50" s="119">
        <f>'2021'!N414</f>
        <v>0</v>
      </c>
      <c r="I50" s="119">
        <f>'2021'!Q414</f>
        <v>3525</v>
      </c>
      <c r="J50" s="119">
        <f>'2021'!R414</f>
        <v>0</v>
      </c>
      <c r="K50" s="119">
        <f>'2021'!U414</f>
        <v>3525</v>
      </c>
      <c r="L50" s="119">
        <f>'2021'!V414</f>
        <v>0</v>
      </c>
      <c r="M50" s="119">
        <f>'2021'!Y414</f>
        <v>3625</v>
      </c>
      <c r="N50" s="119">
        <f>'2021'!Z414</f>
        <v>100</v>
      </c>
      <c r="O50" s="119">
        <f>'2021'!AC414</f>
        <v>3741</v>
      </c>
      <c r="P50" s="119">
        <f>'2021'!AD414</f>
        <v>116</v>
      </c>
      <c r="Q50" s="119">
        <f>'2021'!AG414</f>
        <v>3873</v>
      </c>
      <c r="R50" s="119">
        <f>'2021'!AH414</f>
        <v>132</v>
      </c>
      <c r="S50" s="119">
        <f>'2021'!AK414</f>
        <v>4003</v>
      </c>
      <c r="T50" s="119">
        <f>'2021'!AL414</f>
        <v>130</v>
      </c>
      <c r="U50" s="119">
        <f>'2021'!AO414</f>
        <v>4122</v>
      </c>
      <c r="V50" s="119">
        <f>'2021'!AP414</f>
        <v>119</v>
      </c>
      <c r="W50" s="119">
        <f>'2021'!AS414</f>
        <v>4188</v>
      </c>
      <c r="X50" s="119">
        <f>'2021'!AT414</f>
        <v>66</v>
      </c>
      <c r="Y50" s="119">
        <f>'2021'!AW414</f>
        <v>4198</v>
      </c>
      <c r="Z50" s="119">
        <f>'2021'!AX414</f>
        <v>10</v>
      </c>
      <c r="AA50" s="119"/>
      <c r="AB50" s="119">
        <f>'2021'!BA414</f>
        <v>4198</v>
      </c>
      <c r="AC50" s="119">
        <f>'2021'!BB414</f>
        <v>0</v>
      </c>
      <c r="AD50" s="119"/>
      <c r="AE50" s="119">
        <f>'2021'!BE414</f>
        <v>673</v>
      </c>
      <c r="AF50" s="119">
        <f t="shared" si="0"/>
        <v>0</v>
      </c>
    </row>
    <row r="51" ht="15.75" customHeight="1" spans="1:32" x14ac:dyDescent="0.25">
      <c r="A51" s="14"/>
      <c r="B51" s="115">
        <v>47</v>
      </c>
      <c r="C51" s="116">
        <v>5</v>
      </c>
      <c r="D51" s="117" t="s">
        <v>192</v>
      </c>
      <c r="E51" s="119">
        <f>'2021'!I423</f>
        <v>165</v>
      </c>
      <c r="F51" s="119">
        <f>'2021'!J423</f>
        <v>0</v>
      </c>
      <c r="G51" s="119">
        <f>'2021'!M423</f>
        <v>165</v>
      </c>
      <c r="H51" s="119">
        <f>'2021'!N423</f>
        <v>0</v>
      </c>
      <c r="I51" s="119">
        <f>'2021'!Q423</f>
        <v>165</v>
      </c>
      <c r="J51" s="119">
        <f>'2021'!R423</f>
        <v>0</v>
      </c>
      <c r="K51" s="119">
        <f>'2021'!U423</f>
        <v>165</v>
      </c>
      <c r="L51" s="119">
        <f>'2021'!V423</f>
        <v>0</v>
      </c>
      <c r="M51" s="119">
        <f>'2021'!Y423</f>
        <v>165</v>
      </c>
      <c r="N51" s="119">
        <f>'2021'!Z423</f>
        <v>0</v>
      </c>
      <c r="O51" s="119">
        <f>'2021'!AC423</f>
        <v>165</v>
      </c>
      <c r="P51" s="119">
        <f>'2021'!AD423</f>
        <v>0</v>
      </c>
      <c r="Q51" s="119">
        <f>'2021'!AG423</f>
        <v>165</v>
      </c>
      <c r="R51" s="119">
        <f>'2021'!AH423</f>
        <v>0</v>
      </c>
      <c r="S51" s="119">
        <f>'2021'!AK423</f>
        <v>165</v>
      </c>
      <c r="T51" s="119">
        <f>'2021'!AL423</f>
        <v>0</v>
      </c>
      <c r="U51" s="119">
        <f>'2021'!AO423</f>
        <v>165</v>
      </c>
      <c r="V51" s="119">
        <f>'2021'!AP423</f>
        <v>0</v>
      </c>
      <c r="W51" s="119">
        <f>'2021'!AS423</f>
        <v>165</v>
      </c>
      <c r="X51" s="119">
        <f>'2021'!AT423</f>
        <v>0</v>
      </c>
      <c r="Y51" s="119">
        <f>'2021'!AW423</f>
        <v>165</v>
      </c>
      <c r="Z51" s="119">
        <f>'2021'!AX423</f>
        <v>0</v>
      </c>
      <c r="AA51" s="119"/>
      <c r="AB51" s="119">
        <f>'2021'!BA423</f>
        <v>165</v>
      </c>
      <c r="AC51" s="119">
        <f>'2021'!BB423</f>
        <v>0</v>
      </c>
      <c r="AD51" s="119"/>
      <c r="AE51" s="119">
        <f>'2021'!BE423</f>
        <v>0</v>
      </c>
      <c r="AF51" s="119">
        <f t="shared" si="0"/>
        <v>0</v>
      </c>
    </row>
    <row r="52" ht="15.75" customHeight="1" spans="1:32" x14ac:dyDescent="0.25">
      <c r="A52" s="14"/>
      <c r="B52" s="115">
        <v>48</v>
      </c>
      <c r="C52" s="115">
        <v>5.93</v>
      </c>
      <c r="D52" s="117" t="s">
        <v>97</v>
      </c>
      <c r="E52" s="119">
        <f>'2021'!I432</f>
        <v>0</v>
      </c>
      <c r="F52" s="119">
        <f>'2021'!J432</f>
        <v>0</v>
      </c>
      <c r="G52" s="119">
        <f>'2021'!M432</f>
        <v>0</v>
      </c>
      <c r="H52" s="119">
        <f>'2021'!N432</f>
        <v>0</v>
      </c>
      <c r="I52" s="119">
        <f>'2021'!Q432</f>
        <v>0</v>
      </c>
      <c r="J52" s="119">
        <f>'2021'!R432</f>
        <v>0</v>
      </c>
      <c r="K52" s="119">
        <f>'2021'!U432</f>
        <v>0</v>
      </c>
      <c r="L52" s="119">
        <f>'2021'!V432</f>
        <v>0</v>
      </c>
      <c r="M52" s="119">
        <f>'2021'!Y432</f>
      </c>
      <c r="N52" s="119">
        <f>'2021'!Z432</f>
        <v>0</v>
      </c>
      <c r="O52" s="119">
        <f>'2021'!AC432</f>
      </c>
      <c r="P52" s="119">
        <f>'2021'!AD432</f>
        <v>0</v>
      </c>
      <c r="Q52" s="119">
        <f>'2021'!AG432</f>
      </c>
      <c r="R52" s="119">
        <f>'2021'!AH432</f>
        <v>0</v>
      </c>
      <c r="S52" s="119">
        <f>'2021'!AK432</f>
      </c>
      <c r="T52" s="119">
        <f>'2021'!AL432</f>
        <v>0</v>
      </c>
      <c r="U52" s="119">
        <f>'2021'!AO432</f>
      </c>
      <c r="V52" s="119">
        <f>'2021'!AP432</f>
        <v>0</v>
      </c>
      <c r="W52" s="119">
        <f>'2021'!AS432</f>
      </c>
      <c r="X52" s="119">
        <f>'2021'!AT432</f>
        <v>0</v>
      </c>
      <c r="Y52" s="119">
        <f>'2021'!AW432</f>
      </c>
      <c r="Z52" s="119">
        <f>'2021'!AX432</f>
        <v>0</v>
      </c>
      <c r="AA52" s="119"/>
      <c r="AB52" s="119">
        <f>'2021'!BA432</f>
      </c>
      <c r="AC52" s="119">
        <f>'2021'!BB432</f>
        <v>0</v>
      </c>
      <c r="AD52" s="119"/>
      <c r="AE52" s="119">
        <f>'2021'!BE432</f>
        <v>0</v>
      </c>
      <c r="AF52" s="119">
        <f t="shared" si="0"/>
        <v>0</v>
      </c>
    </row>
    <row r="53" ht="15.75" customHeight="1" spans="1:32" x14ac:dyDescent="0.25">
      <c r="A53" s="14"/>
      <c r="B53" s="115">
        <v>49</v>
      </c>
      <c r="C53" s="115">
        <v>5.03</v>
      </c>
      <c r="D53" s="117" t="s">
        <v>197</v>
      </c>
      <c r="E53" s="119">
        <f>'2021'!I441</f>
        <v>0</v>
      </c>
      <c r="F53" s="119">
        <f>'2021'!J441</f>
        <v>0</v>
      </c>
      <c r="G53" s="119">
        <f>'2021'!M441</f>
        <v>0</v>
      </c>
      <c r="H53" s="119">
        <f>'2021'!N441</f>
        <v>0</v>
      </c>
      <c r="I53" s="119">
        <f>'2021'!Q441</f>
        <v>0</v>
      </c>
      <c r="J53" s="119">
        <f>'2021'!R441</f>
        <v>0</v>
      </c>
      <c r="K53" s="119">
        <f>'2021'!U441</f>
        <v>0</v>
      </c>
      <c r="L53" s="119">
        <f>'2021'!V441</f>
        <v>0</v>
      </c>
      <c r="M53" s="119">
        <f>'2021'!Y441</f>
      </c>
      <c r="N53" s="119">
        <f>'2021'!Z441</f>
        <v>0</v>
      </c>
      <c r="O53" s="119">
        <f>'2021'!AC441</f>
      </c>
      <c r="P53" s="119">
        <f>'2021'!AD441</f>
        <v>0</v>
      </c>
      <c r="Q53" s="119">
        <f>'2021'!AG441</f>
      </c>
      <c r="R53" s="119">
        <f>'2021'!AH441</f>
        <v>0</v>
      </c>
      <c r="S53" s="119">
        <f>'2021'!AK441</f>
      </c>
      <c r="T53" s="119">
        <f>'2021'!AL441</f>
        <v>0</v>
      </c>
      <c r="U53" s="119">
        <f>'2021'!AO441</f>
      </c>
      <c r="V53" s="119">
        <f>'2021'!AP441</f>
        <v>0</v>
      </c>
      <c r="W53" s="119">
        <f>'2021'!AS441</f>
      </c>
      <c r="X53" s="119">
        <f>'2021'!AT441</f>
        <v>0</v>
      </c>
      <c r="Y53" s="119">
        <f>'2021'!AW441</f>
      </c>
      <c r="Z53" s="119">
        <f>'2021'!AX441</f>
        <v>0</v>
      </c>
      <c r="AA53" s="119"/>
      <c r="AB53" s="119">
        <f>'2021'!BA441</f>
      </c>
      <c r="AC53" s="119">
        <f>'2021'!BB441</f>
        <v>0</v>
      </c>
      <c r="AD53" s="119"/>
      <c r="AE53" s="119">
        <f>'2021'!BE441</f>
        <v>0</v>
      </c>
      <c r="AF53" s="119">
        <f t="shared" si="0"/>
        <v>0</v>
      </c>
    </row>
    <row r="54" ht="15.75" customHeight="1" spans="1:32" x14ac:dyDescent="0.25">
      <c r="A54" s="14"/>
      <c r="B54" s="115">
        <v>50</v>
      </c>
      <c r="C54" s="115">
        <v>6.05</v>
      </c>
      <c r="D54" s="117" t="s">
        <v>200</v>
      </c>
      <c r="E54" s="119">
        <f>'2021'!I450</f>
        <v>4082</v>
      </c>
      <c r="F54" s="119">
        <f>'2021'!J450</f>
        <v>1269</v>
      </c>
      <c r="G54" s="119">
        <f>'2021'!M450</f>
        <v>4528</v>
      </c>
      <c r="H54" s="119">
        <f>'2021'!N450</f>
        <v>446</v>
      </c>
      <c r="I54" s="119">
        <f>'2021'!Q450</f>
        <v>5092</v>
      </c>
      <c r="J54" s="119">
        <f>'2021'!R450</f>
        <v>564</v>
      </c>
      <c r="K54" s="119">
        <f>'2021'!U450</f>
        <v>5688</v>
      </c>
      <c r="L54" s="119">
        <f>'2021'!V450</f>
        <v>596</v>
      </c>
      <c r="M54" s="119">
        <f>'2021'!Y450</f>
        <v>6256</v>
      </c>
      <c r="N54" s="119">
        <f>'2021'!Z450</f>
        <v>568</v>
      </c>
      <c r="O54" s="119">
        <f>'2021'!AC450</f>
        <v>6704</v>
      </c>
      <c r="P54" s="119">
        <f>'2021'!AD450</f>
        <v>448</v>
      </c>
      <c r="Q54" s="119">
        <f>'2021'!AG450</f>
        <v>7188</v>
      </c>
      <c r="R54" s="119">
        <f>'2021'!AH450</f>
        <v>484</v>
      </c>
      <c r="S54" s="119">
        <f>'2021'!AK450</f>
        <v>7670</v>
      </c>
      <c r="T54" s="119">
        <f>'2021'!AL450</f>
        <v>482</v>
      </c>
      <c r="U54" s="119">
        <f>'2021'!AO450</f>
        <v>8269</v>
      </c>
      <c r="V54" s="119">
        <f>'2021'!AP450</f>
        <v>599</v>
      </c>
      <c r="W54" s="119">
        <f>'2021'!AS450</f>
        <v>8867</v>
      </c>
      <c r="X54" s="119">
        <f>'2021'!AT450</f>
        <v>598</v>
      </c>
      <c r="Y54" s="119">
        <f>'2021'!AW450</f>
        <v>9462</v>
      </c>
      <c r="Z54" s="119">
        <f>'2021'!AX450</f>
        <v>595</v>
      </c>
      <c r="AA54" s="119"/>
      <c r="AB54" s="119">
        <f>'2021'!BA450</f>
        <v>9908</v>
      </c>
      <c r="AC54" s="119">
        <f>'2021'!BB450</f>
        <v>446</v>
      </c>
      <c r="AD54" s="119"/>
      <c r="AE54" s="119">
        <f>'2021'!BE450</f>
        <v>7095</v>
      </c>
      <c r="AF54" s="119">
        <f t="shared" si="0"/>
        <v>0</v>
      </c>
    </row>
    <row r="55" ht="15.75" customHeight="1" spans="1:32" x14ac:dyDescent="0.25">
      <c r="A55" s="14"/>
      <c r="B55" s="115">
        <v>51</v>
      </c>
      <c r="C55" s="115">
        <v>4.95</v>
      </c>
      <c r="D55" s="117" t="s">
        <v>204</v>
      </c>
      <c r="E55" s="119">
        <f>'2021'!I459</f>
        <v>580</v>
      </c>
      <c r="F55" s="119">
        <f>'2021'!J459</f>
        <v>0</v>
      </c>
      <c r="G55" s="119">
        <f>'2021'!M459</f>
        <v>606</v>
      </c>
      <c r="H55" s="119">
        <f>'2021'!N459</f>
        <v>26</v>
      </c>
      <c r="I55" s="119">
        <f>'2021'!Q459</f>
        <v>606</v>
      </c>
      <c r="J55" s="119">
        <f>'2021'!R459</f>
        <v>0</v>
      </c>
      <c r="K55" s="119">
        <f>'2021'!U459</f>
        <v>653</v>
      </c>
      <c r="L55" s="119">
        <f>'2021'!V459</f>
        <v>47</v>
      </c>
      <c r="M55" s="119">
        <f>'2021'!Y459</f>
        <v>1369</v>
      </c>
      <c r="N55" s="119">
        <f>'2021'!Z459</f>
        <v>716</v>
      </c>
      <c r="O55" s="119">
        <f>'2021'!AC459</f>
        <v>1726</v>
      </c>
      <c r="P55" s="119">
        <f>'2021'!AD459</f>
        <v>357</v>
      </c>
      <c r="Q55" s="119">
        <f>'2021'!AG459</f>
        <v>1855</v>
      </c>
      <c r="R55" s="119">
        <f>'2021'!AH459</f>
        <v>129</v>
      </c>
      <c r="S55" s="119">
        <f>'2021'!AK459</f>
        <v>1894</v>
      </c>
      <c r="T55" s="119">
        <f>'2021'!AL459</f>
        <v>39</v>
      </c>
      <c r="U55" s="119">
        <f>'2021'!AO459</f>
        <v>1909</v>
      </c>
      <c r="V55" s="119">
        <f>'2021'!AP459</f>
        <v>15</v>
      </c>
      <c r="W55" s="119">
        <f>'2021'!AS459</f>
        <v>1924</v>
      </c>
      <c r="X55" s="119">
        <f>'2021'!AT459</f>
        <v>15</v>
      </c>
      <c r="Y55" s="119">
        <f>'2021'!AW459</f>
        <v>1967</v>
      </c>
      <c r="Z55" s="119">
        <f>'2021'!AX459</f>
        <v>43</v>
      </c>
      <c r="AA55" s="119"/>
      <c r="AB55" s="119">
        <f>'2021'!BA459</f>
        <v>1968</v>
      </c>
      <c r="AC55" s="119">
        <f>'2021'!BB459</f>
        <v>1</v>
      </c>
      <c r="AD55" s="119"/>
      <c r="AE55" s="119">
        <f>'2021'!BE459</f>
        <v>1388</v>
      </c>
      <c r="AF55" s="119">
        <f t="shared" si="0"/>
        <v>0</v>
      </c>
    </row>
    <row r="56" ht="15.75" customHeight="1" spans="1:32" x14ac:dyDescent="0.25">
      <c r="A56" s="14"/>
      <c r="B56" s="115">
        <v>52</v>
      </c>
      <c r="C56" s="116">
        <v>5</v>
      </c>
      <c r="D56" s="117" t="s">
        <v>206</v>
      </c>
      <c r="E56" s="119">
        <f>'2021'!I468</f>
        <v>139</v>
      </c>
      <c r="F56" s="119">
        <f>'2021'!J468</f>
        <v>0</v>
      </c>
      <c r="G56" s="119">
        <f>'2021'!M468</f>
        <v>139</v>
      </c>
      <c r="H56" s="119">
        <f>'2021'!N468</f>
        <v>0</v>
      </c>
      <c r="I56" s="119">
        <f>'2021'!Q468</f>
        <v>139</v>
      </c>
      <c r="J56" s="119">
        <f>'2021'!R468</f>
        <v>0</v>
      </c>
      <c r="K56" s="119">
        <f>'2021'!U468</f>
        <v>139</v>
      </c>
      <c r="L56" s="119">
        <f>'2021'!V468</f>
        <v>0</v>
      </c>
      <c r="M56" s="119">
        <f>'2021'!Y468</f>
        <v>147</v>
      </c>
      <c r="N56" s="119">
        <f>'2021'!Z468</f>
        <v>8</v>
      </c>
      <c r="O56" s="119">
        <f>'2021'!AC468</f>
        <v>157</v>
      </c>
      <c r="P56" s="119">
        <f>'2021'!AD468</f>
        <v>10</v>
      </c>
      <c r="Q56" s="119">
        <f>'2021'!AG468</f>
        <v>162</v>
      </c>
      <c r="R56" s="119">
        <f>'2021'!AH468</f>
        <v>5</v>
      </c>
      <c r="S56" s="119">
        <f>'2021'!AK468</f>
        <v>171</v>
      </c>
      <c r="T56" s="119">
        <f>'2021'!AL468</f>
        <v>9</v>
      </c>
      <c r="U56" s="119">
        <f>'2021'!AO468</f>
        <v>178</v>
      </c>
      <c r="V56" s="119">
        <f>'2021'!AP468</f>
        <v>7</v>
      </c>
      <c r="W56" s="119">
        <f>'2021'!AS468</f>
        <v>180</v>
      </c>
      <c r="X56" s="119">
        <f>'2021'!AT468</f>
        <v>2</v>
      </c>
      <c r="Y56" s="119">
        <f>'2021'!AW468</f>
        <v>180</v>
      </c>
      <c r="Z56" s="119">
        <f>'2021'!AX468</f>
        <v>0</v>
      </c>
      <c r="AA56" s="119"/>
      <c r="AB56" s="119">
        <f>'2021'!BA468</f>
        <v>180</v>
      </c>
      <c r="AC56" s="119">
        <f>'2021'!BB468</f>
        <v>0</v>
      </c>
      <c r="AD56" s="119"/>
      <c r="AE56" s="119">
        <f>'2021'!BE468</f>
        <v>41</v>
      </c>
      <c r="AF56" s="119">
        <f t="shared" si="0"/>
        <v>0</v>
      </c>
    </row>
    <row r="57" ht="15.75" customHeight="1" spans="1:32" x14ac:dyDescent="0.25">
      <c r="A57" s="14"/>
      <c r="B57" s="115">
        <v>53</v>
      </c>
      <c r="C57" s="115">
        <v>5.05</v>
      </c>
      <c r="D57" s="117" t="s">
        <v>210</v>
      </c>
      <c r="E57" s="119">
        <f>'2021'!I477</f>
        <v>14504</v>
      </c>
      <c r="F57" s="119">
        <f>'2021'!J477</f>
        <v>2651</v>
      </c>
      <c r="G57" s="119">
        <f>'2021'!M477</f>
        <v>16183</v>
      </c>
      <c r="H57" s="119">
        <f>'2021'!N477</f>
        <v>1679</v>
      </c>
      <c r="I57" s="119">
        <f>'2021'!Q477</f>
        <v>16779</v>
      </c>
      <c r="J57" s="119">
        <f>'2021'!R477</f>
        <v>596</v>
      </c>
      <c r="K57" s="119">
        <f>'2021'!U477</f>
        <v>17173</v>
      </c>
      <c r="L57" s="119">
        <f>'2021'!V477</f>
        <v>394</v>
      </c>
      <c r="M57" s="119">
        <f>'2021'!Y477</f>
        <v>17547</v>
      </c>
      <c r="N57" s="119">
        <f>'2021'!Z477</f>
        <v>374</v>
      </c>
      <c r="O57" s="119">
        <f>'2021'!AC477</f>
        <v>17918</v>
      </c>
      <c r="P57" s="119">
        <f>'2021'!AD477</f>
        <v>371</v>
      </c>
      <c r="Q57" s="119">
        <f>'2021'!AG477</f>
        <v>18297</v>
      </c>
      <c r="R57" s="119">
        <f>'2021'!AH477</f>
        <v>379</v>
      </c>
      <c r="S57" s="119">
        <f>'2021'!AK477</f>
        <v>18651</v>
      </c>
      <c r="T57" s="119">
        <f>'2021'!AL477</f>
        <v>354</v>
      </c>
      <c r="U57" s="119">
        <f>'2021'!AO477</f>
        <v>19190</v>
      </c>
      <c r="V57" s="119">
        <f>'2021'!AP477</f>
        <v>539</v>
      </c>
      <c r="W57" s="119">
        <f>'2021'!AS477</f>
        <v>19826</v>
      </c>
      <c r="X57" s="119">
        <f>'2021'!AT477</f>
        <v>636</v>
      </c>
      <c r="Y57" s="119">
        <f>'2021'!AW477</f>
        <v>21954</v>
      </c>
      <c r="Z57" s="119">
        <f>'2021'!AX477</f>
        <v>2128</v>
      </c>
      <c r="AA57" s="119"/>
      <c r="AB57" s="119">
        <f>'2021'!BA477</f>
        <v>23857</v>
      </c>
      <c r="AC57" s="119">
        <f>'2021'!BB477</f>
        <v>1903</v>
      </c>
      <c r="AD57" s="119"/>
      <c r="AE57" s="119">
        <f>'2021'!BE477</f>
        <v>12004</v>
      </c>
      <c r="AF57" s="119">
        <f t="shared" si="0"/>
        <v>0</v>
      </c>
    </row>
    <row r="58" ht="15.75" customHeight="1" spans="1:32" x14ac:dyDescent="0.25">
      <c r="A58" s="14"/>
      <c r="B58" s="115">
        <v>54</v>
      </c>
      <c r="C58" s="115">
        <v>5.54</v>
      </c>
      <c r="D58" s="117" t="s">
        <v>212</v>
      </c>
      <c r="E58" s="119">
        <f>'2021'!I486</f>
        <v>346</v>
      </c>
      <c r="F58" s="119">
        <f>'2021'!J486</f>
        <v>0</v>
      </c>
      <c r="G58" s="119">
        <f>'2021'!M486</f>
        <v>346</v>
      </c>
      <c r="H58" s="119">
        <f>'2021'!N486</f>
        <v>0</v>
      </c>
      <c r="I58" s="119">
        <f>'2021'!Q486</f>
        <v>346</v>
      </c>
      <c r="J58" s="119">
        <f>'2021'!R486</f>
        <v>0</v>
      </c>
      <c r="K58" s="119">
        <f>'2021'!U486</f>
        <v>374</v>
      </c>
      <c r="L58" s="119">
        <f>'2021'!V486</f>
        <v>28</v>
      </c>
      <c r="M58" s="119">
        <f>'2021'!Y486</f>
        <v>401</v>
      </c>
      <c r="N58" s="119">
        <f>'2021'!Z486</f>
        <v>27</v>
      </c>
      <c r="O58" s="119">
        <f>'2021'!AC486</f>
        <v>409</v>
      </c>
      <c r="P58" s="119">
        <f>'2021'!AD486</f>
        <v>8</v>
      </c>
      <c r="Q58" s="119">
        <f>'2021'!AG486</f>
        <v>420</v>
      </c>
      <c r="R58" s="119">
        <f>'2021'!AH486</f>
        <v>11</v>
      </c>
      <c r="S58" s="119">
        <f>'2021'!AK486</f>
        <v>436</v>
      </c>
      <c r="T58" s="119">
        <f>'2021'!AL486</f>
        <v>16</v>
      </c>
      <c r="U58" s="119">
        <f>'2021'!AO486</f>
        <v>442</v>
      </c>
      <c r="V58" s="119">
        <f>'2021'!AP486</f>
        <v>6</v>
      </c>
      <c r="W58" s="119">
        <f>'2021'!AS486</f>
        <v>449</v>
      </c>
      <c r="X58" s="119">
        <f>'2021'!AT486</f>
        <v>7</v>
      </c>
      <c r="Y58" s="119">
        <f>'2021'!AW486</f>
        <v>463</v>
      </c>
      <c r="Z58" s="119">
        <f>'2021'!AX486</f>
        <v>14</v>
      </c>
      <c r="AA58" s="119"/>
      <c r="AB58" s="119">
        <f>'2021'!BA486</f>
        <v>487</v>
      </c>
      <c r="AC58" s="119">
        <f>'2021'!BB486</f>
        <v>24</v>
      </c>
      <c r="AD58" s="119"/>
      <c r="AE58" s="119">
        <f>'2021'!BE486</f>
        <v>141</v>
      </c>
      <c r="AF58" s="119">
        <f t="shared" si="0"/>
        <v>0</v>
      </c>
    </row>
    <row r="59" ht="15.75" customHeight="1" spans="1:32" x14ac:dyDescent="0.25">
      <c r="A59" s="21"/>
      <c r="B59" s="115">
        <v>55</v>
      </c>
      <c r="C59" s="116">
        <v>5.5</v>
      </c>
      <c r="D59" s="117" t="s">
        <v>214</v>
      </c>
      <c r="E59" s="119">
        <f>'2021'!I495</f>
        <v>536</v>
      </c>
      <c r="F59" s="119">
        <f>'2021'!J495</f>
        <v>0</v>
      </c>
      <c r="G59" s="119">
        <f>'2021'!M495</f>
        <v>536</v>
      </c>
      <c r="H59" s="119">
        <f>'2021'!N495</f>
        <v>0</v>
      </c>
      <c r="I59" s="119">
        <f>'2021'!Q495</f>
        <v>536</v>
      </c>
      <c r="J59" s="119">
        <f>'2021'!R495</f>
        <v>0</v>
      </c>
      <c r="K59" s="119">
        <f>'2021'!U495</f>
        <v>536</v>
      </c>
      <c r="L59" s="119">
        <f>'2021'!V495</f>
        <v>0</v>
      </c>
      <c r="M59" s="119">
        <f>'2021'!Y495</f>
        <v>586</v>
      </c>
      <c r="N59" s="119">
        <f>'2021'!Z495</f>
        <v>50</v>
      </c>
      <c r="O59" s="119">
        <f>'2021'!AC495</f>
        <v>591</v>
      </c>
      <c r="P59" s="119">
        <f>'2021'!AD495</f>
        <v>5</v>
      </c>
      <c r="Q59" s="119">
        <f>'2021'!AG495</f>
        <v>616</v>
      </c>
      <c r="R59" s="119">
        <f>'2021'!AH495</f>
        <v>25</v>
      </c>
      <c r="S59" s="119">
        <f>'2021'!AK495</f>
        <v>617</v>
      </c>
      <c r="T59" s="119">
        <f>'2021'!AL495</f>
        <v>1</v>
      </c>
      <c r="U59" s="119">
        <f>'2021'!AO495</f>
        <v>617</v>
      </c>
      <c r="V59" s="119">
        <f>'2021'!AP495</f>
        <v>0</v>
      </c>
      <c r="W59" s="119">
        <f>'2021'!AS495</f>
        <v>617</v>
      </c>
      <c r="X59" s="119">
        <f>'2021'!AT495</f>
        <v>0</v>
      </c>
      <c r="Y59" s="119">
        <f>'2021'!AW495</f>
        <v>617</v>
      </c>
      <c r="Z59" s="119">
        <f>'2021'!AX495</f>
        <v>0</v>
      </c>
      <c r="AA59" s="119"/>
      <c r="AB59" s="119">
        <f>'2021'!BA495</f>
        <v>617</v>
      </c>
      <c r="AC59" s="119">
        <f>'2021'!BB495</f>
        <v>0</v>
      </c>
      <c r="AD59" s="119"/>
      <c r="AE59" s="119">
        <f>'2021'!BE495</f>
        <v>81</v>
      </c>
      <c r="AF59" s="119">
        <f t="shared" si="0"/>
        <v>0</v>
      </c>
    </row>
    <row r="60" ht="15.75" customHeight="1" spans="1:32" x14ac:dyDescent="0.25">
      <c r="A60" s="114" t="s">
        <v>217</v>
      </c>
      <c r="B60" s="115">
        <v>56</v>
      </c>
      <c r="C60" s="115">
        <v>6.23</v>
      </c>
      <c r="D60" s="117" t="s">
        <v>423</v>
      </c>
      <c r="E60" s="119">
        <f>'2021'!I504</f>
        <v>17141</v>
      </c>
      <c r="F60" s="119">
        <f>'2021'!J504</f>
        <v>782</v>
      </c>
      <c r="G60" s="119">
        <f>'2021'!M504</f>
        <v>18081</v>
      </c>
      <c r="H60" s="119">
        <f>'2021'!N504</f>
        <v>940</v>
      </c>
      <c r="I60" s="119">
        <f>'2021'!Q504</f>
        <v>20444</v>
      </c>
      <c r="J60" s="119">
        <f>'2021'!R504</f>
        <v>2363</v>
      </c>
      <c r="K60" s="119">
        <f>'2021'!U504</f>
        <v>22986</v>
      </c>
      <c r="L60" s="119">
        <f>'2021'!V504</f>
        <v>2542</v>
      </c>
      <c r="M60" s="119">
        <f>'2021'!Y504</f>
        <v>23859</v>
      </c>
      <c r="N60" s="119">
        <f>'2021'!Z504</f>
        <v>873</v>
      </c>
      <c r="O60" s="119">
        <f>'2021'!AC504</f>
        <v>24272</v>
      </c>
      <c r="P60" s="119">
        <f>'2021'!AD504</f>
        <v>413</v>
      </c>
      <c r="Q60" s="119">
        <f>'2021'!AG504</f>
        <v>24679</v>
      </c>
      <c r="R60" s="119">
        <f>'2021'!AH504</f>
        <v>407</v>
      </c>
      <c r="S60" s="119">
        <f>'2021'!AK504</f>
        <v>25090</v>
      </c>
      <c r="T60" s="119">
        <f>'2021'!AL504</f>
        <v>411</v>
      </c>
      <c r="U60" s="119">
        <f>'2021'!AO504</f>
        <v>25796</v>
      </c>
      <c r="V60" s="119">
        <f>'2021'!AP504</f>
        <v>706</v>
      </c>
      <c r="W60" s="119">
        <f>'2021'!AS504</f>
        <v>27340</v>
      </c>
      <c r="X60" s="119">
        <f>'2021'!AT504</f>
        <v>1544</v>
      </c>
      <c r="Y60" s="119">
        <f>'2021'!AW504</f>
        <v>28090</v>
      </c>
      <c r="Z60" s="119">
        <f>'2021'!AX504</f>
        <v>750</v>
      </c>
      <c r="AA60" s="119"/>
      <c r="AB60" s="119">
        <f>'2021'!BA504</f>
        <v>28597</v>
      </c>
      <c r="AC60" s="119">
        <f>'2021'!BB504</f>
        <v>507</v>
      </c>
      <c r="AD60" s="119"/>
      <c r="AE60" s="119">
        <f>'2021'!BE504</f>
        <v>12238</v>
      </c>
      <c r="AF60" s="119">
        <f t="shared" si="0"/>
        <v>0</v>
      </c>
    </row>
    <row r="61" ht="15.75" customHeight="1" spans="1:32" x14ac:dyDescent="0.25">
      <c r="A61" s="14"/>
      <c r="B61" s="115">
        <v>57</v>
      </c>
      <c r="C61" s="116">
        <v>4</v>
      </c>
      <c r="D61" s="2" t="s">
        <v>502</v>
      </c>
      <c r="E61" s="119">
        <f>'2021'!I513</f>
        <v>495</v>
      </c>
      <c r="F61" s="119">
        <f>'2021'!J513</f>
        <v>0</v>
      </c>
      <c r="G61" s="119">
        <f>'2021'!M513</f>
        <v>495</v>
      </c>
      <c r="H61" s="119">
        <f>'2021'!N513</f>
        <v>0</v>
      </c>
      <c r="I61" s="119">
        <f>'2021'!Q513</f>
        <v>495</v>
      </c>
      <c r="J61" s="119">
        <f>'2021'!R513</f>
        <v>0</v>
      </c>
      <c r="K61" s="119">
        <f>'2021'!U513</f>
        <v>495</v>
      </c>
      <c r="L61" s="119">
        <f>'2021'!V513</f>
        <v>0</v>
      </c>
      <c r="M61" s="119">
        <f>'2021'!Y513</f>
        <v>560</v>
      </c>
      <c r="N61" s="119">
        <f>'2021'!Z513</f>
        <v>65</v>
      </c>
      <c r="O61" s="119">
        <f>'2021'!AC513</f>
        <v>606</v>
      </c>
      <c r="P61" s="119">
        <f>'2021'!AD513</f>
        <v>46</v>
      </c>
      <c r="Q61" s="119">
        <f>'2021'!AG513</f>
        <v>617</v>
      </c>
      <c r="R61" s="119">
        <f>'2021'!AH513</f>
        <v>11</v>
      </c>
      <c r="S61" s="119">
        <f>'2021'!AK513</f>
        <v>649</v>
      </c>
      <c r="T61" s="119">
        <f>'2021'!AL513</f>
        <v>32</v>
      </c>
      <c r="U61" s="119">
        <f>'2021'!AO513</f>
        <v>684</v>
      </c>
      <c r="V61" s="119">
        <f>'2021'!AP513</f>
        <v>35</v>
      </c>
      <c r="W61" s="119">
        <f>'2021'!AS513</f>
        <v>707</v>
      </c>
      <c r="X61" s="119">
        <f>'2021'!AT513</f>
        <v>23</v>
      </c>
      <c r="Y61" s="119">
        <f>'2021'!AW513</f>
        <v>716</v>
      </c>
      <c r="Z61" s="119">
        <f>'2021'!AX513</f>
        <v>9</v>
      </c>
      <c r="AA61" s="119"/>
      <c r="AB61" s="119">
        <f>'2021'!BA513</f>
        <v>718</v>
      </c>
      <c r="AC61" s="119">
        <f>'2021'!BB513</f>
        <v>2</v>
      </c>
      <c r="AD61" s="119"/>
      <c r="AE61" s="119">
        <f>'2021'!BE513</f>
        <v>223</v>
      </c>
      <c r="AF61" s="119">
        <f t="shared" si="0"/>
        <v>0</v>
      </c>
    </row>
    <row r="62" ht="15.75" customHeight="1" spans="1:32" x14ac:dyDescent="0.25">
      <c r="A62" s="14"/>
      <c r="B62" s="115">
        <v>59</v>
      </c>
      <c r="C62" s="116">
        <v>4</v>
      </c>
      <c r="D62" s="117" t="s">
        <v>221</v>
      </c>
      <c r="E62" s="119">
        <f>'2021'!I522</f>
        <v>0</v>
      </c>
      <c r="F62" s="119">
        <f>'2021'!J522</f>
        <v>0</v>
      </c>
      <c r="G62" s="119">
        <f>'2021'!M522</f>
        <v>0</v>
      </c>
      <c r="H62" s="119">
        <f>'2021'!N522</f>
        <v>0</v>
      </c>
      <c r="I62" s="119">
        <f>'2021'!Q522</f>
        <v>0</v>
      </c>
      <c r="J62" s="119">
        <f>'2021'!R522</f>
        <v>0</v>
      </c>
      <c r="K62" s="119">
        <f>'2021'!U522</f>
        <v>0</v>
      </c>
      <c r="L62" s="119">
        <f>'2021'!V522</f>
        <v>0</v>
      </c>
      <c r="M62" s="119">
        <f>'2021'!Y522</f>
      </c>
      <c r="N62" s="119">
        <f>'2021'!Z522</f>
        <v>0</v>
      </c>
      <c r="O62" s="119">
        <f>'2021'!AC522</f>
      </c>
      <c r="P62" s="119">
        <f>'2021'!AD522</f>
        <v>0</v>
      </c>
      <c r="Q62" s="119">
        <f>'2021'!AG522</f>
      </c>
      <c r="R62" s="119">
        <f>'2021'!AH522</f>
        <v>0</v>
      </c>
      <c r="S62" s="119">
        <f>'2021'!AK522</f>
        <v>5</v>
      </c>
      <c r="T62" s="119">
        <f>'2021'!AL522</f>
        <v>5</v>
      </c>
      <c r="U62" s="119">
        <f>'2021'!AO522</f>
        <v>21</v>
      </c>
      <c r="V62" s="119">
        <f>'2021'!AP522</f>
        <v>16</v>
      </c>
      <c r="W62" s="119">
        <f>'2021'!AS522</f>
        <v>949</v>
      </c>
      <c r="X62" s="119">
        <f>'2021'!AT522</f>
        <v>928</v>
      </c>
      <c r="Y62" s="119">
        <f>'2021'!AW522</f>
        <v>2407</v>
      </c>
      <c r="Z62" s="119">
        <f>'2021'!AX522</f>
        <v>1458</v>
      </c>
      <c r="AA62" s="119"/>
      <c r="AB62" s="119">
        <f>'2021'!BA522</f>
        <v>2407</v>
      </c>
      <c r="AC62" s="119">
        <f>'2021'!BB522</f>
        <v>0</v>
      </c>
      <c r="AD62" s="119"/>
      <c r="AE62" s="119">
        <f>'2021'!BE522</f>
        <v>2407</v>
      </c>
      <c r="AF62" s="119">
        <f t="shared" si="0"/>
        <v>0</v>
      </c>
    </row>
    <row r="63" ht="15.75" customHeight="1" spans="1:32" x14ac:dyDescent="0.25">
      <c r="A63" s="14"/>
      <c r="B63" s="115">
        <v>58</v>
      </c>
      <c r="C63" s="115">
        <v>5.08</v>
      </c>
      <c r="D63" s="117" t="s">
        <v>223</v>
      </c>
      <c r="E63" s="119">
        <f>'2021'!I531</f>
        <v>703</v>
      </c>
      <c r="F63" s="119">
        <f>'2021'!J531</f>
        <v>0</v>
      </c>
      <c r="G63" s="119">
        <f>'2021'!M531</f>
        <v>717</v>
      </c>
      <c r="H63" s="119">
        <f>'2021'!N531</f>
        <v>14</v>
      </c>
      <c r="I63" s="119">
        <f>'2021'!Q531</f>
        <v>798</v>
      </c>
      <c r="J63" s="119">
        <f>'2021'!R531</f>
        <v>81</v>
      </c>
      <c r="K63" s="119">
        <f>'2021'!U531</f>
        <v>863</v>
      </c>
      <c r="L63" s="119">
        <f>'2021'!V531</f>
        <v>65</v>
      </c>
      <c r="M63" s="119">
        <f>'2021'!Y531</f>
        <v>1037</v>
      </c>
      <c r="N63" s="119">
        <f>'2021'!Z531</f>
        <v>174</v>
      </c>
      <c r="O63" s="119">
        <f>'2021'!AC531</f>
        <v>1135</v>
      </c>
      <c r="P63" s="119">
        <f>'2021'!AD531</f>
        <v>98</v>
      </c>
      <c r="Q63" s="119">
        <f>'2021'!AG531</f>
        <v>1206</v>
      </c>
      <c r="R63" s="119">
        <f>'2021'!AH531</f>
        <v>71</v>
      </c>
      <c r="S63" s="119">
        <f>'2021'!AK531</f>
        <v>1309</v>
      </c>
      <c r="T63" s="119">
        <f>'2021'!AL531</f>
        <v>103</v>
      </c>
      <c r="U63" s="119">
        <f>'2021'!AO531</f>
        <v>1638</v>
      </c>
      <c r="V63" s="119">
        <f>'2021'!AP531</f>
        <v>329</v>
      </c>
      <c r="W63" s="119">
        <f>'2021'!AS531</f>
        <v>1994</v>
      </c>
      <c r="X63" s="119">
        <f>'2021'!AT531</f>
        <v>356</v>
      </c>
      <c r="Y63" s="119">
        <f>'2021'!AW531</f>
        <v>2020</v>
      </c>
      <c r="Z63" s="119">
        <f>'2021'!AX531</f>
        <v>26</v>
      </c>
      <c r="AA63" s="119"/>
      <c r="AB63" s="119">
        <f>'2021'!BA531</f>
        <v>2055</v>
      </c>
      <c r="AC63" s="119">
        <f>'2021'!BB531</f>
        <v>35</v>
      </c>
      <c r="AD63" s="119"/>
      <c r="AE63" s="119">
        <f>'2021'!BE531</f>
        <v>1352</v>
      </c>
      <c r="AF63" s="119">
        <f t="shared" si="0"/>
        <v>0</v>
      </c>
    </row>
    <row r="64" ht="15.75" customHeight="1" spans="1:32" x14ac:dyDescent="0.25">
      <c r="A64" s="14"/>
      <c r="B64" s="115">
        <v>60</v>
      </c>
      <c r="C64" s="116">
        <v>4.4</v>
      </c>
      <c r="D64" s="117" t="s">
        <v>227</v>
      </c>
      <c r="E64" s="119">
        <f>'2021'!I540</f>
        <v>3290</v>
      </c>
      <c r="F64" s="119">
        <f>'2021'!J540</f>
        <v>1778</v>
      </c>
      <c r="G64" s="119">
        <f>'2021'!M540</f>
        <v>4548</v>
      </c>
      <c r="H64" s="119">
        <f>'2021'!N540</f>
        <v>1258</v>
      </c>
      <c r="I64" s="119">
        <f>'2021'!Q540</f>
        <v>5402</v>
      </c>
      <c r="J64" s="119">
        <f>'2021'!R540</f>
        <v>854</v>
      </c>
      <c r="K64" s="119">
        <f>'2021'!U540</f>
        <v>6089</v>
      </c>
      <c r="L64" s="119">
        <f>'2021'!V540</f>
        <v>687</v>
      </c>
      <c r="M64" s="119">
        <f>'2021'!Y540</f>
        <v>6191</v>
      </c>
      <c r="N64" s="119">
        <f>'2021'!Z540</f>
        <v>102</v>
      </c>
      <c r="O64" s="119">
        <f>'2021'!AC540</f>
        <v>6337</v>
      </c>
      <c r="P64" s="119">
        <f>'2021'!AD540</f>
        <v>146</v>
      </c>
      <c r="Q64" s="119">
        <f>'2021'!AG540</f>
        <v>6438</v>
      </c>
      <c r="R64" s="119">
        <f>'2021'!AH540</f>
        <v>101</v>
      </c>
      <c r="S64" s="119">
        <f>'2021'!AK540</f>
        <v>6576</v>
      </c>
      <c r="T64" s="119">
        <f>'2021'!AL540</f>
        <v>138</v>
      </c>
      <c r="U64" s="119">
        <f>'2021'!AO540</f>
        <v>6809</v>
      </c>
      <c r="V64" s="119">
        <f>'2021'!AP540</f>
        <v>233</v>
      </c>
      <c r="W64" s="119">
        <f>'2021'!AS540</f>
        <v>7280</v>
      </c>
      <c r="X64" s="119">
        <f>'2021'!AT540</f>
        <v>471</v>
      </c>
      <c r="Y64" s="119">
        <f>'2021'!AW540</f>
        <v>8185</v>
      </c>
      <c r="Z64" s="119">
        <f>'2021'!AX540</f>
        <v>905</v>
      </c>
      <c r="AA64" s="119"/>
      <c r="AB64" s="119">
        <f>'2021'!BA540</f>
        <v>8970</v>
      </c>
      <c r="AC64" s="119">
        <f>'2021'!BB540</f>
        <v>785</v>
      </c>
      <c r="AD64" s="119"/>
      <c r="AE64" s="119">
        <f>'2021'!BE540</f>
        <v>7458</v>
      </c>
      <c r="AF64" s="119">
        <f t="shared" si="0"/>
        <v>0</v>
      </c>
    </row>
    <row r="65" ht="15.75" customHeight="1" spans="1:32" x14ac:dyDescent="0.25">
      <c r="A65" s="14"/>
      <c r="B65" s="115">
        <v>61</v>
      </c>
      <c r="C65" s="115">
        <v>4.71</v>
      </c>
      <c r="D65" s="117" t="s">
        <v>231</v>
      </c>
      <c r="E65" s="119">
        <f>'2021'!I549</f>
        <v>403</v>
      </c>
      <c r="F65" s="119">
        <f>'2021'!J549</f>
        <v>0</v>
      </c>
      <c r="G65" s="119">
        <f>'2021'!M549</f>
        <v>403</v>
      </c>
      <c r="H65" s="119">
        <f>'2021'!N549</f>
        <v>0</v>
      </c>
      <c r="I65" s="119">
        <f>'2021'!Q549</f>
        <v>403</v>
      </c>
      <c r="J65" s="119">
        <f>'2021'!R549</f>
        <v>0</v>
      </c>
      <c r="K65" s="119">
        <f>'2021'!U549</f>
        <v>403</v>
      </c>
      <c r="L65" s="119">
        <f>'2021'!V549</f>
        <v>0</v>
      </c>
      <c r="M65" s="119">
        <f>'2021'!Y549</f>
        <v>436</v>
      </c>
      <c r="N65" s="119">
        <f>'2021'!Z549</f>
        <v>33</v>
      </c>
      <c r="O65" s="119">
        <f>'2021'!AC549</f>
        <v>486</v>
      </c>
      <c r="P65" s="119">
        <f>'2021'!AD549</f>
        <v>50</v>
      </c>
      <c r="Q65" s="119">
        <f>'2021'!AG549</f>
        <v>530</v>
      </c>
      <c r="R65" s="119">
        <f>'2021'!AH549</f>
        <v>44</v>
      </c>
      <c r="S65" s="119">
        <f>'2021'!AK549</f>
        <v>590</v>
      </c>
      <c r="T65" s="119">
        <f>'2021'!AL549</f>
        <v>60</v>
      </c>
      <c r="U65" s="119">
        <f>'2021'!AO549</f>
        <v>630</v>
      </c>
      <c r="V65" s="119">
        <f>'2021'!AP549</f>
        <v>40</v>
      </c>
      <c r="W65" s="119">
        <f>'2021'!AS549</f>
        <v>641</v>
      </c>
      <c r="X65" s="119">
        <f>'2021'!AT549</f>
        <v>11</v>
      </c>
      <c r="Y65" s="119">
        <f>'2021'!AW549</f>
        <v>641</v>
      </c>
      <c r="Z65" s="119">
        <f>'2021'!AX549</f>
        <v>0</v>
      </c>
      <c r="AA65" s="119"/>
      <c r="AB65" s="119">
        <f>'2021'!BA549</f>
        <v>641</v>
      </c>
      <c r="AC65" s="119">
        <f>'2021'!BB549</f>
        <v>0</v>
      </c>
      <c r="AD65" s="119"/>
      <c r="AE65" s="119">
        <f>'2021'!BE549</f>
        <v>238</v>
      </c>
      <c r="AF65" s="119">
        <f t="shared" si="0"/>
        <v>0</v>
      </c>
    </row>
    <row r="66" ht="15.75" customHeight="1" spans="1:32" x14ac:dyDescent="0.25">
      <c r="A66" s="14"/>
      <c r="B66" s="115">
        <v>62</v>
      </c>
      <c r="C66" s="116">
        <v>4.6</v>
      </c>
      <c r="D66" s="15" t="s">
        <v>236</v>
      </c>
      <c r="E66" s="119">
        <f>'2021'!I558</f>
        <v>479</v>
      </c>
      <c r="F66" s="119">
        <f>'2021'!J558</f>
        <v>0</v>
      </c>
      <c r="G66" s="119">
        <f>'2021'!M558</f>
        <v>479</v>
      </c>
      <c r="H66" s="119">
        <f>'2021'!N558</f>
        <v>0</v>
      </c>
      <c r="I66" s="119">
        <f>'2021'!Q558</f>
        <v>479</v>
      </c>
      <c r="J66" s="119">
        <f>'2021'!R558</f>
        <v>0</v>
      </c>
      <c r="K66" s="119">
        <f>'2021'!U558</f>
        <v>479</v>
      </c>
      <c r="L66" s="119">
        <f>'2021'!V558</f>
        <v>0</v>
      </c>
      <c r="M66" s="119">
        <f>'2021'!Y558</f>
        <v>479</v>
      </c>
      <c r="N66" s="119">
        <f>'2021'!Z558</f>
        <v>0</v>
      </c>
      <c r="O66" s="119">
        <f>'2021'!AC558</f>
        <v>479</v>
      </c>
      <c r="P66" s="119">
        <f>'2021'!AD558</f>
        <v>0</v>
      </c>
      <c r="Q66" s="119">
        <f>'2021'!AG558</f>
        <v>479</v>
      </c>
      <c r="R66" s="119">
        <f>'2021'!AH558</f>
        <v>0</v>
      </c>
      <c r="S66" s="119">
        <f>'2021'!AK558</f>
        <v>479</v>
      </c>
      <c r="T66" s="119">
        <f>'2021'!AL558</f>
        <v>0</v>
      </c>
      <c r="U66" s="119">
        <f>'2021'!AO558</f>
        <v>479</v>
      </c>
      <c r="V66" s="119">
        <f>'2021'!AP558</f>
        <v>0</v>
      </c>
      <c r="W66" s="119">
        <f>'2021'!AS558</f>
        <v>479</v>
      </c>
      <c r="X66" s="119">
        <f>'2021'!AT558</f>
        <v>0</v>
      </c>
      <c r="Y66" s="119">
        <f>'2021'!AW558</f>
        <v>479</v>
      </c>
      <c r="Z66" s="119">
        <f>'2021'!AX558</f>
        <v>0</v>
      </c>
      <c r="AA66" s="119"/>
      <c r="AB66" s="119">
        <f>'2021'!BA558</f>
        <v>479</v>
      </c>
      <c r="AC66" s="119">
        <f>'2021'!BB558</f>
        <v>0</v>
      </c>
      <c r="AD66" s="119"/>
      <c r="AE66" s="119">
        <f>'2021'!BE558</f>
        <v>0</v>
      </c>
      <c r="AF66" s="119">
        <f t="shared" si="0"/>
        <v>0</v>
      </c>
    </row>
    <row r="67" ht="15.75" customHeight="1" spans="1:32" x14ac:dyDescent="0.25">
      <c r="A67" s="14"/>
      <c r="B67" s="115" t="s">
        <v>237</v>
      </c>
      <c r="C67" s="115">
        <v>4.01</v>
      </c>
      <c r="D67" s="117" t="s">
        <v>238</v>
      </c>
      <c r="E67" s="119">
        <f>'2021'!I567</f>
        <v>49</v>
      </c>
      <c r="F67" s="119">
        <f>'2021'!J567</f>
        <v>0</v>
      </c>
      <c r="G67" s="119">
        <f>'2021'!M567</f>
        <v>49</v>
      </c>
      <c r="H67" s="119">
        <f>'2021'!N567</f>
        <v>0</v>
      </c>
      <c r="I67" s="119">
        <f>'2021'!Q567</f>
        <v>49</v>
      </c>
      <c r="J67" s="119">
        <f>'2021'!R567</f>
        <v>0</v>
      </c>
      <c r="K67" s="119">
        <f>'2021'!U567</f>
        <v>49</v>
      </c>
      <c r="L67" s="119">
        <f>'2021'!V567</f>
        <v>0</v>
      </c>
      <c r="M67" s="119">
        <f>'2021'!Y567</f>
        <v>51</v>
      </c>
      <c r="N67" s="119">
        <f>'2021'!Z567</f>
        <v>2</v>
      </c>
      <c r="O67" s="119">
        <f>'2021'!AC567</f>
        <v>80</v>
      </c>
      <c r="P67" s="119">
        <f>'2021'!AD567</f>
        <v>29</v>
      </c>
      <c r="Q67" s="119">
        <f>'2021'!AG567</f>
        <v>128</v>
      </c>
      <c r="R67" s="119">
        <f>'2021'!AH567</f>
        <v>48</v>
      </c>
      <c r="S67" s="119">
        <f>'2021'!AK567</f>
        <v>167</v>
      </c>
      <c r="T67" s="119">
        <f>'2021'!AL567</f>
        <v>39</v>
      </c>
      <c r="U67" s="119">
        <f>'2021'!AO567</f>
        <v>190</v>
      </c>
      <c r="V67" s="119">
        <f>'2021'!AP567</f>
        <v>23</v>
      </c>
      <c r="W67" s="119">
        <f>'2021'!AS567</f>
        <v>193</v>
      </c>
      <c r="X67" s="119">
        <f>'2021'!AT567</f>
        <v>3</v>
      </c>
      <c r="Y67" s="119">
        <f>'2021'!AW567</f>
        <v>193</v>
      </c>
      <c r="Z67" s="119">
        <f>'2021'!AX567</f>
        <v>0</v>
      </c>
      <c r="AA67" s="119"/>
      <c r="AB67" s="119">
        <f>'2021'!BA567</f>
        <v>193</v>
      </c>
      <c r="AC67" s="119">
        <f>'2021'!BB567</f>
        <v>0</v>
      </c>
      <c r="AD67" s="119"/>
      <c r="AE67" s="119">
        <f>'2021'!BE567</f>
        <v>144</v>
      </c>
      <c r="AF67" s="119">
        <f t="shared" si="0"/>
        <v>0</v>
      </c>
    </row>
    <row r="68" ht="15.75" customHeight="1" spans="1:32" x14ac:dyDescent="0.25">
      <c r="A68" s="14"/>
      <c r="B68" s="115" t="s">
        <v>237</v>
      </c>
      <c r="C68" s="115">
        <v>4.01</v>
      </c>
      <c r="D68" s="117" t="s">
        <v>238</v>
      </c>
      <c r="E68" s="119">
        <f>'2021'!I576</f>
        <v>0</v>
      </c>
      <c r="F68" s="119">
        <f>'2021'!J576</f>
        <v>0</v>
      </c>
      <c r="G68" s="119">
        <f>'2021'!M576</f>
        <v>0</v>
      </c>
      <c r="H68" s="119">
        <f>'2021'!N576</f>
        <v>0</v>
      </c>
      <c r="I68" s="119">
        <f>'2021'!Q576</f>
        <v>0</v>
      </c>
      <c r="J68" s="119">
        <f>'2021'!R576</f>
        <v>0</v>
      </c>
      <c r="K68" s="119">
        <f>'2021'!U576</f>
        <v>0</v>
      </c>
      <c r="L68" s="119">
        <f>'2021'!V576</f>
        <v>0</v>
      </c>
      <c r="M68" s="119">
        <f>'2021'!Y576</f>
      </c>
      <c r="N68" s="119">
        <f>'2021'!Z576</f>
        <v>0</v>
      </c>
      <c r="O68" s="119">
        <f>'2021'!AC576</f>
      </c>
      <c r="P68" s="119">
        <f>'2021'!AD576</f>
        <v>0</v>
      </c>
      <c r="Q68" s="119">
        <f>'2021'!AG576</f>
      </c>
      <c r="R68" s="119">
        <f>'2021'!AH576</f>
        <v>0</v>
      </c>
      <c r="S68" s="119">
        <f>'2021'!AK576</f>
      </c>
      <c r="T68" s="119">
        <f>'2021'!AL576</f>
        <v>0</v>
      </c>
      <c r="U68" s="119">
        <f>'2021'!AO576</f>
      </c>
      <c r="V68" s="119">
        <f>'2021'!AP576</f>
        <v>0</v>
      </c>
      <c r="W68" s="119">
        <f>'2021'!AS576</f>
      </c>
      <c r="X68" s="119">
        <f>'2021'!AT576</f>
        <v>0</v>
      </c>
      <c r="Y68" s="119">
        <f>'2021'!AW576</f>
      </c>
      <c r="Z68" s="119">
        <f>'2021'!AX576</f>
        <v>0</v>
      </c>
      <c r="AA68" s="119"/>
      <c r="AB68" s="119">
        <f>'2021'!BA576</f>
      </c>
      <c r="AC68" s="119">
        <f>'2021'!BB576</f>
        <v>0</v>
      </c>
      <c r="AD68" s="119"/>
      <c r="AE68" s="119">
        <f>'2021'!BE576</f>
        <v>0</v>
      </c>
      <c r="AF68" s="119">
        <f t="shared" si="0"/>
        <v>0</v>
      </c>
    </row>
    <row r="69" ht="15.75" customHeight="1" spans="1:32" x14ac:dyDescent="0.25">
      <c r="A69" s="14"/>
      <c r="B69" s="115">
        <v>64</v>
      </c>
      <c r="C69" s="115">
        <v>4.24</v>
      </c>
      <c r="D69" s="117" t="s">
        <v>241</v>
      </c>
      <c r="E69" s="119">
        <f>'2021'!I585</f>
        <v>408</v>
      </c>
      <c r="F69" s="119">
        <f>'2021'!J585</f>
        <v>0</v>
      </c>
      <c r="G69" s="119">
        <f>'2021'!M585</f>
        <v>408</v>
      </c>
      <c r="H69" s="119">
        <f>'2021'!N585</f>
        <v>0</v>
      </c>
      <c r="I69" s="119">
        <f>'2021'!Q585</f>
        <v>408</v>
      </c>
      <c r="J69" s="119">
        <f>'2021'!R585</f>
        <v>0</v>
      </c>
      <c r="K69" s="119">
        <f>'2021'!U585</f>
        <v>408</v>
      </c>
      <c r="L69" s="119">
        <f>'2021'!V585</f>
        <v>0</v>
      </c>
      <c r="M69" s="119">
        <f>'2021'!Y585</f>
        <v>418</v>
      </c>
      <c r="N69" s="119">
        <f>'2021'!Z585</f>
        <v>10</v>
      </c>
      <c r="O69" s="119">
        <f>'2021'!AC585</f>
        <v>431</v>
      </c>
      <c r="P69" s="119">
        <f>'2021'!AD585</f>
        <v>13</v>
      </c>
      <c r="Q69" s="119">
        <f>'2021'!AG585</f>
        <v>446</v>
      </c>
      <c r="R69" s="119">
        <f>'2021'!AH585</f>
        <v>15</v>
      </c>
      <c r="S69" s="119">
        <f>'2021'!AK585</f>
        <v>459</v>
      </c>
      <c r="T69" s="119">
        <f>'2021'!AL585</f>
        <v>13</v>
      </c>
      <c r="U69" s="119">
        <f>'2021'!AO585</f>
        <v>467</v>
      </c>
      <c r="V69" s="119">
        <f>'2021'!AP585</f>
        <v>8</v>
      </c>
      <c r="W69" s="119">
        <f>'2021'!AS585</f>
        <v>467</v>
      </c>
      <c r="X69" s="119">
        <f>'2021'!AT585</f>
        <v>0</v>
      </c>
      <c r="Y69" s="119">
        <f>'2021'!AW585</f>
        <v>467</v>
      </c>
      <c r="Z69" s="119">
        <f>'2021'!AX585</f>
        <v>0</v>
      </c>
      <c r="AA69" s="119"/>
      <c r="AB69" s="119">
        <f>'2021'!BA585</f>
        <v>467</v>
      </c>
      <c r="AC69" s="119">
        <f>'2021'!BB585</f>
        <v>0</v>
      </c>
      <c r="AD69" s="119"/>
      <c r="AE69" s="119">
        <f>'2021'!BE585</f>
        <v>59</v>
      </c>
      <c r="AF69" s="119">
        <f t="shared" si="0"/>
        <v>0</v>
      </c>
    </row>
    <row r="70" ht="15.75" customHeight="1" spans="1:32" x14ac:dyDescent="0.25">
      <c r="A70" s="14"/>
      <c r="B70" s="115">
        <v>66</v>
      </c>
      <c r="C70" s="115">
        <v>4.66</v>
      </c>
      <c r="D70" s="117" t="s">
        <v>244</v>
      </c>
      <c r="E70" s="119">
        <f>'2021'!I594</f>
        <v>1</v>
      </c>
      <c r="F70" s="119">
        <f>'2021'!J594</f>
        <v>0</v>
      </c>
      <c r="G70" s="119">
        <f>'2021'!M594</f>
        <v>1</v>
      </c>
      <c r="H70" s="119">
        <f>'2021'!N594</f>
        <v>0</v>
      </c>
      <c r="I70" s="119">
        <f>'2021'!Q594</f>
        <v>1</v>
      </c>
      <c r="J70" s="119">
        <f>'2021'!R594</f>
        <v>0</v>
      </c>
      <c r="K70" s="119">
        <f>'2021'!U594</f>
        <v>1</v>
      </c>
      <c r="L70" s="119">
        <f>'2021'!V594</f>
        <v>0</v>
      </c>
      <c r="M70" s="119">
        <f>'2021'!Y594</f>
        <v>1</v>
      </c>
      <c r="N70" s="119">
        <f>'2021'!Z594</f>
        <v>0</v>
      </c>
      <c r="O70" s="119">
        <f>'2021'!AC594</f>
        <v>1</v>
      </c>
      <c r="P70" s="119">
        <f>'2021'!AD594</f>
        <v>0</v>
      </c>
      <c r="Q70" s="119">
        <f>'2021'!AG594</f>
        <v>1</v>
      </c>
      <c r="R70" s="119">
        <f>'2021'!AH594</f>
        <v>0</v>
      </c>
      <c r="S70" s="119">
        <f>'2021'!AK594</f>
        <v>1</v>
      </c>
      <c r="T70" s="119">
        <f>'2021'!AL594</f>
        <v>0</v>
      </c>
      <c r="U70" s="119">
        <f>'2021'!AO594</f>
        <v>1</v>
      </c>
      <c r="V70" s="119">
        <f>'2021'!AP594</f>
        <v>0</v>
      </c>
      <c r="W70" s="119">
        <f>'2021'!AS594</f>
        <v>2</v>
      </c>
      <c r="X70" s="119">
        <f>'2021'!AT594</f>
        <v>1</v>
      </c>
      <c r="Y70" s="119">
        <f>'2021'!AW594</f>
        <v>2</v>
      </c>
      <c r="Z70" s="119">
        <f>'2021'!AX594</f>
        <v>0</v>
      </c>
      <c r="AA70" s="119"/>
      <c r="AB70" s="119">
        <f>'2021'!BA594</f>
        <v>2</v>
      </c>
      <c r="AC70" s="119">
        <f>'2021'!BB594</f>
        <v>0</v>
      </c>
      <c r="AD70" s="119"/>
      <c r="AE70" s="119">
        <f>'2021'!BE594</f>
        <v>1</v>
      </c>
      <c r="AF70" s="119">
        <f t="shared" si="0"/>
        <v>0</v>
      </c>
    </row>
    <row r="71" ht="15.75" customHeight="1" spans="1:32" x14ac:dyDescent="0.25">
      <c r="A71" s="14"/>
      <c r="B71" s="115">
        <v>67</v>
      </c>
      <c r="C71" s="115">
        <v>6.08</v>
      </c>
      <c r="D71" s="117" t="s">
        <v>245</v>
      </c>
      <c r="E71" s="119">
        <f>'2021'!I603</f>
        <v>2412</v>
      </c>
      <c r="F71" s="119">
        <f>'2021'!J603</f>
        <v>0</v>
      </c>
      <c r="G71" s="119">
        <f>'2021'!M603</f>
        <v>2412</v>
      </c>
      <c r="H71" s="119">
        <f>'2021'!N603</f>
        <v>0</v>
      </c>
      <c r="I71" s="119">
        <f>'2021'!Q603</f>
        <v>2412</v>
      </c>
      <c r="J71" s="119">
        <f>'2021'!R603</f>
        <v>0</v>
      </c>
      <c r="K71" s="119">
        <f>'2021'!U603</f>
        <v>2412</v>
      </c>
      <c r="L71" s="119">
        <f>'2021'!V603</f>
        <v>0</v>
      </c>
      <c r="M71" s="119">
        <f>'2021'!Y603</f>
        <v>2430</v>
      </c>
      <c r="N71" s="119">
        <f>'2021'!Z603</f>
        <v>18</v>
      </c>
      <c r="O71" s="119">
        <f>'2021'!AC603</f>
        <v>2501</v>
      </c>
      <c r="P71" s="119">
        <f>'2021'!AD603</f>
        <v>71</v>
      </c>
      <c r="Q71" s="119">
        <f>'2021'!AG603</f>
        <v>2579</v>
      </c>
      <c r="R71" s="119">
        <f>'2021'!AH603</f>
        <v>78</v>
      </c>
      <c r="S71" s="119">
        <f>'2021'!AK603</f>
        <v>2653</v>
      </c>
      <c r="T71" s="119">
        <f>'2021'!AL603</f>
        <v>74</v>
      </c>
      <c r="U71" s="119">
        <f>'2021'!AO603</f>
        <v>2710</v>
      </c>
      <c r="V71" s="119">
        <f>'2021'!AP603</f>
        <v>57</v>
      </c>
      <c r="W71" s="119">
        <f>'2021'!AS603</f>
        <v>2726</v>
      </c>
      <c r="X71" s="119">
        <f>'2021'!AT603</f>
        <v>16</v>
      </c>
      <c r="Y71" s="119">
        <f>'2021'!AW603</f>
        <v>2734</v>
      </c>
      <c r="Z71" s="119">
        <f>'2021'!AX603</f>
        <v>8</v>
      </c>
      <c r="AA71" s="119"/>
      <c r="AB71" s="119">
        <f>'2021'!BA603</f>
        <v>2734</v>
      </c>
      <c r="AC71" s="119">
        <f>'2021'!BB603</f>
        <v>0</v>
      </c>
      <c r="AD71" s="119"/>
      <c r="AE71" s="119">
        <f>'2021'!BE603</f>
        <v>322</v>
      </c>
      <c r="AF71" s="119">
        <f t="shared" si="0"/>
        <v>0</v>
      </c>
    </row>
    <row r="72" ht="15.75" customHeight="1" spans="1:32" x14ac:dyDescent="0.25">
      <c r="A72" s="14"/>
      <c r="B72" s="115" t="s">
        <v>248</v>
      </c>
      <c r="C72" s="115">
        <v>4.01</v>
      </c>
      <c r="D72" s="117" t="s">
        <v>249</v>
      </c>
      <c r="E72" s="119">
        <f>'2021'!I612</f>
        <v>3291</v>
      </c>
      <c r="F72" s="119">
        <f>'2021'!J612</f>
        <v>0</v>
      </c>
      <c r="G72" s="119">
        <f>'2021'!M612</f>
        <v>3291</v>
      </c>
      <c r="H72" s="119">
        <f>'2021'!N612</f>
        <v>0</v>
      </c>
      <c r="I72" s="119">
        <f>'2021'!Q612</f>
        <v>3291</v>
      </c>
      <c r="J72" s="119">
        <f>'2021'!R612</f>
        <v>0</v>
      </c>
      <c r="K72" s="119">
        <f>'2021'!U612</f>
        <v>3291</v>
      </c>
      <c r="L72" s="119">
        <f>'2021'!V612</f>
        <v>0</v>
      </c>
      <c r="M72" s="119">
        <f>'2021'!Y612</f>
        <v>3503</v>
      </c>
      <c r="N72" s="119">
        <f>'2021'!Z612</f>
        <v>212</v>
      </c>
      <c r="O72" s="119">
        <f>'2021'!AC612</f>
        <v>3503</v>
      </c>
      <c r="P72" s="119">
        <f>'2021'!AD612</f>
        <v>0</v>
      </c>
      <c r="Q72" s="119">
        <f>'2021'!AG612</f>
        <v>3784</v>
      </c>
      <c r="R72" s="119">
        <f>'2021'!AH612</f>
        <v>281</v>
      </c>
      <c r="S72" s="119">
        <f>'2021'!AK612</f>
        <v>3903</v>
      </c>
      <c r="T72" s="119">
        <f>'2021'!AL612</f>
        <v>119</v>
      </c>
      <c r="U72" s="119">
        <f>'2021'!AO612</f>
        <v>4097</v>
      </c>
      <c r="V72" s="119">
        <f>'2021'!AP612</f>
        <v>194</v>
      </c>
      <c r="W72" s="119">
        <f>'2021'!AS612</f>
        <v>4097</v>
      </c>
      <c r="X72" s="119">
        <f>'2021'!AT612</f>
        <v>0</v>
      </c>
      <c r="Y72" s="119">
        <f>'2021'!AW612</f>
        <v>4097</v>
      </c>
      <c r="Z72" s="119">
        <f>'2021'!AX612</f>
        <v>0</v>
      </c>
      <c r="AA72" s="119"/>
      <c r="AB72" s="119">
        <f>'2021'!BA612</f>
        <v>4097</v>
      </c>
      <c r="AC72" s="119">
        <f>'2021'!BB612</f>
        <v>0</v>
      </c>
      <c r="AD72" s="119"/>
      <c r="AE72" s="119">
        <f>'2021'!BE612</f>
        <v>806</v>
      </c>
      <c r="AF72" s="119">
        <f t="shared" si="0"/>
        <v>0</v>
      </c>
    </row>
    <row r="73" ht="15.75" customHeight="1" spans="1:32" x14ac:dyDescent="0.25">
      <c r="A73" s="14"/>
      <c r="B73" s="115" t="s">
        <v>248</v>
      </c>
      <c r="C73" s="115">
        <v>4.02</v>
      </c>
      <c r="D73" s="117" t="s">
        <v>249</v>
      </c>
      <c r="E73" s="119">
        <f>'2021'!I621</f>
        <v>0</v>
      </c>
      <c r="F73" s="119">
        <f>'2021'!J621</f>
        <v>0</v>
      </c>
      <c r="G73" s="119">
        <f>'2021'!M621</f>
        <v>0</v>
      </c>
      <c r="H73" s="119">
        <f>'2021'!N621</f>
        <v>0</v>
      </c>
      <c r="I73" s="119">
        <f>'2021'!Q621</f>
        <v>0</v>
      </c>
      <c r="J73" s="119">
        <f>'2021'!R621</f>
        <v>0</v>
      </c>
      <c r="K73" s="119">
        <f>'2021'!U621</f>
        <v>0</v>
      </c>
      <c r="L73" s="119">
        <f>'2021'!V621</f>
        <v>0</v>
      </c>
      <c r="M73" s="119">
        <f>'2021'!Y621</f>
      </c>
      <c r="N73" s="119">
        <f>'2021'!Z621</f>
        <v>0</v>
      </c>
      <c r="O73" s="119">
        <f>'2021'!AC621</f>
      </c>
      <c r="P73" s="119">
        <f>'2021'!AD621</f>
        <v>0</v>
      </c>
      <c r="Q73" s="119">
        <f>'2021'!AG621</f>
      </c>
      <c r="R73" s="119">
        <f>'2021'!AH621</f>
        <v>0</v>
      </c>
      <c r="S73" s="119">
        <f>'2021'!AK621</f>
      </c>
      <c r="T73" s="119">
        <f>'2021'!AL621</f>
        <v>0</v>
      </c>
      <c r="U73" s="119">
        <f>'2021'!AO621</f>
      </c>
      <c r="V73" s="119">
        <f>'2021'!AP621</f>
        <v>0</v>
      </c>
      <c r="W73" s="119">
        <f>'2021'!AS621</f>
      </c>
      <c r="X73" s="119">
        <f>'2021'!AT621</f>
        <v>0</v>
      </c>
      <c r="Y73" s="119">
        <f>'2021'!AW621</f>
      </c>
      <c r="Z73" s="119">
        <f>'2021'!AX621</f>
        <v>0</v>
      </c>
      <c r="AA73" s="119"/>
      <c r="AB73" s="119">
        <f>'2021'!BA621</f>
      </c>
      <c r="AC73" s="119">
        <f>'2021'!BB621</f>
        <v>0</v>
      </c>
      <c r="AD73" s="119"/>
      <c r="AE73" s="119">
        <f>'2021'!BE621</f>
        <v>0</v>
      </c>
      <c r="AF73" s="119">
        <f t="shared" si="0"/>
        <v>0</v>
      </c>
    </row>
    <row r="74" ht="15.75" customHeight="1" spans="1:32" x14ac:dyDescent="0.25">
      <c r="A74" s="14"/>
      <c r="B74" s="115">
        <v>69</v>
      </c>
      <c r="C74" s="115">
        <v>4.03</v>
      </c>
      <c r="D74" s="117" t="s">
        <v>253</v>
      </c>
      <c r="E74" s="119">
        <f>'2021'!I630</f>
        <v>27738</v>
      </c>
      <c r="F74" s="119">
        <f>'2021'!J630</f>
        <v>917</v>
      </c>
      <c r="G74" s="119">
        <f>'2021'!M630</f>
        <v>28490</v>
      </c>
      <c r="H74" s="119">
        <f>'2021'!N630</f>
        <v>752</v>
      </c>
      <c r="I74" s="119">
        <f>'2021'!Q630</f>
        <v>29021</v>
      </c>
      <c r="J74" s="119">
        <f>'2021'!R630</f>
        <v>531</v>
      </c>
      <c r="K74" s="119">
        <f>'2021'!U630</f>
        <v>29372</v>
      </c>
      <c r="L74" s="119">
        <f>'2021'!V630</f>
        <v>351</v>
      </c>
      <c r="M74" s="119">
        <f>'2021'!Y630</f>
        <v>29699</v>
      </c>
      <c r="N74" s="119">
        <f>'2021'!Z630</f>
        <v>327</v>
      </c>
      <c r="O74" s="119">
        <f>'2021'!AC630</f>
        <v>30009</v>
      </c>
      <c r="P74" s="119">
        <f>'2021'!AD630</f>
        <v>310</v>
      </c>
      <c r="Q74" s="119">
        <f>'2021'!AG630</f>
        <v>30325</v>
      </c>
      <c r="R74" s="119">
        <f>'2021'!AH630</f>
        <v>316</v>
      </c>
      <c r="S74" s="119">
        <f>'2021'!AK630</f>
        <v>30643</v>
      </c>
      <c r="T74" s="119">
        <f>'2021'!AL630</f>
        <v>318</v>
      </c>
      <c r="U74" s="119">
        <f>'2021'!AO630</f>
        <v>30956</v>
      </c>
      <c r="V74" s="119">
        <f>'2021'!AP630</f>
        <v>313</v>
      </c>
      <c r="W74" s="119">
        <f>'2021'!AS630</f>
        <v>31282</v>
      </c>
      <c r="X74" s="119">
        <f>'2021'!AT630</f>
        <v>326</v>
      </c>
      <c r="Y74" s="119">
        <f>'2021'!AW630</f>
        <v>31974</v>
      </c>
      <c r="Z74" s="119">
        <f>'2021'!AX630</f>
        <v>692</v>
      </c>
      <c r="AA74" s="119"/>
      <c r="AB74" s="119">
        <f>'2021'!BA630</f>
        <v>32551</v>
      </c>
      <c r="AC74" s="119">
        <f>'2021'!BB630</f>
        <v>577</v>
      </c>
      <c r="AD74" s="119"/>
      <c r="AE74" s="119">
        <f>'2021'!BE630</f>
        <v>5730</v>
      </c>
      <c r="AF74" s="119">
        <f t="shared" si="0"/>
        <v>0</v>
      </c>
    </row>
    <row r="75" ht="15.75" customHeight="1" spans="1:32" x14ac:dyDescent="0.25">
      <c r="A75" s="14"/>
      <c r="B75" s="115">
        <v>71</v>
      </c>
      <c r="C75" s="115">
        <v>5.98</v>
      </c>
      <c r="D75" s="117" t="s">
        <v>255</v>
      </c>
      <c r="E75" s="119">
        <f>'2021'!I639</f>
        <v>150</v>
      </c>
      <c r="F75" s="119">
        <f>'2021'!J639</f>
        <v>0</v>
      </c>
      <c r="G75" s="119">
        <f>'2021'!M639</f>
        <v>150</v>
      </c>
      <c r="H75" s="119">
        <f>'2021'!N639</f>
        <v>0</v>
      </c>
      <c r="I75" s="119">
        <f>'2021'!Q639</f>
        <v>150</v>
      </c>
      <c r="J75" s="119">
        <f>'2021'!R639</f>
        <v>0</v>
      </c>
      <c r="K75" s="119">
        <f>'2021'!U639</f>
        <v>150</v>
      </c>
      <c r="L75" s="119">
        <f>'2021'!V639</f>
        <v>0</v>
      </c>
      <c r="M75" s="119">
        <f>'2021'!Y639</f>
        <v>151</v>
      </c>
      <c r="N75" s="119">
        <f>'2021'!Z639</f>
        <v>1</v>
      </c>
      <c r="O75" s="119">
        <f>'2021'!AC639</f>
        <v>154</v>
      </c>
      <c r="P75" s="119">
        <f>'2021'!AD639</f>
        <v>3</v>
      </c>
      <c r="Q75" s="119">
        <f>'2021'!AG639</f>
        <v>157</v>
      </c>
      <c r="R75" s="119">
        <f>'2021'!AH639</f>
        <v>3</v>
      </c>
      <c r="S75" s="119">
        <f>'2021'!AK639</f>
        <v>158</v>
      </c>
      <c r="T75" s="119">
        <f>'2021'!AL639</f>
        <v>1</v>
      </c>
      <c r="U75" s="119">
        <f>'2021'!AO639</f>
        <v>166</v>
      </c>
      <c r="V75" s="119">
        <f>'2021'!AP639</f>
        <v>8</v>
      </c>
      <c r="W75" s="119">
        <f>'2021'!AS639</f>
        <v>174</v>
      </c>
      <c r="X75" s="119">
        <f>'2021'!AT639</f>
        <v>8</v>
      </c>
      <c r="Y75" s="119">
        <f>'2021'!AW639</f>
        <v>174</v>
      </c>
      <c r="Z75" s="119">
        <f>'2021'!AX639</f>
        <v>0</v>
      </c>
      <c r="AA75" s="119"/>
      <c r="AB75" s="119">
        <f>'2021'!BA639</f>
        <v>174</v>
      </c>
      <c r="AC75" s="119">
        <f>'2021'!BB639</f>
        <v>0</v>
      </c>
      <c r="AD75" s="119"/>
      <c r="AE75" s="119">
        <f>'2021'!BE639</f>
        <v>24</v>
      </c>
      <c r="AF75" s="119">
        <f t="shared" si="0"/>
        <v>0</v>
      </c>
    </row>
    <row r="76" ht="15.75" customHeight="1" spans="1:32" x14ac:dyDescent="0.25">
      <c r="A76" s="14"/>
      <c r="B76" s="115">
        <v>72</v>
      </c>
      <c r="C76" s="115">
        <v>4.03</v>
      </c>
      <c r="D76" s="117" t="s">
        <v>257</v>
      </c>
      <c r="E76" s="119">
        <f>'2021'!I648</f>
        <v>1517</v>
      </c>
      <c r="F76" s="119">
        <f>'2021'!J648</f>
        <v>0</v>
      </c>
      <c r="G76" s="119">
        <f>'2021'!M648</f>
        <v>1517</v>
      </c>
      <c r="H76" s="119">
        <f>'2021'!N648</f>
        <v>0</v>
      </c>
      <c r="I76" s="119">
        <f>'2021'!Q648</f>
        <v>1517</v>
      </c>
      <c r="J76" s="119">
        <f>'2021'!R648</f>
        <v>0</v>
      </c>
      <c r="K76" s="119">
        <f>'2021'!U648</f>
        <v>1517</v>
      </c>
      <c r="L76" s="119">
        <f>'2021'!V648</f>
        <v>0</v>
      </c>
      <c r="M76" s="119">
        <f>'2021'!Y648</f>
        <v>1662</v>
      </c>
      <c r="N76" s="119">
        <f>'2021'!Z648</f>
        <v>145</v>
      </c>
      <c r="O76" s="119">
        <f>'2021'!AC648</f>
        <v>2097</v>
      </c>
      <c r="P76" s="119">
        <f>'2021'!AD648</f>
        <v>435</v>
      </c>
      <c r="Q76" s="119">
        <f>'2021'!AG648</f>
        <v>2494</v>
      </c>
      <c r="R76" s="119">
        <f>'2021'!AH648</f>
        <v>397</v>
      </c>
      <c r="S76" s="119">
        <f>'2021'!AK648</f>
        <v>2896</v>
      </c>
      <c r="T76" s="119">
        <f>'2021'!AL648</f>
        <v>402</v>
      </c>
      <c r="U76" s="119">
        <f>'2021'!AO648</f>
        <v>3617</v>
      </c>
      <c r="V76" s="119">
        <f>'2021'!AP648</f>
        <v>721</v>
      </c>
      <c r="W76" s="119">
        <f>'2021'!AS648</f>
        <v>4210</v>
      </c>
      <c r="X76" s="119">
        <f>'2021'!AT648</f>
        <v>593</v>
      </c>
      <c r="Y76" s="119">
        <f>'2021'!AW648</f>
        <v>4925</v>
      </c>
      <c r="Z76" s="119">
        <f>'2021'!AX648</f>
        <v>715</v>
      </c>
      <c r="AA76" s="119"/>
      <c r="AB76" s="119">
        <f>'2021'!BA648</f>
        <v>5478</v>
      </c>
      <c r="AC76" s="119">
        <f>'2021'!BB648</f>
        <v>553</v>
      </c>
      <c r="AD76" s="119"/>
      <c r="AE76" s="119">
        <f>'2021'!BE648</f>
        <v>3961</v>
      </c>
      <c r="AF76" s="119">
        <f t="shared" si="0"/>
        <v>0</v>
      </c>
    </row>
    <row r="77" ht="15.75" customHeight="1" spans="1:32" x14ac:dyDescent="0.25">
      <c r="A77" s="14"/>
      <c r="B77" s="115">
        <v>73</v>
      </c>
      <c r="C77" s="115">
        <v>4.02</v>
      </c>
      <c r="D77" s="117" t="s">
        <v>259</v>
      </c>
      <c r="E77" s="119">
        <f>'2021'!I657</f>
        <v>0</v>
      </c>
      <c r="F77" s="119">
        <f>'2021'!J657</f>
        <v>0</v>
      </c>
      <c r="G77" s="119">
        <f>'2021'!M657</f>
        <v>0</v>
      </c>
      <c r="H77" s="119">
        <f>'2021'!N657</f>
        <v>0</v>
      </c>
      <c r="I77" s="119">
        <f>'2021'!Q657</f>
        <v>0</v>
      </c>
      <c r="J77" s="119">
        <f>'2021'!R657</f>
        <v>0</v>
      </c>
      <c r="K77" s="119">
        <f>'2021'!U657</f>
        <v>0</v>
      </c>
      <c r="L77" s="119">
        <f>'2021'!V657</f>
        <v>0</v>
      </c>
      <c r="M77" s="119">
        <f>'2021'!Y657</f>
      </c>
      <c r="N77" s="119">
        <f>'2021'!Z657</f>
        <v>0</v>
      </c>
      <c r="O77" s="119">
        <f>'2021'!AC657</f>
      </c>
      <c r="P77" s="119">
        <f>'2021'!AD657</f>
        <v>0</v>
      </c>
      <c r="Q77" s="119">
        <f>'2021'!AG657</f>
      </c>
      <c r="R77" s="119">
        <f>'2021'!AH657</f>
        <v>0</v>
      </c>
      <c r="S77" s="119">
        <f>'2021'!AK657</f>
      </c>
      <c r="T77" s="119">
        <f>'2021'!AL657</f>
        <v>0</v>
      </c>
      <c r="U77" s="119">
        <f>'2021'!AO657</f>
      </c>
      <c r="V77" s="119">
        <f>'2021'!AP657</f>
        <v>0</v>
      </c>
      <c r="W77" s="119">
        <f>'2021'!AS657</f>
      </c>
      <c r="X77" s="119">
        <f>'2021'!AT657</f>
        <v>0</v>
      </c>
      <c r="Y77" s="119">
        <f>'2021'!AW657</f>
      </c>
      <c r="Z77" s="119">
        <f>'2021'!AX657</f>
        <v>0</v>
      </c>
      <c r="AA77" s="119"/>
      <c r="AB77" s="119">
        <f>'2021'!BA657</f>
      </c>
      <c r="AC77" s="119">
        <f>'2021'!BB657</f>
        <v>0</v>
      </c>
      <c r="AD77" s="119"/>
      <c r="AE77" s="119">
        <f>'2021'!BE657</f>
        <v>0</v>
      </c>
      <c r="AF77" s="119">
        <f t="shared" si="0"/>
        <v>0</v>
      </c>
    </row>
    <row r="78" ht="15.75" customHeight="1" spans="1:32" x14ac:dyDescent="0.25">
      <c r="A78" s="21"/>
      <c r="B78" s="115">
        <v>74</v>
      </c>
      <c r="C78" s="115">
        <v>4.97</v>
      </c>
      <c r="D78" s="117" t="s">
        <v>262</v>
      </c>
      <c r="E78" s="119">
        <f>'2021'!I666</f>
        <v>0</v>
      </c>
      <c r="F78" s="119">
        <f>'2021'!J666</f>
        <v>0</v>
      </c>
      <c r="G78" s="119">
        <f>'2021'!M666</f>
        <v>0</v>
      </c>
      <c r="H78" s="119">
        <f>'2021'!N666</f>
        <v>0</v>
      </c>
      <c r="I78" s="119">
        <f>'2021'!Q666</f>
        <v>0</v>
      </c>
      <c r="J78" s="119">
        <f>'2021'!R666</f>
        <v>0</v>
      </c>
      <c r="K78" s="119">
        <f>'2021'!U666</f>
        <v>0</v>
      </c>
      <c r="L78" s="119">
        <f>'2021'!V666</f>
        <v>0</v>
      </c>
      <c r="M78" s="119">
        <f>'2021'!Y666</f>
      </c>
      <c r="N78" s="119">
        <f>'2021'!Z666</f>
        <v>0</v>
      </c>
      <c r="O78" s="119">
        <f>'2021'!AC666</f>
      </c>
      <c r="P78" s="119">
        <f>'2021'!AD666</f>
        <v>0</v>
      </c>
      <c r="Q78" s="119">
        <f>'2021'!AG666</f>
      </c>
      <c r="R78" s="119">
        <f>'2021'!AH666</f>
        <v>0</v>
      </c>
      <c r="S78" s="119">
        <f>'2021'!AK666</f>
      </c>
      <c r="T78" s="119">
        <f>'2021'!AL666</f>
        <v>0</v>
      </c>
      <c r="U78" s="119">
        <f>'2021'!AO666</f>
      </c>
      <c r="V78" s="119">
        <f>'2021'!AP666</f>
        <v>0</v>
      </c>
      <c r="W78" s="119">
        <f>'2021'!AS666</f>
      </c>
      <c r="X78" s="119">
        <f>'2021'!AT666</f>
        <v>0</v>
      </c>
      <c r="Y78" s="119">
        <f>'2021'!AW666</f>
      </c>
      <c r="Z78" s="119">
        <f>'2021'!AX666</f>
        <v>0</v>
      </c>
      <c r="AA78" s="119"/>
      <c r="AB78" s="119">
        <f>'2021'!BA666</f>
      </c>
      <c r="AC78" s="119">
        <f>'2021'!BB666</f>
        <v>0</v>
      </c>
      <c r="AD78" s="119"/>
      <c r="AE78" s="119">
        <f>'2021'!BE666</f>
        <v>0</v>
      </c>
      <c r="AF78" s="119">
        <f t="shared" si="0"/>
        <v>0</v>
      </c>
    </row>
    <row r="79" ht="15.75" customHeight="1" spans="1:32" x14ac:dyDescent="0.25">
      <c r="A79" s="114" t="s">
        <v>264</v>
      </c>
      <c r="B79" s="115">
        <v>75</v>
      </c>
      <c r="C79" s="115">
        <v>4.15</v>
      </c>
      <c r="D79" s="117" t="s">
        <v>265</v>
      </c>
      <c r="E79" s="119">
        <f>'2021'!I675</f>
        <v>0</v>
      </c>
      <c r="F79" s="119">
        <f>'2021'!J675</f>
        <v>0</v>
      </c>
      <c r="G79" s="119">
        <f>'2021'!M675</f>
        <v>0</v>
      </c>
      <c r="H79" s="119">
        <f>'2021'!N675</f>
        <v>0</v>
      </c>
      <c r="I79" s="119">
        <f>'2021'!Q675</f>
        <v>0</v>
      </c>
      <c r="J79" s="119">
        <f>'2021'!R675</f>
        <v>0</v>
      </c>
      <c r="K79" s="119">
        <f>'2021'!U675</f>
        <v>0</v>
      </c>
      <c r="L79" s="119">
        <f>'2021'!V675</f>
        <v>0</v>
      </c>
      <c r="M79" s="119">
        <f>'2021'!Y675</f>
      </c>
      <c r="N79" s="119">
        <f>'2021'!Z675</f>
        <v>0</v>
      </c>
      <c r="O79" s="119">
        <f>'2021'!AC675</f>
      </c>
      <c r="P79" s="119">
        <f>'2021'!AD675</f>
        <v>0</v>
      </c>
      <c r="Q79" s="119">
        <f>'2021'!AG675</f>
      </c>
      <c r="R79" s="119">
        <f>'2021'!AH675</f>
        <v>0</v>
      </c>
      <c r="S79" s="119">
        <f>'2021'!AK675</f>
      </c>
      <c r="T79" s="119">
        <f>'2021'!AL675</f>
        <v>0</v>
      </c>
      <c r="U79" s="119">
        <f>'2021'!AO675</f>
      </c>
      <c r="V79" s="119">
        <f>'2021'!AP675</f>
        <v>0</v>
      </c>
      <c r="W79" s="119">
        <f>'2021'!AS675</f>
      </c>
      <c r="X79" s="119">
        <f>'2021'!AT675</f>
        <v>0</v>
      </c>
      <c r="Y79" s="119">
        <f>'2021'!AW675</f>
      </c>
      <c r="Z79" s="119">
        <f>'2021'!AX675</f>
        <v>0</v>
      </c>
      <c r="AA79" s="119"/>
      <c r="AB79" s="119">
        <f>'2021'!BA675</f>
      </c>
      <c r="AC79" s="119">
        <f>'2021'!BB675</f>
        <v>0</v>
      </c>
      <c r="AD79" s="119"/>
      <c r="AE79" s="119">
        <f>'2021'!BE675</f>
        <v>0</v>
      </c>
      <c r="AF79" s="119">
        <f t="shared" si="0"/>
        <v>0</v>
      </c>
    </row>
    <row r="80" ht="15.75" customHeight="1" spans="1:32" x14ac:dyDescent="0.25">
      <c r="A80" s="14"/>
      <c r="B80" s="115">
        <v>76</v>
      </c>
      <c r="C80" s="115">
        <v>4.15</v>
      </c>
      <c r="D80" s="117" t="s">
        <v>267</v>
      </c>
      <c r="E80" s="119">
        <f>'2021'!I684</f>
        <v>0</v>
      </c>
      <c r="F80" s="119">
        <f>'2021'!J684</f>
        <v>0</v>
      </c>
      <c r="G80" s="119">
        <f>'2021'!M684</f>
        <v>0</v>
      </c>
      <c r="H80" s="119">
        <f>'2021'!N684</f>
        <v>0</v>
      </c>
      <c r="I80" s="119">
        <f>'2021'!Q684</f>
        <v>0</v>
      </c>
      <c r="J80" s="119">
        <f>'2021'!R684</f>
        <v>0</v>
      </c>
      <c r="K80" s="119">
        <f>'2021'!U684</f>
        <v>0</v>
      </c>
      <c r="L80" s="119">
        <f>'2021'!V684</f>
        <v>0</v>
      </c>
      <c r="M80" s="119">
        <f>'2021'!Y684</f>
      </c>
      <c r="N80" s="119">
        <f>'2021'!Z684</f>
        <v>0</v>
      </c>
      <c r="O80" s="119">
        <f>'2021'!AC684</f>
      </c>
      <c r="P80" s="119">
        <f>'2021'!AD684</f>
        <v>0</v>
      </c>
      <c r="Q80" s="119">
        <f>'2021'!AG684</f>
      </c>
      <c r="R80" s="119">
        <f>'2021'!AH684</f>
        <v>0</v>
      </c>
      <c r="S80" s="119">
        <f>'2021'!AK684</f>
      </c>
      <c r="T80" s="119">
        <f>'2021'!AL684</f>
        <v>0</v>
      </c>
      <c r="U80" s="119">
        <f>'2021'!AO684</f>
      </c>
      <c r="V80" s="119">
        <f>'2021'!AP684</f>
        <v>0</v>
      </c>
      <c r="W80" s="119">
        <f>'2021'!AS684</f>
      </c>
      <c r="X80" s="119">
        <f>'2021'!AT684</f>
        <v>0</v>
      </c>
      <c r="Y80" s="119">
        <f>'2021'!AW684</f>
      </c>
      <c r="Z80" s="119">
        <f>'2021'!AX684</f>
        <v>0</v>
      </c>
      <c r="AA80" s="119"/>
      <c r="AB80" s="119">
        <f>'2021'!BA684</f>
      </c>
      <c r="AC80" s="119">
        <f>'2021'!BB684</f>
        <v>0</v>
      </c>
      <c r="AD80" s="119"/>
      <c r="AE80" s="119">
        <f>'2021'!BE684</f>
        <v>0</v>
      </c>
      <c r="AF80" s="119">
        <f t="shared" si="0"/>
        <v>0</v>
      </c>
    </row>
    <row r="81" ht="15.75" customHeight="1" spans="1:32" x14ac:dyDescent="0.25">
      <c r="A81" s="14"/>
      <c r="B81" s="115">
        <v>77</v>
      </c>
      <c r="C81" s="115">
        <v>4.12</v>
      </c>
      <c r="D81" s="117" t="s">
        <v>268</v>
      </c>
      <c r="E81" s="119">
        <f>'2021'!I693</f>
        <v>2180</v>
      </c>
      <c r="F81" s="119">
        <f>'2021'!J693</f>
        <v>0</v>
      </c>
      <c r="G81" s="119">
        <f>'2021'!M693</f>
        <v>2180</v>
      </c>
      <c r="H81" s="119">
        <f>'2021'!N693</f>
        <v>0</v>
      </c>
      <c r="I81" s="119">
        <f>'2021'!Q693</f>
        <v>2180</v>
      </c>
      <c r="J81" s="119">
        <f>'2021'!R693</f>
        <v>0</v>
      </c>
      <c r="K81" s="119">
        <f>'2021'!U693</f>
        <v>2180</v>
      </c>
      <c r="L81" s="119">
        <f>'2021'!V693</f>
        <v>0</v>
      </c>
      <c r="M81" s="119">
        <f>'2021'!Y693</f>
        <v>2241</v>
      </c>
      <c r="N81" s="119">
        <f>'2021'!Z693</f>
        <v>61</v>
      </c>
      <c r="O81" s="119">
        <f>'2021'!AC693</f>
        <v>2370</v>
      </c>
      <c r="P81" s="119">
        <f>'2021'!AD693</f>
        <v>129</v>
      </c>
      <c r="Q81" s="119">
        <f>'2021'!AG693</f>
        <v>2492</v>
      </c>
      <c r="R81" s="119">
        <f>'2021'!AH693</f>
        <v>122</v>
      </c>
      <c r="S81" s="119">
        <f>'2021'!AK693</f>
        <v>2595</v>
      </c>
      <c r="T81" s="119">
        <f>'2021'!AL693</f>
        <v>103</v>
      </c>
      <c r="U81" s="119">
        <f>'2021'!AO693</f>
        <v>2667</v>
      </c>
      <c r="V81" s="119">
        <f>'2021'!AP693</f>
        <v>72</v>
      </c>
      <c r="W81" s="119">
        <f>'2021'!AS693</f>
        <v>2667</v>
      </c>
      <c r="X81" s="119">
        <f>'2021'!AT693</f>
        <v>0</v>
      </c>
      <c r="Y81" s="119">
        <f>'2021'!AW693</f>
        <v>2667</v>
      </c>
      <c r="Z81" s="119">
        <f>'2021'!AX693</f>
        <v>0</v>
      </c>
      <c r="AA81" s="119"/>
      <c r="AB81" s="119">
        <f>'2021'!BA693</f>
        <v>2667</v>
      </c>
      <c r="AC81" s="119">
        <f>'2021'!BB693</f>
        <v>0</v>
      </c>
      <c r="AD81" s="119"/>
      <c r="AE81" s="119">
        <f>'2021'!BE693</f>
        <v>487</v>
      </c>
      <c r="AF81" s="119">
        <f t="shared" si="0"/>
        <v>0</v>
      </c>
    </row>
    <row r="82" ht="15.75" customHeight="1" spans="1:32" x14ac:dyDescent="0.25">
      <c r="A82" s="14"/>
      <c r="B82" s="115">
        <v>78</v>
      </c>
      <c r="C82" s="115">
        <v>4.03</v>
      </c>
      <c r="D82" s="117" t="s">
        <v>271</v>
      </c>
      <c r="E82" s="119">
        <f>'2021'!I702</f>
        <v>75</v>
      </c>
      <c r="F82" s="119">
        <f>'2021'!J702</f>
        <v>0</v>
      </c>
      <c r="G82" s="119">
        <f>'2021'!M702</f>
        <v>75</v>
      </c>
      <c r="H82" s="119">
        <f>'2021'!N702</f>
        <v>0</v>
      </c>
      <c r="I82" s="119">
        <f>'2021'!Q702</f>
        <v>75</v>
      </c>
      <c r="J82" s="119">
        <f>'2021'!R702</f>
        <v>0</v>
      </c>
      <c r="K82" s="119">
        <f>'2021'!U702</f>
        <v>75</v>
      </c>
      <c r="L82" s="119">
        <f>'2021'!V702</f>
        <v>0</v>
      </c>
      <c r="M82" s="119">
        <f>'2021'!Y702</f>
        <v>83</v>
      </c>
      <c r="N82" s="119">
        <f>'2021'!Z702</f>
        <v>8</v>
      </c>
      <c r="O82" s="119">
        <f>'2021'!AC702</f>
        <v>86</v>
      </c>
      <c r="P82" s="119">
        <f>'2021'!AD702</f>
        <v>3</v>
      </c>
      <c r="Q82" s="119">
        <f>'2021'!AG702</f>
        <v>88</v>
      </c>
      <c r="R82" s="119">
        <f>'2021'!AH702</f>
        <v>2</v>
      </c>
      <c r="S82" s="119">
        <f>'2021'!AK702</f>
        <v>89</v>
      </c>
      <c r="T82" s="119">
        <f>'2021'!AL702</f>
        <v>1</v>
      </c>
      <c r="U82" s="119">
        <f>'2021'!AO702</f>
        <v>94</v>
      </c>
      <c r="V82" s="119">
        <f>'2021'!AP702</f>
        <v>5</v>
      </c>
      <c r="W82" s="119">
        <f>'2021'!AS702</f>
        <v>120</v>
      </c>
      <c r="X82" s="119">
        <f>'2021'!AT702</f>
        <v>26</v>
      </c>
      <c r="Y82" s="119">
        <f>'2021'!AW702</f>
        <v>121</v>
      </c>
      <c r="Z82" s="119">
        <f>'2021'!AX702</f>
        <v>1</v>
      </c>
      <c r="AA82" s="119"/>
      <c r="AB82" s="119">
        <f>'2021'!BA702</f>
        <v>121</v>
      </c>
      <c r="AC82" s="119">
        <f>'2021'!BB702</f>
        <v>0</v>
      </c>
      <c r="AD82" s="119"/>
      <c r="AE82" s="119">
        <f>'2021'!BE702</f>
        <v>46</v>
      </c>
      <c r="AF82" s="119">
        <f t="shared" si="0"/>
        <v>0</v>
      </c>
    </row>
    <row r="83" ht="15.75" customHeight="1" spans="1:32" x14ac:dyDescent="0.25">
      <c r="A83" s="14"/>
      <c r="B83" s="115">
        <v>79</v>
      </c>
      <c r="C83" s="115">
        <v>4.24</v>
      </c>
      <c r="D83" s="117" t="s">
        <v>275</v>
      </c>
      <c r="E83" s="119">
        <f>'2021'!I711</f>
        <v>28</v>
      </c>
      <c r="F83" s="119">
        <f>'2021'!J711</f>
        <v>0</v>
      </c>
      <c r="G83" s="119">
        <f>'2021'!M711</f>
        <v>28</v>
      </c>
      <c r="H83" s="119">
        <f>'2021'!N711</f>
        <v>0</v>
      </c>
      <c r="I83" s="119">
        <f>'2021'!Q711</f>
        <v>28</v>
      </c>
      <c r="J83" s="119">
        <f>'2021'!R711</f>
        <v>0</v>
      </c>
      <c r="K83" s="119">
        <f>'2021'!U711</f>
        <v>28</v>
      </c>
      <c r="L83" s="119">
        <f>'2021'!V711</f>
        <v>0</v>
      </c>
      <c r="M83" s="119">
        <f>'2021'!Y711</f>
        <v>29</v>
      </c>
      <c r="N83" s="119">
        <f>'2021'!Z711</f>
        <v>1</v>
      </c>
      <c r="O83" s="119">
        <f>'2021'!AC711</f>
        <v>29</v>
      </c>
      <c r="P83" s="119">
        <f>'2021'!AD711</f>
        <v>0</v>
      </c>
      <c r="Q83" s="119">
        <f>'2021'!AG711</f>
        <v>29</v>
      </c>
      <c r="R83" s="119">
        <f>'2021'!AH711</f>
        <v>0</v>
      </c>
      <c r="S83" s="119">
        <f>'2021'!AK711</f>
        <v>29</v>
      </c>
      <c r="T83" s="119">
        <f>'2021'!AL711</f>
        <v>0</v>
      </c>
      <c r="U83" s="119">
        <f>'2021'!AO711</f>
        <v>35</v>
      </c>
      <c r="V83" s="119">
        <f>'2021'!AP711</f>
        <v>6</v>
      </c>
      <c r="W83" s="119">
        <f>'2021'!AS711</f>
        <v>35</v>
      </c>
      <c r="X83" s="119">
        <f>'2021'!AT711</f>
        <v>0</v>
      </c>
      <c r="Y83" s="119">
        <f>'2021'!AW711</f>
        <v>43</v>
      </c>
      <c r="Z83" s="119">
        <f>'2021'!AX711</f>
        <v>8</v>
      </c>
      <c r="AA83" s="119"/>
      <c r="AB83" s="119">
        <f>'2021'!BA711</f>
        <v>43</v>
      </c>
      <c r="AC83" s="119">
        <f>'2021'!BB711</f>
        <v>0</v>
      </c>
      <c r="AD83" s="119"/>
      <c r="AE83" s="119">
        <f>'2021'!BE711</f>
        <v>15</v>
      </c>
      <c r="AF83" s="119">
        <f t="shared" si="0"/>
        <v>0</v>
      </c>
    </row>
    <row r="84" ht="15.75" customHeight="1" spans="1:32" x14ac:dyDescent="0.25">
      <c r="A84" s="14"/>
      <c r="B84" s="115">
        <v>81</v>
      </c>
      <c r="C84" s="116">
        <v>4.3</v>
      </c>
      <c r="D84" s="117" t="s">
        <v>278</v>
      </c>
      <c r="E84" s="119">
        <f>'2021'!I720</f>
        <v>0</v>
      </c>
      <c r="F84" s="119">
        <f>'2021'!J720</f>
        <v>0</v>
      </c>
      <c r="G84" s="119">
        <f>'2021'!M720</f>
        <v>0</v>
      </c>
      <c r="H84" s="119">
        <f>'2021'!N720</f>
        <v>0</v>
      </c>
      <c r="I84" s="119">
        <f>'2021'!Q720</f>
        <v>0</v>
      </c>
      <c r="J84" s="119">
        <f>'2021'!R720</f>
        <v>0</v>
      </c>
      <c r="K84" s="119">
        <f>'2021'!U720</f>
        <v>0</v>
      </c>
      <c r="L84" s="119">
        <f>'2021'!V720</f>
        <v>0</v>
      </c>
      <c r="M84" s="119">
        <f>'2021'!Y720</f>
        <v>4</v>
      </c>
      <c r="N84" s="119">
        <f>'2021'!Z720</f>
        <v>4</v>
      </c>
      <c r="O84" s="119">
        <f>'2021'!AC720</f>
        <v>7</v>
      </c>
      <c r="P84" s="119">
        <f>'2021'!AD720</f>
        <v>3</v>
      </c>
      <c r="Q84" s="119">
        <f>'2021'!AG720</f>
        <v>8</v>
      </c>
      <c r="R84" s="119">
        <f>'2021'!AH720</f>
        <v>1</v>
      </c>
      <c r="S84" s="119">
        <f>'2021'!AK720</f>
        <v>10</v>
      </c>
      <c r="T84" s="119">
        <f>'2021'!AL720</f>
        <v>2</v>
      </c>
      <c r="U84" s="119">
        <f>'2021'!AO720</f>
        <v>13</v>
      </c>
      <c r="V84" s="119">
        <f>'2021'!AP720</f>
        <v>3</v>
      </c>
      <c r="W84" s="119">
        <f>'2021'!AS720</f>
        <v>13</v>
      </c>
      <c r="X84" s="119">
        <f>'2021'!AT720</f>
        <v>0</v>
      </c>
      <c r="Y84" s="119">
        <f>'2021'!AW720</f>
        <v>13</v>
      </c>
      <c r="Z84" s="119">
        <f>'2021'!AX720</f>
        <v>0</v>
      </c>
      <c r="AA84" s="119"/>
      <c r="AB84" s="119">
        <f>'2021'!BA720</f>
        <v>13</v>
      </c>
      <c r="AC84" s="119">
        <f>'2021'!BB720</f>
        <v>0</v>
      </c>
      <c r="AD84" s="119"/>
      <c r="AE84" s="119">
        <f>'2021'!BE720</f>
        <v>13</v>
      </c>
      <c r="AF84" s="119">
        <f t="shared" si="0"/>
        <v>0</v>
      </c>
    </row>
    <row r="85" ht="15.75" customHeight="1" spans="1:32" x14ac:dyDescent="0.25">
      <c r="A85" s="14"/>
      <c r="B85" s="115">
        <v>83</v>
      </c>
      <c r="C85" s="115">
        <v>4.29</v>
      </c>
      <c r="D85" s="117" t="s">
        <v>280</v>
      </c>
      <c r="E85" s="119">
        <f>'2021'!I729</f>
        <v>227</v>
      </c>
      <c r="F85" s="119">
        <f>'2021'!J729</f>
        <v>0</v>
      </c>
      <c r="G85" s="119">
        <f>'2021'!M729</f>
        <v>227</v>
      </c>
      <c r="H85" s="119">
        <f>'2021'!N729</f>
        <v>0</v>
      </c>
      <c r="I85" s="119">
        <f>'2021'!Q729</f>
        <v>227</v>
      </c>
      <c r="J85" s="119">
        <f>'2021'!R729</f>
        <v>0</v>
      </c>
      <c r="K85" s="119">
        <f>'2021'!U729</f>
        <v>227</v>
      </c>
      <c r="L85" s="119">
        <f>'2021'!V729</f>
        <v>0</v>
      </c>
      <c r="M85" s="119">
        <f>'2021'!Y729</f>
        <v>229</v>
      </c>
      <c r="N85" s="119">
        <f>'2021'!Z729</f>
        <v>2</v>
      </c>
      <c r="O85" s="119">
        <f>'2021'!AC729</f>
        <v>230</v>
      </c>
      <c r="P85" s="119">
        <f>'2021'!AD729</f>
        <v>1</v>
      </c>
      <c r="Q85" s="119">
        <f>'2021'!AG729</f>
        <v>231</v>
      </c>
      <c r="R85" s="119">
        <f>'2021'!AH729</f>
        <v>1</v>
      </c>
      <c r="S85" s="119">
        <f>'2021'!AK729</f>
        <v>231</v>
      </c>
      <c r="T85" s="119">
        <f>'2021'!AL729</f>
        <v>0</v>
      </c>
      <c r="U85" s="119">
        <f>'2021'!AO729</f>
        <v>231</v>
      </c>
      <c r="V85" s="119">
        <f>'2021'!AP729</f>
        <v>0</v>
      </c>
      <c r="W85" s="119">
        <f>'2021'!AS729</f>
        <v>231</v>
      </c>
      <c r="X85" s="119">
        <f>'2021'!AT729</f>
        <v>0</v>
      </c>
      <c r="Y85" s="119">
        <f>'2021'!AW729</f>
        <v>231</v>
      </c>
      <c r="Z85" s="119">
        <f>'2021'!AX729</f>
        <v>0</v>
      </c>
      <c r="AA85" s="119"/>
      <c r="AB85" s="119">
        <f>'2021'!BA729</f>
        <v>231</v>
      </c>
      <c r="AC85" s="119">
        <f>'2021'!BB729</f>
        <v>0</v>
      </c>
      <c r="AD85" s="119"/>
      <c r="AE85" s="119">
        <f>'2021'!BE729</f>
        <v>4</v>
      </c>
      <c r="AF85" s="119">
        <f t="shared" si="0"/>
        <v>0</v>
      </c>
    </row>
    <row r="86" ht="15.75" customHeight="1" spans="1:32" x14ac:dyDescent="0.25">
      <c r="A86" s="14"/>
      <c r="B86" s="115">
        <v>85</v>
      </c>
      <c r="C86" s="115">
        <v>4.27</v>
      </c>
      <c r="D86" s="117" t="s">
        <v>282</v>
      </c>
      <c r="E86" s="119">
        <f>'2021'!I738</f>
        <v>3681</v>
      </c>
      <c r="F86" s="119">
        <f>'2021'!J738</f>
        <v>0</v>
      </c>
      <c r="G86" s="119">
        <f>'2021'!M738</f>
        <v>3681</v>
      </c>
      <c r="H86" s="119">
        <f>'2021'!N738</f>
        <v>0</v>
      </c>
      <c r="I86" s="119">
        <f>'2021'!Q738</f>
        <v>3681</v>
      </c>
      <c r="J86" s="119">
        <f>'2021'!R738</f>
        <v>0</v>
      </c>
      <c r="K86" s="119">
        <f>'2021'!U738</f>
        <v>3681</v>
      </c>
      <c r="L86" s="119">
        <f>'2021'!V738</f>
        <v>0</v>
      </c>
      <c r="M86" s="119">
        <f>'2021'!Y738</f>
        <v>3762</v>
      </c>
      <c r="N86" s="119">
        <f>'2021'!Z738</f>
        <v>81</v>
      </c>
      <c r="O86" s="119">
        <f>'2021'!AC738</f>
        <v>3984</v>
      </c>
      <c r="P86" s="119">
        <f>'2021'!AD738</f>
        <v>222</v>
      </c>
      <c r="Q86" s="119">
        <f>'2021'!AG738</f>
        <v>4147</v>
      </c>
      <c r="R86" s="119">
        <f>'2021'!AH738</f>
        <v>163</v>
      </c>
      <c r="S86" s="119">
        <f>'2021'!AK738</f>
        <v>4578</v>
      </c>
      <c r="T86" s="119">
        <f>'2021'!AL738</f>
        <v>431</v>
      </c>
      <c r="U86" s="119">
        <f>'2021'!AO738</f>
        <v>4752</v>
      </c>
      <c r="V86" s="119">
        <f>'2021'!AP738</f>
        <v>174</v>
      </c>
      <c r="W86" s="119">
        <f>'2021'!AS738</f>
        <v>4753</v>
      </c>
      <c r="X86" s="119">
        <f>'2021'!AT738</f>
        <v>1</v>
      </c>
      <c r="Y86" s="119">
        <f>'2021'!AW738</f>
        <v>4753</v>
      </c>
      <c r="Z86" s="119">
        <f>'2021'!AX738</f>
        <v>0</v>
      </c>
      <c r="AA86" s="119"/>
      <c r="AB86" s="119">
        <f>'2021'!BA738</f>
        <v>4753</v>
      </c>
      <c r="AC86" s="119">
        <f>'2021'!BB738</f>
        <v>0</v>
      </c>
      <c r="AD86" s="119"/>
      <c r="AE86" s="119">
        <f>'2021'!BE738</f>
        <v>1072</v>
      </c>
      <c r="AF86" s="119">
        <f t="shared" si="0"/>
        <v>0</v>
      </c>
    </row>
    <row r="87" ht="15.75" customHeight="1" spans="1:32" x14ac:dyDescent="0.25">
      <c r="A87" s="14"/>
      <c r="B87" s="115">
        <v>87</v>
      </c>
      <c r="C87" s="115">
        <v>4.23</v>
      </c>
      <c r="D87" s="117" t="s">
        <v>284</v>
      </c>
      <c r="E87" s="119">
        <f>'2021'!I747</f>
        <v>549</v>
      </c>
      <c r="F87" s="119">
        <f>'2021'!J747</f>
        <v>0</v>
      </c>
      <c r="G87" s="119">
        <f>'2021'!M747</f>
        <v>549</v>
      </c>
      <c r="H87" s="119">
        <f>'2021'!N747</f>
        <v>0</v>
      </c>
      <c r="I87" s="119">
        <f>'2021'!Q747</f>
        <v>549</v>
      </c>
      <c r="J87" s="119">
        <f>'2021'!R747</f>
        <v>0</v>
      </c>
      <c r="K87" s="119">
        <f>'2021'!U747</f>
        <v>549</v>
      </c>
      <c r="L87" s="119">
        <f>'2021'!V747</f>
        <v>0</v>
      </c>
      <c r="M87" s="119">
        <f>'2021'!Y747</f>
        <v>557</v>
      </c>
      <c r="N87" s="119">
        <f>'2021'!Z747</f>
        <v>8</v>
      </c>
      <c r="O87" s="119">
        <f>'2021'!AC747</f>
        <v>588</v>
      </c>
      <c r="P87" s="119">
        <f>'2021'!AD747</f>
        <v>31</v>
      </c>
      <c r="Q87" s="119">
        <f>'2021'!AG747</f>
        <v>627</v>
      </c>
      <c r="R87" s="119">
        <f>'2021'!AH747</f>
        <v>39</v>
      </c>
      <c r="S87" s="119">
        <f>'2021'!AK747</f>
        <v>688</v>
      </c>
      <c r="T87" s="119">
        <f>'2021'!AL747</f>
        <v>61</v>
      </c>
      <c r="U87" s="119">
        <f>'2021'!AO747</f>
        <v>718</v>
      </c>
      <c r="V87" s="119">
        <f>'2021'!AP747</f>
        <v>30</v>
      </c>
      <c r="W87" s="119">
        <f>'2021'!AS747</f>
        <v>719</v>
      </c>
      <c r="X87" s="119">
        <f>'2021'!AT747</f>
        <v>1</v>
      </c>
      <c r="Y87" s="119">
        <f>'2021'!AW747</f>
        <v>719</v>
      </c>
      <c r="Z87" s="119">
        <f>'2021'!AX747</f>
        <v>0</v>
      </c>
      <c r="AA87" s="119"/>
      <c r="AB87" s="119">
        <f>'2021'!BA747</f>
        <v>719</v>
      </c>
      <c r="AC87" s="119">
        <f>'2021'!BB747</f>
        <v>0</v>
      </c>
      <c r="AD87" s="119"/>
      <c r="AE87" s="119">
        <f>'2021'!BE747</f>
        <v>170</v>
      </c>
      <c r="AF87" s="119">
        <f t="shared" si="0"/>
        <v>0</v>
      </c>
    </row>
    <row r="88" ht="15.75" customHeight="1" spans="1:32" x14ac:dyDescent="0.25">
      <c r="A88" s="14"/>
      <c r="B88" s="115">
        <v>89</v>
      </c>
      <c r="C88" s="115">
        <v>4.25</v>
      </c>
      <c r="D88" s="117" t="s">
        <v>286</v>
      </c>
      <c r="E88" s="119">
        <f>'2021'!I756</f>
        <v>0</v>
      </c>
      <c r="F88" s="119">
        <f>'2021'!J756</f>
        <v>0</v>
      </c>
      <c r="G88" s="119">
        <f>'2021'!M756</f>
        <v>0</v>
      </c>
      <c r="H88" s="119">
        <f>'2021'!N756</f>
        <v>0</v>
      </c>
      <c r="I88" s="119">
        <f>'2021'!Q756</f>
        <v>0</v>
      </c>
      <c r="J88" s="119">
        <f>'2021'!R756</f>
        <v>0</v>
      </c>
      <c r="K88" s="119">
        <f>'2021'!U756</f>
        <v>0</v>
      </c>
      <c r="L88" s="119">
        <f>'2021'!V756</f>
        <v>0</v>
      </c>
      <c r="M88" s="119">
        <f>'2021'!Y756</f>
      </c>
      <c r="N88" s="119">
        <f>'2021'!Z756</f>
        <v>0</v>
      </c>
      <c r="O88" s="119">
        <f>'2021'!AC756</f>
      </c>
      <c r="P88" s="119">
        <f>'2021'!AD756</f>
        <v>0</v>
      </c>
      <c r="Q88" s="119">
        <f>'2021'!AG756</f>
      </c>
      <c r="R88" s="119">
        <f>'2021'!AH756</f>
        <v>0</v>
      </c>
      <c r="S88" s="119">
        <f>'2021'!AK756</f>
      </c>
      <c r="T88" s="119">
        <f>'2021'!AL756</f>
        <v>0</v>
      </c>
      <c r="U88" s="119">
        <f>'2021'!AO756</f>
      </c>
      <c r="V88" s="119">
        <f>'2021'!AP756</f>
        <v>0</v>
      </c>
      <c r="W88" s="119">
        <f>'2021'!AS756</f>
      </c>
      <c r="X88" s="119">
        <f>'2021'!AT756</f>
        <v>0</v>
      </c>
      <c r="Y88" s="119">
        <f>'2021'!AW756</f>
      </c>
      <c r="Z88" s="119">
        <f>'2021'!AX756</f>
        <v>0</v>
      </c>
      <c r="AA88" s="119"/>
      <c r="AB88" s="119">
        <f>'2021'!BA756</f>
      </c>
      <c r="AC88" s="119">
        <f>'2021'!BB756</f>
        <v>0</v>
      </c>
      <c r="AD88" s="119"/>
      <c r="AE88" s="119">
        <f>'2021'!BE756</f>
        <v>0</v>
      </c>
      <c r="AF88" s="119">
        <f t="shared" si="0"/>
        <v>0</v>
      </c>
    </row>
    <row r="89" ht="15.75" customHeight="1" spans="1:32" x14ac:dyDescent="0.25">
      <c r="A89" s="14"/>
      <c r="B89" s="115">
        <v>91</v>
      </c>
      <c r="C89" s="115">
        <v>4.23</v>
      </c>
      <c r="D89" s="117" t="s">
        <v>288</v>
      </c>
      <c r="E89" s="119">
        <f>'2021'!I765</f>
        <v>179</v>
      </c>
      <c r="F89" s="119">
        <f>'2021'!J765</f>
        <v>0</v>
      </c>
      <c r="G89" s="119">
        <f>'2021'!M765</f>
        <v>179</v>
      </c>
      <c r="H89" s="119">
        <f>'2021'!N765</f>
        <v>0</v>
      </c>
      <c r="I89" s="119">
        <f>'2021'!Q765</f>
        <v>179</v>
      </c>
      <c r="J89" s="119">
        <f>'2021'!R765</f>
        <v>0</v>
      </c>
      <c r="K89" s="119">
        <f>'2021'!U765</f>
        <v>179</v>
      </c>
      <c r="L89" s="119">
        <f>'2021'!V765</f>
        <v>0</v>
      </c>
      <c r="M89" s="119">
        <f>'2021'!Y765</f>
        <v>180</v>
      </c>
      <c r="N89" s="119">
        <f>'2021'!Z765</f>
        <v>1</v>
      </c>
      <c r="O89" s="119">
        <f>'2021'!AC765</f>
        <v>182</v>
      </c>
      <c r="P89" s="119">
        <f>'2021'!AD765</f>
        <v>2</v>
      </c>
      <c r="Q89" s="119">
        <f>'2021'!AG765</f>
        <v>182</v>
      </c>
      <c r="R89" s="119">
        <f>'2021'!AH765</f>
        <v>0</v>
      </c>
      <c r="S89" s="119">
        <f>'2021'!AK765</f>
        <v>182</v>
      </c>
      <c r="T89" s="119">
        <f>'2021'!AL765</f>
        <v>0</v>
      </c>
      <c r="U89" s="119">
        <f>'2021'!AO765</f>
        <v>183</v>
      </c>
      <c r="V89" s="119">
        <f>'2021'!AP765</f>
        <v>1</v>
      </c>
      <c r="W89" s="119">
        <f>'2021'!AS765</f>
        <v>183</v>
      </c>
      <c r="X89" s="119">
        <f>'2021'!AT765</f>
        <v>0</v>
      </c>
      <c r="Y89" s="119">
        <f>'2021'!AW765</f>
        <v>183</v>
      </c>
      <c r="Z89" s="119">
        <f>'2021'!AX765</f>
        <v>0</v>
      </c>
      <c r="AA89" s="119"/>
      <c r="AB89" s="119">
        <f>'2021'!BA765</f>
        <v>183</v>
      </c>
      <c r="AC89" s="119">
        <f>'2021'!BB765</f>
        <v>0</v>
      </c>
      <c r="AD89" s="119"/>
      <c r="AE89" s="119">
        <f>'2021'!BE765</f>
        <v>4</v>
      </c>
      <c r="AF89" s="119">
        <f t="shared" si="0"/>
        <v>0</v>
      </c>
    </row>
    <row r="90" ht="15.75" customHeight="1" spans="1:32" x14ac:dyDescent="0.25">
      <c r="A90" s="14"/>
      <c r="B90" s="115" t="s">
        <v>292</v>
      </c>
      <c r="C90" s="115">
        <v>4.31</v>
      </c>
      <c r="D90" s="117" t="s">
        <v>436</v>
      </c>
      <c r="E90" s="119">
        <f>'2021'!I774</f>
        <v>2775</v>
      </c>
      <c r="F90" s="119">
        <f>'2021'!J774</f>
        <v>668</v>
      </c>
      <c r="G90" s="119">
        <f>'2021'!M774</f>
        <v>2775</v>
      </c>
      <c r="H90" s="119">
        <f>'2021'!N774</f>
        <v>0</v>
      </c>
      <c r="I90" s="119">
        <f>'2021'!Q774</f>
        <v>2905</v>
      </c>
      <c r="J90" s="119">
        <f>'2021'!R774</f>
        <v>130</v>
      </c>
      <c r="K90" s="119">
        <f>'2021'!U774</f>
        <v>3702</v>
      </c>
      <c r="L90" s="119">
        <f>'2021'!V774</f>
        <v>797</v>
      </c>
      <c r="M90" s="119">
        <f>'2021'!Y774</f>
        <v>4322</v>
      </c>
      <c r="N90" s="119">
        <f>'2021'!Z774</f>
        <v>620</v>
      </c>
      <c r="O90" s="119">
        <f>'2021'!AC774</f>
        <v>4624</v>
      </c>
      <c r="P90" s="119">
        <f>'2021'!AD774</f>
        <v>302</v>
      </c>
      <c r="Q90" s="119">
        <f>'2021'!AG774</f>
        <v>4985</v>
      </c>
      <c r="R90" s="119">
        <f>'2021'!AH774</f>
        <v>361</v>
      </c>
      <c r="S90" s="119">
        <f>'2021'!AK774</f>
        <v>5410</v>
      </c>
      <c r="T90" s="119">
        <f>'2021'!AL774</f>
        <v>425</v>
      </c>
      <c r="U90" s="119">
        <f>'2021'!AO774</f>
        <v>5998</v>
      </c>
      <c r="V90" s="119">
        <f>'2021'!AP774</f>
        <v>588</v>
      </c>
      <c r="W90" s="119">
        <f>'2021'!AS774</f>
        <v>6940</v>
      </c>
      <c r="X90" s="119">
        <f>'2021'!AT774</f>
        <v>942</v>
      </c>
      <c r="Y90" s="119">
        <f>'2021'!AW774</f>
        <v>7625</v>
      </c>
      <c r="Z90" s="119">
        <f>'2021'!AX774</f>
        <v>685</v>
      </c>
      <c r="AA90" s="119"/>
      <c r="AB90" s="119">
        <f>'2021'!BA774</f>
        <v>7625</v>
      </c>
      <c r="AC90" s="119">
        <f>'2021'!BB774</f>
        <v>0</v>
      </c>
      <c r="AD90" s="119"/>
      <c r="AE90" s="119">
        <f>'2021'!BE774</f>
        <v>5518</v>
      </c>
      <c r="AF90" s="119">
        <f t="shared" si="0"/>
        <v>0</v>
      </c>
    </row>
    <row r="91" ht="15.75" customHeight="1" spans="1:32" x14ac:dyDescent="0.25">
      <c r="A91" s="21"/>
      <c r="B91" s="115" t="s">
        <v>292</v>
      </c>
      <c r="C91" s="115">
        <v>4.25</v>
      </c>
      <c r="D91" s="15" t="s">
        <v>436</v>
      </c>
      <c r="E91" s="119">
        <f>'2021'!I783</f>
        <v>0</v>
      </c>
      <c r="F91" s="119">
        <f>'2021'!J783</f>
        <v>0</v>
      </c>
      <c r="G91" s="119">
        <f>'2021'!M783</f>
        <v>0</v>
      </c>
      <c r="H91" s="119">
        <f>'2021'!N783</f>
        <v>0</v>
      </c>
      <c r="I91" s="119">
        <f>'2021'!Q783</f>
        <v>0</v>
      </c>
      <c r="J91" s="119">
        <f>'2021'!R783</f>
        <v>0</v>
      </c>
      <c r="K91" s="119">
        <f>'2021'!U783</f>
        <v>0</v>
      </c>
      <c r="L91" s="119">
        <f>'2021'!V783</f>
        <v>0</v>
      </c>
      <c r="M91" s="119">
        <f>'2021'!Y783</f>
      </c>
      <c r="N91" s="119">
        <f>'2021'!Z783</f>
        <v>0</v>
      </c>
      <c r="O91" s="119">
        <f>'2021'!AC783</f>
      </c>
      <c r="P91" s="119">
        <f>'2021'!AD783</f>
        <v>0</v>
      </c>
      <c r="Q91" s="119">
        <f>'2021'!AG783</f>
        <v>152</v>
      </c>
      <c r="R91" s="119">
        <f>'2021'!AH783</f>
        <v>152</v>
      </c>
      <c r="S91" s="119">
        <f>'2021'!AK783</f>
        <v>253</v>
      </c>
      <c r="T91" s="119">
        <f>'2021'!AL783</f>
        <v>101</v>
      </c>
      <c r="U91" s="119">
        <f>'2021'!AO783</f>
        <v>584</v>
      </c>
      <c r="V91" s="119">
        <f>'2021'!AP783</f>
        <v>331</v>
      </c>
      <c r="W91" s="119">
        <f>'2021'!AS783</f>
        <v>1075</v>
      </c>
      <c r="X91" s="119">
        <f>'2021'!AT783</f>
        <v>491</v>
      </c>
      <c r="Y91" s="119">
        <f>'2021'!AW783</f>
        <v>1182</v>
      </c>
      <c r="Z91" s="119">
        <f>'2021'!AX783</f>
        <v>107</v>
      </c>
      <c r="AA91" s="119"/>
      <c r="AB91" s="119">
        <f>'2021'!BA783</f>
        <v>1182</v>
      </c>
      <c r="AC91" s="119">
        <f>'2021'!BB783</f>
        <v>0</v>
      </c>
      <c r="AD91" s="119"/>
      <c r="AE91" s="119">
        <f>'2021'!BE783</f>
        <v>1182</v>
      </c>
      <c r="AF91" s="119">
        <f t="shared" si="0"/>
        <v>0</v>
      </c>
    </row>
    <row r="92" ht="15.75" customHeight="1" spans="1:32" x14ac:dyDescent="0.25">
      <c r="A92" s="114" t="s">
        <v>297</v>
      </c>
      <c r="B92" s="115">
        <v>80</v>
      </c>
      <c r="C92" s="115">
        <v>4.28</v>
      </c>
      <c r="D92" s="117" t="s">
        <v>298</v>
      </c>
      <c r="E92" s="119">
        <f>'2021'!I792</f>
        <v>1312</v>
      </c>
      <c r="F92" s="119">
        <f>'2021'!J792</f>
        <v>0</v>
      </c>
      <c r="G92" s="119">
        <f>'2021'!M792</f>
        <v>1312</v>
      </c>
      <c r="H92" s="119">
        <f>'2021'!N792</f>
        <v>0</v>
      </c>
      <c r="I92" s="119">
        <f>'2021'!Q792</f>
        <v>1312</v>
      </c>
      <c r="J92" s="119">
        <f>'2021'!R792</f>
        <v>0</v>
      </c>
      <c r="K92" s="119">
        <f>'2021'!U792</f>
        <v>1312</v>
      </c>
      <c r="L92" s="119">
        <f>'2021'!V792</f>
        <v>0</v>
      </c>
      <c r="M92" s="119">
        <f>'2021'!Y792</f>
        <v>1329</v>
      </c>
      <c r="N92" s="119">
        <f>'2021'!Z792</f>
        <v>17</v>
      </c>
      <c r="O92" s="119">
        <f>'2021'!AC792</f>
        <v>1401</v>
      </c>
      <c r="P92" s="119">
        <f>'2021'!AD792</f>
        <v>72</v>
      </c>
      <c r="Q92" s="119">
        <f>'2021'!AG792</f>
        <v>1529</v>
      </c>
      <c r="R92" s="119">
        <f>'2021'!AH792</f>
        <v>128</v>
      </c>
      <c r="S92" s="119">
        <f>'2021'!AK792</f>
        <v>1634</v>
      </c>
      <c r="T92" s="119">
        <f>'2021'!AL792</f>
        <v>105</v>
      </c>
      <c r="U92" s="119">
        <f>'2021'!AO792</f>
        <v>1649</v>
      </c>
      <c r="V92" s="119">
        <f>'2021'!AP792</f>
        <v>15</v>
      </c>
      <c r="W92" s="119">
        <f>'2021'!AS792</f>
        <v>1655</v>
      </c>
      <c r="X92" s="119">
        <f>'2021'!AT792</f>
        <v>6</v>
      </c>
      <c r="Y92" s="119">
        <f>'2021'!AW792</f>
        <v>1657</v>
      </c>
      <c r="Z92" s="119">
        <f>'2021'!AX792</f>
        <v>2</v>
      </c>
      <c r="AA92" s="119"/>
      <c r="AB92" s="119">
        <f>'2021'!BA792</f>
        <v>1657</v>
      </c>
      <c r="AC92" s="119">
        <f>'2021'!BB792</f>
        <v>0</v>
      </c>
      <c r="AD92" s="119"/>
      <c r="AE92" s="119">
        <f>'2021'!BE792</f>
        <v>345</v>
      </c>
      <c r="AF92" s="119">
        <f t="shared" si="0"/>
        <v>0</v>
      </c>
    </row>
    <row r="93" ht="15.75" customHeight="1" spans="1:32" x14ac:dyDescent="0.25">
      <c r="A93" s="14"/>
      <c r="B93" s="115">
        <v>82</v>
      </c>
      <c r="C93" s="115">
        <v>4.28</v>
      </c>
      <c r="D93" s="117" t="s">
        <v>300</v>
      </c>
      <c r="E93" s="119">
        <f>'2021'!I801</f>
        <v>0</v>
      </c>
      <c r="F93" s="119">
        <f>'2021'!J801</f>
        <v>0</v>
      </c>
      <c r="G93" s="119">
        <f>'2021'!M801</f>
        <v>0</v>
      </c>
      <c r="H93" s="119">
        <f>'2021'!N801</f>
        <v>0</v>
      </c>
      <c r="I93" s="119">
        <f>'2021'!Q801</f>
        <v>0</v>
      </c>
      <c r="J93" s="119">
        <f>'2021'!R801</f>
        <v>0</v>
      </c>
      <c r="K93" s="119">
        <f>'2021'!U801</f>
        <v>0</v>
      </c>
      <c r="L93" s="119">
        <f>'2021'!V801</f>
        <v>0</v>
      </c>
      <c r="M93" s="119">
        <f>'2021'!Y801</f>
      </c>
      <c r="N93" s="119">
        <f>'2021'!Z801</f>
        <v>0</v>
      </c>
      <c r="O93" s="119">
        <f>'2021'!AC801</f>
      </c>
      <c r="P93" s="119">
        <f>'2021'!AD801</f>
        <v>0</v>
      </c>
      <c r="Q93" s="119">
        <f>'2021'!AG801</f>
        <v>0</v>
      </c>
      <c r="R93" s="119">
        <f>'2021'!AH801</f>
        <v>0</v>
      </c>
      <c r="S93" s="119">
        <f>'2021'!AK801</f>
        <v>0</v>
      </c>
      <c r="T93" s="119">
        <f>'2021'!AL801</f>
        <v>0</v>
      </c>
      <c r="U93" s="119">
        <f>'2021'!AO801</f>
        <v>0</v>
      </c>
      <c r="V93" s="119">
        <f>'2021'!AP801</f>
        <v>0</v>
      </c>
      <c r="W93" s="119">
        <f>'2021'!AS801</f>
      </c>
      <c r="X93" s="119">
        <f>'2021'!AT801</f>
        <v>0</v>
      </c>
      <c r="Y93" s="119">
        <f>'2021'!AW801</f>
      </c>
      <c r="Z93" s="119">
        <f>'2021'!AX801</f>
        <v>0</v>
      </c>
      <c r="AA93" s="119"/>
      <c r="AB93" s="119">
        <f>'2021'!BA801</f>
      </c>
      <c r="AC93" s="119">
        <f>'2021'!BB801</f>
        <v>0</v>
      </c>
      <c r="AD93" s="119"/>
      <c r="AE93" s="119">
        <f>'2021'!BE801</f>
        <v>0</v>
      </c>
      <c r="AF93" s="119">
        <f t="shared" si="0"/>
        <v>0</v>
      </c>
    </row>
    <row r="94" ht="15.75" customHeight="1" spans="1:32" x14ac:dyDescent="0.25">
      <c r="A94" s="14"/>
      <c r="B94" s="115">
        <v>84</v>
      </c>
      <c r="C94" s="115">
        <v>4.18</v>
      </c>
      <c r="D94" s="117" t="s">
        <v>301</v>
      </c>
      <c r="E94" s="119">
        <f>'2021'!I810</f>
        <v>39</v>
      </c>
      <c r="F94" s="119">
        <f>'2021'!J810</f>
        <v>0</v>
      </c>
      <c r="G94" s="119">
        <f>'2021'!M810</f>
        <v>39</v>
      </c>
      <c r="H94" s="119">
        <f>'2021'!N810</f>
        <v>0</v>
      </c>
      <c r="I94" s="119">
        <f>'2021'!Q810</f>
        <v>39</v>
      </c>
      <c r="J94" s="119">
        <f>'2021'!R810</f>
        <v>0</v>
      </c>
      <c r="K94" s="119">
        <f>'2021'!U810</f>
        <v>39</v>
      </c>
      <c r="L94" s="119">
        <f>'2021'!V810</f>
        <v>0</v>
      </c>
      <c r="M94" s="119">
        <f>'2021'!Y810</f>
        <v>44</v>
      </c>
      <c r="N94" s="119">
        <f>'2021'!Z810</f>
        <v>5</v>
      </c>
      <c r="O94" s="119">
        <f>'2021'!AC810</f>
        <v>52</v>
      </c>
      <c r="P94" s="119">
        <f>'2021'!AD810</f>
        <v>8</v>
      </c>
      <c r="Q94" s="119">
        <f>'2021'!AG810</f>
        <v>67</v>
      </c>
      <c r="R94" s="119">
        <f>'2021'!AH810</f>
        <v>15</v>
      </c>
      <c r="S94" s="119">
        <f>'2021'!AK810</f>
        <v>79</v>
      </c>
      <c r="T94" s="119">
        <f>'2021'!AL810</f>
        <v>12</v>
      </c>
      <c r="U94" s="119">
        <f>'2021'!AO810</f>
        <v>97</v>
      </c>
      <c r="V94" s="119">
        <f>'2021'!AP810</f>
        <v>18</v>
      </c>
      <c r="W94" s="119">
        <f>'2021'!AS810</f>
        <v>102</v>
      </c>
      <c r="X94" s="119">
        <f>'2021'!AT810</f>
        <v>5</v>
      </c>
      <c r="Y94" s="119">
        <f>'2021'!AW810</f>
        <v>102</v>
      </c>
      <c r="Z94" s="119">
        <f>'2021'!AX810</f>
        <v>0</v>
      </c>
      <c r="AA94" s="119"/>
      <c r="AB94" s="119">
        <f>'2021'!BA810</f>
        <v>102</v>
      </c>
      <c r="AC94" s="119">
        <f>'2021'!BB810</f>
        <v>0</v>
      </c>
      <c r="AD94" s="119"/>
      <c r="AE94" s="119">
        <f>'2021'!BE810</f>
        <v>63</v>
      </c>
      <c r="AF94" s="119">
        <f t="shared" si="0"/>
        <v>0</v>
      </c>
    </row>
    <row r="95" ht="15.75" customHeight="1" spans="1:32" x14ac:dyDescent="0.25">
      <c r="A95" s="14"/>
      <c r="B95" s="115">
        <v>86</v>
      </c>
      <c r="C95" s="115">
        <v>4.23</v>
      </c>
      <c r="D95" s="117" t="s">
        <v>304</v>
      </c>
      <c r="E95" s="119">
        <f>'2021'!I819</f>
        <v>0</v>
      </c>
      <c r="F95" s="119">
        <f>'2021'!J819</f>
        <v>0</v>
      </c>
      <c r="G95" s="119">
        <f>'2021'!M819</f>
        <v>0</v>
      </c>
      <c r="H95" s="119">
        <f>'2021'!N819</f>
        <v>0</v>
      </c>
      <c r="I95" s="119">
        <f>'2021'!Q819</f>
        <v>0</v>
      </c>
      <c r="J95" s="119">
        <f>'2021'!R819</f>
        <v>0</v>
      </c>
      <c r="K95" s="119">
        <f>'2021'!U819</f>
        <v>0</v>
      </c>
      <c r="L95" s="119">
        <f>'2021'!V819</f>
        <v>0</v>
      </c>
      <c r="M95" s="119">
        <f>'2021'!Y819</f>
      </c>
      <c r="N95" s="119">
        <f>'2021'!Z819</f>
        <v>0</v>
      </c>
      <c r="O95" s="119">
        <f>'2021'!AC819</f>
      </c>
      <c r="P95" s="119">
        <f>'2021'!AD819</f>
        <v>0</v>
      </c>
      <c r="Q95" s="119">
        <f>'2021'!AG819</f>
      </c>
      <c r="R95" s="119">
        <f>'2021'!AH819</f>
        <v>0</v>
      </c>
      <c r="S95" s="119">
        <f>'2021'!AK819</f>
      </c>
      <c r="T95" s="119">
        <f>'2021'!AL819</f>
        <v>0</v>
      </c>
      <c r="U95" s="119">
        <f>'2021'!AO819</f>
      </c>
      <c r="V95" s="119">
        <f>'2021'!AP819</f>
        <v>0</v>
      </c>
      <c r="W95" s="119">
        <f>'2021'!AS819</f>
      </c>
      <c r="X95" s="119">
        <f>'2021'!AT819</f>
        <v>0</v>
      </c>
      <c r="Y95" s="119">
        <f>'2021'!AW819</f>
      </c>
      <c r="Z95" s="119">
        <f>'2021'!AX819</f>
        <v>0</v>
      </c>
      <c r="AA95" s="119"/>
      <c r="AB95" s="119">
        <f>'2021'!BA819</f>
      </c>
      <c r="AC95" s="119">
        <f>'2021'!BB819</f>
        <v>0</v>
      </c>
      <c r="AD95" s="119"/>
      <c r="AE95" s="119">
        <f>'2021'!BE819</f>
        <v>0</v>
      </c>
      <c r="AF95" s="119">
        <f t="shared" si="0"/>
        <v>0</v>
      </c>
    </row>
    <row r="96" ht="15.75" customHeight="1" spans="1:32" x14ac:dyDescent="0.25">
      <c r="A96" s="14"/>
      <c r="B96" s="115">
        <v>88</v>
      </c>
      <c r="C96" s="115">
        <v>4.23</v>
      </c>
      <c r="D96" s="117" t="s">
        <v>308</v>
      </c>
      <c r="E96" s="119">
        <f>'2021'!I828</f>
        <v>0</v>
      </c>
      <c r="F96" s="119">
        <f>'2021'!J828</f>
        <v>0</v>
      </c>
      <c r="G96" s="119">
        <f>'2021'!M828</f>
        <v>0</v>
      </c>
      <c r="H96" s="119">
        <f>'2021'!N828</f>
        <v>0</v>
      </c>
      <c r="I96" s="119">
        <f>'2021'!Q828</f>
        <v>0</v>
      </c>
      <c r="J96" s="119">
        <f>'2021'!R828</f>
        <v>0</v>
      </c>
      <c r="K96" s="119">
        <f>'2021'!U828</f>
        <v>0</v>
      </c>
      <c r="L96" s="119">
        <f>'2021'!V828</f>
        <v>0</v>
      </c>
      <c r="M96" s="119">
        <f>'2021'!Y828</f>
      </c>
      <c r="N96" s="119">
        <f>'2021'!Z828</f>
        <v>0</v>
      </c>
      <c r="O96" s="119">
        <f>'2021'!AC828</f>
      </c>
      <c r="P96" s="119">
        <f>'2021'!AD828</f>
        <v>0</v>
      </c>
      <c r="Q96" s="119">
        <f>'2021'!AG828</f>
      </c>
      <c r="R96" s="119">
        <f>'2021'!AH828</f>
        <v>0</v>
      </c>
      <c r="S96" s="119">
        <f>'2021'!AK828</f>
      </c>
      <c r="T96" s="119">
        <f>'2021'!AL828</f>
        <v>0</v>
      </c>
      <c r="U96" s="119">
        <f>'2021'!AO828</f>
      </c>
      <c r="V96" s="119">
        <f>'2021'!AP828</f>
        <v>0</v>
      </c>
      <c r="W96" s="119">
        <f>'2021'!AS828</f>
      </c>
      <c r="X96" s="119">
        <f>'2021'!AT828</f>
        <v>0</v>
      </c>
      <c r="Y96" s="119">
        <f>'2021'!AW828</f>
      </c>
      <c r="Z96" s="119">
        <f>'2021'!AX828</f>
        <v>0</v>
      </c>
      <c r="AA96" s="119"/>
      <c r="AB96" s="119">
        <f>'2021'!BA828</f>
      </c>
      <c r="AC96" s="119">
        <f>'2021'!BB828</f>
        <v>0</v>
      </c>
      <c r="AD96" s="119"/>
      <c r="AE96" s="119">
        <f>'2021'!BE828</f>
        <v>0</v>
      </c>
      <c r="AF96" s="119">
        <f t="shared" si="0"/>
        <v>0</v>
      </c>
    </row>
    <row r="97" ht="15.75" customHeight="1" spans="1:32" x14ac:dyDescent="0.25">
      <c r="A97" s="14"/>
      <c r="B97" s="115">
        <v>90</v>
      </c>
      <c r="C97" s="115">
        <v>4.23</v>
      </c>
      <c r="D97" s="117" t="s">
        <v>311</v>
      </c>
      <c r="E97" s="119">
        <f>'2021'!I837</f>
        <v>0</v>
      </c>
      <c r="F97" s="119">
        <f>'2021'!J837</f>
        <v>0</v>
      </c>
      <c r="G97" s="119">
        <f>'2021'!M837</f>
        <v>0</v>
      </c>
      <c r="H97" s="119">
        <f>'2021'!N837</f>
        <v>0</v>
      </c>
      <c r="I97" s="119">
        <f>'2021'!Q837</f>
        <v>0</v>
      </c>
      <c r="J97" s="119">
        <f>'2021'!R837</f>
        <v>0</v>
      </c>
      <c r="K97" s="119">
        <f>'2021'!U837</f>
        <v>0</v>
      </c>
      <c r="L97" s="119">
        <f>'2021'!V837</f>
        <v>0</v>
      </c>
      <c r="M97" s="119">
        <f>'2021'!Y837</f>
      </c>
      <c r="N97" s="119">
        <f>'2021'!Z837</f>
        <v>0</v>
      </c>
      <c r="O97" s="119">
        <f>'2021'!AC837</f>
      </c>
      <c r="P97" s="119">
        <f>'2021'!AD837</f>
        <v>0</v>
      </c>
      <c r="Q97" s="119">
        <f>'2021'!AG837</f>
      </c>
      <c r="R97" s="119">
        <f>'2021'!AH837</f>
        <v>0</v>
      </c>
      <c r="S97" s="119">
        <f>'2021'!AK837</f>
      </c>
      <c r="T97" s="119">
        <f>'2021'!AL837</f>
        <v>0</v>
      </c>
      <c r="U97" s="119">
        <f>'2021'!AO837</f>
      </c>
      <c r="V97" s="119">
        <f>'2021'!AP837</f>
        <v>0</v>
      </c>
      <c r="W97" s="119">
        <f>'2021'!AS837</f>
      </c>
      <c r="X97" s="119">
        <f>'2021'!AT837</f>
        <v>0</v>
      </c>
      <c r="Y97" s="119">
        <f>'2021'!AW837</f>
      </c>
      <c r="Z97" s="119">
        <f>'2021'!AX837</f>
        <v>0</v>
      </c>
      <c r="AA97" s="119"/>
      <c r="AB97" s="119">
        <f>'2021'!BA837</f>
      </c>
      <c r="AC97" s="119">
        <f>'2021'!BB837</f>
        <v>0</v>
      </c>
      <c r="AD97" s="119"/>
      <c r="AE97" s="119">
        <f>'2021'!BE837</f>
        <v>0</v>
      </c>
      <c r="AF97" s="119">
        <f t="shared" si="0"/>
        <v>0</v>
      </c>
    </row>
    <row r="98" ht="15.75" customHeight="1" spans="1:32" x14ac:dyDescent="0.25">
      <c r="A98" s="14"/>
      <c r="B98" s="115">
        <v>92</v>
      </c>
      <c r="C98" s="115">
        <v>4.28</v>
      </c>
      <c r="D98" s="117" t="s">
        <v>312</v>
      </c>
      <c r="E98" s="119">
        <f>'2021'!I846</f>
        <v>12043</v>
      </c>
      <c r="F98" s="119">
        <f>'2021'!J846</f>
        <v>629</v>
      </c>
      <c r="G98" s="119">
        <f>'2021'!M846</f>
        <v>12420</v>
      </c>
      <c r="H98" s="119">
        <f>'2021'!N846</f>
        <v>377</v>
      </c>
      <c r="I98" s="119">
        <f>'2021'!Q846</f>
        <v>12814</v>
      </c>
      <c r="J98" s="119">
        <f>'2021'!R846</f>
        <v>394</v>
      </c>
      <c r="K98" s="119">
        <f>'2021'!U846</f>
        <v>12814</v>
      </c>
      <c r="L98" s="119">
        <f>'2021'!V846</f>
        <v>0</v>
      </c>
      <c r="M98" s="119">
        <f>'2021'!Y846</f>
        <v>13019</v>
      </c>
      <c r="N98" s="119">
        <f>'2021'!Z846</f>
        <v>205</v>
      </c>
      <c r="O98" s="119">
        <f>'2021'!AC846</f>
        <v>13130</v>
      </c>
      <c r="P98" s="119">
        <f>'2021'!AD846</f>
        <v>111</v>
      </c>
      <c r="Q98" s="119">
        <f>'2021'!AG846</f>
        <v>13229</v>
      </c>
      <c r="R98" s="119">
        <f>'2021'!AH846</f>
        <v>99</v>
      </c>
      <c r="S98" s="119">
        <f>'2021'!AK846</f>
        <v>13331</v>
      </c>
      <c r="T98" s="119">
        <f>'2021'!AL846</f>
        <v>102</v>
      </c>
      <c r="U98" s="119">
        <f>'2021'!AO846</f>
        <v>13486</v>
      </c>
      <c r="V98" s="119">
        <f>'2021'!AP846</f>
        <v>155</v>
      </c>
      <c r="W98" s="119">
        <f>'2021'!AS846</f>
        <v>13840</v>
      </c>
      <c r="X98" s="119">
        <f>'2021'!AT846</f>
        <v>354</v>
      </c>
      <c r="Y98" s="119">
        <f>'2021'!AW846</f>
        <v>14277</v>
      </c>
      <c r="Z98" s="119">
        <f>'2021'!AX846</f>
        <v>437</v>
      </c>
      <c r="AA98" s="119"/>
      <c r="AB98" s="119">
        <f>'2021'!BA846</f>
        <v>14715</v>
      </c>
      <c r="AC98" s="119">
        <f>'2021'!BB846</f>
        <v>438</v>
      </c>
      <c r="AD98" s="119"/>
      <c r="AE98" s="119">
        <f>'2021'!BE846</f>
        <v>3301</v>
      </c>
      <c r="AF98" s="119">
        <f t="shared" si="0"/>
        <v>0</v>
      </c>
    </row>
    <row r="99" ht="15.75" customHeight="1" spans="1:32" x14ac:dyDescent="0.25">
      <c r="A99" s="14"/>
      <c r="B99" s="115" t="s">
        <v>315</v>
      </c>
      <c r="C99" s="115">
        <v>4.36</v>
      </c>
      <c r="D99" s="117" t="s">
        <v>316</v>
      </c>
      <c r="E99" s="119">
        <f>'2021'!I855</f>
        <v>40875</v>
      </c>
      <c r="F99" s="119">
        <f>'2021'!J855</f>
        <v>3252</v>
      </c>
      <c r="G99" s="119">
        <f>'2021'!M855</f>
        <v>43708</v>
      </c>
      <c r="H99" s="119">
        <f>'2021'!N855</f>
        <v>2833</v>
      </c>
      <c r="I99" s="119">
        <f>'2021'!Q855</f>
        <v>45692</v>
      </c>
      <c r="J99" s="119">
        <f>'2021'!R855</f>
        <v>1984</v>
      </c>
      <c r="K99" s="119">
        <f>'2021'!U855</f>
        <v>46919</v>
      </c>
      <c r="L99" s="119">
        <f>'2021'!V855</f>
        <v>1227</v>
      </c>
      <c r="M99" s="119">
        <f>'2021'!Y855</f>
        <v>47569</v>
      </c>
      <c r="N99" s="119">
        <f>'2021'!Z855</f>
        <v>650</v>
      </c>
      <c r="O99" s="119">
        <f>'2021'!AC855</f>
        <v>47914</v>
      </c>
      <c r="P99" s="119">
        <f>'2021'!AD855</f>
        <v>345</v>
      </c>
      <c r="Q99" s="119">
        <f>'2021'!AG855</f>
        <v>48330</v>
      </c>
      <c r="R99" s="119">
        <f>'2021'!AH855</f>
        <v>416</v>
      </c>
      <c r="S99" s="119">
        <f>'2021'!AK855</f>
        <v>48825</v>
      </c>
      <c r="T99" s="119">
        <f>'2021'!AL855</f>
        <v>495</v>
      </c>
      <c r="U99" s="119">
        <f>'2021'!AO855</f>
        <v>49494</v>
      </c>
      <c r="V99" s="119">
        <f>'2021'!AP855</f>
        <v>669</v>
      </c>
      <c r="W99" s="119">
        <f>'2021'!AS855</f>
        <v>50827</v>
      </c>
      <c r="X99" s="119">
        <f>'2021'!AT855</f>
        <v>1333</v>
      </c>
      <c r="Y99" s="119">
        <f>'2021'!AW855</f>
        <v>53098</v>
      </c>
      <c r="Z99" s="119">
        <f>'2021'!AX855</f>
        <v>2271</v>
      </c>
      <c r="AA99" s="119"/>
      <c r="AB99" s="119">
        <f>'2021'!BA855</f>
        <v>54960</v>
      </c>
      <c r="AC99" s="119">
        <f>'2021'!BB855</f>
        <v>1862</v>
      </c>
      <c r="AD99" s="119"/>
      <c r="AE99" s="119">
        <f>'2021'!BE855</f>
        <v>17337</v>
      </c>
      <c r="AF99" s="119">
        <f t="shared" si="0"/>
        <v>0</v>
      </c>
    </row>
    <row r="100" ht="15.75" customHeight="1" spans="1:32" x14ac:dyDescent="0.25">
      <c r="A100" s="14"/>
      <c r="B100" s="115" t="s">
        <v>315</v>
      </c>
      <c r="C100" s="116">
        <v>4.4</v>
      </c>
      <c r="D100" s="117" t="s">
        <v>316</v>
      </c>
      <c r="E100" s="119">
        <f>'2021'!I864</f>
        <v>0</v>
      </c>
      <c r="F100" s="119">
        <f>'2021'!J864</f>
        <v>0</v>
      </c>
      <c r="G100" s="119">
        <f>'2021'!M864</f>
        <v>0</v>
      </c>
      <c r="H100" s="119">
        <f>'2021'!N864</f>
        <v>0</v>
      </c>
      <c r="I100" s="119">
        <f>'2021'!Q864</f>
        <v>0</v>
      </c>
      <c r="J100" s="119">
        <f>'2021'!R864</f>
        <v>0</v>
      </c>
      <c r="K100" s="119">
        <f>'2021'!U864</f>
        <v>0</v>
      </c>
      <c r="L100" s="119">
        <f>'2021'!V864</f>
        <v>0</v>
      </c>
      <c r="M100" s="119">
        <f>'2021'!Y864</f>
      </c>
      <c r="N100" s="119">
        <f>'2021'!Z864</f>
        <v>0</v>
      </c>
      <c r="O100" s="119">
        <f>'2021'!AC864</f>
      </c>
      <c r="P100" s="119">
        <f>'2021'!AD864</f>
        <v>0</v>
      </c>
      <c r="Q100" s="119">
        <f>'2021'!AG864</f>
      </c>
      <c r="R100" s="119">
        <f>'2021'!AH864</f>
        <v>0</v>
      </c>
      <c r="S100" s="119">
        <f>'2021'!AK864</f>
      </c>
      <c r="T100" s="119">
        <f>'2021'!AL864</f>
        <v>0</v>
      </c>
      <c r="U100" s="119">
        <f>'2021'!AO864</f>
      </c>
      <c r="V100" s="119">
        <f>'2021'!AP864</f>
        <v>0</v>
      </c>
      <c r="W100" s="119">
        <f>'2021'!AS864</f>
      </c>
      <c r="X100" s="119">
        <f>'2021'!AT864</f>
        <v>0</v>
      </c>
      <c r="Y100" s="119">
        <f>'2021'!AW864</f>
      </c>
      <c r="Z100" s="119">
        <f>'2021'!AX864</f>
        <v>0</v>
      </c>
      <c r="AA100" s="119"/>
      <c r="AB100" s="119">
        <f>'2021'!BA864</f>
      </c>
      <c r="AC100" s="119">
        <f>'2021'!BB864</f>
        <v>0</v>
      </c>
      <c r="AD100" s="119"/>
      <c r="AE100" s="119">
        <f>'2021'!BE864</f>
        <v>0</v>
      </c>
      <c r="AF100" s="119">
        <f t="shared" si="0"/>
        <v>0</v>
      </c>
    </row>
    <row r="101" ht="15.75" customHeight="1" spans="1:32" x14ac:dyDescent="0.25">
      <c r="A101" s="14"/>
      <c r="B101" s="115">
        <v>99</v>
      </c>
      <c r="C101" s="115">
        <v>4.53</v>
      </c>
      <c r="D101" s="117" t="s">
        <v>319</v>
      </c>
      <c r="E101" s="119">
        <f>'2021'!I873</f>
        <v>144</v>
      </c>
      <c r="F101" s="119">
        <f>'2021'!J873</f>
        <v>0</v>
      </c>
      <c r="G101" s="119">
        <f>'2021'!M873</f>
        <v>144</v>
      </c>
      <c r="H101" s="119">
        <f>'2021'!N873</f>
        <v>0</v>
      </c>
      <c r="I101" s="119">
        <f>'2021'!Q873</f>
        <v>144</v>
      </c>
      <c r="J101" s="119">
        <f>'2021'!R873</f>
        <v>0</v>
      </c>
      <c r="K101" s="119">
        <f>'2021'!U873</f>
        <v>144</v>
      </c>
      <c r="L101" s="119">
        <f>'2021'!V873</f>
        <v>0</v>
      </c>
      <c r="M101" s="119">
        <f>'2021'!Y873</f>
        <v>144</v>
      </c>
      <c r="N101" s="119">
        <f>'2021'!Z873</f>
        <v>0</v>
      </c>
      <c r="O101" s="119">
        <f>'2021'!AC873</f>
        <v>144</v>
      </c>
      <c r="P101" s="119">
        <f>'2021'!AD873</f>
        <v>0</v>
      </c>
      <c r="Q101" s="119">
        <f>'2021'!AG873</f>
        <v>177</v>
      </c>
      <c r="R101" s="119">
        <f>'2021'!AH873</f>
        <v>33</v>
      </c>
      <c r="S101" s="119">
        <f>'2021'!AK873</f>
        <v>211</v>
      </c>
      <c r="T101" s="119">
        <f>'2021'!AL873</f>
        <v>34</v>
      </c>
      <c r="U101" s="119">
        <f>'2021'!AO873</f>
        <v>211</v>
      </c>
      <c r="V101" s="119">
        <f>'2021'!AP873</f>
        <v>0</v>
      </c>
      <c r="W101" s="119">
        <f>'2021'!AS873</f>
        <v>245</v>
      </c>
      <c r="X101" s="119">
        <f>'2021'!AT873</f>
        <v>34</v>
      </c>
      <c r="Y101" s="119">
        <f>'2021'!AW873</f>
        <v>245</v>
      </c>
      <c r="Z101" s="119">
        <f>'2021'!AX873</f>
        <v>0</v>
      </c>
      <c r="AA101" s="119"/>
      <c r="AB101" s="119">
        <f>'2021'!BA873</f>
        <v>245</v>
      </c>
      <c r="AC101" s="119">
        <f>'2021'!BB873</f>
        <v>0</v>
      </c>
      <c r="AD101" s="119"/>
      <c r="AE101" s="119">
        <f>'2021'!BE873</f>
        <v>101</v>
      </c>
      <c r="AF101" s="119">
        <f t="shared" si="0"/>
        <v>0</v>
      </c>
    </row>
    <row r="102" ht="15.75" customHeight="1" spans="1:32" x14ac:dyDescent="0.25">
      <c r="A102" s="14"/>
      <c r="B102" s="115">
        <v>101</v>
      </c>
      <c r="C102" s="115">
        <v>4.46</v>
      </c>
      <c r="D102" s="117" t="s">
        <v>321</v>
      </c>
      <c r="E102" s="119">
        <f>'2021'!I882</f>
        <v>175</v>
      </c>
      <c r="F102" s="119">
        <f>'2021'!J882</f>
        <v>0</v>
      </c>
      <c r="G102" s="119">
        <f>'2021'!M882</f>
        <v>175</v>
      </c>
      <c r="H102" s="119">
        <f>'2021'!N882</f>
        <v>0</v>
      </c>
      <c r="I102" s="119">
        <f>'2021'!Q882</f>
        <v>175</v>
      </c>
      <c r="J102" s="119">
        <f>'2021'!R882</f>
        <v>0</v>
      </c>
      <c r="K102" s="119">
        <f>'2021'!U882</f>
        <v>175</v>
      </c>
      <c r="L102" s="119">
        <f>'2021'!V882</f>
        <v>0</v>
      </c>
      <c r="M102" s="119">
        <f>'2021'!Y882</f>
        <v>181</v>
      </c>
      <c r="N102" s="119">
        <f>'2021'!Z882</f>
        <v>6</v>
      </c>
      <c r="O102" s="119">
        <f>'2021'!AC882</f>
        <v>186</v>
      </c>
      <c r="P102" s="119">
        <f>'2021'!AD882</f>
        <v>5</v>
      </c>
      <c r="Q102" s="119">
        <f>'2021'!AG882</f>
        <v>188</v>
      </c>
      <c r="R102" s="119">
        <f>'2021'!AH882</f>
        <v>2</v>
      </c>
      <c r="S102" s="119">
        <f>'2021'!AK882</f>
        <v>191</v>
      </c>
      <c r="T102" s="119">
        <f>'2021'!AL882</f>
        <v>3</v>
      </c>
      <c r="U102" s="119">
        <f>'2021'!AO882</f>
        <v>194</v>
      </c>
      <c r="V102" s="119">
        <f>'2021'!AP882</f>
        <v>3</v>
      </c>
      <c r="W102" s="119">
        <f>'2021'!AS882</f>
        <v>195</v>
      </c>
      <c r="X102" s="119">
        <f>'2021'!AT882</f>
        <v>1</v>
      </c>
      <c r="Y102" s="119">
        <f>'2021'!AW882</f>
        <v>195</v>
      </c>
      <c r="Z102" s="119">
        <f>'2021'!AX882</f>
        <v>0</v>
      </c>
      <c r="AA102" s="119"/>
      <c r="AB102" s="119">
        <f>'2021'!BA882</f>
        <v>195</v>
      </c>
      <c r="AC102" s="119">
        <f>'2021'!BB882</f>
        <v>0</v>
      </c>
      <c r="AD102" s="119"/>
      <c r="AE102" s="119">
        <f>'2021'!BE882</f>
        <v>20</v>
      </c>
      <c r="AF102" s="119">
        <f t="shared" si="0"/>
        <v>0</v>
      </c>
    </row>
    <row r="103" ht="15.75" customHeight="1" spans="1:32" x14ac:dyDescent="0.25">
      <c r="A103" s="14"/>
      <c r="B103" s="115">
        <v>103</v>
      </c>
      <c r="C103" s="115">
        <v>4.42</v>
      </c>
      <c r="D103" s="117" t="s">
        <v>322</v>
      </c>
      <c r="E103" s="119">
        <f>'2021'!I891</f>
        <v>0</v>
      </c>
      <c r="F103" s="119">
        <f>'2021'!J891</f>
        <v>0</v>
      </c>
      <c r="G103" s="119">
        <f>'2021'!M891</f>
        <v>0</v>
      </c>
      <c r="H103" s="119">
        <f>'2021'!N891</f>
        <v>0</v>
      </c>
      <c r="I103" s="119">
        <f>'2021'!Q891</f>
        <v>0</v>
      </c>
      <c r="J103" s="119">
        <f>'2021'!R891</f>
        <v>0</v>
      </c>
      <c r="K103" s="119">
        <f>'2021'!U891</f>
        <v>0</v>
      </c>
      <c r="L103" s="119">
        <f>'2021'!V891</f>
        <v>0</v>
      </c>
      <c r="M103" s="119">
        <f>'2021'!Y891</f>
      </c>
      <c r="N103" s="119">
        <f>'2021'!Z891</f>
        <v>0</v>
      </c>
      <c r="O103" s="119">
        <f>'2021'!AC891</f>
      </c>
      <c r="P103" s="119">
        <f>'2021'!AD891</f>
        <v>0</v>
      </c>
      <c r="Q103" s="119">
        <f>'2021'!AG891</f>
      </c>
      <c r="R103" s="119">
        <f>'2021'!AH891</f>
        <v>0</v>
      </c>
      <c r="S103" s="119">
        <f>'2021'!AK891</f>
        <v>3</v>
      </c>
      <c r="T103" s="119">
        <f>'2021'!AL891</f>
        <v>3</v>
      </c>
      <c r="U103" s="119">
        <f>'2021'!AO891</f>
        <v>3</v>
      </c>
      <c r="V103" s="119">
        <f>'2021'!AP891</f>
        <v>0</v>
      </c>
      <c r="W103" s="119">
        <f>'2021'!AS891</f>
        <v>3</v>
      </c>
      <c r="X103" s="119">
        <f>'2021'!AT891</f>
        <v>0</v>
      </c>
      <c r="Y103" s="119">
        <f>'2021'!AW891</f>
        <v>3</v>
      </c>
      <c r="Z103" s="119">
        <f>'2021'!AX891</f>
        <v>0</v>
      </c>
      <c r="AA103" s="119"/>
      <c r="AB103" s="119">
        <f>'2021'!BA891</f>
        <v>3</v>
      </c>
      <c r="AC103" s="119">
        <f>'2021'!BB891</f>
        <v>0</v>
      </c>
      <c r="AD103" s="119"/>
      <c r="AE103" s="119">
        <f>'2021'!BE891</f>
        <v>3</v>
      </c>
      <c r="AF103" s="119">
        <f t="shared" si="0"/>
        <v>0</v>
      </c>
    </row>
    <row r="104" ht="15.75" customHeight="1" spans="1:32" x14ac:dyDescent="0.25">
      <c r="A104" s="14"/>
      <c r="B104" s="115">
        <v>105</v>
      </c>
      <c r="C104" s="115">
        <v>4.41</v>
      </c>
      <c r="D104" s="117" t="s">
        <v>323</v>
      </c>
      <c r="E104" s="119">
        <f>'2021'!I900</f>
        <v>1704</v>
      </c>
      <c r="F104" s="119">
        <f>'2021'!J900</f>
        <v>0</v>
      </c>
      <c r="G104" s="119">
        <f>'2021'!M900</f>
        <v>1704</v>
      </c>
      <c r="H104" s="119">
        <f>'2021'!N900</f>
        <v>0</v>
      </c>
      <c r="I104" s="119">
        <f>'2021'!Q900</f>
        <v>1704</v>
      </c>
      <c r="J104" s="119">
        <f>'2021'!R900</f>
        <v>0</v>
      </c>
      <c r="K104" s="119">
        <f>'2021'!U900</f>
        <v>1704</v>
      </c>
      <c r="L104" s="119">
        <f>'2021'!V900</f>
        <v>0</v>
      </c>
      <c r="M104" s="119">
        <f>'2021'!Y900</f>
        <v>1736</v>
      </c>
      <c r="N104" s="119">
        <f>'2021'!Z900</f>
        <v>32</v>
      </c>
      <c r="O104" s="119">
        <f>'2021'!AC900</f>
        <v>1931</v>
      </c>
      <c r="P104" s="119">
        <f>'2021'!AD900</f>
        <v>195</v>
      </c>
      <c r="Q104" s="119">
        <f>'2021'!AG900</f>
        <v>2105</v>
      </c>
      <c r="R104" s="119">
        <f>'2021'!AH900</f>
        <v>174</v>
      </c>
      <c r="S104" s="119">
        <f>'2021'!AK900</f>
        <v>2266</v>
      </c>
      <c r="T104" s="119">
        <f>'2021'!AL900</f>
        <v>161</v>
      </c>
      <c r="U104" s="119">
        <f>'2021'!AO900</f>
        <v>2395</v>
      </c>
      <c r="V104" s="119">
        <f>'2021'!AP900</f>
        <v>129</v>
      </c>
      <c r="W104" s="119">
        <f>'2021'!AS900</f>
        <v>2540</v>
      </c>
      <c r="X104" s="119">
        <f>'2021'!AT900</f>
        <v>145</v>
      </c>
      <c r="Y104" s="119">
        <f>'2021'!AW900</f>
        <v>2571</v>
      </c>
      <c r="Z104" s="119">
        <f>'2021'!AX900</f>
        <v>31</v>
      </c>
      <c r="AA104" s="119"/>
      <c r="AB104" s="119">
        <f>'2021'!BA900</f>
        <v>2571</v>
      </c>
      <c r="AC104" s="119">
        <f>'2021'!BB900</f>
        <v>0</v>
      </c>
      <c r="AD104" s="119"/>
      <c r="AE104" s="119">
        <f>'2021'!BE900</f>
        <v>867</v>
      </c>
      <c r="AF104" s="119">
        <f t="shared" si="0"/>
        <v>0</v>
      </c>
    </row>
    <row r="105" ht="15.75" customHeight="1" spans="1:32" x14ac:dyDescent="0.25">
      <c r="A105" s="21"/>
      <c r="B105" s="115">
        <v>107</v>
      </c>
      <c r="C105" s="115">
        <v>4.37</v>
      </c>
      <c r="D105" s="117" t="s">
        <v>325</v>
      </c>
      <c r="E105" s="119">
        <f>'2021'!I909</f>
        <v>295</v>
      </c>
      <c r="F105" s="119">
        <f>'2021'!J909</f>
        <v>0</v>
      </c>
      <c r="G105" s="119">
        <f>'2021'!M909</f>
        <v>295</v>
      </c>
      <c r="H105" s="119">
        <f>'2021'!N909</f>
        <v>0</v>
      </c>
      <c r="I105" s="119">
        <f>'2021'!Q909</f>
        <v>295</v>
      </c>
      <c r="J105" s="119">
        <f>'2021'!R909</f>
        <v>0</v>
      </c>
      <c r="K105" s="119">
        <f>'2021'!U909</f>
        <v>295</v>
      </c>
      <c r="L105" s="119">
        <f>'2021'!V909</f>
        <v>0</v>
      </c>
      <c r="M105" s="119">
        <f>'2021'!Y909</f>
        <v>322</v>
      </c>
      <c r="N105" s="119">
        <f>'2021'!Z909</f>
        <v>27</v>
      </c>
      <c r="O105" s="119">
        <f>'2021'!AC909</f>
        <v>416</v>
      </c>
      <c r="P105" s="119">
        <f>'2021'!AD909</f>
        <v>94</v>
      </c>
      <c r="Q105" s="119">
        <f>'2021'!AG909</f>
        <v>514</v>
      </c>
      <c r="R105" s="119">
        <f>'2021'!AH909</f>
        <v>98</v>
      </c>
      <c r="S105" s="119">
        <f>'2021'!AK909</f>
        <v>632</v>
      </c>
      <c r="T105" s="119">
        <f>'2021'!AL909</f>
        <v>118</v>
      </c>
      <c r="U105" s="119">
        <f>'2021'!AO909</f>
        <v>687</v>
      </c>
      <c r="V105" s="119">
        <f>'2021'!AP909</f>
        <v>55</v>
      </c>
      <c r="W105" s="119">
        <f>'2021'!AS909</f>
        <v>695</v>
      </c>
      <c r="X105" s="119">
        <f>'2021'!AT909</f>
        <v>8</v>
      </c>
      <c r="Y105" s="119">
        <f>'2021'!AW909</f>
        <v>695</v>
      </c>
      <c r="Z105" s="119">
        <f>'2021'!AX909</f>
        <v>0</v>
      </c>
      <c r="AA105" s="119"/>
      <c r="AB105" s="119">
        <f>'2021'!BA909</f>
        <v>695</v>
      </c>
      <c r="AC105" s="119">
        <f>'2021'!BB909</f>
        <v>0</v>
      </c>
      <c r="AD105" s="119"/>
      <c r="AE105" s="119">
        <f>'2021'!BE909</f>
        <v>400</v>
      </c>
      <c r="AF105" s="119">
        <f t="shared" si="0"/>
        <v>0</v>
      </c>
    </row>
    <row r="106" ht="15.75" customHeight="1" spans="1:32" x14ac:dyDescent="0.25">
      <c r="A106" s="114" t="s">
        <v>327</v>
      </c>
      <c r="B106" s="115">
        <v>96</v>
      </c>
      <c r="C106" s="115">
        <v>4.46</v>
      </c>
      <c r="D106" s="117" t="s">
        <v>450</v>
      </c>
      <c r="E106" s="119">
        <f>'2021'!I918</f>
        <v>0</v>
      </c>
      <c r="F106" s="119">
        <f>'2021'!J918</f>
        <v>0</v>
      </c>
      <c r="G106" s="119">
        <f>'2021'!M918</f>
        <v>0</v>
      </c>
      <c r="H106" s="119">
        <f>'2021'!N918</f>
        <v>0</v>
      </c>
      <c r="I106" s="119">
        <f>'2021'!Q918</f>
        <v>0</v>
      </c>
      <c r="J106" s="119">
        <f>'2021'!R918</f>
        <v>0</v>
      </c>
      <c r="K106" s="119">
        <f>'2021'!U918</f>
        <v>0</v>
      </c>
      <c r="L106" s="119">
        <f>'2021'!V918</f>
        <v>0</v>
      </c>
      <c r="M106" s="119">
        <f>'2021'!Y918</f>
      </c>
      <c r="N106" s="119">
        <f>'2021'!Z918</f>
        <v>0</v>
      </c>
      <c r="O106" s="119">
        <f>'2021'!AC918</f>
      </c>
      <c r="P106" s="119">
        <f>'2021'!AD918</f>
        <v>0</v>
      </c>
      <c r="Q106" s="119">
        <f>'2021'!AG918</f>
      </c>
      <c r="R106" s="119">
        <f>'2021'!AH918</f>
        <v>0</v>
      </c>
      <c r="S106" s="119">
        <f>'2021'!AK918</f>
      </c>
      <c r="T106" s="119">
        <f>'2021'!AL918</f>
        <v>0</v>
      </c>
      <c r="U106" s="119">
        <f>'2021'!AO918</f>
      </c>
      <c r="V106" s="119">
        <f>'2021'!AP918</f>
        <v>0</v>
      </c>
      <c r="W106" s="119">
        <f>'2021'!AS918</f>
      </c>
      <c r="X106" s="119">
        <f>'2021'!AT918</f>
        <v>0</v>
      </c>
      <c r="Y106" s="119">
        <f>'2021'!AW918</f>
      </c>
      <c r="Z106" s="119">
        <f>'2021'!AX918</f>
        <v>0</v>
      </c>
      <c r="AA106" s="119"/>
      <c r="AB106" s="119">
        <f>'2021'!BA918</f>
      </c>
      <c r="AC106" s="119">
        <f>'2021'!BB918</f>
        <v>0</v>
      </c>
      <c r="AD106" s="119"/>
      <c r="AE106" s="119">
        <f>'2021'!BE918</f>
        <v>0</v>
      </c>
      <c r="AF106" s="119">
        <f t="shared" si="0"/>
        <v>0</v>
      </c>
    </row>
    <row r="107" ht="15.75" customHeight="1" spans="1:32" x14ac:dyDescent="0.25">
      <c r="A107" s="14"/>
      <c r="B107" s="115">
        <v>98</v>
      </c>
      <c r="C107" s="115">
        <v>4.45</v>
      </c>
      <c r="D107" s="117" t="s">
        <v>328</v>
      </c>
      <c r="E107" s="119">
        <f>'2021'!I927</f>
        <v>0</v>
      </c>
      <c r="F107" s="119">
        <f>'2021'!J927</f>
        <v>0</v>
      </c>
      <c r="G107" s="119">
        <f>'2021'!M927</f>
        <v>0</v>
      </c>
      <c r="H107" s="119">
        <f>'2021'!N927</f>
        <v>0</v>
      </c>
      <c r="I107" s="119">
        <f>'2021'!Q927</f>
        <v>0</v>
      </c>
      <c r="J107" s="119">
        <f>'2021'!R927</f>
        <v>0</v>
      </c>
      <c r="K107" s="119">
        <f>'2021'!U927</f>
        <v>0</v>
      </c>
      <c r="L107" s="119">
        <f>'2021'!V927</f>
        <v>0</v>
      </c>
      <c r="M107" s="119">
        <f>'2021'!Y927</f>
      </c>
      <c r="N107" s="119">
        <f>'2021'!Z927</f>
        <v>0</v>
      </c>
      <c r="O107" s="119">
        <f>'2021'!AC927</f>
      </c>
      <c r="P107" s="119">
        <f>'2021'!AD927</f>
        <v>0</v>
      </c>
      <c r="Q107" s="119">
        <f>'2021'!AG927</f>
      </c>
      <c r="R107" s="119">
        <f>'2021'!AH927</f>
        <v>0</v>
      </c>
      <c r="S107" s="119">
        <f>'2021'!AK927</f>
      </c>
      <c r="T107" s="119">
        <f>'2021'!AL927</f>
        <v>0</v>
      </c>
      <c r="U107" s="119">
        <f>'2021'!AO927</f>
      </c>
      <c r="V107" s="119">
        <f>'2021'!AP927</f>
        <v>0</v>
      </c>
      <c r="W107" s="119">
        <f>'2021'!AS927</f>
      </c>
      <c r="X107" s="119">
        <f>'2021'!AT927</f>
        <v>0</v>
      </c>
      <c r="Y107" s="119">
        <f>'2021'!AW927</f>
      </c>
      <c r="Z107" s="119">
        <f>'2021'!AX927</f>
        <v>0</v>
      </c>
      <c r="AA107" s="119"/>
      <c r="AB107" s="119">
        <f>'2021'!BA927</f>
      </c>
      <c r="AC107" s="119">
        <f>'2021'!BB927</f>
        <v>0</v>
      </c>
      <c r="AD107" s="119"/>
      <c r="AE107" s="119">
        <f>'2021'!BE927</f>
        <v>0</v>
      </c>
      <c r="AF107" s="119">
        <f t="shared" si="0"/>
        <v>0</v>
      </c>
    </row>
    <row r="108" ht="15.75" customHeight="1" spans="1:32" x14ac:dyDescent="0.25">
      <c r="A108" s="14"/>
      <c r="B108" s="115">
        <v>100</v>
      </c>
      <c r="C108" s="115">
        <v>4.47</v>
      </c>
      <c r="D108" s="117" t="s">
        <v>330</v>
      </c>
      <c r="E108" s="119">
        <f>'2021'!I936</f>
        <v>746</v>
      </c>
      <c r="F108" s="119">
        <f>'2021'!J936</f>
        <v>0</v>
      </c>
      <c r="G108" s="119">
        <f>'2021'!M936</f>
        <v>746</v>
      </c>
      <c r="H108" s="119">
        <f>'2021'!N936</f>
        <v>0</v>
      </c>
      <c r="I108" s="119">
        <f>'2021'!Q936</f>
        <v>746</v>
      </c>
      <c r="J108" s="119">
        <f>'2021'!R936</f>
        <v>0</v>
      </c>
      <c r="K108" s="119">
        <f>'2021'!U936</f>
        <v>746</v>
      </c>
      <c r="L108" s="119">
        <f>'2021'!V936</f>
        <v>0</v>
      </c>
      <c r="M108" s="119">
        <f>'2021'!Y936</f>
        <v>879</v>
      </c>
      <c r="N108" s="119">
        <f>'2021'!Z936</f>
        <v>133</v>
      </c>
      <c r="O108" s="119">
        <f>'2021'!AC936</f>
        <v>962</v>
      </c>
      <c r="P108" s="119">
        <f>'2021'!AD936</f>
        <v>83</v>
      </c>
      <c r="Q108" s="119">
        <f>'2021'!AG936</f>
        <v>1007</v>
      </c>
      <c r="R108" s="119">
        <f>'2021'!AH936</f>
        <v>45</v>
      </c>
      <c r="S108" s="119">
        <f>'2021'!AK936</f>
        <v>1027</v>
      </c>
      <c r="T108" s="119">
        <f>'2021'!AL936</f>
        <v>20</v>
      </c>
      <c r="U108" s="119">
        <f>'2021'!AO936</f>
        <v>1063</v>
      </c>
      <c r="V108" s="119">
        <f>'2021'!AP936</f>
        <v>36</v>
      </c>
      <c r="W108" s="119">
        <f>'2021'!AS936</f>
        <v>1129</v>
      </c>
      <c r="X108" s="119">
        <f>'2021'!AT936</f>
        <v>66</v>
      </c>
      <c r="Y108" s="119">
        <f>'2021'!AW936</f>
        <v>1129</v>
      </c>
      <c r="Z108" s="119">
        <f>'2021'!AX936</f>
        <v>0</v>
      </c>
      <c r="AA108" s="119"/>
      <c r="AB108" s="119">
        <f>'2021'!BA936</f>
        <v>1129</v>
      </c>
      <c r="AC108" s="119">
        <f>'2021'!BB936</f>
        <v>0</v>
      </c>
      <c r="AD108" s="119"/>
      <c r="AE108" s="119">
        <f>'2021'!BE936</f>
        <v>383</v>
      </c>
      <c r="AF108" s="119">
        <f t="shared" si="0"/>
        <v>0</v>
      </c>
    </row>
    <row r="109" ht="15.75" customHeight="1" spans="1:32" x14ac:dyDescent="0.25">
      <c r="A109" s="14"/>
      <c r="B109" s="115">
        <v>102</v>
      </c>
      <c r="C109" s="115">
        <v>4.45</v>
      </c>
      <c r="D109" s="117" t="s">
        <v>331</v>
      </c>
      <c r="E109" s="119">
        <f>'2021'!I945</f>
        <v>2210</v>
      </c>
      <c r="F109" s="119">
        <f>'2021'!J945</f>
        <v>45</v>
      </c>
      <c r="G109" s="119">
        <f>'2021'!M945</f>
        <v>2294</v>
      </c>
      <c r="H109" s="119">
        <f>'2021'!N945</f>
        <v>84</v>
      </c>
      <c r="I109" s="119">
        <f>'2021'!Q945</f>
        <v>2294</v>
      </c>
      <c r="J109" s="119">
        <f>'2021'!R945</f>
        <v>0</v>
      </c>
      <c r="K109" s="119">
        <f>'2021'!U945</f>
        <v>2307</v>
      </c>
      <c r="L109" s="119">
        <f>'2021'!V945</f>
        <v>13</v>
      </c>
      <c r="M109" s="119">
        <f>'2021'!Y945</f>
        <v>2431</v>
      </c>
      <c r="N109" s="119">
        <f>'2021'!Z945</f>
        <v>124</v>
      </c>
      <c r="O109" s="119">
        <f>'2021'!AC945</f>
        <v>2754</v>
      </c>
      <c r="P109" s="119">
        <f>'2021'!AD945</f>
        <v>323</v>
      </c>
      <c r="Q109" s="119">
        <f>'2021'!AG945</f>
        <v>3234</v>
      </c>
      <c r="R109" s="119">
        <f>'2021'!AH945</f>
        <v>480</v>
      </c>
      <c r="S109" s="119">
        <f>'2021'!AK945</f>
        <v>3742</v>
      </c>
      <c r="T109" s="119">
        <f>'2021'!AL945</f>
        <v>508</v>
      </c>
      <c r="U109" s="119">
        <f>'2021'!AO945</f>
        <v>4017</v>
      </c>
      <c r="V109" s="119">
        <f>'2021'!AP945</f>
        <v>275</v>
      </c>
      <c r="W109" s="119">
        <f>'2021'!AS945</f>
        <v>4026</v>
      </c>
      <c r="X109" s="119">
        <f>'2021'!AT945</f>
        <v>9</v>
      </c>
      <c r="Y109" s="119">
        <f>'2021'!AW945</f>
        <v>4046</v>
      </c>
      <c r="Z109" s="119">
        <f>'2021'!AX945</f>
        <v>20</v>
      </c>
      <c r="AA109" s="119"/>
      <c r="AB109" s="119">
        <f>'2021'!BA945</f>
        <v>4046</v>
      </c>
      <c r="AC109" s="119">
        <f>'2021'!BB945</f>
        <v>0</v>
      </c>
      <c r="AD109" s="119"/>
      <c r="AE109" s="119">
        <f>'2021'!BE945</f>
        <v>1881</v>
      </c>
      <c r="AF109" s="119">
        <f t="shared" si="0"/>
        <v>0</v>
      </c>
    </row>
    <row r="110" ht="15.75" customHeight="1" spans="1:32" x14ac:dyDescent="0.25">
      <c r="A110" s="14"/>
      <c r="B110" s="115">
        <v>104</v>
      </c>
      <c r="C110" s="115">
        <v>4.42</v>
      </c>
      <c r="D110" s="117" t="s">
        <v>333</v>
      </c>
      <c r="E110" s="119">
        <f>'2021'!I954</f>
        <v>1140</v>
      </c>
      <c r="F110" s="119">
        <f>'2021'!J954</f>
        <v>0</v>
      </c>
      <c r="G110" s="119">
        <f>'2021'!M954</f>
        <v>1140</v>
      </c>
      <c r="H110" s="119">
        <f>'2021'!N954</f>
        <v>0</v>
      </c>
      <c r="I110" s="119">
        <f>'2021'!Q954</f>
        <v>1140</v>
      </c>
      <c r="J110" s="119">
        <f>'2021'!R954</f>
        <v>0</v>
      </c>
      <c r="K110" s="119">
        <f>'2021'!U954</f>
        <v>1140</v>
      </c>
      <c r="L110" s="119">
        <f>'2021'!V954</f>
        <v>0</v>
      </c>
      <c r="M110" s="119">
        <f>'2021'!Y954</f>
        <v>1157</v>
      </c>
      <c r="N110" s="119">
        <f>'2021'!Z954</f>
        <v>17</v>
      </c>
      <c r="O110" s="119">
        <f>'2021'!AC954</f>
        <v>1162</v>
      </c>
      <c r="P110" s="119">
        <f>'2021'!AD954</f>
        <v>5</v>
      </c>
      <c r="Q110" s="119">
        <f>'2021'!AG954</f>
        <v>1164</v>
      </c>
      <c r="R110" s="119">
        <f>'2021'!AH954</f>
        <v>2</v>
      </c>
      <c r="S110" s="119">
        <f>'2021'!AK954</f>
        <v>1169</v>
      </c>
      <c r="T110" s="119">
        <f>'2021'!AL954</f>
        <v>5</v>
      </c>
      <c r="U110" s="119">
        <f>'2021'!AO954</f>
        <v>1190</v>
      </c>
      <c r="V110" s="119">
        <f>'2021'!AP954</f>
        <v>21</v>
      </c>
      <c r="W110" s="119">
        <f>'2021'!AS954</f>
        <v>1196</v>
      </c>
      <c r="X110" s="119">
        <f>'2021'!AT954</f>
        <v>6</v>
      </c>
      <c r="Y110" s="119">
        <f>'2021'!AW954</f>
        <v>1196</v>
      </c>
      <c r="Z110" s="119">
        <f>'2021'!AX954</f>
        <v>0</v>
      </c>
      <c r="AA110" s="119"/>
      <c r="AB110" s="119">
        <f>'2021'!BA954</f>
        <v>1196</v>
      </c>
      <c r="AC110" s="119">
        <f>'2021'!BB954</f>
        <v>0</v>
      </c>
      <c r="AD110" s="119"/>
      <c r="AE110" s="119">
        <f>'2021'!BE954</f>
        <v>56</v>
      </c>
      <c r="AF110" s="119">
        <f t="shared" si="0"/>
        <v>0</v>
      </c>
    </row>
    <row r="111" ht="15.75" customHeight="1" spans="1:32" x14ac:dyDescent="0.25">
      <c r="A111" s="14"/>
      <c r="B111" s="115">
        <v>106</v>
      </c>
      <c r="C111" s="115">
        <v>4.57</v>
      </c>
      <c r="D111" s="117" t="s">
        <v>336</v>
      </c>
      <c r="E111" s="119">
        <f>'2021'!I963</f>
        <v>0</v>
      </c>
      <c r="F111" s="119">
        <f>'2021'!J963</f>
        <v>0</v>
      </c>
      <c r="G111" s="119">
        <f>'2021'!M963</f>
        <v>0</v>
      </c>
      <c r="H111" s="119">
        <f>'2021'!N963</f>
        <v>0</v>
      </c>
      <c r="I111" s="119">
        <f>'2021'!Q963</f>
        <v>0</v>
      </c>
      <c r="J111" s="119">
        <f>'2021'!R963</f>
        <v>0</v>
      </c>
      <c r="K111" s="119">
        <f>'2021'!U963</f>
        <v>0</v>
      </c>
      <c r="L111" s="119">
        <f>'2021'!V963</f>
        <v>0</v>
      </c>
      <c r="M111" s="119">
        <f>'2021'!Y963</f>
      </c>
      <c r="N111" s="119">
        <f>'2021'!Z963</f>
        <v>0</v>
      </c>
      <c r="O111" s="119">
        <f>'2021'!AC963</f>
      </c>
      <c r="P111" s="119">
        <f>'2021'!AD963</f>
        <v>0</v>
      </c>
      <c r="Q111" s="119">
        <f>'2021'!AG963</f>
      </c>
      <c r="R111" s="119">
        <f>'2021'!AH963</f>
        <v>0</v>
      </c>
      <c r="S111" s="119">
        <f>'2021'!AK963</f>
      </c>
      <c r="T111" s="119">
        <f>'2021'!AL963</f>
        <v>0</v>
      </c>
      <c r="U111" s="119">
        <f>'2021'!AO963</f>
      </c>
      <c r="V111" s="119">
        <f>'2021'!AP963</f>
        <v>0</v>
      </c>
      <c r="W111" s="119">
        <f>'2021'!AS963</f>
      </c>
      <c r="X111" s="119">
        <f>'2021'!AT963</f>
        <v>0</v>
      </c>
      <c r="Y111" s="119">
        <f>'2021'!AW963</f>
      </c>
      <c r="Z111" s="119">
        <f>'2021'!AX963</f>
        <v>0</v>
      </c>
      <c r="AA111" s="119"/>
      <c r="AB111" s="119">
        <f>'2021'!BA963</f>
      </c>
      <c r="AC111" s="119">
        <f>'2021'!BB963</f>
        <v>0</v>
      </c>
      <c r="AD111" s="119"/>
      <c r="AE111" s="119">
        <f>'2021'!BE963</f>
        <v>0</v>
      </c>
      <c r="AF111" s="119">
        <f t="shared" si="0"/>
        <v>0</v>
      </c>
    </row>
    <row r="112" ht="15.75" customHeight="1" spans="1:32" x14ac:dyDescent="0.25">
      <c r="A112" s="14"/>
      <c r="B112" s="115">
        <v>108</v>
      </c>
      <c r="C112" s="115">
        <v>4.32</v>
      </c>
      <c r="D112" s="117" t="s">
        <v>339</v>
      </c>
      <c r="E112" s="119">
        <f>'2021'!I972</f>
        <v>0</v>
      </c>
      <c r="F112" s="119">
        <f>'2021'!J972</f>
        <v>0</v>
      </c>
      <c r="G112" s="119">
        <f>'2021'!M972</f>
        <v>0</v>
      </c>
      <c r="H112" s="119">
        <f>'2021'!N972</f>
        <v>0</v>
      </c>
      <c r="I112" s="119">
        <f>'2021'!Q972</f>
        <v>0</v>
      </c>
      <c r="J112" s="119">
        <f>'2021'!R972</f>
        <v>0</v>
      </c>
      <c r="K112" s="119">
        <f>'2021'!U972</f>
        <v>0</v>
      </c>
      <c r="L112" s="119">
        <f>'2021'!V972</f>
        <v>0</v>
      </c>
      <c r="M112" s="119">
        <f>'2021'!Y972</f>
      </c>
      <c r="N112" s="119">
        <f>'2021'!Z972</f>
        <v>0</v>
      </c>
      <c r="O112" s="119">
        <f>'2021'!AC972</f>
      </c>
      <c r="P112" s="119">
        <f>'2021'!AD972</f>
        <v>0</v>
      </c>
      <c r="Q112" s="119">
        <f>'2021'!AG972</f>
      </c>
      <c r="R112" s="119">
        <f>'2021'!AH972</f>
        <v>0</v>
      </c>
      <c r="S112" s="119">
        <f>'2021'!AK972</f>
      </c>
      <c r="T112" s="119">
        <f>'2021'!AL972</f>
        <v>0</v>
      </c>
      <c r="U112" s="119">
        <f>'2021'!AO972</f>
      </c>
      <c r="V112" s="119">
        <f>'2021'!AP972</f>
        <v>0</v>
      </c>
      <c r="W112" s="119">
        <f>'2021'!AS972</f>
      </c>
      <c r="X112" s="119">
        <f>'2021'!AT972</f>
        <v>0</v>
      </c>
      <c r="Y112" s="119">
        <f>'2021'!AW972</f>
      </c>
      <c r="Z112" s="119">
        <f>'2021'!AX972</f>
        <v>0</v>
      </c>
      <c r="AA112" s="119"/>
      <c r="AB112" s="119">
        <f>'2021'!BA972</f>
      </c>
      <c r="AC112" s="119">
        <f>'2021'!BB972</f>
        <v>0</v>
      </c>
      <c r="AD112" s="119"/>
      <c r="AE112" s="119">
        <f>'2021'!BE972</f>
        <v>0</v>
      </c>
      <c r="AF112" s="119">
        <f t="shared" si="0"/>
        <v>0</v>
      </c>
    </row>
    <row r="113" ht="15.75" customHeight="1" spans="1:32" x14ac:dyDescent="0.25">
      <c r="A113" s="14"/>
      <c r="B113" s="115">
        <v>109</v>
      </c>
      <c r="C113" s="115">
        <v>6.22</v>
      </c>
      <c r="D113" s="2" t="s">
        <v>455</v>
      </c>
      <c r="E113" s="119">
        <f>'2021'!I981</f>
        <v>41</v>
      </c>
      <c r="F113" s="119">
        <f>'2021'!J981</f>
        <v>0</v>
      </c>
      <c r="G113" s="119">
        <f>'2021'!M981</f>
        <v>41</v>
      </c>
      <c r="H113" s="119">
        <f>'2021'!N981</f>
        <v>0</v>
      </c>
      <c r="I113" s="119">
        <f>'2021'!Q981</f>
        <v>41</v>
      </c>
      <c r="J113" s="119">
        <f>'2021'!R981</f>
        <v>0</v>
      </c>
      <c r="K113" s="119">
        <f>'2021'!U981</f>
        <v>41</v>
      </c>
      <c r="L113" s="119">
        <f>'2021'!V981</f>
        <v>0</v>
      </c>
      <c r="M113" s="119">
        <f>'2021'!Y981</f>
        <v>42</v>
      </c>
      <c r="N113" s="119">
        <f>'2021'!Z981</f>
        <v>1</v>
      </c>
      <c r="O113" s="119">
        <f>'2021'!AC981</f>
        <v>43</v>
      </c>
      <c r="P113" s="119">
        <f>'2021'!AD981</f>
        <v>1</v>
      </c>
      <c r="Q113" s="119">
        <f>'2021'!AG981</f>
        <v>45</v>
      </c>
      <c r="R113" s="119">
        <f>'2021'!AH981</f>
        <v>2</v>
      </c>
      <c r="S113" s="119">
        <f>'2021'!AK981</f>
        <v>46</v>
      </c>
      <c r="T113" s="119">
        <f>'2021'!AL981</f>
        <v>1</v>
      </c>
      <c r="U113" s="119">
        <f>'2021'!AO981</f>
        <v>46</v>
      </c>
      <c r="V113" s="119">
        <f>'2021'!AP981</f>
        <v>0</v>
      </c>
      <c r="W113" s="119">
        <f>'2021'!AS981</f>
        <v>46</v>
      </c>
      <c r="X113" s="119">
        <f>'2021'!AT981</f>
        <v>0</v>
      </c>
      <c r="Y113" s="119">
        <f>'2021'!AW981</f>
        <v>46</v>
      </c>
      <c r="Z113" s="119">
        <f>'2021'!AX981</f>
        <v>0</v>
      </c>
      <c r="AA113" s="119"/>
      <c r="AB113" s="119">
        <f>'2021'!BA981</f>
        <v>46</v>
      </c>
      <c r="AC113" s="119">
        <f>'2021'!BB981</f>
        <v>0</v>
      </c>
      <c r="AD113" s="119"/>
      <c r="AE113" s="119">
        <f>'2021'!BE981</f>
        <v>5</v>
      </c>
      <c r="AF113" s="119">
        <f t="shared" si="0"/>
        <v>0</v>
      </c>
    </row>
    <row r="114" ht="15.75" customHeight="1" spans="1:32" x14ac:dyDescent="0.25">
      <c r="A114" s="14"/>
      <c r="B114" s="115">
        <v>110</v>
      </c>
      <c r="C114" s="115">
        <v>4.91</v>
      </c>
      <c r="D114" s="117" t="s">
        <v>342</v>
      </c>
      <c r="E114" s="119">
        <f>'2021'!I990</f>
        <v>151</v>
      </c>
      <c r="F114" s="119">
        <f>'2021'!J990</f>
        <v>0</v>
      </c>
      <c r="G114" s="119">
        <f>'2021'!M990</f>
        <v>151</v>
      </c>
      <c r="H114" s="119">
        <f>'2021'!N990</f>
        <v>0</v>
      </c>
      <c r="I114" s="119">
        <f>'2021'!Q990</f>
        <v>151</v>
      </c>
      <c r="J114" s="119">
        <f>'2021'!R990</f>
        <v>0</v>
      </c>
      <c r="K114" s="119">
        <f>'2021'!U990</f>
        <v>151</v>
      </c>
      <c r="L114" s="119">
        <f>'2021'!V990</f>
        <v>0</v>
      </c>
      <c r="M114" s="119">
        <f>'2021'!Y990</f>
        <v>152</v>
      </c>
      <c r="N114" s="119">
        <f>'2021'!Z990</f>
        <v>1</v>
      </c>
      <c r="O114" s="119">
        <f>'2021'!AC990</f>
        <v>152</v>
      </c>
      <c r="P114" s="119">
        <f>'2021'!AD990</f>
        <v>0</v>
      </c>
      <c r="Q114" s="119">
        <f>'2021'!AG990</f>
        <v>152</v>
      </c>
      <c r="R114" s="119">
        <f>'2021'!AH990</f>
        <v>0</v>
      </c>
      <c r="S114" s="119">
        <f>'2021'!AK990</f>
        <v>152</v>
      </c>
      <c r="T114" s="119">
        <f>'2021'!AL990</f>
        <v>0</v>
      </c>
      <c r="U114" s="119">
        <f>'2021'!AO990</f>
        <v>153</v>
      </c>
      <c r="V114" s="119">
        <f>'2021'!AP990</f>
        <v>1</v>
      </c>
      <c r="W114" s="119">
        <f>'2021'!AS990</f>
        <v>154</v>
      </c>
      <c r="X114" s="119">
        <f>'2021'!AT990</f>
        <v>1</v>
      </c>
      <c r="Y114" s="119">
        <f>'2021'!AW990</f>
        <v>154</v>
      </c>
      <c r="Z114" s="119">
        <f>'2021'!AX990</f>
        <v>0</v>
      </c>
      <c r="AA114" s="119"/>
      <c r="AB114" s="119">
        <f>'2021'!BA990</f>
        <v>154</v>
      </c>
      <c r="AC114" s="119">
        <f>'2021'!BB990</f>
        <v>0</v>
      </c>
      <c r="AD114" s="119"/>
      <c r="AE114" s="119">
        <f>'2021'!BE990</f>
        <v>3</v>
      </c>
      <c r="AF114" s="119">
        <f t="shared" si="0"/>
        <v>0</v>
      </c>
    </row>
    <row r="115" ht="15.75" customHeight="1" spans="1:32" x14ac:dyDescent="0.25">
      <c r="A115" s="14"/>
      <c r="B115" s="115">
        <v>111</v>
      </c>
      <c r="C115" s="116">
        <v>6.8</v>
      </c>
      <c r="D115" s="117" t="s">
        <v>280</v>
      </c>
      <c r="E115" s="119">
        <f>'2021'!I999</f>
        <v>9941</v>
      </c>
      <c r="F115" s="119">
        <f>'2021'!J999</f>
        <v>3233</v>
      </c>
      <c r="G115" s="119">
        <f>'2021'!M999</f>
        <v>14379</v>
      </c>
      <c r="H115" s="119">
        <f>'2021'!N999</f>
        <v>4438</v>
      </c>
      <c r="I115" s="119">
        <f>'2021'!Q999</f>
        <v>17955</v>
      </c>
      <c r="J115" s="119">
        <f>'2021'!R999</f>
        <v>3576</v>
      </c>
      <c r="K115" s="119">
        <f>'2021'!U999</f>
        <v>20687</v>
      </c>
      <c r="L115" s="119">
        <f>'2021'!V999</f>
        <v>2732</v>
      </c>
      <c r="M115" s="119">
        <f>'2021'!Y999</f>
        <v>663</v>
      </c>
      <c r="N115" s="119">
        <f>'2021'!Z999</f>
        <v>1063</v>
      </c>
      <c r="O115" s="119">
        <f>'2021'!AC999</f>
        <v>1347</v>
      </c>
      <c r="P115" s="119">
        <f>'2021'!AD999</f>
        <v>684</v>
      </c>
      <c r="Q115" s="119">
        <f>'2021'!AG999</f>
        <v>2119</v>
      </c>
      <c r="R115" s="119">
        <f>'2021'!AH999</f>
        <v>772</v>
      </c>
      <c r="S115" s="119">
        <f>'2021'!AK999</f>
        <v>2876</v>
      </c>
      <c r="T115" s="119">
        <f>'2021'!AL999</f>
        <v>757</v>
      </c>
      <c r="U115" s="119">
        <f>'2021'!AO999</f>
        <v>4139</v>
      </c>
      <c r="V115" s="119">
        <f>'2021'!AP999</f>
        <v>1263</v>
      </c>
      <c r="W115" s="119">
        <f>'2021'!AS999</f>
        <v>6151</v>
      </c>
      <c r="X115" s="119">
        <f>'2021'!AT999</f>
        <v>2012</v>
      </c>
      <c r="Y115" s="119">
        <f>'2021'!AW999</f>
        <v>10036</v>
      </c>
      <c r="Z115" s="119">
        <f>'2021'!AX999</f>
        <v>3885</v>
      </c>
      <c r="AA115" s="119"/>
      <c r="AB115" s="119">
        <f>'2021'!BA999</f>
        <v>12885</v>
      </c>
      <c r="AC115" s="119">
        <f>'2021'!BB999</f>
        <v>2849</v>
      </c>
      <c r="AD115" s="119"/>
      <c r="AE115" s="119">
        <f>'2021'!BE999</f>
        <v>27264</v>
      </c>
      <c r="AF115" s="119">
        <f t="shared" si="0"/>
        <v>0</v>
      </c>
    </row>
    <row r="116" ht="15.75" customHeight="1" spans="1:32" x14ac:dyDescent="0.25">
      <c r="A116" s="14"/>
      <c r="B116" s="115">
        <v>112</v>
      </c>
      <c r="C116" s="115">
        <v>4.94</v>
      </c>
      <c r="D116" s="117" t="s">
        <v>347</v>
      </c>
      <c r="E116" s="119">
        <f>'2021'!I1008</f>
        <v>174</v>
      </c>
      <c r="F116" s="119">
        <f>'2021'!J1008</f>
        <v>0</v>
      </c>
      <c r="G116" s="119">
        <f>'2021'!M1008</f>
        <v>174</v>
      </c>
      <c r="H116" s="119">
        <f>'2021'!N1008</f>
        <v>0</v>
      </c>
      <c r="I116" s="119">
        <f>'2021'!Q1008</f>
        <v>174</v>
      </c>
      <c r="J116" s="119">
        <f>'2021'!R1008</f>
        <v>0</v>
      </c>
      <c r="K116" s="119">
        <f>'2021'!U1008</f>
        <v>174</v>
      </c>
      <c r="L116" s="119">
        <f>'2021'!V1008</f>
        <v>0</v>
      </c>
      <c r="M116" s="119">
        <f>'2021'!Y1008</f>
        <v>176</v>
      </c>
      <c r="N116" s="119">
        <f>'2021'!Z1008</f>
        <v>2</v>
      </c>
      <c r="O116" s="119">
        <f>'2021'!AC1008</f>
        <v>179</v>
      </c>
      <c r="P116" s="119">
        <f>'2021'!AD1008</f>
        <v>3</v>
      </c>
      <c r="Q116" s="119">
        <f>'2021'!AG1008</f>
        <v>182</v>
      </c>
      <c r="R116" s="119">
        <f>'2021'!AH1008</f>
        <v>3</v>
      </c>
      <c r="S116" s="119">
        <f>'2021'!AK1008</f>
        <v>184</v>
      </c>
      <c r="T116" s="119">
        <f>'2021'!AL1008</f>
        <v>2</v>
      </c>
      <c r="U116" s="119">
        <f>'2021'!AO1008</f>
        <v>186</v>
      </c>
      <c r="V116" s="119">
        <f>'2021'!AP1008</f>
        <v>2</v>
      </c>
      <c r="W116" s="119">
        <f>'2021'!AS1008</f>
        <v>186</v>
      </c>
      <c r="X116" s="119">
        <f>'2021'!AT1008</f>
        <v>0</v>
      </c>
      <c r="Y116" s="119">
        <f>'2021'!AW1008</f>
        <v>186</v>
      </c>
      <c r="Z116" s="119">
        <f>'2021'!AX1008</f>
        <v>0</v>
      </c>
      <c r="AA116" s="119"/>
      <c r="AB116" s="119">
        <f>'2021'!BA1008</f>
        <v>186</v>
      </c>
      <c r="AC116" s="119">
        <f>'2021'!BB1008</f>
        <v>0</v>
      </c>
      <c r="AD116" s="119"/>
      <c r="AE116" s="119">
        <f>'2021'!BE1008</f>
        <v>12</v>
      </c>
      <c r="AF116" s="119">
        <f t="shared" si="0"/>
        <v>0</v>
      </c>
    </row>
    <row r="117" ht="15.75" customHeight="1" spans="1:32" x14ac:dyDescent="0.25">
      <c r="A117" s="14"/>
      <c r="B117" s="115">
        <v>113</v>
      </c>
      <c r="C117" s="115">
        <v>4.98</v>
      </c>
      <c r="D117" s="117" t="s">
        <v>348</v>
      </c>
      <c r="E117" s="119">
        <f>'2021'!I1017</f>
        <v>0</v>
      </c>
      <c r="F117" s="119">
        <f>'2021'!J1017</f>
        <v>0</v>
      </c>
      <c r="G117" s="119">
        <f>'2021'!M1017</f>
        <v>0</v>
      </c>
      <c r="H117" s="119">
        <f>'2021'!N1017</f>
        <v>0</v>
      </c>
      <c r="I117" s="119">
        <f>'2021'!Q1017</f>
        <v>0</v>
      </c>
      <c r="J117" s="119">
        <f>'2021'!R1017</f>
        <v>0</v>
      </c>
      <c r="K117" s="119">
        <f>'2021'!U1017</f>
        <v>0</v>
      </c>
      <c r="L117" s="119">
        <f>'2021'!V1017</f>
        <v>0</v>
      </c>
      <c r="M117" s="119">
        <f>'2021'!Y1017</f>
      </c>
      <c r="N117" s="119">
        <f>'2021'!Z1017</f>
        <v>0</v>
      </c>
      <c r="O117" s="119">
        <f>'2021'!AC1017</f>
      </c>
      <c r="P117" s="119">
        <f>'2021'!AD1017</f>
        <v>0</v>
      </c>
      <c r="Q117" s="119">
        <f>'2021'!AG1017</f>
      </c>
      <c r="R117" s="119">
        <f>'2021'!AH1017</f>
        <v>0</v>
      </c>
      <c r="S117" s="119">
        <f>'2021'!AK1017</f>
        <v>2</v>
      </c>
      <c r="T117" s="119">
        <f>'2021'!AL1017</f>
        <v>2</v>
      </c>
      <c r="U117" s="119">
        <f>'2021'!AO1017</f>
        <v>2</v>
      </c>
      <c r="V117" s="119">
        <f>'2021'!AP1017</f>
        <v>0</v>
      </c>
      <c r="W117" s="119">
        <f>'2021'!AS1017</f>
        <v>2</v>
      </c>
      <c r="X117" s="119">
        <f>'2021'!AT1017</f>
        <v>0</v>
      </c>
      <c r="Y117" s="119">
        <f>'2021'!AW1017</f>
        <v>2</v>
      </c>
      <c r="Z117" s="119">
        <f>'2021'!AX1017</f>
        <v>0</v>
      </c>
      <c r="AA117" s="119"/>
      <c r="AB117" s="119">
        <f>'2021'!BA1017</f>
        <v>2</v>
      </c>
      <c r="AC117" s="119">
        <f>'2021'!BB1017</f>
        <v>0</v>
      </c>
      <c r="AD117" s="119"/>
      <c r="AE117" s="119">
        <f>'2021'!BE1017</f>
        <v>2</v>
      </c>
      <c r="AF117" s="119">
        <f t="shared" si="0"/>
        <v>0</v>
      </c>
    </row>
    <row r="118" ht="15.75" customHeight="1" spans="1:32" x14ac:dyDescent="0.25">
      <c r="A118" s="14"/>
      <c r="B118" s="118">
        <v>114</v>
      </c>
      <c r="C118" s="115">
        <v>4.86</v>
      </c>
      <c r="D118" s="117" t="s">
        <v>245</v>
      </c>
      <c r="E118" s="119">
        <f>'2021'!I1026</f>
        <v>263</v>
      </c>
      <c r="F118" s="119">
        <f>'2021'!J1026</f>
        <v>0</v>
      </c>
      <c r="G118" s="119">
        <f>'2021'!M1026</f>
        <v>263</v>
      </c>
      <c r="H118" s="119">
        <f>'2021'!N1026</f>
        <v>0</v>
      </c>
      <c r="I118" s="119">
        <f>'2021'!Q1026</f>
        <v>263</v>
      </c>
      <c r="J118" s="119">
        <f>'2021'!R1026</f>
        <v>0</v>
      </c>
      <c r="K118" s="119">
        <f>'2021'!U1026</f>
        <v>263</v>
      </c>
      <c r="L118" s="119">
        <f>'2021'!V1026</f>
        <v>0</v>
      </c>
      <c r="M118" s="119">
        <f>'2021'!Y1026</f>
        <v>338</v>
      </c>
      <c r="N118" s="119">
        <f>'2021'!Z1026</f>
        <v>75</v>
      </c>
      <c r="O118" s="119">
        <f>'2021'!AC1026</f>
        <v>464</v>
      </c>
      <c r="P118" s="119">
        <f>'2021'!AD1026</f>
        <v>126</v>
      </c>
      <c r="Q118" s="119">
        <f>'2021'!AG1026</f>
        <v>561</v>
      </c>
      <c r="R118" s="119">
        <f>'2021'!AH1026</f>
        <v>97</v>
      </c>
      <c r="S118" s="119">
        <f>'2021'!AK1026</f>
        <v>699</v>
      </c>
      <c r="T118" s="119">
        <f>'2021'!AL1026</f>
        <v>138</v>
      </c>
      <c r="U118" s="119">
        <f>'2021'!AO1026</f>
        <v>865</v>
      </c>
      <c r="V118" s="119">
        <f>'2021'!AP1026</f>
        <v>166</v>
      </c>
      <c r="W118" s="119">
        <f>'2021'!AS1026</f>
        <v>902</v>
      </c>
      <c r="X118" s="119">
        <f>'2021'!AT1026</f>
        <v>37</v>
      </c>
      <c r="Y118" s="119">
        <f>'2021'!AW1026</f>
        <v>902</v>
      </c>
      <c r="Z118" s="119">
        <f>'2021'!AX1026</f>
        <v>0</v>
      </c>
      <c r="AA118" s="119"/>
      <c r="AB118" s="119">
        <f>'2021'!BA1026</f>
        <v>902</v>
      </c>
      <c r="AC118" s="119">
        <f>'2021'!BB1026</f>
        <v>0</v>
      </c>
      <c r="AD118" s="119"/>
      <c r="AE118" s="119">
        <f>'2021'!BE1026</f>
        <v>639</v>
      </c>
      <c r="AF118" s="119">
        <f t="shared" si="0"/>
        <v>0</v>
      </c>
    </row>
    <row r="119" ht="15.75" customHeight="1" spans="1:32" x14ac:dyDescent="0.25">
      <c r="A119" s="117"/>
      <c r="B119" s="115" t="s">
        <v>350</v>
      </c>
      <c r="C119" s="116">
        <f>SUM(C5:C118)</f>
        <v>505.74</v>
      </c>
      <c r="D119" s="117"/>
      <c r="E119" s="119">
        <f t="shared" ref="E119:AF119" si="1">SUM(E5:E118)</f>
        <v>273144</v>
      </c>
      <c r="F119" s="119">
        <f t="shared" si="1"/>
        <v>21452</v>
      </c>
      <c r="G119" s="119">
        <f t="shared" si="1"/>
        <v>291324</v>
      </c>
      <c r="H119" s="119">
        <f t="shared" si="1"/>
        <v>18180</v>
      </c>
      <c r="I119" s="119">
        <f t="shared" si="1"/>
        <v>306585</v>
      </c>
      <c r="J119" s="119">
        <f t="shared" si="1"/>
        <v>15261</v>
      </c>
      <c r="K119" s="119">
        <f t="shared" si="1"/>
        <v>319072</v>
      </c>
      <c r="L119" s="119">
        <f t="shared" si="1"/>
        <v>12487</v>
      </c>
      <c r="M119" s="119">
        <f t="shared" si="1"/>
        <v>308156</v>
      </c>
      <c r="N119" s="119">
        <f t="shared" si="1"/>
        <v>10171</v>
      </c>
      <c r="O119" s="119">
        <f t="shared" si="1"/>
        <v>316332</v>
      </c>
      <c r="P119" s="119">
        <f t="shared" si="1"/>
        <v>8176</v>
      </c>
      <c r="Q119" s="119">
        <f t="shared" si="1"/>
        <v>324596</v>
      </c>
      <c r="R119" s="119">
        <f t="shared" si="1"/>
        <v>8663</v>
      </c>
      <c r="S119" s="119">
        <f t="shared" si="1"/>
        <v>333256</v>
      </c>
      <c r="T119" s="119">
        <f t="shared" si="1"/>
        <v>8660</v>
      </c>
      <c r="U119" s="119">
        <f t="shared" si="1"/>
        <v>344788</v>
      </c>
      <c r="V119" s="119">
        <f t="shared" si="1"/>
        <v>11532</v>
      </c>
      <c r="W119" s="119">
        <f t="shared" si="1"/>
        <v>359986</v>
      </c>
      <c r="X119" s="119">
        <f t="shared" si="1"/>
        <v>15198</v>
      </c>
      <c r="Y119" s="119">
        <f t="shared" si="1"/>
        <v>380533</v>
      </c>
      <c r="Z119" s="119">
        <f t="shared" si="1"/>
        <v>20547</v>
      </c>
      <c r="AA119" s="119">
        <f t="shared" si="1"/>
        <v>0</v>
      </c>
      <c r="AB119" s="119">
        <f t="shared" si="1"/>
        <v>393468</v>
      </c>
      <c r="AC119" s="119">
        <f t="shared" si="1"/>
        <v>14975</v>
      </c>
      <c r="AD119" s="119">
        <f t="shared" si="1"/>
        <v>0</v>
      </c>
      <c r="AE119" s="119">
        <f t="shared" si="1"/>
        <v>165302</v>
      </c>
      <c r="AF119" s="119">
        <f t="shared" si="1"/>
        <v>0</v>
      </c>
    </row>
    <row r="120" ht="15.75" customHeight="1" spans="1:3" x14ac:dyDescent="0.25">
      <c r="A120" s="15"/>
      <c r="B120" s="112"/>
      <c r="C120" s="112"/>
    </row>
    <row r="121" ht="15.75" customHeight="1" spans="1:31" x14ac:dyDescent="0.25" outlineLevel="1" collapsed="1">
      <c r="A121" s="15"/>
      <c r="B121" s="112"/>
      <c r="C121" s="112"/>
      <c r="E121" s="120" t="b">
        <f>E119='2021'!I1037</f>
        <v>1</v>
      </c>
      <c r="F121" s="120" t="b">
        <f>F119='2021'!J1037</f>
        <v>1</v>
      </c>
      <c r="G121" s="120" t="b">
        <f>G119='2021'!M1037</f>
        <v>1</v>
      </c>
      <c r="H121" s="120" t="b">
        <f>H119='2021'!N1037</f>
        <v>1</v>
      </c>
      <c r="I121" s="120" t="b">
        <f>I119='2021'!Q1037</f>
        <v>1</v>
      </c>
      <c r="J121" s="120" t="b">
        <f>J119='2021'!R1037</f>
        <v>1</v>
      </c>
      <c r="K121" s="120" t="b">
        <f>K119='2021'!U1037</f>
        <v>1</v>
      </c>
      <c r="L121" s="120" t="b">
        <f>L119='2021'!V1037</f>
        <v>1</v>
      </c>
      <c r="M121" s="120" t="b">
        <f>M119='2021'!Y1037</f>
        <v>1</v>
      </c>
      <c r="N121" s="120" t="b">
        <f>N119='2021'!Z1037</f>
        <v>1</v>
      </c>
      <c r="O121" s="120" t="b">
        <f>O119='2021'!AC1037</f>
        <v>1</v>
      </c>
      <c r="P121" s="120" t="b">
        <f>P119='2021'!AD1037</f>
        <v>1</v>
      </c>
      <c r="Q121" s="120" t="b">
        <f>Q119='2021'!AG1037</f>
        <v>1</v>
      </c>
      <c r="R121" s="120" t="b">
        <f>R119='2021'!AH1037</f>
        <v>1</v>
      </c>
      <c r="S121" s="120" t="b">
        <f>S119='2021'!AK1037</f>
        <v>1</v>
      </c>
      <c r="T121" s="120" t="b">
        <f>T119='2021'!AL1037</f>
        <v>1</v>
      </c>
      <c r="U121" s="120" t="b">
        <f>U119='2021'!AO1037</f>
        <v>1</v>
      </c>
      <c r="V121" s="120" t="b">
        <f>V119='2021'!AP1037</f>
        <v>1</v>
      </c>
      <c r="W121" s="120" t="b">
        <f>W119='2021'!AS1037</f>
        <v>1</v>
      </c>
      <c r="X121" s="120" t="b">
        <f>X119='2021'!AT1037</f>
        <v>1</v>
      </c>
      <c r="Y121" s="120" t="b">
        <f>Y119='2021'!AW1037</f>
        <v>1</v>
      </c>
      <c r="Z121" s="120" t="b">
        <f>Z119='2021'!AX1037</f>
        <v>1</v>
      </c>
      <c r="AA121" s="121"/>
      <c r="AB121" s="120" t="b">
        <f>AB119='2021'!BA1037</f>
        <v>1</v>
      </c>
      <c r="AC121" s="120" t="b">
        <f>AC119='2021'!BB1037</f>
        <v>1</v>
      </c>
      <c r="AD121" s="120"/>
      <c r="AE121" s="120" t="b">
        <f>AE119='2021'!BE1037</f>
        <v>1</v>
      </c>
    </row>
    <row r="122" ht="15.75" customHeight="1" spans="1:31" x14ac:dyDescent="0.25">
      <c r="A122" s="15"/>
      <c r="B122" s="112"/>
      <c r="C122" s="112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 t="b">
        <f>AE119=F119+H119+J119+L119+N119+P119+R119+T119+V119+X119+Z119+AC119</f>
        <v>1</v>
      </c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spans="1:3" x14ac:dyDescent="0.25">
      <c r="A316" s="15"/>
      <c r="B316" s="112"/>
      <c r="C316" s="112"/>
    </row>
    <row r="317" ht="15.75" customHeight="1" spans="1:3" x14ac:dyDescent="0.25">
      <c r="A317" s="15"/>
      <c r="B317" s="112"/>
      <c r="C317" s="112"/>
    </row>
    <row r="318" ht="15.75" customHeight="1" spans="1:3" x14ac:dyDescent="0.25">
      <c r="A318" s="15"/>
      <c r="B318" s="112"/>
      <c r="C318" s="112"/>
    </row>
    <row r="319" ht="15.75" customHeight="1" spans="1:3" x14ac:dyDescent="0.25">
      <c r="A319" s="15"/>
      <c r="B319" s="112"/>
      <c r="C319" s="112"/>
    </row>
    <row r="320" ht="15.75" customHeight="1" spans="1:3" x14ac:dyDescent="0.25">
      <c r="A320" s="15"/>
      <c r="B320" s="112"/>
      <c r="C320" s="112"/>
    </row>
    <row r="321" ht="15.75" customHeight="1" spans="1:3" x14ac:dyDescent="0.25">
      <c r="A321" s="15"/>
      <c r="B321" s="112"/>
      <c r="C321" s="112"/>
    </row>
    <row r="322" ht="15.75" customHeight="1" spans="1:3" x14ac:dyDescent="0.25">
      <c r="A322" s="15"/>
      <c r="B322" s="112"/>
      <c r="C322" s="112"/>
    </row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B$4:$AE$121"/>
  <mergeCells count="12"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AA3"/>
    <mergeCell ref="AB3:AD3"/>
  </mergeCells>
  <pageMargins left="0.196527777777778" right="0" top="0.196527777777778" bottom="0.196527777777778" header="0" footer="0"/>
  <pageSetup paperSize="9" orientation="landscape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L1000"/>
  <sheetViews>
    <sheetView workbookViewId="0" zoomScale="100" zoomScaleNormal="100">
      <pane xSplit="4" ySplit="2" topLeftCell="E3" activePane="bottomRight" state="frozen"/>
      <selection pane="bottomRight" activeCell="E3" sqref="E3"/>
    </sheetView>
  </sheetViews>
  <sheetFormatPr defaultRowHeight="15" outlineLevelRow="1" outlineLevelCol="1" x14ac:dyDescent="0" defaultColWidth="14.43"/>
  <cols>
    <col min="1" max="1" width="9.14" customWidth="1"/>
    <col min="2" max="2" width="7.14" customWidth="1"/>
    <col min="3" max="3" width="6.43" hidden="1" outlineLevel="1" collapsed="1" customWidth="1"/>
    <col min="4" max="4" width="13.86" hidden="1" outlineLevel="1" collapsed="1" customWidth="1"/>
    <col min="5" max="5" width="8.86" customWidth="1"/>
    <col min="6" max="6" width="17.86" customWidth="1"/>
    <col min="7" max="7" width="9.14" customWidth="1"/>
    <col min="8" max="8" width="8.43" customWidth="1"/>
    <col min="9" max="9" width="8.86" hidden="1" outlineLevel="1" collapsed="1" customWidth="1"/>
    <col min="10" max="10" width="14.43" hidden="1" outlineLevel="1" collapsed="1" customWidth="1"/>
    <col min="11" max="11" width="9.14" customWidth="1"/>
    <col min="12" max="12" width="16.57" customWidth="1"/>
  </cols>
  <sheetData>
    <row r="1" spans="1:12" x14ac:dyDescent="0.25">
      <c r="A1" s="1" t="s">
        <v>365</v>
      </c>
      <c r="B1" s="112"/>
      <c r="C1" s="112"/>
      <c r="E1" s="2" t="s">
        <v>366</v>
      </c>
      <c r="K1" s="81" t="str">
        <f>'2021'!F1</f>
        <v>на 15 декабря 2021 года</v>
      </c>
      <c r="L1" s="81"/>
    </row>
    <row r="2" spans="1:12" x14ac:dyDescent="0.25">
      <c r="A2" s="4"/>
      <c r="B2" s="17" t="s">
        <v>480</v>
      </c>
      <c r="C2" s="17" t="s">
        <v>354</v>
      </c>
      <c r="D2" s="16" t="s">
        <v>355</v>
      </c>
      <c r="E2" s="294" t="s">
        <v>18</v>
      </c>
      <c r="F2" s="295" t="s">
        <v>19</v>
      </c>
      <c r="G2" s="16"/>
      <c r="H2" s="17" t="s">
        <v>480</v>
      </c>
      <c r="I2" s="17" t="s">
        <v>354</v>
      </c>
      <c r="J2" s="16" t="s">
        <v>355</v>
      </c>
      <c r="K2" s="294" t="s">
        <v>18</v>
      </c>
      <c r="L2" s="295" t="s">
        <v>19</v>
      </c>
    </row>
    <row r="3" spans="1:12" x14ac:dyDescent="0.25">
      <c r="A3" s="114" t="s">
        <v>41</v>
      </c>
      <c r="B3" s="115">
        <f>'2019'!A8</f>
        <v>1</v>
      </c>
      <c r="C3" s="116">
        <v>4</v>
      </c>
      <c r="D3" s="117" t="s">
        <v>43</v>
      </c>
      <c r="E3" s="119">
        <f>'Эл.энергия (расход)_21'!W5</f>
        <v>6067</v>
      </c>
      <c r="F3" s="296"/>
      <c r="G3" s="114" t="s">
        <v>217</v>
      </c>
      <c r="H3" s="115">
        <v>58</v>
      </c>
      <c r="I3" s="115">
        <v>5.08</v>
      </c>
      <c r="J3" s="117" t="s">
        <v>223</v>
      </c>
      <c r="K3" s="119">
        <f>'Эл.энергия (расход)_21'!W63</f>
        <v>1994</v>
      </c>
      <c r="L3" s="119"/>
    </row>
    <row r="4" spans="1:12" x14ac:dyDescent="0.25">
      <c r="A4" s="14"/>
      <c r="B4" s="115">
        <v>2</v>
      </c>
      <c r="C4" s="115">
        <v>4.12</v>
      </c>
      <c r="D4" s="117" t="s">
        <v>359</v>
      </c>
      <c r="E4" s="119">
        <f>'Эл.энергия (расход)_21'!W6</f>
        <v>34636</v>
      </c>
      <c r="F4" s="296"/>
      <c r="G4" s="14"/>
      <c r="H4" s="115">
        <v>60</v>
      </c>
      <c r="I4" s="116">
        <v>4.4</v>
      </c>
      <c r="J4" s="117" t="s">
        <v>227</v>
      </c>
      <c r="K4" s="119">
        <f>'Эл.энергия (расход)_21'!W64</f>
        <v>7280</v>
      </c>
      <c r="L4" s="119"/>
    </row>
    <row r="5" spans="1:12" x14ac:dyDescent="0.25">
      <c r="A5" s="14"/>
      <c r="B5" s="115">
        <v>3</v>
      </c>
      <c r="C5" s="116">
        <v>4</v>
      </c>
      <c r="D5" s="117" t="s">
        <v>60</v>
      </c>
      <c r="E5" s="119">
        <f>'Эл.энергия (расход)_21'!W7</f>
        <v>63</v>
      </c>
      <c r="F5" s="296"/>
      <c r="G5" s="14"/>
      <c r="H5" s="115">
        <v>61</v>
      </c>
      <c r="I5" s="115">
        <v>4.71</v>
      </c>
      <c r="J5" s="117" t="s">
        <v>231</v>
      </c>
      <c r="K5" s="119">
        <f>'Эл.энергия (расход)_21'!W65</f>
        <v>641</v>
      </c>
      <c r="L5" s="119"/>
    </row>
    <row r="6" spans="1:12" x14ac:dyDescent="0.25">
      <c r="A6" s="14"/>
      <c r="B6" s="115">
        <v>4</v>
      </c>
      <c r="C6" s="115">
        <v>3.95</v>
      </c>
      <c r="D6" s="117" t="s">
        <v>64</v>
      </c>
      <c r="E6" s="119">
        <f>'Эл.энергия (расход)_21'!W8</f>
      </c>
      <c r="F6" s="296"/>
      <c r="G6" s="14"/>
      <c r="H6" s="115">
        <v>62</v>
      </c>
      <c r="I6" s="116">
        <v>4.6</v>
      </c>
      <c r="J6" s="15" t="s">
        <v>236</v>
      </c>
      <c r="K6" s="119">
        <f>'Эл.энергия (расход)_21'!W66</f>
        <v>479</v>
      </c>
      <c r="L6" s="119"/>
    </row>
    <row r="7" spans="1:12" x14ac:dyDescent="0.25">
      <c r="A7" s="14"/>
      <c r="B7" s="115">
        <v>5</v>
      </c>
      <c r="C7" s="115">
        <v>5.08</v>
      </c>
      <c r="D7" s="2" t="s">
        <v>488</v>
      </c>
      <c r="E7" s="119">
        <f>'Эл.энергия (расход)_21'!W9</f>
        <v>1005</v>
      </c>
      <c r="F7" s="296"/>
      <c r="H7" s="115" t="s">
        <v>237</v>
      </c>
      <c r="I7" s="115">
        <v>4.01</v>
      </c>
      <c r="J7" s="117" t="s">
        <v>238</v>
      </c>
      <c r="K7" s="119">
        <f>'Эл.энергия (расход)_21'!W67</f>
        <v>193</v>
      </c>
      <c r="L7" s="119"/>
    </row>
    <row r="8" spans="1:12" x14ac:dyDescent="0.25">
      <c r="A8" s="14"/>
      <c r="B8" s="115">
        <v>6</v>
      </c>
      <c r="C8" s="115">
        <v>4.01</v>
      </c>
      <c r="D8" s="117" t="s">
        <v>70</v>
      </c>
      <c r="E8" s="119">
        <f>'Эл.энергия (расход)_21'!W10</f>
        <v>23</v>
      </c>
      <c r="F8" s="296"/>
      <c r="G8" s="14"/>
      <c r="H8" s="115" t="s">
        <v>237</v>
      </c>
      <c r="I8" s="115">
        <v>4.01</v>
      </c>
      <c r="J8" s="117" t="s">
        <v>238</v>
      </c>
      <c r="K8" s="119">
        <f>'Эл.энергия (расход)_21'!W68</f>
      </c>
      <c r="L8" s="119"/>
    </row>
    <row r="9" spans="1:12" x14ac:dyDescent="0.25">
      <c r="A9" s="14"/>
      <c r="B9" s="115">
        <v>7</v>
      </c>
      <c r="C9" s="115">
        <v>4.85</v>
      </c>
      <c r="D9" s="117" t="s">
        <v>74</v>
      </c>
      <c r="E9" s="119">
        <f>'Эл.энергия (расход)_21'!W11</f>
        <v>562</v>
      </c>
      <c r="F9" s="296"/>
      <c r="G9" s="14"/>
      <c r="H9" s="115">
        <v>64</v>
      </c>
      <c r="I9" s="115">
        <v>4.24</v>
      </c>
      <c r="J9" s="117" t="s">
        <v>241</v>
      </c>
      <c r="K9" s="119">
        <f>'Эл.энергия (расход)_21'!W69</f>
        <v>467</v>
      </c>
      <c r="L9" s="119"/>
    </row>
    <row r="10" spans="1:12" x14ac:dyDescent="0.25">
      <c r="A10" s="14"/>
      <c r="B10" s="115">
        <v>8</v>
      </c>
      <c r="C10" s="116">
        <v>4</v>
      </c>
      <c r="D10" s="2" t="s">
        <v>383</v>
      </c>
      <c r="E10" s="119">
        <f>'Эл.энергия (расход)_21'!W12</f>
        <v>731</v>
      </c>
      <c r="F10" s="296"/>
      <c r="G10" s="14"/>
      <c r="H10" s="115">
        <v>66</v>
      </c>
      <c r="I10" s="115">
        <v>4.66</v>
      </c>
      <c r="J10" s="117" t="s">
        <v>244</v>
      </c>
      <c r="K10" s="119">
        <f>'Эл.энергия (расход)_21'!W70</f>
        <v>2</v>
      </c>
      <c r="L10" s="119"/>
    </row>
    <row r="11" spans="1:12" x14ac:dyDescent="0.25">
      <c r="A11" s="14"/>
      <c r="B11" s="115">
        <v>9</v>
      </c>
      <c r="C11" s="115">
        <v>4.03</v>
      </c>
      <c r="D11" s="117" t="s">
        <v>82</v>
      </c>
      <c r="E11" s="119">
        <f>'Эл.энергия (расход)_21'!W13</f>
        <v>46</v>
      </c>
      <c r="F11" s="296"/>
      <c r="G11" s="14"/>
      <c r="H11" s="115">
        <v>67</v>
      </c>
      <c r="I11" s="115">
        <v>6.08</v>
      </c>
      <c r="J11" s="117" t="s">
        <v>245</v>
      </c>
      <c r="K11" s="119">
        <f>'Эл.энергия (расход)_21'!W71</f>
        <v>2726</v>
      </c>
      <c r="L11" s="119"/>
    </row>
    <row r="12" spans="1:12" x14ac:dyDescent="0.25">
      <c r="A12" s="14"/>
      <c r="B12" s="115">
        <v>10</v>
      </c>
      <c r="C12" s="115">
        <v>4.01</v>
      </c>
      <c r="D12" s="117" t="s">
        <v>86</v>
      </c>
      <c r="E12" s="119">
        <f>'Эл.энергия (расход)_21'!W14</f>
      </c>
      <c r="F12" s="296"/>
      <c r="G12" s="14"/>
      <c r="H12" s="115" t="s">
        <v>248</v>
      </c>
      <c r="I12" s="115">
        <v>4.01</v>
      </c>
      <c r="J12" s="117" t="s">
        <v>249</v>
      </c>
      <c r="K12" s="119">
        <f>'Эл.энергия (расход)_21'!W72</f>
        <v>4097</v>
      </c>
      <c r="L12" s="119"/>
    </row>
    <row r="13" spans="1:12" x14ac:dyDescent="0.25">
      <c r="A13" s="14"/>
      <c r="B13" s="115">
        <v>11</v>
      </c>
      <c r="C13" s="115">
        <v>4.02</v>
      </c>
      <c r="D13" s="117" t="s">
        <v>89</v>
      </c>
      <c r="E13" s="119">
        <f>'Эл.энергия (расход)_21'!W15</f>
        <v>36</v>
      </c>
      <c r="F13" s="296"/>
      <c r="H13" s="115" t="s">
        <v>248</v>
      </c>
      <c r="I13" s="115">
        <v>4.02</v>
      </c>
      <c r="J13" s="117" t="s">
        <v>249</v>
      </c>
      <c r="K13" s="119">
        <f>'Эл.энергия (расход)_21'!W73</f>
      </c>
      <c r="L13" s="119"/>
    </row>
    <row r="14" spans="1:12" x14ac:dyDescent="0.25">
      <c r="A14" s="14"/>
      <c r="B14" s="115">
        <v>12</v>
      </c>
      <c r="C14" s="115">
        <v>4.02</v>
      </c>
      <c r="D14" s="117" t="s">
        <v>92</v>
      </c>
      <c r="E14" s="119">
        <f>'Эл.энергия (расход)_21'!W16</f>
      </c>
      <c r="F14" s="296"/>
      <c r="G14" s="14"/>
      <c r="H14" s="115">
        <v>69</v>
      </c>
      <c r="I14" s="115">
        <v>4.03</v>
      </c>
      <c r="J14" s="117" t="s">
        <v>253</v>
      </c>
      <c r="K14" s="119">
        <f>'Эл.энергия (расход)_21'!W74</f>
        <v>31282</v>
      </c>
      <c r="L14" s="119"/>
    </row>
    <row r="15" spans="1:12" x14ac:dyDescent="0.25">
      <c r="A15" s="14"/>
      <c r="B15" s="115" t="s">
        <v>96</v>
      </c>
      <c r="C15" s="115">
        <v>3.94</v>
      </c>
      <c r="D15" s="117" t="s">
        <v>97</v>
      </c>
      <c r="E15" s="119">
        <f>'Эл.энергия (расход)_21'!W17</f>
        <v>7797</v>
      </c>
      <c r="F15" s="296"/>
      <c r="G15" s="14"/>
      <c r="H15" s="115">
        <v>71</v>
      </c>
      <c r="I15" s="115">
        <v>5.98</v>
      </c>
      <c r="J15" s="117" t="s">
        <v>255</v>
      </c>
      <c r="K15" s="119">
        <f>'Эл.энергия (расход)_21'!W75</f>
        <v>174</v>
      </c>
      <c r="L15" s="119"/>
    </row>
    <row r="16" spans="1:12" x14ac:dyDescent="0.25">
      <c r="A16" s="14"/>
      <c r="B16" s="115" t="s">
        <v>96</v>
      </c>
      <c r="C16" s="116">
        <v>4</v>
      </c>
      <c r="D16" s="117" t="s">
        <v>97</v>
      </c>
      <c r="E16" s="119">
        <f>'Эл.энергия (расход)_21'!W18</f>
      </c>
      <c r="F16" s="296"/>
      <c r="G16" s="14"/>
      <c r="H16" s="115">
        <v>72</v>
      </c>
      <c r="I16" s="115">
        <v>4.03</v>
      </c>
      <c r="J16" s="117" t="s">
        <v>257</v>
      </c>
      <c r="K16" s="119">
        <f>'Эл.энергия (расход)_21'!W76</f>
        <v>4210</v>
      </c>
      <c r="L16" s="119"/>
    </row>
    <row r="17" spans="1:12" x14ac:dyDescent="0.25">
      <c r="A17" s="14"/>
      <c r="B17" s="115">
        <v>14</v>
      </c>
      <c r="C17" s="115">
        <v>4.02</v>
      </c>
      <c r="D17" s="117" t="s">
        <v>100</v>
      </c>
      <c r="E17" s="119">
        <f>'Эл.энергия (расход)_21'!W19</f>
      </c>
      <c r="F17" s="296"/>
      <c r="G17" s="14"/>
      <c r="H17" s="115">
        <v>73</v>
      </c>
      <c r="I17" s="115">
        <v>4.02</v>
      </c>
      <c r="J17" s="117" t="s">
        <v>259</v>
      </c>
      <c r="K17" s="119">
        <f>'Эл.энергия (расход)_21'!W77</f>
      </c>
      <c r="L17" s="119"/>
    </row>
    <row r="18" spans="1:12" x14ac:dyDescent="0.25">
      <c r="A18" s="14"/>
      <c r="B18" s="115">
        <v>16</v>
      </c>
      <c r="C18" s="115">
        <v>3.98</v>
      </c>
      <c r="D18" s="117" t="s">
        <v>103</v>
      </c>
      <c r="E18" s="119">
        <f>'Эл.энергия (расход)_21'!W20</f>
        <v>1328</v>
      </c>
      <c r="F18" s="296"/>
      <c r="G18" s="21"/>
      <c r="H18" s="115">
        <v>74</v>
      </c>
      <c r="I18" s="115">
        <v>4.97</v>
      </c>
      <c r="J18" s="117" t="s">
        <v>262</v>
      </c>
      <c r="K18" s="119">
        <f>'Эл.энергия (расход)_21'!W78</f>
      </c>
      <c r="L18" s="119"/>
    </row>
    <row r="19" spans="1:12" x14ac:dyDescent="0.25">
      <c r="A19" s="14"/>
      <c r="B19" s="115">
        <v>17</v>
      </c>
      <c r="C19" s="116">
        <v>4</v>
      </c>
      <c r="D19" s="117" t="s">
        <v>106</v>
      </c>
      <c r="E19" s="119">
        <f>'Эл.энергия (расход)_21'!W21</f>
        <v>192</v>
      </c>
      <c r="F19" s="296"/>
      <c r="G19" s="114" t="s">
        <v>264</v>
      </c>
      <c r="H19" s="115">
        <v>75</v>
      </c>
      <c r="I19" s="115">
        <v>4.15</v>
      </c>
      <c r="J19" s="117" t="s">
        <v>265</v>
      </c>
      <c r="K19" s="119">
        <f>'Эл.энергия (расход)_21'!W79</f>
      </c>
      <c r="L19" s="119"/>
    </row>
    <row r="20" spans="1:12" x14ac:dyDescent="0.25">
      <c r="A20" s="14"/>
      <c r="B20" s="115">
        <v>18</v>
      </c>
      <c r="C20" s="115">
        <v>4.03</v>
      </c>
      <c r="D20" s="117" t="s">
        <v>109</v>
      </c>
      <c r="E20" s="119">
        <f>'Эл.энергия (расход)_21'!W22</f>
        <v>487</v>
      </c>
      <c r="F20" s="296"/>
      <c r="G20" s="14"/>
      <c r="H20" s="115">
        <v>76</v>
      </c>
      <c r="I20" s="115">
        <v>4.15</v>
      </c>
      <c r="J20" s="117" t="s">
        <v>267</v>
      </c>
      <c r="K20" s="119">
        <f>'Эл.энергия (расход)_21'!W80</f>
      </c>
      <c r="L20" s="119"/>
    </row>
    <row r="21" ht="15.75" customHeight="1" spans="1:12" x14ac:dyDescent="0.25">
      <c r="A21" s="21"/>
      <c r="B21" s="115">
        <v>19</v>
      </c>
      <c r="C21" s="116">
        <v>4.1</v>
      </c>
      <c r="D21" s="117" t="s">
        <v>113</v>
      </c>
      <c r="E21" s="119">
        <f>'Эл.энергия (расход)_21'!W23</f>
        <v>1</v>
      </c>
      <c r="F21" s="296"/>
      <c r="G21" s="14"/>
      <c r="H21" s="115">
        <v>77</v>
      </c>
      <c r="I21" s="115">
        <v>4.12</v>
      </c>
      <c r="J21" s="117" t="s">
        <v>268</v>
      </c>
      <c r="K21" s="119">
        <f>'Эл.энергия (расход)_21'!W81</f>
        <v>2667</v>
      </c>
      <c r="L21" s="119"/>
    </row>
    <row r="22" ht="15.75" customHeight="1" spans="1:12" x14ac:dyDescent="0.25">
      <c r="A22" s="114" t="s">
        <v>116</v>
      </c>
      <c r="B22" s="115" t="s">
        <v>117</v>
      </c>
      <c r="C22" s="283">
        <v>4</v>
      </c>
      <c r="D22" s="117" t="s">
        <v>118</v>
      </c>
      <c r="E22" s="119">
        <f>'Эл.энергия (расход)_21'!W24</f>
        <v>3271</v>
      </c>
      <c r="F22" s="296"/>
      <c r="G22" s="14"/>
      <c r="H22" s="115">
        <v>78</v>
      </c>
      <c r="I22" s="115">
        <v>4.03</v>
      </c>
      <c r="J22" s="117" t="s">
        <v>271</v>
      </c>
      <c r="K22" s="119">
        <f>'Эл.энергия (расход)_21'!W82</f>
        <v>120</v>
      </c>
      <c r="L22" s="119"/>
    </row>
    <row r="23" ht="15.75" customHeight="1" spans="1:12" x14ac:dyDescent="0.25">
      <c r="A23" s="14"/>
      <c r="B23" s="115" t="s">
        <v>117</v>
      </c>
      <c r="C23" s="283">
        <v>4</v>
      </c>
      <c r="D23" s="117" t="s">
        <v>118</v>
      </c>
      <c r="E23" s="119">
        <f>'Эл.энергия (расход)_21'!W25</f>
      </c>
      <c r="F23" s="296"/>
      <c r="G23" s="14"/>
      <c r="H23" s="115">
        <v>79</v>
      </c>
      <c r="I23" s="115">
        <v>4.24</v>
      </c>
      <c r="J23" s="117" t="s">
        <v>275</v>
      </c>
      <c r="K23" s="119">
        <f>'Эл.энергия (расход)_21'!W83</f>
        <v>35</v>
      </c>
      <c r="L23" s="119"/>
    </row>
    <row r="24" ht="15.75" customHeight="1" spans="1:12" x14ac:dyDescent="0.25">
      <c r="A24" s="14"/>
      <c r="B24" s="115">
        <v>21</v>
      </c>
      <c r="C24" s="115">
        <v>3.96</v>
      </c>
      <c r="D24" s="117" t="s">
        <v>120</v>
      </c>
      <c r="E24" s="119">
        <f>'Эл.энергия (расход)_21'!W26</f>
        <v>2684</v>
      </c>
      <c r="F24" s="296"/>
      <c r="G24" s="14"/>
      <c r="H24" s="115">
        <v>81</v>
      </c>
      <c r="I24" s="116">
        <v>4.3</v>
      </c>
      <c r="J24" s="117" t="s">
        <v>278</v>
      </c>
      <c r="K24" s="119">
        <f>'Эл.энергия (расход)_21'!W84</f>
        <v>13</v>
      </c>
      <c r="L24" s="119"/>
    </row>
    <row r="25" ht="15.75" customHeight="1" spans="1:12" x14ac:dyDescent="0.25">
      <c r="A25" s="14"/>
      <c r="B25" s="115">
        <v>23</v>
      </c>
      <c r="C25" s="115">
        <v>3.98</v>
      </c>
      <c r="D25" s="117" t="s">
        <v>124</v>
      </c>
      <c r="E25" s="119">
        <f>'Эл.энергия (расход)_21'!W27</f>
        <v>7944</v>
      </c>
      <c r="F25" s="296"/>
      <c r="G25" s="14"/>
      <c r="H25" s="115">
        <v>83</v>
      </c>
      <c r="I25" s="115">
        <v>4.29</v>
      </c>
      <c r="J25" s="117" t="s">
        <v>280</v>
      </c>
      <c r="K25" s="119">
        <f>'Эл.энергия (расход)_21'!W85</f>
        <v>231</v>
      </c>
      <c r="L25" s="119"/>
    </row>
    <row r="26" ht="15.75" customHeight="1" spans="1:12" x14ac:dyDescent="0.25">
      <c r="A26" s="14"/>
      <c r="B26" s="115">
        <v>24</v>
      </c>
      <c r="C26" s="115">
        <v>4.01</v>
      </c>
      <c r="D26" s="117" t="s">
        <v>127</v>
      </c>
      <c r="E26" s="119">
        <f>'Эл.энергия (расход)_21'!W28</f>
        <v>774</v>
      </c>
      <c r="F26" s="296"/>
      <c r="G26" s="14"/>
      <c r="H26" s="115">
        <v>85</v>
      </c>
      <c r="I26" s="115">
        <v>4.27</v>
      </c>
      <c r="J26" s="117" t="s">
        <v>282</v>
      </c>
      <c r="K26" s="119">
        <f>'Эл.энергия (расход)_21'!W86</f>
        <v>4753</v>
      </c>
      <c r="L26" s="119"/>
    </row>
    <row r="27" ht="15.75" customHeight="1" spans="1:12" x14ac:dyDescent="0.25">
      <c r="A27" s="14"/>
      <c r="B27" s="115">
        <v>25</v>
      </c>
      <c r="C27" s="116">
        <v>4</v>
      </c>
      <c r="D27" s="117" t="s">
        <v>131</v>
      </c>
      <c r="E27" s="119">
        <f>'Эл.энергия (расход)_21'!W29</f>
        <v>47</v>
      </c>
      <c r="F27" s="296"/>
      <c r="G27" s="14"/>
      <c r="H27" s="115">
        <v>87</v>
      </c>
      <c r="I27" s="115">
        <v>4.23</v>
      </c>
      <c r="J27" s="117" t="s">
        <v>284</v>
      </c>
      <c r="K27" s="119">
        <f>'Эл.энергия (расход)_21'!W87</f>
        <v>719</v>
      </c>
      <c r="L27" s="119"/>
    </row>
    <row r="28" ht="15.75" customHeight="1" spans="1:12" x14ac:dyDescent="0.25">
      <c r="A28" s="14"/>
      <c r="B28" s="115">
        <v>26</v>
      </c>
      <c r="C28" s="115">
        <v>3.98</v>
      </c>
      <c r="D28" s="117" t="s">
        <v>133</v>
      </c>
      <c r="E28" s="119">
        <f>'Эл.энергия (расход)_21'!W30</f>
      </c>
      <c r="F28" s="296"/>
      <c r="G28" s="14"/>
      <c r="H28" s="115">
        <v>89</v>
      </c>
      <c r="I28" s="115">
        <v>4.25</v>
      </c>
      <c r="J28" s="117" t="s">
        <v>286</v>
      </c>
      <c r="K28" s="119">
        <f>'Эл.энергия (расход)_21'!W88</f>
      </c>
      <c r="L28" s="119"/>
    </row>
    <row r="29" ht="15.75" customHeight="1" spans="1:12" x14ac:dyDescent="0.25">
      <c r="A29" s="14"/>
      <c r="B29" s="115">
        <v>27</v>
      </c>
      <c r="C29" s="115">
        <v>4.04</v>
      </c>
      <c r="D29" s="117" t="s">
        <v>136</v>
      </c>
      <c r="E29" s="119">
        <f>'Эл.энергия (расход)_21'!W31</f>
      </c>
      <c r="F29" s="296"/>
      <c r="G29" s="14"/>
      <c r="H29" s="115">
        <v>91</v>
      </c>
      <c r="I29" s="115">
        <v>4.23</v>
      </c>
      <c r="J29" s="117" t="s">
        <v>288</v>
      </c>
      <c r="K29" s="119">
        <f>'Эл.энергия (расход)_21'!W89</f>
        <v>183</v>
      </c>
      <c r="L29" s="119"/>
    </row>
    <row r="30" ht="15.75" customHeight="1" spans="1:12" x14ac:dyDescent="0.25">
      <c r="A30" s="14"/>
      <c r="B30" s="115">
        <v>28</v>
      </c>
      <c r="C30" s="115">
        <v>3.96</v>
      </c>
      <c r="D30" s="117" t="s">
        <v>140</v>
      </c>
      <c r="E30" s="119">
        <f>'Эл.энергия (расход)_21'!W32</f>
        <v>5125</v>
      </c>
      <c r="F30" s="296"/>
      <c r="G30" s="21"/>
      <c r="H30" s="115" t="s">
        <v>292</v>
      </c>
      <c r="I30" s="115">
        <v>4.31</v>
      </c>
      <c r="J30" s="297" t="s">
        <v>436</v>
      </c>
      <c r="K30" s="119">
        <f>'Эл.энергия (расход)_21'!W90</f>
        <v>6940</v>
      </c>
      <c r="L30" s="119"/>
    </row>
    <row r="31" ht="15.75" customHeight="1" spans="1:12" x14ac:dyDescent="0.25">
      <c r="A31" s="14"/>
      <c r="B31" s="115">
        <v>30</v>
      </c>
      <c r="C31" s="115">
        <v>4.05</v>
      </c>
      <c r="D31" s="117" t="s">
        <v>496</v>
      </c>
      <c r="E31" s="119">
        <f>'Эл.энергия (расход)_21'!W33</f>
        <v>206</v>
      </c>
      <c r="F31" s="296"/>
      <c r="H31" s="115" t="s">
        <v>292</v>
      </c>
      <c r="I31" s="115">
        <v>4.25</v>
      </c>
      <c r="J31" s="297" t="s">
        <v>436</v>
      </c>
      <c r="K31" s="119">
        <f>'Эл.энергия (расход)_21'!W91</f>
        <v>1075</v>
      </c>
      <c r="L31" s="119"/>
    </row>
    <row r="32" ht="15.75" customHeight="1" spans="1:12" x14ac:dyDescent="0.25">
      <c r="A32" s="14"/>
      <c r="B32" s="115">
        <v>29</v>
      </c>
      <c r="C32" s="115">
        <v>4.02</v>
      </c>
      <c r="D32" s="117" t="s">
        <v>146</v>
      </c>
      <c r="E32" s="119">
        <f>'Эл.энергия (расход)_21'!W34</f>
      </c>
      <c r="F32" s="296"/>
      <c r="G32" s="114" t="s">
        <v>297</v>
      </c>
      <c r="H32" s="115">
        <v>80</v>
      </c>
      <c r="I32" s="115">
        <v>4.28</v>
      </c>
      <c r="J32" s="117" t="s">
        <v>298</v>
      </c>
      <c r="K32" s="119">
        <f>'Эл.энергия (расход)_21'!W92</f>
        <v>1655</v>
      </c>
      <c r="L32" s="119"/>
    </row>
    <row r="33" ht="15.75" customHeight="1" spans="1:12" x14ac:dyDescent="0.25">
      <c r="A33" s="14"/>
      <c r="B33" s="115">
        <v>31</v>
      </c>
      <c r="C33" s="116">
        <v>4</v>
      </c>
      <c r="D33" s="117" t="s">
        <v>149</v>
      </c>
      <c r="E33" s="119">
        <f>'Эл.энергия (расход)_21'!W35</f>
        <v>5</v>
      </c>
      <c r="F33" s="296"/>
      <c r="G33" s="14"/>
      <c r="H33" s="115">
        <v>82</v>
      </c>
      <c r="I33" s="115">
        <v>4.28</v>
      </c>
      <c r="J33" s="117" t="s">
        <v>300</v>
      </c>
      <c r="K33" s="119">
        <f>'Эл.энергия (расход)_21'!W93</f>
      </c>
      <c r="L33" s="119"/>
    </row>
    <row r="34" ht="15.75" customHeight="1" spans="1:12" x14ac:dyDescent="0.25">
      <c r="A34" s="14"/>
      <c r="B34" s="115">
        <v>32</v>
      </c>
      <c r="C34" s="115">
        <v>3.96</v>
      </c>
      <c r="D34" s="117" t="s">
        <v>152</v>
      </c>
      <c r="E34" s="119">
        <f>'Эл.энергия (расход)_21'!W36</f>
        <v>1280</v>
      </c>
      <c r="F34" s="296"/>
      <c r="G34" s="14"/>
      <c r="H34" s="115">
        <v>84</v>
      </c>
      <c r="I34" s="115">
        <v>4.18</v>
      </c>
      <c r="J34" s="117" t="s">
        <v>301</v>
      </c>
      <c r="K34" s="119">
        <f>'Эл.энергия (расход)_21'!W94</f>
        <v>102</v>
      </c>
      <c r="L34" s="119"/>
    </row>
    <row r="35" ht="15.75" customHeight="1" spans="1:12" x14ac:dyDescent="0.25">
      <c r="A35" s="14"/>
      <c r="B35" s="115">
        <v>33</v>
      </c>
      <c r="C35" s="115">
        <v>4.01</v>
      </c>
      <c r="D35" s="117" t="s">
        <v>154</v>
      </c>
      <c r="E35" s="119">
        <f>'Эл.энергия (расход)_21'!W37</f>
        <v>33</v>
      </c>
      <c r="F35" s="296"/>
      <c r="G35" s="14"/>
      <c r="H35" s="115">
        <v>86</v>
      </c>
      <c r="I35" s="115">
        <v>4.23</v>
      </c>
      <c r="J35" s="117" t="s">
        <v>304</v>
      </c>
      <c r="K35" s="119">
        <f>'Эл.энергия (расход)_21'!W95</f>
      </c>
      <c r="L35" s="119"/>
    </row>
    <row r="36" ht="15.75" customHeight="1" spans="1:12" x14ac:dyDescent="0.25">
      <c r="A36" s="14"/>
      <c r="B36" s="115">
        <v>34</v>
      </c>
      <c r="C36" s="115">
        <v>4.01</v>
      </c>
      <c r="D36" s="117" t="s">
        <v>155</v>
      </c>
      <c r="E36" s="119">
        <f>'Эл.энергия (расход)_21'!W38</f>
        <v>5066</v>
      </c>
      <c r="F36" s="296"/>
      <c r="G36" s="14"/>
      <c r="H36" s="115">
        <v>88</v>
      </c>
      <c r="I36" s="115">
        <v>4.23</v>
      </c>
      <c r="J36" s="117" t="s">
        <v>308</v>
      </c>
      <c r="K36" s="119">
        <f>'Эл.энергия (расход)_21'!W96</f>
      </c>
      <c r="L36" s="119"/>
    </row>
    <row r="37" ht="15.75" customHeight="1" spans="1:12" x14ac:dyDescent="0.25">
      <c r="A37" s="14"/>
      <c r="B37" s="115">
        <v>35</v>
      </c>
      <c r="C37" s="115">
        <v>4.01</v>
      </c>
      <c r="D37" s="117" t="s">
        <v>157</v>
      </c>
      <c r="E37" s="119">
        <f>'Эл.энергия (расход)_21'!W39</f>
        <v>33</v>
      </c>
      <c r="F37" s="296"/>
      <c r="G37" s="14"/>
      <c r="H37" s="115">
        <v>90</v>
      </c>
      <c r="I37" s="115">
        <v>4.23</v>
      </c>
      <c r="J37" s="117" t="s">
        <v>311</v>
      </c>
      <c r="K37" s="119">
        <f>'Эл.энергия (расход)_21'!W97</f>
      </c>
      <c r="L37" s="119"/>
    </row>
    <row r="38" ht="15.75" customHeight="1" spans="1:12" x14ac:dyDescent="0.25">
      <c r="A38" s="14"/>
      <c r="B38" s="115">
        <v>36</v>
      </c>
      <c r="C38" s="115">
        <v>4.03</v>
      </c>
      <c r="D38" s="117" t="s">
        <v>160</v>
      </c>
      <c r="E38" s="119">
        <f>'Эл.энергия (расход)_21'!W40</f>
        <v>622</v>
      </c>
      <c r="F38" s="296"/>
      <c r="G38" s="14"/>
      <c r="H38" s="115">
        <v>92</v>
      </c>
      <c r="I38" s="115">
        <v>4.28</v>
      </c>
      <c r="J38" s="117" t="s">
        <v>312</v>
      </c>
      <c r="K38" s="119">
        <f>'Эл.энергия (расход)_21'!W98</f>
        <v>13840</v>
      </c>
      <c r="L38" s="119"/>
    </row>
    <row r="39" ht="15.75" customHeight="1" spans="1:12" x14ac:dyDescent="0.25">
      <c r="A39" s="14"/>
      <c r="B39" s="115">
        <v>37</v>
      </c>
      <c r="C39" s="115">
        <v>4.06</v>
      </c>
      <c r="D39" s="117" t="s">
        <v>162</v>
      </c>
      <c r="E39" s="119">
        <f>'Эл.энергия (расход)_21'!W41</f>
      </c>
      <c r="F39" s="296"/>
      <c r="G39" s="14"/>
      <c r="H39" s="115" t="s">
        <v>315</v>
      </c>
      <c r="I39" s="115">
        <v>4.36</v>
      </c>
      <c r="J39" s="117" t="s">
        <v>316</v>
      </c>
      <c r="K39" s="119">
        <f>'Эл.энергия (расход)_21'!W99</f>
        <v>50827</v>
      </c>
      <c r="L39" s="119"/>
    </row>
    <row r="40" ht="15.75" customHeight="1" spans="1:12" x14ac:dyDescent="0.25">
      <c r="A40" s="14"/>
      <c r="B40" s="115">
        <v>38</v>
      </c>
      <c r="C40" s="115">
        <v>4.34</v>
      </c>
      <c r="D40" s="117" t="s">
        <v>167</v>
      </c>
      <c r="E40" s="119">
        <f>'Эл.энергия (расход)_21'!W42</f>
        <v>19</v>
      </c>
      <c r="F40" s="296"/>
      <c r="H40" s="115" t="s">
        <v>315</v>
      </c>
      <c r="I40" s="116">
        <v>4.4</v>
      </c>
      <c r="J40" s="117" t="s">
        <v>316</v>
      </c>
      <c r="K40" s="119">
        <f>'Эл.энергия (расход)_21'!W100</f>
      </c>
      <c r="L40" s="119"/>
    </row>
    <row r="41" ht="15.75" customHeight="1" spans="1:12" x14ac:dyDescent="0.25">
      <c r="A41" s="21"/>
      <c r="B41" s="115">
        <v>39</v>
      </c>
      <c r="C41" s="116">
        <v>4</v>
      </c>
      <c r="D41" s="117" t="s">
        <v>169</v>
      </c>
      <c r="E41" s="119">
        <f>'Эл.энергия (расход)_21'!W43</f>
        <v>1030</v>
      </c>
      <c r="F41" s="296"/>
      <c r="G41" s="14"/>
      <c r="H41" s="115">
        <v>99</v>
      </c>
      <c r="I41" s="115">
        <v>4.53</v>
      </c>
      <c r="J41" s="117" t="s">
        <v>319</v>
      </c>
      <c r="K41" s="119">
        <f>'Эл.энергия (расход)_21'!W101</f>
        <v>245</v>
      </c>
      <c r="L41" s="119"/>
    </row>
    <row r="42" ht="15.75" customHeight="1" spans="1:12" x14ac:dyDescent="0.25">
      <c r="A42" s="114" t="s">
        <v>173</v>
      </c>
      <c r="B42" s="115">
        <v>40</v>
      </c>
      <c r="C42" s="115">
        <v>4.92</v>
      </c>
      <c r="D42" s="117" t="s">
        <v>174</v>
      </c>
      <c r="E42" s="119">
        <f>'Эл.энергия (расход)_21'!W44</f>
        <v>37799</v>
      </c>
      <c r="F42" s="296"/>
      <c r="G42" s="14"/>
      <c r="H42" s="115">
        <v>101</v>
      </c>
      <c r="I42" s="115">
        <v>4.46</v>
      </c>
      <c r="J42" s="117" t="s">
        <v>321</v>
      </c>
      <c r="K42" s="119">
        <f>'Эл.энергия (расход)_21'!W102</f>
        <v>195</v>
      </c>
      <c r="L42" s="119"/>
    </row>
    <row r="43" ht="15.75" customHeight="1" spans="1:12" x14ac:dyDescent="0.25">
      <c r="A43" s="14"/>
      <c r="B43" s="115">
        <v>41</v>
      </c>
      <c r="C43" s="115">
        <v>4.87</v>
      </c>
      <c r="D43" s="117" t="s">
        <v>177</v>
      </c>
      <c r="E43" s="119">
        <f>'Эл.энергия (расход)_21'!W45</f>
        <v>300</v>
      </c>
      <c r="F43" s="296"/>
      <c r="G43" s="14"/>
      <c r="H43" s="115">
        <v>103</v>
      </c>
      <c r="I43" s="115">
        <v>4.42</v>
      </c>
      <c r="J43" s="117" t="s">
        <v>322</v>
      </c>
      <c r="K43" s="119">
        <f>'Эл.энергия (расход)_21'!W103</f>
        <v>3</v>
      </c>
      <c r="L43" s="119"/>
    </row>
    <row r="44" ht="15.75" customHeight="1" spans="1:12" x14ac:dyDescent="0.25">
      <c r="A44" s="14"/>
      <c r="B44" s="115">
        <v>42</v>
      </c>
      <c r="C44" s="116">
        <v>4.9</v>
      </c>
      <c r="D44" s="2" t="s">
        <v>181</v>
      </c>
      <c r="E44" s="119">
        <f>'Эл.энергия (расход)_21'!W46</f>
        <v>19300</v>
      </c>
      <c r="F44" s="296"/>
      <c r="G44" s="14"/>
      <c r="H44" s="115">
        <v>105</v>
      </c>
      <c r="I44" s="115">
        <v>4.41</v>
      </c>
      <c r="J44" s="117" t="s">
        <v>323</v>
      </c>
      <c r="K44" s="119">
        <f>'Эл.энергия (расход)_21'!W104</f>
        <v>2540</v>
      </c>
      <c r="L44" s="119"/>
    </row>
    <row r="45" ht="15.75" customHeight="1" spans="1:12" x14ac:dyDescent="0.25">
      <c r="A45" s="14"/>
      <c r="B45" s="115">
        <v>43</v>
      </c>
      <c r="C45" s="115">
        <v>4.96</v>
      </c>
      <c r="D45" s="117" t="s">
        <v>185</v>
      </c>
      <c r="E45" s="119">
        <f>'Эл.энергия (расход)_21'!W47</f>
        <v>2040</v>
      </c>
      <c r="F45" s="296"/>
      <c r="G45" s="21"/>
      <c r="H45" s="115">
        <v>107</v>
      </c>
      <c r="I45" s="115">
        <v>4.37</v>
      </c>
      <c r="J45" s="117" t="s">
        <v>325</v>
      </c>
      <c r="K45" s="119">
        <f>'Эл.энергия (расход)_21'!W105</f>
        <v>695</v>
      </c>
      <c r="L45" s="119"/>
    </row>
    <row r="46" ht="15.75" customHeight="1" spans="1:12" x14ac:dyDescent="0.25">
      <c r="A46" s="14"/>
      <c r="B46" s="115">
        <v>44</v>
      </c>
      <c r="C46" s="115">
        <v>4.01</v>
      </c>
      <c r="D46" s="15" t="s">
        <v>412</v>
      </c>
      <c r="E46" s="119">
        <f>'Эл.энергия (расход)_21'!W48</f>
        <v>34</v>
      </c>
      <c r="F46" s="296"/>
      <c r="G46" s="114" t="s">
        <v>327</v>
      </c>
      <c r="H46" s="115">
        <v>96</v>
      </c>
      <c r="I46" s="115">
        <v>4.46</v>
      </c>
      <c r="J46" s="117" t="s">
        <v>450</v>
      </c>
      <c r="K46" s="119">
        <f>'Эл.энергия (расход)_21'!W106</f>
      </c>
      <c r="L46" s="119"/>
    </row>
    <row r="47" ht="15.75" customHeight="1" spans="1:12" x14ac:dyDescent="0.25">
      <c r="A47" s="14"/>
      <c r="B47" s="115">
        <v>45</v>
      </c>
      <c r="C47" s="115">
        <v>5.04</v>
      </c>
      <c r="D47" s="117" t="s">
        <v>189</v>
      </c>
      <c r="E47" s="119">
        <f>'Эл.энергия (расход)_21'!W49</f>
        <v>13</v>
      </c>
      <c r="F47" s="296"/>
      <c r="G47" s="14"/>
      <c r="H47" s="115">
        <v>98</v>
      </c>
      <c r="I47" s="115">
        <v>4.45</v>
      </c>
      <c r="J47" s="117" t="s">
        <v>328</v>
      </c>
      <c r="K47" s="119">
        <f>'Эл.энергия (расход)_21'!W107</f>
      </c>
      <c r="L47" s="119"/>
    </row>
    <row r="48" ht="15.75" customHeight="1" spans="1:12" x14ac:dyDescent="0.25">
      <c r="A48" s="14"/>
      <c r="B48" s="115">
        <v>46</v>
      </c>
      <c r="C48" s="116">
        <v>4</v>
      </c>
      <c r="D48" s="117" t="s">
        <v>188</v>
      </c>
      <c r="E48" s="119">
        <f>'Эл.энергия (расход)_21'!W50</f>
        <v>4188</v>
      </c>
      <c r="F48" s="296"/>
      <c r="G48" s="14"/>
      <c r="H48" s="115">
        <v>100</v>
      </c>
      <c r="I48" s="115">
        <v>4.47</v>
      </c>
      <c r="J48" s="117" t="s">
        <v>330</v>
      </c>
      <c r="K48" s="119">
        <f>'Эл.энергия (расход)_21'!W108</f>
        <v>1129</v>
      </c>
      <c r="L48" s="119"/>
    </row>
    <row r="49" ht="15.75" customHeight="1" spans="1:12" x14ac:dyDescent="0.25">
      <c r="A49" s="14"/>
      <c r="B49" s="115">
        <v>47</v>
      </c>
      <c r="C49" s="116">
        <v>5</v>
      </c>
      <c r="D49" s="117" t="s">
        <v>192</v>
      </c>
      <c r="E49" s="119">
        <f>'Эл.энергия (расход)_21'!W51</f>
        <v>165</v>
      </c>
      <c r="F49" s="296"/>
      <c r="G49" s="14"/>
      <c r="H49" s="115">
        <v>102</v>
      </c>
      <c r="I49" s="115">
        <v>4.45</v>
      </c>
      <c r="J49" s="117" t="s">
        <v>331</v>
      </c>
      <c r="K49" s="119">
        <f>'Эл.энергия (расход)_21'!W109</f>
        <v>4026</v>
      </c>
      <c r="L49" s="119"/>
    </row>
    <row r="50" ht="15.75" customHeight="1" spans="1:12" x14ac:dyDescent="0.25">
      <c r="A50" s="14"/>
      <c r="B50" s="115">
        <v>48</v>
      </c>
      <c r="C50" s="115">
        <v>5.93</v>
      </c>
      <c r="D50" s="117" t="s">
        <v>97</v>
      </c>
      <c r="E50" s="119">
        <f>'Эл.энергия (расход)_21'!W52</f>
      </c>
      <c r="F50" s="296"/>
      <c r="G50" s="14"/>
      <c r="H50" s="115">
        <v>104</v>
      </c>
      <c r="I50" s="115">
        <v>4.42</v>
      </c>
      <c r="J50" s="117" t="s">
        <v>333</v>
      </c>
      <c r="K50" s="119">
        <f>'Эл.энергия (расход)_21'!W110</f>
        <v>1196</v>
      </c>
      <c r="L50" s="119"/>
    </row>
    <row r="51" ht="15.75" customHeight="1" spans="1:12" x14ac:dyDescent="0.25">
      <c r="A51" s="14"/>
      <c r="B51" s="115">
        <v>49</v>
      </c>
      <c r="C51" s="115">
        <v>5.03</v>
      </c>
      <c r="D51" s="117" t="s">
        <v>197</v>
      </c>
      <c r="E51" s="119">
        <f>'Эл.энергия (расход)_21'!W53</f>
      </c>
      <c r="F51" s="296"/>
      <c r="G51" s="14"/>
      <c r="H51" s="115">
        <v>106</v>
      </c>
      <c r="I51" s="115">
        <v>4.57</v>
      </c>
      <c r="J51" s="117" t="s">
        <v>336</v>
      </c>
      <c r="K51" s="119">
        <f>'Эл.энергия (расход)_21'!W111</f>
      </c>
      <c r="L51" s="119"/>
    </row>
    <row r="52" ht="15.75" customHeight="1" spans="1:12" x14ac:dyDescent="0.25">
      <c r="A52" s="14"/>
      <c r="B52" s="115">
        <v>50</v>
      </c>
      <c r="C52" s="115">
        <v>6.05</v>
      </c>
      <c r="D52" s="117" t="s">
        <v>200</v>
      </c>
      <c r="E52" s="119">
        <f>'Эл.энергия (расход)_21'!W54</f>
        <v>8867</v>
      </c>
      <c r="F52" s="296"/>
      <c r="G52" s="14"/>
      <c r="H52" s="115">
        <v>108</v>
      </c>
      <c r="I52" s="115">
        <v>4.32</v>
      </c>
      <c r="J52" s="117" t="s">
        <v>339</v>
      </c>
      <c r="K52" s="119">
        <f>'Эл.энергия (расход)_21'!W112</f>
      </c>
      <c r="L52" s="119"/>
    </row>
    <row r="53" ht="15.75" customHeight="1" spans="1:12" x14ac:dyDescent="0.25">
      <c r="A53" s="14"/>
      <c r="B53" s="115">
        <v>51</v>
      </c>
      <c r="C53" s="115">
        <v>4.95</v>
      </c>
      <c r="D53" s="117" t="s">
        <v>204</v>
      </c>
      <c r="E53" s="119">
        <f>'Эл.энергия (расход)_21'!W55</f>
        <v>1924</v>
      </c>
      <c r="F53" s="296"/>
      <c r="G53" s="14"/>
      <c r="H53" s="115">
        <v>109</v>
      </c>
      <c r="I53" s="115">
        <v>6.22</v>
      </c>
      <c r="J53" s="2" t="s">
        <v>455</v>
      </c>
      <c r="K53" s="119">
        <f>'Эл.энергия (расход)_21'!W113</f>
        <v>46</v>
      </c>
      <c r="L53" s="119"/>
    </row>
    <row r="54" ht="15.75" customHeight="1" spans="1:12" x14ac:dyDescent="0.25">
      <c r="A54" s="14"/>
      <c r="B54" s="115">
        <v>52</v>
      </c>
      <c r="C54" s="116">
        <v>5</v>
      </c>
      <c r="D54" s="117" t="s">
        <v>206</v>
      </c>
      <c r="E54" s="119">
        <f>'Эл.энергия (расход)_21'!W56</f>
        <v>180</v>
      </c>
      <c r="F54" s="296"/>
      <c r="G54" s="14"/>
      <c r="H54" s="115">
        <v>110</v>
      </c>
      <c r="I54" s="115">
        <v>4.91</v>
      </c>
      <c r="J54" s="117" t="s">
        <v>342</v>
      </c>
      <c r="K54" s="119">
        <f>'Эл.энергия (расход)_21'!W114</f>
        <v>154</v>
      </c>
      <c r="L54" s="119"/>
    </row>
    <row r="55" ht="15.75" customHeight="1" spans="1:12" x14ac:dyDescent="0.25">
      <c r="A55" s="14"/>
      <c r="B55" s="115">
        <v>53</v>
      </c>
      <c r="C55" s="115">
        <v>5.05</v>
      </c>
      <c r="D55" s="117" t="s">
        <v>210</v>
      </c>
      <c r="E55" s="119">
        <f>'Эл.энергия (расход)_21'!W57</f>
        <v>19826</v>
      </c>
      <c r="F55" s="296"/>
      <c r="G55" s="14"/>
      <c r="H55" s="115">
        <v>111</v>
      </c>
      <c r="I55" s="116">
        <v>6.8</v>
      </c>
      <c r="J55" s="117" t="s">
        <v>280</v>
      </c>
      <c r="K55" s="119">
        <f>'Эл.энергия (расход)_21'!W115</f>
        <v>6151</v>
      </c>
      <c r="L55" s="119"/>
    </row>
    <row r="56" ht="15.75" customHeight="1" spans="1:12" x14ac:dyDescent="0.25">
      <c r="A56" s="14"/>
      <c r="B56" s="115">
        <v>54</v>
      </c>
      <c r="C56" s="115">
        <v>5.54</v>
      </c>
      <c r="D56" s="117" t="s">
        <v>212</v>
      </c>
      <c r="E56" s="119">
        <f>'Эл.энергия (расход)_21'!W58</f>
        <v>449</v>
      </c>
      <c r="F56" s="296"/>
      <c r="G56" s="14"/>
      <c r="H56" s="115">
        <v>112</v>
      </c>
      <c r="I56" s="115">
        <v>4.94</v>
      </c>
      <c r="J56" s="117" t="s">
        <v>347</v>
      </c>
      <c r="K56" s="119">
        <f>'Эл.энергия (расход)_21'!W116</f>
        <v>186</v>
      </c>
      <c r="L56" s="119"/>
    </row>
    <row r="57" ht="15.75" customHeight="1" spans="1:12" x14ac:dyDescent="0.25">
      <c r="A57" s="21"/>
      <c r="B57" s="115">
        <v>55</v>
      </c>
      <c r="C57" s="116">
        <v>5.5</v>
      </c>
      <c r="D57" s="117" t="s">
        <v>214</v>
      </c>
      <c r="E57" s="119">
        <f>'Эл.энергия (расход)_21'!W59</f>
        <v>617</v>
      </c>
      <c r="F57" s="296"/>
      <c r="G57" s="14"/>
      <c r="H57" s="115">
        <v>113</v>
      </c>
      <c r="I57" s="115">
        <v>4.98</v>
      </c>
      <c r="J57" s="117" t="s">
        <v>348</v>
      </c>
      <c r="K57" s="119">
        <f>'Эл.энергия (расход)_21'!W117</f>
        <v>2</v>
      </c>
      <c r="L57" s="119"/>
    </row>
    <row r="58" ht="15.75" customHeight="1" spans="1:12" x14ac:dyDescent="0.25">
      <c r="A58" s="114" t="s">
        <v>217</v>
      </c>
      <c r="B58" s="115">
        <v>56</v>
      </c>
      <c r="C58" s="115">
        <v>6.23</v>
      </c>
      <c r="D58" s="117" t="s">
        <v>423</v>
      </c>
      <c r="E58" s="119">
        <f>'Эл.энергия (расход)_21'!W60</f>
        <v>27340</v>
      </c>
      <c r="F58" s="296"/>
      <c r="G58" s="14"/>
      <c r="H58" s="118">
        <v>114</v>
      </c>
      <c r="I58" s="115">
        <v>4.86</v>
      </c>
      <c r="J58" s="117" t="s">
        <v>245</v>
      </c>
      <c r="K58" s="119">
        <f>'Эл.энергия (расход)_21'!W118</f>
        <v>902</v>
      </c>
      <c r="L58" s="119"/>
    </row>
    <row r="59" ht="15.75" customHeight="1" spans="1:6" x14ac:dyDescent="0.25">
      <c r="A59" s="14"/>
      <c r="B59" s="115">
        <v>57</v>
      </c>
      <c r="C59" s="116">
        <v>4</v>
      </c>
      <c r="D59" s="2" t="s">
        <v>502</v>
      </c>
      <c r="E59" s="119">
        <f>'Эл.энергия (расход)_21'!W61</f>
        <v>707</v>
      </c>
      <c r="F59" s="296"/>
    </row>
    <row r="60" ht="15.75" customHeight="1" spans="1:12" x14ac:dyDescent="0.25">
      <c r="A60" s="21"/>
      <c r="B60" s="115">
        <v>59</v>
      </c>
      <c r="C60" s="116">
        <v>4</v>
      </c>
      <c r="D60" s="117" t="s">
        <v>221</v>
      </c>
      <c r="E60" s="119">
        <f>'Эл.энергия (расход)_21'!W62</f>
        <v>949</v>
      </c>
      <c r="F60" s="296"/>
      <c r="G60" s="115" t="s">
        <v>350</v>
      </c>
      <c r="H60" s="117"/>
      <c r="I60" s="117"/>
      <c r="J60" s="117"/>
      <c r="K60" s="119">
        <f>SUM(E3:E60,K3:K58)</f>
        <v>359986</v>
      </c>
      <c r="L60" s="117"/>
    </row>
    <row r="61" ht="15.75" customHeight="1" spans="1:11" x14ac:dyDescent="0.25">
      <c r="A61" s="15"/>
      <c r="B61" s="112"/>
      <c r="C61" s="112"/>
      <c r="K61" s="2" t="b">
        <f>K60='Эл.энергия (расход)_21'!W119</f>
        <v>1</v>
      </c>
    </row>
    <row r="62" ht="15.75" customHeight="1" spans="1:3" x14ac:dyDescent="0.25">
      <c r="A62" s="15"/>
      <c r="B62" s="112"/>
      <c r="C62" s="112"/>
    </row>
    <row r="63" ht="15.75" customHeight="1" spans="1:3" x14ac:dyDescent="0.25">
      <c r="A63" s="15"/>
      <c r="B63" s="112"/>
      <c r="C63" s="112"/>
    </row>
    <row r="64" ht="15.75" customHeight="1" spans="1:3" x14ac:dyDescent="0.25">
      <c r="A64" s="15"/>
      <c r="B64" s="112"/>
      <c r="C64" s="112"/>
    </row>
    <row r="65" ht="15.75" customHeight="1" spans="1:3" x14ac:dyDescent="0.25">
      <c r="A65" s="15"/>
      <c r="B65" s="112"/>
      <c r="C65" s="112"/>
    </row>
    <row r="66" ht="15.75" customHeight="1" spans="1:3" x14ac:dyDescent="0.25">
      <c r="A66" s="15"/>
      <c r="B66" s="112"/>
      <c r="C66" s="112"/>
    </row>
    <row r="67" ht="15.75" customHeight="1" spans="1:3" x14ac:dyDescent="0.25">
      <c r="A67" s="15"/>
      <c r="B67" s="112"/>
      <c r="C67" s="112"/>
    </row>
    <row r="68" ht="15.75" customHeight="1" spans="1:3" x14ac:dyDescent="0.25">
      <c r="A68" s="15"/>
      <c r="B68" s="112"/>
      <c r="C68" s="112"/>
    </row>
    <row r="69" ht="15.75" customHeight="1" spans="1:3" x14ac:dyDescent="0.25">
      <c r="A69" s="15"/>
      <c r="B69" s="112"/>
      <c r="C69" s="112"/>
    </row>
    <row r="70" ht="15.75" customHeight="1" spans="1:3" x14ac:dyDescent="0.25">
      <c r="A70" s="15"/>
      <c r="B70" s="112"/>
      <c r="C70" s="112"/>
    </row>
    <row r="71" ht="15.75" customHeight="1" spans="1:3" x14ac:dyDescent="0.25">
      <c r="A71" s="15"/>
      <c r="B71" s="112"/>
      <c r="C71" s="112"/>
    </row>
    <row r="72" ht="15.75" customHeight="1" spans="1:3" x14ac:dyDescent="0.25">
      <c r="A72" s="15"/>
      <c r="B72" s="112"/>
      <c r="C72" s="112"/>
    </row>
    <row r="73" ht="15.75" customHeight="1" spans="1:3" x14ac:dyDescent="0.25">
      <c r="A73" s="15"/>
      <c r="B73" s="112"/>
      <c r="C73" s="112"/>
    </row>
    <row r="74" ht="15.75" customHeight="1" spans="1:3" x14ac:dyDescent="0.25">
      <c r="A74" s="15"/>
      <c r="B74" s="112"/>
      <c r="C74" s="112"/>
    </row>
    <row r="75" ht="15.75" customHeight="1" spans="1:3" x14ac:dyDescent="0.25">
      <c r="A75" s="15"/>
      <c r="B75" s="112"/>
      <c r="C75" s="112"/>
    </row>
    <row r="76" ht="15.75" customHeight="1" spans="1:3" x14ac:dyDescent="0.25">
      <c r="A76" s="15"/>
      <c r="B76" s="112"/>
      <c r="C76" s="112"/>
    </row>
    <row r="77" ht="15.75" customHeight="1" spans="1:3" x14ac:dyDescent="0.25">
      <c r="A77" s="15"/>
      <c r="B77" s="112"/>
      <c r="C77" s="112"/>
    </row>
    <row r="78" ht="15.75" customHeight="1" spans="1:3" x14ac:dyDescent="0.25">
      <c r="A78" s="15"/>
      <c r="B78" s="112"/>
      <c r="C78" s="112"/>
    </row>
    <row r="79" ht="15.75" customHeight="1" spans="1:3" x14ac:dyDescent="0.25">
      <c r="A79" s="15"/>
      <c r="B79" s="112"/>
      <c r="C79" s="112"/>
    </row>
    <row r="80" ht="15.75" customHeight="1" spans="1:3" x14ac:dyDescent="0.25">
      <c r="A80" s="15"/>
      <c r="B80" s="112"/>
      <c r="C80" s="112"/>
    </row>
    <row r="81" ht="15.75" customHeight="1" spans="1:3" x14ac:dyDescent="0.25">
      <c r="A81" s="15"/>
      <c r="B81" s="112"/>
      <c r="C81" s="112"/>
    </row>
    <row r="82" ht="15.75" customHeight="1" spans="1:3" x14ac:dyDescent="0.25">
      <c r="A82" s="15"/>
      <c r="B82" s="112"/>
      <c r="C82" s="112"/>
    </row>
    <row r="83" ht="15.75" customHeight="1" spans="1:3" x14ac:dyDescent="0.25">
      <c r="A83" s="15"/>
      <c r="B83" s="112"/>
      <c r="C83" s="112"/>
    </row>
    <row r="84" ht="15.75" customHeight="1" spans="1:3" x14ac:dyDescent="0.25">
      <c r="A84" s="15"/>
      <c r="B84" s="112"/>
      <c r="C84" s="112"/>
    </row>
    <row r="85" ht="15.75" customHeight="1" spans="1:3" x14ac:dyDescent="0.25">
      <c r="A85" s="15"/>
      <c r="B85" s="112"/>
      <c r="C85" s="112"/>
    </row>
    <row r="86" ht="15.75" customHeight="1" spans="1:3" x14ac:dyDescent="0.25">
      <c r="A86" s="15"/>
      <c r="B86" s="112"/>
      <c r="C86" s="112"/>
    </row>
    <row r="87" ht="15.75" customHeight="1" spans="1:3" x14ac:dyDescent="0.25">
      <c r="A87" s="15"/>
      <c r="B87" s="112"/>
      <c r="C87" s="112"/>
    </row>
    <row r="88" ht="15.75" customHeight="1" spans="1:3" x14ac:dyDescent="0.25">
      <c r="A88" s="15"/>
      <c r="B88" s="112"/>
      <c r="C88" s="112"/>
    </row>
    <row r="89" ht="15.75" customHeight="1" spans="1:3" x14ac:dyDescent="0.25">
      <c r="A89" s="15"/>
      <c r="B89" s="112"/>
      <c r="C89" s="112"/>
    </row>
    <row r="90" ht="15.75" customHeight="1" spans="1:3" x14ac:dyDescent="0.25">
      <c r="A90" s="15"/>
      <c r="B90" s="112"/>
      <c r="C90" s="112"/>
    </row>
    <row r="91" ht="15.75" customHeight="1" spans="1:3" x14ac:dyDescent="0.25">
      <c r="A91" s="15"/>
      <c r="B91" s="112"/>
      <c r="C91" s="112"/>
    </row>
    <row r="92" ht="15.75" customHeight="1" spans="1:3" x14ac:dyDescent="0.25">
      <c r="A92" s="15"/>
      <c r="B92" s="112"/>
      <c r="C92" s="112"/>
    </row>
    <row r="93" ht="15.75" customHeight="1" spans="1:3" x14ac:dyDescent="0.25">
      <c r="A93" s="15"/>
      <c r="B93" s="112"/>
      <c r="C93" s="112"/>
    </row>
    <row r="94" ht="15.75" customHeight="1" spans="1:3" x14ac:dyDescent="0.25">
      <c r="A94" s="15"/>
      <c r="B94" s="112"/>
      <c r="C94" s="112"/>
    </row>
    <row r="95" ht="15.75" customHeight="1" spans="1:3" x14ac:dyDescent="0.25">
      <c r="A95" s="15"/>
      <c r="B95" s="112"/>
      <c r="C95" s="112"/>
    </row>
    <row r="96" ht="15.75" customHeight="1" spans="1:3" x14ac:dyDescent="0.25">
      <c r="A96" s="15"/>
      <c r="B96" s="112"/>
      <c r="C96" s="112"/>
    </row>
    <row r="97" ht="15.75" customHeight="1" spans="1:3" x14ac:dyDescent="0.25">
      <c r="A97" s="15"/>
      <c r="B97" s="112"/>
      <c r="C97" s="112"/>
    </row>
    <row r="98" ht="15.75" customHeight="1" spans="1:3" x14ac:dyDescent="0.25">
      <c r="A98" s="15"/>
      <c r="B98" s="112"/>
      <c r="C98" s="112"/>
    </row>
    <row r="99" ht="15.75" customHeight="1" spans="1:3" x14ac:dyDescent="0.25">
      <c r="A99" s="15"/>
      <c r="B99" s="112"/>
      <c r="C99" s="112"/>
    </row>
    <row r="100" ht="15.75" customHeight="1" spans="1:3" x14ac:dyDescent="0.25">
      <c r="A100" s="15"/>
      <c r="B100" s="112"/>
      <c r="C100" s="112"/>
    </row>
    <row r="101" ht="15.75" customHeight="1" spans="1:3" x14ac:dyDescent="0.25">
      <c r="A101" s="15"/>
      <c r="B101" s="112"/>
      <c r="C101" s="112"/>
    </row>
    <row r="102" ht="15.75" customHeight="1" spans="1:3" x14ac:dyDescent="0.25">
      <c r="A102" s="15"/>
      <c r="B102" s="112"/>
      <c r="C102" s="112"/>
    </row>
    <row r="103" ht="15.75" customHeight="1" spans="1:3" x14ac:dyDescent="0.25">
      <c r="A103" s="15"/>
      <c r="B103" s="112"/>
      <c r="C103" s="112"/>
    </row>
    <row r="104" ht="15.75" customHeight="1" spans="1:3" x14ac:dyDescent="0.25">
      <c r="A104" s="15"/>
      <c r="B104" s="112"/>
      <c r="C104" s="112"/>
    </row>
    <row r="105" ht="15.75" customHeight="1" spans="1:3" x14ac:dyDescent="0.25">
      <c r="A105" s="15"/>
      <c r="B105" s="112"/>
      <c r="C105" s="112"/>
    </row>
    <row r="106" ht="15.75" customHeight="1" spans="1:3" x14ac:dyDescent="0.25">
      <c r="A106" s="15"/>
      <c r="B106" s="112"/>
      <c r="C106" s="112"/>
    </row>
    <row r="107" ht="15.75" customHeight="1" spans="1:3" x14ac:dyDescent="0.25">
      <c r="A107" s="15"/>
      <c r="B107" s="112"/>
      <c r="C107" s="112"/>
    </row>
    <row r="108" ht="15.75" customHeight="1" spans="1:3" x14ac:dyDescent="0.25">
      <c r="A108" s="15"/>
      <c r="B108" s="112"/>
      <c r="C108" s="112"/>
    </row>
    <row r="109" ht="15.75" customHeight="1" spans="1:3" x14ac:dyDescent="0.25">
      <c r="A109" s="15"/>
      <c r="B109" s="112"/>
      <c r="C109" s="112"/>
    </row>
    <row r="110" ht="15.75" customHeight="1" spans="1:3" x14ac:dyDescent="0.25">
      <c r="A110" s="15"/>
      <c r="B110" s="112"/>
      <c r="C110" s="112"/>
    </row>
    <row r="111" ht="15.75" customHeight="1" spans="1:3" x14ac:dyDescent="0.25">
      <c r="A111" s="15"/>
      <c r="B111" s="112"/>
      <c r="C111" s="112"/>
    </row>
    <row r="112" ht="15.75" customHeight="1" spans="1:3" x14ac:dyDescent="0.25">
      <c r="A112" s="15"/>
      <c r="B112" s="112"/>
      <c r="C112" s="112"/>
    </row>
    <row r="113" ht="15.75" customHeight="1" hidden="1" spans="1:5" x14ac:dyDescent="0.25" outlineLevel="1" collapsed="1">
      <c r="A113" s="15"/>
      <c r="B113" s="112"/>
      <c r="C113" s="112"/>
      <c r="E113" s="120" t="b">
        <f>G101='2019'!Y867</f>
        <v>0</v>
      </c>
    </row>
    <row r="114" ht="15.75" customHeight="1" spans="1:5" x14ac:dyDescent="0.25">
      <c r="A114" s="15"/>
      <c r="B114" s="112"/>
      <c r="C114" s="112"/>
      <c r="E114" s="120"/>
    </row>
    <row r="115" ht="15.75" customHeight="1" spans="1:3" x14ac:dyDescent="0.25">
      <c r="A115" s="15"/>
      <c r="B115" s="112"/>
      <c r="C115" s="112"/>
    </row>
    <row r="116" ht="15.75" customHeight="1" spans="1:3" x14ac:dyDescent="0.25">
      <c r="A116" s="15"/>
      <c r="B116" s="112"/>
      <c r="C116" s="112"/>
    </row>
    <row r="117" ht="15.75" customHeight="1" spans="1:3" x14ac:dyDescent="0.25">
      <c r="A117" s="15"/>
      <c r="B117" s="112"/>
      <c r="C117" s="112"/>
    </row>
    <row r="118" ht="15.75" customHeight="1" spans="1:3" x14ac:dyDescent="0.25">
      <c r="A118" s="15"/>
      <c r="B118" s="112"/>
      <c r="C118" s="112"/>
    </row>
    <row r="119" ht="15.75" customHeight="1" spans="1:3" x14ac:dyDescent="0.25">
      <c r="A119" s="15"/>
      <c r="B119" s="112"/>
      <c r="C119" s="112"/>
    </row>
    <row r="120" ht="15.75" customHeight="1" spans="1:3" x14ac:dyDescent="0.25">
      <c r="A120" s="15"/>
      <c r="B120" s="112"/>
      <c r="C120" s="112"/>
    </row>
    <row r="121" ht="15.75" customHeight="1" spans="1:3" x14ac:dyDescent="0.25">
      <c r="A121" s="15"/>
      <c r="B121" s="112"/>
      <c r="C121" s="112"/>
    </row>
    <row r="122" ht="15.75" customHeight="1" spans="1:3" x14ac:dyDescent="0.25">
      <c r="A122" s="15"/>
      <c r="B122" s="112"/>
      <c r="C122" s="112"/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875" right="0" top="0.196527777777778" bottom="0" header="0" footer="0"/>
  <pageSetup paperSize="9"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</sheetPr>
  <dimension ref="A1:BL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14" outlineLevel="1" collapsed="1" customWidth="1"/>
    <col min="2" max="2" width="9.86" customWidth="1"/>
    <col min="3" max="3" width="6.43" outlineLevel="1" collapsed="1" customWidth="1"/>
    <col min="4" max="4" width="13.86" outlineLevel="1" collapsed="1" customWidth="1"/>
    <col min="5" max="6" width="7.14" customWidth="1"/>
    <col min="7" max="8" width="8.86" customWidth="1"/>
    <col min="9" max="10" width="7.14" customWidth="1"/>
    <col min="11" max="11" width="8.86" customWidth="1"/>
    <col min="12" max="12" width="11.14" customWidth="1"/>
    <col min="13" max="13" width="9.43" outlineLevel="1" collapsed="1" customWidth="1"/>
    <col min="14" max="14" width="9.14" outlineLevel="1" collapsed="1" customWidth="1"/>
    <col min="15" max="15" width="12" outlineLevel="1" collapsed="1" customWidth="1"/>
    <col min="16" max="16" width="11.14" outlineLevel="1" collapsed="1" customWidth="1"/>
    <col min="17" max="17" width="10" outlineLevel="1" collapsed="1" customWidth="1"/>
    <col min="18" max="18" width="9" outlineLevel="1" collapsed="1" customWidth="1"/>
    <col min="19" max="19" width="12" outlineLevel="1" collapsed="1" customWidth="1"/>
    <col min="20" max="20" width="11.14" outlineLevel="1" collapsed="1" customWidth="1"/>
    <col min="21" max="21" width="9.43" outlineLevel="1" collapsed="1" customWidth="1"/>
    <col min="22" max="22" width="9" outlineLevel="1" collapsed="1" customWidth="1"/>
    <col min="23" max="23" width="12" outlineLevel="1" collapsed="1" customWidth="1"/>
    <col min="24" max="24" width="11.14" outlineLevel="1" collapsed="1" customWidth="1"/>
    <col min="25" max="25" width="9.43" outlineLevel="1" collapsed="1" customWidth="1"/>
    <col min="26" max="26" width="9" outlineLevel="1" collapsed="1" customWidth="1"/>
    <col min="27" max="27" width="12" outlineLevel="1" collapsed="1" customWidth="1"/>
    <col min="28" max="28" width="11.14" outlineLevel="1" collapsed="1" customWidth="1"/>
    <col min="29" max="29" width="9.43" outlineLevel="1" collapsed="1" customWidth="1"/>
    <col min="30" max="30" width="9" outlineLevel="1" collapsed="1" customWidth="1"/>
    <col min="31" max="31" width="12" outlineLevel="1" collapsed="1" customWidth="1"/>
    <col min="32" max="32" width="11.14" outlineLevel="1" collapsed="1" customWidth="1"/>
    <col min="33" max="33" width="9.14" outlineLevel="1" collapsed="1" customWidth="1"/>
    <col min="34" max="34" width="9" outlineLevel="1" collapsed="1" customWidth="1"/>
    <col min="35" max="35" width="12" outlineLevel="1" collapsed="1" customWidth="1"/>
    <col min="36" max="36" width="11.14" outlineLevel="1" collapsed="1" customWidth="1"/>
    <col min="37" max="37" width="9.43" outlineLevel="1" collapsed="1" customWidth="1"/>
    <col min="38" max="38" width="9" outlineLevel="1" collapsed="1" customWidth="1"/>
    <col min="39" max="39" width="12" outlineLevel="1" collapsed="1" customWidth="1"/>
    <col min="40" max="40" width="11.14" outlineLevel="1" collapsed="1" customWidth="1"/>
    <col min="41" max="41" width="9.14" outlineLevel="1" collapsed="1" customWidth="1"/>
    <col min="42" max="42" width="9" outlineLevel="1" collapsed="1" customWidth="1"/>
    <col min="43" max="43" width="12" outlineLevel="1" collapsed="1" customWidth="1"/>
    <col min="44" max="44" width="11.14" outlineLevel="1" collapsed="1" customWidth="1"/>
    <col min="45" max="45" width="9.43" outlineLevel="1" collapsed="1" customWidth="1"/>
    <col min="46" max="46" width="9" outlineLevel="1" collapsed="1" customWidth="1"/>
    <col min="47" max="47" width="12" outlineLevel="1" collapsed="1" customWidth="1"/>
    <col min="48" max="48" width="11.14" outlineLevel="1" collapsed="1" customWidth="1"/>
    <col min="49" max="49" width="8.14" outlineLevel="1" collapsed="1" customWidth="1"/>
    <col min="50" max="50" width="9.14" outlineLevel="1" collapsed="1" customWidth="1"/>
    <col min="51" max="51" width="11.43" outlineLevel="1" collapsed="1" customWidth="1"/>
    <col min="52" max="52" width="9" outlineLevel="1" collapsed="1" customWidth="1"/>
    <col min="53" max="53" width="12" outlineLevel="1" collapsed="1" customWidth="1"/>
    <col min="54" max="54" width="11.14" outlineLevel="1" collapsed="1" customWidth="1"/>
    <col min="55" max="55" width="9" outlineLevel="1" collapsed="1" customWidth="1"/>
    <col min="56" max="56" width="12" outlineLevel="1" collapsed="1" customWidth="1"/>
    <col min="57" max="57" width="9.43" customWidth="1"/>
    <col min="58" max="59" width="9.86" customWidth="1"/>
    <col min="60" max="60" width="8.86" customWidth="1"/>
    <col min="61" max="61" width="9.14" outlineLevel="1" collapsed="1" customWidth="1"/>
    <col min="62" max="62" width="9.86" outlineLevel="1" collapsed="1" customWidth="1"/>
    <col min="63" max="63" width="8.86" customWidth="1"/>
    <col min="64" max="64" width="8.43" customWidth="1"/>
  </cols>
  <sheetData>
    <row r="1" spans="1:57" x14ac:dyDescent="0.25">
      <c r="A1" s="15"/>
      <c r="B1" s="1" t="s">
        <v>539</v>
      </c>
      <c r="C1" s="112"/>
      <c r="G1" s="1"/>
      <c r="H1" s="1"/>
      <c r="I1" s="1"/>
      <c r="J1" s="1"/>
      <c r="K1" s="1"/>
      <c r="L1" s="1"/>
      <c r="M1" s="1"/>
      <c r="N1" s="1"/>
      <c r="O1" s="1"/>
      <c r="P1" s="1"/>
      <c r="R1" s="1"/>
      <c r="S1" s="1"/>
      <c r="T1" s="1"/>
      <c r="V1" s="1"/>
      <c r="W1" s="1"/>
      <c r="X1" s="1"/>
      <c r="Y1" s="1"/>
      <c r="Z1" s="1"/>
      <c r="AB1" s="1"/>
      <c r="BE1" s="2" t="str">
        <f>'2020'!F1</f>
        <v>на 01 января 2021 года</v>
      </c>
    </row>
    <row r="2" spans="1:50" x14ac:dyDescent="0.25">
      <c r="A2" s="15"/>
      <c r="B2" s="112" t="s">
        <v>366</v>
      </c>
      <c r="C2" s="112"/>
      <c r="AX2" s="182">
        <v>2.6</v>
      </c>
    </row>
    <row r="3" spans="1:62" x14ac:dyDescent="0.25">
      <c r="A3" s="4"/>
      <c r="B3" s="17" t="s">
        <v>2</v>
      </c>
      <c r="C3" s="17" t="s">
        <v>354</v>
      </c>
      <c r="D3" s="16" t="s">
        <v>355</v>
      </c>
      <c r="E3" s="6" t="s">
        <v>9</v>
      </c>
      <c r="F3" s="9"/>
      <c r="G3" s="9"/>
      <c r="H3" s="7"/>
      <c r="I3" s="6" t="s">
        <v>10</v>
      </c>
      <c r="J3" s="9"/>
      <c r="K3" s="9"/>
      <c r="L3" s="7"/>
      <c r="M3" s="6" t="s">
        <v>11</v>
      </c>
      <c r="N3" s="9"/>
      <c r="O3" s="9"/>
      <c r="P3" s="7"/>
      <c r="Q3" s="6" t="s">
        <v>12</v>
      </c>
      <c r="R3" s="9"/>
      <c r="S3" s="9"/>
      <c r="T3" s="7"/>
      <c r="U3" s="6" t="s">
        <v>13</v>
      </c>
      <c r="V3" s="9"/>
      <c r="W3" s="9"/>
      <c r="X3" s="7"/>
      <c r="Y3" s="6" t="s">
        <v>14</v>
      </c>
      <c r="Z3" s="9"/>
      <c r="AA3" s="9"/>
      <c r="AB3" s="7"/>
      <c r="AC3" s="6" t="s">
        <v>15</v>
      </c>
      <c r="AD3" s="9"/>
      <c r="AE3" s="9"/>
      <c r="AF3" s="7"/>
      <c r="AG3" s="6" t="s">
        <v>16</v>
      </c>
      <c r="AH3" s="9"/>
      <c r="AI3" s="9"/>
      <c r="AJ3" s="7"/>
      <c r="AK3" s="6" t="s">
        <v>17</v>
      </c>
      <c r="AL3" s="9"/>
      <c r="AM3" s="9"/>
      <c r="AN3" s="7"/>
      <c r="AO3" s="6" t="s">
        <v>18</v>
      </c>
      <c r="AP3" s="9"/>
      <c r="AQ3" s="9"/>
      <c r="AR3" s="7"/>
      <c r="AS3" s="6" t="s">
        <v>19</v>
      </c>
      <c r="AT3" s="9"/>
      <c r="AU3" s="9"/>
      <c r="AV3" s="7"/>
      <c r="AW3" s="6" t="s">
        <v>372</v>
      </c>
      <c r="AX3" s="7"/>
      <c r="AY3" s="6" t="s">
        <v>20</v>
      </c>
      <c r="AZ3" s="9"/>
      <c r="BA3" s="9"/>
      <c r="BB3" s="7"/>
      <c r="BC3" s="6" t="s">
        <v>372</v>
      </c>
      <c r="BD3" s="7"/>
      <c r="BE3" s="8" t="s">
        <v>540</v>
      </c>
      <c r="BF3" s="9"/>
      <c r="BG3" s="9"/>
      <c r="BH3" s="7"/>
      <c r="BI3" s="17" t="s">
        <v>33</v>
      </c>
      <c r="BJ3" s="336" t="s">
        <v>373</v>
      </c>
    </row>
    <row r="4" spans="1:62" x14ac:dyDescent="0.25">
      <c r="A4" s="21"/>
      <c r="B4" s="24" t="s">
        <v>23</v>
      </c>
      <c r="C4" s="24"/>
      <c r="D4" s="23"/>
      <c r="E4" s="4" t="s">
        <v>30</v>
      </c>
      <c r="F4" s="4" t="s">
        <v>3</v>
      </c>
      <c r="G4" s="17" t="s">
        <v>374</v>
      </c>
      <c r="H4" s="17" t="s">
        <v>32</v>
      </c>
      <c r="I4" s="4" t="s">
        <v>30</v>
      </c>
      <c r="J4" s="4" t="s">
        <v>3</v>
      </c>
      <c r="K4" s="17" t="s">
        <v>374</v>
      </c>
      <c r="L4" s="17" t="s">
        <v>32</v>
      </c>
      <c r="M4" s="4" t="s">
        <v>30</v>
      </c>
      <c r="N4" s="4" t="s">
        <v>3</v>
      </c>
      <c r="O4" s="17" t="s">
        <v>374</v>
      </c>
      <c r="P4" s="17" t="s">
        <v>32</v>
      </c>
      <c r="Q4" s="4" t="s">
        <v>30</v>
      </c>
      <c r="R4" s="4" t="s">
        <v>3</v>
      </c>
      <c r="S4" s="17" t="s">
        <v>374</v>
      </c>
      <c r="T4" s="17" t="s">
        <v>32</v>
      </c>
      <c r="U4" s="4" t="s">
        <v>30</v>
      </c>
      <c r="V4" s="4" t="s">
        <v>3</v>
      </c>
      <c r="W4" s="17" t="s">
        <v>374</v>
      </c>
      <c r="X4" s="17" t="s">
        <v>32</v>
      </c>
      <c r="Y4" s="4" t="s">
        <v>30</v>
      </c>
      <c r="Z4" s="4" t="s">
        <v>3</v>
      </c>
      <c r="AA4" s="17" t="s">
        <v>374</v>
      </c>
      <c r="AB4" s="17" t="s">
        <v>32</v>
      </c>
      <c r="AC4" s="4" t="s">
        <v>30</v>
      </c>
      <c r="AD4" s="4" t="s">
        <v>3</v>
      </c>
      <c r="AE4" s="17" t="s">
        <v>374</v>
      </c>
      <c r="AF4" s="17" t="s">
        <v>32</v>
      </c>
      <c r="AG4" s="4" t="s">
        <v>30</v>
      </c>
      <c r="AH4" s="4" t="s">
        <v>3</v>
      </c>
      <c r="AI4" s="17" t="s">
        <v>374</v>
      </c>
      <c r="AJ4" s="17" t="s">
        <v>32</v>
      </c>
      <c r="AK4" s="4" t="s">
        <v>30</v>
      </c>
      <c r="AL4" s="4" t="s">
        <v>3</v>
      </c>
      <c r="AM4" s="17" t="s">
        <v>374</v>
      </c>
      <c r="AN4" s="17" t="s">
        <v>32</v>
      </c>
      <c r="AO4" s="4" t="s">
        <v>30</v>
      </c>
      <c r="AP4" s="4" t="s">
        <v>3</v>
      </c>
      <c r="AQ4" s="17" t="s">
        <v>374</v>
      </c>
      <c r="AR4" s="17" t="s">
        <v>32</v>
      </c>
      <c r="AS4" s="4" t="s">
        <v>30</v>
      </c>
      <c r="AT4" s="4" t="s">
        <v>3</v>
      </c>
      <c r="AU4" s="17" t="s">
        <v>374</v>
      </c>
      <c r="AV4" s="17" t="s">
        <v>32</v>
      </c>
      <c r="AW4" s="4" t="s">
        <v>3</v>
      </c>
      <c r="AX4" s="17" t="s">
        <v>374</v>
      </c>
      <c r="AY4" s="4" t="s">
        <v>30</v>
      </c>
      <c r="AZ4" s="4" t="s">
        <v>3</v>
      </c>
      <c r="BA4" s="17" t="s">
        <v>374</v>
      </c>
      <c r="BB4" s="17" t="s">
        <v>32</v>
      </c>
      <c r="BC4" s="4" t="s">
        <v>3</v>
      </c>
      <c r="BD4" s="17" t="s">
        <v>374</v>
      </c>
      <c r="BE4" s="4" t="s">
        <v>3</v>
      </c>
      <c r="BF4" s="17" t="s">
        <v>33</v>
      </c>
      <c r="BG4" s="17" t="s">
        <v>34</v>
      </c>
      <c r="BH4" s="115" t="s">
        <v>35</v>
      </c>
      <c r="BI4" s="24" t="s">
        <v>369</v>
      </c>
      <c r="BJ4" s="337" t="s">
        <v>369</v>
      </c>
    </row>
    <row r="5" spans="1:62" x14ac:dyDescent="0.25">
      <c r="A5" s="114" t="s">
        <v>41</v>
      </c>
      <c r="B5" s="125">
        <v>1</v>
      </c>
      <c r="C5" s="116">
        <v>4</v>
      </c>
      <c r="D5" s="117" t="s">
        <v>43</v>
      </c>
      <c r="E5" s="119">
        <f>'2020'!I8</f>
        <v>5040</v>
      </c>
      <c r="F5" s="21">
        <f>'2020'!J8</f>
        <v>358</v>
      </c>
      <c r="G5" s="124">
        <f>'2020'!K8</f>
        <v>895</v>
      </c>
      <c r="H5" s="124">
        <f>'2020'!L8</f>
      </c>
      <c r="I5" s="119">
        <f>'2020'!M8</f>
        <v>5070</v>
      </c>
      <c r="J5" s="119">
        <f>'2020'!N8</f>
        <v>30</v>
      </c>
      <c r="K5" s="106">
        <f>'2020'!O8</f>
        <v>75</v>
      </c>
      <c r="L5" s="106">
        <f>'2020'!P8</f>
        <v>1500</v>
      </c>
      <c r="M5" s="119">
        <f>'2020'!Q8</f>
        <v>5107</v>
      </c>
      <c r="N5" s="119">
        <f>'2020'!R8</f>
        <v>37</v>
      </c>
      <c r="O5" s="106">
        <f>'2020'!S8</f>
        <v>92.5</v>
      </c>
      <c r="P5" s="106">
        <f>'2020'!T8</f>
      </c>
      <c r="Q5" s="119">
        <f>'2020'!U8</f>
        <v>5135</v>
      </c>
      <c r="R5" s="119">
        <f>'2020'!V8</f>
        <v>28</v>
      </c>
      <c r="S5" s="106">
        <f>'2020'!W8</f>
        <v>70</v>
      </c>
      <c r="T5" s="106">
        <f>'2020'!X8</f>
        <v>177.5</v>
      </c>
      <c r="U5" s="119">
        <f>'2020'!Y8</f>
        <v>5166</v>
      </c>
      <c r="V5" s="119">
        <f>'2020'!Z8</f>
        <v>31</v>
      </c>
      <c r="W5" s="106">
        <f>'2020'!AA8</f>
        <v>77.5</v>
      </c>
      <c r="X5" s="106">
        <f>'2020'!AB8</f>
      </c>
      <c r="Y5" s="119">
        <f>'2020'!AC8</f>
        <v>5207</v>
      </c>
      <c r="Z5" s="119">
        <f>'2020'!AD8</f>
        <v>41</v>
      </c>
      <c r="AA5" s="106">
        <f>'2020'!AE8</f>
        <v>106.6</v>
      </c>
      <c r="AB5" s="106">
        <f>'2020'!AF8</f>
        <v>650</v>
      </c>
      <c r="AC5" s="119">
        <f>'2020'!AG8</f>
        <v>5242</v>
      </c>
      <c r="AD5" s="119">
        <f>'2020'!AH8</f>
        <v>35</v>
      </c>
      <c r="AE5" s="106">
        <f>'2020'!AI8</f>
        <v>91</v>
      </c>
      <c r="AF5" s="106">
        <f>'2020'!AJ8</f>
      </c>
      <c r="AG5" s="119">
        <f>'2020'!AK8</f>
        <v>5295</v>
      </c>
      <c r="AH5" s="119">
        <f>'2020'!AL8</f>
        <v>53</v>
      </c>
      <c r="AI5" s="106">
        <f>'2020'!AM8</f>
        <v>137.8</v>
      </c>
      <c r="AJ5" s="106">
        <f>'2020'!AN8</f>
      </c>
      <c r="AK5" s="119">
        <f>'2020'!AO8</f>
        <v>5365</v>
      </c>
      <c r="AL5" s="119">
        <f>'2020'!AP8</f>
        <v>70</v>
      </c>
      <c r="AM5" s="106">
        <f>'2020'!AQ8</f>
        <v>182</v>
      </c>
      <c r="AN5" s="106">
        <f>'2020'!AR8</f>
      </c>
      <c r="AO5" s="119">
        <f>'2020'!AS8</f>
        <v>5442</v>
      </c>
      <c r="AP5" s="119">
        <f>'2020'!AT8</f>
        <v>77</v>
      </c>
      <c r="AQ5" s="106">
        <f>'2020'!AU8</f>
        <v>200.2</v>
      </c>
      <c r="AR5" s="106">
        <f>'2020'!AV8</f>
      </c>
      <c r="AS5" s="119">
        <f>'2020'!AW8</f>
        <v>5508</v>
      </c>
      <c r="AT5" s="119">
        <f>'2020'!AX8</f>
        <v>66</v>
      </c>
      <c r="AU5" s="106">
        <f>'2020'!AY8</f>
        <v>171.6</v>
      </c>
      <c r="AV5" s="106">
        <f>'2020'!AZ8</f>
      </c>
      <c r="AW5" s="106"/>
      <c r="AX5" s="106">
        <f t="shared" ref="AX5:AX118" si="0">AW5*$AX$2</f>
        <v>0</v>
      </c>
      <c r="AY5" s="119">
        <f>'2020'!BA8</f>
        <v>5552</v>
      </c>
      <c r="AZ5" s="119">
        <f>'2020'!BB8</f>
        <v>44</v>
      </c>
      <c r="BA5" s="106">
        <f>'2020'!BC8</f>
        <v>114.4</v>
      </c>
      <c r="BB5" s="106">
        <f>'2020'!BD8</f>
      </c>
      <c r="BC5" s="106"/>
      <c r="BD5" s="106">
        <f t="shared" ref="BD5:BD118" si="1">BC5*$AX$2</f>
        <v>0</v>
      </c>
      <c r="BE5" s="119">
        <f>'2020'!BE8</f>
        <v>870</v>
      </c>
      <c r="BF5" s="106">
        <f>'2020'!BF8</f>
        <v>2213.6</v>
      </c>
      <c r="BG5" s="106">
        <f>'2020'!BG8</f>
        <v>2327.5</v>
      </c>
      <c r="BH5" s="106">
        <f>'2020'!BH8</f>
        <v>1977.11</v>
      </c>
      <c r="BI5" s="106">
        <f t="shared" ref="BI5:BI118" si="2">AX5+BD5</f>
        <v>0</v>
      </c>
      <c r="BJ5" s="338">
        <f t="shared" ref="BJ5:BJ118" si="3">BH5+BI5</f>
        <v>1977.11</v>
      </c>
    </row>
    <row r="6" spans="1:62" x14ac:dyDescent="0.25">
      <c r="A6" s="14"/>
      <c r="B6" s="125">
        <v>2</v>
      </c>
      <c r="C6" s="115">
        <v>4.12</v>
      </c>
      <c r="D6" s="117" t="s">
        <v>359</v>
      </c>
      <c r="E6" s="119">
        <f>'2020'!I18</f>
        <v>21981</v>
      </c>
      <c r="F6" s="119">
        <f>'2020'!J18</f>
        <v>654</v>
      </c>
      <c r="G6" s="106">
        <f>'2020'!K18</f>
        <v>1635</v>
      </c>
      <c r="H6" s="106">
        <f>'2020'!L18</f>
        <v>2000</v>
      </c>
      <c r="I6" s="119">
        <f>'2020'!M18</f>
        <v>22617</v>
      </c>
      <c r="J6" s="119">
        <f>'2020'!N18</f>
        <v>636</v>
      </c>
      <c r="K6" s="106">
        <f>'2020'!O18</f>
        <v>1590</v>
      </c>
      <c r="L6" s="106">
        <f>'2020'!P18</f>
        <v>1291.79</v>
      </c>
      <c r="M6" s="119">
        <f>'2020'!Q18</f>
        <v>23434</v>
      </c>
      <c r="N6" s="119">
        <f>'2020'!R18</f>
        <v>817</v>
      </c>
      <c r="O6" s="106">
        <f>'2020'!S18</f>
        <v>2042.5</v>
      </c>
      <c r="P6" s="106">
        <f>'2020'!T18</f>
        <v>1693.21</v>
      </c>
      <c r="Q6" s="119">
        <f>'2020'!U18</f>
        <v>24107</v>
      </c>
      <c r="R6" s="119">
        <f>'2020'!V18</f>
        <v>673</v>
      </c>
      <c r="S6" s="106">
        <f>'2020'!W18</f>
        <v>1682.5</v>
      </c>
      <c r="T6" s="106">
        <f>'2020'!X18</f>
        <v>1682.5</v>
      </c>
      <c r="U6" s="119">
        <f>'2020'!Y18</f>
        <v>24661</v>
      </c>
      <c r="V6" s="119">
        <f>'2020'!Z18</f>
        <v>554</v>
      </c>
      <c r="W6" s="106">
        <f>'2020'!AA18</f>
        <v>1385</v>
      </c>
      <c r="X6" s="106">
        <f>'2020'!AB18</f>
        <v>1385</v>
      </c>
      <c r="Y6" s="119">
        <f>'2020'!AC18</f>
        <v>25160</v>
      </c>
      <c r="Z6" s="119">
        <f>'2020'!AD18</f>
        <v>499</v>
      </c>
      <c r="AA6" s="106">
        <f>'2020'!AE18</f>
        <v>1297.4</v>
      </c>
      <c r="AB6" s="106">
        <f>'2020'!AF18</f>
        <v>1297.4</v>
      </c>
      <c r="AC6" s="119">
        <f>'2020'!AG18</f>
        <v>25682</v>
      </c>
      <c r="AD6" s="119">
        <f>'2020'!AH18</f>
        <v>522</v>
      </c>
      <c r="AE6" s="106">
        <f>'2020'!AI18</f>
        <v>1357.2</v>
      </c>
      <c r="AF6" s="106">
        <f>'2020'!AJ18</f>
        <v>1357.2</v>
      </c>
      <c r="AG6" s="119">
        <f>'2020'!AK18</f>
        <v>26158</v>
      </c>
      <c r="AH6" s="119">
        <f>'2020'!AL18</f>
        <v>476</v>
      </c>
      <c r="AI6" s="106">
        <f>'2020'!AM18</f>
        <v>1237.6</v>
      </c>
      <c r="AJ6" s="106">
        <f>'2020'!AN18</f>
        <v>1291.79</v>
      </c>
      <c r="AK6" s="119">
        <f>'2020'!AO18</f>
        <v>26698</v>
      </c>
      <c r="AL6" s="119">
        <f>'2020'!AP18</f>
        <v>540</v>
      </c>
      <c r="AM6" s="106">
        <f>'2020'!AQ18</f>
        <v>1404</v>
      </c>
      <c r="AN6" s="106">
        <f>'2020'!AR18</f>
        <v>1349.81</v>
      </c>
      <c r="AO6" s="119">
        <f>'2020'!AS18</f>
        <v>27278</v>
      </c>
      <c r="AP6" s="119">
        <f>'2020'!AT18</f>
        <v>580</v>
      </c>
      <c r="AQ6" s="106">
        <f>'2020'!AU18</f>
        <v>1508</v>
      </c>
      <c r="AR6" s="106">
        <f>'2020'!AV18</f>
      </c>
      <c r="AS6" s="126">
        <f>'2020'!AW18</f>
        <v>27836</v>
      </c>
      <c r="AT6" s="119">
        <f>'2020'!AX18</f>
        <v>558</v>
      </c>
      <c r="AU6" s="106">
        <f>'2020'!AY18</f>
        <v>1450.8</v>
      </c>
      <c r="AV6" s="106">
        <f>'2020'!AZ18</f>
        <v>2958.8</v>
      </c>
      <c r="AW6" s="119"/>
      <c r="AX6" s="106">
        <f t="shared" si="0"/>
        <v>0</v>
      </c>
      <c r="AY6" s="119">
        <f>'2020'!BA18</f>
        <v>28520</v>
      </c>
      <c r="AZ6" s="119">
        <f>'2020'!BB18</f>
        <v>684</v>
      </c>
      <c r="BA6" s="106">
        <f>'2020'!BC18</f>
        <v>1778.4</v>
      </c>
      <c r="BB6" s="106">
        <f>'2020'!BD18</f>
        <v>1778.4</v>
      </c>
      <c r="BC6" s="106"/>
      <c r="BD6" s="106">
        <f t="shared" si="1"/>
        <v>0</v>
      </c>
      <c r="BE6" s="119">
        <f>'2020'!BE18</f>
        <v>7193</v>
      </c>
      <c r="BF6" s="106">
        <f>'2020'!BF18</f>
        <v>18368.4</v>
      </c>
      <c r="BG6" s="106">
        <f>'2020'!BG18</f>
        <v>18085.9</v>
      </c>
      <c r="BH6" s="106">
        <f>'2020'!BH18</f>
        <v>0</v>
      </c>
      <c r="BI6" s="106">
        <f t="shared" si="2"/>
        <v>0</v>
      </c>
      <c r="BJ6" s="338">
        <f t="shared" si="3"/>
        <v>0</v>
      </c>
    </row>
    <row r="7" hidden="1" spans="1:62" x14ac:dyDescent="0.25">
      <c r="A7" s="14"/>
      <c r="B7" s="115">
        <v>3</v>
      </c>
      <c r="C7" s="116">
        <v>4</v>
      </c>
      <c r="D7" s="117" t="s">
        <v>60</v>
      </c>
      <c r="E7" s="119">
        <f>'2020'!I27</f>
        <v>37</v>
      </c>
      <c r="F7" s="119">
        <f>'2020'!J27</f>
        <v>0</v>
      </c>
      <c r="G7" s="106">
        <f>'2020'!K27</f>
        <v>0</v>
      </c>
      <c r="H7" s="106">
        <f>'2020'!L27</f>
      </c>
      <c r="I7" s="119">
        <f>'2020'!M27</f>
        <v>37</v>
      </c>
      <c r="J7" s="119">
        <f>'2020'!N27</f>
        <v>0</v>
      </c>
      <c r="K7" s="106">
        <f>'2020'!O27</f>
        <v>0</v>
      </c>
      <c r="L7" s="106">
        <f>'2020'!P27</f>
      </c>
      <c r="M7" s="119">
        <f>'2020'!Q27</f>
        <v>37</v>
      </c>
      <c r="N7" s="119">
        <f>'2020'!R27</f>
        <v>0</v>
      </c>
      <c r="O7" s="106">
        <f>'2020'!S27</f>
        <v>0</v>
      </c>
      <c r="P7" s="106">
        <f>'2020'!T27</f>
      </c>
      <c r="Q7" s="119">
        <f>'2020'!U27</f>
        <v>38</v>
      </c>
      <c r="R7" s="119">
        <f>'2020'!V27</f>
        <v>1</v>
      </c>
      <c r="S7" s="106">
        <f>'2020'!W27</f>
        <v>2.5</v>
      </c>
      <c r="T7" s="106">
        <f>'2020'!X27</f>
      </c>
      <c r="U7" s="119">
        <f>'2020'!Y27</f>
        <v>45</v>
      </c>
      <c r="V7" s="119">
        <f>'2020'!Z27</f>
        <v>7</v>
      </c>
      <c r="W7" s="106">
        <f>'2020'!AA27</f>
        <v>17.5</v>
      </c>
      <c r="X7" s="106">
        <f>'2020'!AB27</f>
      </c>
      <c r="Y7" s="119">
        <f>'2020'!AC27</f>
        <v>47</v>
      </c>
      <c r="Z7" s="119">
        <f>'2020'!AD27</f>
        <v>2</v>
      </c>
      <c r="AA7" s="106">
        <f>'2020'!AE27</f>
        <v>5.2</v>
      </c>
      <c r="AB7" s="106">
        <f>'2020'!AF27</f>
        <v>7.08</v>
      </c>
      <c r="AC7" s="119">
        <f>'2020'!AG27</f>
        <v>50</v>
      </c>
      <c r="AD7" s="119">
        <f>'2020'!AH27</f>
        <v>3</v>
      </c>
      <c r="AE7" s="106">
        <f>'2020'!AI27</f>
        <v>7.8</v>
      </c>
      <c r="AF7" s="106">
        <f>'2020'!AJ27</f>
      </c>
      <c r="AG7" s="119">
        <f>'2020'!AK27</f>
        <v>54</v>
      </c>
      <c r="AH7" s="119">
        <f>'2020'!AL27</f>
        <v>4</v>
      </c>
      <c r="AI7" s="106">
        <f>'2020'!AM27</f>
        <v>10.4</v>
      </c>
      <c r="AJ7" s="106">
        <f>'2020'!AN27</f>
        <v>34.12</v>
      </c>
      <c r="AK7" s="119">
        <f>'2020'!AO27</f>
        <v>56</v>
      </c>
      <c r="AL7" s="119">
        <f>'2020'!AP27</f>
        <v>2</v>
      </c>
      <c r="AM7" s="106">
        <f>'2020'!AQ27</f>
        <v>5.2</v>
      </c>
      <c r="AN7" s="106">
        <f>'2020'!AR27</f>
      </c>
      <c r="AO7" s="119">
        <f>'2020'!AS27</f>
        <v>56</v>
      </c>
      <c r="AP7" s="119">
        <f>'2020'!AT27</f>
        <v>0</v>
      </c>
      <c r="AQ7" s="106">
        <f>'2020'!AU27</f>
        <v>0</v>
      </c>
      <c r="AR7" s="106">
        <f>'2020'!AV27</f>
      </c>
      <c r="AS7" s="119">
        <f>'2020'!AW27</f>
        <v>56</v>
      </c>
      <c r="AT7" s="119">
        <f>'2020'!AX27</f>
        <v>0</v>
      </c>
      <c r="AU7" s="106">
        <f>'2020'!AY27</f>
        <v>0</v>
      </c>
      <c r="AV7" s="106">
        <f>'2020'!AZ27</f>
      </c>
      <c r="AW7" s="106"/>
      <c r="AX7" s="106">
        <f t="shared" si="0"/>
        <v>0</v>
      </c>
      <c r="AY7" s="119">
        <f>'2020'!BA27</f>
        <v>56</v>
      </c>
      <c r="AZ7" s="119">
        <f>'2020'!BB27</f>
        <v>0</v>
      </c>
      <c r="BA7" s="106">
        <f>'2020'!BC27</f>
        <v>0</v>
      </c>
      <c r="BB7" s="106">
        <f>'2020'!BD27</f>
      </c>
      <c r="BC7" s="106"/>
      <c r="BD7" s="106">
        <f t="shared" si="1"/>
        <v>0</v>
      </c>
      <c r="BE7" s="119">
        <f>'2020'!BE27</f>
        <v>19</v>
      </c>
      <c r="BF7" s="106">
        <f>'2020'!BF27</f>
        <v>48.6</v>
      </c>
      <c r="BG7" s="106">
        <f>'2020'!BG27</f>
        <v>41.2</v>
      </c>
      <c r="BH7" s="106">
        <f>'2020'!BH27</f>
        <v>-5.52</v>
      </c>
      <c r="BI7" s="106">
        <f t="shared" si="2"/>
        <v>0</v>
      </c>
      <c r="BJ7" s="338">
        <f t="shared" si="3"/>
        <v>-5.52</v>
      </c>
    </row>
    <row r="8" hidden="1" spans="1:62" x14ac:dyDescent="0.25">
      <c r="A8" s="14"/>
      <c r="B8" s="115">
        <v>4</v>
      </c>
      <c r="C8" s="115">
        <v>3.95</v>
      </c>
      <c r="D8" s="117" t="s">
        <v>64</v>
      </c>
      <c r="E8" s="119">
        <f>'2020'!I36</f>
      </c>
      <c r="F8" s="119">
        <f>'2020'!J36</f>
      </c>
      <c r="G8" s="106">
        <f>'2020'!K36</f>
        <v>0</v>
      </c>
      <c r="H8" s="106">
        <f>'2020'!L36</f>
      </c>
      <c r="I8" s="119">
        <f>'2020'!M36</f>
      </c>
      <c r="J8" s="119">
        <f>'2020'!N36</f>
      </c>
      <c r="K8" s="106">
        <f>'2020'!O36</f>
        <v>0</v>
      </c>
      <c r="L8" s="106">
        <f>'2020'!P36</f>
      </c>
      <c r="M8" s="119">
        <f>'2020'!Q36</f>
      </c>
      <c r="N8" s="119">
        <f>'2020'!R36</f>
        <v>0</v>
      </c>
      <c r="O8" s="106">
        <f>'2020'!S36</f>
        <v>0</v>
      </c>
      <c r="P8" s="106">
        <f>'2020'!T36</f>
      </c>
      <c r="Q8" s="119">
        <f>'2020'!U36</f>
      </c>
      <c r="R8" s="119">
        <f>'2020'!V36</f>
        <v>0</v>
      </c>
      <c r="S8" s="106">
        <f>'2020'!W36</f>
        <v>0</v>
      </c>
      <c r="T8" s="106">
        <f>'2020'!X36</f>
      </c>
      <c r="U8" s="119">
        <f>'2020'!Y36</f>
      </c>
      <c r="V8" s="119">
        <f>'2020'!Z36</f>
        <v>0</v>
      </c>
      <c r="W8" s="106">
        <f>'2020'!AA36</f>
        <v>0</v>
      </c>
      <c r="X8" s="106">
        <f>'2020'!AB36</f>
      </c>
      <c r="Y8" s="119">
        <f>'2020'!AC36</f>
      </c>
      <c r="Z8" s="119">
        <f>'2020'!AD36</f>
        <v>0</v>
      </c>
      <c r="AA8" s="106">
        <f>'2020'!AE36</f>
        <v>0</v>
      </c>
      <c r="AB8" s="106">
        <f>'2020'!AF36</f>
      </c>
      <c r="AC8" s="119">
        <f>'2020'!AG36</f>
        <v>0</v>
      </c>
      <c r="AD8" s="119">
        <f>'2020'!AH36</f>
        <v>0</v>
      </c>
      <c r="AE8" s="106">
        <f>'2020'!AI36</f>
        <v>0</v>
      </c>
      <c r="AF8" s="106">
        <f>'2020'!AJ36</f>
      </c>
      <c r="AG8" s="119">
        <f>'2020'!AK36</f>
        <v>0</v>
      </c>
      <c r="AH8" s="119">
        <f>'2020'!AL36</f>
        <v>0</v>
      </c>
      <c r="AI8" s="106">
        <f>'2020'!AM36</f>
        <v>0</v>
      </c>
      <c r="AJ8" s="106">
        <f>'2020'!AN36</f>
      </c>
      <c r="AK8" s="119">
        <f>'2020'!AO36</f>
        <v>0</v>
      </c>
      <c r="AL8" s="119">
        <f>'2020'!AP36</f>
        <v>0</v>
      </c>
      <c r="AM8" s="106">
        <f>'2020'!AQ36</f>
        <v>0</v>
      </c>
      <c r="AN8" s="106">
        <f>'2020'!AR36</f>
      </c>
      <c r="AO8" s="119">
        <f>'2020'!AS36</f>
        <v>0</v>
      </c>
      <c r="AP8" s="119">
        <f>'2020'!AT36</f>
        <v>0</v>
      </c>
      <c r="AQ8" s="106">
        <f>'2020'!AU36</f>
        <v>0</v>
      </c>
      <c r="AR8" s="106">
        <f>'2020'!AV36</f>
      </c>
      <c r="AS8" s="119">
        <f>'2020'!AW36</f>
        <v>0</v>
      </c>
      <c r="AT8" s="119">
        <f>'2020'!AX36</f>
        <v>0</v>
      </c>
      <c r="AU8" s="106">
        <f>'2020'!AY36</f>
        <v>0</v>
      </c>
      <c r="AV8" s="106">
        <f>'2020'!AZ36</f>
      </c>
      <c r="AW8" s="106"/>
      <c r="AX8" s="106">
        <f t="shared" si="0"/>
        <v>0</v>
      </c>
      <c r="AY8" s="119">
        <f>'2020'!BA36</f>
        <v>0</v>
      </c>
      <c r="AZ8" s="119">
        <f>'2020'!BB36</f>
        <v>0</v>
      </c>
      <c r="BA8" s="106">
        <f>'2020'!BC36</f>
        <v>0</v>
      </c>
      <c r="BB8" s="106">
        <f>'2020'!BD36</f>
      </c>
      <c r="BC8" s="106"/>
      <c r="BD8" s="106">
        <f t="shared" si="1"/>
        <v>0</v>
      </c>
      <c r="BE8" s="119">
        <f>'2020'!BE36</f>
        <v>0</v>
      </c>
      <c r="BF8" s="106">
        <f>'2020'!BF36</f>
        <v>0</v>
      </c>
      <c r="BG8" s="106">
        <f>'2020'!BG36</f>
        <v>0</v>
      </c>
      <c r="BH8" s="106">
        <f>'2020'!BH36</f>
        <v>0</v>
      </c>
      <c r="BI8" s="106">
        <f t="shared" si="2"/>
        <v>0</v>
      </c>
      <c r="BJ8" s="338">
        <f t="shared" si="3"/>
        <v>0</v>
      </c>
    </row>
    <row r="9" spans="1:62" x14ac:dyDescent="0.25">
      <c r="A9" s="14"/>
      <c r="B9" s="125">
        <v>5</v>
      </c>
      <c r="C9" s="115">
        <v>5.08</v>
      </c>
      <c r="D9" s="2" t="s">
        <v>488</v>
      </c>
      <c r="E9" s="119">
        <f>'2020'!I45</f>
        <v>93</v>
      </c>
      <c r="F9" s="119">
        <f>'2020'!J45</f>
        <v>0</v>
      </c>
      <c r="G9" s="106">
        <f>'2020'!K45</f>
        <v>0</v>
      </c>
      <c r="H9" s="106">
        <f>'2020'!L45</f>
      </c>
      <c r="I9" s="119">
        <f>'2020'!M45</f>
        <v>93</v>
      </c>
      <c r="J9" s="119">
        <f>'2020'!N45</f>
        <v>0</v>
      </c>
      <c r="K9" s="106">
        <f>'2020'!O45</f>
        <v>0</v>
      </c>
      <c r="L9" s="106">
        <f>'2020'!P45</f>
      </c>
      <c r="M9" s="119">
        <f>'2020'!Q45</f>
        <v>93</v>
      </c>
      <c r="N9" s="119">
        <f>'2020'!R45</f>
        <v>0</v>
      </c>
      <c r="O9" s="106">
        <f>'2020'!S45</f>
        <v>0</v>
      </c>
      <c r="P9" s="106">
        <f>'2020'!T45</f>
      </c>
      <c r="Q9" s="119">
        <f>'2020'!U45</f>
        <v>93</v>
      </c>
      <c r="R9" s="119">
        <f>'2020'!V45</f>
        <v>0</v>
      </c>
      <c r="S9" s="106">
        <f>'2020'!W45</f>
        <v>0</v>
      </c>
      <c r="T9" s="106">
        <f>'2020'!X45</f>
      </c>
      <c r="U9" s="119">
        <f>'2020'!Y45</f>
        <v>93</v>
      </c>
      <c r="V9" s="119">
        <f>'2020'!Z45</f>
        <v>0</v>
      </c>
      <c r="W9" s="106">
        <f>'2020'!AA45</f>
        <v>0</v>
      </c>
      <c r="X9" s="106">
        <f>'2020'!AB45</f>
      </c>
      <c r="Y9" s="119">
        <f>'2020'!AC45</f>
        <v>93</v>
      </c>
      <c r="Z9" s="119">
        <f>'2020'!AD45</f>
        <v>0</v>
      </c>
      <c r="AA9" s="106">
        <f>'2020'!AE45</f>
        <v>0</v>
      </c>
      <c r="AB9" s="106">
        <f>'2020'!AF45</f>
      </c>
      <c r="AC9" s="119">
        <f>'2020'!AG45</f>
        <v>93</v>
      </c>
      <c r="AD9" s="119">
        <f>'2020'!AH45</f>
        <v>0</v>
      </c>
      <c r="AE9" s="106">
        <f>'2020'!AI45</f>
      </c>
      <c r="AF9" s="106">
        <f>'2020'!AJ45</f>
      </c>
      <c r="AG9" s="119">
        <f>'2020'!AK45</f>
        <v>93</v>
      </c>
      <c r="AH9" s="119">
        <f>'2020'!AL45</f>
        <v>0</v>
      </c>
      <c r="AI9" s="106">
        <f>'2020'!AM45</f>
        <v>0</v>
      </c>
      <c r="AJ9" s="106">
        <f>'2020'!AN45</f>
      </c>
      <c r="AK9" s="119">
        <f>'2020'!AO45</f>
        <v>93</v>
      </c>
      <c r="AL9" s="119">
        <f>'2020'!AP45</f>
        <v>0</v>
      </c>
      <c r="AM9" s="106">
        <f>'2020'!AQ45</f>
        <v>0</v>
      </c>
      <c r="AN9" s="106">
        <f>'2020'!AR45</f>
      </c>
      <c r="AO9" s="119">
        <f>'2020'!AS45</f>
        <v>93</v>
      </c>
      <c r="AP9" s="119">
        <f>'2020'!AT45</f>
        <v>0</v>
      </c>
      <c r="AQ9" s="106">
        <f>'2020'!AU45</f>
        <v>0</v>
      </c>
      <c r="AR9" s="106">
        <f>'2020'!AV45</f>
      </c>
      <c r="AS9" s="119">
        <f>'2020'!AW45</f>
        <v>6</v>
      </c>
      <c r="AT9" s="119">
        <f>'2020'!AX45</f>
        <v>6</v>
      </c>
      <c r="AU9" s="106">
        <f>'2020'!AY45</f>
        <v>15.6</v>
      </c>
      <c r="AV9" s="106">
        <f>'2020'!AZ45</f>
        <v>52.72</v>
      </c>
      <c r="AW9" s="119">
        <v>353</v>
      </c>
      <c r="AX9" s="106">
        <f t="shared" si="0"/>
        <v>917.8</v>
      </c>
      <c r="AY9" s="119">
        <f>'2020'!BA45</f>
        <v>6</v>
      </c>
      <c r="AZ9" s="119">
        <f>'2020'!BB45</f>
        <v>0</v>
      </c>
      <c r="BA9" s="106">
        <f>'2020'!BC45</f>
        <v>0</v>
      </c>
      <c r="BB9" s="106">
        <f>'2020'!BD45</f>
      </c>
      <c r="BC9" s="119">
        <v>108</v>
      </c>
      <c r="BD9" s="106">
        <f t="shared" si="1"/>
        <v>280.8</v>
      </c>
      <c r="BE9" s="119">
        <f>'2020'!BE45</f>
        <v>6</v>
      </c>
      <c r="BF9" s="106">
        <f>'2020'!BF45</f>
        <v>15.6</v>
      </c>
      <c r="BG9" s="106">
        <f>'2020'!BG45</f>
        <v>52.72</v>
      </c>
      <c r="BH9" s="106">
        <f>'2020'!BH45</f>
        <v>-234.63</v>
      </c>
      <c r="BI9" s="106">
        <f t="shared" si="2"/>
        <v>1198.6</v>
      </c>
      <c r="BJ9" s="338">
        <f t="shared" si="3"/>
        <v>963.97</v>
      </c>
    </row>
    <row r="10" hidden="1" spans="1:62" x14ac:dyDescent="0.25">
      <c r="A10" s="14"/>
      <c r="B10" s="115">
        <v>6</v>
      </c>
      <c r="C10" s="115">
        <v>4.01</v>
      </c>
      <c r="D10" s="117" t="s">
        <v>70</v>
      </c>
      <c r="E10" s="119">
        <f>'2020'!I54</f>
        <v>13</v>
      </c>
      <c r="F10" s="119">
        <f>'2020'!J54</f>
        <v>0</v>
      </c>
      <c r="G10" s="106">
        <f>'2020'!K54</f>
        <v>0</v>
      </c>
      <c r="H10" s="106">
        <f>'2020'!L54</f>
      </c>
      <c r="I10" s="119">
        <f>'2020'!M54</f>
        <v>13</v>
      </c>
      <c r="J10" s="119">
        <f>'2020'!N54</f>
        <v>0</v>
      </c>
      <c r="K10" s="106">
        <f>'2020'!O54</f>
        <v>0</v>
      </c>
      <c r="L10" s="106">
        <f>'2020'!P54</f>
      </c>
      <c r="M10" s="119">
        <f>'2020'!Q54</f>
        <v>13</v>
      </c>
      <c r="N10" s="119">
        <f>'2020'!R54</f>
        <v>0</v>
      </c>
      <c r="O10" s="106">
        <f>'2020'!S54</f>
        <v>0</v>
      </c>
      <c r="P10" s="106">
        <f>'2020'!T54</f>
      </c>
      <c r="Q10" s="119">
        <f>'2020'!U54</f>
        <v>13</v>
      </c>
      <c r="R10" s="119">
        <f>'2020'!V54</f>
        <v>0</v>
      </c>
      <c r="S10" s="106">
        <f>'2020'!W54</f>
        <v>0</v>
      </c>
      <c r="T10" s="106">
        <f>'2020'!X54</f>
      </c>
      <c r="U10" s="119">
        <f>'2020'!Y54</f>
        <v>14</v>
      </c>
      <c r="V10" s="119">
        <f>'2020'!Z54</f>
        <v>1</v>
      </c>
      <c r="W10" s="106">
        <f>'2020'!AA54</f>
        <v>2.5</v>
      </c>
      <c r="X10" s="106">
        <f>'2020'!AB54</f>
      </c>
      <c r="Y10" s="119">
        <f>'2020'!AC54</f>
        <v>14</v>
      </c>
      <c r="Z10" s="119">
        <f>'2020'!AD54</f>
        <v>0</v>
      </c>
      <c r="AA10" s="106">
        <f>'2020'!AE54</f>
        <v>0</v>
      </c>
      <c r="AB10" s="106">
        <f>'2020'!AF54</f>
      </c>
      <c r="AC10" s="119">
        <f>'2020'!AG54</f>
        <v>14</v>
      </c>
      <c r="AD10" s="119">
        <f>'2020'!AH54</f>
        <v>0</v>
      </c>
      <c r="AE10" s="106">
        <f>'2020'!AI54</f>
      </c>
      <c r="AF10" s="106">
        <f>'2020'!AJ54</f>
      </c>
      <c r="AG10" s="119">
        <f>'2020'!AK54</f>
        <v>14</v>
      </c>
      <c r="AH10" s="119">
        <f>'2020'!AL54</f>
        <v>0</v>
      </c>
      <c r="AI10" s="106">
        <f>'2020'!AM54</f>
        <v>0</v>
      </c>
      <c r="AJ10" s="106">
        <f>'2020'!AN54</f>
      </c>
      <c r="AK10" s="119">
        <f>'2020'!AO54</f>
        <v>14</v>
      </c>
      <c r="AL10" s="119">
        <f>'2020'!AP54</f>
        <v>0</v>
      </c>
      <c r="AM10" s="106">
        <f>'2020'!AQ54</f>
        <v>0</v>
      </c>
      <c r="AN10" s="106">
        <f>'2020'!AR54</f>
      </c>
      <c r="AO10" s="119">
        <f>'2020'!AS54</f>
        <v>14</v>
      </c>
      <c r="AP10" s="119">
        <f>'2020'!AT54</f>
        <v>0</v>
      </c>
      <c r="AQ10" s="106">
        <f>'2020'!AU54</f>
        <v>0</v>
      </c>
      <c r="AR10" s="106">
        <f>'2020'!AV54</f>
      </c>
      <c r="AS10" s="119">
        <f>'2020'!AW54</f>
        <v>14</v>
      </c>
      <c r="AT10" s="119">
        <f>'2020'!AX54</f>
        <v>0</v>
      </c>
      <c r="AU10" s="106">
        <f>'2020'!AY54</f>
        <v>0</v>
      </c>
      <c r="AV10" s="106">
        <f>'2020'!AZ54</f>
        <v>20</v>
      </c>
      <c r="AW10" s="106"/>
      <c r="AX10" s="106">
        <f t="shared" si="0"/>
        <v>0</v>
      </c>
      <c r="AY10" s="119">
        <f>'2020'!BA54</f>
        <v>14</v>
      </c>
      <c r="AZ10" s="119">
        <f>'2020'!BB54</f>
        <v>0</v>
      </c>
      <c r="BA10" s="106">
        <f>'2020'!BC54</f>
        <v>0</v>
      </c>
      <c r="BB10" s="106">
        <f>'2020'!BD54</f>
      </c>
      <c r="BC10" s="106"/>
      <c r="BD10" s="106">
        <f t="shared" si="1"/>
        <v>0</v>
      </c>
      <c r="BE10" s="119">
        <f>'2020'!BE54</f>
        <v>1</v>
      </c>
      <c r="BF10" s="106">
        <f>'2020'!BF54</f>
        <v>2.5</v>
      </c>
      <c r="BG10" s="106">
        <f>'2020'!BG54</f>
        <v>20</v>
      </c>
      <c r="BH10" s="106">
        <f>'2020'!BH54</f>
        <v>0</v>
      </c>
      <c r="BI10" s="106">
        <f t="shared" si="2"/>
        <v>0</v>
      </c>
      <c r="BJ10" s="338">
        <f t="shared" si="3"/>
        <v>0</v>
      </c>
    </row>
    <row r="11" hidden="1" spans="1:62" x14ac:dyDescent="0.25">
      <c r="A11" s="14"/>
      <c r="B11" s="115">
        <v>7</v>
      </c>
      <c r="C11" s="115">
        <v>4.85</v>
      </c>
      <c r="D11" s="117" t="s">
        <v>74</v>
      </c>
      <c r="E11" s="119">
        <f>'2020'!I63</f>
        <v>315</v>
      </c>
      <c r="F11" s="119">
        <f>'2020'!J63</f>
        <v>0</v>
      </c>
      <c r="G11" s="106">
        <f>'2020'!K63</f>
        <v>0</v>
      </c>
      <c r="H11" s="106">
        <f>'2020'!L63</f>
      </c>
      <c r="I11" s="119">
        <f>'2020'!M63</f>
        <v>315</v>
      </c>
      <c r="J11" s="119">
        <f>'2020'!N63</f>
        <v>0</v>
      </c>
      <c r="K11" s="106">
        <f>'2020'!O63</f>
        <v>0</v>
      </c>
      <c r="L11" s="106">
        <f>'2020'!P63</f>
      </c>
      <c r="M11" s="119">
        <f>'2020'!Q63</f>
        <v>315</v>
      </c>
      <c r="N11" s="119">
        <f>'2020'!R63</f>
        <v>0</v>
      </c>
      <c r="O11" s="106">
        <f>'2020'!S63</f>
        <v>0</v>
      </c>
      <c r="P11" s="106">
        <f>'2020'!T63</f>
      </c>
      <c r="Q11" s="119">
        <f>'2020'!U63</f>
        <v>315</v>
      </c>
      <c r="R11" s="119">
        <f>'2020'!V63</f>
        <v>0</v>
      </c>
      <c r="S11" s="106">
        <f>'2020'!W63</f>
        <v>0</v>
      </c>
      <c r="T11" s="106">
        <f>'2020'!X63</f>
      </c>
      <c r="U11" s="119">
        <f>'2020'!Y63</f>
        <v>339</v>
      </c>
      <c r="V11" s="119">
        <f>'2020'!Z63</f>
        <v>24</v>
      </c>
      <c r="W11" s="106">
        <f>'2020'!AA63</f>
        <v>60</v>
      </c>
      <c r="X11" s="106">
        <f>'2020'!AB63</f>
      </c>
      <c r="Y11" s="119">
        <f>'2020'!AC63</f>
        <v>345</v>
      </c>
      <c r="Z11" s="119">
        <f>'2020'!AD63</f>
        <v>6</v>
      </c>
      <c r="AA11" s="106">
        <f>'2020'!AE63</f>
        <v>15.6</v>
      </c>
      <c r="AB11" s="106">
        <f>'2020'!AF63</f>
        <v>480</v>
      </c>
      <c r="AC11" s="119">
        <f>'2020'!AG63</f>
        <v>390</v>
      </c>
      <c r="AD11" s="119">
        <f>'2020'!AH63</f>
        <v>45</v>
      </c>
      <c r="AE11" s="106">
        <f>'2020'!AI63</f>
        <v>117</v>
      </c>
      <c r="AF11" s="106">
        <f>'2020'!AJ63</f>
      </c>
      <c r="AG11" s="119">
        <f>'2020'!AK63</f>
        <v>425</v>
      </c>
      <c r="AH11" s="119">
        <f>'2020'!AL63</f>
        <v>35</v>
      </c>
      <c r="AI11" s="106">
        <f>'2020'!AM63</f>
        <v>91</v>
      </c>
      <c r="AJ11" s="106">
        <f>'2020'!AN63</f>
      </c>
      <c r="AK11" s="119">
        <f>'2020'!AO63</f>
        <v>440</v>
      </c>
      <c r="AL11" s="119">
        <f>'2020'!AP63</f>
        <v>15</v>
      </c>
      <c r="AM11" s="106">
        <f>'2020'!AQ63</f>
        <v>39</v>
      </c>
      <c r="AN11" s="106">
        <f>'2020'!AR63</f>
      </c>
      <c r="AO11" s="119">
        <f>'2020'!AS63</f>
        <v>448</v>
      </c>
      <c r="AP11" s="119">
        <f>'2020'!AT63</f>
        <v>8</v>
      </c>
      <c r="AQ11" s="106">
        <f>'2020'!AU63</f>
        <v>20.8</v>
      </c>
      <c r="AR11" s="106">
        <f>'2020'!AV63</f>
      </c>
      <c r="AS11" s="119">
        <f>'2020'!AW63</f>
        <v>448</v>
      </c>
      <c r="AT11" s="119">
        <f>'2020'!AX63</f>
        <v>0</v>
      </c>
      <c r="AU11" s="106">
        <f>'2020'!AY63</f>
        <v>0</v>
      </c>
      <c r="AV11" s="106">
        <f>'2020'!AZ63</f>
      </c>
      <c r="AW11" s="106"/>
      <c r="AX11" s="106">
        <f t="shared" si="0"/>
        <v>0</v>
      </c>
      <c r="AY11" s="119">
        <f>'2020'!BA63</f>
        <v>448</v>
      </c>
      <c r="AZ11" s="119">
        <f>'2020'!BB63</f>
        <v>0</v>
      </c>
      <c r="BA11" s="106">
        <f>'2020'!BC63</f>
        <v>0</v>
      </c>
      <c r="BB11" s="106">
        <f>'2020'!BD63</f>
      </c>
      <c r="BC11" s="106"/>
      <c r="BD11" s="106">
        <f t="shared" si="1"/>
        <v>0</v>
      </c>
      <c r="BE11" s="119">
        <f>'2020'!BE63</f>
        <v>133</v>
      </c>
      <c r="BF11" s="106">
        <f>'2020'!BF63</f>
        <v>343.4</v>
      </c>
      <c r="BG11" s="106">
        <f>'2020'!BG63</f>
        <v>480</v>
      </c>
      <c r="BH11" s="106">
        <f>'2020'!BH63</f>
        <v>-66.73</v>
      </c>
      <c r="BI11" s="106">
        <f t="shared" si="2"/>
        <v>0</v>
      </c>
      <c r="BJ11" s="338">
        <f t="shared" si="3"/>
        <v>-66.73</v>
      </c>
    </row>
    <row r="12" hidden="1" spans="1:62" x14ac:dyDescent="0.25">
      <c r="A12" s="14"/>
      <c r="B12" s="115">
        <v>8</v>
      </c>
      <c r="C12" s="116">
        <v>4</v>
      </c>
      <c r="D12" s="2" t="s">
        <v>383</v>
      </c>
      <c r="E12" s="119">
        <f>'2020'!I72</f>
        <v>352</v>
      </c>
      <c r="F12" s="119">
        <f>'2020'!J72</f>
        <v>0</v>
      </c>
      <c r="G12" s="106">
        <f>'2020'!K72</f>
        <v>0</v>
      </c>
      <c r="H12" s="106">
        <f>'2020'!L72</f>
      </c>
      <c r="I12" s="119">
        <f>'2020'!M72</f>
        <v>352</v>
      </c>
      <c r="J12" s="119">
        <f>'2020'!N72</f>
        <v>0</v>
      </c>
      <c r="K12" s="106">
        <f>'2020'!O72</f>
        <v>0</v>
      </c>
      <c r="L12" s="106">
        <f>'2020'!P72</f>
      </c>
      <c r="M12" s="119">
        <f>'2020'!Q72</f>
        <v>352</v>
      </c>
      <c r="N12" s="119">
        <f>'2020'!R72</f>
        <v>0</v>
      </c>
      <c r="O12" s="106">
        <f>'2020'!S72</f>
        <v>0</v>
      </c>
      <c r="P12" s="106">
        <f>'2020'!T72</f>
      </c>
      <c r="Q12" s="119">
        <f>'2020'!U72</f>
        <v>357</v>
      </c>
      <c r="R12" s="119">
        <f>'2020'!V72</f>
        <v>5</v>
      </c>
      <c r="S12" s="106">
        <f>'2020'!W72</f>
        <v>12.5</v>
      </c>
      <c r="T12" s="106">
        <f>'2020'!X72</f>
        <v>114.7</v>
      </c>
      <c r="U12" s="119">
        <f>'2020'!Y72</f>
        <v>383</v>
      </c>
      <c r="V12" s="119">
        <f>'2020'!Z72</f>
        <v>26</v>
      </c>
      <c r="W12" s="106">
        <f>'2020'!AA72</f>
        <v>65</v>
      </c>
      <c r="X12" s="106">
        <f>'2020'!AB72</f>
      </c>
      <c r="Y12" s="119">
        <f>'2020'!AC72</f>
        <v>413</v>
      </c>
      <c r="Z12" s="119">
        <f>'2020'!AD72</f>
        <v>30</v>
      </c>
      <c r="AA12" s="106">
        <f>'2020'!AE72</f>
        <v>78</v>
      </c>
      <c r="AB12" s="106">
        <f>'2020'!AF72</f>
        <v>500</v>
      </c>
      <c r="AC12" s="119">
        <f>'2020'!AG72</f>
        <v>440</v>
      </c>
      <c r="AD12" s="119">
        <f>'2020'!AH72</f>
        <v>27</v>
      </c>
      <c r="AE12" s="106">
        <f>'2020'!AI72</f>
        <v>70.2</v>
      </c>
      <c r="AF12" s="106">
        <f>'2020'!AJ72</f>
      </c>
      <c r="AG12" s="119">
        <f>'2020'!AK72</f>
        <v>464</v>
      </c>
      <c r="AH12" s="119">
        <f>'2020'!AL72</f>
        <v>24</v>
      </c>
      <c r="AI12" s="106">
        <f>'2020'!AM72</f>
        <v>62.4</v>
      </c>
      <c r="AJ12" s="106">
        <f>'2020'!AN72</f>
      </c>
      <c r="AK12" s="119">
        <f>'2020'!AO72</f>
        <v>489</v>
      </c>
      <c r="AL12" s="119">
        <f>'2020'!AP72</f>
        <v>25</v>
      </c>
      <c r="AM12" s="106">
        <f>'2020'!AQ72</f>
        <v>65</v>
      </c>
      <c r="AN12" s="106">
        <f>'2020'!AR72</f>
      </c>
      <c r="AO12" s="119">
        <f>'2020'!AS72</f>
        <v>509</v>
      </c>
      <c r="AP12" s="119">
        <f>'2020'!AT72</f>
        <v>20</v>
      </c>
      <c r="AQ12" s="106">
        <f>'2020'!AU72</f>
        <v>52</v>
      </c>
      <c r="AR12" s="106">
        <f>'2020'!AV72</f>
      </c>
      <c r="AS12" s="119">
        <f>'2020'!AW72</f>
        <v>509</v>
      </c>
      <c r="AT12" s="119">
        <f>'2020'!AX72</f>
        <v>0</v>
      </c>
      <c r="AU12" s="106">
        <f>'2020'!AY72</f>
        <v>0</v>
      </c>
      <c r="AV12" s="106">
        <f>'2020'!AZ72</f>
      </c>
      <c r="AW12" s="106"/>
      <c r="AX12" s="106">
        <f t="shared" si="0"/>
        <v>0</v>
      </c>
      <c r="AY12" s="119">
        <f>'2020'!BA72</f>
        <v>509</v>
      </c>
      <c r="AZ12" s="119">
        <f>'2020'!BB72</f>
        <v>0</v>
      </c>
      <c r="BA12" s="106">
        <f>'2020'!BC72</f>
        <v>0</v>
      </c>
      <c r="BB12" s="106">
        <f>'2020'!BD72</f>
      </c>
      <c r="BC12" s="106"/>
      <c r="BD12" s="106">
        <f t="shared" si="1"/>
        <v>0</v>
      </c>
      <c r="BE12" s="119">
        <f>'2020'!BE72</f>
        <v>157</v>
      </c>
      <c r="BF12" s="106">
        <f>'2020'!BF72</f>
        <v>405.1</v>
      </c>
      <c r="BG12" s="106">
        <f>'2020'!BG72</f>
        <v>614.7</v>
      </c>
      <c r="BH12" s="106">
        <f>'2020'!BH72</f>
        <v>-94.9</v>
      </c>
      <c r="BI12" s="106">
        <f t="shared" si="2"/>
        <v>0</v>
      </c>
      <c r="BJ12" s="338">
        <f t="shared" si="3"/>
        <v>-94.9</v>
      </c>
    </row>
    <row r="13" hidden="1" spans="1:62" x14ac:dyDescent="0.25">
      <c r="A13" s="14"/>
      <c r="B13" s="115">
        <v>9</v>
      </c>
      <c r="C13" s="115">
        <v>4.03</v>
      </c>
      <c r="D13" s="117" t="s">
        <v>82</v>
      </c>
      <c r="E13" s="119">
        <f>'2020'!I81</f>
        <v>46</v>
      </c>
      <c r="F13" s="119">
        <f>'2020'!J81</f>
        <v>0</v>
      </c>
      <c r="G13" s="106">
        <f>'2020'!K81</f>
        <v>0</v>
      </c>
      <c r="H13" s="106">
        <f>'2020'!L81</f>
      </c>
      <c r="I13" s="119">
        <f>'2020'!M81</f>
        <v>46</v>
      </c>
      <c r="J13" s="119">
        <f>'2020'!N81</f>
        <v>0</v>
      </c>
      <c r="K13" s="106">
        <f>'2020'!O81</f>
        <v>0</v>
      </c>
      <c r="L13" s="106">
        <f>'2020'!P81</f>
      </c>
      <c r="M13" s="119">
        <f>'2020'!Q81</f>
        <v>46</v>
      </c>
      <c r="N13" s="119">
        <f>'2020'!R81</f>
        <v>0</v>
      </c>
      <c r="O13" s="106">
        <f>'2020'!S81</f>
        <v>0</v>
      </c>
      <c r="P13" s="106">
        <f>'2020'!T81</f>
      </c>
      <c r="Q13" s="119">
        <f>'2020'!U81</f>
        <v>46</v>
      </c>
      <c r="R13" s="119">
        <f>'2020'!V81</f>
        <v>0</v>
      </c>
      <c r="S13" s="106">
        <f>'2020'!W81</f>
        <v>0</v>
      </c>
      <c r="T13" s="106">
        <f>'2020'!X81</f>
      </c>
      <c r="U13" s="119">
        <f>'2020'!Y81</f>
        <v>46</v>
      </c>
      <c r="V13" s="119">
        <f>'2020'!Z81</f>
        <v>0</v>
      </c>
      <c r="W13" s="106">
        <f>'2020'!AA81</f>
        <v>0</v>
      </c>
      <c r="X13" s="106">
        <f>'2020'!AB81</f>
      </c>
      <c r="Y13" s="119">
        <f>'2020'!AC81</f>
        <v>46</v>
      </c>
      <c r="Z13" s="119">
        <f>'2020'!AD81</f>
        <v>0</v>
      </c>
      <c r="AA13" s="106">
        <f>'2020'!AE81</f>
        <v>0</v>
      </c>
      <c r="AB13" s="106">
        <f>'2020'!AF81</f>
        <v>200</v>
      </c>
      <c r="AC13" s="119">
        <f>'2020'!AG81</f>
        <v>46</v>
      </c>
      <c r="AD13" s="119">
        <f>'2020'!AH81</f>
        <v>0</v>
      </c>
      <c r="AE13" s="106">
        <f>'2020'!AI81</f>
        <v>0</v>
      </c>
      <c r="AF13" s="106">
        <f>'2020'!AJ81</f>
      </c>
      <c r="AG13" s="119">
        <f>'2020'!AK81</f>
        <v>46</v>
      </c>
      <c r="AH13" s="119">
        <f>'2020'!AL81</f>
        <v>0</v>
      </c>
      <c r="AI13" s="106">
        <f>'2020'!AM81</f>
        <v>0</v>
      </c>
      <c r="AJ13" s="106">
        <f>'2020'!AN81</f>
      </c>
      <c r="AK13" s="119">
        <f>'2020'!AO81</f>
        <v>46</v>
      </c>
      <c r="AL13" s="119">
        <f>'2020'!AP81</f>
        <v>0</v>
      </c>
      <c r="AM13" s="106">
        <f>'2020'!AQ81</f>
        <v>0</v>
      </c>
      <c r="AN13" s="106">
        <f>'2020'!AR81</f>
      </c>
      <c r="AO13" s="119">
        <f>'2020'!AS81</f>
        <v>46</v>
      </c>
      <c r="AP13" s="119">
        <f>'2020'!AT81</f>
        <v>0</v>
      </c>
      <c r="AQ13" s="106">
        <f>'2020'!AU81</f>
        <v>0</v>
      </c>
      <c r="AR13" s="106">
        <f>'2020'!AV81</f>
      </c>
      <c r="AS13" s="119">
        <f>'2020'!AW81</f>
        <v>46</v>
      </c>
      <c r="AT13" s="119">
        <f>'2020'!AX81</f>
        <v>0</v>
      </c>
      <c r="AU13" s="106">
        <f>'2020'!AY81</f>
        <v>0</v>
      </c>
      <c r="AV13" s="106">
        <f>'2020'!AZ81</f>
      </c>
      <c r="AW13" s="106"/>
      <c r="AX13" s="106">
        <f t="shared" si="0"/>
        <v>0</v>
      </c>
      <c r="AY13" s="119">
        <f>'2020'!BA81</f>
        <v>46</v>
      </c>
      <c r="AZ13" s="119">
        <f>'2020'!BB81</f>
        <v>0</v>
      </c>
      <c r="BA13" s="106">
        <f>'2020'!BC81</f>
        <v>0</v>
      </c>
      <c r="BB13" s="106">
        <f>'2020'!BD81</f>
      </c>
      <c r="BC13" s="106"/>
      <c r="BD13" s="106">
        <f t="shared" si="1"/>
        <v>0</v>
      </c>
      <c r="BE13" s="119">
        <f>'2020'!BE81</f>
        <v>0</v>
      </c>
      <c r="BF13" s="106">
        <f>'2020'!BF81</f>
        <v>0</v>
      </c>
      <c r="BG13" s="106">
        <f>'2020'!BG81</f>
        <v>200</v>
      </c>
      <c r="BH13" s="106">
        <f>'2020'!BH81</f>
        <v>-285.03</v>
      </c>
      <c r="BI13" s="106">
        <f t="shared" si="2"/>
        <v>0</v>
      </c>
      <c r="BJ13" s="338">
        <f t="shared" si="3"/>
        <v>-285.03</v>
      </c>
    </row>
    <row r="14" hidden="1" spans="1:62" x14ac:dyDescent="0.25">
      <c r="A14" s="14"/>
      <c r="B14" s="115">
        <v>10</v>
      </c>
      <c r="C14" s="115">
        <v>4.01</v>
      </c>
      <c r="D14" s="117" t="s">
        <v>86</v>
      </c>
      <c r="E14" s="119">
        <f>'2020'!I90</f>
      </c>
      <c r="F14" s="119">
        <f>'2020'!J90</f>
      </c>
      <c r="G14" s="106">
        <f>'2020'!K90</f>
        <v>0</v>
      </c>
      <c r="H14" s="106">
        <f>'2020'!L90</f>
      </c>
      <c r="I14" s="119">
        <f>'2020'!M90</f>
      </c>
      <c r="J14" s="119">
        <f>'2020'!N90</f>
      </c>
      <c r="K14" s="106">
        <f>'2020'!O90</f>
        <v>0</v>
      </c>
      <c r="L14" s="106">
        <f>'2020'!P90</f>
      </c>
      <c r="M14" s="119">
        <f>'2020'!Q90</f>
      </c>
      <c r="N14" s="119">
        <f>'2020'!R90</f>
        <v>0</v>
      </c>
      <c r="O14" s="106">
        <f>'2020'!S90</f>
        <v>0</v>
      </c>
      <c r="P14" s="106">
        <f>'2020'!T90</f>
      </c>
      <c r="Q14" s="119">
        <f>'2020'!U90</f>
      </c>
      <c r="R14" s="119">
        <f>'2020'!V90</f>
        <v>0</v>
      </c>
      <c r="S14" s="106">
        <f>'2020'!W90</f>
        <v>0</v>
      </c>
      <c r="T14" s="106">
        <f>'2020'!X90</f>
      </c>
      <c r="U14" s="119">
        <f>'2020'!Y90</f>
      </c>
      <c r="V14" s="119">
        <f>'2020'!Z90</f>
        <v>0</v>
      </c>
      <c r="W14" s="106">
        <f>'2020'!AA90</f>
        <v>0</v>
      </c>
      <c r="X14" s="106">
        <f>'2020'!AB90</f>
      </c>
      <c r="Y14" s="119">
        <f>'2020'!AC90</f>
      </c>
      <c r="Z14" s="119">
        <f>'2020'!AD90</f>
        <v>0</v>
      </c>
      <c r="AA14" s="106">
        <f>'2020'!AE90</f>
        <v>0</v>
      </c>
      <c r="AB14" s="106">
        <f>'2020'!AF90</f>
      </c>
      <c r="AC14" s="119">
        <f>'2020'!AG90</f>
      </c>
      <c r="AD14" s="119">
        <f>'2020'!AH90</f>
        <v>0</v>
      </c>
      <c r="AE14" s="106">
        <f>'2020'!AI90</f>
        <v>0</v>
      </c>
      <c r="AF14" s="106">
        <f>'2020'!AJ90</f>
      </c>
      <c r="AG14" s="119">
        <f>'2020'!AK90</f>
        <v>0</v>
      </c>
      <c r="AH14" s="119">
        <f>'2020'!AL90</f>
        <v>0</v>
      </c>
      <c r="AI14" s="106">
        <f>'2020'!AM90</f>
        <v>0</v>
      </c>
      <c r="AJ14" s="106">
        <f>'2020'!AN90</f>
      </c>
      <c r="AK14" s="119">
        <f>'2020'!AO90</f>
        <v>0</v>
      </c>
      <c r="AL14" s="119">
        <f>'2020'!AP90</f>
        <v>0</v>
      </c>
      <c r="AM14" s="106">
        <f>'2020'!AQ90</f>
        <v>0</v>
      </c>
      <c r="AN14" s="106">
        <f>'2020'!AR90</f>
      </c>
      <c r="AO14" s="119">
        <f>'2020'!AS90</f>
        <v>0</v>
      </c>
      <c r="AP14" s="119">
        <f>'2020'!AT90</f>
        <v>0</v>
      </c>
      <c r="AQ14" s="106">
        <f>'2020'!AU90</f>
        <v>0</v>
      </c>
      <c r="AR14" s="106">
        <f>'2020'!AV90</f>
      </c>
      <c r="AS14" s="119">
        <f>'2020'!AW90</f>
        <v>0</v>
      </c>
      <c r="AT14" s="119">
        <f>'2020'!AX90</f>
        <v>0</v>
      </c>
      <c r="AU14" s="106">
        <f>'2020'!AY90</f>
        <v>0</v>
      </c>
      <c r="AV14" s="106">
        <f>'2020'!AZ90</f>
      </c>
      <c r="AW14" s="106"/>
      <c r="AX14" s="106">
        <f t="shared" si="0"/>
        <v>0</v>
      </c>
      <c r="AY14" s="119">
        <f>'2020'!BA90</f>
        <v>0</v>
      </c>
      <c r="AZ14" s="119">
        <f>'2020'!BB90</f>
        <v>0</v>
      </c>
      <c r="BA14" s="106">
        <f>'2020'!BC90</f>
        <v>0</v>
      </c>
      <c r="BB14" s="106">
        <f>'2020'!BD90</f>
      </c>
      <c r="BC14" s="106"/>
      <c r="BD14" s="106">
        <f t="shared" si="1"/>
        <v>0</v>
      </c>
      <c r="BE14" s="119">
        <f>'2020'!BE90</f>
        <v>0</v>
      </c>
      <c r="BF14" s="106">
        <f>'2020'!BF90</f>
        <v>0</v>
      </c>
      <c r="BG14" s="106">
        <f>'2020'!BG90</f>
        <v>0</v>
      </c>
      <c r="BH14" s="106">
        <f>'2020'!BH90</f>
        <v>0</v>
      </c>
      <c r="BI14" s="106">
        <f t="shared" si="2"/>
        <v>0</v>
      </c>
      <c r="BJ14" s="338">
        <f t="shared" si="3"/>
        <v>0</v>
      </c>
    </row>
    <row r="15" hidden="1" spans="1:64" x14ac:dyDescent="0.25">
      <c r="A15" s="14"/>
      <c r="B15" s="115">
        <v>11</v>
      </c>
      <c r="C15" s="115">
        <v>4.02</v>
      </c>
      <c r="D15" s="117" t="s">
        <v>89</v>
      </c>
      <c r="E15" s="119">
        <f>'2020'!I99</f>
        <v>35</v>
      </c>
      <c r="F15" s="119">
        <f>'2020'!J99</f>
        <v>0</v>
      </c>
      <c r="G15" s="106">
        <f>'2020'!K99</f>
        <v>0</v>
      </c>
      <c r="H15" s="106">
        <f>'2020'!L99</f>
      </c>
      <c r="I15" s="119">
        <f>'2020'!M99</f>
        <v>35</v>
      </c>
      <c r="J15" s="119">
        <f>'2020'!N99</f>
        <v>0</v>
      </c>
      <c r="K15" s="106">
        <f>'2020'!O99</f>
        <v>0</v>
      </c>
      <c r="L15" s="106">
        <f>'2020'!P99</f>
      </c>
      <c r="M15" s="119">
        <f>'2020'!Q99</f>
        <v>35</v>
      </c>
      <c r="N15" s="119">
        <f>'2020'!R99</f>
        <v>0</v>
      </c>
      <c r="O15" s="106">
        <f>'2020'!S99</f>
        <v>0</v>
      </c>
      <c r="P15" s="106">
        <f>'2020'!T99</f>
      </c>
      <c r="Q15" s="119">
        <f>'2020'!U99</f>
        <v>35</v>
      </c>
      <c r="R15" s="119">
        <f>'2020'!V99</f>
        <v>0</v>
      </c>
      <c r="S15" s="106">
        <f>'2020'!W99</f>
        <v>0</v>
      </c>
      <c r="T15" s="106">
        <f>'2020'!X99</f>
      </c>
      <c r="U15" s="119">
        <f>'2020'!Y99</f>
        <v>35</v>
      </c>
      <c r="V15" s="119">
        <f>'2020'!Z99</f>
        <v>0</v>
      </c>
      <c r="W15" s="106">
        <f>'2020'!AA99</f>
        <v>0</v>
      </c>
      <c r="X15" s="106">
        <f>'2020'!AB99</f>
      </c>
      <c r="Y15" s="119">
        <f>'2020'!AC99</f>
        <v>35</v>
      </c>
      <c r="Z15" s="119">
        <f>'2020'!AD99</f>
        <v>0</v>
      </c>
      <c r="AA15" s="106">
        <f>'2020'!AE99</f>
        <v>0</v>
      </c>
      <c r="AB15" s="106">
        <f>'2020'!AF99</f>
      </c>
      <c r="AC15" s="119">
        <f>'2020'!AG99</f>
        <v>35</v>
      </c>
      <c r="AD15" s="119">
        <f>'2020'!AH99</f>
        <v>0</v>
      </c>
      <c r="AE15" s="106">
        <f>'2020'!AI99</f>
        <v>0</v>
      </c>
      <c r="AF15" s="106">
        <f>'2020'!AJ99</f>
      </c>
      <c r="AG15" s="119">
        <f>'2020'!AK99</f>
        <v>36</v>
      </c>
      <c r="AH15" s="119">
        <f>'2020'!AL99</f>
        <v>1</v>
      </c>
      <c r="AI15" s="106">
        <f>'2020'!AM99</f>
        <v>2.6</v>
      </c>
      <c r="AJ15" s="106">
        <f>'2020'!AN99</f>
      </c>
      <c r="AK15" s="119">
        <f>'2020'!AO99</f>
        <v>36</v>
      </c>
      <c r="AL15" s="119">
        <f>'2020'!AP99</f>
        <v>0</v>
      </c>
      <c r="AM15" s="106">
        <f>'2020'!AQ99</f>
        <v>0</v>
      </c>
      <c r="AN15" s="106">
        <f>'2020'!AR99</f>
      </c>
      <c r="AO15" s="119">
        <f>'2020'!AS99</f>
        <v>36</v>
      </c>
      <c r="AP15" s="119">
        <f>'2020'!AT99</f>
        <v>0</v>
      </c>
      <c r="AQ15" s="106">
        <f>'2020'!AU99</f>
        <v>0</v>
      </c>
      <c r="AR15" s="106">
        <f>'2020'!AV99</f>
      </c>
      <c r="AS15" s="119">
        <f>'2020'!AW99</f>
        <v>36</v>
      </c>
      <c r="AT15" s="119">
        <f>'2020'!AX99</f>
        <v>0</v>
      </c>
      <c r="AU15" s="106">
        <f>'2020'!AY99</f>
        <v>0</v>
      </c>
      <c r="AV15" s="106">
        <f>'2020'!AZ99</f>
      </c>
      <c r="AW15" s="106"/>
      <c r="AX15" s="106">
        <f t="shared" si="0"/>
        <v>0</v>
      </c>
      <c r="AY15" s="119">
        <f>'2020'!BA99</f>
        <v>36</v>
      </c>
      <c r="AZ15" s="119">
        <f>'2020'!BB99</f>
        <v>0</v>
      </c>
      <c r="BA15" s="106">
        <f>'2020'!BC99</f>
        <v>0</v>
      </c>
      <c r="BB15" s="106">
        <f>'2020'!BD99</f>
      </c>
      <c r="BC15" s="106"/>
      <c r="BD15" s="106">
        <f t="shared" si="1"/>
        <v>0</v>
      </c>
      <c r="BE15" s="119">
        <f>'2020'!BE99</f>
        <v>1</v>
      </c>
      <c r="BF15" s="106">
        <f>'2020'!BF99</f>
        <v>2.6</v>
      </c>
      <c r="BG15" s="106">
        <f>'2020'!BG99</f>
        <v>0</v>
      </c>
      <c r="BH15" s="106">
        <f>'2020'!BH99</f>
        <v>-78</v>
      </c>
      <c r="BI15" s="106">
        <f t="shared" si="2"/>
        <v>0</v>
      </c>
      <c r="BJ15" s="338">
        <f t="shared" si="3"/>
        <v>-78</v>
      </c>
      <c r="BL15" s="34"/>
    </row>
    <row r="16" hidden="1" spans="1:62" x14ac:dyDescent="0.25">
      <c r="A16" s="14"/>
      <c r="B16" s="115">
        <v>12</v>
      </c>
      <c r="C16" s="115">
        <v>4.02</v>
      </c>
      <c r="D16" s="117" t="s">
        <v>92</v>
      </c>
      <c r="E16" s="119">
        <f>'2020'!I108</f>
      </c>
      <c r="F16" s="119">
        <f>'2020'!J108</f>
      </c>
      <c r="G16" s="106">
        <f>'2020'!K108</f>
        <v>0</v>
      </c>
      <c r="H16" s="106">
        <f>'2020'!L108</f>
      </c>
      <c r="I16" s="119">
        <f>'2020'!M108</f>
      </c>
      <c r="J16" s="119">
        <f>'2020'!N108</f>
      </c>
      <c r="K16" s="106">
        <f>'2020'!O108</f>
        <v>0</v>
      </c>
      <c r="L16" s="106">
        <f>'2020'!P108</f>
      </c>
      <c r="M16" s="119">
        <f>'2020'!Q108</f>
      </c>
      <c r="N16" s="119">
        <f>'2020'!R108</f>
        <v>0</v>
      </c>
      <c r="O16" s="106">
        <f>'2020'!S108</f>
        <v>0</v>
      </c>
      <c r="P16" s="106">
        <f>'2020'!T108</f>
      </c>
      <c r="Q16" s="119">
        <f>'2020'!U108</f>
      </c>
      <c r="R16" s="119">
        <f>'2020'!V108</f>
        <v>0</v>
      </c>
      <c r="S16" s="106">
        <f>'2020'!W108</f>
        <v>0</v>
      </c>
      <c r="T16" s="106">
        <f>'2020'!X108</f>
      </c>
      <c r="U16" s="119">
        <f>'2020'!Y108</f>
      </c>
      <c r="V16" s="119">
        <f>'2020'!Z108</f>
        <v>0</v>
      </c>
      <c r="W16" s="106">
        <f>'2020'!AA108</f>
        <v>0</v>
      </c>
      <c r="X16" s="106">
        <f>'2020'!AB108</f>
      </c>
      <c r="Y16" s="119">
        <f>'2020'!AC108</f>
      </c>
      <c r="Z16" s="119">
        <f>'2020'!AD108</f>
        <v>0</v>
      </c>
      <c r="AA16" s="106">
        <f>'2020'!AE108</f>
        <v>0</v>
      </c>
      <c r="AB16" s="106">
        <f>'2020'!AF108</f>
      </c>
      <c r="AC16" s="119">
        <f>'2020'!AG108</f>
      </c>
      <c r="AD16" s="119">
        <f>'2020'!AH108</f>
        <v>0</v>
      </c>
      <c r="AE16" s="106">
        <f>'2020'!AI108</f>
        <v>0</v>
      </c>
      <c r="AF16" s="106">
        <f>'2020'!AJ108</f>
      </c>
      <c r="AG16" s="119">
        <f>'2020'!AK108</f>
        <v>0</v>
      </c>
      <c r="AH16" s="119">
        <f>'2020'!AL108</f>
        <v>0</v>
      </c>
      <c r="AI16" s="106">
        <f>'2020'!AM108</f>
        <v>0</v>
      </c>
      <c r="AJ16" s="106">
        <f>'2020'!AN108</f>
      </c>
      <c r="AK16" s="119">
        <f>'2020'!AO108</f>
        <v>0</v>
      </c>
      <c r="AL16" s="119">
        <f>'2020'!AP108</f>
        <v>0</v>
      </c>
      <c r="AM16" s="106">
        <f>'2020'!AQ108</f>
        <v>0</v>
      </c>
      <c r="AN16" s="106">
        <f>'2020'!AR108</f>
      </c>
      <c r="AO16" s="119">
        <f>'2020'!AS108</f>
        <v>0</v>
      </c>
      <c r="AP16" s="119">
        <f>'2020'!AT108</f>
        <v>0</v>
      </c>
      <c r="AQ16" s="106">
        <f>'2020'!AU108</f>
        <v>0</v>
      </c>
      <c r="AR16" s="106">
        <f>'2020'!AV108</f>
      </c>
      <c r="AS16" s="119">
        <f>'2020'!AW108</f>
        <v>0</v>
      </c>
      <c r="AT16" s="119">
        <f>'2020'!AX108</f>
        <v>0</v>
      </c>
      <c r="AU16" s="106">
        <f>'2020'!AY108</f>
        <v>0</v>
      </c>
      <c r="AV16" s="106">
        <f>'2020'!AZ108</f>
      </c>
      <c r="AW16" s="106"/>
      <c r="AX16" s="106">
        <f t="shared" si="0"/>
        <v>0</v>
      </c>
      <c r="AY16" s="119">
        <f>'2020'!BA108</f>
        <v>0</v>
      </c>
      <c r="AZ16" s="119">
        <f>'2020'!BB108</f>
        <v>0</v>
      </c>
      <c r="BA16" s="106">
        <f>'2020'!BC108</f>
        <v>0</v>
      </c>
      <c r="BB16" s="106">
        <f>'2020'!BD108</f>
      </c>
      <c r="BC16" s="106"/>
      <c r="BD16" s="106">
        <f t="shared" si="1"/>
        <v>0</v>
      </c>
      <c r="BE16" s="119">
        <f>'2020'!BE108</f>
        <v>0</v>
      </c>
      <c r="BF16" s="106">
        <f>'2020'!BF108</f>
        <v>0</v>
      </c>
      <c r="BG16" s="106">
        <f>'2020'!BG108</f>
        <v>0</v>
      </c>
      <c r="BH16" s="106">
        <f>'2020'!BH108</f>
        <v>0</v>
      </c>
      <c r="BI16" s="106">
        <f t="shared" si="2"/>
        <v>0</v>
      </c>
      <c r="BJ16" s="338">
        <f t="shared" si="3"/>
        <v>0</v>
      </c>
    </row>
    <row r="17" spans="1:62" x14ac:dyDescent="0.25">
      <c r="A17" s="14"/>
      <c r="B17" s="125" t="s">
        <v>96</v>
      </c>
      <c r="C17" s="115">
        <v>3.94</v>
      </c>
      <c r="D17" s="117" t="s">
        <v>97</v>
      </c>
      <c r="E17" s="119">
        <f>'2020'!I117</f>
        <v>5523</v>
      </c>
      <c r="F17" s="119">
        <f>'2020'!J117</f>
        <v>0</v>
      </c>
      <c r="G17" s="106">
        <f>'2020'!K117</f>
        <v>0</v>
      </c>
      <c r="H17" s="106">
        <f>'2020'!L117</f>
      </c>
      <c r="I17" s="119">
        <f>'2020'!M117</f>
        <v>5523</v>
      </c>
      <c r="J17" s="119">
        <f>'2020'!N117</f>
        <v>0</v>
      </c>
      <c r="K17" s="106">
        <f>'2020'!O117</f>
        <v>0</v>
      </c>
      <c r="L17" s="106">
        <f>'2020'!P117</f>
      </c>
      <c r="M17" s="119">
        <f>'2020'!Q117</f>
        <v>5523</v>
      </c>
      <c r="N17" s="119">
        <f>'2020'!R117</f>
        <v>0</v>
      </c>
      <c r="O17" s="106">
        <f>'2020'!S117</f>
        <v>0</v>
      </c>
      <c r="P17" s="106">
        <f>'2020'!T117</f>
      </c>
      <c r="Q17" s="119">
        <f>'2020'!U117</f>
        <v>5529</v>
      </c>
      <c r="R17" s="119">
        <f>'2020'!V117</f>
        <v>6</v>
      </c>
      <c r="S17" s="106">
        <f>'2020'!W117</f>
        <v>15</v>
      </c>
      <c r="T17" s="106">
        <f>'2020'!X117</f>
      </c>
      <c r="U17" s="119">
        <f>'2020'!Y117</f>
        <v>5560</v>
      </c>
      <c r="V17" s="119">
        <f>'2020'!Z117</f>
        <v>31</v>
      </c>
      <c r="W17" s="106">
        <f>'2020'!AA117</f>
        <v>77.5</v>
      </c>
      <c r="X17" s="106">
        <f>'2020'!AB117</f>
      </c>
      <c r="Y17" s="119">
        <f>'2020'!AC117</f>
        <v>5644</v>
      </c>
      <c r="Z17" s="119">
        <f>'2020'!AD117</f>
        <v>84</v>
      </c>
      <c r="AA17" s="106">
        <f>'2020'!AE117</f>
        <v>218.4</v>
      </c>
      <c r="AB17" s="106">
        <f>'2020'!AF117</f>
      </c>
      <c r="AC17" s="119">
        <f>'2020'!AG117</f>
        <v>5760</v>
      </c>
      <c r="AD17" s="119">
        <f>'2020'!AH117</f>
        <v>116</v>
      </c>
      <c r="AE17" s="106">
        <f>'2020'!AI117</f>
        <v>301.6</v>
      </c>
      <c r="AF17" s="106">
        <f>'2020'!AJ117</f>
        <v>612.5</v>
      </c>
      <c r="AG17" s="119">
        <f>'2020'!AK117</f>
        <v>5892</v>
      </c>
      <c r="AH17" s="119">
        <f>'2020'!AL117</f>
        <v>132</v>
      </c>
      <c r="AI17" s="106">
        <f>'2020'!AM117</f>
        <v>343.2</v>
      </c>
      <c r="AJ17" s="106">
        <f>'2020'!AN117</f>
      </c>
      <c r="AK17" s="119">
        <f>'2020'!AO117</f>
        <v>6009</v>
      </c>
      <c r="AL17" s="119">
        <f>'2020'!AP117</f>
        <v>117</v>
      </c>
      <c r="AM17" s="106">
        <f>'2020'!AQ117</f>
        <v>304.2</v>
      </c>
      <c r="AN17" s="106">
        <f>'2020'!AR117</f>
      </c>
      <c r="AO17" s="119">
        <f>'2020'!AS117</f>
        <v>6258</v>
      </c>
      <c r="AP17" s="119">
        <f>'2020'!AT117</f>
        <v>249</v>
      </c>
      <c r="AQ17" s="106">
        <f>'2020'!AU117</f>
        <v>647.4</v>
      </c>
      <c r="AR17" s="106">
        <f>'2020'!AV117</f>
      </c>
      <c r="AS17" s="119">
        <f>'2020'!AW117</f>
        <v>6466</v>
      </c>
      <c r="AT17" s="119">
        <f>'2020'!AX117</f>
        <v>208</v>
      </c>
      <c r="AU17" s="106">
        <f>'2020'!AY117</f>
        <v>540.8</v>
      </c>
      <c r="AV17" s="106">
        <f>'2020'!AZ117</f>
        <v>2000</v>
      </c>
      <c r="AW17" s="106"/>
      <c r="AX17" s="106">
        <f t="shared" si="0"/>
        <v>0</v>
      </c>
      <c r="AY17" s="119">
        <f>'2020'!BA117</f>
        <v>6473</v>
      </c>
      <c r="AZ17" s="119">
        <f>'2020'!BB117</f>
        <v>7</v>
      </c>
      <c r="BA17" s="106">
        <f>'2020'!BC117</f>
        <v>18.2</v>
      </c>
      <c r="BB17" s="106">
        <f>'2020'!BD117</f>
      </c>
      <c r="BC17" s="106"/>
      <c r="BD17" s="106">
        <f t="shared" si="1"/>
        <v>0</v>
      </c>
      <c r="BE17" s="119">
        <f>'2020'!BE117</f>
        <v>950</v>
      </c>
      <c r="BF17" s="106">
        <f>'2020'!BF117</f>
        <v>2466.3</v>
      </c>
      <c r="BG17" s="106">
        <f>'2020'!BG117</f>
        <v>2612.5</v>
      </c>
      <c r="BH17" s="106">
        <f>'2020'!BH117</f>
        <v>-146.2</v>
      </c>
      <c r="BI17" s="106">
        <f t="shared" si="2"/>
        <v>0</v>
      </c>
      <c r="BJ17" s="338">
        <f t="shared" si="3"/>
        <v>-146.2</v>
      </c>
    </row>
    <row r="18" hidden="1" spans="1:62" x14ac:dyDescent="0.25">
      <c r="A18" s="14"/>
      <c r="B18" s="118" t="s">
        <v>96</v>
      </c>
      <c r="C18" s="116">
        <v>4</v>
      </c>
      <c r="D18" s="117" t="s">
        <v>97</v>
      </c>
      <c r="E18" s="119">
        <f>'2020'!I126</f>
      </c>
      <c r="F18" s="119">
        <f>'2020'!J126</f>
      </c>
      <c r="G18" s="106">
        <f>'2020'!K126</f>
        <v>0</v>
      </c>
      <c r="H18" s="106">
        <f>'2020'!L126</f>
      </c>
      <c r="I18" s="119">
        <f>'2020'!M126</f>
      </c>
      <c r="J18" s="119">
        <f>'2020'!N126</f>
      </c>
      <c r="K18" s="106">
        <f>'2020'!O126</f>
        <v>0</v>
      </c>
      <c r="L18" s="106">
        <f>'2020'!P126</f>
      </c>
      <c r="M18" s="119">
        <f>'2020'!Q126</f>
      </c>
      <c r="N18" s="119">
        <f>'2020'!R126</f>
        <v>0</v>
      </c>
      <c r="O18" s="106">
        <f>'2020'!S126</f>
        <v>0</v>
      </c>
      <c r="P18" s="106">
        <f>'2020'!T126</f>
      </c>
      <c r="Q18" s="119">
        <f>'2020'!U126</f>
      </c>
      <c r="R18" s="119">
        <f>'2020'!V126</f>
        <v>0</v>
      </c>
      <c r="S18" s="106">
        <f>'2020'!W126</f>
        <v>0</v>
      </c>
      <c r="T18" s="106">
        <f>'2020'!X126</f>
      </c>
      <c r="U18" s="119">
        <f>'2020'!Y126</f>
      </c>
      <c r="V18" s="119">
        <f>'2020'!Z126</f>
        <v>0</v>
      </c>
      <c r="W18" s="106">
        <f>'2020'!AA126</f>
        <v>0</v>
      </c>
      <c r="X18" s="106">
        <f>'2020'!AB126</f>
      </c>
      <c r="Y18" s="119">
        <f>'2020'!AC126</f>
      </c>
      <c r="Z18" s="119">
        <f>'2020'!AD126</f>
        <v>0</v>
      </c>
      <c r="AA18" s="106">
        <f>'2020'!AE126</f>
        <v>0</v>
      </c>
      <c r="AB18" s="106">
        <f>'2020'!AF126</f>
      </c>
      <c r="AC18" s="119">
        <f>'2020'!AG126</f>
      </c>
      <c r="AD18" s="119">
        <f>'2020'!AH126</f>
        <v>0</v>
      </c>
      <c r="AE18" s="106">
        <f>'2020'!AI126</f>
        <v>0</v>
      </c>
      <c r="AF18" s="106">
        <f>'2020'!AJ126</f>
      </c>
      <c r="AG18" s="119">
        <f>'2020'!AK126</f>
        <v>0</v>
      </c>
      <c r="AH18" s="119">
        <f>'2020'!AL126</f>
        <v>0</v>
      </c>
      <c r="AI18" s="106">
        <f>'2020'!AM126</f>
        <v>0</v>
      </c>
      <c r="AJ18" s="106">
        <f>'2020'!AN126</f>
      </c>
      <c r="AK18" s="119">
        <f>'2020'!AO126</f>
        <v>0</v>
      </c>
      <c r="AL18" s="119">
        <f>'2020'!AP126</f>
        <v>0</v>
      </c>
      <c r="AM18" s="106">
        <f>'2020'!AQ126</f>
        <v>0</v>
      </c>
      <c r="AN18" s="106">
        <f>'2020'!AR126</f>
      </c>
      <c r="AO18" s="119">
        <f>'2020'!AS126</f>
        <v>0</v>
      </c>
      <c r="AP18" s="119">
        <f>'2020'!AT126</f>
        <v>0</v>
      </c>
      <c r="AQ18" s="106">
        <f>'2020'!AU126</f>
        <v>0</v>
      </c>
      <c r="AR18" s="106">
        <f>'2020'!AV126</f>
      </c>
      <c r="AS18" s="119">
        <f>'2020'!AW126</f>
        <v>0</v>
      </c>
      <c r="AT18" s="119">
        <f>'2020'!AX126</f>
        <v>0</v>
      </c>
      <c r="AU18" s="106">
        <f>'2020'!AY126</f>
        <v>0</v>
      </c>
      <c r="AV18" s="106">
        <f>'2020'!AZ126</f>
      </c>
      <c r="AW18" s="106"/>
      <c r="AX18" s="106">
        <f t="shared" si="0"/>
        <v>0</v>
      </c>
      <c r="AY18" s="119">
        <f>'2020'!BA126</f>
        <v>0</v>
      </c>
      <c r="AZ18" s="119">
        <f>'2020'!BB126</f>
        <v>0</v>
      </c>
      <c r="BA18" s="106">
        <f>'2020'!BC126</f>
        <v>0</v>
      </c>
      <c r="BB18" s="106">
        <f>'2020'!BD126</f>
      </c>
      <c r="BC18" s="106"/>
      <c r="BD18" s="106">
        <f t="shared" si="1"/>
        <v>0</v>
      </c>
      <c r="BE18" s="119">
        <f>'2020'!BE126</f>
        <v>0</v>
      </c>
      <c r="BF18" s="106">
        <f>'2020'!BF126</f>
        <v>0</v>
      </c>
      <c r="BG18" s="106">
        <f>'2020'!BG126</f>
        <v>0</v>
      </c>
      <c r="BH18" s="106">
        <f>'2020'!BH126</f>
        <v>0</v>
      </c>
      <c r="BI18" s="106">
        <f t="shared" si="2"/>
        <v>0</v>
      </c>
      <c r="BJ18" s="338">
        <f t="shared" si="3"/>
        <v>0</v>
      </c>
    </row>
    <row r="19" hidden="1" spans="1:62" x14ac:dyDescent="0.25">
      <c r="A19" s="14"/>
      <c r="B19" s="115">
        <v>14</v>
      </c>
      <c r="C19" s="115">
        <v>4.02</v>
      </c>
      <c r="D19" s="117" t="s">
        <v>100</v>
      </c>
      <c r="E19" s="119">
        <f>'2020'!I135</f>
      </c>
      <c r="F19" s="119">
        <f>'2020'!J135</f>
      </c>
      <c r="G19" s="106">
        <f>'2020'!K135</f>
        <v>0</v>
      </c>
      <c r="H19" s="106">
        <f>'2020'!L135</f>
      </c>
      <c r="I19" s="119">
        <f>'2020'!M135</f>
      </c>
      <c r="J19" s="119">
        <f>'2020'!N135</f>
      </c>
      <c r="K19" s="106">
        <f>'2020'!O135</f>
        <v>0</v>
      </c>
      <c r="L19" s="106">
        <f>'2020'!P135</f>
      </c>
      <c r="M19" s="119">
        <f>'2020'!Q135</f>
      </c>
      <c r="N19" s="119">
        <f>'2020'!R135</f>
        <v>0</v>
      </c>
      <c r="O19" s="106">
        <f>'2020'!S135</f>
        <v>0</v>
      </c>
      <c r="P19" s="106">
        <f>'2020'!T135</f>
      </c>
      <c r="Q19" s="119">
        <f>'2020'!U135</f>
      </c>
      <c r="R19" s="119">
        <f>'2020'!V135</f>
        <v>0</v>
      </c>
      <c r="S19" s="106">
        <f>'2020'!W135</f>
        <v>0</v>
      </c>
      <c r="T19" s="106">
        <f>'2020'!X135</f>
      </c>
      <c r="U19" s="119">
        <f>'2020'!Y135</f>
      </c>
      <c r="V19" s="119">
        <f>'2020'!Z135</f>
        <v>0</v>
      </c>
      <c r="W19" s="106">
        <f>'2020'!AA135</f>
        <v>0</v>
      </c>
      <c r="X19" s="106">
        <f>'2020'!AB135</f>
      </c>
      <c r="Y19" s="119">
        <f>'2020'!AC135</f>
      </c>
      <c r="Z19" s="119">
        <f>'2020'!AD135</f>
        <v>0</v>
      </c>
      <c r="AA19" s="106">
        <f>'2020'!AE135</f>
        <v>0</v>
      </c>
      <c r="AB19" s="106">
        <f>'2020'!AF135</f>
      </c>
      <c r="AC19" s="119">
        <f>'2020'!AG135</f>
      </c>
      <c r="AD19" s="119">
        <f>'2020'!AH135</f>
        <v>0</v>
      </c>
      <c r="AE19" s="106">
        <f>'2020'!AI135</f>
        <v>0</v>
      </c>
      <c r="AF19" s="106">
        <f>'2020'!AJ135</f>
      </c>
      <c r="AG19" s="119">
        <f>'2020'!AK135</f>
        <v>0</v>
      </c>
      <c r="AH19" s="119">
        <f>'2020'!AL135</f>
        <v>0</v>
      </c>
      <c r="AI19" s="106">
        <f>'2020'!AM135</f>
        <v>0</v>
      </c>
      <c r="AJ19" s="106">
        <f>'2020'!AN135</f>
      </c>
      <c r="AK19" s="119">
        <f>'2020'!AO135</f>
        <v>0</v>
      </c>
      <c r="AL19" s="119">
        <f>'2020'!AP135</f>
        <v>0</v>
      </c>
      <c r="AM19" s="106">
        <f>'2020'!AQ135</f>
        <v>0</v>
      </c>
      <c r="AN19" s="106">
        <f>'2020'!AR135</f>
      </c>
      <c r="AO19" s="119">
        <f>'2020'!AS135</f>
        <v>0</v>
      </c>
      <c r="AP19" s="119">
        <f>'2020'!AT135</f>
        <v>0</v>
      </c>
      <c r="AQ19" s="106">
        <f>'2020'!AU135</f>
        <v>0</v>
      </c>
      <c r="AR19" s="106">
        <f>'2020'!AV135</f>
      </c>
      <c r="AS19" s="119">
        <f>'2020'!AW135</f>
        <v>0</v>
      </c>
      <c r="AT19" s="119">
        <f>'2020'!AX135</f>
        <v>0</v>
      </c>
      <c r="AU19" s="106">
        <f>'2020'!AY135</f>
        <v>0</v>
      </c>
      <c r="AV19" s="106">
        <f>'2020'!AZ135</f>
      </c>
      <c r="AW19" s="106"/>
      <c r="AX19" s="106">
        <f t="shared" si="0"/>
        <v>0</v>
      </c>
      <c r="AY19" s="119">
        <f>'2020'!BA135</f>
        <v>0</v>
      </c>
      <c r="AZ19" s="119">
        <f>'2020'!BB135</f>
        <v>0</v>
      </c>
      <c r="BA19" s="106">
        <f>'2020'!BC135</f>
        <v>0</v>
      </c>
      <c r="BB19" s="106">
        <f>'2020'!BD135</f>
      </c>
      <c r="BC19" s="106"/>
      <c r="BD19" s="106">
        <f t="shared" si="1"/>
        <v>0</v>
      </c>
      <c r="BE19" s="119">
        <f>'2020'!BE135</f>
        <v>0</v>
      </c>
      <c r="BF19" s="106">
        <f>'2020'!BF135</f>
        <v>0</v>
      </c>
      <c r="BG19" s="106">
        <f>'2020'!BG135</f>
        <v>0</v>
      </c>
      <c r="BH19" s="106">
        <f>'2020'!BH135</f>
        <v>0</v>
      </c>
      <c r="BI19" s="106">
        <f t="shared" si="2"/>
        <v>0</v>
      </c>
      <c r="BJ19" s="338">
        <f t="shared" si="3"/>
        <v>0</v>
      </c>
    </row>
    <row r="20" hidden="1" spans="1:62" x14ac:dyDescent="0.25">
      <c r="A20" s="14"/>
      <c r="B20" s="115">
        <v>16</v>
      </c>
      <c r="C20" s="115">
        <v>3.98</v>
      </c>
      <c r="D20" s="117" t="s">
        <v>103</v>
      </c>
      <c r="E20" s="119">
        <f>'2020'!I144</f>
        <v>761</v>
      </c>
      <c r="F20" s="119">
        <f>'2020'!J144</f>
        <v>0</v>
      </c>
      <c r="G20" s="106">
        <f>'2020'!K144</f>
        <v>0</v>
      </c>
      <c r="H20" s="106">
        <f>'2020'!L144</f>
      </c>
      <c r="I20" s="119">
        <f>'2020'!M144</f>
        <v>761</v>
      </c>
      <c r="J20" s="119">
        <f>'2020'!N144</f>
        <v>0</v>
      </c>
      <c r="K20" s="106">
        <f>'2020'!O144</f>
        <v>0</v>
      </c>
      <c r="L20" s="106">
        <f>'2020'!P144</f>
      </c>
      <c r="M20" s="119">
        <f>'2020'!Q144</f>
        <v>761</v>
      </c>
      <c r="N20" s="119">
        <f>'2020'!R144</f>
        <v>0</v>
      </c>
      <c r="O20" s="106">
        <f>'2020'!S144</f>
        <v>0</v>
      </c>
      <c r="P20" s="106">
        <f>'2020'!T144</f>
      </c>
      <c r="Q20" s="119">
        <f>'2020'!U144</f>
        <v>809</v>
      </c>
      <c r="R20" s="119">
        <f>'2020'!V144</f>
        <v>48</v>
      </c>
      <c r="S20" s="106">
        <f>'2020'!W144</f>
        <v>120</v>
      </c>
      <c r="T20" s="106">
        <f>'2020'!X144</f>
      </c>
      <c r="U20" s="119">
        <f>'2020'!Y144</f>
        <v>939</v>
      </c>
      <c r="V20" s="119">
        <f>'2020'!Z144</f>
        <v>130</v>
      </c>
      <c r="W20" s="106">
        <f>'2020'!AA144</f>
        <v>325</v>
      </c>
      <c r="X20" s="106">
        <f>'2020'!AB144</f>
        <v>500</v>
      </c>
      <c r="Y20" s="119">
        <f>'2020'!AC144</f>
        <v>975</v>
      </c>
      <c r="Z20" s="119">
        <f>'2020'!AD144</f>
        <v>36</v>
      </c>
      <c r="AA20" s="106">
        <f>'2020'!AE144</f>
        <v>90</v>
      </c>
      <c r="AB20" s="106">
        <f>'2020'!AF144</f>
      </c>
      <c r="AC20" s="119">
        <f>'2020'!AG144</f>
        <v>1012</v>
      </c>
      <c r="AD20" s="119">
        <f>'2020'!AH144</f>
        <v>37</v>
      </c>
      <c r="AE20" s="106">
        <f>'2020'!AI144</f>
        <v>96.2</v>
      </c>
      <c r="AF20" s="106">
        <f>'2020'!AJ144</f>
        <v>1100</v>
      </c>
      <c r="AG20" s="119">
        <f>'2020'!AK144</f>
        <v>1055</v>
      </c>
      <c r="AH20" s="119">
        <f>'2020'!AL144</f>
        <v>43</v>
      </c>
      <c r="AI20" s="106">
        <f>'2020'!AM144</f>
        <v>111.8</v>
      </c>
      <c r="AJ20" s="106">
        <f>'2020'!AN144</f>
      </c>
      <c r="AK20" s="119">
        <f>'2020'!AO144</f>
        <v>1128</v>
      </c>
      <c r="AL20" s="119">
        <f>'2020'!AP144</f>
        <v>73</v>
      </c>
      <c r="AM20" s="106">
        <f>'2020'!AQ144</f>
        <v>189.8</v>
      </c>
      <c r="AN20" s="106">
        <f>'2020'!AR144</f>
      </c>
      <c r="AO20" s="119">
        <f>'2020'!AS144</f>
        <v>1249</v>
      </c>
      <c r="AP20" s="119">
        <f>'2020'!AT144</f>
        <v>121</v>
      </c>
      <c r="AQ20" s="106">
        <f>'2020'!AU144</f>
        <v>314.6</v>
      </c>
      <c r="AR20" s="106">
        <f>'2020'!AV144</f>
      </c>
      <c r="AS20" s="119">
        <f>'2020'!AW144</f>
        <v>1249</v>
      </c>
      <c r="AT20" s="119">
        <f>'2020'!AX144</f>
        <v>0</v>
      </c>
      <c r="AU20" s="106">
        <f>'2020'!AY144</f>
        <v>0</v>
      </c>
      <c r="AV20" s="106">
        <f>'2020'!AZ144</f>
      </c>
      <c r="AW20" s="106"/>
      <c r="AX20" s="106">
        <f t="shared" si="0"/>
        <v>0</v>
      </c>
      <c r="AY20" s="119">
        <f>'2020'!BA144</f>
        <v>1249</v>
      </c>
      <c r="AZ20" s="119">
        <f>'2020'!BB144</f>
        <v>0</v>
      </c>
      <c r="BA20" s="106">
        <f>'2020'!BC144</f>
        <v>0</v>
      </c>
      <c r="BB20" s="106">
        <f>'2020'!BD144</f>
      </c>
      <c r="BC20" s="106"/>
      <c r="BD20" s="106">
        <f t="shared" si="1"/>
        <v>0</v>
      </c>
      <c r="BE20" s="119">
        <f>'2020'!BE144</f>
        <v>488</v>
      </c>
      <c r="BF20" s="106">
        <f>'2020'!BF144</f>
        <v>1247.4</v>
      </c>
      <c r="BG20" s="106">
        <f>'2020'!BG144</f>
        <v>1600</v>
      </c>
      <c r="BH20" s="106">
        <f>'2020'!BH144</f>
        <v>-113.77</v>
      </c>
      <c r="BI20" s="106">
        <f t="shared" si="2"/>
        <v>0</v>
      </c>
      <c r="BJ20" s="338">
        <f t="shared" si="3"/>
        <v>-113.77</v>
      </c>
    </row>
    <row r="21" ht="15.75" customHeight="1" hidden="1" spans="1:62" x14ac:dyDescent="0.25">
      <c r="A21" s="14"/>
      <c r="B21" s="115">
        <v>17</v>
      </c>
      <c r="C21" s="116">
        <v>4</v>
      </c>
      <c r="D21" s="117" t="s">
        <v>106</v>
      </c>
      <c r="E21" s="119">
        <f>'2020'!I153</f>
        <v>18</v>
      </c>
      <c r="F21" s="119">
        <f>'2020'!J153</f>
        <v>0</v>
      </c>
      <c r="G21" s="106">
        <f>'2020'!K153</f>
        <v>0</v>
      </c>
      <c r="H21" s="106">
        <f>'2020'!L153</f>
      </c>
      <c r="I21" s="119">
        <f>'2020'!M153</f>
        <v>18</v>
      </c>
      <c r="J21" s="119">
        <f>'2020'!N153</f>
        <v>0</v>
      </c>
      <c r="K21" s="106">
        <f>'2020'!O153</f>
        <v>0</v>
      </c>
      <c r="L21" s="106">
        <f>'2020'!P153</f>
      </c>
      <c r="M21" s="119">
        <f>'2020'!Q153</f>
        <v>18</v>
      </c>
      <c r="N21" s="119">
        <f>'2020'!R153</f>
        <v>0</v>
      </c>
      <c r="O21" s="106">
        <f>'2020'!S153</f>
        <v>0</v>
      </c>
      <c r="P21" s="106">
        <f>'2020'!T153</f>
      </c>
      <c r="Q21" s="119">
        <f>'2020'!U153</f>
        <v>18</v>
      </c>
      <c r="R21" s="119">
        <f>'2020'!V153</f>
        <v>0</v>
      </c>
      <c r="S21" s="106">
        <f>'2020'!W153</f>
        <v>0</v>
      </c>
      <c r="T21" s="106">
        <f>'2020'!X153</f>
      </c>
      <c r="U21" s="119">
        <f>'2020'!Y153</f>
        <v>39</v>
      </c>
      <c r="V21" s="119">
        <f>'2020'!Z153</f>
        <v>21</v>
      </c>
      <c r="W21" s="106">
        <f>'2020'!AA153</f>
        <v>52.5</v>
      </c>
      <c r="X21" s="106">
        <f>'2020'!AB153</f>
      </c>
      <c r="Y21" s="119">
        <f>'2020'!AC153</f>
        <v>55</v>
      </c>
      <c r="Z21" s="119">
        <f>'2020'!AD153</f>
        <v>16</v>
      </c>
      <c r="AA21" s="106">
        <f>'2020'!AE153</f>
        <v>40</v>
      </c>
      <c r="AB21" s="106">
        <f>'2020'!AF153</f>
        <v>200</v>
      </c>
      <c r="AC21" s="119">
        <f>'2020'!AG153</f>
        <v>76</v>
      </c>
      <c r="AD21" s="119">
        <f>'2020'!AH153</f>
        <v>21</v>
      </c>
      <c r="AE21" s="106">
        <f>'2020'!AI153</f>
        <v>54.6</v>
      </c>
      <c r="AF21" s="106">
        <f>'2020'!AJ153</f>
      </c>
      <c r="AG21" s="119">
        <f>'2020'!AK153</f>
        <v>95</v>
      </c>
      <c r="AH21" s="119">
        <f>'2020'!AL153</f>
        <v>19</v>
      </c>
      <c r="AI21" s="106">
        <f>'2020'!AM153</f>
        <v>49.4</v>
      </c>
      <c r="AJ21" s="106">
        <f>'2020'!AN153</f>
      </c>
      <c r="AK21" s="119">
        <f>'2020'!AO153</f>
        <v>95</v>
      </c>
      <c r="AL21" s="119">
        <f>'2020'!AP153</f>
        <v>0</v>
      </c>
      <c r="AM21" s="106">
        <f>'2020'!AQ153</f>
        <v>0</v>
      </c>
      <c r="AN21" s="106">
        <f>'2020'!AR153</f>
        <v>50</v>
      </c>
      <c r="AO21" s="119">
        <f>'2020'!AS153</f>
        <v>95</v>
      </c>
      <c r="AP21" s="119">
        <f>'2020'!AT153</f>
        <v>0</v>
      </c>
      <c r="AQ21" s="106">
        <f>'2020'!AU153</f>
        <v>0</v>
      </c>
      <c r="AR21" s="106">
        <f>'2020'!AV153</f>
      </c>
      <c r="AS21" s="119">
        <f>'2020'!AW153</f>
        <v>95</v>
      </c>
      <c r="AT21" s="119">
        <f>'2020'!AX153</f>
        <v>0</v>
      </c>
      <c r="AU21" s="106">
        <f>'2020'!AY153</f>
        <v>0</v>
      </c>
      <c r="AV21" s="106">
        <f>'2020'!AZ153</f>
      </c>
      <c r="AW21" s="106"/>
      <c r="AX21" s="106">
        <f t="shared" si="0"/>
        <v>0</v>
      </c>
      <c r="AY21" s="119">
        <f>'2020'!BA153</f>
        <v>95</v>
      </c>
      <c r="AZ21" s="119">
        <f>'2020'!BB153</f>
        <v>0</v>
      </c>
      <c r="BA21" s="106">
        <f>'2020'!BC153</f>
        <v>0</v>
      </c>
      <c r="BB21" s="106">
        <f>'2020'!BD153</f>
      </c>
      <c r="BC21" s="106"/>
      <c r="BD21" s="106">
        <f t="shared" si="1"/>
        <v>0</v>
      </c>
      <c r="BE21" s="119">
        <f>'2020'!BE153</f>
        <v>77</v>
      </c>
      <c r="BF21" s="106">
        <f>'2020'!BF153</f>
        <v>196.5</v>
      </c>
      <c r="BG21" s="106">
        <f>'2020'!BG153</f>
        <v>250</v>
      </c>
      <c r="BH21" s="106">
        <f>'2020'!BH153</f>
        <v>-70.89</v>
      </c>
      <c r="BI21" s="106">
        <f t="shared" si="2"/>
        <v>0</v>
      </c>
      <c r="BJ21" s="338">
        <f t="shared" si="3"/>
        <v>-70.89</v>
      </c>
    </row>
    <row r="22" ht="15.75" customHeight="1" hidden="1" spans="1:62" x14ac:dyDescent="0.25">
      <c r="A22" s="14"/>
      <c r="B22" s="115">
        <v>18</v>
      </c>
      <c r="C22" s="115">
        <v>4.03</v>
      </c>
      <c r="D22" s="117" t="s">
        <v>109</v>
      </c>
      <c r="E22" s="119">
        <f>'2020'!I162</f>
        <v>258</v>
      </c>
      <c r="F22" s="119">
        <f>'2020'!J162</f>
        <v>0</v>
      </c>
      <c r="G22" s="106">
        <f>'2020'!K162</f>
        <v>0</v>
      </c>
      <c r="H22" s="106">
        <f>'2020'!L162</f>
      </c>
      <c r="I22" s="119">
        <f>'2020'!M162</f>
        <v>258</v>
      </c>
      <c r="J22" s="119">
        <f>'2020'!N162</f>
        <v>0</v>
      </c>
      <c r="K22" s="106">
        <f>'2020'!O162</f>
        <v>0</v>
      </c>
      <c r="L22" s="106">
        <f>'2020'!P162</f>
      </c>
      <c r="M22" s="119">
        <f>'2020'!Q162</f>
        <v>258</v>
      </c>
      <c r="N22" s="119">
        <f>'2020'!R162</f>
        <v>0</v>
      </c>
      <c r="O22" s="106">
        <f>'2020'!S162</f>
        <v>0</v>
      </c>
      <c r="P22" s="106">
        <f>'2020'!T162</f>
      </c>
      <c r="Q22" s="119">
        <f>'2020'!U162</f>
        <v>261</v>
      </c>
      <c r="R22" s="119">
        <f>'2020'!V162</f>
        <v>3</v>
      </c>
      <c r="S22" s="106">
        <f>'2020'!W162</f>
        <v>7.5</v>
      </c>
      <c r="T22" s="106">
        <f>'2020'!X162</f>
      </c>
      <c r="U22" s="119">
        <f>'2020'!Y162</f>
        <v>279</v>
      </c>
      <c r="V22" s="119">
        <f>'2020'!Z162</f>
        <v>18</v>
      </c>
      <c r="W22" s="106">
        <f>'2020'!AA162</f>
        <v>45</v>
      </c>
      <c r="X22" s="106">
        <f>'2020'!AB162</f>
      </c>
      <c r="Y22" s="119">
        <f>'2020'!AC162</f>
        <v>293</v>
      </c>
      <c r="Z22" s="119">
        <f>'2020'!AD162</f>
        <v>14</v>
      </c>
      <c r="AA22" s="106">
        <f>'2020'!AE162</f>
        <v>35</v>
      </c>
      <c r="AB22" s="106">
        <f>'2020'!AF162</f>
      </c>
      <c r="AC22" s="119">
        <f>'2020'!AG162</f>
        <v>317</v>
      </c>
      <c r="AD22" s="119">
        <f>'2020'!AH162</f>
        <v>24</v>
      </c>
      <c r="AE22" s="106">
        <f>'2020'!AI162</f>
        <v>62.4</v>
      </c>
      <c r="AF22" s="106">
        <f>'2020'!AJ162</f>
        <v>127.5</v>
      </c>
      <c r="AG22" s="119">
        <f>'2020'!AK162</f>
        <v>340</v>
      </c>
      <c r="AH22" s="119">
        <f>'2020'!AL162</f>
        <v>23</v>
      </c>
      <c r="AI22" s="106">
        <f>'2020'!AM162</f>
        <v>59.8</v>
      </c>
      <c r="AJ22" s="106">
        <f>'2020'!AN162</f>
        <v>114.4</v>
      </c>
      <c r="AK22" s="119">
        <f>'2020'!AO162</f>
        <v>353</v>
      </c>
      <c r="AL22" s="119">
        <f>'2020'!AP162</f>
        <v>13</v>
      </c>
      <c r="AM22" s="106">
        <f>'2020'!AQ162</f>
        <v>33.8</v>
      </c>
      <c r="AN22" s="106">
        <f>'2020'!AR162</f>
      </c>
      <c r="AO22" s="119">
        <f>'2020'!AS162</f>
        <v>359</v>
      </c>
      <c r="AP22" s="119">
        <f>'2020'!AT162</f>
        <v>6</v>
      </c>
      <c r="AQ22" s="106">
        <f>'2020'!AU162</f>
        <v>15.6</v>
      </c>
      <c r="AR22" s="106">
        <f>'2020'!AV162</f>
      </c>
      <c r="AS22" s="119">
        <f>'2020'!AW162</f>
        <v>359</v>
      </c>
      <c r="AT22" s="119">
        <f>'2020'!AX162</f>
        <v>0</v>
      </c>
      <c r="AU22" s="106">
        <f>'2020'!AY162</f>
        <v>0</v>
      </c>
      <c r="AV22" s="106">
        <f>'2020'!AZ162</f>
      </c>
      <c r="AW22" s="106"/>
      <c r="AX22" s="106">
        <f t="shared" si="0"/>
        <v>0</v>
      </c>
      <c r="AY22" s="119">
        <f>'2020'!BA162</f>
        <v>359</v>
      </c>
      <c r="AZ22" s="119">
        <f>'2020'!BB162</f>
        <v>0</v>
      </c>
      <c r="BA22" s="106">
        <f>'2020'!BC162</f>
        <v>0</v>
      </c>
      <c r="BB22" s="106">
        <f>'2020'!BD162</f>
      </c>
      <c r="BC22" s="106"/>
      <c r="BD22" s="106">
        <f t="shared" si="1"/>
        <v>0</v>
      </c>
      <c r="BE22" s="119">
        <f>'2020'!BE162</f>
        <v>101</v>
      </c>
      <c r="BF22" s="106">
        <f>'2020'!BF162</f>
        <v>259.1</v>
      </c>
      <c r="BG22" s="106">
        <f>'2020'!BG162</f>
        <v>241.9</v>
      </c>
      <c r="BH22" s="106">
        <f>'2020'!BH162</f>
        <v>57.2</v>
      </c>
      <c r="BI22" s="106">
        <f t="shared" si="2"/>
        <v>0</v>
      </c>
      <c r="BJ22" s="338">
        <f t="shared" si="3"/>
        <v>57.2</v>
      </c>
    </row>
    <row r="23" ht="15.75" customHeight="1" hidden="1" spans="1:62" x14ac:dyDescent="0.25">
      <c r="A23" s="21"/>
      <c r="B23" s="115">
        <v>19</v>
      </c>
      <c r="C23" s="116">
        <v>4.1</v>
      </c>
      <c r="D23" s="117" t="s">
        <v>113</v>
      </c>
      <c r="E23" s="119">
        <f>'2020'!I171</f>
        <v>1</v>
      </c>
      <c r="F23" s="119">
        <f>'2020'!J171</f>
        <v>0</v>
      </c>
      <c r="G23" s="106">
        <f>'2020'!K171</f>
        <v>0</v>
      </c>
      <c r="H23" s="106">
        <f>'2020'!L171</f>
      </c>
      <c r="I23" s="119">
        <f>'2020'!M171</f>
        <v>1</v>
      </c>
      <c r="J23" s="119">
        <f>'2020'!N171</f>
        <v>0</v>
      </c>
      <c r="K23" s="106">
        <f>'2020'!O171</f>
        <v>0</v>
      </c>
      <c r="L23" s="106">
        <f>'2020'!P171</f>
      </c>
      <c r="M23" s="119">
        <f>'2020'!Q171</f>
        <v>1</v>
      </c>
      <c r="N23" s="119">
        <f>'2020'!R171</f>
        <v>0</v>
      </c>
      <c r="O23" s="106">
        <f>'2020'!S171</f>
        <v>0</v>
      </c>
      <c r="P23" s="106">
        <f>'2020'!T171</f>
      </c>
      <c r="Q23" s="119">
        <f>'2020'!U171</f>
        <v>1</v>
      </c>
      <c r="R23" s="119">
        <f>'2020'!V171</f>
        <v>0</v>
      </c>
      <c r="S23" s="106">
        <f>'2020'!W171</f>
        <v>0</v>
      </c>
      <c r="T23" s="106">
        <f>'2020'!X171</f>
      </c>
      <c r="U23" s="119">
        <f>'2020'!Y171</f>
        <v>1</v>
      </c>
      <c r="V23" s="119">
        <f>'2020'!Z171</f>
        <v>0</v>
      </c>
      <c r="W23" s="106">
        <f>'2020'!AA171</f>
        <v>0</v>
      </c>
      <c r="X23" s="106">
        <f>'2020'!AB171</f>
      </c>
      <c r="Y23" s="119">
        <f>'2020'!AC171</f>
        <v>1</v>
      </c>
      <c r="Z23" s="119">
        <f>'2020'!AD171</f>
        <v>0</v>
      </c>
      <c r="AA23" s="106">
        <f>'2020'!AE171</f>
        <v>0</v>
      </c>
      <c r="AB23" s="106">
        <f>'2020'!AF171</f>
      </c>
      <c r="AC23" s="119">
        <f>'2020'!AG171</f>
        <v>1</v>
      </c>
      <c r="AD23" s="119">
        <f>'2020'!AH171</f>
        <v>0</v>
      </c>
      <c r="AE23" s="106">
        <f>'2020'!AI171</f>
        <v>0</v>
      </c>
      <c r="AF23" s="106">
        <f>'2020'!AJ171</f>
      </c>
      <c r="AG23" s="119">
        <f>'2020'!AK171</f>
        <v>1</v>
      </c>
      <c r="AH23" s="119">
        <f>'2020'!AL171</f>
        <v>0</v>
      </c>
      <c r="AI23" s="106">
        <f>'2020'!AM171</f>
        <v>0</v>
      </c>
      <c r="AJ23" s="106">
        <f>'2020'!AN171</f>
      </c>
      <c r="AK23" s="119">
        <f>'2020'!AO171</f>
        <v>1</v>
      </c>
      <c r="AL23" s="119">
        <f>'2020'!AP171</f>
        <v>0</v>
      </c>
      <c r="AM23" s="106">
        <f>'2020'!AQ171</f>
        <v>0</v>
      </c>
      <c r="AN23" s="106">
        <f>'2020'!AR171</f>
      </c>
      <c r="AO23" s="119">
        <f>'2020'!AS171</f>
        <v>1</v>
      </c>
      <c r="AP23" s="119">
        <f>'2020'!AT171</f>
        <v>0</v>
      </c>
      <c r="AQ23" s="106">
        <f>'2020'!AU171</f>
        <v>0</v>
      </c>
      <c r="AR23" s="106">
        <f>'2020'!AV171</f>
      </c>
      <c r="AS23" s="119">
        <f>'2020'!AW171</f>
        <v>1</v>
      </c>
      <c r="AT23" s="119">
        <f>'2020'!AX171</f>
        <v>0</v>
      </c>
      <c r="AU23" s="106">
        <f>'2020'!AY171</f>
        <v>0</v>
      </c>
      <c r="AV23" s="106">
        <f>'2020'!AZ171</f>
      </c>
      <c r="AW23" s="106"/>
      <c r="AX23" s="106">
        <f t="shared" si="0"/>
        <v>0</v>
      </c>
      <c r="AY23" s="119">
        <f>'2020'!BA171</f>
        <v>1</v>
      </c>
      <c r="AZ23" s="119">
        <f>'2020'!BB171</f>
        <v>0</v>
      </c>
      <c r="BA23" s="106">
        <f>'2020'!BC171</f>
        <v>0</v>
      </c>
      <c r="BB23" s="106">
        <f>'2020'!BD171</f>
      </c>
      <c r="BC23" s="106"/>
      <c r="BD23" s="106">
        <f t="shared" si="1"/>
        <v>0</v>
      </c>
      <c r="BE23" s="119">
        <f>'2020'!BE171</f>
        <v>0</v>
      </c>
      <c r="BF23" s="106">
        <f>'2020'!BF171</f>
        <v>0</v>
      </c>
      <c r="BG23" s="106">
        <f>'2020'!BG171</f>
        <v>0</v>
      </c>
      <c r="BH23" s="106">
        <f>'2020'!BH171</f>
        <v>0</v>
      </c>
      <c r="BI23" s="106">
        <f t="shared" si="2"/>
        <v>0</v>
      </c>
      <c r="BJ23" s="338">
        <f t="shared" si="3"/>
        <v>0</v>
      </c>
    </row>
    <row r="24" ht="15.75" customHeight="1" hidden="1" spans="1:62" x14ac:dyDescent="0.25">
      <c r="A24" s="114" t="s">
        <v>116</v>
      </c>
      <c r="B24" s="115" t="s">
        <v>117</v>
      </c>
      <c r="C24" s="283">
        <v>4</v>
      </c>
      <c r="D24" s="117" t="s">
        <v>118</v>
      </c>
      <c r="E24" s="119">
        <f>'2020'!I180</f>
        <v>2985</v>
      </c>
      <c r="F24" s="119">
        <f>'2020'!J180</f>
        <v>0</v>
      </c>
      <c r="G24" s="106">
        <f>'2020'!K180</f>
        <v>0</v>
      </c>
      <c r="H24" s="106">
        <f>'2020'!L180</f>
      </c>
      <c r="I24" s="119">
        <f>'2020'!M180</f>
        <v>2985</v>
      </c>
      <c r="J24" s="119">
        <f>'2020'!N180</f>
        <v>0</v>
      </c>
      <c r="K24" s="106">
        <f>'2020'!O180</f>
        <v>0</v>
      </c>
      <c r="L24" s="106">
        <f>'2020'!P180</f>
      </c>
      <c r="M24" s="119">
        <f>'2020'!Q180</f>
        <v>2985</v>
      </c>
      <c r="N24" s="119">
        <f>'2020'!R180</f>
        <v>0</v>
      </c>
      <c r="O24" s="106">
        <f>'2020'!S180</f>
        <v>0</v>
      </c>
      <c r="P24" s="106">
        <f>'2020'!T180</f>
      </c>
      <c r="Q24" s="119">
        <f>'2020'!U180</f>
        <v>2990</v>
      </c>
      <c r="R24" s="119">
        <f>'2020'!V180</f>
        <v>5</v>
      </c>
      <c r="S24" s="106">
        <f>'2020'!W180</f>
        <v>12.5</v>
      </c>
      <c r="T24" s="106">
        <f>'2020'!X180</f>
      </c>
      <c r="U24" s="119">
        <f>'2020'!Y180</f>
        <v>3063</v>
      </c>
      <c r="V24" s="119">
        <f>'2020'!Z180</f>
        <v>73</v>
      </c>
      <c r="W24" s="106">
        <f>'2020'!AA180</f>
        <v>182.5</v>
      </c>
      <c r="X24" s="106">
        <f>'2020'!AB180</f>
      </c>
      <c r="Y24" s="119">
        <f>'2020'!AC180</f>
        <v>3106</v>
      </c>
      <c r="Z24" s="119">
        <f>'2020'!AD180</f>
        <v>43</v>
      </c>
      <c r="AA24" s="106">
        <f>'2020'!AE180</f>
        <v>107.5</v>
      </c>
      <c r="AB24" s="106">
        <f>'2020'!AF180</f>
        <v>383.88</v>
      </c>
      <c r="AC24" s="119">
        <f>'2020'!AG180</f>
        <v>3166</v>
      </c>
      <c r="AD24" s="119">
        <f>'2020'!AH180</f>
        <v>60</v>
      </c>
      <c r="AE24" s="106">
        <f>'2020'!AI180</f>
        <v>156</v>
      </c>
      <c r="AF24" s="106">
        <f>'2020'!AJ180</f>
        <v>115.84</v>
      </c>
      <c r="AG24" s="119">
        <f>'2020'!AK180</f>
        <v>3215</v>
      </c>
      <c r="AH24" s="119">
        <f>'2020'!AL180</f>
        <v>49</v>
      </c>
      <c r="AI24" s="106">
        <f>'2020'!AM180</f>
        <v>127.4</v>
      </c>
      <c r="AJ24" s="106">
        <f>'2020'!AN180</f>
        <v>304.16</v>
      </c>
      <c r="AK24" s="119">
        <f>'2020'!AO180</f>
        <v>3262</v>
      </c>
      <c r="AL24" s="119">
        <f>'2020'!AP180</f>
        <v>47</v>
      </c>
      <c r="AM24" s="106">
        <f>'2020'!AQ180</f>
        <v>122.2</v>
      </c>
      <c r="AN24" s="106">
        <f>'2020'!AR180</f>
      </c>
      <c r="AO24" s="119">
        <f>'2020'!AS180</f>
        <v>3265</v>
      </c>
      <c r="AP24" s="119">
        <f>'2020'!AT180</f>
        <v>3</v>
      </c>
      <c r="AQ24" s="106">
        <f>'2020'!AU180</f>
        <v>7.8</v>
      </c>
      <c r="AR24" s="106">
        <f>'2020'!AV180</f>
      </c>
      <c r="AS24" s="119">
        <f>'2020'!AW180</f>
        <v>3265</v>
      </c>
      <c r="AT24" s="119">
        <f>'2020'!AX180</f>
        <v>0</v>
      </c>
      <c r="AU24" s="106">
        <f>'2020'!AY180</f>
        <v>0</v>
      </c>
      <c r="AV24" s="106">
        <f>'2020'!AZ180</f>
      </c>
      <c r="AW24" s="106"/>
      <c r="AX24" s="106">
        <f t="shared" si="0"/>
        <v>0</v>
      </c>
      <c r="AY24" s="119">
        <f>'2020'!BA180</f>
        <v>3265</v>
      </c>
      <c r="AZ24" s="119">
        <f>'2020'!BB180</f>
        <v>0</v>
      </c>
      <c r="BA24" s="106">
        <f>'2020'!BC180</f>
        <v>0</v>
      </c>
      <c r="BB24" s="106">
        <f>'2020'!BD180</f>
      </c>
      <c r="BC24" s="106"/>
      <c r="BD24" s="106">
        <f t="shared" si="1"/>
        <v>0</v>
      </c>
      <c r="BE24" s="119">
        <f>'2020'!BE180</f>
        <v>280</v>
      </c>
      <c r="BF24" s="106">
        <f>'2020'!BF180</f>
        <v>715.9</v>
      </c>
      <c r="BG24" s="106">
        <f>'2020'!BG180</f>
        <v>803.88</v>
      </c>
      <c r="BH24" s="106">
        <f>'2020'!BH180</f>
        <v>100.9</v>
      </c>
      <c r="BI24" s="106">
        <f t="shared" si="2"/>
        <v>0</v>
      </c>
      <c r="BJ24" s="338">
        <f t="shared" si="3"/>
        <v>100.9</v>
      </c>
    </row>
    <row r="25" ht="15.75" customHeight="1" hidden="1" spans="1:62" x14ac:dyDescent="0.25">
      <c r="A25" s="27"/>
      <c r="B25" s="115" t="s">
        <v>117</v>
      </c>
      <c r="C25" s="283">
        <v>4</v>
      </c>
      <c r="D25" s="117" t="s">
        <v>118</v>
      </c>
      <c r="E25" s="119">
        <f>'2020'!I189</f>
      </c>
      <c r="F25" s="119">
        <f>'2020'!J189</f>
      </c>
      <c r="G25" s="106">
        <f>'2020'!K189</f>
        <v>0</v>
      </c>
      <c r="H25" s="106">
        <f>'2020'!L189</f>
      </c>
      <c r="I25" s="119">
        <f>'2020'!M189</f>
      </c>
      <c r="J25" s="119">
        <f>'2020'!N189</f>
      </c>
      <c r="K25" s="106">
        <f>'2020'!O189</f>
        <v>0</v>
      </c>
      <c r="L25" s="106">
        <f>'2020'!P189</f>
      </c>
      <c r="M25" s="119">
        <f>'2020'!Q189</f>
      </c>
      <c r="N25" s="119">
        <f>'2020'!R189</f>
        <v>0</v>
      </c>
      <c r="O25" s="106">
        <f>'2020'!S189</f>
        <v>0</v>
      </c>
      <c r="P25" s="106">
        <f>'2020'!T189</f>
      </c>
      <c r="Q25" s="119">
        <f>'2020'!U189</f>
      </c>
      <c r="R25" s="119">
        <f>'2020'!V189</f>
        <v>0</v>
      </c>
      <c r="S25" s="106">
        <f>'2020'!W189</f>
        <v>0</v>
      </c>
      <c r="T25" s="106">
        <f>'2020'!X189</f>
      </c>
      <c r="U25" s="119">
        <f>'2020'!Y189</f>
      </c>
      <c r="V25" s="119">
        <f>'2020'!Z189</f>
        <v>0</v>
      </c>
      <c r="W25" s="106">
        <f>'2020'!AA189</f>
        <v>0</v>
      </c>
      <c r="X25" s="106">
        <f>'2020'!AB189</f>
      </c>
      <c r="Y25" s="119">
        <f>'2020'!AC189</f>
      </c>
      <c r="Z25" s="119">
        <f>'2020'!AD189</f>
        <v>0</v>
      </c>
      <c r="AA25" s="106">
        <f>'2020'!AE189</f>
        <v>0</v>
      </c>
      <c r="AB25" s="106">
        <f>'2020'!AF189</f>
      </c>
      <c r="AC25" s="119">
        <f>'2020'!AG189</f>
      </c>
      <c r="AD25" s="119">
        <f>'2020'!AH189</f>
        <v>0</v>
      </c>
      <c r="AE25" s="106">
        <f>'2020'!AI189</f>
        <v>0</v>
      </c>
      <c r="AF25" s="106">
        <f>'2020'!AJ189</f>
      </c>
      <c r="AG25" s="119">
        <f>'2020'!AK189</f>
        <v>0</v>
      </c>
      <c r="AH25" s="119">
        <f>'2020'!AL189</f>
        <v>0</v>
      </c>
      <c r="AI25" s="106">
        <f>'2020'!AM189</f>
        <v>0</v>
      </c>
      <c r="AJ25" s="106">
        <f>'2020'!AN189</f>
      </c>
      <c r="AK25" s="119">
        <f>'2020'!AO189</f>
        <v>0</v>
      </c>
      <c r="AL25" s="119">
        <f>'2020'!AP189</f>
        <v>0</v>
      </c>
      <c r="AM25" s="106">
        <f>'2020'!AQ189</f>
        <v>0</v>
      </c>
      <c r="AN25" s="106">
        <f>'2020'!AR189</f>
      </c>
      <c r="AO25" s="119">
        <f>'2020'!AS189</f>
        <v>0</v>
      </c>
      <c r="AP25" s="119">
        <f>'2020'!AT189</f>
        <v>0</v>
      </c>
      <c r="AQ25" s="106">
        <f>'2020'!AU189</f>
        <v>0</v>
      </c>
      <c r="AR25" s="106">
        <f>'2020'!AV189</f>
      </c>
      <c r="AS25" s="119">
        <f>'2020'!AW189</f>
        <v>0</v>
      </c>
      <c r="AT25" s="119">
        <f>'2020'!AX189</f>
        <v>0</v>
      </c>
      <c r="AU25" s="106">
        <f>'2020'!AY189</f>
        <v>0</v>
      </c>
      <c r="AV25" s="106">
        <f>'2020'!AZ189</f>
      </c>
      <c r="AW25" s="106"/>
      <c r="AX25" s="106">
        <f t="shared" si="0"/>
        <v>0</v>
      </c>
      <c r="AY25" s="119">
        <f>'2020'!BA189</f>
        <v>0</v>
      </c>
      <c r="AZ25" s="119">
        <f>'2020'!BB189</f>
        <v>0</v>
      </c>
      <c r="BA25" s="106">
        <f>'2020'!BC189</f>
        <v>0</v>
      </c>
      <c r="BB25" s="106">
        <f>'2020'!BD189</f>
      </c>
      <c r="BC25" s="106"/>
      <c r="BD25" s="106">
        <f t="shared" si="1"/>
        <v>0</v>
      </c>
      <c r="BE25" s="119">
        <f>'2020'!BE189</f>
        <v>0</v>
      </c>
      <c r="BF25" s="106">
        <f>'2020'!BF189</f>
        <v>0</v>
      </c>
      <c r="BG25" s="106">
        <f>'2020'!BG189</f>
        <v>0</v>
      </c>
      <c r="BH25" s="106">
        <f>'2020'!BH189</f>
        <v>0</v>
      </c>
      <c r="BI25" s="106">
        <f t="shared" si="2"/>
        <v>0</v>
      </c>
      <c r="BJ25" s="338">
        <f t="shared" si="3"/>
        <v>0</v>
      </c>
    </row>
    <row r="26" ht="15.75" customHeight="1" spans="1:62" x14ac:dyDescent="0.25">
      <c r="A26" s="14"/>
      <c r="B26" s="125">
        <v>21</v>
      </c>
      <c r="C26" s="115">
        <v>3.96</v>
      </c>
      <c r="D26" s="117" t="s">
        <v>120</v>
      </c>
      <c r="E26" s="119">
        <f>'2020'!I198</f>
        <v>1560</v>
      </c>
      <c r="F26" s="119">
        <f>'2020'!J198</f>
        <v>41</v>
      </c>
      <c r="G26" s="106">
        <f>'2020'!K198</f>
        <v>102.5</v>
      </c>
      <c r="H26" s="106">
        <f>'2020'!L198</f>
      </c>
      <c r="I26" s="119">
        <f>'2020'!M198</f>
        <v>1586</v>
      </c>
      <c r="J26" s="119">
        <f>'2020'!N198</f>
        <v>26</v>
      </c>
      <c r="K26" s="106">
        <f>'2020'!O198</f>
        <v>65</v>
      </c>
      <c r="L26" s="106">
        <f>'2020'!P198</f>
        <v>102.5</v>
      </c>
      <c r="M26" s="119">
        <f>'2020'!Q198</f>
        <v>1612</v>
      </c>
      <c r="N26" s="119">
        <f>'2020'!R198</f>
        <v>26</v>
      </c>
      <c r="O26" s="106">
        <f>'2020'!S198</f>
        <v>65</v>
      </c>
      <c r="P26" s="106">
        <f>'2020'!T198</f>
      </c>
      <c r="Q26" s="119">
        <f>'2020'!U198</f>
        <v>1642</v>
      </c>
      <c r="R26" s="119">
        <f>'2020'!V198</f>
        <v>30</v>
      </c>
      <c r="S26" s="106">
        <f>'2020'!W198</f>
        <v>75</v>
      </c>
      <c r="T26" s="106">
        <f>'2020'!X198</f>
      </c>
      <c r="U26" s="119">
        <f>'2020'!Y198</f>
        <v>1732</v>
      </c>
      <c r="V26" s="119">
        <f>'2020'!Z198</f>
        <v>90</v>
      </c>
      <c r="W26" s="106">
        <f>'2020'!AA198</f>
        <v>225</v>
      </c>
      <c r="X26" s="106">
        <f>'2020'!AB198</f>
      </c>
      <c r="Y26" s="119">
        <f>'2020'!AC198</f>
        <v>1838</v>
      </c>
      <c r="Z26" s="119">
        <f>'2020'!AD198</f>
        <v>106</v>
      </c>
      <c r="AA26" s="106">
        <f>'2020'!AE198</f>
        <v>265</v>
      </c>
      <c r="AB26" s="106">
        <f>'2020'!AF198</f>
        <v>192</v>
      </c>
      <c r="AC26" s="119">
        <f>'2020'!AG198</f>
        <v>1938</v>
      </c>
      <c r="AD26" s="119">
        <f>'2020'!AH198</f>
        <v>100</v>
      </c>
      <c r="AE26" s="106">
        <f>'2020'!AI198</f>
        <v>260</v>
      </c>
      <c r="AF26" s="106">
        <f>'2020'!AJ198</f>
        <v>524.5</v>
      </c>
      <c r="AG26" s="119">
        <f>'2020'!AK198</f>
        <v>2040</v>
      </c>
      <c r="AH26" s="119">
        <f>'2020'!AL198</f>
        <v>102</v>
      </c>
      <c r="AI26" s="106">
        <f>'2020'!AM198</f>
        <v>265.2</v>
      </c>
      <c r="AJ26" s="106">
        <f>'2020'!AN198</f>
      </c>
      <c r="AK26" s="119">
        <f>'2020'!AO198</f>
        <v>2087</v>
      </c>
      <c r="AL26" s="119">
        <f>'2020'!AP198</f>
        <v>47</v>
      </c>
      <c r="AM26" s="106">
        <f>'2020'!AQ198</f>
        <v>122.2</v>
      </c>
      <c r="AN26" s="106">
        <f>'2020'!AR198</f>
        <v>265.2</v>
      </c>
      <c r="AO26" s="119">
        <f>'2020'!AS198</f>
        <v>2149</v>
      </c>
      <c r="AP26" s="119">
        <f>'2020'!AT198</f>
        <v>62</v>
      </c>
      <c r="AQ26" s="106">
        <f>'2020'!AU198</f>
        <v>161.2</v>
      </c>
      <c r="AR26" s="106">
        <f>'2020'!AV198</f>
        <v>123</v>
      </c>
      <c r="AS26" s="126">
        <f>'2020'!AW198</f>
        <v>2173</v>
      </c>
      <c r="AT26" s="119">
        <f>'2020'!AX198</f>
        <v>24</v>
      </c>
      <c r="AU26" s="106">
        <f>'2020'!AY198</f>
        <v>62.4</v>
      </c>
      <c r="AV26" s="106">
        <f>'2020'!AZ198</f>
        <v>161</v>
      </c>
      <c r="AW26" s="119"/>
      <c r="AX26" s="106">
        <f t="shared" si="0"/>
        <v>0</v>
      </c>
      <c r="AY26" s="119">
        <f>'2020'!BA198</f>
        <v>2193</v>
      </c>
      <c r="AZ26" s="119">
        <f>'2020'!BB198</f>
        <v>20</v>
      </c>
      <c r="BA26" s="106">
        <f>'2020'!BC198</f>
        <v>52</v>
      </c>
      <c r="BB26" s="106">
        <f>'2020'!BD198</f>
        <v>113.8</v>
      </c>
      <c r="BC26" s="106"/>
      <c r="BD26" s="106">
        <f t="shared" si="1"/>
        <v>0</v>
      </c>
      <c r="BE26" s="119">
        <f>'2020'!BE198</f>
        <v>674</v>
      </c>
      <c r="BF26" s="106">
        <f>'2020'!BF198</f>
        <v>1720.5</v>
      </c>
      <c r="BG26" s="106">
        <f>'2020'!BG198</f>
        <v>1482</v>
      </c>
      <c r="BH26" s="106">
        <f>'2020'!BH198</f>
        <v>0</v>
      </c>
      <c r="BI26" s="106">
        <f t="shared" si="2"/>
        <v>0</v>
      </c>
      <c r="BJ26" s="338">
        <f t="shared" si="3"/>
        <v>0</v>
      </c>
    </row>
    <row r="27" ht="15.75" customHeight="1" hidden="1" spans="1:62" x14ac:dyDescent="0.25">
      <c r="A27" s="14"/>
      <c r="B27" s="115">
        <v>23</v>
      </c>
      <c r="C27" s="115">
        <v>3.98</v>
      </c>
      <c r="D27" s="117" t="s">
        <v>124</v>
      </c>
      <c r="E27" s="119">
        <f>'2020'!I207</f>
        <v>3353</v>
      </c>
      <c r="F27" s="119">
        <f>'2020'!J207</f>
        <v>0</v>
      </c>
      <c r="G27" s="106">
        <f>'2020'!K207</f>
        <v>0</v>
      </c>
      <c r="H27" s="106">
        <f>'2020'!L207</f>
      </c>
      <c r="I27" s="119">
        <f>'2020'!M207</f>
        <v>3353</v>
      </c>
      <c r="J27" s="119">
        <f>'2020'!N207</f>
        <v>0</v>
      </c>
      <c r="K27" s="106">
        <f>'2020'!O207</f>
        <v>0</v>
      </c>
      <c r="L27" s="106">
        <f>'2020'!P207</f>
      </c>
      <c r="M27" s="119">
        <f>'2020'!Q207</f>
        <v>3353</v>
      </c>
      <c r="N27" s="119">
        <f>'2020'!R207</f>
        <v>0</v>
      </c>
      <c r="O27" s="106">
        <f>'2020'!S207</f>
        <v>0</v>
      </c>
      <c r="P27" s="106">
        <f>'2020'!T207</f>
      </c>
      <c r="Q27" s="119">
        <f>'2020'!U207</f>
        <v>3414</v>
      </c>
      <c r="R27" s="119">
        <f>'2020'!V207</f>
        <v>61</v>
      </c>
      <c r="S27" s="106">
        <f>'2020'!W207</f>
        <v>152.5</v>
      </c>
      <c r="T27" s="106">
        <f>'2020'!X207</f>
      </c>
      <c r="U27" s="119">
        <f>'2020'!Y207</f>
        <v>3845</v>
      </c>
      <c r="V27" s="119">
        <f>'2020'!Z207</f>
        <v>431</v>
      </c>
      <c r="W27" s="106">
        <f>'2020'!AA207</f>
        <v>1077.5</v>
      </c>
      <c r="X27" s="106">
        <f>'2020'!AB207</f>
        <v>260</v>
      </c>
      <c r="Y27" s="119">
        <f>'2020'!AC207</f>
        <v>4165</v>
      </c>
      <c r="Z27" s="119">
        <f>'2020'!AD207</f>
        <v>320</v>
      </c>
      <c r="AA27" s="106">
        <f>'2020'!AE207</f>
        <v>800</v>
      </c>
      <c r="AB27" s="106">
        <f>'2020'!AF207</f>
        <v>1147.76</v>
      </c>
      <c r="AC27" s="119">
        <f>'2020'!AG207</f>
        <v>4259</v>
      </c>
      <c r="AD27" s="119">
        <f>'2020'!AH207</f>
        <v>94</v>
      </c>
      <c r="AE27" s="106">
        <f>'2020'!AI207</f>
        <v>244.4</v>
      </c>
      <c r="AF27" s="106">
        <f>'2020'!AJ207</f>
        <v>749.72</v>
      </c>
      <c r="AG27" s="119">
        <f>'2020'!AK207</f>
        <v>4556</v>
      </c>
      <c r="AH27" s="119">
        <f>'2020'!AL207</f>
        <v>297</v>
      </c>
      <c r="AI27" s="106">
        <f>'2020'!AM207</f>
        <v>772.2</v>
      </c>
      <c r="AJ27" s="106">
        <f>'2020'!AN207</f>
        <v>566.48</v>
      </c>
      <c r="AK27" s="119">
        <f>'2020'!AO207</f>
        <v>5352</v>
      </c>
      <c r="AL27" s="119">
        <f>'2020'!AP207</f>
        <v>796</v>
      </c>
      <c r="AM27" s="106">
        <f>'2020'!AQ207</f>
        <v>2069.6</v>
      </c>
      <c r="AN27" s="106">
        <f>'2020'!AR207</f>
      </c>
      <c r="AO27" s="119">
        <f>'2020'!AS207</f>
        <v>5766</v>
      </c>
      <c r="AP27" s="119">
        <f>'2020'!AT207</f>
        <v>414</v>
      </c>
      <c r="AQ27" s="106">
        <f>'2020'!AU207</f>
        <v>1076.4</v>
      </c>
      <c r="AR27" s="106">
        <f>'2020'!AV207</f>
      </c>
      <c r="AS27" s="119">
        <f>'2020'!AW207</f>
        <v>5766</v>
      </c>
      <c r="AT27" s="119">
        <f>'2020'!AX207</f>
        <v>0</v>
      </c>
      <c r="AU27" s="106">
        <f>'2020'!AY207</f>
        <v>0</v>
      </c>
      <c r="AV27" s="106">
        <f>'2020'!AZ207</f>
      </c>
      <c r="AW27" s="106"/>
      <c r="AX27" s="106">
        <f t="shared" si="0"/>
        <v>0</v>
      </c>
      <c r="AY27" s="119">
        <f>'2020'!BA207</f>
        <v>5766</v>
      </c>
      <c r="AZ27" s="119">
        <f>'2020'!BB207</f>
        <v>0</v>
      </c>
      <c r="BA27" s="106">
        <f>'2020'!BC207</f>
        <v>0</v>
      </c>
      <c r="BB27" s="106">
        <f>'2020'!BD207</f>
      </c>
      <c r="BC27" s="106"/>
      <c r="BD27" s="106">
        <f t="shared" si="1"/>
        <v>0</v>
      </c>
      <c r="BE27" s="119">
        <f>'2020'!BE207</f>
        <v>2413</v>
      </c>
      <c r="BF27" s="106">
        <f>'2020'!BF207</f>
        <v>6192.6</v>
      </c>
      <c r="BG27" s="106">
        <f>'2020'!BG207</f>
        <v>2723.96</v>
      </c>
      <c r="BH27" s="106">
        <f>'2020'!BH207</f>
        <v>3572.68</v>
      </c>
      <c r="BI27" s="106">
        <f t="shared" si="2"/>
        <v>0</v>
      </c>
      <c r="BJ27" s="338">
        <f t="shared" si="3"/>
        <v>3572.68</v>
      </c>
    </row>
    <row r="28" ht="15.75" customHeight="1" hidden="1" spans="1:62" x14ac:dyDescent="0.25">
      <c r="A28" s="14"/>
      <c r="B28" s="115">
        <v>24</v>
      </c>
      <c r="C28" s="115">
        <v>4.01</v>
      </c>
      <c r="D28" s="117" t="s">
        <v>127</v>
      </c>
      <c r="E28" s="119">
        <f>'2020'!I216</f>
        <v>76</v>
      </c>
      <c r="F28" s="119">
        <f>'2020'!J216</f>
        <v>0</v>
      </c>
      <c r="G28" s="106">
        <f>'2020'!K216</f>
        <v>0</v>
      </c>
      <c r="H28" s="106">
        <f>'2020'!L216</f>
      </c>
      <c r="I28" s="119">
        <f>'2020'!M216</f>
        <v>76</v>
      </c>
      <c r="J28" s="119">
        <f>'2020'!N216</f>
        <v>0</v>
      </c>
      <c r="K28" s="106">
        <f>'2020'!O216</f>
        <v>0</v>
      </c>
      <c r="L28" s="106">
        <f>'2020'!P216</f>
      </c>
      <c r="M28" s="119">
        <f>'2020'!Q216</f>
        <v>76</v>
      </c>
      <c r="N28" s="119">
        <f>'2020'!R216</f>
        <v>0</v>
      </c>
      <c r="O28" s="106">
        <f>'2020'!S216</f>
        <v>0</v>
      </c>
      <c r="P28" s="106">
        <f>'2020'!T216</f>
      </c>
      <c r="Q28" s="119">
        <f>'2020'!U216</f>
        <v>76</v>
      </c>
      <c r="R28" s="119">
        <f>'2020'!V216</f>
        <v>0</v>
      </c>
      <c r="S28" s="106">
        <f>'2020'!W216</f>
        <v>0</v>
      </c>
      <c r="T28" s="106">
        <f>'2020'!X216</f>
      </c>
      <c r="U28" s="119">
        <f>'2020'!Y216</f>
        <v>84</v>
      </c>
      <c r="V28" s="119">
        <f>'2020'!Z216</f>
        <v>8</v>
      </c>
      <c r="W28" s="106">
        <f>'2020'!AA216</f>
        <v>20</v>
      </c>
      <c r="X28" s="106">
        <f>'2020'!AB216</f>
      </c>
      <c r="Y28" s="119">
        <f>'2020'!AC216</f>
        <v>120</v>
      </c>
      <c r="Z28" s="119">
        <f>'2020'!AD216</f>
        <v>36</v>
      </c>
      <c r="AA28" s="106">
        <f>'2020'!AE216</f>
        <v>90</v>
      </c>
      <c r="AB28" s="106">
        <f>'2020'!AF216</f>
      </c>
      <c r="AC28" s="119">
        <f>'2020'!AG216</f>
        <v>161</v>
      </c>
      <c r="AD28" s="119">
        <f>'2020'!AH216</f>
        <v>41</v>
      </c>
      <c r="AE28" s="106">
        <f>'2020'!AI216</f>
        <v>106.6</v>
      </c>
      <c r="AF28" s="106">
        <f>'2020'!AJ216</f>
        <v>70.36</v>
      </c>
      <c r="AG28" s="119">
        <f>'2020'!AK216</f>
        <v>247</v>
      </c>
      <c r="AH28" s="119">
        <f>'2020'!AL216</f>
        <v>86</v>
      </c>
      <c r="AI28" s="106">
        <f>'2020'!AM216</f>
        <v>223.6</v>
      </c>
      <c r="AJ28" s="106">
        <f>'2020'!AN216</f>
        <v>106.6</v>
      </c>
      <c r="AK28" s="119">
        <f>'2020'!AO216</f>
        <v>257</v>
      </c>
      <c r="AL28" s="119">
        <f>'2020'!AP216</f>
        <v>10</v>
      </c>
      <c r="AM28" s="106">
        <f>'2020'!AQ216</f>
        <v>26</v>
      </c>
      <c r="AN28" s="106">
        <f>'2020'!AR216</f>
        <v>223.6</v>
      </c>
      <c r="AO28" s="119">
        <f>'2020'!AS216</f>
        <v>257</v>
      </c>
      <c r="AP28" s="119">
        <f>'2020'!AT216</f>
        <v>0</v>
      </c>
      <c r="AQ28" s="106">
        <f>'2020'!AU216</f>
        <v>0</v>
      </c>
      <c r="AR28" s="106">
        <f>'2020'!AV216</f>
      </c>
      <c r="AS28" s="119">
        <f>'2020'!AW216</f>
        <v>257</v>
      </c>
      <c r="AT28" s="119">
        <f>'2020'!AX216</f>
        <v>0</v>
      </c>
      <c r="AU28" s="106">
        <f>'2020'!AY216</f>
        <v>0</v>
      </c>
      <c r="AV28" s="106">
        <f>'2020'!AZ216</f>
        <v>26</v>
      </c>
      <c r="AW28" s="106"/>
      <c r="AX28" s="106">
        <f t="shared" si="0"/>
        <v>0</v>
      </c>
      <c r="AY28" s="119">
        <f>'2020'!BA216</f>
        <v>257</v>
      </c>
      <c r="AZ28" s="119">
        <f>'2020'!BB216</f>
        <v>0</v>
      </c>
      <c r="BA28" s="106">
        <f>'2020'!BC216</f>
        <v>0</v>
      </c>
      <c r="BB28" s="106">
        <f>'2020'!BD216</f>
      </c>
      <c r="BC28" s="106"/>
      <c r="BD28" s="106">
        <f t="shared" si="1"/>
        <v>0</v>
      </c>
      <c r="BE28" s="119">
        <f>'2020'!BE216</f>
        <v>181</v>
      </c>
      <c r="BF28" s="106">
        <f>'2020'!BF216</f>
        <v>466.2</v>
      </c>
      <c r="BG28" s="106">
        <f>'2020'!BG216</f>
        <v>426.56</v>
      </c>
      <c r="BH28" s="106">
        <f>'2020'!BH216</f>
        <v>0</v>
      </c>
      <c r="BI28" s="106">
        <f t="shared" si="2"/>
        <v>0</v>
      </c>
      <c r="BJ28" s="338">
        <f t="shared" si="3"/>
        <v>0</v>
      </c>
    </row>
    <row r="29" ht="15.75" customHeight="1" hidden="1" spans="1:62" x14ac:dyDescent="0.25">
      <c r="A29" s="14"/>
      <c r="B29" s="115">
        <v>25</v>
      </c>
      <c r="C29" s="116">
        <v>4</v>
      </c>
      <c r="D29" s="117" t="s">
        <v>131</v>
      </c>
      <c r="E29" s="119">
        <f>'2020'!I225</f>
        <v>13</v>
      </c>
      <c r="F29" s="119">
        <f>'2020'!J225</f>
      </c>
      <c r="G29" s="106">
        <f>'2020'!K225</f>
        <v>0</v>
      </c>
      <c r="H29" s="106">
        <f>'2020'!L225</f>
      </c>
      <c r="I29" s="119">
        <f>'2020'!M225</f>
        <v>13</v>
      </c>
      <c r="J29" s="119">
        <f>'2020'!N225</f>
        <v>0</v>
      </c>
      <c r="K29" s="106">
        <f>'2020'!O225</f>
        <v>0</v>
      </c>
      <c r="L29" s="106">
        <f>'2020'!P225</f>
      </c>
      <c r="M29" s="119">
        <f>'2020'!Q225</f>
        <v>13</v>
      </c>
      <c r="N29" s="119">
        <f>'2020'!R225</f>
        <v>0</v>
      </c>
      <c r="O29" s="106">
        <f>'2020'!S225</f>
        <v>0</v>
      </c>
      <c r="P29" s="106">
        <f>'2020'!T225</f>
      </c>
      <c r="Q29" s="119">
        <f>'2020'!U225</f>
        <v>13</v>
      </c>
      <c r="R29" s="119">
        <f>'2020'!V225</f>
        <v>0</v>
      </c>
      <c r="S29" s="106">
        <f>'2020'!W225</f>
        <v>0</v>
      </c>
      <c r="T29" s="106">
        <f>'2020'!X225</f>
      </c>
      <c r="U29" s="119">
        <f>'2020'!Y225</f>
        <v>13</v>
      </c>
      <c r="V29" s="119">
        <f>'2020'!Z225</f>
        <v>0</v>
      </c>
      <c r="W29" s="106">
        <f>'2020'!AA225</f>
        <v>0</v>
      </c>
      <c r="X29" s="106">
        <f>'2020'!AB225</f>
      </c>
      <c r="Y29" s="119">
        <f>'2020'!AC225</f>
        <v>20</v>
      </c>
      <c r="Z29" s="119">
        <f>'2020'!AD225</f>
        <v>7</v>
      </c>
      <c r="AA29" s="106">
        <f>'2020'!AE225</f>
        <v>17.5</v>
      </c>
      <c r="AB29" s="106">
        <f>'2020'!AF225</f>
      </c>
      <c r="AC29" s="119">
        <f>'2020'!AG225</f>
        <v>24</v>
      </c>
      <c r="AD29" s="119">
        <f>'2020'!AH225</f>
        <v>4</v>
      </c>
      <c r="AE29" s="106">
        <f>'2020'!AI225</f>
        <v>10.4</v>
      </c>
      <c r="AF29" s="106">
        <f>'2020'!AJ225</f>
      </c>
      <c r="AG29" s="119">
        <f>'2020'!AK225</f>
        <v>26</v>
      </c>
      <c r="AH29" s="119">
        <f>'2020'!AL225</f>
        <v>2</v>
      </c>
      <c r="AI29" s="106">
        <f>'2020'!AM225</f>
        <v>5.2</v>
      </c>
      <c r="AJ29" s="106">
        <f>'2020'!AN225</f>
      </c>
      <c r="AK29" s="119">
        <f>'2020'!AO225</f>
        <v>26</v>
      </c>
      <c r="AL29" s="119">
        <f>'2020'!AP225</f>
        <v>0</v>
      </c>
      <c r="AM29" s="106">
        <f>'2020'!AQ225</f>
        <v>0</v>
      </c>
      <c r="AN29" s="106">
        <f>'2020'!AR225</f>
      </c>
      <c r="AO29" s="119">
        <f>'2020'!AS225</f>
        <v>26</v>
      </c>
      <c r="AP29" s="119">
        <f>'2020'!AT225</f>
        <v>0</v>
      </c>
      <c r="AQ29" s="106">
        <f>'2020'!AU225</f>
        <v>0</v>
      </c>
      <c r="AR29" s="106">
        <f>'2020'!AV225</f>
      </c>
      <c r="AS29" s="119">
        <f>'2020'!AW225</f>
        <v>26</v>
      </c>
      <c r="AT29" s="119">
        <f>'2020'!AX225</f>
        <v>0</v>
      </c>
      <c r="AU29" s="106">
        <f>'2020'!AY225</f>
        <v>0</v>
      </c>
      <c r="AV29" s="106">
        <f>'2020'!AZ225</f>
      </c>
      <c r="AW29" s="106"/>
      <c r="AX29" s="106">
        <f t="shared" si="0"/>
        <v>0</v>
      </c>
      <c r="AY29" s="119">
        <f>'2020'!BA225</f>
        <v>26</v>
      </c>
      <c r="AZ29" s="119">
        <f>'2020'!BB225</f>
        <v>0</v>
      </c>
      <c r="BA29" s="106">
        <f>'2020'!BC225</f>
        <v>0</v>
      </c>
      <c r="BB29" s="106">
        <f>'2020'!BD225</f>
      </c>
      <c r="BC29" s="106"/>
      <c r="BD29" s="106">
        <f t="shared" si="1"/>
        <v>0</v>
      </c>
      <c r="BE29" s="119">
        <f>'2020'!BE225</f>
        <v>13</v>
      </c>
      <c r="BF29" s="106">
        <f>'2020'!BF225</f>
        <v>33.1</v>
      </c>
      <c r="BG29" s="106">
        <f>'2020'!BG225</f>
        <v>0</v>
      </c>
      <c r="BH29" s="106">
        <f>'2020'!BH225</f>
        <v>-33.01</v>
      </c>
      <c r="BI29" s="106">
        <f t="shared" si="2"/>
        <v>0</v>
      </c>
      <c r="BJ29" s="338">
        <f t="shared" si="3"/>
        <v>-33.01</v>
      </c>
    </row>
    <row r="30" ht="15.75" customHeight="1" hidden="1" spans="1:62" x14ac:dyDescent="0.25">
      <c r="A30" s="14"/>
      <c r="B30" s="115">
        <v>26</v>
      </c>
      <c r="C30" s="115">
        <v>3.98</v>
      </c>
      <c r="D30" s="117" t="s">
        <v>133</v>
      </c>
      <c r="E30" s="119">
        <f>'2020'!I234</f>
      </c>
      <c r="F30" s="119">
        <f>'2020'!J234</f>
      </c>
      <c r="G30" s="106">
        <f>'2020'!K234</f>
        <v>0</v>
      </c>
      <c r="H30" s="106">
        <f>'2020'!L234</f>
      </c>
      <c r="I30" s="119">
        <f>'2020'!M234</f>
      </c>
      <c r="J30" s="119">
        <f>'2020'!N234</f>
      </c>
      <c r="K30" s="106">
        <f>'2020'!O234</f>
        <v>0</v>
      </c>
      <c r="L30" s="106">
        <f>'2020'!P234</f>
      </c>
      <c r="M30" s="119">
        <f>'2020'!Q234</f>
      </c>
      <c r="N30" s="119">
        <f>'2020'!R234</f>
        <v>0</v>
      </c>
      <c r="O30" s="106">
        <f>'2020'!S234</f>
        <v>0</v>
      </c>
      <c r="P30" s="106">
        <f>'2020'!T234</f>
      </c>
      <c r="Q30" s="119">
        <f>'2020'!U234</f>
      </c>
      <c r="R30" s="119">
        <f>'2020'!V234</f>
        <v>0</v>
      </c>
      <c r="S30" s="106">
        <f>'2020'!W234</f>
        <v>0</v>
      </c>
      <c r="T30" s="106">
        <f>'2020'!X234</f>
      </c>
      <c r="U30" s="119">
        <f>'2020'!Y234</f>
      </c>
      <c r="V30" s="119">
        <f>'2020'!Z234</f>
        <v>0</v>
      </c>
      <c r="W30" s="106">
        <f>'2020'!AA234</f>
        <v>0</v>
      </c>
      <c r="X30" s="106">
        <f>'2020'!AB234</f>
      </c>
      <c r="Y30" s="119">
        <f>'2020'!AC234</f>
      </c>
      <c r="Z30" s="119">
        <f>'2020'!AD234</f>
        <v>0</v>
      </c>
      <c r="AA30" s="106">
        <f>'2020'!AE234</f>
        <v>0</v>
      </c>
      <c r="AB30" s="106">
        <f>'2020'!AF234</f>
      </c>
      <c r="AC30" s="119">
        <f>'2020'!AG234</f>
      </c>
      <c r="AD30" s="119">
        <f>'2020'!AH234</f>
        <v>0</v>
      </c>
      <c r="AE30" s="106">
        <f>'2020'!AI234</f>
        <v>0</v>
      </c>
      <c r="AF30" s="106">
        <f>'2020'!AJ234</f>
      </c>
      <c r="AG30" s="119">
        <f>'2020'!AK234</f>
        <v>0</v>
      </c>
      <c r="AH30" s="119">
        <f>'2020'!AL234</f>
        <v>0</v>
      </c>
      <c r="AI30" s="106">
        <f>'2020'!AM234</f>
        <v>0</v>
      </c>
      <c r="AJ30" s="106">
        <f>'2020'!AN234</f>
      </c>
      <c r="AK30" s="119">
        <f>'2020'!AO234</f>
        <v>0</v>
      </c>
      <c r="AL30" s="119">
        <f>'2020'!AP234</f>
        <v>0</v>
      </c>
      <c r="AM30" s="106">
        <f>'2020'!AQ234</f>
        <v>0</v>
      </c>
      <c r="AN30" s="106">
        <f>'2020'!AR234</f>
      </c>
      <c r="AO30" s="119">
        <f>'2020'!AS234</f>
        <v>0</v>
      </c>
      <c r="AP30" s="119">
        <f>'2020'!AT234</f>
        <v>0</v>
      </c>
      <c r="AQ30" s="106">
        <f>'2020'!AU234</f>
        <v>0</v>
      </c>
      <c r="AR30" s="106">
        <f>'2020'!AV234</f>
      </c>
      <c r="AS30" s="119">
        <f>'2020'!AW234</f>
        <v>0</v>
      </c>
      <c r="AT30" s="119">
        <f>'2020'!AX234</f>
        <v>0</v>
      </c>
      <c r="AU30" s="106">
        <f>'2020'!AY234</f>
        <v>0</v>
      </c>
      <c r="AV30" s="106">
        <f>'2020'!AZ234</f>
      </c>
      <c r="AW30" s="106"/>
      <c r="AX30" s="106">
        <f t="shared" si="0"/>
        <v>0</v>
      </c>
      <c r="AY30" s="119">
        <f>'2020'!BA234</f>
        <v>0</v>
      </c>
      <c r="AZ30" s="119">
        <f>'2020'!BB234</f>
        <v>0</v>
      </c>
      <c r="BA30" s="106">
        <f>'2020'!BC234</f>
        <v>0</v>
      </c>
      <c r="BB30" s="106">
        <f>'2020'!BD234</f>
      </c>
      <c r="BC30" s="106"/>
      <c r="BD30" s="106">
        <f t="shared" si="1"/>
        <v>0</v>
      </c>
      <c r="BE30" s="119">
        <f>'2020'!BE234</f>
        <v>0</v>
      </c>
      <c r="BF30" s="106">
        <f>'2020'!BF234</f>
        <v>0</v>
      </c>
      <c r="BG30" s="106">
        <f>'2020'!BG234</f>
        <v>0</v>
      </c>
      <c r="BH30" s="106">
        <f>'2020'!BH234</f>
        <v>0</v>
      </c>
      <c r="BI30" s="106">
        <f t="shared" si="2"/>
        <v>0</v>
      </c>
      <c r="BJ30" s="338">
        <f t="shared" si="3"/>
        <v>0</v>
      </c>
    </row>
    <row r="31" ht="15.75" customHeight="1" hidden="1" spans="1:62" x14ac:dyDescent="0.25">
      <c r="A31" s="14"/>
      <c r="B31" s="115">
        <v>27</v>
      </c>
      <c r="C31" s="115">
        <v>4.04</v>
      </c>
      <c r="D31" s="117" t="s">
        <v>136</v>
      </c>
      <c r="E31" s="119">
        <f>'2020'!I243</f>
      </c>
      <c r="F31" s="119">
        <f>'2020'!J243</f>
      </c>
      <c r="G31" s="106">
        <f>'2020'!K243</f>
        <v>0</v>
      </c>
      <c r="H31" s="106">
        <f>'2020'!L243</f>
      </c>
      <c r="I31" s="119">
        <f>'2020'!M243</f>
      </c>
      <c r="J31" s="119">
        <f>'2020'!N243</f>
      </c>
      <c r="K31" s="106">
        <f>'2020'!O243</f>
        <v>0</v>
      </c>
      <c r="L31" s="106">
        <f>'2020'!P243</f>
      </c>
      <c r="M31" s="119">
        <f>'2020'!Q243</f>
      </c>
      <c r="N31" s="119">
        <f>'2020'!R243</f>
        <v>0</v>
      </c>
      <c r="O31" s="106">
        <f>'2020'!S243</f>
        <v>0</v>
      </c>
      <c r="P31" s="106">
        <f>'2020'!T243</f>
      </c>
      <c r="Q31" s="119">
        <f>'2020'!U243</f>
      </c>
      <c r="R31" s="119">
        <f>'2020'!V243</f>
        <v>0</v>
      </c>
      <c r="S31" s="106">
        <f>'2020'!W243</f>
        <v>0</v>
      </c>
      <c r="T31" s="106">
        <f>'2020'!X243</f>
      </c>
      <c r="U31" s="119">
        <f>'2020'!Y243</f>
      </c>
      <c r="V31" s="119">
        <f>'2020'!Z243</f>
        <v>0</v>
      </c>
      <c r="W31" s="106">
        <f>'2020'!AA243</f>
        <v>0</v>
      </c>
      <c r="X31" s="106">
        <f>'2020'!AB243</f>
      </c>
      <c r="Y31" s="119">
        <f>'2020'!AC243</f>
      </c>
      <c r="Z31" s="119">
        <f>'2020'!AD243</f>
        <v>0</v>
      </c>
      <c r="AA31" s="106">
        <f>'2020'!AE243</f>
        <v>0</v>
      </c>
      <c r="AB31" s="106">
        <f>'2020'!AF243</f>
      </c>
      <c r="AC31" s="119">
        <f>'2020'!AG243</f>
      </c>
      <c r="AD31" s="119">
        <f>'2020'!AH243</f>
        <v>0</v>
      </c>
      <c r="AE31" s="106">
        <f>'2020'!AI243</f>
        <v>0</v>
      </c>
      <c r="AF31" s="106">
        <f>'2020'!AJ243</f>
      </c>
      <c r="AG31" s="119">
        <f>'2020'!AK243</f>
        <v>0</v>
      </c>
      <c r="AH31" s="119">
        <f>'2020'!AL243</f>
        <v>0</v>
      </c>
      <c r="AI31" s="106">
        <f>'2020'!AM243</f>
        <v>0</v>
      </c>
      <c r="AJ31" s="106">
        <f>'2020'!AN243</f>
      </c>
      <c r="AK31" s="119">
        <f>'2020'!AO243</f>
        <v>0</v>
      </c>
      <c r="AL31" s="119">
        <f>'2020'!AP243</f>
        <v>0</v>
      </c>
      <c r="AM31" s="106">
        <f>'2020'!AQ243</f>
        <v>0</v>
      </c>
      <c r="AN31" s="106">
        <f>'2020'!AR243</f>
      </c>
      <c r="AO31" s="119">
        <f>'2020'!AS243</f>
        <v>0</v>
      </c>
      <c r="AP31" s="119">
        <f>'2020'!AT243</f>
        <v>0</v>
      </c>
      <c r="AQ31" s="106">
        <f>'2020'!AU243</f>
        <v>0</v>
      </c>
      <c r="AR31" s="106">
        <f>'2020'!AV243</f>
      </c>
      <c r="AS31" s="119">
        <f>'2020'!AW243</f>
        <v>0</v>
      </c>
      <c r="AT31" s="119">
        <f>'2020'!AX243</f>
        <v>0</v>
      </c>
      <c r="AU31" s="106">
        <f>'2020'!AY243</f>
        <v>0</v>
      </c>
      <c r="AV31" s="106">
        <f>'2020'!AZ243</f>
      </c>
      <c r="AW31" s="106"/>
      <c r="AX31" s="106">
        <f t="shared" si="0"/>
        <v>0</v>
      </c>
      <c r="AY31" s="119">
        <f>'2020'!BA243</f>
        <v>0</v>
      </c>
      <c r="AZ31" s="119">
        <f>'2020'!BB243</f>
        <v>0</v>
      </c>
      <c r="BA31" s="106">
        <f>'2020'!BC243</f>
        <v>0</v>
      </c>
      <c r="BB31" s="106">
        <f>'2020'!BD243</f>
      </c>
      <c r="BC31" s="106"/>
      <c r="BD31" s="106">
        <f t="shared" si="1"/>
        <v>0</v>
      </c>
      <c r="BE31" s="119">
        <f>'2020'!BE243</f>
        <v>0</v>
      </c>
      <c r="BF31" s="106">
        <f>'2020'!BF243</f>
        <v>0</v>
      </c>
      <c r="BG31" s="106">
        <f>'2020'!BG243</f>
        <v>0</v>
      </c>
      <c r="BH31" s="106">
        <f>'2020'!BH243</f>
        <v>0</v>
      </c>
      <c r="BI31" s="106">
        <f t="shared" si="2"/>
        <v>0</v>
      </c>
      <c r="BJ31" s="338">
        <f t="shared" si="3"/>
        <v>0</v>
      </c>
    </row>
    <row r="32" ht="15.75" customHeight="1" spans="1:62" x14ac:dyDescent="0.25">
      <c r="A32" s="14"/>
      <c r="B32" s="125">
        <v>28</v>
      </c>
      <c r="C32" s="115">
        <v>3.96</v>
      </c>
      <c r="D32" s="117" t="s">
        <v>140</v>
      </c>
      <c r="E32" s="119">
        <f>'2020'!I252</f>
        <v>18482</v>
      </c>
      <c r="F32" s="119">
        <f>'2020'!J252</f>
        <v>882</v>
      </c>
      <c r="G32" s="106">
        <f>'2020'!K252</f>
        <v>2205</v>
      </c>
      <c r="H32" s="106">
        <f>'2020'!L252</f>
        <v>1982.5</v>
      </c>
      <c r="I32" s="119">
        <f>'2020'!M252</f>
        <v>19176</v>
      </c>
      <c r="J32" s="119">
        <f>'2020'!N252</f>
        <v>694</v>
      </c>
      <c r="K32" s="106">
        <f>'2020'!O252</f>
        <v>1735</v>
      </c>
      <c r="L32" s="106">
        <f>'2020'!P252</f>
        <v>2205</v>
      </c>
      <c r="M32" s="119">
        <f>'2020'!Q252</f>
        <v>19681</v>
      </c>
      <c r="N32" s="119">
        <f>'2020'!R252</f>
        <v>505</v>
      </c>
      <c r="O32" s="106">
        <f>'2020'!S252</f>
        <v>1262.5</v>
      </c>
      <c r="P32" s="106">
        <f>'2020'!T252</f>
        <v>1735</v>
      </c>
      <c r="Q32" s="119">
        <f>'2020'!U252</f>
        <v>20030</v>
      </c>
      <c r="R32" s="119">
        <f>'2020'!V252</f>
        <v>349</v>
      </c>
      <c r="S32" s="106">
        <f>'2020'!W252</f>
        <v>872.5</v>
      </c>
      <c r="T32" s="106">
        <f>'2020'!X252</f>
        <v>1262.5</v>
      </c>
      <c r="U32" s="119">
        <f>'2020'!Y252</f>
        <v>20192</v>
      </c>
      <c r="V32" s="119">
        <f>'2020'!Z252</f>
        <v>162</v>
      </c>
      <c r="W32" s="106">
        <f>'2020'!AA252</f>
        <v>405</v>
      </c>
      <c r="X32" s="106">
        <f>'2020'!AB252</f>
        <v>872.5</v>
      </c>
      <c r="Y32" s="119">
        <f>'2020'!AC252</f>
        <v>20292</v>
      </c>
      <c r="Z32" s="119">
        <f>'2020'!AD252</f>
        <v>100</v>
      </c>
      <c r="AA32" s="106">
        <f>'2020'!AE252</f>
        <v>250</v>
      </c>
      <c r="AB32" s="106">
        <f>'2020'!AF252</f>
      </c>
      <c r="AC32" s="119">
        <f>'2020'!AG252</f>
        <v>20354</v>
      </c>
      <c r="AD32" s="119">
        <f>'2020'!AH252</f>
        <v>62</v>
      </c>
      <c r="AE32" s="106">
        <f>'2020'!AI252</f>
        <v>161.2</v>
      </c>
      <c r="AF32" s="106">
        <f>'2020'!AJ252</f>
        <v>816.2</v>
      </c>
      <c r="AG32" s="119">
        <f>'2020'!AK252</f>
        <v>20380</v>
      </c>
      <c r="AH32" s="119">
        <f>'2020'!AL252</f>
        <v>26</v>
      </c>
      <c r="AI32" s="106">
        <f>'2020'!AM252</f>
        <v>67.6</v>
      </c>
      <c r="AJ32" s="106">
        <f>'2020'!AN252</f>
      </c>
      <c r="AK32" s="119">
        <f>'2020'!AO252</f>
        <v>20396</v>
      </c>
      <c r="AL32" s="119">
        <f>'2020'!AP252</f>
        <v>16</v>
      </c>
      <c r="AM32" s="106">
        <f>'2020'!AQ252</f>
        <v>41.6</v>
      </c>
      <c r="AN32" s="106">
        <f>'2020'!AR252</f>
        <v>67.6</v>
      </c>
      <c r="AO32" s="119">
        <f>'2020'!AS252</f>
        <v>20412</v>
      </c>
      <c r="AP32" s="119">
        <f>'2020'!AT252</f>
        <v>16</v>
      </c>
      <c r="AQ32" s="106">
        <f>'2020'!AU252</f>
        <v>41.6</v>
      </c>
      <c r="AR32" s="106">
        <f>'2020'!AV252</f>
        <v>41.6</v>
      </c>
      <c r="AS32" s="126">
        <f>'2020'!AW252</f>
        <v>261</v>
      </c>
      <c r="AT32" s="119">
        <f>'2020'!AX252</f>
        <v>261</v>
      </c>
      <c r="AU32" s="106">
        <f>'2020'!AY252</f>
        <v>678.6</v>
      </c>
      <c r="AV32" s="106">
        <f>'2020'!AZ252</f>
        <v>1341.6</v>
      </c>
      <c r="AW32" s="119">
        <v>400</v>
      </c>
      <c r="AX32" s="106">
        <f t="shared" si="0"/>
        <v>1040</v>
      </c>
      <c r="AY32" s="119">
        <f>'2020'!BA252</f>
        <v>1031</v>
      </c>
      <c r="AZ32" s="119">
        <f>'2020'!BB252</f>
        <v>770</v>
      </c>
      <c r="BA32" s="106">
        <f>'2020'!BC252</f>
        <v>2002</v>
      </c>
      <c r="BB32" s="106">
        <f>'2020'!BD252</f>
        <v>418.6</v>
      </c>
      <c r="BC32" s="119">
        <v>450</v>
      </c>
      <c r="BD32" s="106">
        <f t="shared" si="1"/>
        <v>1170</v>
      </c>
      <c r="BE32" s="119">
        <f>'2020'!BE252</f>
        <v>3843</v>
      </c>
      <c r="BF32" s="106">
        <f>'2020'!BF252</f>
        <v>9722.6</v>
      </c>
      <c r="BG32" s="106">
        <f>'2020'!BG252</f>
        <v>10743.1</v>
      </c>
      <c r="BH32" s="106">
        <f>'2020'!BH252</f>
        <v>962</v>
      </c>
      <c r="BI32" s="106">
        <f t="shared" si="2"/>
        <v>2210</v>
      </c>
      <c r="BJ32" s="338">
        <f t="shared" si="3"/>
        <v>3172</v>
      </c>
    </row>
    <row r="33" ht="15.75" customHeight="1" hidden="1" spans="1:62" x14ac:dyDescent="0.25">
      <c r="A33" s="14"/>
      <c r="B33" s="118">
        <v>30</v>
      </c>
      <c r="C33" s="115">
        <v>4.05</v>
      </c>
      <c r="D33" s="117" t="s">
        <v>496</v>
      </c>
      <c r="E33" s="119">
        <f>'2020'!I261</f>
      </c>
      <c r="F33" s="119">
        <f>'2020'!J261</f>
      </c>
      <c r="G33" s="106">
        <f>'2020'!K261</f>
        <v>0</v>
      </c>
      <c r="H33" s="106">
        <f>'2020'!L261</f>
      </c>
      <c r="I33" s="119">
        <f>'2020'!M261</f>
      </c>
      <c r="J33" s="119">
        <f>'2020'!N261</f>
      </c>
      <c r="K33" s="106">
        <f>'2020'!O261</f>
        <v>0</v>
      </c>
      <c r="L33" s="106">
        <f>'2020'!P261</f>
      </c>
      <c r="M33" s="119">
        <f>'2020'!Q261</f>
      </c>
      <c r="N33" s="119">
        <f>'2020'!R261</f>
        <v>0</v>
      </c>
      <c r="O33" s="106">
        <f>'2020'!S261</f>
        <v>0</v>
      </c>
      <c r="P33" s="106">
        <f>'2020'!T261</f>
      </c>
      <c r="Q33" s="119">
        <f>'2020'!U261</f>
      </c>
      <c r="R33" s="119">
        <f>'2020'!V261</f>
        <v>0</v>
      </c>
      <c r="S33" s="106">
        <f>'2020'!W261</f>
        <v>0</v>
      </c>
      <c r="T33" s="106">
        <f>'2020'!X261</f>
      </c>
      <c r="U33" s="119">
        <f>'2020'!Y261</f>
      </c>
      <c r="V33" s="119">
        <f>'2020'!Z261</f>
        <v>0</v>
      </c>
      <c r="W33" s="106">
        <f>'2020'!AA261</f>
        <v>0</v>
      </c>
      <c r="X33" s="106">
        <f>'2020'!AB261</f>
      </c>
      <c r="Y33" s="119">
        <f>'2020'!AC261</f>
      </c>
      <c r="Z33" s="119">
        <f>'2020'!AD261</f>
        <v>0</v>
      </c>
      <c r="AA33" s="106">
        <f>'2020'!AE261</f>
        <v>0</v>
      </c>
      <c r="AB33" s="106">
        <f>'2020'!AF261</f>
      </c>
      <c r="AC33" s="119">
        <f>'2020'!AG261</f>
      </c>
      <c r="AD33" s="119">
        <f>'2020'!AH261</f>
        <v>0</v>
      </c>
      <c r="AE33" s="106">
        <f>'2020'!AI261</f>
        <v>0</v>
      </c>
      <c r="AF33" s="106">
        <f>'2020'!AJ261</f>
      </c>
      <c r="AG33" s="119">
        <f>'2020'!AK261</f>
        <v>0</v>
      </c>
      <c r="AH33" s="119">
        <f>'2020'!AL261</f>
        <v>0</v>
      </c>
      <c r="AI33" s="106">
        <f>'2020'!AM261</f>
        <v>0</v>
      </c>
      <c r="AJ33" s="106">
        <f>'2020'!AN261</f>
      </c>
      <c r="AK33" s="119">
        <f>'2020'!AO261</f>
        <v>5</v>
      </c>
      <c r="AL33" s="119">
        <f>'2020'!AP261</f>
        <v>5</v>
      </c>
      <c r="AM33" s="106">
        <f>'2020'!AQ261</f>
        <v>13</v>
      </c>
      <c r="AN33" s="106">
        <f>'2020'!AR261</f>
      </c>
      <c r="AO33" s="119">
        <f>'2020'!AS261</f>
        <v>7</v>
      </c>
      <c r="AP33" s="119">
        <f>'2020'!AT261</f>
        <v>2</v>
      </c>
      <c r="AQ33" s="106">
        <f>'2020'!AU261</f>
        <v>5.2</v>
      </c>
      <c r="AR33" s="106">
        <f>'2020'!AV261</f>
        <v>13</v>
      </c>
      <c r="AS33" s="126">
        <f>'2020'!AW261</f>
        <v>7</v>
      </c>
      <c r="AT33" s="119">
        <f>'2020'!AX261</f>
        <v>0</v>
      </c>
      <c r="AU33" s="106">
        <f>'2020'!AY261</f>
        <v>0</v>
      </c>
      <c r="AV33" s="106">
        <f>'2020'!AZ261</f>
      </c>
      <c r="AW33" s="119"/>
      <c r="AX33" s="106">
        <f t="shared" si="0"/>
        <v>0</v>
      </c>
      <c r="AY33" s="119">
        <f>'2020'!BA261</f>
        <v>7</v>
      </c>
      <c r="AZ33" s="119">
        <f>'2020'!BB261</f>
        <v>0</v>
      </c>
      <c r="BA33" s="106">
        <f>'2020'!BC261</f>
        <v>0</v>
      </c>
      <c r="BB33" s="106">
        <f>'2020'!BD261</f>
      </c>
      <c r="BC33" s="106"/>
      <c r="BD33" s="106">
        <f t="shared" si="1"/>
        <v>0</v>
      </c>
      <c r="BE33" s="119">
        <f>'2020'!BE261</f>
        <v>7</v>
      </c>
      <c r="BF33" s="106">
        <f>'2020'!BF261</f>
        <v>18.2</v>
      </c>
      <c r="BG33" s="106">
        <f>'2020'!BG261</f>
        <v>13</v>
      </c>
      <c r="BH33" s="106">
        <f>'2020'!BH261</f>
        <v>5.2</v>
      </c>
      <c r="BI33" s="106">
        <f t="shared" si="2"/>
        <v>0</v>
      </c>
      <c r="BJ33" s="338">
        <f t="shared" si="3"/>
        <v>5.2</v>
      </c>
    </row>
    <row r="34" ht="15.75" customHeight="1" hidden="1" spans="1:62" x14ac:dyDescent="0.25">
      <c r="A34" s="14"/>
      <c r="B34" s="115">
        <v>29</v>
      </c>
      <c r="C34" s="115">
        <v>4.02</v>
      </c>
      <c r="D34" s="117" t="s">
        <v>146</v>
      </c>
      <c r="E34" s="119">
        <f>'2020'!I270</f>
      </c>
      <c r="F34" s="119">
        <f>'2020'!J270</f>
      </c>
      <c r="G34" s="106">
        <f>'2020'!K270</f>
        <v>0</v>
      </c>
      <c r="H34" s="106">
        <f>'2020'!L270</f>
      </c>
      <c r="I34" s="119">
        <f>'2020'!M270</f>
      </c>
      <c r="J34" s="119">
        <f>'2020'!N270</f>
      </c>
      <c r="K34" s="106">
        <f>'2020'!O270</f>
        <v>0</v>
      </c>
      <c r="L34" s="106">
        <f>'2020'!P270</f>
      </c>
      <c r="M34" s="119">
        <f>'2020'!Q270</f>
      </c>
      <c r="N34" s="119">
        <f>'2020'!R270</f>
        <v>0</v>
      </c>
      <c r="O34" s="106">
        <f>'2020'!S270</f>
        <v>0</v>
      </c>
      <c r="P34" s="106">
        <f>'2020'!T270</f>
      </c>
      <c r="Q34" s="119">
        <f>'2020'!U270</f>
        <v>0</v>
      </c>
      <c r="R34" s="119">
        <f>'2020'!V270</f>
        <v>0</v>
      </c>
      <c r="S34" s="106">
        <f>'2020'!W270</f>
        <v>0</v>
      </c>
      <c r="T34" s="106">
        <f>'2020'!X270</f>
      </c>
      <c r="U34" s="119">
        <f>'2020'!Y270</f>
        <v>0</v>
      </c>
      <c r="V34" s="119">
        <f>'2020'!Z270</f>
        <v>0</v>
      </c>
      <c r="W34" s="106">
        <f>'2020'!AA270</f>
        <v>0</v>
      </c>
      <c r="X34" s="106">
        <f>'2020'!AB270</f>
      </c>
      <c r="Y34" s="119">
        <f>'2020'!AC270</f>
        <v>0</v>
      </c>
      <c r="Z34" s="119">
        <f>'2020'!AD270</f>
        <v>0</v>
      </c>
      <c r="AA34" s="106">
        <f>'2020'!AE270</f>
        <v>0</v>
      </c>
      <c r="AB34" s="106">
        <f>'2020'!AF270</f>
      </c>
      <c r="AC34" s="119">
        <f>'2020'!AG270</f>
        <v>0</v>
      </c>
      <c r="AD34" s="119">
        <f>'2020'!AH270</f>
        <v>0</v>
      </c>
      <c r="AE34" s="106">
        <f>'2020'!AI270</f>
        <v>0</v>
      </c>
      <c r="AF34" s="106">
        <f>'2020'!AJ270</f>
        <v>0</v>
      </c>
      <c r="AG34" s="119">
        <f>'2020'!AK270</f>
        <v>0</v>
      </c>
      <c r="AH34" s="119">
        <f>'2020'!AL270</f>
        <v>0</v>
      </c>
      <c r="AI34" s="106">
        <f>'2020'!AM270</f>
        <v>0</v>
      </c>
      <c r="AJ34" s="106">
        <f>'2020'!AN270</f>
      </c>
      <c r="AK34" s="119">
        <f>'2020'!AO270</f>
        <v>0</v>
      </c>
      <c r="AL34" s="119">
        <f>'2020'!AP270</f>
        <v>0</v>
      </c>
      <c r="AM34" s="106">
        <f>'2020'!AQ270</f>
        <v>0</v>
      </c>
      <c r="AN34" s="106">
        <f>'2020'!AR270</f>
      </c>
      <c r="AO34" s="119">
        <f>'2020'!AS270</f>
        <v>0</v>
      </c>
      <c r="AP34" s="119">
        <f>'2020'!AT270</f>
        <v>0</v>
      </c>
      <c r="AQ34" s="106">
        <f>'2020'!AU270</f>
        <v>0</v>
      </c>
      <c r="AR34" s="106">
        <f>'2020'!AV270</f>
      </c>
      <c r="AS34" s="119">
        <f>'2020'!AW270</f>
        <v>0</v>
      </c>
      <c r="AT34" s="119">
        <f>'2020'!AX270</f>
        <v>0</v>
      </c>
      <c r="AU34" s="106">
        <f>'2020'!AY270</f>
        <v>0</v>
      </c>
      <c r="AV34" s="106">
        <f>'2020'!AZ270</f>
      </c>
      <c r="AW34" s="106"/>
      <c r="AX34" s="106">
        <f t="shared" si="0"/>
        <v>0</v>
      </c>
      <c r="AY34" s="119">
        <f>'2020'!BA270</f>
        <v>0</v>
      </c>
      <c r="AZ34" s="119">
        <f>'2020'!BB270</f>
        <v>0</v>
      </c>
      <c r="BA34" s="106">
        <f>'2020'!BC270</f>
        <v>0</v>
      </c>
      <c r="BB34" s="106">
        <f>'2020'!BD270</f>
      </c>
      <c r="BC34" s="106"/>
      <c r="BD34" s="106">
        <f t="shared" si="1"/>
        <v>0</v>
      </c>
      <c r="BE34" s="119">
        <f>'2020'!BE270</f>
        <v>0</v>
      </c>
      <c r="BF34" s="106">
        <f>'2020'!BF270</f>
        <v>0</v>
      </c>
      <c r="BG34" s="106">
        <f>'2020'!BG270</f>
        <v>0</v>
      </c>
      <c r="BH34" s="106">
        <f>'2020'!BH270</f>
        <v>0</v>
      </c>
      <c r="BI34" s="106">
        <f t="shared" si="2"/>
        <v>0</v>
      </c>
      <c r="BJ34" s="338">
        <f t="shared" si="3"/>
        <v>0</v>
      </c>
    </row>
    <row r="35" ht="15.75" customHeight="1" hidden="1" spans="1:62" x14ac:dyDescent="0.25">
      <c r="A35" s="14"/>
      <c r="B35" s="115">
        <v>31</v>
      </c>
      <c r="C35" s="116">
        <v>4</v>
      </c>
      <c r="D35" s="117" t="s">
        <v>149</v>
      </c>
      <c r="E35" s="119">
        <f>'2020'!I279</f>
        <v>5</v>
      </c>
      <c r="F35" s="119">
        <f>'2020'!J279</f>
      </c>
      <c r="G35" s="106">
        <f>'2020'!K279</f>
        <v>0</v>
      </c>
      <c r="H35" s="106">
        <f>'2020'!L279</f>
      </c>
      <c r="I35" s="119">
        <f>'2020'!M279</f>
        <v>5</v>
      </c>
      <c r="J35" s="119">
        <f>'2020'!N279</f>
        <v>0</v>
      </c>
      <c r="K35" s="106">
        <f>'2020'!O279</f>
        <v>0</v>
      </c>
      <c r="L35" s="106">
        <f>'2020'!P279</f>
      </c>
      <c r="M35" s="119">
        <f>'2020'!Q279</f>
        <v>5</v>
      </c>
      <c r="N35" s="119">
        <f>'2020'!R279</f>
        <v>0</v>
      </c>
      <c r="O35" s="106">
        <f>'2020'!S279</f>
        <v>0</v>
      </c>
      <c r="P35" s="106">
        <f>'2020'!T279</f>
      </c>
      <c r="Q35" s="119">
        <f>'2020'!U279</f>
        <v>5</v>
      </c>
      <c r="R35" s="119">
        <f>'2020'!V279</f>
        <v>0</v>
      </c>
      <c r="S35" s="106">
        <f>'2020'!W279</f>
        <v>0</v>
      </c>
      <c r="T35" s="106">
        <f>'2020'!X279</f>
      </c>
      <c r="U35" s="119">
        <f>'2020'!Y279</f>
        <v>5</v>
      </c>
      <c r="V35" s="119">
        <f>'2020'!Z279</f>
        <v>0</v>
      </c>
      <c r="W35" s="106">
        <f>'2020'!AA279</f>
        <v>0</v>
      </c>
      <c r="X35" s="106">
        <f>'2020'!AB279</f>
      </c>
      <c r="Y35" s="119">
        <f>'2020'!AC279</f>
        <v>5</v>
      </c>
      <c r="Z35" s="119">
        <f>'2020'!AD279</f>
        <v>0</v>
      </c>
      <c r="AA35" s="106">
        <f>'2020'!AE279</f>
        <v>0</v>
      </c>
      <c r="AB35" s="106">
        <f>'2020'!AF279</f>
        <v>12.5</v>
      </c>
      <c r="AC35" s="119">
        <f>'2020'!AG279</f>
        <v>5</v>
      </c>
      <c r="AD35" s="119">
        <f>'2020'!AH279</f>
        <v>0</v>
      </c>
      <c r="AE35" s="106">
        <f>'2020'!AI279</f>
        <v>0</v>
      </c>
      <c r="AF35" s="106">
        <f>'2020'!AJ279</f>
      </c>
      <c r="AG35" s="119">
        <f>'2020'!AK279</f>
        <v>5</v>
      </c>
      <c r="AH35" s="119">
        <f>'2020'!AL279</f>
        <v>0</v>
      </c>
      <c r="AI35" s="106">
        <f>'2020'!AM279</f>
        <v>0</v>
      </c>
      <c r="AJ35" s="106">
        <f>'2020'!AN279</f>
      </c>
      <c r="AK35" s="119">
        <f>'2020'!AO279</f>
        <v>5</v>
      </c>
      <c r="AL35" s="119">
        <f>'2020'!AP279</f>
        <v>0</v>
      </c>
      <c r="AM35" s="106">
        <f>'2020'!AQ279</f>
        <v>0</v>
      </c>
      <c r="AN35" s="106">
        <f>'2020'!AR279</f>
      </c>
      <c r="AO35" s="119">
        <f>'2020'!AS279</f>
        <v>5</v>
      </c>
      <c r="AP35" s="119">
        <f>'2020'!AT279</f>
        <v>0</v>
      </c>
      <c r="AQ35" s="106">
        <f>'2020'!AU279</f>
        <v>0</v>
      </c>
      <c r="AR35" s="106">
        <f>'2020'!AV279</f>
      </c>
      <c r="AS35" s="119">
        <f>'2020'!AW279</f>
        <v>5</v>
      </c>
      <c r="AT35" s="119">
        <f>'2020'!AX279</f>
        <v>0</v>
      </c>
      <c r="AU35" s="106">
        <f>'2020'!AY279</f>
        <v>0</v>
      </c>
      <c r="AV35" s="106">
        <f>'2020'!AZ279</f>
      </c>
      <c r="AW35" s="106"/>
      <c r="AX35" s="106">
        <f t="shared" si="0"/>
        <v>0</v>
      </c>
      <c r="AY35" s="119">
        <f>'2020'!BA279</f>
        <v>5</v>
      </c>
      <c r="AZ35" s="119">
        <f>'2020'!BB279</f>
        <v>0</v>
      </c>
      <c r="BA35" s="106">
        <f>'2020'!BC279</f>
        <v>0</v>
      </c>
      <c r="BB35" s="106">
        <f>'2020'!BD279</f>
      </c>
      <c r="BC35" s="106"/>
      <c r="BD35" s="106">
        <f t="shared" si="1"/>
        <v>0</v>
      </c>
      <c r="BE35" s="119">
        <f>'2020'!BE279</f>
        <v>0</v>
      </c>
      <c r="BF35" s="106">
        <f>'2020'!BF279</f>
        <v>0</v>
      </c>
      <c r="BG35" s="106">
        <f>'2020'!BG279</f>
        <v>12.5</v>
      </c>
      <c r="BH35" s="106">
        <f>'2020'!BH279</f>
        <v>0</v>
      </c>
      <c r="BI35" s="106">
        <f t="shared" si="2"/>
        <v>0</v>
      </c>
      <c r="BJ35" s="338">
        <f t="shared" si="3"/>
        <v>0</v>
      </c>
    </row>
    <row r="36" ht="15.75" customHeight="1" hidden="1" spans="1:62" x14ac:dyDescent="0.25">
      <c r="A36" s="14"/>
      <c r="B36" s="115">
        <v>32</v>
      </c>
      <c r="C36" s="115">
        <v>3.96</v>
      </c>
      <c r="D36" s="117" t="s">
        <v>152</v>
      </c>
      <c r="E36" s="119">
        <f>'2020'!I288</f>
        <v>677</v>
      </c>
      <c r="F36" s="119">
        <f>'2020'!J288</f>
        <v>0</v>
      </c>
      <c r="G36" s="106">
        <f>'2020'!K288</f>
        <v>0</v>
      </c>
      <c r="H36" s="106">
        <f>'2020'!L288</f>
      </c>
      <c r="I36" s="119">
        <f>'2020'!M288</f>
        <v>677</v>
      </c>
      <c r="J36" s="119">
        <f>'2020'!N288</f>
        <v>0</v>
      </c>
      <c r="K36" s="106">
        <f>'2020'!O288</f>
        <v>0</v>
      </c>
      <c r="L36" s="106">
        <f>'2020'!P288</f>
      </c>
      <c r="M36" s="119">
        <f>'2020'!Q288</f>
        <v>677</v>
      </c>
      <c r="N36" s="119">
        <f>'2020'!R288</f>
        <v>0</v>
      </c>
      <c r="O36" s="106">
        <f>'2020'!S288</f>
        <v>0</v>
      </c>
      <c r="P36" s="106">
        <f>'2020'!T288</f>
      </c>
      <c r="Q36" s="119">
        <f>'2020'!U288</f>
        <v>689</v>
      </c>
      <c r="R36" s="119">
        <f>'2020'!V288</f>
        <v>12</v>
      </c>
      <c r="S36" s="106">
        <f>'2020'!W288</f>
        <v>30</v>
      </c>
      <c r="T36" s="106">
        <f>'2020'!X288</f>
        <v>100</v>
      </c>
      <c r="U36" s="119">
        <f>'2020'!Y288</f>
        <v>741</v>
      </c>
      <c r="V36" s="119">
        <f>'2020'!Z288</f>
        <v>52</v>
      </c>
      <c r="W36" s="106">
        <f>'2020'!AA288</f>
        <v>130</v>
      </c>
      <c r="X36" s="106">
        <f>'2020'!AB288</f>
      </c>
      <c r="Y36" s="119">
        <f>'2020'!AC288</f>
        <v>793</v>
      </c>
      <c r="Z36" s="119">
        <f>'2020'!AD288</f>
        <v>52</v>
      </c>
      <c r="AA36" s="106">
        <f>'2020'!AE288</f>
        <v>130</v>
      </c>
      <c r="AB36" s="106">
        <f>'2020'!AF288</f>
        <v>164</v>
      </c>
      <c r="AC36" s="119">
        <f>'2020'!AG288</f>
        <v>865</v>
      </c>
      <c r="AD36" s="119">
        <f>'2020'!AH288</f>
        <v>72</v>
      </c>
      <c r="AE36" s="106">
        <f>'2020'!AI288</f>
        <v>187.2</v>
      </c>
      <c r="AF36" s="106">
        <f>'2020'!AJ288</f>
      </c>
      <c r="AG36" s="119">
        <f>'2020'!AK288</f>
        <v>932</v>
      </c>
      <c r="AH36" s="119">
        <f>'2020'!AL288</f>
        <v>67</v>
      </c>
      <c r="AI36" s="106">
        <f>'2020'!AM288</f>
        <v>174.2</v>
      </c>
      <c r="AJ36" s="106">
        <f>'2020'!AN288</f>
        <v>250.95</v>
      </c>
      <c r="AK36" s="119">
        <f>'2020'!AO288</f>
        <v>981</v>
      </c>
      <c r="AL36" s="119">
        <f>'2020'!AP288</f>
        <v>49</v>
      </c>
      <c r="AM36" s="106">
        <f>'2020'!AQ288</f>
        <v>127.4</v>
      </c>
      <c r="AN36" s="106">
        <f>'2020'!AR288</f>
      </c>
      <c r="AO36" s="119">
        <f>'2020'!AS288</f>
        <v>991</v>
      </c>
      <c r="AP36" s="119">
        <f>'2020'!AT288</f>
        <v>10</v>
      </c>
      <c r="AQ36" s="106">
        <f>'2020'!AU288</f>
        <v>26</v>
      </c>
      <c r="AR36" s="106">
        <f>'2020'!AV288</f>
      </c>
      <c r="AS36" s="119">
        <f>'2020'!AW288</f>
        <v>991</v>
      </c>
      <c r="AT36" s="119">
        <f>'2020'!AX288</f>
        <v>0</v>
      </c>
      <c r="AU36" s="106">
        <f>'2020'!AY288</f>
        <v>0</v>
      </c>
      <c r="AV36" s="106">
        <f>'2020'!AZ288</f>
      </c>
      <c r="AW36" s="106"/>
      <c r="AX36" s="106">
        <f t="shared" si="0"/>
        <v>0</v>
      </c>
      <c r="AY36" s="119">
        <f>'2020'!BA288</f>
        <v>991</v>
      </c>
      <c r="AZ36" s="119">
        <f>'2020'!BB288</f>
        <v>0</v>
      </c>
      <c r="BA36" s="106">
        <f>'2020'!BC288</f>
        <v>0</v>
      </c>
      <c r="BB36" s="106">
        <f>'2020'!BD288</f>
      </c>
      <c r="BC36" s="106"/>
      <c r="BD36" s="106">
        <f t="shared" si="1"/>
        <v>0</v>
      </c>
      <c r="BE36" s="119">
        <f>'2020'!BE288</f>
        <v>314</v>
      </c>
      <c r="BF36" s="106">
        <f>'2020'!BF288</f>
        <v>804.8</v>
      </c>
      <c r="BG36" s="106">
        <f>'2020'!BG288</f>
        <v>514.95</v>
      </c>
      <c r="BH36" s="106">
        <f>'2020'!BH288</f>
        <v>327.35</v>
      </c>
      <c r="BI36" s="106">
        <f t="shared" si="2"/>
        <v>0</v>
      </c>
      <c r="BJ36" s="338">
        <f t="shared" si="3"/>
        <v>327.35</v>
      </c>
    </row>
    <row r="37" ht="15.75" customHeight="1" hidden="1" spans="1:62" x14ac:dyDescent="0.25">
      <c r="A37" s="14"/>
      <c r="B37" s="115">
        <v>33</v>
      </c>
      <c r="C37" s="115">
        <v>4.01</v>
      </c>
      <c r="D37" s="117" t="s">
        <v>154</v>
      </c>
      <c r="E37" s="119">
        <f>'2020'!I297</f>
        <v>33</v>
      </c>
      <c r="F37" s="119">
        <f>'2020'!J297</f>
        <v>0</v>
      </c>
      <c r="G37" s="106">
        <f>'2020'!K297</f>
        <v>0</v>
      </c>
      <c r="H37" s="106">
        <f>'2020'!L297</f>
      </c>
      <c r="I37" s="119">
        <f>'2020'!M297</f>
        <v>33</v>
      </c>
      <c r="J37" s="119">
        <f>'2020'!N297</f>
        <v>0</v>
      </c>
      <c r="K37" s="106">
        <f>'2020'!O297</f>
        <v>0</v>
      </c>
      <c r="L37" s="106">
        <f>'2020'!P297</f>
      </c>
      <c r="M37" s="119">
        <f>'2020'!Q297</f>
        <v>33</v>
      </c>
      <c r="N37" s="119">
        <f>'2020'!R297</f>
        <v>0</v>
      </c>
      <c r="O37" s="106">
        <f>'2020'!S297</f>
        <v>0</v>
      </c>
      <c r="P37" s="106">
        <f>'2020'!T297</f>
      </c>
      <c r="Q37" s="119">
        <f>'2020'!U297</f>
        <v>33</v>
      </c>
      <c r="R37" s="119">
        <f>'2020'!V297</f>
        <v>0</v>
      </c>
      <c r="S37" s="106">
        <f>'2020'!W297</f>
        <v>0</v>
      </c>
      <c r="T37" s="106">
        <f>'2020'!X297</f>
      </c>
      <c r="U37" s="119">
        <f>'2020'!Y297</f>
        <v>33</v>
      </c>
      <c r="V37" s="119">
        <f>'2020'!Z297</f>
        <v>0</v>
      </c>
      <c r="W37" s="106">
        <f>'2020'!AA297</f>
        <v>0</v>
      </c>
      <c r="X37" s="106">
        <f>'2020'!AB297</f>
      </c>
      <c r="Y37" s="119">
        <f>'2020'!AC297</f>
        <v>33</v>
      </c>
      <c r="Z37" s="119">
        <f>'2020'!AD297</f>
        <v>0</v>
      </c>
      <c r="AA37" s="106">
        <f>'2020'!AE297</f>
        <v>0</v>
      </c>
      <c r="AB37" s="106">
        <f>'2020'!AF297</f>
      </c>
      <c r="AC37" s="119">
        <f>'2020'!AG297</f>
        <v>33</v>
      </c>
      <c r="AD37" s="119">
        <f>'2020'!AH297</f>
        <v>0</v>
      </c>
      <c r="AE37" s="106">
        <f>'2020'!AI297</f>
        <v>0</v>
      </c>
      <c r="AF37" s="106">
        <f>'2020'!AJ297</f>
      </c>
      <c r="AG37" s="119">
        <f>'2020'!AK297</f>
        <v>33</v>
      </c>
      <c r="AH37" s="119">
        <f>'2020'!AL297</f>
        <v>0</v>
      </c>
      <c r="AI37" s="106">
        <f>'2020'!AM297</f>
        <v>0</v>
      </c>
      <c r="AJ37" s="106">
        <f>'2020'!AN297</f>
      </c>
      <c r="AK37" s="119">
        <f>'2020'!AO297</f>
        <v>33</v>
      </c>
      <c r="AL37" s="119">
        <f>'2020'!AP297</f>
        <v>0</v>
      </c>
      <c r="AM37" s="106">
        <f>'2020'!AQ297</f>
        <v>0</v>
      </c>
      <c r="AN37" s="106">
        <f>'2020'!AR297</f>
      </c>
      <c r="AO37" s="119">
        <f>'2020'!AS297</f>
        <v>33</v>
      </c>
      <c r="AP37" s="119">
        <f>'2020'!AT297</f>
        <v>0</v>
      </c>
      <c r="AQ37" s="106">
        <f>'2020'!AU297</f>
        <v>0</v>
      </c>
      <c r="AR37" s="106">
        <f>'2020'!AV297</f>
      </c>
      <c r="AS37" s="119">
        <f>'2020'!AW297</f>
        <v>33</v>
      </c>
      <c r="AT37" s="119">
        <f>'2020'!AX297</f>
        <v>0</v>
      </c>
      <c r="AU37" s="106">
        <f>'2020'!AY297</f>
        <v>0</v>
      </c>
      <c r="AV37" s="106">
        <f>'2020'!AZ297</f>
      </c>
      <c r="AW37" s="106"/>
      <c r="AX37" s="106">
        <f t="shared" si="0"/>
        <v>0</v>
      </c>
      <c r="AY37" s="119">
        <f>'2020'!BA297</f>
        <v>33</v>
      </c>
      <c r="AZ37" s="119">
        <f>'2020'!BB297</f>
        <v>0</v>
      </c>
      <c r="BA37" s="106">
        <f>'2020'!BC297</f>
        <v>0</v>
      </c>
      <c r="BB37" s="106">
        <f>'2020'!BD297</f>
      </c>
      <c r="BC37" s="106"/>
      <c r="BD37" s="106">
        <f t="shared" si="1"/>
        <v>0</v>
      </c>
      <c r="BE37" s="119">
        <f>'2020'!BE297</f>
        <v>0</v>
      </c>
      <c r="BF37" s="106">
        <f>'2020'!BF297</f>
        <v>0</v>
      </c>
      <c r="BG37" s="106">
        <f>'2020'!BG297</f>
        <v>0</v>
      </c>
      <c r="BH37" s="106">
        <f>'2020'!BH297</f>
        <v>82.49</v>
      </c>
      <c r="BI37" s="106">
        <f t="shared" si="2"/>
        <v>0</v>
      </c>
      <c r="BJ37" s="338">
        <f t="shared" si="3"/>
        <v>82.49</v>
      </c>
    </row>
    <row r="38" ht="15.75" customHeight="1" spans="1:62" x14ac:dyDescent="0.25">
      <c r="A38" s="14"/>
      <c r="B38" s="125">
        <v>34</v>
      </c>
      <c r="C38" s="115">
        <v>4.01</v>
      </c>
      <c r="D38" s="117" t="s">
        <v>155</v>
      </c>
      <c r="E38" s="119">
        <f>'2020'!I306</f>
        <v>2306</v>
      </c>
      <c r="F38" s="119">
        <f>'2020'!J306</f>
        <v>0</v>
      </c>
      <c r="G38" s="106">
        <f>'2020'!K306</f>
        <v>0</v>
      </c>
      <c r="H38" s="106">
        <f>'2020'!L306</f>
      </c>
      <c r="I38" s="119">
        <f>'2020'!M306</f>
        <v>2354</v>
      </c>
      <c r="J38" s="119">
        <f>'2020'!N306</f>
        <v>48</v>
      </c>
      <c r="K38" s="106">
        <f>'2020'!O306</f>
        <v>120</v>
      </c>
      <c r="L38" s="106">
        <f>'2020'!P306</f>
      </c>
      <c r="M38" s="119">
        <f>'2020'!Q306</f>
        <v>2354</v>
      </c>
      <c r="N38" s="119">
        <f>'2020'!R306</f>
        <v>0</v>
      </c>
      <c r="O38" s="106">
        <f>'2020'!S306</f>
        <v>0</v>
      </c>
      <c r="P38" s="106">
        <f>'2020'!T306</f>
      </c>
      <c r="Q38" s="119">
        <f>'2020'!U306</f>
        <v>2373</v>
      </c>
      <c r="R38" s="119">
        <f>'2020'!V306</f>
        <v>19</v>
      </c>
      <c r="S38" s="106">
        <f>'2020'!W306</f>
        <v>47.5</v>
      </c>
      <c r="T38" s="106">
        <f>'2020'!X306</f>
      </c>
      <c r="U38" s="119">
        <f>'2020'!Y306</f>
        <v>2809</v>
      </c>
      <c r="V38" s="119">
        <f>'2020'!Z306</f>
        <v>436</v>
      </c>
      <c r="W38" s="106">
        <f>'2020'!AA306</f>
        <v>1090</v>
      </c>
      <c r="X38" s="106">
        <f>'2020'!AB306</f>
      </c>
      <c r="Y38" s="119">
        <f>'2020'!AC306</f>
        <v>3132</v>
      </c>
      <c r="Z38" s="119">
        <f>'2020'!AD306</f>
        <v>323</v>
      </c>
      <c r="AA38" s="106">
        <f>'2020'!AE306</f>
        <v>807.5</v>
      </c>
      <c r="AB38" s="106">
        <f>'2020'!AF306</f>
      </c>
      <c r="AC38" s="119">
        <f>'2020'!AG306</f>
        <v>3374</v>
      </c>
      <c r="AD38" s="119">
        <f>'2020'!AH306</f>
        <v>242</v>
      </c>
      <c r="AE38" s="106">
        <f>'2020'!AI306</f>
        <v>629.2</v>
      </c>
      <c r="AF38" s="106">
        <f>'2020'!AJ306</f>
        <v>3600</v>
      </c>
      <c r="AG38" s="119">
        <f>'2020'!AK306</f>
        <v>3766</v>
      </c>
      <c r="AH38" s="119">
        <f>'2020'!AL306</f>
        <v>392</v>
      </c>
      <c r="AI38" s="106">
        <f>'2020'!AM306</f>
        <v>1019.2</v>
      </c>
      <c r="AJ38" s="106">
        <f>'2020'!AN306</f>
      </c>
      <c r="AK38" s="119">
        <f>'2020'!AO306</f>
        <v>3815</v>
      </c>
      <c r="AL38" s="119">
        <f>'2020'!AP306</f>
        <v>49</v>
      </c>
      <c r="AM38" s="106">
        <f>'2020'!AQ306</f>
        <v>127.4</v>
      </c>
      <c r="AN38" s="106">
        <f>'2020'!AR306</f>
      </c>
      <c r="AO38" s="119">
        <f>'2020'!AS306</f>
        <v>3947</v>
      </c>
      <c r="AP38" s="119">
        <f>'2020'!AT306</f>
        <v>132</v>
      </c>
      <c r="AQ38" s="106">
        <f>'2020'!AU306</f>
        <v>343.2</v>
      </c>
      <c r="AR38" s="106">
        <f>'2020'!AV306</f>
      </c>
      <c r="AS38" s="119">
        <f>'2020'!AW306</f>
        <v>4151</v>
      </c>
      <c r="AT38" s="119">
        <f>'2020'!AX306</f>
        <v>204</v>
      </c>
      <c r="AU38" s="106">
        <f>'2020'!AY306</f>
        <v>530.4</v>
      </c>
      <c r="AV38" s="106">
        <f>'2020'!AZ306</f>
      </c>
      <c r="AW38" s="106"/>
      <c r="AX38" s="106">
        <f t="shared" si="0"/>
        <v>0</v>
      </c>
      <c r="AY38" s="119">
        <f>'2020'!BA306</f>
        <v>4151</v>
      </c>
      <c r="AZ38" s="119">
        <f>'2020'!BB306</f>
        <v>0</v>
      </c>
      <c r="BA38" s="106">
        <f>'2020'!BC306</f>
        <v>0</v>
      </c>
      <c r="BB38" s="106">
        <f>'2020'!BD306</f>
      </c>
      <c r="BC38" s="106"/>
      <c r="BD38" s="106">
        <f t="shared" si="1"/>
        <v>0</v>
      </c>
      <c r="BE38" s="119">
        <f>'2020'!BE306</f>
        <v>1845</v>
      </c>
      <c r="BF38" s="106">
        <f>'2020'!BF306</f>
        <v>4714.4</v>
      </c>
      <c r="BG38" s="106">
        <f>'2020'!BG306</f>
        <v>3600</v>
      </c>
      <c r="BH38" s="106">
        <f>'2020'!BH306</f>
        <v>909.3</v>
      </c>
      <c r="BI38" s="106">
        <f t="shared" si="2"/>
        <v>0</v>
      </c>
      <c r="BJ38" s="338">
        <f t="shared" si="3"/>
        <v>909.3</v>
      </c>
    </row>
    <row r="39" ht="15.75" customHeight="1" hidden="1" spans="1:62" x14ac:dyDescent="0.25">
      <c r="A39" s="14"/>
      <c r="B39" s="115">
        <v>35</v>
      </c>
      <c r="C39" s="115">
        <v>4.01</v>
      </c>
      <c r="D39" s="117" t="s">
        <v>157</v>
      </c>
      <c r="E39" s="119">
        <f>'2020'!I315</f>
        <v>33</v>
      </c>
      <c r="F39" s="119">
        <f>'2020'!J315</f>
        <v>0</v>
      </c>
      <c r="G39" s="106">
        <f>'2020'!K315</f>
        <v>0</v>
      </c>
      <c r="H39" s="106">
        <f>'2020'!L315</f>
      </c>
      <c r="I39" s="119">
        <f>'2020'!M315</f>
        <v>33</v>
      </c>
      <c r="J39" s="119">
        <f>'2020'!N315</f>
        <v>0</v>
      </c>
      <c r="K39" s="106">
        <f>'2020'!O315</f>
        <v>0</v>
      </c>
      <c r="L39" s="106">
        <f>'2020'!P315</f>
      </c>
      <c r="M39" s="119">
        <f>'2020'!Q315</f>
        <v>33</v>
      </c>
      <c r="N39" s="119">
        <f>'2020'!R315</f>
        <v>0</v>
      </c>
      <c r="O39" s="106">
        <f>'2020'!S315</f>
        <v>0</v>
      </c>
      <c r="P39" s="106">
        <f>'2020'!T315</f>
      </c>
      <c r="Q39" s="119">
        <f>'2020'!U315</f>
        <v>33</v>
      </c>
      <c r="R39" s="119">
        <f>'2020'!V315</f>
        <v>0</v>
      </c>
      <c r="S39" s="106">
        <f>'2020'!W315</f>
        <v>0</v>
      </c>
      <c r="T39" s="106">
        <f>'2020'!X315</f>
      </c>
      <c r="U39" s="119">
        <f>'2020'!Y315</f>
        <v>33</v>
      </c>
      <c r="V39" s="119">
        <f>'2020'!Z315</f>
        <v>0</v>
      </c>
      <c r="W39" s="106">
        <f>'2020'!AA315</f>
        <v>0</v>
      </c>
      <c r="X39" s="106">
        <f>'2020'!AB315</f>
      </c>
      <c r="Y39" s="119">
        <f>'2020'!AC315</f>
        <v>33</v>
      </c>
      <c r="Z39" s="119">
        <f>'2020'!AD315</f>
        <v>0</v>
      </c>
      <c r="AA39" s="106">
        <f>'2020'!AE315</f>
        <v>0</v>
      </c>
      <c r="AB39" s="106">
        <f>'2020'!AF315</f>
      </c>
      <c r="AC39" s="119">
        <f>'2020'!AG315</f>
        <v>33</v>
      </c>
      <c r="AD39" s="119">
        <f>'2020'!AH315</f>
        <v>0</v>
      </c>
      <c r="AE39" s="106">
        <f>'2020'!AI315</f>
        <v>0</v>
      </c>
      <c r="AF39" s="106">
        <f>'2020'!AJ315</f>
      </c>
      <c r="AG39" s="119">
        <f>'2020'!AK315</f>
        <v>33</v>
      </c>
      <c r="AH39" s="119">
        <f>'2020'!AL315</f>
        <v>0</v>
      </c>
      <c r="AI39" s="106">
        <f>'2020'!AM315</f>
        <v>0</v>
      </c>
      <c r="AJ39" s="106">
        <f>'2020'!AN315</f>
      </c>
      <c r="AK39" s="119">
        <f>'2020'!AO315</f>
        <v>33</v>
      </c>
      <c r="AL39" s="119">
        <f>'2020'!AP315</f>
        <v>0</v>
      </c>
      <c r="AM39" s="106">
        <f>'2020'!AQ315</f>
        <v>0</v>
      </c>
      <c r="AN39" s="106">
        <f>'2020'!AR315</f>
      </c>
      <c r="AO39" s="119">
        <f>'2020'!AS315</f>
        <v>33</v>
      </c>
      <c r="AP39" s="119">
        <f>'2020'!AT315</f>
        <v>0</v>
      </c>
      <c r="AQ39" s="106">
        <f>'2020'!AU315</f>
        <v>0</v>
      </c>
      <c r="AR39" s="106">
        <f>'2020'!AV315</f>
      </c>
      <c r="AS39" s="119">
        <f>'2020'!AW315</f>
        <v>33</v>
      </c>
      <c r="AT39" s="119">
        <f>'2020'!AX315</f>
        <v>0</v>
      </c>
      <c r="AU39" s="106">
        <f>'2020'!AY315</f>
        <v>0</v>
      </c>
      <c r="AV39" s="106">
        <f>'2020'!AZ315</f>
      </c>
      <c r="AW39" s="106"/>
      <c r="AX39" s="106">
        <f t="shared" si="0"/>
        <v>0</v>
      </c>
      <c r="AY39" s="119">
        <f>'2020'!BA315</f>
        <v>33</v>
      </c>
      <c r="AZ39" s="119">
        <f>'2020'!BB315</f>
        <v>0</v>
      </c>
      <c r="BA39" s="106">
        <f>'2020'!BC315</f>
        <v>0</v>
      </c>
      <c r="BB39" s="106">
        <f>'2020'!BD315</f>
      </c>
      <c r="BC39" s="106"/>
      <c r="BD39" s="106">
        <f t="shared" si="1"/>
        <v>0</v>
      </c>
      <c r="BE39" s="119">
        <f>'2020'!BE315</f>
        <v>0</v>
      </c>
      <c r="BF39" s="106">
        <f>'2020'!BF315</f>
        <v>0</v>
      </c>
      <c r="BG39" s="106">
        <f>'2020'!BG315</f>
        <v>0</v>
      </c>
      <c r="BH39" s="106">
        <f>'2020'!BH315</f>
        <v>0</v>
      </c>
      <c r="BI39" s="106">
        <f t="shared" si="2"/>
        <v>0</v>
      </c>
      <c r="BJ39" s="338">
        <f t="shared" si="3"/>
        <v>0</v>
      </c>
    </row>
    <row r="40" ht="15.75" customHeight="1" hidden="1" spans="1:62" x14ac:dyDescent="0.25">
      <c r="A40" s="14"/>
      <c r="B40" s="115">
        <v>36</v>
      </c>
      <c r="C40" s="115">
        <v>4.03</v>
      </c>
      <c r="D40" s="117" t="s">
        <v>160</v>
      </c>
      <c r="E40" s="119">
        <f>'2020'!I324</f>
        <v>299</v>
      </c>
      <c r="F40" s="119">
        <f>'2020'!J324</f>
        <v>0</v>
      </c>
      <c r="G40" s="106">
        <f>'2020'!K324</f>
        <v>0</v>
      </c>
      <c r="H40" s="106">
        <f>'2020'!L324</f>
      </c>
      <c r="I40" s="119">
        <f>'2020'!M324</f>
        <v>299</v>
      </c>
      <c r="J40" s="119">
        <f>'2020'!N324</f>
        <v>0</v>
      </c>
      <c r="K40" s="106">
        <f>'2020'!O324</f>
        <v>0</v>
      </c>
      <c r="L40" s="106">
        <f>'2020'!P324</f>
      </c>
      <c r="M40" s="119">
        <f>'2020'!Q324</f>
        <v>299</v>
      </c>
      <c r="N40" s="119">
        <f>'2020'!R324</f>
        <v>0</v>
      </c>
      <c r="O40" s="106">
        <f>'2020'!S324</f>
        <v>0</v>
      </c>
      <c r="P40" s="106">
        <f>'2020'!T324</f>
      </c>
      <c r="Q40" s="119">
        <f>'2020'!U324</f>
        <v>302</v>
      </c>
      <c r="R40" s="119">
        <f>'2020'!V324</f>
        <v>3</v>
      </c>
      <c r="S40" s="106">
        <f>'2020'!W324</f>
        <v>7.5</v>
      </c>
      <c r="T40" s="106">
        <f>'2020'!X324</f>
      </c>
      <c r="U40" s="119">
        <f>'2020'!Y324</f>
        <v>314</v>
      </c>
      <c r="V40" s="119">
        <f>'2020'!Z324</f>
        <v>12</v>
      </c>
      <c r="W40" s="106">
        <f>'2020'!AA324</f>
        <v>30</v>
      </c>
      <c r="X40" s="106">
        <f>'2020'!AB324</f>
      </c>
      <c r="Y40" s="119">
        <f>'2020'!AC324</f>
        <v>322</v>
      </c>
      <c r="Z40" s="119">
        <f>'2020'!AD324</f>
        <v>8</v>
      </c>
      <c r="AA40" s="106">
        <f>'2020'!AE324</f>
        <v>20</v>
      </c>
      <c r="AB40" s="106">
        <f>'2020'!AF324</f>
        <v>131.84</v>
      </c>
      <c r="AC40" s="119">
        <f>'2020'!AG324</f>
        <v>345</v>
      </c>
      <c r="AD40" s="119">
        <f>'2020'!AH324</f>
        <v>23</v>
      </c>
      <c r="AE40" s="106">
        <f>'2020'!AI324</f>
        <v>59.8</v>
      </c>
      <c r="AF40" s="106">
        <f>'2020'!AJ324</f>
      </c>
      <c r="AG40" s="119">
        <f>'2020'!AK324</f>
        <v>383</v>
      </c>
      <c r="AH40" s="119">
        <f>'2020'!AL324</f>
        <v>38</v>
      </c>
      <c r="AI40" s="106">
        <f>'2020'!AM324</f>
        <v>98.8</v>
      </c>
      <c r="AJ40" s="106">
        <f>'2020'!AN324</f>
      </c>
      <c r="AK40" s="119">
        <f>'2020'!AO324</f>
        <v>402</v>
      </c>
      <c r="AL40" s="119">
        <f>'2020'!AP324</f>
        <v>19</v>
      </c>
      <c r="AM40" s="106">
        <f>'2020'!AQ324</f>
        <v>49.4</v>
      </c>
      <c r="AN40" s="106">
        <f>'2020'!AR324</f>
      </c>
      <c r="AO40" s="119">
        <f>'2020'!AS324</f>
        <v>428</v>
      </c>
      <c r="AP40" s="119">
        <f>'2020'!AT324</f>
        <v>26</v>
      </c>
      <c r="AQ40" s="106">
        <f>'2020'!AU324</f>
        <v>67.6</v>
      </c>
      <c r="AR40" s="106">
        <f>'2020'!AV324</f>
      </c>
      <c r="AS40" s="119">
        <f>'2020'!AW324</f>
        <v>428</v>
      </c>
      <c r="AT40" s="119">
        <f>'2020'!AX324</f>
        <v>0</v>
      </c>
      <c r="AU40" s="106">
        <f>'2020'!AY324</f>
        <v>0</v>
      </c>
      <c r="AV40" s="106">
        <f>'2020'!AZ324</f>
      </c>
      <c r="AW40" s="106"/>
      <c r="AX40" s="106">
        <f t="shared" si="0"/>
        <v>0</v>
      </c>
      <c r="AY40" s="119">
        <f>'2020'!BA324</f>
        <v>428</v>
      </c>
      <c r="AZ40" s="119">
        <f>'2020'!BB324</f>
        <v>0</v>
      </c>
      <c r="BA40" s="106">
        <f>'2020'!BC324</f>
        <v>0</v>
      </c>
      <c r="BB40" s="106">
        <f>'2020'!BD324</f>
      </c>
      <c r="BC40" s="106"/>
      <c r="BD40" s="106">
        <f t="shared" si="1"/>
        <v>0</v>
      </c>
      <c r="BE40" s="119">
        <f>'2020'!BE324</f>
        <v>129</v>
      </c>
      <c r="BF40" s="106">
        <f>'2020'!BF324</f>
        <v>333.1</v>
      </c>
      <c r="BG40" s="106">
        <f>'2020'!BG324</f>
        <v>131.84</v>
      </c>
      <c r="BH40" s="106">
        <f>'2020'!BH324</f>
        <v>266.73</v>
      </c>
      <c r="BI40" s="106">
        <f t="shared" si="2"/>
        <v>0</v>
      </c>
      <c r="BJ40" s="338">
        <f t="shared" si="3"/>
        <v>266.73</v>
      </c>
    </row>
    <row r="41" ht="15.75" customHeight="1" hidden="1" spans="1:62" x14ac:dyDescent="0.25">
      <c r="A41" s="14"/>
      <c r="B41" s="115">
        <v>37</v>
      </c>
      <c r="C41" s="115">
        <v>4.06</v>
      </c>
      <c r="D41" s="117" t="s">
        <v>162</v>
      </c>
      <c r="E41" s="119">
        <f>'2020'!I333</f>
      </c>
      <c r="F41" s="119">
        <f>'2020'!J333</f>
      </c>
      <c r="G41" s="106">
        <f>'2020'!K333</f>
        <v>0</v>
      </c>
      <c r="H41" s="106">
        <f>'2020'!L333</f>
      </c>
      <c r="I41" s="119">
        <f>'2020'!M333</f>
      </c>
      <c r="J41" s="119">
        <f>'2020'!N333</f>
      </c>
      <c r="K41" s="106">
        <f>'2020'!O333</f>
        <v>0</v>
      </c>
      <c r="L41" s="106">
        <f>'2020'!P333</f>
      </c>
      <c r="M41" s="119">
        <f>'2020'!Q333</f>
      </c>
      <c r="N41" s="119">
        <f>'2020'!R333</f>
        <v>0</v>
      </c>
      <c r="O41" s="106">
        <f>'2020'!S333</f>
        <v>0</v>
      </c>
      <c r="P41" s="106">
        <f>'2020'!T333</f>
      </c>
      <c r="Q41" s="119">
        <f>'2020'!U333</f>
      </c>
      <c r="R41" s="119">
        <f>'2020'!V333</f>
        <v>0</v>
      </c>
      <c r="S41" s="106">
        <f>'2020'!W333</f>
        <v>0</v>
      </c>
      <c r="T41" s="106">
        <f>'2020'!X333</f>
      </c>
      <c r="U41" s="119">
        <f>'2020'!Y333</f>
      </c>
      <c r="V41" s="119">
        <f>'2020'!Z333</f>
        <v>0</v>
      </c>
      <c r="W41" s="106">
        <f>'2020'!AA333</f>
        <v>0</v>
      </c>
      <c r="X41" s="106">
        <f>'2020'!AB333</f>
      </c>
      <c r="Y41" s="119">
        <f>'2020'!AC333</f>
      </c>
      <c r="Z41" s="119">
        <f>'2020'!AD333</f>
        <v>0</v>
      </c>
      <c r="AA41" s="106">
        <f>'2020'!AE333</f>
        <v>0</v>
      </c>
      <c r="AB41" s="106">
        <f>'2020'!AF333</f>
      </c>
      <c r="AC41" s="119">
        <f>'2020'!AG333</f>
      </c>
      <c r="AD41" s="119">
        <f>'2020'!AH333</f>
        <v>0</v>
      </c>
      <c r="AE41" s="106">
        <f>'2020'!AI333</f>
        <v>0</v>
      </c>
      <c r="AF41" s="106">
        <f>'2020'!AJ333</f>
      </c>
      <c r="AG41" s="119">
        <f>'2020'!AK333</f>
        <v>0</v>
      </c>
      <c r="AH41" s="119">
        <f>'2020'!AL333</f>
        <v>0</v>
      </c>
      <c r="AI41" s="106">
        <f>'2020'!AM333</f>
        <v>0</v>
      </c>
      <c r="AJ41" s="106">
        <f>'2020'!AN333</f>
      </c>
      <c r="AK41" s="119">
        <f>'2020'!AO333</f>
        <v>0</v>
      </c>
      <c r="AL41" s="119">
        <f>'2020'!AP333</f>
        <v>0</v>
      </c>
      <c r="AM41" s="106">
        <f>'2020'!AQ333</f>
        <v>0</v>
      </c>
      <c r="AN41" s="106">
        <f>'2020'!AR333</f>
      </c>
      <c r="AO41" s="119">
        <f>'2020'!AS333</f>
        <v>0</v>
      </c>
      <c r="AP41" s="119">
        <f>'2020'!AT333</f>
        <v>0</v>
      </c>
      <c r="AQ41" s="106">
        <f>'2020'!AU333</f>
        <v>0</v>
      </c>
      <c r="AR41" s="106">
        <f>'2020'!AV333</f>
      </c>
      <c r="AS41" s="119">
        <f>'2020'!AW333</f>
        <v>0</v>
      </c>
      <c r="AT41" s="119">
        <f>'2020'!AX333</f>
        <v>0</v>
      </c>
      <c r="AU41" s="106">
        <f>'2020'!AY333</f>
        <v>0</v>
      </c>
      <c r="AV41" s="106">
        <f>'2020'!AZ333</f>
      </c>
      <c r="AW41" s="106"/>
      <c r="AX41" s="106">
        <f t="shared" si="0"/>
        <v>0</v>
      </c>
      <c r="AY41" s="119">
        <f>'2020'!BA333</f>
        <v>0</v>
      </c>
      <c r="AZ41" s="119">
        <f>'2020'!BB333</f>
        <v>0</v>
      </c>
      <c r="BA41" s="106">
        <f>'2020'!BC333</f>
        <v>0</v>
      </c>
      <c r="BB41" s="106">
        <f>'2020'!BD333</f>
      </c>
      <c r="BC41" s="106"/>
      <c r="BD41" s="106">
        <f t="shared" si="1"/>
        <v>0</v>
      </c>
      <c r="BE41" s="119">
        <f>'2020'!BE333</f>
        <v>0</v>
      </c>
      <c r="BF41" s="106">
        <f>'2020'!BF333</f>
        <v>0</v>
      </c>
      <c r="BG41" s="106">
        <f>'2020'!BG333</f>
        <v>0</v>
      </c>
      <c r="BH41" s="106">
        <f>'2020'!BH333</f>
        <v>0</v>
      </c>
      <c r="BI41" s="106">
        <f t="shared" si="2"/>
        <v>0</v>
      </c>
      <c r="BJ41" s="338">
        <f t="shared" si="3"/>
        <v>0</v>
      </c>
    </row>
    <row r="42" ht="15.75" customHeight="1" hidden="1" spans="1:62" x14ac:dyDescent="0.25">
      <c r="A42" s="14"/>
      <c r="B42" s="115">
        <v>38</v>
      </c>
      <c r="C42" s="115">
        <v>4.34</v>
      </c>
      <c r="D42" s="117" t="s">
        <v>167</v>
      </c>
      <c r="E42" s="119">
        <f>'2020'!I342</f>
        <v>18</v>
      </c>
      <c r="F42" s="119">
        <f>'2020'!J342</f>
        <v>0</v>
      </c>
      <c r="G42" s="106">
        <f>'2020'!K342</f>
        <v>0</v>
      </c>
      <c r="H42" s="106">
        <f>'2020'!L342</f>
        <v>2.5</v>
      </c>
      <c r="I42" s="119">
        <f>'2020'!M342</f>
        <v>18</v>
      </c>
      <c r="J42" s="119">
        <f>'2020'!N342</f>
        <v>0</v>
      </c>
      <c r="K42" s="106">
        <f>'2020'!O342</f>
        <v>0</v>
      </c>
      <c r="L42" s="106">
        <f>'2020'!P342</f>
      </c>
      <c r="M42" s="119">
        <f>'2020'!Q342</f>
        <v>18</v>
      </c>
      <c r="N42" s="119">
        <f>'2020'!R342</f>
        <v>0</v>
      </c>
      <c r="O42" s="106">
        <f>'2020'!S342</f>
        <v>0</v>
      </c>
      <c r="P42" s="106">
        <f>'2020'!T342</f>
      </c>
      <c r="Q42" s="119">
        <f>'2020'!U342</f>
        <v>18</v>
      </c>
      <c r="R42" s="119">
        <f>'2020'!V342</f>
        <v>0</v>
      </c>
      <c r="S42" s="106">
        <f>'2020'!W342</f>
        <v>0</v>
      </c>
      <c r="T42" s="106">
        <f>'2020'!X342</f>
      </c>
      <c r="U42" s="119">
        <f>'2020'!Y342</f>
        <v>18</v>
      </c>
      <c r="V42" s="119">
        <f>'2020'!Z342</f>
        <v>0</v>
      </c>
      <c r="W42" s="106">
        <f>'2020'!AA342</f>
        <v>0</v>
      </c>
      <c r="X42" s="106">
        <f>'2020'!AB342</f>
      </c>
      <c r="Y42" s="119">
        <f>'2020'!AC342</f>
        <v>18</v>
      </c>
      <c r="Z42" s="119">
        <f>'2020'!AD342</f>
        <v>0</v>
      </c>
      <c r="AA42" s="106">
        <f>'2020'!AE342</f>
        <v>0</v>
      </c>
      <c r="AB42" s="106">
        <f>'2020'!AF342</f>
      </c>
      <c r="AC42" s="119">
        <f>'2020'!AG342</f>
        <v>18</v>
      </c>
      <c r="AD42" s="119">
        <f>'2020'!AH342</f>
        <v>0</v>
      </c>
      <c r="AE42" s="106">
        <f>'2020'!AI342</f>
        <v>0</v>
      </c>
      <c r="AF42" s="106">
        <f>'2020'!AJ342</f>
      </c>
      <c r="AG42" s="119">
        <f>'2020'!AK342</f>
        <v>18</v>
      </c>
      <c r="AH42" s="119">
        <f>'2020'!AL342</f>
        <v>0</v>
      </c>
      <c r="AI42" s="106">
        <f>'2020'!AM342</f>
        <v>0</v>
      </c>
      <c r="AJ42" s="106">
        <f>'2020'!AN342</f>
      </c>
      <c r="AK42" s="119">
        <f>'2020'!AO342</f>
        <v>18</v>
      </c>
      <c r="AL42" s="119">
        <f>'2020'!AP342</f>
        <v>0</v>
      </c>
      <c r="AM42" s="106">
        <f>'2020'!AQ342</f>
        <v>0</v>
      </c>
      <c r="AN42" s="106">
        <f>'2020'!AR342</f>
      </c>
      <c r="AO42" s="119">
        <f>'2020'!AS342</f>
        <v>18</v>
      </c>
      <c r="AP42" s="119">
        <f>'2020'!AT342</f>
        <v>0</v>
      </c>
      <c r="AQ42" s="106">
        <f>'2020'!AU342</f>
        <v>0</v>
      </c>
      <c r="AR42" s="106">
        <f>'2020'!AV342</f>
      </c>
      <c r="AS42" s="119">
        <f>'2020'!AW342</f>
        <v>18</v>
      </c>
      <c r="AT42" s="119">
        <f>'2020'!AX342</f>
        <v>0</v>
      </c>
      <c r="AU42" s="106">
        <f>'2020'!AY342</f>
        <v>0</v>
      </c>
      <c r="AV42" s="106">
        <f>'2020'!AZ342</f>
      </c>
      <c r="AW42" s="106"/>
      <c r="AX42" s="106">
        <f t="shared" si="0"/>
        <v>0</v>
      </c>
      <c r="AY42" s="119">
        <f>'2020'!BA342</f>
        <v>18</v>
      </c>
      <c r="AZ42" s="119">
        <f>'2020'!BB342</f>
        <v>0</v>
      </c>
      <c r="BA42" s="106">
        <f>'2020'!BC342</f>
        <v>0</v>
      </c>
      <c r="BB42" s="106">
        <f>'2020'!BD342</f>
      </c>
      <c r="BC42" s="106"/>
      <c r="BD42" s="106">
        <f t="shared" si="1"/>
        <v>0</v>
      </c>
      <c r="BE42" s="119">
        <f>'2020'!BE342</f>
        <v>0</v>
      </c>
      <c r="BF42" s="106">
        <f>'2020'!BF342</f>
        <v>0</v>
      </c>
      <c r="BG42" s="106">
        <f>'2020'!BG342</f>
        <v>2.5</v>
      </c>
      <c r="BH42" s="106">
        <f>'2020'!BH342</f>
        <v>0</v>
      </c>
      <c r="BI42" s="106">
        <f t="shared" si="2"/>
        <v>0</v>
      </c>
      <c r="BJ42" s="338">
        <f t="shared" si="3"/>
        <v>0</v>
      </c>
    </row>
    <row r="43" ht="15.75" customHeight="1" hidden="1" spans="1:62" x14ac:dyDescent="0.25">
      <c r="A43" s="21"/>
      <c r="B43" s="125">
        <v>39</v>
      </c>
      <c r="C43" s="116">
        <v>4</v>
      </c>
      <c r="D43" s="2" t="s">
        <v>402</v>
      </c>
      <c r="E43" s="119">
        <f>'2020'!I351</f>
        <v>48</v>
      </c>
      <c r="F43" s="119">
        <f>'2020'!J351</f>
      </c>
      <c r="G43" s="106">
        <f>'2020'!K351</f>
        <v>0</v>
      </c>
      <c r="H43" s="106">
        <f>'2020'!L351</f>
      </c>
      <c r="I43" s="119">
        <f>'2020'!M351</f>
        <v>48</v>
      </c>
      <c r="J43" s="119">
        <f>'2020'!N351</f>
        <v>0</v>
      </c>
      <c r="K43" s="106">
        <f>'2020'!O351</f>
        <v>0</v>
      </c>
      <c r="L43" s="106">
        <f>'2020'!P351</f>
      </c>
      <c r="M43" s="119">
        <f>'2020'!Q351</f>
        <v>48</v>
      </c>
      <c r="N43" s="119">
        <f>'2020'!R351</f>
        <v>0</v>
      </c>
      <c r="O43" s="106">
        <f>'2020'!S351</f>
        <v>0</v>
      </c>
      <c r="P43" s="106">
        <f>'2020'!T351</f>
      </c>
      <c r="Q43" s="119">
        <f>'2020'!U351</f>
        <v>48</v>
      </c>
      <c r="R43" s="119">
        <f>'2020'!V351</f>
        <v>0</v>
      </c>
      <c r="S43" s="106">
        <f>'2020'!W351</f>
        <v>0</v>
      </c>
      <c r="T43" s="106">
        <f>'2020'!X351</f>
        <v>1500</v>
      </c>
      <c r="U43" s="119">
        <f>'2020'!Y351</f>
        <v>48</v>
      </c>
      <c r="V43" s="119">
        <f>'2020'!Z351</f>
        <v>0</v>
      </c>
      <c r="W43" s="106">
        <f>'2020'!AA351</f>
        <v>0</v>
      </c>
      <c r="X43" s="106">
        <f>'2020'!AB351</f>
      </c>
      <c r="Y43" s="119">
        <f>'2020'!AC351</f>
        <v>301</v>
      </c>
      <c r="Z43" s="119">
        <f>'2020'!AD351</f>
        <v>253</v>
      </c>
      <c r="AA43" s="106">
        <f>'2020'!AE351</f>
        <v>632.5</v>
      </c>
      <c r="AB43" s="106">
        <f>'2020'!AF351</f>
      </c>
      <c r="AC43" s="119">
        <f>'2020'!AG351</f>
        <v>64</v>
      </c>
      <c r="AD43" s="119">
        <f>'2020'!AH351</f>
        <v>64</v>
      </c>
      <c r="AE43" s="106">
        <f>'2020'!AI351</f>
        <v>166.4</v>
      </c>
      <c r="AF43" s="106">
        <f>'2020'!AJ351</f>
      </c>
      <c r="AG43" s="119">
        <f>'2020'!AK351</f>
        <v>131</v>
      </c>
      <c r="AH43" s="119">
        <f>'2020'!AL351</f>
        <v>67</v>
      </c>
      <c r="AI43" s="106">
        <f>'2020'!AM351</f>
        <v>174.2</v>
      </c>
      <c r="AJ43" s="106">
        <f>'2020'!AN351</f>
      </c>
      <c r="AK43" s="119">
        <f>'2020'!AO351</f>
        <v>191</v>
      </c>
      <c r="AL43" s="119">
        <f>'2020'!AP351</f>
        <v>60</v>
      </c>
      <c r="AM43" s="106">
        <f>'2020'!AQ351</f>
        <v>150</v>
      </c>
      <c r="AN43" s="106">
        <f>'2020'!AR351</f>
      </c>
      <c r="AO43" s="119">
        <f>'2020'!AS351</f>
        <v>209</v>
      </c>
      <c r="AP43" s="119">
        <f>'2020'!AT351</f>
        <v>18</v>
      </c>
      <c r="AQ43" s="106">
        <f>'2020'!AU351</f>
        <v>46.8</v>
      </c>
      <c r="AR43" s="106">
        <f>'2020'!AV351</f>
      </c>
      <c r="AS43" s="119">
        <f>'2020'!AW351</f>
        <v>209</v>
      </c>
      <c r="AT43" s="119">
        <f>'2020'!AX351</f>
        <v>0</v>
      </c>
      <c r="AU43" s="106">
        <f>'2020'!AY351</f>
        <v>0</v>
      </c>
      <c r="AV43" s="106">
        <f>'2020'!AZ351</f>
      </c>
      <c r="AW43" s="106"/>
      <c r="AX43" s="106">
        <f t="shared" si="0"/>
        <v>0</v>
      </c>
      <c r="AY43" s="119">
        <f>'2020'!BA351</f>
        <v>209</v>
      </c>
      <c r="AZ43" s="119">
        <f>'2020'!BB351</f>
        <v>0</v>
      </c>
      <c r="BA43" s="106">
        <f>'2020'!BC351</f>
        <v>0</v>
      </c>
      <c r="BB43" s="106">
        <f>'2020'!BD351</f>
      </c>
      <c r="BC43" s="106"/>
      <c r="BD43" s="106">
        <f t="shared" si="1"/>
        <v>0</v>
      </c>
      <c r="BE43" s="119">
        <f>'2020'!BE351</f>
        <v>462</v>
      </c>
      <c r="BF43" s="106">
        <f>'2020'!BF351</f>
        <v>1169.9</v>
      </c>
      <c r="BG43" s="106">
        <f>'2020'!BG351</f>
        <v>1500</v>
      </c>
      <c r="BH43" s="106">
        <f>'2020'!BH351</f>
        <v>-774.15</v>
      </c>
      <c r="BI43" s="106">
        <f t="shared" si="2"/>
        <v>0</v>
      </c>
      <c r="BJ43" s="338">
        <f t="shared" si="3"/>
        <v>-774.15</v>
      </c>
    </row>
    <row r="44" ht="15.75" customHeight="1" spans="1:62" x14ac:dyDescent="0.25">
      <c r="A44" s="114" t="s">
        <v>173</v>
      </c>
      <c r="B44" s="125">
        <v>40</v>
      </c>
      <c r="C44" s="115">
        <v>4.92</v>
      </c>
      <c r="D44" s="117" t="s">
        <v>174</v>
      </c>
      <c r="E44" s="119">
        <f>'2020'!I360</f>
        <v>28639</v>
      </c>
      <c r="F44" s="119">
        <f>'2020'!J360</f>
        <v>757</v>
      </c>
      <c r="G44" s="106">
        <f>'2020'!K360</f>
        <v>1892.5</v>
      </c>
      <c r="H44" s="106">
        <f>'2020'!L360</f>
        <v>2000</v>
      </c>
      <c r="I44" s="119">
        <f>'2020'!M360</f>
        <v>29248</v>
      </c>
      <c r="J44" s="119">
        <f>'2020'!N360</f>
        <v>609</v>
      </c>
      <c r="K44" s="106">
        <f>'2020'!O360</f>
        <v>1522.5</v>
      </c>
      <c r="L44" s="106">
        <f>'2020'!P360</f>
        <v>2000</v>
      </c>
      <c r="M44" s="119">
        <f>'2020'!Q360</f>
        <v>29808</v>
      </c>
      <c r="N44" s="119">
        <f>'2020'!R360</f>
        <v>560</v>
      </c>
      <c r="O44" s="106">
        <f>'2020'!S360</f>
        <v>1400</v>
      </c>
      <c r="P44" s="106">
        <f>'2020'!T360</f>
        <v>2000</v>
      </c>
      <c r="Q44" s="119">
        <f>'2020'!U360</f>
        <v>30270</v>
      </c>
      <c r="R44" s="119">
        <f>'2020'!V360</f>
        <v>462</v>
      </c>
      <c r="S44" s="106">
        <f>'2020'!W360</f>
        <v>1155</v>
      </c>
      <c r="T44" s="106">
        <f>'2020'!X360</f>
        <v>1500</v>
      </c>
      <c r="U44" s="119">
        <f>'2020'!Y360</f>
        <v>30626</v>
      </c>
      <c r="V44" s="119">
        <f>'2020'!Z360</f>
        <v>356</v>
      </c>
      <c r="W44" s="106">
        <f>'2020'!AA360</f>
        <v>890</v>
      </c>
      <c r="X44" s="106">
        <f>'2020'!AB360</f>
        <v>1134.5</v>
      </c>
      <c r="Y44" s="119">
        <f>'2020'!AC360</f>
        <v>30891</v>
      </c>
      <c r="Z44" s="119">
        <f>'2020'!AD360</f>
        <v>265</v>
      </c>
      <c r="AA44" s="106">
        <f>'2020'!AE360</f>
        <v>662.5</v>
      </c>
      <c r="AB44" s="106">
        <f>'2020'!AF360</f>
        <v>900</v>
      </c>
      <c r="AC44" s="119">
        <f>'2020'!AG360</f>
        <v>31057</v>
      </c>
      <c r="AD44" s="119">
        <f>'2020'!AH360</f>
        <v>166</v>
      </c>
      <c r="AE44" s="106">
        <f>'2020'!AI360</f>
        <v>431.6</v>
      </c>
      <c r="AF44" s="106">
        <f>'2020'!AJ360</f>
        <v>600</v>
      </c>
      <c r="AG44" s="119">
        <f>'2020'!AK360</f>
        <v>31274</v>
      </c>
      <c r="AH44" s="119">
        <f>'2020'!AL360</f>
        <v>217</v>
      </c>
      <c r="AI44" s="106">
        <f>'2020'!AM360</f>
        <v>564.2</v>
      </c>
      <c r="AJ44" s="106">
        <f>'2020'!AN360</f>
      </c>
      <c r="AK44" s="119">
        <f>'2020'!AO360</f>
        <v>31518</v>
      </c>
      <c r="AL44" s="119">
        <f>'2020'!AP360</f>
        <v>244</v>
      </c>
      <c r="AM44" s="106">
        <f>'2020'!AQ360</f>
        <v>634.4</v>
      </c>
      <c r="AN44" s="106">
        <f>'2020'!AR360</f>
      </c>
      <c r="AO44" s="119">
        <f>'2020'!AS360</f>
        <v>32304</v>
      </c>
      <c r="AP44" s="119">
        <f>'2020'!AT360</f>
        <v>786</v>
      </c>
      <c r="AQ44" s="106">
        <f>'2020'!AU360</f>
        <v>2043.6</v>
      </c>
      <c r="AR44" s="106">
        <f>'2020'!AV360</f>
        <v>1700</v>
      </c>
      <c r="AS44" s="126">
        <f>'2020'!AW360</f>
        <v>33014</v>
      </c>
      <c r="AT44" s="119">
        <f>'2020'!AX360</f>
        <v>710</v>
      </c>
      <c r="AU44" s="106">
        <f>'2020'!AY360</f>
        <v>1846</v>
      </c>
      <c r="AV44" s="106">
        <f>'2020'!AZ360</f>
        <v>2000</v>
      </c>
      <c r="AW44" s="119"/>
      <c r="AX44" s="106">
        <f t="shared" si="0"/>
        <v>0</v>
      </c>
      <c r="AY44" s="119">
        <f>'2020'!BA360</f>
        <v>33505</v>
      </c>
      <c r="AZ44" s="119">
        <f>'2020'!BB360</f>
        <v>491</v>
      </c>
      <c r="BA44" s="106">
        <f>'2020'!BC360</f>
        <v>1276.6</v>
      </c>
      <c r="BB44" s="106">
        <f>'2020'!BD360</f>
        <v>1830</v>
      </c>
      <c r="BC44" s="106"/>
      <c r="BD44" s="106">
        <f t="shared" si="1"/>
        <v>0</v>
      </c>
      <c r="BE44" s="119">
        <f>'2020'!BE360</f>
        <v>5623</v>
      </c>
      <c r="BF44" s="106">
        <f>'2020'!BF360</f>
        <v>14318.9</v>
      </c>
      <c r="BG44" s="106">
        <f>'2020'!BG360</f>
        <v>15664.5</v>
      </c>
      <c r="BH44" s="106">
        <f>'2020'!BH360</f>
        <v>1267.13</v>
      </c>
      <c r="BI44" s="106">
        <f t="shared" si="2"/>
        <v>0</v>
      </c>
      <c r="BJ44" s="338">
        <f t="shared" si="3"/>
        <v>1267.13</v>
      </c>
    </row>
    <row r="45" ht="15.75" customHeight="1" hidden="1" spans="1:62" x14ac:dyDescent="0.25">
      <c r="A45" s="14"/>
      <c r="B45" s="115">
        <v>41</v>
      </c>
      <c r="C45" s="115">
        <v>4.87</v>
      </c>
      <c r="D45" s="117" t="s">
        <v>177</v>
      </c>
      <c r="E45" s="119">
        <f>'2020'!I369</f>
        <v>300</v>
      </c>
      <c r="F45" s="119">
        <f>'2020'!J369</f>
        <v>0</v>
      </c>
      <c r="G45" s="106">
        <f>'2020'!K369</f>
        <v>0</v>
      </c>
      <c r="H45" s="106">
        <f>'2020'!L369</f>
      </c>
      <c r="I45" s="119">
        <f>'2020'!M369</f>
        <v>300</v>
      </c>
      <c r="J45" s="119">
        <f>'2020'!N369</f>
        <v>0</v>
      </c>
      <c r="K45" s="106">
        <f>'2020'!O369</f>
        <v>0</v>
      </c>
      <c r="L45" s="106">
        <f>'2020'!P369</f>
      </c>
      <c r="M45" s="119">
        <f>'2020'!Q369</f>
        <v>300</v>
      </c>
      <c r="N45" s="119">
        <f>'2020'!R369</f>
        <v>0</v>
      </c>
      <c r="O45" s="106">
        <f>'2020'!S369</f>
        <v>0</v>
      </c>
      <c r="P45" s="106">
        <f>'2020'!T369</f>
      </c>
      <c r="Q45" s="119">
        <f>'2020'!U369</f>
        <v>300</v>
      </c>
      <c r="R45" s="119">
        <f>'2020'!V369</f>
        <v>0</v>
      </c>
      <c r="S45" s="106">
        <f>'2020'!W369</f>
        <v>0</v>
      </c>
      <c r="T45" s="106">
        <f>'2020'!X369</f>
      </c>
      <c r="U45" s="119">
        <f>'2020'!Y369</f>
        <v>300</v>
      </c>
      <c r="V45" s="119">
        <f>'2020'!Z369</f>
        <v>0</v>
      </c>
      <c r="W45" s="106">
        <f>'2020'!AA369</f>
        <v>0</v>
      </c>
      <c r="X45" s="106">
        <f>'2020'!AB369</f>
      </c>
      <c r="Y45" s="119">
        <f>'2020'!AC369</f>
        <v>300</v>
      </c>
      <c r="Z45" s="119">
        <f>'2020'!AD369</f>
        <v>0</v>
      </c>
      <c r="AA45" s="106">
        <f>'2020'!AE369</f>
        <v>0</v>
      </c>
      <c r="AB45" s="106">
        <f>'2020'!AF369</f>
      </c>
      <c r="AC45" s="119">
        <f>'2020'!AG369</f>
        <v>300</v>
      </c>
      <c r="AD45" s="119">
        <f>'2020'!AH369</f>
        <v>0</v>
      </c>
      <c r="AE45" s="106">
        <f>'2020'!AI369</f>
        <v>0</v>
      </c>
      <c r="AF45" s="106">
        <f>'2020'!AJ369</f>
      </c>
      <c r="AG45" s="119">
        <f>'2020'!AK369</f>
        <v>300</v>
      </c>
      <c r="AH45" s="119">
        <f>'2020'!AL369</f>
        <v>0</v>
      </c>
      <c r="AI45" s="106">
        <f>'2020'!AM369</f>
        <v>0</v>
      </c>
      <c r="AJ45" s="106">
        <f>'2020'!AN369</f>
      </c>
      <c r="AK45" s="119">
        <f>'2020'!AO369</f>
        <v>300</v>
      </c>
      <c r="AL45" s="119">
        <f>'2020'!AP369</f>
        <v>0</v>
      </c>
      <c r="AM45" s="106">
        <f>'2020'!AQ369</f>
        <v>0</v>
      </c>
      <c r="AN45" s="106">
        <f>'2020'!AR369</f>
      </c>
      <c r="AO45" s="119">
        <f>'2020'!AS369</f>
        <v>300</v>
      </c>
      <c r="AP45" s="119">
        <f>'2020'!AT369</f>
        <v>0</v>
      </c>
      <c r="AQ45" s="106">
        <f>'2020'!AU369</f>
        <v>0</v>
      </c>
      <c r="AR45" s="106">
        <f>'2020'!AV369</f>
      </c>
      <c r="AS45" s="119">
        <f>'2020'!AW369</f>
        <v>300</v>
      </c>
      <c r="AT45" s="119">
        <f>'2020'!AX369</f>
        <v>0</v>
      </c>
      <c r="AU45" s="106">
        <f>'2020'!AY369</f>
        <v>0</v>
      </c>
      <c r="AV45" s="106">
        <f>'2020'!AZ369</f>
      </c>
      <c r="AW45" s="106"/>
      <c r="AX45" s="106">
        <f t="shared" si="0"/>
        <v>0</v>
      </c>
      <c r="AY45" s="119">
        <f>'2020'!BA369</f>
        <v>300</v>
      </c>
      <c r="AZ45" s="119">
        <f>'2020'!BB369</f>
        <v>0</v>
      </c>
      <c r="BA45" s="106">
        <f>'2020'!BC369</f>
        <v>0</v>
      </c>
      <c r="BB45" s="106">
        <f>'2020'!BD369</f>
      </c>
      <c r="BC45" s="106"/>
      <c r="BD45" s="106">
        <f t="shared" si="1"/>
        <v>0</v>
      </c>
      <c r="BE45" s="119">
        <f>'2020'!BE369</f>
        <v>0</v>
      </c>
      <c r="BF45" s="106">
        <f>'2020'!BF369</f>
        <v>0</v>
      </c>
      <c r="BG45" s="106">
        <f>'2020'!BG369</f>
        <v>0</v>
      </c>
      <c r="BH45" s="106">
        <f>'2020'!BH369</f>
        <v>-20</v>
      </c>
      <c r="BI45" s="106">
        <f t="shared" si="2"/>
        <v>0</v>
      </c>
      <c r="BJ45" s="338">
        <f t="shared" si="3"/>
        <v>-20</v>
      </c>
    </row>
    <row r="46" ht="15.75" customHeight="1" spans="1:62" x14ac:dyDescent="0.25">
      <c r="A46" s="14"/>
      <c r="B46" s="125">
        <v>42</v>
      </c>
      <c r="C46" s="116">
        <v>4.9</v>
      </c>
      <c r="D46" s="2" t="s">
        <v>181</v>
      </c>
      <c r="E46" s="119">
        <f>'2020'!I378</f>
        <v>0</v>
      </c>
      <c r="F46" s="119">
        <f>'2020'!J378</f>
      </c>
      <c r="G46" s="106">
        <f>'2020'!K378</f>
        <v>0</v>
      </c>
      <c r="H46" s="106">
        <f>'2020'!L378</f>
      </c>
      <c r="I46" s="119">
        <f>'2020'!M378</f>
        <v>0</v>
      </c>
      <c r="J46" s="119">
        <f>'2020'!N378</f>
        <v>0</v>
      </c>
      <c r="K46" s="106">
        <f>'2020'!O378</f>
        <v>0</v>
      </c>
      <c r="L46" s="106">
        <f>'2020'!P378</f>
      </c>
      <c r="M46" s="119">
        <f>'2020'!Q378</f>
        <v>0</v>
      </c>
      <c r="N46" s="119">
        <f>'2020'!R378</f>
        <v>0</v>
      </c>
      <c r="O46" s="106">
        <f>'2020'!S378</f>
        <v>0</v>
      </c>
      <c r="P46" s="106">
        <f>'2020'!T378</f>
      </c>
      <c r="Q46" s="119">
        <f>'2020'!U378</f>
        <v>0</v>
      </c>
      <c r="R46" s="119">
        <f>'2020'!V378</f>
        <v>0</v>
      </c>
      <c r="S46" s="106">
        <f>'2020'!W378</f>
        <v>0</v>
      </c>
      <c r="T46" s="106">
        <f>'2020'!X378</f>
      </c>
      <c r="U46" s="119">
        <f>'2020'!Y378</f>
        <v>0</v>
      </c>
      <c r="V46" s="119">
        <f>'2020'!Z378</f>
        <v>0</v>
      </c>
      <c r="W46" s="106">
        <f>'2020'!AA378</f>
        <v>0</v>
      </c>
      <c r="X46" s="106">
        <f>'2020'!AB378</f>
      </c>
      <c r="Y46" s="119">
        <f>'2020'!AC378</f>
        <v>0</v>
      </c>
      <c r="Z46" s="119">
        <f>'2020'!AD378</f>
        <v>0</v>
      </c>
      <c r="AA46" s="106">
        <f>'2020'!AE378</f>
        <v>0</v>
      </c>
      <c r="AB46" s="106">
        <f>'2020'!AF378</f>
        <v>51.56</v>
      </c>
      <c r="AC46" s="119">
        <f>'2020'!AG378</f>
        <v>8</v>
      </c>
      <c r="AD46" s="119">
        <f>'2020'!AH378</f>
        <v>8</v>
      </c>
      <c r="AE46" s="106">
        <f>'2020'!AI378</f>
        <v>20.8</v>
      </c>
      <c r="AF46" s="106">
        <f>'2020'!AJ378</f>
      </c>
      <c r="AG46" s="119">
        <f>'2020'!AK378</f>
        <v>135</v>
      </c>
      <c r="AH46" s="119">
        <f>'2020'!AL378</f>
        <v>127</v>
      </c>
      <c r="AI46" s="106">
        <f>'2020'!AM378</f>
        <v>330.2</v>
      </c>
      <c r="AJ46" s="106">
        <f>'2020'!AN378</f>
      </c>
      <c r="AK46" s="119">
        <f>'2020'!AO378</f>
        <v>634</v>
      </c>
      <c r="AL46" s="119">
        <f>'2020'!AP378</f>
        <v>499</v>
      </c>
      <c r="AM46" s="106">
        <f>'2020'!AQ378</f>
        <v>1297.4</v>
      </c>
      <c r="AN46" s="106">
        <f>'2020'!AR378</f>
      </c>
      <c r="AO46" s="119">
        <f>'2020'!AS378</f>
        <v>2198</v>
      </c>
      <c r="AP46" s="119">
        <f>'2020'!AT378</f>
        <v>1564</v>
      </c>
      <c r="AQ46" s="106">
        <f>'2020'!AU378</f>
        <v>4066.4</v>
      </c>
      <c r="AR46" s="106">
        <f>'2020'!AV378</f>
        <v>1600</v>
      </c>
      <c r="AS46" s="119">
        <f>'2020'!AW378</f>
        <v>3829</v>
      </c>
      <c r="AT46" s="119">
        <f>'2020'!AX378</f>
        <v>1631</v>
      </c>
      <c r="AU46" s="106">
        <f>'2020'!AY378</f>
        <v>4240.6</v>
      </c>
      <c r="AV46" s="106">
        <f>'2020'!AZ378</f>
        <v>4100</v>
      </c>
      <c r="AW46" s="106"/>
      <c r="AX46" s="106">
        <f t="shared" si="0"/>
        <v>0</v>
      </c>
      <c r="AY46" s="119">
        <f>'2020'!BA378</f>
        <v>6467</v>
      </c>
      <c r="AZ46" s="119">
        <f>'2020'!BB378</f>
        <v>2638</v>
      </c>
      <c r="BA46" s="106">
        <f>'2020'!BC378</f>
        <v>6858.8</v>
      </c>
      <c r="BB46" s="106">
        <f>'2020'!BD378</f>
        <v>4200</v>
      </c>
      <c r="BC46" s="106"/>
      <c r="BD46" s="106">
        <f t="shared" si="1"/>
        <v>0</v>
      </c>
      <c r="BE46" s="119">
        <f>'2020'!BE378</f>
        <v>6467</v>
      </c>
      <c r="BF46" s="106">
        <f>'2020'!BF378</f>
        <v>16814.2</v>
      </c>
      <c r="BG46" s="106">
        <f>'2020'!BG378</f>
        <v>9951.56</v>
      </c>
      <c r="BH46" s="106">
        <f>'2020'!BH378</f>
        <v>6862.64</v>
      </c>
      <c r="BI46" s="106">
        <f t="shared" si="2"/>
        <v>0</v>
      </c>
      <c r="BJ46" s="338">
        <f t="shared" si="3"/>
        <v>6862.64</v>
      </c>
    </row>
    <row r="47" ht="15.75" customHeight="1" spans="1:62" x14ac:dyDescent="0.25">
      <c r="A47" s="14"/>
      <c r="B47" s="125">
        <v>43</v>
      </c>
      <c r="C47" s="115">
        <v>4.96</v>
      </c>
      <c r="D47" s="117" t="s">
        <v>185</v>
      </c>
      <c r="E47" s="119">
        <f>'2020'!I387</f>
        <v>924</v>
      </c>
      <c r="F47" s="119">
        <f>'2020'!J387</f>
        <v>0</v>
      </c>
      <c r="G47" s="106">
        <f>'2020'!K387</f>
        <v>0</v>
      </c>
      <c r="H47" s="106">
        <f>'2020'!L387</f>
      </c>
      <c r="I47" s="119">
        <f>'2020'!M387</f>
        <v>924</v>
      </c>
      <c r="J47" s="119">
        <f>'2020'!N387</f>
        <v>0</v>
      </c>
      <c r="K47" s="106">
        <f>'2020'!O387</f>
        <v>0</v>
      </c>
      <c r="L47" s="106">
        <f>'2020'!P387</f>
      </c>
      <c r="M47" s="119">
        <f>'2020'!Q387</f>
        <v>924</v>
      </c>
      <c r="N47" s="119">
        <f>'2020'!R387</f>
        <v>0</v>
      </c>
      <c r="O47" s="106">
        <f>'2020'!S387</f>
        <v>0</v>
      </c>
      <c r="P47" s="106">
        <f>'2020'!T387</f>
      </c>
      <c r="Q47" s="119">
        <f>'2020'!U387</f>
        <v>970</v>
      </c>
      <c r="R47" s="119">
        <f>'2020'!V387</f>
        <v>46</v>
      </c>
      <c r="S47" s="106">
        <f>'2020'!W387</f>
        <v>115</v>
      </c>
      <c r="T47" s="106">
        <f>'2020'!X387</f>
      </c>
      <c r="U47" s="119">
        <f>'2020'!Y387</f>
        <v>1074</v>
      </c>
      <c r="V47" s="119">
        <f>'2020'!Z387</f>
        <v>104</v>
      </c>
      <c r="W47" s="106">
        <f>'2020'!AA387</f>
        <v>260</v>
      </c>
      <c r="X47" s="106">
        <f>'2020'!AB387</f>
      </c>
      <c r="Y47" s="119">
        <f>'2020'!AC387</f>
        <v>1282</v>
      </c>
      <c r="Z47" s="119">
        <f>'2020'!AD387</f>
        <v>208</v>
      </c>
      <c r="AA47" s="106">
        <f>'2020'!AE387</f>
        <v>520</v>
      </c>
      <c r="AB47" s="106">
        <f>'2020'!AF387</f>
      </c>
      <c r="AC47" s="119">
        <f>'2020'!AG387</f>
        <v>1392</v>
      </c>
      <c r="AD47" s="119">
        <f>'2020'!AH387</f>
        <v>110</v>
      </c>
      <c r="AE47" s="106">
        <f>'2020'!AI387</f>
        <v>286</v>
      </c>
      <c r="AF47" s="106">
        <f>'2020'!AJ387</f>
        <v>567.14</v>
      </c>
      <c r="AG47" s="119">
        <f>'2020'!AK387</f>
        <v>1437</v>
      </c>
      <c r="AH47" s="119">
        <f>'2020'!AL387</f>
        <v>45</v>
      </c>
      <c r="AI47" s="106">
        <f>'2020'!AM387</f>
        <v>117</v>
      </c>
      <c r="AJ47" s="106">
        <f>'2020'!AN387</f>
      </c>
      <c r="AK47" s="119">
        <f>'2020'!AO387</f>
        <v>1458</v>
      </c>
      <c r="AL47" s="119">
        <f>'2020'!AP387</f>
        <v>21</v>
      </c>
      <c r="AM47" s="106">
        <f>'2020'!AQ387</f>
        <v>54.6</v>
      </c>
      <c r="AN47" s="106">
        <f>'2020'!AR387</f>
        <v>500</v>
      </c>
      <c r="AO47" s="119">
        <f>'2020'!AS387</f>
        <v>1513</v>
      </c>
      <c r="AP47" s="119">
        <f>'2020'!AT387</f>
        <v>55</v>
      </c>
      <c r="AQ47" s="106">
        <f>'2020'!AU387</f>
        <v>143</v>
      </c>
      <c r="AR47" s="106">
        <f>'2020'!AV387</f>
      </c>
      <c r="AS47" s="126">
        <f>'2020'!AW387</f>
        <v>1788</v>
      </c>
      <c r="AT47" s="119">
        <f>'2020'!AX387</f>
        <v>275</v>
      </c>
      <c r="AU47" s="106">
        <f>'2020'!AY387</f>
        <v>715</v>
      </c>
      <c r="AV47" s="106">
        <f>'2020'!AZ387</f>
      </c>
      <c r="AW47" s="106"/>
      <c r="AX47" s="106">
        <f t="shared" si="0"/>
        <v>0</v>
      </c>
      <c r="AY47" s="119">
        <f>'2020'!BA387</f>
        <v>1928</v>
      </c>
      <c r="AZ47" s="119">
        <f>'2020'!BB387</f>
        <v>140</v>
      </c>
      <c r="BA47" s="106">
        <f>'2020'!BC387</f>
        <v>364</v>
      </c>
      <c r="BB47" s="106">
        <f>'2020'!BD387</f>
        <v>1200</v>
      </c>
      <c r="BC47" s="106"/>
      <c r="BD47" s="106">
        <f t="shared" si="1"/>
        <v>0</v>
      </c>
      <c r="BE47" s="119">
        <f>'2020'!BE387</f>
        <v>1004</v>
      </c>
      <c r="BF47" s="106">
        <f>'2020'!BF387</f>
        <v>2574.6</v>
      </c>
      <c r="BG47" s="106">
        <f>'2020'!BG387</f>
        <v>2267.14</v>
      </c>
      <c r="BH47" s="106">
        <f>'2020'!BH387</f>
        <v>-20.41</v>
      </c>
      <c r="BI47" s="106">
        <f t="shared" si="2"/>
        <v>0</v>
      </c>
      <c r="BJ47" s="338">
        <f t="shared" si="3"/>
        <v>-20.41</v>
      </c>
    </row>
    <row r="48" ht="15.75" customHeight="1" hidden="1" spans="1:62" x14ac:dyDescent="0.25">
      <c r="A48" s="14"/>
      <c r="B48" s="115">
        <v>44</v>
      </c>
      <c r="C48" s="115">
        <v>4.01</v>
      </c>
      <c r="D48" s="15" t="s">
        <v>412</v>
      </c>
      <c r="E48" s="119">
        <f>'2020'!I396</f>
        <v>10</v>
      </c>
      <c r="F48" s="119">
        <f>'2020'!J396</f>
        <v>0</v>
      </c>
      <c r="G48" s="106">
        <f>'2020'!K396</f>
        <v>0</v>
      </c>
      <c r="H48" s="106">
        <f>'2020'!L396</f>
      </c>
      <c r="I48" s="119">
        <f>'2020'!M396</f>
        <v>10</v>
      </c>
      <c r="J48" s="119">
        <f>'2020'!N396</f>
        <v>0</v>
      </c>
      <c r="K48" s="106">
        <f>'2020'!O396</f>
        <v>0</v>
      </c>
      <c r="L48" s="106">
        <f>'2020'!P396</f>
      </c>
      <c r="M48" s="119">
        <f>'2020'!Q396</f>
        <v>10</v>
      </c>
      <c r="N48" s="119">
        <f>'2020'!R396</f>
        <v>0</v>
      </c>
      <c r="O48" s="106">
        <f>'2020'!S396</f>
        <v>0</v>
      </c>
      <c r="P48" s="106">
        <f>'2020'!T396</f>
      </c>
      <c r="Q48" s="119">
        <f>'2020'!U396</f>
        <v>14</v>
      </c>
      <c r="R48" s="119">
        <f>'2020'!V396</f>
        <v>4</v>
      </c>
      <c r="S48" s="106">
        <f>'2020'!W396</f>
        <v>10</v>
      </c>
      <c r="T48" s="106">
        <f>'2020'!X396</f>
      </c>
      <c r="U48" s="119">
        <f>'2020'!Y396</f>
        <v>17</v>
      </c>
      <c r="V48" s="119">
        <f>'2020'!Z396</f>
        <v>3</v>
      </c>
      <c r="W48" s="106">
        <f>'2020'!AA396</f>
        <v>7.5</v>
      </c>
      <c r="X48" s="106">
        <f>'2020'!AB396</f>
      </c>
      <c r="Y48" s="119">
        <f>'2020'!AC396</f>
        <v>20</v>
      </c>
      <c r="Z48" s="119">
        <f>'2020'!AD396</f>
        <v>3</v>
      </c>
      <c r="AA48" s="106">
        <f>'2020'!AE396</f>
        <v>7.5</v>
      </c>
      <c r="AB48" s="106">
        <f>'2020'!AF396</f>
      </c>
      <c r="AC48" s="119">
        <f>'2020'!AG396</f>
        <v>21</v>
      </c>
      <c r="AD48" s="119">
        <f>'2020'!AH396</f>
        <v>1</v>
      </c>
      <c r="AE48" s="106">
        <f>'2020'!AI396</f>
        <v>2.6</v>
      </c>
      <c r="AF48" s="106">
        <f>'2020'!AJ396</f>
      </c>
      <c r="AG48" s="119">
        <f>'2020'!AK396</f>
        <v>23</v>
      </c>
      <c r="AH48" s="119">
        <f>'2020'!AL396</f>
        <v>2</v>
      </c>
      <c r="AI48" s="106">
        <f>'2020'!AM396</f>
        <v>5.2</v>
      </c>
      <c r="AJ48" s="106">
        <f>'2020'!AN396</f>
      </c>
      <c r="AK48" s="119">
        <f>'2020'!AO396</f>
        <v>25</v>
      </c>
      <c r="AL48" s="119">
        <f>'2020'!AP396</f>
        <v>2</v>
      </c>
      <c r="AM48" s="106">
        <f>'2020'!AQ396</f>
        <v>5.2</v>
      </c>
      <c r="AN48" s="106">
        <f>'2020'!AR396</f>
      </c>
      <c r="AO48" s="119">
        <f>'2020'!AS396</f>
        <v>25</v>
      </c>
      <c r="AP48" s="119">
        <f>'2020'!AT396</f>
        <v>0</v>
      </c>
      <c r="AQ48" s="106">
        <f>'2020'!AU396</f>
        <v>0</v>
      </c>
      <c r="AR48" s="106">
        <f>'2020'!AV396</f>
      </c>
      <c r="AS48" s="119">
        <f>'2020'!AW396</f>
        <v>25</v>
      </c>
      <c r="AT48" s="119">
        <f>'2020'!AX396</f>
        <v>0</v>
      </c>
      <c r="AU48" s="106">
        <f>'2020'!AY396</f>
        <v>0</v>
      </c>
      <c r="AV48" s="106">
        <f>'2020'!AZ396</f>
      </c>
      <c r="AW48" s="106"/>
      <c r="AX48" s="106">
        <f t="shared" si="0"/>
        <v>0</v>
      </c>
      <c r="AY48" s="119">
        <f>'2020'!BA396</f>
        <v>25</v>
      </c>
      <c r="AZ48" s="119">
        <f>'2020'!BB396</f>
        <v>0</v>
      </c>
      <c r="BA48" s="106">
        <f>'2020'!BC396</f>
        <v>0</v>
      </c>
      <c r="BB48" s="106">
        <f>'2020'!BD396</f>
      </c>
      <c r="BC48" s="106"/>
      <c r="BD48" s="106">
        <f t="shared" si="1"/>
        <v>0</v>
      </c>
      <c r="BE48" s="119">
        <f>'2020'!BE396</f>
        <v>15</v>
      </c>
      <c r="BF48" s="106">
        <f>'2020'!BF396</f>
        <v>38</v>
      </c>
      <c r="BG48" s="106">
        <f>'2020'!BG396</f>
        <v>0</v>
      </c>
      <c r="BH48" s="106">
        <f>'2020'!BH396</f>
        <v>63</v>
      </c>
      <c r="BI48" s="106">
        <f t="shared" si="2"/>
        <v>0</v>
      </c>
      <c r="BJ48" s="338">
        <f t="shared" si="3"/>
        <v>63</v>
      </c>
    </row>
    <row r="49" ht="15.75" customHeight="1" hidden="1" spans="1:62" x14ac:dyDescent="0.25">
      <c r="A49" s="14"/>
      <c r="B49" s="115">
        <v>45</v>
      </c>
      <c r="C49" s="115">
        <v>5.04</v>
      </c>
      <c r="D49" s="117" t="s">
        <v>189</v>
      </c>
      <c r="E49" s="119">
        <f>'2020'!I405</f>
        <v>13</v>
      </c>
      <c r="F49" s="119">
        <f>'2020'!J405</f>
        <v>0</v>
      </c>
      <c r="G49" s="106">
        <f>'2020'!K405</f>
        <v>0</v>
      </c>
      <c r="H49" s="106">
        <f>'2020'!L405</f>
      </c>
      <c r="I49" s="119">
        <f>'2020'!M405</f>
        <v>13</v>
      </c>
      <c r="J49" s="119">
        <f>'2020'!N405</f>
        <v>0</v>
      </c>
      <c r="K49" s="106">
        <f>'2020'!O405</f>
        <v>0</v>
      </c>
      <c r="L49" s="106">
        <f>'2020'!P405</f>
      </c>
      <c r="M49" s="119">
        <f>'2020'!Q405</f>
        <v>13</v>
      </c>
      <c r="N49" s="119">
        <f>'2020'!R405</f>
        <v>0</v>
      </c>
      <c r="O49" s="106">
        <f>'2020'!S405</f>
        <v>0</v>
      </c>
      <c r="P49" s="106">
        <f>'2020'!T405</f>
      </c>
      <c r="Q49" s="119">
        <f>'2020'!U405</f>
        <v>13</v>
      </c>
      <c r="R49" s="119">
        <f>'2020'!V405</f>
        <v>0</v>
      </c>
      <c r="S49" s="106">
        <f>'2020'!W405</f>
        <v>0</v>
      </c>
      <c r="T49" s="106">
        <f>'2020'!X405</f>
      </c>
      <c r="U49" s="119">
        <f>'2020'!Y405</f>
        <v>13</v>
      </c>
      <c r="V49" s="119">
        <f>'2020'!Z405</f>
        <v>0</v>
      </c>
      <c r="W49" s="106">
        <f>'2020'!AA405</f>
        <v>0</v>
      </c>
      <c r="X49" s="106">
        <f>'2020'!AB405</f>
      </c>
      <c r="Y49" s="119">
        <f>'2020'!AC405</f>
        <v>13</v>
      </c>
      <c r="Z49" s="119">
        <f>'2020'!AD405</f>
        <v>0</v>
      </c>
      <c r="AA49" s="106">
        <f>'2020'!AE405</f>
        <v>0</v>
      </c>
      <c r="AB49" s="106">
        <f>'2020'!AF405</f>
      </c>
      <c r="AC49" s="119">
        <f>'2020'!AG405</f>
        <v>13</v>
      </c>
      <c r="AD49" s="119">
        <f>'2020'!AH405</f>
        <v>0</v>
      </c>
      <c r="AE49" s="106">
        <f>'2020'!AI405</f>
        <v>0</v>
      </c>
      <c r="AF49" s="106">
        <f>'2020'!AJ405</f>
        <v>2.5</v>
      </c>
      <c r="AG49" s="119">
        <f>'2020'!AK405</f>
        <v>13</v>
      </c>
      <c r="AH49" s="119">
        <f>'2020'!AL405</f>
        <v>0</v>
      </c>
      <c r="AI49" s="106">
        <f>'2020'!AM405</f>
        <v>0</v>
      </c>
      <c r="AJ49" s="106">
        <f>'2020'!AN405</f>
      </c>
      <c r="AK49" s="119">
        <f>'2020'!AO405</f>
        <v>13</v>
      </c>
      <c r="AL49" s="119">
        <f>'2020'!AP405</f>
        <v>0</v>
      </c>
      <c r="AM49" s="106">
        <f>'2020'!AQ405</f>
        <v>0</v>
      </c>
      <c r="AN49" s="106">
        <f>'2020'!AR405</f>
      </c>
      <c r="AO49" s="119">
        <f>'2020'!AS405</f>
        <v>13</v>
      </c>
      <c r="AP49" s="119">
        <f>'2020'!AT405</f>
        <v>0</v>
      </c>
      <c r="AQ49" s="106">
        <f>'2020'!AU405</f>
        <v>0</v>
      </c>
      <c r="AR49" s="106">
        <f>'2020'!AV405</f>
      </c>
      <c r="AS49" s="119">
        <f>'2020'!AW405</f>
        <v>13</v>
      </c>
      <c r="AT49" s="119">
        <f>'2020'!AX405</f>
        <v>0</v>
      </c>
      <c r="AU49" s="106">
        <f>'2020'!AY405</f>
        <v>0</v>
      </c>
      <c r="AV49" s="106">
        <f>'2020'!AZ405</f>
      </c>
      <c r="AW49" s="106"/>
      <c r="AX49" s="106">
        <f t="shared" si="0"/>
        <v>0</v>
      </c>
      <c r="AY49" s="119">
        <f>'2020'!BA405</f>
        <v>13</v>
      </c>
      <c r="AZ49" s="119">
        <f>'2020'!BB405</f>
        <v>0</v>
      </c>
      <c r="BA49" s="106">
        <f>'2020'!BC405</f>
        <v>0</v>
      </c>
      <c r="BB49" s="106">
        <f>'2020'!BD405</f>
      </c>
      <c r="BC49" s="106"/>
      <c r="BD49" s="106">
        <f t="shared" si="1"/>
        <v>0</v>
      </c>
      <c r="BE49" s="119">
        <f>'2020'!BE405</f>
        <v>0</v>
      </c>
      <c r="BF49" s="106">
        <f>'2020'!BF405</f>
        <v>0</v>
      </c>
      <c r="BG49" s="106">
        <f>'2020'!BG405</f>
        <v>2.5</v>
      </c>
      <c r="BH49" s="106">
        <f>'2020'!BH405</f>
        <v>0</v>
      </c>
      <c r="BI49" s="106">
        <f t="shared" si="2"/>
        <v>0</v>
      </c>
      <c r="BJ49" s="338">
        <f t="shared" si="3"/>
        <v>0</v>
      </c>
    </row>
    <row r="50" ht="15.75" customHeight="1" hidden="1" spans="1:62" x14ac:dyDescent="0.25">
      <c r="A50" s="14"/>
      <c r="B50" s="115">
        <v>46</v>
      </c>
      <c r="C50" s="116">
        <v>4</v>
      </c>
      <c r="D50" s="117" t="s">
        <v>188</v>
      </c>
      <c r="E50" s="119">
        <f>'2020'!I414</f>
        <v>2834</v>
      </c>
      <c r="F50" s="119">
        <f>'2020'!J414</f>
        <v>0</v>
      </c>
      <c r="G50" s="106">
        <f>'2020'!K414</f>
        <v>0</v>
      </c>
      <c r="H50" s="106">
        <f>'2020'!L414</f>
      </c>
      <c r="I50" s="119">
        <f>'2020'!M414</f>
        <v>2834</v>
      </c>
      <c r="J50" s="119">
        <f>'2020'!N414</f>
        <v>0</v>
      </c>
      <c r="K50" s="106">
        <f>'2020'!O414</f>
        <v>0</v>
      </c>
      <c r="L50" s="106">
        <f>'2020'!P414</f>
      </c>
      <c r="M50" s="119">
        <f>'2020'!Q414</f>
        <v>2834</v>
      </c>
      <c r="N50" s="119">
        <f>'2020'!R414</f>
        <v>0</v>
      </c>
      <c r="O50" s="106">
        <f>'2020'!S414</f>
        <v>0</v>
      </c>
      <c r="P50" s="106">
        <f>'2020'!T414</f>
      </c>
      <c r="Q50" s="119">
        <f>'2020'!U414</f>
        <v>2855</v>
      </c>
      <c r="R50" s="119">
        <f>'2020'!V414</f>
        <v>21</v>
      </c>
      <c r="S50" s="106">
        <f>'2020'!W414</f>
        <v>52.5</v>
      </c>
      <c r="T50" s="106">
        <f>'2020'!X414</f>
      </c>
      <c r="U50" s="119">
        <f>'2020'!Y414</f>
        <v>2976</v>
      </c>
      <c r="V50" s="119">
        <f>'2020'!Z414</f>
        <v>121</v>
      </c>
      <c r="W50" s="106">
        <f>'2020'!AA414</f>
        <v>302.5</v>
      </c>
      <c r="X50" s="106">
        <f>'2020'!AB414</f>
      </c>
      <c r="Y50" s="119">
        <f>'2020'!AC414</f>
        <v>3083</v>
      </c>
      <c r="Z50" s="119">
        <f>'2020'!AD414</f>
        <v>107</v>
      </c>
      <c r="AA50" s="106">
        <f>'2020'!AE414</f>
        <v>267.5</v>
      </c>
      <c r="AB50" s="106">
        <f>'2020'!AF414</f>
        <v>630.89</v>
      </c>
      <c r="AC50" s="119">
        <f>'2020'!AG414</f>
        <v>3203</v>
      </c>
      <c r="AD50" s="119">
        <f>'2020'!AH414</f>
        <v>120</v>
      </c>
      <c r="AE50" s="106">
        <f>'2020'!AI414</f>
        <v>312</v>
      </c>
      <c r="AF50" s="106">
        <f>'2020'!AJ414</f>
        <v>294.32</v>
      </c>
      <c r="AG50" s="119">
        <f>'2020'!AK414</f>
        <v>3324</v>
      </c>
      <c r="AH50" s="119">
        <f>'2020'!AL414</f>
        <v>121</v>
      </c>
      <c r="AI50" s="106">
        <f>'2020'!AM414</f>
        <v>314.6</v>
      </c>
      <c r="AJ50" s="106">
        <f>'2020'!AN414</f>
      </c>
      <c r="AK50" s="119">
        <f>'2020'!AO414</f>
        <v>3485</v>
      </c>
      <c r="AL50" s="119">
        <f>'2020'!AP414</f>
        <v>161</v>
      </c>
      <c r="AM50" s="106">
        <f>'2020'!AQ414</f>
        <v>418.6</v>
      </c>
      <c r="AN50" s="106">
        <f>'2020'!AR414</f>
        <v>593.89</v>
      </c>
      <c r="AO50" s="119">
        <f>'2020'!AS414</f>
        <v>3525</v>
      </c>
      <c r="AP50" s="119">
        <f>'2020'!AT414</f>
        <v>40</v>
      </c>
      <c r="AQ50" s="106">
        <f>'2020'!AU414</f>
        <v>104</v>
      </c>
      <c r="AR50" s="106">
        <f>'2020'!AV414</f>
      </c>
      <c r="AS50" s="119">
        <f>'2020'!AW414</f>
        <v>3525</v>
      </c>
      <c r="AT50" s="119">
        <f>'2020'!AX414</f>
        <v>0</v>
      </c>
      <c r="AU50" s="106">
        <f>'2020'!AY414</f>
        <v>0</v>
      </c>
      <c r="AV50" s="106">
        <f>'2020'!AZ414</f>
      </c>
      <c r="AW50" s="106"/>
      <c r="AX50" s="106">
        <f t="shared" si="0"/>
        <v>0</v>
      </c>
      <c r="AY50" s="119">
        <f>'2020'!BA414</f>
        <v>3525</v>
      </c>
      <c r="AZ50" s="119">
        <f>'2020'!BB414</f>
        <v>0</v>
      </c>
      <c r="BA50" s="106">
        <f>'2020'!BC414</f>
        <v>0</v>
      </c>
      <c r="BB50" s="106">
        <f>'2020'!BD414</f>
      </c>
      <c r="BC50" s="106"/>
      <c r="BD50" s="106">
        <f t="shared" si="1"/>
        <v>0</v>
      </c>
      <c r="BE50" s="119">
        <f>'2020'!BE414</f>
        <v>691</v>
      </c>
      <c r="BF50" s="106">
        <f>'2020'!BF414</f>
        <v>1771.7</v>
      </c>
      <c r="BG50" s="106">
        <f>'2020'!BG414</f>
        <v>1519.1</v>
      </c>
      <c r="BH50" s="106">
        <f>'2020'!BH414</f>
        <v>522.6</v>
      </c>
      <c r="BI50" s="106">
        <f t="shared" si="2"/>
        <v>0</v>
      </c>
      <c r="BJ50" s="338">
        <f t="shared" si="3"/>
        <v>522.6</v>
      </c>
    </row>
    <row r="51" ht="15.75" customHeight="1" hidden="1" spans="1:62" x14ac:dyDescent="0.25">
      <c r="A51" s="14"/>
      <c r="B51" s="115">
        <v>47</v>
      </c>
      <c r="C51" s="116">
        <v>5</v>
      </c>
      <c r="D51" s="117" t="s">
        <v>192</v>
      </c>
      <c r="E51" s="119">
        <f>'2020'!I423</f>
        <v>165</v>
      </c>
      <c r="F51" s="119">
        <f>'2020'!J423</f>
        <v>0</v>
      </c>
      <c r="G51" s="106">
        <f>'2020'!K423</f>
        <v>0</v>
      </c>
      <c r="H51" s="106">
        <f>'2020'!L423</f>
      </c>
      <c r="I51" s="119">
        <f>'2020'!M423</f>
        <v>165</v>
      </c>
      <c r="J51" s="119">
        <f>'2020'!N423</f>
        <v>0</v>
      </c>
      <c r="K51" s="106">
        <f>'2020'!O423</f>
        <v>0</v>
      </c>
      <c r="L51" s="106">
        <f>'2020'!P423</f>
      </c>
      <c r="M51" s="119">
        <f>'2020'!Q423</f>
        <v>165</v>
      </c>
      <c r="N51" s="119">
        <f>'2020'!R423</f>
        <v>0</v>
      </c>
      <c r="O51" s="106">
        <f>'2020'!S423</f>
        <v>0</v>
      </c>
      <c r="P51" s="106">
        <f>'2020'!T423</f>
      </c>
      <c r="Q51" s="119">
        <f>'2020'!U423</f>
        <v>165</v>
      </c>
      <c r="R51" s="119">
        <f>'2020'!V423</f>
        <v>0</v>
      </c>
      <c r="S51" s="106">
        <f>'2020'!W423</f>
        <v>0</v>
      </c>
      <c r="T51" s="106">
        <f>'2020'!X423</f>
      </c>
      <c r="U51" s="119">
        <f>'2020'!Y423</f>
        <v>165</v>
      </c>
      <c r="V51" s="119">
        <f>'2020'!Z423</f>
        <v>0</v>
      </c>
      <c r="W51" s="106">
        <f>'2020'!AA423</f>
        <v>0</v>
      </c>
      <c r="X51" s="106">
        <f>'2020'!AB423</f>
      </c>
      <c r="Y51" s="119">
        <f>'2020'!AC423</f>
        <v>165</v>
      </c>
      <c r="Z51" s="119">
        <f>'2020'!AD423</f>
        <v>0</v>
      </c>
      <c r="AA51" s="106">
        <f>'2020'!AE423</f>
        <v>0</v>
      </c>
      <c r="AB51" s="106">
        <f>'2020'!AF423</f>
      </c>
      <c r="AC51" s="119">
        <f>'2020'!AG423</f>
        <v>165</v>
      </c>
      <c r="AD51" s="119">
        <f>'2020'!AH423</f>
        <v>0</v>
      </c>
      <c r="AE51" s="106">
        <f>'2020'!AI423</f>
        <v>0</v>
      </c>
      <c r="AF51" s="106">
        <f>'2020'!AJ423</f>
      </c>
      <c r="AG51" s="119">
        <f>'2020'!AK423</f>
        <v>165</v>
      </c>
      <c r="AH51" s="119">
        <f>'2020'!AL423</f>
        <v>0</v>
      </c>
      <c r="AI51" s="106">
        <f>'2020'!AM423</f>
        <v>0</v>
      </c>
      <c r="AJ51" s="106">
        <f>'2020'!AN423</f>
      </c>
      <c r="AK51" s="119">
        <f>'2020'!AO423</f>
        <v>165</v>
      </c>
      <c r="AL51" s="119">
        <f>'2020'!AP423</f>
        <v>0</v>
      </c>
      <c r="AM51" s="106">
        <f>'2020'!AQ423</f>
        <v>0</v>
      </c>
      <c r="AN51" s="106">
        <f>'2020'!AR423</f>
      </c>
      <c r="AO51" s="119">
        <f>'2020'!AS423</f>
        <v>165</v>
      </c>
      <c r="AP51" s="119">
        <f>'2020'!AT423</f>
        <v>0</v>
      </c>
      <c r="AQ51" s="106">
        <f>'2020'!AU423</f>
        <v>0</v>
      </c>
      <c r="AR51" s="106">
        <f>'2020'!AV423</f>
      </c>
      <c r="AS51" s="119">
        <f>'2020'!AW423</f>
        <v>165</v>
      </c>
      <c r="AT51" s="119">
        <f>'2020'!AX423</f>
        <v>0</v>
      </c>
      <c r="AU51" s="106">
        <f>'2020'!AY423</f>
        <v>0</v>
      </c>
      <c r="AV51" s="106">
        <f>'2020'!AZ423</f>
      </c>
      <c r="AW51" s="106"/>
      <c r="AX51" s="106">
        <f t="shared" si="0"/>
        <v>0</v>
      </c>
      <c r="AY51" s="119">
        <f>'2020'!BA423</f>
        <v>165</v>
      </c>
      <c r="AZ51" s="119">
        <f>'2020'!BB423</f>
        <v>0</v>
      </c>
      <c r="BA51" s="106">
        <f>'2020'!BC423</f>
        <v>0</v>
      </c>
      <c r="BB51" s="106">
        <f>'2020'!BD423</f>
      </c>
      <c r="BC51" s="106"/>
      <c r="BD51" s="106">
        <f t="shared" si="1"/>
        <v>0</v>
      </c>
      <c r="BE51" s="119">
        <f>'2020'!BE423</f>
        <v>0</v>
      </c>
      <c r="BF51" s="106">
        <f>'2020'!BF423</f>
        <v>0</v>
      </c>
      <c r="BG51" s="106">
        <f>'2020'!BG423</f>
        <v>0</v>
      </c>
      <c r="BH51" s="106">
        <f>'2020'!BH423</f>
        <v>0</v>
      </c>
      <c r="BI51" s="106">
        <f t="shared" si="2"/>
        <v>0</v>
      </c>
      <c r="BJ51" s="338">
        <f t="shared" si="3"/>
        <v>0</v>
      </c>
    </row>
    <row r="52" ht="15.75" customHeight="1" hidden="1" spans="1:62" x14ac:dyDescent="0.25">
      <c r="A52" s="14"/>
      <c r="B52" s="115">
        <v>48</v>
      </c>
      <c r="C52" s="115">
        <v>5.93</v>
      </c>
      <c r="D52" s="117" t="s">
        <v>97</v>
      </c>
      <c r="E52" s="119">
        <f>'2020'!I432</f>
      </c>
      <c r="F52" s="119">
        <f>'2020'!J432</f>
      </c>
      <c r="G52" s="106">
        <f>'2020'!K432</f>
        <v>0</v>
      </c>
      <c r="H52" s="106">
        <f>'2020'!L432</f>
      </c>
      <c r="I52" s="119">
        <f>'2020'!M432</f>
      </c>
      <c r="J52" s="119">
        <f>'2020'!N432</f>
      </c>
      <c r="K52" s="106">
        <f>'2020'!O432</f>
        <v>0</v>
      </c>
      <c r="L52" s="106">
        <f>'2020'!P432</f>
      </c>
      <c r="M52" s="119">
        <f>'2020'!Q432</f>
      </c>
      <c r="N52" s="119">
        <f>'2020'!R432</f>
        <v>0</v>
      </c>
      <c r="O52" s="106">
        <f>'2020'!S432</f>
        <v>0</v>
      </c>
      <c r="P52" s="106">
        <f>'2020'!T432</f>
      </c>
      <c r="Q52" s="119">
        <f>'2020'!U432</f>
      </c>
      <c r="R52" s="119">
        <f>'2020'!V432</f>
        <v>0</v>
      </c>
      <c r="S52" s="106">
        <f>'2020'!W432</f>
        <v>0</v>
      </c>
      <c r="T52" s="106">
        <f>'2020'!X432</f>
      </c>
      <c r="U52" s="119">
        <f>'2020'!Y432</f>
      </c>
      <c r="V52" s="119">
        <f>'2020'!Z432</f>
        <v>0</v>
      </c>
      <c r="W52" s="106">
        <f>'2020'!AA432</f>
        <v>0</v>
      </c>
      <c r="X52" s="106">
        <f>'2020'!AB432</f>
      </c>
      <c r="Y52" s="119">
        <f>'2020'!AC432</f>
        <v>0</v>
      </c>
      <c r="Z52" s="119">
        <f>'2020'!AD432</f>
        <v>0</v>
      </c>
      <c r="AA52" s="106">
        <f>'2020'!AE432</f>
        <v>0</v>
      </c>
      <c r="AB52" s="106">
        <f>'2020'!AF432</f>
      </c>
      <c r="AC52" s="119">
        <f>'2020'!AG432</f>
      </c>
      <c r="AD52" s="119">
        <f>'2020'!AH432</f>
        <v>0</v>
      </c>
      <c r="AE52" s="106">
        <f>'2020'!AI432</f>
        <v>0</v>
      </c>
      <c r="AF52" s="106">
        <f>'2020'!AJ432</f>
      </c>
      <c r="AG52" s="119">
        <f>'2020'!AK432</f>
        <v>0</v>
      </c>
      <c r="AH52" s="119">
        <f>'2020'!AL432</f>
        <v>0</v>
      </c>
      <c r="AI52" s="106">
        <f>'2020'!AM432</f>
        <v>0</v>
      </c>
      <c r="AJ52" s="106">
        <f>'2020'!AN432</f>
      </c>
      <c r="AK52" s="119">
        <f>'2020'!AO432</f>
        <v>0</v>
      </c>
      <c r="AL52" s="119">
        <f>'2020'!AP432</f>
        <v>0</v>
      </c>
      <c r="AM52" s="106">
        <f>'2020'!AQ432</f>
        <v>0</v>
      </c>
      <c r="AN52" s="106">
        <f>'2020'!AR432</f>
      </c>
      <c r="AO52" s="119">
        <f>'2020'!AS432</f>
        <v>0</v>
      </c>
      <c r="AP52" s="119">
        <f>'2020'!AT432</f>
        <v>0</v>
      </c>
      <c r="AQ52" s="106">
        <f>'2020'!AU432</f>
        <v>0</v>
      </c>
      <c r="AR52" s="106">
        <f>'2020'!AV432</f>
      </c>
      <c r="AS52" s="119">
        <f>'2020'!AW432</f>
        <v>0</v>
      </c>
      <c r="AT52" s="119">
        <f>'2020'!AX432</f>
        <v>0</v>
      </c>
      <c r="AU52" s="106">
        <f>'2020'!AY432</f>
        <v>0</v>
      </c>
      <c r="AV52" s="106">
        <f>'2020'!AZ432</f>
      </c>
      <c r="AW52" s="106"/>
      <c r="AX52" s="106">
        <f t="shared" si="0"/>
        <v>0</v>
      </c>
      <c r="AY52" s="119">
        <f>'2020'!BA432</f>
        <v>0</v>
      </c>
      <c r="AZ52" s="119">
        <f>'2020'!BB432</f>
        <v>0</v>
      </c>
      <c r="BA52" s="106">
        <f>'2020'!BC432</f>
        <v>0</v>
      </c>
      <c r="BB52" s="106">
        <f>'2020'!BD432</f>
      </c>
      <c r="BC52" s="106"/>
      <c r="BD52" s="106">
        <f t="shared" si="1"/>
        <v>0</v>
      </c>
      <c r="BE52" s="119">
        <f>'2020'!BE432</f>
        <v>0</v>
      </c>
      <c r="BF52" s="106">
        <f>'2020'!BF432</f>
        <v>0</v>
      </c>
      <c r="BG52" s="106">
        <f>'2020'!BG432</f>
        <v>0</v>
      </c>
      <c r="BH52" s="106">
        <f>'2020'!BH432</f>
        <v>0</v>
      </c>
      <c r="BI52" s="106">
        <f t="shared" si="2"/>
        <v>0</v>
      </c>
      <c r="BJ52" s="338">
        <f t="shared" si="3"/>
        <v>0</v>
      </c>
    </row>
    <row r="53" ht="15.75" customHeight="1" hidden="1" spans="1:62" x14ac:dyDescent="0.25">
      <c r="A53" s="14"/>
      <c r="B53" s="115">
        <v>49</v>
      </c>
      <c r="C53" s="115">
        <v>5.03</v>
      </c>
      <c r="D53" s="117" t="s">
        <v>197</v>
      </c>
      <c r="E53" s="119">
        <f>'2020'!I441</f>
      </c>
      <c r="F53" s="119">
        <f>'2020'!J441</f>
      </c>
      <c r="G53" s="106">
        <f>'2020'!K441</f>
        <v>0</v>
      </c>
      <c r="H53" s="106">
        <f>'2020'!L441</f>
      </c>
      <c r="I53" s="119">
        <f>'2020'!M441</f>
      </c>
      <c r="J53" s="119">
        <f>'2020'!N441</f>
      </c>
      <c r="K53" s="106">
        <f>'2020'!O441</f>
        <v>0</v>
      </c>
      <c r="L53" s="106">
        <f>'2020'!P441</f>
      </c>
      <c r="M53" s="119">
        <f>'2020'!Q441</f>
      </c>
      <c r="N53" s="119">
        <f>'2020'!R441</f>
        <v>0</v>
      </c>
      <c r="O53" s="106">
        <f>'2020'!S441</f>
        <v>0</v>
      </c>
      <c r="P53" s="106">
        <f>'2020'!T441</f>
      </c>
      <c r="Q53" s="119">
        <f>'2020'!U441</f>
      </c>
      <c r="R53" s="119">
        <f>'2020'!V441</f>
        <v>0</v>
      </c>
      <c r="S53" s="106">
        <f>'2020'!W441</f>
        <v>0</v>
      </c>
      <c r="T53" s="106">
        <f>'2020'!X441</f>
      </c>
      <c r="U53" s="119">
        <f>'2020'!Y441</f>
      </c>
      <c r="V53" s="119">
        <f>'2020'!Z441</f>
        <v>0</v>
      </c>
      <c r="W53" s="106">
        <f>'2020'!AA441</f>
        <v>0</v>
      </c>
      <c r="X53" s="106">
        <f>'2020'!AB441</f>
      </c>
      <c r="Y53" s="119">
        <f>'2020'!AC441</f>
      </c>
      <c r="Z53" s="119">
        <f>'2020'!AD441</f>
        <v>0</v>
      </c>
      <c r="AA53" s="106">
        <f>'2020'!AE441</f>
        <v>0</v>
      </c>
      <c r="AB53" s="106">
        <f>'2020'!AF441</f>
      </c>
      <c r="AC53" s="119">
        <f>'2020'!AG441</f>
      </c>
      <c r="AD53" s="119">
        <f>'2020'!AH441</f>
        <v>0</v>
      </c>
      <c r="AE53" s="106">
        <f>'2020'!AI441</f>
        <v>0</v>
      </c>
      <c r="AF53" s="106">
        <f>'2020'!AJ441</f>
      </c>
      <c r="AG53" s="119">
        <f>'2020'!AK441</f>
        <v>0</v>
      </c>
      <c r="AH53" s="119">
        <f>'2020'!AL441</f>
        <v>0</v>
      </c>
      <c r="AI53" s="106">
        <f>'2020'!AM441</f>
        <v>0</v>
      </c>
      <c r="AJ53" s="106">
        <f>'2020'!AN441</f>
      </c>
      <c r="AK53" s="119">
        <f>'2020'!AO441</f>
        <v>0</v>
      </c>
      <c r="AL53" s="119">
        <f>'2020'!AP441</f>
        <v>0</v>
      </c>
      <c r="AM53" s="106">
        <f>'2020'!AQ441</f>
        <v>0</v>
      </c>
      <c r="AN53" s="106">
        <f>'2020'!AR441</f>
      </c>
      <c r="AO53" s="119">
        <f>'2020'!AS441</f>
        <v>0</v>
      </c>
      <c r="AP53" s="119">
        <f>'2020'!AT441</f>
        <v>0</v>
      </c>
      <c r="AQ53" s="106">
        <f>'2020'!AU441</f>
        <v>0</v>
      </c>
      <c r="AR53" s="106">
        <f>'2020'!AV441</f>
      </c>
      <c r="AS53" s="119">
        <f>'2020'!AW441</f>
        <v>0</v>
      </c>
      <c r="AT53" s="119">
        <f>'2020'!AX441</f>
        <v>0</v>
      </c>
      <c r="AU53" s="106">
        <f>'2020'!AY441</f>
        <v>0</v>
      </c>
      <c r="AV53" s="106">
        <f>'2020'!AZ441</f>
      </c>
      <c r="AW53" s="106"/>
      <c r="AX53" s="106">
        <f t="shared" si="0"/>
        <v>0</v>
      </c>
      <c r="AY53" s="119">
        <f>'2020'!BA441</f>
        <v>0</v>
      </c>
      <c r="AZ53" s="119">
        <f>'2020'!BB441</f>
        <v>0</v>
      </c>
      <c r="BA53" s="106">
        <f>'2020'!BC441</f>
        <v>0</v>
      </c>
      <c r="BB53" s="106">
        <f>'2020'!BD441</f>
      </c>
      <c r="BC53" s="106"/>
      <c r="BD53" s="106">
        <f t="shared" si="1"/>
        <v>0</v>
      </c>
      <c r="BE53" s="119">
        <f>'2020'!BE441</f>
        <v>0</v>
      </c>
      <c r="BF53" s="106">
        <f>'2020'!BF441</f>
        <v>0</v>
      </c>
      <c r="BG53" s="106">
        <f>'2020'!BG441</f>
        <v>0</v>
      </c>
      <c r="BH53" s="106">
        <f>'2020'!BH441</f>
        <v>0</v>
      </c>
      <c r="BI53" s="106">
        <f t="shared" si="2"/>
        <v>0</v>
      </c>
      <c r="BJ53" s="338">
        <f t="shared" si="3"/>
        <v>0</v>
      </c>
    </row>
    <row r="54" ht="15.75" customHeight="1" spans="1:62" x14ac:dyDescent="0.25">
      <c r="A54" s="14"/>
      <c r="B54" s="125">
        <v>50</v>
      </c>
      <c r="C54" s="115">
        <v>6.05</v>
      </c>
      <c r="D54" s="117" t="s">
        <v>200</v>
      </c>
      <c r="E54" s="119">
        <f>'2020'!I450</f>
        <v>2469</v>
      </c>
      <c r="F54" s="119">
        <f>'2020'!J450</f>
        <v>63</v>
      </c>
      <c r="G54" s="106">
        <f>'2020'!K450</f>
        <v>157.5</v>
      </c>
      <c r="H54" s="106">
        <f>'2020'!L450</f>
      </c>
      <c r="I54" s="119">
        <f>'2020'!M450</f>
        <v>2507</v>
      </c>
      <c r="J54" s="119">
        <f>'2020'!N450</f>
        <v>38</v>
      </c>
      <c r="K54" s="106">
        <f>'2020'!O450</f>
        <v>95</v>
      </c>
      <c r="L54" s="106">
        <f>'2020'!P450</f>
        <v>160</v>
      </c>
      <c r="M54" s="119">
        <f>'2020'!Q450</f>
        <v>2528</v>
      </c>
      <c r="N54" s="119">
        <f>'2020'!R450</f>
        <v>21</v>
      </c>
      <c r="O54" s="106">
        <f>'2020'!S450</f>
        <v>52.5</v>
      </c>
      <c r="P54" s="106">
        <f>'2020'!T450</f>
        <v>150</v>
      </c>
      <c r="Q54" s="119">
        <f>'2020'!U450</f>
        <v>2552</v>
      </c>
      <c r="R54" s="119">
        <f>'2020'!V450</f>
        <v>24</v>
      </c>
      <c r="S54" s="106">
        <f>'2020'!W450</f>
        <v>60</v>
      </c>
      <c r="T54" s="106">
        <f>'2020'!X450</f>
      </c>
      <c r="U54" s="119">
        <f>'2020'!Y450</f>
        <v>2594</v>
      </c>
      <c r="V54" s="119">
        <f>'2020'!Z450</f>
        <v>42</v>
      </c>
      <c r="W54" s="106">
        <f>'2020'!AA450</f>
        <v>105</v>
      </c>
      <c r="X54" s="106">
        <f>'2020'!AB450</f>
        <v>107</v>
      </c>
      <c r="Y54" s="119">
        <f>'2020'!AC450</f>
        <v>2609</v>
      </c>
      <c r="Z54" s="119">
        <f>'2020'!AD450</f>
        <v>15</v>
      </c>
      <c r="AA54" s="106">
        <f>'2020'!AE450</f>
        <v>37.5</v>
      </c>
      <c r="AB54" s="106">
        <f>'2020'!AF450</f>
        <v>106</v>
      </c>
      <c r="AC54" s="119">
        <f>'2020'!AG450</f>
        <v>2625</v>
      </c>
      <c r="AD54" s="119">
        <f>'2020'!AH450</f>
        <v>16</v>
      </c>
      <c r="AE54" s="106">
        <f>'2020'!AI450</f>
        <v>41.6</v>
      </c>
      <c r="AF54" s="106">
        <f>'2020'!AJ450</f>
        <v>37</v>
      </c>
      <c r="AG54" s="119">
        <f>'2020'!AK450</f>
        <v>2633</v>
      </c>
      <c r="AH54" s="119">
        <f>'2020'!AL450</f>
        <v>8</v>
      </c>
      <c r="AI54" s="106">
        <f>'2020'!AM450</f>
        <v>20.8</v>
      </c>
      <c r="AJ54" s="106">
        <f>'2020'!AN450</f>
        <v>42</v>
      </c>
      <c r="AK54" s="119">
        <f>'2020'!AO450</f>
        <v>2731</v>
      </c>
      <c r="AL54" s="119">
        <f>'2020'!AP450</f>
        <v>98</v>
      </c>
      <c r="AM54" s="106">
        <f>'2020'!AQ450</f>
        <v>254.8</v>
      </c>
      <c r="AN54" s="106">
        <f>'2020'!AR450</f>
      </c>
      <c r="AO54" s="119">
        <f>'2020'!AS450</f>
        <v>2775</v>
      </c>
      <c r="AP54" s="119">
        <f>'2020'!AT450</f>
        <v>44</v>
      </c>
      <c r="AQ54" s="106">
        <f>'2020'!AU450</f>
        <v>114.4</v>
      </c>
      <c r="AR54" s="106">
        <f>'2020'!AV450</f>
      </c>
      <c r="AS54" s="119">
        <f>'2020'!AW450</f>
        <v>2786</v>
      </c>
      <c r="AT54" s="119">
        <f>'2020'!AX450</f>
        <v>11</v>
      </c>
      <c r="AU54" s="106">
        <f>'2020'!AY450</f>
        <v>28.6</v>
      </c>
      <c r="AV54" s="106">
        <f>'2020'!AZ450</f>
        <v>390</v>
      </c>
      <c r="AW54" s="106"/>
      <c r="AX54" s="106">
        <f t="shared" si="0"/>
        <v>0</v>
      </c>
      <c r="AY54" s="119">
        <f>'2020'!BA450</f>
        <v>2813</v>
      </c>
      <c r="AZ54" s="119">
        <f>'2020'!BB450</f>
        <v>27</v>
      </c>
      <c r="BA54" s="106">
        <f>'2020'!BC450</f>
        <v>70.2</v>
      </c>
      <c r="BB54" s="106">
        <f>'2020'!BD450</f>
      </c>
      <c r="BC54" s="106"/>
      <c r="BD54" s="106">
        <f t="shared" si="1"/>
        <v>0</v>
      </c>
      <c r="BE54" s="119">
        <f>'2020'!BE450</f>
        <v>407</v>
      </c>
      <c r="BF54" s="106">
        <f>'2020'!BF450</f>
        <v>1037.9</v>
      </c>
      <c r="BG54" s="106">
        <f>'2020'!BG450</f>
        <v>992</v>
      </c>
      <c r="BH54" s="106">
        <f>'2020'!BH450</f>
        <v>98.4</v>
      </c>
      <c r="BI54" s="106">
        <f t="shared" si="2"/>
        <v>0</v>
      </c>
      <c r="BJ54" s="338">
        <f t="shared" si="3"/>
        <v>98.4</v>
      </c>
    </row>
    <row r="55" ht="15.75" customHeight="1" spans="1:62" x14ac:dyDescent="0.25">
      <c r="A55" s="14"/>
      <c r="B55" s="125">
        <v>51</v>
      </c>
      <c r="C55" s="115">
        <v>4.95</v>
      </c>
      <c r="D55" s="117" t="s">
        <v>204</v>
      </c>
      <c r="E55" s="119">
        <f>'2020'!I459</f>
      </c>
      <c r="F55" s="119">
        <f>'2020'!J459</f>
      </c>
      <c r="G55" s="106">
        <f>'2020'!K459</f>
        <v>0</v>
      </c>
      <c r="H55" s="106">
        <f>'2020'!L459</f>
      </c>
      <c r="I55" s="119">
        <f>'2020'!M459</f>
      </c>
      <c r="J55" s="119">
        <f>'2020'!N459</f>
      </c>
      <c r="K55" s="106">
        <f>'2020'!O459</f>
        <v>0</v>
      </c>
      <c r="L55" s="106">
        <f>'2020'!P459</f>
      </c>
      <c r="M55" s="119">
        <f>'2020'!Q459</f>
      </c>
      <c r="N55" s="119">
        <f>'2020'!R459</f>
        <v>0</v>
      </c>
      <c r="O55" s="106">
        <f>'2020'!S459</f>
        <v>0</v>
      </c>
      <c r="P55" s="106">
        <f>'2020'!T459</f>
      </c>
      <c r="Q55" s="119">
        <f>'2020'!U459</f>
      </c>
      <c r="R55" s="119">
        <f>'2020'!V459</f>
        <v>0</v>
      </c>
      <c r="S55" s="106">
        <f>'2020'!W459</f>
        <v>0</v>
      </c>
      <c r="T55" s="106">
        <f>'2020'!X459</f>
      </c>
      <c r="U55" s="119">
        <f>'2020'!Y459</f>
      </c>
      <c r="V55" s="119">
        <f>'2020'!Z459</f>
        <v>0</v>
      </c>
      <c r="W55" s="106">
        <f>'2020'!AA459</f>
        <v>0</v>
      </c>
      <c r="X55" s="106">
        <f>'2020'!AB459</f>
      </c>
      <c r="Y55" s="119">
        <f>'2020'!AC459</f>
      </c>
      <c r="Z55" s="119">
        <f>'2020'!AD459</f>
        <v>0</v>
      </c>
      <c r="AA55" s="106">
        <f>'2020'!AE459</f>
        <v>0</v>
      </c>
      <c r="AB55" s="106">
        <f>'2020'!AF459</f>
      </c>
      <c r="AC55" s="119">
        <f>'2020'!AG459</f>
        <v>13</v>
      </c>
      <c r="AD55" s="119">
        <f>'2020'!AH459</f>
        <v>13</v>
      </c>
      <c r="AE55" s="106">
        <f>'2020'!AI459</f>
        <v>33.8</v>
      </c>
      <c r="AF55" s="106">
        <f>'2020'!AJ459</f>
      </c>
      <c r="AG55" s="119">
        <f>'2020'!AK459</f>
        <v>88</v>
      </c>
      <c r="AH55" s="119">
        <f>'2020'!AL459</f>
        <v>75</v>
      </c>
      <c r="AI55" s="106">
        <f>'2020'!AM459</f>
        <v>195</v>
      </c>
      <c r="AJ55" s="106">
        <f>'2020'!AN459</f>
        <v>555</v>
      </c>
      <c r="AK55" s="119">
        <f>'2020'!AO459</f>
        <v>252</v>
      </c>
      <c r="AL55" s="119">
        <f>'2020'!AP459</f>
        <v>164</v>
      </c>
      <c r="AM55" s="106">
        <f>'2020'!AQ459</f>
        <v>426.4</v>
      </c>
      <c r="AN55" s="106">
        <f>'2020'!AR459</f>
      </c>
      <c r="AO55" s="119">
        <f>'2020'!AS459</f>
        <v>518</v>
      </c>
      <c r="AP55" s="119">
        <f>'2020'!AT459</f>
        <v>266</v>
      </c>
      <c r="AQ55" s="106">
        <f>'2020'!AU459</f>
        <v>691.6</v>
      </c>
      <c r="AR55" s="106">
        <f>'2020'!AV459</f>
      </c>
      <c r="AS55" s="119">
        <f>'2020'!AW459</f>
        <v>571</v>
      </c>
      <c r="AT55" s="119">
        <f>'2020'!AX459</f>
        <v>53</v>
      </c>
      <c r="AU55" s="106">
        <f>'2020'!AY459</f>
        <v>137.8</v>
      </c>
      <c r="AV55" s="106">
        <f>'2020'!AZ459</f>
        <v>2000</v>
      </c>
      <c r="AW55" s="106"/>
      <c r="AX55" s="106">
        <f t="shared" si="0"/>
        <v>0</v>
      </c>
      <c r="AY55" s="119">
        <f>'2020'!BA459</f>
        <v>580</v>
      </c>
      <c r="AZ55" s="119">
        <f>'2020'!BB459</f>
        <v>9</v>
      </c>
      <c r="BA55" s="106">
        <f>'2020'!BC459</f>
        <v>23.4</v>
      </c>
      <c r="BB55" s="106">
        <f>'2020'!BD459</f>
      </c>
      <c r="BC55" s="106"/>
      <c r="BD55" s="106">
        <f t="shared" si="1"/>
        <v>0</v>
      </c>
      <c r="BE55" s="119">
        <f>'2020'!BE459</f>
        <v>580</v>
      </c>
      <c r="BF55" s="106">
        <f>'2020'!BF459</f>
        <v>1508</v>
      </c>
      <c r="BG55" s="106">
        <f>'2020'!BG459</f>
        <v>2555</v>
      </c>
      <c r="BH55" s="106">
        <f>'2020'!BH459</f>
        <v>-1047</v>
      </c>
      <c r="BI55" s="106">
        <f t="shared" si="2"/>
        <v>0</v>
      </c>
      <c r="BJ55" s="338">
        <f t="shared" si="3"/>
        <v>-1047</v>
      </c>
    </row>
    <row r="56" ht="15.75" customHeight="1" hidden="1" spans="1:62" x14ac:dyDescent="0.25">
      <c r="A56" s="14"/>
      <c r="B56" s="115">
        <v>52</v>
      </c>
      <c r="C56" s="116">
        <v>5</v>
      </c>
      <c r="D56" s="117" t="s">
        <v>206</v>
      </c>
      <c r="E56" s="119">
        <f>'2020'!I468</f>
        <v>95</v>
      </c>
      <c r="F56" s="119">
        <f>'2020'!J468</f>
        <v>0</v>
      </c>
      <c r="G56" s="106">
        <f>'2020'!K468</f>
        <v>0</v>
      </c>
      <c r="H56" s="106">
        <f>'2020'!L468</f>
      </c>
      <c r="I56" s="119">
        <f>'2020'!M468</f>
        <v>95</v>
      </c>
      <c r="J56" s="119">
        <f>'2020'!N468</f>
        <v>0</v>
      </c>
      <c r="K56" s="106">
        <f>'2020'!O468</f>
        <v>0</v>
      </c>
      <c r="L56" s="106">
        <f>'2020'!P468</f>
      </c>
      <c r="M56" s="119">
        <f>'2020'!Q468</f>
        <v>95</v>
      </c>
      <c r="N56" s="119">
        <f>'2020'!R468</f>
        <v>0</v>
      </c>
      <c r="O56" s="106">
        <f>'2020'!S468</f>
        <v>0</v>
      </c>
      <c r="P56" s="106">
        <f>'2020'!T468</f>
      </c>
      <c r="Q56" s="119">
        <f>'2020'!U468</f>
        <v>97</v>
      </c>
      <c r="R56" s="119">
        <f>'2020'!V468</f>
        <v>2</v>
      </c>
      <c r="S56" s="106">
        <f>'2020'!W468</f>
        <v>5</v>
      </c>
      <c r="T56" s="106">
        <f>'2020'!X468</f>
      </c>
      <c r="U56" s="119">
        <f>'2020'!Y468</f>
        <v>103</v>
      </c>
      <c r="V56" s="119">
        <f>'2020'!Z468</f>
        <v>6</v>
      </c>
      <c r="W56" s="106">
        <f>'2020'!AA468</f>
        <v>15</v>
      </c>
      <c r="X56" s="106">
        <f>'2020'!AB468</f>
      </c>
      <c r="Y56" s="119">
        <f>'2020'!AC468</f>
        <v>111</v>
      </c>
      <c r="Z56" s="119">
        <f>'2020'!AD468</f>
        <v>8</v>
      </c>
      <c r="AA56" s="106">
        <f>'2020'!AE468</f>
        <v>20</v>
      </c>
      <c r="AB56" s="106">
        <f>'2020'!AF468</f>
      </c>
      <c r="AC56" s="119">
        <f>'2020'!AG468</f>
        <v>120</v>
      </c>
      <c r="AD56" s="119">
        <f>'2020'!AH468</f>
        <v>9</v>
      </c>
      <c r="AE56" s="106">
        <f>'2020'!AI468</f>
        <v>23.4</v>
      </c>
      <c r="AF56" s="106">
        <f>'2020'!AJ468</f>
      </c>
      <c r="AG56" s="119">
        <f>'2020'!AK468</f>
        <v>128</v>
      </c>
      <c r="AH56" s="119">
        <f>'2020'!AL468</f>
        <v>8</v>
      </c>
      <c r="AI56" s="106">
        <f>'2020'!AM468</f>
        <v>20.8</v>
      </c>
      <c r="AJ56" s="106">
        <f>'2020'!AN468</f>
        <v>142.24</v>
      </c>
      <c r="AK56" s="119">
        <f>'2020'!AO468</f>
        <v>136</v>
      </c>
      <c r="AL56" s="119">
        <f>'2020'!AP468</f>
        <v>8</v>
      </c>
      <c r="AM56" s="106">
        <f>'2020'!AQ468</f>
        <v>20.8</v>
      </c>
      <c r="AN56" s="106">
        <f>'2020'!AR468</f>
      </c>
      <c r="AO56" s="119">
        <f>'2020'!AS468</f>
        <v>139</v>
      </c>
      <c r="AP56" s="119">
        <f>'2020'!AT468</f>
        <v>3</v>
      </c>
      <c r="AQ56" s="106">
        <f>'2020'!AU468</f>
        <v>7.8</v>
      </c>
      <c r="AR56" s="106">
        <f>'2020'!AV468</f>
      </c>
      <c r="AS56" s="119">
        <f>'2020'!AW468</f>
        <v>139</v>
      </c>
      <c r="AT56" s="119">
        <f>'2020'!AX468</f>
        <v>0</v>
      </c>
      <c r="AU56" s="106">
        <f>'2020'!AY468</f>
        <v>0</v>
      </c>
      <c r="AV56" s="106">
        <f>'2020'!AZ468</f>
      </c>
      <c r="AW56" s="106"/>
      <c r="AX56" s="106">
        <f t="shared" si="0"/>
        <v>0</v>
      </c>
      <c r="AY56" s="119">
        <f>'2020'!BA468</f>
        <v>139</v>
      </c>
      <c r="AZ56" s="119">
        <f>'2020'!BB468</f>
        <v>0</v>
      </c>
      <c r="BA56" s="106">
        <f>'2020'!BC468</f>
        <v>0</v>
      </c>
      <c r="BB56" s="106">
        <f>'2020'!BD468</f>
      </c>
      <c r="BC56" s="106"/>
      <c r="BD56" s="106">
        <f t="shared" si="1"/>
        <v>0</v>
      </c>
      <c r="BE56" s="119">
        <f>'2020'!BE468</f>
        <v>44</v>
      </c>
      <c r="BF56" s="106">
        <f>'2020'!BF468</f>
        <v>112.8</v>
      </c>
      <c r="BG56" s="106">
        <f>'2020'!BG468</f>
        <v>142.24</v>
      </c>
      <c r="BH56" s="106">
        <f>'2020'!BH468</f>
        <v>-20.24</v>
      </c>
      <c r="BI56" s="106">
        <f t="shared" si="2"/>
        <v>0</v>
      </c>
      <c r="BJ56" s="338">
        <f t="shared" si="3"/>
        <v>-20.24</v>
      </c>
    </row>
    <row r="57" ht="15.75" customHeight="1" spans="1:62" x14ac:dyDescent="0.25">
      <c r="A57" s="14"/>
      <c r="B57" s="125">
        <v>53</v>
      </c>
      <c r="C57" s="115">
        <v>5.05</v>
      </c>
      <c r="D57" s="117" t="s">
        <v>210</v>
      </c>
      <c r="E57" s="119">
        <f>'2020'!I477</f>
        <v>6957</v>
      </c>
      <c r="F57" s="119">
        <f>'2020'!J477</f>
        <v>176</v>
      </c>
      <c r="G57" s="106">
        <f>'2020'!K477</f>
        <v>440</v>
      </c>
      <c r="H57" s="106">
        <f>'2020'!L477</f>
      </c>
      <c r="I57" s="119">
        <f>'2020'!M477</f>
        <v>8234</v>
      </c>
      <c r="J57" s="119">
        <f>'2020'!N477</f>
        <v>1277</v>
      </c>
      <c r="K57" s="106">
        <f>'2020'!O477</f>
        <v>3192.5</v>
      </c>
      <c r="L57" s="106">
        <f>'2020'!P477</f>
        <v>1300</v>
      </c>
      <c r="M57" s="119">
        <f>'2020'!Q477</f>
        <v>8864</v>
      </c>
      <c r="N57" s="119">
        <f>'2020'!R477</f>
        <v>630</v>
      </c>
      <c r="O57" s="106">
        <f>'2020'!S477</f>
        <v>1575</v>
      </c>
      <c r="P57" s="106">
        <f>'2020'!T477</f>
      </c>
      <c r="Q57" s="119">
        <f>'2020'!U477</f>
        <v>9138</v>
      </c>
      <c r="R57" s="119">
        <f>'2020'!V477</f>
        <v>274</v>
      </c>
      <c r="S57" s="106">
        <f>'2020'!W477</f>
        <v>685</v>
      </c>
      <c r="T57" s="106">
        <f>'2020'!X477</f>
        <v>2800</v>
      </c>
      <c r="U57" s="119">
        <f>'2020'!Y477</f>
        <v>9330</v>
      </c>
      <c r="V57" s="119">
        <f>'2020'!Z477</f>
        <v>192</v>
      </c>
      <c r="W57" s="106">
        <f>'2020'!AA477</f>
        <v>480</v>
      </c>
      <c r="X57" s="106">
        <f>'2020'!AB477</f>
      </c>
      <c r="Y57" s="119">
        <f>'2020'!AC477</f>
        <v>9458</v>
      </c>
      <c r="Z57" s="119">
        <f>'2020'!AD477</f>
        <v>128</v>
      </c>
      <c r="AA57" s="106">
        <f>'2020'!AE477</f>
        <v>320</v>
      </c>
      <c r="AB57" s="106">
        <f>'2020'!AF477</f>
        <v>500</v>
      </c>
      <c r="AC57" s="119">
        <f>'2020'!AG477</f>
        <v>9571</v>
      </c>
      <c r="AD57" s="119">
        <f>'2020'!AH477</f>
        <v>113</v>
      </c>
      <c r="AE57" s="106">
        <f>'2020'!AI477</f>
        <v>293.8</v>
      </c>
      <c r="AF57" s="106">
        <f>'2020'!AJ477</f>
        <v>1700</v>
      </c>
      <c r="AG57" s="119">
        <f>'2020'!AK477</f>
        <v>9750</v>
      </c>
      <c r="AH57" s="119">
        <f>'2020'!AL477</f>
        <v>179</v>
      </c>
      <c r="AI57" s="106">
        <f>'2020'!AM477</f>
        <v>465.4</v>
      </c>
      <c r="AJ57" s="106">
        <f>'2020'!AN477</f>
        <v>40</v>
      </c>
      <c r="AK57" s="119">
        <f>'2020'!AO477</f>
        <v>9865</v>
      </c>
      <c r="AL57" s="119">
        <f>'2020'!AP477</f>
        <v>115</v>
      </c>
      <c r="AM57" s="106">
        <f>'2020'!AQ477</f>
        <v>299</v>
      </c>
      <c r="AN57" s="106">
        <f>'2020'!AR477</f>
      </c>
      <c r="AO57" s="119">
        <f>'2020'!AS477</f>
        <v>9879</v>
      </c>
      <c r="AP57" s="119">
        <f>'2020'!AT477</f>
        <v>14</v>
      </c>
      <c r="AQ57" s="106">
        <f>'2020'!AU477</f>
        <v>36.4</v>
      </c>
      <c r="AR57" s="106">
        <f>'2020'!AV477</f>
      </c>
      <c r="AS57" s="126">
        <f>'2020'!AW477</f>
        <v>10585</v>
      </c>
      <c r="AT57" s="119">
        <f>'2020'!AX477</f>
        <v>706</v>
      </c>
      <c r="AU57" s="106">
        <f>'2020'!AY477</f>
        <v>1835.6</v>
      </c>
      <c r="AV57" s="106">
        <f>'2020'!AZ477</f>
        <v>2000</v>
      </c>
      <c r="AW57" s="119"/>
      <c r="AX57" s="106">
        <f t="shared" si="0"/>
        <v>0</v>
      </c>
      <c r="AY57" s="119">
        <f>'2020'!BA477</f>
        <v>11853</v>
      </c>
      <c r="AZ57" s="119">
        <f>'2020'!BB477</f>
        <v>1268</v>
      </c>
      <c r="BA57" s="106">
        <f>'2020'!BC477</f>
        <v>3296.8</v>
      </c>
      <c r="BB57" s="106">
        <f>'2020'!BD477</f>
      </c>
      <c r="BC57" s="106"/>
      <c r="BD57" s="106">
        <f t="shared" si="1"/>
        <v>0</v>
      </c>
      <c r="BE57" s="119">
        <f>'2020'!BE477</f>
        <v>5072</v>
      </c>
      <c r="BF57" s="106">
        <f>'2020'!BF477</f>
        <v>12919.5</v>
      </c>
      <c r="BG57" s="106">
        <f>'2020'!BG477</f>
        <v>8340</v>
      </c>
      <c r="BH57" s="106">
        <f>'2020'!BH477</f>
        <v>2726.23</v>
      </c>
      <c r="BI57" s="106">
        <f t="shared" si="2"/>
        <v>0</v>
      </c>
      <c r="BJ57" s="338">
        <f t="shared" si="3"/>
        <v>2726.23</v>
      </c>
    </row>
    <row r="58" ht="15.75" customHeight="1" spans="1:62" x14ac:dyDescent="0.25">
      <c r="A58" s="14"/>
      <c r="B58" s="125">
        <v>54</v>
      </c>
      <c r="C58" s="115">
        <v>5.54</v>
      </c>
      <c r="D58" s="117" t="s">
        <v>212</v>
      </c>
      <c r="E58" s="119">
        <f>'2020'!I486</f>
        <v>243</v>
      </c>
      <c r="F58" s="119">
        <f>'2020'!J486</f>
        <v>0</v>
      </c>
      <c r="G58" s="106">
        <f>'2020'!K486</f>
        <v>0</v>
      </c>
      <c r="H58" s="106">
        <f>'2020'!L486</f>
      </c>
      <c r="I58" s="119">
        <f>'2020'!M486</f>
        <v>243</v>
      </c>
      <c r="J58" s="119">
        <f>'2020'!N486</f>
        <v>0</v>
      </c>
      <c r="K58" s="106">
        <f>'2020'!O486</f>
        <v>0</v>
      </c>
      <c r="L58" s="106">
        <f>'2020'!P486</f>
      </c>
      <c r="M58" s="119">
        <f>'2020'!Q486</f>
        <v>243</v>
      </c>
      <c r="N58" s="119">
        <f>'2020'!R486</f>
        <v>0</v>
      </c>
      <c r="O58" s="106">
        <f>'2020'!S486</f>
        <v>0</v>
      </c>
      <c r="P58" s="106">
        <f>'2020'!T486</f>
      </c>
      <c r="Q58" s="119">
        <f>'2020'!U486</f>
        <v>246</v>
      </c>
      <c r="R58" s="119">
        <f>'2020'!V486</f>
        <v>3</v>
      </c>
      <c r="S58" s="106">
        <f>'2020'!W486</f>
        <v>7.5</v>
      </c>
      <c r="T58" s="106">
        <f>'2020'!X486</f>
      </c>
      <c r="U58" s="119">
        <f>'2020'!Y486</f>
        <v>257</v>
      </c>
      <c r="V58" s="119">
        <f>'2020'!Z486</f>
        <v>11</v>
      </c>
      <c r="W58" s="106">
        <f>'2020'!AA486</f>
        <v>27.5</v>
      </c>
      <c r="X58" s="106">
        <f>'2020'!AB486</f>
      </c>
      <c r="Y58" s="119">
        <f>'2020'!AC486</f>
        <v>266</v>
      </c>
      <c r="Z58" s="119">
        <f>'2020'!AD486</f>
        <v>9</v>
      </c>
      <c r="AA58" s="106">
        <f>'2020'!AE486</f>
        <v>22.5</v>
      </c>
      <c r="AB58" s="106">
        <f>'2020'!AF486</f>
        <v>80.26</v>
      </c>
      <c r="AC58" s="119">
        <f>'2020'!AG486</f>
        <v>282</v>
      </c>
      <c r="AD58" s="119">
        <f>'2020'!AH486</f>
        <v>16</v>
      </c>
      <c r="AE58" s="106">
        <f>'2020'!AI486</f>
        <v>41.6</v>
      </c>
      <c r="AF58" s="106">
        <f>'2020'!AJ486</f>
        <v>100.87</v>
      </c>
      <c r="AG58" s="119">
        <f>'2020'!AK486</f>
        <v>293</v>
      </c>
      <c r="AH58" s="119">
        <f>'2020'!AL486</f>
        <v>11</v>
      </c>
      <c r="AI58" s="106">
        <f>'2020'!AM486</f>
        <v>28.6</v>
      </c>
      <c r="AJ58" s="106">
        <f>'2020'!AN486</f>
      </c>
      <c r="AK58" s="119">
        <f>'2020'!AO486</f>
        <v>309</v>
      </c>
      <c r="AL58" s="119">
        <f>'2020'!AP486</f>
        <v>16</v>
      </c>
      <c r="AM58" s="106">
        <f>'2020'!AQ486</f>
        <v>41.6</v>
      </c>
      <c r="AN58" s="106">
        <f>'2020'!AR486</f>
      </c>
      <c r="AO58" s="119">
        <f>'2020'!AS486</f>
        <v>329</v>
      </c>
      <c r="AP58" s="119">
        <f>'2020'!AT486</f>
        <v>20</v>
      </c>
      <c r="AQ58" s="106">
        <f>'2020'!AU486</f>
        <v>52</v>
      </c>
      <c r="AR58" s="106">
        <f>'2020'!AV486</f>
      </c>
      <c r="AS58" s="119">
        <f>'2020'!AW486</f>
        <v>346</v>
      </c>
      <c r="AT58" s="119">
        <f>'2020'!AX486</f>
        <v>17</v>
      </c>
      <c r="AU58" s="106">
        <f>'2020'!AY486</f>
        <v>44.2</v>
      </c>
      <c r="AV58" s="106">
        <f>'2020'!AZ486</f>
      </c>
      <c r="AW58" s="106"/>
      <c r="AX58" s="106">
        <f t="shared" si="0"/>
        <v>0</v>
      </c>
      <c r="AY58" s="119">
        <f>'2020'!BA486</f>
        <v>346</v>
      </c>
      <c r="AZ58" s="119">
        <f>'2020'!BB486</f>
        <v>0</v>
      </c>
      <c r="BA58" s="106">
        <f>'2020'!BC486</f>
        <v>0</v>
      </c>
      <c r="BB58" s="106">
        <f>'2020'!BD486</f>
      </c>
      <c r="BC58" s="106"/>
      <c r="BD58" s="106">
        <f t="shared" si="1"/>
        <v>0</v>
      </c>
      <c r="BE58" s="119">
        <f>'2020'!BE486</f>
        <v>103</v>
      </c>
      <c r="BF58" s="106">
        <f>'2020'!BF486</f>
        <v>265.5</v>
      </c>
      <c r="BG58" s="106">
        <f>'2020'!BG486</f>
        <v>181.13</v>
      </c>
      <c r="BH58" s="106">
        <f>'2020'!BH486</f>
        <v>101.64</v>
      </c>
      <c r="BI58" s="106">
        <f t="shared" si="2"/>
        <v>0</v>
      </c>
      <c r="BJ58" s="338">
        <f t="shared" si="3"/>
        <v>101.64</v>
      </c>
    </row>
    <row r="59" ht="15.75" customHeight="1" hidden="1" spans="1:62" x14ac:dyDescent="0.25">
      <c r="A59" s="21"/>
      <c r="B59" s="118">
        <v>55</v>
      </c>
      <c r="C59" s="116">
        <v>5.5</v>
      </c>
      <c r="D59" s="117" t="s">
        <v>214</v>
      </c>
      <c r="E59" s="119">
        <f>'2020'!I495</f>
        <v>369</v>
      </c>
      <c r="F59" s="119">
        <f>'2020'!J495</f>
        <v>0</v>
      </c>
      <c r="G59" s="106">
        <f>'2020'!K495</f>
        <v>0</v>
      </c>
      <c r="H59" s="106">
        <f>'2020'!L495</f>
      </c>
      <c r="I59" s="119">
        <f>'2020'!M495</f>
        <v>369</v>
      </c>
      <c r="J59" s="119">
        <f>'2020'!N495</f>
        <v>0</v>
      </c>
      <c r="K59" s="106">
        <f>'2020'!O495</f>
        <v>0</v>
      </c>
      <c r="L59" s="106">
        <f>'2020'!P495</f>
      </c>
      <c r="M59" s="119">
        <f>'2020'!Q495</f>
        <v>369</v>
      </c>
      <c r="N59" s="119">
        <f>'2020'!R495</f>
        <v>0</v>
      </c>
      <c r="O59" s="106">
        <f>'2020'!S495</f>
        <v>0</v>
      </c>
      <c r="P59" s="106">
        <f>'2020'!T495</f>
      </c>
      <c r="Q59" s="119">
        <f>'2020'!U495</f>
        <v>388</v>
      </c>
      <c r="R59" s="119">
        <f>'2020'!V495</f>
        <v>19</v>
      </c>
      <c r="S59" s="106">
        <f>'2020'!W495</f>
        <v>47.5</v>
      </c>
      <c r="T59" s="106">
        <f>'2020'!X495</f>
      </c>
      <c r="U59" s="119">
        <f>'2020'!Y495</f>
        <v>440</v>
      </c>
      <c r="V59" s="119">
        <f>'2020'!Z495</f>
        <v>52</v>
      </c>
      <c r="W59" s="106">
        <f>'2020'!AA495</f>
        <v>130</v>
      </c>
      <c r="X59" s="106">
        <f>'2020'!AB495</f>
      </c>
      <c r="Y59" s="119">
        <f>'2020'!AC495</f>
        <v>470</v>
      </c>
      <c r="Z59" s="119">
        <f>'2020'!AD495</f>
        <v>30</v>
      </c>
      <c r="AA59" s="106">
        <f>'2020'!AE495</f>
        <v>75</v>
      </c>
      <c r="AB59" s="106">
        <f>'2020'!AF495</f>
        <v>330</v>
      </c>
      <c r="AC59" s="119">
        <f>'2020'!AG495</f>
        <v>487</v>
      </c>
      <c r="AD59" s="119">
        <f>'2020'!AH495</f>
        <v>17</v>
      </c>
      <c r="AE59" s="106">
        <f>'2020'!AI495</f>
        <v>44.2</v>
      </c>
      <c r="AF59" s="106">
        <f>'2020'!AJ495</f>
      </c>
      <c r="AG59" s="119">
        <f>'2020'!AK495</f>
        <v>499</v>
      </c>
      <c r="AH59" s="119">
        <f>'2020'!AL495</f>
        <v>12</v>
      </c>
      <c r="AI59" s="106">
        <f>'2020'!AM495</f>
        <v>31.2</v>
      </c>
      <c r="AJ59" s="106">
        <f>'2020'!AN495</f>
        <v>176.62</v>
      </c>
      <c r="AK59" s="119">
        <f>'2020'!AO495</f>
        <v>511</v>
      </c>
      <c r="AL59" s="119">
        <f>'2020'!AP495</f>
        <v>12</v>
      </c>
      <c r="AM59" s="106">
        <f>'2020'!AQ495</f>
        <v>31.2</v>
      </c>
      <c r="AN59" s="106">
        <f>'2020'!AR495</f>
      </c>
      <c r="AO59" s="119">
        <f>'2020'!AS495</f>
        <v>536</v>
      </c>
      <c r="AP59" s="119">
        <f>'2020'!AT495</f>
        <v>25</v>
      </c>
      <c r="AQ59" s="106">
        <f>'2020'!AU495</f>
        <v>65</v>
      </c>
      <c r="AR59" s="106">
        <f>'2020'!AV495</f>
      </c>
      <c r="AS59" s="126">
        <f>'2020'!AW495</f>
        <v>536</v>
      </c>
      <c r="AT59" s="119">
        <f>'2020'!AX495</f>
        <v>0</v>
      </c>
      <c r="AU59" s="106">
        <f>'2020'!AY495</f>
        <v>0</v>
      </c>
      <c r="AV59" s="106">
        <f>'2020'!AZ495</f>
      </c>
      <c r="AW59" s="106"/>
      <c r="AX59" s="106">
        <f t="shared" si="0"/>
        <v>0</v>
      </c>
      <c r="AY59" s="119">
        <f>'2020'!BA495</f>
        <v>536</v>
      </c>
      <c r="AZ59" s="119">
        <f>'2020'!BB495</f>
        <v>0</v>
      </c>
      <c r="BA59" s="106">
        <f>'2020'!BC495</f>
        <v>0</v>
      </c>
      <c r="BB59" s="106">
        <f>'2020'!BD495</f>
      </c>
      <c r="BC59" s="106"/>
      <c r="BD59" s="106">
        <f t="shared" si="1"/>
        <v>0</v>
      </c>
      <c r="BE59" s="119">
        <f>'2020'!BE495</f>
        <v>167</v>
      </c>
      <c r="BF59" s="106">
        <f>'2020'!BF495</f>
        <v>424.1</v>
      </c>
      <c r="BG59" s="106">
        <f>'2020'!BG495</f>
        <v>506.62</v>
      </c>
      <c r="BH59" s="106">
        <f>'2020'!BH495</f>
        <v>69.98</v>
      </c>
      <c r="BI59" s="106">
        <f t="shared" si="2"/>
        <v>0</v>
      </c>
      <c r="BJ59" s="338">
        <f t="shared" si="3"/>
        <v>69.98</v>
      </c>
    </row>
    <row r="60" ht="15.75" customHeight="1" spans="1:62" x14ac:dyDescent="0.25">
      <c r="A60" s="114" t="s">
        <v>217</v>
      </c>
      <c r="B60" s="125">
        <v>56</v>
      </c>
      <c r="C60" s="115">
        <v>6.23</v>
      </c>
      <c r="D60" s="117" t="s">
        <v>423</v>
      </c>
      <c r="E60" s="119">
        <f>'2020'!I504</f>
        <v>6959</v>
      </c>
      <c r="F60" s="119">
        <f>'2020'!J504</f>
        <v>1525</v>
      </c>
      <c r="G60" s="106">
        <f>'2020'!K504</f>
        <v>3812.5</v>
      </c>
      <c r="H60" s="106">
        <f>'2020'!L504</f>
      </c>
      <c r="I60" s="119">
        <f>'2020'!M504</f>
        <v>8668</v>
      </c>
      <c r="J60" s="119">
        <f>'2020'!N504</f>
        <v>1709</v>
      </c>
      <c r="K60" s="106">
        <f>'2020'!O504</f>
        <v>4272.5</v>
      </c>
      <c r="L60" s="106">
        <f>'2020'!P504</f>
        <v>4000</v>
      </c>
      <c r="M60" s="119">
        <f>'2020'!Q504</f>
        <v>10622</v>
      </c>
      <c r="N60" s="119">
        <f>'2020'!R504</f>
        <v>1954</v>
      </c>
      <c r="O60" s="106">
        <f>'2020'!S504</f>
        <v>4885</v>
      </c>
      <c r="P60" s="106">
        <f>'2020'!T504</f>
        <v>10135</v>
      </c>
      <c r="Q60" s="119">
        <f>'2020'!U504</f>
        <v>11283</v>
      </c>
      <c r="R60" s="119">
        <f>'2020'!V504</f>
        <v>661</v>
      </c>
      <c r="S60" s="106">
        <f>'2020'!W504</f>
        <v>1652.5</v>
      </c>
      <c r="T60" s="106">
        <f>'2020'!X504</f>
        <v>1652.5</v>
      </c>
      <c r="U60" s="119">
        <f>'2020'!Y504</f>
        <v>11802</v>
      </c>
      <c r="V60" s="119">
        <f>'2020'!Z504</f>
        <v>519</v>
      </c>
      <c r="W60" s="106">
        <f>'2020'!AA504</f>
        <v>1297.5</v>
      </c>
      <c r="X60" s="106">
        <f>'2020'!AB504</f>
        <v>1297.5</v>
      </c>
      <c r="Y60" s="119">
        <f>'2020'!AC504</f>
        <v>12269</v>
      </c>
      <c r="Z60" s="119">
        <f>'2020'!AD504</f>
        <v>467</v>
      </c>
      <c r="AA60" s="106">
        <f>'2020'!AE504</f>
        <v>1167.5</v>
      </c>
      <c r="AB60" s="106">
        <f>'2020'!AF504</f>
      </c>
      <c r="AC60" s="119">
        <f>'2020'!AG504</f>
        <v>12761</v>
      </c>
      <c r="AD60" s="119">
        <f>'2020'!AH504</f>
        <v>492</v>
      </c>
      <c r="AE60" s="106">
        <f>'2020'!AI504</f>
        <v>1279.2</v>
      </c>
      <c r="AF60" s="106">
        <f>'2020'!AJ504</f>
        <v>1167.5</v>
      </c>
      <c r="AG60" s="119">
        <f>'2020'!AK504</f>
        <v>13324</v>
      </c>
      <c r="AH60" s="119">
        <f>'2020'!AL504</f>
        <v>563</v>
      </c>
      <c r="AI60" s="106">
        <f>'2020'!AM504</f>
        <v>1463.8</v>
      </c>
      <c r="AJ60" s="106">
        <f>'2020'!AN504</f>
        <v>1279.2</v>
      </c>
      <c r="AK60" s="119">
        <f>'2020'!AO504</f>
        <v>13947</v>
      </c>
      <c r="AL60" s="119">
        <f>'2020'!AP504</f>
        <v>623</v>
      </c>
      <c r="AM60" s="106">
        <f>'2020'!AQ504</f>
        <v>1619.8</v>
      </c>
      <c r="AN60" s="106">
        <f>'2020'!AR504</f>
        <v>1483.24</v>
      </c>
      <c r="AO60" s="119">
        <f>'2020'!AS504</f>
        <v>14658</v>
      </c>
      <c r="AP60" s="119">
        <f>'2020'!AT504</f>
        <v>711</v>
      </c>
      <c r="AQ60" s="106">
        <f>'2020'!AU504</f>
        <v>1848.6</v>
      </c>
      <c r="AR60" s="106">
        <f>'2020'!AV504</f>
        <v>1600.36</v>
      </c>
      <c r="AS60" s="126">
        <f>'2020'!AW504</f>
        <v>15850</v>
      </c>
      <c r="AT60" s="119">
        <f>'2020'!AX504</f>
        <v>1192</v>
      </c>
      <c r="AU60" s="106">
        <f>'2020'!AY504</f>
        <v>3099.2</v>
      </c>
      <c r="AV60" s="106">
        <f>'2020'!AZ504</f>
        <v>2000</v>
      </c>
      <c r="AW60" s="106"/>
      <c r="AX60" s="106">
        <f t="shared" si="0"/>
        <v>0</v>
      </c>
      <c r="AY60" s="119">
        <f>'2020'!BA504</f>
        <v>16359</v>
      </c>
      <c r="AZ60" s="119">
        <f>'2020'!BB504</f>
        <v>509</v>
      </c>
      <c r="BA60" s="106">
        <f>'2020'!BC504</f>
        <v>1323.4</v>
      </c>
      <c r="BB60" s="106">
        <f>'2020'!BD504</f>
        <v>4271.2</v>
      </c>
      <c r="BC60" s="106"/>
      <c r="BD60" s="106">
        <f t="shared" si="1"/>
        <v>0</v>
      </c>
      <c r="BE60" s="119">
        <f>'2020'!BE504</f>
        <v>10925</v>
      </c>
      <c r="BF60" s="106">
        <f>'2020'!BF504</f>
        <v>27721.5</v>
      </c>
      <c r="BG60" s="106">
        <f>'2020'!BG504</f>
        <v>28886.5</v>
      </c>
      <c r="BH60" s="106">
        <f>'2020'!BH504</f>
        <v>0</v>
      </c>
      <c r="BI60" s="106">
        <f t="shared" si="2"/>
        <v>0</v>
      </c>
      <c r="BJ60" s="338">
        <f t="shared" si="3"/>
        <v>0</v>
      </c>
    </row>
    <row r="61" ht="15.75" customHeight="1" spans="1:62" x14ac:dyDescent="0.25">
      <c r="A61" s="14"/>
      <c r="B61" s="125">
        <v>57</v>
      </c>
      <c r="C61" s="116">
        <v>4</v>
      </c>
      <c r="D61" s="2" t="s">
        <v>502</v>
      </c>
      <c r="E61" s="119">
        <f>'2020'!I513</f>
        <v>462</v>
      </c>
      <c r="F61" s="119">
        <f>'2020'!J513</f>
        <v>0</v>
      </c>
      <c r="G61" s="106">
        <f>'2020'!K513</f>
        <v>0</v>
      </c>
      <c r="H61" s="106">
        <f>'2020'!L513</f>
      </c>
      <c r="I61" s="119">
        <f>'2020'!M513</f>
        <v>462</v>
      </c>
      <c r="J61" s="119">
        <f>'2020'!N513</f>
        <v>0</v>
      </c>
      <c r="K61" s="106">
        <f>'2020'!O513</f>
        <v>0</v>
      </c>
      <c r="L61" s="106">
        <f>'2020'!P513</f>
      </c>
      <c r="M61" s="119">
        <f>'2020'!Q513</f>
        <v>462</v>
      </c>
      <c r="N61" s="119">
        <f>'2020'!R513</f>
        <v>0</v>
      </c>
      <c r="O61" s="106">
        <f>'2020'!S513</f>
        <v>0</v>
      </c>
      <c r="P61" s="106">
        <f>'2020'!T513</f>
      </c>
      <c r="Q61" s="119">
        <f>'2020'!U513</f>
        <v>462</v>
      </c>
      <c r="R61" s="119">
        <f>'2020'!V513</f>
        <v>0</v>
      </c>
      <c r="S61" s="106">
        <f>'2020'!W513</f>
        <v>0</v>
      </c>
      <c r="T61" s="106">
        <f>'2020'!X513</f>
      </c>
      <c r="U61" s="119">
        <f>'2020'!Y513</f>
        <v>462</v>
      </c>
      <c r="V61" s="119">
        <f>'2020'!Z513</f>
        <v>0</v>
      </c>
      <c r="W61" s="106">
        <f>'2020'!AA513</f>
        <v>0</v>
      </c>
      <c r="X61" s="106">
        <f>'2020'!AB513</f>
      </c>
      <c r="Y61" s="119">
        <f>'2020'!AC513</f>
        <v>462</v>
      </c>
      <c r="Z61" s="119">
        <f>'2020'!AD513</f>
        <v>0</v>
      </c>
      <c r="AA61" s="106">
        <f>'2020'!AE513</f>
        <v>0</v>
      </c>
      <c r="AB61" s="106">
        <f>'2020'!AF513</f>
      </c>
      <c r="AC61" s="119">
        <f>'2020'!AG513</f>
        <v>462</v>
      </c>
      <c r="AD61" s="119">
        <f>'2020'!AH513</f>
        <v>0</v>
      </c>
      <c r="AE61" s="106">
        <f>'2020'!AI513</f>
        <v>0</v>
      </c>
      <c r="AF61" s="106">
        <f>'2020'!AJ513</f>
      </c>
      <c r="AG61" s="119">
        <f>'2020'!AK513</f>
        <v>462</v>
      </c>
      <c r="AH61" s="119">
        <f>'2020'!AL513</f>
        <v>0</v>
      </c>
      <c r="AI61" s="106">
        <f>'2020'!AM513</f>
        <v>0</v>
      </c>
      <c r="AJ61" s="106">
        <f>'2020'!AN513</f>
      </c>
      <c r="AK61" s="119">
        <f>'2020'!AO513</f>
        <v>466</v>
      </c>
      <c r="AL61" s="119">
        <f>'2020'!AP513</f>
        <v>4</v>
      </c>
      <c r="AM61" s="106">
        <f>'2020'!AQ513</f>
        <v>10.4</v>
      </c>
      <c r="AN61" s="106">
        <f>'2020'!AR513</f>
        <v>4.12</v>
      </c>
      <c r="AO61" s="119">
        <f>'2020'!AS513</f>
        <v>483</v>
      </c>
      <c r="AP61" s="119">
        <f>'2020'!AT513</f>
        <v>17</v>
      </c>
      <c r="AQ61" s="106">
        <f>'2020'!AU513</f>
        <v>44.2</v>
      </c>
      <c r="AR61" s="106">
        <f>'2020'!AV513</f>
      </c>
      <c r="AS61" s="119">
        <f>'2020'!AW513</f>
        <v>495</v>
      </c>
      <c r="AT61" s="119">
        <f>'2020'!AX513</f>
        <v>12</v>
      </c>
      <c r="AU61" s="106">
        <f>'2020'!AY513</f>
        <v>31.2</v>
      </c>
      <c r="AV61" s="106">
        <f>'2020'!AZ513</f>
      </c>
      <c r="AW61" s="106"/>
      <c r="AX61" s="106">
        <f t="shared" si="0"/>
        <v>0</v>
      </c>
      <c r="AY61" s="119">
        <f>'2020'!BA513</f>
        <v>495</v>
      </c>
      <c r="AZ61" s="119">
        <f>'2020'!BB513</f>
        <v>0</v>
      </c>
      <c r="BA61" s="106">
        <f>'2020'!BC513</f>
        <v>0</v>
      </c>
      <c r="BB61" s="106">
        <f>'2020'!BD513</f>
      </c>
      <c r="BC61" s="106"/>
      <c r="BD61" s="106">
        <f t="shared" si="1"/>
        <v>0</v>
      </c>
      <c r="BE61" s="119">
        <f>'2020'!BE513</f>
        <v>33</v>
      </c>
      <c r="BF61" s="106">
        <f>'2020'!BF513</f>
        <v>85.8</v>
      </c>
      <c r="BG61" s="106">
        <f>'2020'!BG513</f>
        <v>4.12</v>
      </c>
      <c r="BH61" s="106">
        <f>'2020'!BH513</f>
        <v>86.66</v>
      </c>
      <c r="BI61" s="106">
        <f t="shared" si="2"/>
        <v>0</v>
      </c>
      <c r="BJ61" s="338">
        <f t="shared" si="3"/>
        <v>86.66</v>
      </c>
    </row>
    <row r="62" ht="15.75" customHeight="1" hidden="1" spans="1:62" x14ac:dyDescent="0.25">
      <c r="A62" s="14"/>
      <c r="B62" s="115">
        <v>59</v>
      </c>
      <c r="C62" s="116">
        <v>4</v>
      </c>
      <c r="D62" s="117" t="s">
        <v>221</v>
      </c>
      <c r="E62" s="119">
        <f>'2020'!I522</f>
      </c>
      <c r="F62" s="119">
        <f>'2020'!J522</f>
      </c>
      <c r="G62" s="106">
        <f>'2020'!K522</f>
        <v>0</v>
      </c>
      <c r="H62" s="106">
        <f>'2020'!L522</f>
      </c>
      <c r="I62" s="119">
        <f>'2020'!M522</f>
      </c>
      <c r="J62" s="119">
        <f>'2020'!N522</f>
      </c>
      <c r="K62" s="106">
        <f>'2020'!O522</f>
        <v>0</v>
      </c>
      <c r="L62" s="106">
        <f>'2020'!P522</f>
      </c>
      <c r="M62" s="119">
        <f>'2020'!Q522</f>
      </c>
      <c r="N62" s="119">
        <f>'2020'!R522</f>
        <v>0</v>
      </c>
      <c r="O62" s="106">
        <f>'2020'!S522</f>
        <v>0</v>
      </c>
      <c r="P62" s="106">
        <f>'2020'!T522</f>
      </c>
      <c r="Q62" s="119">
        <f>'2020'!U522</f>
      </c>
      <c r="R62" s="119">
        <f>'2020'!V522</f>
        <v>0</v>
      </c>
      <c r="S62" s="106">
        <f>'2020'!W522</f>
        <v>0</v>
      </c>
      <c r="T62" s="106">
        <f>'2020'!X522</f>
      </c>
      <c r="U62" s="119">
        <f>'2020'!Y522</f>
      </c>
      <c r="V62" s="119">
        <f>'2020'!Z522</f>
        <v>0</v>
      </c>
      <c r="W62" s="106">
        <f>'2020'!AA522</f>
        <v>0</v>
      </c>
      <c r="X62" s="106">
        <f>'2020'!AB522</f>
      </c>
      <c r="Y62" s="119">
        <f>'2020'!AC522</f>
      </c>
      <c r="Z62" s="119">
        <f>'2020'!AD522</f>
        <v>0</v>
      </c>
      <c r="AA62" s="106">
        <f>'2020'!AE522</f>
        <v>0</v>
      </c>
      <c r="AB62" s="106">
        <f>'2020'!AF522</f>
      </c>
      <c r="AC62" s="119">
        <f>'2020'!AG522</f>
      </c>
      <c r="AD62" s="119">
        <f>'2020'!AH522</f>
        <v>0</v>
      </c>
      <c r="AE62" s="106">
        <f>'2020'!AI522</f>
        <v>0</v>
      </c>
      <c r="AF62" s="106">
        <f>'2020'!AJ522</f>
      </c>
      <c r="AG62" s="119">
        <f>'2020'!AK522</f>
        <v>0</v>
      </c>
      <c r="AH62" s="119">
        <f>'2020'!AL522</f>
        <v>0</v>
      </c>
      <c r="AI62" s="106">
        <f>'2020'!AM522</f>
        <v>0</v>
      </c>
      <c r="AJ62" s="106">
        <f>'2020'!AN522</f>
      </c>
      <c r="AK62" s="119">
        <f>'2020'!AO522</f>
        <v>0</v>
      </c>
      <c r="AL62" s="119">
        <f>'2020'!AP522</f>
        <v>0</v>
      </c>
      <c r="AM62" s="106">
        <f>'2020'!AQ522</f>
        <v>0</v>
      </c>
      <c r="AN62" s="106">
        <f>'2020'!AR522</f>
      </c>
      <c r="AO62" s="119">
        <f>'2020'!AS522</f>
        <v>0</v>
      </c>
      <c r="AP62" s="119">
        <f>'2020'!AT522</f>
        <v>0</v>
      </c>
      <c r="AQ62" s="106">
        <f>'2020'!AU522</f>
        <v>0</v>
      </c>
      <c r="AR62" s="106">
        <f>'2020'!AV522</f>
      </c>
      <c r="AS62" s="119">
        <f>'2020'!AW522</f>
        <v>0</v>
      </c>
      <c r="AT62" s="119">
        <f>'2020'!AX522</f>
        <v>0</v>
      </c>
      <c r="AU62" s="106">
        <f>'2020'!AY522</f>
        <v>0</v>
      </c>
      <c r="AV62" s="106">
        <f>'2020'!AZ522</f>
      </c>
      <c r="AW62" s="106"/>
      <c r="AX62" s="106">
        <f t="shared" si="0"/>
        <v>0</v>
      </c>
      <c r="AY62" s="119">
        <f>'2020'!BA522</f>
        <v>0</v>
      </c>
      <c r="AZ62" s="119">
        <f>'2020'!BB522</f>
        <v>0</v>
      </c>
      <c r="BA62" s="106">
        <f>'2020'!BC522</f>
        <v>0</v>
      </c>
      <c r="BB62" s="106">
        <f>'2020'!BD522</f>
      </c>
      <c r="BC62" s="106"/>
      <c r="BD62" s="106">
        <f t="shared" si="1"/>
        <v>0</v>
      </c>
      <c r="BE62" s="119">
        <f>'2020'!BE522</f>
        <v>0</v>
      </c>
      <c r="BF62" s="106">
        <f>'2020'!BF522</f>
        <v>0</v>
      </c>
      <c r="BG62" s="106">
        <f>'2020'!BG522</f>
        <v>0</v>
      </c>
      <c r="BH62" s="106">
        <f>'2020'!BH522</f>
        <v>0</v>
      </c>
      <c r="BI62" s="106">
        <f t="shared" si="2"/>
        <v>0</v>
      </c>
      <c r="BJ62" s="338">
        <f t="shared" si="3"/>
        <v>0</v>
      </c>
    </row>
    <row r="63" ht="15.75" customHeight="1" spans="1:62" x14ac:dyDescent="0.25">
      <c r="A63" s="14"/>
      <c r="B63" s="125">
        <v>58</v>
      </c>
      <c r="C63" s="115">
        <v>5.08</v>
      </c>
      <c r="D63" s="117" t="s">
        <v>223</v>
      </c>
      <c r="E63" s="119">
        <f>'2020'!I531</f>
        <v>3110</v>
      </c>
      <c r="F63" s="119">
        <f>'2020'!J531</f>
        <v>5</v>
      </c>
      <c r="G63" s="106">
        <f>'2020'!K531</f>
        <v>12.5</v>
      </c>
      <c r="H63" s="106">
        <f>'2020'!L531</f>
      </c>
      <c r="I63" s="119">
        <f>'2020'!M531</f>
        <v>3111</v>
      </c>
      <c r="J63" s="119">
        <f>'2020'!N531</f>
        <v>1</v>
      </c>
      <c r="K63" s="106">
        <f>'2020'!O531</f>
        <v>2.5</v>
      </c>
      <c r="L63" s="106">
        <f>'2020'!P531</f>
      </c>
      <c r="M63" s="119">
        <f>'2020'!Q531</f>
        <v>3112</v>
      </c>
      <c r="N63" s="119">
        <f>'2020'!R531</f>
        <v>1</v>
      </c>
      <c r="O63" s="106">
        <f>'2020'!S531</f>
        <v>2.5</v>
      </c>
      <c r="P63" s="106">
        <f>'2020'!T531</f>
      </c>
      <c r="Q63" s="119">
        <f>'2020'!U531</f>
        <v>3115</v>
      </c>
      <c r="R63" s="119">
        <f>'2020'!V531</f>
        <v>3</v>
      </c>
      <c r="S63" s="106">
        <f>'2020'!W531</f>
        <v>7.5</v>
      </c>
      <c r="T63" s="106">
        <f>'2020'!X531</f>
      </c>
      <c r="U63" s="119">
        <f>'2020'!Y531</f>
        <v>3122</v>
      </c>
      <c r="V63" s="119">
        <f>'2020'!Z531</f>
        <v>7</v>
      </c>
      <c r="W63" s="106">
        <f>'2020'!AA531</f>
        <v>17.5</v>
      </c>
      <c r="X63" s="106">
        <f>'2020'!AB531</f>
      </c>
      <c r="Y63" s="119">
        <f>'2020'!AC531</f>
        <v>3314</v>
      </c>
      <c r="Z63" s="119">
        <f>'2020'!AD531</f>
        <v>192</v>
      </c>
      <c r="AA63" s="106">
        <f>'2020'!AE531</f>
        <v>480</v>
      </c>
      <c r="AB63" s="106">
        <f>'2020'!AF531</f>
        <v>633.6</v>
      </c>
      <c r="AC63" s="119">
        <f>'2020'!AG531</f>
        <v>3360</v>
      </c>
      <c r="AD63" s="119">
        <f>'2020'!AH531</f>
        <v>46</v>
      </c>
      <c r="AE63" s="106">
        <f>'2020'!AI531</f>
        <v>119.6</v>
      </c>
      <c r="AF63" s="106">
        <f>'2020'!AJ531</f>
        <v>1500</v>
      </c>
      <c r="AG63" s="119">
        <f>'2020'!AK531</f>
        <v>3429</v>
      </c>
      <c r="AH63" s="119">
        <f>'2020'!AL531</f>
        <v>69</v>
      </c>
      <c r="AI63" s="106">
        <f>'2020'!AM531</f>
        <v>179.4</v>
      </c>
      <c r="AJ63" s="106">
        <f>'2020'!AN531</f>
      </c>
      <c r="AK63" s="119">
        <f>'2020'!AO531</f>
        <v>3445</v>
      </c>
      <c r="AL63" s="119">
        <f>'2020'!AP531</f>
        <v>16</v>
      </c>
      <c r="AM63" s="106">
        <f>'2020'!AQ531</f>
        <v>41.6</v>
      </c>
      <c r="AN63" s="106">
        <f>'2020'!AR531</f>
      </c>
      <c r="AO63" s="119">
        <f>'2020'!AS531</f>
        <v>646</v>
      </c>
      <c r="AP63" s="119">
        <f>'2020'!AT531</f>
        <v>646</v>
      </c>
      <c r="AQ63" s="106">
        <f>'2020'!AU531</f>
        <v>1679.6</v>
      </c>
      <c r="AR63" s="106">
        <f>'2020'!AV531</f>
      </c>
      <c r="AS63" s="126">
        <f>'2020'!AW531</f>
        <v>703</v>
      </c>
      <c r="AT63" s="119">
        <f>'2020'!AX531</f>
        <v>57</v>
      </c>
      <c r="AU63" s="106">
        <f>'2020'!AY531</f>
        <v>148.2</v>
      </c>
      <c r="AV63" s="106">
        <f>'2020'!AZ531</f>
      </c>
      <c r="AW63" s="119"/>
      <c r="AX63" s="106">
        <f t="shared" si="0"/>
        <v>0</v>
      </c>
      <c r="AY63" s="119">
        <f>'2020'!BA531</f>
        <v>703</v>
      </c>
      <c r="AZ63" s="119">
        <f>'2020'!BB531</f>
        <v>0</v>
      </c>
      <c r="BA63" s="106">
        <f>'2020'!BC531</f>
        <v>0</v>
      </c>
      <c r="BB63" s="106">
        <f>'2020'!BD531</f>
      </c>
      <c r="BC63" s="106"/>
      <c r="BD63" s="106">
        <f t="shared" si="1"/>
        <v>0</v>
      </c>
      <c r="BE63" s="119">
        <f>'2020'!BE531</f>
        <v>1043</v>
      </c>
      <c r="BF63" s="106">
        <f>'2020'!BF531</f>
        <v>2690.9</v>
      </c>
      <c r="BG63" s="106">
        <f>'2020'!BG531</f>
        <v>2133.6</v>
      </c>
      <c r="BH63" s="106">
        <f>'2020'!BH531</f>
        <v>507.89</v>
      </c>
      <c r="BI63" s="106">
        <f t="shared" si="2"/>
        <v>0</v>
      </c>
      <c r="BJ63" s="338">
        <f t="shared" si="3"/>
        <v>507.89</v>
      </c>
    </row>
    <row r="64" ht="15.75" customHeight="1" spans="1:62" x14ac:dyDescent="0.25">
      <c r="A64" s="14"/>
      <c r="B64" s="125">
        <v>60</v>
      </c>
      <c r="C64" s="116">
        <v>4.4</v>
      </c>
      <c r="D64" s="117" t="s">
        <v>227</v>
      </c>
      <c r="E64" s="119">
        <f>'2020'!I540</f>
        <v>766</v>
      </c>
      <c r="F64" s="119">
        <f>'2020'!J540</f>
        <v>3</v>
      </c>
      <c r="G64" s="106">
        <f>'2020'!K540</f>
        <v>7.5</v>
      </c>
      <c r="H64" s="106">
        <f>'2020'!L540</f>
      </c>
      <c r="I64" s="119">
        <f>'2020'!M540</f>
        <v>768</v>
      </c>
      <c r="J64" s="119">
        <f>'2020'!N540</f>
        <v>2</v>
      </c>
      <c r="K64" s="106">
        <f>'2020'!O540</f>
        <v>5</v>
      </c>
      <c r="L64" s="106">
        <f>'2020'!P540</f>
      </c>
      <c r="M64" s="119">
        <f>'2020'!Q540</f>
        <v>784</v>
      </c>
      <c r="N64" s="119">
        <f>'2020'!R540</f>
        <v>16</v>
      </c>
      <c r="O64" s="106">
        <f>'2020'!S540</f>
        <v>40</v>
      </c>
      <c r="P64" s="106">
        <f>'2020'!T540</f>
      </c>
      <c r="Q64" s="119">
        <f>'2020'!U540</f>
        <v>797</v>
      </c>
      <c r="R64" s="119">
        <f>'2020'!V540</f>
        <v>13</v>
      </c>
      <c r="S64" s="106">
        <f>'2020'!W540</f>
        <v>32.5</v>
      </c>
      <c r="T64" s="106">
        <f>'2020'!X540</f>
      </c>
      <c r="U64" s="119">
        <f>'2020'!Y540</f>
        <v>814</v>
      </c>
      <c r="V64" s="119">
        <f>'2020'!Z540</f>
        <v>17</v>
      </c>
      <c r="W64" s="106">
        <f>'2020'!AA540</f>
        <v>42.5</v>
      </c>
      <c r="X64" s="106">
        <f>'2020'!AB540</f>
      </c>
      <c r="Y64" s="119">
        <f>'2020'!AC540</f>
        <v>851</v>
      </c>
      <c r="Z64" s="119">
        <f>'2020'!AD540</f>
        <v>37</v>
      </c>
      <c r="AA64" s="106">
        <f>'2020'!AE540</f>
        <v>92.5</v>
      </c>
      <c r="AB64" s="106">
        <f>'2020'!AF540</f>
        <v>537.28</v>
      </c>
      <c r="AC64" s="119">
        <f>'2020'!AG540</f>
        <v>897</v>
      </c>
      <c r="AD64" s="119">
        <f>'2020'!AH540</f>
        <v>46</v>
      </c>
      <c r="AE64" s="106">
        <f>'2020'!AI540</f>
        <v>119.6</v>
      </c>
      <c r="AF64" s="106">
        <f>'2020'!AJ540</f>
        <v>111.16</v>
      </c>
      <c r="AG64" s="119">
        <f>'2020'!AK540</f>
        <v>939</v>
      </c>
      <c r="AH64" s="119">
        <f>'2020'!AL540</f>
        <v>42</v>
      </c>
      <c r="AI64" s="106">
        <f>'2020'!AM540</f>
        <v>109.2</v>
      </c>
      <c r="AJ64" s="106">
        <f>'2020'!AN540</f>
        <v>922.16</v>
      </c>
      <c r="AK64" s="119">
        <f>'2020'!AO540</f>
        <v>961</v>
      </c>
      <c r="AL64" s="119">
        <f>'2020'!AP540</f>
        <v>22</v>
      </c>
      <c r="AM64" s="106">
        <f>'2020'!AQ540</f>
        <v>57.2</v>
      </c>
      <c r="AN64" s="106">
        <f>'2020'!AR540</f>
      </c>
      <c r="AO64" s="119">
        <f>'2020'!AS540</f>
        <v>973</v>
      </c>
      <c r="AP64" s="119">
        <f>'2020'!AT540</f>
        <v>12</v>
      </c>
      <c r="AQ64" s="106">
        <f>'2020'!AU540</f>
        <v>31.2</v>
      </c>
      <c r="AR64" s="106">
        <f>'2020'!AV540</f>
      </c>
      <c r="AS64" s="126">
        <f>'2020'!AW540</f>
        <v>416</v>
      </c>
      <c r="AT64" s="119">
        <f>'2020'!AX540</f>
        <v>416</v>
      </c>
      <c r="AU64" s="106">
        <f>'2020'!AY540</f>
        <v>1081.6</v>
      </c>
      <c r="AV64" s="106">
        <f>'2020'!AZ540</f>
        <v>3000</v>
      </c>
      <c r="AW64" s="119">
        <v>400</v>
      </c>
      <c r="AX64" s="106">
        <f t="shared" si="0"/>
        <v>1040</v>
      </c>
      <c r="AY64" s="119">
        <f>'2020'!BA540</f>
        <v>1512</v>
      </c>
      <c r="AZ64" s="119">
        <f>'2020'!BB540</f>
        <v>1096</v>
      </c>
      <c r="BA64" s="106">
        <f>'2020'!BC540</f>
        <v>2849.6</v>
      </c>
      <c r="BB64" s="106">
        <f>'2020'!BD540</f>
        <v>3500</v>
      </c>
      <c r="BC64" s="119">
        <v>718</v>
      </c>
      <c r="BD64" s="106">
        <f t="shared" si="1"/>
        <v>1866.8</v>
      </c>
      <c r="BE64" s="119">
        <f>'2020'!BE540</f>
        <v>1722</v>
      </c>
      <c r="BF64" s="106">
        <f>'2020'!BF540</f>
        <v>4468.4</v>
      </c>
      <c r="BG64" s="106">
        <f>'2020'!BG540</f>
        <v>8070.6</v>
      </c>
      <c r="BH64" s="106">
        <f>'2020'!BH540</f>
        <v>-3275.18</v>
      </c>
      <c r="BI64" s="106">
        <f t="shared" si="2"/>
        <v>2906.8</v>
      </c>
      <c r="BJ64" s="338">
        <f t="shared" si="3"/>
        <v>-368.38</v>
      </c>
    </row>
    <row r="65" ht="15.75" customHeight="1" hidden="1" spans="1:62" x14ac:dyDescent="0.25">
      <c r="A65" s="14"/>
      <c r="B65" s="115">
        <v>61</v>
      </c>
      <c r="C65" s="115">
        <v>4.71</v>
      </c>
      <c r="D65" s="117" t="s">
        <v>231</v>
      </c>
      <c r="E65" s="119">
        <f>'2020'!I549</f>
        <v>303</v>
      </c>
      <c r="F65" s="119">
        <f>'2020'!J549</f>
        <v>0</v>
      </c>
      <c r="G65" s="106">
        <f>'2020'!K549</f>
        <v>0</v>
      </c>
      <c r="H65" s="106">
        <f>'2020'!L549</f>
      </c>
      <c r="I65" s="119">
        <f>'2020'!M549</f>
        <v>303</v>
      </c>
      <c r="J65" s="119">
        <f>'2020'!N549</f>
        <v>0</v>
      </c>
      <c r="K65" s="106">
        <f>'2020'!O549</f>
        <v>0</v>
      </c>
      <c r="L65" s="106">
        <f>'2020'!P549</f>
      </c>
      <c r="M65" s="119">
        <f>'2020'!Q549</f>
        <v>303</v>
      </c>
      <c r="N65" s="119">
        <f>'2020'!R549</f>
        <v>0</v>
      </c>
      <c r="O65" s="106">
        <f>'2020'!S549</f>
        <v>0</v>
      </c>
      <c r="P65" s="106">
        <f>'2020'!T549</f>
      </c>
      <c r="Q65" s="119">
        <f>'2020'!U549</f>
        <v>303</v>
      </c>
      <c r="R65" s="119">
        <f>'2020'!V549</f>
        <v>0</v>
      </c>
      <c r="S65" s="106">
        <f>'2020'!W549</f>
        <v>0</v>
      </c>
      <c r="T65" s="106">
        <f>'2020'!X549</f>
      </c>
      <c r="U65" s="119">
        <f>'2020'!Y549</f>
        <v>308</v>
      </c>
      <c r="V65" s="119">
        <f>'2020'!Z549</f>
        <v>5</v>
      </c>
      <c r="W65" s="106">
        <f>'2020'!AA549</f>
        <v>12.5</v>
      </c>
      <c r="X65" s="106">
        <f>'2020'!AB549</f>
      </c>
      <c r="Y65" s="119">
        <f>'2020'!AC549</f>
        <v>343</v>
      </c>
      <c r="Z65" s="119">
        <f>'2020'!AD549</f>
        <v>35</v>
      </c>
      <c r="AA65" s="106">
        <f>'2020'!AE549</f>
        <v>87.5</v>
      </c>
      <c r="AB65" s="106">
        <f>'2020'!AF549</f>
        <v>51.96</v>
      </c>
      <c r="AC65" s="119">
        <f>'2020'!AG549</f>
        <v>357</v>
      </c>
      <c r="AD65" s="119">
        <f>'2020'!AH549</f>
        <v>14</v>
      </c>
      <c r="AE65" s="106">
        <f>'2020'!AI549</f>
        <v>36.4</v>
      </c>
      <c r="AF65" s="106">
        <f>'2020'!AJ549</f>
      </c>
      <c r="AG65" s="119">
        <f>'2020'!AK549</f>
        <v>370</v>
      </c>
      <c r="AH65" s="119">
        <f>'2020'!AL549</f>
        <v>13</v>
      </c>
      <c r="AI65" s="106">
        <f>'2020'!AM549</f>
        <v>33.8</v>
      </c>
      <c r="AJ65" s="106">
        <f>'2020'!AN549</f>
      </c>
      <c r="AK65" s="119">
        <f>'2020'!AO549</f>
        <v>382</v>
      </c>
      <c r="AL65" s="119">
        <f>'2020'!AP549</f>
        <v>12</v>
      </c>
      <c r="AM65" s="106">
        <f>'2020'!AQ549</f>
        <v>31.2</v>
      </c>
      <c r="AN65" s="106">
        <f>'2020'!AR549</f>
      </c>
      <c r="AO65" s="119">
        <f>'2020'!AS549</f>
        <v>403</v>
      </c>
      <c r="AP65" s="119">
        <f>'2020'!AT549</f>
        <v>21</v>
      </c>
      <c r="AQ65" s="106">
        <f>'2020'!AU549</f>
        <v>54.6</v>
      </c>
      <c r="AR65" s="106">
        <f>'2020'!AV549</f>
      </c>
      <c r="AS65" s="119">
        <f>'2020'!AW549</f>
        <v>403</v>
      </c>
      <c r="AT65" s="119">
        <f>'2020'!AX549</f>
        <v>0</v>
      </c>
      <c r="AU65" s="106">
        <f>'2020'!AY549</f>
        <v>0</v>
      </c>
      <c r="AV65" s="106">
        <f>'2020'!AZ549</f>
      </c>
      <c r="AW65" s="106"/>
      <c r="AX65" s="106">
        <f t="shared" si="0"/>
        <v>0</v>
      </c>
      <c r="AY65" s="119">
        <f>'2020'!BA549</f>
        <v>403</v>
      </c>
      <c r="AZ65" s="119">
        <f>'2020'!BB549</f>
        <v>0</v>
      </c>
      <c r="BA65" s="106">
        <f>'2020'!BC549</f>
        <v>0</v>
      </c>
      <c r="BB65" s="106">
        <f>'2020'!BD549</f>
      </c>
      <c r="BC65" s="106"/>
      <c r="BD65" s="106">
        <f t="shared" si="1"/>
        <v>0</v>
      </c>
      <c r="BE65" s="119">
        <f>'2020'!BE549</f>
        <v>100</v>
      </c>
      <c r="BF65" s="106">
        <f>'2020'!BF549</f>
        <v>256</v>
      </c>
      <c r="BG65" s="106">
        <f>'2020'!BG549</f>
        <v>51.96</v>
      </c>
      <c r="BH65" s="106">
        <f>'2020'!BH549</f>
        <v>242.95</v>
      </c>
      <c r="BI65" s="106">
        <f t="shared" si="2"/>
        <v>0</v>
      </c>
      <c r="BJ65" s="338">
        <f t="shared" si="3"/>
        <v>242.95</v>
      </c>
    </row>
    <row r="66" ht="15.75" customHeight="1" hidden="1" spans="1:62" x14ac:dyDescent="0.25">
      <c r="A66" s="14"/>
      <c r="B66" s="115">
        <v>62</v>
      </c>
      <c r="C66" s="116">
        <v>4.6</v>
      </c>
      <c r="D66" s="15" t="s">
        <v>236</v>
      </c>
      <c r="E66" s="119">
        <f>'2020'!I558</f>
        <v>418</v>
      </c>
      <c r="F66" s="119">
        <f>'2020'!J558</f>
        <v>0</v>
      </c>
      <c r="G66" s="106">
        <f>'2020'!K558</f>
        <v>0</v>
      </c>
      <c r="H66" s="106">
        <f>'2020'!L558</f>
      </c>
      <c r="I66" s="119">
        <f>'2020'!M558</f>
        <v>418</v>
      </c>
      <c r="J66" s="119">
        <f>'2020'!N558</f>
        <v>0</v>
      </c>
      <c r="K66" s="106">
        <f>'2020'!O558</f>
        <v>0</v>
      </c>
      <c r="L66" s="106">
        <f>'2020'!P558</f>
      </c>
      <c r="M66" s="119">
        <f>'2020'!Q558</f>
        <v>418</v>
      </c>
      <c r="N66" s="119">
        <f>'2020'!R558</f>
        <v>0</v>
      </c>
      <c r="O66" s="106">
        <f>'2020'!S558</f>
        <v>0</v>
      </c>
      <c r="P66" s="106">
        <f>'2020'!T558</f>
      </c>
      <c r="Q66" s="119">
        <f>'2020'!U558</f>
        <v>421</v>
      </c>
      <c r="R66" s="119">
        <f>'2020'!V558</f>
        <v>3</v>
      </c>
      <c r="S66" s="106">
        <f>'2020'!W558</f>
        <v>7.5</v>
      </c>
      <c r="T66" s="106">
        <f>'2020'!X558</f>
      </c>
      <c r="U66" s="119">
        <f>'2020'!Y558</f>
        <v>445</v>
      </c>
      <c r="V66" s="119">
        <f>'2020'!Z558</f>
        <v>24</v>
      </c>
      <c r="W66" s="106">
        <f>'2020'!AA558</f>
        <v>60</v>
      </c>
      <c r="X66" s="106">
        <f>'2020'!AB558</f>
      </c>
      <c r="Y66" s="119">
        <f>'2020'!AC558</f>
        <v>451</v>
      </c>
      <c r="Z66" s="119">
        <f>'2020'!AD558</f>
        <v>6</v>
      </c>
      <c r="AA66" s="106">
        <f>'2020'!AE558</f>
        <v>15</v>
      </c>
      <c r="AB66" s="106">
        <f>'2020'!AF558</f>
        <v>122.5</v>
      </c>
      <c r="AC66" s="119">
        <f>'2020'!AG558</f>
        <v>476</v>
      </c>
      <c r="AD66" s="119">
        <f>'2020'!AH558</f>
        <v>25</v>
      </c>
      <c r="AE66" s="106">
        <f>'2020'!AI558</f>
        <v>65</v>
      </c>
      <c r="AF66" s="106">
        <f>'2020'!AJ558</f>
        <v>15</v>
      </c>
      <c r="AG66" s="119">
        <f>'2020'!AK558</f>
        <v>479</v>
      </c>
      <c r="AH66" s="119">
        <f>'2020'!AL558</f>
        <v>3</v>
      </c>
      <c r="AI66" s="106">
        <f>'2020'!AM558</f>
        <v>7.8</v>
      </c>
      <c r="AJ66" s="106">
        <f>'2020'!AN558</f>
      </c>
      <c r="AK66" s="119">
        <f>'2020'!AO558</f>
        <v>479</v>
      </c>
      <c r="AL66" s="119">
        <f>'2020'!AP558</f>
        <v>0</v>
      </c>
      <c r="AM66" s="106">
        <f>'2020'!AQ558</f>
        <v>0</v>
      </c>
      <c r="AN66" s="106">
        <f>'2020'!AR558</f>
      </c>
      <c r="AO66" s="119">
        <f>'2020'!AS558</f>
        <v>479</v>
      </c>
      <c r="AP66" s="119">
        <f>'2020'!AT558</f>
        <v>0</v>
      </c>
      <c r="AQ66" s="106">
        <f>'2020'!AU558</f>
        <v>0</v>
      </c>
      <c r="AR66" s="106">
        <f>'2020'!AV558</f>
      </c>
      <c r="AS66" s="119">
        <f>'2020'!AW558</f>
        <v>479</v>
      </c>
      <c r="AT66" s="119">
        <f>'2020'!AX558</f>
        <v>0</v>
      </c>
      <c r="AU66" s="106">
        <f>'2020'!AY558</f>
        <v>0</v>
      </c>
      <c r="AV66" s="106">
        <f>'2020'!AZ558</f>
      </c>
      <c r="AW66" s="106"/>
      <c r="AX66" s="106">
        <f t="shared" si="0"/>
        <v>0</v>
      </c>
      <c r="AY66" s="119">
        <f>'2020'!BA558</f>
        <v>479</v>
      </c>
      <c r="AZ66" s="119">
        <f>'2020'!BB558</f>
        <v>0</v>
      </c>
      <c r="BA66" s="106">
        <f>'2020'!BC558</f>
        <v>0</v>
      </c>
      <c r="BB66" s="106">
        <f>'2020'!BD558</f>
      </c>
      <c r="BC66" s="106"/>
      <c r="BD66" s="106">
        <f t="shared" si="1"/>
        <v>0</v>
      </c>
      <c r="BE66" s="119">
        <f>'2020'!BE558</f>
        <v>61</v>
      </c>
      <c r="BF66" s="106">
        <f>'2020'!BF558</f>
        <v>155.3</v>
      </c>
      <c r="BG66" s="106">
        <f>'2020'!BG558</f>
        <v>137.5</v>
      </c>
      <c r="BH66" s="106">
        <f>'2020'!BH558</f>
        <v>72.8</v>
      </c>
      <c r="BI66" s="106">
        <f t="shared" si="2"/>
        <v>0</v>
      </c>
      <c r="BJ66" s="338">
        <f t="shared" si="3"/>
        <v>72.8</v>
      </c>
    </row>
    <row r="67" ht="15.75" customHeight="1" hidden="1" spans="1:62" x14ac:dyDescent="0.25">
      <c r="A67" s="14"/>
      <c r="B67" s="115" t="s">
        <v>237</v>
      </c>
      <c r="C67" s="115">
        <v>4.01</v>
      </c>
      <c r="D67" s="117" t="s">
        <v>238</v>
      </c>
      <c r="E67" s="119">
        <f>'2020'!I567</f>
        <v>34</v>
      </c>
      <c r="F67" s="119">
        <f>'2020'!J567</f>
        <v>0</v>
      </c>
      <c r="G67" s="106">
        <f>'2020'!K567</f>
        <v>0</v>
      </c>
      <c r="H67" s="106">
        <f>'2020'!L567</f>
      </c>
      <c r="I67" s="119">
        <f>'2020'!M567</f>
        <v>34</v>
      </c>
      <c r="J67" s="119">
        <f>'2020'!N567</f>
        <v>0</v>
      </c>
      <c r="K67" s="106">
        <f>'2020'!O567</f>
        <v>0</v>
      </c>
      <c r="L67" s="106">
        <f>'2020'!P567</f>
      </c>
      <c r="M67" s="119">
        <f>'2020'!Q567</f>
        <v>34</v>
      </c>
      <c r="N67" s="119">
        <f>'2020'!R567</f>
        <v>0</v>
      </c>
      <c r="O67" s="106">
        <f>'2020'!S567</f>
        <v>0</v>
      </c>
      <c r="P67" s="106">
        <f>'2020'!T567</f>
      </c>
      <c r="Q67" s="119">
        <f>'2020'!U567</f>
        <v>34</v>
      </c>
      <c r="R67" s="119">
        <f>'2020'!V567</f>
        <v>0</v>
      </c>
      <c r="S67" s="106">
        <f>'2020'!W567</f>
        <v>0</v>
      </c>
      <c r="T67" s="106">
        <f>'2020'!X567</f>
      </c>
      <c r="U67" s="119">
        <f>'2020'!Y567</f>
        <v>38</v>
      </c>
      <c r="V67" s="119">
        <f>'2020'!Z567</f>
        <v>4</v>
      </c>
      <c r="W67" s="106">
        <f>'2020'!AA567</f>
        <v>10</v>
      </c>
      <c r="X67" s="106">
        <f>'2020'!AB567</f>
      </c>
      <c r="Y67" s="119">
        <f>'2020'!AC567</f>
        <v>41</v>
      </c>
      <c r="Z67" s="119">
        <f>'2020'!AD567</f>
        <v>3</v>
      </c>
      <c r="AA67" s="106">
        <f>'2020'!AE567</f>
        <v>7.5</v>
      </c>
      <c r="AB67" s="106">
        <f>'2020'!AF567</f>
      </c>
      <c r="AC67" s="119">
        <f>'2020'!AG567</f>
        <v>43</v>
      </c>
      <c r="AD67" s="119">
        <f>'2020'!AH567</f>
        <v>2</v>
      </c>
      <c r="AE67" s="106">
        <f>'2020'!AI567</f>
        <v>5.2</v>
      </c>
      <c r="AF67" s="106">
        <f>'2020'!AJ567</f>
        <v>39</v>
      </c>
      <c r="AG67" s="119">
        <f>'2020'!AK567</f>
        <v>46</v>
      </c>
      <c r="AH67" s="119">
        <f>'2020'!AL567</f>
        <v>3</v>
      </c>
      <c r="AI67" s="106">
        <f>'2020'!AM567</f>
        <v>7.8</v>
      </c>
      <c r="AJ67" s="106">
        <f>'2020'!AN567</f>
      </c>
      <c r="AK67" s="119">
        <f>'2020'!AO567</f>
        <v>48</v>
      </c>
      <c r="AL67" s="119">
        <f>'2020'!AP567</f>
        <v>2</v>
      </c>
      <c r="AM67" s="106">
        <f>'2020'!AQ567</f>
        <v>5.2</v>
      </c>
      <c r="AN67" s="106">
        <f>'2020'!AR567</f>
      </c>
      <c r="AO67" s="119">
        <f>'2020'!AS567</f>
        <v>49</v>
      </c>
      <c r="AP67" s="119">
        <f>'2020'!AT567</f>
        <v>1</v>
      </c>
      <c r="AQ67" s="106">
        <f>'2020'!AU567</f>
        <v>2.6</v>
      </c>
      <c r="AR67" s="106">
        <f>'2020'!AV567</f>
      </c>
      <c r="AS67" s="119">
        <f>'2020'!AW567</f>
        <v>49</v>
      </c>
      <c r="AT67" s="119">
        <f>'2020'!AX567</f>
        <v>0</v>
      </c>
      <c r="AU67" s="106">
        <f>'2020'!AY567</f>
        <v>0</v>
      </c>
      <c r="AV67" s="106">
        <f>'2020'!AZ567</f>
      </c>
      <c r="AW67" s="106"/>
      <c r="AX67" s="106">
        <f t="shared" si="0"/>
        <v>0</v>
      </c>
      <c r="AY67" s="119">
        <f>'2020'!BA567</f>
        <v>49</v>
      </c>
      <c r="AZ67" s="119">
        <f>'2020'!BB567</f>
        <v>0</v>
      </c>
      <c r="BA67" s="106">
        <f>'2020'!BC567</f>
        <v>0</v>
      </c>
      <c r="BB67" s="106">
        <f>'2020'!BD567</f>
      </c>
      <c r="BC67" s="106"/>
      <c r="BD67" s="106">
        <f t="shared" si="1"/>
        <v>0</v>
      </c>
      <c r="BE67" s="119">
        <f>'2020'!BE567</f>
        <v>15</v>
      </c>
      <c r="BF67" s="106">
        <f>'2020'!BF567</f>
        <v>38.3</v>
      </c>
      <c r="BG67" s="106">
        <f>'2020'!BG567</f>
        <v>39</v>
      </c>
      <c r="BH67" s="106">
        <f>'2020'!BH567</f>
        <v>11.33</v>
      </c>
      <c r="BI67" s="106">
        <f t="shared" si="2"/>
        <v>0</v>
      </c>
      <c r="BJ67" s="338">
        <f t="shared" si="3"/>
        <v>11.33</v>
      </c>
    </row>
    <row r="68" ht="15.75" customHeight="1" hidden="1" spans="1:62" x14ac:dyDescent="0.25">
      <c r="A68" s="14"/>
      <c r="B68" s="115" t="s">
        <v>237</v>
      </c>
      <c r="C68" s="115">
        <v>4.01</v>
      </c>
      <c r="D68" s="117" t="s">
        <v>238</v>
      </c>
      <c r="E68" s="119">
        <f>'2020'!I576</f>
      </c>
      <c r="F68" s="119">
        <f>'2020'!J576</f>
      </c>
      <c r="G68" s="106">
        <f>'2020'!K576</f>
        <v>0</v>
      </c>
      <c r="H68" s="106">
        <f>'2020'!L576</f>
      </c>
      <c r="I68" s="119">
        <f>'2020'!M576</f>
      </c>
      <c r="J68" s="119">
        <f>'2020'!N576</f>
      </c>
      <c r="K68" s="106">
        <f>'2020'!O576</f>
        <v>0</v>
      </c>
      <c r="L68" s="106">
        <f>'2020'!P576</f>
      </c>
      <c r="M68" s="119">
        <f>'2020'!Q576</f>
      </c>
      <c r="N68" s="119">
        <f>'2020'!R576</f>
        <v>0</v>
      </c>
      <c r="O68" s="106">
        <f>'2020'!S576</f>
        <v>0</v>
      </c>
      <c r="P68" s="106">
        <f>'2020'!T576</f>
      </c>
      <c r="Q68" s="119">
        <f>'2020'!U576</f>
      </c>
      <c r="R68" s="119">
        <f>'2020'!V576</f>
        <v>0</v>
      </c>
      <c r="S68" s="106">
        <f>'2020'!W576</f>
        <v>0</v>
      </c>
      <c r="T68" s="106">
        <f>'2020'!X576</f>
      </c>
      <c r="U68" s="119">
        <f>'2020'!Y576</f>
      </c>
      <c r="V68" s="119">
        <f>'2020'!Z576</f>
        <v>0</v>
      </c>
      <c r="W68" s="106">
        <f>'2020'!AA576</f>
        <v>0</v>
      </c>
      <c r="X68" s="106">
        <f>'2020'!AB576</f>
      </c>
      <c r="Y68" s="119">
        <f>'2020'!AC576</f>
      </c>
      <c r="Z68" s="119">
        <f>'2020'!AD576</f>
        <v>0</v>
      </c>
      <c r="AA68" s="106">
        <f>'2020'!AE576</f>
        <v>0</v>
      </c>
      <c r="AB68" s="106">
        <f>'2020'!AF576</f>
      </c>
      <c r="AC68" s="119">
        <f>'2020'!AG576</f>
      </c>
      <c r="AD68" s="119">
        <f>'2020'!AH576</f>
        <v>0</v>
      </c>
      <c r="AE68" s="106">
        <f>'2020'!AI576</f>
        <v>0</v>
      </c>
      <c r="AF68" s="106">
        <f>'2020'!AJ576</f>
      </c>
      <c r="AG68" s="119">
        <f>'2020'!AK576</f>
        <v>0</v>
      </c>
      <c r="AH68" s="119">
        <f>'2020'!AL576</f>
        <v>0</v>
      </c>
      <c r="AI68" s="106">
        <f>'2020'!AM576</f>
        <v>0</v>
      </c>
      <c r="AJ68" s="106">
        <f>'2020'!AN576</f>
      </c>
      <c r="AK68" s="119">
        <f>'2020'!AO576</f>
        <v>0</v>
      </c>
      <c r="AL68" s="119">
        <f>'2020'!AP576</f>
        <v>0</v>
      </c>
      <c r="AM68" s="106">
        <f>'2020'!AQ576</f>
        <v>0</v>
      </c>
      <c r="AN68" s="106">
        <f>'2020'!AR576</f>
      </c>
      <c r="AO68" s="119">
        <f>'2020'!AS576</f>
        <v>0</v>
      </c>
      <c r="AP68" s="119">
        <f>'2020'!AT576</f>
        <v>0</v>
      </c>
      <c r="AQ68" s="106">
        <f>'2020'!AU576</f>
        <v>0</v>
      </c>
      <c r="AR68" s="106">
        <f>'2020'!AV576</f>
      </c>
      <c r="AS68" s="119">
        <f>'2020'!AW576</f>
        <v>0</v>
      </c>
      <c r="AT68" s="119">
        <f>'2020'!AX576</f>
        <v>0</v>
      </c>
      <c r="AU68" s="106">
        <f>'2020'!AY576</f>
        <v>0</v>
      </c>
      <c r="AV68" s="106">
        <f>'2020'!AZ576</f>
      </c>
      <c r="AW68" s="106"/>
      <c r="AX68" s="106">
        <f t="shared" si="0"/>
        <v>0</v>
      </c>
      <c r="AY68" s="119">
        <f>'2020'!BA576</f>
        <v>0</v>
      </c>
      <c r="AZ68" s="119">
        <f>'2020'!BB576</f>
        <v>0</v>
      </c>
      <c r="BA68" s="106">
        <f>'2020'!BC576</f>
        <v>0</v>
      </c>
      <c r="BB68" s="106">
        <f>'2020'!BD576</f>
      </c>
      <c r="BC68" s="106"/>
      <c r="BD68" s="106">
        <f t="shared" si="1"/>
        <v>0</v>
      </c>
      <c r="BE68" s="119">
        <f>'2020'!BE576</f>
        <v>0</v>
      </c>
      <c r="BF68" s="106">
        <f>'2020'!BF576</f>
        <v>0</v>
      </c>
      <c r="BG68" s="106">
        <f>'2020'!BG576</f>
        <v>0</v>
      </c>
      <c r="BH68" s="106">
        <f>'2020'!BH576</f>
        <v>0</v>
      </c>
      <c r="BI68" s="106">
        <f t="shared" si="2"/>
        <v>0</v>
      </c>
      <c r="BJ68" s="338">
        <f t="shared" si="3"/>
        <v>0</v>
      </c>
    </row>
    <row r="69" ht="15.75" customHeight="1" hidden="1" spans="1:62" x14ac:dyDescent="0.25">
      <c r="A69" s="14"/>
      <c r="B69" s="115">
        <v>64</v>
      </c>
      <c r="C69" s="115">
        <v>4.24</v>
      </c>
      <c r="D69" s="117" t="s">
        <v>241</v>
      </c>
      <c r="E69" s="119">
        <f>'2020'!I585</f>
        <v>328</v>
      </c>
      <c r="F69" s="119">
        <f>'2020'!J585</f>
        <v>0</v>
      </c>
      <c r="G69" s="106">
        <f>'2020'!K585</f>
        <v>0</v>
      </c>
      <c r="H69" s="106">
        <f>'2020'!L585</f>
      </c>
      <c r="I69" s="119">
        <f>'2020'!M585</f>
        <v>328</v>
      </c>
      <c r="J69" s="119">
        <f>'2020'!N585</f>
        <v>0</v>
      </c>
      <c r="K69" s="106">
        <f>'2020'!O585</f>
        <v>0</v>
      </c>
      <c r="L69" s="106">
        <f>'2020'!P585</f>
      </c>
      <c r="M69" s="119">
        <f>'2020'!Q585</f>
        <v>328</v>
      </c>
      <c r="N69" s="119">
        <f>'2020'!R585</f>
        <v>0</v>
      </c>
      <c r="O69" s="106">
        <f>'2020'!S585</f>
        <v>0</v>
      </c>
      <c r="P69" s="106">
        <f>'2020'!T585</f>
      </c>
      <c r="Q69" s="119">
        <f>'2020'!U585</f>
        <v>328</v>
      </c>
      <c r="R69" s="119">
        <f>'2020'!V585</f>
        <v>0</v>
      </c>
      <c r="S69" s="106">
        <f>'2020'!W585</f>
        <v>0</v>
      </c>
      <c r="T69" s="106">
        <f>'2020'!X585</f>
      </c>
      <c r="U69" s="119">
        <f>'2020'!Y585</f>
        <v>340</v>
      </c>
      <c r="V69" s="119">
        <f>'2020'!Z585</f>
        <v>12</v>
      </c>
      <c r="W69" s="106">
        <f>'2020'!AA585</f>
        <v>30</v>
      </c>
      <c r="X69" s="106">
        <f>'2020'!AB585</f>
      </c>
      <c r="Y69" s="119">
        <f>'2020'!AC585</f>
        <v>362</v>
      </c>
      <c r="Z69" s="119">
        <f>'2020'!AD585</f>
        <v>22</v>
      </c>
      <c r="AA69" s="106">
        <f>'2020'!AE585</f>
        <v>55</v>
      </c>
      <c r="AB69" s="106">
        <f>'2020'!AF585</f>
      </c>
      <c r="AC69" s="119">
        <f>'2020'!AG585</f>
        <v>383</v>
      </c>
      <c r="AD69" s="119">
        <f>'2020'!AH585</f>
        <v>21</v>
      </c>
      <c r="AE69" s="106">
        <f>'2020'!AI585</f>
        <v>54.6</v>
      </c>
      <c r="AF69" s="106">
        <f>'2020'!AJ585</f>
      </c>
      <c r="AG69" s="119">
        <f>'2020'!AK585</f>
        <v>397</v>
      </c>
      <c r="AH69" s="119">
        <f>'2020'!AL585</f>
        <v>14</v>
      </c>
      <c r="AI69" s="106">
        <f>'2020'!AM585</f>
        <v>36.4</v>
      </c>
      <c r="AJ69" s="106">
        <f>'2020'!AN585</f>
        <v>75</v>
      </c>
      <c r="AK69" s="119">
        <f>'2020'!AO585</f>
        <v>406</v>
      </c>
      <c r="AL69" s="119">
        <f>'2020'!AP585</f>
        <v>9</v>
      </c>
      <c r="AM69" s="106">
        <f>'2020'!AQ585</f>
        <v>23.4</v>
      </c>
      <c r="AN69" s="106">
        <f>'2020'!AR585</f>
      </c>
      <c r="AO69" s="119">
        <f>'2020'!AS585</f>
        <v>408</v>
      </c>
      <c r="AP69" s="119">
        <f>'2020'!AT585</f>
        <v>2</v>
      </c>
      <c r="AQ69" s="106">
        <f>'2020'!AU585</f>
        <v>5.2</v>
      </c>
      <c r="AR69" s="106">
        <f>'2020'!AV585</f>
      </c>
      <c r="AS69" s="119">
        <f>'2020'!AW585</f>
        <v>408</v>
      </c>
      <c r="AT69" s="119">
        <f>'2020'!AX585</f>
        <v>0</v>
      </c>
      <c r="AU69" s="106">
        <f>'2020'!AY585</f>
        <v>0</v>
      </c>
      <c r="AV69" s="106">
        <f>'2020'!AZ585</f>
      </c>
      <c r="AW69" s="106"/>
      <c r="AX69" s="106">
        <f t="shared" si="0"/>
        <v>0</v>
      </c>
      <c r="AY69" s="119">
        <f>'2020'!BA585</f>
        <v>408</v>
      </c>
      <c r="AZ69" s="119">
        <f>'2020'!BB585</f>
        <v>0</v>
      </c>
      <c r="BA69" s="106">
        <f>'2020'!BC585</f>
        <v>0</v>
      </c>
      <c r="BB69" s="106">
        <f>'2020'!BD585</f>
      </c>
      <c r="BC69" s="106"/>
      <c r="BD69" s="106">
        <f t="shared" si="1"/>
        <v>0</v>
      </c>
      <c r="BE69" s="119">
        <f>'2020'!BE585</f>
        <v>80</v>
      </c>
      <c r="BF69" s="106">
        <f>'2020'!BF585</f>
        <v>204.6</v>
      </c>
      <c r="BG69" s="106">
        <f>'2020'!BG585</f>
        <v>75</v>
      </c>
      <c r="BH69" s="106">
        <f>'2020'!BH585</f>
        <v>-97.09</v>
      </c>
      <c r="BI69" s="106">
        <f t="shared" si="2"/>
        <v>0</v>
      </c>
      <c r="BJ69" s="338">
        <f t="shared" si="3"/>
        <v>-97.09</v>
      </c>
    </row>
    <row r="70" ht="15.75" customHeight="1" hidden="1" spans="1:62" x14ac:dyDescent="0.25">
      <c r="A70" s="14"/>
      <c r="B70" s="115">
        <v>66</v>
      </c>
      <c r="C70" s="115">
        <v>4.66</v>
      </c>
      <c r="D70" s="117" t="s">
        <v>244</v>
      </c>
      <c r="E70" s="119">
        <f>'2020'!I594</f>
        <v>1</v>
      </c>
      <c r="F70" s="119">
        <f>'2020'!J594</f>
        <v>0</v>
      </c>
      <c r="G70" s="106">
        <f>'2020'!K594</f>
        <v>0</v>
      </c>
      <c r="H70" s="106">
        <f>'2020'!L594</f>
      </c>
      <c r="I70" s="119">
        <f>'2020'!M594</f>
        <v>1</v>
      </c>
      <c r="J70" s="119">
        <f>'2020'!N594</f>
        <v>0</v>
      </c>
      <c r="K70" s="106">
        <f>'2020'!O594</f>
        <v>0</v>
      </c>
      <c r="L70" s="106">
        <f>'2020'!P594</f>
      </c>
      <c r="M70" s="119">
        <f>'2020'!Q594</f>
        <v>1</v>
      </c>
      <c r="N70" s="119">
        <f>'2020'!R594</f>
        <v>0</v>
      </c>
      <c r="O70" s="106">
        <f>'2020'!S594</f>
        <v>0</v>
      </c>
      <c r="P70" s="106">
        <f>'2020'!T594</f>
      </c>
      <c r="Q70" s="119">
        <f>'2020'!U594</f>
        <v>1</v>
      </c>
      <c r="R70" s="119">
        <f>'2020'!V594</f>
        <v>0</v>
      </c>
      <c r="S70" s="106">
        <f>'2020'!W594</f>
        <v>0</v>
      </c>
      <c r="T70" s="106">
        <f>'2020'!X594</f>
      </c>
      <c r="U70" s="119">
        <f>'2020'!Y594</f>
        <v>1</v>
      </c>
      <c r="V70" s="119">
        <f>'2020'!Z594</f>
        <v>0</v>
      </c>
      <c r="W70" s="106">
        <f>'2020'!AA594</f>
        <v>0</v>
      </c>
      <c r="X70" s="106">
        <f>'2020'!AB594</f>
      </c>
      <c r="Y70" s="119">
        <f>'2020'!AC594</f>
        <v>1</v>
      </c>
      <c r="Z70" s="119">
        <f>'2020'!AD594</f>
        <v>0</v>
      </c>
      <c r="AA70" s="106">
        <f>'2020'!AE594</f>
        <v>0</v>
      </c>
      <c r="AB70" s="106">
        <f>'2020'!AF594</f>
      </c>
      <c r="AC70" s="119">
        <f>'2020'!AG594</f>
        <v>1</v>
      </c>
      <c r="AD70" s="119">
        <f>'2020'!AH594</f>
        <v>0</v>
      </c>
      <c r="AE70" s="106">
        <f>'2020'!AI594</f>
        <v>0</v>
      </c>
      <c r="AF70" s="106">
        <f>'2020'!AJ594</f>
      </c>
      <c r="AG70" s="119">
        <f>'2020'!AK594</f>
        <v>1</v>
      </c>
      <c r="AH70" s="119">
        <f>'2020'!AL594</f>
        <v>0</v>
      </c>
      <c r="AI70" s="106">
        <f>'2020'!AM594</f>
        <v>0</v>
      </c>
      <c r="AJ70" s="106">
        <f>'2020'!AN594</f>
      </c>
      <c r="AK70" s="119">
        <f>'2020'!AO594</f>
        <v>1</v>
      </c>
      <c r="AL70" s="119">
        <f>'2020'!AP594</f>
        <v>0</v>
      </c>
      <c r="AM70" s="106">
        <f>'2020'!AQ594</f>
        <v>0</v>
      </c>
      <c r="AN70" s="106">
        <f>'2020'!AR594</f>
      </c>
      <c r="AO70" s="119">
        <f>'2020'!AS594</f>
        <v>1</v>
      </c>
      <c r="AP70" s="119">
        <f>'2020'!AT594</f>
        <v>0</v>
      </c>
      <c r="AQ70" s="106">
        <f>'2020'!AU594</f>
        <v>0</v>
      </c>
      <c r="AR70" s="106">
        <f>'2020'!AV594</f>
      </c>
      <c r="AS70" s="119">
        <f>'2020'!AW594</f>
        <v>1</v>
      </c>
      <c r="AT70" s="119">
        <f>'2020'!AX594</f>
        <v>0</v>
      </c>
      <c r="AU70" s="106">
        <f>'2020'!AY594</f>
        <v>0</v>
      </c>
      <c r="AV70" s="106">
        <f>'2020'!AZ594</f>
      </c>
      <c r="AW70" s="106"/>
      <c r="AX70" s="106">
        <f t="shared" si="0"/>
        <v>0</v>
      </c>
      <c r="AY70" s="119">
        <f>'2020'!BA594</f>
        <v>1</v>
      </c>
      <c r="AZ70" s="119">
        <f>'2020'!BB594</f>
        <v>0</v>
      </c>
      <c r="BA70" s="106">
        <f>'2020'!BC594</f>
        <v>0</v>
      </c>
      <c r="BB70" s="106">
        <f>'2020'!BD594</f>
      </c>
      <c r="BC70" s="106"/>
      <c r="BD70" s="106">
        <f t="shared" si="1"/>
        <v>0</v>
      </c>
      <c r="BE70" s="119">
        <f>'2020'!BE594</f>
        <v>0</v>
      </c>
      <c r="BF70" s="106">
        <f>'2020'!BF594</f>
        <v>0</v>
      </c>
      <c r="BG70" s="106">
        <f>'2020'!BG594</f>
        <v>0</v>
      </c>
      <c r="BH70" s="106">
        <f>'2020'!BH594</f>
        <v>0</v>
      </c>
      <c r="BI70" s="106">
        <f t="shared" si="2"/>
        <v>0</v>
      </c>
      <c r="BJ70" s="338">
        <f t="shared" si="3"/>
        <v>0</v>
      </c>
    </row>
    <row r="71" ht="15.75" customHeight="1" hidden="1" spans="1:62" x14ac:dyDescent="0.25">
      <c r="A71" s="14"/>
      <c r="B71" s="118">
        <v>67</v>
      </c>
      <c r="C71" s="115">
        <v>6.08</v>
      </c>
      <c r="D71" s="117" t="s">
        <v>245</v>
      </c>
      <c r="E71" s="119">
        <f>'2020'!I603</f>
        <v>1887</v>
      </c>
      <c r="F71" s="119">
        <f>'2020'!J603</f>
        <v>0</v>
      </c>
      <c r="G71" s="106">
        <f>'2020'!K603</f>
        <v>0</v>
      </c>
      <c r="H71" s="106">
        <f>'2020'!L603</f>
      </c>
      <c r="I71" s="119">
        <f>'2020'!M603</f>
        <v>1887</v>
      </c>
      <c r="J71" s="119">
        <f>'2020'!N603</f>
        <v>0</v>
      </c>
      <c r="K71" s="106">
        <f>'2020'!O603</f>
        <v>0</v>
      </c>
      <c r="L71" s="106">
        <f>'2020'!P603</f>
      </c>
      <c r="M71" s="119">
        <f>'2020'!Q603</f>
        <v>1887</v>
      </c>
      <c r="N71" s="119">
        <f>'2020'!R603</f>
        <v>0</v>
      </c>
      <c r="O71" s="106">
        <f>'2020'!S603</f>
        <v>0</v>
      </c>
      <c r="P71" s="106">
        <f>'2020'!T603</f>
      </c>
      <c r="Q71" s="119">
        <f>'2020'!U603</f>
        <v>1889</v>
      </c>
      <c r="R71" s="119">
        <f>'2020'!V603</f>
        <v>2</v>
      </c>
      <c r="S71" s="106">
        <f>'2020'!W603</f>
        <v>5</v>
      </c>
      <c r="T71" s="106">
        <f>'2020'!X603</f>
      </c>
      <c r="U71" s="119">
        <f>'2020'!Y603</f>
        <v>1952</v>
      </c>
      <c r="V71" s="119">
        <f>'2020'!Z603</f>
        <v>63</v>
      </c>
      <c r="W71" s="106">
        <f>'2020'!AA603</f>
        <v>157.5</v>
      </c>
      <c r="X71" s="106">
        <f>'2020'!AB603</f>
      </c>
      <c r="Y71" s="119">
        <f>'2020'!AC603</f>
        <v>2074</v>
      </c>
      <c r="Z71" s="119">
        <f>'2020'!AD603</f>
        <v>122</v>
      </c>
      <c r="AA71" s="106">
        <f>'2020'!AE603</f>
        <v>305</v>
      </c>
      <c r="AB71" s="106">
        <f>'2020'!AF603</f>
        <v>41.71</v>
      </c>
      <c r="AC71" s="119">
        <f>'2020'!AG603</f>
        <v>2167</v>
      </c>
      <c r="AD71" s="119">
        <f>'2020'!AH603</f>
        <v>93</v>
      </c>
      <c r="AE71" s="106">
        <f>'2020'!AI603</f>
        <v>241.8</v>
      </c>
      <c r="AF71" s="106">
        <f>'2020'!AJ603</f>
        <v>305</v>
      </c>
      <c r="AG71" s="119">
        <f>'2020'!AK603</f>
        <v>2290</v>
      </c>
      <c r="AH71" s="119">
        <f>'2020'!AL603</f>
        <v>123</v>
      </c>
      <c r="AI71" s="106">
        <f>'2020'!AM603</f>
        <v>319.8</v>
      </c>
      <c r="AJ71" s="106">
        <f>'2020'!AN603</f>
        <v>519.57</v>
      </c>
      <c r="AK71" s="119">
        <f>'2020'!AO603</f>
        <v>2384</v>
      </c>
      <c r="AL71" s="119">
        <f>'2020'!AP603</f>
        <v>94</v>
      </c>
      <c r="AM71" s="106">
        <f>'2020'!AQ603</f>
        <v>244.4</v>
      </c>
      <c r="AN71" s="106">
        <f>'2020'!AR603</f>
      </c>
      <c r="AO71" s="119">
        <f>'2020'!AS603</f>
        <v>2412</v>
      </c>
      <c r="AP71" s="119">
        <f>'2020'!AT603</f>
        <v>28</v>
      </c>
      <c r="AQ71" s="106">
        <f>'2020'!AU603</f>
        <v>72.8</v>
      </c>
      <c r="AR71" s="106">
        <f>'2020'!AV603</f>
      </c>
      <c r="AS71" s="126">
        <f>'2020'!AW603</f>
        <v>2412</v>
      </c>
      <c r="AT71" s="119">
        <f>'2020'!AX603</f>
        <v>0</v>
      </c>
      <c r="AU71" s="106">
        <f>'2020'!AY603</f>
        <v>0</v>
      </c>
      <c r="AV71" s="106">
        <f>'2020'!AZ603</f>
      </c>
      <c r="AW71" s="106"/>
      <c r="AX71" s="106">
        <f t="shared" si="0"/>
        <v>0</v>
      </c>
      <c r="AY71" s="119">
        <f>'2020'!BA603</f>
        <v>2412</v>
      </c>
      <c r="AZ71" s="119">
        <f>'2020'!BB603</f>
        <v>0</v>
      </c>
      <c r="BA71" s="106">
        <f>'2020'!BC603</f>
        <v>0</v>
      </c>
      <c r="BB71" s="106">
        <f>'2020'!BD603</f>
      </c>
      <c r="BC71" s="106"/>
      <c r="BD71" s="106">
        <f t="shared" si="1"/>
        <v>0</v>
      </c>
      <c r="BE71" s="119">
        <f>'2020'!BE603</f>
        <v>525</v>
      </c>
      <c r="BF71" s="106">
        <f>'2020'!BF603</f>
        <v>1346.3</v>
      </c>
      <c r="BG71" s="106">
        <f>'2020'!BG603</f>
        <v>866.28</v>
      </c>
      <c r="BH71" s="106">
        <f>'2020'!BH603</f>
        <v>359.23</v>
      </c>
      <c r="BI71" s="106">
        <f t="shared" si="2"/>
        <v>0</v>
      </c>
      <c r="BJ71" s="338">
        <f t="shared" si="3"/>
        <v>359.23</v>
      </c>
    </row>
    <row r="72" ht="15.75" customHeight="1" hidden="1" spans="1:62" x14ac:dyDescent="0.25">
      <c r="A72" s="14"/>
      <c r="B72" s="115" t="s">
        <v>248</v>
      </c>
      <c r="C72" s="115">
        <v>4.01</v>
      </c>
      <c r="D72" s="117" t="s">
        <v>249</v>
      </c>
      <c r="E72" s="119">
        <f>'2020'!I612</f>
        <v>1702</v>
      </c>
      <c r="F72" s="119">
        <f>'2020'!J612</f>
        <v>0</v>
      </c>
      <c r="G72" s="106">
        <f>'2020'!K612</f>
        <v>0</v>
      </c>
      <c r="H72" s="106">
        <f>'2020'!L612</f>
      </c>
      <c r="I72" s="119">
        <f>'2020'!M612</f>
        <v>1702</v>
      </c>
      <c r="J72" s="119">
        <f>'2020'!N612</f>
        <v>0</v>
      </c>
      <c r="K72" s="106">
        <f>'2020'!O612</f>
        <v>0</v>
      </c>
      <c r="L72" s="106">
        <f>'2020'!P612</f>
      </c>
      <c r="M72" s="119">
        <f>'2020'!Q612</f>
        <v>1702</v>
      </c>
      <c r="N72" s="119">
        <f>'2020'!R612</f>
        <v>0</v>
      </c>
      <c r="O72" s="106">
        <f>'2020'!S612</f>
        <v>0</v>
      </c>
      <c r="P72" s="106">
        <f>'2020'!T612</f>
      </c>
      <c r="Q72" s="119">
        <f>'2020'!U612</f>
        <v>1711</v>
      </c>
      <c r="R72" s="119">
        <f>'2020'!V612</f>
        <v>9</v>
      </c>
      <c r="S72" s="106">
        <f>'2020'!W612</f>
        <v>22.5</v>
      </c>
      <c r="T72" s="106">
        <f>'2020'!X612</f>
      </c>
      <c r="U72" s="119">
        <f>'2020'!Y612</f>
        <v>1817</v>
      </c>
      <c r="V72" s="119">
        <f>'2020'!Z612</f>
        <v>106</v>
      </c>
      <c r="W72" s="106">
        <f>'2020'!AA612</f>
        <v>265</v>
      </c>
      <c r="X72" s="106">
        <f>'2020'!AB612</f>
      </c>
      <c r="Y72" s="119">
        <f>'2020'!AC612</f>
        <v>2019</v>
      </c>
      <c r="Z72" s="119">
        <f>'2020'!AD612</f>
        <v>202</v>
      </c>
      <c r="AA72" s="106">
        <f>'2020'!AE612</f>
        <v>505</v>
      </c>
      <c r="AB72" s="106">
        <f>'2020'!AF612</f>
      </c>
      <c r="AC72" s="119">
        <f>'2020'!AG612</f>
        <v>2146</v>
      </c>
      <c r="AD72" s="119">
        <f>'2020'!AH612</f>
        <v>127</v>
      </c>
      <c r="AE72" s="106">
        <f>'2020'!AI612</f>
        <v>330.2</v>
      </c>
      <c r="AF72" s="106">
        <f>'2020'!AJ612</f>
        <v>792.5</v>
      </c>
      <c r="AG72" s="119">
        <f>'2020'!AK612</f>
        <v>2398</v>
      </c>
      <c r="AH72" s="119">
        <f>'2020'!AL612</f>
        <v>252</v>
      </c>
      <c r="AI72" s="106">
        <f>'2020'!AM612</f>
        <v>655.2</v>
      </c>
      <c r="AJ72" s="106">
        <f>'2020'!AN612</f>
      </c>
      <c r="AK72" s="119">
        <f>'2020'!AO612</f>
        <v>3145</v>
      </c>
      <c r="AL72" s="119">
        <f>'2020'!AP612</f>
        <v>747</v>
      </c>
      <c r="AM72" s="106">
        <f>'2020'!AQ612</f>
        <v>1942.2</v>
      </c>
      <c r="AN72" s="106">
        <f>'2020'!AR612</f>
        <v>985.4</v>
      </c>
      <c r="AO72" s="119">
        <f>'2020'!AS612</f>
        <v>3291</v>
      </c>
      <c r="AP72" s="119">
        <f>'2020'!AT612</f>
        <v>146</v>
      </c>
      <c r="AQ72" s="106">
        <f>'2020'!AU612</f>
        <v>379.6</v>
      </c>
      <c r="AR72" s="106">
        <f>'2020'!AV612</f>
      </c>
      <c r="AS72" s="119">
        <f>'2020'!AW612</f>
        <v>3291</v>
      </c>
      <c r="AT72" s="119">
        <f>'2020'!AX612</f>
        <v>0</v>
      </c>
      <c r="AU72" s="106">
        <f>'2020'!AY612</f>
        <v>0</v>
      </c>
      <c r="AV72" s="106">
        <f>'2020'!AZ612</f>
        <v>2321.8</v>
      </c>
      <c r="AW72" s="106"/>
      <c r="AX72" s="106">
        <f t="shared" si="0"/>
        <v>0</v>
      </c>
      <c r="AY72" s="119">
        <f>'2020'!BA612</f>
        <v>3291</v>
      </c>
      <c r="AZ72" s="119">
        <f>'2020'!BB612</f>
        <v>0</v>
      </c>
      <c r="BA72" s="106">
        <f>'2020'!BC612</f>
        <v>0</v>
      </c>
      <c r="BB72" s="106">
        <f>'2020'!BD612</f>
      </c>
      <c r="BC72" s="106"/>
      <c r="BD72" s="106">
        <f t="shared" si="1"/>
        <v>0</v>
      </c>
      <c r="BE72" s="119">
        <f>'2020'!BE612</f>
        <v>1589</v>
      </c>
      <c r="BF72" s="106">
        <f>'2020'!BF612</f>
        <v>4099.7</v>
      </c>
      <c r="BG72" s="106">
        <f>'2020'!BG612</f>
        <v>4099.7</v>
      </c>
      <c r="BH72" s="106">
        <f>'2020'!BH612</f>
        <v>0</v>
      </c>
      <c r="BI72" s="106">
        <f t="shared" si="2"/>
        <v>0</v>
      </c>
      <c r="BJ72" s="338">
        <f t="shared" si="3"/>
        <v>0</v>
      </c>
    </row>
    <row r="73" ht="15.75" customHeight="1" hidden="1" spans="1:62" x14ac:dyDescent="0.25">
      <c r="A73" s="14"/>
      <c r="B73" s="115" t="s">
        <v>248</v>
      </c>
      <c r="C73" s="115">
        <v>4.02</v>
      </c>
      <c r="D73" s="117" t="s">
        <v>249</v>
      </c>
      <c r="E73" s="119">
        <f>'2020'!I621</f>
      </c>
      <c r="F73" s="119">
        <f>'2020'!J621</f>
      </c>
      <c r="G73" s="106">
        <f>'2020'!K621</f>
        <v>0</v>
      </c>
      <c r="H73" s="106">
        <f>'2020'!L621</f>
      </c>
      <c r="I73" s="119">
        <f>'2020'!M621</f>
      </c>
      <c r="J73" s="119">
        <f>'2020'!N621</f>
      </c>
      <c r="K73" s="106">
        <f>'2020'!O621</f>
        <v>0</v>
      </c>
      <c r="L73" s="106">
        <f>'2020'!P621</f>
      </c>
      <c r="M73" s="119">
        <f>'2020'!Q621</f>
      </c>
      <c r="N73" s="119">
        <f>'2020'!R621</f>
        <v>0</v>
      </c>
      <c r="O73" s="106">
        <f>'2020'!S621</f>
        <v>0</v>
      </c>
      <c r="P73" s="106">
        <f>'2020'!T621</f>
      </c>
      <c r="Q73" s="119">
        <f>'2020'!U621</f>
      </c>
      <c r="R73" s="119">
        <f>'2020'!V621</f>
        <v>0</v>
      </c>
      <c r="S73" s="106">
        <f>'2020'!W621</f>
        <v>0</v>
      </c>
      <c r="T73" s="106">
        <f>'2020'!X621</f>
      </c>
      <c r="U73" s="119">
        <f>'2020'!Y621</f>
      </c>
      <c r="V73" s="119">
        <f>'2020'!Z621</f>
        <v>0</v>
      </c>
      <c r="W73" s="106">
        <f>'2020'!AA621</f>
        <v>0</v>
      </c>
      <c r="X73" s="106">
        <f>'2020'!AB621</f>
      </c>
      <c r="Y73" s="119">
        <f>'2020'!AC621</f>
      </c>
      <c r="Z73" s="119">
        <f>'2020'!AD621</f>
        <v>0</v>
      </c>
      <c r="AA73" s="106">
        <f>'2020'!AE621</f>
        <v>0</v>
      </c>
      <c r="AB73" s="106">
        <f>'2020'!AF621</f>
      </c>
      <c r="AC73" s="119">
        <f>'2020'!AG621</f>
      </c>
      <c r="AD73" s="119">
        <f>'2020'!AH621</f>
        <v>0</v>
      </c>
      <c r="AE73" s="106">
        <f>'2020'!AI621</f>
        <v>0</v>
      </c>
      <c r="AF73" s="106">
        <f>'2020'!AJ621</f>
      </c>
      <c r="AG73" s="119">
        <f>'2020'!AK621</f>
        <v>0</v>
      </c>
      <c r="AH73" s="119">
        <f>'2020'!AL621</f>
        <v>0</v>
      </c>
      <c r="AI73" s="106">
        <f>'2020'!AM621</f>
        <v>0</v>
      </c>
      <c r="AJ73" s="106">
        <f>'2020'!AN621</f>
      </c>
      <c r="AK73" s="119">
        <f>'2020'!AO621</f>
        <v>0</v>
      </c>
      <c r="AL73" s="119">
        <f>'2020'!AP621</f>
        <v>0</v>
      </c>
      <c r="AM73" s="106">
        <f>'2020'!AQ621</f>
        <v>0</v>
      </c>
      <c r="AN73" s="106">
        <f>'2020'!AR621</f>
      </c>
      <c r="AO73" s="119">
        <f>'2020'!AS621</f>
        <v>0</v>
      </c>
      <c r="AP73" s="119">
        <f>'2020'!AT621</f>
        <v>0</v>
      </c>
      <c r="AQ73" s="106">
        <f>'2020'!AU621</f>
        <v>0</v>
      </c>
      <c r="AR73" s="106">
        <f>'2020'!AV621</f>
      </c>
      <c r="AS73" s="119">
        <f>'2020'!AW621</f>
        <v>0</v>
      </c>
      <c r="AT73" s="119">
        <f>'2020'!AX621</f>
        <v>0</v>
      </c>
      <c r="AU73" s="106">
        <f>'2020'!AY621</f>
        <v>0</v>
      </c>
      <c r="AV73" s="106">
        <f>'2020'!AZ621</f>
      </c>
      <c r="AW73" s="106"/>
      <c r="AX73" s="106">
        <f t="shared" si="0"/>
        <v>0</v>
      </c>
      <c r="AY73" s="119">
        <f>'2020'!BA621</f>
        <v>0</v>
      </c>
      <c r="AZ73" s="119">
        <f>'2020'!BB621</f>
        <v>0</v>
      </c>
      <c r="BA73" s="106">
        <f>'2020'!BC621</f>
        <v>0</v>
      </c>
      <c r="BB73" s="106">
        <f>'2020'!BD621</f>
      </c>
      <c r="BC73" s="106"/>
      <c r="BD73" s="106">
        <f t="shared" si="1"/>
        <v>0</v>
      </c>
      <c r="BE73" s="119">
        <f>'2020'!BE621</f>
        <v>0</v>
      </c>
      <c r="BF73" s="106">
        <f>'2020'!BF621</f>
        <v>0</v>
      </c>
      <c r="BG73" s="106">
        <f>'2020'!BG621</f>
        <v>0</v>
      </c>
      <c r="BH73" s="106">
        <f>'2020'!BH621</f>
        <v>0</v>
      </c>
      <c r="BI73" s="106">
        <f t="shared" si="2"/>
        <v>0</v>
      </c>
      <c r="BJ73" s="338">
        <f t="shared" si="3"/>
        <v>0</v>
      </c>
    </row>
    <row r="74" ht="15.75" customHeight="1" spans="1:62" x14ac:dyDescent="0.25">
      <c r="A74" s="14"/>
      <c r="B74" s="125">
        <v>69</v>
      </c>
      <c r="C74" s="115">
        <v>4.03</v>
      </c>
      <c r="D74" s="117" t="s">
        <v>253</v>
      </c>
      <c r="E74" s="119">
        <f>'2020'!I630</f>
        <v>22150</v>
      </c>
      <c r="F74" s="119">
        <f>'2020'!J630</f>
        <v>685</v>
      </c>
      <c r="G74" s="106">
        <f>'2020'!K630</f>
        <v>1712.5</v>
      </c>
      <c r="H74" s="106">
        <f>'2020'!L630</f>
      </c>
      <c r="I74" s="119">
        <f>'2020'!M630</f>
        <v>22646</v>
      </c>
      <c r="J74" s="119">
        <f>'2020'!N630</f>
        <v>496</v>
      </c>
      <c r="K74" s="106">
        <f>'2020'!O630</f>
        <v>1240</v>
      </c>
      <c r="L74" s="106">
        <f>'2020'!P630</f>
        <v>1950</v>
      </c>
      <c r="M74" s="119">
        <f>'2020'!Q630</f>
        <v>23240</v>
      </c>
      <c r="N74" s="119">
        <f>'2020'!R630</f>
        <v>594</v>
      </c>
      <c r="O74" s="106">
        <f>'2020'!S630</f>
        <v>1485</v>
      </c>
      <c r="P74" s="106">
        <f>'2020'!T630</f>
        <v>2500</v>
      </c>
      <c r="Q74" s="119">
        <f>'2020'!U630</f>
        <v>23728</v>
      </c>
      <c r="R74" s="119">
        <f>'2020'!V630</f>
        <v>488</v>
      </c>
      <c r="S74" s="106">
        <f>'2020'!W630</f>
        <v>1220</v>
      </c>
      <c r="T74" s="106">
        <f>'2020'!X630</f>
        <v>1040</v>
      </c>
      <c r="U74" s="119">
        <f>'2020'!Y630</f>
        <v>24035</v>
      </c>
      <c r="V74" s="119">
        <f>'2020'!Z630</f>
        <v>307</v>
      </c>
      <c r="W74" s="106">
        <f>'2020'!AA630</f>
        <v>767.5</v>
      </c>
      <c r="X74" s="106">
        <f>'2020'!AB630</f>
      </c>
      <c r="Y74" s="119">
        <f>'2020'!AC630</f>
        <v>24342</v>
      </c>
      <c r="Z74" s="119">
        <f>'2020'!AD630</f>
        <v>307</v>
      </c>
      <c r="AA74" s="106">
        <f>'2020'!AE630</f>
        <v>767.5</v>
      </c>
      <c r="AB74" s="106">
        <f>'2020'!AF630</f>
      </c>
      <c r="AC74" s="119">
        <f>'2020'!AG630</f>
        <v>24632</v>
      </c>
      <c r="AD74" s="119">
        <f>'2020'!AH630</f>
        <v>290</v>
      </c>
      <c r="AE74" s="106">
        <f>'2020'!AI630</f>
        <v>754</v>
      </c>
      <c r="AF74" s="106">
        <f>'2020'!AJ630</f>
        <v>1250</v>
      </c>
      <c r="AG74" s="119">
        <f>'2020'!AK630</f>
        <v>24963</v>
      </c>
      <c r="AH74" s="119">
        <f>'2020'!AL630</f>
        <v>331</v>
      </c>
      <c r="AI74" s="106">
        <f>'2020'!AM630</f>
        <v>860.6</v>
      </c>
      <c r="AJ74" s="106">
        <f>'2020'!AN630</f>
        <v>2600</v>
      </c>
      <c r="AK74" s="119">
        <f>'2020'!AO630</f>
        <v>25290</v>
      </c>
      <c r="AL74" s="119">
        <f>'2020'!AP630</f>
        <v>327</v>
      </c>
      <c r="AM74" s="106">
        <f>'2020'!AQ630</f>
        <v>850.2</v>
      </c>
      <c r="AN74" s="106">
        <f>'2020'!AR630</f>
      </c>
      <c r="AO74" s="119">
        <f>'2020'!AS630</f>
        <v>25638</v>
      </c>
      <c r="AP74" s="119">
        <f>'2020'!AT630</f>
        <v>348</v>
      </c>
      <c r="AQ74" s="106">
        <f>'2020'!AU630</f>
        <v>904.8</v>
      </c>
      <c r="AR74" s="106">
        <f>'2020'!AV630</f>
        <v>1300</v>
      </c>
      <c r="AS74" s="126">
        <f>'2020'!AW630</f>
        <v>26084</v>
      </c>
      <c r="AT74" s="119">
        <f>'2020'!AX630</f>
        <v>446</v>
      </c>
      <c r="AU74" s="106">
        <f>'2020'!AY630</f>
        <v>1159.6</v>
      </c>
      <c r="AV74" s="106">
        <f>'2020'!AZ630</f>
        <v>1950</v>
      </c>
      <c r="AW74" s="119"/>
      <c r="AX74" s="106">
        <f t="shared" si="0"/>
        <v>0</v>
      </c>
      <c r="AY74" s="119">
        <f>'2020'!BA630</f>
        <v>26821</v>
      </c>
      <c r="AZ74" s="119">
        <f>'2020'!BB630</f>
        <v>737</v>
      </c>
      <c r="BA74" s="106">
        <f>'2020'!BC630</f>
        <v>1916.2</v>
      </c>
      <c r="BB74" s="106">
        <f>'2020'!BD630</f>
      </c>
      <c r="BC74" s="106"/>
      <c r="BD74" s="106">
        <f t="shared" si="1"/>
        <v>0</v>
      </c>
      <c r="BE74" s="119">
        <f>'2020'!BE630</f>
        <v>5356</v>
      </c>
      <c r="BF74" s="106">
        <f>'2020'!BF630</f>
        <v>13637.9</v>
      </c>
      <c r="BG74" s="106">
        <f>'2020'!BG630</f>
        <v>12590</v>
      </c>
      <c r="BH74" s="106">
        <f>'2020'!BH630</f>
        <v>1011</v>
      </c>
      <c r="BI74" s="106">
        <f t="shared" si="2"/>
        <v>0</v>
      </c>
      <c r="BJ74" s="338">
        <f t="shared" si="3"/>
        <v>1011</v>
      </c>
    </row>
    <row r="75" ht="15.75" customHeight="1" hidden="1" spans="1:62" x14ac:dyDescent="0.25">
      <c r="A75" s="14"/>
      <c r="B75" s="115">
        <v>71</v>
      </c>
      <c r="C75" s="115">
        <v>5.98</v>
      </c>
      <c r="D75" s="117" t="s">
        <v>255</v>
      </c>
      <c r="E75" s="119">
        <f>'2020'!I639</f>
        <v>115</v>
      </c>
      <c r="F75" s="119">
        <f>'2020'!J639</f>
        <v>0</v>
      </c>
      <c r="G75" s="106">
        <f>'2020'!K639</f>
        <v>0</v>
      </c>
      <c r="H75" s="106">
        <f>'2020'!L639</f>
      </c>
      <c r="I75" s="119">
        <f>'2020'!M639</f>
        <v>115</v>
      </c>
      <c r="J75" s="119">
        <f>'2020'!N639</f>
        <v>0</v>
      </c>
      <c r="K75" s="106">
        <f>'2020'!O639</f>
        <v>0</v>
      </c>
      <c r="L75" s="106">
        <f>'2020'!P639</f>
      </c>
      <c r="M75" s="119">
        <f>'2020'!Q639</f>
        <v>115</v>
      </c>
      <c r="N75" s="119">
        <f>'2020'!R639</f>
        <v>0</v>
      </c>
      <c r="O75" s="106">
        <f>'2020'!S639</f>
        <v>0</v>
      </c>
      <c r="P75" s="106">
        <f>'2020'!T639</f>
      </c>
      <c r="Q75" s="119">
        <f>'2020'!U639</f>
        <v>115</v>
      </c>
      <c r="R75" s="119">
        <f>'2020'!V639</f>
        <v>0</v>
      </c>
      <c r="S75" s="106">
        <f>'2020'!W639</f>
        <v>0</v>
      </c>
      <c r="T75" s="106">
        <f>'2020'!X639</f>
      </c>
      <c r="U75" s="119">
        <f>'2020'!Y639</f>
        <v>118</v>
      </c>
      <c r="V75" s="119">
        <f>'2020'!Z639</f>
        <v>3</v>
      </c>
      <c r="W75" s="106">
        <f>'2020'!AA639</f>
        <v>7.5</v>
      </c>
      <c r="X75" s="106">
        <f>'2020'!AB639</f>
      </c>
      <c r="Y75" s="119">
        <f>'2020'!AC639</f>
        <v>122</v>
      </c>
      <c r="Z75" s="119">
        <f>'2020'!AD639</f>
        <v>4</v>
      </c>
      <c r="AA75" s="106">
        <f>'2020'!AE639</f>
        <v>10</v>
      </c>
      <c r="AB75" s="106">
        <f>'2020'!AF639</f>
        <v>12</v>
      </c>
      <c r="AC75" s="119">
        <f>'2020'!AG639</f>
        <v>125</v>
      </c>
      <c r="AD75" s="119">
        <f>'2020'!AH639</f>
        <v>3</v>
      </c>
      <c r="AE75" s="106">
        <f>'2020'!AI639</f>
        <v>7.8</v>
      </c>
      <c r="AF75" s="106">
        <f>'2020'!AJ639</f>
        <v>10</v>
      </c>
      <c r="AG75" s="119">
        <f>'2020'!AK639</f>
        <v>128</v>
      </c>
      <c r="AH75" s="119">
        <f>'2020'!AL639</f>
        <v>3</v>
      </c>
      <c r="AI75" s="106">
        <f>'2020'!AM639</f>
        <v>7.8</v>
      </c>
      <c r="AJ75" s="106">
        <f>'2020'!AN639</f>
        <v>21.72</v>
      </c>
      <c r="AK75" s="119">
        <f>'2020'!AO639</f>
        <v>130</v>
      </c>
      <c r="AL75" s="119">
        <f>'2020'!AP639</f>
        <v>2</v>
      </c>
      <c r="AM75" s="106">
        <f>'2020'!AQ639</f>
        <v>5.2</v>
      </c>
      <c r="AN75" s="106">
        <f>'2020'!AR639</f>
      </c>
      <c r="AO75" s="119">
        <f>'2020'!AS639</f>
        <v>150</v>
      </c>
      <c r="AP75" s="119">
        <f>'2020'!AT639</f>
        <v>20</v>
      </c>
      <c r="AQ75" s="106">
        <f>'2020'!AU639</f>
        <v>52</v>
      </c>
      <c r="AR75" s="106">
        <f>'2020'!AV639</f>
      </c>
      <c r="AS75" s="119">
        <f>'2020'!AW639</f>
        <v>150</v>
      </c>
      <c r="AT75" s="119">
        <f>'2020'!AX639</f>
        <v>0</v>
      </c>
      <c r="AU75" s="106">
        <f>'2020'!AY639</f>
        <v>0</v>
      </c>
      <c r="AV75" s="106">
        <f>'2020'!AZ639</f>
      </c>
      <c r="AW75" s="106"/>
      <c r="AX75" s="106">
        <f t="shared" si="0"/>
        <v>0</v>
      </c>
      <c r="AY75" s="119">
        <f>'2020'!BA639</f>
        <v>150</v>
      </c>
      <c r="AZ75" s="119">
        <f>'2020'!BB639</f>
        <v>0</v>
      </c>
      <c r="BA75" s="106">
        <f>'2020'!BC639</f>
        <v>0</v>
      </c>
      <c r="BB75" s="106">
        <f>'2020'!BD639</f>
      </c>
      <c r="BC75" s="106"/>
      <c r="BD75" s="106">
        <f t="shared" si="1"/>
        <v>0</v>
      </c>
      <c r="BE75" s="119">
        <f>'2020'!BE639</f>
        <v>35</v>
      </c>
      <c r="BF75" s="106">
        <f>'2020'!BF639</f>
        <v>90.3</v>
      </c>
      <c r="BG75" s="106">
        <f>'2020'!BG639</f>
        <v>43.72</v>
      </c>
      <c r="BH75" s="106">
        <f>'2020'!BH639</f>
        <v>51.08</v>
      </c>
      <c r="BI75" s="106">
        <f t="shared" si="2"/>
        <v>0</v>
      </c>
      <c r="BJ75" s="338">
        <f t="shared" si="3"/>
        <v>51.08</v>
      </c>
    </row>
    <row r="76" ht="15.75" customHeight="1" hidden="1" spans="1:62" x14ac:dyDescent="0.25">
      <c r="A76" s="14"/>
      <c r="B76" s="115">
        <v>72</v>
      </c>
      <c r="C76" s="115">
        <v>4.03</v>
      </c>
      <c r="D76" s="117" t="s">
        <v>257</v>
      </c>
      <c r="E76" s="119">
        <f>'2020'!I648</f>
        <v>131</v>
      </c>
      <c r="F76" s="119">
        <f>'2020'!J648</f>
        <v>0</v>
      </c>
      <c r="G76" s="106">
        <f>'2020'!K648</f>
        <v>0</v>
      </c>
      <c r="H76" s="106">
        <f>'2020'!L648</f>
      </c>
      <c r="I76" s="119">
        <f>'2020'!M648</f>
        <v>131</v>
      </c>
      <c r="J76" s="119">
        <f>'2020'!N648</f>
        <v>0</v>
      </c>
      <c r="K76" s="106">
        <f>'2020'!O648</f>
        <v>0</v>
      </c>
      <c r="L76" s="106">
        <f>'2020'!P648</f>
      </c>
      <c r="M76" s="119">
        <f>'2020'!Q648</f>
        <v>131</v>
      </c>
      <c r="N76" s="119">
        <f>'2020'!R648</f>
        <v>0</v>
      </c>
      <c r="O76" s="106">
        <f>'2020'!S648</f>
        <v>0</v>
      </c>
      <c r="P76" s="106">
        <f>'2020'!T648</f>
      </c>
      <c r="Q76" s="119">
        <f>'2020'!U648</f>
        <v>137</v>
      </c>
      <c r="R76" s="119">
        <f>'2020'!V648</f>
        <v>6</v>
      </c>
      <c r="S76" s="106">
        <f>'2020'!W648</f>
        <v>15</v>
      </c>
      <c r="T76" s="106">
        <f>'2020'!X648</f>
      </c>
      <c r="U76" s="119">
        <f>'2020'!Y648</f>
        <v>680</v>
      </c>
      <c r="V76" s="119">
        <f>'2020'!Z648</f>
        <v>543</v>
      </c>
      <c r="W76" s="106">
        <f>'2020'!AA648</f>
        <v>1357.5</v>
      </c>
      <c r="X76" s="106">
        <f>'2020'!AB648</f>
      </c>
      <c r="Y76" s="119">
        <f>'2020'!AC648</f>
        <v>1042</v>
      </c>
      <c r="Z76" s="119">
        <f>'2020'!AD648</f>
        <v>362</v>
      </c>
      <c r="AA76" s="106">
        <f>'2020'!AE648</f>
        <v>905</v>
      </c>
      <c r="AB76" s="106">
        <f>'2020'!AF648</f>
      </c>
      <c r="AC76" s="119">
        <f>'2020'!AG648</f>
        <v>1155</v>
      </c>
      <c r="AD76" s="119">
        <f>'2020'!AH648</f>
        <v>113</v>
      </c>
      <c r="AE76" s="106">
        <f>'2020'!AI648</f>
        <v>293.8</v>
      </c>
      <c r="AF76" s="106">
        <f>'2020'!AJ648</f>
        <v>2267</v>
      </c>
      <c r="AG76" s="119">
        <f>'2020'!AK648</f>
        <v>1406</v>
      </c>
      <c r="AH76" s="119">
        <f>'2020'!AL648</f>
        <v>251</v>
      </c>
      <c r="AI76" s="106">
        <f>'2020'!AM648</f>
        <v>652.6</v>
      </c>
      <c r="AJ76" s="106">
        <f>'2020'!AN648</f>
      </c>
      <c r="AK76" s="119">
        <f>'2020'!AO648</f>
        <v>1517</v>
      </c>
      <c r="AL76" s="119">
        <f>'2020'!AP648</f>
        <v>111</v>
      </c>
      <c r="AM76" s="106">
        <f>'2020'!AQ648</f>
        <v>288.6</v>
      </c>
      <c r="AN76" s="106">
        <f>'2020'!AR648</f>
      </c>
      <c r="AO76" s="119">
        <f>'2020'!AS648</f>
        <v>1517</v>
      </c>
      <c r="AP76" s="119">
        <f>'2020'!AT648</f>
        <v>0</v>
      </c>
      <c r="AQ76" s="106">
        <f>'2020'!AU648</f>
        <v>0</v>
      </c>
      <c r="AR76" s="106">
        <f>'2020'!AV648</f>
      </c>
      <c r="AS76" s="119">
        <f>'2020'!AW648</f>
        <v>1517</v>
      </c>
      <c r="AT76" s="119">
        <f>'2020'!AX648</f>
        <v>0</v>
      </c>
      <c r="AU76" s="106">
        <f>'2020'!AY648</f>
        <v>0</v>
      </c>
      <c r="AV76" s="106">
        <f>'2020'!AZ648</f>
      </c>
      <c r="AW76" s="106"/>
      <c r="AX76" s="106">
        <f t="shared" si="0"/>
        <v>0</v>
      </c>
      <c r="AY76" s="119">
        <f>'2020'!BA648</f>
        <v>1517</v>
      </c>
      <c r="AZ76" s="119">
        <f>'2020'!BB648</f>
        <v>0</v>
      </c>
      <c r="BA76" s="106">
        <f>'2020'!BC648</f>
        <v>0</v>
      </c>
      <c r="BB76" s="106">
        <f>'2020'!BD648</f>
      </c>
      <c r="BC76" s="106"/>
      <c r="BD76" s="106">
        <f t="shared" si="1"/>
        <v>0</v>
      </c>
      <c r="BE76" s="119">
        <f>'2020'!BE648</f>
        <v>1386</v>
      </c>
      <c r="BF76" s="106">
        <f>'2020'!BF648</f>
        <v>3512.5</v>
      </c>
      <c r="BG76" s="106">
        <f>'2020'!BG648</f>
        <v>2267</v>
      </c>
      <c r="BH76" s="106">
        <f>'2020'!BH648</f>
        <v>1214.87</v>
      </c>
      <c r="BI76" s="106">
        <f t="shared" si="2"/>
        <v>0</v>
      </c>
      <c r="BJ76" s="338">
        <f t="shared" si="3"/>
        <v>1214.87</v>
      </c>
    </row>
    <row r="77" ht="15.75" customHeight="1" hidden="1" spans="1:62" x14ac:dyDescent="0.25">
      <c r="A77" s="14"/>
      <c r="B77" s="115">
        <v>73</v>
      </c>
      <c r="C77" s="115">
        <v>4.02</v>
      </c>
      <c r="D77" s="117" t="s">
        <v>259</v>
      </c>
      <c r="E77" s="119">
        <f>'2020'!I657</f>
      </c>
      <c r="F77" s="119">
        <f>'2020'!J657</f>
      </c>
      <c r="G77" s="106">
        <f>'2020'!K657</f>
        <v>0</v>
      </c>
      <c r="H77" s="106">
        <f>'2020'!L657</f>
      </c>
      <c r="I77" s="119">
        <f>'2020'!M657</f>
      </c>
      <c r="J77" s="119">
        <f>'2020'!N657</f>
      </c>
      <c r="K77" s="106">
        <f>'2020'!O657</f>
        <v>0</v>
      </c>
      <c r="L77" s="106">
        <f>'2020'!P657</f>
      </c>
      <c r="M77" s="119">
        <f>'2020'!Q657</f>
      </c>
      <c r="N77" s="119">
        <f>'2020'!R657</f>
        <v>0</v>
      </c>
      <c r="O77" s="106">
        <f>'2020'!S657</f>
        <v>0</v>
      </c>
      <c r="P77" s="106">
        <f>'2020'!T657</f>
      </c>
      <c r="Q77" s="119">
        <f>'2020'!U657</f>
      </c>
      <c r="R77" s="119">
        <f>'2020'!V657</f>
        <v>0</v>
      </c>
      <c r="S77" s="106">
        <f>'2020'!W657</f>
        <v>0</v>
      </c>
      <c r="T77" s="106">
        <f>'2020'!X657</f>
      </c>
      <c r="U77" s="119">
        <f>'2020'!Y657</f>
      </c>
      <c r="V77" s="119">
        <f>'2020'!Z657</f>
        <v>0</v>
      </c>
      <c r="W77" s="106">
        <f>'2020'!AA657</f>
        <v>0</v>
      </c>
      <c r="X77" s="106">
        <f>'2020'!AB657</f>
      </c>
      <c r="Y77" s="119">
        <f>'2020'!AC657</f>
      </c>
      <c r="Z77" s="119">
        <f>'2020'!AD657</f>
        <v>0</v>
      </c>
      <c r="AA77" s="106">
        <f>'2020'!AE657</f>
        <v>0</v>
      </c>
      <c r="AB77" s="106">
        <f>'2020'!AF657</f>
      </c>
      <c r="AC77" s="119">
        <f>'2020'!AG657</f>
      </c>
      <c r="AD77" s="119">
        <f>'2020'!AH657</f>
        <v>0</v>
      </c>
      <c r="AE77" s="106">
        <f>'2020'!AI657</f>
        <v>0</v>
      </c>
      <c r="AF77" s="106">
        <f>'2020'!AJ657</f>
      </c>
      <c r="AG77" s="119">
        <f>'2020'!AK657</f>
        <v>0</v>
      </c>
      <c r="AH77" s="119">
        <f>'2020'!AL657</f>
        <v>0</v>
      </c>
      <c r="AI77" s="106">
        <f>'2020'!AM657</f>
        <v>0</v>
      </c>
      <c r="AJ77" s="106">
        <f>'2020'!AN657</f>
      </c>
      <c r="AK77" s="119">
        <f>'2020'!AO657</f>
        <v>0</v>
      </c>
      <c r="AL77" s="119">
        <f>'2020'!AP657</f>
        <v>0</v>
      </c>
      <c r="AM77" s="106">
        <f>'2020'!AQ657</f>
        <v>0</v>
      </c>
      <c r="AN77" s="106">
        <f>'2020'!AR657</f>
      </c>
      <c r="AO77" s="119">
        <f>'2020'!AS657</f>
        <v>0</v>
      </c>
      <c r="AP77" s="119">
        <f>'2020'!AT657</f>
        <v>0</v>
      </c>
      <c r="AQ77" s="106">
        <f>'2020'!AU657</f>
        <v>0</v>
      </c>
      <c r="AR77" s="106">
        <f>'2020'!AV657</f>
      </c>
      <c r="AS77" s="119">
        <f>'2020'!AW657</f>
        <v>0</v>
      </c>
      <c r="AT77" s="119">
        <f>'2020'!AX657</f>
        <v>0</v>
      </c>
      <c r="AU77" s="106">
        <f>'2020'!AY657</f>
        <v>0</v>
      </c>
      <c r="AV77" s="106">
        <f>'2020'!AZ657</f>
      </c>
      <c r="AW77" s="106"/>
      <c r="AX77" s="106">
        <f t="shared" si="0"/>
        <v>0</v>
      </c>
      <c r="AY77" s="119">
        <f>'2020'!BA657</f>
        <v>0</v>
      </c>
      <c r="AZ77" s="119">
        <f>'2020'!BB657</f>
        <v>0</v>
      </c>
      <c r="BA77" s="106">
        <f>'2020'!BC657</f>
        <v>0</v>
      </c>
      <c r="BB77" s="106">
        <f>'2020'!BD657</f>
      </c>
      <c r="BC77" s="106"/>
      <c r="BD77" s="106">
        <f t="shared" si="1"/>
        <v>0</v>
      </c>
      <c r="BE77" s="119">
        <f>'2020'!BE657</f>
        <v>0</v>
      </c>
      <c r="BF77" s="106">
        <f>'2020'!BF657</f>
        <v>0</v>
      </c>
      <c r="BG77" s="106">
        <f>'2020'!BG657</f>
        <v>0</v>
      </c>
      <c r="BH77" s="106">
        <f>'2020'!BH657</f>
        <v>0</v>
      </c>
      <c r="BI77" s="106">
        <f t="shared" si="2"/>
        <v>0</v>
      </c>
      <c r="BJ77" s="338">
        <f t="shared" si="3"/>
        <v>0</v>
      </c>
    </row>
    <row r="78" ht="15.75" customHeight="1" hidden="1" spans="1:62" x14ac:dyDescent="0.25">
      <c r="A78" s="21"/>
      <c r="B78" s="115">
        <v>74</v>
      </c>
      <c r="C78" s="115">
        <v>4.97</v>
      </c>
      <c r="D78" s="117" t="s">
        <v>262</v>
      </c>
      <c r="E78" s="119">
        <f>'2020'!I666</f>
      </c>
      <c r="F78" s="119">
        <f>'2020'!J666</f>
      </c>
      <c r="G78" s="106">
        <f>'2020'!K666</f>
        <v>0</v>
      </c>
      <c r="H78" s="106">
        <f>'2020'!L666</f>
      </c>
      <c r="I78" s="119">
        <f>'2020'!M666</f>
      </c>
      <c r="J78" s="119">
        <f>'2020'!N666</f>
      </c>
      <c r="K78" s="106">
        <f>'2020'!O666</f>
        <v>0</v>
      </c>
      <c r="L78" s="106">
        <f>'2020'!P666</f>
      </c>
      <c r="M78" s="119">
        <f>'2020'!Q666</f>
      </c>
      <c r="N78" s="119">
        <f>'2020'!R666</f>
        <v>0</v>
      </c>
      <c r="O78" s="106">
        <f>'2020'!S666</f>
        <v>0</v>
      </c>
      <c r="P78" s="106">
        <f>'2020'!T666</f>
      </c>
      <c r="Q78" s="119">
        <f>'2020'!U666</f>
      </c>
      <c r="R78" s="119">
        <f>'2020'!V666</f>
        <v>0</v>
      </c>
      <c r="S78" s="106">
        <f>'2020'!W666</f>
        <v>0</v>
      </c>
      <c r="T78" s="106">
        <f>'2020'!X666</f>
      </c>
      <c r="U78" s="119">
        <f>'2020'!Y666</f>
      </c>
      <c r="V78" s="119">
        <f>'2020'!Z666</f>
        <v>0</v>
      </c>
      <c r="W78" s="106">
        <f>'2020'!AA666</f>
        <v>0</v>
      </c>
      <c r="X78" s="106">
        <f>'2020'!AB666</f>
      </c>
      <c r="Y78" s="119">
        <f>'2020'!AC666</f>
      </c>
      <c r="Z78" s="119">
        <f>'2020'!AD666</f>
        <v>0</v>
      </c>
      <c r="AA78" s="106">
        <f>'2020'!AE666</f>
        <v>0</v>
      </c>
      <c r="AB78" s="106">
        <f>'2020'!AF666</f>
      </c>
      <c r="AC78" s="119">
        <f>'2020'!AG666</f>
      </c>
      <c r="AD78" s="119">
        <f>'2020'!AH666</f>
        <v>0</v>
      </c>
      <c r="AE78" s="106">
        <f>'2020'!AI666</f>
        <v>0</v>
      </c>
      <c r="AF78" s="106">
        <f>'2020'!AJ666</f>
      </c>
      <c r="AG78" s="119">
        <f>'2020'!AK666</f>
        <v>0</v>
      </c>
      <c r="AH78" s="119">
        <f>'2020'!AL666</f>
        <v>0</v>
      </c>
      <c r="AI78" s="106">
        <f>'2020'!AM666</f>
        <v>0</v>
      </c>
      <c r="AJ78" s="106">
        <f>'2020'!AN666</f>
      </c>
      <c r="AK78" s="119">
        <f>'2020'!AO666</f>
        <v>0</v>
      </c>
      <c r="AL78" s="119">
        <f>'2020'!AP666</f>
        <v>0</v>
      </c>
      <c r="AM78" s="106">
        <f>'2020'!AQ666</f>
        <v>0</v>
      </c>
      <c r="AN78" s="106">
        <f>'2020'!AR666</f>
      </c>
      <c r="AO78" s="119">
        <f>'2020'!AS666</f>
        <v>0</v>
      </c>
      <c r="AP78" s="119">
        <f>'2020'!AT666</f>
        <v>0</v>
      </c>
      <c r="AQ78" s="106">
        <f>'2020'!AU666</f>
        <v>0</v>
      </c>
      <c r="AR78" s="106">
        <f>'2020'!AV666</f>
      </c>
      <c r="AS78" s="119">
        <f>'2020'!AW666</f>
        <v>0</v>
      </c>
      <c r="AT78" s="119">
        <f>'2020'!AX666</f>
        <v>0</v>
      </c>
      <c r="AU78" s="106">
        <f>'2020'!AY666</f>
        <v>0</v>
      </c>
      <c r="AV78" s="106">
        <f>'2020'!AZ666</f>
      </c>
      <c r="AW78" s="106"/>
      <c r="AX78" s="106">
        <f t="shared" si="0"/>
        <v>0</v>
      </c>
      <c r="AY78" s="119">
        <f>'2020'!BA666</f>
        <v>0</v>
      </c>
      <c r="AZ78" s="119">
        <f>'2020'!BB666</f>
        <v>0</v>
      </c>
      <c r="BA78" s="106">
        <f>'2020'!BC666</f>
        <v>0</v>
      </c>
      <c r="BB78" s="106">
        <f>'2020'!BD666</f>
      </c>
      <c r="BC78" s="106"/>
      <c r="BD78" s="106">
        <f t="shared" si="1"/>
        <v>0</v>
      </c>
      <c r="BE78" s="119">
        <f>'2020'!BE666</f>
        <v>0</v>
      </c>
      <c r="BF78" s="106">
        <f>'2020'!BF666</f>
        <v>0</v>
      </c>
      <c r="BG78" s="106">
        <f>'2020'!BG666</f>
        <v>0</v>
      </c>
      <c r="BH78" s="106">
        <f>'2020'!BH666</f>
        <v>0</v>
      </c>
      <c r="BI78" s="106">
        <f t="shared" si="2"/>
        <v>0</v>
      </c>
      <c r="BJ78" s="338">
        <f t="shared" si="3"/>
        <v>0</v>
      </c>
    </row>
    <row r="79" ht="15.75" customHeight="1" hidden="1" spans="1:62" x14ac:dyDescent="0.25">
      <c r="A79" s="114" t="s">
        <v>264</v>
      </c>
      <c r="B79" s="115">
        <v>75</v>
      </c>
      <c r="C79" s="115">
        <v>4.15</v>
      </c>
      <c r="D79" s="117" t="s">
        <v>265</v>
      </c>
      <c r="E79" s="119">
        <f>'2020'!I675</f>
      </c>
      <c r="F79" s="119">
        <f>'2020'!J675</f>
      </c>
      <c r="G79" s="106">
        <f>'2020'!K675</f>
        <v>0</v>
      </c>
      <c r="H79" s="106">
        <f>'2020'!L675</f>
      </c>
      <c r="I79" s="119">
        <f>'2020'!M675</f>
      </c>
      <c r="J79" s="119">
        <f>'2020'!N675</f>
      </c>
      <c r="K79" s="106">
        <f>'2020'!O675</f>
        <v>0</v>
      </c>
      <c r="L79" s="106">
        <f>'2020'!P675</f>
      </c>
      <c r="M79" s="119">
        <f>'2020'!Q675</f>
      </c>
      <c r="N79" s="119">
        <f>'2020'!R675</f>
        <v>0</v>
      </c>
      <c r="O79" s="106">
        <f>'2020'!S675</f>
        <v>0</v>
      </c>
      <c r="P79" s="106">
        <f>'2020'!T675</f>
      </c>
      <c r="Q79" s="119">
        <f>'2020'!U675</f>
      </c>
      <c r="R79" s="119">
        <f>'2020'!V675</f>
        <v>0</v>
      </c>
      <c r="S79" s="106">
        <f>'2020'!W675</f>
        <v>0</v>
      </c>
      <c r="T79" s="106">
        <f>'2020'!X675</f>
      </c>
      <c r="U79" s="119">
        <f>'2020'!Y675</f>
      </c>
      <c r="V79" s="119">
        <f>'2020'!Z675</f>
        <v>0</v>
      </c>
      <c r="W79" s="106">
        <f>'2020'!AA675</f>
        <v>0</v>
      </c>
      <c r="X79" s="106">
        <f>'2020'!AB675</f>
      </c>
      <c r="Y79" s="119">
        <f>'2020'!AC675</f>
      </c>
      <c r="Z79" s="119">
        <f>'2020'!AD675</f>
        <v>0</v>
      </c>
      <c r="AA79" s="106">
        <f>'2020'!AE675</f>
        <v>0</v>
      </c>
      <c r="AB79" s="106">
        <f>'2020'!AF675</f>
      </c>
      <c r="AC79" s="119">
        <f>'2020'!AG675</f>
      </c>
      <c r="AD79" s="119">
        <f>'2020'!AH675</f>
        <v>0</v>
      </c>
      <c r="AE79" s="106">
        <f>'2020'!AI675</f>
        <v>0</v>
      </c>
      <c r="AF79" s="106">
        <f>'2020'!AJ675</f>
      </c>
      <c r="AG79" s="119">
        <f>'2020'!AK675</f>
        <v>0</v>
      </c>
      <c r="AH79" s="119">
        <f>'2020'!AL675</f>
        <v>0</v>
      </c>
      <c r="AI79" s="106">
        <f>'2020'!AM675</f>
        <v>0</v>
      </c>
      <c r="AJ79" s="106">
        <f>'2020'!AN675</f>
      </c>
      <c r="AK79" s="119">
        <f>'2020'!AO675</f>
        <v>0</v>
      </c>
      <c r="AL79" s="119">
        <f>'2020'!AP675</f>
        <v>0</v>
      </c>
      <c r="AM79" s="106">
        <f>'2020'!AQ675</f>
        <v>0</v>
      </c>
      <c r="AN79" s="106">
        <f>'2020'!AR675</f>
      </c>
      <c r="AO79" s="119">
        <f>'2020'!AS675</f>
        <v>0</v>
      </c>
      <c r="AP79" s="119">
        <f>'2020'!AT675</f>
        <v>0</v>
      </c>
      <c r="AQ79" s="106">
        <f>'2020'!AU675</f>
        <v>0</v>
      </c>
      <c r="AR79" s="106">
        <f>'2020'!AV675</f>
      </c>
      <c r="AS79" s="119">
        <f>'2020'!AW675</f>
        <v>0</v>
      </c>
      <c r="AT79" s="119">
        <f>'2020'!AX675</f>
        <v>0</v>
      </c>
      <c r="AU79" s="106">
        <f>'2020'!AY675</f>
        <v>0</v>
      </c>
      <c r="AV79" s="106">
        <f>'2020'!AZ675</f>
      </c>
      <c r="AW79" s="106"/>
      <c r="AX79" s="106">
        <f t="shared" si="0"/>
        <v>0</v>
      </c>
      <c r="AY79" s="119">
        <f>'2020'!BA675</f>
        <v>0</v>
      </c>
      <c r="AZ79" s="119">
        <f>'2020'!BB675</f>
        <v>0</v>
      </c>
      <c r="BA79" s="106">
        <f>'2020'!BC675</f>
        <v>0</v>
      </c>
      <c r="BB79" s="106">
        <f>'2020'!BD675</f>
      </c>
      <c r="BC79" s="106"/>
      <c r="BD79" s="106">
        <f t="shared" si="1"/>
        <v>0</v>
      </c>
      <c r="BE79" s="119">
        <f>'2020'!BE675</f>
        <v>0</v>
      </c>
      <c r="BF79" s="106">
        <f>'2020'!BF675</f>
        <v>0</v>
      </c>
      <c r="BG79" s="106">
        <f>'2020'!BG675</f>
        <v>0</v>
      </c>
      <c r="BH79" s="106">
        <f>'2020'!BH675</f>
        <v>0</v>
      </c>
      <c r="BI79" s="106">
        <f t="shared" si="2"/>
        <v>0</v>
      </c>
      <c r="BJ79" s="338">
        <f t="shared" si="3"/>
        <v>0</v>
      </c>
    </row>
    <row r="80" ht="15.75" customHeight="1" hidden="1" spans="1:62" x14ac:dyDescent="0.25">
      <c r="A80" s="14"/>
      <c r="B80" s="115">
        <v>76</v>
      </c>
      <c r="C80" s="115">
        <v>4.15</v>
      </c>
      <c r="D80" s="117" t="s">
        <v>267</v>
      </c>
      <c r="E80" s="119">
        <f>'2020'!I684</f>
      </c>
      <c r="F80" s="119">
        <f>'2020'!J684</f>
      </c>
      <c r="G80" s="106">
        <f>'2020'!K684</f>
        <v>0</v>
      </c>
      <c r="H80" s="106">
        <f>'2020'!L684</f>
      </c>
      <c r="I80" s="119">
        <f>'2020'!M684</f>
      </c>
      <c r="J80" s="119">
        <f>'2020'!N684</f>
      </c>
      <c r="K80" s="106">
        <f>'2020'!O684</f>
        <v>0</v>
      </c>
      <c r="L80" s="106">
        <f>'2020'!P684</f>
      </c>
      <c r="M80" s="119">
        <f>'2020'!Q684</f>
      </c>
      <c r="N80" s="119">
        <f>'2020'!R684</f>
        <v>0</v>
      </c>
      <c r="O80" s="106">
        <f>'2020'!S684</f>
        <v>0</v>
      </c>
      <c r="P80" s="106">
        <f>'2020'!T684</f>
      </c>
      <c r="Q80" s="119">
        <f>'2020'!U684</f>
      </c>
      <c r="R80" s="119">
        <f>'2020'!V684</f>
        <v>0</v>
      </c>
      <c r="S80" s="106">
        <f>'2020'!W684</f>
        <v>0</v>
      </c>
      <c r="T80" s="106">
        <f>'2020'!X684</f>
      </c>
      <c r="U80" s="119">
        <f>'2020'!Y684</f>
      </c>
      <c r="V80" s="119">
        <f>'2020'!Z684</f>
        <v>0</v>
      </c>
      <c r="W80" s="106">
        <f>'2020'!AA684</f>
        <v>0</v>
      </c>
      <c r="X80" s="106">
        <f>'2020'!AB684</f>
      </c>
      <c r="Y80" s="119">
        <f>'2020'!AC684</f>
      </c>
      <c r="Z80" s="119">
        <f>'2020'!AD684</f>
        <v>0</v>
      </c>
      <c r="AA80" s="106">
        <f>'2020'!AE684</f>
        <v>0</v>
      </c>
      <c r="AB80" s="106">
        <f>'2020'!AF684</f>
      </c>
      <c r="AC80" s="119">
        <f>'2020'!AG684</f>
      </c>
      <c r="AD80" s="119">
        <f>'2020'!AH684</f>
        <v>0</v>
      </c>
      <c r="AE80" s="106">
        <f>'2020'!AI684</f>
        <v>0</v>
      </c>
      <c r="AF80" s="106">
        <f>'2020'!AJ684</f>
      </c>
      <c r="AG80" s="119">
        <f>'2020'!AK684</f>
        <v>0</v>
      </c>
      <c r="AH80" s="119">
        <f>'2020'!AL684</f>
        <v>0</v>
      </c>
      <c r="AI80" s="106">
        <f>'2020'!AM684</f>
        <v>0</v>
      </c>
      <c r="AJ80" s="106">
        <f>'2020'!AN684</f>
      </c>
      <c r="AK80" s="119">
        <f>'2020'!AO684</f>
        <v>0</v>
      </c>
      <c r="AL80" s="119">
        <f>'2020'!AP684</f>
        <v>0</v>
      </c>
      <c r="AM80" s="106">
        <f>'2020'!AQ684</f>
        <v>0</v>
      </c>
      <c r="AN80" s="106">
        <f>'2020'!AR684</f>
      </c>
      <c r="AO80" s="119">
        <f>'2020'!AS684</f>
        <v>0</v>
      </c>
      <c r="AP80" s="119">
        <f>'2020'!AT684</f>
        <v>0</v>
      </c>
      <c r="AQ80" s="106">
        <f>'2020'!AU684</f>
        <v>0</v>
      </c>
      <c r="AR80" s="106">
        <f>'2020'!AV684</f>
      </c>
      <c r="AS80" s="119">
        <f>'2020'!AW684</f>
        <v>0</v>
      </c>
      <c r="AT80" s="119">
        <f>'2020'!AX684</f>
        <v>0</v>
      </c>
      <c r="AU80" s="106">
        <f>'2020'!AY684</f>
        <v>0</v>
      </c>
      <c r="AV80" s="106">
        <f>'2020'!AZ684</f>
      </c>
      <c r="AW80" s="106"/>
      <c r="AX80" s="106">
        <f t="shared" si="0"/>
        <v>0</v>
      </c>
      <c r="AY80" s="119">
        <f>'2020'!BA684</f>
        <v>0</v>
      </c>
      <c r="AZ80" s="119">
        <f>'2020'!BB684</f>
        <v>0</v>
      </c>
      <c r="BA80" s="106">
        <f>'2020'!BC684</f>
        <v>0</v>
      </c>
      <c r="BB80" s="106">
        <f>'2020'!BD684</f>
      </c>
      <c r="BC80" s="106"/>
      <c r="BD80" s="106">
        <f t="shared" si="1"/>
        <v>0</v>
      </c>
      <c r="BE80" s="119">
        <f>'2020'!BE684</f>
        <v>0</v>
      </c>
      <c r="BF80" s="106">
        <f>'2020'!BF684</f>
        <v>0</v>
      </c>
      <c r="BG80" s="106">
        <f>'2020'!BG684</f>
        <v>0</v>
      </c>
      <c r="BH80" s="106">
        <f>'2020'!BH684</f>
        <v>0</v>
      </c>
      <c r="BI80" s="106">
        <f t="shared" si="2"/>
        <v>0</v>
      </c>
      <c r="BJ80" s="338">
        <f t="shared" si="3"/>
        <v>0</v>
      </c>
    </row>
    <row r="81" ht="15.75" customHeight="1" hidden="1" spans="1:62" x14ac:dyDescent="0.25">
      <c r="A81" s="14"/>
      <c r="B81" s="115">
        <v>77</v>
      </c>
      <c r="C81" s="115">
        <v>4.12</v>
      </c>
      <c r="D81" s="117" t="s">
        <v>268</v>
      </c>
      <c r="E81" s="119">
        <f>'2020'!I693</f>
        <v>1477</v>
      </c>
      <c r="F81" s="119">
        <f>'2020'!J693</f>
        <v>0</v>
      </c>
      <c r="G81" s="106">
        <f>'2020'!K693</f>
        <v>0</v>
      </c>
      <c r="H81" s="106">
        <f>'2020'!L693</f>
      </c>
      <c r="I81" s="119">
        <f>'2020'!M693</f>
        <v>1477</v>
      </c>
      <c r="J81" s="119">
        <f>'2020'!N693</f>
        <v>0</v>
      </c>
      <c r="K81" s="106">
        <f>'2020'!O693</f>
        <v>0</v>
      </c>
      <c r="L81" s="106">
        <f>'2020'!P693</f>
      </c>
      <c r="M81" s="119">
        <f>'2020'!Q693</f>
        <v>1477</v>
      </c>
      <c r="N81" s="119">
        <f>'2020'!R693</f>
        <v>0</v>
      </c>
      <c r="O81" s="106">
        <f>'2020'!S693</f>
        <v>0</v>
      </c>
      <c r="P81" s="106">
        <f>'2020'!T693</f>
      </c>
      <c r="Q81" s="119">
        <f>'2020'!U693</f>
        <v>1574</v>
      </c>
      <c r="R81" s="119">
        <f>'2020'!V693</f>
        <v>97</v>
      </c>
      <c r="S81" s="106">
        <f>'2020'!W693</f>
        <v>242.5</v>
      </c>
      <c r="T81" s="106">
        <f>'2020'!X693</f>
        <v>242.5</v>
      </c>
      <c r="U81" s="119">
        <f>'2020'!Y693</f>
        <v>1721</v>
      </c>
      <c r="V81" s="119">
        <f>'2020'!Z693</f>
        <v>147</v>
      </c>
      <c r="W81" s="106">
        <f>'2020'!AA693</f>
        <v>367.5</v>
      </c>
      <c r="X81" s="106">
        <f>'2020'!AB693</f>
      </c>
      <c r="Y81" s="119">
        <f>'2020'!AC693</f>
        <v>1841</v>
      </c>
      <c r="Z81" s="119">
        <f>'2020'!AD693</f>
        <v>120</v>
      </c>
      <c r="AA81" s="106">
        <f>'2020'!AE693</f>
        <v>300</v>
      </c>
      <c r="AB81" s="106">
        <f>'2020'!AF693</f>
        <v>511.82</v>
      </c>
      <c r="AC81" s="119">
        <f>'2020'!AG693</f>
        <v>1946</v>
      </c>
      <c r="AD81" s="119">
        <f>'2020'!AH693</f>
        <v>105</v>
      </c>
      <c r="AE81" s="106">
        <f>'2020'!AI693</f>
        <v>273</v>
      </c>
      <c r="AF81" s="106">
        <f>'2020'!AJ693</f>
        <v>428.68</v>
      </c>
      <c r="AG81" s="119">
        <f>'2020'!AK693</f>
        <v>2070</v>
      </c>
      <c r="AH81" s="119">
        <f>'2020'!AL693</f>
        <v>124</v>
      </c>
      <c r="AI81" s="106">
        <f>'2020'!AM693</f>
        <v>322.4</v>
      </c>
      <c r="AJ81" s="106">
        <f>'2020'!AN693</f>
        <v>262.6</v>
      </c>
      <c r="AK81" s="119">
        <f>'2020'!AO693</f>
        <v>2178</v>
      </c>
      <c r="AL81" s="119">
        <f>'2020'!AP693</f>
        <v>108</v>
      </c>
      <c r="AM81" s="106">
        <f>'2020'!AQ693</f>
        <v>280.8</v>
      </c>
      <c r="AN81" s="106">
        <f>'2020'!AR693</f>
      </c>
      <c r="AO81" s="119">
        <f>'2020'!AS693</f>
        <v>2180</v>
      </c>
      <c r="AP81" s="119">
        <f>'2020'!AT693</f>
        <v>2</v>
      </c>
      <c r="AQ81" s="106">
        <f>'2020'!AU693</f>
        <v>5.2</v>
      </c>
      <c r="AR81" s="106">
        <f>'2020'!AV693</f>
      </c>
      <c r="AS81" s="119">
        <f>'2020'!AW693</f>
        <v>2180</v>
      </c>
      <c r="AT81" s="119">
        <f>'2020'!AX693</f>
        <v>0</v>
      </c>
      <c r="AU81" s="106">
        <f>'2020'!AY693</f>
        <v>0</v>
      </c>
      <c r="AV81" s="106">
        <f>'2020'!AZ693</f>
        <v>345.8</v>
      </c>
      <c r="AW81" s="106"/>
      <c r="AX81" s="106">
        <f t="shared" si="0"/>
        <v>0</v>
      </c>
      <c r="AY81" s="119">
        <f>'2020'!BA693</f>
        <v>2180</v>
      </c>
      <c r="AZ81" s="119">
        <f>'2020'!BB693</f>
        <v>0</v>
      </c>
      <c r="BA81" s="106">
        <f>'2020'!BC693</f>
        <v>0</v>
      </c>
      <c r="BB81" s="106">
        <f>'2020'!BD693</f>
      </c>
      <c r="BC81" s="106"/>
      <c r="BD81" s="106">
        <f t="shared" si="1"/>
        <v>0</v>
      </c>
      <c r="BE81" s="119">
        <f>'2020'!BE693</f>
        <v>703</v>
      </c>
      <c r="BF81" s="106">
        <f>'2020'!BF693</f>
        <v>1791.4</v>
      </c>
      <c r="BG81" s="106">
        <f>'2020'!BG693</f>
        <v>1791.4</v>
      </c>
      <c r="BH81" s="106">
        <f>'2020'!BH693</f>
        <v>0</v>
      </c>
      <c r="BI81" s="106">
        <f t="shared" si="2"/>
        <v>0</v>
      </c>
      <c r="BJ81" s="338">
        <f t="shared" si="3"/>
        <v>0</v>
      </c>
    </row>
    <row r="82" ht="15.75" customHeight="1" hidden="1" spans="1:62" x14ac:dyDescent="0.25">
      <c r="A82" s="14"/>
      <c r="B82" s="115">
        <v>78</v>
      </c>
      <c r="C82" s="115">
        <v>4.03</v>
      </c>
      <c r="D82" s="117" t="s">
        <v>271</v>
      </c>
      <c r="E82" s="119">
        <f>'2020'!I702</f>
        <v>55</v>
      </c>
      <c r="F82" s="119">
        <f>'2020'!J702</f>
        <v>0</v>
      </c>
      <c r="G82" s="106">
        <f>'2020'!K702</f>
        <v>0</v>
      </c>
      <c r="H82" s="106">
        <f>'2020'!L702</f>
      </c>
      <c r="I82" s="119">
        <f>'2020'!M702</f>
        <v>55</v>
      </c>
      <c r="J82" s="119">
        <f>'2020'!N702</f>
        <v>0</v>
      </c>
      <c r="K82" s="106">
        <f>'2020'!O702</f>
        <v>0</v>
      </c>
      <c r="L82" s="106">
        <f>'2020'!P702</f>
      </c>
      <c r="M82" s="119">
        <f>'2020'!Q702</f>
        <v>55</v>
      </c>
      <c r="N82" s="119">
        <f>'2020'!R702</f>
        <v>0</v>
      </c>
      <c r="O82" s="106">
        <f>'2020'!S702</f>
        <v>0</v>
      </c>
      <c r="P82" s="106">
        <f>'2020'!T702</f>
      </c>
      <c r="Q82" s="119">
        <f>'2020'!U702</f>
        <v>55</v>
      </c>
      <c r="R82" s="119">
        <f>'2020'!V702</f>
        <v>0</v>
      </c>
      <c r="S82" s="106">
        <f>'2020'!W702</f>
        <v>0</v>
      </c>
      <c r="T82" s="106">
        <f>'2020'!X702</f>
      </c>
      <c r="U82" s="119">
        <f>'2020'!Y702</f>
        <v>56</v>
      </c>
      <c r="V82" s="119">
        <f>'2020'!Z702</f>
        <v>1</v>
      </c>
      <c r="W82" s="106">
        <f>'2020'!AA702</f>
        <v>2.5</v>
      </c>
      <c r="X82" s="106">
        <f>'2020'!AB702</f>
      </c>
      <c r="Y82" s="119">
        <f>'2020'!AC702</f>
        <v>57</v>
      </c>
      <c r="Z82" s="119">
        <f>'2020'!AD702</f>
        <v>1</v>
      </c>
      <c r="AA82" s="106">
        <f>'2020'!AE702</f>
        <v>2.5</v>
      </c>
      <c r="AB82" s="106">
        <f>'2020'!AF702</f>
        <v>15</v>
      </c>
      <c r="AC82" s="119">
        <f>'2020'!AG702</f>
        <v>59</v>
      </c>
      <c r="AD82" s="119">
        <f>'2020'!AH702</f>
        <v>2</v>
      </c>
      <c r="AE82" s="106">
        <f>'2020'!AI702</f>
        <v>5.2</v>
      </c>
      <c r="AF82" s="106">
        <f>'2020'!AJ702</f>
        <v>2.5</v>
      </c>
      <c r="AG82" s="119">
        <f>'2020'!AK702</f>
        <v>61</v>
      </c>
      <c r="AH82" s="119">
        <f>'2020'!AL702</f>
        <v>2</v>
      </c>
      <c r="AI82" s="106">
        <f>'2020'!AM702</f>
        <v>5.2</v>
      </c>
      <c r="AJ82" s="106">
        <f>'2020'!AN702</f>
        <v>7.75</v>
      </c>
      <c r="AK82" s="119">
        <f>'2020'!AO702</f>
        <v>65</v>
      </c>
      <c r="AL82" s="119">
        <f>'2020'!AP702</f>
        <v>4</v>
      </c>
      <c r="AM82" s="106">
        <f>'2020'!AQ702</f>
        <v>10.4</v>
      </c>
      <c r="AN82" s="106">
        <f>'2020'!AR702</f>
      </c>
      <c r="AO82" s="119">
        <f>'2020'!AS702</f>
        <v>75</v>
      </c>
      <c r="AP82" s="119">
        <f>'2020'!AT702</f>
        <v>10</v>
      </c>
      <c r="AQ82" s="106">
        <f>'2020'!AU702</f>
        <v>26</v>
      </c>
      <c r="AR82" s="106">
        <f>'2020'!AV702</f>
      </c>
      <c r="AS82" s="119">
        <f>'2020'!AW702</f>
        <v>75</v>
      </c>
      <c r="AT82" s="119">
        <f>'2020'!AX702</f>
        <v>0</v>
      </c>
      <c r="AU82" s="106">
        <f>'2020'!AY702</f>
        <v>0</v>
      </c>
      <c r="AV82" s="106">
        <f>'2020'!AZ702</f>
      </c>
      <c r="AW82" s="106"/>
      <c r="AX82" s="106">
        <f t="shared" si="0"/>
        <v>0</v>
      </c>
      <c r="AY82" s="119">
        <f>'2020'!BA702</f>
        <v>75</v>
      </c>
      <c r="AZ82" s="119">
        <f>'2020'!BB702</f>
        <v>0</v>
      </c>
      <c r="BA82" s="106">
        <f>'2020'!BC702</f>
        <v>0</v>
      </c>
      <c r="BB82" s="106">
        <f>'2020'!BD702</f>
      </c>
      <c r="BC82" s="106"/>
      <c r="BD82" s="106">
        <f t="shared" si="1"/>
        <v>0</v>
      </c>
      <c r="BE82" s="119">
        <f>'2020'!BE702</f>
        <v>20</v>
      </c>
      <c r="BF82" s="106">
        <f>'2020'!BF702</f>
        <v>51.8</v>
      </c>
      <c r="BG82" s="106">
        <f>'2020'!BG702</f>
        <v>25.25</v>
      </c>
      <c r="BH82" s="106">
        <f>'2020'!BH702</f>
        <v>39.05</v>
      </c>
      <c r="BI82" s="106">
        <f t="shared" si="2"/>
        <v>0</v>
      </c>
      <c r="BJ82" s="338">
        <f t="shared" si="3"/>
        <v>39.05</v>
      </c>
    </row>
    <row r="83" ht="15.75" customHeight="1" hidden="1" spans="1:62" x14ac:dyDescent="0.25">
      <c r="A83" s="14"/>
      <c r="B83" s="115">
        <v>79</v>
      </c>
      <c r="C83" s="115">
        <v>4.24</v>
      </c>
      <c r="D83" s="117" t="s">
        <v>275</v>
      </c>
      <c r="E83" s="119">
        <f>'2020'!I711</f>
        <v>28</v>
      </c>
      <c r="F83" s="119">
        <f>'2020'!J711</f>
        <v>0</v>
      </c>
      <c r="G83" s="106">
        <f>'2020'!K711</f>
        <v>0</v>
      </c>
      <c r="H83" s="106">
        <f>'2020'!L711</f>
      </c>
      <c r="I83" s="119">
        <f>'2020'!M711</f>
        <v>28</v>
      </c>
      <c r="J83" s="119">
        <f>'2020'!N711</f>
        <v>0</v>
      </c>
      <c r="K83" s="106">
        <f>'2020'!O711</f>
        <v>0</v>
      </c>
      <c r="L83" s="106">
        <f>'2020'!P711</f>
      </c>
      <c r="M83" s="119">
        <f>'2020'!Q711</f>
        <v>28</v>
      </c>
      <c r="N83" s="119">
        <f>'2020'!R711</f>
        <v>0</v>
      </c>
      <c r="O83" s="106">
        <f>'2020'!S711</f>
        <v>0</v>
      </c>
      <c r="P83" s="106">
        <f>'2020'!T711</f>
      </c>
      <c r="Q83" s="119">
        <f>'2020'!U711</f>
        <v>28</v>
      </c>
      <c r="R83" s="119">
        <f>'2020'!V711</f>
        <v>0</v>
      </c>
      <c r="S83" s="106">
        <f>'2020'!W711</f>
        <v>0</v>
      </c>
      <c r="T83" s="106">
        <f>'2020'!X711</f>
        <v>69.95</v>
      </c>
      <c r="U83" s="119">
        <f>'2020'!Y711</f>
        <v>28</v>
      </c>
      <c r="V83" s="119">
        <f>'2020'!Z711</f>
        <v>0</v>
      </c>
      <c r="W83" s="106">
        <f>'2020'!AA711</f>
        <v>0</v>
      </c>
      <c r="X83" s="106">
        <f>'2020'!AB711</f>
      </c>
      <c r="Y83" s="119">
        <f>'2020'!AC711</f>
        <v>28</v>
      </c>
      <c r="Z83" s="119">
        <f>'2020'!AD711</f>
        <v>0</v>
      </c>
      <c r="AA83" s="106">
        <f>'2020'!AE711</f>
        <v>0</v>
      </c>
      <c r="AB83" s="106">
        <f>'2020'!AF711</f>
      </c>
      <c r="AC83" s="119">
        <f>'2020'!AG711</f>
        <v>28</v>
      </c>
      <c r="AD83" s="119">
        <f>'2020'!AH711</f>
        <v>0</v>
      </c>
      <c r="AE83" s="106">
        <f>'2020'!AI711</f>
        <v>0</v>
      </c>
      <c r="AF83" s="106">
        <f>'2020'!AJ711</f>
      </c>
      <c r="AG83" s="119">
        <f>'2020'!AK711</f>
        <v>28</v>
      </c>
      <c r="AH83" s="119">
        <f>'2020'!AL711</f>
        <v>0</v>
      </c>
      <c r="AI83" s="106">
        <f>'2020'!AM711</f>
        <v>0</v>
      </c>
      <c r="AJ83" s="106">
        <f>'2020'!AN711</f>
      </c>
      <c r="AK83" s="119">
        <f>'2020'!AO711</f>
        <v>28</v>
      </c>
      <c r="AL83" s="119">
        <f>'2020'!AP711</f>
        <v>0</v>
      </c>
      <c r="AM83" s="106">
        <f>'2020'!AQ711</f>
        <v>0</v>
      </c>
      <c r="AN83" s="106">
        <f>'2020'!AR711</f>
      </c>
      <c r="AO83" s="119">
        <f>'2020'!AS711</f>
        <v>28</v>
      </c>
      <c r="AP83" s="119">
        <f>'2020'!AT711</f>
        <v>0</v>
      </c>
      <c r="AQ83" s="106">
        <f>'2020'!AU711</f>
        <v>0</v>
      </c>
      <c r="AR83" s="106">
        <f>'2020'!AV711</f>
      </c>
      <c r="AS83" s="119">
        <f>'2020'!AW711</f>
        <v>28</v>
      </c>
      <c r="AT83" s="119">
        <f>'2020'!AX711</f>
        <v>0</v>
      </c>
      <c r="AU83" s="106">
        <f>'2020'!AY711</f>
        <v>0</v>
      </c>
      <c r="AV83" s="106">
        <f>'2020'!AZ711</f>
      </c>
      <c r="AW83" s="106"/>
      <c r="AX83" s="106">
        <f t="shared" si="0"/>
        <v>0</v>
      </c>
      <c r="AY83" s="119">
        <f>'2020'!BA711</f>
        <v>28</v>
      </c>
      <c r="AZ83" s="119">
        <f>'2020'!BB711</f>
        <v>0</v>
      </c>
      <c r="BA83" s="106">
        <f>'2020'!BC711</f>
        <v>0</v>
      </c>
      <c r="BB83" s="106">
        <f>'2020'!BD711</f>
      </c>
      <c r="BC83" s="106"/>
      <c r="BD83" s="106">
        <f t="shared" si="1"/>
        <v>0</v>
      </c>
      <c r="BE83" s="119">
        <f>'2020'!BE711</f>
        <v>0</v>
      </c>
      <c r="BF83" s="106">
        <f>'2020'!BF711</f>
        <v>0</v>
      </c>
      <c r="BG83" s="106">
        <f>'2020'!BG711</f>
        <v>69.95</v>
      </c>
      <c r="BH83" s="106">
        <f>'2020'!BH711</f>
        <v>0</v>
      </c>
      <c r="BI83" s="106">
        <f t="shared" si="2"/>
        <v>0</v>
      </c>
      <c r="BJ83" s="338">
        <f t="shared" si="3"/>
        <v>0</v>
      </c>
    </row>
    <row r="84" ht="15.75" customHeight="1" hidden="1" spans="1:62" x14ac:dyDescent="0.25">
      <c r="A84" s="14"/>
      <c r="B84" s="115">
        <v>81</v>
      </c>
      <c r="C84" s="116">
        <v>4.3</v>
      </c>
      <c r="D84" s="117" t="s">
        <v>278</v>
      </c>
      <c r="E84" s="119">
        <f>'2020'!I720</f>
      </c>
      <c r="F84" s="119">
        <f>'2020'!J720</f>
      </c>
      <c r="G84" s="106">
        <f>'2020'!K720</f>
        <v>0</v>
      </c>
      <c r="H84" s="106">
        <f>'2020'!L720</f>
      </c>
      <c r="I84" s="119">
        <f>'2020'!M720</f>
      </c>
      <c r="J84" s="119">
        <f>'2020'!N720</f>
      </c>
      <c r="K84" s="106">
        <f>'2020'!O720</f>
        <v>0</v>
      </c>
      <c r="L84" s="106">
        <f>'2020'!P720</f>
      </c>
      <c r="M84" s="119">
        <f>'2020'!Q720</f>
      </c>
      <c r="N84" s="119">
        <f>'2020'!R720</f>
        <v>0</v>
      </c>
      <c r="O84" s="106">
        <f>'2020'!S720</f>
        <v>0</v>
      </c>
      <c r="P84" s="106">
        <f>'2020'!T720</f>
      </c>
      <c r="Q84" s="119">
        <f>'2020'!U720</f>
      </c>
      <c r="R84" s="119">
        <f>'2020'!V720</f>
        <v>0</v>
      </c>
      <c r="S84" s="106">
        <f>'2020'!W720</f>
        <v>0</v>
      </c>
      <c r="T84" s="106">
        <f>'2020'!X720</f>
      </c>
      <c r="U84" s="119">
        <f>'2020'!Y720</f>
      </c>
      <c r="V84" s="119">
        <f>'2020'!Z720</f>
        <v>0</v>
      </c>
      <c r="W84" s="106">
        <f>'2020'!AA720</f>
        <v>0</v>
      </c>
      <c r="X84" s="106">
        <f>'2020'!AB720</f>
      </c>
      <c r="Y84" s="119">
        <f>'2020'!AC720</f>
      </c>
      <c r="Z84" s="119">
        <f>'2020'!AD720</f>
        <v>0</v>
      </c>
      <c r="AA84" s="106">
        <f>'2020'!AE720</f>
        <v>0</v>
      </c>
      <c r="AB84" s="106">
        <f>'2020'!AF720</f>
      </c>
      <c r="AC84" s="119">
        <f>'2020'!AG720</f>
      </c>
      <c r="AD84" s="119">
        <f>'2020'!AH720</f>
        <v>0</v>
      </c>
      <c r="AE84" s="106">
        <f>'2020'!AI720</f>
        <v>0</v>
      </c>
      <c r="AF84" s="106">
        <f>'2020'!AJ720</f>
      </c>
      <c r="AG84" s="119">
        <f>'2020'!AK720</f>
        <v>0</v>
      </c>
      <c r="AH84" s="119">
        <f>'2020'!AL720</f>
        <v>0</v>
      </c>
      <c r="AI84" s="106">
        <f>'2020'!AM720</f>
        <v>0</v>
      </c>
      <c r="AJ84" s="106">
        <f>'2020'!AN720</f>
      </c>
      <c r="AK84" s="119">
        <f>'2020'!AO720</f>
        <v>0</v>
      </c>
      <c r="AL84" s="119">
        <f>'2020'!AP720</f>
        <v>0</v>
      </c>
      <c r="AM84" s="106">
        <f>'2020'!AQ720</f>
        <v>0</v>
      </c>
      <c r="AN84" s="106">
        <f>'2020'!AR720</f>
      </c>
      <c r="AO84" s="119">
        <f>'2020'!AS720</f>
        <v>0</v>
      </c>
      <c r="AP84" s="119">
        <f>'2020'!AT720</f>
        <v>0</v>
      </c>
      <c r="AQ84" s="106">
        <f>'2020'!AU720</f>
        <v>0</v>
      </c>
      <c r="AR84" s="106">
        <f>'2020'!AV720</f>
      </c>
      <c r="AS84" s="119">
        <f>'2020'!AW720</f>
        <v>0</v>
      </c>
      <c r="AT84" s="119">
        <f>'2020'!AX720</f>
        <v>0</v>
      </c>
      <c r="AU84" s="106">
        <f>'2020'!AY720</f>
        <v>0</v>
      </c>
      <c r="AV84" s="106">
        <f>'2020'!AZ720</f>
      </c>
      <c r="AW84" s="106"/>
      <c r="AX84" s="106">
        <f t="shared" si="0"/>
        <v>0</v>
      </c>
      <c r="AY84" s="119">
        <f>'2020'!BA720</f>
        <v>0</v>
      </c>
      <c r="AZ84" s="119">
        <f>'2020'!BB720</f>
        <v>0</v>
      </c>
      <c r="BA84" s="106">
        <f>'2020'!BC720</f>
        <v>0</v>
      </c>
      <c r="BB84" s="106">
        <f>'2020'!BD720</f>
      </c>
      <c r="BC84" s="106"/>
      <c r="BD84" s="106">
        <f t="shared" si="1"/>
        <v>0</v>
      </c>
      <c r="BE84" s="119">
        <f>'2020'!BE720</f>
        <v>0</v>
      </c>
      <c r="BF84" s="106">
        <f>'2020'!BF720</f>
        <v>0</v>
      </c>
      <c r="BG84" s="106">
        <f>'2020'!BG720</f>
        <v>0</v>
      </c>
      <c r="BH84" s="106">
        <f>'2020'!BH720</f>
        <v>0</v>
      </c>
      <c r="BI84" s="106">
        <f t="shared" si="2"/>
        <v>0</v>
      </c>
      <c r="BJ84" s="338">
        <f t="shared" si="3"/>
        <v>0</v>
      </c>
    </row>
    <row r="85" ht="15.75" customHeight="1" hidden="1" spans="1:62" x14ac:dyDescent="0.25">
      <c r="A85" s="14"/>
      <c r="B85" s="115">
        <v>83</v>
      </c>
      <c r="C85" s="115">
        <v>4.29</v>
      </c>
      <c r="D85" s="117" t="s">
        <v>280</v>
      </c>
      <c r="E85" s="119">
        <f>'2020'!I729</f>
        <v>111</v>
      </c>
      <c r="F85" s="119">
        <f>'2020'!J729</f>
        <v>0</v>
      </c>
      <c r="G85" s="106">
        <f>'2020'!K729</f>
        <v>0</v>
      </c>
      <c r="H85" s="106">
        <f>'2020'!L729</f>
      </c>
      <c r="I85" s="119">
        <f>'2020'!M729</f>
        <v>111</v>
      </c>
      <c r="J85" s="119">
        <f>'2020'!N729</f>
        <v>0</v>
      </c>
      <c r="K85" s="106">
        <f>'2020'!O729</f>
        <v>0</v>
      </c>
      <c r="L85" s="106">
        <f>'2020'!P729</f>
      </c>
      <c r="M85" s="119">
        <f>'2020'!Q729</f>
        <v>111</v>
      </c>
      <c r="N85" s="119">
        <f>'2020'!R729</f>
        <v>0</v>
      </c>
      <c r="O85" s="106">
        <f>'2020'!S729</f>
        <v>0</v>
      </c>
      <c r="P85" s="106">
        <f>'2020'!T729</f>
      </c>
      <c r="Q85" s="119">
        <f>'2020'!U729</f>
        <v>112</v>
      </c>
      <c r="R85" s="119">
        <f>'2020'!V729</f>
        <v>1</v>
      </c>
      <c r="S85" s="106">
        <f>'2020'!W729</f>
        <v>2.5</v>
      </c>
      <c r="T85" s="106">
        <f>'2020'!X729</f>
      </c>
      <c r="U85" s="119">
        <f>'2020'!Y729</f>
        <v>122</v>
      </c>
      <c r="V85" s="119">
        <f>'2020'!Z729</f>
        <v>10</v>
      </c>
      <c r="W85" s="106">
        <f>'2020'!AA729</f>
        <v>25</v>
      </c>
      <c r="X85" s="106">
        <f>'2020'!AB729</f>
      </c>
      <c r="Y85" s="119">
        <f>'2020'!AC729</f>
        <v>153</v>
      </c>
      <c r="Z85" s="119">
        <f>'2020'!AD729</f>
        <v>31</v>
      </c>
      <c r="AA85" s="106">
        <f>'2020'!AE729</f>
        <v>77.5</v>
      </c>
      <c r="AB85" s="106">
        <f>'2020'!AF729</f>
      </c>
      <c r="AC85" s="119">
        <f>'2020'!AG729</f>
        <v>184</v>
      </c>
      <c r="AD85" s="119">
        <f>'2020'!AH729</f>
        <v>31</v>
      </c>
      <c r="AE85" s="106">
        <f>'2020'!AI729</f>
        <v>80.6</v>
      </c>
      <c r="AF85" s="106">
        <f>'2020'!AJ729</f>
      </c>
      <c r="AG85" s="119">
        <f>'2020'!AK729</f>
        <v>210</v>
      </c>
      <c r="AH85" s="119">
        <f>'2020'!AL729</f>
        <v>26</v>
      </c>
      <c r="AI85" s="106">
        <f>'2020'!AM729</f>
        <v>67.6</v>
      </c>
      <c r="AJ85" s="106">
        <f>'2020'!AN729</f>
      </c>
      <c r="AK85" s="119">
        <f>'2020'!AO729</f>
        <v>226</v>
      </c>
      <c r="AL85" s="119">
        <f>'2020'!AP729</f>
        <v>16</v>
      </c>
      <c r="AM85" s="106">
        <f>'2020'!AQ729</f>
        <v>41.6</v>
      </c>
      <c r="AN85" s="106">
        <f>'2020'!AR729</f>
      </c>
      <c r="AO85" s="119">
        <f>'2020'!AS729</f>
        <v>227</v>
      </c>
      <c r="AP85" s="119">
        <f>'2020'!AT729</f>
        <v>1</v>
      </c>
      <c r="AQ85" s="106">
        <f>'2020'!AU729</f>
        <v>2.6</v>
      </c>
      <c r="AR85" s="106">
        <f>'2020'!AV729</f>
      </c>
      <c r="AS85" s="119">
        <f>'2020'!AW729</f>
        <v>227</v>
      </c>
      <c r="AT85" s="119">
        <f>'2020'!AX729</f>
        <v>0</v>
      </c>
      <c r="AU85" s="106">
        <f>'2020'!AY729</f>
        <v>0</v>
      </c>
      <c r="AV85" s="106">
        <f>'2020'!AZ729</f>
      </c>
      <c r="AW85" s="106"/>
      <c r="AX85" s="106">
        <f t="shared" si="0"/>
        <v>0</v>
      </c>
      <c r="AY85" s="119">
        <f>'2020'!BA729</f>
        <v>227</v>
      </c>
      <c r="AZ85" s="119">
        <f>'2020'!BB729</f>
        <v>0</v>
      </c>
      <c r="BA85" s="106">
        <f>'2020'!BC729</f>
        <v>0</v>
      </c>
      <c r="BB85" s="106">
        <f>'2020'!BD729</f>
      </c>
      <c r="BC85" s="106"/>
      <c r="BD85" s="106">
        <f t="shared" si="1"/>
        <v>0</v>
      </c>
      <c r="BE85" s="119">
        <f>'2020'!BE729</f>
        <v>116</v>
      </c>
      <c r="BF85" s="106">
        <f>'2020'!BF729</f>
        <v>297.4</v>
      </c>
      <c r="BG85" s="106">
        <f>'2020'!BG729</f>
        <v>0</v>
      </c>
      <c r="BH85" s="106">
        <f>'2020'!BH729</f>
        <v>175.21</v>
      </c>
      <c r="BI85" s="106">
        <f t="shared" si="2"/>
        <v>0</v>
      </c>
      <c r="BJ85" s="338">
        <f t="shared" si="3"/>
        <v>175.21</v>
      </c>
    </row>
    <row r="86" ht="15.75" customHeight="1" hidden="1" spans="1:62" x14ac:dyDescent="0.25">
      <c r="A86" s="14"/>
      <c r="B86" s="115">
        <v>85</v>
      </c>
      <c r="C86" s="115">
        <v>4.27</v>
      </c>
      <c r="D86" s="117" t="s">
        <v>282</v>
      </c>
      <c r="E86" s="119">
        <f>'2020'!I738</f>
        <v>2907</v>
      </c>
      <c r="F86" s="119">
        <f>'2020'!J738</f>
        <v>0</v>
      </c>
      <c r="G86" s="106">
        <f>'2020'!K738</f>
        <v>0</v>
      </c>
      <c r="H86" s="106">
        <f>'2020'!L738</f>
      </c>
      <c r="I86" s="119">
        <f>'2020'!M738</f>
        <v>2907</v>
      </c>
      <c r="J86" s="119">
        <f>'2020'!N738</f>
        <v>0</v>
      </c>
      <c r="K86" s="106">
        <f>'2020'!O738</f>
        <v>0</v>
      </c>
      <c r="L86" s="106">
        <f>'2020'!P738</f>
      </c>
      <c r="M86" s="119">
        <f>'2020'!Q738</f>
        <v>2907</v>
      </c>
      <c r="N86" s="119">
        <f>'2020'!R738</f>
        <v>0</v>
      </c>
      <c r="O86" s="106">
        <f>'2020'!S738</f>
        <v>0</v>
      </c>
      <c r="P86" s="106">
        <f>'2020'!T738</f>
      </c>
      <c r="Q86" s="119">
        <f>'2020'!U738</f>
        <v>2925</v>
      </c>
      <c r="R86" s="119">
        <f>'2020'!V738</f>
        <v>18</v>
      </c>
      <c r="S86" s="106">
        <f>'2020'!W738</f>
        <v>45</v>
      </c>
      <c r="T86" s="106">
        <f>'2020'!X738</f>
      </c>
      <c r="U86" s="119">
        <f>'2020'!Y738</f>
        <v>3059</v>
      </c>
      <c r="V86" s="119">
        <f>'2020'!Z738</f>
        <v>134</v>
      </c>
      <c r="W86" s="106">
        <f>'2020'!AA738</f>
        <v>335</v>
      </c>
      <c r="X86" s="106">
        <f>'2020'!AB738</f>
      </c>
      <c r="Y86" s="119">
        <f>'2020'!AC738</f>
        <v>3222</v>
      </c>
      <c r="Z86" s="119">
        <f>'2020'!AD738</f>
        <v>163</v>
      </c>
      <c r="AA86" s="106">
        <f>'2020'!AE738</f>
        <v>407.5</v>
      </c>
      <c r="AB86" s="106">
        <f>'2020'!AF738</f>
        <v>414.4</v>
      </c>
      <c r="AC86" s="119">
        <f>'2020'!AG738</f>
        <v>3405</v>
      </c>
      <c r="AD86" s="119">
        <f>'2020'!AH738</f>
        <v>183</v>
      </c>
      <c r="AE86" s="106">
        <f>'2020'!AI738</f>
        <v>475.8</v>
      </c>
      <c r="AF86" s="106">
        <f>'2020'!AJ738</f>
      </c>
      <c r="AG86" s="119">
        <f>'2020'!AK738</f>
        <v>3561</v>
      </c>
      <c r="AH86" s="119">
        <f>'2020'!AL738</f>
        <v>156</v>
      </c>
      <c r="AI86" s="106">
        <f>'2020'!AM738</f>
        <v>405.6</v>
      </c>
      <c r="AJ86" s="106">
        <f>'2020'!AN738</f>
        <v>1363.8</v>
      </c>
      <c r="AK86" s="119">
        <f>'2020'!AO738</f>
        <v>3672</v>
      </c>
      <c r="AL86" s="119">
        <f>'2020'!AP738</f>
        <v>111</v>
      </c>
      <c r="AM86" s="106">
        <f>'2020'!AQ738</f>
        <v>288.6</v>
      </c>
      <c r="AN86" s="106">
        <f>'2020'!AR738</f>
      </c>
      <c r="AO86" s="119">
        <f>'2020'!AS738</f>
        <v>3681</v>
      </c>
      <c r="AP86" s="119">
        <f>'2020'!AT738</f>
        <v>9</v>
      </c>
      <c r="AQ86" s="106">
        <f>'2020'!AU738</f>
        <v>23.4</v>
      </c>
      <c r="AR86" s="106">
        <f>'2020'!AV738</f>
      </c>
      <c r="AS86" s="119">
        <f>'2020'!AW738</f>
        <v>3681</v>
      </c>
      <c r="AT86" s="119">
        <f>'2020'!AX738</f>
        <v>0</v>
      </c>
      <c r="AU86" s="106">
        <f>'2020'!AY738</f>
        <v>0</v>
      </c>
      <c r="AV86" s="106">
        <f>'2020'!AZ738</f>
      </c>
      <c r="AW86" s="106"/>
      <c r="AX86" s="106">
        <f t="shared" si="0"/>
        <v>0</v>
      </c>
      <c r="AY86" s="119">
        <f>'2020'!BA738</f>
        <v>3681</v>
      </c>
      <c r="AZ86" s="119">
        <f>'2020'!BB738</f>
        <v>0</v>
      </c>
      <c r="BA86" s="106">
        <f>'2020'!BC738</f>
        <v>0</v>
      </c>
      <c r="BB86" s="106">
        <f>'2020'!BD738</f>
      </c>
      <c r="BC86" s="106"/>
      <c r="BD86" s="106">
        <f t="shared" si="1"/>
        <v>0</v>
      </c>
      <c r="BE86" s="119">
        <f>'2020'!BE738</f>
        <v>774</v>
      </c>
      <c r="BF86" s="106">
        <f>'2020'!BF738</f>
        <v>1980.9</v>
      </c>
      <c r="BG86" s="106">
        <f>'2020'!BG738</f>
        <v>1778.2</v>
      </c>
      <c r="BH86" s="106">
        <f>'2020'!BH738</f>
        <v>161.33</v>
      </c>
      <c r="BI86" s="106">
        <f t="shared" si="2"/>
        <v>0</v>
      </c>
      <c r="BJ86" s="338">
        <f t="shared" si="3"/>
        <v>161.33</v>
      </c>
    </row>
    <row r="87" ht="15.75" customHeight="1" hidden="1" spans="1:62" x14ac:dyDescent="0.25">
      <c r="A87" s="14"/>
      <c r="B87" s="115">
        <v>87</v>
      </c>
      <c r="C87" s="115">
        <v>4.23</v>
      </c>
      <c r="D87" s="117" t="s">
        <v>284</v>
      </c>
      <c r="E87" s="119">
        <f>'2020'!I747</f>
        <v>368</v>
      </c>
      <c r="F87" s="119">
        <f>'2020'!J747</f>
        <v>0</v>
      </c>
      <c r="G87" s="106">
        <f>'2020'!K747</f>
        <v>0</v>
      </c>
      <c r="H87" s="106">
        <f>'2020'!L747</f>
      </c>
      <c r="I87" s="119">
        <f>'2020'!M747</f>
        <v>368</v>
      </c>
      <c r="J87" s="119">
        <f>'2020'!N747</f>
        <v>0</v>
      </c>
      <c r="K87" s="106">
        <f>'2020'!O747</f>
        <v>0</v>
      </c>
      <c r="L87" s="106">
        <f>'2020'!P747</f>
      </c>
      <c r="M87" s="119">
        <f>'2020'!Q747</f>
        <v>368</v>
      </c>
      <c r="N87" s="119">
        <f>'2020'!R747</f>
        <v>0</v>
      </c>
      <c r="O87" s="106">
        <f>'2020'!S747</f>
        <v>0</v>
      </c>
      <c r="P87" s="106">
        <f>'2020'!T747</f>
      </c>
      <c r="Q87" s="119">
        <f>'2020'!U747</f>
        <v>369</v>
      </c>
      <c r="R87" s="119">
        <f>'2020'!V747</f>
        <v>1</v>
      </c>
      <c r="S87" s="106">
        <f>'2020'!W747</f>
        <v>2.5</v>
      </c>
      <c r="T87" s="106">
        <f>'2020'!X747</f>
      </c>
      <c r="U87" s="119">
        <f>'2020'!Y747</f>
        <v>388</v>
      </c>
      <c r="V87" s="119">
        <f>'2020'!Z747</f>
        <v>19</v>
      </c>
      <c r="W87" s="106">
        <f>'2020'!AA747</f>
        <v>47.5</v>
      </c>
      <c r="X87" s="106">
        <f>'2020'!AB747</f>
      </c>
      <c r="Y87" s="119">
        <f>'2020'!AC747</f>
        <v>443</v>
      </c>
      <c r="Z87" s="119">
        <f>'2020'!AD747</f>
        <v>55</v>
      </c>
      <c r="AA87" s="106">
        <f>'2020'!AE747</f>
        <v>137.5</v>
      </c>
      <c r="AB87" s="106">
        <f>'2020'!AF747</f>
        <v>77.24</v>
      </c>
      <c r="AC87" s="119">
        <f>'2020'!AG747</f>
        <v>488</v>
      </c>
      <c r="AD87" s="119">
        <f>'2020'!AH747</f>
        <v>45</v>
      </c>
      <c r="AE87" s="106">
        <f>'2020'!AI747</f>
        <v>117</v>
      </c>
      <c r="AF87" s="106">
        <f>'2020'!AJ747</f>
      </c>
      <c r="AG87" s="119">
        <f>'2020'!AK747</f>
        <v>521</v>
      </c>
      <c r="AH87" s="119">
        <f>'2020'!AL747</f>
        <v>33</v>
      </c>
      <c r="AI87" s="106">
        <f>'2020'!AM747</f>
        <v>85.8</v>
      </c>
      <c r="AJ87" s="106">
        <f>'2020'!AN747</f>
        <v>432.96</v>
      </c>
      <c r="AK87" s="119">
        <f>'2020'!AO747</f>
        <v>538</v>
      </c>
      <c r="AL87" s="119">
        <f>'2020'!AP747</f>
        <v>17</v>
      </c>
      <c r="AM87" s="106">
        <f>'2020'!AQ747</f>
        <v>44.2</v>
      </c>
      <c r="AN87" s="106">
        <f>'2020'!AR747</f>
      </c>
      <c r="AO87" s="119">
        <f>'2020'!AS747</f>
        <v>549</v>
      </c>
      <c r="AP87" s="119">
        <f>'2020'!AT747</f>
        <v>11</v>
      </c>
      <c r="AQ87" s="106">
        <f>'2020'!AU747</f>
        <v>28.6</v>
      </c>
      <c r="AR87" s="106">
        <f>'2020'!AV747</f>
      </c>
      <c r="AS87" s="119">
        <f>'2020'!AW747</f>
        <v>549</v>
      </c>
      <c r="AT87" s="119">
        <f>'2020'!AX747</f>
        <v>0</v>
      </c>
      <c r="AU87" s="106">
        <f>'2020'!AY747</f>
        <v>0</v>
      </c>
      <c r="AV87" s="106">
        <f>'2020'!AZ747</f>
      </c>
      <c r="AW87" s="106"/>
      <c r="AX87" s="106">
        <f t="shared" si="0"/>
        <v>0</v>
      </c>
      <c r="AY87" s="119">
        <f>'2020'!BA747</f>
        <v>549</v>
      </c>
      <c r="AZ87" s="119">
        <f>'2020'!BB747</f>
        <v>0</v>
      </c>
      <c r="BA87" s="106">
        <f>'2020'!BC747</f>
        <v>0</v>
      </c>
      <c r="BB87" s="106">
        <f>'2020'!BD747</f>
      </c>
      <c r="BC87" s="106"/>
      <c r="BD87" s="106">
        <f t="shared" si="1"/>
        <v>0</v>
      </c>
      <c r="BE87" s="119">
        <f>'2020'!BE747</f>
        <v>181</v>
      </c>
      <c r="BF87" s="106">
        <f>'2020'!BF747</f>
        <v>463.1</v>
      </c>
      <c r="BG87" s="106">
        <f>'2020'!BG747</f>
        <v>510.2</v>
      </c>
      <c r="BH87" s="106">
        <f>'2020'!BH747</f>
        <v>-21.37</v>
      </c>
      <c r="BI87" s="106">
        <f t="shared" si="2"/>
        <v>0</v>
      </c>
      <c r="BJ87" s="338">
        <f t="shared" si="3"/>
        <v>-21.37</v>
      </c>
    </row>
    <row r="88" ht="15.75" customHeight="1" hidden="1" spans="1:62" x14ac:dyDescent="0.25">
      <c r="A88" s="14"/>
      <c r="B88" s="115">
        <v>89</v>
      </c>
      <c r="C88" s="115">
        <v>4.25</v>
      </c>
      <c r="D88" s="117" t="s">
        <v>286</v>
      </c>
      <c r="E88" s="119">
        <f>'2020'!I756</f>
      </c>
      <c r="F88" s="119">
        <f>'2020'!J756</f>
      </c>
      <c r="G88" s="106">
        <f>'2020'!K756</f>
        <v>0</v>
      </c>
      <c r="H88" s="106">
        <f>'2020'!L756</f>
      </c>
      <c r="I88" s="119">
        <f>'2020'!M756</f>
      </c>
      <c r="J88" s="119">
        <f>'2020'!N756</f>
      </c>
      <c r="K88" s="106">
        <f>'2020'!O756</f>
        <v>0</v>
      </c>
      <c r="L88" s="106">
        <f>'2020'!P756</f>
      </c>
      <c r="M88" s="119">
        <f>'2020'!Q756</f>
      </c>
      <c r="N88" s="119">
        <f>'2020'!R756</f>
      </c>
      <c r="O88" s="106">
        <f>'2020'!S756</f>
        <v>0</v>
      </c>
      <c r="P88" s="106">
        <f>'2020'!T756</f>
      </c>
      <c r="Q88" s="119">
        <f>'2020'!U756</f>
      </c>
      <c r="R88" s="119">
        <f>'2020'!V756</f>
        <v>0</v>
      </c>
      <c r="S88" s="106">
        <f>'2020'!W756</f>
        <v>0</v>
      </c>
      <c r="T88" s="106">
        <f>'2020'!X756</f>
      </c>
      <c r="U88" s="119">
        <f>'2020'!Y756</f>
      </c>
      <c r="V88" s="119">
        <f>'2020'!Z756</f>
        <v>0</v>
      </c>
      <c r="W88" s="106">
        <f>'2020'!AA756</f>
        <v>0</v>
      </c>
      <c r="X88" s="106">
        <f>'2020'!AB756</f>
      </c>
      <c r="Y88" s="119">
        <f>'2020'!AC756</f>
      </c>
      <c r="Z88" s="119">
        <f>'2020'!AD756</f>
        <v>0</v>
      </c>
      <c r="AA88" s="106">
        <f>'2020'!AE756</f>
        <v>0</v>
      </c>
      <c r="AB88" s="106">
        <f>'2020'!AF756</f>
      </c>
      <c r="AC88" s="119">
        <f>'2020'!AG756</f>
      </c>
      <c r="AD88" s="119">
        <f>'2020'!AH756</f>
        <v>0</v>
      </c>
      <c r="AE88" s="106">
        <f>'2020'!AI756</f>
        <v>0</v>
      </c>
      <c r="AF88" s="106">
        <f>'2020'!AJ756</f>
      </c>
      <c r="AG88" s="119">
        <f>'2020'!AK756</f>
        <v>0</v>
      </c>
      <c r="AH88" s="119">
        <f>'2020'!AL756</f>
        <v>0</v>
      </c>
      <c r="AI88" s="106">
        <f>'2020'!AM756</f>
        <v>0</v>
      </c>
      <c r="AJ88" s="106">
        <f>'2020'!AN756</f>
      </c>
      <c r="AK88" s="119">
        <f>'2020'!AO756</f>
        <v>0</v>
      </c>
      <c r="AL88" s="119">
        <f>'2020'!AP756</f>
        <v>0</v>
      </c>
      <c r="AM88" s="106">
        <f>'2020'!AQ756</f>
        <v>0</v>
      </c>
      <c r="AN88" s="106">
        <f>'2020'!AR756</f>
      </c>
      <c r="AO88" s="119">
        <f>'2020'!AS756</f>
        <v>0</v>
      </c>
      <c r="AP88" s="119">
        <f>'2020'!AT756</f>
        <v>0</v>
      </c>
      <c r="AQ88" s="106">
        <f>'2020'!AU756</f>
        <v>0</v>
      </c>
      <c r="AR88" s="106">
        <f>'2020'!AV756</f>
      </c>
      <c r="AS88" s="119">
        <f>'2020'!AW756</f>
        <v>0</v>
      </c>
      <c r="AT88" s="119">
        <f>'2020'!AX756</f>
        <v>0</v>
      </c>
      <c r="AU88" s="106">
        <f>'2020'!AY756</f>
        <v>0</v>
      </c>
      <c r="AV88" s="106">
        <f>'2020'!AZ756</f>
      </c>
      <c r="AW88" s="106"/>
      <c r="AX88" s="106">
        <f t="shared" si="0"/>
        <v>0</v>
      </c>
      <c r="AY88" s="119">
        <f>'2020'!BA756</f>
        <v>0</v>
      </c>
      <c r="AZ88" s="119">
        <f>'2020'!BB756</f>
        <v>0</v>
      </c>
      <c r="BA88" s="106">
        <f>'2020'!BC756</f>
        <v>0</v>
      </c>
      <c r="BB88" s="106">
        <f>'2020'!BD756</f>
      </c>
      <c r="BC88" s="106"/>
      <c r="BD88" s="106">
        <f t="shared" si="1"/>
        <v>0</v>
      </c>
      <c r="BE88" s="119">
        <f>'2020'!BE756</f>
        <v>0</v>
      </c>
      <c r="BF88" s="106">
        <f>'2020'!BF756</f>
        <v>0</v>
      </c>
      <c r="BG88" s="106">
        <f>'2020'!BG756</f>
        <v>0</v>
      </c>
      <c r="BH88" s="106">
        <f>'2020'!BH756</f>
        <v>0</v>
      </c>
      <c r="BI88" s="106">
        <f t="shared" si="2"/>
        <v>0</v>
      </c>
      <c r="BJ88" s="338">
        <f t="shared" si="3"/>
        <v>0</v>
      </c>
    </row>
    <row r="89" ht="15.75" customHeight="1" hidden="1" spans="1:62" x14ac:dyDescent="0.25">
      <c r="A89" s="14"/>
      <c r="B89" s="115">
        <v>91</v>
      </c>
      <c r="C89" s="115">
        <v>4.23</v>
      </c>
      <c r="D89" s="117" t="s">
        <v>288</v>
      </c>
      <c r="E89" s="119">
        <f>'2020'!I765</f>
        <v>171</v>
      </c>
      <c r="F89" s="119">
        <f>'2020'!J765</f>
        <v>0</v>
      </c>
      <c r="G89" s="106">
        <f>'2020'!K765</f>
        <v>0</v>
      </c>
      <c r="H89" s="106">
        <f>'2020'!L765</f>
      </c>
      <c r="I89" s="119">
        <f>'2020'!M765</f>
        <v>171</v>
      </c>
      <c r="J89" s="119">
        <f>'2020'!N765</f>
        <v>0</v>
      </c>
      <c r="K89" s="106">
        <f>'2020'!O765</f>
        <v>0</v>
      </c>
      <c r="L89" s="106">
        <f>'2020'!P765</f>
      </c>
      <c r="M89" s="119">
        <f>'2020'!Q765</f>
        <v>171</v>
      </c>
      <c r="N89" s="119">
        <f>'2020'!R765</f>
        <v>0</v>
      </c>
      <c r="O89" s="106">
        <f>'2020'!S765</f>
        <v>0</v>
      </c>
      <c r="P89" s="106">
        <f>'2020'!T765</f>
      </c>
      <c r="Q89" s="119">
        <f>'2020'!U765</f>
        <v>171</v>
      </c>
      <c r="R89" s="119">
        <f>'2020'!V765</f>
        <v>0</v>
      </c>
      <c r="S89" s="106">
        <f>'2020'!W765</f>
        <v>0</v>
      </c>
      <c r="T89" s="106">
        <f>'2020'!X765</f>
      </c>
      <c r="U89" s="119">
        <f>'2020'!Y765</f>
        <v>174</v>
      </c>
      <c r="V89" s="119">
        <f>'2020'!Z765</f>
        <v>3</v>
      </c>
      <c r="W89" s="106">
        <f>'2020'!AA765</f>
        <v>7.5</v>
      </c>
      <c r="X89" s="106">
        <f>'2020'!AB765</f>
      </c>
      <c r="Y89" s="119">
        <f>'2020'!AC765</f>
        <v>177</v>
      </c>
      <c r="Z89" s="119">
        <f>'2020'!AD765</f>
        <v>3</v>
      </c>
      <c r="AA89" s="106">
        <f>'2020'!AE765</f>
        <v>7.5</v>
      </c>
      <c r="AB89" s="106">
        <f>'2020'!AF765</f>
        <v>7.58</v>
      </c>
      <c r="AC89" s="119">
        <f>'2020'!AG765</f>
        <v>178</v>
      </c>
      <c r="AD89" s="119">
        <f>'2020'!AH765</f>
        <v>1</v>
      </c>
      <c r="AE89" s="106">
        <f>'2020'!AI765</f>
        <v>2.6</v>
      </c>
      <c r="AF89" s="106">
        <f>'2020'!AJ765</f>
      </c>
      <c r="AG89" s="119">
        <f>'2020'!AK765</f>
        <v>179</v>
      </c>
      <c r="AH89" s="119">
        <f>'2020'!AL765</f>
        <v>1</v>
      </c>
      <c r="AI89" s="106">
        <f>'2020'!AM765</f>
        <v>2.6</v>
      </c>
      <c r="AJ89" s="106">
        <f>'2020'!AN765</f>
      </c>
      <c r="AK89" s="119">
        <f>'2020'!AO765</f>
        <v>179</v>
      </c>
      <c r="AL89" s="119">
        <f>'2020'!AP765</f>
        <v>0</v>
      </c>
      <c r="AM89" s="106">
        <f>'2020'!AQ765</f>
        <v>0</v>
      </c>
      <c r="AN89" s="106">
        <f>'2020'!AR765</f>
      </c>
      <c r="AO89" s="119">
        <f>'2020'!AS765</f>
        <v>179</v>
      </c>
      <c r="AP89" s="119">
        <f>'2020'!AT765</f>
        <v>0</v>
      </c>
      <c r="AQ89" s="106">
        <f>'2020'!AU765</f>
        <v>0</v>
      </c>
      <c r="AR89" s="106">
        <f>'2020'!AV765</f>
      </c>
      <c r="AS89" s="119">
        <f>'2020'!AW765</f>
        <v>179</v>
      </c>
      <c r="AT89" s="119">
        <f>'2020'!AX765</f>
        <v>0</v>
      </c>
      <c r="AU89" s="106">
        <f>'2020'!AY765</f>
        <v>0</v>
      </c>
      <c r="AV89" s="106">
        <f>'2020'!AZ765</f>
      </c>
      <c r="AW89" s="106"/>
      <c r="AX89" s="106">
        <f t="shared" si="0"/>
        <v>0</v>
      </c>
      <c r="AY89" s="119">
        <f>'2020'!BA765</f>
        <v>179</v>
      </c>
      <c r="AZ89" s="119">
        <f>'2020'!BB765</f>
        <v>0</v>
      </c>
      <c r="BA89" s="106">
        <f>'2020'!BC765</f>
        <v>0</v>
      </c>
      <c r="BB89" s="106">
        <f>'2020'!BD765</f>
      </c>
      <c r="BC89" s="106"/>
      <c r="BD89" s="106">
        <f t="shared" si="1"/>
        <v>0</v>
      </c>
      <c r="BE89" s="119">
        <f>'2020'!BE765</f>
        <v>8</v>
      </c>
      <c r="BF89" s="106">
        <f>'2020'!BF765</f>
        <v>20.2</v>
      </c>
      <c r="BG89" s="106">
        <f>'2020'!BG765</f>
        <v>7.58</v>
      </c>
      <c r="BH89" s="106">
        <f>'2020'!BH765</f>
        <v>5.2</v>
      </c>
      <c r="BI89" s="106">
        <f t="shared" si="2"/>
        <v>0</v>
      </c>
      <c r="BJ89" s="338">
        <f t="shared" si="3"/>
        <v>5.2</v>
      </c>
    </row>
    <row r="90" ht="15.75" customHeight="1" spans="1:62" x14ac:dyDescent="0.25">
      <c r="A90" s="14"/>
      <c r="B90" s="125" t="s">
        <v>292</v>
      </c>
      <c r="C90" s="115">
        <v>4.31</v>
      </c>
      <c r="D90" s="117" t="s">
        <v>436</v>
      </c>
      <c r="E90" s="119">
        <f>'2020'!I774</f>
        <v>1732</v>
      </c>
      <c r="F90" s="119">
        <f>'2020'!J774</f>
        <v>0</v>
      </c>
      <c r="G90" s="106">
        <f>'2020'!K774</f>
        <v>0</v>
      </c>
      <c r="H90" s="106">
        <f>'2020'!L774</f>
      </c>
      <c r="I90" s="119">
        <f>'2020'!M774</f>
        <v>1732</v>
      </c>
      <c r="J90" s="119">
        <f>'2020'!N774</f>
        <v>0</v>
      </c>
      <c r="K90" s="106">
        <f>'2020'!O774</f>
        <v>0</v>
      </c>
      <c r="L90" s="106">
        <f>'2020'!P774</f>
      </c>
      <c r="M90" s="119">
        <f>'2020'!Q774</f>
        <v>1732</v>
      </c>
      <c r="N90" s="119">
        <f>'2020'!R774</f>
        <v>0</v>
      </c>
      <c r="O90" s="106">
        <f>'2020'!S774</f>
        <v>0</v>
      </c>
      <c r="P90" s="106">
        <f>'2020'!T774</f>
      </c>
      <c r="Q90" s="119">
        <f>'2020'!U774</f>
        <v>1748</v>
      </c>
      <c r="R90" s="119">
        <f>'2020'!V774</f>
        <v>16</v>
      </c>
      <c r="S90" s="106">
        <f>'2020'!W774</f>
        <v>40</v>
      </c>
      <c r="T90" s="106">
        <f>'2020'!X774</f>
      </c>
      <c r="U90" s="119">
        <f>'2020'!Y774</f>
        <v>1770</v>
      </c>
      <c r="V90" s="119">
        <f>'2020'!Z774</f>
        <v>22</v>
      </c>
      <c r="W90" s="106">
        <f>'2020'!AA774</f>
        <v>55</v>
      </c>
      <c r="X90" s="106">
        <f>'2020'!AB774</f>
      </c>
      <c r="Y90" s="119">
        <f>'2020'!AC774</f>
        <v>85</v>
      </c>
      <c r="Z90" s="119">
        <f>'2020'!AD774</f>
        <v>85</v>
      </c>
      <c r="AA90" s="106">
        <f>'2020'!AE774</f>
        <v>212.5</v>
      </c>
      <c r="AB90" s="106">
        <f>'2020'!AF774</f>
        <v>265</v>
      </c>
      <c r="AC90" s="119">
        <f>'2020'!AG774</f>
        <v>221</v>
      </c>
      <c r="AD90" s="119">
        <f>'2020'!AH774</f>
        <v>136</v>
      </c>
      <c r="AE90" s="106">
        <f>'2020'!AI774</f>
        <v>353.6</v>
      </c>
      <c r="AF90" s="106">
        <f>'2020'!AJ774</f>
      </c>
      <c r="AG90" s="119">
        <f>'2020'!AK774</f>
        <v>364</v>
      </c>
      <c r="AH90" s="119">
        <f>'2020'!AL774</f>
        <v>143</v>
      </c>
      <c r="AI90" s="106">
        <f>'2020'!AM774</f>
        <v>371.8</v>
      </c>
      <c r="AJ90" s="106">
        <f>'2020'!AN774</f>
        <v>722.98</v>
      </c>
      <c r="AK90" s="119">
        <f>'2020'!AO774</f>
        <v>608</v>
      </c>
      <c r="AL90" s="119">
        <f>'2020'!AP774</f>
        <v>244</v>
      </c>
      <c r="AM90" s="106">
        <f>'2020'!AQ774</f>
        <v>634.4</v>
      </c>
      <c r="AN90" s="106">
        <f>'2020'!AR774</f>
        <v>634.4</v>
      </c>
      <c r="AO90" s="119">
        <f>'2020'!AS774</f>
        <v>1398</v>
      </c>
      <c r="AP90" s="119">
        <f>'2020'!AT774</f>
        <v>790</v>
      </c>
      <c r="AQ90" s="106">
        <f>'2020'!AU774</f>
        <v>2054</v>
      </c>
      <c r="AR90" s="106">
        <f>'2020'!AV774</f>
      </c>
      <c r="AS90" s="119">
        <f>'2020'!AW774</f>
        <v>1846</v>
      </c>
      <c r="AT90" s="119">
        <f>'2020'!AX774</f>
        <v>448</v>
      </c>
      <c r="AU90" s="106">
        <f>'2020'!AY774</f>
        <v>1164.8</v>
      </c>
      <c r="AV90" s="106">
        <f>'2020'!AZ774</f>
        <v>2054</v>
      </c>
      <c r="AW90" s="106"/>
      <c r="AX90" s="106">
        <f t="shared" si="0"/>
        <v>0</v>
      </c>
      <c r="AY90" s="119">
        <f>'2020'!BA774</f>
        <v>2107</v>
      </c>
      <c r="AZ90" s="119">
        <f>'2020'!BB774</f>
        <v>261</v>
      </c>
      <c r="BA90" s="106">
        <f>'2020'!BC774</f>
        <v>678.6</v>
      </c>
      <c r="BB90" s="106">
        <f>'2020'!BD774</f>
        <v>1843.4</v>
      </c>
      <c r="BC90" s="106"/>
      <c r="BD90" s="106">
        <f t="shared" si="1"/>
        <v>0</v>
      </c>
      <c r="BE90" s="119">
        <f>'2020'!BE774</f>
        <v>2145</v>
      </c>
      <c r="BF90" s="106">
        <f>'2020'!BF774</f>
        <v>5564.7</v>
      </c>
      <c r="BG90" s="106">
        <f>'2020'!BG774</f>
        <v>5519.78</v>
      </c>
      <c r="BH90" s="106">
        <f>'2020'!BH774</f>
        <v>0</v>
      </c>
      <c r="BI90" s="106">
        <f t="shared" si="2"/>
        <v>0</v>
      </c>
      <c r="BJ90" s="338">
        <f t="shared" si="3"/>
        <v>0</v>
      </c>
    </row>
    <row r="91" ht="15.75" customHeight="1" hidden="1" spans="1:62" x14ac:dyDescent="0.25">
      <c r="A91" s="21"/>
      <c r="B91" s="118" t="s">
        <v>292</v>
      </c>
      <c r="C91" s="115">
        <v>4.25</v>
      </c>
      <c r="D91" s="15" t="s">
        <v>436</v>
      </c>
      <c r="E91" s="119">
        <f>'2020'!I783</f>
      </c>
      <c r="F91" s="119">
        <f>'2020'!J783</f>
      </c>
      <c r="G91" s="106">
        <f>'2020'!K783</f>
        <v>0</v>
      </c>
      <c r="H91" s="106">
        <f>'2020'!L783</f>
      </c>
      <c r="I91" s="119">
        <f>'2020'!M783</f>
      </c>
      <c r="J91" s="119">
        <f>'2020'!N783</f>
      </c>
      <c r="K91" s="106">
        <f>'2020'!O783</f>
        <v>0</v>
      </c>
      <c r="L91" s="106">
        <f>'2020'!P783</f>
      </c>
      <c r="M91" s="119">
        <f>'2020'!Q783</f>
      </c>
      <c r="N91" s="119">
        <f>'2020'!R783</f>
        <v>0</v>
      </c>
      <c r="O91" s="106">
        <f>'2020'!S783</f>
        <v>0</v>
      </c>
      <c r="P91" s="106">
        <f>'2020'!T783</f>
      </c>
      <c r="Q91" s="119">
        <f>'2020'!U783</f>
      </c>
      <c r="R91" s="119">
        <f>'2020'!V783</f>
        <v>0</v>
      </c>
      <c r="S91" s="106">
        <f>'2020'!W783</f>
        <v>0</v>
      </c>
      <c r="T91" s="106">
        <f>'2020'!X783</f>
      </c>
      <c r="U91" s="119">
        <f>'2020'!Y783</f>
      </c>
      <c r="V91" s="119">
        <f>'2020'!Z783</f>
        <v>0</v>
      </c>
      <c r="W91" s="106">
        <f>'2020'!AA783</f>
        <v>0</v>
      </c>
      <c r="X91" s="106">
        <f>'2020'!AB783</f>
      </c>
      <c r="Y91" s="119">
        <f>'2020'!AC783</f>
      </c>
      <c r="Z91" s="119">
        <f>'2020'!AD783</f>
        <v>0</v>
      </c>
      <c r="AA91" s="106">
        <f>'2020'!AE783</f>
        <v>0</v>
      </c>
      <c r="AB91" s="106">
        <f>'2020'!AF783</f>
      </c>
      <c r="AC91" s="119">
        <f>'2020'!AG783</f>
      </c>
      <c r="AD91" s="119">
        <f>'2020'!AH783</f>
        <v>0</v>
      </c>
      <c r="AE91" s="106">
        <f>'2020'!AI783</f>
        <v>0</v>
      </c>
      <c r="AF91" s="106">
        <f>'2020'!AJ783</f>
      </c>
      <c r="AG91" s="119">
        <f>'2020'!AK783</f>
        <v>0</v>
      </c>
      <c r="AH91" s="119">
        <f>'2020'!AL783</f>
        <v>0</v>
      </c>
      <c r="AI91" s="106">
        <f>'2020'!AM783</f>
        <v>0</v>
      </c>
      <c r="AJ91" s="106">
        <f>'2020'!AN783</f>
      </c>
      <c r="AK91" s="119">
        <f>'2020'!AO783</f>
        <v>0</v>
      </c>
      <c r="AL91" s="119">
        <f>'2020'!AP783</f>
        <v>0</v>
      </c>
      <c r="AM91" s="106">
        <f>'2020'!AQ783</f>
        <v>0</v>
      </c>
      <c r="AN91" s="106">
        <f>'2020'!AR783</f>
      </c>
      <c r="AO91" s="119">
        <f>'2020'!AS783</f>
        <v>0</v>
      </c>
      <c r="AP91" s="119">
        <f>'2020'!AT783</f>
        <v>0</v>
      </c>
      <c r="AQ91" s="106">
        <f>'2020'!AU783</f>
        <v>0</v>
      </c>
      <c r="AR91" s="106">
        <f>'2020'!AV783</f>
      </c>
      <c r="AS91" s="119">
        <f>'2020'!AW783</f>
        <v>0</v>
      </c>
      <c r="AT91" s="119">
        <f>'2020'!AX783</f>
        <v>0</v>
      </c>
      <c r="AU91" s="106">
        <f>'2020'!AY783</f>
        <v>0</v>
      </c>
      <c r="AV91" s="106">
        <f>'2020'!AZ783</f>
      </c>
      <c r="AW91" s="106"/>
      <c r="AX91" s="106">
        <f t="shared" si="0"/>
        <v>0</v>
      </c>
      <c r="AY91" s="119">
        <f>'2020'!BA783</f>
        <v>0</v>
      </c>
      <c r="AZ91" s="119">
        <f>'2020'!BB783</f>
        <v>0</v>
      </c>
      <c r="BA91" s="106">
        <f>'2020'!BC783</f>
        <v>0</v>
      </c>
      <c r="BB91" s="106">
        <f>'2020'!BD783</f>
      </c>
      <c r="BC91" s="106"/>
      <c r="BD91" s="106">
        <f t="shared" si="1"/>
        <v>0</v>
      </c>
      <c r="BE91" s="119">
        <f>'2020'!BE783</f>
        <v>0</v>
      </c>
      <c r="BF91" s="106">
        <f>'2020'!BF783</f>
        <v>0</v>
      </c>
      <c r="BG91" s="106">
        <f>'2020'!BG783</f>
        <v>0</v>
      </c>
      <c r="BH91" s="106">
        <f>'2020'!BH783</f>
        <v>0</v>
      </c>
      <c r="BI91" s="106">
        <f t="shared" si="2"/>
        <v>0</v>
      </c>
      <c r="BJ91" s="338">
        <f t="shared" si="3"/>
        <v>0</v>
      </c>
    </row>
    <row r="92" ht="15.75" customHeight="1" hidden="1" spans="1:62" x14ac:dyDescent="0.25">
      <c r="A92" s="114" t="s">
        <v>297</v>
      </c>
      <c r="B92" s="115">
        <v>80</v>
      </c>
      <c r="C92" s="115">
        <v>4.28</v>
      </c>
      <c r="D92" s="117" t="s">
        <v>298</v>
      </c>
      <c r="E92" s="119">
        <f>'2020'!I792</f>
        <v>988</v>
      </c>
      <c r="F92" s="119">
        <f>'2020'!J792</f>
        <v>0</v>
      </c>
      <c r="G92" s="106">
        <f>'2020'!K792</f>
        <v>0</v>
      </c>
      <c r="H92" s="106">
        <f>'2020'!L792</f>
      </c>
      <c r="I92" s="119">
        <f>'2020'!M792</f>
        <v>988</v>
      </c>
      <c r="J92" s="119">
        <f>'2020'!N792</f>
        <v>0</v>
      </c>
      <c r="K92" s="106">
        <f>'2020'!O792</f>
        <v>0</v>
      </c>
      <c r="L92" s="106">
        <f>'2020'!P792</f>
        <v>200</v>
      </c>
      <c r="M92" s="119">
        <f>'2020'!Q792</f>
        <v>988</v>
      </c>
      <c r="N92" s="119">
        <f>'2020'!R792</f>
        <v>0</v>
      </c>
      <c r="O92" s="106">
        <f>'2020'!S792</f>
        <v>0</v>
      </c>
      <c r="P92" s="106">
        <f>'2020'!T792</f>
      </c>
      <c r="Q92" s="119">
        <f>'2020'!U792</f>
        <v>988</v>
      </c>
      <c r="R92" s="119">
        <f>'2020'!V792</f>
        <v>0</v>
      </c>
      <c r="S92" s="106">
        <f>'2020'!W792</f>
        <v>0</v>
      </c>
      <c r="T92" s="106">
        <f>'2020'!X792</f>
      </c>
      <c r="U92" s="119">
        <f>'2020'!Y792</f>
        <v>1028</v>
      </c>
      <c r="V92" s="119">
        <f>'2020'!Z792</f>
        <v>40</v>
      </c>
      <c r="W92" s="106">
        <f>'2020'!AA792</f>
        <v>100</v>
      </c>
      <c r="X92" s="106">
        <f>'2020'!AB792</f>
      </c>
      <c r="Y92" s="119">
        <f>'2020'!AC792</f>
        <v>1074</v>
      </c>
      <c r="Z92" s="119">
        <f>'2020'!AD792</f>
        <v>46</v>
      </c>
      <c r="AA92" s="106">
        <f>'2020'!AE792</f>
        <v>115</v>
      </c>
      <c r="AB92" s="106">
        <f>'2020'!AF792</f>
      </c>
      <c r="AC92" s="119">
        <f>'2020'!AG792</f>
        <v>1176</v>
      </c>
      <c r="AD92" s="119">
        <f>'2020'!AH792</f>
        <v>102</v>
      </c>
      <c r="AE92" s="106">
        <f>'2020'!AI792</f>
        <v>265.2</v>
      </c>
      <c r="AF92" s="106">
        <f>'2020'!AJ792</f>
        <v>100</v>
      </c>
      <c r="AG92" s="119">
        <f>'2020'!AK792</f>
        <v>1264</v>
      </c>
      <c r="AH92" s="119">
        <f>'2020'!AL792</f>
        <v>88</v>
      </c>
      <c r="AI92" s="106">
        <f>'2020'!AM792</f>
        <v>228.8</v>
      </c>
      <c r="AJ92" s="106">
        <f>'2020'!AN792</f>
        <v>500</v>
      </c>
      <c r="AK92" s="119">
        <f>'2020'!AO792</f>
        <v>1307</v>
      </c>
      <c r="AL92" s="119">
        <f>'2020'!AP792</f>
        <v>43</v>
      </c>
      <c r="AM92" s="106">
        <f>'2020'!AQ792</f>
        <v>111.8</v>
      </c>
      <c r="AN92" s="106">
        <f>'2020'!AR792</f>
      </c>
      <c r="AO92" s="119">
        <f>'2020'!AS792</f>
        <v>1312</v>
      </c>
      <c r="AP92" s="119">
        <f>'2020'!AT792</f>
        <v>5</v>
      </c>
      <c r="AQ92" s="106">
        <f>'2020'!AU792</f>
        <v>13</v>
      </c>
      <c r="AR92" s="106">
        <f>'2020'!AV792</f>
      </c>
      <c r="AS92" s="119">
        <f>'2020'!AW792</f>
        <v>1312</v>
      </c>
      <c r="AT92" s="119">
        <f>'2020'!AX792</f>
        <v>0</v>
      </c>
      <c r="AU92" s="106">
        <f>'2020'!AY792</f>
        <v>0</v>
      </c>
      <c r="AV92" s="106">
        <f>'2020'!AZ792</f>
      </c>
      <c r="AW92" s="106"/>
      <c r="AX92" s="106">
        <f t="shared" si="0"/>
        <v>0</v>
      </c>
      <c r="AY92" s="119">
        <f>'2020'!BA792</f>
        <v>1312</v>
      </c>
      <c r="AZ92" s="119">
        <f>'2020'!BB792</f>
        <v>0</v>
      </c>
      <c r="BA92" s="106">
        <f>'2020'!BC792</f>
        <v>0</v>
      </c>
      <c r="BB92" s="106">
        <f>'2020'!BD792</f>
      </c>
      <c r="BC92" s="106"/>
      <c r="BD92" s="106">
        <f t="shared" si="1"/>
        <v>0</v>
      </c>
      <c r="BE92" s="119">
        <f>'2020'!BE792</f>
        <v>324</v>
      </c>
      <c r="BF92" s="106">
        <f>'2020'!BF792</f>
        <v>833.8</v>
      </c>
      <c r="BG92" s="106">
        <f>'2020'!BG792</f>
        <v>800</v>
      </c>
      <c r="BH92" s="106">
        <f>'2020'!BH792</f>
        <v>109.07</v>
      </c>
      <c r="BI92" s="106">
        <f t="shared" si="2"/>
        <v>0</v>
      </c>
      <c r="BJ92" s="338">
        <f t="shared" si="3"/>
        <v>109.07</v>
      </c>
    </row>
    <row r="93" ht="15.75" customHeight="1" hidden="1" spans="1:62" x14ac:dyDescent="0.25">
      <c r="A93" s="14"/>
      <c r="B93" s="115">
        <v>82</v>
      </c>
      <c r="C93" s="115">
        <v>4.28</v>
      </c>
      <c r="D93" s="117" t="s">
        <v>300</v>
      </c>
      <c r="E93" s="119">
        <f>'2020'!I801</f>
      </c>
      <c r="F93" s="119">
        <f>'2020'!J801</f>
      </c>
      <c r="G93" s="106">
        <f>'2020'!K801</f>
        <v>0</v>
      </c>
      <c r="H93" s="106">
        <f>'2020'!L801</f>
      </c>
      <c r="I93" s="119">
        <f>'2020'!M801</f>
      </c>
      <c r="J93" s="119">
        <f>'2020'!N801</f>
      </c>
      <c r="K93" s="106">
        <f>'2020'!O801</f>
        <v>0</v>
      </c>
      <c r="L93" s="106">
        <f>'2020'!P801</f>
      </c>
      <c r="M93" s="119">
        <f>'2020'!Q801</f>
      </c>
      <c r="N93" s="119">
        <f>'2020'!R801</f>
        <v>0</v>
      </c>
      <c r="O93" s="106">
        <f>'2020'!S801</f>
        <v>0</v>
      </c>
      <c r="P93" s="106">
        <f>'2020'!T801</f>
      </c>
      <c r="Q93" s="119">
        <f>'2020'!U801</f>
      </c>
      <c r="R93" s="119">
        <f>'2020'!V801</f>
        <v>0</v>
      </c>
      <c r="S93" s="106">
        <f>'2020'!W801</f>
        <v>0</v>
      </c>
      <c r="T93" s="106">
        <f>'2020'!X801</f>
      </c>
      <c r="U93" s="119">
        <f>'2020'!Y801</f>
      </c>
      <c r="V93" s="119">
        <f>'2020'!Z801</f>
        <v>0</v>
      </c>
      <c r="W93" s="106">
        <f>'2020'!AA801</f>
        <v>0</v>
      </c>
      <c r="X93" s="106">
        <f>'2020'!AB801</f>
      </c>
      <c r="Y93" s="119">
        <f>'2020'!AC801</f>
      </c>
      <c r="Z93" s="119">
        <f>'2020'!AD801</f>
        <v>0</v>
      </c>
      <c r="AA93" s="106">
        <f>'2020'!AE801</f>
        <v>0</v>
      </c>
      <c r="AB93" s="106">
        <f>'2020'!AF801</f>
      </c>
      <c r="AC93" s="119">
        <f>'2020'!AG801</f>
      </c>
      <c r="AD93" s="119">
        <f>'2020'!AH801</f>
        <v>0</v>
      </c>
      <c r="AE93" s="106">
        <f>'2020'!AI801</f>
        <v>0</v>
      </c>
      <c r="AF93" s="106">
        <f>'2020'!AJ801</f>
      </c>
      <c r="AG93" s="119">
        <f>'2020'!AK801</f>
        <v>0</v>
      </c>
      <c r="AH93" s="119">
        <f>'2020'!AL801</f>
        <v>0</v>
      </c>
      <c r="AI93" s="106">
        <f>'2020'!AM801</f>
        <v>0</v>
      </c>
      <c r="AJ93" s="106">
        <f>'2020'!AN801</f>
      </c>
      <c r="AK93" s="119">
        <f>'2020'!AO801</f>
        <v>0</v>
      </c>
      <c r="AL93" s="119">
        <f>'2020'!AP801</f>
        <v>0</v>
      </c>
      <c r="AM93" s="106">
        <f>'2020'!AQ801</f>
        <v>0</v>
      </c>
      <c r="AN93" s="106">
        <f>'2020'!AR801</f>
      </c>
      <c r="AO93" s="119">
        <f>'2020'!AS801</f>
        <v>0</v>
      </c>
      <c r="AP93" s="119">
        <f>'2020'!AT801</f>
        <v>0</v>
      </c>
      <c r="AQ93" s="106">
        <f>'2020'!AU801</f>
        <v>0</v>
      </c>
      <c r="AR93" s="106">
        <f>'2020'!AV801</f>
      </c>
      <c r="AS93" s="119">
        <f>'2020'!AW801</f>
        <v>0</v>
      </c>
      <c r="AT93" s="119">
        <f>'2020'!AX801</f>
        <v>0</v>
      </c>
      <c r="AU93" s="106">
        <f>'2020'!AY801</f>
        <v>0</v>
      </c>
      <c r="AV93" s="106">
        <f>'2020'!AZ801</f>
      </c>
      <c r="AW93" s="106"/>
      <c r="AX93" s="106">
        <f t="shared" si="0"/>
        <v>0</v>
      </c>
      <c r="AY93" s="119">
        <f>'2020'!BA801</f>
        <v>0</v>
      </c>
      <c r="AZ93" s="119">
        <f>'2020'!BB801</f>
        <v>0</v>
      </c>
      <c r="BA93" s="106">
        <f>'2020'!BC801</f>
        <v>0</v>
      </c>
      <c r="BB93" s="106">
        <f>'2020'!BD801</f>
      </c>
      <c r="BC93" s="106"/>
      <c r="BD93" s="106">
        <f t="shared" si="1"/>
        <v>0</v>
      </c>
      <c r="BE93" s="119">
        <f>'2020'!BE801</f>
        <v>0</v>
      </c>
      <c r="BF93" s="106">
        <f>'2020'!BF801</f>
        <v>0</v>
      </c>
      <c r="BG93" s="106">
        <f>'2020'!BG801</f>
        <v>0</v>
      </c>
      <c r="BH93" s="106">
        <f>'2020'!BH801</f>
        <v>0</v>
      </c>
      <c r="BI93" s="106">
        <f t="shared" si="2"/>
        <v>0</v>
      </c>
      <c r="BJ93" s="338">
        <f t="shared" si="3"/>
        <v>0</v>
      </c>
    </row>
    <row r="94" ht="15.75" customHeight="1" hidden="1" spans="1:62" x14ac:dyDescent="0.25">
      <c r="A94" s="14"/>
      <c r="B94" s="115">
        <v>84</v>
      </c>
      <c r="C94" s="115">
        <v>4.18</v>
      </c>
      <c r="D94" s="117" t="s">
        <v>301</v>
      </c>
      <c r="E94" s="119">
        <f>'2020'!I810</f>
      </c>
      <c r="F94" s="119">
        <f>'2020'!J810</f>
      </c>
      <c r="G94" s="106">
        <f>'2020'!K810</f>
        <v>0</v>
      </c>
      <c r="H94" s="106">
        <f>'2020'!L810</f>
      </c>
      <c r="I94" s="119">
        <f>'2020'!M810</f>
      </c>
      <c r="J94" s="119">
        <f>'2020'!N810</f>
      </c>
      <c r="K94" s="106">
        <f>'2020'!O810</f>
        <v>0</v>
      </c>
      <c r="L94" s="106">
        <f>'2020'!P810</f>
      </c>
      <c r="M94" s="119">
        <f>'2020'!Q810</f>
      </c>
      <c r="N94" s="119">
        <f>'2020'!R810</f>
        <v>0</v>
      </c>
      <c r="O94" s="106">
        <f>'2020'!S810</f>
        <v>0</v>
      </c>
      <c r="P94" s="106">
        <f>'2020'!T810</f>
      </c>
      <c r="Q94" s="119">
        <f>'2020'!U810</f>
      </c>
      <c r="R94" s="119">
        <f>'2020'!V810</f>
        <v>0</v>
      </c>
      <c r="S94" s="106">
        <f>'2020'!W810</f>
        <v>0</v>
      </c>
      <c r="T94" s="106">
        <f>'2020'!X810</f>
      </c>
      <c r="U94" s="119">
        <f>'2020'!Y810</f>
        <v>4</v>
      </c>
      <c r="V94" s="119">
        <f>'2020'!Z810</f>
        <v>4</v>
      </c>
      <c r="W94" s="106">
        <f>'2020'!AA810</f>
        <v>10</v>
      </c>
      <c r="X94" s="106">
        <f>'2020'!AB810</f>
      </c>
      <c r="Y94" s="119">
        <f>'2020'!AC810</f>
        <v>22</v>
      </c>
      <c r="Z94" s="119">
        <f>'2020'!AD810</f>
        <v>18</v>
      </c>
      <c r="AA94" s="106">
        <f>'2020'!AE810</f>
        <v>45</v>
      </c>
      <c r="AB94" s="106">
        <f>'2020'!AF810</f>
        <v>13.16</v>
      </c>
      <c r="AC94" s="119">
        <f>'2020'!AG810</f>
        <v>28</v>
      </c>
      <c r="AD94" s="119">
        <f>'2020'!AH810</f>
        <v>6</v>
      </c>
      <c r="AE94" s="106">
        <f>'2020'!AI810</f>
        <v>15.6</v>
      </c>
      <c r="AF94" s="106">
        <f>'2020'!AJ810</f>
      </c>
      <c r="AG94" s="119">
        <f>'2020'!AK810</f>
        <v>32</v>
      </c>
      <c r="AH94" s="119">
        <f>'2020'!AL810</f>
        <v>4</v>
      </c>
      <c r="AI94" s="106">
        <f>'2020'!AM810</f>
        <v>10.4</v>
      </c>
      <c r="AJ94" s="106">
        <f>'2020'!AN810</f>
        <v>200</v>
      </c>
      <c r="AK94" s="119">
        <f>'2020'!AO810</f>
        <v>38</v>
      </c>
      <c r="AL94" s="119">
        <f>'2020'!AP810</f>
        <v>6</v>
      </c>
      <c r="AM94" s="106">
        <f>'2020'!AQ810</f>
        <v>15.6</v>
      </c>
      <c r="AN94" s="106">
        <f>'2020'!AR810</f>
      </c>
      <c r="AO94" s="119">
        <f>'2020'!AS810</f>
        <v>39</v>
      </c>
      <c r="AP94" s="119">
        <f>'2020'!AT810</f>
        <v>1</v>
      </c>
      <c r="AQ94" s="106">
        <f>'2020'!AU810</f>
        <v>2.6</v>
      </c>
      <c r="AR94" s="106">
        <f>'2020'!AV810</f>
      </c>
      <c r="AS94" s="119">
        <f>'2020'!AW810</f>
        <v>39</v>
      </c>
      <c r="AT94" s="119">
        <f>'2020'!AX810</f>
        <v>0</v>
      </c>
      <c r="AU94" s="106">
        <f>'2020'!AY810</f>
        <v>0</v>
      </c>
      <c r="AV94" s="106">
        <f>'2020'!AZ810</f>
      </c>
      <c r="AW94" s="106"/>
      <c r="AX94" s="106">
        <f t="shared" si="0"/>
        <v>0</v>
      </c>
      <c r="AY94" s="119">
        <f>'2020'!BA810</f>
        <v>39</v>
      </c>
      <c r="AZ94" s="119">
        <f>'2020'!BB810</f>
        <v>0</v>
      </c>
      <c r="BA94" s="106">
        <f>'2020'!BC810</f>
        <v>0</v>
      </c>
      <c r="BB94" s="106">
        <f>'2020'!BD810</f>
      </c>
      <c r="BC94" s="106"/>
      <c r="BD94" s="106">
        <f t="shared" si="1"/>
        <v>0</v>
      </c>
      <c r="BE94" s="119">
        <f>'2020'!BE810</f>
        <v>39</v>
      </c>
      <c r="BF94" s="106">
        <f>'2020'!BF810</f>
        <v>99.2</v>
      </c>
      <c r="BG94" s="106">
        <f>'2020'!BG810</f>
        <v>213.16</v>
      </c>
      <c r="BH94" s="106">
        <f>'2020'!BH810</f>
        <v>-113.96</v>
      </c>
      <c r="BI94" s="106">
        <f t="shared" si="2"/>
        <v>0</v>
      </c>
      <c r="BJ94" s="338">
        <f t="shared" si="3"/>
        <v>-113.96</v>
      </c>
    </row>
    <row r="95" ht="15.75" customHeight="1" hidden="1" spans="1:62" x14ac:dyDescent="0.25">
      <c r="A95" s="14"/>
      <c r="B95" s="115">
        <v>86</v>
      </c>
      <c r="C95" s="115">
        <v>4.23</v>
      </c>
      <c r="D95" s="117" t="s">
        <v>304</v>
      </c>
      <c r="E95" s="119">
        <f>'2020'!I819</f>
      </c>
      <c r="F95" s="119">
        <f>'2020'!J819</f>
      </c>
      <c r="G95" s="106">
        <f>'2020'!K819</f>
        <v>0</v>
      </c>
      <c r="H95" s="106">
        <f>'2020'!L819</f>
      </c>
      <c r="I95" s="119">
        <f>'2020'!M819</f>
      </c>
      <c r="J95" s="119">
        <f>'2020'!N819</f>
      </c>
      <c r="K95" s="106">
        <f>'2020'!O819</f>
        <v>0</v>
      </c>
      <c r="L95" s="106">
        <f>'2020'!P819</f>
      </c>
      <c r="M95" s="119">
        <f>'2020'!Q819</f>
      </c>
      <c r="N95" s="119">
        <f>'2020'!R819</f>
        <v>0</v>
      </c>
      <c r="O95" s="106">
        <f>'2020'!S819</f>
        <v>0</v>
      </c>
      <c r="P95" s="106">
        <f>'2020'!T819</f>
      </c>
      <c r="Q95" s="119">
        <f>'2020'!U819</f>
      </c>
      <c r="R95" s="119">
        <f>'2020'!V819</f>
        <v>0</v>
      </c>
      <c r="S95" s="106">
        <f>'2020'!W819</f>
        <v>0</v>
      </c>
      <c r="T95" s="106">
        <f>'2020'!X819</f>
      </c>
      <c r="U95" s="119">
        <f>'2020'!Y819</f>
      </c>
      <c r="V95" s="119">
        <f>'2020'!Z819</f>
        <v>0</v>
      </c>
      <c r="W95" s="106">
        <f>'2020'!AA819</f>
        <v>0</v>
      </c>
      <c r="X95" s="106">
        <f>'2020'!AB819</f>
      </c>
      <c r="Y95" s="119">
        <f>'2020'!AC819</f>
      </c>
      <c r="Z95" s="119">
        <f>'2020'!AD819</f>
        <v>0</v>
      </c>
      <c r="AA95" s="106">
        <f>'2020'!AE819</f>
        <v>0</v>
      </c>
      <c r="AB95" s="106">
        <f>'2020'!AF819</f>
      </c>
      <c r="AC95" s="119">
        <f>'2020'!AG819</f>
      </c>
      <c r="AD95" s="119">
        <f>'2020'!AH819</f>
        <v>0</v>
      </c>
      <c r="AE95" s="106">
        <f>'2020'!AI819</f>
        <v>0</v>
      </c>
      <c r="AF95" s="106">
        <f>'2020'!AJ819</f>
      </c>
      <c r="AG95" s="119">
        <f>'2020'!AK819</f>
        <v>0</v>
      </c>
      <c r="AH95" s="119">
        <f>'2020'!AL819</f>
        <v>0</v>
      </c>
      <c r="AI95" s="106">
        <f>'2020'!AM819</f>
        <v>0</v>
      </c>
      <c r="AJ95" s="106">
        <f>'2020'!AN819</f>
      </c>
      <c r="AK95" s="119">
        <f>'2020'!AO819</f>
        <v>0</v>
      </c>
      <c r="AL95" s="119">
        <f>'2020'!AP819</f>
        <v>0</v>
      </c>
      <c r="AM95" s="106">
        <f>'2020'!AQ819</f>
        <v>0</v>
      </c>
      <c r="AN95" s="106">
        <f>'2020'!AR819</f>
      </c>
      <c r="AO95" s="119">
        <f>'2020'!AS819</f>
        <v>0</v>
      </c>
      <c r="AP95" s="119">
        <f>'2020'!AT819</f>
        <v>0</v>
      </c>
      <c r="AQ95" s="106">
        <f>'2020'!AU819</f>
        <v>0</v>
      </c>
      <c r="AR95" s="106">
        <f>'2020'!AV819</f>
      </c>
      <c r="AS95" s="119">
        <f>'2020'!AW819</f>
        <v>0</v>
      </c>
      <c r="AT95" s="119">
        <f>'2020'!AX819</f>
        <v>0</v>
      </c>
      <c r="AU95" s="106">
        <f>'2020'!AY819</f>
        <v>0</v>
      </c>
      <c r="AV95" s="106">
        <f>'2020'!AZ819</f>
      </c>
      <c r="AW95" s="106"/>
      <c r="AX95" s="106">
        <f t="shared" si="0"/>
        <v>0</v>
      </c>
      <c r="AY95" s="119">
        <f>'2020'!BA819</f>
        <v>0</v>
      </c>
      <c r="AZ95" s="119">
        <f>'2020'!BB819</f>
        <v>0</v>
      </c>
      <c r="BA95" s="106">
        <f>'2020'!BC819</f>
        <v>0</v>
      </c>
      <c r="BB95" s="106">
        <f>'2020'!BD819</f>
      </c>
      <c r="BC95" s="106"/>
      <c r="BD95" s="106">
        <f t="shared" si="1"/>
        <v>0</v>
      </c>
      <c r="BE95" s="119">
        <f>'2020'!BE819</f>
        <v>0</v>
      </c>
      <c r="BF95" s="106">
        <f>'2020'!BF819</f>
        <v>0</v>
      </c>
      <c r="BG95" s="106">
        <f>'2020'!BG819</f>
        <v>0</v>
      </c>
      <c r="BH95" s="106">
        <f>'2020'!BH819</f>
        <v>0</v>
      </c>
      <c r="BI95" s="106">
        <f t="shared" si="2"/>
        <v>0</v>
      </c>
      <c r="BJ95" s="338">
        <f t="shared" si="3"/>
        <v>0</v>
      </c>
    </row>
    <row r="96" ht="15.75" customHeight="1" hidden="1" spans="1:62" x14ac:dyDescent="0.25">
      <c r="A96" s="14"/>
      <c r="B96" s="115">
        <v>88</v>
      </c>
      <c r="C96" s="115">
        <v>4.23</v>
      </c>
      <c r="D96" s="117" t="s">
        <v>308</v>
      </c>
      <c r="E96" s="119">
        <f>'2020'!I828</f>
      </c>
      <c r="F96" s="119">
        <f>'2020'!J828</f>
      </c>
      <c r="G96" s="106">
        <f>'2020'!K828</f>
        <v>0</v>
      </c>
      <c r="H96" s="106">
        <f>'2020'!L828</f>
      </c>
      <c r="I96" s="119">
        <f>'2020'!M828</f>
      </c>
      <c r="J96" s="119">
        <f>'2020'!N828</f>
      </c>
      <c r="K96" s="106">
        <f>'2020'!O828</f>
        <v>0</v>
      </c>
      <c r="L96" s="106">
        <f>'2020'!P828</f>
      </c>
      <c r="M96" s="119">
        <f>'2020'!Q828</f>
      </c>
      <c r="N96" s="119">
        <f>'2020'!R828</f>
        <v>0</v>
      </c>
      <c r="O96" s="106">
        <f>'2020'!S828</f>
        <v>0</v>
      </c>
      <c r="P96" s="106">
        <f>'2020'!T828</f>
      </c>
      <c r="Q96" s="119">
        <f>'2020'!U828</f>
      </c>
      <c r="R96" s="119">
        <f>'2020'!V828</f>
        <v>0</v>
      </c>
      <c r="S96" s="106">
        <f>'2020'!W828</f>
        <v>0</v>
      </c>
      <c r="T96" s="106">
        <f>'2020'!X828</f>
      </c>
      <c r="U96" s="119">
        <f>'2020'!Y828</f>
      </c>
      <c r="V96" s="119">
        <f>'2020'!Z828</f>
        <v>0</v>
      </c>
      <c r="W96" s="106">
        <f>'2020'!AA828</f>
        <v>0</v>
      </c>
      <c r="X96" s="106">
        <f>'2020'!AB828</f>
      </c>
      <c r="Y96" s="119">
        <f>'2020'!AC828</f>
      </c>
      <c r="Z96" s="119">
        <f>'2020'!AD828</f>
        <v>0</v>
      </c>
      <c r="AA96" s="106">
        <f>'2020'!AE828</f>
        <v>0</v>
      </c>
      <c r="AB96" s="106">
        <f>'2020'!AF828</f>
      </c>
      <c r="AC96" s="119">
        <f>'2020'!AG828</f>
      </c>
      <c r="AD96" s="119">
        <f>'2020'!AH828</f>
        <v>0</v>
      </c>
      <c r="AE96" s="106">
        <f>'2020'!AI828</f>
        <v>0</v>
      </c>
      <c r="AF96" s="106">
        <f>'2020'!AJ828</f>
      </c>
      <c r="AG96" s="119">
        <f>'2020'!AK828</f>
        <v>0</v>
      </c>
      <c r="AH96" s="119">
        <f>'2020'!AL828</f>
        <v>0</v>
      </c>
      <c r="AI96" s="106">
        <f>'2020'!AM828</f>
        <v>0</v>
      </c>
      <c r="AJ96" s="106">
        <f>'2020'!AN828</f>
      </c>
      <c r="AK96" s="119">
        <f>'2020'!AO828</f>
        <v>0</v>
      </c>
      <c r="AL96" s="119">
        <f>'2020'!AP828</f>
        <v>0</v>
      </c>
      <c r="AM96" s="106">
        <f>'2020'!AQ828</f>
        <v>0</v>
      </c>
      <c r="AN96" s="106">
        <f>'2020'!AR828</f>
      </c>
      <c r="AO96" s="119">
        <f>'2020'!AS828</f>
        <v>0</v>
      </c>
      <c r="AP96" s="119">
        <f>'2020'!AT828</f>
        <v>0</v>
      </c>
      <c r="AQ96" s="106">
        <f>'2020'!AU828</f>
        <v>0</v>
      </c>
      <c r="AR96" s="106">
        <f>'2020'!AV828</f>
      </c>
      <c r="AS96" s="119">
        <f>'2020'!AW828</f>
        <v>0</v>
      </c>
      <c r="AT96" s="119">
        <f>'2020'!AX828</f>
        <v>0</v>
      </c>
      <c r="AU96" s="106">
        <f>'2020'!AY828</f>
        <v>0</v>
      </c>
      <c r="AV96" s="106">
        <f>'2020'!AZ828</f>
      </c>
      <c r="AW96" s="106"/>
      <c r="AX96" s="106">
        <f t="shared" si="0"/>
        <v>0</v>
      </c>
      <c r="AY96" s="119">
        <f>'2020'!BA828</f>
        <v>0</v>
      </c>
      <c r="AZ96" s="119">
        <f>'2020'!BB828</f>
        <v>0</v>
      </c>
      <c r="BA96" s="106">
        <f>'2020'!BC828</f>
        <v>0</v>
      </c>
      <c r="BB96" s="106">
        <f>'2020'!BD828</f>
      </c>
      <c r="BC96" s="106"/>
      <c r="BD96" s="106">
        <f t="shared" si="1"/>
        <v>0</v>
      </c>
      <c r="BE96" s="119">
        <f>'2020'!BE828</f>
        <v>0</v>
      </c>
      <c r="BF96" s="106">
        <f>'2020'!BF828</f>
        <v>0</v>
      </c>
      <c r="BG96" s="106">
        <f>'2020'!BG828</f>
        <v>0</v>
      </c>
      <c r="BH96" s="106">
        <f>'2020'!BH828</f>
        <v>0</v>
      </c>
      <c r="BI96" s="106">
        <f t="shared" si="2"/>
        <v>0</v>
      </c>
      <c r="BJ96" s="338">
        <f t="shared" si="3"/>
        <v>0</v>
      </c>
    </row>
    <row r="97" ht="15.75" customHeight="1" hidden="1" spans="1:62" x14ac:dyDescent="0.25">
      <c r="A97" s="14"/>
      <c r="B97" s="115">
        <v>90</v>
      </c>
      <c r="C97" s="115">
        <v>4.23</v>
      </c>
      <c r="D97" s="117" t="s">
        <v>311</v>
      </c>
      <c r="E97" s="119">
        <f>'2020'!I837</f>
      </c>
      <c r="F97" s="119">
        <f>'2020'!J837</f>
      </c>
      <c r="G97" s="106">
        <f>'2020'!K837</f>
        <v>0</v>
      </c>
      <c r="H97" s="106">
        <f>'2020'!L837</f>
      </c>
      <c r="I97" s="119">
        <f>'2020'!M837</f>
      </c>
      <c r="J97" s="119">
        <f>'2020'!N837</f>
      </c>
      <c r="K97" s="106">
        <f>'2020'!O837</f>
        <v>0</v>
      </c>
      <c r="L97" s="106">
        <f>'2020'!P837</f>
      </c>
      <c r="M97" s="119">
        <f>'2020'!Q837</f>
      </c>
      <c r="N97" s="119">
        <f>'2020'!R837</f>
        <v>0</v>
      </c>
      <c r="O97" s="106">
        <f>'2020'!S837</f>
        <v>0</v>
      </c>
      <c r="P97" s="106">
        <f>'2020'!T837</f>
      </c>
      <c r="Q97" s="119">
        <f>'2020'!U837</f>
      </c>
      <c r="R97" s="119">
        <f>'2020'!V837</f>
        <v>0</v>
      </c>
      <c r="S97" s="106">
        <f>'2020'!W837</f>
        <v>0</v>
      </c>
      <c r="T97" s="106">
        <f>'2020'!X837</f>
      </c>
      <c r="U97" s="119">
        <f>'2020'!Y837</f>
      </c>
      <c r="V97" s="119">
        <f>'2020'!Z837</f>
        <v>0</v>
      </c>
      <c r="W97" s="106">
        <f>'2020'!AA837</f>
        <v>0</v>
      </c>
      <c r="X97" s="106">
        <f>'2020'!AB837</f>
      </c>
      <c r="Y97" s="119">
        <f>'2020'!AC837</f>
      </c>
      <c r="Z97" s="119">
        <f>'2020'!AD837</f>
        <v>0</v>
      </c>
      <c r="AA97" s="106">
        <f>'2020'!AE837</f>
        <v>0</v>
      </c>
      <c r="AB97" s="106">
        <f>'2020'!AF837</f>
      </c>
      <c r="AC97" s="119">
        <f>'2020'!AG837</f>
      </c>
      <c r="AD97" s="119">
        <f>'2020'!AH837</f>
        <v>0</v>
      </c>
      <c r="AE97" s="106">
        <f>'2020'!AI837</f>
        <v>0</v>
      </c>
      <c r="AF97" s="106">
        <f>'2020'!AJ837</f>
      </c>
      <c r="AG97" s="119">
        <f>'2020'!AK837</f>
        <v>0</v>
      </c>
      <c r="AH97" s="119">
        <f>'2020'!AL837</f>
        <v>0</v>
      </c>
      <c r="AI97" s="106">
        <f>'2020'!AM837</f>
        <v>0</v>
      </c>
      <c r="AJ97" s="106">
        <f>'2020'!AN837</f>
      </c>
      <c r="AK97" s="119">
        <f>'2020'!AO837</f>
        <v>0</v>
      </c>
      <c r="AL97" s="119">
        <f>'2020'!AP837</f>
        <v>0</v>
      </c>
      <c r="AM97" s="106">
        <f>'2020'!AQ837</f>
        <v>0</v>
      </c>
      <c r="AN97" s="106">
        <f>'2020'!AR837</f>
      </c>
      <c r="AO97" s="119">
        <f>'2020'!AS837</f>
        <v>0</v>
      </c>
      <c r="AP97" s="119">
        <f>'2020'!AT837</f>
        <v>0</v>
      </c>
      <c r="AQ97" s="106">
        <f>'2020'!AU837</f>
        <v>0</v>
      </c>
      <c r="AR97" s="106">
        <f>'2020'!AV837</f>
      </c>
      <c r="AS97" s="119">
        <f>'2020'!AW837</f>
        <v>0</v>
      </c>
      <c r="AT97" s="119">
        <f>'2020'!AX837</f>
        <v>0</v>
      </c>
      <c r="AU97" s="106">
        <f>'2020'!AY837</f>
        <v>0</v>
      </c>
      <c r="AV97" s="106">
        <f>'2020'!AZ837</f>
      </c>
      <c r="AW97" s="106"/>
      <c r="AX97" s="106">
        <f t="shared" si="0"/>
        <v>0</v>
      </c>
      <c r="AY97" s="119">
        <f>'2020'!BA837</f>
        <v>0</v>
      </c>
      <c r="AZ97" s="119">
        <f>'2020'!BB837</f>
        <v>0</v>
      </c>
      <c r="BA97" s="106">
        <f>'2020'!BC837</f>
        <v>0</v>
      </c>
      <c r="BB97" s="106">
        <f>'2020'!BD837</f>
      </c>
      <c r="BC97" s="106"/>
      <c r="BD97" s="106">
        <f t="shared" si="1"/>
        <v>0</v>
      </c>
      <c r="BE97" s="119">
        <f>'2020'!BE837</f>
        <v>0</v>
      </c>
      <c r="BF97" s="106">
        <f>'2020'!BF837</f>
        <v>0</v>
      </c>
      <c r="BG97" s="106">
        <f>'2020'!BG837</f>
        <v>0</v>
      </c>
      <c r="BH97" s="106">
        <f>'2020'!BH837</f>
        <v>0</v>
      </c>
      <c r="BI97" s="106">
        <f t="shared" si="2"/>
        <v>0</v>
      </c>
      <c r="BJ97" s="338">
        <f t="shared" si="3"/>
        <v>0</v>
      </c>
    </row>
    <row r="98" ht="15.75" customHeight="1" spans="1:62" x14ac:dyDescent="0.25">
      <c r="A98" s="14"/>
      <c r="B98" s="125">
        <v>92</v>
      </c>
      <c r="C98" s="115">
        <v>4.28</v>
      </c>
      <c r="D98" s="117" t="s">
        <v>312</v>
      </c>
      <c r="E98" s="119">
        <f>'2020'!I846</f>
        <v>8464</v>
      </c>
      <c r="F98" s="119">
        <f>'2020'!J846</f>
        <v>595</v>
      </c>
      <c r="G98" s="106">
        <f>'2020'!K846</f>
        <v>1487.5</v>
      </c>
      <c r="H98" s="106">
        <f>'2020'!L846</f>
      </c>
      <c r="I98" s="119">
        <f>'2020'!M846</f>
        <v>8917</v>
      </c>
      <c r="J98" s="119">
        <f>'2020'!N846</f>
        <v>453</v>
      </c>
      <c r="K98" s="106">
        <f>'2020'!O846</f>
        <v>1132.5</v>
      </c>
      <c r="L98" s="106">
        <f>'2020'!P846</f>
        <v>3552.45</v>
      </c>
      <c r="M98" s="119">
        <f>'2020'!Q846</f>
        <v>9320</v>
      </c>
      <c r="N98" s="119">
        <f>'2020'!R846</f>
        <v>403</v>
      </c>
      <c r="O98" s="106">
        <f>'2020'!S846</f>
        <v>1007.5</v>
      </c>
      <c r="P98" s="106">
        <f>'2020'!T846</f>
        <v>1007.5</v>
      </c>
      <c r="Q98" s="119">
        <f>'2020'!U846</f>
        <v>9452</v>
      </c>
      <c r="R98" s="119">
        <f>'2020'!V846</f>
        <v>132</v>
      </c>
      <c r="S98" s="106">
        <f>'2020'!W846</f>
        <v>330</v>
      </c>
      <c r="T98" s="106">
        <f>'2020'!X846</f>
      </c>
      <c r="U98" s="119">
        <f>'2020'!Y846</f>
        <v>9587</v>
      </c>
      <c r="V98" s="119">
        <f>'2020'!Z846</f>
        <v>135</v>
      </c>
      <c r="W98" s="106">
        <f>'2020'!AA846</f>
        <v>337.5</v>
      </c>
      <c r="X98" s="106">
        <f>'2020'!AB846</f>
      </c>
      <c r="Y98" s="119">
        <f>'2020'!AC846</f>
        <v>9752</v>
      </c>
      <c r="Z98" s="119">
        <f>'2020'!AD846</f>
        <v>165</v>
      </c>
      <c r="AA98" s="106">
        <f>'2020'!AE846</f>
        <v>412.5</v>
      </c>
      <c r="AB98" s="106">
        <f>'2020'!AF846</f>
        <v>700</v>
      </c>
      <c r="AC98" s="119">
        <f>'2020'!AG846</f>
        <v>9961</v>
      </c>
      <c r="AD98" s="119">
        <f>'2020'!AH846</f>
        <v>209</v>
      </c>
      <c r="AE98" s="106">
        <f>'2020'!AI846</f>
        <v>543.4</v>
      </c>
      <c r="AF98" s="106">
        <f>'2020'!AJ846</f>
      </c>
      <c r="AG98" s="119">
        <f>'2020'!AK846</f>
        <v>10121</v>
      </c>
      <c r="AH98" s="119">
        <f>'2020'!AL846</f>
        <v>160</v>
      </c>
      <c r="AI98" s="106">
        <f>'2020'!AM846</f>
        <v>416</v>
      </c>
      <c r="AJ98" s="106">
        <f>'2020'!AN846</f>
        <v>925</v>
      </c>
      <c r="AK98" s="119">
        <f>'2020'!AO846</f>
        <v>10265</v>
      </c>
      <c r="AL98" s="119">
        <f>'2020'!AP846</f>
        <v>144</v>
      </c>
      <c r="AM98" s="106">
        <f>'2020'!AQ846</f>
        <v>374.4</v>
      </c>
      <c r="AN98" s="106">
        <f>'2020'!AR846</f>
      </c>
      <c r="AO98" s="119">
        <f>'2020'!AS846</f>
        <v>10512</v>
      </c>
      <c r="AP98" s="119">
        <f>'2020'!AT846</f>
        <v>247</v>
      </c>
      <c r="AQ98" s="106">
        <f>'2020'!AU846</f>
        <v>642.2</v>
      </c>
      <c r="AR98" s="106">
        <f>'2020'!AV846</f>
        <v>789</v>
      </c>
      <c r="AS98" s="126">
        <f>'2020'!AW846</f>
        <v>10952</v>
      </c>
      <c r="AT98" s="119">
        <f>'2020'!AX846</f>
        <v>440</v>
      </c>
      <c r="AU98" s="106">
        <f>'2020'!AY846</f>
        <v>1144</v>
      </c>
      <c r="AV98" s="106">
        <f>'2020'!AZ846</f>
      </c>
      <c r="AW98" s="119"/>
      <c r="AX98" s="106">
        <f t="shared" si="0"/>
        <v>0</v>
      </c>
      <c r="AY98" s="119">
        <f>'2020'!BA846</f>
        <v>11414</v>
      </c>
      <c r="AZ98" s="119">
        <f>'2020'!BB846</f>
        <v>462</v>
      </c>
      <c r="BA98" s="106">
        <f>'2020'!BC846</f>
        <v>1201.2</v>
      </c>
      <c r="BB98" s="106">
        <f>'2020'!BD846</f>
        <v>3000</v>
      </c>
      <c r="BC98" s="106"/>
      <c r="BD98" s="106">
        <f t="shared" si="1"/>
        <v>0</v>
      </c>
      <c r="BE98" s="119">
        <f>'2020'!BE846</f>
        <v>3545</v>
      </c>
      <c r="BF98" s="106">
        <f>'2020'!BF846</f>
        <v>9028.7</v>
      </c>
      <c r="BG98" s="106">
        <f>'2020'!BG846</f>
        <v>9973.95</v>
      </c>
      <c r="BH98" s="106">
        <f>'2020'!BH846</f>
        <v>-12.8</v>
      </c>
      <c r="BI98" s="106">
        <f t="shared" si="2"/>
        <v>0</v>
      </c>
      <c r="BJ98" s="338">
        <f t="shared" si="3"/>
        <v>-12.8</v>
      </c>
    </row>
    <row r="99" ht="15.75" customHeight="1" spans="1:62" x14ac:dyDescent="0.25">
      <c r="A99" s="14"/>
      <c r="B99" s="125" t="s">
        <v>315</v>
      </c>
      <c r="C99" s="115">
        <v>4.36</v>
      </c>
      <c r="D99" s="117" t="s">
        <v>316</v>
      </c>
      <c r="E99" s="119">
        <f>'2020'!I855</f>
        <v>25195</v>
      </c>
      <c r="F99" s="119">
        <f>'2020'!J855</f>
        <v>1692</v>
      </c>
      <c r="G99" s="106">
        <f>'2020'!K855</f>
        <v>4230</v>
      </c>
      <c r="H99" s="106">
        <f>'2020'!L855</f>
        <v>8200</v>
      </c>
      <c r="I99" s="119">
        <f>'2020'!M855</f>
        <v>26942</v>
      </c>
      <c r="J99" s="119">
        <f>'2020'!N855</f>
        <v>1747</v>
      </c>
      <c r="K99" s="106">
        <f>'2020'!O855</f>
        <v>4367.5</v>
      </c>
      <c r="L99" s="106">
        <f>'2020'!P855</f>
      </c>
      <c r="M99" s="119">
        <f>'2020'!Q855</f>
        <v>28455</v>
      </c>
      <c r="N99" s="119">
        <f>'2020'!R855</f>
        <v>1513</v>
      </c>
      <c r="O99" s="106">
        <f>'2020'!S855</f>
        <v>3782.5</v>
      </c>
      <c r="P99" s="106">
        <f>'2020'!T855</f>
        <v>8580</v>
      </c>
      <c r="Q99" s="119">
        <f>'2020'!U855</f>
        <v>29473</v>
      </c>
      <c r="R99" s="119">
        <f>'2020'!V855</f>
        <v>1018</v>
      </c>
      <c r="S99" s="106">
        <f>'2020'!W855</f>
        <v>2545</v>
      </c>
      <c r="T99" s="106">
        <f>'2020'!X855</f>
        <v>6505</v>
      </c>
      <c r="U99" s="119">
        <f>'2020'!Y855</f>
        <v>30059</v>
      </c>
      <c r="V99" s="119">
        <f>'2020'!Z855</f>
        <v>586</v>
      </c>
      <c r="W99" s="106">
        <f>'2020'!AA855</f>
        <v>1465</v>
      </c>
      <c r="X99" s="106">
        <f>'2020'!AB855</f>
      </c>
      <c r="Y99" s="119">
        <f>'2020'!AC855</f>
        <v>30469</v>
      </c>
      <c r="Z99" s="119">
        <f>'2020'!AD855</f>
        <v>410</v>
      </c>
      <c r="AA99" s="106">
        <f>'2020'!AE855</f>
        <v>1025</v>
      </c>
      <c r="AB99" s="106">
        <f>'2020'!AF855</f>
        <v>1465</v>
      </c>
      <c r="AC99" s="119">
        <f>'2020'!AG855</f>
        <v>30817</v>
      </c>
      <c r="AD99" s="119">
        <f>'2020'!AH855</f>
        <v>348</v>
      </c>
      <c r="AE99" s="106">
        <f>'2020'!AI855</f>
        <v>904.8</v>
      </c>
      <c r="AF99" s="106">
        <f>'2020'!AJ855</f>
        <v>1935</v>
      </c>
      <c r="AG99" s="119">
        <f>'2020'!AK855</f>
        <v>31359</v>
      </c>
      <c r="AH99" s="119">
        <f>'2020'!AL855</f>
        <v>542</v>
      </c>
      <c r="AI99" s="106">
        <f>'2020'!AM855</f>
        <v>1409.2</v>
      </c>
      <c r="AJ99" s="106">
        <f>'2020'!AN855</f>
      </c>
      <c r="AK99" s="119">
        <f>'2020'!AO855</f>
        <v>31928</v>
      </c>
      <c r="AL99" s="119">
        <f>'2020'!AP855</f>
        <v>569</v>
      </c>
      <c r="AM99" s="106">
        <f>'2020'!AQ855</f>
        <v>1479.4</v>
      </c>
      <c r="AN99" s="106">
        <f>'2020'!AR855</f>
        <v>1404</v>
      </c>
      <c r="AO99" s="119">
        <f>'2020'!AS855</f>
        <v>33606</v>
      </c>
      <c r="AP99" s="119">
        <f>'2020'!AT855</f>
        <v>1678</v>
      </c>
      <c r="AQ99" s="106">
        <f>'2020'!AU855</f>
        <v>4362.8</v>
      </c>
      <c r="AR99" s="106">
        <f>'2020'!AV855</f>
        <v>1480</v>
      </c>
      <c r="AS99" s="126">
        <f>'2020'!AW855</f>
        <v>35167</v>
      </c>
      <c r="AT99" s="119">
        <f>'2020'!AX855</f>
        <v>1561</v>
      </c>
      <c r="AU99" s="106">
        <f>'2020'!AY855</f>
        <v>4058.6</v>
      </c>
      <c r="AV99" s="106">
        <f>'2020'!AZ855</f>
        <v>4500</v>
      </c>
      <c r="AW99" s="119"/>
      <c r="AX99" s="106">
        <f t="shared" si="0"/>
        <v>0</v>
      </c>
      <c r="AY99" s="119">
        <f>'2020'!BA855</f>
        <v>37623</v>
      </c>
      <c r="AZ99" s="119">
        <f>'2020'!BB855</f>
        <v>2456</v>
      </c>
      <c r="BA99" s="106">
        <f>'2020'!BC855</f>
        <v>6385.6</v>
      </c>
      <c r="BB99" s="106">
        <f>'2020'!BD855</f>
        <v>10500</v>
      </c>
      <c r="BC99" s="106"/>
      <c r="BD99" s="106">
        <f t="shared" si="1"/>
        <v>0</v>
      </c>
      <c r="BE99" s="119">
        <f>'2020'!BE855</f>
        <v>14120</v>
      </c>
      <c r="BF99" s="106">
        <f>'2020'!BF855</f>
        <v>36015.4</v>
      </c>
      <c r="BG99" s="106">
        <f>'2020'!BG855</f>
        <v>44569</v>
      </c>
      <c r="BH99" s="106">
        <f>'2020'!BH855</f>
        <v>-193.6</v>
      </c>
      <c r="BI99" s="106">
        <f t="shared" si="2"/>
        <v>0</v>
      </c>
      <c r="BJ99" s="338">
        <f t="shared" si="3"/>
        <v>-193.6</v>
      </c>
    </row>
    <row r="100" ht="15.75" customHeight="1" hidden="1" spans="1:62" x14ac:dyDescent="0.25">
      <c r="A100" s="14"/>
      <c r="B100" s="118" t="s">
        <v>315</v>
      </c>
      <c r="C100" s="116">
        <v>4.4</v>
      </c>
      <c r="D100" s="117" t="s">
        <v>316</v>
      </c>
      <c r="E100" s="119">
        <f>'2020'!I864</f>
      </c>
      <c r="F100" s="119">
        <f>'2020'!J864</f>
      </c>
      <c r="G100" s="106">
        <f>'2020'!K864</f>
        <v>0</v>
      </c>
      <c r="H100" s="106">
        <f>'2020'!L864</f>
      </c>
      <c r="I100" s="119">
        <f>'2020'!M864</f>
      </c>
      <c r="J100" s="119">
        <f>'2020'!N864</f>
      </c>
      <c r="K100" s="106">
        <f>'2020'!O864</f>
        <v>0</v>
      </c>
      <c r="L100" s="106">
        <f>'2020'!P864</f>
      </c>
      <c r="M100" s="119">
        <f>'2020'!Q864</f>
      </c>
      <c r="N100" s="119">
        <f>'2020'!R864</f>
        <v>0</v>
      </c>
      <c r="O100" s="106">
        <f>'2020'!S864</f>
        <v>0</v>
      </c>
      <c r="P100" s="106">
        <f>'2020'!T864</f>
      </c>
      <c r="Q100" s="119">
        <f>'2020'!U864</f>
      </c>
      <c r="R100" s="119">
        <f>'2020'!V864</f>
        <v>0</v>
      </c>
      <c r="S100" s="106">
        <f>'2020'!W864</f>
        <v>0</v>
      </c>
      <c r="T100" s="106">
        <f>'2020'!X864</f>
      </c>
      <c r="U100" s="119">
        <f>'2020'!Y864</f>
      </c>
      <c r="V100" s="119">
        <f>'2020'!Z864</f>
        <v>0</v>
      </c>
      <c r="W100" s="106">
        <f>'2020'!AA864</f>
        <v>0</v>
      </c>
      <c r="X100" s="106">
        <f>'2020'!AB864</f>
      </c>
      <c r="Y100" s="119">
        <f>'2020'!AC864</f>
      </c>
      <c r="Z100" s="119">
        <f>'2020'!AD864</f>
        <v>0</v>
      </c>
      <c r="AA100" s="106">
        <f>'2020'!AE864</f>
        <v>0</v>
      </c>
      <c r="AB100" s="106">
        <f>'2020'!AF864</f>
      </c>
      <c r="AC100" s="119">
        <f>'2020'!AG864</f>
      </c>
      <c r="AD100" s="119">
        <f>'2020'!AH864</f>
        <v>0</v>
      </c>
      <c r="AE100" s="106">
        <f>'2020'!AI864</f>
        <v>0</v>
      </c>
      <c r="AF100" s="106">
        <f>'2020'!AJ864</f>
      </c>
      <c r="AG100" s="119">
        <f>'2020'!AK864</f>
        <v>0</v>
      </c>
      <c r="AH100" s="119">
        <f>'2020'!AL864</f>
        <v>0</v>
      </c>
      <c r="AI100" s="106">
        <f>'2020'!AM864</f>
        <v>0</v>
      </c>
      <c r="AJ100" s="106">
        <f>'2020'!AN864</f>
      </c>
      <c r="AK100" s="119">
        <f>'2020'!AO864</f>
        <v>0</v>
      </c>
      <c r="AL100" s="119">
        <f>'2020'!AP864</f>
        <v>0</v>
      </c>
      <c r="AM100" s="106">
        <f>'2020'!AQ864</f>
        <v>0</v>
      </c>
      <c r="AN100" s="106">
        <f>'2020'!AR864</f>
      </c>
      <c r="AO100" s="119">
        <f>'2020'!AS864</f>
        <v>0</v>
      </c>
      <c r="AP100" s="119">
        <f>'2020'!AT864</f>
        <v>0</v>
      </c>
      <c r="AQ100" s="106">
        <f>'2020'!AU864</f>
        <v>0</v>
      </c>
      <c r="AR100" s="106">
        <f>'2020'!AV864</f>
      </c>
      <c r="AS100" s="126">
        <f>'2020'!AW864</f>
        <v>0</v>
      </c>
      <c r="AT100" s="119">
        <f>'2020'!AX864</f>
        <v>0</v>
      </c>
      <c r="AU100" s="106">
        <f>'2020'!AY864</f>
        <v>0</v>
      </c>
      <c r="AV100" s="106">
        <f>'2020'!AZ864</f>
      </c>
      <c r="AW100" s="119"/>
      <c r="AX100" s="106">
        <f t="shared" si="0"/>
        <v>0</v>
      </c>
      <c r="AY100" s="119">
        <f>'2020'!BA864</f>
        <v>0</v>
      </c>
      <c r="AZ100" s="119">
        <f>'2020'!BB864</f>
        <v>0</v>
      </c>
      <c r="BA100" s="106">
        <f>'2020'!BC864</f>
        <v>0</v>
      </c>
      <c r="BB100" s="106">
        <f>'2020'!BD864</f>
      </c>
      <c r="BC100" s="106"/>
      <c r="BD100" s="106">
        <f t="shared" si="1"/>
        <v>0</v>
      </c>
      <c r="BE100" s="119">
        <f>'2020'!BE864</f>
        <v>0</v>
      </c>
      <c r="BF100" s="106">
        <f>'2020'!BF864</f>
        <v>0</v>
      </c>
      <c r="BG100" s="106">
        <f>'2020'!BG864</f>
        <v>0</v>
      </c>
      <c r="BH100" s="106">
        <f>'2020'!BH864</f>
        <v>0</v>
      </c>
      <c r="BI100" s="106">
        <f t="shared" si="2"/>
        <v>0</v>
      </c>
      <c r="BJ100" s="338">
        <f t="shared" si="3"/>
        <v>0</v>
      </c>
    </row>
    <row r="101" ht="15.75" customHeight="1" hidden="1" spans="1:62" x14ac:dyDescent="0.25">
      <c r="A101" s="14"/>
      <c r="B101" s="115">
        <v>99</v>
      </c>
      <c r="C101" s="115">
        <v>4.53</v>
      </c>
      <c r="D101" s="117" t="s">
        <v>319</v>
      </c>
      <c r="E101" s="119">
        <f>'2020'!I873</f>
        <v>128</v>
      </c>
      <c r="F101" s="119">
        <f>'2020'!J873</f>
        <v>0</v>
      </c>
      <c r="G101" s="106">
        <f>'2020'!K873</f>
        <v>0</v>
      </c>
      <c r="H101" s="106">
        <f>'2020'!L873</f>
      </c>
      <c r="I101" s="119">
        <f>'2020'!M873</f>
        <v>128</v>
      </c>
      <c r="J101" s="119">
        <f>'2020'!N873</f>
        <v>0</v>
      </c>
      <c r="K101" s="106">
        <f>'2020'!O873</f>
        <v>0</v>
      </c>
      <c r="L101" s="106">
        <f>'2020'!P873</f>
      </c>
      <c r="M101" s="119">
        <f>'2020'!Q873</f>
        <v>128</v>
      </c>
      <c r="N101" s="119">
        <f>'2020'!R873</f>
        <v>0</v>
      </c>
      <c r="O101" s="106">
        <f>'2020'!S873</f>
        <v>0</v>
      </c>
      <c r="P101" s="106">
        <f>'2020'!T873</f>
      </c>
      <c r="Q101" s="119">
        <f>'2020'!U873</f>
        <v>128</v>
      </c>
      <c r="R101" s="119">
        <f>'2020'!V873</f>
        <v>0</v>
      </c>
      <c r="S101" s="106">
        <f>'2020'!W873</f>
        <v>0</v>
      </c>
      <c r="T101" s="106">
        <f>'2020'!X873</f>
      </c>
      <c r="U101" s="119">
        <f>'2020'!Y873</f>
        <v>142</v>
      </c>
      <c r="V101" s="119">
        <f>'2020'!Z873</f>
        <v>14</v>
      </c>
      <c r="W101" s="106">
        <f>'2020'!AA873</f>
        <v>35</v>
      </c>
      <c r="X101" s="106">
        <f>'2020'!AB873</f>
      </c>
      <c r="Y101" s="119">
        <f>'2020'!AC873</f>
        <v>143</v>
      </c>
      <c r="Z101" s="119">
        <f>'2020'!AD873</f>
        <v>1</v>
      </c>
      <c r="AA101" s="106">
        <f>'2020'!AE873</f>
        <v>2.5</v>
      </c>
      <c r="AB101" s="106">
        <f>'2020'!AF873</f>
      </c>
      <c r="AC101" s="119">
        <f>'2020'!AG873</f>
        <v>143</v>
      </c>
      <c r="AD101" s="119">
        <f>'2020'!AH873</f>
        <v>0</v>
      </c>
      <c r="AE101" s="106">
        <f>'2020'!AI873</f>
        <v>0</v>
      </c>
      <c r="AF101" s="106">
        <f>'2020'!AJ873</f>
      </c>
      <c r="AG101" s="119">
        <f>'2020'!AK873</f>
        <v>143</v>
      </c>
      <c r="AH101" s="119">
        <f>'2020'!AL873</f>
        <v>0</v>
      </c>
      <c r="AI101" s="106">
        <f>'2020'!AM873</f>
        <v>0</v>
      </c>
      <c r="AJ101" s="106">
        <f>'2020'!AN873</f>
      </c>
      <c r="AK101" s="119">
        <f>'2020'!AO873</f>
        <v>144</v>
      </c>
      <c r="AL101" s="119">
        <f>'2020'!AP873</f>
        <v>1</v>
      </c>
      <c r="AM101" s="106">
        <f>'2020'!AQ873</f>
        <v>2.6</v>
      </c>
      <c r="AN101" s="106">
        <f>'2020'!AR873</f>
      </c>
      <c r="AO101" s="119">
        <f>'2020'!AS873</f>
        <v>144</v>
      </c>
      <c r="AP101" s="119">
        <f>'2020'!AT873</f>
        <v>0</v>
      </c>
      <c r="AQ101" s="106">
        <f>'2020'!AU873</f>
        <v>0</v>
      </c>
      <c r="AR101" s="106">
        <f>'2020'!AV873</f>
      </c>
      <c r="AS101" s="119">
        <f>'2020'!AW873</f>
        <v>144</v>
      </c>
      <c r="AT101" s="119">
        <f>'2020'!AX873</f>
        <v>0</v>
      </c>
      <c r="AU101" s="106">
        <f>'2020'!AY873</f>
        <v>0</v>
      </c>
      <c r="AV101" s="106">
        <f>'2020'!AZ873</f>
      </c>
      <c r="AW101" s="106"/>
      <c r="AX101" s="106">
        <f t="shared" si="0"/>
        <v>0</v>
      </c>
      <c r="AY101" s="119">
        <f>'2020'!BA873</f>
        <v>144</v>
      </c>
      <c r="AZ101" s="119">
        <f>'2020'!BB873</f>
        <v>0</v>
      </c>
      <c r="BA101" s="106">
        <f>'2020'!BC873</f>
        <v>0</v>
      </c>
      <c r="BB101" s="106">
        <f>'2020'!BD873</f>
      </c>
      <c r="BC101" s="106"/>
      <c r="BD101" s="106">
        <f t="shared" si="1"/>
        <v>0</v>
      </c>
      <c r="BE101" s="119">
        <f>'2020'!BE873</f>
        <v>16</v>
      </c>
      <c r="BF101" s="106">
        <f>'2020'!BF873</f>
        <v>40.1</v>
      </c>
      <c r="BG101" s="106">
        <f>'2020'!BG873</f>
        <v>0</v>
      </c>
      <c r="BH101" s="106">
        <f>'2020'!BH873</f>
        <v>-346.16</v>
      </c>
      <c r="BI101" s="106">
        <f t="shared" si="2"/>
        <v>0</v>
      </c>
      <c r="BJ101" s="338">
        <f t="shared" si="3"/>
        <v>-346.16</v>
      </c>
    </row>
    <row r="102" ht="15.75" customHeight="1" hidden="1" spans="1:62" x14ac:dyDescent="0.25">
      <c r="A102" s="14"/>
      <c r="B102" s="115">
        <v>101</v>
      </c>
      <c r="C102" s="115">
        <v>4.46</v>
      </c>
      <c r="D102" s="117" t="s">
        <v>321</v>
      </c>
      <c r="E102" s="119">
        <f>'2020'!I882</f>
        <v>135</v>
      </c>
      <c r="F102" s="119">
        <f>'2020'!J882</f>
        <v>0</v>
      </c>
      <c r="G102" s="106">
        <f>'2020'!K882</f>
        <v>0</v>
      </c>
      <c r="H102" s="106">
        <f>'2020'!L882</f>
      </c>
      <c r="I102" s="119">
        <f>'2020'!M882</f>
        <v>135</v>
      </c>
      <c r="J102" s="119">
        <f>'2020'!N882</f>
        <v>0</v>
      </c>
      <c r="K102" s="106">
        <f>'2020'!O882</f>
        <v>0</v>
      </c>
      <c r="L102" s="106">
        <f>'2020'!P882</f>
      </c>
      <c r="M102" s="119">
        <f>'2020'!Q882</f>
        <v>135</v>
      </c>
      <c r="N102" s="119">
        <f>'2020'!R882</f>
        <v>0</v>
      </c>
      <c r="O102" s="106">
        <f>'2020'!S882</f>
        <v>0</v>
      </c>
      <c r="P102" s="106">
        <f>'2020'!T882</f>
      </c>
      <c r="Q102" s="119">
        <f>'2020'!U882</f>
        <v>135</v>
      </c>
      <c r="R102" s="119">
        <f>'2020'!V882</f>
        <v>0</v>
      </c>
      <c r="S102" s="106">
        <f>'2020'!W882</f>
        <v>0</v>
      </c>
      <c r="T102" s="106">
        <f>'2020'!X882</f>
      </c>
      <c r="U102" s="119">
        <f>'2020'!Y882</f>
        <v>144</v>
      </c>
      <c r="V102" s="119">
        <f>'2020'!Z882</f>
        <v>9</v>
      </c>
      <c r="W102" s="106">
        <f>'2020'!AA882</f>
        <v>22.5</v>
      </c>
      <c r="X102" s="106">
        <f>'2020'!AB882</f>
      </c>
      <c r="Y102" s="119">
        <f>'2020'!AC882</f>
        <v>151</v>
      </c>
      <c r="Z102" s="119">
        <f>'2020'!AD882</f>
        <v>7</v>
      </c>
      <c r="AA102" s="106">
        <f>'2020'!AE882</f>
        <v>17.5</v>
      </c>
      <c r="AB102" s="106">
        <f>'2020'!AF882</f>
        <v>30.99</v>
      </c>
      <c r="AC102" s="119">
        <f>'2020'!AG882</f>
        <v>160</v>
      </c>
      <c r="AD102" s="119">
        <f>'2020'!AH882</f>
        <v>9</v>
      </c>
      <c r="AE102" s="106">
        <f>'2020'!AI882</f>
        <v>23.4</v>
      </c>
      <c r="AF102" s="106">
        <f>'2020'!AJ882</f>
        <v>17.5</v>
      </c>
      <c r="AG102" s="119">
        <f>'2020'!AK882</f>
        <v>167</v>
      </c>
      <c r="AH102" s="119">
        <f>'2020'!AL882</f>
        <v>7</v>
      </c>
      <c r="AI102" s="106">
        <f>'2020'!AM882</f>
        <v>18.2</v>
      </c>
      <c r="AJ102" s="106">
        <f>'2020'!AN882</f>
        <v>49.4</v>
      </c>
      <c r="AK102" s="119">
        <f>'2020'!AO882</f>
        <v>172</v>
      </c>
      <c r="AL102" s="119">
        <f>'2020'!AP882</f>
        <v>5</v>
      </c>
      <c r="AM102" s="106">
        <f>'2020'!AQ882</f>
        <v>13</v>
      </c>
      <c r="AN102" s="106">
        <f>'2020'!AR882</f>
      </c>
      <c r="AO102" s="119">
        <f>'2020'!AS882</f>
        <v>175</v>
      </c>
      <c r="AP102" s="119">
        <f>'2020'!AT882</f>
        <v>3</v>
      </c>
      <c r="AQ102" s="106">
        <f>'2020'!AU882</f>
        <v>7.8</v>
      </c>
      <c r="AR102" s="106">
        <f>'2020'!AV882</f>
      </c>
      <c r="AS102" s="119">
        <f>'2020'!AW882</f>
        <v>175</v>
      </c>
      <c r="AT102" s="119">
        <f>'2020'!AX882</f>
        <v>0</v>
      </c>
      <c r="AU102" s="106">
        <f>'2020'!AY882</f>
        <v>0</v>
      </c>
      <c r="AV102" s="106">
        <f>'2020'!AZ882</f>
      </c>
      <c r="AW102" s="106"/>
      <c r="AX102" s="106">
        <f t="shared" si="0"/>
        <v>0</v>
      </c>
      <c r="AY102" s="119">
        <f>'2020'!BA882</f>
        <v>175</v>
      </c>
      <c r="AZ102" s="119">
        <f>'2020'!BB882</f>
        <v>0</v>
      </c>
      <c r="BA102" s="106">
        <f>'2020'!BC882</f>
        <v>0</v>
      </c>
      <c r="BB102" s="106">
        <f>'2020'!BD882</f>
      </c>
      <c r="BC102" s="106"/>
      <c r="BD102" s="106">
        <f t="shared" si="1"/>
        <v>0</v>
      </c>
      <c r="BE102" s="119">
        <f>'2020'!BE882</f>
        <v>40</v>
      </c>
      <c r="BF102" s="106">
        <f>'2020'!BF882</f>
        <v>102.4</v>
      </c>
      <c r="BG102" s="106">
        <f>'2020'!BG882</f>
        <v>97.89</v>
      </c>
      <c r="BH102" s="106">
        <f>'2020'!BH882</f>
        <v>13</v>
      </c>
      <c r="BI102" s="106">
        <f t="shared" si="2"/>
        <v>0</v>
      </c>
      <c r="BJ102" s="338">
        <f t="shared" si="3"/>
        <v>13</v>
      </c>
    </row>
    <row r="103" ht="15.75" customHeight="1" hidden="1" spans="1:62" x14ac:dyDescent="0.25">
      <c r="A103" s="14"/>
      <c r="B103" s="115">
        <v>103</v>
      </c>
      <c r="C103" s="115">
        <v>4.42</v>
      </c>
      <c r="D103" s="117" t="s">
        <v>322</v>
      </c>
      <c r="E103" s="119">
        <f>'2020'!I891</f>
      </c>
      <c r="F103" s="119">
        <f>'2020'!J891</f>
      </c>
      <c r="G103" s="106">
        <f>'2020'!K891</f>
        <v>0</v>
      </c>
      <c r="H103" s="106">
        <f>'2020'!L891</f>
      </c>
      <c r="I103" s="119">
        <f>'2020'!M891</f>
      </c>
      <c r="J103" s="119">
        <f>'2020'!N891</f>
      </c>
      <c r="K103" s="106">
        <f>'2020'!O891</f>
        <v>0</v>
      </c>
      <c r="L103" s="106">
        <f>'2020'!P891</f>
      </c>
      <c r="M103" s="119">
        <f>'2020'!Q891</f>
      </c>
      <c r="N103" s="119">
        <f>'2020'!R891</f>
        <v>0</v>
      </c>
      <c r="O103" s="106">
        <f>'2020'!S891</f>
        <v>0</v>
      </c>
      <c r="P103" s="106">
        <f>'2020'!T891</f>
      </c>
      <c r="Q103" s="119">
        <f>'2020'!U891</f>
      </c>
      <c r="R103" s="119">
        <f>'2020'!V891</f>
        <v>0</v>
      </c>
      <c r="S103" s="106">
        <f>'2020'!W891</f>
        <v>0</v>
      </c>
      <c r="T103" s="106">
        <f>'2020'!X891</f>
      </c>
      <c r="U103" s="119">
        <f>'2020'!Y891</f>
      </c>
      <c r="V103" s="119">
        <f>'2020'!Z891</f>
        <v>0</v>
      </c>
      <c r="W103" s="106">
        <f>'2020'!AA891</f>
        <v>0</v>
      </c>
      <c r="X103" s="106">
        <f>'2020'!AB891</f>
      </c>
      <c r="Y103" s="119">
        <f>'2020'!AC891</f>
      </c>
      <c r="Z103" s="119">
        <f>'2020'!AD891</f>
        <v>0</v>
      </c>
      <c r="AA103" s="106">
        <f>'2020'!AE891</f>
        <v>0</v>
      </c>
      <c r="AB103" s="106">
        <f>'2020'!AF891</f>
      </c>
      <c r="AC103" s="119">
        <f>'2020'!AG891</f>
      </c>
      <c r="AD103" s="119">
        <f>'2020'!AH891</f>
        <v>0</v>
      </c>
      <c r="AE103" s="106">
        <f>'2020'!AI891</f>
        <v>0</v>
      </c>
      <c r="AF103" s="106">
        <f>'2020'!AJ891</f>
      </c>
      <c r="AG103" s="119">
        <f>'2020'!AK891</f>
        <v>0</v>
      </c>
      <c r="AH103" s="119">
        <f>'2020'!AL891</f>
        <v>0</v>
      </c>
      <c r="AI103" s="106">
        <f>'2020'!AM891</f>
        <v>0</v>
      </c>
      <c r="AJ103" s="106">
        <f>'2020'!AN891</f>
      </c>
      <c r="AK103" s="119">
        <f>'2020'!AO891</f>
        <v>0</v>
      </c>
      <c r="AL103" s="119">
        <f>'2020'!AP891</f>
        <v>0</v>
      </c>
      <c r="AM103" s="106">
        <f>'2020'!AQ891</f>
        <v>0</v>
      </c>
      <c r="AN103" s="106">
        <f>'2020'!AR891</f>
      </c>
      <c r="AO103" s="119">
        <f>'2020'!AS891</f>
        <v>0</v>
      </c>
      <c r="AP103" s="119">
        <f>'2020'!AT891</f>
        <v>0</v>
      </c>
      <c r="AQ103" s="106">
        <f>'2020'!AU891</f>
        <v>0</v>
      </c>
      <c r="AR103" s="106">
        <f>'2020'!AV891</f>
      </c>
      <c r="AS103" s="119">
        <f>'2020'!AW891</f>
        <v>0</v>
      </c>
      <c r="AT103" s="119">
        <f>'2020'!AX891</f>
        <v>0</v>
      </c>
      <c r="AU103" s="106">
        <f>'2020'!AY891</f>
        <v>0</v>
      </c>
      <c r="AV103" s="106">
        <f>'2020'!AZ891</f>
      </c>
      <c r="AW103" s="106"/>
      <c r="AX103" s="106">
        <f t="shared" si="0"/>
        <v>0</v>
      </c>
      <c r="AY103" s="119">
        <f>'2020'!BA891</f>
        <v>0</v>
      </c>
      <c r="AZ103" s="119">
        <f>'2020'!BB891</f>
        <v>0</v>
      </c>
      <c r="BA103" s="106">
        <f>'2020'!BC891</f>
        <v>0</v>
      </c>
      <c r="BB103" s="106">
        <f>'2020'!BD891</f>
      </c>
      <c r="BC103" s="106"/>
      <c r="BD103" s="106">
        <f t="shared" si="1"/>
        <v>0</v>
      </c>
      <c r="BE103" s="119">
        <f>'2020'!BE891</f>
        <v>0</v>
      </c>
      <c r="BF103" s="106">
        <f>'2020'!BF891</f>
        <v>0</v>
      </c>
      <c r="BG103" s="106">
        <f>'2020'!BG891</f>
        <v>0</v>
      </c>
      <c r="BH103" s="106">
        <f>'2020'!BH891</f>
        <v>0</v>
      </c>
      <c r="BI103" s="106">
        <f t="shared" si="2"/>
        <v>0</v>
      </c>
      <c r="BJ103" s="338">
        <f t="shared" si="3"/>
        <v>0</v>
      </c>
    </row>
    <row r="104" ht="15.75" customHeight="1" hidden="1" spans="1:62" x14ac:dyDescent="0.25">
      <c r="A104" s="14"/>
      <c r="B104" s="115">
        <v>105</v>
      </c>
      <c r="C104" s="115">
        <v>4.41</v>
      </c>
      <c r="D104" s="117" t="s">
        <v>323</v>
      </c>
      <c r="E104" s="119">
        <f>'2020'!I900</f>
        <v>946</v>
      </c>
      <c r="F104" s="119">
        <f>'2020'!J900</f>
        <v>0</v>
      </c>
      <c r="G104" s="106">
        <f>'2020'!K900</f>
        <v>0</v>
      </c>
      <c r="H104" s="106">
        <f>'2020'!L900</f>
      </c>
      <c r="I104" s="119">
        <f>'2020'!M900</f>
        <v>946</v>
      </c>
      <c r="J104" s="119">
        <f>'2020'!N900</f>
        <v>0</v>
      </c>
      <c r="K104" s="106">
        <f>'2020'!O900</f>
        <v>0</v>
      </c>
      <c r="L104" s="106">
        <f>'2020'!P900</f>
      </c>
      <c r="M104" s="119">
        <f>'2020'!Q900</f>
        <v>946</v>
      </c>
      <c r="N104" s="119">
        <f>'2020'!R900</f>
        <v>0</v>
      </c>
      <c r="O104" s="106">
        <f>'2020'!S900</f>
        <v>0</v>
      </c>
      <c r="P104" s="106">
        <f>'2020'!T900</f>
      </c>
      <c r="Q104" s="119">
        <f>'2020'!U900</f>
        <v>946</v>
      </c>
      <c r="R104" s="119">
        <f>'2020'!V900</f>
        <v>0</v>
      </c>
      <c r="S104" s="106">
        <f>'2020'!W900</f>
        <v>0</v>
      </c>
      <c r="T104" s="106">
        <f>'2020'!X900</f>
      </c>
      <c r="U104" s="119">
        <f>'2020'!Y900</f>
        <v>1014</v>
      </c>
      <c r="V104" s="119">
        <f>'2020'!Z900</f>
        <v>68</v>
      </c>
      <c r="W104" s="106">
        <f>'2020'!AA900</f>
        <v>170</v>
      </c>
      <c r="X104" s="106">
        <f>'2020'!AB900</f>
      </c>
      <c r="Y104" s="119">
        <f>'2020'!AC900</f>
        <v>1191</v>
      </c>
      <c r="Z104" s="119">
        <f>'2020'!AD900</f>
        <v>177</v>
      </c>
      <c r="AA104" s="106">
        <f>'2020'!AE900</f>
        <v>442.5</v>
      </c>
      <c r="AB104" s="106">
        <f>'2020'!AF900</f>
        <v>200</v>
      </c>
      <c r="AC104" s="119">
        <f>'2020'!AG900</f>
        <v>1320</v>
      </c>
      <c r="AD104" s="119">
        <f>'2020'!AH900</f>
        <v>129</v>
      </c>
      <c r="AE104" s="106">
        <f>'2020'!AI900</f>
        <v>335.4</v>
      </c>
      <c r="AF104" s="106">
        <f>'2020'!AJ900</f>
        <v>80.2</v>
      </c>
      <c r="AG104" s="119">
        <f>'2020'!AK900</f>
        <v>1437</v>
      </c>
      <c r="AH104" s="119">
        <f>'2020'!AL900</f>
        <v>117</v>
      </c>
      <c r="AI104" s="106">
        <f>'2020'!AM900</f>
        <v>304.2</v>
      </c>
      <c r="AJ104" s="106">
        <f>'2020'!AN900</f>
      </c>
      <c r="AK104" s="119">
        <f>'2020'!AO900</f>
        <v>1574</v>
      </c>
      <c r="AL104" s="119">
        <f>'2020'!AP900</f>
        <v>137</v>
      </c>
      <c r="AM104" s="106">
        <f>'2020'!AQ900</f>
        <v>356.2</v>
      </c>
      <c r="AN104" s="106">
        <f>'2020'!AR900</f>
        <v>957</v>
      </c>
      <c r="AO104" s="119">
        <f>'2020'!AS900</f>
        <v>1704</v>
      </c>
      <c r="AP104" s="119">
        <f>'2020'!AT900</f>
        <v>130</v>
      </c>
      <c r="AQ104" s="106">
        <f>'2020'!AU900</f>
        <v>338</v>
      </c>
      <c r="AR104" s="106">
        <f>'2020'!AV900</f>
        <v>356</v>
      </c>
      <c r="AS104" s="119">
        <f>'2020'!AW900</f>
        <v>1704</v>
      </c>
      <c r="AT104" s="119">
        <f>'2020'!AX900</f>
        <v>0</v>
      </c>
      <c r="AU104" s="106">
        <f>'2020'!AY900</f>
        <v>0</v>
      </c>
      <c r="AV104" s="106">
        <f>'2020'!AZ900</f>
        <v>340</v>
      </c>
      <c r="AW104" s="106"/>
      <c r="AX104" s="106">
        <f t="shared" si="0"/>
        <v>0</v>
      </c>
      <c r="AY104" s="119">
        <f>'2020'!BA900</f>
        <v>1704</v>
      </c>
      <c r="AZ104" s="119">
        <f>'2020'!BB900</f>
        <v>0</v>
      </c>
      <c r="BA104" s="106">
        <f>'2020'!BC900</f>
        <v>0</v>
      </c>
      <c r="BB104" s="106">
        <f>'2020'!BD900</f>
      </c>
      <c r="BC104" s="106"/>
      <c r="BD104" s="106">
        <f t="shared" si="1"/>
        <v>0</v>
      </c>
      <c r="BE104" s="119">
        <f>'2020'!BE900</f>
        <v>758</v>
      </c>
      <c r="BF104" s="106">
        <f>'2020'!BF900</f>
        <v>1946.3</v>
      </c>
      <c r="BG104" s="106">
        <f>'2020'!BG900</f>
        <v>1933.2</v>
      </c>
      <c r="BH104" s="106">
        <f>'2020'!BH900</f>
        <v>-2.02</v>
      </c>
      <c r="BI104" s="106">
        <f t="shared" si="2"/>
        <v>0</v>
      </c>
      <c r="BJ104" s="338">
        <f t="shared" si="3"/>
        <v>-2.02</v>
      </c>
    </row>
    <row r="105" ht="15.75" customHeight="1" hidden="1" spans="1:62" x14ac:dyDescent="0.25">
      <c r="A105" s="21"/>
      <c r="B105" s="115">
        <v>107</v>
      </c>
      <c r="C105" s="115">
        <v>4.37</v>
      </c>
      <c r="D105" s="117" t="s">
        <v>325</v>
      </c>
      <c r="E105" s="119">
        <f>'2020'!I909</f>
        <v>118</v>
      </c>
      <c r="F105" s="119">
        <f>'2020'!J909</f>
      </c>
      <c r="G105" s="106">
        <f>'2020'!K909</f>
        <v>0</v>
      </c>
      <c r="H105" s="106">
        <f>'2020'!L909</f>
      </c>
      <c r="I105" s="119">
        <f>'2020'!M909</f>
        <v>118</v>
      </c>
      <c r="J105" s="119">
        <f>'2020'!N909</f>
        <v>0</v>
      </c>
      <c r="K105" s="106">
        <f>'2020'!O909</f>
        <v>0</v>
      </c>
      <c r="L105" s="106">
        <f>'2020'!P909</f>
      </c>
      <c r="M105" s="119">
        <f>'2020'!Q909</f>
        <v>118</v>
      </c>
      <c r="N105" s="119">
        <f>'2020'!R909</f>
        <v>0</v>
      </c>
      <c r="O105" s="106">
        <f>'2020'!S909</f>
        <v>0</v>
      </c>
      <c r="P105" s="106">
        <f>'2020'!T909</f>
      </c>
      <c r="Q105" s="119">
        <f>'2020'!U909</f>
        <v>120</v>
      </c>
      <c r="R105" s="119">
        <f>'2020'!V909</f>
        <v>2</v>
      </c>
      <c r="S105" s="106">
        <f>'2020'!W909</f>
        <v>5</v>
      </c>
      <c r="T105" s="106">
        <f>'2020'!X909</f>
      </c>
      <c r="U105" s="119">
        <f>'2020'!Y909</f>
        <v>155</v>
      </c>
      <c r="V105" s="119">
        <f>'2020'!Z909</f>
        <v>35</v>
      </c>
      <c r="W105" s="106">
        <f>'2020'!AA909</f>
        <v>87.5</v>
      </c>
      <c r="X105" s="106">
        <f>'2020'!AB909</f>
      </c>
      <c r="Y105" s="119">
        <f>'2020'!AC909</f>
        <v>203</v>
      </c>
      <c r="Z105" s="119">
        <f>'2020'!AD909</f>
        <v>48</v>
      </c>
      <c r="AA105" s="106">
        <f>'2020'!AE909</f>
        <v>120</v>
      </c>
      <c r="AB105" s="106">
        <f>'2020'!AF909</f>
        <v>70.28</v>
      </c>
      <c r="AC105" s="119">
        <f>'2020'!AG909</f>
        <v>229</v>
      </c>
      <c r="AD105" s="119">
        <f>'2020'!AH909</f>
        <v>26</v>
      </c>
      <c r="AE105" s="106">
        <f>'2020'!AI909</f>
        <v>67.6</v>
      </c>
      <c r="AF105" s="106">
        <f>'2020'!AJ909</f>
      </c>
      <c r="AG105" s="119">
        <f>'2020'!AK909</f>
        <v>281</v>
      </c>
      <c r="AH105" s="119">
        <f>'2020'!AL909</f>
        <v>52</v>
      </c>
      <c r="AI105" s="106">
        <f>'2020'!AM909</f>
        <v>135.2</v>
      </c>
      <c r="AJ105" s="106">
        <f>'2020'!AN909</f>
        <v>352.33</v>
      </c>
      <c r="AK105" s="119">
        <f>'2020'!AO909</f>
        <v>295</v>
      </c>
      <c r="AL105" s="119">
        <f>'2020'!AP909</f>
        <v>14</v>
      </c>
      <c r="AM105" s="106">
        <f>'2020'!AQ909</f>
        <v>36.4</v>
      </c>
      <c r="AN105" s="106">
        <f>'2020'!AR909</f>
      </c>
      <c r="AO105" s="119">
        <f>'2020'!AS909</f>
        <v>295</v>
      </c>
      <c r="AP105" s="119">
        <f>'2020'!AT909</f>
        <v>0</v>
      </c>
      <c r="AQ105" s="106">
        <f>'2020'!AU909</f>
        <v>0</v>
      </c>
      <c r="AR105" s="106">
        <f>'2020'!AV909</f>
      </c>
      <c r="AS105" s="119">
        <f>'2020'!AW909</f>
        <v>295</v>
      </c>
      <c r="AT105" s="119">
        <f>'2020'!AX909</f>
        <v>0</v>
      </c>
      <c r="AU105" s="106">
        <f>'2020'!AY909</f>
        <v>0</v>
      </c>
      <c r="AV105" s="106">
        <f>'2020'!AZ909</f>
      </c>
      <c r="AW105" s="106"/>
      <c r="AX105" s="106">
        <f t="shared" si="0"/>
        <v>0</v>
      </c>
      <c r="AY105" s="119">
        <f>'2020'!BA909</f>
        <v>295</v>
      </c>
      <c r="AZ105" s="119">
        <f>'2020'!BB909</f>
        <v>0</v>
      </c>
      <c r="BA105" s="106">
        <f>'2020'!BC909</f>
        <v>0</v>
      </c>
      <c r="BB105" s="106">
        <f>'2020'!BD909</f>
      </c>
      <c r="BC105" s="106"/>
      <c r="BD105" s="106">
        <f t="shared" si="1"/>
        <v>0</v>
      </c>
      <c r="BE105" s="119">
        <f>'2020'!BE909</f>
        <v>177</v>
      </c>
      <c r="BF105" s="106">
        <f>'2020'!BF909</f>
        <v>451.7</v>
      </c>
      <c r="BG105" s="106">
        <f>'2020'!BG909</f>
        <v>422.61</v>
      </c>
      <c r="BH105" s="106">
        <f>'2020'!BH909</f>
        <v>6.6</v>
      </c>
      <c r="BI105" s="106">
        <f t="shared" si="2"/>
        <v>0</v>
      </c>
      <c r="BJ105" s="338">
        <f t="shared" si="3"/>
        <v>6.6</v>
      </c>
    </row>
    <row r="106" ht="15.75" customHeight="1" hidden="1" spans="1:62" x14ac:dyDescent="0.25">
      <c r="A106" s="114" t="s">
        <v>327</v>
      </c>
      <c r="B106" s="115">
        <v>96</v>
      </c>
      <c r="C106" s="115">
        <v>4.46</v>
      </c>
      <c r="D106" s="117" t="s">
        <v>450</v>
      </c>
      <c r="E106" s="119">
        <f>'2020'!I918</f>
      </c>
      <c r="F106" s="119">
        <f>'2020'!J918</f>
      </c>
      <c r="G106" s="106">
        <f>'2020'!K918</f>
        <v>0</v>
      </c>
      <c r="H106" s="106">
        <f>'2020'!L918</f>
      </c>
      <c r="I106" s="119">
        <f>'2020'!M918</f>
      </c>
      <c r="J106" s="119">
        <f>'2020'!N918</f>
      </c>
      <c r="K106" s="106">
        <f>'2020'!O918</f>
        <v>0</v>
      </c>
      <c r="L106" s="106">
        <f>'2020'!P918</f>
      </c>
      <c r="M106" s="119">
        <f>'2020'!Q918</f>
      </c>
      <c r="N106" s="119">
        <f>'2020'!R918</f>
        <v>0</v>
      </c>
      <c r="O106" s="106">
        <f>'2020'!S918</f>
        <v>0</v>
      </c>
      <c r="P106" s="106">
        <f>'2020'!T918</f>
      </c>
      <c r="Q106" s="119">
        <f>'2020'!U918</f>
      </c>
      <c r="R106" s="119">
        <f>'2020'!V918</f>
        <v>0</v>
      </c>
      <c r="S106" s="106">
        <f>'2020'!W918</f>
        <v>0</v>
      </c>
      <c r="T106" s="106">
        <f>'2020'!X918</f>
      </c>
      <c r="U106" s="119">
        <f>'2020'!Y918</f>
      </c>
      <c r="V106" s="119">
        <f>'2020'!Z918</f>
        <v>0</v>
      </c>
      <c r="W106" s="106">
        <f>'2020'!AA918</f>
        <v>0</v>
      </c>
      <c r="X106" s="106">
        <f>'2020'!AB918</f>
      </c>
      <c r="Y106" s="119">
        <f>'2020'!AC918</f>
      </c>
      <c r="Z106" s="119">
        <f>'2020'!AD918</f>
        <v>0</v>
      </c>
      <c r="AA106" s="106">
        <f>'2020'!AE918</f>
        <v>0</v>
      </c>
      <c r="AB106" s="106">
        <f>'2020'!AF918</f>
      </c>
      <c r="AC106" s="119">
        <f>'2020'!AG918</f>
      </c>
      <c r="AD106" s="119">
        <f>'2020'!AH918</f>
        <v>0</v>
      </c>
      <c r="AE106" s="106">
        <f>'2020'!AI918</f>
        <v>0</v>
      </c>
      <c r="AF106" s="106">
        <f>'2020'!AJ918</f>
      </c>
      <c r="AG106" s="119">
        <f>'2020'!AK918</f>
        <v>0</v>
      </c>
      <c r="AH106" s="119">
        <f>'2020'!AL918</f>
        <v>0</v>
      </c>
      <c r="AI106" s="106">
        <f>'2020'!AM918</f>
        <v>0</v>
      </c>
      <c r="AJ106" s="106">
        <f>'2020'!AN918</f>
      </c>
      <c r="AK106" s="119">
        <f>'2020'!AO918</f>
        <v>0</v>
      </c>
      <c r="AL106" s="119">
        <f>'2020'!AP918</f>
        <v>0</v>
      </c>
      <c r="AM106" s="106">
        <f>'2020'!AQ918</f>
        <v>0</v>
      </c>
      <c r="AN106" s="106">
        <f>'2020'!AR918</f>
      </c>
      <c r="AO106" s="119">
        <f>'2020'!AS918</f>
        <v>0</v>
      </c>
      <c r="AP106" s="119">
        <f>'2020'!AT918</f>
        <v>0</v>
      </c>
      <c r="AQ106" s="106">
        <f>'2020'!AU918</f>
        <v>0</v>
      </c>
      <c r="AR106" s="106">
        <f>'2020'!AV918</f>
      </c>
      <c r="AS106" s="119">
        <f>'2020'!AW918</f>
        <v>0</v>
      </c>
      <c r="AT106" s="119">
        <f>'2020'!AX918</f>
        <v>0</v>
      </c>
      <c r="AU106" s="106">
        <f>'2020'!AY918</f>
        <v>0</v>
      </c>
      <c r="AV106" s="106">
        <f>'2020'!AZ918</f>
      </c>
      <c r="AW106" s="106"/>
      <c r="AX106" s="106">
        <f t="shared" si="0"/>
        <v>0</v>
      </c>
      <c r="AY106" s="119">
        <f>'2020'!BA918</f>
        <v>0</v>
      </c>
      <c r="AZ106" s="119">
        <f>'2020'!BB918</f>
        <v>0</v>
      </c>
      <c r="BA106" s="106">
        <f>'2020'!BC918</f>
        <v>0</v>
      </c>
      <c r="BB106" s="106">
        <f>'2020'!BD918</f>
      </c>
      <c r="BC106" s="106"/>
      <c r="BD106" s="106">
        <f t="shared" si="1"/>
        <v>0</v>
      </c>
      <c r="BE106" s="119">
        <f>'2020'!BE918</f>
        <v>0</v>
      </c>
      <c r="BF106" s="106">
        <f>'2020'!BF918</f>
        <v>0</v>
      </c>
      <c r="BG106" s="106">
        <f>'2020'!BG918</f>
        <v>0</v>
      </c>
      <c r="BH106" s="106">
        <f>'2020'!BH918</f>
        <v>0</v>
      </c>
      <c r="BI106" s="106">
        <f t="shared" si="2"/>
        <v>0</v>
      </c>
      <c r="BJ106" s="338">
        <f t="shared" si="3"/>
        <v>0</v>
      </c>
    </row>
    <row r="107" ht="15.75" customHeight="1" hidden="1" spans="1:62" x14ac:dyDescent="0.25">
      <c r="A107" s="14"/>
      <c r="B107" s="115">
        <v>98</v>
      </c>
      <c r="C107" s="115">
        <v>4.45</v>
      </c>
      <c r="D107" s="117" t="s">
        <v>328</v>
      </c>
      <c r="E107" s="119">
        <f>'2020'!I927</f>
      </c>
      <c r="F107" s="119">
        <f>'2020'!J927</f>
      </c>
      <c r="G107" s="106">
        <f>'2020'!K927</f>
        <v>0</v>
      </c>
      <c r="H107" s="106">
        <f>'2020'!L927</f>
      </c>
      <c r="I107" s="119">
        <f>'2020'!M927</f>
      </c>
      <c r="J107" s="119">
        <f>'2020'!N927</f>
      </c>
      <c r="K107" s="106">
        <f>'2020'!O927</f>
        <v>0</v>
      </c>
      <c r="L107" s="106">
        <f>'2020'!P927</f>
      </c>
      <c r="M107" s="119">
        <f>'2020'!Q927</f>
      </c>
      <c r="N107" s="119">
        <f>'2020'!R927</f>
        <v>0</v>
      </c>
      <c r="O107" s="106">
        <f>'2020'!S927</f>
        <v>0</v>
      </c>
      <c r="P107" s="106">
        <f>'2020'!T927</f>
      </c>
      <c r="Q107" s="119">
        <f>'2020'!U927</f>
      </c>
      <c r="R107" s="119">
        <f>'2020'!V927</f>
        <v>0</v>
      </c>
      <c r="S107" s="106">
        <f>'2020'!W927</f>
        <v>0</v>
      </c>
      <c r="T107" s="106">
        <f>'2020'!X927</f>
      </c>
      <c r="U107" s="119">
        <f>'2020'!Y927</f>
      </c>
      <c r="V107" s="119">
        <f>'2020'!Z927</f>
        <v>0</v>
      </c>
      <c r="W107" s="106">
        <f>'2020'!AA927</f>
        <v>0</v>
      </c>
      <c r="X107" s="106">
        <f>'2020'!AB927</f>
      </c>
      <c r="Y107" s="119">
        <f>'2020'!AC927</f>
      </c>
      <c r="Z107" s="119">
        <f>'2020'!AD927</f>
        <v>0</v>
      </c>
      <c r="AA107" s="106">
        <f>'2020'!AE927</f>
        <v>0</v>
      </c>
      <c r="AB107" s="106">
        <f>'2020'!AF927</f>
      </c>
      <c r="AC107" s="119">
        <f>'2020'!AG927</f>
      </c>
      <c r="AD107" s="119">
        <f>'2020'!AH927</f>
        <v>0</v>
      </c>
      <c r="AE107" s="106">
        <f>'2020'!AI927</f>
        <v>0</v>
      </c>
      <c r="AF107" s="106">
        <f>'2020'!AJ927</f>
      </c>
      <c r="AG107" s="119">
        <f>'2020'!AK927</f>
        <v>0</v>
      </c>
      <c r="AH107" s="119">
        <f>'2020'!AL927</f>
        <v>0</v>
      </c>
      <c r="AI107" s="106">
        <f>'2020'!AM927</f>
        <v>0</v>
      </c>
      <c r="AJ107" s="106">
        <f>'2020'!AN927</f>
      </c>
      <c r="AK107" s="119">
        <f>'2020'!AO927</f>
        <v>0</v>
      </c>
      <c r="AL107" s="119">
        <f>'2020'!AP927</f>
        <v>0</v>
      </c>
      <c r="AM107" s="106">
        <f>'2020'!AQ927</f>
        <v>0</v>
      </c>
      <c r="AN107" s="106">
        <f>'2020'!AR927</f>
      </c>
      <c r="AO107" s="119">
        <f>'2020'!AS927</f>
        <v>0</v>
      </c>
      <c r="AP107" s="119">
        <f>'2020'!AT927</f>
        <v>0</v>
      </c>
      <c r="AQ107" s="106">
        <f>'2020'!AU927</f>
        <v>0</v>
      </c>
      <c r="AR107" s="106">
        <f>'2020'!AV927</f>
      </c>
      <c r="AS107" s="119">
        <f>'2020'!AW927</f>
        <v>0</v>
      </c>
      <c r="AT107" s="119">
        <f>'2020'!AX927</f>
        <v>0</v>
      </c>
      <c r="AU107" s="106">
        <f>'2020'!AY927</f>
        <v>0</v>
      </c>
      <c r="AV107" s="106">
        <f>'2020'!AZ927</f>
      </c>
      <c r="AW107" s="106"/>
      <c r="AX107" s="106">
        <f t="shared" si="0"/>
        <v>0</v>
      </c>
      <c r="AY107" s="119">
        <f>'2020'!BA927</f>
        <v>0</v>
      </c>
      <c r="AZ107" s="119">
        <f>'2020'!BB927</f>
        <v>0</v>
      </c>
      <c r="BA107" s="106">
        <f>'2020'!BC927</f>
        <v>0</v>
      </c>
      <c r="BB107" s="106">
        <f>'2020'!BD927</f>
      </c>
      <c r="BC107" s="106"/>
      <c r="BD107" s="106">
        <f t="shared" si="1"/>
        <v>0</v>
      </c>
      <c r="BE107" s="119">
        <f>'2020'!BE927</f>
        <v>0</v>
      </c>
      <c r="BF107" s="106">
        <f>'2020'!BF927</f>
        <v>0</v>
      </c>
      <c r="BG107" s="106">
        <f>'2020'!BG927</f>
        <v>0</v>
      </c>
      <c r="BH107" s="106">
        <f>'2020'!BH927</f>
        <v>0</v>
      </c>
      <c r="BI107" s="106">
        <f t="shared" si="2"/>
        <v>0</v>
      </c>
      <c r="BJ107" s="338">
        <f t="shared" si="3"/>
        <v>0</v>
      </c>
    </row>
    <row r="108" ht="15.75" customHeight="1" hidden="1" spans="1:62" x14ac:dyDescent="0.25">
      <c r="A108" s="14"/>
      <c r="B108" s="115">
        <v>100</v>
      </c>
      <c r="C108" s="115">
        <v>4.47</v>
      </c>
      <c r="D108" s="117" t="s">
        <v>330</v>
      </c>
      <c r="E108" s="119">
        <f>'2020'!I936</f>
        <v>425</v>
      </c>
      <c r="F108" s="119">
        <f>'2020'!J936</f>
        <v>0</v>
      </c>
      <c r="G108" s="106">
        <f>'2020'!K936</f>
        <v>0</v>
      </c>
      <c r="H108" s="106">
        <f>'2020'!L936</f>
      </c>
      <c r="I108" s="119">
        <f>'2020'!M936</f>
        <v>425</v>
      </c>
      <c r="J108" s="119">
        <f>'2020'!N936</f>
        <v>0</v>
      </c>
      <c r="K108" s="106">
        <f>'2020'!O936</f>
        <v>0</v>
      </c>
      <c r="L108" s="106">
        <f>'2020'!P936</f>
        <v>82.5</v>
      </c>
      <c r="M108" s="119">
        <f>'2020'!Q936</f>
        <v>449</v>
      </c>
      <c r="N108" s="119">
        <f>'2020'!R936</f>
        <v>24</v>
      </c>
      <c r="O108" s="106">
        <f>'2020'!S936</f>
        <v>60</v>
      </c>
      <c r="P108" s="106">
        <f>'2020'!T936</f>
      </c>
      <c r="Q108" s="119">
        <f>'2020'!U936</f>
        <v>473</v>
      </c>
      <c r="R108" s="119">
        <f>'2020'!V936</f>
        <v>24</v>
      </c>
      <c r="S108" s="106">
        <f>'2020'!W936</f>
        <v>60</v>
      </c>
      <c r="T108" s="106">
        <f>'2020'!X936</f>
      </c>
      <c r="U108" s="119">
        <f>'2020'!Y936</f>
        <v>510</v>
      </c>
      <c r="V108" s="119">
        <f>'2020'!Z936</f>
        <v>37</v>
      </c>
      <c r="W108" s="106">
        <f>'2020'!AA936</f>
        <v>92.5</v>
      </c>
      <c r="X108" s="106">
        <f>'2020'!AB936</f>
      </c>
      <c r="Y108" s="119">
        <f>'2020'!AC936</f>
        <v>552</v>
      </c>
      <c r="Z108" s="119">
        <f>'2020'!AD936</f>
        <v>42</v>
      </c>
      <c r="AA108" s="106">
        <f>'2020'!AE936</f>
        <v>105</v>
      </c>
      <c r="AB108" s="106">
        <f>'2020'!AF936</f>
        <v>317.5</v>
      </c>
      <c r="AC108" s="119">
        <f>'2020'!AG936</f>
        <v>574</v>
      </c>
      <c r="AD108" s="119">
        <f>'2020'!AH936</f>
        <v>22</v>
      </c>
      <c r="AE108" s="106">
        <f>'2020'!AI936</f>
        <v>57.2</v>
      </c>
      <c r="AF108" s="106">
        <f>'2020'!AJ936</f>
      </c>
      <c r="AG108" s="119">
        <f>'2020'!AK936</f>
        <v>615</v>
      </c>
      <c r="AH108" s="119">
        <f>'2020'!AL936</f>
        <v>41</v>
      </c>
      <c r="AI108" s="106">
        <f>'2020'!AM936</f>
        <v>106.6</v>
      </c>
      <c r="AJ108" s="106">
        <f>'2020'!AN936</f>
      </c>
      <c r="AK108" s="119">
        <f>'2020'!AO936</f>
        <v>666</v>
      </c>
      <c r="AL108" s="119">
        <f>'2020'!AP936</f>
        <v>51</v>
      </c>
      <c r="AM108" s="106">
        <f>'2020'!AQ936</f>
        <v>132.6</v>
      </c>
      <c r="AN108" s="106">
        <f>'2020'!AR936</f>
        <v>163.8</v>
      </c>
      <c r="AO108" s="119">
        <f>'2020'!AS936</f>
        <v>746</v>
      </c>
      <c r="AP108" s="119">
        <f>'2020'!AT936</f>
        <v>80</v>
      </c>
      <c r="AQ108" s="106">
        <f>'2020'!AU936</f>
        <v>208</v>
      </c>
      <c r="AR108" s="106">
        <f>'2020'!AV936</f>
      </c>
      <c r="AS108" s="119">
        <f>'2020'!AW936</f>
        <v>746</v>
      </c>
      <c r="AT108" s="119">
        <f>'2020'!AX936</f>
        <v>0</v>
      </c>
      <c r="AU108" s="106">
        <f>'2020'!AY936</f>
        <v>0</v>
      </c>
      <c r="AV108" s="106">
        <f>'2020'!AZ936</f>
      </c>
      <c r="AW108" s="106"/>
      <c r="AX108" s="106">
        <f t="shared" si="0"/>
        <v>0</v>
      </c>
      <c r="AY108" s="119">
        <f>'2020'!BA936</f>
        <v>746</v>
      </c>
      <c r="AZ108" s="119">
        <f>'2020'!BB936</f>
        <v>0</v>
      </c>
      <c r="BA108" s="106">
        <f>'2020'!BC936</f>
        <v>0</v>
      </c>
      <c r="BB108" s="106">
        <f>'2020'!BD936</f>
      </c>
      <c r="BC108" s="106"/>
      <c r="BD108" s="106">
        <f t="shared" si="1"/>
        <v>0</v>
      </c>
      <c r="BE108" s="119">
        <f>'2020'!BE936</f>
        <v>321</v>
      </c>
      <c r="BF108" s="106">
        <f>'2020'!BF936</f>
        <v>821.9</v>
      </c>
      <c r="BG108" s="106">
        <f>'2020'!BG936</f>
        <v>563.8</v>
      </c>
      <c r="BH108" s="106">
        <f>'2020'!BH936</f>
        <v>340.6</v>
      </c>
      <c r="BI108" s="106">
        <f t="shared" si="2"/>
        <v>0</v>
      </c>
      <c r="BJ108" s="338">
        <f t="shared" si="3"/>
        <v>340.6</v>
      </c>
    </row>
    <row r="109" ht="15.75" customHeight="1" spans="1:62" x14ac:dyDescent="0.25">
      <c r="A109" s="14"/>
      <c r="B109" s="125">
        <v>102</v>
      </c>
      <c r="C109" s="115">
        <v>4.45</v>
      </c>
      <c r="D109" s="117" t="s">
        <v>331</v>
      </c>
      <c r="E109" s="119">
        <f>'2020'!I945</f>
        <v>1665</v>
      </c>
      <c r="F109" s="119">
        <f>'2020'!J945</f>
        <v>15</v>
      </c>
      <c r="G109" s="106">
        <f>'2020'!K945</f>
        <v>37.5</v>
      </c>
      <c r="H109" s="106">
        <f>'2020'!L945</f>
      </c>
      <c r="I109" s="119">
        <f>'2020'!M945</f>
        <v>1705</v>
      </c>
      <c r="J109" s="119">
        <f>'2020'!N945</f>
        <v>40</v>
      </c>
      <c r="K109" s="106">
        <f>'2020'!O945</f>
        <v>100</v>
      </c>
      <c r="L109" s="106">
        <f>'2020'!P945</f>
      </c>
      <c r="M109" s="119">
        <f>'2020'!Q945</f>
        <v>1705</v>
      </c>
      <c r="N109" s="119">
        <f>'2020'!R945</f>
        <v>0</v>
      </c>
      <c r="O109" s="106">
        <f>'2020'!S945</f>
        <v>0</v>
      </c>
      <c r="P109" s="106">
        <f>'2020'!T945</f>
      </c>
      <c r="Q109" s="119">
        <f>'2020'!U945</f>
        <v>1756</v>
      </c>
      <c r="R109" s="119">
        <f>'2020'!V945</f>
        <v>51</v>
      </c>
      <c r="S109" s="106">
        <f>'2020'!W945</f>
        <v>127.5</v>
      </c>
      <c r="T109" s="106">
        <f>'2020'!X945</f>
      </c>
      <c r="U109" s="119">
        <f>'2020'!Y945</f>
        <v>1834</v>
      </c>
      <c r="V109" s="119">
        <f>'2020'!Z945</f>
        <v>78</v>
      </c>
      <c r="W109" s="106">
        <f>'2020'!AA945</f>
        <v>195</v>
      </c>
      <c r="X109" s="106">
        <f>'2020'!AB945</f>
      </c>
      <c r="Y109" s="119">
        <f>'2020'!AC945</f>
        <v>1904</v>
      </c>
      <c r="Z109" s="119">
        <f>'2020'!AD945</f>
        <v>70</v>
      </c>
      <c r="AA109" s="106">
        <f>'2020'!AE945</f>
        <v>175</v>
      </c>
      <c r="AB109" s="106">
        <f>'2020'!AF945</f>
      </c>
      <c r="AC109" s="119">
        <f>'2020'!AG945</f>
        <v>1967</v>
      </c>
      <c r="AD109" s="119">
        <f>'2020'!AH945</f>
        <v>63</v>
      </c>
      <c r="AE109" s="106">
        <f>'2020'!AI945</f>
        <v>163.8</v>
      </c>
      <c r="AF109" s="106">
        <f>'2020'!AJ945</f>
      </c>
      <c r="AG109" s="119">
        <f>'2020'!AK945</f>
        <v>2042</v>
      </c>
      <c r="AH109" s="119">
        <f>'2020'!AL945</f>
        <v>75</v>
      </c>
      <c r="AI109" s="106">
        <f>'2020'!AM945</f>
        <v>195</v>
      </c>
      <c r="AJ109" s="106">
        <f>'2020'!AN945</f>
      </c>
      <c r="AK109" s="119">
        <f>'2020'!AO945</f>
        <v>2105</v>
      </c>
      <c r="AL109" s="119">
        <f>'2020'!AP945</f>
        <v>63</v>
      </c>
      <c r="AM109" s="106">
        <f>'2020'!AQ945</f>
        <v>163.8</v>
      </c>
      <c r="AN109" s="106">
        <f>'2020'!AR945</f>
        <v>1105</v>
      </c>
      <c r="AO109" s="119">
        <f>'2020'!AS945</f>
        <v>2163</v>
      </c>
      <c r="AP109" s="119">
        <f>'2020'!AT945</f>
        <v>58</v>
      </c>
      <c r="AQ109" s="106">
        <f>'2020'!AU945</f>
        <v>150.8</v>
      </c>
      <c r="AR109" s="106">
        <f>'2020'!AV945</f>
      </c>
      <c r="AS109" s="126">
        <f>'2020'!AW945</f>
        <v>2165</v>
      </c>
      <c r="AT109" s="119">
        <f>'2020'!AX945</f>
        <v>2</v>
      </c>
      <c r="AU109" s="106">
        <f>'2020'!AY945</f>
        <v>5.2</v>
      </c>
      <c r="AV109" s="106">
        <f>'2020'!AZ945</f>
      </c>
      <c r="AW109" s="119"/>
      <c r="AX109" s="106">
        <f t="shared" si="0"/>
        <v>0</v>
      </c>
      <c r="AY109" s="119">
        <f>'2020'!BA945</f>
        <v>2165</v>
      </c>
      <c r="AZ109" s="119">
        <f>'2020'!BB945</f>
        <v>0</v>
      </c>
      <c r="BA109" s="106">
        <f>'2020'!BC945</f>
        <v>0</v>
      </c>
      <c r="BB109" s="106">
        <f>'2020'!BD945</f>
      </c>
      <c r="BC109" s="106"/>
      <c r="BD109" s="106">
        <f t="shared" si="1"/>
        <v>0</v>
      </c>
      <c r="BE109" s="119">
        <f>'2020'!BE945</f>
        <v>515</v>
      </c>
      <c r="BF109" s="106">
        <f>'2020'!BF945</f>
        <v>1313.6</v>
      </c>
      <c r="BG109" s="106">
        <f>'2020'!BG945</f>
        <v>1105</v>
      </c>
      <c r="BH109" s="106">
        <f>'2020'!BH945</f>
        <v>203.6</v>
      </c>
      <c r="BI109" s="106">
        <f t="shared" si="2"/>
        <v>0</v>
      </c>
      <c r="BJ109" s="338">
        <f t="shared" si="3"/>
        <v>203.6</v>
      </c>
    </row>
    <row r="110" ht="15.75" customHeight="1" hidden="1" spans="1:62" x14ac:dyDescent="0.25">
      <c r="A110" s="14"/>
      <c r="B110" s="118">
        <v>104</v>
      </c>
      <c r="C110" s="115">
        <v>4.42</v>
      </c>
      <c r="D110" s="117" t="s">
        <v>333</v>
      </c>
      <c r="E110" s="119">
        <f>'2020'!I954</f>
        <v>877</v>
      </c>
      <c r="F110" s="119">
        <f>'2020'!J954</f>
        <v>0</v>
      </c>
      <c r="G110" s="106">
        <f>'2020'!K954</f>
        <v>0</v>
      </c>
      <c r="H110" s="106">
        <f>'2020'!L954</f>
      </c>
      <c r="I110" s="119">
        <f>'2020'!M954</f>
        <v>877</v>
      </c>
      <c r="J110" s="119">
        <f>'2020'!N954</f>
        <v>0</v>
      </c>
      <c r="K110" s="106">
        <f>'2020'!O954</f>
        <v>0</v>
      </c>
      <c r="L110" s="106">
        <f>'2020'!P954</f>
      </c>
      <c r="M110" s="119">
        <f>'2020'!Q954</f>
        <v>877</v>
      </c>
      <c r="N110" s="119">
        <f>'2020'!R954</f>
        <v>0</v>
      </c>
      <c r="O110" s="106">
        <f>'2020'!S954</f>
        <v>0</v>
      </c>
      <c r="P110" s="106">
        <f>'2020'!T954</f>
      </c>
      <c r="Q110" s="119">
        <f>'2020'!U954</f>
        <v>888</v>
      </c>
      <c r="R110" s="119">
        <f>'2020'!V954</f>
        <v>11</v>
      </c>
      <c r="S110" s="106">
        <f>'2020'!W954</f>
        <v>27.5</v>
      </c>
      <c r="T110" s="106">
        <f>'2020'!X954</f>
      </c>
      <c r="U110" s="119">
        <f>'2020'!Y954</f>
        <v>930</v>
      </c>
      <c r="V110" s="119">
        <f>'2020'!Z954</f>
        <v>42</v>
      </c>
      <c r="W110" s="106">
        <f>'2020'!AA954</f>
        <v>105</v>
      </c>
      <c r="X110" s="106">
        <f>'2020'!AB954</f>
      </c>
      <c r="Y110" s="119">
        <f>'2020'!AC954</f>
        <v>983</v>
      </c>
      <c r="Z110" s="119">
        <f>'2020'!AD954</f>
        <v>53</v>
      </c>
      <c r="AA110" s="106">
        <f>'2020'!AE954</f>
        <v>132.5</v>
      </c>
      <c r="AB110" s="106">
        <f>'2020'!AF954</f>
        <v>154</v>
      </c>
      <c r="AC110" s="119">
        <f>'2020'!AG954</f>
        <v>1036</v>
      </c>
      <c r="AD110" s="119">
        <f>'2020'!AH954</f>
        <v>53</v>
      </c>
      <c r="AE110" s="106">
        <f>'2020'!AI954</f>
        <v>137.8</v>
      </c>
      <c r="AF110" s="106">
        <f>'2020'!AJ954</f>
        <v>262.9</v>
      </c>
      <c r="AG110" s="119">
        <f>'2020'!AK954</f>
        <v>1101</v>
      </c>
      <c r="AH110" s="119">
        <f>'2020'!AL954</f>
        <v>65</v>
      </c>
      <c r="AI110" s="106">
        <f>'2020'!AM954</f>
        <v>169</v>
      </c>
      <c r="AJ110" s="106">
        <f>'2020'!AN954</f>
      </c>
      <c r="AK110" s="119">
        <f>'2020'!AO954</f>
        <v>1119</v>
      </c>
      <c r="AL110" s="119">
        <f>'2020'!AP954</f>
        <v>18</v>
      </c>
      <c r="AM110" s="106">
        <f>'2020'!AQ954</f>
        <v>46.8</v>
      </c>
      <c r="AN110" s="106">
        <f>'2020'!AR954</f>
      </c>
      <c r="AO110" s="119">
        <f>'2020'!AS954</f>
        <v>1140</v>
      </c>
      <c r="AP110" s="119">
        <f>'2020'!AT954</f>
        <v>21</v>
      </c>
      <c r="AQ110" s="106">
        <f>'2020'!AU954</f>
        <v>54.6</v>
      </c>
      <c r="AR110" s="106">
        <f>'2020'!AV954</f>
      </c>
      <c r="AS110" s="119">
        <f>'2020'!AW954</f>
        <v>1140</v>
      </c>
      <c r="AT110" s="119">
        <f>'2020'!AX954</f>
        <v>0</v>
      </c>
      <c r="AU110" s="106">
        <f>'2020'!AY954</f>
        <v>0</v>
      </c>
      <c r="AV110" s="106">
        <f>'2020'!AZ954</f>
        <v>281.62</v>
      </c>
      <c r="AW110" s="106"/>
      <c r="AX110" s="106">
        <f t="shared" si="0"/>
        <v>0</v>
      </c>
      <c r="AY110" s="119">
        <f>'2020'!BA954</f>
        <v>1140</v>
      </c>
      <c r="AZ110" s="119">
        <f>'2020'!BB954</f>
        <v>0</v>
      </c>
      <c r="BA110" s="106">
        <f>'2020'!BC954</f>
        <v>0</v>
      </c>
      <c r="BB110" s="106">
        <f>'2020'!BD954</f>
      </c>
      <c r="BC110" s="106"/>
      <c r="BD110" s="106">
        <f t="shared" si="1"/>
        <v>0</v>
      </c>
      <c r="BE110" s="119">
        <f>'2020'!BE954</f>
        <v>263</v>
      </c>
      <c r="BF110" s="106">
        <f>'2020'!BF954</f>
        <v>673.2</v>
      </c>
      <c r="BG110" s="106">
        <f>'2020'!BG954</f>
        <v>698.52</v>
      </c>
      <c r="BH110" s="106">
        <f>'2020'!BH954</f>
        <v>-4.04</v>
      </c>
      <c r="BI110" s="106">
        <f t="shared" si="2"/>
        <v>0</v>
      </c>
      <c r="BJ110" s="338">
        <f t="shared" si="3"/>
        <v>-4.04</v>
      </c>
    </row>
    <row r="111" ht="15.75" customHeight="1" hidden="1" spans="1:62" x14ac:dyDescent="0.25">
      <c r="A111" s="14"/>
      <c r="B111" s="115">
        <v>106</v>
      </c>
      <c r="C111" s="115">
        <v>4.57</v>
      </c>
      <c r="D111" s="117" t="s">
        <v>336</v>
      </c>
      <c r="E111" s="119">
        <f>'2020'!I963</f>
      </c>
      <c r="F111" s="119">
        <f>'2020'!J963</f>
      </c>
      <c r="G111" s="106">
        <f>'2020'!K963</f>
        <v>0</v>
      </c>
      <c r="H111" s="106">
        <f>'2020'!L963</f>
      </c>
      <c r="I111" s="119">
        <f>'2020'!M963</f>
      </c>
      <c r="J111" s="119">
        <f>'2020'!N963</f>
      </c>
      <c r="K111" s="106">
        <f>'2020'!O963</f>
        <v>0</v>
      </c>
      <c r="L111" s="106">
        <f>'2020'!P963</f>
      </c>
      <c r="M111" s="119">
        <f>'2020'!Q963</f>
      </c>
      <c r="N111" s="119">
        <f>'2020'!R963</f>
        <v>0</v>
      </c>
      <c r="O111" s="106">
        <f>'2020'!S963</f>
        <v>0</v>
      </c>
      <c r="P111" s="106">
        <f>'2020'!T963</f>
      </c>
      <c r="Q111" s="119">
        <f>'2020'!U963</f>
      </c>
      <c r="R111" s="119">
        <f>'2020'!V963</f>
        <v>0</v>
      </c>
      <c r="S111" s="106">
        <f>'2020'!W963</f>
        <v>0</v>
      </c>
      <c r="T111" s="106">
        <f>'2020'!X963</f>
      </c>
      <c r="U111" s="119">
        <f>'2020'!Y963</f>
      </c>
      <c r="V111" s="119">
        <f>'2020'!Z963</f>
        <v>0</v>
      </c>
      <c r="W111" s="106">
        <f>'2020'!AA963</f>
        <v>0</v>
      </c>
      <c r="X111" s="106">
        <f>'2020'!AB963</f>
      </c>
      <c r="Y111" s="119">
        <f>'2020'!AC963</f>
      </c>
      <c r="Z111" s="119">
        <f>'2020'!AD963</f>
        <v>0</v>
      </c>
      <c r="AA111" s="106">
        <f>'2020'!AE963</f>
        <v>0</v>
      </c>
      <c r="AB111" s="106">
        <f>'2020'!AF963</f>
      </c>
      <c r="AC111" s="119">
        <f>'2020'!AG963</f>
      </c>
      <c r="AD111" s="119">
        <f>'2020'!AH963</f>
        <v>0</v>
      </c>
      <c r="AE111" s="106">
        <f>'2020'!AI963</f>
        <v>0</v>
      </c>
      <c r="AF111" s="106">
        <f>'2020'!AJ963</f>
      </c>
      <c r="AG111" s="119">
        <f>'2020'!AK963</f>
        <v>0</v>
      </c>
      <c r="AH111" s="119">
        <f>'2020'!AL963</f>
        <v>0</v>
      </c>
      <c r="AI111" s="106">
        <f>'2020'!AM963</f>
        <v>0</v>
      </c>
      <c r="AJ111" s="106">
        <f>'2020'!AN963</f>
      </c>
      <c r="AK111" s="119">
        <f>'2020'!AO963</f>
        <v>0</v>
      </c>
      <c r="AL111" s="119">
        <f>'2020'!AP963</f>
        <v>0</v>
      </c>
      <c r="AM111" s="106">
        <f>'2020'!AQ963</f>
        <v>0</v>
      </c>
      <c r="AN111" s="106">
        <f>'2020'!AR963</f>
      </c>
      <c r="AO111" s="119">
        <f>'2020'!AS963</f>
        <v>0</v>
      </c>
      <c r="AP111" s="119">
        <f>'2020'!AT963</f>
        <v>0</v>
      </c>
      <c r="AQ111" s="106">
        <f>'2020'!AU963</f>
        <v>0</v>
      </c>
      <c r="AR111" s="106">
        <f>'2020'!AV963</f>
      </c>
      <c r="AS111" s="119">
        <f>'2020'!AW963</f>
        <v>0</v>
      </c>
      <c r="AT111" s="119">
        <f>'2020'!AX963</f>
        <v>0</v>
      </c>
      <c r="AU111" s="106">
        <f>'2020'!AY963</f>
        <v>0</v>
      </c>
      <c r="AV111" s="106">
        <f>'2020'!AZ963</f>
      </c>
      <c r="AW111" s="106"/>
      <c r="AX111" s="106">
        <f t="shared" si="0"/>
        <v>0</v>
      </c>
      <c r="AY111" s="119">
        <f>'2020'!BA963</f>
        <v>0</v>
      </c>
      <c r="AZ111" s="119">
        <f>'2020'!BB963</f>
        <v>0</v>
      </c>
      <c r="BA111" s="106">
        <f>'2020'!BC963</f>
        <v>0</v>
      </c>
      <c r="BB111" s="106">
        <f>'2020'!BD963</f>
      </c>
      <c r="BC111" s="106"/>
      <c r="BD111" s="106">
        <f t="shared" si="1"/>
        <v>0</v>
      </c>
      <c r="BE111" s="119">
        <f>'2020'!BE963</f>
        <v>0</v>
      </c>
      <c r="BF111" s="106">
        <f>'2020'!BF963</f>
        <v>0</v>
      </c>
      <c r="BG111" s="106">
        <f>'2020'!BG963</f>
        <v>0</v>
      </c>
      <c r="BH111" s="106">
        <f>'2020'!BH963</f>
        <v>0</v>
      </c>
      <c r="BI111" s="106">
        <f t="shared" si="2"/>
        <v>0</v>
      </c>
      <c r="BJ111" s="338">
        <f t="shared" si="3"/>
        <v>0</v>
      </c>
    </row>
    <row r="112" ht="15.75" customHeight="1" hidden="1" spans="1:62" x14ac:dyDescent="0.25">
      <c r="A112" s="14"/>
      <c r="B112" s="115">
        <v>108</v>
      </c>
      <c r="C112" s="115">
        <v>4.32</v>
      </c>
      <c r="D112" s="117" t="s">
        <v>339</v>
      </c>
      <c r="E112" s="119">
        <f>'2020'!I972</f>
      </c>
      <c r="F112" s="119">
        <f>'2020'!J972</f>
      </c>
      <c r="G112" s="106">
        <f>'2020'!K972</f>
        <v>0</v>
      </c>
      <c r="H112" s="106">
        <f>'2020'!L972</f>
      </c>
      <c r="I112" s="119">
        <f>'2020'!M972</f>
      </c>
      <c r="J112" s="119">
        <f>'2020'!N972</f>
      </c>
      <c r="K112" s="106">
        <f>'2020'!O972</f>
        <v>0</v>
      </c>
      <c r="L112" s="106">
        <f>'2020'!P972</f>
      </c>
      <c r="M112" s="119">
        <f>'2020'!Q972</f>
      </c>
      <c r="N112" s="119">
        <f>'2020'!R972</f>
        <v>0</v>
      </c>
      <c r="O112" s="106">
        <f>'2020'!S972</f>
        <v>0</v>
      </c>
      <c r="P112" s="106">
        <f>'2020'!T972</f>
      </c>
      <c r="Q112" s="119">
        <f>'2020'!U972</f>
      </c>
      <c r="R112" s="119">
        <f>'2020'!V972</f>
        <v>0</v>
      </c>
      <c r="S112" s="106">
        <f>'2020'!W972</f>
        <v>0</v>
      </c>
      <c r="T112" s="106">
        <f>'2020'!X972</f>
      </c>
      <c r="U112" s="119">
        <f>'2020'!Y972</f>
      </c>
      <c r="V112" s="119">
        <f>'2020'!Z972</f>
        <v>0</v>
      </c>
      <c r="W112" s="106">
        <f>'2020'!AA972</f>
        <v>0</v>
      </c>
      <c r="X112" s="106">
        <f>'2020'!AB972</f>
      </c>
      <c r="Y112" s="119">
        <f>'2020'!AC972</f>
      </c>
      <c r="Z112" s="119">
        <f>'2020'!AD972</f>
        <v>0</v>
      </c>
      <c r="AA112" s="106">
        <f>'2020'!AE972</f>
        <v>0</v>
      </c>
      <c r="AB112" s="106">
        <f>'2020'!AF972</f>
      </c>
      <c r="AC112" s="119">
        <f>'2020'!AG972</f>
      </c>
      <c r="AD112" s="119">
        <f>'2020'!AH972</f>
        <v>0</v>
      </c>
      <c r="AE112" s="106">
        <f>'2020'!AI972</f>
        <v>0</v>
      </c>
      <c r="AF112" s="106">
        <f>'2020'!AJ972</f>
      </c>
      <c r="AG112" s="119">
        <f>'2020'!AK972</f>
        <v>0</v>
      </c>
      <c r="AH112" s="119">
        <f>'2020'!AL972</f>
        <v>0</v>
      </c>
      <c r="AI112" s="106">
        <f>'2020'!AM972</f>
        <v>0</v>
      </c>
      <c r="AJ112" s="106">
        <f>'2020'!AN972</f>
      </c>
      <c r="AK112" s="119">
        <f>'2020'!AO972</f>
        <v>0</v>
      </c>
      <c r="AL112" s="119">
        <f>'2020'!AP972</f>
        <v>0</v>
      </c>
      <c r="AM112" s="106">
        <f>'2020'!AQ972</f>
        <v>0</v>
      </c>
      <c r="AN112" s="106">
        <f>'2020'!AR972</f>
      </c>
      <c r="AO112" s="119">
        <f>'2020'!AS972</f>
        <v>0</v>
      </c>
      <c r="AP112" s="119">
        <f>'2020'!AT972</f>
        <v>0</v>
      </c>
      <c r="AQ112" s="106">
        <f>'2020'!AU972</f>
        <v>0</v>
      </c>
      <c r="AR112" s="106">
        <f>'2020'!AV972</f>
      </c>
      <c r="AS112" s="119">
        <f>'2020'!AW972</f>
        <v>0</v>
      </c>
      <c r="AT112" s="119">
        <f>'2020'!AX972</f>
        <v>0</v>
      </c>
      <c r="AU112" s="106">
        <f>'2020'!AY972</f>
        <v>0</v>
      </c>
      <c r="AV112" s="106">
        <f>'2020'!AZ972</f>
      </c>
      <c r="AW112" s="106"/>
      <c r="AX112" s="106">
        <f t="shared" si="0"/>
        <v>0</v>
      </c>
      <c r="AY112" s="119">
        <f>'2020'!BA972</f>
        <v>0</v>
      </c>
      <c r="AZ112" s="119">
        <f>'2020'!BB972</f>
        <v>0</v>
      </c>
      <c r="BA112" s="106">
        <f>'2020'!BC972</f>
        <v>0</v>
      </c>
      <c r="BB112" s="106">
        <f>'2020'!BD972</f>
      </c>
      <c r="BC112" s="106"/>
      <c r="BD112" s="106">
        <f t="shared" si="1"/>
        <v>0</v>
      </c>
      <c r="BE112" s="119">
        <f>'2020'!BE972</f>
        <v>0</v>
      </c>
      <c r="BF112" s="106">
        <f>'2020'!BF972</f>
        <v>0</v>
      </c>
      <c r="BG112" s="106">
        <f>'2020'!BG972</f>
        <v>0</v>
      </c>
      <c r="BH112" s="106">
        <f>'2020'!BH972</f>
        <v>0</v>
      </c>
      <c r="BI112" s="106">
        <f t="shared" si="2"/>
        <v>0</v>
      </c>
      <c r="BJ112" s="338">
        <f t="shared" si="3"/>
        <v>0</v>
      </c>
    </row>
    <row r="113" ht="15.75" customHeight="1" hidden="1" spans="1:62" x14ac:dyDescent="0.25">
      <c r="A113" s="14"/>
      <c r="B113" s="115">
        <v>109</v>
      </c>
      <c r="C113" s="115">
        <v>6.22</v>
      </c>
      <c r="D113" s="2" t="s">
        <v>455</v>
      </c>
      <c r="E113" s="119">
        <f>'2020'!I981</f>
        <v>35</v>
      </c>
      <c r="F113" s="119">
        <f>'2020'!J981</f>
      </c>
      <c r="G113" s="106">
        <f>'2020'!K981</f>
        <v>0</v>
      </c>
      <c r="H113" s="106">
        <f>'2020'!L981</f>
      </c>
      <c r="I113" s="119">
        <f>'2020'!M981</f>
        <v>35</v>
      </c>
      <c r="J113" s="119">
        <f>'2020'!N981</f>
        <v>0</v>
      </c>
      <c r="K113" s="106">
        <f>'2020'!O981</f>
        <v>0</v>
      </c>
      <c r="L113" s="106">
        <f>'2020'!P981</f>
      </c>
      <c r="M113" s="119">
        <f>'2020'!Q981</f>
        <v>35</v>
      </c>
      <c r="N113" s="119">
        <f>'2020'!R981</f>
        <v>0</v>
      </c>
      <c r="O113" s="106">
        <f>'2020'!S981</f>
        <v>0</v>
      </c>
      <c r="P113" s="106">
        <f>'2020'!T981</f>
      </c>
      <c r="Q113" s="119">
        <f>'2020'!U981</f>
        <v>35</v>
      </c>
      <c r="R113" s="119">
        <f>'2020'!V981</f>
        <v>0</v>
      </c>
      <c r="S113" s="106">
        <f>'2020'!W981</f>
        <v>0</v>
      </c>
      <c r="T113" s="106">
        <f>'2020'!X981</f>
      </c>
      <c r="U113" s="119">
        <f>'2020'!Y981</f>
        <v>37</v>
      </c>
      <c r="V113" s="119">
        <f>'2020'!Z981</f>
        <v>2</v>
      </c>
      <c r="W113" s="106">
        <f>'2020'!AA981</f>
        <v>5</v>
      </c>
      <c r="X113" s="106">
        <f>'2020'!AB981</f>
      </c>
      <c r="Y113" s="119">
        <f>'2020'!AC981</f>
        <v>39</v>
      </c>
      <c r="Z113" s="119">
        <f>'2020'!AD981</f>
        <v>2</v>
      </c>
      <c r="AA113" s="106">
        <f>'2020'!AE981</f>
        <v>5</v>
      </c>
      <c r="AB113" s="106">
        <f>'2020'!AF981</f>
      </c>
      <c r="AC113" s="119">
        <f>'2020'!AG981</f>
        <v>40</v>
      </c>
      <c r="AD113" s="119">
        <f>'2020'!AH981</f>
        <v>1</v>
      </c>
      <c r="AE113" s="106">
        <f>'2020'!AI981</f>
        <v>2.6</v>
      </c>
      <c r="AF113" s="106">
        <f>'2020'!AJ981</f>
      </c>
      <c r="AG113" s="119">
        <f>'2020'!AK981</f>
        <v>41</v>
      </c>
      <c r="AH113" s="119">
        <f>'2020'!AL981</f>
        <v>1</v>
      </c>
      <c r="AI113" s="106">
        <f>'2020'!AM981</f>
        <v>2.6</v>
      </c>
      <c r="AJ113" s="106">
        <f>'2020'!AN981</f>
      </c>
      <c r="AK113" s="119">
        <f>'2020'!AO981</f>
        <v>41</v>
      </c>
      <c r="AL113" s="119">
        <f>'2020'!AP981</f>
        <v>0</v>
      </c>
      <c r="AM113" s="106">
        <f>'2020'!AQ981</f>
        <v>0</v>
      </c>
      <c r="AN113" s="106">
        <f>'2020'!AR981</f>
      </c>
      <c r="AO113" s="119">
        <f>'2020'!AS981</f>
        <v>41</v>
      </c>
      <c r="AP113" s="119">
        <f>'2020'!AT981</f>
        <v>0</v>
      </c>
      <c r="AQ113" s="106">
        <f>'2020'!AU981</f>
        <v>0</v>
      </c>
      <c r="AR113" s="106">
        <f>'2020'!AV981</f>
      </c>
      <c r="AS113" s="119">
        <f>'2020'!AW981</f>
        <v>41</v>
      </c>
      <c r="AT113" s="119">
        <f>'2020'!AX981</f>
        <v>0</v>
      </c>
      <c r="AU113" s="106">
        <f>'2020'!AY981</f>
        <v>0</v>
      </c>
      <c r="AV113" s="106">
        <f>'2020'!AZ981</f>
      </c>
      <c r="AW113" s="106"/>
      <c r="AX113" s="106">
        <f t="shared" si="0"/>
        <v>0</v>
      </c>
      <c r="AY113" s="119">
        <f>'2020'!BA981</f>
        <v>41</v>
      </c>
      <c r="AZ113" s="119">
        <f>'2020'!BB981</f>
        <v>0</v>
      </c>
      <c r="BA113" s="106">
        <f>'2020'!BC981</f>
        <v>0</v>
      </c>
      <c r="BB113" s="106">
        <f>'2020'!BD981</f>
      </c>
      <c r="BC113" s="106"/>
      <c r="BD113" s="106">
        <f t="shared" si="1"/>
        <v>0</v>
      </c>
      <c r="BE113" s="119">
        <f>'2020'!BE981</f>
        <v>6</v>
      </c>
      <c r="BF113" s="106">
        <f>'2020'!BF981</f>
        <v>15.2</v>
      </c>
      <c r="BG113" s="106">
        <f>'2020'!BG981</f>
        <v>0</v>
      </c>
      <c r="BH113" s="106">
        <f>'2020'!BH981</f>
        <v>15.2</v>
      </c>
      <c r="BI113" s="106">
        <f t="shared" si="2"/>
        <v>0</v>
      </c>
      <c r="BJ113" s="338">
        <f t="shared" si="3"/>
        <v>15.2</v>
      </c>
    </row>
    <row r="114" ht="15.75" customHeight="1" hidden="1" spans="1:62" x14ac:dyDescent="0.25">
      <c r="A114" s="14"/>
      <c r="B114" s="115">
        <v>110</v>
      </c>
      <c r="C114" s="115">
        <v>4.91</v>
      </c>
      <c r="D114" s="117" t="s">
        <v>342</v>
      </c>
      <c r="E114" s="119">
        <f>'2020'!I990</f>
        <v>139</v>
      </c>
      <c r="F114" s="119">
        <f>'2020'!J990</f>
        <v>0</v>
      </c>
      <c r="G114" s="106">
        <f>'2020'!K990</f>
        <v>0</v>
      </c>
      <c r="H114" s="106">
        <f>'2020'!L990</f>
      </c>
      <c r="I114" s="119">
        <f>'2020'!M990</f>
        <v>139</v>
      </c>
      <c r="J114" s="119">
        <f>'2020'!N990</f>
        <v>0</v>
      </c>
      <c r="K114" s="106">
        <f>'2020'!O990</f>
        <v>0</v>
      </c>
      <c r="L114" s="106">
        <f>'2020'!P990</f>
      </c>
      <c r="M114" s="119">
        <f>'2020'!Q990</f>
        <v>139</v>
      </c>
      <c r="N114" s="119">
        <f>'2020'!R990</f>
        <v>0</v>
      </c>
      <c r="O114" s="106">
        <f>'2020'!S990</f>
        <v>0</v>
      </c>
      <c r="P114" s="106">
        <f>'2020'!T990</f>
      </c>
      <c r="Q114" s="119">
        <f>'2020'!U990</f>
        <v>139</v>
      </c>
      <c r="R114" s="119">
        <f>'2020'!V990</f>
        <v>0</v>
      </c>
      <c r="S114" s="106">
        <f>'2020'!W990</f>
        <v>0</v>
      </c>
      <c r="T114" s="106">
        <f>'2020'!X990</f>
      </c>
      <c r="U114" s="119">
        <f>'2020'!Y990</f>
        <v>139</v>
      </c>
      <c r="V114" s="119">
        <f>'2020'!Z990</f>
        <v>0</v>
      </c>
      <c r="W114" s="106">
        <f>'2020'!AA990</f>
        <v>0</v>
      </c>
      <c r="X114" s="106">
        <f>'2020'!AB990</f>
      </c>
      <c r="Y114" s="119">
        <f>'2020'!AC990</f>
        <v>140</v>
      </c>
      <c r="Z114" s="119">
        <f>'2020'!AD990</f>
        <v>1</v>
      </c>
      <c r="AA114" s="106">
        <f>'2020'!AE990</f>
        <v>2.5</v>
      </c>
      <c r="AB114" s="106">
        <f>'2020'!AF990</f>
      </c>
      <c r="AC114" s="119">
        <f>'2020'!AG990</f>
        <v>141</v>
      </c>
      <c r="AD114" s="119">
        <f>'2020'!AH990</f>
        <v>1</v>
      </c>
      <c r="AE114" s="106">
        <f>'2020'!AI990</f>
        <v>2.6</v>
      </c>
      <c r="AF114" s="106">
        <f>'2020'!AJ990</f>
      </c>
      <c r="AG114" s="119">
        <f>'2020'!AK990</f>
        <v>150</v>
      </c>
      <c r="AH114" s="119">
        <f>'2020'!AL990</f>
        <v>9</v>
      </c>
      <c r="AI114" s="106">
        <f>'2020'!AM990</f>
        <v>23.4</v>
      </c>
      <c r="AJ114" s="106">
        <f>'2020'!AN990</f>
      </c>
      <c r="AK114" s="119">
        <f>'2020'!AO990</f>
        <v>151</v>
      </c>
      <c r="AL114" s="119">
        <f>'2020'!AP990</f>
        <v>1</v>
      </c>
      <c r="AM114" s="106">
        <f>'2020'!AQ990</f>
        <v>2.6</v>
      </c>
      <c r="AN114" s="106">
        <f>'2020'!AR990</f>
      </c>
      <c r="AO114" s="119">
        <f>'2020'!AS990</f>
        <v>151</v>
      </c>
      <c r="AP114" s="119">
        <f>'2020'!AT990</f>
        <v>0</v>
      </c>
      <c r="AQ114" s="106">
        <f>'2020'!AU990</f>
        <v>0</v>
      </c>
      <c r="AR114" s="106">
        <f>'2020'!AV990</f>
      </c>
      <c r="AS114" s="119">
        <f>'2020'!AW990</f>
        <v>151</v>
      </c>
      <c r="AT114" s="119">
        <f>'2020'!AX990</f>
        <v>0</v>
      </c>
      <c r="AU114" s="106">
        <f>'2020'!AY990</f>
        <v>0</v>
      </c>
      <c r="AV114" s="106">
        <f>'2020'!AZ990</f>
      </c>
      <c r="AW114" s="119"/>
      <c r="AX114" s="106">
        <f t="shared" si="0"/>
        <v>0</v>
      </c>
      <c r="AY114" s="119">
        <f>'2020'!BA990</f>
        <v>151</v>
      </c>
      <c r="AZ114" s="119">
        <f>'2020'!BB990</f>
        <v>0</v>
      </c>
      <c r="BA114" s="106">
        <f>'2020'!BC990</f>
        <v>0</v>
      </c>
      <c r="BB114" s="106">
        <f>'2020'!BD990</f>
      </c>
      <c r="BC114" s="106"/>
      <c r="BD114" s="106">
        <f t="shared" si="1"/>
        <v>0</v>
      </c>
      <c r="BE114" s="119">
        <f>'2020'!BE990</f>
        <v>12</v>
      </c>
      <c r="BF114" s="106">
        <f>'2020'!BF990</f>
        <v>31.1</v>
      </c>
      <c r="BG114" s="106">
        <f>'2020'!BG990</f>
        <v>0</v>
      </c>
      <c r="BH114" s="106">
        <f>'2020'!BH990</f>
        <v>101.1</v>
      </c>
      <c r="BI114" s="106">
        <f t="shared" si="2"/>
        <v>0</v>
      </c>
      <c r="BJ114" s="338">
        <f t="shared" si="3"/>
        <v>101.1</v>
      </c>
    </row>
    <row r="115" ht="15.75" customHeight="1" spans="1:62" x14ac:dyDescent="0.25">
      <c r="A115" s="14"/>
      <c r="B115" s="125">
        <v>111</v>
      </c>
      <c r="C115" s="116">
        <v>6.8</v>
      </c>
      <c r="D115" s="117" t="s">
        <v>280</v>
      </c>
      <c r="E115" s="119">
        <f>'2020'!I999</f>
        <v>1058</v>
      </c>
      <c r="F115" s="119">
        <f>'2020'!J999</f>
        <v>190</v>
      </c>
      <c r="G115" s="106">
        <f>'2020'!K999</f>
        <v>475</v>
      </c>
      <c r="H115" s="106">
        <f>'2020'!L999</f>
      </c>
      <c r="I115" s="119">
        <f>'2020'!M999</f>
        <v>1225</v>
      </c>
      <c r="J115" s="119">
        <f>'2020'!N999</f>
        <v>167</v>
      </c>
      <c r="K115" s="106">
        <f>'2020'!O999</f>
        <v>417.5</v>
      </c>
      <c r="L115" s="106">
        <f>'2020'!P999</f>
      </c>
      <c r="M115" s="119">
        <f>'2020'!Q999</f>
        <v>1440</v>
      </c>
      <c r="N115" s="119">
        <f>'2020'!R999</f>
        <v>215</v>
      </c>
      <c r="O115" s="106">
        <f>'2020'!S999</f>
        <v>537.5</v>
      </c>
      <c r="P115" s="106">
        <f>'2020'!T999</f>
        <v>1980</v>
      </c>
      <c r="Q115" s="119">
        <f>'2020'!U999</f>
        <v>1599</v>
      </c>
      <c r="R115" s="119">
        <f>'2020'!V999</f>
        <v>159</v>
      </c>
      <c r="S115" s="106">
        <f>'2020'!W999</f>
        <v>397.5</v>
      </c>
      <c r="T115" s="106">
        <f>'2020'!X999</f>
      </c>
      <c r="U115" s="119">
        <f>'2020'!Y999</f>
        <v>1691</v>
      </c>
      <c r="V115" s="119">
        <f>'2020'!Z999</f>
        <v>92</v>
      </c>
      <c r="W115" s="106">
        <f>'2020'!AA999</f>
        <v>230</v>
      </c>
      <c r="X115" s="106">
        <f>'2020'!AB999</f>
        <v>1900</v>
      </c>
      <c r="Y115" s="119">
        <f>'2020'!AC999</f>
        <v>1944</v>
      </c>
      <c r="Z115" s="119">
        <f>'2020'!AD999</f>
        <v>253</v>
      </c>
      <c r="AA115" s="106">
        <f>'2020'!AE999</f>
        <v>632.5</v>
      </c>
      <c r="AB115" s="106">
        <f>'2020'!AF999</f>
      </c>
      <c r="AC115" s="119">
        <f>'2020'!AG999</f>
        <v>2055</v>
      </c>
      <c r="AD115" s="119">
        <f>'2020'!AH999</f>
        <v>111</v>
      </c>
      <c r="AE115" s="106">
        <f>'2020'!AI999</f>
        <v>288.6</v>
      </c>
      <c r="AF115" s="106">
        <f>'2020'!AJ999</f>
        <v>1900</v>
      </c>
      <c r="AG115" s="119">
        <f>'2020'!AK999</f>
        <v>2196</v>
      </c>
      <c r="AH115" s="119">
        <f>'2020'!AL999</f>
        <v>141</v>
      </c>
      <c r="AI115" s="106">
        <f>'2020'!AM999</f>
        <v>366.6</v>
      </c>
      <c r="AJ115" s="106">
        <f>'2020'!AN999</f>
      </c>
      <c r="AK115" s="119">
        <f>'2020'!AO999</f>
        <v>2433</v>
      </c>
      <c r="AL115" s="119">
        <f>'2020'!AP999</f>
        <v>237</v>
      </c>
      <c r="AM115" s="106">
        <f>'2020'!AQ999</f>
        <v>616.2</v>
      </c>
      <c r="AN115" s="106">
        <f>'2020'!AR999</f>
      </c>
      <c r="AO115" s="119">
        <f>'2020'!AS999</f>
        <v>2907</v>
      </c>
      <c r="AP115" s="119">
        <f>'2020'!AT999</f>
        <v>474</v>
      </c>
      <c r="AQ115" s="106">
        <f>'2020'!AU999</f>
        <v>1232.4</v>
      </c>
      <c r="AR115" s="106">
        <f>'2020'!AV999</f>
      </c>
      <c r="AS115" s="119">
        <f>'2020'!AW999</f>
        <v>4367</v>
      </c>
      <c r="AT115" s="119">
        <f>'2020'!AX999</f>
        <v>1460</v>
      </c>
      <c r="AU115" s="106">
        <f>'2020'!AY999</f>
        <v>3796</v>
      </c>
      <c r="AV115" s="106">
        <f>'2020'!AZ999</f>
        <v>2100</v>
      </c>
      <c r="AW115" s="106"/>
      <c r="AX115" s="106">
        <f t="shared" si="0"/>
        <v>0</v>
      </c>
      <c r="AY115" s="119">
        <f>'2020'!BA999</f>
        <v>6708</v>
      </c>
      <c r="AZ115" s="119">
        <f>'2020'!BB999</f>
        <v>2341</v>
      </c>
      <c r="BA115" s="106">
        <f>'2020'!BC999</f>
        <v>6086.6</v>
      </c>
      <c r="BB115" s="106">
        <f>'2020'!BD999</f>
      </c>
      <c r="BC115" s="106"/>
      <c r="BD115" s="106">
        <f t="shared" si="1"/>
        <v>0</v>
      </c>
      <c r="BE115" s="119">
        <f>'2020'!BE999</f>
        <v>5840</v>
      </c>
      <c r="BF115" s="106">
        <f>'2020'!BF999</f>
        <v>15076.4</v>
      </c>
      <c r="BG115" s="106">
        <f>'2020'!BG999</f>
        <v>7880</v>
      </c>
      <c r="BH115" s="106">
        <f>'2020'!BH999</f>
        <v>7746.4</v>
      </c>
      <c r="BI115" s="106">
        <f t="shared" si="2"/>
        <v>0</v>
      </c>
      <c r="BJ115" s="338">
        <f t="shared" si="3"/>
        <v>7746.4</v>
      </c>
    </row>
    <row r="116" ht="15.75" customHeight="1" hidden="1" spans="1:62" x14ac:dyDescent="0.25">
      <c r="A116" s="14"/>
      <c r="B116" s="115">
        <v>112</v>
      </c>
      <c r="C116" s="115">
        <v>4.94</v>
      </c>
      <c r="D116" s="117" t="s">
        <v>347</v>
      </c>
      <c r="E116" s="119">
        <f>'2020'!I1008</f>
        <v>155</v>
      </c>
      <c r="F116" s="119">
        <f>'2020'!J1008</f>
        <v>0</v>
      </c>
      <c r="G116" s="106">
        <f>'2020'!K1008</f>
        <v>0</v>
      </c>
      <c r="H116" s="106">
        <f>'2020'!L1008</f>
      </c>
      <c r="I116" s="119">
        <f>'2020'!M1008</f>
        <v>155</v>
      </c>
      <c r="J116" s="119">
        <f>'2020'!N1008</f>
        <v>0</v>
      </c>
      <c r="K116" s="106">
        <f>'2020'!O1008</f>
        <v>0</v>
      </c>
      <c r="L116" s="106">
        <f>'2020'!P1008</f>
      </c>
      <c r="M116" s="119">
        <f>'2020'!Q1008</f>
        <v>155</v>
      </c>
      <c r="N116" s="119">
        <f>'2020'!R1008</f>
        <v>0</v>
      </c>
      <c r="O116" s="106">
        <f>'2020'!S1008</f>
        <v>0</v>
      </c>
      <c r="P116" s="106">
        <f>'2020'!T1008</f>
      </c>
      <c r="Q116" s="119">
        <f>'2020'!U1008</f>
        <v>155</v>
      </c>
      <c r="R116" s="119">
        <f>'2020'!V1008</f>
        <v>0</v>
      </c>
      <c r="S116" s="106">
        <f>'2020'!W1008</f>
        <v>0</v>
      </c>
      <c r="T116" s="106">
        <f>'2020'!X1008</f>
      </c>
      <c r="U116" s="119">
        <f>'2020'!Y1008</f>
        <v>160</v>
      </c>
      <c r="V116" s="119">
        <f>'2020'!Z1008</f>
        <v>5</v>
      </c>
      <c r="W116" s="106">
        <f>'2020'!AA1008</f>
        <v>12.5</v>
      </c>
      <c r="X116" s="106">
        <f>'2020'!AB1008</f>
      </c>
      <c r="Y116" s="119">
        <f>'2020'!AC1008</f>
        <v>163</v>
      </c>
      <c r="Z116" s="119">
        <f>'2020'!AD1008</f>
        <v>3</v>
      </c>
      <c r="AA116" s="106">
        <f>'2020'!AE1008</f>
        <v>7.5</v>
      </c>
      <c r="AB116" s="106">
        <f>'2020'!AF1008</f>
      </c>
      <c r="AC116" s="119">
        <f>'2020'!AG1008</f>
        <v>170</v>
      </c>
      <c r="AD116" s="119">
        <f>'2020'!AH1008</f>
        <v>7</v>
      </c>
      <c r="AE116" s="106">
        <f>'2020'!AI1008</f>
        <v>18.2</v>
      </c>
      <c r="AF116" s="106">
        <f>'2020'!AJ1008</f>
      </c>
      <c r="AG116" s="119">
        <f>'2020'!AK1008</f>
        <v>172</v>
      </c>
      <c r="AH116" s="119">
        <f>'2020'!AL1008</f>
        <v>2</v>
      </c>
      <c r="AI116" s="106">
        <f>'2020'!AM1008</f>
        <v>5.2</v>
      </c>
      <c r="AJ116" s="106">
        <f>'2020'!AN1008</f>
      </c>
      <c r="AK116" s="119">
        <f>'2020'!AO1008</f>
        <v>173</v>
      </c>
      <c r="AL116" s="119">
        <f>'2020'!AP1008</f>
        <v>1</v>
      </c>
      <c r="AM116" s="106">
        <f>'2020'!AQ1008</f>
        <v>2.6</v>
      </c>
      <c r="AN116" s="106">
        <f>'2020'!AR1008</f>
      </c>
      <c r="AO116" s="119">
        <f>'2020'!AS1008</f>
        <v>174</v>
      </c>
      <c r="AP116" s="119">
        <f>'2020'!AT1008</f>
        <v>1</v>
      </c>
      <c r="AQ116" s="106">
        <f>'2020'!AU1008</f>
        <v>2.6</v>
      </c>
      <c r="AR116" s="106">
        <f>'2020'!AV1008</f>
      </c>
      <c r="AS116" s="119">
        <f>'2020'!AW1008</f>
        <v>174</v>
      </c>
      <c r="AT116" s="119">
        <f>'2020'!AX1008</f>
        <v>0</v>
      </c>
      <c r="AU116" s="106">
        <f>'2020'!AY1008</f>
        <v>0</v>
      </c>
      <c r="AV116" s="106">
        <f>'2020'!AZ1008</f>
      </c>
      <c r="AW116" s="106"/>
      <c r="AX116" s="106">
        <f t="shared" si="0"/>
        <v>0</v>
      </c>
      <c r="AY116" s="119">
        <f>'2020'!BA1008</f>
        <v>174</v>
      </c>
      <c r="AZ116" s="119">
        <f>'2020'!BB1008</f>
        <v>0</v>
      </c>
      <c r="BA116" s="106">
        <f>'2020'!BC1008</f>
        <v>0</v>
      </c>
      <c r="BB116" s="106">
        <f>'2020'!BD1008</f>
      </c>
      <c r="BC116" s="106"/>
      <c r="BD116" s="106">
        <f t="shared" si="1"/>
        <v>0</v>
      </c>
      <c r="BE116" s="119">
        <f>'2020'!BE1008</f>
        <v>19</v>
      </c>
      <c r="BF116" s="106">
        <f>'2020'!BF1008</f>
        <v>48.6</v>
      </c>
      <c r="BG116" s="106">
        <f>'2020'!BG1008</f>
        <v>0</v>
      </c>
      <c r="BH116" s="106">
        <f>'2020'!BH1008</f>
        <v>-0.49</v>
      </c>
      <c r="BI116" s="106">
        <f t="shared" si="2"/>
        <v>0</v>
      </c>
      <c r="BJ116" s="338">
        <f t="shared" si="3"/>
        <v>-0.49</v>
      </c>
    </row>
    <row r="117" ht="15.75" customHeight="1" hidden="1" spans="1:62" x14ac:dyDescent="0.25">
      <c r="A117" s="14"/>
      <c r="B117" s="115">
        <v>113</v>
      </c>
      <c r="C117" s="115">
        <v>4.98</v>
      </c>
      <c r="D117" s="117" t="s">
        <v>348</v>
      </c>
      <c r="E117" s="119">
        <f>'2020'!I1017</f>
      </c>
      <c r="F117" s="119">
        <f>'2020'!J1017</f>
      </c>
      <c r="G117" s="106">
        <f>'2020'!K1017</f>
        <v>0</v>
      </c>
      <c r="H117" s="106">
        <f>'2020'!L1017</f>
      </c>
      <c r="I117" s="119">
        <f>'2020'!M1017</f>
      </c>
      <c r="J117" s="119">
        <f>'2020'!N1017</f>
      </c>
      <c r="K117" s="106">
        <f>'2020'!O1017</f>
        <v>0</v>
      </c>
      <c r="L117" s="106">
        <f>'2020'!P1017</f>
      </c>
      <c r="M117" s="119">
        <f>'2020'!Q1017</f>
      </c>
      <c r="N117" s="119">
        <f>'2020'!R1017</f>
        <v>0</v>
      </c>
      <c r="O117" s="106">
        <f>'2020'!S1017</f>
        <v>0</v>
      </c>
      <c r="P117" s="106">
        <f>'2020'!T1017</f>
      </c>
      <c r="Q117" s="119">
        <f>'2020'!U1017</f>
      </c>
      <c r="R117" s="119">
        <f>'2020'!V1017</f>
        <v>0</v>
      </c>
      <c r="S117" s="106">
        <f>'2020'!W1017</f>
        <v>0</v>
      </c>
      <c r="T117" s="106">
        <f>'2020'!X1017</f>
      </c>
      <c r="U117" s="119">
        <f>'2020'!Y1017</f>
      </c>
      <c r="V117" s="119">
        <f>'2020'!Z1017</f>
        <v>0</v>
      </c>
      <c r="W117" s="106">
        <f>'2020'!AA1017</f>
        <v>0</v>
      </c>
      <c r="X117" s="106">
        <f>'2020'!AB1017</f>
      </c>
      <c r="Y117" s="119">
        <f>'2020'!AC1017</f>
      </c>
      <c r="Z117" s="119">
        <f>'2020'!AD1017</f>
        <v>0</v>
      </c>
      <c r="AA117" s="106">
        <f>'2020'!AE1017</f>
        <v>0</v>
      </c>
      <c r="AB117" s="106">
        <f>'2020'!AF1017</f>
      </c>
      <c r="AC117" s="119">
        <f>'2020'!AG1017</f>
      </c>
      <c r="AD117" s="119">
        <f>'2020'!AH1017</f>
        <v>0</v>
      </c>
      <c r="AE117" s="106">
        <f>'2020'!AI1017</f>
        <v>0</v>
      </c>
      <c r="AF117" s="106">
        <f>'2020'!AJ1017</f>
      </c>
      <c r="AG117" s="119">
        <f>'2020'!AK1017</f>
        <v>0</v>
      </c>
      <c r="AH117" s="119">
        <f>'2020'!AL1017</f>
        <v>0</v>
      </c>
      <c r="AI117" s="106">
        <f>'2020'!AM1017</f>
        <v>0</v>
      </c>
      <c r="AJ117" s="106">
        <f>'2020'!AN1017</f>
      </c>
      <c r="AK117" s="119">
        <f>'2020'!AO1017</f>
        <v>0</v>
      </c>
      <c r="AL117" s="119">
        <f>'2020'!AP1017</f>
        <v>0</v>
      </c>
      <c r="AM117" s="106">
        <f>'2020'!AQ1017</f>
        <v>0</v>
      </c>
      <c r="AN117" s="106">
        <f>'2020'!AR1017</f>
      </c>
      <c r="AO117" s="119">
        <f>'2020'!AS1017</f>
        <v>0</v>
      </c>
      <c r="AP117" s="119">
        <f>'2020'!AT1017</f>
        <v>0</v>
      </c>
      <c r="AQ117" s="106">
        <f>'2020'!AU1017</f>
        <v>0</v>
      </c>
      <c r="AR117" s="106">
        <f>'2020'!AV1017</f>
      </c>
      <c r="AS117" s="119">
        <f>'2020'!AW1017</f>
        <v>0</v>
      </c>
      <c r="AT117" s="119">
        <f>'2020'!AX1017</f>
        <v>0</v>
      </c>
      <c r="AU117" s="106">
        <f>'2020'!AY1017</f>
        <v>0</v>
      </c>
      <c r="AV117" s="106">
        <f>'2020'!AZ1017</f>
      </c>
      <c r="AW117" s="106"/>
      <c r="AX117" s="106">
        <f t="shared" si="0"/>
        <v>0</v>
      </c>
      <c r="AY117" s="119">
        <f>'2020'!BA1017</f>
        <v>0</v>
      </c>
      <c r="AZ117" s="119">
        <f>'2020'!BB1017</f>
        <v>0</v>
      </c>
      <c r="BA117" s="106">
        <f>'2020'!BC1017</f>
        <v>0</v>
      </c>
      <c r="BB117" s="106">
        <f>'2020'!BD1017</f>
      </c>
      <c r="BC117" s="106"/>
      <c r="BD117" s="106">
        <f t="shared" si="1"/>
        <v>0</v>
      </c>
      <c r="BE117" s="119">
        <f>'2020'!BE1017</f>
        <v>0</v>
      </c>
      <c r="BF117" s="106">
        <f>'2020'!BF1017</f>
        <v>0</v>
      </c>
      <c r="BG117" s="106">
        <f>'2020'!BG1017</f>
        <v>0</v>
      </c>
      <c r="BH117" s="106">
        <f>'2020'!BH1017</f>
        <v>0</v>
      </c>
      <c r="BI117" s="106">
        <f t="shared" si="2"/>
        <v>0</v>
      </c>
      <c r="BJ117" s="338">
        <f t="shared" si="3"/>
        <v>0</v>
      </c>
    </row>
    <row r="118" ht="15.75" customHeight="1" spans="1:62" x14ac:dyDescent="0.25">
      <c r="A118" s="14"/>
      <c r="B118" s="125">
        <v>114</v>
      </c>
      <c r="C118" s="115">
        <v>4.86</v>
      </c>
      <c r="D118" s="117" t="s">
        <v>245</v>
      </c>
      <c r="E118" s="119">
        <f>'2020'!I1026</f>
        <v>28</v>
      </c>
      <c r="F118" s="119">
        <f>'2020'!J1026</f>
        <v>0</v>
      </c>
      <c r="G118" s="106">
        <f>'2020'!K1026</f>
        <v>0</v>
      </c>
      <c r="H118" s="106">
        <f>'2020'!L1026</f>
      </c>
      <c r="I118" s="119">
        <f>'2020'!M1026</f>
        <v>28</v>
      </c>
      <c r="J118" s="119">
        <f>'2020'!N1026</f>
        <v>0</v>
      </c>
      <c r="K118" s="106">
        <f>'2020'!O1026</f>
        <v>0</v>
      </c>
      <c r="L118" s="106">
        <f>'2020'!P1026</f>
      </c>
      <c r="M118" s="119">
        <f>'2020'!Q1026</f>
        <v>28</v>
      </c>
      <c r="N118" s="119">
        <f>'2020'!R1026</f>
        <v>0</v>
      </c>
      <c r="O118" s="106">
        <f>'2020'!S1026</f>
        <v>0</v>
      </c>
      <c r="P118" s="106">
        <f>'2020'!T1026</f>
      </c>
      <c r="Q118" s="119">
        <f>'2020'!U1026</f>
        <v>28</v>
      </c>
      <c r="R118" s="119">
        <f>'2020'!V1026</f>
        <v>0</v>
      </c>
      <c r="S118" s="106">
        <f>'2020'!W1026</f>
        <v>0</v>
      </c>
      <c r="T118" s="106">
        <f>'2020'!X1026</f>
      </c>
      <c r="U118" s="119">
        <f>'2020'!Y1026</f>
        <v>29</v>
      </c>
      <c r="V118" s="119">
        <f>'2020'!Z1026</f>
        <v>1</v>
      </c>
      <c r="W118" s="106">
        <f>'2020'!AA1026</f>
        <v>2.5</v>
      </c>
      <c r="X118" s="106">
        <f>'2020'!AB1026</f>
      </c>
      <c r="Y118" s="119">
        <f>'2020'!AC1026</f>
        <v>31</v>
      </c>
      <c r="Z118" s="119">
        <f>'2020'!AD1026</f>
        <v>2</v>
      </c>
      <c r="AA118" s="106">
        <f>'2020'!AE1026</f>
        <v>5</v>
      </c>
      <c r="AB118" s="106">
        <f>'2020'!AF1026</f>
      </c>
      <c r="AC118" s="119">
        <f>'2020'!AG1026</f>
        <v>65</v>
      </c>
      <c r="AD118" s="119">
        <f>'2020'!AH1026</f>
        <v>34</v>
      </c>
      <c r="AE118" s="106">
        <f>'2020'!AI1026</f>
        <v>88.4</v>
      </c>
      <c r="AF118" s="106">
        <f>'2020'!AJ1026</f>
        <v>500</v>
      </c>
      <c r="AG118" s="119">
        <f>'2020'!AK1026</f>
        <v>159</v>
      </c>
      <c r="AH118" s="119">
        <f>'2020'!AL1026</f>
        <v>94</v>
      </c>
      <c r="AI118" s="106">
        <f>'2020'!AM1026</f>
        <v>244.4</v>
      </c>
      <c r="AJ118" s="106">
        <f>'2020'!AN1026</f>
      </c>
      <c r="AK118" s="119">
        <f>'2020'!AO1026</f>
        <v>234</v>
      </c>
      <c r="AL118" s="119">
        <f>'2020'!AP1026</f>
        <v>75</v>
      </c>
      <c r="AM118" s="106">
        <f>'2020'!AQ1026</f>
        <v>195</v>
      </c>
      <c r="AN118" s="106">
        <f>'2020'!AR1026</f>
        <v>500</v>
      </c>
      <c r="AO118" s="119">
        <f>'2020'!AS1026</f>
        <v>255</v>
      </c>
      <c r="AP118" s="119">
        <f>'2020'!AT1026</f>
        <v>21</v>
      </c>
      <c r="AQ118" s="106">
        <f>'2020'!AU1026</f>
        <v>54.6</v>
      </c>
      <c r="AR118" s="106">
        <f>'2020'!AV1026</f>
      </c>
      <c r="AS118" s="119">
        <f>'2020'!AW1026</f>
        <v>263</v>
      </c>
      <c r="AT118" s="119">
        <f>'2020'!AX1026</f>
        <v>8</v>
      </c>
      <c r="AU118" s="106">
        <f>'2020'!AY1026</f>
        <v>20.8</v>
      </c>
      <c r="AV118" s="106">
        <f>'2020'!AZ1026</f>
      </c>
      <c r="AW118" s="106"/>
      <c r="AX118" s="106">
        <f t="shared" si="0"/>
        <v>0</v>
      </c>
      <c r="AY118" s="119">
        <f>'2020'!BA1026</f>
        <v>263</v>
      </c>
      <c r="AZ118" s="119">
        <f>'2020'!BB1026</f>
        <v>0</v>
      </c>
      <c r="BA118" s="106">
        <f>'2020'!BC1026</f>
        <v>0</v>
      </c>
      <c r="BB118" s="106">
        <f>'2020'!BD1026</f>
      </c>
      <c r="BC118" s="106"/>
      <c r="BD118" s="106">
        <f t="shared" si="1"/>
        <v>0</v>
      </c>
      <c r="BE118" s="119">
        <f>'2020'!BE1026</f>
        <v>235</v>
      </c>
      <c r="BF118" s="106">
        <f>'2020'!BF1026</f>
        <v>610.7</v>
      </c>
      <c r="BG118" s="106">
        <f>'2020'!BG1026</f>
        <v>1000</v>
      </c>
      <c r="BH118" s="106">
        <f>'2020'!BH1026</f>
        <v>-389.3</v>
      </c>
      <c r="BI118" s="106">
        <f t="shared" si="2"/>
        <v>0</v>
      </c>
      <c r="BJ118" s="338">
        <f t="shared" si="3"/>
        <v>-389.3</v>
      </c>
    </row>
    <row r="119" ht="15.75" customHeight="1" spans="1:62" x14ac:dyDescent="0.25">
      <c r="A119" s="117"/>
      <c r="B119" s="125" t="s">
        <v>350</v>
      </c>
      <c r="C119" s="116">
        <f>SUM(C5:C118)</f>
        <v>505.74</v>
      </c>
      <c r="D119" s="117"/>
      <c r="E119" s="119">
        <f t="shared" ref="E119:BI119" si="4">SUM(E5:E118)</f>
        <v>192950</v>
      </c>
      <c r="F119" s="119">
        <f t="shared" si="4"/>
        <v>7641</v>
      </c>
      <c r="G119" s="106">
        <f t="shared" si="4"/>
        <v>19102.5</v>
      </c>
      <c r="H119" s="106">
        <f t="shared" si="4"/>
        <v>14185</v>
      </c>
      <c r="I119" s="119">
        <f t="shared" si="4"/>
        <v>200923</v>
      </c>
      <c r="J119" s="119">
        <f t="shared" si="4"/>
        <v>7973</v>
      </c>
      <c r="K119" s="106">
        <f t="shared" si="4"/>
        <v>19932.5</v>
      </c>
      <c r="L119" s="106">
        <f t="shared" si="4"/>
        <v>18344.24</v>
      </c>
      <c r="M119" s="119">
        <f t="shared" si="4"/>
        <v>208239</v>
      </c>
      <c r="N119" s="119">
        <f t="shared" si="4"/>
        <v>7316</v>
      </c>
      <c r="O119" s="106">
        <f t="shared" si="4"/>
        <v>18290</v>
      </c>
      <c r="P119" s="106">
        <f t="shared" si="4"/>
        <v>29780.71</v>
      </c>
      <c r="Q119" s="119">
        <f t="shared" si="4"/>
        <v>213052</v>
      </c>
      <c r="R119" s="119">
        <f t="shared" si="4"/>
        <v>4813</v>
      </c>
      <c r="S119" s="106">
        <f t="shared" si="4"/>
        <v>12032.5</v>
      </c>
      <c r="T119" s="106">
        <f t="shared" si="4"/>
        <v>18647.15</v>
      </c>
      <c r="U119" s="119">
        <f t="shared" si="4"/>
        <v>219140</v>
      </c>
      <c r="V119" s="119">
        <f t="shared" si="4"/>
        <v>6088</v>
      </c>
      <c r="W119" s="106">
        <f t="shared" si="4"/>
        <v>15220</v>
      </c>
      <c r="X119" s="106">
        <f t="shared" si="4"/>
        <v>7456.5</v>
      </c>
      <c r="Y119" s="119">
        <f t="shared" si="4"/>
        <v>223634</v>
      </c>
      <c r="Z119" s="119">
        <f t="shared" si="4"/>
        <v>6264</v>
      </c>
      <c r="AA119" s="106">
        <f t="shared" si="4"/>
        <v>15726.2</v>
      </c>
      <c r="AB119" s="106">
        <f t="shared" si="4"/>
        <v>13606.19</v>
      </c>
      <c r="AC119" s="119">
        <f t="shared" si="4"/>
        <v>228410</v>
      </c>
      <c r="AD119" s="119">
        <f t="shared" si="4"/>
        <v>5077</v>
      </c>
      <c r="AE119" s="106">
        <f t="shared" si="4"/>
        <v>13200.2</v>
      </c>
      <c r="AF119" s="106">
        <f t="shared" si="4"/>
        <v>25059.59</v>
      </c>
      <c r="AG119" s="119">
        <f t="shared" si="4"/>
        <v>234701</v>
      </c>
      <c r="AH119" s="119">
        <f t="shared" si="4"/>
        <v>6291</v>
      </c>
      <c r="AI119" s="106">
        <f t="shared" si="4"/>
        <v>16356.6</v>
      </c>
      <c r="AJ119" s="106">
        <f t="shared" si="4"/>
        <v>13858.83</v>
      </c>
      <c r="AK119" s="119">
        <f t="shared" si="4"/>
        <v>241828</v>
      </c>
      <c r="AL119" s="119">
        <f t="shared" si="4"/>
        <v>7127</v>
      </c>
      <c r="AM119" s="106">
        <f t="shared" si="4"/>
        <v>18524.2</v>
      </c>
      <c r="AN119" s="106">
        <f t="shared" si="4"/>
        <v>10287.06</v>
      </c>
      <c r="AO119" s="119">
        <f t="shared" si="4"/>
        <v>248438</v>
      </c>
      <c r="AP119" s="119">
        <f t="shared" si="4"/>
        <v>10055</v>
      </c>
      <c r="AQ119" s="106">
        <f t="shared" si="4"/>
        <v>26143</v>
      </c>
      <c r="AR119" s="106">
        <f t="shared" si="4"/>
        <v>9002.96</v>
      </c>
      <c r="AS119" s="119">
        <f t="shared" si="4"/>
        <v>237732</v>
      </c>
      <c r="AT119" s="119">
        <f t="shared" si="4"/>
        <v>10772</v>
      </c>
      <c r="AU119" s="106">
        <f t="shared" si="4"/>
        <v>28007.2</v>
      </c>
      <c r="AV119" s="106">
        <f t="shared" si="4"/>
        <v>35943.34</v>
      </c>
      <c r="AW119" s="119">
        <f t="shared" si="4"/>
        <v>1153</v>
      </c>
      <c r="AX119" s="106">
        <f t="shared" si="4"/>
        <v>2997.8</v>
      </c>
      <c r="AY119" s="119">
        <f t="shared" si="4"/>
        <v>251692</v>
      </c>
      <c r="AZ119" s="119">
        <f t="shared" si="4"/>
        <v>13960</v>
      </c>
      <c r="BA119" s="106">
        <f t="shared" si="4"/>
        <v>36296</v>
      </c>
      <c r="BB119" s="106">
        <f t="shared" si="4"/>
        <v>32655.4</v>
      </c>
      <c r="BC119" s="119">
        <f t="shared" si="4"/>
        <v>1276</v>
      </c>
      <c r="BD119" s="106">
        <f t="shared" si="4"/>
        <v>3317.6</v>
      </c>
      <c r="BE119" s="119">
        <f t="shared" si="4"/>
        <v>93377</v>
      </c>
      <c r="BF119" s="106">
        <f t="shared" si="4"/>
        <v>238830.9</v>
      </c>
      <c r="BG119" s="106">
        <f t="shared" si="4"/>
        <v>228826.97</v>
      </c>
      <c r="BH119" s="106">
        <f t="shared" si="4"/>
        <v>24980.26</v>
      </c>
      <c r="BI119" s="106">
        <f t="shared" si="4"/>
        <v>6315.4</v>
      </c>
      <c r="BJ119" s="106">
        <f>BH119+AX119</f>
        <v>27978.06</v>
      </c>
    </row>
    <row r="120" ht="15.75" customHeight="1" hidden="1" spans="1:3" x14ac:dyDescent="0.25" outlineLevel="1" collapsed="1">
      <c r="A120" s="15"/>
      <c r="B120" s="112"/>
      <c r="C120" s="112"/>
    </row>
    <row r="121" ht="15.75" customHeight="1" hidden="1" spans="1:61" x14ac:dyDescent="0.25" outlineLevel="1" collapsed="1">
      <c r="A121" s="15"/>
      <c r="B121" s="112"/>
      <c r="C121" s="112"/>
      <c r="E121" s="120" t="b">
        <f>E119='2020'!I1037</f>
        <v>1</v>
      </c>
      <c r="F121" s="120" t="b">
        <f>F119='2020'!J1037</f>
        <v>1</v>
      </c>
      <c r="G121" s="120" t="b">
        <f>G119='2020'!K1037</f>
        <v>1</v>
      </c>
      <c r="H121" s="120" t="b">
        <f>H119='2020'!L1037</f>
        <v>1</v>
      </c>
      <c r="I121" s="120" t="b">
        <f>I119='2020'!M1037</f>
        <v>1</v>
      </c>
      <c r="J121" s="120" t="b">
        <f>J119='2020'!N1037</f>
        <v>1</v>
      </c>
      <c r="K121" s="120" t="b">
        <f>K119='2020'!O1037</f>
        <v>1</v>
      </c>
      <c r="L121" s="120" t="b">
        <f>L119='2020'!P1037</f>
        <v>1</v>
      </c>
      <c r="M121" s="120" t="b">
        <f>M119='2020'!Q1037</f>
        <v>1</v>
      </c>
      <c r="N121" s="120" t="b">
        <f>N119='2020'!R1037</f>
        <v>1</v>
      </c>
      <c r="O121" s="120" t="b">
        <f>O119='2020'!S1037</f>
        <v>1</v>
      </c>
      <c r="P121" s="120" t="b">
        <f>P119='2020'!T1037</f>
        <v>1</v>
      </c>
      <c r="Q121" s="120" t="b">
        <f>Q119='2020'!U1037</f>
        <v>1</v>
      </c>
      <c r="R121" s="120" t="b">
        <f>R119='2020'!V1037</f>
        <v>1</v>
      </c>
      <c r="S121" s="120" t="b">
        <f>S119='2020'!W1037</f>
        <v>1</v>
      </c>
      <c r="T121" s="120" t="b">
        <f>T119='2020'!X1037</f>
        <v>1</v>
      </c>
      <c r="U121" s="120" t="b">
        <f>U119='2020'!Y1037</f>
        <v>1</v>
      </c>
      <c r="V121" s="120" t="b">
        <f>V119='2020'!Z1037</f>
        <v>1</v>
      </c>
      <c r="W121" s="120" t="b">
        <f>W119='2020'!AA1037</f>
        <v>1</v>
      </c>
      <c r="X121" s="120" t="b">
        <f>X119='2020'!AB1037</f>
        <v>1</v>
      </c>
      <c r="Y121" s="120" t="b">
        <f>Y119='2020'!AC1037</f>
        <v>1</v>
      </c>
      <c r="Z121" s="120" t="b">
        <f>Z119='2020'!AD1037</f>
        <v>1</v>
      </c>
      <c r="AA121" s="120" t="b">
        <f>AA119='2020'!AE1037</f>
        <v>1</v>
      </c>
      <c r="AB121" s="120" t="b">
        <f>AB119='2020'!AF1037</f>
        <v>1</v>
      </c>
      <c r="AC121" s="120" t="b">
        <f>AC119='2020'!AG1037</f>
        <v>1</v>
      </c>
      <c r="AD121" s="120" t="b">
        <f>AD119='2020'!AH1037</f>
        <v>1</v>
      </c>
      <c r="AE121" s="120" t="b">
        <f>AE119='2020'!AI1037</f>
        <v>1</v>
      </c>
      <c r="AF121" s="120" t="b">
        <f>AF119='2020'!AJ1037</f>
        <v>1</v>
      </c>
      <c r="AG121" s="120" t="b">
        <f>AG119='2020'!AK1037</f>
        <v>1</v>
      </c>
      <c r="AH121" s="120" t="b">
        <f>AH119='2020'!AL1037</f>
        <v>1</v>
      </c>
      <c r="AI121" s="120" t="b">
        <f>AI119='2020'!AM1037</f>
        <v>1</v>
      </c>
      <c r="AJ121" s="120" t="b">
        <f>AJ119='2020'!AN1037</f>
        <v>1</v>
      </c>
      <c r="AK121" s="120" t="b">
        <f>AK119='2020'!AO1037</f>
        <v>1</v>
      </c>
      <c r="AL121" s="120" t="b">
        <f>AL119='2020'!AP1037</f>
        <v>1</v>
      </c>
      <c r="AM121" s="120" t="b">
        <f>AM119='2020'!AQ1037</f>
        <v>1</v>
      </c>
      <c r="AN121" s="120" t="b">
        <f>AN119='2020'!AR1037</f>
        <v>1</v>
      </c>
      <c r="AO121" s="120" t="b">
        <f>AO119='2020'!AS1037</f>
        <v>1</v>
      </c>
      <c r="AP121" s="120" t="b">
        <f>AP119='2020'!AT1037</f>
        <v>1</v>
      </c>
      <c r="AQ121" s="120" t="b">
        <f>AQ119='2020'!AU1037</f>
        <v>1</v>
      </c>
      <c r="AR121" s="120" t="b">
        <f>AR119='2020'!AV1037</f>
        <v>1</v>
      </c>
      <c r="AS121" s="120" t="b">
        <f>AS119='2020'!AW1037</f>
        <v>1</v>
      </c>
      <c r="AT121" s="120" t="b">
        <f>AT119='2020'!AX1037</f>
        <v>1</v>
      </c>
      <c r="AU121" s="120" t="b">
        <f>AU119='2020'!AY1037</f>
        <v>1</v>
      </c>
      <c r="AV121" s="120" t="b">
        <f>AV119='2020'!AZ1037</f>
        <v>1</v>
      </c>
      <c r="AW121" s="120"/>
      <c r="AX121" s="120"/>
      <c r="AY121" s="120" t="b">
        <f>AY119='2020'!BA1037</f>
        <v>1</v>
      </c>
      <c r="AZ121" s="120" t="b">
        <f>AZ119='2020'!BB1037</f>
        <v>1</v>
      </c>
      <c r="BA121" s="120" t="b">
        <f>BA119='2020'!BC1037</f>
        <v>1</v>
      </c>
      <c r="BB121" s="120" t="b">
        <f>BB119='2020'!BD1037</f>
        <v>1</v>
      </c>
      <c r="BC121" s="120"/>
      <c r="BD121" s="120"/>
      <c r="BE121" s="120" t="b">
        <f>BE119='2020'!BE1037</f>
        <v>1</v>
      </c>
      <c r="BF121" s="120" t="b">
        <f>BF119='2020'!BF1037</f>
        <v>1</v>
      </c>
      <c r="BG121" s="120" t="b">
        <f>BG119='2020'!BG1037</f>
        <v>1</v>
      </c>
      <c r="BH121" s="120" t="b">
        <f>BH119='2020'!BH1037</f>
        <v>1</v>
      </c>
      <c r="BI121" s="120"/>
    </row>
    <row r="122" ht="15.75" customHeight="1" spans="1:61" x14ac:dyDescent="0.25" outlineLevel="1" collapsed="1">
      <c r="A122" s="15"/>
      <c r="B122" s="112"/>
      <c r="C122" s="112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  <c r="BC122" s="120"/>
      <c r="BD122" s="120"/>
      <c r="BE122" s="120" t="b">
        <f t="shared" ref="BE122:BG122" si="5">BE119=F119+J119+N119+R119+V119+Z119+AD119+AH119+AL119+AP119+AT119+AZ119</f>
        <v>1</v>
      </c>
      <c r="BF122" s="120" t="b">
        <f t="shared" si="5"/>
        <v>1</v>
      </c>
      <c r="BG122" s="120" t="b">
        <f t="shared" si="5"/>
        <v>1</v>
      </c>
      <c r="BH122" s="120"/>
      <c r="BI122" s="120"/>
    </row>
    <row r="123" ht="18" customHeight="1" spans="1:62" x14ac:dyDescent="0.25">
      <c r="A123" s="15"/>
      <c r="B123" s="167" t="s">
        <v>481</v>
      </c>
      <c r="C123" s="112"/>
      <c r="E123" s="168">
        <f t="shared" ref="E123:BJ123" si="6">E5+E6+E9+E17+E26+E32+E38+E43+E44+E46+E47+E54+E55+E57+E58+E60+E61+E63+E64+E74+E90+E98+E99+E109+E115+E118</f>
        <v>165854</v>
      </c>
      <c r="F123" s="168">
        <f t="shared" si="6"/>
        <v>7641</v>
      </c>
      <c r="G123" s="136">
        <f t="shared" si="6"/>
        <v>19102.5</v>
      </c>
      <c r="H123" s="136">
        <f t="shared" si="6"/>
        <v>14182.5</v>
      </c>
      <c r="I123" s="168">
        <f t="shared" si="6"/>
        <v>173827</v>
      </c>
      <c r="J123" s="168">
        <f t="shared" si="6"/>
        <v>7973</v>
      </c>
      <c r="K123" s="136">
        <f t="shared" si="6"/>
        <v>19932.5</v>
      </c>
      <c r="L123" s="136">
        <f t="shared" si="6"/>
        <v>18061.74</v>
      </c>
      <c r="M123" s="168">
        <f t="shared" si="6"/>
        <v>181119</v>
      </c>
      <c r="N123" s="168">
        <f t="shared" si="6"/>
        <v>7292</v>
      </c>
      <c r="O123" s="136">
        <f t="shared" si="6"/>
        <v>18230</v>
      </c>
      <c r="P123" s="136">
        <f t="shared" si="6"/>
        <v>29780.71</v>
      </c>
      <c r="Q123" s="168">
        <f t="shared" si="6"/>
        <v>185574</v>
      </c>
      <c r="R123" s="168">
        <f t="shared" si="6"/>
        <v>4455</v>
      </c>
      <c r="S123" s="136">
        <f t="shared" si="6"/>
        <v>11137.5</v>
      </c>
      <c r="T123" s="136">
        <f t="shared" si="6"/>
        <v>18120</v>
      </c>
      <c r="U123" s="168">
        <f t="shared" si="6"/>
        <v>189347</v>
      </c>
      <c r="V123" s="168">
        <f t="shared" si="6"/>
        <v>3773</v>
      </c>
      <c r="W123" s="136">
        <f t="shared" si="6"/>
        <v>9432.5</v>
      </c>
      <c r="X123" s="136">
        <f t="shared" si="6"/>
        <v>6696.5</v>
      </c>
      <c r="Y123" s="168">
        <f t="shared" si="6"/>
        <v>191596</v>
      </c>
      <c r="Z123" s="168">
        <f t="shared" si="6"/>
        <v>4019</v>
      </c>
      <c r="AA123" s="136">
        <f t="shared" si="6"/>
        <v>10109.9</v>
      </c>
      <c r="AB123" s="136">
        <f t="shared" si="6"/>
        <v>7378.1</v>
      </c>
      <c r="AC123" s="168">
        <f t="shared" si="6"/>
        <v>194653</v>
      </c>
      <c r="AD123" s="168">
        <f t="shared" si="6"/>
        <v>3358</v>
      </c>
      <c r="AE123" s="136">
        <f t="shared" si="6"/>
        <v>8730.8</v>
      </c>
      <c r="AF123" s="136">
        <f t="shared" si="6"/>
        <v>18279.07</v>
      </c>
      <c r="AG123" s="168">
        <f t="shared" si="6"/>
        <v>198723</v>
      </c>
      <c r="AH123" s="168">
        <f t="shared" si="6"/>
        <v>4070</v>
      </c>
      <c r="AI123" s="136">
        <f t="shared" si="6"/>
        <v>10582</v>
      </c>
      <c r="AJ123" s="136">
        <f t="shared" si="6"/>
        <v>8378.13</v>
      </c>
      <c r="AK123" s="168">
        <f t="shared" si="6"/>
        <v>203103</v>
      </c>
      <c r="AL123" s="168">
        <f t="shared" si="6"/>
        <v>4380</v>
      </c>
      <c r="AM123" s="136">
        <f t="shared" si="6"/>
        <v>11382</v>
      </c>
      <c r="AN123" s="136">
        <f t="shared" si="6"/>
        <v>7313.37</v>
      </c>
      <c r="AO123" s="168">
        <f t="shared" si="6"/>
        <v>208543</v>
      </c>
      <c r="AP123" s="168">
        <f t="shared" si="6"/>
        <v>8885</v>
      </c>
      <c r="AQ123" s="136">
        <f t="shared" si="6"/>
        <v>23101</v>
      </c>
      <c r="AR123" s="136">
        <f t="shared" si="6"/>
        <v>8633.96</v>
      </c>
      <c r="AS123" s="168">
        <f t="shared" si="6"/>
        <v>197837</v>
      </c>
      <c r="AT123" s="168">
        <f t="shared" si="6"/>
        <v>10772</v>
      </c>
      <c r="AU123" s="136">
        <f t="shared" si="6"/>
        <v>28007.2</v>
      </c>
      <c r="AV123" s="136">
        <f t="shared" si="6"/>
        <v>32608.12</v>
      </c>
      <c r="AW123" s="168">
        <f t="shared" si="6"/>
        <v>1153</v>
      </c>
      <c r="AX123" s="136">
        <f t="shared" si="6"/>
        <v>2997.8</v>
      </c>
      <c r="AY123" s="168">
        <f t="shared" si="6"/>
        <v>211797</v>
      </c>
      <c r="AZ123" s="168">
        <f t="shared" si="6"/>
        <v>13960</v>
      </c>
      <c r="BA123" s="136">
        <f t="shared" si="6"/>
        <v>36296</v>
      </c>
      <c r="BB123" s="136">
        <f t="shared" si="6"/>
        <v>32655.4</v>
      </c>
      <c r="BC123" s="168">
        <f t="shared" si="6"/>
        <v>1276</v>
      </c>
      <c r="BD123" s="136">
        <f t="shared" si="6"/>
        <v>3317.6</v>
      </c>
      <c r="BE123" s="168">
        <f t="shared" si="6"/>
        <v>80578</v>
      </c>
      <c r="BF123" s="136">
        <f t="shared" si="6"/>
        <v>206043.9</v>
      </c>
      <c r="BG123" s="136">
        <f t="shared" si="6"/>
        <v>202087.6</v>
      </c>
      <c r="BH123" s="136">
        <f t="shared" si="6"/>
        <v>18366.73</v>
      </c>
      <c r="BI123" s="136">
        <f t="shared" si="6"/>
        <v>6315.4</v>
      </c>
      <c r="BJ123" s="136">
        <f t="shared" si="6"/>
        <v>24682.13</v>
      </c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spans="1:3" x14ac:dyDescent="0.25">
      <c r="A316" s="15"/>
      <c r="B316" s="112"/>
      <c r="C316" s="112"/>
    </row>
    <row r="317" ht="15.75" customHeight="1" spans="1:3" x14ac:dyDescent="0.25">
      <c r="A317" s="15"/>
      <c r="B317" s="112"/>
      <c r="C317" s="112"/>
    </row>
    <row r="318" ht="15.75" customHeight="1" spans="1:3" x14ac:dyDescent="0.25">
      <c r="A318" s="15"/>
      <c r="B318" s="112"/>
      <c r="C318" s="112"/>
    </row>
    <row r="319" ht="15.75" customHeight="1" spans="1:3" x14ac:dyDescent="0.25">
      <c r="A319" s="15"/>
      <c r="B319" s="112"/>
      <c r="C319" s="112"/>
    </row>
    <row r="320" ht="15.75" customHeight="1" spans="1:3" x14ac:dyDescent="0.25">
      <c r="A320" s="15"/>
      <c r="B320" s="112"/>
      <c r="C320" s="112"/>
    </row>
    <row r="321" ht="15.75" customHeight="1" spans="1:3" x14ac:dyDescent="0.25">
      <c r="A321" s="15"/>
      <c r="B321" s="112"/>
      <c r="C321" s="112"/>
    </row>
    <row r="322" ht="15.75" customHeight="1" spans="1:3" x14ac:dyDescent="0.25">
      <c r="A322" s="15"/>
      <c r="B322" s="112"/>
      <c r="C322" s="112"/>
    </row>
    <row r="323" ht="15.75" customHeight="1" spans="1:3" x14ac:dyDescent="0.25">
      <c r="A323" s="15"/>
      <c r="B323" s="112"/>
      <c r="C323" s="112"/>
    </row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B$4:$BE$121"/>
  <mergeCells count="15">
    <mergeCell ref="E3:H3"/>
    <mergeCell ref="I3:L3"/>
    <mergeCell ref="M3:P3"/>
    <mergeCell ref="Q3:T3"/>
    <mergeCell ref="U3:X3"/>
    <mergeCell ref="Y3:AB3"/>
    <mergeCell ref="AC3:AF3"/>
    <mergeCell ref="AG3:AJ3"/>
    <mergeCell ref="AK3:AN3"/>
    <mergeCell ref="AO3:AR3"/>
    <mergeCell ref="AS3:AV3"/>
    <mergeCell ref="AW3:AX3"/>
    <mergeCell ref="AY3:BB3"/>
    <mergeCell ref="BC3:BD3"/>
    <mergeCell ref="BE3:BH3"/>
  </mergeCells>
  <pageMargins left="0.196527777777778" right="0" top="0.196527777777778" bottom="0.196527777777778" header="0" footer="0"/>
  <pageSetup paperSize="9" orientation="landscape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L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14" outlineLevel="1" collapsed="1" customWidth="1"/>
    <col min="2" max="2" width="9.86" customWidth="1"/>
    <col min="3" max="3" width="6.43" outlineLevel="1" collapsed="1" customWidth="1"/>
    <col min="4" max="4" width="13.86" outlineLevel="1" collapsed="1" customWidth="1"/>
    <col min="5" max="6" width="7.14" customWidth="1"/>
    <col min="7" max="8" width="8.86" customWidth="1"/>
    <col min="9" max="10" width="7.14" customWidth="1"/>
    <col min="11" max="11" width="8.86" customWidth="1"/>
    <col min="12" max="12" width="11.14" customWidth="1"/>
    <col min="13" max="13" width="9.43" outlineLevel="1" collapsed="1" customWidth="1"/>
    <col min="14" max="14" width="9.14" outlineLevel="1" collapsed="1" customWidth="1"/>
    <col min="15" max="15" width="12" outlineLevel="1" collapsed="1" customWidth="1"/>
    <col min="16" max="16" width="11.14" outlineLevel="1" collapsed="1" customWidth="1"/>
    <col min="17" max="17" width="10" outlineLevel="1" collapsed="1" customWidth="1"/>
    <col min="18" max="18" width="9" outlineLevel="1" collapsed="1" customWidth="1"/>
    <col min="19" max="19" width="12" outlineLevel="1" collapsed="1" customWidth="1"/>
    <col min="20" max="20" width="11.14" outlineLevel="1" collapsed="1" customWidth="1"/>
    <col min="21" max="21" width="9.43" outlineLevel="1" collapsed="1" customWidth="1"/>
    <col min="22" max="22" width="9" outlineLevel="1" collapsed="1" customWidth="1"/>
    <col min="23" max="23" width="12" outlineLevel="1" collapsed="1" customWidth="1"/>
    <col min="24" max="24" width="11.14" outlineLevel="1" collapsed="1" customWidth="1"/>
    <col min="25" max="25" width="9.43" outlineLevel="1" collapsed="1" customWidth="1"/>
    <col min="26" max="26" width="9" outlineLevel="1" collapsed="1" customWidth="1"/>
    <col min="27" max="27" width="12" outlineLevel="1" collapsed="1" customWidth="1"/>
    <col min="28" max="28" width="11.14" outlineLevel="1" collapsed="1" customWidth="1"/>
    <col min="29" max="29" width="9.43" outlineLevel="1" collapsed="1" customWidth="1"/>
    <col min="30" max="30" width="9" outlineLevel="1" collapsed="1" customWidth="1"/>
    <col min="31" max="31" width="12" outlineLevel="1" collapsed="1" customWidth="1"/>
    <col min="32" max="32" width="11.86" outlineLevel="1" collapsed="1" customWidth="1"/>
    <col min="33" max="33" width="9.14" outlineLevel="1" collapsed="1" customWidth="1"/>
    <col min="34" max="34" width="9" outlineLevel="1" collapsed="1" customWidth="1"/>
    <col min="35" max="35" width="12" outlineLevel="1" collapsed="1" customWidth="1"/>
    <col min="36" max="36" width="11.14" outlineLevel="1" collapsed="1" customWidth="1"/>
    <col min="37" max="37" width="9.43" outlineLevel="1" collapsed="1" customWidth="1"/>
    <col min="38" max="38" width="9" outlineLevel="1" collapsed="1" customWidth="1"/>
    <col min="39" max="39" width="12" outlineLevel="1" collapsed="1" customWidth="1"/>
    <col min="40" max="40" width="11.14" outlineLevel="1" collapsed="1" customWidth="1"/>
    <col min="41" max="41" width="9.14" outlineLevel="1" collapsed="1" customWidth="1"/>
    <col min="42" max="42" width="9" outlineLevel="1" collapsed="1" customWidth="1"/>
    <col min="43" max="43" width="12" outlineLevel="1" collapsed="1" customWidth="1"/>
    <col min="44" max="44" width="11.14" outlineLevel="1" collapsed="1" customWidth="1"/>
    <col min="45" max="45" width="9.43" outlineLevel="1" collapsed="1" customWidth="1"/>
    <col min="46" max="46" width="9" outlineLevel="1" collapsed="1" customWidth="1"/>
    <col min="47" max="47" width="12" outlineLevel="1" collapsed="1" customWidth="1"/>
    <col min="48" max="48" width="11.14" outlineLevel="1" collapsed="1" customWidth="1"/>
    <col min="49" max="49" width="8.14" outlineLevel="1" collapsed="1" customWidth="1"/>
    <col min="50" max="50" width="9.14" outlineLevel="1" collapsed="1" customWidth="1"/>
    <col min="51" max="51" width="11.43" outlineLevel="1" collapsed="1" customWidth="1"/>
    <col min="52" max="52" width="9" outlineLevel="1" collapsed="1" customWidth="1"/>
    <col min="53" max="53" width="12" outlineLevel="1" collapsed="1" customWidth="1"/>
    <col min="54" max="54" width="11.14" outlineLevel="1" collapsed="1" customWidth="1"/>
    <col min="55" max="55" width="9" outlineLevel="1" collapsed="1" customWidth="1"/>
    <col min="56" max="56" width="12" outlineLevel="1" collapsed="1" customWidth="1"/>
    <col min="57" max="57" width="9.43" customWidth="1"/>
    <col min="58" max="59" width="9.86" customWidth="1"/>
    <col min="60" max="60" width="9.14" customWidth="1"/>
    <col min="61" max="61" width="9.14" outlineLevel="1" collapsed="1" customWidth="1"/>
    <col min="62" max="62" width="9.43" outlineLevel="1" collapsed="1" customWidth="1"/>
    <col min="63" max="63" width="8.86" customWidth="1"/>
    <col min="64" max="64" width="8.43" customWidth="1"/>
  </cols>
  <sheetData>
    <row r="1" spans="1:57" x14ac:dyDescent="0.25">
      <c r="A1" s="15"/>
      <c r="B1" s="1" t="s">
        <v>541</v>
      </c>
      <c r="C1" s="112"/>
      <c r="D1" s="2" t="s">
        <v>542</v>
      </c>
      <c r="G1" s="1"/>
      <c r="H1" s="1"/>
      <c r="I1" s="1"/>
      <c r="J1" s="1"/>
      <c r="K1" s="1"/>
      <c r="L1" s="1"/>
      <c r="M1" s="1"/>
      <c r="N1" s="1"/>
      <c r="O1" s="1"/>
      <c r="P1" s="1"/>
      <c r="R1" s="1"/>
      <c r="S1" s="1"/>
      <c r="T1" s="1"/>
      <c r="V1" s="1"/>
      <c r="W1" s="1"/>
      <c r="X1" s="1"/>
      <c r="Y1" s="1"/>
      <c r="Z1" s="1"/>
      <c r="AB1" s="1"/>
      <c r="BE1" s="2" t="str">
        <f>'2021'!F1</f>
        <v>на 15 декабря 2021 года</v>
      </c>
    </row>
    <row r="2" spans="1:50" x14ac:dyDescent="0.25">
      <c r="A2" s="15"/>
      <c r="B2" s="112" t="s">
        <v>366</v>
      </c>
      <c r="C2" s="112"/>
      <c r="AX2" s="182">
        <v>2.7</v>
      </c>
    </row>
    <row r="3" spans="1:62" x14ac:dyDescent="0.25">
      <c r="A3" s="4"/>
      <c r="B3" s="339" t="s">
        <v>2</v>
      </c>
      <c r="C3" s="17" t="s">
        <v>354</v>
      </c>
      <c r="D3" s="16" t="s">
        <v>355</v>
      </c>
      <c r="E3" s="6" t="s">
        <v>9</v>
      </c>
      <c r="F3" s="9"/>
      <c r="G3" s="9"/>
      <c r="H3" s="7"/>
      <c r="I3" s="6" t="s">
        <v>10</v>
      </c>
      <c r="J3" s="9"/>
      <c r="K3" s="9"/>
      <c r="L3" s="7"/>
      <c r="M3" s="6" t="s">
        <v>11</v>
      </c>
      <c r="N3" s="9"/>
      <c r="O3" s="9"/>
      <c r="P3" s="7"/>
      <c r="Q3" s="6" t="s">
        <v>12</v>
      </c>
      <c r="R3" s="9"/>
      <c r="S3" s="9"/>
      <c r="T3" s="7"/>
      <c r="U3" s="6" t="s">
        <v>13</v>
      </c>
      <c r="V3" s="9"/>
      <c r="W3" s="9"/>
      <c r="X3" s="7"/>
      <c r="Y3" s="6" t="s">
        <v>14</v>
      </c>
      <c r="Z3" s="9"/>
      <c r="AA3" s="9"/>
      <c r="AB3" s="7"/>
      <c r="AC3" s="6" t="s">
        <v>15</v>
      </c>
      <c r="AD3" s="9"/>
      <c r="AE3" s="9"/>
      <c r="AF3" s="7"/>
      <c r="AG3" s="6" t="s">
        <v>16</v>
      </c>
      <c r="AH3" s="9"/>
      <c r="AI3" s="9"/>
      <c r="AJ3" s="7"/>
      <c r="AK3" s="6" t="s">
        <v>17</v>
      </c>
      <c r="AL3" s="9"/>
      <c r="AM3" s="9"/>
      <c r="AN3" s="7"/>
      <c r="AO3" s="6" t="s">
        <v>18</v>
      </c>
      <c r="AP3" s="9"/>
      <c r="AQ3" s="9"/>
      <c r="AR3" s="7"/>
      <c r="AS3" s="6" t="s">
        <v>19</v>
      </c>
      <c r="AT3" s="9"/>
      <c r="AU3" s="9"/>
      <c r="AV3" s="7"/>
      <c r="AW3" s="6" t="s">
        <v>372</v>
      </c>
      <c r="AX3" s="7"/>
      <c r="AY3" s="6" t="s">
        <v>20</v>
      </c>
      <c r="AZ3" s="9"/>
      <c r="BA3" s="9"/>
      <c r="BB3" s="7"/>
      <c r="BC3" s="6" t="s">
        <v>372</v>
      </c>
      <c r="BD3" s="7"/>
      <c r="BE3" s="8" t="s">
        <v>540</v>
      </c>
      <c r="BF3" s="9"/>
      <c r="BG3" s="9"/>
      <c r="BH3" s="7"/>
      <c r="BI3" s="17" t="s">
        <v>33</v>
      </c>
      <c r="BJ3" s="336" t="s">
        <v>373</v>
      </c>
    </row>
    <row r="4" spans="1:62" x14ac:dyDescent="0.25">
      <c r="A4" s="21"/>
      <c r="B4" s="340" t="s">
        <v>23</v>
      </c>
      <c r="C4" s="24"/>
      <c r="D4" s="23"/>
      <c r="E4" s="4" t="s">
        <v>30</v>
      </c>
      <c r="F4" s="4" t="s">
        <v>3</v>
      </c>
      <c r="G4" s="17" t="s">
        <v>374</v>
      </c>
      <c r="H4" s="17" t="s">
        <v>32</v>
      </c>
      <c r="I4" s="4" t="s">
        <v>30</v>
      </c>
      <c r="J4" s="4" t="s">
        <v>3</v>
      </c>
      <c r="K4" s="17" t="s">
        <v>374</v>
      </c>
      <c r="L4" s="17" t="s">
        <v>32</v>
      </c>
      <c r="M4" s="4" t="s">
        <v>30</v>
      </c>
      <c r="N4" s="4" t="s">
        <v>3</v>
      </c>
      <c r="O4" s="17" t="s">
        <v>374</v>
      </c>
      <c r="P4" s="17" t="s">
        <v>32</v>
      </c>
      <c r="Q4" s="4" t="s">
        <v>30</v>
      </c>
      <c r="R4" s="4" t="s">
        <v>3</v>
      </c>
      <c r="S4" s="17" t="s">
        <v>374</v>
      </c>
      <c r="T4" s="17" t="s">
        <v>32</v>
      </c>
      <c r="U4" s="4" t="s">
        <v>30</v>
      </c>
      <c r="V4" s="4" t="s">
        <v>3</v>
      </c>
      <c r="W4" s="17" t="s">
        <v>374</v>
      </c>
      <c r="X4" s="17" t="s">
        <v>32</v>
      </c>
      <c r="Y4" s="4" t="s">
        <v>30</v>
      </c>
      <c r="Z4" s="4" t="s">
        <v>3</v>
      </c>
      <c r="AA4" s="17" t="s">
        <v>374</v>
      </c>
      <c r="AB4" s="17" t="s">
        <v>32</v>
      </c>
      <c r="AC4" s="4" t="s">
        <v>30</v>
      </c>
      <c r="AD4" s="4" t="s">
        <v>3</v>
      </c>
      <c r="AE4" s="17" t="s">
        <v>374</v>
      </c>
      <c r="AF4" s="17" t="s">
        <v>32</v>
      </c>
      <c r="AG4" s="4" t="s">
        <v>30</v>
      </c>
      <c r="AH4" s="4" t="s">
        <v>3</v>
      </c>
      <c r="AI4" s="17" t="s">
        <v>374</v>
      </c>
      <c r="AJ4" s="17" t="s">
        <v>32</v>
      </c>
      <c r="AK4" s="4" t="s">
        <v>30</v>
      </c>
      <c r="AL4" s="4" t="s">
        <v>3</v>
      </c>
      <c r="AM4" s="17" t="s">
        <v>374</v>
      </c>
      <c r="AN4" s="17" t="s">
        <v>32</v>
      </c>
      <c r="AO4" s="4" t="s">
        <v>30</v>
      </c>
      <c r="AP4" s="4" t="s">
        <v>3</v>
      </c>
      <c r="AQ4" s="17" t="s">
        <v>374</v>
      </c>
      <c r="AR4" s="17" t="s">
        <v>32</v>
      </c>
      <c r="AS4" s="4" t="s">
        <v>30</v>
      </c>
      <c r="AT4" s="4" t="s">
        <v>3</v>
      </c>
      <c r="AU4" s="17" t="s">
        <v>374</v>
      </c>
      <c r="AV4" s="17" t="s">
        <v>32</v>
      </c>
      <c r="AW4" s="4" t="s">
        <v>3</v>
      </c>
      <c r="AX4" s="17" t="s">
        <v>374</v>
      </c>
      <c r="AY4" s="4" t="s">
        <v>30</v>
      </c>
      <c r="AZ4" s="4" t="s">
        <v>3</v>
      </c>
      <c r="BA4" s="17" t="s">
        <v>374</v>
      </c>
      <c r="BB4" s="17" t="s">
        <v>32</v>
      </c>
      <c r="BC4" s="4" t="s">
        <v>3</v>
      </c>
      <c r="BD4" s="17" t="s">
        <v>374</v>
      </c>
      <c r="BE4" s="4" t="s">
        <v>3</v>
      </c>
      <c r="BF4" s="17" t="s">
        <v>33</v>
      </c>
      <c r="BG4" s="17" t="s">
        <v>34</v>
      </c>
      <c r="BH4" s="115" t="s">
        <v>35</v>
      </c>
      <c r="BI4" s="24" t="s">
        <v>369</v>
      </c>
      <c r="BJ4" s="337" t="s">
        <v>369</v>
      </c>
    </row>
    <row r="5" spans="1:62" x14ac:dyDescent="0.25">
      <c r="A5" s="114" t="s">
        <v>41</v>
      </c>
      <c r="B5" s="125">
        <v>1</v>
      </c>
      <c r="C5" s="116">
        <v>4</v>
      </c>
      <c r="D5" s="117" t="s">
        <v>43</v>
      </c>
      <c r="E5" s="119">
        <f>'2021'!I8</f>
        <v>5601</v>
      </c>
      <c r="F5" s="21">
        <f>'2021'!J8</f>
        <v>49</v>
      </c>
      <c r="G5" s="124">
        <f>'2021'!K8</f>
        <v>127.4</v>
      </c>
      <c r="H5" s="124">
        <f>'2021'!L8</f>
      </c>
      <c r="I5" s="119">
        <f>'2021'!M8</f>
        <v>5691</v>
      </c>
      <c r="J5" s="119">
        <f>'2021'!N8</f>
        <v>90</v>
      </c>
      <c r="K5" s="106">
        <f>'2021'!O8</f>
        <v>234</v>
      </c>
      <c r="L5" s="106">
        <f>'2021'!P8</f>
      </c>
      <c r="M5" s="119">
        <f>'2021'!Q8</f>
        <v>5744</v>
      </c>
      <c r="N5" s="119">
        <f>'2021'!R8</f>
        <v>53</v>
      </c>
      <c r="O5" s="106">
        <f>'2021'!S8</f>
        <v>137.8</v>
      </c>
      <c r="P5" s="106">
        <f>'2021'!T8</f>
      </c>
      <c r="Q5" s="119">
        <f>'2021'!U8</f>
        <v>5806</v>
      </c>
      <c r="R5" s="119">
        <f>'2021'!V8</f>
        <v>62</v>
      </c>
      <c r="S5" s="106">
        <f>'2021'!W8</f>
        <v>161.2</v>
      </c>
      <c r="T5" s="106">
        <f>'2021'!X8</f>
      </c>
      <c r="U5" s="119">
        <f>'2021'!Y8</f>
        <v>5809</v>
      </c>
      <c r="V5" s="119">
        <f>'2021'!Z8</f>
        <v>3</v>
      </c>
      <c r="W5" s="106">
        <f>'2021'!AA8</f>
        <v>7.8</v>
      </c>
      <c r="X5" s="106">
        <f>'2021'!AB8</f>
      </c>
      <c r="Y5" s="119">
        <f>'2021'!AC8</f>
        <v>5853</v>
      </c>
      <c r="Z5" s="119">
        <f>'2021'!AD8</f>
        <v>44</v>
      </c>
      <c r="AA5" s="106">
        <f>'2021'!AE8</f>
        <v>114.4</v>
      </c>
      <c r="AB5" s="106">
        <f>'2021'!AF8</f>
      </c>
      <c r="AC5" s="119">
        <f>'2021'!AG8</f>
        <v>5909</v>
      </c>
      <c r="AD5" s="119">
        <f>'2021'!AH8</f>
        <v>56</v>
      </c>
      <c r="AE5" s="106">
        <f>'2021'!AI8</f>
        <v>151.2</v>
      </c>
      <c r="AF5" s="106">
        <f>'2021'!AJ8</f>
      </c>
      <c r="AG5" s="119">
        <f>'2021'!AK8</f>
        <v>5965</v>
      </c>
      <c r="AH5" s="119">
        <f>'2021'!AL8</f>
        <v>56</v>
      </c>
      <c r="AI5" s="106">
        <f>'2021'!AM8</f>
        <v>151.2</v>
      </c>
      <c r="AJ5" s="106">
        <f>'2021'!AN8</f>
      </c>
      <c r="AK5" s="119">
        <f>'2021'!AO8</f>
        <v>6012</v>
      </c>
      <c r="AL5" s="119">
        <f>'2021'!AP8</f>
        <v>47</v>
      </c>
      <c r="AM5" s="106">
        <f>'2021'!AQ8</f>
        <v>126.9</v>
      </c>
      <c r="AN5" s="106">
        <f>'2021'!AR8</f>
      </c>
      <c r="AO5" s="119">
        <f>'2021'!AS8</f>
        <v>6067</v>
      </c>
      <c r="AP5" s="119">
        <f>'2021'!AT8</f>
        <v>55</v>
      </c>
      <c r="AQ5" s="106">
        <f>'2021'!AU8</f>
        <v>148.5</v>
      </c>
      <c r="AR5" s="106">
        <f>'2021'!AV8</f>
      </c>
      <c r="AS5" s="119">
        <f>'2021'!AW8</f>
        <v>6159</v>
      </c>
      <c r="AT5" s="119">
        <f>'2021'!AX8</f>
        <v>92</v>
      </c>
      <c r="AU5" s="106">
        <f>'2021'!AY8</f>
        <v>248.4</v>
      </c>
      <c r="AV5" s="106">
        <f>'2021'!AZ8</f>
      </c>
      <c r="AW5" s="106"/>
      <c r="AX5" s="106">
        <f t="shared" ref="AX5:AX118" si="0">AW5*$AX$2</f>
        <v>0</v>
      </c>
      <c r="AY5" s="119">
        <f>'2021'!BA8</f>
        <v>6215</v>
      </c>
      <c r="AZ5" s="119">
        <f>'2021'!BB8</f>
        <v>56</v>
      </c>
      <c r="BA5" s="106">
        <f>'2021'!BC8</f>
        <v>151.2</v>
      </c>
      <c r="BB5" s="106">
        <f>'2021'!BD8</f>
      </c>
      <c r="BC5" s="106"/>
      <c r="BD5" s="106">
        <f t="shared" ref="BD5:BD118" si="1">BC5*$AX$2</f>
        <v>0</v>
      </c>
      <c r="BE5" s="119">
        <f>'2021'!BE8</f>
        <v>663</v>
      </c>
      <c r="BF5" s="106">
        <f>'2021'!BF8</f>
        <v>1760</v>
      </c>
      <c r="BG5" s="106">
        <f>'2021'!BG8</f>
        <v>0</v>
      </c>
      <c r="BH5" s="106">
        <f>'2021'!BH8</f>
        <v>3737.11</v>
      </c>
      <c r="BI5" s="106">
        <f t="shared" ref="BI5:BI118" si="2">AX5+BD5</f>
        <v>0</v>
      </c>
      <c r="BJ5" s="338">
        <f t="shared" ref="BJ5:BJ118" si="3">BH5+BI5</f>
        <v>3737.11</v>
      </c>
    </row>
    <row r="6" spans="1:62" x14ac:dyDescent="0.25">
      <c r="A6" s="14"/>
      <c r="B6" s="125">
        <v>2</v>
      </c>
      <c r="C6" s="115">
        <v>4.12</v>
      </c>
      <c r="D6" s="117" t="s">
        <v>359</v>
      </c>
      <c r="E6" s="119">
        <f>'2021'!I18</f>
        <v>29520</v>
      </c>
      <c r="F6" s="119">
        <f>'2021'!J18</f>
        <v>1000</v>
      </c>
      <c r="G6" s="106">
        <f>'2021'!K18</f>
        <v>2600</v>
      </c>
      <c r="H6" s="106">
        <f>'2021'!L18</f>
      </c>
      <c r="I6" s="119">
        <f>'2021'!M18</f>
        <v>30384</v>
      </c>
      <c r="J6" s="119">
        <f>'2021'!N18</f>
        <v>864</v>
      </c>
      <c r="K6" s="106">
        <f>'2021'!O18</f>
        <v>2246.4</v>
      </c>
      <c r="L6" s="106">
        <f>'2021'!P18</f>
        <v>2600</v>
      </c>
      <c r="M6" s="119">
        <f>'2021'!Q18</f>
        <v>31034</v>
      </c>
      <c r="N6" s="119">
        <f>'2021'!R18</f>
        <v>650</v>
      </c>
      <c r="O6" s="106">
        <f>'2021'!S18</f>
        <v>1690</v>
      </c>
      <c r="P6" s="106">
        <f>'2021'!T18</f>
        <v>3936.4</v>
      </c>
      <c r="Q6" s="119">
        <f>'2021'!U18</f>
        <v>31661</v>
      </c>
      <c r="R6" s="119">
        <f>'2021'!V18</f>
        <v>627</v>
      </c>
      <c r="S6" s="106">
        <f>'2021'!W18</f>
        <v>1630.2</v>
      </c>
      <c r="T6" s="106">
        <f>'2021'!X18</f>
        <v>1630.2</v>
      </c>
      <c r="U6" s="119">
        <f>'2021'!Y18</f>
        <v>32280</v>
      </c>
      <c r="V6" s="119">
        <f>'2021'!Z18</f>
        <v>619</v>
      </c>
      <c r="W6" s="106">
        <f>'2021'!AA18</f>
        <v>1609.4</v>
      </c>
      <c r="X6" s="106">
        <f>'2021'!AB18</f>
        <v>1609.4</v>
      </c>
      <c r="Y6" s="119">
        <f>'2021'!AC18</f>
        <v>32772</v>
      </c>
      <c r="Z6" s="119">
        <f>'2021'!AD18</f>
        <v>492</v>
      </c>
      <c r="AA6" s="106">
        <f>'2021'!AE18</f>
        <v>1279.2</v>
      </c>
      <c r="AB6" s="106">
        <f>'2021'!AF18</f>
      </c>
      <c r="AC6" s="119">
        <f>'2021'!AG18</f>
        <v>33338</v>
      </c>
      <c r="AD6" s="119">
        <f>'2021'!AH18</f>
        <v>566</v>
      </c>
      <c r="AE6" s="106">
        <f>'2021'!AI18</f>
        <v>1528.2</v>
      </c>
      <c r="AF6" s="106">
        <f>'2021'!AJ18</f>
        <v>2807.4</v>
      </c>
      <c r="AG6" s="119">
        <f>'2021'!AK18</f>
        <v>33845</v>
      </c>
      <c r="AH6" s="119">
        <f>'2021'!AL18</f>
        <v>507</v>
      </c>
      <c r="AI6" s="106">
        <f>'2021'!AM18</f>
        <v>1368.9</v>
      </c>
      <c r="AJ6" s="106">
        <f>'2021'!AN18</f>
        <v>1368.9</v>
      </c>
      <c r="AK6" s="119">
        <f>'2021'!AO18</f>
        <v>34224</v>
      </c>
      <c r="AL6" s="119">
        <f>'2021'!AP18</f>
        <v>379</v>
      </c>
      <c r="AM6" s="106">
        <f>'2021'!AQ18</f>
        <v>1023.3</v>
      </c>
      <c r="AN6" s="106">
        <f>'2021'!AR18</f>
      </c>
      <c r="AO6" s="119">
        <f>'2021'!AS18</f>
        <v>34636</v>
      </c>
      <c r="AP6" s="119">
        <f>'2021'!AT18</f>
        <v>412</v>
      </c>
      <c r="AQ6" s="106">
        <f>'2021'!AU18</f>
        <v>1112.4</v>
      </c>
      <c r="AR6" s="106">
        <f>'2021'!AV18</f>
        <v>1023.3</v>
      </c>
      <c r="AS6" s="126">
        <f>'2021'!AW18</f>
        <v>35166</v>
      </c>
      <c r="AT6" s="119">
        <f>'2021'!AX18</f>
        <v>530</v>
      </c>
      <c r="AU6" s="106">
        <f>'2021'!AY18</f>
        <v>1431</v>
      </c>
      <c r="AV6" s="106">
        <f>'2021'!AZ18</f>
        <v>2430</v>
      </c>
      <c r="AW6" s="119"/>
      <c r="AX6" s="106">
        <f t="shared" si="0"/>
        <v>0</v>
      </c>
      <c r="AY6" s="119">
        <f>'2021'!BA18</f>
        <v>35593</v>
      </c>
      <c r="AZ6" s="119">
        <f>'2021'!BB18</f>
        <v>427</v>
      </c>
      <c r="BA6" s="106">
        <f>'2021'!BC18</f>
        <v>1152.9</v>
      </c>
      <c r="BB6" s="106">
        <f>'2021'!BD18</f>
        <v>1266.3</v>
      </c>
      <c r="BC6" s="106"/>
      <c r="BD6" s="106">
        <f t="shared" si="1"/>
        <v>0</v>
      </c>
      <c r="BE6" s="119">
        <f>'2021'!BE18</f>
        <v>7073</v>
      </c>
      <c r="BF6" s="106">
        <f>'2021'!BF18</f>
        <v>18671.9</v>
      </c>
      <c r="BG6" s="106">
        <f>'2021'!BG18</f>
        <v>18671.9</v>
      </c>
      <c r="BH6" s="106">
        <f>'2021'!BH18</f>
        <v>0</v>
      </c>
      <c r="BI6" s="106">
        <f t="shared" si="2"/>
        <v>0</v>
      </c>
      <c r="BJ6" s="338">
        <f t="shared" si="3"/>
        <v>0</v>
      </c>
    </row>
    <row r="7" spans="1:62" x14ac:dyDescent="0.25">
      <c r="A7" s="14"/>
      <c r="B7" s="115">
        <v>3</v>
      </c>
      <c r="C7" s="116">
        <v>4</v>
      </c>
      <c r="D7" s="117" t="s">
        <v>60</v>
      </c>
      <c r="E7" s="119">
        <f>'2021'!I27</f>
        <v>56</v>
      </c>
      <c r="F7" s="119">
        <f>'2021'!J27</f>
        <v>0</v>
      </c>
      <c r="G7" s="106">
        <f>'2021'!K27</f>
        <v>0</v>
      </c>
      <c r="H7" s="106">
        <f>'2021'!L27</f>
      </c>
      <c r="I7" s="119">
        <f>'2021'!M27</f>
        <v>56</v>
      </c>
      <c r="J7" s="119">
        <f>'2021'!N27</f>
        <v>0</v>
      </c>
      <c r="K7" s="106">
        <f>'2021'!O27</f>
        <v>0</v>
      </c>
      <c r="L7" s="106">
        <f>'2021'!P27</f>
      </c>
      <c r="M7" s="119">
        <f>'2021'!Q27</f>
        <v>56</v>
      </c>
      <c r="N7" s="119">
        <f>'2021'!R27</f>
        <v>0</v>
      </c>
      <c r="O7" s="106">
        <f>'2021'!S27</f>
        <v>0</v>
      </c>
      <c r="P7" s="106">
        <f>'2021'!T27</f>
      </c>
      <c r="Q7" s="119">
        <f>'2021'!U27</f>
        <v>56</v>
      </c>
      <c r="R7" s="119">
        <f>'2021'!V27</f>
        <v>0</v>
      </c>
      <c r="S7" s="106">
        <f>'2021'!W27</f>
        <v>0</v>
      </c>
      <c r="T7" s="106">
        <f>'2021'!X27</f>
      </c>
      <c r="U7" s="119">
        <f>'2021'!Y27</f>
        <v>59</v>
      </c>
      <c r="V7" s="119">
        <f>'2021'!Z27</f>
        <v>3</v>
      </c>
      <c r="W7" s="106">
        <f>'2021'!AA27</f>
        <v>7.8</v>
      </c>
      <c r="X7" s="106">
        <f>'2021'!AB27</f>
      </c>
      <c r="Y7" s="119">
        <f>'2021'!AC27</f>
        <v>61</v>
      </c>
      <c r="Z7" s="119">
        <f>'2021'!AD27</f>
        <v>2</v>
      </c>
      <c r="AA7" s="106">
        <f>'2021'!AE27</f>
        <v>5.2</v>
      </c>
      <c r="AB7" s="106">
        <f>'2021'!AF27</f>
        <v>7.48</v>
      </c>
      <c r="AC7" s="119">
        <f>'2021'!AG27</f>
        <v>62</v>
      </c>
      <c r="AD7" s="119">
        <f>'2021'!AH27</f>
        <v>1</v>
      </c>
      <c r="AE7" s="106">
        <f>'2021'!AI27</f>
        <v>2.7</v>
      </c>
      <c r="AF7" s="106">
        <f>'2021'!AJ27</f>
      </c>
      <c r="AG7" s="119">
        <f>'2021'!AK27</f>
        <v>62</v>
      </c>
      <c r="AH7" s="119">
        <f>'2021'!AL27</f>
        <v>0</v>
      </c>
      <c r="AI7" s="106">
        <f>'2021'!AM27</f>
        <v>0</v>
      </c>
      <c r="AJ7" s="106">
        <f>'2021'!AN27</f>
        <v>2.7</v>
      </c>
      <c r="AK7" s="119">
        <f>'2021'!AO27</f>
        <v>62</v>
      </c>
      <c r="AL7" s="119">
        <f>'2021'!AP27</f>
        <v>0</v>
      </c>
      <c r="AM7" s="106">
        <f>'2021'!AQ27</f>
        <v>0</v>
      </c>
      <c r="AN7" s="106">
        <f>'2021'!AR27</f>
      </c>
      <c r="AO7" s="119">
        <f>'2021'!AS27</f>
        <v>63</v>
      </c>
      <c r="AP7" s="119">
        <f>'2021'!AT27</f>
        <v>1</v>
      </c>
      <c r="AQ7" s="106">
        <f>'2021'!AU27</f>
        <v>2.7</v>
      </c>
      <c r="AR7" s="106">
        <f>'2021'!AV27</f>
      </c>
      <c r="AS7" s="119">
        <f>'2021'!AW27</f>
        <v>63</v>
      </c>
      <c r="AT7" s="119">
        <f>'2021'!AX27</f>
        <v>0</v>
      </c>
      <c r="AU7" s="106">
        <f>'2021'!AY27</f>
        <v>0</v>
      </c>
      <c r="AV7" s="106">
        <f>'2021'!AZ27</f>
      </c>
      <c r="AW7" s="106"/>
      <c r="AX7" s="106">
        <f t="shared" si="0"/>
        <v>0</v>
      </c>
      <c r="AY7" s="119">
        <f>'2021'!BA27</f>
        <v>63</v>
      </c>
      <c r="AZ7" s="119">
        <f>'2021'!BB27</f>
        <v>0</v>
      </c>
      <c r="BA7" s="106">
        <f>'2021'!BC27</f>
        <v>0</v>
      </c>
      <c r="BB7" s="106">
        <f>'2021'!BD27</f>
      </c>
      <c r="BC7" s="106"/>
      <c r="BD7" s="106">
        <f t="shared" si="1"/>
        <v>0</v>
      </c>
      <c r="BE7" s="119">
        <f>'2021'!BE27</f>
        <v>7</v>
      </c>
      <c r="BF7" s="106">
        <f>'2021'!BF27</f>
        <v>18.4</v>
      </c>
      <c r="BG7" s="106">
        <f>'2021'!BG27</f>
        <v>10.18</v>
      </c>
      <c r="BH7" s="106">
        <f>'2021'!BH27</f>
        <v>2.7</v>
      </c>
      <c r="BI7" s="106">
        <f t="shared" si="2"/>
        <v>0</v>
      </c>
      <c r="BJ7" s="338">
        <f t="shared" si="3"/>
        <v>2.7</v>
      </c>
    </row>
    <row r="8" spans="1:62" x14ac:dyDescent="0.25">
      <c r="A8" s="14"/>
      <c r="B8" s="115">
        <v>4</v>
      </c>
      <c r="C8" s="115">
        <v>3.95</v>
      </c>
      <c r="D8" s="117" t="s">
        <v>64</v>
      </c>
      <c r="E8" s="119">
        <f>'2021'!I36</f>
        <v>0</v>
      </c>
      <c r="F8" s="119">
        <f>'2021'!J36</f>
        <v>0</v>
      </c>
      <c r="G8" s="106">
        <f>'2021'!K36</f>
        <v>0</v>
      </c>
      <c r="H8" s="106">
        <f>'2021'!L36</f>
      </c>
      <c r="I8" s="119">
        <f>'2021'!M36</f>
        <v>0</v>
      </c>
      <c r="J8" s="119">
        <f>'2021'!N36</f>
        <v>0</v>
      </c>
      <c r="K8" s="106">
        <f>'2021'!O36</f>
        <v>0</v>
      </c>
      <c r="L8" s="106">
        <f>'2021'!P36</f>
      </c>
      <c r="M8" s="119">
        <f>'2021'!Q36</f>
        <v>0</v>
      </c>
      <c r="N8" s="119">
        <f>'2021'!R36</f>
        <v>0</v>
      </c>
      <c r="O8" s="106">
        <f>'2021'!S36</f>
        <v>0</v>
      </c>
      <c r="P8" s="106">
        <f>'2021'!T36</f>
      </c>
      <c r="Q8" s="119">
        <f>'2021'!U36</f>
        <v>0</v>
      </c>
      <c r="R8" s="119">
        <f>'2021'!V36</f>
        <v>0</v>
      </c>
      <c r="S8" s="106">
        <f>'2021'!W36</f>
        <v>0</v>
      </c>
      <c r="T8" s="106">
        <f>'2021'!X36</f>
      </c>
      <c r="U8" s="119">
        <f>'2021'!Y36</f>
      </c>
      <c r="V8" s="119">
        <f>'2021'!Z36</f>
        <v>0</v>
      </c>
      <c r="W8" s="106">
        <f>'2021'!AA36</f>
        <v>0</v>
      </c>
      <c r="X8" s="106">
        <f>'2021'!AB36</f>
      </c>
      <c r="Y8" s="119">
        <f>'2021'!AC36</f>
      </c>
      <c r="Z8" s="119">
        <f>'2021'!AD36</f>
        <v>0</v>
      </c>
      <c r="AA8" s="106">
        <f>'2021'!AE36</f>
        <v>0</v>
      </c>
      <c r="AB8" s="106">
        <f>'2021'!AF36</f>
      </c>
      <c r="AC8" s="119">
        <f>'2021'!AG36</f>
      </c>
      <c r="AD8" s="119">
        <f>'2021'!AH36</f>
        <v>0</v>
      </c>
      <c r="AE8" s="106">
        <f>'2021'!AI36</f>
        <v>0</v>
      </c>
      <c r="AF8" s="106">
        <f>'2021'!AJ36</f>
      </c>
      <c r="AG8" s="119">
        <f>'2021'!AK36</f>
      </c>
      <c r="AH8" s="119">
        <f>'2021'!AL36</f>
        <v>0</v>
      </c>
      <c r="AI8" s="106">
        <f>'2021'!AM36</f>
        <v>0</v>
      </c>
      <c r="AJ8" s="106">
        <f>'2021'!AN36</f>
      </c>
      <c r="AK8" s="119">
        <f>'2021'!AO36</f>
      </c>
      <c r="AL8" s="119">
        <f>'2021'!AP36</f>
        <v>0</v>
      </c>
      <c r="AM8" s="106">
        <f>'2021'!AQ36</f>
        <v>0</v>
      </c>
      <c r="AN8" s="106">
        <f>'2021'!AR36</f>
      </c>
      <c r="AO8" s="119">
        <f>'2021'!AS36</f>
      </c>
      <c r="AP8" s="119">
        <f>'2021'!AT36</f>
        <v>0</v>
      </c>
      <c r="AQ8" s="106">
        <f>'2021'!AU36</f>
        <v>0</v>
      </c>
      <c r="AR8" s="106">
        <f>'2021'!AV36</f>
      </c>
      <c r="AS8" s="119">
        <f>'2021'!AW36</f>
      </c>
      <c r="AT8" s="119">
        <f>'2021'!AX36</f>
        <v>0</v>
      </c>
      <c r="AU8" s="106">
        <f>'2021'!AY36</f>
        <v>0</v>
      </c>
      <c r="AV8" s="106">
        <f>'2021'!AZ36</f>
      </c>
      <c r="AW8" s="106"/>
      <c r="AX8" s="106">
        <f t="shared" si="0"/>
        <v>0</v>
      </c>
      <c r="AY8" s="119">
        <f>'2021'!BA36</f>
      </c>
      <c r="AZ8" s="119">
        <f>'2021'!BB36</f>
        <v>0</v>
      </c>
      <c r="BA8" s="106">
        <f>'2021'!BC36</f>
        <v>0</v>
      </c>
      <c r="BB8" s="106">
        <f>'2021'!BD36</f>
      </c>
      <c r="BC8" s="106"/>
      <c r="BD8" s="106">
        <f t="shared" si="1"/>
        <v>0</v>
      </c>
      <c r="BE8" s="119">
        <f>'2021'!BE36</f>
        <v>0</v>
      </c>
      <c r="BF8" s="106">
        <f>'2021'!BF36</f>
        <v>0</v>
      </c>
      <c r="BG8" s="106">
        <f>'2021'!BG36</f>
        <v>0</v>
      </c>
      <c r="BH8" s="106">
        <f>'2021'!BH36</f>
        <v>0</v>
      </c>
      <c r="BI8" s="106">
        <f t="shared" si="2"/>
        <v>0</v>
      </c>
      <c r="BJ8" s="338">
        <f t="shared" si="3"/>
        <v>0</v>
      </c>
    </row>
    <row r="9" spans="1:62" x14ac:dyDescent="0.25">
      <c r="A9" s="14"/>
      <c r="B9" s="115">
        <v>5</v>
      </c>
      <c r="C9" s="115">
        <v>5.08</v>
      </c>
      <c r="D9" s="2" t="s">
        <v>488</v>
      </c>
      <c r="E9" s="119">
        <f>'2021'!I45</f>
        <v>6</v>
      </c>
      <c r="F9" s="119">
        <f>'2021'!J45</f>
        <v>0</v>
      </c>
      <c r="G9" s="106">
        <f>'2021'!K45</f>
        <v>0</v>
      </c>
      <c r="H9" s="106">
        <f>'2021'!L45</f>
      </c>
      <c r="I9" s="119">
        <f>'2021'!M45</f>
        <v>6</v>
      </c>
      <c r="J9" s="119">
        <f>'2021'!N45</f>
        <v>0</v>
      </c>
      <c r="K9" s="106">
        <f>'2021'!O45</f>
        <v>0</v>
      </c>
      <c r="L9" s="106">
        <f>'2021'!P45</f>
      </c>
      <c r="M9" s="119">
        <f>'2021'!Q45</f>
        <v>6</v>
      </c>
      <c r="N9" s="119">
        <f>'2021'!R45</f>
        <v>0</v>
      </c>
      <c r="O9" s="106">
        <f>'2021'!S45</f>
        <v>0</v>
      </c>
      <c r="P9" s="106">
        <f>'2021'!T45</f>
      </c>
      <c r="Q9" s="119">
        <f>'2021'!U45</f>
        <v>6</v>
      </c>
      <c r="R9" s="119">
        <f>'2021'!V45</f>
        <v>0</v>
      </c>
      <c r="S9" s="106">
        <f>'2021'!W45</f>
        <v>0</v>
      </c>
      <c r="T9" s="106">
        <f>'2021'!X45</f>
      </c>
      <c r="U9" s="119">
        <f>'2021'!Y45</f>
        <v>57</v>
      </c>
      <c r="V9" s="119">
        <f>'2021'!Z45</f>
        <v>51</v>
      </c>
      <c r="W9" s="106">
        <f>'2021'!AA45</f>
        <v>132.6</v>
      </c>
      <c r="X9" s="106">
        <f>'2021'!AB45</f>
        <v>963.97</v>
      </c>
      <c r="Y9" s="119">
        <f>'2021'!AC45</f>
        <v>264</v>
      </c>
      <c r="Z9" s="119">
        <f>'2021'!AD45</f>
        <v>207</v>
      </c>
      <c r="AA9" s="106">
        <f>'2021'!AE45</f>
        <v>538.2</v>
      </c>
      <c r="AB9" s="106">
        <f>'2021'!AF45</f>
        <v>132.6</v>
      </c>
      <c r="AC9" s="119">
        <f>'2021'!AG45</f>
        <v>547</v>
      </c>
      <c r="AD9" s="119">
        <f>'2021'!AH45</f>
        <v>283</v>
      </c>
      <c r="AE9" s="106">
        <f>'2021'!AI45</f>
        <v>764.1</v>
      </c>
      <c r="AF9" s="106">
        <f>'2021'!AJ45</f>
        <v>538.2</v>
      </c>
      <c r="AG9" s="119">
        <f>'2021'!AK45</f>
        <v>776</v>
      </c>
      <c r="AH9" s="119">
        <f>'2021'!AL45</f>
        <v>229</v>
      </c>
      <c r="AI9" s="106">
        <f>'2021'!AM45</f>
        <v>618.3</v>
      </c>
      <c r="AJ9" s="106">
        <f>'2021'!AN45</f>
        <v>764.1</v>
      </c>
      <c r="AK9" s="119">
        <f>'2021'!AO45</f>
        <v>980</v>
      </c>
      <c r="AL9" s="119">
        <f>'2021'!AP45</f>
        <v>204</v>
      </c>
      <c r="AM9" s="106">
        <f>'2021'!AQ45</f>
        <v>550.8</v>
      </c>
      <c r="AN9" s="106">
        <f>'2021'!AR45</f>
        <v>618.3</v>
      </c>
      <c r="AO9" s="119">
        <f>'2021'!AS45</f>
        <v>1005</v>
      </c>
      <c r="AP9" s="119">
        <f>'2021'!AT45</f>
        <v>25</v>
      </c>
      <c r="AQ9" s="106">
        <f>'2021'!AU45</f>
        <v>67.5</v>
      </c>
      <c r="AR9" s="106">
        <f>'2021'!AV45</f>
      </c>
      <c r="AS9" s="119">
        <f>'2021'!AW45</f>
        <v>1005</v>
      </c>
      <c r="AT9" s="119">
        <f>'2021'!AX45</f>
        <v>0</v>
      </c>
      <c r="AU9" s="106">
        <f>'2021'!AY45</f>
        <v>0</v>
      </c>
      <c r="AV9" s="106">
        <f>'2021'!AZ45</f>
        <v>618.3</v>
      </c>
      <c r="AW9" s="119"/>
      <c r="AX9" s="106">
        <f t="shared" si="0"/>
        <v>0</v>
      </c>
      <c r="AY9" s="119">
        <f>'2021'!BA45</f>
        <v>1005</v>
      </c>
      <c r="AZ9" s="119">
        <f>'2021'!BB45</f>
        <v>0</v>
      </c>
      <c r="BA9" s="106">
        <f>'2021'!BC45</f>
        <v>0</v>
      </c>
      <c r="BB9" s="106">
        <f>'2021'!BD45</f>
      </c>
      <c r="BC9" s="119"/>
      <c r="BD9" s="106">
        <f t="shared" si="1"/>
        <v>0</v>
      </c>
      <c r="BE9" s="119">
        <f>'2021'!BE45</f>
        <v>999</v>
      </c>
      <c r="BF9" s="106">
        <f>'2021'!BF45</f>
        <v>2671.5</v>
      </c>
      <c r="BG9" s="106">
        <f>'2021'!BG45</f>
        <v>3635.47</v>
      </c>
      <c r="BH9" s="106">
        <f>'2021'!BH45</f>
        <v>0</v>
      </c>
      <c r="BI9" s="106">
        <f t="shared" si="2"/>
        <v>0</v>
      </c>
      <c r="BJ9" s="338">
        <f t="shared" si="3"/>
        <v>0</v>
      </c>
    </row>
    <row r="10" spans="1:62" x14ac:dyDescent="0.25">
      <c r="A10" s="14"/>
      <c r="B10" s="115">
        <v>6</v>
      </c>
      <c r="C10" s="115">
        <v>4.01</v>
      </c>
      <c r="D10" s="117" t="s">
        <v>70</v>
      </c>
      <c r="E10" s="119">
        <f>'2021'!I54</f>
        <v>14</v>
      </c>
      <c r="F10" s="119">
        <f>'2021'!J54</f>
        <v>0</v>
      </c>
      <c r="G10" s="106">
        <f>'2021'!K54</f>
        <v>0</v>
      </c>
      <c r="H10" s="106">
        <f>'2021'!L54</f>
      </c>
      <c r="I10" s="119">
        <f>'2021'!M54</f>
        <v>14</v>
      </c>
      <c r="J10" s="119">
        <f>'2021'!N54</f>
        <v>0</v>
      </c>
      <c r="K10" s="106">
        <f>'2021'!O54</f>
        <v>0</v>
      </c>
      <c r="L10" s="106">
        <f>'2021'!P54</f>
      </c>
      <c r="M10" s="119">
        <f>'2021'!Q54</f>
        <v>14</v>
      </c>
      <c r="N10" s="119">
        <f>'2021'!R54</f>
        <v>0</v>
      </c>
      <c r="O10" s="106">
        <f>'2021'!S54</f>
        <v>0</v>
      </c>
      <c r="P10" s="106">
        <f>'2021'!T54</f>
      </c>
      <c r="Q10" s="119">
        <f>'2021'!U54</f>
        <v>14</v>
      </c>
      <c r="R10" s="119">
        <f>'2021'!V54</f>
        <v>0</v>
      </c>
      <c r="S10" s="106">
        <f>'2021'!W54</f>
        <v>0</v>
      </c>
      <c r="T10" s="106">
        <f>'2021'!X54</f>
      </c>
      <c r="U10" s="119">
        <f>'2021'!Y54</f>
        <v>16</v>
      </c>
      <c r="V10" s="119">
        <f>'2021'!Z54</f>
        <v>2</v>
      </c>
      <c r="W10" s="106">
        <f>'2021'!AA54</f>
        <v>5.2</v>
      </c>
      <c r="X10" s="106">
        <f>'2021'!AB54</f>
      </c>
      <c r="Y10" s="119">
        <f>'2021'!AC54</f>
        <v>19</v>
      </c>
      <c r="Z10" s="119">
        <f>'2021'!AD54</f>
        <v>3</v>
      </c>
      <c r="AA10" s="106">
        <f>'2021'!AE54</f>
        <v>7.8</v>
      </c>
      <c r="AB10" s="106">
        <f>'2021'!AF54</f>
        <v>13</v>
      </c>
      <c r="AC10" s="119">
        <f>'2021'!AG54</f>
        <v>21</v>
      </c>
      <c r="AD10" s="119">
        <f>'2021'!AH54</f>
        <v>2</v>
      </c>
      <c r="AE10" s="106">
        <f>'2021'!AI54</f>
        <v>5.4</v>
      </c>
      <c r="AF10" s="106">
        <f>'2021'!AJ54</f>
      </c>
      <c r="AG10" s="119">
        <f>'2021'!AK54</f>
        <v>22</v>
      </c>
      <c r="AH10" s="119">
        <f>'2021'!AL54</f>
        <v>1</v>
      </c>
      <c r="AI10" s="106">
        <f>'2021'!AM54</f>
        <v>2.7</v>
      </c>
      <c r="AJ10" s="106">
        <f>'2021'!AN54</f>
        <v>10.8</v>
      </c>
      <c r="AK10" s="119">
        <f>'2021'!AO54</f>
        <v>23</v>
      </c>
      <c r="AL10" s="119">
        <f>'2021'!AP54</f>
        <v>1</v>
      </c>
      <c r="AM10" s="106">
        <f>'2021'!AQ54</f>
        <v>2.7</v>
      </c>
      <c r="AN10" s="106">
        <f>'2021'!AR54</f>
      </c>
      <c r="AO10" s="119">
        <f>'2021'!AS54</f>
        <v>23</v>
      </c>
      <c r="AP10" s="119">
        <f>'2021'!AT54</f>
        <v>0</v>
      </c>
      <c r="AQ10" s="106">
        <f>'2021'!AU54</f>
        <v>0</v>
      </c>
      <c r="AR10" s="106">
        <f>'2021'!AV54</f>
      </c>
      <c r="AS10" s="119">
        <f>'2021'!AW54</f>
        <v>23</v>
      </c>
      <c r="AT10" s="119">
        <f>'2021'!AX54</f>
        <v>0</v>
      </c>
      <c r="AU10" s="106">
        <f>'2021'!AY54</f>
        <v>0</v>
      </c>
      <c r="AV10" s="106">
        <f>'2021'!AZ54</f>
      </c>
      <c r="AW10" s="106"/>
      <c r="AX10" s="106">
        <f t="shared" si="0"/>
        <v>0</v>
      </c>
      <c r="AY10" s="119">
        <f>'2021'!BA54</f>
        <v>23</v>
      </c>
      <c r="AZ10" s="119">
        <f>'2021'!BB54</f>
        <v>0</v>
      </c>
      <c r="BA10" s="106">
        <f>'2021'!BC54</f>
        <v>0</v>
      </c>
      <c r="BB10" s="106">
        <f>'2021'!BD54</f>
      </c>
      <c r="BC10" s="106"/>
      <c r="BD10" s="106">
        <f t="shared" si="1"/>
        <v>0</v>
      </c>
      <c r="BE10" s="119">
        <f>'2021'!BE54</f>
        <v>9</v>
      </c>
      <c r="BF10" s="106">
        <f>'2021'!BF54</f>
        <v>23.8</v>
      </c>
      <c r="BG10" s="106">
        <f>'2021'!BG54</f>
        <v>23.8</v>
      </c>
      <c r="BH10" s="106">
        <f>'2021'!BH54</f>
        <v>0</v>
      </c>
      <c r="BI10" s="106">
        <f t="shared" si="2"/>
        <v>0</v>
      </c>
      <c r="BJ10" s="338">
        <f t="shared" si="3"/>
        <v>0</v>
      </c>
    </row>
    <row r="11" spans="1:62" x14ac:dyDescent="0.25">
      <c r="A11" s="14"/>
      <c r="B11" s="115">
        <v>7</v>
      </c>
      <c r="C11" s="115">
        <v>4.85</v>
      </c>
      <c r="D11" s="117" t="s">
        <v>74</v>
      </c>
      <c r="E11" s="119">
        <f>'2021'!I63</f>
        <v>448</v>
      </c>
      <c r="F11" s="119">
        <f>'2021'!J63</f>
        <v>0</v>
      </c>
      <c r="G11" s="106">
        <f>'2021'!K63</f>
        <v>0</v>
      </c>
      <c r="H11" s="106">
        <f>'2021'!L63</f>
      </c>
      <c r="I11" s="119">
        <f>'2021'!M63</f>
        <v>448</v>
      </c>
      <c r="J11" s="119">
        <f>'2021'!N63</f>
        <v>0</v>
      </c>
      <c r="K11" s="106">
        <f>'2021'!O63</f>
        <v>0</v>
      </c>
      <c r="L11" s="106">
        <f>'2021'!P63</f>
      </c>
      <c r="M11" s="119">
        <f>'2021'!Q63</f>
        <v>448</v>
      </c>
      <c r="N11" s="119">
        <f>'2021'!R63</f>
        <v>0</v>
      </c>
      <c r="O11" s="106">
        <f>'2021'!S63</f>
        <v>0</v>
      </c>
      <c r="P11" s="106">
        <f>'2021'!T63</f>
      </c>
      <c r="Q11" s="119">
        <f>'2021'!U63</f>
        <v>448</v>
      </c>
      <c r="R11" s="119">
        <f>'2021'!V63</f>
        <v>0</v>
      </c>
      <c r="S11" s="106">
        <f>'2021'!W63</f>
        <v>0</v>
      </c>
      <c r="T11" s="106">
        <f>'2021'!X63</f>
      </c>
      <c r="U11" s="119">
        <f>'2021'!Y63</f>
        <v>449</v>
      </c>
      <c r="V11" s="119">
        <f>'2021'!Z63</f>
        <v>1</v>
      </c>
      <c r="W11" s="106">
        <f>'2021'!AA63</f>
        <v>2.6</v>
      </c>
      <c r="X11" s="106">
        <f>'2021'!AB63</f>
      </c>
      <c r="Y11" s="119">
        <f>'2021'!AC63</f>
        <v>461</v>
      </c>
      <c r="Z11" s="119">
        <f>'2021'!AD63</f>
        <v>12</v>
      </c>
      <c r="AA11" s="106">
        <f>'2021'!AE63</f>
        <v>31.2</v>
      </c>
      <c r="AB11" s="106">
        <f>'2021'!AF63</f>
        <v>200</v>
      </c>
      <c r="AC11" s="119">
        <f>'2021'!AG63</f>
        <v>486</v>
      </c>
      <c r="AD11" s="119">
        <f>'2021'!AH63</f>
        <v>25</v>
      </c>
      <c r="AE11" s="106">
        <f>'2021'!AI63</f>
        <v>67.5</v>
      </c>
      <c r="AF11" s="106">
        <f>'2021'!AJ63</f>
      </c>
      <c r="AG11" s="119">
        <f>'2021'!AK63</f>
        <v>532</v>
      </c>
      <c r="AH11" s="119">
        <f>'2021'!AL63</f>
        <v>46</v>
      </c>
      <c r="AI11" s="106">
        <f>'2021'!AM63</f>
        <v>124.2</v>
      </c>
      <c r="AJ11" s="106">
        <f>'2021'!AN63</f>
      </c>
      <c r="AK11" s="119">
        <f>'2021'!AO63</f>
        <v>558</v>
      </c>
      <c r="AL11" s="119">
        <f>'2021'!AP63</f>
        <v>26</v>
      </c>
      <c r="AM11" s="106">
        <f>'2021'!AQ63</f>
        <v>70.2</v>
      </c>
      <c r="AN11" s="106">
        <f>'2021'!AR63</f>
        <v>28.97</v>
      </c>
      <c r="AO11" s="119">
        <f>'2021'!AS63</f>
        <v>562</v>
      </c>
      <c r="AP11" s="119">
        <f>'2021'!AT63</f>
        <v>4</v>
      </c>
      <c r="AQ11" s="106">
        <f>'2021'!AU63</f>
        <v>10.8</v>
      </c>
      <c r="AR11" s="106">
        <f>'2021'!AV63</f>
      </c>
      <c r="AS11" s="119">
        <f>'2021'!AW63</f>
        <v>562</v>
      </c>
      <c r="AT11" s="119">
        <f>'2021'!AX63</f>
        <v>0</v>
      </c>
      <c r="AU11" s="106">
        <f>'2021'!AY63</f>
        <v>0</v>
      </c>
      <c r="AV11" s="106">
        <f>'2021'!AZ63</f>
      </c>
      <c r="AW11" s="106"/>
      <c r="AX11" s="106">
        <f t="shared" si="0"/>
        <v>0</v>
      </c>
      <c r="AY11" s="119">
        <f>'2021'!BA63</f>
        <v>562</v>
      </c>
      <c r="AZ11" s="119">
        <f>'2021'!BB63</f>
        <v>0</v>
      </c>
      <c r="BA11" s="106">
        <f>'2021'!BC63</f>
        <v>0</v>
      </c>
      <c r="BB11" s="106">
        <f>'2021'!BD63</f>
      </c>
      <c r="BC11" s="106"/>
      <c r="BD11" s="106">
        <f t="shared" si="1"/>
        <v>0</v>
      </c>
      <c r="BE11" s="119">
        <f>'2021'!BE63</f>
        <v>114</v>
      </c>
      <c r="BF11" s="106">
        <f>'2021'!BF63</f>
        <v>306.5</v>
      </c>
      <c r="BG11" s="106">
        <f>'2021'!BG63</f>
        <v>228.97</v>
      </c>
      <c r="BH11" s="106">
        <f>'2021'!BH63</f>
        <v>10.8</v>
      </c>
      <c r="BI11" s="106">
        <f t="shared" si="2"/>
        <v>0</v>
      </c>
      <c r="BJ11" s="338">
        <f t="shared" si="3"/>
        <v>10.8</v>
      </c>
    </row>
    <row r="12" spans="1:62" x14ac:dyDescent="0.25">
      <c r="A12" s="14"/>
      <c r="B12" s="115">
        <v>8</v>
      </c>
      <c r="C12" s="116">
        <v>4</v>
      </c>
      <c r="D12" s="2" t="s">
        <v>383</v>
      </c>
      <c r="E12" s="119">
        <f>'2021'!I72</f>
        <v>509</v>
      </c>
      <c r="F12" s="119">
        <f>'2021'!J72</f>
        <v>0</v>
      </c>
      <c r="G12" s="106">
        <f>'2021'!K72</f>
        <v>0</v>
      </c>
      <c r="H12" s="106">
        <f>'2021'!L72</f>
      </c>
      <c r="I12" s="119">
        <f>'2021'!M72</f>
        <v>509</v>
      </c>
      <c r="J12" s="119">
        <f>'2021'!N72</f>
        <v>0</v>
      </c>
      <c r="K12" s="106">
        <f>'2021'!O72</f>
        <v>0</v>
      </c>
      <c r="L12" s="106">
        <f>'2021'!P72</f>
      </c>
      <c r="M12" s="119">
        <f>'2021'!Q72</f>
        <v>509</v>
      </c>
      <c r="N12" s="119">
        <f>'2021'!R72</f>
        <v>0</v>
      </c>
      <c r="O12" s="106">
        <f>'2021'!S72</f>
        <v>0</v>
      </c>
      <c r="P12" s="106">
        <f>'2021'!T72</f>
      </c>
      <c r="Q12" s="119">
        <f>'2021'!U72</f>
        <v>509</v>
      </c>
      <c r="R12" s="119">
        <f>'2021'!V72</f>
        <v>0</v>
      </c>
      <c r="S12" s="106">
        <f>'2021'!W72</f>
        <v>0</v>
      </c>
      <c r="T12" s="106">
        <f>'2021'!X72</f>
      </c>
      <c r="U12" s="119">
        <f>'2021'!Y72</f>
        <v>543</v>
      </c>
      <c r="V12" s="119">
        <f>'2021'!Z72</f>
        <v>34</v>
      </c>
      <c r="W12" s="106">
        <f>'2021'!AA72</f>
        <v>88.4</v>
      </c>
      <c r="X12" s="106">
        <f>'2021'!AB72</f>
      </c>
      <c r="Y12" s="119">
        <f>'2021'!AC72</f>
        <v>602</v>
      </c>
      <c r="Z12" s="119">
        <f>'2021'!AD72</f>
        <v>59</v>
      </c>
      <c r="AA12" s="106">
        <f>'2021'!AE72</f>
        <v>153.4</v>
      </c>
      <c r="AB12" s="106">
        <f>'2021'!AF72</f>
      </c>
      <c r="AC12" s="119">
        <f>'2021'!AG72</f>
        <v>654</v>
      </c>
      <c r="AD12" s="119">
        <f>'2021'!AH72</f>
        <v>52</v>
      </c>
      <c r="AE12" s="106">
        <f>'2021'!AI72</f>
        <v>140.4</v>
      </c>
      <c r="AF12" s="106">
        <f>'2021'!AJ72</f>
        <v>700</v>
      </c>
      <c r="AG12" s="119">
        <f>'2021'!AK72</f>
        <v>696</v>
      </c>
      <c r="AH12" s="119">
        <f>'2021'!AL72</f>
        <v>42</v>
      </c>
      <c r="AI12" s="106">
        <f>'2021'!AM72</f>
        <v>113.4</v>
      </c>
      <c r="AJ12" s="106">
        <f>'2021'!AN72</f>
      </c>
      <c r="AK12" s="119">
        <f>'2021'!AO72</f>
        <v>728</v>
      </c>
      <c r="AL12" s="119">
        <f>'2021'!AP72</f>
        <v>32</v>
      </c>
      <c r="AM12" s="106">
        <f>'2021'!AQ72</f>
        <v>86.4</v>
      </c>
      <c r="AN12" s="106">
        <f>'2021'!AR72</f>
      </c>
      <c r="AO12" s="119">
        <f>'2021'!AS72</f>
        <v>731</v>
      </c>
      <c r="AP12" s="119">
        <f>'2021'!AT72</f>
        <v>3</v>
      </c>
      <c r="AQ12" s="106">
        <f>'2021'!AU72</f>
        <v>8.1</v>
      </c>
      <c r="AR12" s="106">
        <f>'2021'!AV72</f>
      </c>
      <c r="AS12" s="119">
        <f>'2021'!AW72</f>
        <v>731</v>
      </c>
      <c r="AT12" s="119">
        <f>'2021'!AX72</f>
        <v>0</v>
      </c>
      <c r="AU12" s="106">
        <f>'2021'!AY72</f>
        <v>0</v>
      </c>
      <c r="AV12" s="106">
        <f>'2021'!AZ72</f>
      </c>
      <c r="AW12" s="106"/>
      <c r="AX12" s="106">
        <f t="shared" si="0"/>
        <v>0</v>
      </c>
      <c r="AY12" s="119">
        <f>'2021'!BA72</f>
        <v>731</v>
      </c>
      <c r="AZ12" s="119">
        <f>'2021'!BB72</f>
        <v>0</v>
      </c>
      <c r="BA12" s="106">
        <f>'2021'!BC72</f>
        <v>0</v>
      </c>
      <c r="BB12" s="106">
        <f>'2021'!BD72</f>
      </c>
      <c r="BC12" s="106"/>
      <c r="BD12" s="106">
        <f t="shared" si="1"/>
        <v>0</v>
      </c>
      <c r="BE12" s="119">
        <f>'2021'!BE72</f>
        <v>222</v>
      </c>
      <c r="BF12" s="106">
        <f>'2021'!BF72</f>
        <v>590.1</v>
      </c>
      <c r="BG12" s="106">
        <f>'2021'!BG72</f>
        <v>700</v>
      </c>
      <c r="BH12" s="106">
        <f>'2021'!BH72</f>
        <v>-204.8</v>
      </c>
      <c r="BI12" s="106">
        <f t="shared" si="2"/>
        <v>0</v>
      </c>
      <c r="BJ12" s="338">
        <f t="shared" si="3"/>
        <v>-204.8</v>
      </c>
    </row>
    <row r="13" spans="1:62" x14ac:dyDescent="0.25">
      <c r="A13" s="14"/>
      <c r="B13" s="115">
        <v>9</v>
      </c>
      <c r="C13" s="115">
        <v>4.03</v>
      </c>
      <c r="D13" s="117" t="s">
        <v>82</v>
      </c>
      <c r="E13" s="119">
        <f>'2021'!I81</f>
        <v>46</v>
      </c>
      <c r="F13" s="119">
        <f>'2021'!J81</f>
        <v>0</v>
      </c>
      <c r="G13" s="106">
        <f>'2021'!K81</f>
        <v>0</v>
      </c>
      <c r="H13" s="106">
        <f>'2021'!L81</f>
      </c>
      <c r="I13" s="119">
        <f>'2021'!M81</f>
        <v>46</v>
      </c>
      <c r="J13" s="119">
        <f>'2021'!N81</f>
        <v>0</v>
      </c>
      <c r="K13" s="106">
        <f>'2021'!O81</f>
        <v>0</v>
      </c>
      <c r="L13" s="106">
        <f>'2021'!P81</f>
      </c>
      <c r="M13" s="119">
        <f>'2021'!Q81</f>
        <v>46</v>
      </c>
      <c r="N13" s="119">
        <f>'2021'!R81</f>
        <v>0</v>
      </c>
      <c r="O13" s="106">
        <f>'2021'!S81</f>
        <v>0</v>
      </c>
      <c r="P13" s="106">
        <f>'2021'!T81</f>
      </c>
      <c r="Q13" s="119">
        <f>'2021'!U81</f>
        <v>46</v>
      </c>
      <c r="R13" s="119">
        <f>'2021'!V81</f>
        <v>0</v>
      </c>
      <c r="S13" s="106">
        <f>'2021'!W81</f>
        <v>0</v>
      </c>
      <c r="T13" s="106">
        <f>'2021'!X81</f>
      </c>
      <c r="U13" s="119">
        <f>'2021'!Y81</f>
        <v>46</v>
      </c>
      <c r="V13" s="119">
        <f>'2021'!Z81</f>
        <v>0</v>
      </c>
      <c r="W13" s="106">
        <f>'2021'!AA81</f>
        <v>0</v>
      </c>
      <c r="X13" s="106">
        <f>'2021'!AB81</f>
      </c>
      <c r="Y13" s="119">
        <f>'2021'!AC81</f>
        <v>46</v>
      </c>
      <c r="Z13" s="119">
        <f>'2021'!AD81</f>
        <v>0</v>
      </c>
      <c r="AA13" s="106">
        <f>'2021'!AE81</f>
        <v>0</v>
      </c>
      <c r="AB13" s="106">
        <f>'2021'!AF81</f>
      </c>
      <c r="AC13" s="119">
        <f>'2021'!AG81</f>
        <v>46</v>
      </c>
      <c r="AD13" s="119">
        <f>'2021'!AH81</f>
        <v>0</v>
      </c>
      <c r="AE13" s="106">
        <f>'2021'!AI81</f>
        <v>0</v>
      </c>
      <c r="AF13" s="106">
        <f>'2021'!AJ81</f>
      </c>
      <c r="AG13" s="119">
        <f>'2021'!AK81</f>
        <v>46</v>
      </c>
      <c r="AH13" s="119">
        <f>'2021'!AL81</f>
        <v>0</v>
      </c>
      <c r="AI13" s="106">
        <f>'2021'!AM81</f>
        <v>0</v>
      </c>
      <c r="AJ13" s="106">
        <f>'2021'!AN81</f>
      </c>
      <c r="AK13" s="119">
        <f>'2021'!AO81</f>
        <v>46</v>
      </c>
      <c r="AL13" s="119">
        <f>'2021'!AP81</f>
        <v>0</v>
      </c>
      <c r="AM13" s="106">
        <f>'2021'!AQ81</f>
        <v>0</v>
      </c>
      <c r="AN13" s="106">
        <f>'2021'!AR81</f>
      </c>
      <c r="AO13" s="119">
        <f>'2021'!AS81</f>
        <v>46</v>
      </c>
      <c r="AP13" s="119">
        <f>'2021'!AT81</f>
        <v>0</v>
      </c>
      <c r="AQ13" s="106">
        <f>'2021'!AU81</f>
        <v>0</v>
      </c>
      <c r="AR13" s="106">
        <f>'2021'!AV81</f>
      </c>
      <c r="AS13" s="119">
        <f>'2021'!AW81</f>
        <v>46</v>
      </c>
      <c r="AT13" s="119">
        <f>'2021'!AX81</f>
        <v>0</v>
      </c>
      <c r="AU13" s="106">
        <f>'2021'!AY81</f>
        <v>0</v>
      </c>
      <c r="AV13" s="106">
        <f>'2021'!AZ81</f>
      </c>
      <c r="AW13" s="106"/>
      <c r="AX13" s="106">
        <f t="shared" si="0"/>
        <v>0</v>
      </c>
      <c r="AY13" s="119">
        <f>'2021'!BA81</f>
        <v>46</v>
      </c>
      <c r="AZ13" s="119">
        <f>'2021'!BB81</f>
        <v>0</v>
      </c>
      <c r="BA13" s="106">
        <f>'2021'!BC81</f>
        <v>0</v>
      </c>
      <c r="BB13" s="106">
        <f>'2021'!BD81</f>
      </c>
      <c r="BC13" s="106"/>
      <c r="BD13" s="106">
        <f t="shared" si="1"/>
        <v>0</v>
      </c>
      <c r="BE13" s="119">
        <f>'2021'!BE81</f>
        <v>0</v>
      </c>
      <c r="BF13" s="106">
        <f>'2021'!BF81</f>
        <v>0</v>
      </c>
      <c r="BG13" s="106">
        <f>'2021'!BG81</f>
        <v>0</v>
      </c>
      <c r="BH13" s="106">
        <f>'2021'!BH81</f>
        <v>-285.03</v>
      </c>
      <c r="BI13" s="106">
        <f t="shared" si="2"/>
        <v>0</v>
      </c>
      <c r="BJ13" s="338">
        <f t="shared" si="3"/>
        <v>-285.03</v>
      </c>
    </row>
    <row r="14" spans="1:62" x14ac:dyDescent="0.25">
      <c r="A14" s="14"/>
      <c r="B14" s="115">
        <v>10</v>
      </c>
      <c r="C14" s="115">
        <v>4.01</v>
      </c>
      <c r="D14" s="117" t="s">
        <v>86</v>
      </c>
      <c r="E14" s="119">
        <f>'2021'!I90</f>
        <v>0</v>
      </c>
      <c r="F14" s="119">
        <f>'2021'!J90</f>
        <v>0</v>
      </c>
      <c r="G14" s="106">
        <f>'2021'!K90</f>
        <v>0</v>
      </c>
      <c r="H14" s="106">
        <f>'2021'!L90</f>
      </c>
      <c r="I14" s="119">
        <f>'2021'!M90</f>
        <v>0</v>
      </c>
      <c r="J14" s="119">
        <f>'2021'!N90</f>
        <v>0</v>
      </c>
      <c r="K14" s="106">
        <f>'2021'!O90</f>
        <v>0</v>
      </c>
      <c r="L14" s="106">
        <f>'2021'!P90</f>
      </c>
      <c r="M14" s="119">
        <f>'2021'!Q90</f>
        <v>0</v>
      </c>
      <c r="N14" s="119">
        <f>'2021'!R90</f>
        <v>0</v>
      </c>
      <c r="O14" s="106">
        <f>'2021'!S90</f>
        <v>0</v>
      </c>
      <c r="P14" s="106">
        <f>'2021'!T90</f>
      </c>
      <c r="Q14" s="119">
        <f>'2021'!U90</f>
        <v>0</v>
      </c>
      <c r="R14" s="119">
        <f>'2021'!V90</f>
        <v>0</v>
      </c>
      <c r="S14" s="106">
        <f>'2021'!W90</f>
        <v>0</v>
      </c>
      <c r="T14" s="106">
        <f>'2021'!X90</f>
      </c>
      <c r="U14" s="119">
        <f>'2021'!Y90</f>
      </c>
      <c r="V14" s="119">
        <f>'2021'!Z90</f>
        <v>0</v>
      </c>
      <c r="W14" s="106">
        <f>'2021'!AA90</f>
        <v>0</v>
      </c>
      <c r="X14" s="106">
        <f>'2021'!AB90</f>
      </c>
      <c r="Y14" s="119">
        <f>'2021'!AC90</f>
      </c>
      <c r="Z14" s="119">
        <f>'2021'!AD90</f>
        <v>0</v>
      </c>
      <c r="AA14" s="106">
        <f>'2021'!AE90</f>
        <v>0</v>
      </c>
      <c r="AB14" s="106">
        <f>'2021'!AF90</f>
      </c>
      <c r="AC14" s="119">
        <f>'2021'!AG90</f>
      </c>
      <c r="AD14" s="119">
        <f>'2021'!AH90</f>
        <v>0</v>
      </c>
      <c r="AE14" s="106">
        <f>'2021'!AI90</f>
        <v>0</v>
      </c>
      <c r="AF14" s="106">
        <f>'2021'!AJ90</f>
      </c>
      <c r="AG14" s="119">
        <f>'2021'!AK90</f>
      </c>
      <c r="AH14" s="119">
        <f>'2021'!AL90</f>
        <v>0</v>
      </c>
      <c r="AI14" s="106">
        <f>'2021'!AM90</f>
        <v>0</v>
      </c>
      <c r="AJ14" s="106">
        <f>'2021'!AN90</f>
      </c>
      <c r="AK14" s="119">
        <f>'2021'!AO90</f>
      </c>
      <c r="AL14" s="119">
        <f>'2021'!AP90</f>
        <v>0</v>
      </c>
      <c r="AM14" s="106">
        <f>'2021'!AQ90</f>
        <v>0</v>
      </c>
      <c r="AN14" s="106">
        <f>'2021'!AR90</f>
      </c>
      <c r="AO14" s="119">
        <f>'2021'!AS90</f>
      </c>
      <c r="AP14" s="119">
        <f>'2021'!AT90</f>
        <v>0</v>
      </c>
      <c r="AQ14" s="106">
        <f>'2021'!AU90</f>
        <v>0</v>
      </c>
      <c r="AR14" s="106">
        <f>'2021'!AV90</f>
      </c>
      <c r="AS14" s="119">
        <f>'2021'!AW90</f>
      </c>
      <c r="AT14" s="119">
        <f>'2021'!AX90</f>
        <v>0</v>
      </c>
      <c r="AU14" s="106">
        <f>'2021'!AY90</f>
        <v>0</v>
      </c>
      <c r="AV14" s="106">
        <f>'2021'!AZ90</f>
      </c>
      <c r="AW14" s="106"/>
      <c r="AX14" s="106">
        <f t="shared" si="0"/>
        <v>0</v>
      </c>
      <c r="AY14" s="119">
        <f>'2021'!BA90</f>
      </c>
      <c r="AZ14" s="119">
        <f>'2021'!BB90</f>
        <v>0</v>
      </c>
      <c r="BA14" s="106">
        <f>'2021'!BC90</f>
        <v>0</v>
      </c>
      <c r="BB14" s="106">
        <f>'2021'!BD90</f>
      </c>
      <c r="BC14" s="106"/>
      <c r="BD14" s="106">
        <f t="shared" si="1"/>
        <v>0</v>
      </c>
      <c r="BE14" s="119">
        <f>'2021'!BE90</f>
        <v>0</v>
      </c>
      <c r="BF14" s="106">
        <f>'2021'!BF90</f>
        <v>0</v>
      </c>
      <c r="BG14" s="106">
        <f>'2021'!BG90</f>
        <v>0</v>
      </c>
      <c r="BH14" s="106">
        <f>'2021'!BH90</f>
        <v>0</v>
      </c>
      <c r="BI14" s="106">
        <f t="shared" si="2"/>
        <v>0</v>
      </c>
      <c r="BJ14" s="338">
        <f t="shared" si="3"/>
        <v>0</v>
      </c>
    </row>
    <row r="15" spans="1:64" x14ac:dyDescent="0.25">
      <c r="A15" s="14"/>
      <c r="B15" s="115">
        <v>11</v>
      </c>
      <c r="C15" s="115">
        <v>4.02</v>
      </c>
      <c r="D15" s="117" t="s">
        <v>89</v>
      </c>
      <c r="E15" s="119">
        <f>'2021'!I99</f>
        <v>36</v>
      </c>
      <c r="F15" s="119">
        <f>'2021'!J99</f>
        <v>0</v>
      </c>
      <c r="G15" s="106">
        <f>'2021'!K99</f>
        <v>0</v>
      </c>
      <c r="H15" s="106">
        <f>'2021'!L99</f>
      </c>
      <c r="I15" s="119">
        <f>'2021'!M99</f>
        <v>36</v>
      </c>
      <c r="J15" s="119">
        <f>'2021'!N99</f>
        <v>0</v>
      </c>
      <c r="K15" s="106">
        <f>'2021'!O99</f>
        <v>0</v>
      </c>
      <c r="L15" s="106">
        <f>'2021'!P99</f>
      </c>
      <c r="M15" s="119">
        <f>'2021'!Q99</f>
        <v>36</v>
      </c>
      <c r="N15" s="119">
        <f>'2021'!R99</f>
        <v>0</v>
      </c>
      <c r="O15" s="106">
        <f>'2021'!S99</f>
        <v>0</v>
      </c>
      <c r="P15" s="106">
        <f>'2021'!T99</f>
      </c>
      <c r="Q15" s="119">
        <f>'2021'!U99</f>
        <v>36</v>
      </c>
      <c r="R15" s="119">
        <f>'2021'!V99</f>
        <v>0</v>
      </c>
      <c r="S15" s="106">
        <f>'2021'!W99</f>
        <v>0</v>
      </c>
      <c r="T15" s="106">
        <f>'2021'!X99</f>
      </c>
      <c r="U15" s="119">
        <f>'2021'!Y99</f>
        <v>36</v>
      </c>
      <c r="V15" s="119">
        <f>'2021'!Z99</f>
        <v>0</v>
      </c>
      <c r="W15" s="106">
        <f>'2021'!AA99</f>
        <v>0</v>
      </c>
      <c r="X15" s="106">
        <f>'2021'!AB99</f>
      </c>
      <c r="Y15" s="119">
        <f>'2021'!AC99</f>
        <v>36</v>
      </c>
      <c r="Z15" s="119">
        <f>'2021'!AD99</f>
        <v>0</v>
      </c>
      <c r="AA15" s="106">
        <f>'2021'!AE99</f>
        <v>0</v>
      </c>
      <c r="AB15" s="106">
        <f>'2021'!AF99</f>
      </c>
      <c r="AC15" s="119">
        <f>'2021'!AG99</f>
        <v>36</v>
      </c>
      <c r="AD15" s="119">
        <f>'2021'!AH99</f>
        <v>0</v>
      </c>
      <c r="AE15" s="106">
        <f>'2021'!AI99</f>
        <v>0</v>
      </c>
      <c r="AF15" s="106">
        <f>'2021'!AJ99</f>
      </c>
      <c r="AG15" s="119">
        <f>'2021'!AK99</f>
        <v>36</v>
      </c>
      <c r="AH15" s="119">
        <f>'2021'!AL99</f>
        <v>0</v>
      </c>
      <c r="AI15" s="106">
        <f>'2021'!AM99</f>
        <v>0</v>
      </c>
      <c r="AJ15" s="106">
        <f>'2021'!AN99</f>
      </c>
      <c r="AK15" s="119">
        <f>'2021'!AO99</f>
        <v>36</v>
      </c>
      <c r="AL15" s="119">
        <f>'2021'!AP99</f>
        <v>0</v>
      </c>
      <c r="AM15" s="106">
        <f>'2021'!AQ99</f>
        <v>0</v>
      </c>
      <c r="AN15" s="106">
        <f>'2021'!AR99</f>
      </c>
      <c r="AO15" s="119">
        <f>'2021'!AS99</f>
        <v>36</v>
      </c>
      <c r="AP15" s="119">
        <f>'2021'!AT99</f>
        <v>0</v>
      </c>
      <c r="AQ15" s="106">
        <f>'2021'!AU99</f>
        <v>0</v>
      </c>
      <c r="AR15" s="106">
        <f>'2021'!AV99</f>
      </c>
      <c r="AS15" s="119">
        <f>'2021'!AW99</f>
        <v>36</v>
      </c>
      <c r="AT15" s="119">
        <f>'2021'!AX99</f>
        <v>0</v>
      </c>
      <c r="AU15" s="106">
        <f>'2021'!AY99</f>
        <v>0</v>
      </c>
      <c r="AV15" s="106">
        <f>'2021'!AZ99</f>
      </c>
      <c r="AW15" s="106"/>
      <c r="AX15" s="106">
        <f t="shared" si="0"/>
        <v>0</v>
      </c>
      <c r="AY15" s="119">
        <f>'2021'!BA99</f>
        <v>36</v>
      </c>
      <c r="AZ15" s="119">
        <f>'2021'!BB99</f>
        <v>0</v>
      </c>
      <c r="BA15" s="106">
        <f>'2021'!BC99</f>
        <v>0</v>
      </c>
      <c r="BB15" s="106">
        <f>'2021'!BD99</f>
      </c>
      <c r="BC15" s="106"/>
      <c r="BD15" s="106">
        <f t="shared" si="1"/>
        <v>0</v>
      </c>
      <c r="BE15" s="119">
        <f>'2021'!BE99</f>
        <v>0</v>
      </c>
      <c r="BF15" s="106">
        <f>'2021'!BF99</f>
        <v>0</v>
      </c>
      <c r="BG15" s="106">
        <f>'2021'!BG99</f>
        <v>0</v>
      </c>
      <c r="BH15" s="106">
        <f>'2021'!BH99</f>
        <v>-78</v>
      </c>
      <c r="BI15" s="106">
        <f t="shared" si="2"/>
        <v>0</v>
      </c>
      <c r="BJ15" s="338">
        <f t="shared" si="3"/>
        <v>-78</v>
      </c>
      <c r="BL15" s="34"/>
    </row>
    <row r="16" spans="1:62" x14ac:dyDescent="0.25">
      <c r="A16" s="14"/>
      <c r="B16" s="115">
        <v>12</v>
      </c>
      <c r="C16" s="115">
        <v>4.02</v>
      </c>
      <c r="D16" s="117" t="s">
        <v>92</v>
      </c>
      <c r="E16" s="119">
        <f>'2021'!I108</f>
        <v>0</v>
      </c>
      <c r="F16" s="119">
        <f>'2021'!J108</f>
        <v>0</v>
      </c>
      <c r="G16" s="106">
        <f>'2021'!K108</f>
        <v>0</v>
      </c>
      <c r="H16" s="106">
        <f>'2021'!L108</f>
      </c>
      <c r="I16" s="119">
        <f>'2021'!M108</f>
        <v>0</v>
      </c>
      <c r="J16" s="119">
        <f>'2021'!N108</f>
        <v>0</v>
      </c>
      <c r="K16" s="106">
        <f>'2021'!O108</f>
        <v>0</v>
      </c>
      <c r="L16" s="106">
        <f>'2021'!P108</f>
      </c>
      <c r="M16" s="119">
        <f>'2021'!Q108</f>
        <v>0</v>
      </c>
      <c r="N16" s="119">
        <f>'2021'!R108</f>
        <v>0</v>
      </c>
      <c r="O16" s="106">
        <f>'2021'!S108</f>
        <v>0</v>
      </c>
      <c r="P16" s="106">
        <f>'2021'!T108</f>
      </c>
      <c r="Q16" s="119">
        <f>'2021'!U108</f>
        <v>0</v>
      </c>
      <c r="R16" s="119">
        <f>'2021'!V108</f>
        <v>0</v>
      </c>
      <c r="S16" s="106">
        <f>'2021'!W108</f>
        <v>0</v>
      </c>
      <c r="T16" s="106">
        <f>'2021'!X108</f>
      </c>
      <c r="U16" s="119">
        <f>'2021'!Y108</f>
      </c>
      <c r="V16" s="119">
        <f>'2021'!Z108</f>
        <v>0</v>
      </c>
      <c r="W16" s="106">
        <f>'2021'!AA108</f>
        <v>0</v>
      </c>
      <c r="X16" s="106">
        <f>'2021'!AB108</f>
      </c>
      <c r="Y16" s="119">
        <f>'2021'!AC108</f>
      </c>
      <c r="Z16" s="119">
        <f>'2021'!AD108</f>
        <v>0</v>
      </c>
      <c r="AA16" s="106">
        <f>'2021'!AE108</f>
        <v>0</v>
      </c>
      <c r="AB16" s="106">
        <f>'2021'!AF108</f>
      </c>
      <c r="AC16" s="119">
        <f>'2021'!AG108</f>
      </c>
      <c r="AD16" s="119">
        <f>'2021'!AH108</f>
        <v>0</v>
      </c>
      <c r="AE16" s="106">
        <f>'2021'!AI108</f>
        <v>0</v>
      </c>
      <c r="AF16" s="106">
        <f>'2021'!AJ108</f>
      </c>
      <c r="AG16" s="119">
        <f>'2021'!AK108</f>
      </c>
      <c r="AH16" s="119">
        <f>'2021'!AL108</f>
        <v>0</v>
      </c>
      <c r="AI16" s="106">
        <f>'2021'!AM108</f>
        <v>0</v>
      </c>
      <c r="AJ16" s="106">
        <f>'2021'!AN108</f>
      </c>
      <c r="AK16" s="119">
        <f>'2021'!AO108</f>
      </c>
      <c r="AL16" s="119">
        <f>'2021'!AP108</f>
        <v>0</v>
      </c>
      <c r="AM16" s="106">
        <f>'2021'!AQ108</f>
        <v>0</v>
      </c>
      <c r="AN16" s="106">
        <f>'2021'!AR108</f>
      </c>
      <c r="AO16" s="119">
        <f>'2021'!AS108</f>
      </c>
      <c r="AP16" s="119">
        <f>'2021'!AT108</f>
        <v>0</v>
      </c>
      <c r="AQ16" s="106">
        <f>'2021'!AU108</f>
        <v>0</v>
      </c>
      <c r="AR16" s="106">
        <f>'2021'!AV108</f>
      </c>
      <c r="AS16" s="119">
        <f>'2021'!AW108</f>
      </c>
      <c r="AT16" s="119">
        <f>'2021'!AX108</f>
        <v>0</v>
      </c>
      <c r="AU16" s="106">
        <f>'2021'!AY108</f>
        <v>0</v>
      </c>
      <c r="AV16" s="106">
        <f>'2021'!AZ108</f>
      </c>
      <c r="AW16" s="106"/>
      <c r="AX16" s="106">
        <f t="shared" si="0"/>
        <v>0</v>
      </c>
      <c r="AY16" s="119">
        <f>'2021'!BA108</f>
      </c>
      <c r="AZ16" s="119">
        <f>'2021'!BB108</f>
        <v>0</v>
      </c>
      <c r="BA16" s="106">
        <f>'2021'!BC108</f>
        <v>0</v>
      </c>
      <c r="BB16" s="106">
        <f>'2021'!BD108</f>
      </c>
      <c r="BC16" s="106"/>
      <c r="BD16" s="106">
        <f t="shared" si="1"/>
        <v>0</v>
      </c>
      <c r="BE16" s="119">
        <f>'2021'!BE108</f>
        <v>0</v>
      </c>
      <c r="BF16" s="106">
        <f>'2021'!BF108</f>
        <v>0</v>
      </c>
      <c r="BG16" s="106">
        <f>'2021'!BG108</f>
        <v>0</v>
      </c>
      <c r="BH16" s="106">
        <f>'2021'!BH108</f>
        <v>0</v>
      </c>
      <c r="BI16" s="106">
        <f t="shared" si="2"/>
        <v>0</v>
      </c>
      <c r="BJ16" s="338">
        <f t="shared" si="3"/>
        <v>0</v>
      </c>
    </row>
    <row r="17" spans="1:62" x14ac:dyDescent="0.25">
      <c r="A17" s="14"/>
      <c r="B17" s="125" t="s">
        <v>96</v>
      </c>
      <c r="C17" s="115">
        <v>3.94</v>
      </c>
      <c r="D17" s="117" t="s">
        <v>97</v>
      </c>
      <c r="E17" s="119">
        <f>'2021'!I117</f>
        <v>6537</v>
      </c>
      <c r="F17" s="119">
        <f>'2021'!J117</f>
        <v>64</v>
      </c>
      <c r="G17" s="106">
        <f>'2021'!K117</f>
        <v>166.4</v>
      </c>
      <c r="H17" s="106">
        <f>'2021'!L117</f>
      </c>
      <c r="I17" s="119">
        <f>'2021'!M117</f>
        <v>6537</v>
      </c>
      <c r="J17" s="119">
        <f>'2021'!N117</f>
        <v>0</v>
      </c>
      <c r="K17" s="106">
        <f>'2021'!O117</f>
        <v>0</v>
      </c>
      <c r="L17" s="106">
        <f>'2021'!P117</f>
      </c>
      <c r="M17" s="119">
        <f>'2021'!Q117</f>
        <v>6537</v>
      </c>
      <c r="N17" s="119">
        <f>'2021'!R117</f>
        <v>0</v>
      </c>
      <c r="O17" s="106">
        <f>'2021'!S117</f>
        <v>0</v>
      </c>
      <c r="P17" s="106">
        <f>'2021'!T117</f>
      </c>
      <c r="Q17" s="119">
        <f>'2021'!U117</f>
        <v>6541</v>
      </c>
      <c r="R17" s="119">
        <f>'2021'!V117</f>
        <v>4</v>
      </c>
      <c r="S17" s="106">
        <f>'2021'!W117</f>
        <v>10.4</v>
      </c>
      <c r="T17" s="106">
        <f>'2021'!X117</f>
      </c>
      <c r="U17" s="119">
        <f>'2021'!Y117</f>
        <v>6607</v>
      </c>
      <c r="V17" s="119">
        <f>'2021'!Z117</f>
        <v>66</v>
      </c>
      <c r="W17" s="106">
        <f>'2021'!AA117</f>
        <v>171.6</v>
      </c>
      <c r="X17" s="106">
        <f>'2021'!AB117</f>
      </c>
      <c r="Y17" s="119">
        <f>'2021'!AC117</f>
        <v>6708</v>
      </c>
      <c r="Z17" s="119">
        <f>'2021'!AD117</f>
        <v>101</v>
      </c>
      <c r="AA17" s="106">
        <f>'2021'!AE117</f>
        <v>262.6</v>
      </c>
      <c r="AB17" s="106">
        <f>'2021'!AF117</f>
        <v>1411.06</v>
      </c>
      <c r="AC17" s="119">
        <f>'2021'!AG117</f>
        <v>6788</v>
      </c>
      <c r="AD17" s="119">
        <f>'2021'!AH117</f>
        <v>80</v>
      </c>
      <c r="AE17" s="106">
        <f>'2021'!AI117</f>
        <v>216</v>
      </c>
      <c r="AF17" s="106">
        <f>'2021'!AJ117</f>
      </c>
      <c r="AG17" s="119">
        <f>'2021'!AK117</f>
        <v>6952</v>
      </c>
      <c r="AH17" s="119">
        <f>'2021'!AL117</f>
        <v>164</v>
      </c>
      <c r="AI17" s="106">
        <f>'2021'!AM117</f>
        <v>442.8</v>
      </c>
      <c r="AJ17" s="106">
        <f>'2021'!AN117</f>
      </c>
      <c r="AK17" s="119">
        <f>'2021'!AO117</f>
        <v>7199</v>
      </c>
      <c r="AL17" s="119">
        <f>'2021'!AP117</f>
        <v>247</v>
      </c>
      <c r="AM17" s="106">
        <f>'2021'!AQ117</f>
        <v>666.9</v>
      </c>
      <c r="AN17" s="106">
        <f>'2021'!AR117</f>
      </c>
      <c r="AO17" s="119">
        <f>'2021'!AS117</f>
        <v>7797</v>
      </c>
      <c r="AP17" s="119">
        <f>'2021'!AT117</f>
        <v>598</v>
      </c>
      <c r="AQ17" s="106">
        <f>'2021'!AU117</f>
        <v>1614.6</v>
      </c>
      <c r="AR17" s="106">
        <f>'2021'!AV117</f>
        <v>1397.56</v>
      </c>
      <c r="AS17" s="119">
        <f>'2021'!AW117</f>
        <v>8068</v>
      </c>
      <c r="AT17" s="119">
        <f>'2021'!AX117</f>
        <v>271</v>
      </c>
      <c r="AU17" s="106">
        <f>'2021'!AY117</f>
        <v>731.7</v>
      </c>
      <c r="AV17" s="106">
        <f>'2021'!AZ117</f>
        <v>1500</v>
      </c>
      <c r="AW17" s="106"/>
      <c r="AX17" s="106">
        <f t="shared" si="0"/>
        <v>0</v>
      </c>
      <c r="AY17" s="119">
        <f>'2021'!BA117</f>
        <v>8068</v>
      </c>
      <c r="AZ17" s="119">
        <f>'2021'!BB117</f>
        <v>0</v>
      </c>
      <c r="BA17" s="106">
        <f>'2021'!BC117</f>
        <v>0</v>
      </c>
      <c r="BB17" s="106">
        <f>'2021'!BD117</f>
      </c>
      <c r="BC17" s="106"/>
      <c r="BD17" s="106">
        <f t="shared" si="1"/>
        <v>0</v>
      </c>
      <c r="BE17" s="119">
        <f>'2021'!BE117</f>
        <v>1595</v>
      </c>
      <c r="BF17" s="106">
        <f>'2021'!BF117</f>
        <v>4283</v>
      </c>
      <c r="BG17" s="106">
        <f>'2021'!BG117</f>
        <v>4308.62</v>
      </c>
      <c r="BH17" s="106">
        <f>'2021'!BH117</f>
        <v>-171.82</v>
      </c>
      <c r="BI17" s="106">
        <f t="shared" si="2"/>
        <v>0</v>
      </c>
      <c r="BJ17" s="338">
        <f t="shared" si="3"/>
        <v>-171.82</v>
      </c>
    </row>
    <row r="18" spans="1:62" x14ac:dyDescent="0.25">
      <c r="A18" s="14"/>
      <c r="B18" s="118" t="s">
        <v>96</v>
      </c>
      <c r="C18" s="116">
        <v>4</v>
      </c>
      <c r="D18" s="117" t="s">
        <v>97</v>
      </c>
      <c r="E18" s="119">
        <f>'2021'!I126</f>
        <v>0</v>
      </c>
      <c r="F18" s="119">
        <f>'2021'!J126</f>
        <v>0</v>
      </c>
      <c r="G18" s="106">
        <f>'2021'!K126</f>
        <v>0</v>
      </c>
      <c r="H18" s="106">
        <f>'2021'!L126</f>
      </c>
      <c r="I18" s="119">
        <f>'2021'!M126</f>
        <v>0</v>
      </c>
      <c r="J18" s="119">
        <f>'2021'!N126</f>
        <v>0</v>
      </c>
      <c r="K18" s="106">
        <f>'2021'!O126</f>
        <v>0</v>
      </c>
      <c r="L18" s="106">
        <f>'2021'!P126</f>
      </c>
      <c r="M18" s="119">
        <f>'2021'!Q126</f>
        <v>0</v>
      </c>
      <c r="N18" s="119">
        <f>'2021'!R126</f>
        <v>0</v>
      </c>
      <c r="O18" s="106">
        <f>'2021'!S126</f>
        <v>0</v>
      </c>
      <c r="P18" s="106">
        <f>'2021'!T126</f>
      </c>
      <c r="Q18" s="119">
        <f>'2021'!U126</f>
        <v>0</v>
      </c>
      <c r="R18" s="119">
        <f>'2021'!V126</f>
        <v>0</v>
      </c>
      <c r="S18" s="106">
        <f>'2021'!W126</f>
        <v>0</v>
      </c>
      <c r="T18" s="106">
        <f>'2021'!X126</f>
      </c>
      <c r="U18" s="119">
        <f>'2021'!Y126</f>
      </c>
      <c r="V18" s="119">
        <f>'2021'!Z126</f>
        <v>0</v>
      </c>
      <c r="W18" s="106">
        <f>'2021'!AA126</f>
        <v>0</v>
      </c>
      <c r="X18" s="106">
        <f>'2021'!AB126</f>
      </c>
      <c r="Y18" s="119">
        <f>'2021'!AC126</f>
      </c>
      <c r="Z18" s="119">
        <f>'2021'!AD126</f>
        <v>0</v>
      </c>
      <c r="AA18" s="106">
        <f>'2021'!AE126</f>
        <v>0</v>
      </c>
      <c r="AB18" s="106">
        <f>'2021'!AF126</f>
      </c>
      <c r="AC18" s="119">
        <f>'2021'!AG126</f>
      </c>
      <c r="AD18" s="119">
        <f>'2021'!AH126</f>
        <v>0</v>
      </c>
      <c r="AE18" s="106">
        <f>'2021'!AI126</f>
        <v>0</v>
      </c>
      <c r="AF18" s="106">
        <f>'2021'!AJ126</f>
      </c>
      <c r="AG18" s="119">
        <f>'2021'!AK126</f>
      </c>
      <c r="AH18" s="119">
        <f>'2021'!AL126</f>
        <v>0</v>
      </c>
      <c r="AI18" s="106">
        <f>'2021'!AM126</f>
        <v>0</v>
      </c>
      <c r="AJ18" s="106">
        <f>'2021'!AN126</f>
      </c>
      <c r="AK18" s="119">
        <f>'2021'!AO126</f>
      </c>
      <c r="AL18" s="119">
        <f>'2021'!AP126</f>
        <v>0</v>
      </c>
      <c r="AM18" s="106">
        <f>'2021'!AQ126</f>
        <v>0</v>
      </c>
      <c r="AN18" s="106">
        <f>'2021'!AR126</f>
      </c>
      <c r="AO18" s="119">
        <f>'2021'!AS126</f>
      </c>
      <c r="AP18" s="119">
        <f>'2021'!AT126</f>
        <v>0</v>
      </c>
      <c r="AQ18" s="106">
        <f>'2021'!AU126</f>
        <v>0</v>
      </c>
      <c r="AR18" s="106">
        <f>'2021'!AV126</f>
      </c>
      <c r="AS18" s="119">
        <f>'2021'!AW126</f>
      </c>
      <c r="AT18" s="119">
        <f>'2021'!AX126</f>
        <v>0</v>
      </c>
      <c r="AU18" s="106">
        <f>'2021'!AY126</f>
        <v>0</v>
      </c>
      <c r="AV18" s="106">
        <f>'2021'!AZ126</f>
      </c>
      <c r="AW18" s="106"/>
      <c r="AX18" s="106">
        <f t="shared" si="0"/>
        <v>0</v>
      </c>
      <c r="AY18" s="119">
        <f>'2021'!BA126</f>
      </c>
      <c r="AZ18" s="119">
        <f>'2021'!BB126</f>
        <v>0</v>
      </c>
      <c r="BA18" s="106">
        <f>'2021'!BC126</f>
        <v>0</v>
      </c>
      <c r="BB18" s="106">
        <f>'2021'!BD126</f>
      </c>
      <c r="BC18" s="106"/>
      <c r="BD18" s="106">
        <f t="shared" si="1"/>
        <v>0</v>
      </c>
      <c r="BE18" s="119">
        <f>'2021'!BE126</f>
        <v>0</v>
      </c>
      <c r="BF18" s="106">
        <f>'2021'!BF126</f>
        <v>0</v>
      </c>
      <c r="BG18" s="106">
        <f>'2021'!BG126</f>
        <v>0</v>
      </c>
      <c r="BH18" s="106">
        <f>'2021'!BH126</f>
        <v>0</v>
      </c>
      <c r="BI18" s="106">
        <f t="shared" si="2"/>
        <v>0</v>
      </c>
      <c r="BJ18" s="338">
        <f t="shared" si="3"/>
        <v>0</v>
      </c>
    </row>
    <row r="19" spans="1:62" x14ac:dyDescent="0.25">
      <c r="A19" s="14"/>
      <c r="B19" s="115">
        <v>14</v>
      </c>
      <c r="C19" s="115">
        <v>4.02</v>
      </c>
      <c r="D19" s="117" t="s">
        <v>100</v>
      </c>
      <c r="E19" s="119">
        <f>'2021'!I135</f>
        <v>0</v>
      </c>
      <c r="F19" s="119">
        <f>'2021'!J135</f>
        <v>0</v>
      </c>
      <c r="G19" s="106">
        <f>'2021'!K135</f>
        <v>0</v>
      </c>
      <c r="H19" s="106">
        <f>'2021'!L135</f>
      </c>
      <c r="I19" s="119">
        <f>'2021'!M135</f>
        <v>0</v>
      </c>
      <c r="J19" s="119">
        <f>'2021'!N135</f>
        <v>0</v>
      </c>
      <c r="K19" s="106">
        <f>'2021'!O135</f>
        <v>0</v>
      </c>
      <c r="L19" s="106">
        <f>'2021'!P135</f>
      </c>
      <c r="M19" s="119">
        <f>'2021'!Q135</f>
        <v>0</v>
      </c>
      <c r="N19" s="119">
        <f>'2021'!R135</f>
        <v>0</v>
      </c>
      <c r="O19" s="106">
        <f>'2021'!S135</f>
        <v>0</v>
      </c>
      <c r="P19" s="106">
        <f>'2021'!T135</f>
      </c>
      <c r="Q19" s="119">
        <f>'2021'!U135</f>
        <v>0</v>
      </c>
      <c r="R19" s="119">
        <f>'2021'!V135</f>
        <v>0</v>
      </c>
      <c r="S19" s="106">
        <f>'2021'!W135</f>
        <v>0</v>
      </c>
      <c r="T19" s="106">
        <f>'2021'!X135</f>
      </c>
      <c r="U19" s="119">
        <f>'2021'!Y135</f>
      </c>
      <c r="V19" s="119">
        <f>'2021'!Z135</f>
        <v>0</v>
      </c>
      <c r="W19" s="106">
        <f>'2021'!AA135</f>
        <v>0</v>
      </c>
      <c r="X19" s="106">
        <f>'2021'!AB135</f>
      </c>
      <c r="Y19" s="119">
        <f>'2021'!AC135</f>
      </c>
      <c r="Z19" s="119">
        <f>'2021'!AD135</f>
        <v>0</v>
      </c>
      <c r="AA19" s="106">
        <f>'2021'!AE135</f>
        <v>0</v>
      </c>
      <c r="AB19" s="106">
        <f>'2021'!AF135</f>
      </c>
      <c r="AC19" s="119">
        <f>'2021'!AG135</f>
      </c>
      <c r="AD19" s="119">
        <f>'2021'!AH135</f>
        <v>0</v>
      </c>
      <c r="AE19" s="106">
        <f>'2021'!AI135</f>
        <v>0</v>
      </c>
      <c r="AF19" s="106">
        <f>'2021'!AJ135</f>
      </c>
      <c r="AG19" s="119">
        <f>'2021'!AK135</f>
      </c>
      <c r="AH19" s="119">
        <f>'2021'!AL135</f>
        <v>0</v>
      </c>
      <c r="AI19" s="106">
        <f>'2021'!AM135</f>
        <v>0</v>
      </c>
      <c r="AJ19" s="106">
        <f>'2021'!AN135</f>
      </c>
      <c r="AK19" s="119">
        <f>'2021'!AO135</f>
      </c>
      <c r="AL19" s="119">
        <f>'2021'!AP135</f>
        <v>0</v>
      </c>
      <c r="AM19" s="106">
        <f>'2021'!AQ135</f>
        <v>0</v>
      </c>
      <c r="AN19" s="106">
        <f>'2021'!AR135</f>
      </c>
      <c r="AO19" s="119">
        <f>'2021'!AS135</f>
      </c>
      <c r="AP19" s="119">
        <f>'2021'!AT135</f>
        <v>0</v>
      </c>
      <c r="AQ19" s="106">
        <f>'2021'!AU135</f>
        <v>0</v>
      </c>
      <c r="AR19" s="106">
        <f>'2021'!AV135</f>
      </c>
      <c r="AS19" s="119">
        <f>'2021'!AW135</f>
      </c>
      <c r="AT19" s="119">
        <f>'2021'!AX135</f>
        <v>0</v>
      </c>
      <c r="AU19" s="106">
        <f>'2021'!AY135</f>
        <v>0</v>
      </c>
      <c r="AV19" s="106">
        <f>'2021'!AZ135</f>
      </c>
      <c r="AW19" s="106"/>
      <c r="AX19" s="106">
        <f t="shared" si="0"/>
        <v>0</v>
      </c>
      <c r="AY19" s="119">
        <f>'2021'!BA135</f>
      </c>
      <c r="AZ19" s="119">
        <f>'2021'!BB135</f>
        <v>0</v>
      </c>
      <c r="BA19" s="106">
        <f>'2021'!BC135</f>
        <v>0</v>
      </c>
      <c r="BB19" s="106">
        <f>'2021'!BD135</f>
      </c>
      <c r="BC19" s="106"/>
      <c r="BD19" s="106">
        <f t="shared" si="1"/>
        <v>0</v>
      </c>
      <c r="BE19" s="119">
        <f>'2021'!BE135</f>
        <v>0</v>
      </c>
      <c r="BF19" s="106">
        <f>'2021'!BF135</f>
        <v>0</v>
      </c>
      <c r="BG19" s="106">
        <f>'2021'!BG135</f>
        <v>0</v>
      </c>
      <c r="BH19" s="106">
        <f>'2021'!BH135</f>
        <v>0</v>
      </c>
      <c r="BI19" s="106">
        <f t="shared" si="2"/>
        <v>0</v>
      </c>
      <c r="BJ19" s="338">
        <f t="shared" si="3"/>
        <v>0</v>
      </c>
    </row>
    <row r="20" spans="1:62" x14ac:dyDescent="0.25">
      <c r="A20" s="14"/>
      <c r="B20" s="115">
        <v>16</v>
      </c>
      <c r="C20" s="115">
        <v>3.98</v>
      </c>
      <c r="D20" s="117" t="s">
        <v>103</v>
      </c>
      <c r="E20" s="119">
        <f>'2021'!I144</f>
        <v>1249</v>
      </c>
      <c r="F20" s="119">
        <f>'2021'!J144</f>
        <v>0</v>
      </c>
      <c r="G20" s="106">
        <f>'2021'!K144</f>
        <v>0</v>
      </c>
      <c r="H20" s="106">
        <f>'2021'!L144</f>
      </c>
      <c r="I20" s="119">
        <f>'2021'!M144</f>
        <v>1249</v>
      </c>
      <c r="J20" s="119">
        <f>'2021'!N144</f>
        <v>0</v>
      </c>
      <c r="K20" s="106">
        <f>'2021'!O144</f>
        <v>0</v>
      </c>
      <c r="L20" s="106">
        <f>'2021'!P144</f>
      </c>
      <c r="M20" s="119">
        <f>'2021'!Q144</f>
        <v>1249</v>
      </c>
      <c r="N20" s="119">
        <f>'2021'!R144</f>
        <v>0</v>
      </c>
      <c r="O20" s="106">
        <f>'2021'!S144</f>
        <v>0</v>
      </c>
      <c r="P20" s="106">
        <f>'2021'!T144</f>
      </c>
      <c r="Q20" s="119">
        <f>'2021'!U144</f>
        <v>1249</v>
      </c>
      <c r="R20" s="119">
        <f>'2021'!V144</f>
        <v>0</v>
      </c>
      <c r="S20" s="106">
        <f>'2021'!W144</f>
        <v>0</v>
      </c>
      <c r="T20" s="106">
        <f>'2021'!X144</f>
      </c>
      <c r="U20" s="119">
        <f>'2021'!Y144</f>
        <v>1265</v>
      </c>
      <c r="V20" s="119">
        <f>'2021'!Z144</f>
        <v>16</v>
      </c>
      <c r="W20" s="106">
        <f>'2021'!AA144</f>
        <v>41.6</v>
      </c>
      <c r="X20" s="106">
        <f>'2021'!AB144</f>
      </c>
      <c r="Y20" s="119">
        <f>'2021'!AC144</f>
        <v>1278</v>
      </c>
      <c r="Z20" s="119">
        <f>'2021'!AD144</f>
        <v>13</v>
      </c>
      <c r="AA20" s="106">
        <f>'2021'!AE144</f>
        <v>33.8</v>
      </c>
      <c r="AB20" s="106">
        <f>'2021'!AF144</f>
        <v>500</v>
      </c>
      <c r="AC20" s="119">
        <f>'2021'!AG144</f>
        <v>1312</v>
      </c>
      <c r="AD20" s="119">
        <f>'2021'!AH144</f>
        <v>34</v>
      </c>
      <c r="AE20" s="106">
        <f>'2021'!AI144</f>
        <v>91.8</v>
      </c>
      <c r="AF20" s="106">
        <f>'2021'!AJ144</f>
      </c>
      <c r="AG20" s="119">
        <f>'2021'!AK144</f>
        <v>1319</v>
      </c>
      <c r="AH20" s="119">
        <f>'2021'!AL144</f>
        <v>7</v>
      </c>
      <c r="AI20" s="106">
        <f>'2021'!AM144</f>
        <v>18.9</v>
      </c>
      <c r="AJ20" s="106">
        <f>'2021'!AN144</f>
      </c>
      <c r="AK20" s="119">
        <f>'2021'!AO144</f>
        <v>1321</v>
      </c>
      <c r="AL20" s="119">
        <f>'2021'!AP144</f>
        <v>2</v>
      </c>
      <c r="AM20" s="106">
        <f>'2021'!AQ144</f>
        <v>5.4</v>
      </c>
      <c r="AN20" s="106">
        <f>'2021'!AR144</f>
      </c>
      <c r="AO20" s="119">
        <f>'2021'!AS144</f>
        <v>1328</v>
      </c>
      <c r="AP20" s="119">
        <f>'2021'!AT144</f>
        <v>7</v>
      </c>
      <c r="AQ20" s="106">
        <f>'2021'!AU144</f>
        <v>18.9</v>
      </c>
      <c r="AR20" s="106">
        <f>'2021'!AV144</f>
      </c>
      <c r="AS20" s="119">
        <f>'2021'!AW144</f>
        <v>1328</v>
      </c>
      <c r="AT20" s="119">
        <f>'2021'!AX144</f>
        <v>0</v>
      </c>
      <c r="AU20" s="106">
        <f>'2021'!AY144</f>
        <v>0</v>
      </c>
      <c r="AV20" s="106">
        <f>'2021'!AZ144</f>
      </c>
      <c r="AW20" s="106"/>
      <c r="AX20" s="106">
        <f t="shared" si="0"/>
        <v>0</v>
      </c>
      <c r="AY20" s="119">
        <f>'2021'!BA144</f>
        <v>1328</v>
      </c>
      <c r="AZ20" s="119">
        <f>'2021'!BB144</f>
        <v>0</v>
      </c>
      <c r="BA20" s="106">
        <f>'2021'!BC144</f>
        <v>0</v>
      </c>
      <c r="BB20" s="106">
        <f>'2021'!BD144</f>
      </c>
      <c r="BC20" s="106"/>
      <c r="BD20" s="106">
        <f t="shared" si="1"/>
        <v>0</v>
      </c>
      <c r="BE20" s="119">
        <f>'2021'!BE144</f>
        <v>79</v>
      </c>
      <c r="BF20" s="106">
        <f>'2021'!BF144</f>
        <v>210.4</v>
      </c>
      <c r="BG20" s="106">
        <f>'2021'!BG144</f>
        <v>500</v>
      </c>
      <c r="BH20" s="106">
        <f>'2021'!BH144</f>
        <v>-403.37</v>
      </c>
      <c r="BI20" s="106">
        <f t="shared" si="2"/>
        <v>0</v>
      </c>
      <c r="BJ20" s="338">
        <f t="shared" si="3"/>
        <v>-403.37</v>
      </c>
    </row>
    <row r="21" ht="15.75" customHeight="1" spans="1:62" x14ac:dyDescent="0.25">
      <c r="A21" s="14"/>
      <c r="B21" s="115">
        <v>17</v>
      </c>
      <c r="C21" s="116">
        <v>4</v>
      </c>
      <c r="D21" s="117" t="s">
        <v>106</v>
      </c>
      <c r="E21" s="119">
        <f>'2021'!I153</f>
        <v>95</v>
      </c>
      <c r="F21" s="119">
        <f>'2021'!J153</f>
        <v>0</v>
      </c>
      <c r="G21" s="106">
        <f>'2021'!K153</f>
        <v>0</v>
      </c>
      <c r="H21" s="106">
        <f>'2021'!L153</f>
      </c>
      <c r="I21" s="119">
        <f>'2021'!M153</f>
        <v>95</v>
      </c>
      <c r="J21" s="119">
        <f>'2021'!N153</f>
        <v>0</v>
      </c>
      <c r="K21" s="106">
        <f>'2021'!O153</f>
        <v>0</v>
      </c>
      <c r="L21" s="106">
        <f>'2021'!P153</f>
      </c>
      <c r="M21" s="119">
        <f>'2021'!Q153</f>
        <v>95</v>
      </c>
      <c r="N21" s="119">
        <f>'2021'!R153</f>
        <v>0</v>
      </c>
      <c r="O21" s="106">
        <f>'2021'!S153</f>
        <v>0</v>
      </c>
      <c r="P21" s="106">
        <f>'2021'!T153</f>
      </c>
      <c r="Q21" s="119">
        <f>'2021'!U153</f>
        <v>95</v>
      </c>
      <c r="R21" s="119">
        <f>'2021'!V153</f>
        <v>0</v>
      </c>
      <c r="S21" s="106">
        <f>'2021'!W153</f>
        <v>0</v>
      </c>
      <c r="T21" s="106">
        <f>'2021'!X153</f>
      </c>
      <c r="U21" s="119">
        <f>'2021'!Y153</f>
        <v>103</v>
      </c>
      <c r="V21" s="119">
        <f>'2021'!Z153</f>
        <v>8</v>
      </c>
      <c r="W21" s="106">
        <f>'2021'!AA153</f>
        <v>20.8</v>
      </c>
      <c r="X21" s="106">
        <f>'2021'!AB153</f>
      </c>
      <c r="Y21" s="119">
        <f>'2021'!AC153</f>
        <v>120</v>
      </c>
      <c r="Z21" s="119">
        <f>'2021'!AD153</f>
        <v>17</v>
      </c>
      <c r="AA21" s="106">
        <f>'2021'!AE153</f>
        <v>44.2</v>
      </c>
      <c r="AB21" s="106">
        <f>'2021'!AF153</f>
      </c>
      <c r="AC21" s="119">
        <f>'2021'!AG153</f>
        <v>141</v>
      </c>
      <c r="AD21" s="119">
        <f>'2021'!AH153</f>
        <v>21</v>
      </c>
      <c r="AE21" s="106">
        <f>'2021'!AI153</f>
        <v>56.7</v>
      </c>
      <c r="AF21" s="106">
        <f>'2021'!AJ153</f>
      </c>
      <c r="AG21" s="119">
        <f>'2021'!AK153</f>
        <v>155</v>
      </c>
      <c r="AH21" s="119">
        <f>'2021'!AL153</f>
        <v>14</v>
      </c>
      <c r="AI21" s="106">
        <f>'2021'!AM153</f>
        <v>37.8</v>
      </c>
      <c r="AJ21" s="106">
        <f>'2021'!AN153</f>
      </c>
      <c r="AK21" s="119">
        <f>'2021'!AO153</f>
        <v>180</v>
      </c>
      <c r="AL21" s="119">
        <f>'2021'!AP153</f>
        <v>25</v>
      </c>
      <c r="AM21" s="106">
        <f>'2021'!AQ153</f>
        <v>67.5</v>
      </c>
      <c r="AN21" s="106">
        <f>'2021'!AR153</f>
        <v>100</v>
      </c>
      <c r="AO21" s="119">
        <f>'2021'!AS153</f>
        <v>192</v>
      </c>
      <c r="AP21" s="119">
        <f>'2021'!AT153</f>
        <v>12</v>
      </c>
      <c r="AQ21" s="106">
        <f>'2021'!AU153</f>
        <v>32.4</v>
      </c>
      <c r="AR21" s="106">
        <f>'2021'!AV153</f>
      </c>
      <c r="AS21" s="119">
        <f>'2021'!AW153</f>
        <v>192</v>
      </c>
      <c r="AT21" s="119">
        <f>'2021'!AX153</f>
        <v>0</v>
      </c>
      <c r="AU21" s="106">
        <f>'2021'!AY153</f>
        <v>0</v>
      </c>
      <c r="AV21" s="106">
        <f>'2021'!AZ153</f>
        <v>100</v>
      </c>
      <c r="AW21" s="106"/>
      <c r="AX21" s="106">
        <f t="shared" si="0"/>
        <v>0</v>
      </c>
      <c r="AY21" s="119">
        <f>'2021'!BA153</f>
        <v>192</v>
      </c>
      <c r="AZ21" s="119">
        <f>'2021'!BB153</f>
        <v>0</v>
      </c>
      <c r="BA21" s="106">
        <f>'2021'!BC153</f>
        <v>0</v>
      </c>
      <c r="BB21" s="106">
        <f>'2021'!BD153</f>
      </c>
      <c r="BC21" s="106"/>
      <c r="BD21" s="106">
        <f t="shared" si="1"/>
        <v>0</v>
      </c>
      <c r="BE21" s="119">
        <f>'2021'!BE153</f>
        <v>97</v>
      </c>
      <c r="BF21" s="106">
        <f>'2021'!BF153</f>
        <v>259.4</v>
      </c>
      <c r="BG21" s="106">
        <f>'2021'!BG153</f>
        <v>200</v>
      </c>
      <c r="BH21" s="106">
        <f>'2021'!BH153</f>
        <v>-11.49</v>
      </c>
      <c r="BI21" s="106">
        <f t="shared" si="2"/>
        <v>0</v>
      </c>
      <c r="BJ21" s="338">
        <f t="shared" si="3"/>
        <v>-11.49</v>
      </c>
    </row>
    <row r="22" ht="15.75" customHeight="1" spans="1:62" x14ac:dyDescent="0.25">
      <c r="A22" s="14"/>
      <c r="B22" s="115">
        <v>18</v>
      </c>
      <c r="C22" s="115">
        <v>4.03</v>
      </c>
      <c r="D22" s="117" t="s">
        <v>109</v>
      </c>
      <c r="E22" s="119">
        <f>'2021'!I162</f>
        <v>359</v>
      </c>
      <c r="F22" s="119">
        <f>'2021'!J162</f>
        <v>0</v>
      </c>
      <c r="G22" s="106">
        <f>'2021'!K162</f>
        <v>0</v>
      </c>
      <c r="H22" s="106">
        <f>'2021'!L162</f>
      </c>
      <c r="I22" s="119">
        <f>'2021'!M162</f>
        <v>359</v>
      </c>
      <c r="J22" s="119">
        <f>'2021'!N162</f>
        <v>0</v>
      </c>
      <c r="K22" s="106">
        <f>'2021'!O162</f>
        <v>0</v>
      </c>
      <c r="L22" s="106">
        <f>'2021'!P162</f>
      </c>
      <c r="M22" s="119">
        <f>'2021'!Q162</f>
        <v>359</v>
      </c>
      <c r="N22" s="119">
        <f>'2021'!R162</f>
        <v>0</v>
      </c>
      <c r="O22" s="106">
        <f>'2021'!S162</f>
        <v>0</v>
      </c>
      <c r="P22" s="106">
        <f>'2021'!T162</f>
      </c>
      <c r="Q22" s="119">
        <f>'2021'!U162</f>
        <v>359</v>
      </c>
      <c r="R22" s="119">
        <f>'2021'!V162</f>
        <v>0</v>
      </c>
      <c r="S22" s="106">
        <f>'2021'!W162</f>
        <v>0</v>
      </c>
      <c r="T22" s="106">
        <f>'2021'!X162</f>
      </c>
      <c r="U22" s="119">
        <f>'2021'!Y162</f>
        <v>372</v>
      </c>
      <c r="V22" s="119">
        <f>'2021'!Z162</f>
        <v>13</v>
      </c>
      <c r="W22" s="106">
        <f>'2021'!AA162</f>
        <v>33.8</v>
      </c>
      <c r="X22" s="106">
        <f>'2021'!AB162</f>
      </c>
      <c r="Y22" s="119">
        <f>'2021'!AC162</f>
        <v>382</v>
      </c>
      <c r="Z22" s="119">
        <f>'2021'!AD162</f>
        <v>10</v>
      </c>
      <c r="AA22" s="106">
        <f>'2021'!AE162</f>
        <v>26</v>
      </c>
      <c r="AB22" s="106">
        <f>'2021'!AF162</f>
        <v>117</v>
      </c>
      <c r="AC22" s="119">
        <f>'2021'!AG162</f>
        <v>395</v>
      </c>
      <c r="AD22" s="119">
        <f>'2021'!AH162</f>
        <v>13</v>
      </c>
      <c r="AE22" s="106">
        <f>'2021'!AI162</f>
        <v>35.1</v>
      </c>
      <c r="AF22" s="106">
        <f>'2021'!AJ162</f>
        <v>35.82</v>
      </c>
      <c r="AG22" s="119">
        <f>'2021'!AK162</f>
        <v>404</v>
      </c>
      <c r="AH22" s="119">
        <f>'2021'!AL162</f>
        <v>9</v>
      </c>
      <c r="AI22" s="106">
        <f>'2021'!AM162</f>
        <v>24.3</v>
      </c>
      <c r="AJ22" s="106">
        <f>'2021'!AN162</f>
        <v>24.3</v>
      </c>
      <c r="AK22" s="119">
        <f>'2021'!AO162</f>
        <v>428</v>
      </c>
      <c r="AL22" s="119">
        <f>'2021'!AP162</f>
        <v>24</v>
      </c>
      <c r="AM22" s="106">
        <f>'2021'!AQ162</f>
        <v>64.8</v>
      </c>
      <c r="AN22" s="106">
        <f>'2021'!AR162</f>
      </c>
      <c r="AO22" s="119">
        <f>'2021'!AS162</f>
        <v>487</v>
      </c>
      <c r="AP22" s="119">
        <f>'2021'!AT162</f>
        <v>59</v>
      </c>
      <c r="AQ22" s="106">
        <f>'2021'!AU162</f>
        <v>159.3</v>
      </c>
      <c r="AR22" s="106">
        <f>'2021'!AV162</f>
      </c>
      <c r="AS22" s="119">
        <f>'2021'!AW162</f>
        <v>489</v>
      </c>
      <c r="AT22" s="119">
        <f>'2021'!AX162</f>
        <v>2</v>
      </c>
      <c r="AU22" s="106">
        <f>'2021'!AY162</f>
        <v>5.4</v>
      </c>
      <c r="AV22" s="106">
        <f>'2021'!AZ162</f>
      </c>
      <c r="AW22" s="106"/>
      <c r="AX22" s="106">
        <f t="shared" si="0"/>
        <v>0</v>
      </c>
      <c r="AY22" s="119">
        <f>'2021'!BA162</f>
        <v>489</v>
      </c>
      <c r="AZ22" s="119">
        <f>'2021'!BB162</f>
        <v>0</v>
      </c>
      <c r="BA22" s="106">
        <f>'2021'!BC162</f>
        <v>0</v>
      </c>
      <c r="BB22" s="106">
        <f>'2021'!BD162</f>
      </c>
      <c r="BC22" s="106"/>
      <c r="BD22" s="106">
        <f t="shared" si="1"/>
        <v>0</v>
      </c>
      <c r="BE22" s="119">
        <f>'2021'!BE162</f>
        <v>130</v>
      </c>
      <c r="BF22" s="106">
        <f>'2021'!BF162</f>
        <v>348.7</v>
      </c>
      <c r="BG22" s="106">
        <f>'2021'!BG162</f>
        <v>177.12</v>
      </c>
      <c r="BH22" s="106">
        <f>'2021'!BH162</f>
        <v>228.78</v>
      </c>
      <c r="BI22" s="106">
        <f t="shared" si="2"/>
        <v>0</v>
      </c>
      <c r="BJ22" s="338">
        <f t="shared" si="3"/>
        <v>228.78</v>
      </c>
    </row>
    <row r="23" ht="15.75" customHeight="1" spans="1:62" x14ac:dyDescent="0.25">
      <c r="A23" s="21"/>
      <c r="B23" s="115">
        <v>19</v>
      </c>
      <c r="C23" s="116">
        <v>4.1</v>
      </c>
      <c r="D23" s="117" t="s">
        <v>113</v>
      </c>
      <c r="E23" s="119">
        <f>'2021'!I171</f>
        <v>1</v>
      </c>
      <c r="F23" s="119">
        <f>'2021'!J171</f>
        <v>0</v>
      </c>
      <c r="G23" s="106">
        <f>'2021'!K171</f>
        <v>0</v>
      </c>
      <c r="H23" s="106">
        <f>'2021'!L171</f>
      </c>
      <c r="I23" s="119">
        <f>'2021'!M171</f>
        <v>1</v>
      </c>
      <c r="J23" s="119">
        <f>'2021'!N171</f>
        <v>0</v>
      </c>
      <c r="K23" s="106">
        <f>'2021'!O171</f>
        <v>0</v>
      </c>
      <c r="L23" s="106">
        <f>'2021'!P171</f>
      </c>
      <c r="M23" s="119">
        <f>'2021'!Q171</f>
        <v>1</v>
      </c>
      <c r="N23" s="119">
        <f>'2021'!R171</f>
        <v>0</v>
      </c>
      <c r="O23" s="106">
        <f>'2021'!S171</f>
        <v>0</v>
      </c>
      <c r="P23" s="106">
        <f>'2021'!T171</f>
      </c>
      <c r="Q23" s="119">
        <f>'2021'!U171</f>
        <v>1</v>
      </c>
      <c r="R23" s="119">
        <f>'2021'!V171</f>
        <v>0</v>
      </c>
      <c r="S23" s="106">
        <f>'2021'!W171</f>
        <v>0</v>
      </c>
      <c r="T23" s="106">
        <f>'2021'!X171</f>
      </c>
      <c r="U23" s="119">
        <f>'2021'!Y171</f>
        <v>1</v>
      </c>
      <c r="V23" s="119">
        <f>'2021'!Z171</f>
        <v>0</v>
      </c>
      <c r="W23" s="106">
        <f>'2021'!AA171</f>
        <v>0</v>
      </c>
      <c r="X23" s="106">
        <f>'2021'!AB171</f>
      </c>
      <c r="Y23" s="119">
        <f>'2021'!AC171</f>
        <v>1</v>
      </c>
      <c r="Z23" s="119">
        <f>'2021'!AD171</f>
        <v>0</v>
      </c>
      <c r="AA23" s="106">
        <f>'2021'!AE171</f>
        <v>0</v>
      </c>
      <c r="AB23" s="106">
        <f>'2021'!AF171</f>
      </c>
      <c r="AC23" s="119">
        <f>'2021'!AG171</f>
        <v>1</v>
      </c>
      <c r="AD23" s="119">
        <f>'2021'!AH171</f>
        <v>0</v>
      </c>
      <c r="AE23" s="106">
        <f>'2021'!AI171</f>
        <v>0</v>
      </c>
      <c r="AF23" s="106">
        <f>'2021'!AJ171</f>
      </c>
      <c r="AG23" s="119">
        <f>'2021'!AK171</f>
        <v>1</v>
      </c>
      <c r="AH23" s="119">
        <f>'2021'!AL171</f>
        <v>0</v>
      </c>
      <c r="AI23" s="106">
        <f>'2021'!AM171</f>
        <v>0</v>
      </c>
      <c r="AJ23" s="106">
        <f>'2021'!AN171</f>
      </c>
      <c r="AK23" s="119">
        <f>'2021'!AO171</f>
        <v>1</v>
      </c>
      <c r="AL23" s="119">
        <f>'2021'!AP171</f>
        <v>0</v>
      </c>
      <c r="AM23" s="106">
        <f>'2021'!AQ171</f>
        <v>0</v>
      </c>
      <c r="AN23" s="106">
        <f>'2021'!AR171</f>
      </c>
      <c r="AO23" s="119">
        <f>'2021'!AS171</f>
        <v>1</v>
      </c>
      <c r="AP23" s="119">
        <f>'2021'!AT171</f>
        <v>0</v>
      </c>
      <c r="AQ23" s="106">
        <f>'2021'!AU171</f>
        <v>0</v>
      </c>
      <c r="AR23" s="106">
        <f>'2021'!AV171</f>
      </c>
      <c r="AS23" s="119">
        <f>'2021'!AW171</f>
        <v>1</v>
      </c>
      <c r="AT23" s="119">
        <f>'2021'!AX171</f>
        <v>0</v>
      </c>
      <c r="AU23" s="106">
        <f>'2021'!AY171</f>
        <v>0</v>
      </c>
      <c r="AV23" s="106">
        <f>'2021'!AZ171</f>
      </c>
      <c r="AW23" s="106"/>
      <c r="AX23" s="106">
        <f t="shared" si="0"/>
        <v>0</v>
      </c>
      <c r="AY23" s="119">
        <f>'2021'!BA171</f>
        <v>1</v>
      </c>
      <c r="AZ23" s="119">
        <f>'2021'!BB171</f>
        <v>0</v>
      </c>
      <c r="BA23" s="106">
        <f>'2021'!BC171</f>
        <v>0</v>
      </c>
      <c r="BB23" s="106">
        <f>'2021'!BD171</f>
      </c>
      <c r="BC23" s="106"/>
      <c r="BD23" s="106">
        <f t="shared" si="1"/>
        <v>0</v>
      </c>
      <c r="BE23" s="119">
        <f>'2021'!BE171</f>
        <v>0</v>
      </c>
      <c r="BF23" s="106">
        <f>'2021'!BF171</f>
        <v>0</v>
      </c>
      <c r="BG23" s="106">
        <f>'2021'!BG171</f>
        <v>0</v>
      </c>
      <c r="BH23" s="106">
        <f>'2021'!BH171</f>
        <v>0</v>
      </c>
      <c r="BI23" s="106">
        <f t="shared" si="2"/>
        <v>0</v>
      </c>
      <c r="BJ23" s="338">
        <f t="shared" si="3"/>
        <v>0</v>
      </c>
    </row>
    <row r="24" ht="15.75" customHeight="1" spans="1:62" x14ac:dyDescent="0.25">
      <c r="A24" s="114" t="s">
        <v>116</v>
      </c>
      <c r="B24" s="115" t="s">
        <v>117</v>
      </c>
      <c r="C24" s="283">
        <v>4</v>
      </c>
      <c r="D24" s="117" t="s">
        <v>118</v>
      </c>
      <c r="E24" s="119">
        <f>'2021'!I180</f>
        <v>3265</v>
      </c>
      <c r="F24" s="119">
        <f>'2021'!J180</f>
        <v>0</v>
      </c>
      <c r="G24" s="106">
        <f>'2021'!K180</f>
        <v>0</v>
      </c>
      <c r="H24" s="106">
        <f>'2021'!L180</f>
      </c>
      <c r="I24" s="119">
        <f>'2021'!M180</f>
        <v>3265</v>
      </c>
      <c r="J24" s="119">
        <f>'2021'!N180</f>
        <v>0</v>
      </c>
      <c r="K24" s="106">
        <f>'2021'!O180</f>
        <v>0</v>
      </c>
      <c r="L24" s="106">
        <f>'2021'!P180</f>
      </c>
      <c r="M24" s="119">
        <f>'2021'!Q180</f>
        <v>3265</v>
      </c>
      <c r="N24" s="119">
        <f>'2021'!R180</f>
        <v>0</v>
      </c>
      <c r="O24" s="106">
        <f>'2021'!S180</f>
        <v>0</v>
      </c>
      <c r="P24" s="106">
        <f>'2021'!T180</f>
      </c>
      <c r="Q24" s="119">
        <f>'2021'!U180</f>
        <v>3265</v>
      </c>
      <c r="R24" s="119">
        <f>'2021'!V180</f>
        <v>0</v>
      </c>
      <c r="S24" s="106">
        <f>'2021'!W180</f>
        <v>0</v>
      </c>
      <c r="T24" s="106">
        <f>'2021'!X180</f>
      </c>
      <c r="U24" s="119">
        <f>'2021'!Y180</f>
        <v>3270</v>
      </c>
      <c r="V24" s="119">
        <f>'2021'!Z180</f>
        <v>5</v>
      </c>
      <c r="W24" s="106">
        <f>'2021'!AA180</f>
        <v>13</v>
      </c>
      <c r="X24" s="106">
        <f>'2021'!AB180</f>
      </c>
      <c r="Y24" s="119">
        <f>'2021'!AC180</f>
        <v>3270</v>
      </c>
      <c r="Z24" s="119">
        <f>'2021'!AD180</f>
        <v>0</v>
      </c>
      <c r="AA24" s="106">
        <f>'2021'!AE180</f>
        <v>0</v>
      </c>
      <c r="AB24" s="106">
        <f>'2021'!AF180</f>
        <v>113.9</v>
      </c>
      <c r="AC24" s="119">
        <f>'2021'!AG180</f>
        <v>3271</v>
      </c>
      <c r="AD24" s="119">
        <f>'2021'!AH180</f>
        <v>1</v>
      </c>
      <c r="AE24" s="106">
        <f>'2021'!AI180</f>
        <v>2.7</v>
      </c>
      <c r="AF24" s="106">
        <f>'2021'!AJ180</f>
        <v>2.7</v>
      </c>
      <c r="AG24" s="119">
        <f>'2021'!AK180</f>
        <v>3271</v>
      </c>
      <c r="AH24" s="119">
        <f>'2021'!AL180</f>
        <v>0</v>
      </c>
      <c r="AI24" s="106">
        <f>'2021'!AM180</f>
        <v>0</v>
      </c>
      <c r="AJ24" s="106">
        <f>'2021'!AN180</f>
      </c>
      <c r="AK24" s="119">
        <f>'2021'!AO180</f>
        <v>3271</v>
      </c>
      <c r="AL24" s="119">
        <f>'2021'!AP180</f>
        <v>0</v>
      </c>
      <c r="AM24" s="106">
        <f>'2021'!AQ180</f>
        <v>0</v>
      </c>
      <c r="AN24" s="106">
        <f>'2021'!AR180</f>
      </c>
      <c r="AO24" s="119">
        <f>'2021'!AS180</f>
        <v>3271</v>
      </c>
      <c r="AP24" s="119">
        <f>'2021'!AT180</f>
        <v>0</v>
      </c>
      <c r="AQ24" s="106">
        <f>'2021'!AU180</f>
        <v>0</v>
      </c>
      <c r="AR24" s="106">
        <f>'2021'!AV180</f>
      </c>
      <c r="AS24" s="119">
        <f>'2021'!AW180</f>
        <v>3271</v>
      </c>
      <c r="AT24" s="119">
        <f>'2021'!AX180</f>
        <v>0</v>
      </c>
      <c r="AU24" s="106">
        <f>'2021'!AY180</f>
        <v>0</v>
      </c>
      <c r="AV24" s="106">
        <f>'2021'!AZ180</f>
      </c>
      <c r="AW24" s="106"/>
      <c r="AX24" s="106">
        <f t="shared" si="0"/>
        <v>0</v>
      </c>
      <c r="AY24" s="119">
        <f>'2021'!BA180</f>
        <v>3271</v>
      </c>
      <c r="AZ24" s="119">
        <f>'2021'!BB180</f>
        <v>0</v>
      </c>
      <c r="BA24" s="106">
        <f>'2021'!BC180</f>
        <v>0</v>
      </c>
      <c r="BB24" s="106">
        <f>'2021'!BD180</f>
      </c>
      <c r="BC24" s="106"/>
      <c r="BD24" s="106">
        <f t="shared" si="1"/>
        <v>0</v>
      </c>
      <c r="BE24" s="119">
        <f>'2021'!BE180</f>
        <v>6</v>
      </c>
      <c r="BF24" s="106">
        <f>'2021'!BF180</f>
        <v>15.7</v>
      </c>
      <c r="BG24" s="106">
        <f>'2021'!BG180</f>
        <v>116.6</v>
      </c>
      <c r="BH24" s="106">
        <f>'2021'!BH180</f>
        <v>0</v>
      </c>
      <c r="BI24" s="106">
        <f t="shared" si="2"/>
        <v>0</v>
      </c>
      <c r="BJ24" s="338">
        <f t="shared" si="3"/>
        <v>0</v>
      </c>
    </row>
    <row r="25" ht="15.75" customHeight="1" spans="1:62" x14ac:dyDescent="0.25">
      <c r="A25" s="27"/>
      <c r="B25" s="115" t="s">
        <v>117</v>
      </c>
      <c r="C25" s="283">
        <v>4</v>
      </c>
      <c r="D25" s="117" t="s">
        <v>118</v>
      </c>
      <c r="E25" s="119">
        <f>'2021'!I189</f>
        <v>0</v>
      </c>
      <c r="F25" s="119">
        <f>'2021'!J189</f>
        <v>0</v>
      </c>
      <c r="G25" s="106">
        <f>'2021'!K189</f>
        <v>0</v>
      </c>
      <c r="H25" s="106">
        <f>'2021'!L189</f>
      </c>
      <c r="I25" s="119">
        <f>'2021'!M189</f>
        <v>0</v>
      </c>
      <c r="J25" s="119">
        <f>'2021'!N189</f>
        <v>0</v>
      </c>
      <c r="K25" s="106">
        <f>'2021'!O189</f>
        <v>0</v>
      </c>
      <c r="L25" s="106">
        <f>'2021'!P189</f>
      </c>
      <c r="M25" s="119">
        <f>'2021'!Q189</f>
        <v>0</v>
      </c>
      <c r="N25" s="119">
        <f>'2021'!R189</f>
        <v>0</v>
      </c>
      <c r="O25" s="106">
        <f>'2021'!S189</f>
        <v>0</v>
      </c>
      <c r="P25" s="106">
        <f>'2021'!T189</f>
      </c>
      <c r="Q25" s="119">
        <f>'2021'!U189</f>
        <v>0</v>
      </c>
      <c r="R25" s="119">
        <f>'2021'!V189</f>
        <v>0</v>
      </c>
      <c r="S25" s="106">
        <f>'2021'!W189</f>
        <v>0</v>
      </c>
      <c r="T25" s="106">
        <f>'2021'!X189</f>
      </c>
      <c r="U25" s="119">
        <f>'2021'!Y189</f>
      </c>
      <c r="V25" s="119">
        <f>'2021'!Z189</f>
        <v>0</v>
      </c>
      <c r="W25" s="106">
        <f>'2021'!AA189</f>
        <v>0</v>
      </c>
      <c r="X25" s="106">
        <f>'2021'!AB189</f>
      </c>
      <c r="Y25" s="119">
        <f>'2021'!AC189</f>
      </c>
      <c r="Z25" s="119">
        <f>'2021'!AD189</f>
        <v>0</v>
      </c>
      <c r="AA25" s="106">
        <f>'2021'!AE189</f>
        <v>0</v>
      </c>
      <c r="AB25" s="106">
        <f>'2021'!AF189</f>
      </c>
      <c r="AC25" s="119">
        <f>'2021'!AG189</f>
      </c>
      <c r="AD25" s="119">
        <f>'2021'!AH189</f>
        <v>0</v>
      </c>
      <c r="AE25" s="106">
        <f>'2021'!AI189</f>
        <v>0</v>
      </c>
      <c r="AF25" s="106">
        <f>'2021'!AJ189</f>
      </c>
      <c r="AG25" s="119">
        <f>'2021'!AK189</f>
      </c>
      <c r="AH25" s="119">
        <f>'2021'!AL189</f>
        <v>0</v>
      </c>
      <c r="AI25" s="106">
        <f>'2021'!AM189</f>
        <v>0</v>
      </c>
      <c r="AJ25" s="106">
        <f>'2021'!AN189</f>
      </c>
      <c r="AK25" s="119">
        <f>'2021'!AO189</f>
      </c>
      <c r="AL25" s="119">
        <f>'2021'!AP189</f>
        <v>0</v>
      </c>
      <c r="AM25" s="106">
        <f>'2021'!AQ189</f>
        <v>0</v>
      </c>
      <c r="AN25" s="106">
        <f>'2021'!AR189</f>
      </c>
      <c r="AO25" s="119">
        <f>'2021'!AS189</f>
      </c>
      <c r="AP25" s="119">
        <f>'2021'!AT189</f>
        <v>0</v>
      </c>
      <c r="AQ25" s="106">
        <f>'2021'!AU189</f>
        <v>0</v>
      </c>
      <c r="AR25" s="106">
        <f>'2021'!AV189</f>
      </c>
      <c r="AS25" s="119">
        <f>'2021'!AW189</f>
      </c>
      <c r="AT25" s="119">
        <f>'2021'!AX189</f>
        <v>0</v>
      </c>
      <c r="AU25" s="106">
        <f>'2021'!AY189</f>
        <v>0</v>
      </c>
      <c r="AV25" s="106">
        <f>'2021'!AZ189</f>
      </c>
      <c r="AW25" s="106"/>
      <c r="AX25" s="106">
        <f t="shared" si="0"/>
        <v>0</v>
      </c>
      <c r="AY25" s="119">
        <f>'2021'!BA189</f>
      </c>
      <c r="AZ25" s="119">
        <f>'2021'!BB189</f>
        <v>0</v>
      </c>
      <c r="BA25" s="106">
        <f>'2021'!BC189</f>
        <v>0</v>
      </c>
      <c r="BB25" s="106">
        <f>'2021'!BD189</f>
      </c>
      <c r="BC25" s="106"/>
      <c r="BD25" s="106">
        <f t="shared" si="1"/>
        <v>0</v>
      </c>
      <c r="BE25" s="119">
        <f>'2021'!BE189</f>
        <v>0</v>
      </c>
      <c r="BF25" s="106">
        <f>'2021'!BF189</f>
        <v>0</v>
      </c>
      <c r="BG25" s="106">
        <f>'2021'!BG189</f>
        <v>0</v>
      </c>
      <c r="BH25" s="106">
        <f>'2021'!BH189</f>
        <v>0</v>
      </c>
      <c r="BI25" s="106">
        <f t="shared" si="2"/>
        <v>0</v>
      </c>
      <c r="BJ25" s="338">
        <f t="shared" si="3"/>
        <v>0</v>
      </c>
    </row>
    <row r="26" ht="15.75" customHeight="1" spans="1:62" x14ac:dyDescent="0.25">
      <c r="A26" s="14"/>
      <c r="B26" s="125">
        <v>21</v>
      </c>
      <c r="C26" s="115">
        <v>3.96</v>
      </c>
      <c r="D26" s="117" t="s">
        <v>120</v>
      </c>
      <c r="E26" s="119">
        <f>'2021'!I198</f>
        <v>2216</v>
      </c>
      <c r="F26" s="119">
        <f>'2021'!J198</f>
        <v>23</v>
      </c>
      <c r="G26" s="106">
        <f>'2021'!K198</f>
        <v>59.8</v>
      </c>
      <c r="H26" s="106">
        <f>'2021'!L198</f>
      </c>
      <c r="I26" s="119">
        <f>'2021'!M198</f>
        <v>2237</v>
      </c>
      <c r="J26" s="119">
        <f>'2021'!N198</f>
        <v>21</v>
      </c>
      <c r="K26" s="106">
        <f>'2021'!O198</f>
        <v>54.6</v>
      </c>
      <c r="L26" s="106">
        <f>'2021'!P198</f>
        <v>57.2</v>
      </c>
      <c r="M26" s="119">
        <f>'2021'!Q198</f>
        <v>2257</v>
      </c>
      <c r="N26" s="119">
        <f>'2021'!R198</f>
        <v>20</v>
      </c>
      <c r="O26" s="106">
        <f>'2021'!S198</f>
        <v>52</v>
      </c>
      <c r="P26" s="106">
        <f>'2021'!T198</f>
        <v>110</v>
      </c>
      <c r="Q26" s="119">
        <f>'2021'!U198</f>
        <v>2280</v>
      </c>
      <c r="R26" s="119">
        <f>'2021'!V198</f>
        <v>23</v>
      </c>
      <c r="S26" s="106">
        <f>'2021'!W198</f>
        <v>59.8</v>
      </c>
      <c r="T26" s="106">
        <f>'2021'!X198</f>
      </c>
      <c r="U26" s="119">
        <f>'2021'!Y198</f>
        <v>2376</v>
      </c>
      <c r="V26" s="119">
        <f>'2021'!Z198</f>
        <v>96</v>
      </c>
      <c r="W26" s="106">
        <f>'2021'!AA198</f>
        <v>249.6</v>
      </c>
      <c r="X26" s="106">
        <f>'2021'!AB198</f>
      </c>
      <c r="Y26" s="119">
        <f>'2021'!AC198</f>
        <v>2458</v>
      </c>
      <c r="Z26" s="119">
        <f>'2021'!AD198</f>
        <v>82</v>
      </c>
      <c r="AA26" s="106">
        <f>'2021'!AE198</f>
        <v>213.2</v>
      </c>
      <c r="AB26" s="106">
        <f>'2021'!AF198</f>
        <v>308.6</v>
      </c>
      <c r="AC26" s="119">
        <f>'2021'!AG198</f>
        <v>2542</v>
      </c>
      <c r="AD26" s="119">
        <f>'2021'!AH198</f>
        <v>84</v>
      </c>
      <c r="AE26" s="106">
        <f>'2021'!AI198</f>
        <v>226.8</v>
      </c>
      <c r="AF26" s="106">
        <f>'2021'!AJ198</f>
        <v>300</v>
      </c>
      <c r="AG26" s="119">
        <f>'2021'!AK198</f>
        <v>2617</v>
      </c>
      <c r="AH26" s="119">
        <f>'2021'!AL198</f>
        <v>75</v>
      </c>
      <c r="AI26" s="106">
        <f>'2021'!AM198</f>
        <v>202.5</v>
      </c>
      <c r="AJ26" s="106">
        <f>'2021'!AN198</f>
        <v>140</v>
      </c>
      <c r="AK26" s="119">
        <f>'2021'!AO198</f>
        <v>2658</v>
      </c>
      <c r="AL26" s="119">
        <f>'2021'!AP198</f>
        <v>41</v>
      </c>
      <c r="AM26" s="106">
        <f>'2021'!AQ198</f>
        <v>110.7</v>
      </c>
      <c r="AN26" s="106">
        <f>'2021'!AR198</f>
        <v>202.5</v>
      </c>
      <c r="AO26" s="119">
        <f>'2021'!AS198</f>
        <v>2684</v>
      </c>
      <c r="AP26" s="119">
        <f>'2021'!AT198</f>
        <v>26</v>
      </c>
      <c r="AQ26" s="106">
        <f>'2021'!AU198</f>
        <v>70.2</v>
      </c>
      <c r="AR26" s="106">
        <f>'2021'!AV198</f>
        <v>203</v>
      </c>
      <c r="AS26" s="126">
        <f>'2021'!AW198</f>
        <v>2711</v>
      </c>
      <c r="AT26" s="119">
        <f>'2021'!AX198</f>
        <v>27</v>
      </c>
      <c r="AU26" s="106">
        <f>'2021'!AY198</f>
        <v>72.9</v>
      </c>
      <c r="AV26" s="106">
        <f>'2021'!AZ198</f>
      </c>
      <c r="AW26" s="119"/>
      <c r="AX26" s="106">
        <f t="shared" si="0"/>
        <v>0</v>
      </c>
      <c r="AY26" s="119">
        <f>'2021'!BA198</f>
        <v>2726</v>
      </c>
      <c r="AZ26" s="119">
        <f>'2021'!BB198</f>
        <v>15</v>
      </c>
      <c r="BA26" s="106">
        <f>'2021'!BC198</f>
        <v>40.5</v>
      </c>
      <c r="BB26" s="106">
        <f>'2021'!BD198</f>
        <v>51</v>
      </c>
      <c r="BC26" s="106"/>
      <c r="BD26" s="106">
        <f t="shared" si="1"/>
        <v>0</v>
      </c>
      <c r="BE26" s="119">
        <f>'2021'!BE198</f>
        <v>533</v>
      </c>
      <c r="BF26" s="106">
        <f>'2021'!BF198</f>
        <v>1412.6</v>
      </c>
      <c r="BG26" s="106">
        <f>'2021'!BG198</f>
        <v>1372.3</v>
      </c>
      <c r="BH26" s="106">
        <f>'2021'!BH198</f>
        <v>40.3</v>
      </c>
      <c r="BI26" s="106">
        <f t="shared" si="2"/>
        <v>0</v>
      </c>
      <c r="BJ26" s="338">
        <f t="shared" si="3"/>
        <v>40.3</v>
      </c>
    </row>
    <row r="27" ht="15.75" customHeight="1" spans="1:62" x14ac:dyDescent="0.25">
      <c r="A27" s="14"/>
      <c r="B27" s="115">
        <v>23</v>
      </c>
      <c r="C27" s="115">
        <v>3.98</v>
      </c>
      <c r="D27" s="117" t="s">
        <v>124</v>
      </c>
      <c r="E27" s="119">
        <f>'2021'!I207</f>
        <v>5766</v>
      </c>
      <c r="F27" s="119">
        <f>'2021'!J207</f>
        <v>0</v>
      </c>
      <c r="G27" s="106">
        <f>'2021'!K207</f>
        <v>0</v>
      </c>
      <c r="H27" s="106">
        <f>'2021'!L207</f>
      </c>
      <c r="I27" s="119">
        <f>'2021'!M207</f>
        <v>5766</v>
      </c>
      <c r="J27" s="119">
        <f>'2021'!N207</f>
        <v>0</v>
      </c>
      <c r="K27" s="106">
        <f>'2021'!O207</f>
        <v>0</v>
      </c>
      <c r="L27" s="106">
        <f>'2021'!P207</f>
      </c>
      <c r="M27" s="119">
        <f>'2021'!Q207</f>
        <v>5766</v>
      </c>
      <c r="N27" s="119">
        <f>'2021'!R207</f>
        <v>0</v>
      </c>
      <c r="O27" s="106">
        <f>'2021'!S207</f>
        <v>0</v>
      </c>
      <c r="P27" s="106">
        <f>'2021'!T207</f>
      </c>
      <c r="Q27" s="119">
        <f>'2021'!U207</f>
        <v>5766</v>
      </c>
      <c r="R27" s="119">
        <f>'2021'!V207</f>
        <v>0</v>
      </c>
      <c r="S27" s="106">
        <f>'2021'!W207</f>
        <v>0</v>
      </c>
      <c r="T27" s="106">
        <f>'2021'!X207</f>
      </c>
      <c r="U27" s="119">
        <f>'2021'!Y207</f>
        <v>6185</v>
      </c>
      <c r="V27" s="119">
        <f>'2021'!Z207</f>
        <v>419</v>
      </c>
      <c r="W27" s="106">
        <f>'2021'!AA207</f>
        <v>1089.4</v>
      </c>
      <c r="X27" s="106">
        <f>'2021'!AB207</f>
        <v>3573</v>
      </c>
      <c r="Y27" s="119">
        <f>'2021'!AC207</f>
        <v>6576</v>
      </c>
      <c r="Z27" s="119">
        <f>'2021'!AD207</f>
        <v>391</v>
      </c>
      <c r="AA27" s="106">
        <f>'2021'!AE207</f>
        <v>1016.6</v>
      </c>
      <c r="AB27" s="106">
        <f>'2021'!AF207</f>
        <v>1089</v>
      </c>
      <c r="AC27" s="119">
        <f>'2021'!AG207</f>
        <v>6818</v>
      </c>
      <c r="AD27" s="119">
        <f>'2021'!AH207</f>
        <v>242</v>
      </c>
      <c r="AE27" s="106">
        <f>'2021'!AI207</f>
        <v>653.4</v>
      </c>
      <c r="AF27" s="106">
        <f>'2021'!AJ207</f>
        <v>1016</v>
      </c>
      <c r="AG27" s="119">
        <f>'2021'!AK207</f>
        <v>7085</v>
      </c>
      <c r="AH27" s="119">
        <f>'2021'!AL207</f>
        <v>267</v>
      </c>
      <c r="AI27" s="106">
        <f>'2021'!AM207</f>
        <v>720.9</v>
      </c>
      <c r="AJ27" s="106">
        <f>'2021'!AN207</f>
      </c>
      <c r="AK27" s="119">
        <f>'2021'!AO207</f>
        <v>7872</v>
      </c>
      <c r="AL27" s="119">
        <f>'2021'!AP207</f>
        <v>787</v>
      </c>
      <c r="AM27" s="106">
        <f>'2021'!AQ207</f>
        <v>2124.9</v>
      </c>
      <c r="AN27" s="106">
        <f>'2021'!AR207</f>
        <v>1375</v>
      </c>
      <c r="AO27" s="119">
        <f>'2021'!AS207</f>
        <v>7944</v>
      </c>
      <c r="AP27" s="119">
        <f>'2021'!AT207</f>
        <v>72</v>
      </c>
      <c r="AQ27" s="106">
        <f>'2021'!AU207</f>
        <v>194.4</v>
      </c>
      <c r="AR27" s="106">
        <f>'2021'!AV207</f>
      </c>
      <c r="AS27" s="119">
        <f>'2021'!AW207</f>
        <v>7944</v>
      </c>
      <c r="AT27" s="119">
        <f>'2021'!AX207</f>
        <v>0</v>
      </c>
      <c r="AU27" s="106">
        <f>'2021'!AY207</f>
        <v>0</v>
      </c>
      <c r="AV27" s="106">
        <f>'2021'!AZ207</f>
      </c>
      <c r="AW27" s="106"/>
      <c r="AX27" s="106">
        <f t="shared" si="0"/>
        <v>0</v>
      </c>
      <c r="AY27" s="119">
        <f>'2021'!BA207</f>
        <v>7944</v>
      </c>
      <c r="AZ27" s="119">
        <f>'2021'!BB207</f>
        <v>0</v>
      </c>
      <c r="BA27" s="106">
        <f>'2021'!BC207</f>
        <v>0</v>
      </c>
      <c r="BB27" s="106">
        <f>'2021'!BD207</f>
      </c>
      <c r="BC27" s="106"/>
      <c r="BD27" s="106">
        <f t="shared" si="1"/>
        <v>0</v>
      </c>
      <c r="BE27" s="119">
        <f>'2021'!BE207</f>
        <v>2178</v>
      </c>
      <c r="BF27" s="106">
        <f>'2021'!BF207</f>
        <v>5799.6</v>
      </c>
      <c r="BG27" s="106">
        <f>'2021'!BG207</f>
        <v>7053</v>
      </c>
      <c r="BH27" s="106">
        <f>'2021'!BH207</f>
        <v>2319.28</v>
      </c>
      <c r="BI27" s="106">
        <f t="shared" si="2"/>
        <v>0</v>
      </c>
      <c r="BJ27" s="338">
        <f t="shared" si="3"/>
        <v>2319.28</v>
      </c>
    </row>
    <row r="28" ht="15.75" customHeight="1" spans="1:62" x14ac:dyDescent="0.25">
      <c r="A28" s="14"/>
      <c r="B28" s="115">
        <v>24</v>
      </c>
      <c r="C28" s="115">
        <v>4.01</v>
      </c>
      <c r="D28" s="117" t="s">
        <v>127</v>
      </c>
      <c r="E28" s="119">
        <f>'2021'!I216</f>
        <v>257</v>
      </c>
      <c r="F28" s="119">
        <f>'2021'!J216</f>
        <v>0</v>
      </c>
      <c r="G28" s="106">
        <f>'2021'!K216</f>
        <v>0</v>
      </c>
      <c r="H28" s="106">
        <f>'2021'!L216</f>
      </c>
      <c r="I28" s="119">
        <f>'2021'!M216</f>
        <v>257</v>
      </c>
      <c r="J28" s="119">
        <f>'2021'!N216</f>
        <v>0</v>
      </c>
      <c r="K28" s="106">
        <f>'2021'!O216</f>
        <v>0</v>
      </c>
      <c r="L28" s="106">
        <f>'2021'!P216</f>
      </c>
      <c r="M28" s="119">
        <f>'2021'!Q216</f>
        <v>257</v>
      </c>
      <c r="N28" s="119">
        <f>'2021'!R216</f>
        <v>0</v>
      </c>
      <c r="O28" s="106">
        <f>'2021'!S216</f>
        <v>0</v>
      </c>
      <c r="P28" s="106">
        <f>'2021'!T216</f>
      </c>
      <c r="Q28" s="119">
        <f>'2021'!U216</f>
        <v>257</v>
      </c>
      <c r="R28" s="119">
        <f>'2021'!V216</f>
        <v>0</v>
      </c>
      <c r="S28" s="106">
        <f>'2021'!W216</f>
        <v>0</v>
      </c>
      <c r="T28" s="106">
        <f>'2021'!X216</f>
      </c>
      <c r="U28" s="119">
        <f>'2021'!Y216</f>
        <v>335</v>
      </c>
      <c r="V28" s="119">
        <f>'2021'!Z216</f>
        <v>78</v>
      </c>
      <c r="W28" s="106">
        <f>'2021'!AA216</f>
        <v>202.8</v>
      </c>
      <c r="X28" s="106">
        <f>'2021'!AB216</f>
        <v>202.8</v>
      </c>
      <c r="Y28" s="119">
        <f>'2021'!AC216</f>
        <v>493</v>
      </c>
      <c r="Z28" s="119">
        <f>'2021'!AD216</f>
        <v>158</v>
      </c>
      <c r="AA28" s="106">
        <f>'2021'!AE216</f>
        <v>410.8</v>
      </c>
      <c r="AB28" s="106">
        <f>'2021'!AF216</f>
      </c>
      <c r="AC28" s="119">
        <f>'2021'!AG216</f>
        <v>597</v>
      </c>
      <c r="AD28" s="119">
        <f>'2021'!AH216</f>
        <v>104</v>
      </c>
      <c r="AE28" s="106">
        <f>'2021'!AI216</f>
        <v>280.8</v>
      </c>
      <c r="AF28" s="106">
        <f>'2021'!AJ216</f>
        <v>410.8</v>
      </c>
      <c r="AG28" s="119">
        <f>'2021'!AK216</f>
        <v>741</v>
      </c>
      <c r="AH28" s="119">
        <f>'2021'!AL216</f>
        <v>144</v>
      </c>
      <c r="AI28" s="106">
        <f>'2021'!AM216</f>
        <v>388.8</v>
      </c>
      <c r="AJ28" s="106">
        <f>'2021'!AN216</f>
        <v>280.8</v>
      </c>
      <c r="AK28" s="119">
        <f>'2021'!AO216</f>
        <v>774</v>
      </c>
      <c r="AL28" s="119">
        <f>'2021'!AP216</f>
        <v>33</v>
      </c>
      <c r="AM28" s="106">
        <f>'2021'!AQ216</f>
        <v>89.1</v>
      </c>
      <c r="AN28" s="106">
        <f>'2021'!AR216</f>
        <v>388.8</v>
      </c>
      <c r="AO28" s="119">
        <f>'2021'!AS216</f>
        <v>774</v>
      </c>
      <c r="AP28" s="119">
        <f>'2021'!AT216</f>
        <v>0</v>
      </c>
      <c r="AQ28" s="106">
        <f>'2021'!AU216</f>
        <v>0</v>
      </c>
      <c r="AR28" s="106">
        <f>'2021'!AV216</f>
      </c>
      <c r="AS28" s="119">
        <f>'2021'!AW216</f>
        <v>774</v>
      </c>
      <c r="AT28" s="119">
        <f>'2021'!AX216</f>
        <v>0</v>
      </c>
      <c r="AU28" s="106">
        <f>'2021'!AY216</f>
        <v>0</v>
      </c>
      <c r="AV28" s="106">
        <f>'2021'!AZ216</f>
        <v>89.1</v>
      </c>
      <c r="AW28" s="106"/>
      <c r="AX28" s="106">
        <f t="shared" si="0"/>
        <v>0</v>
      </c>
      <c r="AY28" s="119">
        <f>'2021'!BA216</f>
        <v>774</v>
      </c>
      <c r="AZ28" s="119">
        <f>'2021'!BB216</f>
        <v>0</v>
      </c>
      <c r="BA28" s="106">
        <f>'2021'!BC216</f>
        <v>0</v>
      </c>
      <c r="BB28" s="106">
        <f>'2021'!BD216</f>
      </c>
      <c r="BC28" s="106"/>
      <c r="BD28" s="106">
        <f t="shared" si="1"/>
        <v>0</v>
      </c>
      <c r="BE28" s="119">
        <f>'2021'!BE216</f>
        <v>517</v>
      </c>
      <c r="BF28" s="106">
        <f>'2021'!BF216</f>
        <v>1372.3</v>
      </c>
      <c r="BG28" s="106">
        <f>'2021'!BG216</f>
        <v>1372.3</v>
      </c>
      <c r="BH28" s="106">
        <f>'2021'!BH216</f>
        <v>0</v>
      </c>
      <c r="BI28" s="106">
        <f t="shared" si="2"/>
        <v>0</v>
      </c>
      <c r="BJ28" s="338">
        <f t="shared" si="3"/>
        <v>0</v>
      </c>
    </row>
    <row r="29" ht="15.75" customHeight="1" spans="1:62" x14ac:dyDescent="0.25">
      <c r="A29" s="14"/>
      <c r="B29" s="115">
        <v>25</v>
      </c>
      <c r="C29" s="116">
        <v>4</v>
      </c>
      <c r="D29" s="117" t="s">
        <v>131</v>
      </c>
      <c r="E29" s="119">
        <f>'2021'!I225</f>
        <v>26</v>
      </c>
      <c r="F29" s="119">
        <f>'2021'!J225</f>
        <v>0</v>
      </c>
      <c r="G29" s="106">
        <f>'2021'!K225</f>
        <v>0</v>
      </c>
      <c r="H29" s="106">
        <f>'2021'!L225</f>
      </c>
      <c r="I29" s="119">
        <f>'2021'!M225</f>
        <v>26</v>
      </c>
      <c r="J29" s="119">
        <f>'2021'!N225</f>
        <v>0</v>
      </c>
      <c r="K29" s="106">
        <f>'2021'!O225</f>
        <v>0</v>
      </c>
      <c r="L29" s="106">
        <f>'2021'!P225</f>
      </c>
      <c r="M29" s="119">
        <f>'2021'!Q225</f>
        <v>26</v>
      </c>
      <c r="N29" s="119">
        <f>'2021'!R225</f>
        <v>0</v>
      </c>
      <c r="O29" s="106">
        <f>'2021'!S225</f>
        <v>0</v>
      </c>
      <c r="P29" s="106">
        <f>'2021'!T225</f>
      </c>
      <c r="Q29" s="119">
        <f>'2021'!U225</f>
        <v>26</v>
      </c>
      <c r="R29" s="119">
        <f>'2021'!V225</f>
        <v>0</v>
      </c>
      <c r="S29" s="106">
        <f>'2021'!W225</f>
        <v>0</v>
      </c>
      <c r="T29" s="106">
        <f>'2021'!X225</f>
      </c>
      <c r="U29" s="119">
        <f>'2021'!Y225</f>
        <v>36</v>
      </c>
      <c r="V29" s="119">
        <f>'2021'!Z225</f>
        <v>10</v>
      </c>
      <c r="W29" s="106">
        <f>'2021'!AA225</f>
        <v>26</v>
      </c>
      <c r="X29" s="106">
        <f>'2021'!AB225</f>
      </c>
      <c r="Y29" s="119">
        <f>'2021'!AC225</f>
        <v>36</v>
      </c>
      <c r="Z29" s="119">
        <f>'2021'!AD225</f>
        <v>0</v>
      </c>
      <c r="AA29" s="106">
        <f>'2021'!AE225</f>
        <v>0</v>
      </c>
      <c r="AB29" s="106">
        <f>'2021'!AF225</f>
      </c>
      <c r="AC29" s="119">
        <f>'2021'!AG225</f>
        <v>37</v>
      </c>
      <c r="AD29" s="119">
        <f>'2021'!AH225</f>
        <v>1</v>
      </c>
      <c r="AE29" s="106">
        <f>'2021'!AI225</f>
        <v>2.7</v>
      </c>
      <c r="AF29" s="106">
        <f>'2021'!AJ225</f>
      </c>
      <c r="AG29" s="119">
        <f>'2021'!AK225</f>
        <v>41</v>
      </c>
      <c r="AH29" s="119">
        <f>'2021'!AL225</f>
        <v>4</v>
      </c>
      <c r="AI29" s="106">
        <f>'2021'!AM225</f>
        <v>10.8</v>
      </c>
      <c r="AJ29" s="106">
        <f>'2021'!AN225</f>
      </c>
      <c r="AK29" s="119">
        <f>'2021'!AO225</f>
        <v>47</v>
      </c>
      <c r="AL29" s="119">
        <f>'2021'!AP225</f>
        <v>6</v>
      </c>
      <c r="AM29" s="106">
        <f>'2021'!AQ225</f>
        <v>16.2</v>
      </c>
      <c r="AN29" s="106">
        <f>'2021'!AR225</f>
      </c>
      <c r="AO29" s="119">
        <f>'2021'!AS225</f>
        <v>47</v>
      </c>
      <c r="AP29" s="119">
        <f>'2021'!AT225</f>
        <v>0</v>
      </c>
      <c r="AQ29" s="106">
        <f>'2021'!AU225</f>
        <v>0</v>
      </c>
      <c r="AR29" s="106">
        <f>'2021'!AV225</f>
      </c>
      <c r="AS29" s="119">
        <f>'2021'!AW225</f>
        <v>48</v>
      </c>
      <c r="AT29" s="119">
        <f>'2021'!AX225</f>
        <v>1</v>
      </c>
      <c r="AU29" s="106">
        <f>'2021'!AY225</f>
        <v>2.7</v>
      </c>
      <c r="AV29" s="106">
        <f>'2021'!AZ225</f>
      </c>
      <c r="AW29" s="106"/>
      <c r="AX29" s="106">
        <f t="shared" si="0"/>
        <v>0</v>
      </c>
      <c r="AY29" s="119">
        <f>'2021'!BA225</f>
        <v>48</v>
      </c>
      <c r="AZ29" s="119">
        <f>'2021'!BB225</f>
        <v>0</v>
      </c>
      <c r="BA29" s="106">
        <f>'2021'!BC225</f>
        <v>0</v>
      </c>
      <c r="BB29" s="106">
        <f>'2021'!BD225</f>
      </c>
      <c r="BC29" s="106"/>
      <c r="BD29" s="106">
        <f t="shared" si="1"/>
        <v>0</v>
      </c>
      <c r="BE29" s="119">
        <f>'2021'!BE225</f>
        <v>22</v>
      </c>
      <c r="BF29" s="106">
        <f>'2021'!BF225</f>
        <v>58.4</v>
      </c>
      <c r="BG29" s="106">
        <f>'2021'!BG225</f>
        <v>0</v>
      </c>
      <c r="BH29" s="106">
        <f>'2021'!BH225</f>
        <v>25.39</v>
      </c>
      <c r="BI29" s="106">
        <f t="shared" si="2"/>
        <v>0</v>
      </c>
      <c r="BJ29" s="338">
        <f t="shared" si="3"/>
        <v>25.39</v>
      </c>
    </row>
    <row r="30" ht="15.75" customHeight="1" spans="1:62" x14ac:dyDescent="0.25">
      <c r="A30" s="14"/>
      <c r="B30" s="115">
        <v>26</v>
      </c>
      <c r="C30" s="115">
        <v>3.98</v>
      </c>
      <c r="D30" s="117" t="s">
        <v>133</v>
      </c>
      <c r="E30" s="119">
        <f>'2021'!I234</f>
        <v>0</v>
      </c>
      <c r="F30" s="119">
        <f>'2021'!J234</f>
        <v>0</v>
      </c>
      <c r="G30" s="106">
        <f>'2021'!K234</f>
        <v>0</v>
      </c>
      <c r="H30" s="106">
        <f>'2021'!L234</f>
      </c>
      <c r="I30" s="119">
        <f>'2021'!M234</f>
        <v>0</v>
      </c>
      <c r="J30" s="119">
        <f>'2021'!N234</f>
        <v>0</v>
      </c>
      <c r="K30" s="106">
        <f>'2021'!O234</f>
        <v>0</v>
      </c>
      <c r="L30" s="106">
        <f>'2021'!P234</f>
      </c>
      <c r="M30" s="119">
        <f>'2021'!Q234</f>
        <v>0</v>
      </c>
      <c r="N30" s="119">
        <f>'2021'!R234</f>
        <v>0</v>
      </c>
      <c r="O30" s="106">
        <f>'2021'!S234</f>
        <v>0</v>
      </c>
      <c r="P30" s="106">
        <f>'2021'!T234</f>
      </c>
      <c r="Q30" s="119">
        <f>'2021'!U234</f>
        <v>0</v>
      </c>
      <c r="R30" s="119">
        <f>'2021'!V234</f>
        <v>0</v>
      </c>
      <c r="S30" s="106">
        <f>'2021'!W234</f>
        <v>0</v>
      </c>
      <c r="T30" s="106">
        <f>'2021'!X234</f>
      </c>
      <c r="U30" s="119">
        <f>'2021'!Y234</f>
      </c>
      <c r="V30" s="119">
        <f>'2021'!Z234</f>
        <v>0</v>
      </c>
      <c r="W30" s="106">
        <f>'2021'!AA234</f>
        <v>0</v>
      </c>
      <c r="X30" s="106">
        <f>'2021'!AB234</f>
      </c>
      <c r="Y30" s="119">
        <f>'2021'!AC234</f>
      </c>
      <c r="Z30" s="119">
        <f>'2021'!AD234</f>
        <v>0</v>
      </c>
      <c r="AA30" s="106">
        <f>'2021'!AE234</f>
        <v>0</v>
      </c>
      <c r="AB30" s="106">
        <f>'2021'!AF234</f>
      </c>
      <c r="AC30" s="119">
        <f>'2021'!AG234</f>
      </c>
      <c r="AD30" s="119">
        <f>'2021'!AH234</f>
        <v>0</v>
      </c>
      <c r="AE30" s="106">
        <f>'2021'!AI234</f>
        <v>0</v>
      </c>
      <c r="AF30" s="106">
        <f>'2021'!AJ234</f>
      </c>
      <c r="AG30" s="119">
        <f>'2021'!AK234</f>
      </c>
      <c r="AH30" s="119">
        <f>'2021'!AL234</f>
        <v>0</v>
      </c>
      <c r="AI30" s="106">
        <f>'2021'!AM234</f>
        <v>0</v>
      </c>
      <c r="AJ30" s="106">
        <f>'2021'!AN234</f>
      </c>
      <c r="AK30" s="119">
        <f>'2021'!AO234</f>
      </c>
      <c r="AL30" s="119">
        <f>'2021'!AP234</f>
        <v>0</v>
      </c>
      <c r="AM30" s="106">
        <f>'2021'!AQ234</f>
        <v>0</v>
      </c>
      <c r="AN30" s="106">
        <f>'2021'!AR234</f>
      </c>
      <c r="AO30" s="119">
        <f>'2021'!AS234</f>
      </c>
      <c r="AP30" s="119">
        <f>'2021'!AT234</f>
        <v>0</v>
      </c>
      <c r="AQ30" s="106">
        <f>'2021'!AU234</f>
        <v>0</v>
      </c>
      <c r="AR30" s="106">
        <f>'2021'!AV234</f>
      </c>
      <c r="AS30" s="119">
        <f>'2021'!AW234</f>
      </c>
      <c r="AT30" s="119">
        <f>'2021'!AX234</f>
        <v>0</v>
      </c>
      <c r="AU30" s="106">
        <f>'2021'!AY234</f>
        <v>0</v>
      </c>
      <c r="AV30" s="106">
        <f>'2021'!AZ234</f>
      </c>
      <c r="AW30" s="106"/>
      <c r="AX30" s="106">
        <f t="shared" si="0"/>
        <v>0</v>
      </c>
      <c r="AY30" s="119">
        <f>'2021'!BA234</f>
      </c>
      <c r="AZ30" s="119">
        <f>'2021'!BB234</f>
        <v>0</v>
      </c>
      <c r="BA30" s="106">
        <f>'2021'!BC234</f>
        <v>0</v>
      </c>
      <c r="BB30" s="106">
        <f>'2021'!BD234</f>
      </c>
      <c r="BC30" s="106"/>
      <c r="BD30" s="106">
        <f t="shared" si="1"/>
        <v>0</v>
      </c>
      <c r="BE30" s="119">
        <f>'2021'!BE234</f>
        <v>0</v>
      </c>
      <c r="BF30" s="106">
        <f>'2021'!BF234</f>
        <v>0</v>
      </c>
      <c r="BG30" s="106">
        <f>'2021'!BG234</f>
        <v>0</v>
      </c>
      <c r="BH30" s="106">
        <f>'2021'!BH234</f>
        <v>0</v>
      </c>
      <c r="BI30" s="106">
        <f t="shared" si="2"/>
        <v>0</v>
      </c>
      <c r="BJ30" s="338">
        <f t="shared" si="3"/>
        <v>0</v>
      </c>
    </row>
    <row r="31" ht="15.75" customHeight="1" spans="1:62" x14ac:dyDescent="0.25">
      <c r="A31" s="14"/>
      <c r="B31" s="115">
        <v>27</v>
      </c>
      <c r="C31" s="115">
        <v>4.04</v>
      </c>
      <c r="D31" s="117" t="s">
        <v>136</v>
      </c>
      <c r="E31" s="119">
        <f>'2021'!I243</f>
        <v>0</v>
      </c>
      <c r="F31" s="119">
        <f>'2021'!J243</f>
        <v>0</v>
      </c>
      <c r="G31" s="106">
        <f>'2021'!K243</f>
        <v>0</v>
      </c>
      <c r="H31" s="106">
        <f>'2021'!L243</f>
      </c>
      <c r="I31" s="119">
        <f>'2021'!M243</f>
        <v>0</v>
      </c>
      <c r="J31" s="119">
        <f>'2021'!N243</f>
        <v>0</v>
      </c>
      <c r="K31" s="106">
        <f>'2021'!O243</f>
        <v>0</v>
      </c>
      <c r="L31" s="106">
        <f>'2021'!P243</f>
      </c>
      <c r="M31" s="119">
        <f>'2021'!Q243</f>
        <v>0</v>
      </c>
      <c r="N31" s="119">
        <f>'2021'!R243</f>
        <v>0</v>
      </c>
      <c r="O31" s="106">
        <f>'2021'!S243</f>
        <v>0</v>
      </c>
      <c r="P31" s="106">
        <f>'2021'!T243</f>
      </c>
      <c r="Q31" s="119">
        <f>'2021'!U243</f>
        <v>0</v>
      </c>
      <c r="R31" s="119">
        <f>'2021'!V243</f>
        <v>0</v>
      </c>
      <c r="S31" s="106">
        <f>'2021'!W243</f>
        <v>0</v>
      </c>
      <c r="T31" s="106">
        <f>'2021'!X243</f>
      </c>
      <c r="U31" s="119">
        <f>'2021'!Y243</f>
      </c>
      <c r="V31" s="119">
        <f>'2021'!Z243</f>
        <v>0</v>
      </c>
      <c r="W31" s="106">
        <f>'2021'!AA243</f>
        <v>0</v>
      </c>
      <c r="X31" s="106">
        <f>'2021'!AB243</f>
      </c>
      <c r="Y31" s="119">
        <f>'2021'!AC243</f>
      </c>
      <c r="Z31" s="119">
        <f>'2021'!AD243</f>
        <v>0</v>
      </c>
      <c r="AA31" s="106">
        <f>'2021'!AE243</f>
        <v>0</v>
      </c>
      <c r="AB31" s="106">
        <f>'2021'!AF243</f>
      </c>
      <c r="AC31" s="119">
        <f>'2021'!AG243</f>
      </c>
      <c r="AD31" s="119">
        <f>'2021'!AH243</f>
        <v>0</v>
      </c>
      <c r="AE31" s="106">
        <f>'2021'!AI243</f>
        <v>0</v>
      </c>
      <c r="AF31" s="106">
        <f>'2021'!AJ243</f>
      </c>
      <c r="AG31" s="119">
        <f>'2021'!AK243</f>
      </c>
      <c r="AH31" s="119">
        <f>'2021'!AL243</f>
        <v>0</v>
      </c>
      <c r="AI31" s="106">
        <f>'2021'!AM243</f>
        <v>0</v>
      </c>
      <c r="AJ31" s="106">
        <f>'2021'!AN243</f>
      </c>
      <c r="AK31" s="119">
        <f>'2021'!AO243</f>
      </c>
      <c r="AL31" s="119">
        <f>'2021'!AP243</f>
        <v>0</v>
      </c>
      <c r="AM31" s="106">
        <f>'2021'!AQ243</f>
        <v>0</v>
      </c>
      <c r="AN31" s="106">
        <f>'2021'!AR243</f>
      </c>
      <c r="AO31" s="119">
        <f>'2021'!AS243</f>
      </c>
      <c r="AP31" s="119">
        <f>'2021'!AT243</f>
        <v>0</v>
      </c>
      <c r="AQ31" s="106">
        <f>'2021'!AU243</f>
        <v>0</v>
      </c>
      <c r="AR31" s="106">
        <f>'2021'!AV243</f>
      </c>
      <c r="AS31" s="119">
        <f>'2021'!AW243</f>
      </c>
      <c r="AT31" s="119">
        <f>'2021'!AX243</f>
        <v>0</v>
      </c>
      <c r="AU31" s="106">
        <f>'2021'!AY243</f>
        <v>0</v>
      </c>
      <c r="AV31" s="106">
        <f>'2021'!AZ243</f>
      </c>
      <c r="AW31" s="106"/>
      <c r="AX31" s="106">
        <f t="shared" si="0"/>
        <v>0</v>
      </c>
      <c r="AY31" s="119">
        <f>'2021'!BA243</f>
      </c>
      <c r="AZ31" s="119">
        <f>'2021'!BB243</f>
        <v>0</v>
      </c>
      <c r="BA31" s="106">
        <f>'2021'!BC243</f>
        <v>0</v>
      </c>
      <c r="BB31" s="106">
        <f>'2021'!BD243</f>
      </c>
      <c r="BC31" s="106"/>
      <c r="BD31" s="106">
        <f t="shared" si="1"/>
        <v>0</v>
      </c>
      <c r="BE31" s="119">
        <f>'2021'!BE243</f>
        <v>0</v>
      </c>
      <c r="BF31" s="106">
        <f>'2021'!BF243</f>
        <v>0</v>
      </c>
      <c r="BG31" s="106">
        <f>'2021'!BG243</f>
        <v>0</v>
      </c>
      <c r="BH31" s="106">
        <f>'2021'!BH243</f>
        <v>0</v>
      </c>
      <c r="BI31" s="106">
        <f t="shared" si="2"/>
        <v>0</v>
      </c>
      <c r="BJ31" s="338">
        <f t="shared" si="3"/>
        <v>0</v>
      </c>
    </row>
    <row r="32" ht="15.75" customHeight="1" spans="1:62" x14ac:dyDescent="0.25">
      <c r="A32" s="14"/>
      <c r="B32" s="125">
        <v>28</v>
      </c>
      <c r="C32" s="115">
        <v>3.96</v>
      </c>
      <c r="D32" s="117" t="s">
        <v>140</v>
      </c>
      <c r="E32" s="119">
        <f>'2021'!I252</f>
        <v>1986</v>
      </c>
      <c r="F32" s="119">
        <f>'2021'!J252</f>
        <v>955</v>
      </c>
      <c r="G32" s="106">
        <f>'2021'!K252</f>
        <v>2483</v>
      </c>
      <c r="H32" s="106">
        <f>'2021'!L252</f>
        <v>2172</v>
      </c>
      <c r="I32" s="119">
        <f>'2021'!M252</f>
        <v>2944</v>
      </c>
      <c r="J32" s="119">
        <f>'2021'!N252</f>
        <v>958</v>
      </c>
      <c r="K32" s="106">
        <f>'2021'!O252</f>
        <v>2490.8</v>
      </c>
      <c r="L32" s="106">
        <f>'2021'!P252</f>
        <v>3480.4</v>
      </c>
      <c r="M32" s="119">
        <f>'2021'!Q252</f>
        <v>3689</v>
      </c>
      <c r="N32" s="119">
        <f>'2021'!R252</f>
        <v>745</v>
      </c>
      <c r="O32" s="106">
        <f>'2021'!S252</f>
        <v>1937</v>
      </c>
      <c r="P32" s="106">
        <f>'2021'!T252</f>
        <v>2493.4</v>
      </c>
      <c r="Q32" s="119">
        <f>'2021'!U252</f>
        <v>4117</v>
      </c>
      <c r="R32" s="119">
        <f>'2021'!V252</f>
        <v>428</v>
      </c>
      <c r="S32" s="106">
        <f>'2021'!W252</f>
        <v>1112.8</v>
      </c>
      <c r="T32" s="106">
        <f>'2021'!X252</f>
        <v>1937</v>
      </c>
      <c r="U32" s="119">
        <f>'2021'!Y252</f>
        <v>4273</v>
      </c>
      <c r="V32" s="119">
        <f>'2021'!Z252</f>
        <v>156</v>
      </c>
      <c r="W32" s="106">
        <f>'2021'!AA252</f>
        <v>405.6</v>
      </c>
      <c r="X32" s="106">
        <f>'2021'!AB252</f>
        <v>1112.8</v>
      </c>
      <c r="Y32" s="119">
        <f>'2021'!AC252</f>
        <v>4398</v>
      </c>
      <c r="Z32" s="119">
        <f>'2021'!AD252</f>
        <v>125</v>
      </c>
      <c r="AA32" s="106">
        <f>'2021'!AE252</f>
        <v>325</v>
      </c>
      <c r="AB32" s="106">
        <f>'2021'!AF252</f>
        <v>405.6</v>
      </c>
      <c r="AC32" s="119">
        <f>'2021'!AG252</f>
        <v>4487</v>
      </c>
      <c r="AD32" s="119">
        <f>'2021'!AH252</f>
        <v>89</v>
      </c>
      <c r="AE32" s="106">
        <f>'2021'!AI252</f>
        <v>240.3</v>
      </c>
      <c r="AF32" s="106">
        <f>'2021'!AJ252</f>
        <v>325</v>
      </c>
      <c r="AG32" s="119">
        <f>'2021'!AK252</f>
        <v>4572</v>
      </c>
      <c r="AH32" s="119">
        <f>'2021'!AL252</f>
        <v>85</v>
      </c>
      <c r="AI32" s="106">
        <f>'2021'!AM252</f>
        <v>229.5</v>
      </c>
      <c r="AJ32" s="106">
        <f>'2021'!AN252</f>
        <v>240.3</v>
      </c>
      <c r="AK32" s="119">
        <f>'2021'!AO252</f>
        <v>4743</v>
      </c>
      <c r="AL32" s="119">
        <f>'2021'!AP252</f>
        <v>171</v>
      </c>
      <c r="AM32" s="106">
        <f>'2021'!AQ252</f>
        <v>461.7</v>
      </c>
      <c r="AN32" s="106">
        <f>'2021'!AR252</f>
        <v>229.5</v>
      </c>
      <c r="AO32" s="119">
        <f>'2021'!AS252</f>
        <v>5125</v>
      </c>
      <c r="AP32" s="119">
        <f>'2021'!AT252</f>
        <v>382</v>
      </c>
      <c r="AQ32" s="106">
        <f>'2021'!AU252</f>
        <v>1031.4</v>
      </c>
      <c r="AR32" s="106">
        <f>'2021'!AV252</f>
        <v>461.7</v>
      </c>
      <c r="AS32" s="126">
        <f>'2021'!AW252</f>
        <v>5829</v>
      </c>
      <c r="AT32" s="119">
        <f>'2021'!AX252</f>
        <v>704</v>
      </c>
      <c r="AU32" s="106">
        <f>'2021'!AY252</f>
        <v>1900.8</v>
      </c>
      <c r="AV32" s="106">
        <f>'2021'!AZ252</f>
        <v>1031.4</v>
      </c>
      <c r="AW32" s="119"/>
      <c r="AX32" s="106">
        <f t="shared" si="0"/>
        <v>0</v>
      </c>
      <c r="AY32" s="119">
        <f>'2021'!BA252</f>
        <v>6571</v>
      </c>
      <c r="AZ32" s="119">
        <f>'2021'!BB252</f>
        <v>742</v>
      </c>
      <c r="BA32" s="106">
        <f>'2021'!BC252</f>
        <v>2003.4</v>
      </c>
      <c r="BB32" s="106">
        <f>'2021'!BD252</f>
        <v>1900.8</v>
      </c>
      <c r="BC32" s="119"/>
      <c r="BD32" s="106">
        <f t="shared" si="1"/>
        <v>0</v>
      </c>
      <c r="BE32" s="119">
        <f>'2021'!BE252</f>
        <v>5540</v>
      </c>
      <c r="BF32" s="106">
        <f>'2021'!BF252</f>
        <v>14621.3</v>
      </c>
      <c r="BG32" s="106">
        <f>'2021'!BG252</f>
        <v>15789.9</v>
      </c>
      <c r="BH32" s="106">
        <f>'2021'!BH252</f>
        <v>2003.4</v>
      </c>
      <c r="BI32" s="106">
        <f t="shared" si="2"/>
        <v>0</v>
      </c>
      <c r="BJ32" s="338">
        <f t="shared" si="3"/>
        <v>2003.4</v>
      </c>
    </row>
    <row r="33" ht="15.75" customHeight="1" spans="1:62" x14ac:dyDescent="0.25">
      <c r="A33" s="14"/>
      <c r="B33" s="118">
        <v>30</v>
      </c>
      <c r="C33" s="115">
        <v>4.05</v>
      </c>
      <c r="D33" s="117" t="s">
        <v>496</v>
      </c>
      <c r="E33" s="119">
        <f>'2021'!I261</f>
        <v>7</v>
      </c>
      <c r="F33" s="119">
        <f>'2021'!J261</f>
        <v>0</v>
      </c>
      <c r="G33" s="106">
        <f>'2021'!K261</f>
        <v>0</v>
      </c>
      <c r="H33" s="106">
        <f>'2021'!L261</f>
      </c>
      <c r="I33" s="119">
        <f>'2021'!M261</f>
        <v>7</v>
      </c>
      <c r="J33" s="119">
        <f>'2021'!N261</f>
        <v>0</v>
      </c>
      <c r="K33" s="106">
        <f>'2021'!O261</f>
        <v>0</v>
      </c>
      <c r="L33" s="106">
        <f>'2021'!P261</f>
        <v>5.2</v>
      </c>
      <c r="M33" s="119">
        <f>'2021'!Q261</f>
        <v>7</v>
      </c>
      <c r="N33" s="119">
        <f>'2021'!R261</f>
        <v>0</v>
      </c>
      <c r="O33" s="106">
        <f>'2021'!S261</f>
        <v>0</v>
      </c>
      <c r="P33" s="106">
        <f>'2021'!T261</f>
      </c>
      <c r="Q33" s="119">
        <f>'2021'!U261</f>
        <v>7</v>
      </c>
      <c r="R33" s="119">
        <f>'2021'!V261</f>
        <v>0</v>
      </c>
      <c r="S33" s="106">
        <f>'2021'!W261</f>
        <v>0</v>
      </c>
      <c r="T33" s="106">
        <f>'2021'!X261</f>
      </c>
      <c r="U33" s="119">
        <f>'2021'!Y261</f>
        <v>9</v>
      </c>
      <c r="V33" s="119">
        <f>'2021'!Z261</f>
        <v>2</v>
      </c>
      <c r="W33" s="106">
        <f>'2021'!AA261</f>
        <v>5.2</v>
      </c>
      <c r="X33" s="106">
        <f>'2021'!AB261</f>
      </c>
      <c r="Y33" s="119">
        <f>'2021'!AC261</f>
        <v>18</v>
      </c>
      <c r="Z33" s="119">
        <f>'2021'!AD261</f>
        <v>9</v>
      </c>
      <c r="AA33" s="106">
        <f>'2021'!AE261</f>
        <v>23.4</v>
      </c>
      <c r="AB33" s="106">
        <f>'2021'!AF261</f>
        <v>5.2</v>
      </c>
      <c r="AC33" s="119">
        <f>'2021'!AG261</f>
        <v>79</v>
      </c>
      <c r="AD33" s="119">
        <f>'2021'!AH261</f>
        <v>61</v>
      </c>
      <c r="AE33" s="106">
        <f>'2021'!AI261</f>
        <v>164.7</v>
      </c>
      <c r="AF33" s="106">
        <f>'2021'!AJ261</f>
        <v>188.1</v>
      </c>
      <c r="AG33" s="119">
        <f>'2021'!AK261</f>
        <v>161</v>
      </c>
      <c r="AH33" s="119">
        <f>'2021'!AL261</f>
        <v>82</v>
      </c>
      <c r="AI33" s="106">
        <f>'2021'!AM261</f>
        <v>221.4</v>
      </c>
      <c r="AJ33" s="106">
        <f>'2021'!AN261</f>
        <v>221.4</v>
      </c>
      <c r="AK33" s="119">
        <f>'2021'!AO261</f>
        <v>205</v>
      </c>
      <c r="AL33" s="119">
        <f>'2021'!AP261</f>
        <v>44</v>
      </c>
      <c r="AM33" s="106">
        <f>'2021'!AQ261</f>
        <v>118.8</v>
      </c>
      <c r="AN33" s="106">
        <f>'2021'!AR261</f>
      </c>
      <c r="AO33" s="119">
        <f>'2021'!AS261</f>
        <v>206</v>
      </c>
      <c r="AP33" s="119">
        <f>'2021'!AT261</f>
        <v>1</v>
      </c>
      <c r="AQ33" s="106">
        <f>'2021'!AU261</f>
        <v>2.7</v>
      </c>
      <c r="AR33" s="106">
        <f>'2021'!AV261</f>
        <v>118.8</v>
      </c>
      <c r="AS33" s="126">
        <f>'2021'!AW261</f>
        <v>206</v>
      </c>
      <c r="AT33" s="119">
        <f>'2021'!AX261</f>
        <v>0</v>
      </c>
      <c r="AU33" s="106">
        <f>'2021'!AY261</f>
        <v>0</v>
      </c>
      <c r="AV33" s="106">
        <f>'2021'!AZ261</f>
        <v>2.7</v>
      </c>
      <c r="AW33" s="119"/>
      <c r="AX33" s="106">
        <f t="shared" si="0"/>
        <v>0</v>
      </c>
      <c r="AY33" s="119">
        <f>'2021'!BA261</f>
        <v>206</v>
      </c>
      <c r="AZ33" s="119">
        <f>'2021'!BB261</f>
        <v>0</v>
      </c>
      <c r="BA33" s="106">
        <f>'2021'!BC261</f>
        <v>0</v>
      </c>
      <c r="BB33" s="106">
        <f>'2021'!BD261</f>
      </c>
      <c r="BC33" s="106"/>
      <c r="BD33" s="106">
        <f t="shared" si="1"/>
        <v>0</v>
      </c>
      <c r="BE33" s="119">
        <f>'2021'!BE261</f>
        <v>199</v>
      </c>
      <c r="BF33" s="106">
        <f>'2021'!BF261</f>
        <v>536.2</v>
      </c>
      <c r="BG33" s="106">
        <f>'2021'!BG261</f>
        <v>541.4</v>
      </c>
      <c r="BH33" s="106">
        <f>'2021'!BH261</f>
        <v>0</v>
      </c>
      <c r="BI33" s="106">
        <f t="shared" si="2"/>
        <v>0</v>
      </c>
      <c r="BJ33" s="338">
        <f t="shared" si="3"/>
        <v>0</v>
      </c>
    </row>
    <row r="34" ht="15.75" customHeight="1" spans="1:62" x14ac:dyDescent="0.25">
      <c r="A34" s="14"/>
      <c r="B34" s="115">
        <v>29</v>
      </c>
      <c r="C34" s="115">
        <v>4.02</v>
      </c>
      <c r="D34" s="117" t="s">
        <v>146</v>
      </c>
      <c r="E34" s="119">
        <f>'2021'!I270</f>
        <v>0</v>
      </c>
      <c r="F34" s="119">
        <f>'2021'!J270</f>
      </c>
      <c r="G34" s="106">
        <f>'2021'!K270</f>
        <v>0</v>
      </c>
      <c r="H34" s="106">
        <f>'2021'!L270</f>
      </c>
      <c r="I34" s="119">
        <f>'2021'!M270</f>
      </c>
      <c r="J34" s="119">
        <f>'2021'!N270</f>
        <v>0</v>
      </c>
      <c r="K34" s="106">
        <f>'2021'!O270</f>
        <v>0</v>
      </c>
      <c r="L34" s="106">
        <f>'2021'!P270</f>
      </c>
      <c r="M34" s="119">
        <f>'2021'!Q270</f>
      </c>
      <c r="N34" s="119">
        <f>'2021'!R270</f>
        <v>0</v>
      </c>
      <c r="O34" s="106">
        <f>'2021'!S270</f>
        <v>0</v>
      </c>
      <c r="P34" s="106">
        <f>'2021'!T270</f>
      </c>
      <c r="Q34" s="119">
        <f>'2021'!U270</f>
        <v>0</v>
      </c>
      <c r="R34" s="119">
        <f>'2021'!V270</f>
        <v>0</v>
      </c>
      <c r="S34" s="106">
        <f>'2021'!W270</f>
        <v>0</v>
      </c>
      <c r="T34" s="106">
        <f>'2021'!X270</f>
      </c>
      <c r="U34" s="119">
        <f>'2021'!Y270</f>
        <v>0</v>
      </c>
      <c r="V34" s="119">
        <f>'2021'!Z270</f>
        <v>0</v>
      </c>
      <c r="W34" s="106">
        <f>'2021'!AA270</f>
        <v>0</v>
      </c>
      <c r="X34" s="106">
        <f>'2021'!AB270</f>
      </c>
      <c r="Y34" s="119">
        <f>'2021'!AC270</f>
        <v>0</v>
      </c>
      <c r="Z34" s="119">
        <f>'2021'!AD270</f>
        <v>0</v>
      </c>
      <c r="AA34" s="106">
        <f>'2021'!AE270</f>
        <v>0</v>
      </c>
      <c r="AB34" s="106">
        <f>'2021'!AF270</f>
      </c>
      <c r="AC34" s="119">
        <f>'2021'!AG270</f>
        <v>0</v>
      </c>
      <c r="AD34" s="119">
        <f>'2021'!AH270</f>
        <v>0</v>
      </c>
      <c r="AE34" s="106">
        <f>'2021'!AI270</f>
        <v>0</v>
      </c>
      <c r="AF34" s="106">
        <f>'2021'!AJ270</f>
      </c>
      <c r="AG34" s="119">
        <f>'2021'!AK270</f>
        <v>0</v>
      </c>
      <c r="AH34" s="119">
        <f>'2021'!AL270</f>
        <v>0</v>
      </c>
      <c r="AI34" s="106">
        <f>'2021'!AM270</f>
        <v>0</v>
      </c>
      <c r="AJ34" s="106">
        <f>'2021'!AN270</f>
      </c>
      <c r="AK34" s="119">
        <f>'2021'!AO270</f>
        <v>0</v>
      </c>
      <c r="AL34" s="119">
        <f>'2021'!AP270</f>
        <v>0</v>
      </c>
      <c r="AM34" s="106">
        <f>'2021'!AQ270</f>
        <v>0</v>
      </c>
      <c r="AN34" s="106">
        <f>'2021'!AR270</f>
      </c>
      <c r="AO34" s="119">
        <f>'2021'!AS270</f>
      </c>
      <c r="AP34" s="119">
        <f>'2021'!AT270</f>
        <v>0</v>
      </c>
      <c r="AQ34" s="106">
        <f>'2021'!AU270</f>
        <v>0</v>
      </c>
      <c r="AR34" s="106">
        <f>'2021'!AV270</f>
      </c>
      <c r="AS34" s="119">
        <f>'2021'!AW270</f>
      </c>
      <c r="AT34" s="119">
        <f>'2021'!AX270</f>
        <v>0</v>
      </c>
      <c r="AU34" s="106">
        <f>'2021'!AY270</f>
        <v>0</v>
      </c>
      <c r="AV34" s="106">
        <f>'2021'!AZ270</f>
      </c>
      <c r="AW34" s="106"/>
      <c r="AX34" s="106">
        <f t="shared" si="0"/>
        <v>0</v>
      </c>
      <c r="AY34" s="119">
        <f>'2021'!BA270</f>
      </c>
      <c r="AZ34" s="119">
        <f>'2021'!BB270</f>
        <v>0</v>
      </c>
      <c r="BA34" s="106">
        <f>'2021'!BC270</f>
        <v>0</v>
      </c>
      <c r="BB34" s="106">
        <f>'2021'!BD270</f>
      </c>
      <c r="BC34" s="106"/>
      <c r="BD34" s="106">
        <f t="shared" si="1"/>
        <v>0</v>
      </c>
      <c r="BE34" s="119">
        <f>'2021'!BE270</f>
        <v>0</v>
      </c>
      <c r="BF34" s="106">
        <f>'2021'!BF270</f>
        <v>0</v>
      </c>
      <c r="BG34" s="106">
        <f>'2021'!BG270</f>
        <v>0</v>
      </c>
      <c r="BH34" s="106">
        <f>'2021'!BH270</f>
        <v>0</v>
      </c>
      <c r="BI34" s="106">
        <f t="shared" si="2"/>
        <v>0</v>
      </c>
      <c r="BJ34" s="338">
        <f t="shared" si="3"/>
        <v>0</v>
      </c>
    </row>
    <row r="35" ht="15.75" customHeight="1" spans="1:62" x14ac:dyDescent="0.25">
      <c r="A35" s="14"/>
      <c r="B35" s="115">
        <v>31</v>
      </c>
      <c r="C35" s="116">
        <v>4</v>
      </c>
      <c r="D35" s="117" t="s">
        <v>149</v>
      </c>
      <c r="E35" s="119">
        <f>'2021'!I279</f>
        <v>5</v>
      </c>
      <c r="F35" s="119">
        <f>'2021'!J279</f>
        <v>0</v>
      </c>
      <c r="G35" s="106">
        <f>'2021'!K279</f>
        <v>0</v>
      </c>
      <c r="H35" s="106">
        <f>'2021'!L279</f>
      </c>
      <c r="I35" s="119">
        <f>'2021'!M279</f>
        <v>5</v>
      </c>
      <c r="J35" s="119">
        <f>'2021'!N279</f>
        <v>0</v>
      </c>
      <c r="K35" s="106">
        <f>'2021'!O279</f>
        <v>0</v>
      </c>
      <c r="L35" s="106">
        <f>'2021'!P279</f>
      </c>
      <c r="M35" s="119">
        <f>'2021'!Q279</f>
        <v>5</v>
      </c>
      <c r="N35" s="119">
        <f>'2021'!R279</f>
        <v>0</v>
      </c>
      <c r="O35" s="106">
        <f>'2021'!S279</f>
        <v>0</v>
      </c>
      <c r="P35" s="106">
        <f>'2021'!T279</f>
      </c>
      <c r="Q35" s="119">
        <f>'2021'!U279</f>
        <v>5</v>
      </c>
      <c r="R35" s="119">
        <f>'2021'!V279</f>
        <v>0</v>
      </c>
      <c r="S35" s="106">
        <f>'2021'!W279</f>
        <v>0</v>
      </c>
      <c r="T35" s="106">
        <f>'2021'!X279</f>
      </c>
      <c r="U35" s="119">
        <f>'2021'!Y279</f>
        <v>5</v>
      </c>
      <c r="V35" s="119">
        <f>'2021'!Z279</f>
        <v>0</v>
      </c>
      <c r="W35" s="106">
        <f>'2021'!AA279</f>
        <v>0</v>
      </c>
      <c r="X35" s="106">
        <f>'2021'!AB279</f>
      </c>
      <c r="Y35" s="119">
        <f>'2021'!AC279</f>
        <v>5</v>
      </c>
      <c r="Z35" s="119">
        <f>'2021'!AD279</f>
        <v>0</v>
      </c>
      <c r="AA35" s="106">
        <f>'2021'!AE279</f>
        <v>0</v>
      </c>
      <c r="AB35" s="106">
        <f>'2021'!AF279</f>
      </c>
      <c r="AC35" s="119">
        <f>'2021'!AG279</f>
        <v>5</v>
      </c>
      <c r="AD35" s="119">
        <f>'2021'!AH279</f>
        <v>0</v>
      </c>
      <c r="AE35" s="106">
        <f>'2021'!AI279</f>
        <v>0</v>
      </c>
      <c r="AF35" s="106">
        <f>'2021'!AJ279</f>
      </c>
      <c r="AG35" s="119">
        <f>'2021'!AK279</f>
        <v>5</v>
      </c>
      <c r="AH35" s="119">
        <f>'2021'!AL279</f>
        <v>0</v>
      </c>
      <c r="AI35" s="106">
        <f>'2021'!AM279</f>
        <v>0</v>
      </c>
      <c r="AJ35" s="106">
        <f>'2021'!AN279</f>
      </c>
      <c r="AK35" s="119">
        <f>'2021'!AO279</f>
        <v>5</v>
      </c>
      <c r="AL35" s="119">
        <f>'2021'!AP279</f>
        <v>0</v>
      </c>
      <c r="AM35" s="106">
        <f>'2021'!AQ279</f>
        <v>0</v>
      </c>
      <c r="AN35" s="106">
        <f>'2021'!AR279</f>
      </c>
      <c r="AO35" s="119">
        <f>'2021'!AS279</f>
        <v>5</v>
      </c>
      <c r="AP35" s="119">
        <f>'2021'!AT279</f>
        <v>0</v>
      </c>
      <c r="AQ35" s="106">
        <f>'2021'!AU279</f>
        <v>0</v>
      </c>
      <c r="AR35" s="106">
        <f>'2021'!AV279</f>
      </c>
      <c r="AS35" s="119">
        <f>'2021'!AW279</f>
        <v>5</v>
      </c>
      <c r="AT35" s="119">
        <f>'2021'!AX279</f>
        <v>0</v>
      </c>
      <c r="AU35" s="106">
        <f>'2021'!AY279</f>
        <v>0</v>
      </c>
      <c r="AV35" s="106">
        <f>'2021'!AZ279</f>
      </c>
      <c r="AW35" s="106"/>
      <c r="AX35" s="106">
        <f t="shared" si="0"/>
        <v>0</v>
      </c>
      <c r="AY35" s="119">
        <f>'2021'!BA279</f>
        <v>5</v>
      </c>
      <c r="AZ35" s="119">
        <f>'2021'!BB279</f>
        <v>0</v>
      </c>
      <c r="BA35" s="106">
        <f>'2021'!BC279</f>
        <v>0</v>
      </c>
      <c r="BB35" s="106">
        <f>'2021'!BD279</f>
      </c>
      <c r="BC35" s="106"/>
      <c r="BD35" s="106">
        <f t="shared" si="1"/>
        <v>0</v>
      </c>
      <c r="BE35" s="119">
        <f>'2021'!BE279</f>
        <v>0</v>
      </c>
      <c r="BF35" s="106">
        <f>'2021'!BF279</f>
        <v>0</v>
      </c>
      <c r="BG35" s="106">
        <f>'2021'!BG279</f>
        <v>0</v>
      </c>
      <c r="BH35" s="106">
        <f>'2021'!BH279</f>
        <v>0</v>
      </c>
      <c r="BI35" s="106">
        <f t="shared" si="2"/>
        <v>0</v>
      </c>
      <c r="BJ35" s="338">
        <f t="shared" si="3"/>
        <v>0</v>
      </c>
    </row>
    <row r="36" ht="15.75" customHeight="1" spans="1:62" x14ac:dyDescent="0.25">
      <c r="A36" s="14"/>
      <c r="B36" s="115">
        <v>32</v>
      </c>
      <c r="C36" s="115">
        <v>3.96</v>
      </c>
      <c r="D36" s="117" t="s">
        <v>152</v>
      </c>
      <c r="E36" s="119">
        <f>'2021'!I288</f>
        <v>991</v>
      </c>
      <c r="F36" s="119">
        <f>'2021'!J288</f>
        <v>0</v>
      </c>
      <c r="G36" s="106">
        <f>'2021'!K288</f>
        <v>0</v>
      </c>
      <c r="H36" s="106">
        <f>'2021'!L288</f>
      </c>
      <c r="I36" s="119">
        <f>'2021'!M288</f>
        <v>991</v>
      </c>
      <c r="J36" s="119">
        <f>'2021'!N288</f>
        <v>0</v>
      </c>
      <c r="K36" s="106">
        <f>'2021'!O288</f>
        <v>0</v>
      </c>
      <c r="L36" s="106">
        <f>'2021'!P288</f>
      </c>
      <c r="M36" s="119">
        <f>'2021'!Q288</f>
        <v>991</v>
      </c>
      <c r="N36" s="119">
        <f>'2021'!R288</f>
        <v>0</v>
      </c>
      <c r="O36" s="106">
        <f>'2021'!S288</f>
        <v>0</v>
      </c>
      <c r="P36" s="106">
        <f>'2021'!T288</f>
      </c>
      <c r="Q36" s="119">
        <f>'2021'!U288</f>
        <v>991</v>
      </c>
      <c r="R36" s="119">
        <f>'2021'!V288</f>
        <v>0</v>
      </c>
      <c r="S36" s="106">
        <f>'2021'!W288</f>
        <v>0</v>
      </c>
      <c r="T36" s="106">
        <f>'2021'!X288</f>
        <v>327.35</v>
      </c>
      <c r="U36" s="119">
        <f>'2021'!Y288</f>
        <v>1034</v>
      </c>
      <c r="V36" s="119">
        <f>'2021'!Z288</f>
        <v>43</v>
      </c>
      <c r="W36" s="106">
        <f>'2021'!AA288</f>
        <v>111.8</v>
      </c>
      <c r="X36" s="106">
        <f>'2021'!AB288</f>
      </c>
      <c r="Y36" s="119">
        <f>'2021'!AC288</f>
        <v>1092</v>
      </c>
      <c r="Z36" s="119">
        <f>'2021'!AD288</f>
        <v>58</v>
      </c>
      <c r="AA36" s="106">
        <f>'2021'!AE288</f>
        <v>150.8</v>
      </c>
      <c r="AB36" s="106">
        <f>'2021'!AF288</f>
      </c>
      <c r="AC36" s="119">
        <f>'2021'!AG288</f>
        <v>1167</v>
      </c>
      <c r="AD36" s="119">
        <f>'2021'!AH288</f>
        <v>75</v>
      </c>
      <c r="AE36" s="106">
        <f>'2021'!AI288</f>
        <v>202.5</v>
      </c>
      <c r="AF36" s="106">
        <f>'2021'!AJ288</f>
      </c>
      <c r="AG36" s="119">
        <f>'2021'!AK288</f>
        <v>1228</v>
      </c>
      <c r="AH36" s="119">
        <f>'2021'!AL288</f>
        <v>61</v>
      </c>
      <c r="AI36" s="106">
        <f>'2021'!AM288</f>
        <v>164.7</v>
      </c>
      <c r="AJ36" s="106">
        <f>'2021'!AN288</f>
        <v>465.1</v>
      </c>
      <c r="AK36" s="119">
        <f>'2021'!AO288</f>
        <v>1275</v>
      </c>
      <c r="AL36" s="119">
        <f>'2021'!AP288</f>
        <v>47</v>
      </c>
      <c r="AM36" s="106">
        <f>'2021'!AQ288</f>
        <v>126.9</v>
      </c>
      <c r="AN36" s="106">
        <f>'2021'!AR288</f>
      </c>
      <c r="AO36" s="119">
        <f>'2021'!AS288</f>
        <v>1280</v>
      </c>
      <c r="AP36" s="119">
        <f>'2021'!AT288</f>
        <v>5</v>
      </c>
      <c r="AQ36" s="106">
        <f>'2021'!AU288</f>
        <v>13.5</v>
      </c>
      <c r="AR36" s="106">
        <f>'2021'!AV288</f>
      </c>
      <c r="AS36" s="119">
        <f>'2021'!AW288</f>
        <v>1282</v>
      </c>
      <c r="AT36" s="119">
        <f>'2021'!AX288</f>
        <v>2</v>
      </c>
      <c r="AU36" s="106">
        <f>'2021'!AY288</f>
        <v>5.4</v>
      </c>
      <c r="AV36" s="106">
        <f>'2021'!AZ288</f>
      </c>
      <c r="AW36" s="106"/>
      <c r="AX36" s="106">
        <f t="shared" si="0"/>
        <v>0</v>
      </c>
      <c r="AY36" s="119">
        <f>'2021'!BA288</f>
        <v>1282</v>
      </c>
      <c r="AZ36" s="119">
        <f>'2021'!BB288</f>
        <v>0</v>
      </c>
      <c r="BA36" s="106">
        <f>'2021'!BC288</f>
        <v>0</v>
      </c>
      <c r="BB36" s="106">
        <f>'2021'!BD288</f>
      </c>
      <c r="BC36" s="106"/>
      <c r="BD36" s="106">
        <f t="shared" si="1"/>
        <v>0</v>
      </c>
      <c r="BE36" s="119">
        <f>'2021'!BE288</f>
        <v>291</v>
      </c>
      <c r="BF36" s="106">
        <f>'2021'!BF288</f>
        <v>775.6</v>
      </c>
      <c r="BG36" s="106">
        <f>'2021'!BG288</f>
        <v>792.45</v>
      </c>
      <c r="BH36" s="106">
        <f>'2021'!BH288</f>
        <v>310.5</v>
      </c>
      <c r="BI36" s="106">
        <f t="shared" si="2"/>
        <v>0</v>
      </c>
      <c r="BJ36" s="338">
        <f t="shared" si="3"/>
        <v>310.5</v>
      </c>
    </row>
    <row r="37" ht="15.75" customHeight="1" spans="1:62" x14ac:dyDescent="0.25">
      <c r="A37" s="14"/>
      <c r="B37" s="115">
        <v>33</v>
      </c>
      <c r="C37" s="115">
        <v>4.01</v>
      </c>
      <c r="D37" s="117" t="s">
        <v>154</v>
      </c>
      <c r="E37" s="119">
        <f>'2021'!I297</f>
        <v>33</v>
      </c>
      <c r="F37" s="119">
        <f>'2021'!J297</f>
        <v>0</v>
      </c>
      <c r="G37" s="106">
        <f>'2021'!K297</f>
        <v>0</v>
      </c>
      <c r="H37" s="106">
        <f>'2021'!L297</f>
      </c>
      <c r="I37" s="119">
        <f>'2021'!M297</f>
        <v>33</v>
      </c>
      <c r="J37" s="119">
        <f>'2021'!N297</f>
        <v>0</v>
      </c>
      <c r="K37" s="106">
        <f>'2021'!O297</f>
        <v>0</v>
      </c>
      <c r="L37" s="106">
        <f>'2021'!P297</f>
      </c>
      <c r="M37" s="119">
        <f>'2021'!Q297</f>
        <v>33</v>
      </c>
      <c r="N37" s="119">
        <f>'2021'!R297</f>
        <v>0</v>
      </c>
      <c r="O37" s="106">
        <f>'2021'!S297</f>
        <v>0</v>
      </c>
      <c r="P37" s="106">
        <f>'2021'!T297</f>
        <v>82.149</v>
      </c>
      <c r="Q37" s="119">
        <f>'2021'!U297</f>
        <v>33</v>
      </c>
      <c r="R37" s="119">
        <f>'2021'!V297</f>
        <v>0</v>
      </c>
      <c r="S37" s="106">
        <f>'2021'!W297</f>
        <v>0</v>
      </c>
      <c r="T37" s="106">
        <f>'2021'!X297</f>
      </c>
      <c r="U37" s="119">
        <f>'2021'!Y297</f>
        <v>33</v>
      </c>
      <c r="V37" s="119">
        <f>'2021'!Z297</f>
        <v>0</v>
      </c>
      <c r="W37" s="106">
        <f>'2021'!AA297</f>
        <v>0</v>
      </c>
      <c r="X37" s="106">
        <f>'2021'!AB297</f>
      </c>
      <c r="Y37" s="119">
        <f>'2021'!AC297</f>
        <v>33</v>
      </c>
      <c r="Z37" s="119">
        <f>'2021'!AD297</f>
        <v>0</v>
      </c>
      <c r="AA37" s="106">
        <f>'2021'!AE297</f>
        <v>0</v>
      </c>
      <c r="AB37" s="106">
        <f>'2021'!AF297</f>
      </c>
      <c r="AC37" s="119">
        <f>'2021'!AG297</f>
        <v>33</v>
      </c>
      <c r="AD37" s="119">
        <f>'2021'!AH297</f>
        <v>0</v>
      </c>
      <c r="AE37" s="106">
        <f>'2021'!AI297</f>
        <v>0</v>
      </c>
      <c r="AF37" s="106">
        <f>'2021'!AJ297</f>
      </c>
      <c r="AG37" s="119">
        <f>'2021'!AK297</f>
        <v>33</v>
      </c>
      <c r="AH37" s="119">
        <f>'2021'!AL297</f>
        <v>0</v>
      </c>
      <c r="AI37" s="106">
        <f>'2021'!AM297</f>
        <v>0</v>
      </c>
      <c r="AJ37" s="106">
        <f>'2021'!AN297</f>
      </c>
      <c r="AK37" s="119">
        <f>'2021'!AO297</f>
        <v>33</v>
      </c>
      <c r="AL37" s="119">
        <f>'2021'!AP297</f>
        <v>0</v>
      </c>
      <c r="AM37" s="106">
        <f>'2021'!AQ297</f>
        <v>0</v>
      </c>
      <c r="AN37" s="106">
        <f>'2021'!AR297</f>
      </c>
      <c r="AO37" s="119">
        <f>'2021'!AS297</f>
        <v>33</v>
      </c>
      <c r="AP37" s="119">
        <f>'2021'!AT297</f>
        <v>0</v>
      </c>
      <c r="AQ37" s="106">
        <f>'2021'!AU297</f>
        <v>0</v>
      </c>
      <c r="AR37" s="106">
        <f>'2021'!AV297</f>
      </c>
      <c r="AS37" s="119">
        <f>'2021'!AW297</f>
        <v>33</v>
      </c>
      <c r="AT37" s="119">
        <f>'2021'!AX297</f>
        <v>0</v>
      </c>
      <c r="AU37" s="106">
        <f>'2021'!AY297</f>
        <v>0</v>
      </c>
      <c r="AV37" s="106">
        <f>'2021'!AZ297</f>
      </c>
      <c r="AW37" s="106"/>
      <c r="AX37" s="106">
        <f t="shared" si="0"/>
        <v>0</v>
      </c>
      <c r="AY37" s="119">
        <f>'2021'!BA297</f>
        <v>33</v>
      </c>
      <c r="AZ37" s="119">
        <f>'2021'!BB297</f>
        <v>0</v>
      </c>
      <c r="BA37" s="106">
        <f>'2021'!BC297</f>
        <v>0</v>
      </c>
      <c r="BB37" s="106">
        <f>'2021'!BD297</f>
      </c>
      <c r="BC37" s="106"/>
      <c r="BD37" s="106">
        <f t="shared" si="1"/>
        <v>0</v>
      </c>
      <c r="BE37" s="119">
        <f>'2021'!BE297</f>
        <v>0</v>
      </c>
      <c r="BF37" s="106">
        <f>'2021'!BF297</f>
        <v>0</v>
      </c>
      <c r="BG37" s="106">
        <f>'2021'!BG297</f>
        <v>82.149</v>
      </c>
      <c r="BH37" s="106">
        <f>'2021'!BH297</f>
        <v>0.341</v>
      </c>
      <c r="BI37" s="106">
        <f t="shared" si="2"/>
        <v>0</v>
      </c>
      <c r="BJ37" s="338">
        <f t="shared" si="3"/>
        <v>0.341</v>
      </c>
    </row>
    <row r="38" ht="15.75" customHeight="1" spans="1:62" x14ac:dyDescent="0.25">
      <c r="A38" s="14"/>
      <c r="B38" s="115">
        <v>34</v>
      </c>
      <c r="C38" s="115">
        <v>4.01</v>
      </c>
      <c r="D38" s="117" t="s">
        <v>155</v>
      </c>
      <c r="E38" s="119">
        <f>'2021'!I306</f>
        <v>4151</v>
      </c>
      <c r="F38" s="119">
        <f>'2021'!J306</f>
        <v>0</v>
      </c>
      <c r="G38" s="106">
        <f>'2021'!K306</f>
        <v>0</v>
      </c>
      <c r="H38" s="106">
        <f>'2021'!L306</f>
      </c>
      <c r="I38" s="119">
        <f>'2021'!M306</f>
        <v>4151</v>
      </c>
      <c r="J38" s="119">
        <f>'2021'!N306</f>
        <v>0</v>
      </c>
      <c r="K38" s="106">
        <f>'2021'!O306</f>
        <v>0</v>
      </c>
      <c r="L38" s="106">
        <f>'2021'!P306</f>
      </c>
      <c r="M38" s="119">
        <f>'2021'!Q306</f>
        <v>4383</v>
      </c>
      <c r="N38" s="119">
        <f>'2021'!R306</f>
        <v>232</v>
      </c>
      <c r="O38" s="106">
        <f>'2021'!S306</f>
        <v>603.2</v>
      </c>
      <c r="P38" s="106">
        <f>'2021'!T306</f>
      </c>
      <c r="Q38" s="119">
        <f>'2021'!U306</f>
        <v>4383</v>
      </c>
      <c r="R38" s="119">
        <f>'2021'!V306</f>
        <v>0</v>
      </c>
      <c r="S38" s="106">
        <f>'2021'!W306</f>
        <v>0</v>
      </c>
      <c r="T38" s="106">
        <f>'2021'!X306</f>
      </c>
      <c r="U38" s="119">
        <f>'2021'!Y306</f>
        <v>5047</v>
      </c>
      <c r="V38" s="119">
        <f>'2021'!Z306</f>
        <v>664</v>
      </c>
      <c r="W38" s="106">
        <f>'2021'!AA306</f>
        <v>1726.4</v>
      </c>
      <c r="X38" s="106">
        <f>'2021'!AB306</f>
      </c>
      <c r="Y38" s="119">
        <f>'2021'!AC306</f>
        <v>5050</v>
      </c>
      <c r="Z38" s="119">
        <f>'2021'!AD306</f>
        <v>3</v>
      </c>
      <c r="AA38" s="106">
        <f>'2021'!AE306</f>
        <v>7.8</v>
      </c>
      <c r="AB38" s="106">
        <f>'2021'!AF306</f>
      </c>
      <c r="AC38" s="119">
        <f>'2021'!AG306</f>
        <v>5058</v>
      </c>
      <c r="AD38" s="119">
        <f>'2021'!AH306</f>
        <v>8</v>
      </c>
      <c r="AE38" s="106">
        <f>'2021'!AI306</f>
        <v>21.6</v>
      </c>
      <c r="AF38" s="106">
        <f>'2021'!AJ306</f>
      </c>
      <c r="AG38" s="119">
        <f>'2021'!AK306</f>
        <v>5058</v>
      </c>
      <c r="AH38" s="119">
        <f>'2021'!AL306</f>
        <v>0</v>
      </c>
      <c r="AI38" s="106">
        <f>'2021'!AM306</f>
        <v>0</v>
      </c>
      <c r="AJ38" s="106">
        <f>'2021'!AN306</f>
      </c>
      <c r="AK38" s="119">
        <f>'2021'!AO306</f>
        <v>5066</v>
      </c>
      <c r="AL38" s="119">
        <f>'2021'!AP306</f>
        <v>8</v>
      </c>
      <c r="AM38" s="106">
        <f>'2021'!AQ306</f>
        <v>21.6</v>
      </c>
      <c r="AN38" s="106">
        <f>'2021'!AR306</f>
      </c>
      <c r="AO38" s="119">
        <f>'2021'!AS306</f>
        <v>5066</v>
      </c>
      <c r="AP38" s="119">
        <f>'2021'!AT306</f>
        <v>0</v>
      </c>
      <c r="AQ38" s="106">
        <f>'2021'!AU306</f>
        <v>0</v>
      </c>
      <c r="AR38" s="106">
        <f>'2021'!AV306</f>
      </c>
      <c r="AS38" s="119">
        <f>'2021'!AW306</f>
        <v>5082</v>
      </c>
      <c r="AT38" s="119">
        <f>'2021'!AX306</f>
        <v>16</v>
      </c>
      <c r="AU38" s="106">
        <f>'2021'!AY306</f>
        <v>43.2</v>
      </c>
      <c r="AV38" s="106">
        <f>'2021'!AZ306</f>
      </c>
      <c r="AW38" s="106"/>
      <c r="AX38" s="106">
        <f t="shared" si="0"/>
        <v>0</v>
      </c>
      <c r="AY38" s="119">
        <f>'2021'!BA306</f>
        <v>5082</v>
      </c>
      <c r="AZ38" s="119">
        <f>'2021'!BB306</f>
        <v>0</v>
      </c>
      <c r="BA38" s="106">
        <f>'2021'!BC306</f>
        <v>0</v>
      </c>
      <c r="BB38" s="106">
        <f>'2021'!BD306</f>
      </c>
      <c r="BC38" s="106"/>
      <c r="BD38" s="106">
        <f t="shared" si="1"/>
        <v>0</v>
      </c>
      <c r="BE38" s="119">
        <f>'2021'!BE306</f>
        <v>931</v>
      </c>
      <c r="BF38" s="106">
        <f>'2021'!BF306</f>
        <v>2423.8</v>
      </c>
      <c r="BG38" s="106">
        <f>'2021'!BG306</f>
        <v>0</v>
      </c>
      <c r="BH38" s="106">
        <f>'2021'!BH306</f>
        <v>3333.1</v>
      </c>
      <c r="BI38" s="106">
        <f t="shared" si="2"/>
        <v>0</v>
      </c>
      <c r="BJ38" s="338">
        <f t="shared" si="3"/>
        <v>3333.1</v>
      </c>
    </row>
    <row r="39" ht="15.75" customHeight="1" spans="1:62" x14ac:dyDescent="0.25">
      <c r="A39" s="14"/>
      <c r="B39" s="115">
        <v>35</v>
      </c>
      <c r="C39" s="115">
        <v>4.01</v>
      </c>
      <c r="D39" s="117" t="s">
        <v>157</v>
      </c>
      <c r="E39" s="119">
        <f>'2021'!I315</f>
        <v>33</v>
      </c>
      <c r="F39" s="119">
        <f>'2021'!J315</f>
        <v>0</v>
      </c>
      <c r="G39" s="106">
        <f>'2021'!K315</f>
        <v>0</v>
      </c>
      <c r="H39" s="106">
        <f>'2021'!L315</f>
      </c>
      <c r="I39" s="119">
        <f>'2021'!M315</f>
        <v>33</v>
      </c>
      <c r="J39" s="119">
        <f>'2021'!N315</f>
        <v>0</v>
      </c>
      <c r="K39" s="106">
        <f>'2021'!O315</f>
        <v>0</v>
      </c>
      <c r="L39" s="106">
        <f>'2021'!P315</f>
      </c>
      <c r="M39" s="119">
        <f>'2021'!Q315</f>
        <v>33</v>
      </c>
      <c r="N39" s="119">
        <f>'2021'!R315</f>
        <v>0</v>
      </c>
      <c r="O39" s="106">
        <f>'2021'!S315</f>
        <v>0</v>
      </c>
      <c r="P39" s="106">
        <f>'2021'!T315</f>
      </c>
      <c r="Q39" s="119">
        <f>'2021'!U315</f>
        <v>33</v>
      </c>
      <c r="R39" s="119">
        <f>'2021'!V315</f>
        <v>0</v>
      </c>
      <c r="S39" s="106">
        <f>'2021'!W315</f>
        <v>0</v>
      </c>
      <c r="T39" s="106">
        <f>'2021'!X315</f>
      </c>
      <c r="U39" s="119">
        <f>'2021'!Y315</f>
        <v>33</v>
      </c>
      <c r="V39" s="119">
        <f>'2021'!Z315</f>
        <v>0</v>
      </c>
      <c r="W39" s="106">
        <f>'2021'!AA315</f>
        <v>0</v>
      </c>
      <c r="X39" s="106">
        <f>'2021'!AB315</f>
      </c>
      <c r="Y39" s="119">
        <f>'2021'!AC315</f>
        <v>33</v>
      </c>
      <c r="Z39" s="119">
        <f>'2021'!AD315</f>
        <v>0</v>
      </c>
      <c r="AA39" s="106">
        <f>'2021'!AE315</f>
        <v>0</v>
      </c>
      <c r="AB39" s="106">
        <f>'2021'!AF315</f>
      </c>
      <c r="AC39" s="119">
        <f>'2021'!AG315</f>
        <v>33</v>
      </c>
      <c r="AD39" s="119">
        <f>'2021'!AH315</f>
        <v>0</v>
      </c>
      <c r="AE39" s="106">
        <f>'2021'!AI315</f>
        <v>0</v>
      </c>
      <c r="AF39" s="106">
        <f>'2021'!AJ315</f>
      </c>
      <c r="AG39" s="119">
        <f>'2021'!AK315</f>
        <v>33</v>
      </c>
      <c r="AH39" s="119">
        <f>'2021'!AL315</f>
        <v>0</v>
      </c>
      <c r="AI39" s="106">
        <f>'2021'!AM315</f>
        <v>0</v>
      </c>
      <c r="AJ39" s="106">
        <f>'2021'!AN315</f>
      </c>
      <c r="AK39" s="119">
        <f>'2021'!AO315</f>
        <v>33</v>
      </c>
      <c r="AL39" s="119">
        <f>'2021'!AP315</f>
        <v>0</v>
      </c>
      <c r="AM39" s="106">
        <f>'2021'!AQ315</f>
        <v>0</v>
      </c>
      <c r="AN39" s="106">
        <f>'2021'!AR315</f>
      </c>
      <c r="AO39" s="119">
        <f>'2021'!AS315</f>
        <v>33</v>
      </c>
      <c r="AP39" s="119">
        <f>'2021'!AT315</f>
        <v>0</v>
      </c>
      <c r="AQ39" s="106">
        <f>'2021'!AU315</f>
        <v>0</v>
      </c>
      <c r="AR39" s="106">
        <f>'2021'!AV315</f>
      </c>
      <c r="AS39" s="119">
        <f>'2021'!AW315</f>
        <v>33</v>
      </c>
      <c r="AT39" s="119">
        <f>'2021'!AX315</f>
        <v>0</v>
      </c>
      <c r="AU39" s="106">
        <f>'2021'!AY315</f>
        <v>0</v>
      </c>
      <c r="AV39" s="106">
        <f>'2021'!AZ315</f>
      </c>
      <c r="AW39" s="106"/>
      <c r="AX39" s="106">
        <f t="shared" si="0"/>
        <v>0</v>
      </c>
      <c r="AY39" s="119">
        <f>'2021'!BA315</f>
        <v>33</v>
      </c>
      <c r="AZ39" s="119">
        <f>'2021'!BB315</f>
        <v>0</v>
      </c>
      <c r="BA39" s="106">
        <f>'2021'!BC315</f>
        <v>0</v>
      </c>
      <c r="BB39" s="106">
        <f>'2021'!BD315</f>
      </c>
      <c r="BC39" s="106"/>
      <c r="BD39" s="106">
        <f t="shared" si="1"/>
        <v>0</v>
      </c>
      <c r="BE39" s="119">
        <f>'2021'!BE315</f>
        <v>0</v>
      </c>
      <c r="BF39" s="106">
        <f>'2021'!BF315</f>
        <v>0</v>
      </c>
      <c r="BG39" s="106">
        <f>'2021'!BG315</f>
        <v>0</v>
      </c>
      <c r="BH39" s="106">
        <f>'2021'!BH315</f>
        <v>0</v>
      </c>
      <c r="BI39" s="106">
        <f t="shared" si="2"/>
        <v>0</v>
      </c>
      <c r="BJ39" s="338">
        <f t="shared" si="3"/>
        <v>0</v>
      </c>
    </row>
    <row r="40" ht="15.75" customHeight="1" spans="1:62" x14ac:dyDescent="0.25">
      <c r="A40" s="14"/>
      <c r="B40" s="115">
        <v>36</v>
      </c>
      <c r="C40" s="115">
        <v>4.03</v>
      </c>
      <c r="D40" s="117" t="s">
        <v>160</v>
      </c>
      <c r="E40" s="119">
        <f>'2021'!I324</f>
        <v>428</v>
      </c>
      <c r="F40" s="119">
        <f>'2021'!J324</f>
        <v>0</v>
      </c>
      <c r="G40" s="106">
        <f>'2021'!K324</f>
        <v>0</v>
      </c>
      <c r="H40" s="106">
        <f>'2021'!L324</f>
      </c>
      <c r="I40" s="119">
        <f>'2021'!M324</f>
        <v>428</v>
      </c>
      <c r="J40" s="119">
        <f>'2021'!N324</f>
        <v>0</v>
      </c>
      <c r="K40" s="106">
        <f>'2021'!O324</f>
        <v>0</v>
      </c>
      <c r="L40" s="106">
        <f>'2021'!P324</f>
      </c>
      <c r="M40" s="119">
        <f>'2021'!Q324</f>
        <v>428</v>
      </c>
      <c r="N40" s="119">
        <f>'2021'!R324</f>
        <v>0</v>
      </c>
      <c r="O40" s="106">
        <f>'2021'!S324</f>
        <v>0</v>
      </c>
      <c r="P40" s="106">
        <f>'2021'!T324</f>
      </c>
      <c r="Q40" s="119">
        <f>'2021'!U324</f>
        <v>428</v>
      </c>
      <c r="R40" s="119">
        <f>'2021'!V324</f>
        <v>0</v>
      </c>
      <c r="S40" s="106">
        <f>'2021'!W324</f>
        <v>0</v>
      </c>
      <c r="T40" s="106">
        <f>'2021'!X324</f>
      </c>
      <c r="U40" s="119">
        <f>'2021'!Y324</f>
        <v>438</v>
      </c>
      <c r="V40" s="119">
        <f>'2021'!Z324</f>
        <v>10</v>
      </c>
      <c r="W40" s="106">
        <f>'2021'!AA324</f>
        <v>26</v>
      </c>
      <c r="X40" s="106">
        <f>'2021'!AB324</f>
      </c>
      <c r="Y40" s="119">
        <f>'2021'!AC324</f>
        <v>451</v>
      </c>
      <c r="Z40" s="119">
        <f>'2021'!AD324</f>
        <v>13</v>
      </c>
      <c r="AA40" s="106">
        <f>'2021'!AE324</f>
        <v>33.8</v>
      </c>
      <c r="AB40" s="106">
        <f>'2021'!AF324</f>
        <v>326.53</v>
      </c>
      <c r="AC40" s="119">
        <f>'2021'!AG324</f>
        <v>494</v>
      </c>
      <c r="AD40" s="119">
        <f>'2021'!AH324</f>
        <v>43</v>
      </c>
      <c r="AE40" s="106">
        <f>'2021'!AI324</f>
        <v>116.1</v>
      </c>
      <c r="AF40" s="106">
        <f>'2021'!AJ324</f>
        <v>116.1</v>
      </c>
      <c r="AG40" s="119">
        <f>'2021'!AK324</f>
        <v>586</v>
      </c>
      <c r="AH40" s="119">
        <f>'2021'!AL324</f>
        <v>92</v>
      </c>
      <c r="AI40" s="106">
        <f>'2021'!AM324</f>
        <v>248.4</v>
      </c>
      <c r="AJ40" s="106">
        <f>'2021'!AN324</f>
      </c>
      <c r="AK40" s="119">
        <f>'2021'!AO324</f>
        <v>618</v>
      </c>
      <c r="AL40" s="119">
        <f>'2021'!AP324</f>
        <v>32</v>
      </c>
      <c r="AM40" s="106">
        <f>'2021'!AQ324</f>
        <v>86.4</v>
      </c>
      <c r="AN40" s="106">
        <f>'2021'!AR324</f>
      </c>
      <c r="AO40" s="119">
        <f>'2021'!AS324</f>
        <v>622</v>
      </c>
      <c r="AP40" s="119">
        <f>'2021'!AT324</f>
        <v>4</v>
      </c>
      <c r="AQ40" s="106">
        <f>'2021'!AU324</f>
        <v>10.8</v>
      </c>
      <c r="AR40" s="106">
        <f>'2021'!AV324</f>
      </c>
      <c r="AS40" s="119">
        <f>'2021'!AW324</f>
        <v>622</v>
      </c>
      <c r="AT40" s="119">
        <f>'2021'!AX324</f>
        <v>0</v>
      </c>
      <c r="AU40" s="106">
        <f>'2021'!AY324</f>
        <v>0</v>
      </c>
      <c r="AV40" s="106">
        <f>'2021'!AZ324</f>
      </c>
      <c r="AW40" s="106"/>
      <c r="AX40" s="106">
        <f t="shared" si="0"/>
        <v>0</v>
      </c>
      <c r="AY40" s="119">
        <f>'2021'!BA324</f>
        <v>622</v>
      </c>
      <c r="AZ40" s="119">
        <f>'2021'!BB324</f>
        <v>0</v>
      </c>
      <c r="BA40" s="106">
        <f>'2021'!BC324</f>
        <v>0</v>
      </c>
      <c r="BB40" s="106">
        <f>'2021'!BD324</f>
      </c>
      <c r="BC40" s="106"/>
      <c r="BD40" s="106">
        <f t="shared" si="1"/>
        <v>0</v>
      </c>
      <c r="BE40" s="119">
        <f>'2021'!BE324</f>
        <v>194</v>
      </c>
      <c r="BF40" s="106">
        <f>'2021'!BF324</f>
        <v>521.5</v>
      </c>
      <c r="BG40" s="106">
        <f>'2021'!BG324</f>
        <v>442.63</v>
      </c>
      <c r="BH40" s="106">
        <f>'2021'!BH324</f>
        <v>345.6</v>
      </c>
      <c r="BI40" s="106">
        <f t="shared" si="2"/>
        <v>0</v>
      </c>
      <c r="BJ40" s="338">
        <f t="shared" si="3"/>
        <v>345.6</v>
      </c>
    </row>
    <row r="41" ht="15.75" customHeight="1" spans="1:62" x14ac:dyDescent="0.25">
      <c r="A41" s="14"/>
      <c r="B41" s="115">
        <v>37</v>
      </c>
      <c r="C41" s="115">
        <v>4.06</v>
      </c>
      <c r="D41" s="117" t="s">
        <v>162</v>
      </c>
      <c r="E41" s="119">
        <f>'2021'!I333</f>
        <v>0</v>
      </c>
      <c r="F41" s="119">
        <f>'2021'!J333</f>
        <v>0</v>
      </c>
      <c r="G41" s="106">
        <f>'2021'!K333</f>
        <v>0</v>
      </c>
      <c r="H41" s="106">
        <f>'2021'!L333</f>
      </c>
      <c r="I41" s="119">
        <f>'2021'!M333</f>
        <v>0</v>
      </c>
      <c r="J41" s="119">
        <f>'2021'!N333</f>
        <v>0</v>
      </c>
      <c r="K41" s="106">
        <f>'2021'!O333</f>
        <v>0</v>
      </c>
      <c r="L41" s="106">
        <f>'2021'!P333</f>
      </c>
      <c r="M41" s="119">
        <f>'2021'!Q333</f>
        <v>0</v>
      </c>
      <c r="N41" s="119">
        <f>'2021'!R333</f>
        <v>0</v>
      </c>
      <c r="O41" s="106">
        <f>'2021'!S333</f>
        <v>0</v>
      </c>
      <c r="P41" s="106">
        <f>'2021'!T333</f>
      </c>
      <c r="Q41" s="119">
        <f>'2021'!U333</f>
        <v>0</v>
      </c>
      <c r="R41" s="119">
        <f>'2021'!V333</f>
        <v>0</v>
      </c>
      <c r="S41" s="106">
        <f>'2021'!W333</f>
        <v>0</v>
      </c>
      <c r="T41" s="106">
        <f>'2021'!X333</f>
      </c>
      <c r="U41" s="119">
        <f>'2021'!Y333</f>
      </c>
      <c r="V41" s="119">
        <f>'2021'!Z333</f>
        <v>0</v>
      </c>
      <c r="W41" s="106">
        <f>'2021'!AA333</f>
        <v>0</v>
      </c>
      <c r="X41" s="106">
        <f>'2021'!AB333</f>
      </c>
      <c r="Y41" s="119">
        <f>'2021'!AC333</f>
      </c>
      <c r="Z41" s="119">
        <f>'2021'!AD333</f>
        <v>0</v>
      </c>
      <c r="AA41" s="106">
        <f>'2021'!AE333</f>
        <v>0</v>
      </c>
      <c r="AB41" s="106">
        <f>'2021'!AF333</f>
      </c>
      <c r="AC41" s="119">
        <f>'2021'!AG333</f>
      </c>
      <c r="AD41" s="119">
        <f>'2021'!AH333</f>
        <v>0</v>
      </c>
      <c r="AE41" s="106">
        <f>'2021'!AI333</f>
        <v>0</v>
      </c>
      <c r="AF41" s="106">
        <f>'2021'!AJ333</f>
      </c>
      <c r="AG41" s="119">
        <f>'2021'!AK333</f>
      </c>
      <c r="AH41" s="119">
        <f>'2021'!AL333</f>
        <v>0</v>
      </c>
      <c r="AI41" s="106">
        <f>'2021'!AM333</f>
        <v>0</v>
      </c>
      <c r="AJ41" s="106">
        <f>'2021'!AN333</f>
      </c>
      <c r="AK41" s="119">
        <f>'2021'!AO333</f>
      </c>
      <c r="AL41" s="119">
        <f>'2021'!AP333</f>
        <v>0</v>
      </c>
      <c r="AM41" s="106">
        <f>'2021'!AQ333</f>
        <v>0</v>
      </c>
      <c r="AN41" s="106">
        <f>'2021'!AR333</f>
      </c>
      <c r="AO41" s="119">
        <f>'2021'!AS333</f>
      </c>
      <c r="AP41" s="119">
        <f>'2021'!AT333</f>
        <v>0</v>
      </c>
      <c r="AQ41" s="106">
        <f>'2021'!AU333</f>
        <v>0</v>
      </c>
      <c r="AR41" s="106">
        <f>'2021'!AV333</f>
      </c>
      <c r="AS41" s="119">
        <f>'2021'!AW333</f>
      </c>
      <c r="AT41" s="119">
        <f>'2021'!AX333</f>
        <v>0</v>
      </c>
      <c r="AU41" s="106">
        <f>'2021'!AY333</f>
        <v>0</v>
      </c>
      <c r="AV41" s="106">
        <f>'2021'!AZ333</f>
      </c>
      <c r="AW41" s="106"/>
      <c r="AX41" s="106">
        <f t="shared" si="0"/>
        <v>0</v>
      </c>
      <c r="AY41" s="119">
        <f>'2021'!BA333</f>
      </c>
      <c r="AZ41" s="119">
        <f>'2021'!BB333</f>
        <v>0</v>
      </c>
      <c r="BA41" s="106">
        <f>'2021'!BC333</f>
        <v>0</v>
      </c>
      <c r="BB41" s="106">
        <f>'2021'!BD333</f>
      </c>
      <c r="BC41" s="106"/>
      <c r="BD41" s="106">
        <f t="shared" si="1"/>
        <v>0</v>
      </c>
      <c r="BE41" s="119">
        <f>'2021'!BE333</f>
        <v>0</v>
      </c>
      <c r="BF41" s="106">
        <f>'2021'!BF333</f>
        <v>0</v>
      </c>
      <c r="BG41" s="106">
        <f>'2021'!BG333</f>
        <v>0</v>
      </c>
      <c r="BH41" s="106">
        <f>'2021'!BH333</f>
        <v>0</v>
      </c>
      <c r="BI41" s="106">
        <f t="shared" si="2"/>
        <v>0</v>
      </c>
      <c r="BJ41" s="338">
        <f t="shared" si="3"/>
        <v>0</v>
      </c>
    </row>
    <row r="42" ht="15.75" customHeight="1" spans="1:62" x14ac:dyDescent="0.25">
      <c r="A42" s="14"/>
      <c r="B42" s="115">
        <v>38</v>
      </c>
      <c r="C42" s="115">
        <v>4.34</v>
      </c>
      <c r="D42" s="117" t="s">
        <v>167</v>
      </c>
      <c r="E42" s="119">
        <f>'2021'!I342</f>
        <v>18</v>
      </c>
      <c r="F42" s="119">
        <f>'2021'!J342</f>
        <v>0</v>
      </c>
      <c r="G42" s="106">
        <f>'2021'!K342</f>
        <v>0</v>
      </c>
      <c r="H42" s="106">
        <f>'2021'!L342</f>
      </c>
      <c r="I42" s="119">
        <f>'2021'!M342</f>
        <v>18</v>
      </c>
      <c r="J42" s="119">
        <f>'2021'!N342</f>
        <v>0</v>
      </c>
      <c r="K42" s="106">
        <f>'2021'!O342</f>
        <v>0</v>
      </c>
      <c r="L42" s="106">
        <f>'2021'!P342</f>
      </c>
      <c r="M42" s="119">
        <f>'2021'!Q342</f>
        <v>18</v>
      </c>
      <c r="N42" s="119">
        <f>'2021'!R342</f>
        <v>0</v>
      </c>
      <c r="O42" s="106">
        <f>'2021'!S342</f>
        <v>0</v>
      </c>
      <c r="P42" s="106">
        <f>'2021'!T342</f>
      </c>
      <c r="Q42" s="119">
        <f>'2021'!U342</f>
        <v>18</v>
      </c>
      <c r="R42" s="119">
        <f>'2021'!V342</f>
        <v>0</v>
      </c>
      <c r="S42" s="106">
        <f>'2021'!W342</f>
        <v>0</v>
      </c>
      <c r="T42" s="106">
        <f>'2021'!X342</f>
      </c>
      <c r="U42" s="119">
        <f>'2021'!Y342</f>
        <v>18</v>
      </c>
      <c r="V42" s="119">
        <f>'2021'!Z342</f>
        <v>0</v>
      </c>
      <c r="W42" s="106">
        <f>'2021'!AA342</f>
        <v>0</v>
      </c>
      <c r="X42" s="106">
        <f>'2021'!AB342</f>
      </c>
      <c r="Y42" s="119">
        <f>'2021'!AC342</f>
        <v>18</v>
      </c>
      <c r="Z42" s="119">
        <f>'2021'!AD342</f>
        <v>0</v>
      </c>
      <c r="AA42" s="106">
        <f>'2021'!AE342</f>
        <v>0</v>
      </c>
      <c r="AB42" s="106">
        <f>'2021'!AF342</f>
      </c>
      <c r="AC42" s="119">
        <f>'2021'!AG342</f>
        <v>19</v>
      </c>
      <c r="AD42" s="119">
        <f>'2021'!AH342</f>
        <v>1</v>
      </c>
      <c r="AE42" s="106">
        <f>'2021'!AI342</f>
        <v>2.7</v>
      </c>
      <c r="AF42" s="106">
        <f>'2021'!AJ342</f>
        <v>2.7</v>
      </c>
      <c r="AG42" s="119">
        <f>'2021'!AK342</f>
        <v>19</v>
      </c>
      <c r="AH42" s="119">
        <f>'2021'!AL342</f>
        <v>0</v>
      </c>
      <c r="AI42" s="106">
        <f>'2021'!AM342</f>
        <v>0</v>
      </c>
      <c r="AJ42" s="106">
        <f>'2021'!AN342</f>
      </c>
      <c r="AK42" s="119">
        <f>'2021'!AO342</f>
        <v>19</v>
      </c>
      <c r="AL42" s="119">
        <f>'2021'!AP342</f>
        <v>0</v>
      </c>
      <c r="AM42" s="106">
        <f>'2021'!AQ342</f>
        <v>0</v>
      </c>
      <c r="AN42" s="106">
        <f>'2021'!AR342</f>
      </c>
      <c r="AO42" s="119">
        <f>'2021'!AS342</f>
        <v>19</v>
      </c>
      <c r="AP42" s="119">
        <f>'2021'!AT342</f>
        <v>0</v>
      </c>
      <c r="AQ42" s="106">
        <f>'2021'!AU342</f>
        <v>0</v>
      </c>
      <c r="AR42" s="106">
        <f>'2021'!AV342</f>
      </c>
      <c r="AS42" s="119">
        <f>'2021'!AW342</f>
        <v>19</v>
      </c>
      <c r="AT42" s="119">
        <f>'2021'!AX342</f>
        <v>0</v>
      </c>
      <c r="AU42" s="106">
        <f>'2021'!AY342</f>
        <v>0</v>
      </c>
      <c r="AV42" s="106">
        <f>'2021'!AZ342</f>
      </c>
      <c r="AW42" s="106"/>
      <c r="AX42" s="106">
        <f t="shared" si="0"/>
        <v>0</v>
      </c>
      <c r="AY42" s="119">
        <f>'2021'!BA342</f>
        <v>19</v>
      </c>
      <c r="AZ42" s="119">
        <f>'2021'!BB342</f>
        <v>0</v>
      </c>
      <c r="BA42" s="106">
        <f>'2021'!BC342</f>
        <v>0</v>
      </c>
      <c r="BB42" s="106">
        <f>'2021'!BD342</f>
      </c>
      <c r="BC42" s="106"/>
      <c r="BD42" s="106">
        <f t="shared" si="1"/>
        <v>0</v>
      </c>
      <c r="BE42" s="119">
        <f>'2021'!BE342</f>
        <v>1</v>
      </c>
      <c r="BF42" s="106">
        <f>'2021'!BF342</f>
        <v>2.7</v>
      </c>
      <c r="BG42" s="106">
        <f>'2021'!BG342</f>
        <v>2.7</v>
      </c>
      <c r="BH42" s="106">
        <f>'2021'!BH342</f>
        <v>0</v>
      </c>
      <c r="BI42" s="106">
        <f t="shared" si="2"/>
        <v>0</v>
      </c>
      <c r="BJ42" s="338">
        <f t="shared" si="3"/>
        <v>0</v>
      </c>
    </row>
    <row r="43" ht="15.75" customHeight="1" spans="1:62" x14ac:dyDescent="0.25">
      <c r="A43" s="21"/>
      <c r="B43" s="125">
        <v>39</v>
      </c>
      <c r="C43" s="116">
        <v>4</v>
      </c>
      <c r="D43" s="2" t="s">
        <v>402</v>
      </c>
      <c r="E43" s="119">
        <f>'2021'!I351</f>
        <v>209</v>
      </c>
      <c r="F43" s="119">
        <f>'2021'!J351</f>
        <v>0</v>
      </c>
      <c r="G43" s="106">
        <f>'2021'!K351</f>
        <v>0</v>
      </c>
      <c r="H43" s="106">
        <f>'2021'!L351</f>
      </c>
      <c r="I43" s="119">
        <f>'2021'!M351</f>
        <v>209</v>
      </c>
      <c r="J43" s="119">
        <f>'2021'!N351</f>
        <v>0</v>
      </c>
      <c r="K43" s="106">
        <f>'2021'!O351</f>
        <v>0</v>
      </c>
      <c r="L43" s="106">
        <f>'2021'!P351</f>
      </c>
      <c r="M43" s="119">
        <f>'2021'!Q351</f>
        <v>209</v>
      </c>
      <c r="N43" s="119">
        <f>'2021'!R351</f>
        <v>0</v>
      </c>
      <c r="O43" s="106">
        <f>'2021'!S351</f>
        <v>0</v>
      </c>
      <c r="P43" s="106">
        <f>'2021'!T351</f>
      </c>
      <c r="Q43" s="119">
        <f>'2021'!U351</f>
        <v>209</v>
      </c>
      <c r="R43" s="119">
        <f>'2021'!V351</f>
        <v>0</v>
      </c>
      <c r="S43" s="106">
        <f>'2021'!W351</f>
        <v>0</v>
      </c>
      <c r="T43" s="106">
        <f>'2021'!X351</f>
      </c>
      <c r="U43" s="119">
        <f>'2021'!Y351</f>
        <v>278</v>
      </c>
      <c r="V43" s="119">
        <f>'2021'!Z351</f>
        <v>69</v>
      </c>
      <c r="W43" s="106">
        <f>'2021'!AA351</f>
        <v>179.4</v>
      </c>
      <c r="X43" s="106">
        <f>'2021'!AB351</f>
        <v>3491.3</v>
      </c>
      <c r="Y43" s="119">
        <f>'2021'!AC351</f>
        <v>399</v>
      </c>
      <c r="Z43" s="119">
        <f>'2021'!AD351</f>
        <v>121</v>
      </c>
      <c r="AA43" s="106">
        <f>'2021'!AE351</f>
        <v>314.6</v>
      </c>
      <c r="AB43" s="106">
        <f>'2021'!AF351</f>
      </c>
      <c r="AC43" s="119">
        <f>'2021'!AG351</f>
        <v>397</v>
      </c>
      <c r="AD43" s="119">
        <f>'2021'!AH351</f>
        <v>397</v>
      </c>
      <c r="AE43" s="106">
        <f>'2021'!AI351</f>
        <v>1071.9</v>
      </c>
      <c r="AF43" s="106">
        <f>'2021'!AJ351</f>
      </c>
      <c r="AG43" s="119">
        <f>'2021'!AK351</f>
        <v>450</v>
      </c>
      <c r="AH43" s="119">
        <f>'2021'!AL351</f>
        <v>53</v>
      </c>
      <c r="AI43" s="106">
        <f>'2021'!AM351</f>
        <v>143.1</v>
      </c>
      <c r="AJ43" s="106">
        <f>'2021'!AN351</f>
      </c>
      <c r="AK43" s="119">
        <f>'2021'!AO351</f>
        <v>897</v>
      </c>
      <c r="AL43" s="119">
        <f>'2021'!AP351</f>
        <v>447</v>
      </c>
      <c r="AM43" s="106">
        <f>'2021'!AQ351</f>
        <v>1162.2</v>
      </c>
      <c r="AN43" s="106">
        <f>'2021'!AR351</f>
        <v>9775.15</v>
      </c>
      <c r="AO43" s="119">
        <f>'2021'!AS351</f>
        <v>1030</v>
      </c>
      <c r="AP43" s="119">
        <f>'2021'!AT351</f>
        <v>133</v>
      </c>
      <c r="AQ43" s="106">
        <f>'2021'!AU351</f>
        <v>359.1</v>
      </c>
      <c r="AR43" s="106">
        <f>'2021'!AV351</f>
      </c>
      <c r="AS43" s="119">
        <f>'2021'!AW351</f>
        <v>1093</v>
      </c>
      <c r="AT43" s="119">
        <f>'2021'!AX351</f>
        <v>63</v>
      </c>
      <c r="AU43" s="106">
        <f>'2021'!AY351</f>
        <v>170.1</v>
      </c>
      <c r="AV43" s="106">
        <f>'2021'!AZ351</f>
      </c>
      <c r="AW43" s="106"/>
      <c r="AX43" s="106">
        <f t="shared" si="0"/>
        <v>0</v>
      </c>
      <c r="AY43" s="119">
        <f>'2021'!BA351</f>
        <v>1093</v>
      </c>
      <c r="AZ43" s="119">
        <f>'2021'!BB351</f>
        <v>0</v>
      </c>
      <c r="BA43" s="106">
        <f>'2021'!BC351</f>
        <v>0</v>
      </c>
      <c r="BB43" s="106">
        <f>'2021'!BD351</f>
      </c>
      <c r="BC43" s="106"/>
      <c r="BD43" s="106">
        <f t="shared" si="1"/>
        <v>0</v>
      </c>
      <c r="BE43" s="119">
        <f>'2021'!BE351</f>
        <v>1283</v>
      </c>
      <c r="BF43" s="106">
        <f>'2021'!BF351</f>
        <v>3400.4</v>
      </c>
      <c r="BG43" s="106">
        <f>'2021'!BG351</f>
        <v>13266.45</v>
      </c>
      <c r="BH43" s="106">
        <f>'2021'!BH351</f>
        <v>-10640.2</v>
      </c>
      <c r="BI43" s="106">
        <f t="shared" si="2"/>
        <v>0</v>
      </c>
      <c r="BJ43" s="338">
        <f t="shared" si="3"/>
        <v>-10640.2</v>
      </c>
    </row>
    <row r="44" ht="15.75" customHeight="1" spans="1:62" x14ac:dyDescent="0.25">
      <c r="A44" s="114" t="s">
        <v>173</v>
      </c>
      <c r="B44" s="125">
        <v>40</v>
      </c>
      <c r="C44" s="115">
        <v>4.92</v>
      </c>
      <c r="D44" s="117" t="s">
        <v>174</v>
      </c>
      <c r="E44" s="119">
        <f>'2021'!I360</f>
        <v>34240</v>
      </c>
      <c r="F44" s="119">
        <f>'2021'!J360</f>
        <v>735</v>
      </c>
      <c r="G44" s="106">
        <f>'2021'!K360</f>
        <v>1911</v>
      </c>
      <c r="H44" s="106">
        <f>'2021'!L360</f>
        <v>1300</v>
      </c>
      <c r="I44" s="119">
        <f>'2021'!M360</f>
        <v>34730</v>
      </c>
      <c r="J44" s="119">
        <f>'2021'!N360</f>
        <v>490</v>
      </c>
      <c r="K44" s="106">
        <f>'2021'!O360</f>
        <v>1274</v>
      </c>
      <c r="L44" s="106">
        <f>'2021'!P360</f>
        <v>2000</v>
      </c>
      <c r="M44" s="119">
        <f>'2021'!Q360</f>
        <v>35142</v>
      </c>
      <c r="N44" s="119">
        <f>'2021'!R360</f>
        <v>412</v>
      </c>
      <c r="O44" s="106">
        <f>'2021'!S360</f>
        <v>1071.2</v>
      </c>
      <c r="P44" s="106">
        <f>'2021'!T360</f>
        <v>1300</v>
      </c>
      <c r="Q44" s="119">
        <f>'2021'!U360</f>
        <v>35465</v>
      </c>
      <c r="R44" s="119">
        <f>'2021'!V360</f>
        <v>323</v>
      </c>
      <c r="S44" s="106">
        <f>'2021'!W360</f>
        <v>839.8</v>
      </c>
      <c r="T44" s="106">
        <f>'2021'!X360</f>
        <v>1000</v>
      </c>
      <c r="U44" s="119">
        <f>'2021'!Y360</f>
        <v>35850</v>
      </c>
      <c r="V44" s="119">
        <f>'2021'!Z360</f>
        <v>385</v>
      </c>
      <c r="W44" s="106">
        <f>'2021'!AA360</f>
        <v>1001</v>
      </c>
      <c r="X44" s="106">
        <f>'2021'!AB360</f>
        <v>800</v>
      </c>
      <c r="Y44" s="119">
        <f>'2021'!AC360</f>
        <v>36077</v>
      </c>
      <c r="Z44" s="119">
        <f>'2021'!AD360</f>
        <v>227</v>
      </c>
      <c r="AA44" s="106">
        <f>'2021'!AE360</f>
        <v>590.2</v>
      </c>
      <c r="AB44" s="106">
        <f>'2021'!AF360</f>
        <v>1000</v>
      </c>
      <c r="AC44" s="119">
        <f>'2021'!AG360</f>
        <v>36325</v>
      </c>
      <c r="AD44" s="119">
        <f>'2021'!AH360</f>
        <v>248</v>
      </c>
      <c r="AE44" s="106">
        <f>'2021'!AI360</f>
        <v>669.6</v>
      </c>
      <c r="AF44" s="106">
        <f>'2021'!AJ360</f>
        <v>555</v>
      </c>
      <c r="AG44" s="119">
        <f>'2021'!AK360</f>
        <v>36537</v>
      </c>
      <c r="AH44" s="119">
        <f>'2021'!AL360</f>
        <v>212</v>
      </c>
      <c r="AI44" s="106">
        <f>'2021'!AM360</f>
        <v>572.4</v>
      </c>
      <c r="AJ44" s="106">
        <f>'2021'!AN360</f>
      </c>
      <c r="AK44" s="119">
        <f>'2021'!AO360</f>
        <v>36868</v>
      </c>
      <c r="AL44" s="119">
        <f>'2021'!AP360</f>
        <v>331</v>
      </c>
      <c r="AM44" s="106">
        <f>'2021'!AQ360</f>
        <v>893.7</v>
      </c>
      <c r="AN44" s="106">
        <f>'2021'!AR360</f>
        <v>1250</v>
      </c>
      <c r="AO44" s="119">
        <f>'2021'!AS360</f>
        <v>37799</v>
      </c>
      <c r="AP44" s="119">
        <f>'2021'!AT360</f>
        <v>931</v>
      </c>
      <c r="AQ44" s="106">
        <f>'2021'!AU360</f>
        <v>2513.7</v>
      </c>
      <c r="AR44" s="106">
        <f>'2021'!AV360</f>
      </c>
      <c r="AS44" s="126">
        <f>'2021'!AW360</f>
        <v>39527</v>
      </c>
      <c r="AT44" s="119">
        <f>'2021'!AX360</f>
        <v>1728</v>
      </c>
      <c r="AU44" s="106">
        <f>'2021'!AY360</f>
        <v>4665.6</v>
      </c>
      <c r="AV44" s="106">
        <f>'2021'!AZ360</f>
        <v>3400</v>
      </c>
      <c r="AW44" s="119"/>
      <c r="AX44" s="106">
        <f t="shared" si="0"/>
        <v>0</v>
      </c>
      <c r="AY44" s="119">
        <f>'2021'!BA360</f>
        <v>40837</v>
      </c>
      <c r="AZ44" s="119">
        <f>'2021'!BB360</f>
        <v>1310</v>
      </c>
      <c r="BA44" s="106">
        <f>'2021'!BC360</f>
        <v>3537</v>
      </c>
      <c r="BB44" s="106">
        <f>'2021'!BD360</f>
        <v>4700</v>
      </c>
      <c r="BC44" s="106"/>
      <c r="BD44" s="106">
        <f t="shared" si="1"/>
        <v>0</v>
      </c>
      <c r="BE44" s="119">
        <f>'2021'!BE360</f>
        <v>7332</v>
      </c>
      <c r="BF44" s="106">
        <f>'2021'!BF360</f>
        <v>19539.2</v>
      </c>
      <c r="BG44" s="106">
        <f>'2021'!BG360</f>
        <v>17305</v>
      </c>
      <c r="BH44" s="106">
        <f>'2021'!BH360</f>
        <v>3501.33</v>
      </c>
      <c r="BI44" s="106">
        <f t="shared" si="2"/>
        <v>0</v>
      </c>
      <c r="BJ44" s="338">
        <f t="shared" si="3"/>
        <v>3501.33</v>
      </c>
    </row>
    <row r="45" ht="15.75" customHeight="1" spans="1:62" x14ac:dyDescent="0.25">
      <c r="A45" s="14"/>
      <c r="B45" s="115">
        <v>41</v>
      </c>
      <c r="C45" s="115">
        <v>4.87</v>
      </c>
      <c r="D45" s="117" t="s">
        <v>177</v>
      </c>
      <c r="E45" s="119">
        <f>'2021'!I369</f>
        <v>300</v>
      </c>
      <c r="F45" s="119">
        <f>'2021'!J369</f>
        <v>0</v>
      </c>
      <c r="G45" s="106">
        <f>'2021'!K369</f>
        <v>0</v>
      </c>
      <c r="H45" s="106">
        <f>'2021'!L369</f>
      </c>
      <c r="I45" s="119">
        <f>'2021'!M369</f>
        <v>300</v>
      </c>
      <c r="J45" s="119">
        <f>'2021'!N369</f>
        <v>0</v>
      </c>
      <c r="K45" s="106">
        <f>'2021'!O369</f>
        <v>0</v>
      </c>
      <c r="L45" s="106">
        <f>'2021'!P369</f>
      </c>
      <c r="M45" s="119">
        <f>'2021'!Q369</f>
        <v>300</v>
      </c>
      <c r="N45" s="119">
        <f>'2021'!R369</f>
        <v>0</v>
      </c>
      <c r="O45" s="106">
        <f>'2021'!S369</f>
        <v>0</v>
      </c>
      <c r="P45" s="106">
        <f>'2021'!T369</f>
      </c>
      <c r="Q45" s="119">
        <f>'2021'!U369</f>
        <v>300</v>
      </c>
      <c r="R45" s="119">
        <f>'2021'!V369</f>
        <v>0</v>
      </c>
      <c r="S45" s="106">
        <f>'2021'!W369</f>
        <v>0</v>
      </c>
      <c r="T45" s="106">
        <f>'2021'!X369</f>
      </c>
      <c r="U45" s="119">
        <f>'2021'!Y369</f>
        <v>300</v>
      </c>
      <c r="V45" s="119">
        <f>'2021'!Z369</f>
        <v>0</v>
      </c>
      <c r="W45" s="106">
        <f>'2021'!AA369</f>
        <v>0</v>
      </c>
      <c r="X45" s="106">
        <f>'2021'!AB369</f>
      </c>
      <c r="Y45" s="119">
        <f>'2021'!AC369</f>
        <v>300</v>
      </c>
      <c r="Z45" s="119">
        <f>'2021'!AD369</f>
        <v>0</v>
      </c>
      <c r="AA45" s="106">
        <f>'2021'!AE369</f>
        <v>0</v>
      </c>
      <c r="AB45" s="106">
        <f>'2021'!AF369</f>
      </c>
      <c r="AC45" s="119">
        <f>'2021'!AG369</f>
        <v>300</v>
      </c>
      <c r="AD45" s="119">
        <f>'2021'!AH369</f>
        <v>0</v>
      </c>
      <c r="AE45" s="106">
        <f>'2021'!AI369</f>
        <v>0</v>
      </c>
      <c r="AF45" s="106">
        <f>'2021'!AJ369</f>
      </c>
      <c r="AG45" s="119">
        <f>'2021'!AK369</f>
        <v>300</v>
      </c>
      <c r="AH45" s="119">
        <f>'2021'!AL369</f>
        <v>0</v>
      </c>
      <c r="AI45" s="106">
        <f>'2021'!AM369</f>
        <v>0</v>
      </c>
      <c r="AJ45" s="106">
        <f>'2021'!AN369</f>
      </c>
      <c r="AK45" s="119">
        <f>'2021'!AO369</f>
        <v>300</v>
      </c>
      <c r="AL45" s="119">
        <f>'2021'!AP369</f>
        <v>0</v>
      </c>
      <c r="AM45" s="106">
        <f>'2021'!AQ369</f>
        <v>0</v>
      </c>
      <c r="AN45" s="106">
        <f>'2021'!AR369</f>
      </c>
      <c r="AO45" s="119">
        <f>'2021'!AS369</f>
        <v>300</v>
      </c>
      <c r="AP45" s="119">
        <f>'2021'!AT369</f>
        <v>0</v>
      </c>
      <c r="AQ45" s="106">
        <f>'2021'!AU369</f>
        <v>0</v>
      </c>
      <c r="AR45" s="106">
        <f>'2021'!AV369</f>
      </c>
      <c r="AS45" s="119">
        <f>'2021'!AW369</f>
        <v>300</v>
      </c>
      <c r="AT45" s="119">
        <f>'2021'!AX369</f>
        <v>0</v>
      </c>
      <c r="AU45" s="106">
        <f>'2021'!AY369</f>
        <v>0</v>
      </c>
      <c r="AV45" s="106">
        <f>'2021'!AZ369</f>
      </c>
      <c r="AW45" s="106"/>
      <c r="AX45" s="106">
        <f t="shared" si="0"/>
        <v>0</v>
      </c>
      <c r="AY45" s="119">
        <f>'2021'!BA369</f>
        <v>300</v>
      </c>
      <c r="AZ45" s="119">
        <f>'2021'!BB369</f>
        <v>0</v>
      </c>
      <c r="BA45" s="106">
        <f>'2021'!BC369</f>
        <v>0</v>
      </c>
      <c r="BB45" s="106">
        <f>'2021'!BD369</f>
      </c>
      <c r="BC45" s="106"/>
      <c r="BD45" s="106">
        <f t="shared" si="1"/>
        <v>0</v>
      </c>
      <c r="BE45" s="119">
        <f>'2021'!BE369</f>
        <v>0</v>
      </c>
      <c r="BF45" s="106">
        <f>'2021'!BF369</f>
        <v>0</v>
      </c>
      <c r="BG45" s="106">
        <f>'2021'!BG369</f>
        <v>0</v>
      </c>
      <c r="BH45" s="106">
        <f>'2021'!BH369</f>
        <v>-20</v>
      </c>
      <c r="BI45" s="106">
        <f t="shared" si="2"/>
        <v>0</v>
      </c>
      <c r="BJ45" s="338">
        <f t="shared" si="3"/>
        <v>-20</v>
      </c>
    </row>
    <row r="46" ht="15.75" customHeight="1" spans="1:62" x14ac:dyDescent="0.25">
      <c r="A46" s="14"/>
      <c r="B46" s="125">
        <v>42</v>
      </c>
      <c r="C46" s="116">
        <v>4.9</v>
      </c>
      <c r="D46" s="2" t="s">
        <v>181</v>
      </c>
      <c r="E46" s="119">
        <f>'2021'!I378</f>
        <v>9869</v>
      </c>
      <c r="F46" s="119">
        <f>'2021'!J378</f>
        <v>3402</v>
      </c>
      <c r="G46" s="106">
        <f>'2021'!K378</f>
        <v>8845.2</v>
      </c>
      <c r="H46" s="106">
        <f>'2021'!L378</f>
        <v>6910</v>
      </c>
      <c r="I46" s="119">
        <f>'2021'!M378</f>
        <v>12779</v>
      </c>
      <c r="J46" s="119">
        <f>'2021'!N378</f>
        <v>2910</v>
      </c>
      <c r="K46" s="106">
        <f>'2021'!O378</f>
        <v>7566</v>
      </c>
      <c r="L46" s="106">
        <f>'2021'!P378</f>
        <v>5000</v>
      </c>
      <c r="M46" s="119">
        <f>'2021'!Q378</f>
        <v>14855</v>
      </c>
      <c r="N46" s="119">
        <f>'2021'!R378</f>
        <v>2076</v>
      </c>
      <c r="O46" s="106">
        <f>'2021'!S378</f>
        <v>5397.6</v>
      </c>
      <c r="P46" s="106">
        <f>'2021'!T378</f>
        <v>5000</v>
      </c>
      <c r="Q46" s="119">
        <f>'2021'!U378</f>
        <v>16356</v>
      </c>
      <c r="R46" s="119">
        <f>'2021'!V378</f>
        <v>1501</v>
      </c>
      <c r="S46" s="106">
        <f>'2021'!W378</f>
        <v>3902.6</v>
      </c>
      <c r="T46" s="106">
        <f>'2021'!X378</f>
        <v>10400</v>
      </c>
      <c r="U46" s="119">
        <f>'2021'!Y378</f>
        <v>16756</v>
      </c>
      <c r="V46" s="119">
        <f>'2021'!Z378</f>
        <v>400</v>
      </c>
      <c r="W46" s="106">
        <f>'2021'!AA378</f>
        <v>1040</v>
      </c>
      <c r="X46" s="106">
        <f>'2021'!AB378</f>
      </c>
      <c r="Y46" s="119">
        <f>'2021'!AC378</f>
        <v>17104</v>
      </c>
      <c r="Z46" s="119">
        <f>'2021'!AD378</f>
        <v>348</v>
      </c>
      <c r="AA46" s="106">
        <f>'2021'!AE378</f>
        <v>904.8</v>
      </c>
      <c r="AB46" s="106">
        <f>'2021'!AF378</f>
        <v>4000</v>
      </c>
      <c r="AC46" s="119">
        <f>'2021'!AG378</f>
        <v>17135</v>
      </c>
      <c r="AD46" s="119">
        <f>'2021'!AH378</f>
        <v>31</v>
      </c>
      <c r="AE46" s="106">
        <f>'2021'!AI378</f>
        <v>83.7</v>
      </c>
      <c r="AF46" s="106">
        <f>'2021'!AJ378</f>
      </c>
      <c r="AG46" s="119">
        <f>'2021'!AK378</f>
        <v>17304</v>
      </c>
      <c r="AH46" s="119">
        <f>'2021'!AL378</f>
        <v>169</v>
      </c>
      <c r="AI46" s="106">
        <f>'2021'!AM378</f>
        <v>456.3</v>
      </c>
      <c r="AJ46" s="106">
        <f>'2021'!AN378</f>
      </c>
      <c r="AK46" s="119">
        <f>'2021'!AO378</f>
        <v>17914</v>
      </c>
      <c r="AL46" s="119">
        <f>'2021'!AP378</f>
        <v>610</v>
      </c>
      <c r="AM46" s="106">
        <f>'2021'!AQ378</f>
        <v>1647</v>
      </c>
      <c r="AN46" s="106">
        <f>'2021'!AR378</f>
      </c>
      <c r="AO46" s="119">
        <f>'2021'!AS378</f>
        <v>19300</v>
      </c>
      <c r="AP46" s="119">
        <f>'2021'!AT378</f>
        <v>1386</v>
      </c>
      <c r="AQ46" s="106">
        <f>'2021'!AU378</f>
        <v>3742.2</v>
      </c>
      <c r="AR46" s="106">
        <f>'2021'!AV378</f>
      </c>
      <c r="AS46" s="119">
        <f>'2021'!AW378</f>
        <v>21611</v>
      </c>
      <c r="AT46" s="119">
        <f>'2021'!AX378</f>
        <v>2311</v>
      </c>
      <c r="AU46" s="106">
        <f>'2021'!AY378</f>
        <v>6239.7</v>
      </c>
      <c r="AV46" s="106">
        <f>'2021'!AZ378</f>
      </c>
      <c r="AW46" s="106"/>
      <c r="AX46" s="106">
        <f t="shared" si="0"/>
        <v>0</v>
      </c>
      <c r="AY46" s="119">
        <f>'2021'!BA378</f>
        <v>23695</v>
      </c>
      <c r="AZ46" s="119">
        <f>'2021'!BB378</f>
        <v>2084</v>
      </c>
      <c r="BA46" s="106">
        <f>'2021'!BC378</f>
        <v>5626.8</v>
      </c>
      <c r="BB46" s="106">
        <f>'2021'!BD378</f>
        <v>10500</v>
      </c>
      <c r="BC46" s="106"/>
      <c r="BD46" s="106">
        <f t="shared" si="1"/>
        <v>0</v>
      </c>
      <c r="BE46" s="119">
        <f>'2021'!BE378</f>
        <v>17228</v>
      </c>
      <c r="BF46" s="106">
        <f>'2021'!BF378</f>
        <v>45451.9</v>
      </c>
      <c r="BG46" s="106">
        <f>'2021'!BG378</f>
        <v>41810</v>
      </c>
      <c r="BH46" s="106">
        <f>'2021'!BH378</f>
        <v>10504.54</v>
      </c>
      <c r="BI46" s="106">
        <f t="shared" si="2"/>
        <v>0</v>
      </c>
      <c r="BJ46" s="338">
        <f t="shared" si="3"/>
        <v>10504.54</v>
      </c>
    </row>
    <row r="47" ht="15.75" customHeight="1" spans="1:62" x14ac:dyDescent="0.25">
      <c r="A47" s="14"/>
      <c r="B47" s="125">
        <v>43</v>
      </c>
      <c r="C47" s="115">
        <v>4.96</v>
      </c>
      <c r="D47" s="117" t="s">
        <v>185</v>
      </c>
      <c r="E47" s="119">
        <f>'2021'!I387</f>
        <v>1928</v>
      </c>
      <c r="F47" s="119">
        <f>'2021'!J387</f>
        <v>0</v>
      </c>
      <c r="G47" s="106">
        <f>'2021'!K387</f>
        <v>0</v>
      </c>
      <c r="H47" s="106">
        <f>'2021'!L387</f>
      </c>
      <c r="I47" s="119">
        <f>'2021'!M387</f>
        <v>1928</v>
      </c>
      <c r="J47" s="119">
        <f>'2021'!N387</f>
        <v>0</v>
      </c>
      <c r="K47" s="106">
        <f>'2021'!O387</f>
        <v>0</v>
      </c>
      <c r="L47" s="106">
        <f>'2021'!P387</f>
      </c>
      <c r="M47" s="119">
        <f>'2021'!Q387</f>
        <v>1928</v>
      </c>
      <c r="N47" s="119">
        <f>'2021'!R387</f>
        <v>0</v>
      </c>
      <c r="O47" s="106">
        <f>'2021'!S387</f>
        <v>0</v>
      </c>
      <c r="P47" s="106">
        <f>'2021'!T387</f>
      </c>
      <c r="Q47" s="119">
        <f>'2021'!U387</f>
        <v>1968</v>
      </c>
      <c r="R47" s="119">
        <f>'2021'!V387</f>
        <v>40</v>
      </c>
      <c r="S47" s="106">
        <f>'2021'!W387</f>
        <v>104</v>
      </c>
      <c r="T47" s="106">
        <f>'2021'!X387</f>
      </c>
      <c r="U47" s="119">
        <f>'2021'!Y387</f>
        <v>2037</v>
      </c>
      <c r="V47" s="119">
        <f>'2021'!Z387</f>
        <v>69</v>
      </c>
      <c r="W47" s="106">
        <f>'2021'!AA387</f>
        <v>179.4</v>
      </c>
      <c r="X47" s="106">
        <f>'2021'!AB387</f>
      </c>
      <c r="Y47" s="119">
        <f>'2021'!AC387</f>
        <v>2040</v>
      </c>
      <c r="Z47" s="119">
        <f>'2021'!AD387</f>
        <v>3</v>
      </c>
      <c r="AA47" s="106">
        <f>'2021'!AE387</f>
        <v>7.8</v>
      </c>
      <c r="AB47" s="106">
        <f>'2021'!AF387</f>
      </c>
      <c r="AC47" s="119">
        <f>'2021'!AG387</f>
        <v>2040</v>
      </c>
      <c r="AD47" s="119">
        <f>'2021'!AH387</f>
        <v>0</v>
      </c>
      <c r="AE47" s="106">
        <f>'2021'!AI387</f>
        <v>0</v>
      </c>
      <c r="AF47" s="106">
        <f>'2021'!AJ387</f>
        <v>500</v>
      </c>
      <c r="AG47" s="119">
        <f>'2021'!AK387</f>
        <v>2040</v>
      </c>
      <c r="AH47" s="119">
        <f>'2021'!AL387</f>
        <v>0</v>
      </c>
      <c r="AI47" s="106">
        <f>'2021'!AM387</f>
        <v>0</v>
      </c>
      <c r="AJ47" s="106">
        <f>'2021'!AN387</f>
      </c>
      <c r="AK47" s="119">
        <f>'2021'!AO387</f>
        <v>2040</v>
      </c>
      <c r="AL47" s="119">
        <f>'2021'!AP387</f>
        <v>0</v>
      </c>
      <c r="AM47" s="106">
        <f>'2021'!AQ387</f>
        <v>0</v>
      </c>
      <c r="AN47" s="106">
        <f>'2021'!AR387</f>
      </c>
      <c r="AO47" s="119">
        <f>'2021'!AS387</f>
        <v>2040</v>
      </c>
      <c r="AP47" s="119">
        <f>'2021'!AT387</f>
        <v>0</v>
      </c>
      <c r="AQ47" s="106">
        <f>'2021'!AU387</f>
        <v>0</v>
      </c>
      <c r="AR47" s="106">
        <f>'2021'!AV387</f>
      </c>
      <c r="AS47" s="126">
        <f>'2021'!AW387</f>
        <v>2040</v>
      </c>
      <c r="AT47" s="119">
        <f>'2021'!AX387</f>
        <v>0</v>
      </c>
      <c r="AU47" s="106">
        <f>'2021'!AY387</f>
        <v>0</v>
      </c>
      <c r="AV47" s="106">
        <f>'2021'!AZ387</f>
      </c>
      <c r="AW47" s="106"/>
      <c r="AX47" s="106">
        <f t="shared" si="0"/>
        <v>0</v>
      </c>
      <c r="AY47" s="119">
        <f>'2021'!BA387</f>
        <v>359</v>
      </c>
      <c r="AZ47" s="119">
        <f>'2021'!BB387</f>
        <v>359</v>
      </c>
      <c r="BA47" s="106">
        <f>'2021'!BC387</f>
        <v>969.3</v>
      </c>
      <c r="BB47" s="106">
        <f>'2021'!BD387</f>
        <v>350</v>
      </c>
      <c r="BC47" s="106"/>
      <c r="BD47" s="106">
        <f t="shared" si="1"/>
        <v>0</v>
      </c>
      <c r="BE47" s="119">
        <f>'2021'!BE387</f>
        <v>471</v>
      </c>
      <c r="BF47" s="106">
        <f>'2021'!BF387</f>
        <v>1260.5</v>
      </c>
      <c r="BG47" s="106">
        <f>'2021'!BG387</f>
        <v>850</v>
      </c>
      <c r="BH47" s="106">
        <f>'2021'!BH387</f>
        <v>390.09</v>
      </c>
      <c r="BI47" s="106">
        <f t="shared" si="2"/>
        <v>0</v>
      </c>
      <c r="BJ47" s="338">
        <f t="shared" si="3"/>
        <v>390.09</v>
      </c>
    </row>
    <row r="48" ht="15.75" customHeight="1" spans="1:62" x14ac:dyDescent="0.25">
      <c r="A48" s="14"/>
      <c r="B48" s="115">
        <v>44</v>
      </c>
      <c r="C48" s="115">
        <v>4.01</v>
      </c>
      <c r="D48" s="15" t="s">
        <v>412</v>
      </c>
      <c r="E48" s="119">
        <f>'2021'!I396</f>
        <v>25</v>
      </c>
      <c r="F48" s="119">
        <f>'2021'!J396</f>
        <v>0</v>
      </c>
      <c r="G48" s="106">
        <f>'2021'!K396</f>
        <v>0</v>
      </c>
      <c r="H48" s="106">
        <f>'2021'!L396</f>
      </c>
      <c r="I48" s="119">
        <f>'2021'!M396</f>
        <v>25</v>
      </c>
      <c r="J48" s="119">
        <f>'2021'!N396</f>
        <v>0</v>
      </c>
      <c r="K48" s="106">
        <f>'2021'!O396</f>
        <v>0</v>
      </c>
      <c r="L48" s="106">
        <f>'2021'!P396</f>
      </c>
      <c r="M48" s="119">
        <f>'2021'!Q396</f>
        <v>25</v>
      </c>
      <c r="N48" s="119">
        <f>'2021'!R396</f>
        <v>0</v>
      </c>
      <c r="O48" s="106">
        <f>'2021'!S396</f>
        <v>0</v>
      </c>
      <c r="P48" s="106">
        <f>'2021'!T396</f>
      </c>
      <c r="Q48" s="119">
        <f>'2021'!U396</f>
        <v>25</v>
      </c>
      <c r="R48" s="119">
        <f>'2021'!V396</f>
        <v>0</v>
      </c>
      <c r="S48" s="106">
        <f>'2021'!W396</f>
        <v>0</v>
      </c>
      <c r="T48" s="106">
        <f>'2021'!X396</f>
      </c>
      <c r="U48" s="119">
        <f>'2021'!Y396</f>
        <v>25</v>
      </c>
      <c r="V48" s="119">
        <f>'2021'!Z396</f>
        <v>0</v>
      </c>
      <c r="W48" s="106">
        <f>'2021'!AA396</f>
        <v>0</v>
      </c>
      <c r="X48" s="106">
        <f>'2021'!AB396</f>
      </c>
      <c r="Y48" s="119">
        <f>'2021'!AC396</f>
        <v>26</v>
      </c>
      <c r="Z48" s="119">
        <f>'2021'!AD396</f>
        <v>1</v>
      </c>
      <c r="AA48" s="106">
        <f>'2021'!AE396</f>
        <v>2.6</v>
      </c>
      <c r="AB48" s="106">
        <f>'2021'!AF396</f>
      </c>
      <c r="AC48" s="119">
        <f>'2021'!AG396</f>
        <v>27</v>
      </c>
      <c r="AD48" s="119">
        <f>'2021'!AH396</f>
        <v>1</v>
      </c>
      <c r="AE48" s="106">
        <f>'2021'!AI396</f>
        <v>2.7</v>
      </c>
      <c r="AF48" s="106">
        <f>'2021'!AJ396</f>
      </c>
      <c r="AG48" s="119">
        <f>'2021'!AK396</f>
        <v>32</v>
      </c>
      <c r="AH48" s="119">
        <f>'2021'!AL396</f>
        <v>5</v>
      </c>
      <c r="AI48" s="106">
        <f>'2021'!AM396</f>
        <v>13.5</v>
      </c>
      <c r="AJ48" s="106">
        <f>'2021'!AN396</f>
      </c>
      <c r="AK48" s="119">
        <f>'2021'!AO396</f>
        <v>34</v>
      </c>
      <c r="AL48" s="119">
        <f>'2021'!AP396</f>
        <v>2</v>
      </c>
      <c r="AM48" s="106">
        <f>'2021'!AQ396</f>
        <v>5.4</v>
      </c>
      <c r="AN48" s="106">
        <f>'2021'!AR396</f>
      </c>
      <c r="AO48" s="119">
        <f>'2021'!AS396</f>
        <v>34</v>
      </c>
      <c r="AP48" s="119">
        <f>'2021'!AT396</f>
        <v>0</v>
      </c>
      <c r="AQ48" s="106">
        <f>'2021'!AU396</f>
        <v>0</v>
      </c>
      <c r="AR48" s="106">
        <f>'2021'!AV396</f>
      </c>
      <c r="AS48" s="119">
        <f>'2021'!AW396</f>
        <v>34</v>
      </c>
      <c r="AT48" s="119">
        <f>'2021'!AX396</f>
        <v>0</v>
      </c>
      <c r="AU48" s="106">
        <f>'2021'!AY396</f>
        <v>0</v>
      </c>
      <c r="AV48" s="106">
        <f>'2021'!AZ396</f>
      </c>
      <c r="AW48" s="106"/>
      <c r="AX48" s="106">
        <f t="shared" si="0"/>
        <v>0</v>
      </c>
      <c r="AY48" s="119">
        <f>'2021'!BA396</f>
        <v>34</v>
      </c>
      <c r="AZ48" s="119">
        <f>'2021'!BB396</f>
        <v>0</v>
      </c>
      <c r="BA48" s="106">
        <f>'2021'!BC396</f>
        <v>0</v>
      </c>
      <c r="BB48" s="106">
        <f>'2021'!BD396</f>
      </c>
      <c r="BC48" s="106"/>
      <c r="BD48" s="106">
        <f t="shared" si="1"/>
        <v>0</v>
      </c>
      <c r="BE48" s="119">
        <f>'2021'!BE396</f>
        <v>9</v>
      </c>
      <c r="BF48" s="106">
        <f>'2021'!BF396</f>
        <v>24.2</v>
      </c>
      <c r="BG48" s="106">
        <f>'2021'!BG396</f>
        <v>0</v>
      </c>
      <c r="BH48" s="106">
        <f>'2021'!BH396</f>
        <v>87.2</v>
      </c>
      <c r="BI48" s="106">
        <f t="shared" si="2"/>
        <v>0</v>
      </c>
      <c r="BJ48" s="338">
        <f t="shared" si="3"/>
        <v>87.2</v>
      </c>
    </row>
    <row r="49" ht="15.75" customHeight="1" spans="1:62" x14ac:dyDescent="0.25">
      <c r="A49" s="14"/>
      <c r="B49" s="115">
        <v>45</v>
      </c>
      <c r="C49" s="115">
        <v>5.04</v>
      </c>
      <c r="D49" s="117" t="s">
        <v>189</v>
      </c>
      <c r="E49" s="119">
        <f>'2021'!I405</f>
        <v>13</v>
      </c>
      <c r="F49" s="119">
        <f>'2021'!J405</f>
        <v>0</v>
      </c>
      <c r="G49" s="106">
        <f>'2021'!K405</f>
        <v>0</v>
      </c>
      <c r="H49" s="106">
        <f>'2021'!L405</f>
      </c>
      <c r="I49" s="119">
        <f>'2021'!M405</f>
        <v>13</v>
      </c>
      <c r="J49" s="119">
        <f>'2021'!N405</f>
        <v>0</v>
      </c>
      <c r="K49" s="106">
        <f>'2021'!O405</f>
        <v>0</v>
      </c>
      <c r="L49" s="106">
        <f>'2021'!P405</f>
      </c>
      <c r="M49" s="119">
        <f>'2021'!Q405</f>
        <v>13</v>
      </c>
      <c r="N49" s="119">
        <f>'2021'!R405</f>
        <v>0</v>
      </c>
      <c r="O49" s="106">
        <f>'2021'!S405</f>
        <v>0</v>
      </c>
      <c r="P49" s="106">
        <f>'2021'!T405</f>
      </c>
      <c r="Q49" s="119">
        <f>'2021'!U405</f>
        <v>13</v>
      </c>
      <c r="R49" s="119">
        <f>'2021'!V405</f>
        <v>0</v>
      </c>
      <c r="S49" s="106">
        <f>'2021'!W405</f>
        <v>0</v>
      </c>
      <c r="T49" s="106">
        <f>'2021'!X405</f>
      </c>
      <c r="U49" s="119">
        <f>'2021'!Y405</f>
        <v>13</v>
      </c>
      <c r="V49" s="119">
        <f>'2021'!Z405</f>
        <v>0</v>
      </c>
      <c r="W49" s="106">
        <f>'2021'!AA405</f>
        <v>0</v>
      </c>
      <c r="X49" s="106">
        <f>'2021'!AB405</f>
      </c>
      <c r="Y49" s="119">
        <f>'2021'!AC405</f>
        <v>13</v>
      </c>
      <c r="Z49" s="119">
        <f>'2021'!AD405</f>
        <v>0</v>
      </c>
      <c r="AA49" s="106">
        <f>'2021'!AE405</f>
        <v>0</v>
      </c>
      <c r="AB49" s="106">
        <f>'2021'!AF405</f>
      </c>
      <c r="AC49" s="119">
        <f>'2021'!AG405</f>
        <v>13</v>
      </c>
      <c r="AD49" s="119">
        <f>'2021'!AH405</f>
        <v>0</v>
      </c>
      <c r="AE49" s="106">
        <f>'2021'!AI405</f>
        <v>0</v>
      </c>
      <c r="AF49" s="106">
        <f>'2021'!AJ405</f>
      </c>
      <c r="AG49" s="119">
        <f>'2021'!AK405</f>
        <v>13</v>
      </c>
      <c r="AH49" s="119">
        <f>'2021'!AL405</f>
        <v>0</v>
      </c>
      <c r="AI49" s="106">
        <f>'2021'!AM405</f>
        <v>0</v>
      </c>
      <c r="AJ49" s="106">
        <f>'2021'!AN405</f>
      </c>
      <c r="AK49" s="119">
        <f>'2021'!AO405</f>
        <v>13</v>
      </c>
      <c r="AL49" s="119">
        <f>'2021'!AP405</f>
        <v>0</v>
      </c>
      <c r="AM49" s="106">
        <f>'2021'!AQ405</f>
        <v>0</v>
      </c>
      <c r="AN49" s="106">
        <f>'2021'!AR405</f>
      </c>
      <c r="AO49" s="119">
        <f>'2021'!AS405</f>
        <v>13</v>
      </c>
      <c r="AP49" s="119">
        <f>'2021'!AT405</f>
        <v>0</v>
      </c>
      <c r="AQ49" s="106">
        <f>'2021'!AU405</f>
        <v>0</v>
      </c>
      <c r="AR49" s="106">
        <f>'2021'!AV405</f>
      </c>
      <c r="AS49" s="119">
        <f>'2021'!AW405</f>
        <v>13</v>
      </c>
      <c r="AT49" s="119">
        <f>'2021'!AX405</f>
        <v>0</v>
      </c>
      <c r="AU49" s="106">
        <f>'2021'!AY405</f>
        <v>0</v>
      </c>
      <c r="AV49" s="106">
        <f>'2021'!AZ405</f>
      </c>
      <c r="AW49" s="106"/>
      <c r="AX49" s="106">
        <f t="shared" si="0"/>
        <v>0</v>
      </c>
      <c r="AY49" s="119">
        <f>'2021'!BA405</f>
        <v>13</v>
      </c>
      <c r="AZ49" s="119">
        <f>'2021'!BB405</f>
        <v>0</v>
      </c>
      <c r="BA49" s="106">
        <f>'2021'!BC405</f>
        <v>0</v>
      </c>
      <c r="BB49" s="106">
        <f>'2021'!BD405</f>
      </c>
      <c r="BC49" s="106"/>
      <c r="BD49" s="106">
        <f t="shared" si="1"/>
        <v>0</v>
      </c>
      <c r="BE49" s="119">
        <f>'2021'!BE405</f>
        <v>0</v>
      </c>
      <c r="BF49" s="106">
        <f>'2021'!BF405</f>
        <v>0</v>
      </c>
      <c r="BG49" s="106">
        <f>'2021'!BG405</f>
        <v>0</v>
      </c>
      <c r="BH49" s="106">
        <f>'2021'!BH405</f>
        <v>0</v>
      </c>
      <c r="BI49" s="106">
        <f t="shared" si="2"/>
        <v>0</v>
      </c>
      <c r="BJ49" s="338">
        <f t="shared" si="3"/>
        <v>0</v>
      </c>
    </row>
    <row r="50" ht="15.75" customHeight="1" spans="1:62" x14ac:dyDescent="0.25">
      <c r="A50" s="14"/>
      <c r="B50" s="115">
        <v>46</v>
      </c>
      <c r="C50" s="116">
        <v>4</v>
      </c>
      <c r="D50" s="117" t="s">
        <v>188</v>
      </c>
      <c r="E50" s="119">
        <f>'2021'!I414</f>
        <v>3525</v>
      </c>
      <c r="F50" s="119">
        <f>'2021'!J414</f>
        <v>0</v>
      </c>
      <c r="G50" s="106">
        <f>'2021'!K414</f>
        <v>0</v>
      </c>
      <c r="H50" s="106">
        <f>'2021'!L414</f>
      </c>
      <c r="I50" s="119">
        <f>'2021'!M414</f>
        <v>3525</v>
      </c>
      <c r="J50" s="119">
        <f>'2021'!N414</f>
        <v>0</v>
      </c>
      <c r="K50" s="106">
        <f>'2021'!O414</f>
        <v>0</v>
      </c>
      <c r="L50" s="106">
        <f>'2021'!P414</f>
      </c>
      <c r="M50" s="119">
        <f>'2021'!Q414</f>
        <v>3525</v>
      </c>
      <c r="N50" s="119">
        <f>'2021'!R414</f>
        <v>0</v>
      </c>
      <c r="O50" s="106">
        <f>'2021'!S414</f>
        <v>0</v>
      </c>
      <c r="P50" s="106">
        <f>'2021'!T414</f>
      </c>
      <c r="Q50" s="119">
        <f>'2021'!U414</f>
        <v>3525</v>
      </c>
      <c r="R50" s="119">
        <f>'2021'!V414</f>
        <v>0</v>
      </c>
      <c r="S50" s="106">
        <f>'2021'!W414</f>
        <v>0</v>
      </c>
      <c r="T50" s="106">
        <f>'2021'!X414</f>
      </c>
      <c r="U50" s="119">
        <f>'2021'!Y414</f>
        <v>3625</v>
      </c>
      <c r="V50" s="119">
        <f>'2021'!Z414</f>
        <v>100</v>
      </c>
      <c r="W50" s="106">
        <f>'2021'!AA414</f>
        <v>260</v>
      </c>
      <c r="X50" s="106">
        <f>'2021'!AB414</f>
      </c>
      <c r="Y50" s="119">
        <f>'2021'!AC414</f>
        <v>3741</v>
      </c>
      <c r="Z50" s="119">
        <f>'2021'!AD414</f>
        <v>116</v>
      </c>
      <c r="AA50" s="106">
        <f>'2021'!AE414</f>
        <v>301.6</v>
      </c>
      <c r="AB50" s="106">
        <f>'2021'!AF414</f>
        <v>1084.2</v>
      </c>
      <c r="AC50" s="119">
        <f>'2021'!AG414</f>
        <v>3873</v>
      </c>
      <c r="AD50" s="119">
        <f>'2021'!AH414</f>
        <v>132</v>
      </c>
      <c r="AE50" s="106">
        <f>'2021'!AI414</f>
        <v>356.4</v>
      </c>
      <c r="AF50" s="106">
        <f>'2021'!AJ414</f>
        <v>419.51</v>
      </c>
      <c r="AG50" s="119">
        <f>'2021'!AK414</f>
        <v>4003</v>
      </c>
      <c r="AH50" s="119">
        <f>'2021'!AL414</f>
        <v>130</v>
      </c>
      <c r="AI50" s="106">
        <f>'2021'!AM414</f>
        <v>351</v>
      </c>
      <c r="AJ50" s="106">
        <f>'2021'!AN414</f>
        <v>611.89</v>
      </c>
      <c r="AK50" s="119">
        <f>'2021'!AO414</f>
        <v>4122</v>
      </c>
      <c r="AL50" s="119">
        <f>'2021'!AP414</f>
        <v>119</v>
      </c>
      <c r="AM50" s="106">
        <f>'2021'!AQ414</f>
        <v>321.3</v>
      </c>
      <c r="AN50" s="106">
        <f>'2021'!AR414</f>
      </c>
      <c r="AO50" s="119">
        <f>'2021'!AS414</f>
        <v>4188</v>
      </c>
      <c r="AP50" s="119">
        <f>'2021'!AT414</f>
        <v>66</v>
      </c>
      <c r="AQ50" s="106">
        <f>'2021'!AU414</f>
        <v>178.2</v>
      </c>
      <c r="AR50" s="106">
        <f>'2021'!AV414</f>
      </c>
      <c r="AS50" s="119">
        <f>'2021'!AW414</f>
        <v>4198</v>
      </c>
      <c r="AT50" s="119">
        <f>'2021'!AX414</f>
        <v>10</v>
      </c>
      <c r="AU50" s="106">
        <f>'2021'!AY414</f>
        <v>27</v>
      </c>
      <c r="AV50" s="106">
        <f>'2021'!AZ414</f>
      </c>
      <c r="AW50" s="106"/>
      <c r="AX50" s="106">
        <f t="shared" si="0"/>
        <v>0</v>
      </c>
      <c r="AY50" s="119">
        <f>'2021'!BA414</f>
        <v>4198</v>
      </c>
      <c r="AZ50" s="119">
        <f>'2021'!BB414</f>
        <v>0</v>
      </c>
      <c r="BA50" s="106">
        <f>'2021'!BC414</f>
        <v>0</v>
      </c>
      <c r="BB50" s="106">
        <f>'2021'!BD414</f>
      </c>
      <c r="BC50" s="106"/>
      <c r="BD50" s="106">
        <f t="shared" si="1"/>
        <v>0</v>
      </c>
      <c r="BE50" s="119">
        <f>'2021'!BE414</f>
        <v>673</v>
      </c>
      <c r="BF50" s="106">
        <f>'2021'!BF414</f>
        <v>1795.5</v>
      </c>
      <c r="BG50" s="106">
        <f>'2021'!BG414</f>
        <v>2115.6</v>
      </c>
      <c r="BH50" s="106">
        <f>'2021'!BH414</f>
        <v>202.5</v>
      </c>
      <c r="BI50" s="106">
        <f t="shared" si="2"/>
        <v>0</v>
      </c>
      <c r="BJ50" s="338">
        <f t="shared" si="3"/>
        <v>202.5</v>
      </c>
    </row>
    <row r="51" ht="15.75" customHeight="1" spans="1:62" x14ac:dyDescent="0.25">
      <c r="A51" s="14"/>
      <c r="B51" s="115">
        <v>47</v>
      </c>
      <c r="C51" s="116">
        <v>5</v>
      </c>
      <c r="D51" s="117" t="s">
        <v>192</v>
      </c>
      <c r="E51" s="119">
        <f>'2021'!I423</f>
        <v>165</v>
      </c>
      <c r="F51" s="119">
        <f>'2021'!J423</f>
        <v>0</v>
      </c>
      <c r="G51" s="106">
        <f>'2021'!K423</f>
        <v>0</v>
      </c>
      <c r="H51" s="106">
        <f>'2021'!L423</f>
      </c>
      <c r="I51" s="119">
        <f>'2021'!M423</f>
        <v>165</v>
      </c>
      <c r="J51" s="119">
        <f>'2021'!N423</f>
        <v>0</v>
      </c>
      <c r="K51" s="106">
        <f>'2021'!O423</f>
        <v>0</v>
      </c>
      <c r="L51" s="106">
        <f>'2021'!P423</f>
      </c>
      <c r="M51" s="119">
        <f>'2021'!Q423</f>
        <v>165</v>
      </c>
      <c r="N51" s="119">
        <f>'2021'!R423</f>
        <v>0</v>
      </c>
      <c r="O51" s="106">
        <f>'2021'!S423</f>
        <v>0</v>
      </c>
      <c r="P51" s="106">
        <f>'2021'!T423</f>
      </c>
      <c r="Q51" s="119">
        <f>'2021'!U423</f>
        <v>165</v>
      </c>
      <c r="R51" s="119">
        <f>'2021'!V423</f>
        <v>0</v>
      </c>
      <c r="S51" s="106">
        <f>'2021'!W423</f>
        <v>0</v>
      </c>
      <c r="T51" s="106">
        <f>'2021'!X423</f>
      </c>
      <c r="U51" s="119">
        <f>'2021'!Y423</f>
        <v>165</v>
      </c>
      <c r="V51" s="119">
        <f>'2021'!Z423</f>
        <v>0</v>
      </c>
      <c r="W51" s="106">
        <f>'2021'!AA423</f>
        <v>0</v>
      </c>
      <c r="X51" s="106">
        <f>'2021'!AB423</f>
      </c>
      <c r="Y51" s="119">
        <f>'2021'!AC423</f>
        <v>165</v>
      </c>
      <c r="Z51" s="119">
        <f>'2021'!AD423</f>
        <v>0</v>
      </c>
      <c r="AA51" s="106">
        <f>'2021'!AE423</f>
        <v>0</v>
      </c>
      <c r="AB51" s="106">
        <f>'2021'!AF423</f>
      </c>
      <c r="AC51" s="119">
        <f>'2021'!AG423</f>
        <v>165</v>
      </c>
      <c r="AD51" s="119">
        <f>'2021'!AH423</f>
        <v>0</v>
      </c>
      <c r="AE51" s="106">
        <f>'2021'!AI423</f>
        <v>0</v>
      </c>
      <c r="AF51" s="106">
        <f>'2021'!AJ423</f>
      </c>
      <c r="AG51" s="119">
        <f>'2021'!AK423</f>
        <v>165</v>
      </c>
      <c r="AH51" s="119">
        <f>'2021'!AL423</f>
        <v>0</v>
      </c>
      <c r="AI51" s="106">
        <f>'2021'!AM423</f>
        <v>0</v>
      </c>
      <c r="AJ51" s="106">
        <f>'2021'!AN423</f>
      </c>
      <c r="AK51" s="119">
        <f>'2021'!AO423</f>
        <v>165</v>
      </c>
      <c r="AL51" s="119">
        <f>'2021'!AP423</f>
        <v>0</v>
      </c>
      <c r="AM51" s="106">
        <f>'2021'!AQ423</f>
        <v>0</v>
      </c>
      <c r="AN51" s="106">
        <f>'2021'!AR423</f>
      </c>
      <c r="AO51" s="119">
        <f>'2021'!AS423</f>
        <v>165</v>
      </c>
      <c r="AP51" s="119">
        <f>'2021'!AT423</f>
        <v>0</v>
      </c>
      <c r="AQ51" s="106">
        <f>'2021'!AU423</f>
        <v>0</v>
      </c>
      <c r="AR51" s="106">
        <f>'2021'!AV423</f>
      </c>
      <c r="AS51" s="119">
        <f>'2021'!AW423</f>
        <v>165</v>
      </c>
      <c r="AT51" s="119">
        <f>'2021'!AX423</f>
        <v>0</v>
      </c>
      <c r="AU51" s="106">
        <f>'2021'!AY423</f>
        <v>0</v>
      </c>
      <c r="AV51" s="106">
        <f>'2021'!AZ423</f>
      </c>
      <c r="AW51" s="106"/>
      <c r="AX51" s="106">
        <f t="shared" si="0"/>
        <v>0</v>
      </c>
      <c r="AY51" s="119">
        <f>'2021'!BA423</f>
        <v>165</v>
      </c>
      <c r="AZ51" s="119">
        <f>'2021'!BB423</f>
        <v>0</v>
      </c>
      <c r="BA51" s="106">
        <f>'2021'!BC423</f>
        <v>0</v>
      </c>
      <c r="BB51" s="106">
        <f>'2021'!BD423</f>
      </c>
      <c r="BC51" s="106"/>
      <c r="BD51" s="106">
        <f t="shared" si="1"/>
        <v>0</v>
      </c>
      <c r="BE51" s="119">
        <f>'2021'!BE423</f>
        <v>0</v>
      </c>
      <c r="BF51" s="106">
        <f>'2021'!BF423</f>
        <v>0</v>
      </c>
      <c r="BG51" s="106">
        <f>'2021'!BG423</f>
        <v>0</v>
      </c>
      <c r="BH51" s="106">
        <f>'2021'!BH423</f>
        <v>0</v>
      </c>
      <c r="BI51" s="106">
        <f t="shared" si="2"/>
        <v>0</v>
      </c>
      <c r="BJ51" s="338">
        <f t="shared" si="3"/>
        <v>0</v>
      </c>
    </row>
    <row r="52" ht="15.75" customHeight="1" spans="1:62" x14ac:dyDescent="0.25">
      <c r="A52" s="14"/>
      <c r="B52" s="115">
        <v>48</v>
      </c>
      <c r="C52" s="115">
        <v>5.93</v>
      </c>
      <c r="D52" s="117" t="s">
        <v>97</v>
      </c>
      <c r="E52" s="119">
        <f>'2021'!I432</f>
        <v>0</v>
      </c>
      <c r="F52" s="119">
        <f>'2021'!J432</f>
        <v>0</v>
      </c>
      <c r="G52" s="106">
        <f>'2021'!K432</f>
        <v>0</v>
      </c>
      <c r="H52" s="106">
        <f>'2021'!L432</f>
      </c>
      <c r="I52" s="119">
        <f>'2021'!M432</f>
        <v>0</v>
      </c>
      <c r="J52" s="119">
        <f>'2021'!N432</f>
        <v>0</v>
      </c>
      <c r="K52" s="106">
        <f>'2021'!O432</f>
        <v>0</v>
      </c>
      <c r="L52" s="106">
        <f>'2021'!P432</f>
      </c>
      <c r="M52" s="119">
        <f>'2021'!Q432</f>
        <v>0</v>
      </c>
      <c r="N52" s="119">
        <f>'2021'!R432</f>
        <v>0</v>
      </c>
      <c r="O52" s="106">
        <f>'2021'!S432</f>
        <v>0</v>
      </c>
      <c r="P52" s="106">
        <f>'2021'!T432</f>
      </c>
      <c r="Q52" s="119">
        <f>'2021'!U432</f>
        <v>0</v>
      </c>
      <c r="R52" s="119">
        <f>'2021'!V432</f>
        <v>0</v>
      </c>
      <c r="S52" s="106">
        <f>'2021'!W432</f>
        <v>0</v>
      </c>
      <c r="T52" s="106">
        <f>'2021'!X432</f>
      </c>
      <c r="U52" s="119">
        <f>'2021'!Y432</f>
      </c>
      <c r="V52" s="119">
        <f>'2021'!Z432</f>
        <v>0</v>
      </c>
      <c r="W52" s="106">
        <f>'2021'!AA432</f>
        <v>0</v>
      </c>
      <c r="X52" s="106">
        <f>'2021'!AB432</f>
      </c>
      <c r="Y52" s="119">
        <f>'2021'!AC432</f>
      </c>
      <c r="Z52" s="119">
        <f>'2021'!AD432</f>
        <v>0</v>
      </c>
      <c r="AA52" s="106">
        <f>'2021'!AE432</f>
        <v>0</v>
      </c>
      <c r="AB52" s="106">
        <f>'2021'!AF432</f>
      </c>
      <c r="AC52" s="119">
        <f>'2021'!AG432</f>
      </c>
      <c r="AD52" s="119">
        <f>'2021'!AH432</f>
        <v>0</v>
      </c>
      <c r="AE52" s="106">
        <f>'2021'!AI432</f>
        <v>0</v>
      </c>
      <c r="AF52" s="106">
        <f>'2021'!AJ432</f>
      </c>
      <c r="AG52" s="119">
        <f>'2021'!AK432</f>
      </c>
      <c r="AH52" s="119">
        <f>'2021'!AL432</f>
        <v>0</v>
      </c>
      <c r="AI52" s="106">
        <f>'2021'!AM432</f>
        <v>0</v>
      </c>
      <c r="AJ52" s="106">
        <f>'2021'!AN432</f>
      </c>
      <c r="AK52" s="119">
        <f>'2021'!AO432</f>
      </c>
      <c r="AL52" s="119">
        <f>'2021'!AP432</f>
        <v>0</v>
      </c>
      <c r="AM52" s="106">
        <f>'2021'!AQ432</f>
        <v>0</v>
      </c>
      <c r="AN52" s="106">
        <f>'2021'!AR432</f>
      </c>
      <c r="AO52" s="119">
        <f>'2021'!AS432</f>
      </c>
      <c r="AP52" s="119">
        <f>'2021'!AT432</f>
        <v>0</v>
      </c>
      <c r="AQ52" s="106">
        <f>'2021'!AU432</f>
        <v>0</v>
      </c>
      <c r="AR52" s="106">
        <f>'2021'!AV432</f>
      </c>
      <c r="AS52" s="119">
        <f>'2021'!AW432</f>
      </c>
      <c r="AT52" s="119">
        <f>'2021'!AX432</f>
        <v>0</v>
      </c>
      <c r="AU52" s="106">
        <f>'2021'!AY432</f>
        <v>0</v>
      </c>
      <c r="AV52" s="106">
        <f>'2021'!AZ432</f>
      </c>
      <c r="AW52" s="106"/>
      <c r="AX52" s="106">
        <f t="shared" si="0"/>
        <v>0</v>
      </c>
      <c r="AY52" s="119">
        <f>'2021'!BA432</f>
      </c>
      <c r="AZ52" s="119">
        <f>'2021'!BB432</f>
        <v>0</v>
      </c>
      <c r="BA52" s="106">
        <f>'2021'!BC432</f>
        <v>0</v>
      </c>
      <c r="BB52" s="106">
        <f>'2021'!BD432</f>
      </c>
      <c r="BC52" s="106"/>
      <c r="BD52" s="106">
        <f t="shared" si="1"/>
        <v>0</v>
      </c>
      <c r="BE52" s="119">
        <f>'2021'!BE432</f>
        <v>0</v>
      </c>
      <c r="BF52" s="106">
        <f>'2021'!BF432</f>
        <v>0</v>
      </c>
      <c r="BG52" s="106">
        <f>'2021'!BG432</f>
        <v>0</v>
      </c>
      <c r="BH52" s="106">
        <f>'2021'!BH432</f>
        <v>0</v>
      </c>
      <c r="BI52" s="106">
        <f t="shared" si="2"/>
        <v>0</v>
      </c>
      <c r="BJ52" s="338">
        <f t="shared" si="3"/>
        <v>0</v>
      </c>
    </row>
    <row r="53" ht="15.75" customHeight="1" spans="1:62" x14ac:dyDescent="0.25">
      <c r="A53" s="14"/>
      <c r="B53" s="115">
        <v>49</v>
      </c>
      <c r="C53" s="115">
        <v>5.03</v>
      </c>
      <c r="D53" s="117" t="s">
        <v>197</v>
      </c>
      <c r="E53" s="119">
        <f>'2021'!I441</f>
        <v>0</v>
      </c>
      <c r="F53" s="119">
        <f>'2021'!J441</f>
        <v>0</v>
      </c>
      <c r="G53" s="106">
        <f>'2021'!K441</f>
        <v>0</v>
      </c>
      <c r="H53" s="106">
        <f>'2021'!L441</f>
      </c>
      <c r="I53" s="119">
        <f>'2021'!M441</f>
        <v>0</v>
      </c>
      <c r="J53" s="119">
        <f>'2021'!N441</f>
        <v>0</v>
      </c>
      <c r="K53" s="106">
        <f>'2021'!O441</f>
        <v>0</v>
      </c>
      <c r="L53" s="106">
        <f>'2021'!P441</f>
      </c>
      <c r="M53" s="119">
        <f>'2021'!Q441</f>
        <v>0</v>
      </c>
      <c r="N53" s="119">
        <f>'2021'!R441</f>
        <v>0</v>
      </c>
      <c r="O53" s="106">
        <f>'2021'!S441</f>
        <v>0</v>
      </c>
      <c r="P53" s="106">
        <f>'2021'!T441</f>
      </c>
      <c r="Q53" s="119">
        <f>'2021'!U441</f>
        <v>0</v>
      </c>
      <c r="R53" s="119">
        <f>'2021'!V441</f>
        <v>0</v>
      </c>
      <c r="S53" s="106">
        <f>'2021'!W441</f>
        <v>0</v>
      </c>
      <c r="T53" s="106">
        <f>'2021'!X441</f>
      </c>
      <c r="U53" s="119">
        <f>'2021'!Y441</f>
      </c>
      <c r="V53" s="119">
        <f>'2021'!Z441</f>
        <v>0</v>
      </c>
      <c r="W53" s="106">
        <f>'2021'!AA441</f>
        <v>0</v>
      </c>
      <c r="X53" s="106">
        <f>'2021'!AB441</f>
      </c>
      <c r="Y53" s="119">
        <f>'2021'!AC441</f>
      </c>
      <c r="Z53" s="119">
        <f>'2021'!AD441</f>
        <v>0</v>
      </c>
      <c r="AA53" s="106">
        <f>'2021'!AE441</f>
        <v>0</v>
      </c>
      <c r="AB53" s="106">
        <f>'2021'!AF441</f>
      </c>
      <c r="AC53" s="119">
        <f>'2021'!AG441</f>
      </c>
      <c r="AD53" s="119">
        <f>'2021'!AH441</f>
        <v>0</v>
      </c>
      <c r="AE53" s="106">
        <f>'2021'!AI441</f>
        <v>0</v>
      </c>
      <c r="AF53" s="106">
        <f>'2021'!AJ441</f>
      </c>
      <c r="AG53" s="119">
        <f>'2021'!AK441</f>
      </c>
      <c r="AH53" s="119">
        <f>'2021'!AL441</f>
        <v>0</v>
      </c>
      <c r="AI53" s="106">
        <f>'2021'!AM441</f>
        <v>0</v>
      </c>
      <c r="AJ53" s="106">
        <f>'2021'!AN441</f>
      </c>
      <c r="AK53" s="119">
        <f>'2021'!AO441</f>
      </c>
      <c r="AL53" s="119">
        <f>'2021'!AP441</f>
        <v>0</v>
      </c>
      <c r="AM53" s="106">
        <f>'2021'!AQ441</f>
        <v>0</v>
      </c>
      <c r="AN53" s="106">
        <f>'2021'!AR441</f>
      </c>
      <c r="AO53" s="119">
        <f>'2021'!AS441</f>
      </c>
      <c r="AP53" s="119">
        <f>'2021'!AT441</f>
        <v>0</v>
      </c>
      <c r="AQ53" s="106">
        <f>'2021'!AU441</f>
        <v>0</v>
      </c>
      <c r="AR53" s="106">
        <f>'2021'!AV441</f>
      </c>
      <c r="AS53" s="119">
        <f>'2021'!AW441</f>
      </c>
      <c r="AT53" s="119">
        <f>'2021'!AX441</f>
        <v>0</v>
      </c>
      <c r="AU53" s="106">
        <f>'2021'!AY441</f>
        <v>0</v>
      </c>
      <c r="AV53" s="106">
        <f>'2021'!AZ441</f>
      </c>
      <c r="AW53" s="106"/>
      <c r="AX53" s="106">
        <f t="shared" si="0"/>
        <v>0</v>
      </c>
      <c r="AY53" s="119">
        <f>'2021'!BA441</f>
      </c>
      <c r="AZ53" s="119">
        <f>'2021'!BB441</f>
        <v>0</v>
      </c>
      <c r="BA53" s="106">
        <f>'2021'!BC441</f>
        <v>0</v>
      </c>
      <c r="BB53" s="106">
        <f>'2021'!BD441</f>
      </c>
      <c r="BC53" s="106"/>
      <c r="BD53" s="106">
        <f t="shared" si="1"/>
        <v>0</v>
      </c>
      <c r="BE53" s="119">
        <f>'2021'!BE441</f>
        <v>0</v>
      </c>
      <c r="BF53" s="106">
        <f>'2021'!BF441</f>
        <v>0</v>
      </c>
      <c r="BG53" s="106">
        <f>'2021'!BG441</f>
        <v>0</v>
      </c>
      <c r="BH53" s="106">
        <f>'2021'!BH441</f>
        <v>0</v>
      </c>
      <c r="BI53" s="106">
        <f t="shared" si="2"/>
        <v>0</v>
      </c>
      <c r="BJ53" s="338">
        <f t="shared" si="3"/>
        <v>0</v>
      </c>
    </row>
    <row r="54" ht="15.75" customHeight="1" spans="1:62" x14ac:dyDescent="0.25">
      <c r="A54" s="14"/>
      <c r="B54" s="125">
        <v>50</v>
      </c>
      <c r="C54" s="115">
        <v>6.05</v>
      </c>
      <c r="D54" s="117" t="s">
        <v>200</v>
      </c>
      <c r="E54" s="119">
        <f>'2021'!I450</f>
        <v>4082</v>
      </c>
      <c r="F54" s="119">
        <f>'2021'!J450</f>
        <v>1269</v>
      </c>
      <c r="G54" s="106">
        <f>'2021'!K450</f>
        <v>3299.4</v>
      </c>
      <c r="H54" s="106">
        <f>'2021'!L450</f>
      </c>
      <c r="I54" s="119">
        <f>'2021'!M450</f>
        <v>4528</v>
      </c>
      <c r="J54" s="119">
        <f>'2021'!N450</f>
        <v>446</v>
      </c>
      <c r="K54" s="106">
        <f>'2021'!O450</f>
        <v>1159.6</v>
      </c>
      <c r="L54" s="106">
        <f>'2021'!P450</f>
        <v>3400</v>
      </c>
      <c r="M54" s="119">
        <f>'2021'!Q450</f>
        <v>5092</v>
      </c>
      <c r="N54" s="119">
        <f>'2021'!R450</f>
        <v>564</v>
      </c>
      <c r="O54" s="106">
        <f>'2021'!S450</f>
        <v>1466.4</v>
      </c>
      <c r="P54" s="106">
        <f>'2021'!T450</f>
      </c>
      <c r="Q54" s="119">
        <f>'2021'!U450</f>
        <v>5688</v>
      </c>
      <c r="R54" s="119">
        <f>'2021'!V450</f>
        <v>596</v>
      </c>
      <c r="S54" s="106">
        <f>'2021'!W450</f>
        <v>1549.6</v>
      </c>
      <c r="T54" s="106">
        <f>'2021'!X450</f>
        <v>2650</v>
      </c>
      <c r="U54" s="119">
        <f>'2021'!Y450</f>
        <v>6256</v>
      </c>
      <c r="V54" s="119">
        <f>'2021'!Z450</f>
        <v>568</v>
      </c>
      <c r="W54" s="106">
        <f>'2021'!AA450</f>
        <v>1476.8</v>
      </c>
      <c r="X54" s="106">
        <f>'2021'!AB450</f>
      </c>
      <c r="Y54" s="119">
        <f>'2021'!AC450</f>
        <v>6704</v>
      </c>
      <c r="Z54" s="119">
        <f>'2021'!AD450</f>
        <v>448</v>
      </c>
      <c r="AA54" s="106">
        <f>'2021'!AE450</f>
        <v>1164.8</v>
      </c>
      <c r="AB54" s="106">
        <f>'2021'!AF450</f>
        <v>3000</v>
      </c>
      <c r="AC54" s="119">
        <f>'2021'!AG450</f>
        <v>7188</v>
      </c>
      <c r="AD54" s="119">
        <f>'2021'!AH450</f>
        <v>484</v>
      </c>
      <c r="AE54" s="106">
        <f>'2021'!AI450</f>
        <v>1306.8</v>
      </c>
      <c r="AF54" s="106">
        <f>'2021'!AJ450</f>
      </c>
      <c r="AG54" s="119">
        <f>'2021'!AK450</f>
        <v>7670</v>
      </c>
      <c r="AH54" s="119">
        <f>'2021'!AL450</f>
        <v>482</v>
      </c>
      <c r="AI54" s="106">
        <f>'2021'!AM450</f>
        <v>1301.4</v>
      </c>
      <c r="AJ54" s="106">
        <f>'2021'!AN450</f>
        <v>2472</v>
      </c>
      <c r="AK54" s="119">
        <f>'2021'!AO450</f>
        <v>8269</v>
      </c>
      <c r="AL54" s="119">
        <f>'2021'!AP450</f>
        <v>599</v>
      </c>
      <c r="AM54" s="106">
        <f>'2021'!AQ450</f>
        <v>1617.3</v>
      </c>
      <c r="AN54" s="106">
        <f>'2021'!AR450</f>
        <v>1302</v>
      </c>
      <c r="AO54" s="119">
        <f>'2021'!AS450</f>
        <v>8867</v>
      </c>
      <c r="AP54" s="119">
        <f>'2021'!AT450</f>
        <v>598</v>
      </c>
      <c r="AQ54" s="106">
        <f>'2021'!AU450</f>
        <v>1614.6</v>
      </c>
      <c r="AR54" s="106">
        <f>'2021'!AV450</f>
      </c>
      <c r="AS54" s="119">
        <f>'2021'!AW450</f>
        <v>9462</v>
      </c>
      <c r="AT54" s="119">
        <f>'2021'!AX450</f>
        <v>595</v>
      </c>
      <c r="AU54" s="106">
        <f>'2021'!AY450</f>
        <v>1606.5</v>
      </c>
      <c r="AV54" s="106">
        <f>'2021'!AZ450</f>
        <v>1600</v>
      </c>
      <c r="AW54" s="106"/>
      <c r="AX54" s="106">
        <f t="shared" si="0"/>
        <v>0</v>
      </c>
      <c r="AY54" s="119">
        <f>'2021'!BA450</f>
        <v>9908</v>
      </c>
      <c r="AZ54" s="119">
        <f>'2021'!BB450</f>
        <v>446</v>
      </c>
      <c r="BA54" s="106">
        <f>'2021'!BC450</f>
        <v>1204.2</v>
      </c>
      <c r="BB54" s="106">
        <f>'2021'!BD450</f>
        <v>2000</v>
      </c>
      <c r="BC54" s="106"/>
      <c r="BD54" s="106">
        <f t="shared" si="1"/>
        <v>0</v>
      </c>
      <c r="BE54" s="119">
        <f>'2021'!BE450</f>
        <v>7095</v>
      </c>
      <c r="BF54" s="106">
        <f>'2021'!BF450</f>
        <v>18767.4</v>
      </c>
      <c r="BG54" s="106">
        <f>'2021'!BG450</f>
        <v>16424</v>
      </c>
      <c r="BH54" s="106">
        <f>'2021'!BH450</f>
        <v>2441.8</v>
      </c>
      <c r="BI54" s="106">
        <f t="shared" si="2"/>
        <v>0</v>
      </c>
      <c r="BJ54" s="338">
        <f t="shared" si="3"/>
        <v>2441.8</v>
      </c>
    </row>
    <row r="55" ht="15.75" customHeight="1" spans="1:62" x14ac:dyDescent="0.25">
      <c r="A55" s="14"/>
      <c r="B55" s="125">
        <v>51</v>
      </c>
      <c r="C55" s="115">
        <v>4.95</v>
      </c>
      <c r="D55" s="117" t="s">
        <v>204</v>
      </c>
      <c r="E55" s="119">
        <f>'2021'!I459</f>
        <v>580</v>
      </c>
      <c r="F55" s="119">
        <f>'2021'!J459</f>
        <v>0</v>
      </c>
      <c r="G55" s="106">
        <f>'2021'!K459</f>
        <v>0</v>
      </c>
      <c r="H55" s="106">
        <f>'2021'!L459</f>
      </c>
      <c r="I55" s="119">
        <f>'2021'!M459</f>
        <v>606</v>
      </c>
      <c r="J55" s="119">
        <f>'2021'!N459</f>
        <v>26</v>
      </c>
      <c r="K55" s="106">
        <f>'2021'!O459</f>
        <v>67.6</v>
      </c>
      <c r="L55" s="106">
        <f>'2021'!P459</f>
      </c>
      <c r="M55" s="119">
        <f>'2021'!Q459</f>
        <v>606</v>
      </c>
      <c r="N55" s="119">
        <f>'2021'!R459</f>
        <v>0</v>
      </c>
      <c r="O55" s="106">
        <f>'2021'!S459</f>
        <v>0</v>
      </c>
      <c r="P55" s="106">
        <f>'2021'!T459</f>
      </c>
      <c r="Q55" s="119">
        <f>'2021'!U459</f>
        <v>653</v>
      </c>
      <c r="R55" s="119">
        <f>'2021'!V459</f>
        <v>47</v>
      </c>
      <c r="S55" s="106">
        <f>'2021'!W459</f>
        <v>122.2</v>
      </c>
      <c r="T55" s="106">
        <f>'2021'!X459</f>
      </c>
      <c r="U55" s="119">
        <f>'2021'!Y459</f>
        <v>1369</v>
      </c>
      <c r="V55" s="119">
        <f>'2021'!Z459</f>
        <v>716</v>
      </c>
      <c r="W55" s="106">
        <f>'2021'!AA459</f>
        <v>1861.6</v>
      </c>
      <c r="X55" s="106">
        <f>'2021'!AB459</f>
      </c>
      <c r="Y55" s="119">
        <f>'2021'!AC459</f>
        <v>1726</v>
      </c>
      <c r="Z55" s="119">
        <f>'2021'!AD459</f>
        <v>357</v>
      </c>
      <c r="AA55" s="106">
        <f>'2021'!AE459</f>
        <v>928.2</v>
      </c>
      <c r="AB55" s="106">
        <f>'2021'!AF459</f>
        <v>2000</v>
      </c>
      <c r="AC55" s="119">
        <f>'2021'!AG459</f>
        <v>1855</v>
      </c>
      <c r="AD55" s="119">
        <f>'2021'!AH459</f>
        <v>129</v>
      </c>
      <c r="AE55" s="106">
        <f>'2021'!AI459</f>
        <v>348.3</v>
      </c>
      <c r="AF55" s="106">
        <f>'2021'!AJ459</f>
      </c>
      <c r="AG55" s="119">
        <f>'2021'!AK459</f>
        <v>1894</v>
      </c>
      <c r="AH55" s="119">
        <f>'2021'!AL459</f>
        <v>39</v>
      </c>
      <c r="AI55" s="106">
        <f>'2021'!AM459</f>
        <v>105.3</v>
      </c>
      <c r="AJ55" s="106">
        <f>'2021'!AN459</f>
      </c>
      <c r="AK55" s="119">
        <f>'2021'!AO459</f>
        <v>1909</v>
      </c>
      <c r="AL55" s="119">
        <f>'2021'!AP459</f>
        <v>15</v>
      </c>
      <c r="AM55" s="106">
        <f>'2021'!AQ459</f>
        <v>40.5</v>
      </c>
      <c r="AN55" s="106">
        <f>'2021'!AR459</f>
      </c>
      <c r="AO55" s="119">
        <f>'2021'!AS459</f>
        <v>1924</v>
      </c>
      <c r="AP55" s="119">
        <f>'2021'!AT459</f>
        <v>15</v>
      </c>
      <c r="AQ55" s="106">
        <f>'2021'!AU459</f>
        <v>40.5</v>
      </c>
      <c r="AR55" s="106">
        <f>'2021'!AV459</f>
      </c>
      <c r="AS55" s="119">
        <f>'2021'!AW459</f>
        <v>1967</v>
      </c>
      <c r="AT55" s="119">
        <f>'2021'!AX459</f>
        <v>43</v>
      </c>
      <c r="AU55" s="106">
        <f>'2021'!AY459</f>
        <v>116.1</v>
      </c>
      <c r="AV55" s="106">
        <f>'2021'!AZ459</f>
      </c>
      <c r="AW55" s="106"/>
      <c r="AX55" s="106">
        <f t="shared" si="0"/>
        <v>0</v>
      </c>
      <c r="AY55" s="119">
        <f>'2021'!BA459</f>
        <v>1968</v>
      </c>
      <c r="AZ55" s="119">
        <f>'2021'!BB459</f>
        <v>1</v>
      </c>
      <c r="BA55" s="106">
        <f>'2021'!BC459</f>
        <v>2.7</v>
      </c>
      <c r="BB55" s="106">
        <f>'2021'!BD459</f>
        <v>2000</v>
      </c>
      <c r="BC55" s="106"/>
      <c r="BD55" s="106">
        <f t="shared" si="1"/>
        <v>0</v>
      </c>
      <c r="BE55" s="119">
        <f>'2021'!BE459</f>
        <v>1388</v>
      </c>
      <c r="BF55" s="106">
        <f>'2021'!BF459</f>
        <v>3633</v>
      </c>
      <c r="BG55" s="106">
        <f>'2021'!BG459</f>
        <v>4000</v>
      </c>
      <c r="BH55" s="106">
        <f>'2021'!BH459</f>
        <v>-1414</v>
      </c>
      <c r="BI55" s="106">
        <f t="shared" si="2"/>
        <v>0</v>
      </c>
      <c r="BJ55" s="338">
        <f t="shared" si="3"/>
        <v>-1414</v>
      </c>
    </row>
    <row r="56" ht="15.75" customHeight="1" spans="1:62" x14ac:dyDescent="0.25">
      <c r="A56" s="14"/>
      <c r="B56" s="115">
        <v>52</v>
      </c>
      <c r="C56" s="116">
        <v>5</v>
      </c>
      <c r="D56" s="117" t="s">
        <v>206</v>
      </c>
      <c r="E56" s="119">
        <f>'2021'!I468</f>
        <v>139</v>
      </c>
      <c r="F56" s="119">
        <f>'2021'!J468</f>
        <v>0</v>
      </c>
      <c r="G56" s="106">
        <f>'2021'!K468</f>
        <v>0</v>
      </c>
      <c r="H56" s="106">
        <f>'2021'!L468</f>
      </c>
      <c r="I56" s="119">
        <f>'2021'!M468</f>
        <v>139</v>
      </c>
      <c r="J56" s="119">
        <f>'2021'!N468</f>
        <v>0</v>
      </c>
      <c r="K56" s="106">
        <f>'2021'!O468</f>
        <v>0</v>
      </c>
      <c r="L56" s="106">
        <f>'2021'!P468</f>
      </c>
      <c r="M56" s="119">
        <f>'2021'!Q468</f>
        <v>139</v>
      </c>
      <c r="N56" s="119">
        <f>'2021'!R468</f>
        <v>0</v>
      </c>
      <c r="O56" s="106">
        <f>'2021'!S468</f>
        <v>0</v>
      </c>
      <c r="P56" s="106">
        <f>'2021'!T468</f>
      </c>
      <c r="Q56" s="119">
        <f>'2021'!U468</f>
        <v>139</v>
      </c>
      <c r="R56" s="119">
        <f>'2021'!V468</f>
        <v>0</v>
      </c>
      <c r="S56" s="106">
        <f>'2021'!W468</f>
        <v>0</v>
      </c>
      <c r="T56" s="106">
        <f>'2021'!X468</f>
      </c>
      <c r="U56" s="119">
        <f>'2021'!Y468</f>
        <v>147</v>
      </c>
      <c r="V56" s="119">
        <f>'2021'!Z468</f>
        <v>8</v>
      </c>
      <c r="W56" s="106">
        <f>'2021'!AA468</f>
        <v>20.8</v>
      </c>
      <c r="X56" s="106">
        <f>'2021'!AB468</f>
      </c>
      <c r="Y56" s="119">
        <f>'2021'!AC468</f>
        <v>157</v>
      </c>
      <c r="Z56" s="119">
        <f>'2021'!AD468</f>
        <v>10</v>
      </c>
      <c r="AA56" s="106">
        <f>'2021'!AE468</f>
        <v>26</v>
      </c>
      <c r="AB56" s="106">
        <f>'2021'!AF468</f>
        <v>200</v>
      </c>
      <c r="AC56" s="119">
        <f>'2021'!AG468</f>
        <v>162</v>
      </c>
      <c r="AD56" s="119">
        <f>'2021'!AH468</f>
        <v>5</v>
      </c>
      <c r="AE56" s="106">
        <f>'2021'!AI468</f>
        <v>13.5</v>
      </c>
      <c r="AF56" s="106">
        <f>'2021'!AJ468</f>
      </c>
      <c r="AG56" s="119">
        <f>'2021'!AK468</f>
        <v>171</v>
      </c>
      <c r="AH56" s="119">
        <f>'2021'!AL468</f>
        <v>9</v>
      </c>
      <c r="AI56" s="106">
        <f>'2021'!AM468</f>
        <v>24.3</v>
      </c>
      <c r="AJ56" s="106">
        <f>'2021'!AN468</f>
      </c>
      <c r="AK56" s="119">
        <f>'2021'!AO468</f>
        <v>178</v>
      </c>
      <c r="AL56" s="119">
        <f>'2021'!AP468</f>
        <v>7</v>
      </c>
      <c r="AM56" s="106">
        <f>'2021'!AQ468</f>
        <v>18.9</v>
      </c>
      <c r="AN56" s="106">
        <f>'2021'!AR468</f>
      </c>
      <c r="AO56" s="119">
        <f>'2021'!AS468</f>
        <v>180</v>
      </c>
      <c r="AP56" s="119">
        <f>'2021'!AT468</f>
        <v>2</v>
      </c>
      <c r="AQ56" s="106">
        <f>'2021'!AU468</f>
        <v>5.4</v>
      </c>
      <c r="AR56" s="106">
        <f>'2021'!AV468</f>
      </c>
      <c r="AS56" s="119">
        <f>'2021'!AW468</f>
        <v>180</v>
      </c>
      <c r="AT56" s="119">
        <f>'2021'!AX468</f>
        <v>0</v>
      </c>
      <c r="AU56" s="106">
        <f>'2021'!AY468</f>
        <v>0</v>
      </c>
      <c r="AV56" s="106">
        <f>'2021'!AZ468</f>
      </c>
      <c r="AW56" s="106"/>
      <c r="AX56" s="106">
        <f t="shared" si="0"/>
        <v>0</v>
      </c>
      <c r="AY56" s="119">
        <f>'2021'!BA468</f>
        <v>180</v>
      </c>
      <c r="AZ56" s="119">
        <f>'2021'!BB468</f>
        <v>0</v>
      </c>
      <c r="BA56" s="106">
        <f>'2021'!BC468</f>
        <v>0</v>
      </c>
      <c r="BB56" s="106">
        <f>'2021'!BD468</f>
      </c>
      <c r="BC56" s="106"/>
      <c r="BD56" s="106">
        <f t="shared" si="1"/>
        <v>0</v>
      </c>
      <c r="BE56" s="119">
        <f>'2021'!BE468</f>
        <v>41</v>
      </c>
      <c r="BF56" s="106">
        <f>'2021'!BF468</f>
        <v>108.9</v>
      </c>
      <c r="BG56" s="106">
        <f>'2021'!BG468</f>
        <v>200</v>
      </c>
      <c r="BH56" s="106">
        <f>'2021'!BH468</f>
        <v>-111.34</v>
      </c>
      <c r="BI56" s="106">
        <f t="shared" si="2"/>
        <v>0</v>
      </c>
      <c r="BJ56" s="338">
        <f t="shared" si="3"/>
        <v>-111.34</v>
      </c>
    </row>
    <row r="57" ht="15.75" customHeight="1" spans="1:62" x14ac:dyDescent="0.25">
      <c r="A57" s="14"/>
      <c r="B57" s="125">
        <v>53</v>
      </c>
      <c r="C57" s="115">
        <v>5.05</v>
      </c>
      <c r="D57" s="117" t="s">
        <v>210</v>
      </c>
      <c r="E57" s="119">
        <f>'2021'!I477</f>
        <v>14504</v>
      </c>
      <c r="F57" s="119">
        <f>'2021'!J477</f>
        <v>2651</v>
      </c>
      <c r="G57" s="106">
        <f>'2021'!K477</f>
        <v>6892.6</v>
      </c>
      <c r="H57" s="106">
        <f>'2021'!L477</f>
        <v>10000</v>
      </c>
      <c r="I57" s="119">
        <f>'2021'!M477</f>
        <v>16183</v>
      </c>
      <c r="J57" s="119">
        <f>'2021'!N477</f>
        <v>1679</v>
      </c>
      <c r="K57" s="106">
        <f>'2021'!O477</f>
        <v>4365.4</v>
      </c>
      <c r="L57" s="106">
        <f>'2021'!P477</f>
      </c>
      <c r="M57" s="119">
        <f>'2021'!Q477</f>
        <v>16779</v>
      </c>
      <c r="N57" s="119">
        <f>'2021'!R477</f>
        <v>596</v>
      </c>
      <c r="O57" s="106">
        <f>'2021'!S477</f>
        <v>1549.6</v>
      </c>
      <c r="P57" s="106">
        <f>'2021'!T477</f>
        <v>5000</v>
      </c>
      <c r="Q57" s="119">
        <f>'2021'!U477</f>
        <v>17173</v>
      </c>
      <c r="R57" s="119">
        <f>'2021'!V477</f>
        <v>394</v>
      </c>
      <c r="S57" s="106">
        <f>'2021'!W477</f>
        <v>1024.4</v>
      </c>
      <c r="T57" s="106">
        <f>'2021'!X477</f>
        <v>1800</v>
      </c>
      <c r="U57" s="119">
        <f>'2021'!Y477</f>
        <v>17547</v>
      </c>
      <c r="V57" s="119">
        <f>'2021'!Z477</f>
        <v>374</v>
      </c>
      <c r="W57" s="106">
        <f>'2021'!AA477</f>
        <v>972.4</v>
      </c>
      <c r="X57" s="106">
        <f>'2021'!AB477</f>
        <v>1000</v>
      </c>
      <c r="Y57" s="119">
        <f>'2021'!AC477</f>
        <v>17918</v>
      </c>
      <c r="Z57" s="119">
        <f>'2021'!AD477</f>
        <v>371</v>
      </c>
      <c r="AA57" s="106">
        <f>'2021'!AE477</f>
        <v>964.6</v>
      </c>
      <c r="AB57" s="106">
        <f>'2021'!AF477</f>
        <v>1000</v>
      </c>
      <c r="AC57" s="119">
        <f>'2021'!AG477</f>
        <v>18297</v>
      </c>
      <c r="AD57" s="119">
        <f>'2021'!AH477</f>
        <v>379</v>
      </c>
      <c r="AE57" s="106">
        <f>'2021'!AI477</f>
        <v>1023.3</v>
      </c>
      <c r="AF57" s="106">
        <f>'2021'!AJ477</f>
      </c>
      <c r="AG57" s="119">
        <f>'2021'!AK477</f>
        <v>18651</v>
      </c>
      <c r="AH57" s="119">
        <f>'2021'!AL477</f>
        <v>354</v>
      </c>
      <c r="AI57" s="106">
        <f>'2021'!AM477</f>
        <v>955.8</v>
      </c>
      <c r="AJ57" s="106">
        <f>'2021'!AN477</f>
      </c>
      <c r="AK57" s="119">
        <f>'2021'!AO477</f>
        <v>19190</v>
      </c>
      <c r="AL57" s="119">
        <f>'2021'!AP477</f>
        <v>539</v>
      </c>
      <c r="AM57" s="106">
        <f>'2021'!AQ477</f>
        <v>1455.3</v>
      </c>
      <c r="AN57" s="106">
        <f>'2021'!AR477</f>
        <v>2000</v>
      </c>
      <c r="AO57" s="119">
        <f>'2021'!AS477</f>
        <v>19826</v>
      </c>
      <c r="AP57" s="119">
        <f>'2021'!AT477</f>
        <v>636</v>
      </c>
      <c r="AQ57" s="106">
        <f>'2021'!AU477</f>
        <v>1717.2</v>
      </c>
      <c r="AR57" s="106">
        <f>'2021'!AV477</f>
      </c>
      <c r="AS57" s="126">
        <f>'2021'!AW477</f>
        <v>21954</v>
      </c>
      <c r="AT57" s="119">
        <f>'2021'!AX477</f>
        <v>2128</v>
      </c>
      <c r="AU57" s="106">
        <f>'2021'!AY477</f>
        <v>5745.6</v>
      </c>
      <c r="AV57" s="106">
        <f>'2021'!AZ477</f>
      </c>
      <c r="AW57" s="119"/>
      <c r="AX57" s="106">
        <f t="shared" si="0"/>
        <v>0</v>
      </c>
      <c r="AY57" s="119">
        <f>'2021'!BA477</f>
        <v>23857</v>
      </c>
      <c r="AZ57" s="119">
        <f>'2021'!BB477</f>
        <v>1903</v>
      </c>
      <c r="BA57" s="106">
        <f>'2021'!BC477</f>
        <v>5138.1</v>
      </c>
      <c r="BB57" s="106">
        <f>'2021'!BD477</f>
        <v>12000</v>
      </c>
      <c r="BC57" s="106"/>
      <c r="BD57" s="106">
        <f t="shared" si="1"/>
        <v>0</v>
      </c>
      <c r="BE57" s="119">
        <f>'2021'!BE477</f>
        <v>12004</v>
      </c>
      <c r="BF57" s="106">
        <f>'2021'!BF477</f>
        <v>31804.3</v>
      </c>
      <c r="BG57" s="106">
        <f>'2021'!BG477</f>
        <v>32800</v>
      </c>
      <c r="BH57" s="106">
        <f>'2021'!BH477</f>
        <v>1730.53</v>
      </c>
      <c r="BI57" s="106">
        <f t="shared" si="2"/>
        <v>0</v>
      </c>
      <c r="BJ57" s="338">
        <f t="shared" si="3"/>
        <v>1730.53</v>
      </c>
    </row>
    <row r="58" ht="15.75" customHeight="1" spans="1:62" x14ac:dyDescent="0.25">
      <c r="A58" s="14"/>
      <c r="B58" s="125">
        <v>54</v>
      </c>
      <c r="C58" s="115">
        <v>5.54</v>
      </c>
      <c r="D58" s="117" t="s">
        <v>212</v>
      </c>
      <c r="E58" s="119">
        <f>'2021'!I486</f>
        <v>346</v>
      </c>
      <c r="F58" s="119">
        <f>'2021'!J486</f>
        <v>0</v>
      </c>
      <c r="G58" s="106">
        <f>'2021'!K486</f>
        <v>0</v>
      </c>
      <c r="H58" s="106">
        <f>'2021'!L486</f>
      </c>
      <c r="I58" s="119">
        <f>'2021'!M486</f>
        <v>346</v>
      </c>
      <c r="J58" s="119">
        <f>'2021'!N486</f>
        <v>0</v>
      </c>
      <c r="K58" s="106">
        <f>'2021'!O486</f>
        <v>0</v>
      </c>
      <c r="L58" s="106">
        <f>'2021'!P486</f>
      </c>
      <c r="M58" s="119">
        <f>'2021'!Q486</f>
        <v>346</v>
      </c>
      <c r="N58" s="119">
        <f>'2021'!R486</f>
        <v>0</v>
      </c>
      <c r="O58" s="106">
        <f>'2021'!S486</f>
        <v>0</v>
      </c>
      <c r="P58" s="106">
        <f>'2021'!T486</f>
      </c>
      <c r="Q58" s="119">
        <f>'2021'!U486</f>
        <v>374</v>
      </c>
      <c r="R58" s="119">
        <f>'2021'!V486</f>
        <v>28</v>
      </c>
      <c r="S58" s="106">
        <f>'2021'!W486</f>
        <v>72.8</v>
      </c>
      <c r="T58" s="106">
        <f>'2021'!X486</f>
      </c>
      <c r="U58" s="119">
        <f>'2021'!Y486</f>
        <v>401</v>
      </c>
      <c r="V58" s="119">
        <f>'2021'!Z486</f>
        <v>27</v>
      </c>
      <c r="W58" s="106">
        <f>'2021'!AA486</f>
        <v>70.2</v>
      </c>
      <c r="X58" s="106">
        <f>'2021'!AB486</f>
      </c>
      <c r="Y58" s="119">
        <f>'2021'!AC486</f>
        <v>409</v>
      </c>
      <c r="Z58" s="119">
        <f>'2021'!AD486</f>
        <v>8</v>
      </c>
      <c r="AA58" s="106">
        <f>'2021'!AE486</f>
        <v>20.8</v>
      </c>
      <c r="AB58" s="106">
        <f>'2021'!AF486</f>
        <v>265.44</v>
      </c>
      <c r="AC58" s="119">
        <f>'2021'!AG486</f>
        <v>420</v>
      </c>
      <c r="AD58" s="119">
        <f>'2021'!AH486</f>
        <v>11</v>
      </c>
      <c r="AE58" s="106">
        <f>'2021'!AI486</f>
        <v>29.7</v>
      </c>
      <c r="AF58" s="106">
        <f>'2021'!AJ486</f>
      </c>
      <c r="AG58" s="119">
        <f>'2021'!AK486</f>
        <v>436</v>
      </c>
      <c r="AH58" s="119">
        <f>'2021'!AL486</f>
        <v>16</v>
      </c>
      <c r="AI58" s="106">
        <f>'2021'!AM486</f>
        <v>43.2</v>
      </c>
      <c r="AJ58" s="106">
        <f>'2021'!AN486</f>
      </c>
      <c r="AK58" s="119">
        <f>'2021'!AO486</f>
        <v>442</v>
      </c>
      <c r="AL58" s="119">
        <f>'2021'!AP486</f>
        <v>6</v>
      </c>
      <c r="AM58" s="106">
        <f>'2021'!AQ486</f>
        <v>16.2</v>
      </c>
      <c r="AN58" s="106">
        <f>'2021'!AR486</f>
      </c>
      <c r="AO58" s="119">
        <f>'2021'!AS486</f>
        <v>449</v>
      </c>
      <c r="AP58" s="119">
        <f>'2021'!AT486</f>
        <v>7</v>
      </c>
      <c r="AQ58" s="106">
        <f>'2021'!AU486</f>
        <v>18.9</v>
      </c>
      <c r="AR58" s="106">
        <f>'2021'!AV486</f>
      </c>
      <c r="AS58" s="119">
        <f>'2021'!AW486</f>
        <v>463</v>
      </c>
      <c r="AT58" s="119">
        <f>'2021'!AX486</f>
        <v>14</v>
      </c>
      <c r="AU58" s="106">
        <f>'2021'!AY486</f>
        <v>37.8</v>
      </c>
      <c r="AV58" s="106">
        <f>'2021'!AZ486</f>
      </c>
      <c r="AW58" s="106"/>
      <c r="AX58" s="106">
        <f t="shared" si="0"/>
        <v>0</v>
      </c>
      <c r="AY58" s="119">
        <f>'2021'!BA486</f>
        <v>487</v>
      </c>
      <c r="AZ58" s="119">
        <f>'2021'!BB486</f>
        <v>24</v>
      </c>
      <c r="BA58" s="106">
        <f>'2021'!BC486</f>
        <v>64.8</v>
      </c>
      <c r="BB58" s="106">
        <f>'2021'!BD486</f>
      </c>
      <c r="BC58" s="106"/>
      <c r="BD58" s="106">
        <f t="shared" si="1"/>
        <v>0</v>
      </c>
      <c r="BE58" s="119">
        <f>'2021'!BE486</f>
        <v>141</v>
      </c>
      <c r="BF58" s="106">
        <f>'2021'!BF486</f>
        <v>374.4</v>
      </c>
      <c r="BG58" s="106">
        <f>'2021'!BG486</f>
        <v>265.44</v>
      </c>
      <c r="BH58" s="106">
        <f>'2021'!BH486</f>
        <v>210.6</v>
      </c>
      <c r="BI58" s="106">
        <f t="shared" si="2"/>
        <v>0</v>
      </c>
      <c r="BJ58" s="338">
        <f t="shared" si="3"/>
        <v>210.6</v>
      </c>
    </row>
    <row r="59" ht="15.75" customHeight="1" spans="1:62" x14ac:dyDescent="0.25">
      <c r="A59" s="21"/>
      <c r="B59" s="118">
        <v>55</v>
      </c>
      <c r="C59" s="116">
        <v>5.5</v>
      </c>
      <c r="D59" s="117" t="s">
        <v>214</v>
      </c>
      <c r="E59" s="119">
        <f>'2021'!I495</f>
        <v>536</v>
      </c>
      <c r="F59" s="119">
        <f>'2021'!J495</f>
        <v>0</v>
      </c>
      <c r="G59" s="106">
        <f>'2021'!K495</f>
        <v>0</v>
      </c>
      <c r="H59" s="106">
        <f>'2021'!L495</f>
      </c>
      <c r="I59" s="119">
        <f>'2021'!M495</f>
        <v>536</v>
      </c>
      <c r="J59" s="119">
        <f>'2021'!N495</f>
        <v>0</v>
      </c>
      <c r="K59" s="106">
        <f>'2021'!O495</f>
        <v>0</v>
      </c>
      <c r="L59" s="106">
        <f>'2021'!P495</f>
      </c>
      <c r="M59" s="119">
        <f>'2021'!Q495</f>
        <v>536</v>
      </c>
      <c r="N59" s="119">
        <f>'2021'!R495</f>
        <v>0</v>
      </c>
      <c r="O59" s="106">
        <f>'2021'!S495</f>
        <v>0</v>
      </c>
      <c r="P59" s="106">
        <f>'2021'!T495</f>
      </c>
      <c r="Q59" s="119">
        <f>'2021'!U495</f>
        <v>536</v>
      </c>
      <c r="R59" s="119">
        <f>'2021'!V495</f>
        <v>0</v>
      </c>
      <c r="S59" s="106">
        <f>'2021'!W495</f>
        <v>0</v>
      </c>
      <c r="T59" s="106">
        <f>'2021'!X495</f>
      </c>
      <c r="U59" s="119">
        <f>'2021'!Y495</f>
        <v>586</v>
      </c>
      <c r="V59" s="119">
        <f>'2021'!Z495</f>
        <v>50</v>
      </c>
      <c r="W59" s="106">
        <f>'2021'!AA495</f>
        <v>130</v>
      </c>
      <c r="X59" s="106">
        <f>'2021'!AB495</f>
      </c>
      <c r="Y59" s="119">
        <f>'2021'!AC495</f>
        <v>591</v>
      </c>
      <c r="Z59" s="119">
        <f>'2021'!AD495</f>
        <v>5</v>
      </c>
      <c r="AA59" s="106">
        <f>'2021'!AE495</f>
        <v>13</v>
      </c>
      <c r="AB59" s="106">
        <f>'2021'!AF495</f>
        <v>251.98</v>
      </c>
      <c r="AC59" s="119">
        <f>'2021'!AG495</f>
        <v>616</v>
      </c>
      <c r="AD59" s="119">
        <f>'2021'!AH495</f>
        <v>25</v>
      </c>
      <c r="AE59" s="106">
        <f>'2021'!AI495</f>
        <v>67.5</v>
      </c>
      <c r="AF59" s="106">
        <f>'2021'!AJ495</f>
        <v>28.5</v>
      </c>
      <c r="AG59" s="119">
        <f>'2021'!AK495</f>
        <v>617</v>
      </c>
      <c r="AH59" s="119">
        <f>'2021'!AL495</f>
        <v>1</v>
      </c>
      <c r="AI59" s="106">
        <f>'2021'!AM495</f>
        <v>2.7</v>
      </c>
      <c r="AJ59" s="106">
        <f>'2021'!AN495</f>
      </c>
      <c r="AK59" s="119">
        <f>'2021'!AO495</f>
        <v>617</v>
      </c>
      <c r="AL59" s="119">
        <f>'2021'!AP495</f>
        <v>0</v>
      </c>
      <c r="AM59" s="106">
        <f>'2021'!AQ495</f>
        <v>0</v>
      </c>
      <c r="AN59" s="106">
        <f>'2021'!AR495</f>
      </c>
      <c r="AO59" s="119">
        <f>'2021'!AS495</f>
        <v>617</v>
      </c>
      <c r="AP59" s="119">
        <f>'2021'!AT495</f>
        <v>0</v>
      </c>
      <c r="AQ59" s="106">
        <f>'2021'!AU495</f>
        <v>0</v>
      </c>
      <c r="AR59" s="106">
        <f>'2021'!AV495</f>
      </c>
      <c r="AS59" s="126">
        <f>'2021'!AW495</f>
        <v>617</v>
      </c>
      <c r="AT59" s="119">
        <f>'2021'!AX495</f>
        <v>0</v>
      </c>
      <c r="AU59" s="106">
        <f>'2021'!AY495</f>
        <v>0</v>
      </c>
      <c r="AV59" s="106">
        <f>'2021'!AZ495</f>
      </c>
      <c r="AW59" s="106"/>
      <c r="AX59" s="106">
        <f t="shared" si="0"/>
        <v>0</v>
      </c>
      <c r="AY59" s="119">
        <f>'2021'!BA495</f>
        <v>617</v>
      </c>
      <c r="AZ59" s="119">
        <f>'2021'!BB495</f>
        <v>0</v>
      </c>
      <c r="BA59" s="106">
        <f>'2021'!BC495</f>
        <v>0</v>
      </c>
      <c r="BB59" s="106">
        <f>'2021'!BD495</f>
      </c>
      <c r="BC59" s="106"/>
      <c r="BD59" s="106">
        <f t="shared" si="1"/>
        <v>0</v>
      </c>
      <c r="BE59" s="119">
        <f>'2021'!BE495</f>
        <v>81</v>
      </c>
      <c r="BF59" s="106">
        <f>'2021'!BF495</f>
        <v>213.2</v>
      </c>
      <c r="BG59" s="106">
        <f>'2021'!BG495</f>
        <v>280.48</v>
      </c>
      <c r="BH59" s="106">
        <f>'2021'!BH495</f>
        <v>2.7</v>
      </c>
      <c r="BI59" s="106">
        <f t="shared" si="2"/>
        <v>0</v>
      </c>
      <c r="BJ59" s="338">
        <f t="shared" si="3"/>
        <v>2.7</v>
      </c>
    </row>
    <row r="60" ht="15.75" customHeight="1" spans="1:62" x14ac:dyDescent="0.25">
      <c r="A60" s="114" t="s">
        <v>217</v>
      </c>
      <c r="B60" s="125">
        <v>56</v>
      </c>
      <c r="C60" s="115">
        <v>6.23</v>
      </c>
      <c r="D60" s="117" t="s">
        <v>423</v>
      </c>
      <c r="E60" s="119">
        <f>'2021'!I504</f>
        <v>17141</v>
      </c>
      <c r="F60" s="119">
        <f>'2021'!J504</f>
        <v>782</v>
      </c>
      <c r="G60" s="106">
        <f>'2021'!K504</f>
        <v>2033.2</v>
      </c>
      <c r="H60" s="106">
        <f>'2021'!L504</f>
      </c>
      <c r="I60" s="119">
        <f>'2021'!M504</f>
        <v>18081</v>
      </c>
      <c r="J60" s="119">
        <f>'2021'!N504</f>
        <v>940</v>
      </c>
      <c r="K60" s="106">
        <f>'2021'!O504</f>
        <v>2444</v>
      </c>
      <c r="L60" s="106">
        <f>'2021'!P504</f>
        <v>2033.2</v>
      </c>
      <c r="M60" s="119">
        <f>'2021'!Q504</f>
        <v>20444</v>
      </c>
      <c r="N60" s="119">
        <f>'2021'!R504</f>
        <v>2363</v>
      </c>
      <c r="O60" s="106">
        <f>'2021'!S504</f>
        <v>6143.8</v>
      </c>
      <c r="P60" s="106">
        <f>'2021'!T504</f>
        <v>2444</v>
      </c>
      <c r="Q60" s="119">
        <f>'2021'!U504</f>
        <v>22986</v>
      </c>
      <c r="R60" s="119">
        <f>'2021'!V504</f>
        <v>2542</v>
      </c>
      <c r="S60" s="106">
        <f>'2021'!W504</f>
        <v>6609.2</v>
      </c>
      <c r="T60" s="106">
        <f>'2021'!X504</f>
      </c>
      <c r="U60" s="119">
        <f>'2021'!Y504</f>
        <v>23859</v>
      </c>
      <c r="V60" s="119">
        <f>'2021'!Z504</f>
        <v>873</v>
      </c>
      <c r="W60" s="106">
        <f>'2021'!AA504</f>
        <v>2269.8</v>
      </c>
      <c r="X60" s="106">
        <f>'2021'!AB504</f>
      </c>
      <c r="Y60" s="119">
        <f>'2021'!AC504</f>
        <v>24272</v>
      </c>
      <c r="Z60" s="119">
        <f>'2021'!AD504</f>
        <v>413</v>
      </c>
      <c r="AA60" s="106">
        <f>'2021'!AE504</f>
        <v>1073.8</v>
      </c>
      <c r="AB60" s="106">
        <f>'2021'!AF504</f>
      </c>
      <c r="AC60" s="119">
        <f>'2021'!AG504</f>
        <v>24679</v>
      </c>
      <c r="AD60" s="119">
        <f>'2021'!AH504</f>
        <v>407</v>
      </c>
      <c r="AE60" s="106">
        <f>'2021'!AI504</f>
        <v>1098.9</v>
      </c>
      <c r="AF60" s="106">
        <f>'2021'!AJ504</f>
      </c>
      <c r="AG60" s="119">
        <f>'2021'!AK504</f>
        <v>25090</v>
      </c>
      <c r="AH60" s="119">
        <f>'2021'!AL504</f>
        <v>411</v>
      </c>
      <c r="AI60" s="106">
        <f>'2021'!AM504</f>
        <v>1109.7</v>
      </c>
      <c r="AJ60" s="106">
        <f>'2021'!AN504</f>
        <v>9400</v>
      </c>
      <c r="AK60" s="119">
        <f>'2021'!AO504</f>
        <v>25796</v>
      </c>
      <c r="AL60" s="119">
        <f>'2021'!AP504</f>
        <v>706</v>
      </c>
      <c r="AM60" s="106">
        <f>'2021'!AQ504</f>
        <v>1906.2</v>
      </c>
      <c r="AN60" s="106">
        <f>'2021'!AR504</f>
        <v>9000</v>
      </c>
      <c r="AO60" s="119">
        <f>'2021'!AS504</f>
        <v>27340</v>
      </c>
      <c r="AP60" s="119">
        <f>'2021'!AT504</f>
        <v>1544</v>
      </c>
      <c r="AQ60" s="106">
        <f>'2021'!AU504</f>
        <v>4168.8</v>
      </c>
      <c r="AR60" s="106">
        <f>'2021'!AV504</f>
      </c>
      <c r="AS60" s="126">
        <f>'2021'!AW504</f>
        <v>28090</v>
      </c>
      <c r="AT60" s="119">
        <f>'2021'!AX504</f>
        <v>750</v>
      </c>
      <c r="AU60" s="106">
        <f>'2021'!AY504</f>
        <v>2025</v>
      </c>
      <c r="AV60" s="106">
        <f>'2021'!AZ504</f>
      </c>
      <c r="AW60" s="106"/>
      <c r="AX60" s="106">
        <f t="shared" si="0"/>
        <v>0</v>
      </c>
      <c r="AY60" s="119">
        <f>'2021'!BA504</f>
        <v>28597</v>
      </c>
      <c r="AZ60" s="119">
        <f>'2021'!BB504</f>
        <v>507</v>
      </c>
      <c r="BA60" s="106">
        <f>'2021'!BC504</f>
        <v>1368.9</v>
      </c>
      <c r="BB60" s="106">
        <f>'2021'!BD504</f>
        <v>9374.1</v>
      </c>
      <c r="BC60" s="106"/>
      <c r="BD60" s="106">
        <f t="shared" si="1"/>
        <v>0</v>
      </c>
      <c r="BE60" s="119">
        <f>'2021'!BE504</f>
        <v>12238</v>
      </c>
      <c r="BF60" s="106">
        <f>'2021'!BF504</f>
        <v>32251.3</v>
      </c>
      <c r="BG60" s="106">
        <f>'2021'!BG504</f>
        <v>32251.3</v>
      </c>
      <c r="BH60" s="106">
        <f>'2021'!BH504</f>
        <v>0</v>
      </c>
      <c r="BI60" s="106">
        <f t="shared" si="2"/>
        <v>0</v>
      </c>
      <c r="BJ60" s="338">
        <f t="shared" si="3"/>
        <v>0</v>
      </c>
    </row>
    <row r="61" ht="15.75" customHeight="1" spans="1:62" x14ac:dyDescent="0.25">
      <c r="A61" s="14"/>
      <c r="B61" s="125">
        <v>57</v>
      </c>
      <c r="C61" s="116">
        <v>4</v>
      </c>
      <c r="D61" s="2" t="s">
        <v>502</v>
      </c>
      <c r="E61" s="119">
        <f>'2021'!I513</f>
        <v>495</v>
      </c>
      <c r="F61" s="119">
        <f>'2021'!J513</f>
        <v>0</v>
      </c>
      <c r="G61" s="106">
        <f>'2021'!K513</f>
        <v>0</v>
      </c>
      <c r="H61" s="106">
        <f>'2021'!L513</f>
      </c>
      <c r="I61" s="119">
        <f>'2021'!M513</f>
        <v>495</v>
      </c>
      <c r="J61" s="119">
        <f>'2021'!N513</f>
        <v>0</v>
      </c>
      <c r="K61" s="106">
        <f>'2021'!O513</f>
        <v>0</v>
      </c>
      <c r="L61" s="106">
        <f>'2021'!P513</f>
      </c>
      <c r="M61" s="119">
        <f>'2021'!Q513</f>
        <v>495</v>
      </c>
      <c r="N61" s="119">
        <f>'2021'!R513</f>
        <v>0</v>
      </c>
      <c r="O61" s="106">
        <f>'2021'!S513</f>
        <v>0</v>
      </c>
      <c r="P61" s="106">
        <f>'2021'!T513</f>
      </c>
      <c r="Q61" s="119">
        <f>'2021'!U513</f>
        <v>495</v>
      </c>
      <c r="R61" s="119">
        <f>'2021'!V513</f>
        <v>0</v>
      </c>
      <c r="S61" s="106">
        <f>'2021'!W513</f>
        <v>0</v>
      </c>
      <c r="T61" s="106">
        <f>'2021'!X513</f>
      </c>
      <c r="U61" s="119">
        <f>'2021'!Y513</f>
        <v>560</v>
      </c>
      <c r="V61" s="119">
        <f>'2021'!Z513</f>
        <v>65</v>
      </c>
      <c r="W61" s="106">
        <f>'2021'!AA513</f>
        <v>169</v>
      </c>
      <c r="X61" s="106">
        <f>'2021'!AB513</f>
        <v>86.66</v>
      </c>
      <c r="Y61" s="119">
        <f>'2021'!AC513</f>
        <v>606</v>
      </c>
      <c r="Z61" s="119">
        <f>'2021'!AD513</f>
        <v>46</v>
      </c>
      <c r="AA61" s="106">
        <f>'2021'!AE513</f>
        <v>119.6</v>
      </c>
      <c r="AB61" s="106">
        <f>'2021'!AF513</f>
      </c>
      <c r="AC61" s="119">
        <f>'2021'!AG513</f>
        <v>617</v>
      </c>
      <c r="AD61" s="119">
        <f>'2021'!AH513</f>
        <v>11</v>
      </c>
      <c r="AE61" s="106">
        <f>'2021'!AI513</f>
        <v>29.7</v>
      </c>
      <c r="AF61" s="106">
        <f>'2021'!AJ513</f>
      </c>
      <c r="AG61" s="119">
        <f>'2021'!AK513</f>
        <v>649</v>
      </c>
      <c r="AH61" s="119">
        <f>'2021'!AL513</f>
        <v>32</v>
      </c>
      <c r="AI61" s="106">
        <f>'2021'!AM513</f>
        <v>86.4</v>
      </c>
      <c r="AJ61" s="106">
        <f>'2021'!AN513</f>
      </c>
      <c r="AK61" s="119">
        <f>'2021'!AO513</f>
        <v>684</v>
      </c>
      <c r="AL61" s="119">
        <f>'2021'!AP513</f>
        <v>35</v>
      </c>
      <c r="AM61" s="106">
        <f>'2021'!AQ513</f>
        <v>94.5</v>
      </c>
      <c r="AN61" s="106">
        <f>'2021'!AR513</f>
      </c>
      <c r="AO61" s="119">
        <f>'2021'!AS513</f>
        <v>707</v>
      </c>
      <c r="AP61" s="119">
        <f>'2021'!AT513</f>
        <v>23</v>
      </c>
      <c r="AQ61" s="106">
        <f>'2021'!AU513</f>
        <v>62.1</v>
      </c>
      <c r="AR61" s="106">
        <f>'2021'!AV513</f>
      </c>
      <c r="AS61" s="119">
        <f>'2021'!AW513</f>
        <v>716</v>
      </c>
      <c r="AT61" s="119">
        <f>'2021'!AX513</f>
        <v>9</v>
      </c>
      <c r="AU61" s="106">
        <f>'2021'!AY513</f>
        <v>24.3</v>
      </c>
      <c r="AV61" s="106">
        <f>'2021'!AZ513</f>
        <v>561.3</v>
      </c>
      <c r="AW61" s="106"/>
      <c r="AX61" s="106">
        <f t="shared" si="0"/>
        <v>0</v>
      </c>
      <c r="AY61" s="119">
        <f>'2021'!BA513</f>
        <v>718</v>
      </c>
      <c r="AZ61" s="119">
        <f>'2021'!BB513</f>
        <v>2</v>
      </c>
      <c r="BA61" s="106">
        <f>'2021'!BC513</f>
        <v>5.4</v>
      </c>
      <c r="BB61" s="106">
        <f>'2021'!BD513</f>
      </c>
      <c r="BC61" s="106"/>
      <c r="BD61" s="106">
        <f t="shared" si="1"/>
        <v>0</v>
      </c>
      <c r="BE61" s="119">
        <f>'2021'!BE513</f>
        <v>223</v>
      </c>
      <c r="BF61" s="106">
        <f>'2021'!BF513</f>
        <v>591</v>
      </c>
      <c r="BG61" s="106">
        <f>'2021'!BG513</f>
        <v>647.96</v>
      </c>
      <c r="BH61" s="106">
        <f>'2021'!BH513</f>
        <v>29.7</v>
      </c>
      <c r="BI61" s="106">
        <f t="shared" si="2"/>
        <v>0</v>
      </c>
      <c r="BJ61" s="338">
        <f t="shared" si="3"/>
        <v>29.7</v>
      </c>
    </row>
    <row r="62" ht="15.75" customHeight="1" spans="1:62" x14ac:dyDescent="0.25">
      <c r="A62" s="14"/>
      <c r="B62" s="115">
        <v>59</v>
      </c>
      <c r="C62" s="116">
        <v>4</v>
      </c>
      <c r="D62" s="117" t="s">
        <v>221</v>
      </c>
      <c r="E62" s="119">
        <f>'2021'!I522</f>
        <v>0</v>
      </c>
      <c r="F62" s="119">
        <f>'2021'!J522</f>
        <v>0</v>
      </c>
      <c r="G62" s="106">
        <f>'2021'!K522</f>
        <v>0</v>
      </c>
      <c r="H62" s="106">
        <f>'2021'!L522</f>
      </c>
      <c r="I62" s="119">
        <f>'2021'!M522</f>
        <v>0</v>
      </c>
      <c r="J62" s="119">
        <f>'2021'!N522</f>
        <v>0</v>
      </c>
      <c r="K62" s="106">
        <f>'2021'!O522</f>
        <v>0</v>
      </c>
      <c r="L62" s="106">
        <f>'2021'!P522</f>
      </c>
      <c r="M62" s="119">
        <f>'2021'!Q522</f>
        <v>0</v>
      </c>
      <c r="N62" s="119">
        <f>'2021'!R522</f>
        <v>0</v>
      </c>
      <c r="O62" s="106">
        <f>'2021'!S522</f>
        <v>0</v>
      </c>
      <c r="P62" s="106">
        <f>'2021'!T522</f>
      </c>
      <c r="Q62" s="119">
        <f>'2021'!U522</f>
        <v>0</v>
      </c>
      <c r="R62" s="119">
        <f>'2021'!V522</f>
        <v>0</v>
      </c>
      <c r="S62" s="106">
        <f>'2021'!W522</f>
        <v>0</v>
      </c>
      <c r="T62" s="106">
        <f>'2021'!X522</f>
      </c>
      <c r="U62" s="119">
        <f>'2021'!Y522</f>
      </c>
      <c r="V62" s="119">
        <f>'2021'!Z522</f>
        <v>0</v>
      </c>
      <c r="W62" s="106">
        <f>'2021'!AA522</f>
        <v>0</v>
      </c>
      <c r="X62" s="106">
        <f>'2021'!AB522</f>
      </c>
      <c r="Y62" s="119">
        <f>'2021'!AC522</f>
      </c>
      <c r="Z62" s="119">
        <f>'2021'!AD522</f>
        <v>0</v>
      </c>
      <c r="AA62" s="106">
        <f>'2021'!AE522</f>
        <v>0</v>
      </c>
      <c r="AB62" s="106">
        <f>'2021'!AF522</f>
      </c>
      <c r="AC62" s="119">
        <f>'2021'!AG522</f>
      </c>
      <c r="AD62" s="119">
        <f>'2021'!AH522</f>
        <v>0</v>
      </c>
      <c r="AE62" s="106">
        <f>'2021'!AI522</f>
        <v>0</v>
      </c>
      <c r="AF62" s="106">
        <f>'2021'!AJ522</f>
      </c>
      <c r="AG62" s="119">
        <f>'2021'!AK522</f>
        <v>5</v>
      </c>
      <c r="AH62" s="119">
        <f>'2021'!AL522</f>
        <v>5</v>
      </c>
      <c r="AI62" s="106">
        <f>'2021'!AM522</f>
        <v>13.5</v>
      </c>
      <c r="AJ62" s="106">
        <f>'2021'!AN522</f>
      </c>
      <c r="AK62" s="119">
        <f>'2021'!AO522</f>
        <v>21</v>
      </c>
      <c r="AL62" s="119">
        <f>'2021'!AP522</f>
        <v>16</v>
      </c>
      <c r="AM62" s="106">
        <f>'2021'!AQ522</f>
        <v>43.2</v>
      </c>
      <c r="AN62" s="106">
        <f>'2021'!AR522</f>
      </c>
      <c r="AO62" s="119">
        <f>'2021'!AS522</f>
        <v>949</v>
      </c>
      <c r="AP62" s="119">
        <f>'2021'!AT522</f>
        <v>928</v>
      </c>
      <c r="AQ62" s="106">
        <f>'2021'!AU522</f>
        <v>2505.6</v>
      </c>
      <c r="AR62" s="106">
        <f>'2021'!AV522</f>
      </c>
      <c r="AS62" s="119">
        <f>'2021'!AW522</f>
        <v>2407</v>
      </c>
      <c r="AT62" s="119">
        <f>'2021'!AX522</f>
        <v>1458</v>
      </c>
      <c r="AU62" s="106">
        <f>'2021'!AY522</f>
        <v>3936.6</v>
      </c>
      <c r="AV62" s="106">
        <f>'2021'!AZ522</f>
      </c>
      <c r="AW62" s="106"/>
      <c r="AX62" s="106">
        <f t="shared" si="0"/>
        <v>0</v>
      </c>
      <c r="AY62" s="119">
        <f>'2021'!BA522</f>
        <v>2407</v>
      </c>
      <c r="AZ62" s="119">
        <f>'2021'!BB522</f>
        <v>0</v>
      </c>
      <c r="BA62" s="106">
        <f>'2021'!BC522</f>
        <v>0</v>
      </c>
      <c r="BB62" s="106">
        <f>'2021'!BD522</f>
      </c>
      <c r="BC62" s="106"/>
      <c r="BD62" s="106">
        <f t="shared" si="1"/>
        <v>0</v>
      </c>
      <c r="BE62" s="119">
        <f>'2021'!BE522</f>
        <v>2407</v>
      </c>
      <c r="BF62" s="106">
        <f>'2021'!BF522</f>
        <v>6498.9</v>
      </c>
      <c r="BG62" s="106">
        <f>'2021'!BG522</f>
        <v>0</v>
      </c>
      <c r="BH62" s="106">
        <f>'2021'!BH522</f>
        <v>6498.9</v>
      </c>
      <c r="BI62" s="106">
        <f t="shared" si="2"/>
        <v>0</v>
      </c>
      <c r="BJ62" s="338">
        <f t="shared" si="3"/>
        <v>6498.9</v>
      </c>
    </row>
    <row r="63" ht="15.75" customHeight="1" spans="1:62" x14ac:dyDescent="0.25">
      <c r="A63" s="14"/>
      <c r="B63" s="125">
        <v>58</v>
      </c>
      <c r="C63" s="115">
        <v>5.08</v>
      </c>
      <c r="D63" s="117" t="s">
        <v>223</v>
      </c>
      <c r="E63" s="119">
        <f>'2021'!I531</f>
        <v>703</v>
      </c>
      <c r="F63" s="119">
        <f>'2021'!J531</f>
        <v>0</v>
      </c>
      <c r="G63" s="106">
        <f>'2021'!K531</f>
        <v>0</v>
      </c>
      <c r="H63" s="106">
        <f>'2021'!L531</f>
      </c>
      <c r="I63" s="119">
        <f>'2021'!M531</f>
        <v>717</v>
      </c>
      <c r="J63" s="119">
        <f>'2021'!N531</f>
        <v>14</v>
      </c>
      <c r="K63" s="106">
        <f>'2021'!O531</f>
        <v>36.4</v>
      </c>
      <c r="L63" s="106">
        <f>'2021'!P531</f>
      </c>
      <c r="M63" s="119">
        <f>'2021'!Q531</f>
        <v>798</v>
      </c>
      <c r="N63" s="119">
        <f>'2021'!R531</f>
        <v>81</v>
      </c>
      <c r="O63" s="106">
        <f>'2021'!S531</f>
        <v>210.6</v>
      </c>
      <c r="P63" s="106">
        <f>'2021'!T531</f>
      </c>
      <c r="Q63" s="119">
        <f>'2021'!U531</f>
        <v>863</v>
      </c>
      <c r="R63" s="119">
        <f>'2021'!V531</f>
        <v>65</v>
      </c>
      <c r="S63" s="106">
        <f>'2021'!W531</f>
        <v>169</v>
      </c>
      <c r="T63" s="106">
        <f>'2021'!X531</f>
        <v>1841.78</v>
      </c>
      <c r="U63" s="119">
        <f>'2021'!Y531</f>
        <v>1037</v>
      </c>
      <c r="V63" s="119">
        <f>'2021'!Z531</f>
        <v>174</v>
      </c>
      <c r="W63" s="106">
        <f>'2021'!AA531</f>
        <v>452.4</v>
      </c>
      <c r="X63" s="106">
        <f>'2021'!AB531</f>
      </c>
      <c r="Y63" s="119">
        <f>'2021'!AC531</f>
        <v>1135</v>
      </c>
      <c r="Z63" s="119">
        <f>'2021'!AD531</f>
        <v>98</v>
      </c>
      <c r="AA63" s="106">
        <f>'2021'!AE531</f>
        <v>254.8</v>
      </c>
      <c r="AB63" s="106">
        <f>'2021'!AF531</f>
      </c>
      <c r="AC63" s="119">
        <f>'2021'!AG531</f>
        <v>1206</v>
      </c>
      <c r="AD63" s="119">
        <f>'2021'!AH531</f>
        <v>71</v>
      </c>
      <c r="AE63" s="106">
        <f>'2021'!AI531</f>
        <v>191.7</v>
      </c>
      <c r="AF63" s="106">
        <f>'2021'!AJ531</f>
      </c>
      <c r="AG63" s="119">
        <f>'2021'!AK531</f>
        <v>1309</v>
      </c>
      <c r="AH63" s="119">
        <f>'2021'!AL531</f>
        <v>103</v>
      </c>
      <c r="AI63" s="106">
        <f>'2021'!AM531</f>
        <v>278.1</v>
      </c>
      <c r="AJ63" s="106">
        <f>'2021'!AN531</f>
        <v>547.85</v>
      </c>
      <c r="AK63" s="119">
        <f>'2021'!AO531</f>
        <v>1638</v>
      </c>
      <c r="AL63" s="119">
        <f>'2021'!AP531</f>
        <v>329</v>
      </c>
      <c r="AM63" s="106">
        <f>'2021'!AQ531</f>
        <v>888.3</v>
      </c>
      <c r="AN63" s="106">
        <f>'2021'!AR531</f>
      </c>
      <c r="AO63" s="119">
        <f>'2021'!AS531</f>
        <v>1994</v>
      </c>
      <c r="AP63" s="119">
        <f>'2021'!AT531</f>
        <v>356</v>
      </c>
      <c r="AQ63" s="106">
        <f>'2021'!AU531</f>
        <v>961.2</v>
      </c>
      <c r="AR63" s="106">
        <f>'2021'!AV531</f>
      </c>
      <c r="AS63" s="126">
        <f>'2021'!AW531</f>
        <v>2020</v>
      </c>
      <c r="AT63" s="119">
        <f>'2021'!AX531</f>
        <v>26</v>
      </c>
      <c r="AU63" s="106">
        <f>'2021'!AY531</f>
        <v>70.2</v>
      </c>
      <c r="AV63" s="106">
        <f>'2021'!AZ531</f>
      </c>
      <c r="AW63" s="119"/>
      <c r="AX63" s="106">
        <f t="shared" si="0"/>
        <v>0</v>
      </c>
      <c r="AY63" s="119">
        <f>'2021'!BA531</f>
        <v>2055</v>
      </c>
      <c r="AZ63" s="119">
        <f>'2021'!BB531</f>
        <v>35</v>
      </c>
      <c r="BA63" s="106">
        <f>'2021'!BC531</f>
        <v>94.5</v>
      </c>
      <c r="BB63" s="106">
        <f>'2021'!BD531</f>
        <v>2200</v>
      </c>
      <c r="BC63" s="106"/>
      <c r="BD63" s="106">
        <f t="shared" si="1"/>
        <v>0</v>
      </c>
      <c r="BE63" s="119">
        <f>'2021'!BE531</f>
        <v>1352</v>
      </c>
      <c r="BF63" s="106">
        <f>'2021'!BF531</f>
        <v>3607.2</v>
      </c>
      <c r="BG63" s="106">
        <f>'2021'!BG531</f>
        <v>4589.63</v>
      </c>
      <c r="BH63" s="106">
        <f>'2021'!BH531</f>
        <v>-474.54</v>
      </c>
      <c r="BI63" s="106">
        <f t="shared" si="2"/>
        <v>0</v>
      </c>
      <c r="BJ63" s="338">
        <f t="shared" si="3"/>
        <v>-474.54</v>
      </c>
    </row>
    <row r="64" ht="15.75" customHeight="1" spans="1:62" x14ac:dyDescent="0.25">
      <c r="A64" s="14"/>
      <c r="B64" s="125">
        <v>60</v>
      </c>
      <c r="C64" s="116">
        <v>4.4</v>
      </c>
      <c r="D64" s="117" t="s">
        <v>227</v>
      </c>
      <c r="E64" s="119">
        <f>'2021'!I540</f>
        <v>3290</v>
      </c>
      <c r="F64" s="119">
        <f>'2021'!J540</f>
        <v>1778</v>
      </c>
      <c r="G64" s="106">
        <f>'2021'!K540</f>
        <v>4622.8</v>
      </c>
      <c r="H64" s="106">
        <f>'2021'!L540</f>
        <v>4500</v>
      </c>
      <c r="I64" s="119">
        <f>'2021'!M540</f>
        <v>4548</v>
      </c>
      <c r="J64" s="119">
        <f>'2021'!N540</f>
        <v>1258</v>
      </c>
      <c r="K64" s="106">
        <f>'2021'!O540</f>
        <v>3270.8</v>
      </c>
      <c r="L64" s="106">
        <f>'2021'!P540</f>
        <v>3000</v>
      </c>
      <c r="M64" s="119">
        <f>'2021'!Q540</f>
        <v>5402</v>
      </c>
      <c r="N64" s="119">
        <f>'2021'!R540</f>
        <v>854</v>
      </c>
      <c r="O64" s="106">
        <f>'2021'!S540</f>
        <v>2220.4</v>
      </c>
      <c r="P64" s="106">
        <f>'2021'!T540</f>
        <v>3000</v>
      </c>
      <c r="Q64" s="119">
        <f>'2021'!U540</f>
        <v>6089</v>
      </c>
      <c r="R64" s="119">
        <f>'2021'!V540</f>
        <v>687</v>
      </c>
      <c r="S64" s="106">
        <f>'2021'!W540</f>
        <v>1786.2</v>
      </c>
      <c r="T64" s="106">
        <f>'2021'!X540</f>
      </c>
      <c r="U64" s="119">
        <f>'2021'!Y540</f>
        <v>6191</v>
      </c>
      <c r="V64" s="119">
        <f>'2021'!Z540</f>
        <v>102</v>
      </c>
      <c r="W64" s="106">
        <f>'2021'!AA540</f>
        <v>265.2</v>
      </c>
      <c r="X64" s="106">
        <f>'2021'!AB540</f>
        <v>1650</v>
      </c>
      <c r="Y64" s="119">
        <f>'2021'!AC540</f>
        <v>6337</v>
      </c>
      <c r="Z64" s="119">
        <f>'2021'!AD540</f>
        <v>146</v>
      </c>
      <c r="AA64" s="106">
        <f>'2021'!AE540</f>
        <v>379.6</v>
      </c>
      <c r="AB64" s="106">
        <f>'2021'!AF540</f>
        <v>3.22</v>
      </c>
      <c r="AC64" s="119">
        <f>'2021'!AG540</f>
        <v>6438</v>
      </c>
      <c r="AD64" s="119">
        <f>'2021'!AH540</f>
        <v>101</v>
      </c>
      <c r="AE64" s="106">
        <f>'2021'!AI540</f>
        <v>272.7</v>
      </c>
      <c r="AF64" s="106">
        <f>'2021'!AJ540</f>
        <v>300</v>
      </c>
      <c r="AG64" s="119">
        <f>'2021'!AK540</f>
        <v>6576</v>
      </c>
      <c r="AH64" s="119">
        <f>'2021'!AL540</f>
        <v>138</v>
      </c>
      <c r="AI64" s="106">
        <f>'2021'!AM540</f>
        <v>372.6</v>
      </c>
      <c r="AJ64" s="106">
        <f>'2021'!AN540</f>
        <v>400</v>
      </c>
      <c r="AK64" s="119">
        <f>'2021'!AO540</f>
        <v>6809</v>
      </c>
      <c r="AL64" s="119">
        <f>'2021'!AP540</f>
        <v>233</v>
      </c>
      <c r="AM64" s="106">
        <f>'2021'!AQ540</f>
        <v>629.1</v>
      </c>
      <c r="AN64" s="106">
        <f>'2021'!AR540</f>
        <v>600</v>
      </c>
      <c r="AO64" s="119">
        <f>'2021'!AS540</f>
        <v>7280</v>
      </c>
      <c r="AP64" s="119">
        <f>'2021'!AT540</f>
        <v>471</v>
      </c>
      <c r="AQ64" s="106">
        <f>'2021'!AU540</f>
        <v>1271.7</v>
      </c>
      <c r="AR64" s="106">
        <f>'2021'!AV540</f>
        <v>1269.5</v>
      </c>
      <c r="AS64" s="126">
        <f>'2021'!AW540</f>
        <v>8185</v>
      </c>
      <c r="AT64" s="119">
        <f>'2021'!AX540</f>
        <v>905</v>
      </c>
      <c r="AU64" s="106">
        <f>'2021'!AY540</f>
        <v>2443.5</v>
      </c>
      <c r="AV64" s="106">
        <f>'2021'!AZ540</f>
        <v>2300</v>
      </c>
      <c r="AW64" s="119"/>
      <c r="AX64" s="106">
        <f t="shared" si="0"/>
        <v>0</v>
      </c>
      <c r="AY64" s="119">
        <f>'2021'!BA540</f>
        <v>8970</v>
      </c>
      <c r="AZ64" s="119">
        <f>'2021'!BB540</f>
        <v>785</v>
      </c>
      <c r="BA64" s="106">
        <f>'2021'!BC540</f>
        <v>2119.5</v>
      </c>
      <c r="BB64" s="106">
        <f>'2021'!BD540</f>
        <v>2500</v>
      </c>
      <c r="BC64" s="119"/>
      <c r="BD64" s="106">
        <f t="shared" si="1"/>
        <v>0</v>
      </c>
      <c r="BE64" s="119">
        <f>'2021'!BE540</f>
        <v>7458</v>
      </c>
      <c r="BF64" s="106">
        <f>'2021'!BF540</f>
        <v>19654.1</v>
      </c>
      <c r="BG64" s="106">
        <f>'2021'!BG540</f>
        <v>19522.72</v>
      </c>
      <c r="BH64" s="106">
        <f>'2021'!BH540</f>
        <v>-237</v>
      </c>
      <c r="BI64" s="106">
        <f t="shared" si="2"/>
        <v>0</v>
      </c>
      <c r="BJ64" s="338">
        <f t="shared" si="3"/>
        <v>-237</v>
      </c>
    </row>
    <row r="65" ht="15.75" customHeight="1" spans="1:62" x14ac:dyDescent="0.25">
      <c r="A65" s="14"/>
      <c r="B65" s="115">
        <v>61</v>
      </c>
      <c r="C65" s="115">
        <v>4.71</v>
      </c>
      <c r="D65" s="117" t="s">
        <v>231</v>
      </c>
      <c r="E65" s="119">
        <f>'2021'!I549</f>
        <v>403</v>
      </c>
      <c r="F65" s="119">
        <f>'2021'!J549</f>
        <v>0</v>
      </c>
      <c r="G65" s="106">
        <f>'2021'!K549</f>
        <v>0</v>
      </c>
      <c r="H65" s="106">
        <f>'2021'!L549</f>
      </c>
      <c r="I65" s="119">
        <f>'2021'!M549</f>
        <v>403</v>
      </c>
      <c r="J65" s="119">
        <f>'2021'!N549</f>
        <v>0</v>
      </c>
      <c r="K65" s="106">
        <f>'2021'!O549</f>
        <v>0</v>
      </c>
      <c r="L65" s="106">
        <f>'2021'!P549</f>
      </c>
      <c r="M65" s="119">
        <f>'2021'!Q549</f>
        <v>403</v>
      </c>
      <c r="N65" s="119">
        <f>'2021'!R549</f>
        <v>0</v>
      </c>
      <c r="O65" s="106">
        <f>'2021'!S549</f>
        <v>0</v>
      </c>
      <c r="P65" s="106">
        <f>'2021'!T549</f>
      </c>
      <c r="Q65" s="119">
        <f>'2021'!U549</f>
        <v>403</v>
      </c>
      <c r="R65" s="119">
        <f>'2021'!V549</f>
        <v>0</v>
      </c>
      <c r="S65" s="106">
        <f>'2021'!W549</f>
        <v>0</v>
      </c>
      <c r="T65" s="106">
        <f>'2021'!X549</f>
      </c>
      <c r="U65" s="119">
        <f>'2021'!Y549</f>
        <v>436</v>
      </c>
      <c r="V65" s="119">
        <f>'2021'!Z549</f>
        <v>33</v>
      </c>
      <c r="W65" s="106">
        <f>'2021'!AA549</f>
        <v>85.8</v>
      </c>
      <c r="X65" s="106">
        <f>'2021'!AB549</f>
      </c>
      <c r="Y65" s="119">
        <f>'2021'!AC549</f>
        <v>486</v>
      </c>
      <c r="Z65" s="119">
        <f>'2021'!AD549</f>
        <v>50</v>
      </c>
      <c r="AA65" s="106">
        <f>'2021'!AE549</f>
        <v>130</v>
      </c>
      <c r="AB65" s="106">
        <f>'2021'!AF549</f>
        <v>458.75</v>
      </c>
      <c r="AC65" s="119">
        <f>'2021'!AG549</f>
        <v>530</v>
      </c>
      <c r="AD65" s="119">
        <f>'2021'!AH549</f>
        <v>44</v>
      </c>
      <c r="AE65" s="106">
        <f>'2021'!AI549</f>
        <v>118.8</v>
      </c>
      <c r="AF65" s="106">
        <f>'2021'!AJ549</f>
        <v>118.8</v>
      </c>
      <c r="AG65" s="119">
        <f>'2021'!AK549</f>
        <v>590</v>
      </c>
      <c r="AH65" s="119">
        <f>'2021'!AL549</f>
        <v>60</v>
      </c>
      <c r="AI65" s="106">
        <f>'2021'!AM549</f>
        <v>162</v>
      </c>
      <c r="AJ65" s="106">
        <f>'2021'!AN549</f>
        <v>200</v>
      </c>
      <c r="AK65" s="119">
        <f>'2021'!AO549</f>
        <v>630</v>
      </c>
      <c r="AL65" s="119">
        <f>'2021'!AP549</f>
        <v>40</v>
      </c>
      <c r="AM65" s="106">
        <f>'2021'!AQ549</f>
        <v>108</v>
      </c>
      <c r="AN65" s="106">
        <f>'2021'!AR549</f>
      </c>
      <c r="AO65" s="119">
        <f>'2021'!AS549</f>
        <v>641</v>
      </c>
      <c r="AP65" s="119">
        <f>'2021'!AT549</f>
        <v>11</v>
      </c>
      <c r="AQ65" s="106">
        <f>'2021'!AU549</f>
        <v>29.7</v>
      </c>
      <c r="AR65" s="106">
        <f>'2021'!AV549</f>
      </c>
      <c r="AS65" s="119">
        <f>'2021'!AW549</f>
        <v>641</v>
      </c>
      <c r="AT65" s="119">
        <f>'2021'!AX549</f>
        <v>0</v>
      </c>
      <c r="AU65" s="106">
        <f>'2021'!AY549</f>
        <v>0</v>
      </c>
      <c r="AV65" s="106">
        <f>'2021'!AZ549</f>
      </c>
      <c r="AW65" s="106"/>
      <c r="AX65" s="106">
        <f t="shared" si="0"/>
        <v>0</v>
      </c>
      <c r="AY65" s="119">
        <f>'2021'!BA549</f>
        <v>641</v>
      </c>
      <c r="AZ65" s="119">
        <f>'2021'!BB549</f>
        <v>0</v>
      </c>
      <c r="BA65" s="106">
        <f>'2021'!BC549</f>
        <v>0</v>
      </c>
      <c r="BB65" s="106">
        <f>'2021'!BD549</f>
      </c>
      <c r="BC65" s="106"/>
      <c r="BD65" s="106">
        <f t="shared" si="1"/>
        <v>0</v>
      </c>
      <c r="BE65" s="119">
        <f>'2021'!BE549</f>
        <v>238</v>
      </c>
      <c r="BF65" s="106">
        <f>'2021'!BF549</f>
        <v>634.3</v>
      </c>
      <c r="BG65" s="106">
        <f>'2021'!BG549</f>
        <v>777.55</v>
      </c>
      <c r="BH65" s="106">
        <f>'2021'!BH549</f>
        <v>99.7</v>
      </c>
      <c r="BI65" s="106">
        <f t="shared" si="2"/>
        <v>0</v>
      </c>
      <c r="BJ65" s="338">
        <f t="shared" si="3"/>
        <v>99.7</v>
      </c>
    </row>
    <row r="66" ht="15.75" customHeight="1" spans="1:62" x14ac:dyDescent="0.25">
      <c r="A66" s="14"/>
      <c r="B66" s="115">
        <v>62</v>
      </c>
      <c r="C66" s="116">
        <v>4.6</v>
      </c>
      <c r="D66" s="15" t="s">
        <v>236</v>
      </c>
      <c r="E66" s="119">
        <f>'2021'!I558</f>
        <v>479</v>
      </c>
      <c r="F66" s="119">
        <f>'2021'!J558</f>
        <v>0</v>
      </c>
      <c r="G66" s="106">
        <f>'2021'!K558</f>
        <v>0</v>
      </c>
      <c r="H66" s="106">
        <f>'2021'!L558</f>
      </c>
      <c r="I66" s="119">
        <f>'2021'!M558</f>
        <v>479</v>
      </c>
      <c r="J66" s="119">
        <f>'2021'!N558</f>
        <v>0</v>
      </c>
      <c r="K66" s="106">
        <f>'2021'!O558</f>
        <v>0</v>
      </c>
      <c r="L66" s="106">
        <f>'2021'!P558</f>
      </c>
      <c r="M66" s="119">
        <f>'2021'!Q558</f>
        <v>479</v>
      </c>
      <c r="N66" s="119">
        <f>'2021'!R558</f>
        <v>0</v>
      </c>
      <c r="O66" s="106">
        <f>'2021'!S558</f>
        <v>0</v>
      </c>
      <c r="P66" s="106">
        <f>'2021'!T558</f>
      </c>
      <c r="Q66" s="119">
        <f>'2021'!U558</f>
        <v>479</v>
      </c>
      <c r="R66" s="119">
        <f>'2021'!V558</f>
        <v>0</v>
      </c>
      <c r="S66" s="106">
        <f>'2021'!W558</f>
        <v>0</v>
      </c>
      <c r="T66" s="106">
        <f>'2021'!X558</f>
      </c>
      <c r="U66" s="119">
        <f>'2021'!Y558</f>
        <v>479</v>
      </c>
      <c r="V66" s="119">
        <f>'2021'!Z558</f>
        <v>0</v>
      </c>
      <c r="W66" s="106">
        <f>'2021'!AA558</f>
        <v>0</v>
      </c>
      <c r="X66" s="106">
        <f>'2021'!AB558</f>
      </c>
      <c r="Y66" s="119">
        <f>'2021'!AC558</f>
        <v>479</v>
      </c>
      <c r="Z66" s="119">
        <f>'2021'!AD558</f>
        <v>0</v>
      </c>
      <c r="AA66" s="106">
        <f>'2021'!AE558</f>
        <v>0</v>
      </c>
      <c r="AB66" s="106">
        <f>'2021'!AF558</f>
      </c>
      <c r="AC66" s="119">
        <f>'2021'!AG558</f>
        <v>479</v>
      </c>
      <c r="AD66" s="119">
        <f>'2021'!AH558</f>
        <v>0</v>
      </c>
      <c r="AE66" s="106">
        <f>'2021'!AI558</f>
        <v>0</v>
      </c>
      <c r="AF66" s="106">
        <f>'2021'!AJ558</f>
      </c>
      <c r="AG66" s="119">
        <f>'2021'!AK558</f>
        <v>479</v>
      </c>
      <c r="AH66" s="119">
        <f>'2021'!AL558</f>
        <v>0</v>
      </c>
      <c r="AI66" s="106">
        <f>'2021'!AM558</f>
        <v>0</v>
      </c>
      <c r="AJ66" s="106">
        <f>'2021'!AN558</f>
        <v>180</v>
      </c>
      <c r="AK66" s="119">
        <f>'2021'!AO558</f>
        <v>479</v>
      </c>
      <c r="AL66" s="119">
        <f>'2021'!AP558</f>
        <v>0</v>
      </c>
      <c r="AM66" s="106">
        <f>'2021'!AQ558</f>
        <v>0</v>
      </c>
      <c r="AN66" s="106">
        <f>'2021'!AR558</f>
      </c>
      <c r="AO66" s="119">
        <f>'2021'!AS558</f>
        <v>479</v>
      </c>
      <c r="AP66" s="119">
        <f>'2021'!AT558</f>
        <v>0</v>
      </c>
      <c r="AQ66" s="106">
        <f>'2021'!AU558</f>
        <v>0</v>
      </c>
      <c r="AR66" s="106">
        <f>'2021'!AV558</f>
      </c>
      <c r="AS66" s="119">
        <f>'2021'!AW558</f>
        <v>479</v>
      </c>
      <c r="AT66" s="119">
        <f>'2021'!AX558</f>
        <v>0</v>
      </c>
      <c r="AU66" s="106">
        <f>'2021'!AY558</f>
        <v>0</v>
      </c>
      <c r="AV66" s="106">
        <f>'2021'!AZ558</f>
      </c>
      <c r="AW66" s="106"/>
      <c r="AX66" s="106">
        <f t="shared" si="0"/>
        <v>0</v>
      </c>
      <c r="AY66" s="119">
        <f>'2021'!BA558</f>
        <v>479</v>
      </c>
      <c r="AZ66" s="119">
        <f>'2021'!BB558</f>
        <v>0</v>
      </c>
      <c r="BA66" s="106">
        <f>'2021'!BC558</f>
        <v>0</v>
      </c>
      <c r="BB66" s="106">
        <f>'2021'!BD558</f>
      </c>
      <c r="BC66" s="106"/>
      <c r="BD66" s="106">
        <f t="shared" si="1"/>
        <v>0</v>
      </c>
      <c r="BE66" s="119">
        <f>'2021'!BE558</f>
        <v>0</v>
      </c>
      <c r="BF66" s="106">
        <f>'2021'!BF558</f>
        <v>0</v>
      </c>
      <c r="BG66" s="106">
        <f>'2021'!BG558</f>
        <v>180</v>
      </c>
      <c r="BH66" s="106">
        <f>'2021'!BH558</f>
        <v>-107.2</v>
      </c>
      <c r="BI66" s="106">
        <f t="shared" si="2"/>
        <v>0</v>
      </c>
      <c r="BJ66" s="338">
        <f t="shared" si="3"/>
        <v>-107.2</v>
      </c>
    </row>
    <row r="67" ht="15.75" customHeight="1" spans="1:62" x14ac:dyDescent="0.25">
      <c r="A67" s="14"/>
      <c r="B67" s="115" t="s">
        <v>237</v>
      </c>
      <c r="C67" s="115">
        <v>4.01</v>
      </c>
      <c r="D67" s="117" t="s">
        <v>238</v>
      </c>
      <c r="E67" s="119">
        <f>'2021'!I567</f>
        <v>49</v>
      </c>
      <c r="F67" s="119">
        <f>'2021'!J567</f>
        <v>0</v>
      </c>
      <c r="G67" s="106">
        <f>'2021'!K567</f>
        <v>0</v>
      </c>
      <c r="H67" s="106">
        <f>'2021'!L567</f>
      </c>
      <c r="I67" s="119">
        <f>'2021'!M567</f>
        <v>49</v>
      </c>
      <c r="J67" s="119">
        <f>'2021'!N567</f>
        <v>0</v>
      </c>
      <c r="K67" s="106">
        <f>'2021'!O567</f>
        <v>0</v>
      </c>
      <c r="L67" s="106">
        <f>'2021'!P567</f>
      </c>
      <c r="M67" s="119">
        <f>'2021'!Q567</f>
        <v>49</v>
      </c>
      <c r="N67" s="119">
        <f>'2021'!R567</f>
        <v>0</v>
      </c>
      <c r="O67" s="106">
        <f>'2021'!S567</f>
        <v>0</v>
      </c>
      <c r="P67" s="106">
        <f>'2021'!T567</f>
      </c>
      <c r="Q67" s="119">
        <f>'2021'!U567</f>
        <v>49</v>
      </c>
      <c r="R67" s="119">
        <f>'2021'!V567</f>
        <v>0</v>
      </c>
      <c r="S67" s="106">
        <f>'2021'!W567</f>
        <v>0</v>
      </c>
      <c r="T67" s="106">
        <f>'2021'!X567</f>
      </c>
      <c r="U67" s="119">
        <f>'2021'!Y567</f>
        <v>51</v>
      </c>
      <c r="V67" s="119">
        <f>'2021'!Z567</f>
        <v>2</v>
      </c>
      <c r="W67" s="106">
        <f>'2021'!AA567</f>
        <v>5.2</v>
      </c>
      <c r="X67" s="106">
        <f>'2021'!AB567</f>
      </c>
      <c r="Y67" s="119">
        <f>'2021'!AC567</f>
        <v>80</v>
      </c>
      <c r="Z67" s="119">
        <f>'2021'!AD567</f>
        <v>29</v>
      </c>
      <c r="AA67" s="106">
        <f>'2021'!AE567</f>
        <v>75.4</v>
      </c>
      <c r="AB67" s="106">
        <f>'2021'!AF567</f>
        <v>91.93</v>
      </c>
      <c r="AC67" s="119">
        <f>'2021'!AG567</f>
        <v>128</v>
      </c>
      <c r="AD67" s="119">
        <f>'2021'!AH567</f>
        <v>48</v>
      </c>
      <c r="AE67" s="106">
        <f>'2021'!AI567</f>
        <v>129.6</v>
      </c>
      <c r="AF67" s="106">
        <f>'2021'!AJ567</f>
        <v>129.6</v>
      </c>
      <c r="AG67" s="119">
        <f>'2021'!AK567</f>
        <v>167</v>
      </c>
      <c r="AH67" s="119">
        <f>'2021'!AL567</f>
        <v>39</v>
      </c>
      <c r="AI67" s="106">
        <f>'2021'!AM567</f>
        <v>105.3</v>
      </c>
      <c r="AJ67" s="106">
        <f>'2021'!AN567</f>
        <v>150</v>
      </c>
      <c r="AK67" s="119">
        <f>'2021'!AO567</f>
        <v>190</v>
      </c>
      <c r="AL67" s="119">
        <f>'2021'!AP567</f>
        <v>23</v>
      </c>
      <c r="AM67" s="106">
        <f>'2021'!AQ567</f>
        <v>62.1</v>
      </c>
      <c r="AN67" s="106">
        <f>'2021'!AR567</f>
      </c>
      <c r="AO67" s="119">
        <f>'2021'!AS567</f>
        <v>193</v>
      </c>
      <c r="AP67" s="119">
        <f>'2021'!AT567</f>
        <v>3</v>
      </c>
      <c r="AQ67" s="106">
        <f>'2021'!AU567</f>
        <v>8.1</v>
      </c>
      <c r="AR67" s="106">
        <f>'2021'!AV567</f>
      </c>
      <c r="AS67" s="119">
        <f>'2021'!AW567</f>
        <v>193</v>
      </c>
      <c r="AT67" s="119">
        <f>'2021'!AX567</f>
        <v>0</v>
      </c>
      <c r="AU67" s="106">
        <f>'2021'!AY567</f>
        <v>0</v>
      </c>
      <c r="AV67" s="106">
        <f>'2021'!AZ567</f>
      </c>
      <c r="AW67" s="106"/>
      <c r="AX67" s="106">
        <f t="shared" si="0"/>
        <v>0</v>
      </c>
      <c r="AY67" s="119">
        <f>'2021'!BA567</f>
        <v>193</v>
      </c>
      <c r="AZ67" s="119">
        <f>'2021'!BB567</f>
        <v>0</v>
      </c>
      <c r="BA67" s="106">
        <f>'2021'!BC567</f>
        <v>0</v>
      </c>
      <c r="BB67" s="106">
        <f>'2021'!BD567</f>
      </c>
      <c r="BC67" s="106"/>
      <c r="BD67" s="106">
        <f t="shared" si="1"/>
        <v>0</v>
      </c>
      <c r="BE67" s="119">
        <f>'2021'!BE567</f>
        <v>144</v>
      </c>
      <c r="BF67" s="106">
        <f>'2021'!BF567</f>
        <v>385.7</v>
      </c>
      <c r="BG67" s="106">
        <f>'2021'!BG567</f>
        <v>371.53</v>
      </c>
      <c r="BH67" s="106">
        <f>'2021'!BH567</f>
        <v>25.5</v>
      </c>
      <c r="BI67" s="106">
        <f t="shared" si="2"/>
        <v>0</v>
      </c>
      <c r="BJ67" s="338">
        <f t="shared" si="3"/>
        <v>25.5</v>
      </c>
    </row>
    <row r="68" ht="15.75" customHeight="1" spans="1:62" x14ac:dyDescent="0.25">
      <c r="A68" s="14"/>
      <c r="B68" s="115" t="s">
        <v>237</v>
      </c>
      <c r="C68" s="115">
        <v>4.01</v>
      </c>
      <c r="D68" s="117" t="s">
        <v>238</v>
      </c>
      <c r="E68" s="119">
        <f>'2021'!I576</f>
        <v>0</v>
      </c>
      <c r="F68" s="119">
        <f>'2021'!J576</f>
        <v>0</v>
      </c>
      <c r="G68" s="106">
        <f>'2021'!K576</f>
        <v>0</v>
      </c>
      <c r="H68" s="106">
        <f>'2021'!L576</f>
      </c>
      <c r="I68" s="119">
        <f>'2021'!M576</f>
        <v>0</v>
      </c>
      <c r="J68" s="119">
        <f>'2021'!N576</f>
        <v>0</v>
      </c>
      <c r="K68" s="106">
        <f>'2021'!O576</f>
        <v>0</v>
      </c>
      <c r="L68" s="106">
        <f>'2021'!P576</f>
      </c>
      <c r="M68" s="119">
        <f>'2021'!Q576</f>
        <v>0</v>
      </c>
      <c r="N68" s="119">
        <f>'2021'!R576</f>
        <v>0</v>
      </c>
      <c r="O68" s="106">
        <f>'2021'!S576</f>
        <v>0</v>
      </c>
      <c r="P68" s="106">
        <f>'2021'!T576</f>
      </c>
      <c r="Q68" s="119">
        <f>'2021'!U576</f>
        <v>0</v>
      </c>
      <c r="R68" s="119">
        <f>'2021'!V576</f>
        <v>0</v>
      </c>
      <c r="S68" s="106">
        <f>'2021'!W576</f>
        <v>0</v>
      </c>
      <c r="T68" s="106">
        <f>'2021'!X576</f>
      </c>
      <c r="U68" s="119">
        <f>'2021'!Y576</f>
      </c>
      <c r="V68" s="119">
        <f>'2021'!Z576</f>
        <v>0</v>
      </c>
      <c r="W68" s="106">
        <f>'2021'!AA576</f>
        <v>0</v>
      </c>
      <c r="X68" s="106">
        <f>'2021'!AB576</f>
      </c>
      <c r="Y68" s="119">
        <f>'2021'!AC576</f>
      </c>
      <c r="Z68" s="119">
        <f>'2021'!AD576</f>
        <v>0</v>
      </c>
      <c r="AA68" s="106">
        <f>'2021'!AE576</f>
        <v>0</v>
      </c>
      <c r="AB68" s="106">
        <f>'2021'!AF576</f>
      </c>
      <c r="AC68" s="119">
        <f>'2021'!AG576</f>
      </c>
      <c r="AD68" s="119">
        <f>'2021'!AH576</f>
        <v>0</v>
      </c>
      <c r="AE68" s="106">
        <f>'2021'!AI576</f>
        <v>0</v>
      </c>
      <c r="AF68" s="106">
        <f>'2021'!AJ576</f>
      </c>
      <c r="AG68" s="119">
        <f>'2021'!AK576</f>
      </c>
      <c r="AH68" s="119">
        <f>'2021'!AL576</f>
        <v>0</v>
      </c>
      <c r="AI68" s="106">
        <f>'2021'!AM576</f>
        <v>0</v>
      </c>
      <c r="AJ68" s="106">
        <f>'2021'!AN576</f>
      </c>
      <c r="AK68" s="119">
        <f>'2021'!AO576</f>
      </c>
      <c r="AL68" s="119">
        <f>'2021'!AP576</f>
        <v>0</v>
      </c>
      <c r="AM68" s="106">
        <f>'2021'!AQ576</f>
        <v>0</v>
      </c>
      <c r="AN68" s="106">
        <f>'2021'!AR576</f>
      </c>
      <c r="AO68" s="119">
        <f>'2021'!AS576</f>
      </c>
      <c r="AP68" s="119">
        <f>'2021'!AT576</f>
        <v>0</v>
      </c>
      <c r="AQ68" s="106">
        <f>'2021'!AU576</f>
        <v>0</v>
      </c>
      <c r="AR68" s="106">
        <f>'2021'!AV576</f>
      </c>
      <c r="AS68" s="119">
        <f>'2021'!AW576</f>
      </c>
      <c r="AT68" s="119">
        <f>'2021'!AX576</f>
        <v>0</v>
      </c>
      <c r="AU68" s="106">
        <f>'2021'!AY576</f>
        <v>0</v>
      </c>
      <c r="AV68" s="106">
        <f>'2021'!AZ576</f>
      </c>
      <c r="AW68" s="106"/>
      <c r="AX68" s="106">
        <f t="shared" si="0"/>
        <v>0</v>
      </c>
      <c r="AY68" s="119">
        <f>'2021'!BA576</f>
      </c>
      <c r="AZ68" s="119">
        <f>'2021'!BB576</f>
        <v>0</v>
      </c>
      <c r="BA68" s="106">
        <f>'2021'!BC576</f>
        <v>0</v>
      </c>
      <c r="BB68" s="106">
        <f>'2021'!BD576</f>
      </c>
      <c r="BC68" s="106"/>
      <c r="BD68" s="106">
        <f t="shared" si="1"/>
        <v>0</v>
      </c>
      <c r="BE68" s="119">
        <f>'2021'!BE576</f>
        <v>0</v>
      </c>
      <c r="BF68" s="106">
        <f>'2021'!BF576</f>
        <v>0</v>
      </c>
      <c r="BG68" s="106">
        <f>'2021'!BG576</f>
        <v>0</v>
      </c>
      <c r="BH68" s="106">
        <f>'2021'!BH576</f>
        <v>0</v>
      </c>
      <c r="BI68" s="106">
        <f t="shared" si="2"/>
        <v>0</v>
      </c>
      <c r="BJ68" s="338">
        <f t="shared" si="3"/>
        <v>0</v>
      </c>
    </row>
    <row r="69" ht="15.75" customHeight="1" spans="1:62" x14ac:dyDescent="0.25">
      <c r="A69" s="14"/>
      <c r="B69" s="115">
        <v>64</v>
      </c>
      <c r="C69" s="115">
        <v>4.24</v>
      </c>
      <c r="D69" s="117" t="s">
        <v>241</v>
      </c>
      <c r="E69" s="119">
        <f>'2021'!I585</f>
        <v>408</v>
      </c>
      <c r="F69" s="119">
        <f>'2021'!J585</f>
        <v>0</v>
      </c>
      <c r="G69" s="106">
        <f>'2021'!K585</f>
        <v>0</v>
      </c>
      <c r="H69" s="106">
        <f>'2021'!L585</f>
      </c>
      <c r="I69" s="119">
        <f>'2021'!M585</f>
        <v>408</v>
      </c>
      <c r="J69" s="119">
        <f>'2021'!N585</f>
        <v>0</v>
      </c>
      <c r="K69" s="106">
        <f>'2021'!O585</f>
        <v>0</v>
      </c>
      <c r="L69" s="106">
        <f>'2021'!P585</f>
      </c>
      <c r="M69" s="119">
        <f>'2021'!Q585</f>
        <v>408</v>
      </c>
      <c r="N69" s="119">
        <f>'2021'!R585</f>
        <v>0</v>
      </c>
      <c r="O69" s="106">
        <f>'2021'!S585</f>
        <v>0</v>
      </c>
      <c r="P69" s="106">
        <f>'2021'!T585</f>
      </c>
      <c r="Q69" s="119">
        <f>'2021'!U585</f>
        <v>408</v>
      </c>
      <c r="R69" s="119">
        <f>'2021'!V585</f>
        <v>0</v>
      </c>
      <c r="S69" s="106">
        <f>'2021'!W585</f>
        <v>0</v>
      </c>
      <c r="T69" s="106">
        <f>'2021'!X585</f>
      </c>
      <c r="U69" s="119">
        <f>'2021'!Y585</f>
        <v>418</v>
      </c>
      <c r="V69" s="119">
        <f>'2021'!Z585</f>
        <v>10</v>
      </c>
      <c r="W69" s="106">
        <f>'2021'!AA585</f>
        <v>26</v>
      </c>
      <c r="X69" s="106">
        <f>'2021'!AB585</f>
      </c>
      <c r="Y69" s="119">
        <f>'2021'!AC585</f>
        <v>431</v>
      </c>
      <c r="Z69" s="119">
        <f>'2021'!AD585</f>
        <v>13</v>
      </c>
      <c r="AA69" s="106">
        <f>'2021'!AE585</f>
        <v>33.8</v>
      </c>
      <c r="AB69" s="106">
        <f>'2021'!AF585</f>
      </c>
      <c r="AC69" s="119">
        <f>'2021'!AG585</f>
        <v>446</v>
      </c>
      <c r="AD69" s="119">
        <f>'2021'!AH585</f>
        <v>15</v>
      </c>
      <c r="AE69" s="106">
        <f>'2021'!AI585</f>
        <v>40.5</v>
      </c>
      <c r="AF69" s="106">
        <f>'2021'!AJ585</f>
      </c>
      <c r="AG69" s="119">
        <f>'2021'!AK585</f>
        <v>459</v>
      </c>
      <c r="AH69" s="119">
        <f>'2021'!AL585</f>
        <v>13</v>
      </c>
      <c r="AI69" s="106">
        <f>'2021'!AM585</f>
        <v>35.1</v>
      </c>
      <c r="AJ69" s="106">
        <f>'2021'!AN585</f>
        <v>100</v>
      </c>
      <c r="AK69" s="119">
        <f>'2021'!AO585</f>
        <v>467</v>
      </c>
      <c r="AL69" s="119">
        <f>'2021'!AP585</f>
        <v>8</v>
      </c>
      <c r="AM69" s="106">
        <f>'2021'!AQ585</f>
        <v>21.6</v>
      </c>
      <c r="AN69" s="106">
        <f>'2021'!AR585</f>
      </c>
      <c r="AO69" s="119">
        <f>'2021'!AS585</f>
        <v>467</v>
      </c>
      <c r="AP69" s="119">
        <f>'2021'!AT585</f>
        <v>0</v>
      </c>
      <c r="AQ69" s="106">
        <f>'2021'!AU585</f>
        <v>0</v>
      </c>
      <c r="AR69" s="106">
        <f>'2021'!AV585</f>
      </c>
      <c r="AS69" s="119">
        <f>'2021'!AW585</f>
        <v>467</v>
      </c>
      <c r="AT69" s="119">
        <f>'2021'!AX585</f>
        <v>0</v>
      </c>
      <c r="AU69" s="106">
        <f>'2021'!AY585</f>
        <v>0</v>
      </c>
      <c r="AV69" s="106">
        <f>'2021'!AZ585</f>
      </c>
      <c r="AW69" s="106"/>
      <c r="AX69" s="106">
        <f t="shared" si="0"/>
        <v>0</v>
      </c>
      <c r="AY69" s="119">
        <f>'2021'!BA585</f>
        <v>467</v>
      </c>
      <c r="AZ69" s="119">
        <f>'2021'!BB585</f>
        <v>0</v>
      </c>
      <c r="BA69" s="106">
        <f>'2021'!BC585</f>
        <v>0</v>
      </c>
      <c r="BB69" s="106">
        <f>'2021'!BD585</f>
      </c>
      <c r="BC69" s="106"/>
      <c r="BD69" s="106">
        <f t="shared" si="1"/>
        <v>0</v>
      </c>
      <c r="BE69" s="119">
        <f>'2021'!BE585</f>
        <v>59</v>
      </c>
      <c r="BF69" s="106">
        <f>'2021'!BF585</f>
        <v>157</v>
      </c>
      <c r="BG69" s="106">
        <f>'2021'!BG585</f>
        <v>100</v>
      </c>
      <c r="BH69" s="106">
        <f>'2021'!BH585</f>
        <v>-40.09</v>
      </c>
      <c r="BI69" s="106">
        <f t="shared" si="2"/>
        <v>0</v>
      </c>
      <c r="BJ69" s="338">
        <f t="shared" si="3"/>
        <v>-40.09</v>
      </c>
    </row>
    <row r="70" ht="15.75" customHeight="1" spans="1:62" x14ac:dyDescent="0.25">
      <c r="A70" s="14"/>
      <c r="B70" s="115">
        <v>66</v>
      </c>
      <c r="C70" s="115">
        <v>4.66</v>
      </c>
      <c r="D70" s="117" t="s">
        <v>244</v>
      </c>
      <c r="E70" s="119">
        <f>'2021'!I594</f>
        <v>1</v>
      </c>
      <c r="F70" s="119">
        <f>'2021'!J594</f>
        <v>0</v>
      </c>
      <c r="G70" s="106">
        <f>'2021'!K594</f>
        <v>0</v>
      </c>
      <c r="H70" s="106">
        <f>'2021'!L594</f>
      </c>
      <c r="I70" s="119">
        <f>'2021'!M594</f>
        <v>1</v>
      </c>
      <c r="J70" s="119">
        <f>'2021'!N594</f>
        <v>0</v>
      </c>
      <c r="K70" s="106">
        <f>'2021'!O594</f>
        <v>0</v>
      </c>
      <c r="L70" s="106">
        <f>'2021'!P594</f>
      </c>
      <c r="M70" s="119">
        <f>'2021'!Q594</f>
        <v>1</v>
      </c>
      <c r="N70" s="119">
        <f>'2021'!R594</f>
        <v>0</v>
      </c>
      <c r="O70" s="106">
        <f>'2021'!S594</f>
        <v>0</v>
      </c>
      <c r="P70" s="106">
        <f>'2021'!T594</f>
      </c>
      <c r="Q70" s="119">
        <f>'2021'!U594</f>
        <v>1</v>
      </c>
      <c r="R70" s="119">
        <f>'2021'!V594</f>
        <v>0</v>
      </c>
      <c r="S70" s="106">
        <f>'2021'!W594</f>
        <v>0</v>
      </c>
      <c r="T70" s="106">
        <f>'2021'!X594</f>
      </c>
      <c r="U70" s="119">
        <f>'2021'!Y594</f>
        <v>1</v>
      </c>
      <c r="V70" s="119">
        <f>'2021'!Z594</f>
        <v>0</v>
      </c>
      <c r="W70" s="106">
        <f>'2021'!AA594</f>
        <v>0</v>
      </c>
      <c r="X70" s="106">
        <f>'2021'!AB594</f>
      </c>
      <c r="Y70" s="119">
        <f>'2021'!AC594</f>
        <v>1</v>
      </c>
      <c r="Z70" s="119">
        <f>'2021'!AD594</f>
        <v>0</v>
      </c>
      <c r="AA70" s="106">
        <f>'2021'!AE594</f>
        <v>0</v>
      </c>
      <c r="AB70" s="106">
        <f>'2021'!AF594</f>
      </c>
      <c r="AC70" s="119">
        <f>'2021'!AG594</f>
        <v>1</v>
      </c>
      <c r="AD70" s="119">
        <f>'2021'!AH594</f>
        <v>0</v>
      </c>
      <c r="AE70" s="106">
        <f>'2021'!AI594</f>
        <v>0</v>
      </c>
      <c r="AF70" s="106">
        <f>'2021'!AJ594</f>
      </c>
      <c r="AG70" s="119">
        <f>'2021'!AK594</f>
        <v>1</v>
      </c>
      <c r="AH70" s="119">
        <f>'2021'!AL594</f>
        <v>0</v>
      </c>
      <c r="AI70" s="106">
        <f>'2021'!AM594</f>
        <v>0</v>
      </c>
      <c r="AJ70" s="106">
        <f>'2021'!AN594</f>
      </c>
      <c r="AK70" s="119">
        <f>'2021'!AO594</f>
        <v>1</v>
      </c>
      <c r="AL70" s="119">
        <f>'2021'!AP594</f>
        <v>0</v>
      </c>
      <c r="AM70" s="106">
        <f>'2021'!AQ594</f>
        <v>0</v>
      </c>
      <c r="AN70" s="106">
        <f>'2021'!AR594</f>
      </c>
      <c r="AO70" s="119">
        <f>'2021'!AS594</f>
        <v>2</v>
      </c>
      <c r="AP70" s="119">
        <f>'2021'!AT594</f>
        <v>1</v>
      </c>
      <c r="AQ70" s="106">
        <f>'2021'!AU594</f>
        <v>2.7</v>
      </c>
      <c r="AR70" s="106">
        <f>'2021'!AV594</f>
      </c>
      <c r="AS70" s="119">
        <f>'2021'!AW594</f>
        <v>2</v>
      </c>
      <c r="AT70" s="119">
        <f>'2021'!AX594</f>
        <v>0</v>
      </c>
      <c r="AU70" s="106">
        <f>'2021'!AY594</f>
        <v>0</v>
      </c>
      <c r="AV70" s="106">
        <f>'2021'!AZ594</f>
      </c>
      <c r="AW70" s="106"/>
      <c r="AX70" s="106">
        <f t="shared" si="0"/>
        <v>0</v>
      </c>
      <c r="AY70" s="119">
        <f>'2021'!BA594</f>
        <v>2</v>
      </c>
      <c r="AZ70" s="119">
        <f>'2021'!BB594</f>
        <v>0</v>
      </c>
      <c r="BA70" s="106">
        <f>'2021'!BC594</f>
        <v>0</v>
      </c>
      <c r="BB70" s="106">
        <f>'2021'!BD594</f>
      </c>
      <c r="BC70" s="106"/>
      <c r="BD70" s="106">
        <f t="shared" si="1"/>
        <v>0</v>
      </c>
      <c r="BE70" s="119">
        <f>'2021'!BE594</f>
        <v>1</v>
      </c>
      <c r="BF70" s="106">
        <f>'2021'!BF594</f>
        <v>2.7</v>
      </c>
      <c r="BG70" s="106">
        <f>'2021'!BG594</f>
        <v>0</v>
      </c>
      <c r="BH70" s="106">
        <f>'2021'!BH594</f>
        <v>2.7</v>
      </c>
      <c r="BI70" s="106">
        <f t="shared" si="2"/>
        <v>0</v>
      </c>
      <c r="BJ70" s="338">
        <f t="shared" si="3"/>
        <v>2.7</v>
      </c>
    </row>
    <row r="71" ht="15.75" customHeight="1" spans="1:62" x14ac:dyDescent="0.25">
      <c r="A71" s="14"/>
      <c r="B71" s="118">
        <v>67</v>
      </c>
      <c r="C71" s="115">
        <v>6.08</v>
      </c>
      <c r="D71" s="117" t="s">
        <v>245</v>
      </c>
      <c r="E71" s="119">
        <f>'2021'!I603</f>
        <v>2412</v>
      </c>
      <c r="F71" s="119">
        <f>'2021'!J603</f>
        <v>0</v>
      </c>
      <c r="G71" s="106">
        <f>'2021'!K603</f>
        <v>0</v>
      </c>
      <c r="H71" s="106">
        <f>'2021'!L603</f>
      </c>
      <c r="I71" s="119">
        <f>'2021'!M603</f>
        <v>2412</v>
      </c>
      <c r="J71" s="119">
        <f>'2021'!N603</f>
        <v>0</v>
      </c>
      <c r="K71" s="106">
        <f>'2021'!O603</f>
        <v>0</v>
      </c>
      <c r="L71" s="106">
        <f>'2021'!P603</f>
        <v>450</v>
      </c>
      <c r="M71" s="119">
        <f>'2021'!Q603</f>
        <v>2412</v>
      </c>
      <c r="N71" s="119">
        <f>'2021'!R603</f>
        <v>0</v>
      </c>
      <c r="O71" s="106">
        <f>'2021'!S603</f>
        <v>0</v>
      </c>
      <c r="P71" s="106">
        <f>'2021'!T603</f>
      </c>
      <c r="Q71" s="119">
        <f>'2021'!U603</f>
        <v>2412</v>
      </c>
      <c r="R71" s="119">
        <f>'2021'!V603</f>
        <v>0</v>
      </c>
      <c r="S71" s="106">
        <f>'2021'!W603</f>
        <v>0</v>
      </c>
      <c r="T71" s="106">
        <f>'2021'!X603</f>
      </c>
      <c r="U71" s="119">
        <f>'2021'!Y603</f>
        <v>2430</v>
      </c>
      <c r="V71" s="119">
        <f>'2021'!Z603</f>
        <v>18</v>
      </c>
      <c r="W71" s="106">
        <f>'2021'!AA603</f>
        <v>46.8</v>
      </c>
      <c r="X71" s="106">
        <f>'2021'!AB603</f>
      </c>
      <c r="Y71" s="119">
        <f>'2021'!AC603</f>
        <v>2501</v>
      </c>
      <c r="Z71" s="119">
        <f>'2021'!AD603</f>
        <v>71</v>
      </c>
      <c r="AA71" s="106">
        <f>'2021'!AE603</f>
        <v>184.6</v>
      </c>
      <c r="AB71" s="106">
        <f>'2021'!AF603</f>
        <v>140.63</v>
      </c>
      <c r="AC71" s="119">
        <f>'2021'!AG603</f>
        <v>2579</v>
      </c>
      <c r="AD71" s="119">
        <f>'2021'!AH603</f>
        <v>78</v>
      </c>
      <c r="AE71" s="106">
        <f>'2021'!AI603</f>
        <v>210.6</v>
      </c>
      <c r="AF71" s="106">
        <f>'2021'!AJ603</f>
        <v>210.6</v>
      </c>
      <c r="AG71" s="119">
        <f>'2021'!AK603</f>
        <v>2653</v>
      </c>
      <c r="AH71" s="119">
        <f>'2021'!AL603</f>
        <v>74</v>
      </c>
      <c r="AI71" s="106">
        <f>'2021'!AM603</f>
        <v>199.8</v>
      </c>
      <c r="AJ71" s="106">
        <f>'2021'!AN603</f>
        <v>400</v>
      </c>
      <c r="AK71" s="119">
        <f>'2021'!AO603</f>
        <v>2710</v>
      </c>
      <c r="AL71" s="119">
        <f>'2021'!AP603</f>
        <v>57</v>
      </c>
      <c r="AM71" s="106">
        <f>'2021'!AQ603</f>
        <v>153.9</v>
      </c>
      <c r="AN71" s="106">
        <f>'2021'!AR603</f>
      </c>
      <c r="AO71" s="119">
        <f>'2021'!AS603</f>
        <v>2726</v>
      </c>
      <c r="AP71" s="119">
        <f>'2021'!AT603</f>
        <v>16</v>
      </c>
      <c r="AQ71" s="106">
        <f>'2021'!AU603</f>
        <v>43.2</v>
      </c>
      <c r="AR71" s="106">
        <f>'2021'!AV603</f>
      </c>
      <c r="AS71" s="126">
        <f>'2021'!AW603</f>
        <v>2734</v>
      </c>
      <c r="AT71" s="119">
        <f>'2021'!AX603</f>
        <v>8</v>
      </c>
      <c r="AU71" s="106">
        <f>'2021'!AY603</f>
        <v>21.6</v>
      </c>
      <c r="AV71" s="106">
        <f>'2021'!AZ603</f>
      </c>
      <c r="AW71" s="106"/>
      <c r="AX71" s="106">
        <f t="shared" si="0"/>
        <v>0</v>
      </c>
      <c r="AY71" s="119">
        <f>'2021'!BA603</f>
        <v>2734</v>
      </c>
      <c r="AZ71" s="119">
        <f>'2021'!BB603</f>
        <v>0</v>
      </c>
      <c r="BA71" s="106">
        <f>'2021'!BC603</f>
        <v>0</v>
      </c>
      <c r="BB71" s="106">
        <f>'2021'!BD603</f>
      </c>
      <c r="BC71" s="106"/>
      <c r="BD71" s="106">
        <f t="shared" si="1"/>
        <v>0</v>
      </c>
      <c r="BE71" s="119">
        <f>'2021'!BE603</f>
        <v>322</v>
      </c>
      <c r="BF71" s="106">
        <f>'2021'!BF603</f>
        <v>860.5</v>
      </c>
      <c r="BG71" s="106">
        <f>'2021'!BG603</f>
        <v>1201.23</v>
      </c>
      <c r="BH71" s="106">
        <f>'2021'!BH603</f>
        <v>18.5</v>
      </c>
      <c r="BI71" s="106">
        <f t="shared" si="2"/>
        <v>0</v>
      </c>
      <c r="BJ71" s="338">
        <f t="shared" si="3"/>
        <v>18.5</v>
      </c>
    </row>
    <row r="72" ht="15.75" customHeight="1" spans="1:62" x14ac:dyDescent="0.25">
      <c r="A72" s="14"/>
      <c r="B72" s="115" t="s">
        <v>248</v>
      </c>
      <c r="C72" s="115">
        <v>4.01</v>
      </c>
      <c r="D72" s="117" t="s">
        <v>249</v>
      </c>
      <c r="E72" s="119">
        <f>'2021'!I612</f>
        <v>3291</v>
      </c>
      <c r="F72" s="119">
        <f>'2021'!J612</f>
        <v>0</v>
      </c>
      <c r="G72" s="106">
        <f>'2021'!K612</f>
        <v>0</v>
      </c>
      <c r="H72" s="106">
        <f>'2021'!L612</f>
      </c>
      <c r="I72" s="119">
        <f>'2021'!M612</f>
        <v>3291</v>
      </c>
      <c r="J72" s="119">
        <f>'2021'!N612</f>
        <v>0</v>
      </c>
      <c r="K72" s="106">
        <f>'2021'!O612</f>
        <v>0</v>
      </c>
      <c r="L72" s="106">
        <f>'2021'!P612</f>
      </c>
      <c r="M72" s="119">
        <f>'2021'!Q612</f>
        <v>3291</v>
      </c>
      <c r="N72" s="119">
        <f>'2021'!R612</f>
        <v>0</v>
      </c>
      <c r="O72" s="106">
        <f>'2021'!S612</f>
        <v>0</v>
      </c>
      <c r="P72" s="106">
        <f>'2021'!T612</f>
      </c>
      <c r="Q72" s="119">
        <f>'2021'!U612</f>
        <v>3291</v>
      </c>
      <c r="R72" s="119">
        <f>'2021'!V612</f>
        <v>0</v>
      </c>
      <c r="S72" s="106">
        <f>'2021'!W612</f>
        <v>0</v>
      </c>
      <c r="T72" s="106">
        <f>'2021'!X612</f>
      </c>
      <c r="U72" s="119">
        <f>'2021'!Y612</f>
        <v>3503</v>
      </c>
      <c r="V72" s="119">
        <f>'2021'!Z612</f>
        <v>212</v>
      </c>
      <c r="W72" s="106">
        <f>'2021'!AA612</f>
        <v>551.2</v>
      </c>
      <c r="X72" s="106">
        <f>'2021'!AB612</f>
      </c>
      <c r="Y72" s="119">
        <f>'2021'!AC612</f>
        <v>3503</v>
      </c>
      <c r="Z72" s="119">
        <f>'2021'!AD612</f>
        <v>0</v>
      </c>
      <c r="AA72" s="106">
        <f>'2021'!AE612</f>
        <v>0</v>
      </c>
      <c r="AB72" s="106">
        <f>'2021'!AF612</f>
        <v>552</v>
      </c>
      <c r="AC72" s="119">
        <f>'2021'!AG612</f>
        <v>3784</v>
      </c>
      <c r="AD72" s="119">
        <f>'2021'!AH612</f>
        <v>281</v>
      </c>
      <c r="AE72" s="106">
        <f>'2021'!AI612</f>
        <v>758.7</v>
      </c>
      <c r="AF72" s="106">
        <f>'2021'!AJ612</f>
        <v>757.9</v>
      </c>
      <c r="AG72" s="119">
        <f>'2021'!AK612</f>
        <v>3903</v>
      </c>
      <c r="AH72" s="119">
        <f>'2021'!AL612</f>
        <v>119</v>
      </c>
      <c r="AI72" s="106">
        <f>'2021'!AM612</f>
        <v>321.3</v>
      </c>
      <c r="AJ72" s="106">
        <f>'2021'!AN612</f>
        <v>321.3</v>
      </c>
      <c r="AK72" s="119">
        <f>'2021'!AO612</f>
        <v>4097</v>
      </c>
      <c r="AL72" s="119">
        <f>'2021'!AP612</f>
        <v>194</v>
      </c>
      <c r="AM72" s="106">
        <f>'2021'!AQ612</f>
        <v>523.8</v>
      </c>
      <c r="AN72" s="106">
        <f>'2021'!AR612</f>
      </c>
      <c r="AO72" s="119">
        <f>'2021'!AS612</f>
        <v>4097</v>
      </c>
      <c r="AP72" s="119">
        <f>'2021'!AT612</f>
        <v>0</v>
      </c>
      <c r="AQ72" s="106">
        <f>'2021'!AU612</f>
        <v>0</v>
      </c>
      <c r="AR72" s="106">
        <f>'2021'!AV612</f>
      </c>
      <c r="AS72" s="119">
        <f>'2021'!AW612</f>
        <v>4097</v>
      </c>
      <c r="AT72" s="119">
        <f>'2021'!AX612</f>
        <v>0</v>
      </c>
      <c r="AU72" s="106">
        <f>'2021'!AY612</f>
        <v>0</v>
      </c>
      <c r="AV72" s="106">
        <f>'2021'!AZ612</f>
      </c>
      <c r="AW72" s="106"/>
      <c r="AX72" s="106">
        <f t="shared" si="0"/>
        <v>0</v>
      </c>
      <c r="AY72" s="119">
        <f>'2021'!BA612</f>
        <v>4097</v>
      </c>
      <c r="AZ72" s="119">
        <f>'2021'!BB612</f>
        <v>0</v>
      </c>
      <c r="BA72" s="106">
        <f>'2021'!BC612</f>
        <v>0</v>
      </c>
      <c r="BB72" s="106">
        <f>'2021'!BD612</f>
      </c>
      <c r="BC72" s="106"/>
      <c r="BD72" s="106">
        <f t="shared" si="1"/>
        <v>0</v>
      </c>
      <c r="BE72" s="119">
        <f>'2021'!BE612</f>
        <v>806</v>
      </c>
      <c r="BF72" s="106">
        <f>'2021'!BF612</f>
        <v>2155</v>
      </c>
      <c r="BG72" s="106">
        <f>'2021'!BG612</f>
        <v>1631.2</v>
      </c>
      <c r="BH72" s="106">
        <f>'2021'!BH612</f>
        <v>523.8</v>
      </c>
      <c r="BI72" s="106">
        <f t="shared" si="2"/>
        <v>0</v>
      </c>
      <c r="BJ72" s="338">
        <f t="shared" si="3"/>
        <v>523.8</v>
      </c>
    </row>
    <row r="73" ht="15.75" customHeight="1" spans="1:62" x14ac:dyDescent="0.25">
      <c r="A73" s="14"/>
      <c r="B73" s="115" t="s">
        <v>248</v>
      </c>
      <c r="C73" s="115">
        <v>4.02</v>
      </c>
      <c r="D73" s="117" t="s">
        <v>249</v>
      </c>
      <c r="E73" s="119">
        <f>'2021'!I621</f>
        <v>0</v>
      </c>
      <c r="F73" s="119">
        <f>'2021'!J621</f>
        <v>0</v>
      </c>
      <c r="G73" s="106">
        <f>'2021'!K621</f>
        <v>0</v>
      </c>
      <c r="H73" s="106">
        <f>'2021'!L621</f>
      </c>
      <c r="I73" s="119">
        <f>'2021'!M621</f>
        <v>0</v>
      </c>
      <c r="J73" s="119">
        <f>'2021'!N621</f>
        <v>0</v>
      </c>
      <c r="K73" s="106">
        <f>'2021'!O621</f>
        <v>0</v>
      </c>
      <c r="L73" s="106">
        <f>'2021'!P621</f>
      </c>
      <c r="M73" s="119">
        <f>'2021'!Q621</f>
        <v>0</v>
      </c>
      <c r="N73" s="119">
        <f>'2021'!R621</f>
        <v>0</v>
      </c>
      <c r="O73" s="106">
        <f>'2021'!S621</f>
        <v>0</v>
      </c>
      <c r="P73" s="106">
        <f>'2021'!T621</f>
      </c>
      <c r="Q73" s="119">
        <f>'2021'!U621</f>
        <v>0</v>
      </c>
      <c r="R73" s="119">
        <f>'2021'!V621</f>
        <v>0</v>
      </c>
      <c r="S73" s="106">
        <f>'2021'!W621</f>
        <v>0</v>
      </c>
      <c r="T73" s="106">
        <f>'2021'!X621</f>
      </c>
      <c r="U73" s="119">
        <f>'2021'!Y621</f>
      </c>
      <c r="V73" s="119">
        <f>'2021'!Z621</f>
        <v>0</v>
      </c>
      <c r="W73" s="106">
        <f>'2021'!AA621</f>
        <v>0</v>
      </c>
      <c r="X73" s="106">
        <f>'2021'!AB621</f>
      </c>
      <c r="Y73" s="119">
        <f>'2021'!AC621</f>
      </c>
      <c r="Z73" s="119">
        <f>'2021'!AD621</f>
        <v>0</v>
      </c>
      <c r="AA73" s="106">
        <f>'2021'!AE621</f>
        <v>0</v>
      </c>
      <c r="AB73" s="106">
        <f>'2021'!AF621</f>
      </c>
      <c r="AC73" s="119">
        <f>'2021'!AG621</f>
      </c>
      <c r="AD73" s="119">
        <f>'2021'!AH621</f>
        <v>0</v>
      </c>
      <c r="AE73" s="106">
        <f>'2021'!AI621</f>
        <v>0</v>
      </c>
      <c r="AF73" s="106">
        <f>'2021'!AJ621</f>
      </c>
      <c r="AG73" s="119">
        <f>'2021'!AK621</f>
      </c>
      <c r="AH73" s="119">
        <f>'2021'!AL621</f>
        <v>0</v>
      </c>
      <c r="AI73" s="106">
        <f>'2021'!AM621</f>
        <v>0</v>
      </c>
      <c r="AJ73" s="106">
        <f>'2021'!AN621</f>
      </c>
      <c r="AK73" s="119">
        <f>'2021'!AO621</f>
      </c>
      <c r="AL73" s="119">
        <f>'2021'!AP621</f>
        <v>0</v>
      </c>
      <c r="AM73" s="106">
        <f>'2021'!AQ621</f>
        <v>0</v>
      </c>
      <c r="AN73" s="106">
        <f>'2021'!AR621</f>
      </c>
      <c r="AO73" s="119">
        <f>'2021'!AS621</f>
      </c>
      <c r="AP73" s="119">
        <f>'2021'!AT621</f>
        <v>0</v>
      </c>
      <c r="AQ73" s="106">
        <f>'2021'!AU621</f>
        <v>0</v>
      </c>
      <c r="AR73" s="106">
        <f>'2021'!AV621</f>
      </c>
      <c r="AS73" s="119">
        <f>'2021'!AW621</f>
      </c>
      <c r="AT73" s="119">
        <f>'2021'!AX621</f>
        <v>0</v>
      </c>
      <c r="AU73" s="106">
        <f>'2021'!AY621</f>
        <v>0</v>
      </c>
      <c r="AV73" s="106">
        <f>'2021'!AZ621</f>
      </c>
      <c r="AW73" s="106"/>
      <c r="AX73" s="106">
        <f t="shared" si="0"/>
        <v>0</v>
      </c>
      <c r="AY73" s="119">
        <f>'2021'!BA621</f>
      </c>
      <c r="AZ73" s="119">
        <f>'2021'!BB621</f>
        <v>0</v>
      </c>
      <c r="BA73" s="106">
        <f>'2021'!BC621</f>
        <v>0</v>
      </c>
      <c r="BB73" s="106">
        <f>'2021'!BD621</f>
      </c>
      <c r="BC73" s="106"/>
      <c r="BD73" s="106">
        <f t="shared" si="1"/>
        <v>0</v>
      </c>
      <c r="BE73" s="119">
        <f>'2021'!BE621</f>
        <v>0</v>
      </c>
      <c r="BF73" s="106">
        <f>'2021'!BF621</f>
        <v>0</v>
      </c>
      <c r="BG73" s="106">
        <f>'2021'!BG621</f>
        <v>0</v>
      </c>
      <c r="BH73" s="106">
        <f>'2021'!BH621</f>
        <v>0</v>
      </c>
      <c r="BI73" s="106">
        <f t="shared" si="2"/>
        <v>0</v>
      </c>
      <c r="BJ73" s="338">
        <f t="shared" si="3"/>
        <v>0</v>
      </c>
    </row>
    <row r="74" ht="15.75" customHeight="1" spans="1:62" x14ac:dyDescent="0.25">
      <c r="A74" s="14"/>
      <c r="B74" s="125">
        <v>69</v>
      </c>
      <c r="C74" s="115">
        <v>4.03</v>
      </c>
      <c r="D74" s="117" t="s">
        <v>253</v>
      </c>
      <c r="E74" s="119">
        <f>'2021'!I630</f>
        <v>27738</v>
      </c>
      <c r="F74" s="119">
        <f>'2021'!J630</f>
        <v>917</v>
      </c>
      <c r="G74" s="106">
        <f>'2021'!K630</f>
        <v>2384.2</v>
      </c>
      <c r="H74" s="106">
        <f>'2021'!L630</f>
      </c>
      <c r="I74" s="119">
        <f>'2021'!M630</f>
        <v>28490</v>
      </c>
      <c r="J74" s="119">
        <f>'2021'!N630</f>
        <v>752</v>
      </c>
      <c r="K74" s="106">
        <f>'2021'!O630</f>
        <v>1955.2</v>
      </c>
      <c r="L74" s="106">
        <f>'2021'!P630</f>
        <v>1950</v>
      </c>
      <c r="M74" s="119">
        <f>'2021'!Q630</f>
        <v>29021</v>
      </c>
      <c r="N74" s="119">
        <f>'2021'!R630</f>
        <v>531</v>
      </c>
      <c r="O74" s="106">
        <f>'2021'!S630</f>
        <v>1380.6</v>
      </c>
      <c r="P74" s="106">
        <f>'2021'!T630</f>
        <v>2600</v>
      </c>
      <c r="Q74" s="119">
        <f>'2021'!U630</f>
        <v>29372</v>
      </c>
      <c r="R74" s="119">
        <f>'2021'!V630</f>
        <v>351</v>
      </c>
      <c r="S74" s="106">
        <f>'2021'!W630</f>
        <v>912.6</v>
      </c>
      <c r="T74" s="106">
        <f>'2021'!X630</f>
        <v>2600</v>
      </c>
      <c r="U74" s="119">
        <f>'2021'!Y630</f>
        <v>29699</v>
      </c>
      <c r="V74" s="119">
        <f>'2021'!Z630</f>
        <v>327</v>
      </c>
      <c r="W74" s="106">
        <f>'2021'!AA630</f>
        <v>850.2</v>
      </c>
      <c r="X74" s="106">
        <f>'2021'!AB630</f>
      </c>
      <c r="Y74" s="119">
        <f>'2021'!AC630</f>
        <v>30009</v>
      </c>
      <c r="Z74" s="119">
        <f>'2021'!AD630</f>
        <v>310</v>
      </c>
      <c r="AA74" s="106">
        <f>'2021'!AE630</f>
        <v>806</v>
      </c>
      <c r="AB74" s="106">
        <f>'2021'!AF630</f>
        <v>1950</v>
      </c>
      <c r="AC74" s="119">
        <f>'2021'!AG630</f>
        <v>30325</v>
      </c>
      <c r="AD74" s="119">
        <f>'2021'!AH630</f>
        <v>316</v>
      </c>
      <c r="AE74" s="106">
        <f>'2021'!AI630</f>
        <v>853.2</v>
      </c>
      <c r="AF74" s="106">
        <f>'2021'!AJ630</f>
      </c>
      <c r="AG74" s="119">
        <f>'2021'!AK630</f>
        <v>30643</v>
      </c>
      <c r="AH74" s="119">
        <f>'2021'!AL630</f>
        <v>318</v>
      </c>
      <c r="AI74" s="106">
        <f>'2021'!AM630</f>
        <v>858.6</v>
      </c>
      <c r="AJ74" s="106">
        <f>'2021'!AN630</f>
      </c>
      <c r="AK74" s="119">
        <f>'2021'!AO630</f>
        <v>30956</v>
      </c>
      <c r="AL74" s="119">
        <f>'2021'!AP630</f>
        <v>313</v>
      </c>
      <c r="AM74" s="106">
        <f>'2021'!AQ630</f>
        <v>845.1</v>
      </c>
      <c r="AN74" s="106">
        <f>'2021'!AR630</f>
        <v>1998</v>
      </c>
      <c r="AO74" s="119">
        <f>'2021'!AS630</f>
        <v>31282</v>
      </c>
      <c r="AP74" s="119">
        <f>'2021'!AT630</f>
        <v>326</v>
      </c>
      <c r="AQ74" s="106">
        <f>'2021'!AU630</f>
        <v>880.2</v>
      </c>
      <c r="AR74" s="106">
        <f>'2021'!AV630</f>
      </c>
      <c r="AS74" s="126">
        <f>'2021'!AW630</f>
        <v>31974</v>
      </c>
      <c r="AT74" s="119">
        <f>'2021'!AX630</f>
        <v>692</v>
      </c>
      <c r="AU74" s="106">
        <f>'2021'!AY630</f>
        <v>1868.4</v>
      </c>
      <c r="AV74" s="106">
        <f>'2021'!AZ630</f>
        <v>1350</v>
      </c>
      <c r="AW74" s="119"/>
      <c r="AX74" s="106">
        <f t="shared" si="0"/>
        <v>0</v>
      </c>
      <c r="AY74" s="119">
        <f>'2021'!BA630</f>
        <v>32551</v>
      </c>
      <c r="AZ74" s="119">
        <f>'2021'!BB630</f>
        <v>577</v>
      </c>
      <c r="BA74" s="106">
        <f>'2021'!BC630</f>
        <v>1557.9</v>
      </c>
      <c r="BB74" s="106">
        <f>'2021'!BD630</f>
        <v>2700</v>
      </c>
      <c r="BC74" s="106"/>
      <c r="BD74" s="106">
        <f t="shared" si="1"/>
        <v>0</v>
      </c>
      <c r="BE74" s="119">
        <f>'2021'!BE630</f>
        <v>5730</v>
      </c>
      <c r="BF74" s="106">
        <f>'2021'!BF630</f>
        <v>15152.2</v>
      </c>
      <c r="BG74" s="106">
        <f>'2021'!BG630</f>
        <v>15148</v>
      </c>
      <c r="BH74" s="106">
        <f>'2021'!BH630</f>
        <v>1015.2</v>
      </c>
      <c r="BI74" s="106">
        <f t="shared" si="2"/>
        <v>0</v>
      </c>
      <c r="BJ74" s="338">
        <f t="shared" si="3"/>
        <v>1015.2</v>
      </c>
    </row>
    <row r="75" ht="15.75" customHeight="1" spans="1:62" x14ac:dyDescent="0.25">
      <c r="A75" s="14"/>
      <c r="B75" s="115">
        <v>71</v>
      </c>
      <c r="C75" s="115">
        <v>5.98</v>
      </c>
      <c r="D75" s="117" t="s">
        <v>255</v>
      </c>
      <c r="E75" s="119">
        <f>'2021'!I639</f>
        <v>150</v>
      </c>
      <c r="F75" s="119">
        <f>'2021'!J639</f>
        <v>0</v>
      </c>
      <c r="G75" s="106">
        <f>'2021'!K639</f>
        <v>0</v>
      </c>
      <c r="H75" s="106">
        <f>'2021'!L639</f>
      </c>
      <c r="I75" s="119">
        <f>'2021'!M639</f>
        <v>150</v>
      </c>
      <c r="J75" s="119">
        <f>'2021'!N639</f>
        <v>0</v>
      </c>
      <c r="K75" s="106">
        <f>'2021'!O639</f>
        <v>0</v>
      </c>
      <c r="L75" s="106">
        <f>'2021'!P639</f>
      </c>
      <c r="M75" s="119">
        <f>'2021'!Q639</f>
        <v>150</v>
      </c>
      <c r="N75" s="119">
        <f>'2021'!R639</f>
        <v>0</v>
      </c>
      <c r="O75" s="106">
        <f>'2021'!S639</f>
        <v>0</v>
      </c>
      <c r="P75" s="106">
        <f>'2021'!T639</f>
      </c>
      <c r="Q75" s="119">
        <f>'2021'!U639</f>
        <v>150</v>
      </c>
      <c r="R75" s="119">
        <f>'2021'!V639</f>
        <v>0</v>
      </c>
      <c r="S75" s="106">
        <f>'2021'!W639</f>
        <v>0</v>
      </c>
      <c r="T75" s="106">
        <f>'2021'!X639</f>
      </c>
      <c r="U75" s="119">
        <f>'2021'!Y639</f>
        <v>151</v>
      </c>
      <c r="V75" s="119">
        <f>'2021'!Z639</f>
        <v>1</v>
      </c>
      <c r="W75" s="106">
        <f>'2021'!AA639</f>
        <v>2.6</v>
      </c>
      <c r="X75" s="106">
        <f>'2021'!AB639</f>
      </c>
      <c r="Y75" s="119">
        <f>'2021'!AC639</f>
        <v>154</v>
      </c>
      <c r="Z75" s="119">
        <f>'2021'!AD639</f>
        <v>3</v>
      </c>
      <c r="AA75" s="106">
        <f>'2021'!AE639</f>
        <v>7.8</v>
      </c>
      <c r="AB75" s="106">
        <f>'2021'!AF639</f>
        <v>61.48</v>
      </c>
      <c r="AC75" s="119">
        <f>'2021'!AG639</f>
        <v>157</v>
      </c>
      <c r="AD75" s="119">
        <f>'2021'!AH639</f>
        <v>3</v>
      </c>
      <c r="AE75" s="106">
        <f>'2021'!AI639</f>
        <v>8.1</v>
      </c>
      <c r="AF75" s="106">
        <f>'2021'!AJ639</f>
        <v>8.1</v>
      </c>
      <c r="AG75" s="119">
        <f>'2021'!AK639</f>
        <v>158</v>
      </c>
      <c r="AH75" s="119">
        <f>'2021'!AL639</f>
        <v>1</v>
      </c>
      <c r="AI75" s="106">
        <f>'2021'!AM639</f>
        <v>2.7</v>
      </c>
      <c r="AJ75" s="106">
        <f>'2021'!AN639</f>
        <v>2.7</v>
      </c>
      <c r="AK75" s="119">
        <f>'2021'!AO639</f>
        <v>166</v>
      </c>
      <c r="AL75" s="119">
        <f>'2021'!AP639</f>
        <v>8</v>
      </c>
      <c r="AM75" s="106">
        <f>'2021'!AQ639</f>
        <v>21.6</v>
      </c>
      <c r="AN75" s="106">
        <f>'2021'!AR639</f>
      </c>
      <c r="AO75" s="119">
        <f>'2021'!AS639</f>
        <v>174</v>
      </c>
      <c r="AP75" s="119">
        <f>'2021'!AT639</f>
        <v>8</v>
      </c>
      <c r="AQ75" s="106">
        <f>'2021'!AU639</f>
        <v>21.6</v>
      </c>
      <c r="AR75" s="106">
        <f>'2021'!AV639</f>
      </c>
      <c r="AS75" s="119">
        <f>'2021'!AW639</f>
        <v>174</v>
      </c>
      <c r="AT75" s="119">
        <f>'2021'!AX639</f>
        <v>0</v>
      </c>
      <c r="AU75" s="106">
        <f>'2021'!AY639</f>
        <v>0</v>
      </c>
      <c r="AV75" s="106">
        <f>'2021'!AZ639</f>
      </c>
      <c r="AW75" s="106"/>
      <c r="AX75" s="106">
        <f t="shared" si="0"/>
        <v>0</v>
      </c>
      <c r="AY75" s="119">
        <f>'2021'!BA639</f>
        <v>174</v>
      </c>
      <c r="AZ75" s="119">
        <f>'2021'!BB639</f>
        <v>0</v>
      </c>
      <c r="BA75" s="106">
        <f>'2021'!BC639</f>
        <v>0</v>
      </c>
      <c r="BB75" s="106">
        <f>'2021'!BD639</f>
      </c>
      <c r="BC75" s="106"/>
      <c r="BD75" s="106">
        <f t="shared" si="1"/>
        <v>0</v>
      </c>
      <c r="BE75" s="119">
        <f>'2021'!BE639</f>
        <v>24</v>
      </c>
      <c r="BF75" s="106">
        <f>'2021'!BF639</f>
        <v>64.4</v>
      </c>
      <c r="BG75" s="106">
        <f>'2021'!BG639</f>
        <v>72.28</v>
      </c>
      <c r="BH75" s="106">
        <f>'2021'!BH639</f>
        <v>43.2</v>
      </c>
      <c r="BI75" s="106">
        <f t="shared" si="2"/>
        <v>0</v>
      </c>
      <c r="BJ75" s="338">
        <f t="shared" si="3"/>
        <v>43.2</v>
      </c>
    </row>
    <row r="76" ht="15.75" customHeight="1" spans="1:62" x14ac:dyDescent="0.25">
      <c r="A76" s="14"/>
      <c r="B76" s="125">
        <v>72</v>
      </c>
      <c r="C76" s="115">
        <v>4.03</v>
      </c>
      <c r="D76" s="117" t="s">
        <v>257</v>
      </c>
      <c r="E76" s="119">
        <f>'2021'!I648</f>
        <v>1517</v>
      </c>
      <c r="F76" s="119">
        <f>'2021'!J648</f>
        <v>0</v>
      </c>
      <c r="G76" s="106">
        <f>'2021'!K648</f>
        <v>0</v>
      </c>
      <c r="H76" s="106">
        <f>'2021'!L648</f>
      </c>
      <c r="I76" s="119">
        <f>'2021'!M648</f>
        <v>1517</v>
      </c>
      <c r="J76" s="119">
        <f>'2021'!N648</f>
        <v>0</v>
      </c>
      <c r="K76" s="106">
        <f>'2021'!O648</f>
        <v>0</v>
      </c>
      <c r="L76" s="106">
        <f>'2021'!P648</f>
      </c>
      <c r="M76" s="119">
        <f>'2021'!Q648</f>
        <v>1517</v>
      </c>
      <c r="N76" s="119">
        <f>'2021'!R648</f>
        <v>0</v>
      </c>
      <c r="O76" s="106">
        <f>'2021'!S648</f>
        <v>0</v>
      </c>
      <c r="P76" s="106">
        <f>'2021'!T648</f>
      </c>
      <c r="Q76" s="119">
        <f>'2021'!U648</f>
        <v>1517</v>
      </c>
      <c r="R76" s="119">
        <f>'2021'!V648</f>
        <v>0</v>
      </c>
      <c r="S76" s="106">
        <f>'2021'!W648</f>
        <v>0</v>
      </c>
      <c r="T76" s="106">
        <f>'2021'!X648</f>
      </c>
      <c r="U76" s="119">
        <f>'2021'!Y648</f>
        <v>1662</v>
      </c>
      <c r="V76" s="119">
        <f>'2021'!Z648</f>
        <v>145</v>
      </c>
      <c r="W76" s="106">
        <f>'2021'!AA648</f>
        <v>377</v>
      </c>
      <c r="X76" s="106">
        <f>'2021'!AB648</f>
      </c>
      <c r="Y76" s="119">
        <f>'2021'!AC648</f>
        <v>2097</v>
      </c>
      <c r="Z76" s="119">
        <f>'2021'!AD648</f>
        <v>435</v>
      </c>
      <c r="AA76" s="106">
        <f>'2021'!AE648</f>
        <v>1131</v>
      </c>
      <c r="AB76" s="106">
        <f>'2021'!AF648</f>
        <v>2722.87</v>
      </c>
      <c r="AC76" s="119">
        <f>'2021'!AG648</f>
        <v>2494</v>
      </c>
      <c r="AD76" s="119">
        <f>'2021'!AH648</f>
        <v>397</v>
      </c>
      <c r="AE76" s="106">
        <f>'2021'!AI648</f>
        <v>1071.9</v>
      </c>
      <c r="AF76" s="106">
        <f>'2021'!AJ648</f>
      </c>
      <c r="AG76" s="119">
        <f>'2021'!AK648</f>
        <v>2896</v>
      </c>
      <c r="AH76" s="119">
        <f>'2021'!AL648</f>
        <v>402</v>
      </c>
      <c r="AI76" s="106">
        <f>'2021'!AM648</f>
        <v>1085.4</v>
      </c>
      <c r="AJ76" s="106">
        <f>'2021'!AN648</f>
      </c>
      <c r="AK76" s="119">
        <f>'2021'!AO648</f>
        <v>3617</v>
      </c>
      <c r="AL76" s="119">
        <f>'2021'!AP648</f>
        <v>721</v>
      </c>
      <c r="AM76" s="106">
        <f>'2021'!AQ648</f>
        <v>1946.7</v>
      </c>
      <c r="AN76" s="106">
        <f>'2021'!AR648</f>
      </c>
      <c r="AO76" s="119">
        <f>'2021'!AS648</f>
        <v>4210</v>
      </c>
      <c r="AP76" s="119">
        <f>'2021'!AT648</f>
        <v>593</v>
      </c>
      <c r="AQ76" s="106">
        <f>'2021'!AU648</f>
        <v>1601.1</v>
      </c>
      <c r="AR76" s="106">
        <f>'2021'!AV648</f>
      </c>
      <c r="AS76" s="119">
        <f>'2021'!AW648</f>
        <v>4925</v>
      </c>
      <c r="AT76" s="119">
        <f>'2021'!AX648</f>
        <v>715</v>
      </c>
      <c r="AU76" s="106">
        <f>'2021'!AY648</f>
        <v>1930.5</v>
      </c>
      <c r="AV76" s="106">
        <f>'2021'!AZ648</f>
      </c>
      <c r="AW76" s="106"/>
      <c r="AX76" s="106">
        <f t="shared" si="0"/>
        <v>0</v>
      </c>
      <c r="AY76" s="119">
        <f>'2021'!BA648</f>
        <v>5478</v>
      </c>
      <c r="AZ76" s="119">
        <f>'2021'!BB648</f>
        <v>553</v>
      </c>
      <c r="BA76" s="106">
        <f>'2021'!BC648</f>
        <v>1493.1</v>
      </c>
      <c r="BB76" s="106">
        <f>'2021'!BD648</f>
      </c>
      <c r="BC76" s="106"/>
      <c r="BD76" s="106">
        <f t="shared" si="1"/>
        <v>0</v>
      </c>
      <c r="BE76" s="119">
        <f>'2021'!BE648</f>
        <v>3961</v>
      </c>
      <c r="BF76" s="106">
        <f>'2021'!BF648</f>
        <v>10636.7</v>
      </c>
      <c r="BG76" s="106">
        <f>'2021'!BG648</f>
        <v>2722.87</v>
      </c>
      <c r="BH76" s="106">
        <f>'2021'!BH648</f>
        <v>9128.7</v>
      </c>
      <c r="BI76" s="106">
        <f t="shared" si="2"/>
        <v>0</v>
      </c>
      <c r="BJ76" s="338">
        <f t="shared" si="3"/>
        <v>9128.7</v>
      </c>
    </row>
    <row r="77" ht="15.75" customHeight="1" spans="1:62" x14ac:dyDescent="0.25">
      <c r="A77" s="14"/>
      <c r="B77" s="115">
        <v>73</v>
      </c>
      <c r="C77" s="115">
        <v>4.02</v>
      </c>
      <c r="D77" s="117" t="s">
        <v>259</v>
      </c>
      <c r="E77" s="119">
        <f>'2021'!I657</f>
        <v>0</v>
      </c>
      <c r="F77" s="119">
        <f>'2021'!J657</f>
        <v>0</v>
      </c>
      <c r="G77" s="106">
        <f>'2021'!K657</f>
        <v>0</v>
      </c>
      <c r="H77" s="106">
        <f>'2021'!L657</f>
      </c>
      <c r="I77" s="119">
        <f>'2021'!M657</f>
        <v>0</v>
      </c>
      <c r="J77" s="119">
        <f>'2021'!N657</f>
        <v>0</v>
      </c>
      <c r="K77" s="106">
        <f>'2021'!O657</f>
        <v>0</v>
      </c>
      <c r="L77" s="106">
        <f>'2021'!P657</f>
      </c>
      <c r="M77" s="119">
        <f>'2021'!Q657</f>
        <v>0</v>
      </c>
      <c r="N77" s="119">
        <f>'2021'!R657</f>
        <v>0</v>
      </c>
      <c r="O77" s="106">
        <f>'2021'!S657</f>
        <v>0</v>
      </c>
      <c r="P77" s="106">
        <f>'2021'!T657</f>
      </c>
      <c r="Q77" s="119">
        <f>'2021'!U657</f>
        <v>0</v>
      </c>
      <c r="R77" s="119">
        <f>'2021'!V657</f>
        <v>0</v>
      </c>
      <c r="S77" s="106">
        <f>'2021'!W657</f>
        <v>0</v>
      </c>
      <c r="T77" s="106">
        <f>'2021'!X657</f>
      </c>
      <c r="U77" s="119">
        <f>'2021'!Y657</f>
      </c>
      <c r="V77" s="119">
        <f>'2021'!Z657</f>
        <v>0</v>
      </c>
      <c r="W77" s="106">
        <f>'2021'!AA657</f>
        <v>0</v>
      </c>
      <c r="X77" s="106">
        <f>'2021'!AB657</f>
      </c>
      <c r="Y77" s="119">
        <f>'2021'!AC657</f>
      </c>
      <c r="Z77" s="119">
        <f>'2021'!AD657</f>
        <v>0</v>
      </c>
      <c r="AA77" s="106">
        <f>'2021'!AE657</f>
        <v>0</v>
      </c>
      <c r="AB77" s="106">
        <f>'2021'!AF657</f>
      </c>
      <c r="AC77" s="119">
        <f>'2021'!AG657</f>
      </c>
      <c r="AD77" s="119">
        <f>'2021'!AH657</f>
        <v>0</v>
      </c>
      <c r="AE77" s="106">
        <f>'2021'!AI657</f>
        <v>0</v>
      </c>
      <c r="AF77" s="106">
        <f>'2021'!AJ657</f>
      </c>
      <c r="AG77" s="119">
        <f>'2021'!AK657</f>
      </c>
      <c r="AH77" s="119">
        <f>'2021'!AL657</f>
        <v>0</v>
      </c>
      <c r="AI77" s="106">
        <f>'2021'!AM657</f>
        <v>0</v>
      </c>
      <c r="AJ77" s="106">
        <f>'2021'!AN657</f>
      </c>
      <c r="AK77" s="119">
        <f>'2021'!AO657</f>
      </c>
      <c r="AL77" s="119">
        <f>'2021'!AP657</f>
        <v>0</v>
      </c>
      <c r="AM77" s="106">
        <f>'2021'!AQ657</f>
        <v>0</v>
      </c>
      <c r="AN77" s="106">
        <f>'2021'!AR657</f>
      </c>
      <c r="AO77" s="119">
        <f>'2021'!AS657</f>
      </c>
      <c r="AP77" s="119">
        <f>'2021'!AT657</f>
        <v>0</v>
      </c>
      <c r="AQ77" s="106">
        <f>'2021'!AU657</f>
        <v>0</v>
      </c>
      <c r="AR77" s="106">
        <f>'2021'!AV657</f>
      </c>
      <c r="AS77" s="119">
        <f>'2021'!AW657</f>
      </c>
      <c r="AT77" s="119">
        <f>'2021'!AX657</f>
        <v>0</v>
      </c>
      <c r="AU77" s="106">
        <f>'2021'!AY657</f>
        <v>0</v>
      </c>
      <c r="AV77" s="106">
        <f>'2021'!AZ657</f>
      </c>
      <c r="AW77" s="106"/>
      <c r="AX77" s="106">
        <f t="shared" si="0"/>
        <v>0</v>
      </c>
      <c r="AY77" s="119">
        <f>'2021'!BA657</f>
      </c>
      <c r="AZ77" s="119">
        <f>'2021'!BB657</f>
        <v>0</v>
      </c>
      <c r="BA77" s="106">
        <f>'2021'!BC657</f>
        <v>0</v>
      </c>
      <c r="BB77" s="106">
        <f>'2021'!BD657</f>
      </c>
      <c r="BC77" s="106"/>
      <c r="BD77" s="106">
        <f t="shared" si="1"/>
        <v>0</v>
      </c>
      <c r="BE77" s="119">
        <f>'2021'!BE657</f>
        <v>0</v>
      </c>
      <c r="BF77" s="106">
        <f>'2021'!BF657</f>
        <v>0</v>
      </c>
      <c r="BG77" s="106">
        <f>'2021'!BG657</f>
        <v>0</v>
      </c>
      <c r="BH77" s="106">
        <f>'2021'!BH657</f>
        <v>0</v>
      </c>
      <c r="BI77" s="106">
        <f t="shared" si="2"/>
        <v>0</v>
      </c>
      <c r="BJ77" s="338">
        <f t="shared" si="3"/>
        <v>0</v>
      </c>
    </row>
    <row r="78" ht="15.75" customHeight="1" spans="1:62" x14ac:dyDescent="0.25">
      <c r="A78" s="21"/>
      <c r="B78" s="115">
        <v>74</v>
      </c>
      <c r="C78" s="115">
        <v>4.97</v>
      </c>
      <c r="D78" s="117" t="s">
        <v>262</v>
      </c>
      <c r="E78" s="119">
        <f>'2021'!I666</f>
        <v>0</v>
      </c>
      <c r="F78" s="119">
        <f>'2021'!J666</f>
        <v>0</v>
      </c>
      <c r="G78" s="106">
        <f>'2021'!K666</f>
        <v>0</v>
      </c>
      <c r="H78" s="106">
        <f>'2021'!L666</f>
      </c>
      <c r="I78" s="119">
        <f>'2021'!M666</f>
        <v>0</v>
      </c>
      <c r="J78" s="119">
        <f>'2021'!N666</f>
        <v>0</v>
      </c>
      <c r="K78" s="106">
        <f>'2021'!O666</f>
        <v>0</v>
      </c>
      <c r="L78" s="106">
        <f>'2021'!P666</f>
      </c>
      <c r="M78" s="119">
        <f>'2021'!Q666</f>
        <v>0</v>
      </c>
      <c r="N78" s="119">
        <f>'2021'!R666</f>
        <v>0</v>
      </c>
      <c r="O78" s="106">
        <f>'2021'!S666</f>
        <v>0</v>
      </c>
      <c r="P78" s="106">
        <f>'2021'!T666</f>
      </c>
      <c r="Q78" s="119">
        <f>'2021'!U666</f>
        <v>0</v>
      </c>
      <c r="R78" s="119">
        <f>'2021'!V666</f>
        <v>0</v>
      </c>
      <c r="S78" s="106">
        <f>'2021'!W666</f>
        <v>0</v>
      </c>
      <c r="T78" s="106">
        <f>'2021'!X666</f>
      </c>
      <c r="U78" s="119">
        <f>'2021'!Y666</f>
      </c>
      <c r="V78" s="119">
        <f>'2021'!Z666</f>
        <v>0</v>
      </c>
      <c r="W78" s="106">
        <f>'2021'!AA666</f>
        <v>0</v>
      </c>
      <c r="X78" s="106">
        <f>'2021'!AB666</f>
      </c>
      <c r="Y78" s="119">
        <f>'2021'!AC666</f>
      </c>
      <c r="Z78" s="119">
        <f>'2021'!AD666</f>
        <v>0</v>
      </c>
      <c r="AA78" s="106">
        <f>'2021'!AE666</f>
        <v>0</v>
      </c>
      <c r="AB78" s="106">
        <f>'2021'!AF666</f>
      </c>
      <c r="AC78" s="119">
        <f>'2021'!AG666</f>
      </c>
      <c r="AD78" s="119">
        <f>'2021'!AH666</f>
        <v>0</v>
      </c>
      <c r="AE78" s="106">
        <f>'2021'!AI666</f>
        <v>0</v>
      </c>
      <c r="AF78" s="106">
        <f>'2021'!AJ666</f>
      </c>
      <c r="AG78" s="119">
        <f>'2021'!AK666</f>
      </c>
      <c r="AH78" s="119">
        <f>'2021'!AL666</f>
        <v>0</v>
      </c>
      <c r="AI78" s="106">
        <f>'2021'!AM666</f>
        <v>0</v>
      </c>
      <c r="AJ78" s="106">
        <f>'2021'!AN666</f>
      </c>
      <c r="AK78" s="119">
        <f>'2021'!AO666</f>
      </c>
      <c r="AL78" s="119">
        <f>'2021'!AP666</f>
        <v>0</v>
      </c>
      <c r="AM78" s="106">
        <f>'2021'!AQ666</f>
        <v>0</v>
      </c>
      <c r="AN78" s="106">
        <f>'2021'!AR666</f>
      </c>
      <c r="AO78" s="119">
        <f>'2021'!AS666</f>
      </c>
      <c r="AP78" s="119">
        <f>'2021'!AT666</f>
        <v>0</v>
      </c>
      <c r="AQ78" s="106">
        <f>'2021'!AU666</f>
        <v>0</v>
      </c>
      <c r="AR78" s="106">
        <f>'2021'!AV666</f>
      </c>
      <c r="AS78" s="119">
        <f>'2021'!AW666</f>
      </c>
      <c r="AT78" s="119">
        <f>'2021'!AX666</f>
        <v>0</v>
      </c>
      <c r="AU78" s="106">
        <f>'2021'!AY666</f>
        <v>0</v>
      </c>
      <c r="AV78" s="106">
        <f>'2021'!AZ666</f>
      </c>
      <c r="AW78" s="106"/>
      <c r="AX78" s="106">
        <f t="shared" si="0"/>
        <v>0</v>
      </c>
      <c r="AY78" s="119">
        <f>'2021'!BA666</f>
      </c>
      <c r="AZ78" s="119">
        <f>'2021'!BB666</f>
        <v>0</v>
      </c>
      <c r="BA78" s="106">
        <f>'2021'!BC666</f>
        <v>0</v>
      </c>
      <c r="BB78" s="106">
        <f>'2021'!BD666</f>
      </c>
      <c r="BC78" s="106"/>
      <c r="BD78" s="106">
        <f t="shared" si="1"/>
        <v>0</v>
      </c>
      <c r="BE78" s="119">
        <f>'2021'!BE666</f>
        <v>0</v>
      </c>
      <c r="BF78" s="106">
        <f>'2021'!BF666</f>
        <v>0</v>
      </c>
      <c r="BG78" s="106">
        <f>'2021'!BG666</f>
        <v>0</v>
      </c>
      <c r="BH78" s="106">
        <f>'2021'!BH666</f>
        <v>0</v>
      </c>
      <c r="BI78" s="106">
        <f t="shared" si="2"/>
        <v>0</v>
      </c>
      <c r="BJ78" s="338">
        <f t="shared" si="3"/>
        <v>0</v>
      </c>
    </row>
    <row r="79" ht="15.75" customHeight="1" spans="1:62" x14ac:dyDescent="0.25">
      <c r="A79" s="114" t="s">
        <v>264</v>
      </c>
      <c r="B79" s="115">
        <v>75</v>
      </c>
      <c r="C79" s="115">
        <v>4.15</v>
      </c>
      <c r="D79" s="117" t="s">
        <v>265</v>
      </c>
      <c r="E79" s="119">
        <f>'2021'!I675</f>
        <v>0</v>
      </c>
      <c r="F79" s="119">
        <f>'2021'!J675</f>
        <v>0</v>
      </c>
      <c r="G79" s="106">
        <f>'2021'!K675</f>
        <v>0</v>
      </c>
      <c r="H79" s="106">
        <f>'2021'!L675</f>
      </c>
      <c r="I79" s="119">
        <f>'2021'!M675</f>
        <v>0</v>
      </c>
      <c r="J79" s="119">
        <f>'2021'!N675</f>
        <v>0</v>
      </c>
      <c r="K79" s="106">
        <f>'2021'!O675</f>
        <v>0</v>
      </c>
      <c r="L79" s="106">
        <f>'2021'!P675</f>
      </c>
      <c r="M79" s="119">
        <f>'2021'!Q675</f>
        <v>0</v>
      </c>
      <c r="N79" s="119">
        <f>'2021'!R675</f>
        <v>0</v>
      </c>
      <c r="O79" s="106">
        <f>'2021'!S675</f>
        <v>0</v>
      </c>
      <c r="P79" s="106">
        <f>'2021'!T675</f>
      </c>
      <c r="Q79" s="119">
        <f>'2021'!U675</f>
        <v>0</v>
      </c>
      <c r="R79" s="119">
        <f>'2021'!V675</f>
        <v>0</v>
      </c>
      <c r="S79" s="106">
        <f>'2021'!W675</f>
        <v>0</v>
      </c>
      <c r="T79" s="106">
        <f>'2021'!X675</f>
      </c>
      <c r="U79" s="119">
        <f>'2021'!Y675</f>
      </c>
      <c r="V79" s="119">
        <f>'2021'!Z675</f>
        <v>0</v>
      </c>
      <c r="W79" s="106">
        <f>'2021'!AA675</f>
        <v>0</v>
      </c>
      <c r="X79" s="106">
        <f>'2021'!AB675</f>
      </c>
      <c r="Y79" s="119">
        <f>'2021'!AC675</f>
      </c>
      <c r="Z79" s="119">
        <f>'2021'!AD675</f>
        <v>0</v>
      </c>
      <c r="AA79" s="106">
        <f>'2021'!AE675</f>
        <v>0</v>
      </c>
      <c r="AB79" s="106">
        <f>'2021'!AF675</f>
      </c>
      <c r="AC79" s="119">
        <f>'2021'!AG675</f>
      </c>
      <c r="AD79" s="119">
        <f>'2021'!AH675</f>
        <v>0</v>
      </c>
      <c r="AE79" s="106">
        <f>'2021'!AI675</f>
        <v>0</v>
      </c>
      <c r="AF79" s="106">
        <f>'2021'!AJ675</f>
      </c>
      <c r="AG79" s="119">
        <f>'2021'!AK675</f>
      </c>
      <c r="AH79" s="119">
        <f>'2021'!AL675</f>
        <v>0</v>
      </c>
      <c r="AI79" s="106">
        <f>'2021'!AM675</f>
        <v>0</v>
      </c>
      <c r="AJ79" s="106">
        <f>'2021'!AN675</f>
      </c>
      <c r="AK79" s="119">
        <f>'2021'!AO675</f>
      </c>
      <c r="AL79" s="119">
        <f>'2021'!AP675</f>
        <v>0</v>
      </c>
      <c r="AM79" s="106">
        <f>'2021'!AQ675</f>
        <v>0</v>
      </c>
      <c r="AN79" s="106">
        <f>'2021'!AR675</f>
      </c>
      <c r="AO79" s="119">
        <f>'2021'!AS675</f>
      </c>
      <c r="AP79" s="119">
        <f>'2021'!AT675</f>
        <v>0</v>
      </c>
      <c r="AQ79" s="106">
        <f>'2021'!AU675</f>
        <v>0</v>
      </c>
      <c r="AR79" s="106">
        <f>'2021'!AV675</f>
      </c>
      <c r="AS79" s="119">
        <f>'2021'!AW675</f>
      </c>
      <c r="AT79" s="119">
        <f>'2021'!AX675</f>
        <v>0</v>
      </c>
      <c r="AU79" s="106">
        <f>'2021'!AY675</f>
        <v>0</v>
      </c>
      <c r="AV79" s="106">
        <f>'2021'!AZ675</f>
      </c>
      <c r="AW79" s="106"/>
      <c r="AX79" s="106">
        <f t="shared" si="0"/>
        <v>0</v>
      </c>
      <c r="AY79" s="119">
        <f>'2021'!BA675</f>
      </c>
      <c r="AZ79" s="119">
        <f>'2021'!BB675</f>
        <v>0</v>
      </c>
      <c r="BA79" s="106">
        <f>'2021'!BC675</f>
        <v>0</v>
      </c>
      <c r="BB79" s="106">
        <f>'2021'!BD675</f>
      </c>
      <c r="BC79" s="106"/>
      <c r="BD79" s="106">
        <f t="shared" si="1"/>
        <v>0</v>
      </c>
      <c r="BE79" s="119">
        <f>'2021'!BE675</f>
        <v>0</v>
      </c>
      <c r="BF79" s="106">
        <f>'2021'!BF675</f>
        <v>0</v>
      </c>
      <c r="BG79" s="106">
        <f>'2021'!BG675</f>
        <v>0</v>
      </c>
      <c r="BH79" s="106">
        <f>'2021'!BH675</f>
        <v>0</v>
      </c>
      <c r="BI79" s="106">
        <f t="shared" si="2"/>
        <v>0</v>
      </c>
      <c r="BJ79" s="338">
        <f t="shared" si="3"/>
        <v>0</v>
      </c>
    </row>
    <row r="80" ht="15.75" customHeight="1" spans="1:62" x14ac:dyDescent="0.25">
      <c r="A80" s="14"/>
      <c r="B80" s="115">
        <v>76</v>
      </c>
      <c r="C80" s="115">
        <v>4.15</v>
      </c>
      <c r="D80" s="117" t="s">
        <v>267</v>
      </c>
      <c r="E80" s="119">
        <f>'2021'!I684</f>
        <v>0</v>
      </c>
      <c r="F80" s="119">
        <f>'2021'!J684</f>
        <v>0</v>
      </c>
      <c r="G80" s="106">
        <f>'2021'!K684</f>
        <v>0</v>
      </c>
      <c r="H80" s="106">
        <f>'2021'!L684</f>
      </c>
      <c r="I80" s="119">
        <f>'2021'!M684</f>
        <v>0</v>
      </c>
      <c r="J80" s="119">
        <f>'2021'!N684</f>
        <v>0</v>
      </c>
      <c r="K80" s="106">
        <f>'2021'!O684</f>
        <v>0</v>
      </c>
      <c r="L80" s="106">
        <f>'2021'!P684</f>
      </c>
      <c r="M80" s="119">
        <f>'2021'!Q684</f>
        <v>0</v>
      </c>
      <c r="N80" s="119">
        <f>'2021'!R684</f>
        <v>0</v>
      </c>
      <c r="O80" s="106">
        <f>'2021'!S684</f>
        <v>0</v>
      </c>
      <c r="P80" s="106">
        <f>'2021'!T684</f>
      </c>
      <c r="Q80" s="119">
        <f>'2021'!U684</f>
        <v>0</v>
      </c>
      <c r="R80" s="119">
        <f>'2021'!V684</f>
        <v>0</v>
      </c>
      <c r="S80" s="106">
        <f>'2021'!W684</f>
        <v>0</v>
      </c>
      <c r="T80" s="106">
        <f>'2021'!X684</f>
      </c>
      <c r="U80" s="119">
        <f>'2021'!Y684</f>
      </c>
      <c r="V80" s="119">
        <f>'2021'!Z684</f>
        <v>0</v>
      </c>
      <c r="W80" s="106">
        <f>'2021'!AA684</f>
        <v>0</v>
      </c>
      <c r="X80" s="106">
        <f>'2021'!AB684</f>
      </c>
      <c r="Y80" s="119">
        <f>'2021'!AC684</f>
      </c>
      <c r="Z80" s="119">
        <f>'2021'!AD684</f>
        <v>0</v>
      </c>
      <c r="AA80" s="106">
        <f>'2021'!AE684</f>
        <v>0</v>
      </c>
      <c r="AB80" s="106">
        <f>'2021'!AF684</f>
      </c>
      <c r="AC80" s="119">
        <f>'2021'!AG684</f>
      </c>
      <c r="AD80" s="119">
        <f>'2021'!AH684</f>
        <v>0</v>
      </c>
      <c r="AE80" s="106">
        <f>'2021'!AI684</f>
        <v>0</v>
      </c>
      <c r="AF80" s="106">
        <f>'2021'!AJ684</f>
      </c>
      <c r="AG80" s="119">
        <f>'2021'!AK684</f>
      </c>
      <c r="AH80" s="119">
        <f>'2021'!AL684</f>
        <v>0</v>
      </c>
      <c r="AI80" s="106">
        <f>'2021'!AM684</f>
        <v>0</v>
      </c>
      <c r="AJ80" s="106">
        <f>'2021'!AN684</f>
      </c>
      <c r="AK80" s="119">
        <f>'2021'!AO684</f>
      </c>
      <c r="AL80" s="119">
        <f>'2021'!AP684</f>
        <v>0</v>
      </c>
      <c r="AM80" s="106">
        <f>'2021'!AQ684</f>
        <v>0</v>
      </c>
      <c r="AN80" s="106">
        <f>'2021'!AR684</f>
      </c>
      <c r="AO80" s="119">
        <f>'2021'!AS684</f>
      </c>
      <c r="AP80" s="119">
        <f>'2021'!AT684</f>
        <v>0</v>
      </c>
      <c r="AQ80" s="106">
        <f>'2021'!AU684</f>
        <v>0</v>
      </c>
      <c r="AR80" s="106">
        <f>'2021'!AV684</f>
      </c>
      <c r="AS80" s="119">
        <f>'2021'!AW684</f>
      </c>
      <c r="AT80" s="119">
        <f>'2021'!AX684</f>
        <v>0</v>
      </c>
      <c r="AU80" s="106">
        <f>'2021'!AY684</f>
        <v>0</v>
      </c>
      <c r="AV80" s="106">
        <f>'2021'!AZ684</f>
      </c>
      <c r="AW80" s="106"/>
      <c r="AX80" s="106">
        <f t="shared" si="0"/>
        <v>0</v>
      </c>
      <c r="AY80" s="119">
        <f>'2021'!BA684</f>
      </c>
      <c r="AZ80" s="119">
        <f>'2021'!BB684</f>
        <v>0</v>
      </c>
      <c r="BA80" s="106">
        <f>'2021'!BC684</f>
        <v>0</v>
      </c>
      <c r="BB80" s="106">
        <f>'2021'!BD684</f>
      </c>
      <c r="BC80" s="106"/>
      <c r="BD80" s="106">
        <f t="shared" si="1"/>
        <v>0</v>
      </c>
      <c r="BE80" s="119">
        <f>'2021'!BE684</f>
        <v>0</v>
      </c>
      <c r="BF80" s="106">
        <f>'2021'!BF684</f>
        <v>0</v>
      </c>
      <c r="BG80" s="106">
        <f>'2021'!BG684</f>
        <v>0</v>
      </c>
      <c r="BH80" s="106">
        <f>'2021'!BH684</f>
        <v>0</v>
      </c>
      <c r="BI80" s="106">
        <f t="shared" si="2"/>
        <v>0</v>
      </c>
      <c r="BJ80" s="338">
        <f t="shared" si="3"/>
        <v>0</v>
      </c>
    </row>
    <row r="81" ht="15.75" customHeight="1" spans="1:62" x14ac:dyDescent="0.25">
      <c r="A81" s="14"/>
      <c r="B81" s="115">
        <v>77</v>
      </c>
      <c r="C81" s="115">
        <v>4.12</v>
      </c>
      <c r="D81" s="117" t="s">
        <v>268</v>
      </c>
      <c r="E81" s="119">
        <f>'2021'!I693</f>
        <v>2180</v>
      </c>
      <c r="F81" s="119">
        <f>'2021'!J693</f>
        <v>0</v>
      </c>
      <c r="G81" s="106">
        <f>'2021'!K693</f>
        <v>0</v>
      </c>
      <c r="H81" s="106">
        <f>'2021'!L693</f>
      </c>
      <c r="I81" s="119">
        <f>'2021'!M693</f>
        <v>2180</v>
      </c>
      <c r="J81" s="119">
        <f>'2021'!N693</f>
        <v>0</v>
      </c>
      <c r="K81" s="106">
        <f>'2021'!O693</f>
        <v>0</v>
      </c>
      <c r="L81" s="106">
        <f>'2021'!P693</f>
      </c>
      <c r="M81" s="119">
        <f>'2021'!Q693</f>
        <v>2180</v>
      </c>
      <c r="N81" s="119">
        <f>'2021'!R693</f>
        <v>0</v>
      </c>
      <c r="O81" s="106">
        <f>'2021'!S693</f>
        <v>0</v>
      </c>
      <c r="P81" s="106">
        <f>'2021'!T693</f>
      </c>
      <c r="Q81" s="119">
        <f>'2021'!U693</f>
        <v>2180</v>
      </c>
      <c r="R81" s="119">
        <f>'2021'!V693</f>
        <v>0</v>
      </c>
      <c r="S81" s="106">
        <f>'2021'!W693</f>
        <v>0</v>
      </c>
      <c r="T81" s="106">
        <f>'2021'!X693</f>
      </c>
      <c r="U81" s="119">
        <f>'2021'!Y693</f>
        <v>2241</v>
      </c>
      <c r="V81" s="119">
        <f>'2021'!Z693</f>
        <v>61</v>
      </c>
      <c r="W81" s="106">
        <f>'2021'!AA693</f>
        <v>158.6</v>
      </c>
      <c r="X81" s="106">
        <f>'2021'!AB693</f>
      </c>
      <c r="Y81" s="119">
        <f>'2021'!AC693</f>
        <v>2370</v>
      </c>
      <c r="Z81" s="119">
        <f>'2021'!AD693</f>
        <v>129</v>
      </c>
      <c r="AA81" s="106">
        <f>'2021'!AE693</f>
        <v>335.4</v>
      </c>
      <c r="AB81" s="106">
        <f>'2021'!AF693</f>
        <v>494</v>
      </c>
      <c r="AC81" s="119">
        <f>'2021'!AG693</f>
        <v>2492</v>
      </c>
      <c r="AD81" s="119">
        <f>'2021'!AH693</f>
        <v>122</v>
      </c>
      <c r="AE81" s="106">
        <f>'2021'!AI693</f>
        <v>329.4</v>
      </c>
      <c r="AF81" s="106">
        <f>'2021'!AJ693</f>
        <v>329.4</v>
      </c>
      <c r="AG81" s="119">
        <f>'2021'!AK693</f>
        <v>2595</v>
      </c>
      <c r="AH81" s="119">
        <f>'2021'!AL693</f>
        <v>103</v>
      </c>
      <c r="AI81" s="106">
        <f>'2021'!AM693</f>
        <v>278.1</v>
      </c>
      <c r="AJ81" s="106">
        <f>'2021'!AN693</f>
        <v>278.1</v>
      </c>
      <c r="AK81" s="119">
        <f>'2021'!AO693</f>
        <v>2667</v>
      </c>
      <c r="AL81" s="119">
        <f>'2021'!AP693</f>
        <v>72</v>
      </c>
      <c r="AM81" s="106">
        <f>'2021'!AQ693</f>
        <v>194.4</v>
      </c>
      <c r="AN81" s="106">
        <f>'2021'!AR693</f>
      </c>
      <c r="AO81" s="119">
        <f>'2021'!AS693</f>
        <v>2667</v>
      </c>
      <c r="AP81" s="119">
        <f>'2021'!AT693</f>
        <v>0</v>
      </c>
      <c r="AQ81" s="106">
        <f>'2021'!AU693</f>
        <v>0</v>
      </c>
      <c r="AR81" s="106">
        <f>'2021'!AV693</f>
      </c>
      <c r="AS81" s="119">
        <f>'2021'!AW693</f>
        <v>2667</v>
      </c>
      <c r="AT81" s="119">
        <f>'2021'!AX693</f>
        <v>0</v>
      </c>
      <c r="AU81" s="106">
        <f>'2021'!AY693</f>
        <v>0</v>
      </c>
      <c r="AV81" s="106">
        <f>'2021'!AZ693</f>
      </c>
      <c r="AW81" s="106"/>
      <c r="AX81" s="106">
        <f t="shared" si="0"/>
        <v>0</v>
      </c>
      <c r="AY81" s="119">
        <f>'2021'!BA693</f>
        <v>2667</v>
      </c>
      <c r="AZ81" s="119">
        <f>'2021'!BB693</f>
        <v>0</v>
      </c>
      <c r="BA81" s="106">
        <f>'2021'!BC693</f>
        <v>0</v>
      </c>
      <c r="BB81" s="106">
        <f>'2021'!BD693</f>
      </c>
      <c r="BC81" s="106"/>
      <c r="BD81" s="106">
        <f t="shared" si="1"/>
        <v>0</v>
      </c>
      <c r="BE81" s="119">
        <f>'2021'!BE693</f>
        <v>487</v>
      </c>
      <c r="BF81" s="106">
        <f>'2021'!BF693</f>
        <v>1295.9</v>
      </c>
      <c r="BG81" s="106">
        <f>'2021'!BG693</f>
        <v>1101.5</v>
      </c>
      <c r="BH81" s="106">
        <f>'2021'!BH693</f>
        <v>194.4</v>
      </c>
      <c r="BI81" s="106">
        <f t="shared" si="2"/>
        <v>0</v>
      </c>
      <c r="BJ81" s="338">
        <f t="shared" si="3"/>
        <v>194.4</v>
      </c>
    </row>
    <row r="82" ht="15.75" customHeight="1" spans="1:62" x14ac:dyDescent="0.25">
      <c r="A82" s="14"/>
      <c r="B82" s="115">
        <v>78</v>
      </c>
      <c r="C82" s="115">
        <v>4.03</v>
      </c>
      <c r="D82" s="117" t="s">
        <v>271</v>
      </c>
      <c r="E82" s="119">
        <f>'2021'!I702</f>
        <v>75</v>
      </c>
      <c r="F82" s="119">
        <f>'2021'!J702</f>
        <v>0</v>
      </c>
      <c r="G82" s="106">
        <f>'2021'!K702</f>
        <v>0</v>
      </c>
      <c r="H82" s="106">
        <f>'2021'!L702</f>
      </c>
      <c r="I82" s="119">
        <f>'2021'!M702</f>
        <v>75</v>
      </c>
      <c r="J82" s="119">
        <f>'2021'!N702</f>
        <v>0</v>
      </c>
      <c r="K82" s="106">
        <f>'2021'!O702</f>
        <v>0</v>
      </c>
      <c r="L82" s="106">
        <f>'2021'!P702</f>
      </c>
      <c r="M82" s="119">
        <f>'2021'!Q702</f>
        <v>75</v>
      </c>
      <c r="N82" s="119">
        <f>'2021'!R702</f>
        <v>0</v>
      </c>
      <c r="O82" s="106">
        <f>'2021'!S702</f>
        <v>0</v>
      </c>
      <c r="P82" s="106">
        <f>'2021'!T702</f>
      </c>
      <c r="Q82" s="119">
        <f>'2021'!U702</f>
        <v>75</v>
      </c>
      <c r="R82" s="119">
        <f>'2021'!V702</f>
        <v>0</v>
      </c>
      <c r="S82" s="106">
        <f>'2021'!W702</f>
        <v>0</v>
      </c>
      <c r="T82" s="106">
        <f>'2021'!X702</f>
      </c>
      <c r="U82" s="119">
        <f>'2021'!Y702</f>
        <v>83</v>
      </c>
      <c r="V82" s="119">
        <f>'2021'!Z702</f>
        <v>8</v>
      </c>
      <c r="W82" s="106">
        <f>'2021'!AA702</f>
        <v>20.8</v>
      </c>
      <c r="X82" s="106">
        <f>'2021'!AB702</f>
      </c>
      <c r="Y82" s="119">
        <f>'2021'!AC702</f>
        <v>86</v>
      </c>
      <c r="Z82" s="119">
        <f>'2021'!AD702</f>
        <v>3</v>
      </c>
      <c r="AA82" s="106">
        <f>'2021'!AE702</f>
        <v>7.8</v>
      </c>
      <c r="AB82" s="106">
        <f>'2021'!AF702</f>
        <v>67.65</v>
      </c>
      <c r="AC82" s="119">
        <f>'2021'!AG702</f>
        <v>88</v>
      </c>
      <c r="AD82" s="119">
        <f>'2021'!AH702</f>
        <v>2</v>
      </c>
      <c r="AE82" s="106">
        <f>'2021'!AI702</f>
        <v>5.4</v>
      </c>
      <c r="AF82" s="106">
        <f>'2021'!AJ702</f>
        <v>5.4</v>
      </c>
      <c r="AG82" s="119">
        <f>'2021'!AK702</f>
        <v>89</v>
      </c>
      <c r="AH82" s="119">
        <f>'2021'!AL702</f>
        <v>1</v>
      </c>
      <c r="AI82" s="106">
        <f>'2021'!AM702</f>
        <v>2.7</v>
      </c>
      <c r="AJ82" s="106">
        <f>'2021'!AN702</f>
        <v>2.7</v>
      </c>
      <c r="AK82" s="119">
        <f>'2021'!AO702</f>
        <v>94</v>
      </c>
      <c r="AL82" s="119">
        <f>'2021'!AP702</f>
        <v>5</v>
      </c>
      <c r="AM82" s="106">
        <f>'2021'!AQ702</f>
        <v>13.5</v>
      </c>
      <c r="AN82" s="106">
        <f>'2021'!AR702</f>
      </c>
      <c r="AO82" s="119">
        <f>'2021'!AS702</f>
        <v>120</v>
      </c>
      <c r="AP82" s="119">
        <f>'2021'!AT702</f>
        <v>26</v>
      </c>
      <c r="AQ82" s="106">
        <f>'2021'!AU702</f>
        <v>70.2</v>
      </c>
      <c r="AR82" s="106">
        <f>'2021'!AV702</f>
      </c>
      <c r="AS82" s="119">
        <f>'2021'!AW702</f>
        <v>121</v>
      </c>
      <c r="AT82" s="119">
        <f>'2021'!AX702</f>
        <v>1</v>
      </c>
      <c r="AU82" s="106">
        <f>'2021'!AY702</f>
        <v>2.7</v>
      </c>
      <c r="AV82" s="106">
        <f>'2021'!AZ702</f>
      </c>
      <c r="AW82" s="106"/>
      <c r="AX82" s="106">
        <f t="shared" si="0"/>
        <v>0</v>
      </c>
      <c r="AY82" s="119">
        <f>'2021'!BA702</f>
        <v>121</v>
      </c>
      <c r="AZ82" s="119">
        <f>'2021'!BB702</f>
        <v>0</v>
      </c>
      <c r="BA82" s="106">
        <f>'2021'!BC702</f>
        <v>0</v>
      </c>
      <c r="BB82" s="106">
        <f>'2021'!BD702</f>
      </c>
      <c r="BC82" s="106"/>
      <c r="BD82" s="106">
        <f t="shared" si="1"/>
        <v>0</v>
      </c>
      <c r="BE82" s="119">
        <f>'2021'!BE702</f>
        <v>46</v>
      </c>
      <c r="BF82" s="106">
        <f>'2021'!BF702</f>
        <v>123.1</v>
      </c>
      <c r="BG82" s="106">
        <f>'2021'!BG702</f>
        <v>75.75</v>
      </c>
      <c r="BH82" s="106">
        <f>'2021'!BH702</f>
        <v>86.4</v>
      </c>
      <c r="BI82" s="106">
        <f t="shared" si="2"/>
        <v>0</v>
      </c>
      <c r="BJ82" s="338">
        <f t="shared" si="3"/>
        <v>86.4</v>
      </c>
    </row>
    <row r="83" ht="15.75" customHeight="1" spans="1:62" x14ac:dyDescent="0.25">
      <c r="A83" s="14"/>
      <c r="B83" s="115">
        <v>79</v>
      </c>
      <c r="C83" s="115">
        <v>4.24</v>
      </c>
      <c r="D83" s="117" t="s">
        <v>275</v>
      </c>
      <c r="E83" s="119">
        <f>'2021'!I711</f>
        <v>28</v>
      </c>
      <c r="F83" s="119">
        <f>'2021'!J711</f>
        <v>0</v>
      </c>
      <c r="G83" s="106">
        <f>'2021'!K711</f>
        <v>0</v>
      </c>
      <c r="H83" s="106">
        <f>'2021'!L711</f>
      </c>
      <c r="I83" s="119">
        <f>'2021'!M711</f>
        <v>28</v>
      </c>
      <c r="J83" s="119">
        <f>'2021'!N711</f>
        <v>0</v>
      </c>
      <c r="K83" s="106">
        <f>'2021'!O711</f>
        <v>0</v>
      </c>
      <c r="L83" s="106">
        <f>'2021'!P711</f>
      </c>
      <c r="M83" s="119">
        <f>'2021'!Q711</f>
        <v>28</v>
      </c>
      <c r="N83" s="119">
        <f>'2021'!R711</f>
        <v>0</v>
      </c>
      <c r="O83" s="106">
        <f>'2021'!S711</f>
        <v>0</v>
      </c>
      <c r="P83" s="106">
        <f>'2021'!T711</f>
      </c>
      <c r="Q83" s="119">
        <f>'2021'!U711</f>
        <v>28</v>
      </c>
      <c r="R83" s="119">
        <f>'2021'!V711</f>
        <v>0</v>
      </c>
      <c r="S83" s="106">
        <f>'2021'!W711</f>
        <v>0</v>
      </c>
      <c r="T83" s="106">
        <f>'2021'!X711</f>
      </c>
      <c r="U83" s="119">
        <f>'2021'!Y711</f>
        <v>29</v>
      </c>
      <c r="V83" s="119">
        <f>'2021'!Z711</f>
        <v>1</v>
      </c>
      <c r="W83" s="106">
        <f>'2021'!AA711</f>
        <v>2.6</v>
      </c>
      <c r="X83" s="106">
        <f>'2021'!AB711</f>
      </c>
      <c r="Y83" s="119">
        <f>'2021'!AC711</f>
        <v>29</v>
      </c>
      <c r="Z83" s="119">
        <f>'2021'!AD711</f>
        <v>0</v>
      </c>
      <c r="AA83" s="106">
        <f>'2021'!AE711</f>
        <v>0</v>
      </c>
      <c r="AB83" s="106">
        <f>'2021'!AF711</f>
      </c>
      <c r="AC83" s="119">
        <f>'2021'!AG711</f>
        <v>29</v>
      </c>
      <c r="AD83" s="119">
        <f>'2021'!AH711</f>
        <v>0</v>
      </c>
      <c r="AE83" s="106">
        <f>'2021'!AI711</f>
        <v>0</v>
      </c>
      <c r="AF83" s="106">
        <f>'2021'!AJ711</f>
      </c>
      <c r="AG83" s="119">
        <f>'2021'!AK711</f>
        <v>29</v>
      </c>
      <c r="AH83" s="119">
        <f>'2021'!AL711</f>
        <v>0</v>
      </c>
      <c r="AI83" s="106">
        <f>'2021'!AM711</f>
        <v>0</v>
      </c>
      <c r="AJ83" s="106">
        <f>'2021'!AN711</f>
      </c>
      <c r="AK83" s="119">
        <f>'2021'!AO711</f>
        <v>35</v>
      </c>
      <c r="AL83" s="119">
        <f>'2021'!AP711</f>
        <v>6</v>
      </c>
      <c r="AM83" s="106">
        <f>'2021'!AQ711</f>
        <v>16.2</v>
      </c>
      <c r="AN83" s="106">
        <f>'2021'!AR711</f>
      </c>
      <c r="AO83" s="119">
        <f>'2021'!AS711</f>
        <v>35</v>
      </c>
      <c r="AP83" s="119">
        <f>'2021'!AT711</f>
        <v>0</v>
      </c>
      <c r="AQ83" s="106">
        <f>'2021'!AU711</f>
        <v>0</v>
      </c>
      <c r="AR83" s="106">
        <f>'2021'!AV711</f>
      </c>
      <c r="AS83" s="119">
        <f>'2021'!AW711</f>
        <v>43</v>
      </c>
      <c r="AT83" s="119">
        <f>'2021'!AX711</f>
        <v>8</v>
      </c>
      <c r="AU83" s="106">
        <f>'2021'!AY711</f>
        <v>21.6</v>
      </c>
      <c r="AV83" s="106">
        <f>'2021'!AZ711</f>
      </c>
      <c r="AW83" s="106"/>
      <c r="AX83" s="106">
        <f t="shared" si="0"/>
        <v>0</v>
      </c>
      <c r="AY83" s="119">
        <f>'2021'!BA711</f>
        <v>43</v>
      </c>
      <c r="AZ83" s="119">
        <f>'2021'!BB711</f>
        <v>0</v>
      </c>
      <c r="BA83" s="106">
        <f>'2021'!BC711</f>
        <v>0</v>
      </c>
      <c r="BB83" s="106">
        <f>'2021'!BD711</f>
      </c>
      <c r="BC83" s="106"/>
      <c r="BD83" s="106">
        <f t="shared" si="1"/>
        <v>0</v>
      </c>
      <c r="BE83" s="119">
        <f>'2021'!BE711</f>
        <v>15</v>
      </c>
      <c r="BF83" s="106">
        <f>'2021'!BF711</f>
        <v>40.4</v>
      </c>
      <c r="BG83" s="106">
        <f>'2021'!BG711</f>
        <v>0</v>
      </c>
      <c r="BH83" s="106">
        <f>'2021'!BH711</f>
        <v>40.4</v>
      </c>
      <c r="BI83" s="106">
        <f t="shared" si="2"/>
        <v>0</v>
      </c>
      <c r="BJ83" s="338">
        <f t="shared" si="3"/>
        <v>40.4</v>
      </c>
    </row>
    <row r="84" ht="15.75" customHeight="1" spans="1:62" x14ac:dyDescent="0.25">
      <c r="A84" s="14"/>
      <c r="B84" s="115">
        <v>81</v>
      </c>
      <c r="C84" s="116">
        <v>4.3</v>
      </c>
      <c r="D84" s="117" t="s">
        <v>278</v>
      </c>
      <c r="E84" s="119">
        <f>'2021'!I720</f>
        <v>0</v>
      </c>
      <c r="F84" s="119">
        <f>'2021'!J720</f>
        <v>0</v>
      </c>
      <c r="G84" s="106">
        <f>'2021'!K720</f>
        <v>0</v>
      </c>
      <c r="H84" s="106">
        <f>'2021'!L720</f>
      </c>
      <c r="I84" s="119">
        <f>'2021'!M720</f>
        <v>0</v>
      </c>
      <c r="J84" s="119">
        <f>'2021'!N720</f>
        <v>0</v>
      </c>
      <c r="K84" s="106">
        <f>'2021'!O720</f>
        <v>0</v>
      </c>
      <c r="L84" s="106">
        <f>'2021'!P720</f>
      </c>
      <c r="M84" s="119">
        <f>'2021'!Q720</f>
        <v>0</v>
      </c>
      <c r="N84" s="119">
        <f>'2021'!R720</f>
        <v>0</v>
      </c>
      <c r="O84" s="106">
        <f>'2021'!S720</f>
        <v>0</v>
      </c>
      <c r="P84" s="106">
        <f>'2021'!T720</f>
      </c>
      <c r="Q84" s="119">
        <f>'2021'!U720</f>
        <v>0</v>
      </c>
      <c r="R84" s="119">
        <f>'2021'!V720</f>
        <v>0</v>
      </c>
      <c r="S84" s="106">
        <f>'2021'!W720</f>
        <v>0</v>
      </c>
      <c r="T84" s="106">
        <f>'2021'!X720</f>
      </c>
      <c r="U84" s="119">
        <f>'2021'!Y720</f>
        <v>4</v>
      </c>
      <c r="V84" s="119">
        <f>'2021'!Z720</f>
        <v>4</v>
      </c>
      <c r="W84" s="106">
        <f>'2021'!AA720</f>
        <v>10.4</v>
      </c>
      <c r="X84" s="106">
        <f>'2021'!AB720</f>
      </c>
      <c r="Y84" s="119">
        <f>'2021'!AC720</f>
        <v>7</v>
      </c>
      <c r="Z84" s="119">
        <f>'2021'!AD720</f>
        <v>3</v>
      </c>
      <c r="AA84" s="106">
        <f>'2021'!AE720</f>
        <v>7.8</v>
      </c>
      <c r="AB84" s="106">
        <f>'2021'!AF720</f>
      </c>
      <c r="AC84" s="119">
        <f>'2021'!AG720</f>
        <v>8</v>
      </c>
      <c r="AD84" s="119">
        <f>'2021'!AH720</f>
        <v>1</v>
      </c>
      <c r="AE84" s="106">
        <f>'2021'!AI720</f>
        <v>2.7</v>
      </c>
      <c r="AF84" s="106">
        <f>'2021'!AJ720</f>
      </c>
      <c r="AG84" s="119">
        <f>'2021'!AK720</f>
        <v>10</v>
      </c>
      <c r="AH84" s="119">
        <f>'2021'!AL720</f>
        <v>2</v>
      </c>
      <c r="AI84" s="106">
        <f>'2021'!AM720</f>
        <v>5.4</v>
      </c>
      <c r="AJ84" s="106">
        <f>'2021'!AN720</f>
      </c>
      <c r="AK84" s="119">
        <f>'2021'!AO720</f>
        <v>13</v>
      </c>
      <c r="AL84" s="119">
        <f>'2021'!AP720</f>
        <v>3</v>
      </c>
      <c r="AM84" s="106">
        <f>'2021'!AQ720</f>
        <v>8.1</v>
      </c>
      <c r="AN84" s="106">
        <f>'2021'!AR720</f>
      </c>
      <c r="AO84" s="119">
        <f>'2021'!AS720</f>
        <v>13</v>
      </c>
      <c r="AP84" s="119">
        <f>'2021'!AT720</f>
        <v>0</v>
      </c>
      <c r="AQ84" s="106">
        <f>'2021'!AU720</f>
        <v>0</v>
      </c>
      <c r="AR84" s="106">
        <f>'2021'!AV720</f>
      </c>
      <c r="AS84" s="119">
        <f>'2021'!AW720</f>
        <v>13</v>
      </c>
      <c r="AT84" s="119">
        <f>'2021'!AX720</f>
        <v>0</v>
      </c>
      <c r="AU84" s="106">
        <f>'2021'!AY720</f>
        <v>0</v>
      </c>
      <c r="AV84" s="106">
        <f>'2021'!AZ720</f>
      </c>
      <c r="AW84" s="106"/>
      <c r="AX84" s="106">
        <f t="shared" si="0"/>
        <v>0</v>
      </c>
      <c r="AY84" s="119">
        <f>'2021'!BA720</f>
        <v>13</v>
      </c>
      <c r="AZ84" s="119">
        <f>'2021'!BB720</f>
        <v>0</v>
      </c>
      <c r="BA84" s="106">
        <f>'2021'!BC720</f>
        <v>0</v>
      </c>
      <c r="BB84" s="106">
        <f>'2021'!BD720</f>
      </c>
      <c r="BC84" s="106"/>
      <c r="BD84" s="106">
        <f t="shared" si="1"/>
        <v>0</v>
      </c>
      <c r="BE84" s="119">
        <f>'2021'!BE720</f>
        <v>13</v>
      </c>
      <c r="BF84" s="106">
        <f>'2021'!BF720</f>
        <v>34.4</v>
      </c>
      <c r="BG84" s="106">
        <f>'2021'!BG720</f>
        <v>0</v>
      </c>
      <c r="BH84" s="106">
        <f>'2021'!BH720</f>
        <v>34.4</v>
      </c>
      <c r="BI84" s="106">
        <f t="shared" si="2"/>
        <v>0</v>
      </c>
      <c r="BJ84" s="338">
        <f t="shared" si="3"/>
        <v>34.4</v>
      </c>
    </row>
    <row r="85" ht="15.75" customHeight="1" spans="1:62" x14ac:dyDescent="0.25">
      <c r="A85" s="14"/>
      <c r="B85" s="115">
        <v>83</v>
      </c>
      <c r="C85" s="115">
        <v>4.29</v>
      </c>
      <c r="D85" s="117" t="s">
        <v>280</v>
      </c>
      <c r="E85" s="119">
        <f>'2021'!I729</f>
        <v>227</v>
      </c>
      <c r="F85" s="119">
        <f>'2021'!J729</f>
        <v>0</v>
      </c>
      <c r="G85" s="106">
        <f>'2021'!K729</f>
        <v>0</v>
      </c>
      <c r="H85" s="106">
        <f>'2021'!L729</f>
      </c>
      <c r="I85" s="119">
        <f>'2021'!M729</f>
        <v>227</v>
      </c>
      <c r="J85" s="119">
        <f>'2021'!N729</f>
        <v>0</v>
      </c>
      <c r="K85" s="106">
        <f>'2021'!O729</f>
        <v>0</v>
      </c>
      <c r="L85" s="106">
        <f>'2021'!P729</f>
      </c>
      <c r="M85" s="119">
        <f>'2021'!Q729</f>
        <v>227</v>
      </c>
      <c r="N85" s="119">
        <f>'2021'!R729</f>
        <v>0</v>
      </c>
      <c r="O85" s="106">
        <f>'2021'!S729</f>
        <v>0</v>
      </c>
      <c r="P85" s="106">
        <f>'2021'!T729</f>
      </c>
      <c r="Q85" s="119">
        <f>'2021'!U729</f>
        <v>227</v>
      </c>
      <c r="R85" s="119">
        <f>'2021'!V729</f>
        <v>0</v>
      </c>
      <c r="S85" s="106">
        <f>'2021'!W729</f>
        <v>0</v>
      </c>
      <c r="T85" s="106">
        <f>'2021'!X729</f>
      </c>
      <c r="U85" s="119">
        <f>'2021'!Y729</f>
        <v>229</v>
      </c>
      <c r="V85" s="119">
        <f>'2021'!Z729</f>
        <v>2</v>
      </c>
      <c r="W85" s="106">
        <f>'2021'!AA729</f>
        <v>5.2</v>
      </c>
      <c r="X85" s="106">
        <f>'2021'!AB729</f>
      </c>
      <c r="Y85" s="119">
        <f>'2021'!AC729</f>
        <v>230</v>
      </c>
      <c r="Z85" s="119">
        <f>'2021'!AD729</f>
        <v>1</v>
      </c>
      <c r="AA85" s="106">
        <f>'2021'!AE729</f>
        <v>2.6</v>
      </c>
      <c r="AB85" s="106">
        <f>'2021'!AF729</f>
      </c>
      <c r="AC85" s="119">
        <f>'2021'!AG729</f>
        <v>231</v>
      </c>
      <c r="AD85" s="119">
        <f>'2021'!AH729</f>
        <v>1</v>
      </c>
      <c r="AE85" s="106">
        <f>'2021'!AI729</f>
        <v>2.7</v>
      </c>
      <c r="AF85" s="106">
        <f>'2021'!AJ729</f>
      </c>
      <c r="AG85" s="119">
        <f>'2021'!AK729</f>
        <v>231</v>
      </c>
      <c r="AH85" s="119">
        <f>'2021'!AL729</f>
        <v>0</v>
      </c>
      <c r="AI85" s="106">
        <f>'2021'!AM729</f>
        <v>0</v>
      </c>
      <c r="AJ85" s="106">
        <f>'2021'!AN729</f>
        <v>185.71</v>
      </c>
      <c r="AK85" s="119">
        <f>'2021'!AO729</f>
        <v>231</v>
      </c>
      <c r="AL85" s="119">
        <f>'2021'!AP729</f>
        <v>0</v>
      </c>
      <c r="AM85" s="106">
        <f>'2021'!AQ729</f>
        <v>0</v>
      </c>
      <c r="AN85" s="106">
        <f>'2021'!AR729</f>
      </c>
      <c r="AO85" s="119">
        <f>'2021'!AS729</f>
        <v>231</v>
      </c>
      <c r="AP85" s="119">
        <f>'2021'!AT729</f>
        <v>0</v>
      </c>
      <c r="AQ85" s="106">
        <f>'2021'!AU729</f>
        <v>0</v>
      </c>
      <c r="AR85" s="106">
        <f>'2021'!AV729</f>
      </c>
      <c r="AS85" s="119">
        <f>'2021'!AW729</f>
        <v>231</v>
      </c>
      <c r="AT85" s="119">
        <f>'2021'!AX729</f>
        <v>0</v>
      </c>
      <c r="AU85" s="106">
        <f>'2021'!AY729</f>
        <v>0</v>
      </c>
      <c r="AV85" s="106">
        <f>'2021'!AZ729</f>
      </c>
      <c r="AW85" s="106"/>
      <c r="AX85" s="106">
        <f t="shared" si="0"/>
        <v>0</v>
      </c>
      <c r="AY85" s="119">
        <f>'2021'!BA729</f>
        <v>231</v>
      </c>
      <c r="AZ85" s="119">
        <f>'2021'!BB729</f>
        <v>0</v>
      </c>
      <c r="BA85" s="106">
        <f>'2021'!BC729</f>
        <v>0</v>
      </c>
      <c r="BB85" s="106">
        <f>'2021'!BD729</f>
      </c>
      <c r="BC85" s="106"/>
      <c r="BD85" s="106">
        <f t="shared" si="1"/>
        <v>0</v>
      </c>
      <c r="BE85" s="119">
        <f>'2021'!BE729</f>
        <v>4</v>
      </c>
      <c r="BF85" s="106">
        <f>'2021'!BF729</f>
        <v>10.5</v>
      </c>
      <c r="BG85" s="106">
        <f>'2021'!BG729</f>
        <v>185.71</v>
      </c>
      <c r="BH85" s="106">
        <f>'2021'!BH729</f>
        <v>0</v>
      </c>
      <c r="BI85" s="106">
        <f t="shared" si="2"/>
        <v>0</v>
      </c>
      <c r="BJ85" s="338">
        <f t="shared" si="3"/>
        <v>0</v>
      </c>
    </row>
    <row r="86" ht="15.75" customHeight="1" spans="1:62" x14ac:dyDescent="0.25">
      <c r="A86" s="14"/>
      <c r="B86" s="115">
        <v>85</v>
      </c>
      <c r="C86" s="115">
        <v>4.27</v>
      </c>
      <c r="D86" s="117" t="s">
        <v>282</v>
      </c>
      <c r="E86" s="119">
        <f>'2021'!I738</f>
        <v>3681</v>
      </c>
      <c r="F86" s="119">
        <f>'2021'!J738</f>
        <v>0</v>
      </c>
      <c r="G86" s="106">
        <f>'2021'!K738</f>
        <v>0</v>
      </c>
      <c r="H86" s="106">
        <f>'2021'!L738</f>
      </c>
      <c r="I86" s="119">
        <f>'2021'!M738</f>
        <v>3681</v>
      </c>
      <c r="J86" s="119">
        <f>'2021'!N738</f>
        <v>0</v>
      </c>
      <c r="K86" s="106">
        <f>'2021'!O738</f>
        <v>0</v>
      </c>
      <c r="L86" s="106">
        <f>'2021'!P738</f>
      </c>
      <c r="M86" s="119">
        <f>'2021'!Q738</f>
        <v>3681</v>
      </c>
      <c r="N86" s="119">
        <f>'2021'!R738</f>
        <v>0</v>
      </c>
      <c r="O86" s="106">
        <f>'2021'!S738</f>
        <v>0</v>
      </c>
      <c r="P86" s="106">
        <f>'2021'!T738</f>
      </c>
      <c r="Q86" s="119">
        <f>'2021'!U738</f>
        <v>3681</v>
      </c>
      <c r="R86" s="119">
        <f>'2021'!V738</f>
        <v>0</v>
      </c>
      <c r="S86" s="106">
        <f>'2021'!W738</f>
        <v>0</v>
      </c>
      <c r="T86" s="106">
        <f>'2021'!X738</f>
      </c>
      <c r="U86" s="119">
        <f>'2021'!Y738</f>
        <v>3762</v>
      </c>
      <c r="V86" s="119">
        <f>'2021'!Z738</f>
        <v>81</v>
      </c>
      <c r="W86" s="106">
        <f>'2021'!AA738</f>
        <v>210.6</v>
      </c>
      <c r="X86" s="106">
        <f>'2021'!AB738</f>
      </c>
      <c r="Y86" s="119">
        <f>'2021'!AC738</f>
        <v>3984</v>
      </c>
      <c r="Z86" s="119">
        <f>'2021'!AD738</f>
        <v>222</v>
      </c>
      <c r="AA86" s="106">
        <f>'2021'!AE738</f>
        <v>577.2</v>
      </c>
      <c r="AB86" s="106">
        <f>'2021'!AF738</f>
        <v>1150</v>
      </c>
      <c r="AC86" s="119">
        <f>'2021'!AG738</f>
        <v>4147</v>
      </c>
      <c r="AD86" s="119">
        <f>'2021'!AH738</f>
        <v>163</v>
      </c>
      <c r="AE86" s="106">
        <f>'2021'!AI738</f>
        <v>440.1</v>
      </c>
      <c r="AF86" s="106">
        <f>'2021'!AJ738</f>
        <v>531.55</v>
      </c>
      <c r="AG86" s="119">
        <f>'2021'!AK738</f>
        <v>4578</v>
      </c>
      <c r="AH86" s="119">
        <f>'2021'!AL738</f>
        <v>431</v>
      </c>
      <c r="AI86" s="106">
        <f>'2021'!AM738</f>
        <v>1163.7</v>
      </c>
      <c r="AJ86" s="106">
        <f>'2021'!AN738</f>
      </c>
      <c r="AK86" s="119">
        <f>'2021'!AO738</f>
        <v>4752</v>
      </c>
      <c r="AL86" s="119">
        <f>'2021'!AP738</f>
        <v>174</v>
      </c>
      <c r="AM86" s="106">
        <f>'2021'!AQ738</f>
        <v>469.8</v>
      </c>
      <c r="AN86" s="106">
        <f>'2021'!AR738</f>
      </c>
      <c r="AO86" s="119">
        <f>'2021'!AS738</f>
        <v>4753</v>
      </c>
      <c r="AP86" s="119">
        <f>'2021'!AT738</f>
        <v>1</v>
      </c>
      <c r="AQ86" s="106">
        <f>'2021'!AU738</f>
        <v>2.7</v>
      </c>
      <c r="AR86" s="106">
        <f>'2021'!AV738</f>
      </c>
      <c r="AS86" s="119">
        <f>'2021'!AW738</f>
        <v>4753</v>
      </c>
      <c r="AT86" s="119">
        <f>'2021'!AX738</f>
        <v>0</v>
      </c>
      <c r="AU86" s="106">
        <f>'2021'!AY738</f>
        <v>0</v>
      </c>
      <c r="AV86" s="106">
        <f>'2021'!AZ738</f>
      </c>
      <c r="AW86" s="106"/>
      <c r="AX86" s="106">
        <f t="shared" si="0"/>
        <v>0</v>
      </c>
      <c r="AY86" s="119">
        <f>'2021'!BA738</f>
        <v>4753</v>
      </c>
      <c r="AZ86" s="119">
        <f>'2021'!BB738</f>
        <v>0</v>
      </c>
      <c r="BA86" s="106">
        <f>'2021'!BC738</f>
        <v>0</v>
      </c>
      <c r="BB86" s="106">
        <f>'2021'!BD738</f>
      </c>
      <c r="BC86" s="106"/>
      <c r="BD86" s="106">
        <f t="shared" si="1"/>
        <v>0</v>
      </c>
      <c r="BE86" s="119">
        <f>'2021'!BE738</f>
        <v>1072</v>
      </c>
      <c r="BF86" s="106">
        <f>'2021'!BF738</f>
        <v>2864.1</v>
      </c>
      <c r="BG86" s="106">
        <f>'2021'!BG738</f>
        <v>1681.55</v>
      </c>
      <c r="BH86" s="106">
        <f>'2021'!BH738</f>
        <v>1343.88</v>
      </c>
      <c r="BI86" s="106">
        <f t="shared" si="2"/>
        <v>0</v>
      </c>
      <c r="BJ86" s="338">
        <f t="shared" si="3"/>
        <v>1343.88</v>
      </c>
    </row>
    <row r="87" ht="15.75" customHeight="1" spans="1:62" x14ac:dyDescent="0.25">
      <c r="A87" s="14"/>
      <c r="B87" s="115">
        <v>87</v>
      </c>
      <c r="C87" s="115">
        <v>4.23</v>
      </c>
      <c r="D87" s="117" t="s">
        <v>284</v>
      </c>
      <c r="E87" s="119">
        <f>'2021'!I747</f>
        <v>549</v>
      </c>
      <c r="F87" s="119">
        <f>'2021'!J747</f>
        <v>0</v>
      </c>
      <c r="G87" s="106">
        <f>'2021'!K747</f>
        <v>0</v>
      </c>
      <c r="H87" s="106">
        <f>'2021'!L747</f>
      </c>
      <c r="I87" s="119">
        <f>'2021'!M747</f>
        <v>549</v>
      </c>
      <c r="J87" s="119">
        <f>'2021'!N747</f>
        <v>0</v>
      </c>
      <c r="K87" s="106">
        <f>'2021'!O747</f>
        <v>0</v>
      </c>
      <c r="L87" s="106">
        <f>'2021'!P747</f>
      </c>
      <c r="M87" s="119">
        <f>'2021'!Q747</f>
        <v>549</v>
      </c>
      <c r="N87" s="119">
        <f>'2021'!R747</f>
        <v>0</v>
      </c>
      <c r="O87" s="106">
        <f>'2021'!S747</f>
        <v>0</v>
      </c>
      <c r="P87" s="106">
        <f>'2021'!T747</f>
      </c>
      <c r="Q87" s="119">
        <f>'2021'!U747</f>
        <v>549</v>
      </c>
      <c r="R87" s="119">
        <f>'2021'!V747</f>
        <v>0</v>
      </c>
      <c r="S87" s="106">
        <f>'2021'!W747</f>
        <v>0</v>
      </c>
      <c r="T87" s="106">
        <f>'2021'!X747</f>
      </c>
      <c r="U87" s="119">
        <f>'2021'!Y747</f>
        <v>557</v>
      </c>
      <c r="V87" s="119">
        <f>'2021'!Z747</f>
        <v>8</v>
      </c>
      <c r="W87" s="106">
        <f>'2021'!AA747</f>
        <v>20.8</v>
      </c>
      <c r="X87" s="106">
        <f>'2021'!AB747</f>
      </c>
      <c r="Y87" s="119">
        <f>'2021'!AC747</f>
        <v>588</v>
      </c>
      <c r="Z87" s="119">
        <f>'2021'!AD747</f>
        <v>31</v>
      </c>
      <c r="AA87" s="106">
        <f>'2021'!AE747</f>
        <v>80.6</v>
      </c>
      <c r="AB87" s="106">
        <f>'2021'!AF747</f>
        <v>80.03</v>
      </c>
      <c r="AC87" s="119">
        <f>'2021'!AG747</f>
        <v>627</v>
      </c>
      <c r="AD87" s="119">
        <f>'2021'!AH747</f>
        <v>39</v>
      </c>
      <c r="AE87" s="106">
        <f>'2021'!AI747</f>
        <v>105.3</v>
      </c>
      <c r="AF87" s="106">
        <f>'2021'!AJ747</f>
      </c>
      <c r="AG87" s="119">
        <f>'2021'!AK747</f>
        <v>688</v>
      </c>
      <c r="AH87" s="119">
        <f>'2021'!AL747</f>
        <v>61</v>
      </c>
      <c r="AI87" s="106">
        <f>'2021'!AM747</f>
        <v>164.7</v>
      </c>
      <c r="AJ87" s="106">
        <f>'2021'!AN747</f>
      </c>
      <c r="AK87" s="119">
        <f>'2021'!AO747</f>
        <v>718</v>
      </c>
      <c r="AL87" s="119">
        <f>'2021'!AP747</f>
        <v>30</v>
      </c>
      <c r="AM87" s="106">
        <f>'2021'!AQ747</f>
        <v>81</v>
      </c>
      <c r="AN87" s="106">
        <f>'2021'!AR747</f>
      </c>
      <c r="AO87" s="119">
        <f>'2021'!AS747</f>
        <v>719</v>
      </c>
      <c r="AP87" s="119">
        <f>'2021'!AT747</f>
        <v>1</v>
      </c>
      <c r="AQ87" s="106">
        <f>'2021'!AU747</f>
        <v>2.7</v>
      </c>
      <c r="AR87" s="106">
        <f>'2021'!AV747</f>
      </c>
      <c r="AS87" s="119">
        <f>'2021'!AW747</f>
        <v>719</v>
      </c>
      <c r="AT87" s="119">
        <f>'2021'!AX747</f>
        <v>0</v>
      </c>
      <c r="AU87" s="106">
        <f>'2021'!AY747</f>
        <v>0</v>
      </c>
      <c r="AV87" s="106">
        <f>'2021'!AZ747</f>
      </c>
      <c r="AW87" s="106"/>
      <c r="AX87" s="106">
        <f t="shared" si="0"/>
        <v>0</v>
      </c>
      <c r="AY87" s="119">
        <f>'2021'!BA747</f>
        <v>719</v>
      </c>
      <c r="AZ87" s="119">
        <f>'2021'!BB747</f>
        <v>0</v>
      </c>
      <c r="BA87" s="106">
        <f>'2021'!BC747</f>
        <v>0</v>
      </c>
      <c r="BB87" s="106">
        <f>'2021'!BD747</f>
      </c>
      <c r="BC87" s="106"/>
      <c r="BD87" s="106">
        <f t="shared" si="1"/>
        <v>0</v>
      </c>
      <c r="BE87" s="119">
        <f>'2021'!BE747</f>
        <v>170</v>
      </c>
      <c r="BF87" s="106">
        <f>'2021'!BF747</f>
        <v>455.1</v>
      </c>
      <c r="BG87" s="106">
        <f>'2021'!BG747</f>
        <v>80.03</v>
      </c>
      <c r="BH87" s="106">
        <f>'2021'!BH747</f>
        <v>353.7</v>
      </c>
      <c r="BI87" s="106">
        <f t="shared" si="2"/>
        <v>0</v>
      </c>
      <c r="BJ87" s="338">
        <f t="shared" si="3"/>
        <v>353.7</v>
      </c>
    </row>
    <row r="88" ht="15.75" customHeight="1" spans="1:62" x14ac:dyDescent="0.25">
      <c r="A88" s="14"/>
      <c r="B88" s="115">
        <v>89</v>
      </c>
      <c r="C88" s="115">
        <v>4.25</v>
      </c>
      <c r="D88" s="117" t="s">
        <v>286</v>
      </c>
      <c r="E88" s="119">
        <f>'2021'!I756</f>
        <v>0</v>
      </c>
      <c r="F88" s="119">
        <f>'2021'!J756</f>
        <v>0</v>
      </c>
      <c r="G88" s="106">
        <f>'2021'!K756</f>
        <v>0</v>
      </c>
      <c r="H88" s="106">
        <f>'2021'!L756</f>
      </c>
      <c r="I88" s="119">
        <f>'2021'!M756</f>
        <v>0</v>
      </c>
      <c r="J88" s="119">
        <f>'2021'!N756</f>
        <v>0</v>
      </c>
      <c r="K88" s="106">
        <f>'2021'!O756</f>
        <v>0</v>
      </c>
      <c r="L88" s="106">
        <f>'2021'!P756</f>
      </c>
      <c r="M88" s="119">
        <f>'2021'!Q756</f>
        <v>0</v>
      </c>
      <c r="N88" s="119">
        <f>'2021'!R756</f>
        <v>0</v>
      </c>
      <c r="O88" s="106">
        <f>'2021'!S756</f>
        <v>0</v>
      </c>
      <c r="P88" s="106">
        <f>'2021'!T756</f>
      </c>
      <c r="Q88" s="119">
        <f>'2021'!U756</f>
        <v>0</v>
      </c>
      <c r="R88" s="119">
        <f>'2021'!V756</f>
        <v>0</v>
      </c>
      <c r="S88" s="106">
        <f>'2021'!W756</f>
        <v>0</v>
      </c>
      <c r="T88" s="106">
        <f>'2021'!X756</f>
      </c>
      <c r="U88" s="119">
        <f>'2021'!Y756</f>
      </c>
      <c r="V88" s="119">
        <f>'2021'!Z756</f>
        <v>0</v>
      </c>
      <c r="W88" s="106">
        <f>'2021'!AA756</f>
        <v>0</v>
      </c>
      <c r="X88" s="106">
        <f>'2021'!AB756</f>
      </c>
      <c r="Y88" s="119">
        <f>'2021'!AC756</f>
      </c>
      <c r="Z88" s="119">
        <f>'2021'!AD756</f>
        <v>0</v>
      </c>
      <c r="AA88" s="106">
        <f>'2021'!AE756</f>
        <v>0</v>
      </c>
      <c r="AB88" s="106">
        <f>'2021'!AF756</f>
      </c>
      <c r="AC88" s="119">
        <f>'2021'!AG756</f>
      </c>
      <c r="AD88" s="119">
        <f>'2021'!AH756</f>
        <v>0</v>
      </c>
      <c r="AE88" s="106">
        <f>'2021'!AI756</f>
        <v>0</v>
      </c>
      <c r="AF88" s="106">
        <f>'2021'!AJ756</f>
      </c>
      <c r="AG88" s="119">
        <f>'2021'!AK756</f>
      </c>
      <c r="AH88" s="119">
        <f>'2021'!AL756</f>
        <v>0</v>
      </c>
      <c r="AI88" s="106">
        <f>'2021'!AM756</f>
        <v>0</v>
      </c>
      <c r="AJ88" s="106">
        <f>'2021'!AN756</f>
      </c>
      <c r="AK88" s="119">
        <f>'2021'!AO756</f>
      </c>
      <c r="AL88" s="119">
        <f>'2021'!AP756</f>
        <v>0</v>
      </c>
      <c r="AM88" s="106">
        <f>'2021'!AQ756</f>
        <v>0</v>
      </c>
      <c r="AN88" s="106">
        <f>'2021'!AR756</f>
      </c>
      <c r="AO88" s="119">
        <f>'2021'!AS756</f>
      </c>
      <c r="AP88" s="119">
        <f>'2021'!AT756</f>
        <v>0</v>
      </c>
      <c r="AQ88" s="106">
        <f>'2021'!AU756</f>
        <v>0</v>
      </c>
      <c r="AR88" s="106">
        <f>'2021'!AV756</f>
      </c>
      <c r="AS88" s="119">
        <f>'2021'!AW756</f>
      </c>
      <c r="AT88" s="119">
        <f>'2021'!AX756</f>
        <v>0</v>
      </c>
      <c r="AU88" s="106">
        <f>'2021'!AY756</f>
        <v>0</v>
      </c>
      <c r="AV88" s="106">
        <f>'2021'!AZ756</f>
      </c>
      <c r="AW88" s="106"/>
      <c r="AX88" s="106">
        <f t="shared" si="0"/>
        <v>0</v>
      </c>
      <c r="AY88" s="119">
        <f>'2021'!BA756</f>
      </c>
      <c r="AZ88" s="119">
        <f>'2021'!BB756</f>
        <v>0</v>
      </c>
      <c r="BA88" s="106">
        <f>'2021'!BC756</f>
        <v>0</v>
      </c>
      <c r="BB88" s="106">
        <f>'2021'!BD756</f>
      </c>
      <c r="BC88" s="106"/>
      <c r="BD88" s="106">
        <f t="shared" si="1"/>
        <v>0</v>
      </c>
      <c r="BE88" s="119">
        <f>'2021'!BE756</f>
        <v>0</v>
      </c>
      <c r="BF88" s="106">
        <f>'2021'!BF756</f>
        <v>0</v>
      </c>
      <c r="BG88" s="106">
        <f>'2021'!BG756</f>
        <v>0</v>
      </c>
      <c r="BH88" s="106">
        <f>'2021'!BH756</f>
        <v>0</v>
      </c>
      <c r="BI88" s="106">
        <f t="shared" si="2"/>
        <v>0</v>
      </c>
      <c r="BJ88" s="338">
        <f t="shared" si="3"/>
        <v>0</v>
      </c>
    </row>
    <row r="89" ht="15.75" customHeight="1" spans="1:62" x14ac:dyDescent="0.25">
      <c r="A89" s="14"/>
      <c r="B89" s="115">
        <v>91</v>
      </c>
      <c r="C89" s="115">
        <v>4.23</v>
      </c>
      <c r="D89" s="117" t="s">
        <v>288</v>
      </c>
      <c r="E89" s="119">
        <f>'2021'!I765</f>
        <v>179</v>
      </c>
      <c r="F89" s="119">
        <f>'2021'!J765</f>
        <v>0</v>
      </c>
      <c r="G89" s="106">
        <f>'2021'!K765</f>
        <v>0</v>
      </c>
      <c r="H89" s="106">
        <f>'2021'!L765</f>
      </c>
      <c r="I89" s="119">
        <f>'2021'!M765</f>
        <v>179</v>
      </c>
      <c r="J89" s="119">
        <f>'2021'!N765</f>
        <v>0</v>
      </c>
      <c r="K89" s="106">
        <f>'2021'!O765</f>
        <v>0</v>
      </c>
      <c r="L89" s="106">
        <f>'2021'!P765</f>
      </c>
      <c r="M89" s="119">
        <f>'2021'!Q765</f>
        <v>179</v>
      </c>
      <c r="N89" s="119">
        <f>'2021'!R765</f>
        <v>0</v>
      </c>
      <c r="O89" s="106">
        <f>'2021'!S765</f>
        <v>0</v>
      </c>
      <c r="P89" s="106">
        <f>'2021'!T765</f>
      </c>
      <c r="Q89" s="119">
        <f>'2021'!U765</f>
        <v>179</v>
      </c>
      <c r="R89" s="119">
        <f>'2021'!V765</f>
        <v>0</v>
      </c>
      <c r="S89" s="106">
        <f>'2021'!W765</f>
        <v>0</v>
      </c>
      <c r="T89" s="106">
        <f>'2021'!X765</f>
      </c>
      <c r="U89" s="119">
        <f>'2021'!Y765</f>
        <v>180</v>
      </c>
      <c r="V89" s="119">
        <f>'2021'!Z765</f>
        <v>1</v>
      </c>
      <c r="W89" s="106">
        <f>'2021'!AA765</f>
        <v>2.6</v>
      </c>
      <c r="X89" s="106">
        <f>'2021'!AB765</f>
      </c>
      <c r="Y89" s="119">
        <f>'2021'!AC765</f>
        <v>182</v>
      </c>
      <c r="Z89" s="119">
        <f>'2021'!AD765</f>
        <v>2</v>
      </c>
      <c r="AA89" s="106">
        <f>'2021'!AE765</f>
        <v>5.2</v>
      </c>
      <c r="AB89" s="106">
        <f>'2021'!AF765</f>
        <v>13</v>
      </c>
      <c r="AC89" s="119">
        <f>'2021'!AG765</f>
        <v>182</v>
      </c>
      <c r="AD89" s="119">
        <f>'2021'!AH765</f>
        <v>0</v>
      </c>
      <c r="AE89" s="106">
        <f>'2021'!AI765</f>
        <v>0</v>
      </c>
      <c r="AF89" s="106">
        <f>'2021'!AJ765</f>
      </c>
      <c r="AG89" s="119">
        <f>'2021'!AK765</f>
        <v>182</v>
      </c>
      <c r="AH89" s="119">
        <f>'2021'!AL765</f>
        <v>0</v>
      </c>
      <c r="AI89" s="106">
        <f>'2021'!AM765</f>
        <v>0</v>
      </c>
      <c r="AJ89" s="106">
        <f>'2021'!AN765</f>
      </c>
      <c r="AK89" s="119">
        <f>'2021'!AO765</f>
        <v>183</v>
      </c>
      <c r="AL89" s="119">
        <f>'2021'!AP765</f>
        <v>1</v>
      </c>
      <c r="AM89" s="106">
        <f>'2021'!AQ765</f>
        <v>2.7</v>
      </c>
      <c r="AN89" s="106">
        <f>'2021'!AR765</f>
      </c>
      <c r="AO89" s="119">
        <f>'2021'!AS765</f>
        <v>183</v>
      </c>
      <c r="AP89" s="119">
        <f>'2021'!AT765</f>
        <v>0</v>
      </c>
      <c r="AQ89" s="106">
        <f>'2021'!AU765</f>
        <v>0</v>
      </c>
      <c r="AR89" s="106">
        <f>'2021'!AV765</f>
      </c>
      <c r="AS89" s="119">
        <f>'2021'!AW765</f>
        <v>183</v>
      </c>
      <c r="AT89" s="119">
        <f>'2021'!AX765</f>
        <v>0</v>
      </c>
      <c r="AU89" s="106">
        <f>'2021'!AY765</f>
        <v>0</v>
      </c>
      <c r="AV89" s="106">
        <f>'2021'!AZ765</f>
      </c>
      <c r="AW89" s="106"/>
      <c r="AX89" s="106">
        <f t="shared" si="0"/>
        <v>0</v>
      </c>
      <c r="AY89" s="119">
        <f>'2021'!BA765</f>
        <v>183</v>
      </c>
      <c r="AZ89" s="119">
        <f>'2021'!BB765</f>
        <v>0</v>
      </c>
      <c r="BA89" s="106">
        <f>'2021'!BC765</f>
        <v>0</v>
      </c>
      <c r="BB89" s="106">
        <f>'2021'!BD765</f>
      </c>
      <c r="BC89" s="106"/>
      <c r="BD89" s="106">
        <f t="shared" si="1"/>
        <v>0</v>
      </c>
      <c r="BE89" s="119">
        <f>'2021'!BE765</f>
        <v>4</v>
      </c>
      <c r="BF89" s="106">
        <f>'2021'!BF765</f>
        <v>10.5</v>
      </c>
      <c r="BG89" s="106">
        <f>'2021'!BG765</f>
        <v>13</v>
      </c>
      <c r="BH89" s="106">
        <f>'2021'!BH765</f>
        <v>2.7</v>
      </c>
      <c r="BI89" s="106">
        <f t="shared" si="2"/>
        <v>0</v>
      </c>
      <c r="BJ89" s="338">
        <f t="shared" si="3"/>
        <v>2.7</v>
      </c>
    </row>
    <row r="90" ht="15.75" customHeight="1" spans="1:62" x14ac:dyDescent="0.25">
      <c r="A90" s="14"/>
      <c r="B90" s="125" t="s">
        <v>292</v>
      </c>
      <c r="C90" s="115">
        <v>4.31</v>
      </c>
      <c r="D90" s="117" t="s">
        <v>436</v>
      </c>
      <c r="E90" s="119">
        <f>'2021'!I774</f>
        <v>2775</v>
      </c>
      <c r="F90" s="119">
        <f>'2021'!J774</f>
        <v>668</v>
      </c>
      <c r="G90" s="106">
        <f>'2021'!K774</f>
        <v>1736.8</v>
      </c>
      <c r="H90" s="106">
        <f>'2021'!L774</f>
      </c>
      <c r="I90" s="119">
        <f>'2021'!M774</f>
        <v>2775</v>
      </c>
      <c r="J90" s="119">
        <f>'2021'!N774</f>
        <v>0</v>
      </c>
      <c r="K90" s="106">
        <f>'2021'!O774</f>
        <v>0</v>
      </c>
      <c r="L90" s="106">
        <f>'2021'!P774</f>
        <v>1734.2</v>
      </c>
      <c r="M90" s="119">
        <f>'2021'!Q774</f>
        <v>2905</v>
      </c>
      <c r="N90" s="119">
        <f>'2021'!R774</f>
        <v>130</v>
      </c>
      <c r="O90" s="106">
        <f>'2021'!S774</f>
        <v>338</v>
      </c>
      <c r="P90" s="106">
        <f>'2021'!T774</f>
      </c>
      <c r="Q90" s="119">
        <f>'2021'!U774</f>
        <v>3702</v>
      </c>
      <c r="R90" s="119">
        <f>'2021'!V774</f>
        <v>797</v>
      </c>
      <c r="S90" s="106">
        <f>'2021'!W774</f>
        <v>2072.2</v>
      </c>
      <c r="T90" s="106">
        <f>'2021'!X774</f>
        <v>500</v>
      </c>
      <c r="U90" s="119">
        <f>'2021'!Y774</f>
        <v>4322</v>
      </c>
      <c r="V90" s="119">
        <f>'2021'!Z774</f>
        <v>620</v>
      </c>
      <c r="W90" s="106">
        <f>'2021'!AA774</f>
        <v>1612</v>
      </c>
      <c r="X90" s="106">
        <f>'2021'!AB774</f>
        <v>2000</v>
      </c>
      <c r="Y90" s="119">
        <f>'2021'!AC774</f>
        <v>4624</v>
      </c>
      <c r="Z90" s="119">
        <f>'2021'!AD774</f>
        <v>302</v>
      </c>
      <c r="AA90" s="106">
        <f>'2021'!AE774</f>
        <v>785.2</v>
      </c>
      <c r="AB90" s="106">
        <f>'2021'!AF774</f>
        <v>1525</v>
      </c>
      <c r="AC90" s="119">
        <f>'2021'!AG774</f>
        <v>4985</v>
      </c>
      <c r="AD90" s="119">
        <f>'2021'!AH774</f>
        <v>361</v>
      </c>
      <c r="AE90" s="106">
        <f>'2021'!AI774</f>
        <v>974.7</v>
      </c>
      <c r="AF90" s="106">
        <f>'2021'!AJ774</f>
        <v>785</v>
      </c>
      <c r="AG90" s="119">
        <f>'2021'!AK774</f>
        <v>5410</v>
      </c>
      <c r="AH90" s="119">
        <f>'2021'!AL774</f>
        <v>425</v>
      </c>
      <c r="AI90" s="106">
        <f>'2021'!AM774</f>
        <v>1147.5</v>
      </c>
      <c r="AJ90" s="106">
        <f>'2021'!AN774</f>
        <v>974.7</v>
      </c>
      <c r="AK90" s="119">
        <f>'2021'!AO774</f>
        <v>5998</v>
      </c>
      <c r="AL90" s="119">
        <f>'2021'!AP774</f>
        <v>588</v>
      </c>
      <c r="AM90" s="106">
        <f>'2021'!AQ774</f>
        <v>1587.6</v>
      </c>
      <c r="AN90" s="106">
        <f>'2021'!AR774</f>
        <v>1150</v>
      </c>
      <c r="AO90" s="119">
        <f>'2021'!AS774</f>
        <v>6940</v>
      </c>
      <c r="AP90" s="119">
        <f>'2021'!AT774</f>
        <v>942</v>
      </c>
      <c r="AQ90" s="106">
        <f>'2021'!AU774</f>
        <v>2543.4</v>
      </c>
      <c r="AR90" s="106">
        <f>'2021'!AV774</f>
        <v>2400</v>
      </c>
      <c r="AS90" s="119">
        <f>'2021'!AW774</f>
        <v>7625</v>
      </c>
      <c r="AT90" s="119">
        <f>'2021'!AX774</f>
        <v>685</v>
      </c>
      <c r="AU90" s="106">
        <f>'2021'!AY774</f>
        <v>1849.5</v>
      </c>
      <c r="AV90" s="106">
        <f>'2021'!AZ774</f>
      </c>
      <c r="AW90" s="106"/>
      <c r="AX90" s="106">
        <f t="shared" si="0"/>
        <v>0</v>
      </c>
      <c r="AY90" s="119">
        <f>'2021'!BA774</f>
        <v>7625</v>
      </c>
      <c r="AZ90" s="119">
        <f>'2021'!BB774</f>
        <v>0</v>
      </c>
      <c r="BA90" s="106">
        <f>'2021'!BC774</f>
        <v>0</v>
      </c>
      <c r="BB90" s="106">
        <f>'2021'!BD774</f>
        <v>3500</v>
      </c>
      <c r="BC90" s="106"/>
      <c r="BD90" s="106">
        <f t="shared" si="1"/>
        <v>0</v>
      </c>
      <c r="BE90" s="119">
        <f>'2021'!BE774</f>
        <v>5518</v>
      </c>
      <c r="BF90" s="106">
        <f>'2021'!BF774</f>
        <v>14646.9</v>
      </c>
      <c r="BG90" s="106">
        <f>'2021'!BG774</f>
        <v>14568.9</v>
      </c>
      <c r="BH90" s="106">
        <f>'2021'!BH774</f>
        <v>78</v>
      </c>
      <c r="BI90" s="106">
        <f t="shared" si="2"/>
        <v>0</v>
      </c>
      <c r="BJ90" s="338">
        <f t="shared" si="3"/>
        <v>78</v>
      </c>
    </row>
    <row r="91" ht="15.75" customHeight="1" spans="1:62" x14ac:dyDescent="0.25">
      <c r="A91" s="21"/>
      <c r="B91" s="118" t="s">
        <v>292</v>
      </c>
      <c r="C91" s="115">
        <v>4.25</v>
      </c>
      <c r="D91" s="15" t="s">
        <v>436</v>
      </c>
      <c r="E91" s="119">
        <f>'2021'!I783</f>
        <v>0</v>
      </c>
      <c r="F91" s="119">
        <f>'2021'!J783</f>
        <v>0</v>
      </c>
      <c r="G91" s="106">
        <f>'2021'!K783</f>
        <v>0</v>
      </c>
      <c r="H91" s="106">
        <f>'2021'!L783</f>
      </c>
      <c r="I91" s="119">
        <f>'2021'!M783</f>
        <v>0</v>
      </c>
      <c r="J91" s="119">
        <f>'2021'!N783</f>
        <v>0</v>
      </c>
      <c r="K91" s="106">
        <f>'2021'!O783</f>
        <v>0</v>
      </c>
      <c r="L91" s="106">
        <f>'2021'!P783</f>
      </c>
      <c r="M91" s="119">
        <f>'2021'!Q783</f>
        <v>0</v>
      </c>
      <c r="N91" s="119">
        <f>'2021'!R783</f>
        <v>0</v>
      </c>
      <c r="O91" s="106">
        <f>'2021'!S783</f>
        <v>0</v>
      </c>
      <c r="P91" s="106">
        <f>'2021'!T783</f>
      </c>
      <c r="Q91" s="119">
        <f>'2021'!U783</f>
        <v>0</v>
      </c>
      <c r="R91" s="119">
        <f>'2021'!V783</f>
        <v>0</v>
      </c>
      <c r="S91" s="106">
        <f>'2021'!W783</f>
        <v>0</v>
      </c>
      <c r="T91" s="106">
        <f>'2021'!X783</f>
      </c>
      <c r="U91" s="119">
        <f>'2021'!Y783</f>
      </c>
      <c r="V91" s="119">
        <f>'2021'!Z783</f>
        <v>0</v>
      </c>
      <c r="W91" s="106">
        <f>'2021'!AA783</f>
        <v>0</v>
      </c>
      <c r="X91" s="106">
        <f>'2021'!AB783</f>
      </c>
      <c r="Y91" s="119">
        <f>'2021'!AC783</f>
      </c>
      <c r="Z91" s="119">
        <f>'2021'!AD783</f>
        <v>0</v>
      </c>
      <c r="AA91" s="106">
        <f>'2021'!AE783</f>
        <v>0</v>
      </c>
      <c r="AB91" s="106">
        <f>'2021'!AF783</f>
      </c>
      <c r="AC91" s="119">
        <f>'2021'!AG783</f>
        <v>152</v>
      </c>
      <c r="AD91" s="119">
        <f>'2021'!AH783</f>
        <v>152</v>
      </c>
      <c r="AE91" s="106">
        <f>'2021'!AI783</f>
        <v>410.4</v>
      </c>
      <c r="AF91" s="106">
        <f>'2021'!AJ783</f>
      </c>
      <c r="AG91" s="119">
        <f>'2021'!AK783</f>
        <v>253</v>
      </c>
      <c r="AH91" s="119">
        <f>'2021'!AL783</f>
        <v>101</v>
      </c>
      <c r="AI91" s="106">
        <f>'2021'!AM783</f>
        <v>272.7</v>
      </c>
      <c r="AJ91" s="106">
        <f>'2021'!AN783</f>
        <v>410.4</v>
      </c>
      <c r="AK91" s="119">
        <f>'2021'!AO783</f>
        <v>584</v>
      </c>
      <c r="AL91" s="119">
        <f>'2021'!AP783</f>
        <v>331</v>
      </c>
      <c r="AM91" s="106">
        <f>'2021'!AQ783</f>
        <v>893.7</v>
      </c>
      <c r="AN91" s="106">
        <f>'2021'!AR783</f>
        <v>350</v>
      </c>
      <c r="AO91" s="119">
        <f>'2021'!AS783</f>
        <v>1075</v>
      </c>
      <c r="AP91" s="119">
        <f>'2021'!AT783</f>
        <v>491</v>
      </c>
      <c r="AQ91" s="106">
        <f>'2021'!AU783</f>
        <v>1325.7</v>
      </c>
      <c r="AR91" s="106">
        <f>'2021'!AV783</f>
      </c>
      <c r="AS91" s="119">
        <f>'2021'!AW783</f>
        <v>1182</v>
      </c>
      <c r="AT91" s="119">
        <f>'2021'!AX783</f>
        <v>107</v>
      </c>
      <c r="AU91" s="106">
        <f>'2021'!AY783</f>
        <v>288.9</v>
      </c>
      <c r="AV91" s="106">
        <f>'2021'!AZ783</f>
      </c>
      <c r="AW91" s="106"/>
      <c r="AX91" s="106">
        <f t="shared" si="0"/>
        <v>0</v>
      </c>
      <c r="AY91" s="119">
        <f>'2021'!BA783</f>
        <v>1182</v>
      </c>
      <c r="AZ91" s="119">
        <f>'2021'!BB783</f>
        <v>0</v>
      </c>
      <c r="BA91" s="106">
        <f>'2021'!BC783</f>
        <v>0</v>
      </c>
      <c r="BB91" s="106">
        <f>'2021'!BD783</f>
      </c>
      <c r="BC91" s="106"/>
      <c r="BD91" s="106">
        <f t="shared" si="1"/>
        <v>0</v>
      </c>
      <c r="BE91" s="119">
        <f>'2021'!BE783</f>
        <v>1182</v>
      </c>
      <c r="BF91" s="106">
        <f>'2021'!BF783</f>
        <v>3191.4</v>
      </c>
      <c r="BG91" s="106">
        <f>'2021'!BG783</f>
        <v>760.4</v>
      </c>
      <c r="BH91" s="106">
        <f>'2021'!BH783</f>
        <v>2431</v>
      </c>
      <c r="BI91" s="106">
        <f t="shared" si="2"/>
        <v>0</v>
      </c>
      <c r="BJ91" s="338">
        <f t="shared" si="3"/>
        <v>2431</v>
      </c>
    </row>
    <row r="92" ht="15.75" customHeight="1" spans="1:62" x14ac:dyDescent="0.25">
      <c r="A92" s="114" t="s">
        <v>297</v>
      </c>
      <c r="B92" s="115">
        <v>80</v>
      </c>
      <c r="C92" s="115">
        <v>4.28</v>
      </c>
      <c r="D92" s="117" t="s">
        <v>298</v>
      </c>
      <c r="E92" s="119">
        <f>'2021'!I792</f>
        <v>1312</v>
      </c>
      <c r="F92" s="119">
        <f>'2021'!J792</f>
        <v>0</v>
      </c>
      <c r="G92" s="106">
        <f>'2021'!K792</f>
        <v>0</v>
      </c>
      <c r="H92" s="106">
        <f>'2021'!L792</f>
      </c>
      <c r="I92" s="119">
        <f>'2021'!M792</f>
        <v>1312</v>
      </c>
      <c r="J92" s="119">
        <f>'2021'!N792</f>
        <v>0</v>
      </c>
      <c r="K92" s="106">
        <f>'2021'!O792</f>
        <v>0</v>
      </c>
      <c r="L92" s="106">
        <f>'2021'!P792</f>
      </c>
      <c r="M92" s="119">
        <f>'2021'!Q792</f>
        <v>1312</v>
      </c>
      <c r="N92" s="119">
        <f>'2021'!R792</f>
        <v>0</v>
      </c>
      <c r="O92" s="106">
        <f>'2021'!S792</f>
        <v>0</v>
      </c>
      <c r="P92" s="106">
        <f>'2021'!T792</f>
      </c>
      <c r="Q92" s="119">
        <f>'2021'!U792</f>
        <v>1312</v>
      </c>
      <c r="R92" s="119">
        <f>'2021'!V792</f>
        <v>0</v>
      </c>
      <c r="S92" s="106">
        <f>'2021'!W792</f>
        <v>0</v>
      </c>
      <c r="T92" s="106">
        <f>'2021'!X792</f>
      </c>
      <c r="U92" s="119">
        <f>'2021'!Y792</f>
        <v>1329</v>
      </c>
      <c r="V92" s="119">
        <f>'2021'!Z792</f>
        <v>17</v>
      </c>
      <c r="W92" s="106">
        <f>'2021'!AA792</f>
        <v>44.2</v>
      </c>
      <c r="X92" s="106">
        <f>'2021'!AB792</f>
      </c>
      <c r="Y92" s="119">
        <f>'2021'!AC792</f>
        <v>1401</v>
      </c>
      <c r="Z92" s="119">
        <f>'2021'!AD792</f>
        <v>72</v>
      </c>
      <c r="AA92" s="106">
        <f>'2021'!AE792</f>
        <v>187.2</v>
      </c>
      <c r="AB92" s="106">
        <f>'2021'!AF792</f>
        <v>510.05</v>
      </c>
      <c r="AC92" s="119">
        <f>'2021'!AG792</f>
        <v>1529</v>
      </c>
      <c r="AD92" s="119">
        <f>'2021'!AH792</f>
        <v>128</v>
      </c>
      <c r="AE92" s="106">
        <f>'2021'!AI792</f>
        <v>345.6</v>
      </c>
      <c r="AF92" s="106">
        <f>'2021'!AJ792</f>
        <v>330</v>
      </c>
      <c r="AG92" s="119">
        <f>'2021'!AK792</f>
        <v>1634</v>
      </c>
      <c r="AH92" s="119">
        <f>'2021'!AL792</f>
        <v>105</v>
      </c>
      <c r="AI92" s="106">
        <f>'2021'!AM792</f>
        <v>283.5</v>
      </c>
      <c r="AJ92" s="106">
        <f>'2021'!AN792</f>
      </c>
      <c r="AK92" s="119">
        <f>'2021'!AO792</f>
        <v>1649</v>
      </c>
      <c r="AL92" s="119">
        <f>'2021'!AP792</f>
        <v>15</v>
      </c>
      <c r="AM92" s="106">
        <f>'2021'!AQ792</f>
        <v>40.5</v>
      </c>
      <c r="AN92" s="106">
        <f>'2021'!AR792</f>
        <v>134.08</v>
      </c>
      <c r="AO92" s="119">
        <f>'2021'!AS792</f>
        <v>1655</v>
      </c>
      <c r="AP92" s="119">
        <f>'2021'!AT792</f>
        <v>6</v>
      </c>
      <c r="AQ92" s="106">
        <f>'2021'!AU792</f>
        <v>16.2</v>
      </c>
      <c r="AR92" s="106">
        <f>'2021'!AV792</f>
        <v>50</v>
      </c>
      <c r="AS92" s="119">
        <f>'2021'!AW792</f>
        <v>1657</v>
      </c>
      <c r="AT92" s="119">
        <f>'2021'!AX792</f>
        <v>2</v>
      </c>
      <c r="AU92" s="106">
        <f>'2021'!AY792</f>
        <v>5.4</v>
      </c>
      <c r="AV92" s="106">
        <f>'2021'!AZ792</f>
        <v>40</v>
      </c>
      <c r="AW92" s="106"/>
      <c r="AX92" s="106">
        <f t="shared" si="0"/>
        <v>0</v>
      </c>
      <c r="AY92" s="119">
        <f>'2021'!BA792</f>
        <v>1657</v>
      </c>
      <c r="AZ92" s="119">
        <f>'2021'!BB792</f>
        <v>0</v>
      </c>
      <c r="BA92" s="106">
        <f>'2021'!BC792</f>
        <v>0</v>
      </c>
      <c r="BB92" s="106">
        <f>'2021'!BD792</f>
      </c>
      <c r="BC92" s="106"/>
      <c r="BD92" s="106">
        <f t="shared" si="1"/>
        <v>0</v>
      </c>
      <c r="BE92" s="119">
        <f>'2021'!BE792</f>
        <v>345</v>
      </c>
      <c r="BF92" s="106">
        <f>'2021'!BF792</f>
        <v>922.6</v>
      </c>
      <c r="BG92" s="106">
        <f>'2021'!BG792</f>
        <v>1064.13</v>
      </c>
      <c r="BH92" s="106">
        <f>'2021'!BH792</f>
        <v>-32.46</v>
      </c>
      <c r="BI92" s="106">
        <f t="shared" si="2"/>
        <v>0</v>
      </c>
      <c r="BJ92" s="338">
        <f t="shared" si="3"/>
        <v>-32.46</v>
      </c>
    </row>
    <row r="93" ht="15.75" customHeight="1" spans="1:62" x14ac:dyDescent="0.25">
      <c r="A93" s="14"/>
      <c r="B93" s="115">
        <v>82</v>
      </c>
      <c r="C93" s="115">
        <v>4.28</v>
      </c>
      <c r="D93" s="117" t="s">
        <v>300</v>
      </c>
      <c r="E93" s="119">
        <f>'2021'!I801</f>
        <v>0</v>
      </c>
      <c r="F93" s="119">
        <f>'2021'!J801</f>
        <v>0</v>
      </c>
      <c r="G93" s="106">
        <f>'2021'!K801</f>
        <v>0</v>
      </c>
      <c r="H93" s="106">
        <f>'2021'!L801</f>
      </c>
      <c r="I93" s="119">
        <f>'2021'!M801</f>
        <v>0</v>
      </c>
      <c r="J93" s="119">
        <f>'2021'!N801</f>
        <v>0</v>
      </c>
      <c r="K93" s="106">
        <f>'2021'!O801</f>
        <v>0</v>
      </c>
      <c r="L93" s="106">
        <f>'2021'!P801</f>
      </c>
      <c r="M93" s="119">
        <f>'2021'!Q801</f>
        <v>0</v>
      </c>
      <c r="N93" s="119">
        <f>'2021'!R801</f>
        <v>0</v>
      </c>
      <c r="O93" s="106">
        <f>'2021'!S801</f>
        <v>0</v>
      </c>
      <c r="P93" s="106">
        <f>'2021'!T801</f>
      </c>
      <c r="Q93" s="119">
        <f>'2021'!U801</f>
        <v>0</v>
      </c>
      <c r="R93" s="119">
        <f>'2021'!V801</f>
        <v>0</v>
      </c>
      <c r="S93" s="106">
        <f>'2021'!W801</f>
        <v>0</v>
      </c>
      <c r="T93" s="106">
        <f>'2021'!X801</f>
      </c>
      <c r="U93" s="119">
        <f>'2021'!Y801</f>
      </c>
      <c r="V93" s="119">
        <f>'2021'!Z801</f>
        <v>0</v>
      </c>
      <c r="W93" s="106">
        <f>'2021'!AA801</f>
        <v>0</v>
      </c>
      <c r="X93" s="106">
        <f>'2021'!AB801</f>
      </c>
      <c r="Y93" s="119">
        <f>'2021'!AC801</f>
      </c>
      <c r="Z93" s="119">
        <f>'2021'!AD801</f>
        <v>0</v>
      </c>
      <c r="AA93" s="106">
        <f>'2021'!AE801</f>
        <v>0</v>
      </c>
      <c r="AB93" s="106">
        <f>'2021'!AF801</f>
      </c>
      <c r="AC93" s="119">
        <f>'2021'!AG801</f>
        <v>0</v>
      </c>
      <c r="AD93" s="119">
        <f>'2021'!AH801</f>
        <v>0</v>
      </c>
      <c r="AE93" s="106">
        <f>'2021'!AI801</f>
        <v>0</v>
      </c>
      <c r="AF93" s="106">
        <f>'2021'!AJ801</f>
      </c>
      <c r="AG93" s="119">
        <f>'2021'!AK801</f>
        <v>0</v>
      </c>
      <c r="AH93" s="119">
        <f>'2021'!AL801</f>
        <v>0</v>
      </c>
      <c r="AI93" s="106">
        <f>'2021'!AM801</f>
        <v>0</v>
      </c>
      <c r="AJ93" s="106">
        <f>'2021'!AN801</f>
      </c>
      <c r="AK93" s="119">
        <f>'2021'!AO801</f>
        <v>0</v>
      </c>
      <c r="AL93" s="119">
        <f>'2021'!AP801</f>
        <v>0</v>
      </c>
      <c r="AM93" s="106">
        <f>'2021'!AQ801</f>
        <v>0</v>
      </c>
      <c r="AN93" s="106">
        <f>'2021'!AR801</f>
      </c>
      <c r="AO93" s="119">
        <f>'2021'!AS801</f>
      </c>
      <c r="AP93" s="119">
        <f>'2021'!AT801</f>
        <v>0</v>
      </c>
      <c r="AQ93" s="106">
        <f>'2021'!AU801</f>
        <v>0</v>
      </c>
      <c r="AR93" s="106">
        <f>'2021'!AV801</f>
      </c>
      <c r="AS93" s="119">
        <f>'2021'!AW801</f>
      </c>
      <c r="AT93" s="119">
        <f>'2021'!AX801</f>
        <v>0</v>
      </c>
      <c r="AU93" s="106">
        <f>'2021'!AY801</f>
        <v>0</v>
      </c>
      <c r="AV93" s="106">
        <f>'2021'!AZ801</f>
      </c>
      <c r="AW93" s="106"/>
      <c r="AX93" s="106">
        <f t="shared" si="0"/>
        <v>0</v>
      </c>
      <c r="AY93" s="119">
        <f>'2021'!BA801</f>
      </c>
      <c r="AZ93" s="119">
        <f>'2021'!BB801</f>
        <v>0</v>
      </c>
      <c r="BA93" s="106">
        <f>'2021'!BC801</f>
        <v>0</v>
      </c>
      <c r="BB93" s="106">
        <f>'2021'!BD801</f>
      </c>
      <c r="BC93" s="106"/>
      <c r="BD93" s="106">
        <f t="shared" si="1"/>
        <v>0</v>
      </c>
      <c r="BE93" s="119">
        <f>'2021'!BE801</f>
        <v>0</v>
      </c>
      <c r="BF93" s="106">
        <f>'2021'!BF801</f>
        <v>0</v>
      </c>
      <c r="BG93" s="106">
        <f>'2021'!BG801</f>
        <v>0</v>
      </c>
      <c r="BH93" s="106">
        <f>'2021'!BH801</f>
        <v>0</v>
      </c>
      <c r="BI93" s="106">
        <f t="shared" si="2"/>
        <v>0</v>
      </c>
      <c r="BJ93" s="338">
        <f t="shared" si="3"/>
        <v>0</v>
      </c>
    </row>
    <row r="94" ht="15.75" customHeight="1" spans="1:62" x14ac:dyDescent="0.25">
      <c r="A94" s="14"/>
      <c r="B94" s="115">
        <v>84</v>
      </c>
      <c r="C94" s="115">
        <v>4.18</v>
      </c>
      <c r="D94" s="117" t="s">
        <v>301</v>
      </c>
      <c r="E94" s="119">
        <f>'2021'!I810</f>
        <v>39</v>
      </c>
      <c r="F94" s="119">
        <f>'2021'!J810</f>
        <v>0</v>
      </c>
      <c r="G94" s="106">
        <f>'2021'!K810</f>
        <v>0</v>
      </c>
      <c r="H94" s="106">
        <f>'2021'!L810</f>
      </c>
      <c r="I94" s="119">
        <f>'2021'!M810</f>
        <v>39</v>
      </c>
      <c r="J94" s="119">
        <f>'2021'!N810</f>
        <v>0</v>
      </c>
      <c r="K94" s="106">
        <f>'2021'!O810</f>
        <v>0</v>
      </c>
      <c r="L94" s="106">
        <f>'2021'!P810</f>
      </c>
      <c r="M94" s="119">
        <f>'2021'!Q810</f>
        <v>39</v>
      </c>
      <c r="N94" s="119">
        <f>'2021'!R810</f>
        <v>0</v>
      </c>
      <c r="O94" s="106">
        <f>'2021'!S810</f>
        <v>0</v>
      </c>
      <c r="P94" s="106">
        <f>'2021'!T810</f>
      </c>
      <c r="Q94" s="119">
        <f>'2021'!U810</f>
        <v>39</v>
      </c>
      <c r="R94" s="119">
        <f>'2021'!V810</f>
        <v>0</v>
      </c>
      <c r="S94" s="106">
        <f>'2021'!W810</f>
        <v>0</v>
      </c>
      <c r="T94" s="106">
        <f>'2021'!X810</f>
      </c>
      <c r="U94" s="119">
        <f>'2021'!Y810</f>
        <v>44</v>
      </c>
      <c r="V94" s="119">
        <f>'2021'!Z810</f>
        <v>5</v>
      </c>
      <c r="W94" s="106">
        <f>'2021'!AA810</f>
        <v>13</v>
      </c>
      <c r="X94" s="106">
        <f>'2021'!AB810</f>
      </c>
      <c r="Y94" s="119">
        <f>'2021'!AC810</f>
        <v>52</v>
      </c>
      <c r="Z94" s="119">
        <f>'2021'!AD810</f>
        <v>8</v>
      </c>
      <c r="AA94" s="106">
        <f>'2021'!AE810</f>
        <v>20.8</v>
      </c>
      <c r="AB94" s="106">
        <f>'2021'!AF810</f>
        <v>200</v>
      </c>
      <c r="AC94" s="119">
        <f>'2021'!AG810</f>
        <v>67</v>
      </c>
      <c r="AD94" s="119">
        <f>'2021'!AH810</f>
        <v>15</v>
      </c>
      <c r="AE94" s="106">
        <f>'2021'!AI810</f>
        <v>40.5</v>
      </c>
      <c r="AF94" s="106">
        <f>'2021'!AJ810</f>
      </c>
      <c r="AG94" s="119">
        <f>'2021'!AK810</f>
        <v>79</v>
      </c>
      <c r="AH94" s="119">
        <f>'2021'!AL810</f>
        <v>12</v>
      </c>
      <c r="AI94" s="106">
        <f>'2021'!AM810</f>
        <v>32.4</v>
      </c>
      <c r="AJ94" s="106">
        <f>'2021'!AN810</f>
        <v>32.4</v>
      </c>
      <c r="AK94" s="119">
        <f>'2021'!AO810</f>
        <v>97</v>
      </c>
      <c r="AL94" s="119">
        <f>'2021'!AP810</f>
        <v>18</v>
      </c>
      <c r="AM94" s="106">
        <f>'2021'!AQ810</f>
        <v>48.6</v>
      </c>
      <c r="AN94" s="106">
        <f>'2021'!AR810</f>
      </c>
      <c r="AO94" s="119">
        <f>'2021'!AS810</f>
        <v>102</v>
      </c>
      <c r="AP94" s="119">
        <f>'2021'!AT810</f>
        <v>5</v>
      </c>
      <c r="AQ94" s="106">
        <f>'2021'!AU810</f>
        <v>13.5</v>
      </c>
      <c r="AR94" s="106">
        <f>'2021'!AV810</f>
      </c>
      <c r="AS94" s="119">
        <f>'2021'!AW810</f>
        <v>102</v>
      </c>
      <c r="AT94" s="119">
        <f>'2021'!AX810</f>
        <v>0</v>
      </c>
      <c r="AU94" s="106">
        <f>'2021'!AY810</f>
        <v>0</v>
      </c>
      <c r="AV94" s="106">
        <f>'2021'!AZ810</f>
      </c>
      <c r="AW94" s="106"/>
      <c r="AX94" s="106">
        <f t="shared" si="0"/>
        <v>0</v>
      </c>
      <c r="AY94" s="119">
        <f>'2021'!BA810</f>
        <v>102</v>
      </c>
      <c r="AZ94" s="119">
        <f>'2021'!BB810</f>
        <v>0</v>
      </c>
      <c r="BA94" s="106">
        <f>'2021'!BC810</f>
        <v>0</v>
      </c>
      <c r="BB94" s="106">
        <f>'2021'!BD810</f>
      </c>
      <c r="BC94" s="106"/>
      <c r="BD94" s="106">
        <f t="shared" si="1"/>
        <v>0</v>
      </c>
      <c r="BE94" s="119">
        <f>'2021'!BE810</f>
        <v>63</v>
      </c>
      <c r="BF94" s="106">
        <f>'2021'!BF810</f>
        <v>168.8</v>
      </c>
      <c r="BG94" s="106">
        <f>'2021'!BG810</f>
        <v>232.4</v>
      </c>
      <c r="BH94" s="106">
        <f>'2021'!BH810</f>
        <v>-177.56</v>
      </c>
      <c r="BI94" s="106">
        <f t="shared" si="2"/>
        <v>0</v>
      </c>
      <c r="BJ94" s="338">
        <f t="shared" si="3"/>
        <v>-177.56</v>
      </c>
    </row>
    <row r="95" ht="15.75" customHeight="1" spans="1:62" x14ac:dyDescent="0.25">
      <c r="A95" s="14"/>
      <c r="B95" s="115">
        <v>86</v>
      </c>
      <c r="C95" s="115">
        <v>4.23</v>
      </c>
      <c r="D95" s="117" t="s">
        <v>304</v>
      </c>
      <c r="E95" s="119">
        <f>'2021'!I819</f>
        <v>0</v>
      </c>
      <c r="F95" s="119">
        <f>'2021'!J819</f>
        <v>0</v>
      </c>
      <c r="G95" s="106">
        <f>'2021'!K819</f>
        <v>0</v>
      </c>
      <c r="H95" s="106">
        <f>'2021'!L819</f>
      </c>
      <c r="I95" s="119">
        <f>'2021'!M819</f>
        <v>0</v>
      </c>
      <c r="J95" s="119">
        <f>'2021'!N819</f>
        <v>0</v>
      </c>
      <c r="K95" s="106">
        <f>'2021'!O819</f>
        <v>0</v>
      </c>
      <c r="L95" s="106">
        <f>'2021'!P819</f>
      </c>
      <c r="M95" s="119">
        <f>'2021'!Q819</f>
        <v>0</v>
      </c>
      <c r="N95" s="119">
        <f>'2021'!R819</f>
        <v>0</v>
      </c>
      <c r="O95" s="106">
        <f>'2021'!S819</f>
        <v>0</v>
      </c>
      <c r="P95" s="106">
        <f>'2021'!T819</f>
      </c>
      <c r="Q95" s="119">
        <f>'2021'!U819</f>
        <v>0</v>
      </c>
      <c r="R95" s="119">
        <f>'2021'!V819</f>
        <v>0</v>
      </c>
      <c r="S95" s="106">
        <f>'2021'!W819</f>
        <v>0</v>
      </c>
      <c r="T95" s="106">
        <f>'2021'!X819</f>
      </c>
      <c r="U95" s="119">
        <f>'2021'!Y819</f>
      </c>
      <c r="V95" s="119">
        <f>'2021'!Z819</f>
        <v>0</v>
      </c>
      <c r="W95" s="106">
        <f>'2021'!AA819</f>
        <v>0</v>
      </c>
      <c r="X95" s="106">
        <f>'2021'!AB819</f>
      </c>
      <c r="Y95" s="119">
        <f>'2021'!AC819</f>
      </c>
      <c r="Z95" s="119">
        <f>'2021'!AD819</f>
        <v>0</v>
      </c>
      <c r="AA95" s="106">
        <f>'2021'!AE819</f>
        <v>0</v>
      </c>
      <c r="AB95" s="106">
        <f>'2021'!AF819</f>
      </c>
      <c r="AC95" s="119">
        <f>'2021'!AG819</f>
      </c>
      <c r="AD95" s="119">
        <f>'2021'!AH819</f>
        <v>0</v>
      </c>
      <c r="AE95" s="106">
        <f>'2021'!AI819</f>
        <v>0</v>
      </c>
      <c r="AF95" s="106">
        <f>'2021'!AJ819</f>
      </c>
      <c r="AG95" s="119">
        <f>'2021'!AK819</f>
      </c>
      <c r="AH95" s="119">
        <f>'2021'!AL819</f>
        <v>0</v>
      </c>
      <c r="AI95" s="106">
        <f>'2021'!AM819</f>
        <v>0</v>
      </c>
      <c r="AJ95" s="106">
        <f>'2021'!AN819</f>
      </c>
      <c r="AK95" s="119">
        <f>'2021'!AO819</f>
      </c>
      <c r="AL95" s="119">
        <f>'2021'!AP819</f>
        <v>0</v>
      </c>
      <c r="AM95" s="106">
        <f>'2021'!AQ819</f>
        <v>0</v>
      </c>
      <c r="AN95" s="106">
        <f>'2021'!AR819</f>
      </c>
      <c r="AO95" s="119">
        <f>'2021'!AS819</f>
      </c>
      <c r="AP95" s="119">
        <f>'2021'!AT819</f>
        <v>0</v>
      </c>
      <c r="AQ95" s="106">
        <f>'2021'!AU819</f>
        <v>0</v>
      </c>
      <c r="AR95" s="106">
        <f>'2021'!AV819</f>
      </c>
      <c r="AS95" s="119">
        <f>'2021'!AW819</f>
      </c>
      <c r="AT95" s="119">
        <f>'2021'!AX819</f>
        <v>0</v>
      </c>
      <c r="AU95" s="106">
        <f>'2021'!AY819</f>
        <v>0</v>
      </c>
      <c r="AV95" s="106">
        <f>'2021'!AZ819</f>
      </c>
      <c r="AW95" s="106"/>
      <c r="AX95" s="106">
        <f t="shared" si="0"/>
        <v>0</v>
      </c>
      <c r="AY95" s="119">
        <f>'2021'!BA819</f>
      </c>
      <c r="AZ95" s="119">
        <f>'2021'!BB819</f>
        <v>0</v>
      </c>
      <c r="BA95" s="106">
        <f>'2021'!BC819</f>
        <v>0</v>
      </c>
      <c r="BB95" s="106">
        <f>'2021'!BD819</f>
      </c>
      <c r="BC95" s="106"/>
      <c r="BD95" s="106">
        <f t="shared" si="1"/>
        <v>0</v>
      </c>
      <c r="BE95" s="119">
        <f>'2021'!BE819</f>
        <v>0</v>
      </c>
      <c r="BF95" s="106">
        <f>'2021'!BF819</f>
        <v>0</v>
      </c>
      <c r="BG95" s="106">
        <f>'2021'!BG819</f>
        <v>0</v>
      </c>
      <c r="BH95" s="106">
        <f>'2021'!BH819</f>
        <v>0</v>
      </c>
      <c r="BI95" s="106">
        <f t="shared" si="2"/>
        <v>0</v>
      </c>
      <c r="BJ95" s="338">
        <f t="shared" si="3"/>
        <v>0</v>
      </c>
    </row>
    <row r="96" ht="15.75" customHeight="1" spans="1:62" x14ac:dyDescent="0.25">
      <c r="A96" s="14"/>
      <c r="B96" s="115">
        <v>88</v>
      </c>
      <c r="C96" s="115">
        <v>4.23</v>
      </c>
      <c r="D96" s="117" t="s">
        <v>308</v>
      </c>
      <c r="E96" s="119">
        <f>'2021'!I828</f>
        <v>0</v>
      </c>
      <c r="F96" s="119">
        <f>'2021'!J828</f>
        <v>0</v>
      </c>
      <c r="G96" s="106">
        <f>'2021'!K828</f>
        <v>0</v>
      </c>
      <c r="H96" s="106">
        <f>'2021'!L828</f>
      </c>
      <c r="I96" s="119">
        <f>'2021'!M828</f>
        <v>0</v>
      </c>
      <c r="J96" s="119">
        <f>'2021'!N828</f>
        <v>0</v>
      </c>
      <c r="K96" s="106">
        <f>'2021'!O828</f>
        <v>0</v>
      </c>
      <c r="L96" s="106">
        <f>'2021'!P828</f>
      </c>
      <c r="M96" s="119">
        <f>'2021'!Q828</f>
        <v>0</v>
      </c>
      <c r="N96" s="119">
        <f>'2021'!R828</f>
        <v>0</v>
      </c>
      <c r="O96" s="106">
        <f>'2021'!S828</f>
        <v>0</v>
      </c>
      <c r="P96" s="106">
        <f>'2021'!T828</f>
      </c>
      <c r="Q96" s="119">
        <f>'2021'!U828</f>
        <v>0</v>
      </c>
      <c r="R96" s="119">
        <f>'2021'!V828</f>
        <v>0</v>
      </c>
      <c r="S96" s="106">
        <f>'2021'!W828</f>
        <v>0</v>
      </c>
      <c r="T96" s="106">
        <f>'2021'!X828</f>
      </c>
      <c r="U96" s="119">
        <f>'2021'!Y828</f>
      </c>
      <c r="V96" s="119">
        <f>'2021'!Z828</f>
        <v>0</v>
      </c>
      <c r="W96" s="106">
        <f>'2021'!AA828</f>
        <v>0</v>
      </c>
      <c r="X96" s="106">
        <f>'2021'!AB828</f>
      </c>
      <c r="Y96" s="119">
        <f>'2021'!AC828</f>
      </c>
      <c r="Z96" s="119">
        <f>'2021'!AD828</f>
        <v>0</v>
      </c>
      <c r="AA96" s="106">
        <f>'2021'!AE828</f>
        <v>0</v>
      </c>
      <c r="AB96" s="106">
        <f>'2021'!AF828</f>
      </c>
      <c r="AC96" s="119">
        <f>'2021'!AG828</f>
      </c>
      <c r="AD96" s="119">
        <f>'2021'!AH828</f>
        <v>0</v>
      </c>
      <c r="AE96" s="106">
        <f>'2021'!AI828</f>
        <v>0</v>
      </c>
      <c r="AF96" s="106">
        <f>'2021'!AJ828</f>
      </c>
      <c r="AG96" s="119">
        <f>'2021'!AK828</f>
      </c>
      <c r="AH96" s="119">
        <f>'2021'!AL828</f>
        <v>0</v>
      </c>
      <c r="AI96" s="106">
        <f>'2021'!AM828</f>
        <v>0</v>
      </c>
      <c r="AJ96" s="106">
        <f>'2021'!AN828</f>
      </c>
      <c r="AK96" s="119">
        <f>'2021'!AO828</f>
      </c>
      <c r="AL96" s="119">
        <f>'2021'!AP828</f>
        <v>0</v>
      </c>
      <c r="AM96" s="106">
        <f>'2021'!AQ828</f>
        <v>0</v>
      </c>
      <c r="AN96" s="106">
        <f>'2021'!AR828</f>
      </c>
      <c r="AO96" s="119">
        <f>'2021'!AS828</f>
      </c>
      <c r="AP96" s="119">
        <f>'2021'!AT828</f>
        <v>0</v>
      </c>
      <c r="AQ96" s="106">
        <f>'2021'!AU828</f>
        <v>0</v>
      </c>
      <c r="AR96" s="106">
        <f>'2021'!AV828</f>
      </c>
      <c r="AS96" s="119">
        <f>'2021'!AW828</f>
      </c>
      <c r="AT96" s="119">
        <f>'2021'!AX828</f>
        <v>0</v>
      </c>
      <c r="AU96" s="106">
        <f>'2021'!AY828</f>
        <v>0</v>
      </c>
      <c r="AV96" s="106">
        <f>'2021'!AZ828</f>
      </c>
      <c r="AW96" s="106"/>
      <c r="AX96" s="106">
        <f t="shared" si="0"/>
        <v>0</v>
      </c>
      <c r="AY96" s="119">
        <f>'2021'!BA828</f>
      </c>
      <c r="AZ96" s="119">
        <f>'2021'!BB828</f>
        <v>0</v>
      </c>
      <c r="BA96" s="106">
        <f>'2021'!BC828</f>
        <v>0</v>
      </c>
      <c r="BB96" s="106">
        <f>'2021'!BD828</f>
      </c>
      <c r="BC96" s="106"/>
      <c r="BD96" s="106">
        <f t="shared" si="1"/>
        <v>0</v>
      </c>
      <c r="BE96" s="119">
        <f>'2021'!BE828</f>
        <v>0</v>
      </c>
      <c r="BF96" s="106">
        <f>'2021'!BF828</f>
        <v>0</v>
      </c>
      <c r="BG96" s="106">
        <f>'2021'!BG828</f>
        <v>0</v>
      </c>
      <c r="BH96" s="106">
        <f>'2021'!BH828</f>
        <v>0</v>
      </c>
      <c r="BI96" s="106">
        <f t="shared" si="2"/>
        <v>0</v>
      </c>
      <c r="BJ96" s="338">
        <f t="shared" si="3"/>
        <v>0</v>
      </c>
    </row>
    <row r="97" ht="15.75" customHeight="1" spans="1:62" x14ac:dyDescent="0.25">
      <c r="A97" s="14"/>
      <c r="B97" s="115">
        <v>90</v>
      </c>
      <c r="C97" s="115">
        <v>4.23</v>
      </c>
      <c r="D97" s="117" t="s">
        <v>311</v>
      </c>
      <c r="E97" s="119">
        <f>'2021'!I837</f>
        <v>0</v>
      </c>
      <c r="F97" s="119">
        <f>'2021'!J837</f>
        <v>0</v>
      </c>
      <c r="G97" s="106">
        <f>'2021'!K837</f>
        <v>0</v>
      </c>
      <c r="H97" s="106">
        <f>'2021'!L837</f>
      </c>
      <c r="I97" s="119">
        <f>'2021'!M837</f>
        <v>0</v>
      </c>
      <c r="J97" s="119">
        <f>'2021'!N837</f>
        <v>0</v>
      </c>
      <c r="K97" s="106">
        <f>'2021'!O837</f>
        <v>0</v>
      </c>
      <c r="L97" s="106">
        <f>'2021'!P837</f>
      </c>
      <c r="M97" s="119">
        <f>'2021'!Q837</f>
        <v>0</v>
      </c>
      <c r="N97" s="119">
        <f>'2021'!R837</f>
        <v>0</v>
      </c>
      <c r="O97" s="106">
        <f>'2021'!S837</f>
        <v>0</v>
      </c>
      <c r="P97" s="106">
        <f>'2021'!T837</f>
      </c>
      <c r="Q97" s="119">
        <f>'2021'!U837</f>
        <v>0</v>
      </c>
      <c r="R97" s="119">
        <f>'2021'!V837</f>
        <v>0</v>
      </c>
      <c r="S97" s="106">
        <f>'2021'!W837</f>
        <v>0</v>
      </c>
      <c r="T97" s="106">
        <f>'2021'!X837</f>
      </c>
      <c r="U97" s="119">
        <f>'2021'!Y837</f>
      </c>
      <c r="V97" s="119">
        <f>'2021'!Z837</f>
        <v>0</v>
      </c>
      <c r="W97" s="106">
        <f>'2021'!AA837</f>
        <v>0</v>
      </c>
      <c r="X97" s="106">
        <f>'2021'!AB837</f>
      </c>
      <c r="Y97" s="119">
        <f>'2021'!AC837</f>
      </c>
      <c r="Z97" s="119">
        <f>'2021'!AD837</f>
        <v>0</v>
      </c>
      <c r="AA97" s="106">
        <f>'2021'!AE837</f>
        <v>0</v>
      </c>
      <c r="AB97" s="106">
        <f>'2021'!AF837</f>
      </c>
      <c r="AC97" s="119">
        <f>'2021'!AG837</f>
      </c>
      <c r="AD97" s="119">
        <f>'2021'!AH837</f>
        <v>0</v>
      </c>
      <c r="AE97" s="106">
        <f>'2021'!AI837</f>
        <v>0</v>
      </c>
      <c r="AF97" s="106">
        <f>'2021'!AJ837</f>
      </c>
      <c r="AG97" s="119">
        <f>'2021'!AK837</f>
      </c>
      <c r="AH97" s="119">
        <f>'2021'!AL837</f>
        <v>0</v>
      </c>
      <c r="AI97" s="106">
        <f>'2021'!AM837</f>
        <v>0</v>
      </c>
      <c r="AJ97" s="106">
        <f>'2021'!AN837</f>
      </c>
      <c r="AK97" s="119">
        <f>'2021'!AO837</f>
      </c>
      <c r="AL97" s="119">
        <f>'2021'!AP837</f>
        <v>0</v>
      </c>
      <c r="AM97" s="106">
        <f>'2021'!AQ837</f>
        <v>0</v>
      </c>
      <c r="AN97" s="106">
        <f>'2021'!AR837</f>
      </c>
      <c r="AO97" s="119">
        <f>'2021'!AS837</f>
      </c>
      <c r="AP97" s="119">
        <f>'2021'!AT837</f>
        <v>0</v>
      </c>
      <c r="AQ97" s="106">
        <f>'2021'!AU837</f>
        <v>0</v>
      </c>
      <c r="AR97" s="106">
        <f>'2021'!AV837</f>
      </c>
      <c r="AS97" s="119">
        <f>'2021'!AW837</f>
      </c>
      <c r="AT97" s="119">
        <f>'2021'!AX837</f>
        <v>0</v>
      </c>
      <c r="AU97" s="106">
        <f>'2021'!AY837</f>
        <v>0</v>
      </c>
      <c r="AV97" s="106">
        <f>'2021'!AZ837</f>
      </c>
      <c r="AW97" s="106"/>
      <c r="AX97" s="106">
        <f t="shared" si="0"/>
        <v>0</v>
      </c>
      <c r="AY97" s="119">
        <f>'2021'!BA837</f>
      </c>
      <c r="AZ97" s="119">
        <f>'2021'!BB837</f>
        <v>0</v>
      </c>
      <c r="BA97" s="106">
        <f>'2021'!BC837</f>
        <v>0</v>
      </c>
      <c r="BB97" s="106">
        <f>'2021'!BD837</f>
      </c>
      <c r="BC97" s="106"/>
      <c r="BD97" s="106">
        <f t="shared" si="1"/>
        <v>0</v>
      </c>
      <c r="BE97" s="119">
        <f>'2021'!BE837</f>
        <v>0</v>
      </c>
      <c r="BF97" s="106">
        <f>'2021'!BF837</f>
        <v>0</v>
      </c>
      <c r="BG97" s="106">
        <f>'2021'!BG837</f>
        <v>0</v>
      </c>
      <c r="BH97" s="106">
        <f>'2021'!BH837</f>
        <v>0</v>
      </c>
      <c r="BI97" s="106">
        <f t="shared" si="2"/>
        <v>0</v>
      </c>
      <c r="BJ97" s="338">
        <f t="shared" si="3"/>
        <v>0</v>
      </c>
    </row>
    <row r="98" ht="15.75" customHeight="1" spans="1:62" x14ac:dyDescent="0.25">
      <c r="A98" s="14"/>
      <c r="B98" s="125">
        <v>92</v>
      </c>
      <c r="C98" s="115">
        <v>4.28</v>
      </c>
      <c r="D98" s="117" t="s">
        <v>312</v>
      </c>
      <c r="E98" s="119">
        <f>'2021'!I846</f>
        <v>12043</v>
      </c>
      <c r="F98" s="119">
        <f>'2021'!J846</f>
        <v>629</v>
      </c>
      <c r="G98" s="106">
        <f>'2021'!K846</f>
        <v>1635.4</v>
      </c>
      <c r="H98" s="106">
        <f>'2021'!L846</f>
      </c>
      <c r="I98" s="119">
        <f>'2021'!M846</f>
        <v>12420</v>
      </c>
      <c r="J98" s="119">
        <f>'2021'!N846</f>
        <v>377</v>
      </c>
      <c r="K98" s="106">
        <f>'2021'!O846</f>
        <v>980.2</v>
      </c>
      <c r="L98" s="106">
        <f>'2021'!P846</f>
        <v>1700</v>
      </c>
      <c r="M98" s="119">
        <f>'2021'!Q846</f>
        <v>12814</v>
      </c>
      <c r="N98" s="119">
        <f>'2021'!R846</f>
        <v>394</v>
      </c>
      <c r="O98" s="106">
        <f>'2021'!S846</f>
        <v>1024.4</v>
      </c>
      <c r="P98" s="106">
        <f>'2021'!T846</f>
      </c>
      <c r="Q98" s="119">
        <f>'2021'!U846</f>
        <v>12814</v>
      </c>
      <c r="R98" s="119">
        <f>'2021'!V846</f>
        <v>0</v>
      </c>
      <c r="S98" s="106">
        <f>'2021'!W846</f>
        <v>0</v>
      </c>
      <c r="T98" s="106">
        <f>'2021'!X846</f>
        <v>2000</v>
      </c>
      <c r="U98" s="119">
        <f>'2021'!Y846</f>
        <v>13019</v>
      </c>
      <c r="V98" s="119">
        <f>'2021'!Z846</f>
        <v>205</v>
      </c>
      <c r="W98" s="106">
        <f>'2021'!AA846</f>
        <v>533</v>
      </c>
      <c r="X98" s="106">
        <f>'2021'!AB846</f>
        <v>1000</v>
      </c>
      <c r="Y98" s="119">
        <f>'2021'!AC846</f>
        <v>13130</v>
      </c>
      <c r="Z98" s="119">
        <f>'2021'!AD846</f>
        <v>111</v>
      </c>
      <c r="AA98" s="106">
        <f>'2021'!AE846</f>
        <v>288.6</v>
      </c>
      <c r="AB98" s="106">
        <f>'2021'!AF846</f>
      </c>
      <c r="AC98" s="119">
        <f>'2021'!AG846</f>
        <v>13229</v>
      </c>
      <c r="AD98" s="119">
        <f>'2021'!AH846</f>
        <v>99</v>
      </c>
      <c r="AE98" s="106">
        <f>'2021'!AI846</f>
        <v>267.3</v>
      </c>
      <c r="AF98" s="106">
        <f>'2021'!AJ846</f>
      </c>
      <c r="AG98" s="119">
        <f>'2021'!AK846</f>
        <v>13331</v>
      </c>
      <c r="AH98" s="119">
        <f>'2021'!AL846</f>
        <v>102</v>
      </c>
      <c r="AI98" s="106">
        <f>'2021'!AM846</f>
        <v>275.4</v>
      </c>
      <c r="AJ98" s="106">
        <f>'2021'!AN846</f>
      </c>
      <c r="AK98" s="119">
        <f>'2021'!AO846</f>
        <v>13486</v>
      </c>
      <c r="AL98" s="119">
        <f>'2021'!AP846</f>
        <v>155</v>
      </c>
      <c r="AM98" s="106">
        <f>'2021'!AQ846</f>
        <v>418.5</v>
      </c>
      <c r="AN98" s="106">
        <f>'2021'!AR846</f>
      </c>
      <c r="AO98" s="119">
        <f>'2021'!AS846</f>
        <v>13840</v>
      </c>
      <c r="AP98" s="119">
        <f>'2021'!AT846</f>
        <v>354</v>
      </c>
      <c r="AQ98" s="106">
        <f>'2021'!AU846</f>
        <v>955.8</v>
      </c>
      <c r="AR98" s="106">
        <f>'2021'!AV846</f>
      </c>
      <c r="AS98" s="126">
        <f>'2021'!AW846</f>
        <v>14277</v>
      </c>
      <c r="AT98" s="119">
        <f>'2021'!AX846</f>
        <v>437</v>
      </c>
      <c r="AU98" s="106">
        <f>'2021'!AY846</f>
        <v>1179.9</v>
      </c>
      <c r="AV98" s="106">
        <f>'2021'!AZ846</f>
      </c>
      <c r="AW98" s="119"/>
      <c r="AX98" s="106">
        <f t="shared" si="0"/>
        <v>0</v>
      </c>
      <c r="AY98" s="119">
        <f>'2021'!BA846</f>
        <v>14715</v>
      </c>
      <c r="AZ98" s="119">
        <f>'2021'!BB846</f>
        <v>438</v>
      </c>
      <c r="BA98" s="106">
        <f>'2021'!BC846</f>
        <v>1182.6</v>
      </c>
      <c r="BB98" s="106">
        <f>'2021'!BD846</f>
        <v>1000</v>
      </c>
      <c r="BC98" s="106"/>
      <c r="BD98" s="106">
        <f t="shared" si="1"/>
        <v>0</v>
      </c>
      <c r="BE98" s="119">
        <f>'2021'!BE846</f>
        <v>3301</v>
      </c>
      <c r="BF98" s="106">
        <f>'2021'!BF846</f>
        <v>8741.1</v>
      </c>
      <c r="BG98" s="106">
        <f>'2021'!BG846</f>
        <v>5700</v>
      </c>
      <c r="BH98" s="106">
        <f>'2021'!BH846</f>
        <v>3028.3</v>
      </c>
      <c r="BI98" s="106">
        <f t="shared" si="2"/>
        <v>0</v>
      </c>
      <c r="BJ98" s="338">
        <f t="shared" si="3"/>
        <v>3028.3</v>
      </c>
    </row>
    <row r="99" ht="15.75" customHeight="1" spans="1:62" x14ac:dyDescent="0.25">
      <c r="A99" s="14"/>
      <c r="B99" s="125" t="s">
        <v>315</v>
      </c>
      <c r="C99" s="115">
        <v>4.36</v>
      </c>
      <c r="D99" s="117" t="s">
        <v>316</v>
      </c>
      <c r="E99" s="119">
        <f>'2021'!I855</f>
        <v>40875</v>
      </c>
      <c r="F99" s="119">
        <f>'2021'!J855</f>
        <v>3252</v>
      </c>
      <c r="G99" s="106">
        <f>'2021'!K855</f>
        <v>8455.2</v>
      </c>
      <c r="H99" s="106">
        <f>'2021'!L855</f>
        <v>9000</v>
      </c>
      <c r="I99" s="119">
        <f>'2021'!M855</f>
        <v>43708</v>
      </c>
      <c r="J99" s="119">
        <f>'2021'!N855</f>
        <v>2833</v>
      </c>
      <c r="K99" s="106">
        <f>'2021'!O855</f>
        <v>7365.8</v>
      </c>
      <c r="L99" s="106">
        <f>'2021'!P855</f>
      </c>
      <c r="M99" s="119">
        <f>'2021'!Q855</f>
        <v>45692</v>
      </c>
      <c r="N99" s="119">
        <f>'2021'!R855</f>
        <v>1984</v>
      </c>
      <c r="O99" s="106">
        <f>'2021'!S855</f>
        <v>5158.4</v>
      </c>
      <c r="P99" s="106">
        <f>'2021'!T855</f>
        <v>12159</v>
      </c>
      <c r="Q99" s="119">
        <f>'2021'!U855</f>
        <v>46919</v>
      </c>
      <c r="R99" s="119">
        <f>'2021'!V855</f>
        <v>1227</v>
      </c>
      <c r="S99" s="106">
        <f>'2021'!W855</f>
        <v>3190.2</v>
      </c>
      <c r="T99" s="106">
        <f>'2021'!X855</f>
      </c>
      <c r="U99" s="119">
        <f>'2021'!Y855</f>
        <v>47569</v>
      </c>
      <c r="V99" s="119">
        <f>'2021'!Z855</f>
        <v>650</v>
      </c>
      <c r="W99" s="106">
        <f>'2021'!AA855</f>
        <v>1690</v>
      </c>
      <c r="X99" s="106">
        <f>'2021'!AB855</f>
      </c>
      <c r="Y99" s="119">
        <f>'2021'!AC855</f>
        <v>47914</v>
      </c>
      <c r="Z99" s="119">
        <f>'2021'!AD855</f>
        <v>345</v>
      </c>
      <c r="AA99" s="106">
        <f>'2021'!AE855</f>
        <v>897</v>
      </c>
      <c r="AB99" s="106">
        <f>'2021'!AF855</f>
        <v>4510</v>
      </c>
      <c r="AC99" s="119">
        <f>'2021'!AG855</f>
        <v>48330</v>
      </c>
      <c r="AD99" s="119">
        <f>'2021'!AH855</f>
        <v>416</v>
      </c>
      <c r="AE99" s="106">
        <f>'2021'!AI855</f>
        <v>1123.2</v>
      </c>
      <c r="AF99" s="106">
        <f>'2021'!AJ855</f>
        <v>2100</v>
      </c>
      <c r="AG99" s="119">
        <f>'2021'!AK855</f>
        <v>48825</v>
      </c>
      <c r="AH99" s="119">
        <f>'2021'!AL855</f>
        <v>495</v>
      </c>
      <c r="AI99" s="106">
        <f>'2021'!AM855</f>
        <v>1336.5</v>
      </c>
      <c r="AJ99" s="106">
        <f>'2021'!AN855</f>
      </c>
      <c r="AK99" s="119">
        <f>'2021'!AO855</f>
        <v>49494</v>
      </c>
      <c r="AL99" s="119">
        <f>'2021'!AP855</f>
        <v>669</v>
      </c>
      <c r="AM99" s="106">
        <f>'2021'!AQ855</f>
        <v>1806.3</v>
      </c>
      <c r="AN99" s="106">
        <f>'2021'!AR855</f>
        <v>1300</v>
      </c>
      <c r="AO99" s="119">
        <f>'2021'!AS855</f>
        <v>50827</v>
      </c>
      <c r="AP99" s="119">
        <f>'2021'!AT855</f>
        <v>1333</v>
      </c>
      <c r="AQ99" s="106">
        <f>'2021'!AU855</f>
        <v>3599.1</v>
      </c>
      <c r="AR99" s="106">
        <f>'2021'!AV855</f>
        <v>1900</v>
      </c>
      <c r="AS99" s="126">
        <f>'2021'!AW855</f>
        <v>53098</v>
      </c>
      <c r="AT99" s="119">
        <f>'2021'!AX855</f>
        <v>2271</v>
      </c>
      <c r="AU99" s="106">
        <f>'2021'!AY855</f>
        <v>6131.7</v>
      </c>
      <c r="AV99" s="106">
        <f>'2021'!AZ855</f>
        <v>9600</v>
      </c>
      <c r="AW99" s="119"/>
      <c r="AX99" s="106">
        <f t="shared" si="0"/>
        <v>0</v>
      </c>
      <c r="AY99" s="119">
        <f>'2021'!BA855</f>
        <v>54960</v>
      </c>
      <c r="AZ99" s="119">
        <f>'2021'!BB855</f>
        <v>1862</v>
      </c>
      <c r="BA99" s="106">
        <f>'2021'!BC855</f>
        <v>5027.4</v>
      </c>
      <c r="BB99" s="106">
        <f>'2021'!BD855</f>
        <v>5050</v>
      </c>
      <c r="BC99" s="106"/>
      <c r="BD99" s="106">
        <f t="shared" si="1"/>
        <v>0</v>
      </c>
      <c r="BE99" s="119">
        <f>'2021'!BE855</f>
        <v>17337</v>
      </c>
      <c r="BF99" s="106">
        <f>'2021'!BF855</f>
        <v>45780.8</v>
      </c>
      <c r="BG99" s="106">
        <f>'2021'!BG855</f>
        <v>45619</v>
      </c>
      <c r="BH99" s="106">
        <f>'2021'!BH855</f>
        <v>-31.8</v>
      </c>
      <c r="BI99" s="106">
        <f t="shared" si="2"/>
        <v>0</v>
      </c>
      <c r="BJ99" s="338">
        <f t="shared" si="3"/>
        <v>-31.8</v>
      </c>
    </row>
    <row r="100" ht="15.75" customHeight="1" spans="1:62" x14ac:dyDescent="0.25">
      <c r="A100" s="14"/>
      <c r="B100" s="118" t="s">
        <v>315</v>
      </c>
      <c r="C100" s="116">
        <v>4.4</v>
      </c>
      <c r="D100" s="117" t="s">
        <v>316</v>
      </c>
      <c r="E100" s="119">
        <f>'2021'!I864</f>
        <v>0</v>
      </c>
      <c r="F100" s="119">
        <f>'2021'!J864</f>
        <v>0</v>
      </c>
      <c r="G100" s="106">
        <f>'2021'!K864</f>
        <v>0</v>
      </c>
      <c r="H100" s="106">
        <f>'2021'!L864</f>
      </c>
      <c r="I100" s="119">
        <f>'2021'!M864</f>
        <v>0</v>
      </c>
      <c r="J100" s="119">
        <f>'2021'!N864</f>
        <v>0</v>
      </c>
      <c r="K100" s="106">
        <f>'2021'!O864</f>
        <v>0</v>
      </c>
      <c r="L100" s="106">
        <f>'2021'!P864</f>
      </c>
      <c r="M100" s="119">
        <f>'2021'!Q864</f>
        <v>0</v>
      </c>
      <c r="N100" s="119">
        <f>'2021'!R864</f>
        <v>0</v>
      </c>
      <c r="O100" s="106">
        <f>'2021'!S864</f>
        <v>0</v>
      </c>
      <c r="P100" s="106">
        <f>'2021'!T864</f>
      </c>
      <c r="Q100" s="119">
        <f>'2021'!U864</f>
        <v>0</v>
      </c>
      <c r="R100" s="119">
        <f>'2021'!V864</f>
        <v>0</v>
      </c>
      <c r="S100" s="106">
        <f>'2021'!W864</f>
        <v>0</v>
      </c>
      <c r="T100" s="106">
        <f>'2021'!X864</f>
      </c>
      <c r="U100" s="119">
        <f>'2021'!Y864</f>
      </c>
      <c r="V100" s="119">
        <f>'2021'!Z864</f>
        <v>0</v>
      </c>
      <c r="W100" s="106">
        <f>'2021'!AA864</f>
        <v>0</v>
      </c>
      <c r="X100" s="106">
        <f>'2021'!AB864</f>
      </c>
      <c r="Y100" s="119">
        <f>'2021'!AC864</f>
      </c>
      <c r="Z100" s="119">
        <f>'2021'!AD864</f>
        <v>0</v>
      </c>
      <c r="AA100" s="106">
        <f>'2021'!AE864</f>
        <v>0</v>
      </c>
      <c r="AB100" s="106">
        <f>'2021'!AF864</f>
      </c>
      <c r="AC100" s="119">
        <f>'2021'!AG864</f>
      </c>
      <c r="AD100" s="119">
        <f>'2021'!AH864</f>
        <v>0</v>
      </c>
      <c r="AE100" s="106">
        <f>'2021'!AI864</f>
        <v>0</v>
      </c>
      <c r="AF100" s="106">
        <f>'2021'!AJ864</f>
      </c>
      <c r="AG100" s="119">
        <f>'2021'!AK864</f>
      </c>
      <c r="AH100" s="119">
        <f>'2021'!AL864</f>
        <v>0</v>
      </c>
      <c r="AI100" s="106">
        <f>'2021'!AM864</f>
        <v>0</v>
      </c>
      <c r="AJ100" s="106">
        <f>'2021'!AN864</f>
      </c>
      <c r="AK100" s="119">
        <f>'2021'!AO864</f>
      </c>
      <c r="AL100" s="119">
        <f>'2021'!AP864</f>
        <v>0</v>
      </c>
      <c r="AM100" s="106">
        <f>'2021'!AQ864</f>
        <v>0</v>
      </c>
      <c r="AN100" s="106">
        <f>'2021'!AR864</f>
      </c>
      <c r="AO100" s="119">
        <f>'2021'!AS864</f>
      </c>
      <c r="AP100" s="119">
        <f>'2021'!AT864</f>
        <v>0</v>
      </c>
      <c r="AQ100" s="106">
        <f>'2021'!AU864</f>
        <v>0</v>
      </c>
      <c r="AR100" s="106">
        <f>'2021'!AV864</f>
      </c>
      <c r="AS100" s="126">
        <f>'2021'!AW864</f>
      </c>
      <c r="AT100" s="119">
        <f>'2021'!AX864</f>
        <v>0</v>
      </c>
      <c r="AU100" s="106">
        <f>'2021'!AY864</f>
        <v>0</v>
      </c>
      <c r="AV100" s="106">
        <f>'2021'!AZ864</f>
      </c>
      <c r="AW100" s="119"/>
      <c r="AX100" s="106">
        <f t="shared" si="0"/>
        <v>0</v>
      </c>
      <c r="AY100" s="119">
        <f>'2021'!BA864</f>
      </c>
      <c r="AZ100" s="119">
        <f>'2021'!BB864</f>
        <v>0</v>
      </c>
      <c r="BA100" s="106">
        <f>'2021'!BC864</f>
        <v>0</v>
      </c>
      <c r="BB100" s="106">
        <f>'2021'!BD864</f>
      </c>
      <c r="BC100" s="106"/>
      <c r="BD100" s="106">
        <f t="shared" si="1"/>
        <v>0</v>
      </c>
      <c r="BE100" s="119">
        <f>'2021'!BE864</f>
        <v>0</v>
      </c>
      <c r="BF100" s="106">
        <f>'2021'!BF864</f>
        <v>0</v>
      </c>
      <c r="BG100" s="106">
        <f>'2021'!BG864</f>
        <v>0</v>
      </c>
      <c r="BH100" s="106">
        <f>'2021'!BH864</f>
        <v>0</v>
      </c>
      <c r="BI100" s="106">
        <f t="shared" si="2"/>
        <v>0</v>
      </c>
      <c r="BJ100" s="338">
        <f t="shared" si="3"/>
        <v>0</v>
      </c>
    </row>
    <row r="101" ht="15.75" customHeight="1" spans="1:62" x14ac:dyDescent="0.25">
      <c r="A101" s="14"/>
      <c r="B101" s="115">
        <v>99</v>
      </c>
      <c r="C101" s="115">
        <v>4.53</v>
      </c>
      <c r="D101" s="117" t="s">
        <v>319</v>
      </c>
      <c r="E101" s="119">
        <f>'2021'!I873</f>
        <v>144</v>
      </c>
      <c r="F101" s="119">
        <f>'2021'!J873</f>
        <v>0</v>
      </c>
      <c r="G101" s="106">
        <f>'2021'!K873</f>
        <v>0</v>
      </c>
      <c r="H101" s="106">
        <f>'2021'!L873</f>
      </c>
      <c r="I101" s="119">
        <f>'2021'!M873</f>
        <v>144</v>
      </c>
      <c r="J101" s="119">
        <f>'2021'!N873</f>
        <v>0</v>
      </c>
      <c r="K101" s="106">
        <f>'2021'!O873</f>
        <v>0</v>
      </c>
      <c r="L101" s="106">
        <f>'2021'!P873</f>
      </c>
      <c r="M101" s="119">
        <f>'2021'!Q873</f>
        <v>144</v>
      </c>
      <c r="N101" s="119">
        <f>'2021'!R873</f>
        <v>0</v>
      </c>
      <c r="O101" s="106">
        <f>'2021'!S873</f>
        <v>0</v>
      </c>
      <c r="P101" s="106">
        <f>'2021'!T873</f>
      </c>
      <c r="Q101" s="119">
        <f>'2021'!U873</f>
        <v>144</v>
      </c>
      <c r="R101" s="119">
        <f>'2021'!V873</f>
        <v>0</v>
      </c>
      <c r="S101" s="106">
        <f>'2021'!W873</f>
        <v>0</v>
      </c>
      <c r="T101" s="106">
        <f>'2021'!X873</f>
      </c>
      <c r="U101" s="119">
        <f>'2021'!Y873</f>
        <v>144</v>
      </c>
      <c r="V101" s="119">
        <f>'2021'!Z873</f>
        <v>0</v>
      </c>
      <c r="W101" s="106">
        <f>'2021'!AA873</f>
        <v>0</v>
      </c>
      <c r="X101" s="106">
        <f>'2021'!AB873</f>
      </c>
      <c r="Y101" s="119">
        <f>'2021'!AC873</f>
        <v>144</v>
      </c>
      <c r="Z101" s="119">
        <f>'2021'!AD873</f>
        <v>0</v>
      </c>
      <c r="AA101" s="106">
        <f>'2021'!AE873</f>
        <v>0</v>
      </c>
      <c r="AB101" s="106">
        <f>'2021'!AF873</f>
      </c>
      <c r="AC101" s="119">
        <f>'2021'!AG873</f>
        <v>177</v>
      </c>
      <c r="AD101" s="119">
        <f>'2021'!AH873</f>
        <v>33</v>
      </c>
      <c r="AE101" s="106">
        <f>'2021'!AI873</f>
        <v>89.1</v>
      </c>
      <c r="AF101" s="106">
        <f>'2021'!AJ873</f>
      </c>
      <c r="AG101" s="119">
        <f>'2021'!AK873</f>
        <v>211</v>
      </c>
      <c r="AH101" s="119">
        <f>'2021'!AL873</f>
        <v>34</v>
      </c>
      <c r="AI101" s="106">
        <f>'2021'!AM873</f>
        <v>91.8</v>
      </c>
      <c r="AJ101" s="106">
        <f>'2021'!AN873</f>
      </c>
      <c r="AK101" s="119">
        <f>'2021'!AO873</f>
        <v>211</v>
      </c>
      <c r="AL101" s="119">
        <f>'2021'!AP873</f>
        <v>0</v>
      </c>
      <c r="AM101" s="106">
        <f>'2021'!AQ873</f>
        <v>0</v>
      </c>
      <c r="AN101" s="106">
        <f>'2021'!AR873</f>
      </c>
      <c r="AO101" s="119">
        <f>'2021'!AS873</f>
        <v>245</v>
      </c>
      <c r="AP101" s="119">
        <f>'2021'!AT873</f>
        <v>34</v>
      </c>
      <c r="AQ101" s="106">
        <f>'2021'!AU873</f>
        <v>91.8</v>
      </c>
      <c r="AR101" s="106">
        <f>'2021'!AV873</f>
      </c>
      <c r="AS101" s="119">
        <f>'2021'!AW873</f>
        <v>245</v>
      </c>
      <c r="AT101" s="119">
        <f>'2021'!AX873</f>
        <v>0</v>
      </c>
      <c r="AU101" s="106">
        <f>'2021'!AY873</f>
        <v>0</v>
      </c>
      <c r="AV101" s="106">
        <f>'2021'!AZ873</f>
      </c>
      <c r="AW101" s="106"/>
      <c r="AX101" s="106">
        <f t="shared" si="0"/>
        <v>0</v>
      </c>
      <c r="AY101" s="119">
        <f>'2021'!BA873</f>
        <v>245</v>
      </c>
      <c r="AZ101" s="119">
        <f>'2021'!BB873</f>
        <v>0</v>
      </c>
      <c r="BA101" s="106">
        <f>'2021'!BC873</f>
        <v>0</v>
      </c>
      <c r="BB101" s="106">
        <f>'2021'!BD873</f>
      </c>
      <c r="BC101" s="106"/>
      <c r="BD101" s="106">
        <f t="shared" si="1"/>
        <v>0</v>
      </c>
      <c r="BE101" s="119">
        <f>'2021'!BE873</f>
        <v>101</v>
      </c>
      <c r="BF101" s="106">
        <f>'2021'!BF873</f>
        <v>272.7</v>
      </c>
      <c r="BG101" s="106">
        <f>'2021'!BG873</f>
        <v>0</v>
      </c>
      <c r="BH101" s="106">
        <f>'2021'!BH873</f>
        <v>-73.46</v>
      </c>
      <c r="BI101" s="106">
        <f t="shared" si="2"/>
        <v>0</v>
      </c>
      <c r="BJ101" s="338">
        <f t="shared" si="3"/>
        <v>-73.46</v>
      </c>
    </row>
    <row r="102" ht="15.75" customHeight="1" spans="1:62" x14ac:dyDescent="0.25">
      <c r="A102" s="14"/>
      <c r="B102" s="115">
        <v>101</v>
      </c>
      <c r="C102" s="115">
        <v>4.46</v>
      </c>
      <c r="D102" s="117" t="s">
        <v>321</v>
      </c>
      <c r="E102" s="119">
        <f>'2021'!I882</f>
        <v>175</v>
      </c>
      <c r="F102" s="119">
        <f>'2021'!J882</f>
        <v>0</v>
      </c>
      <c r="G102" s="106">
        <f>'2021'!K882</f>
        <v>0</v>
      </c>
      <c r="H102" s="106">
        <f>'2021'!L882</f>
      </c>
      <c r="I102" s="119">
        <f>'2021'!M882</f>
        <v>175</v>
      </c>
      <c r="J102" s="119">
        <f>'2021'!N882</f>
        <v>0</v>
      </c>
      <c r="K102" s="106">
        <f>'2021'!O882</f>
        <v>0</v>
      </c>
      <c r="L102" s="106">
        <f>'2021'!P882</f>
      </c>
      <c r="M102" s="119">
        <f>'2021'!Q882</f>
        <v>175</v>
      </c>
      <c r="N102" s="119">
        <f>'2021'!R882</f>
        <v>0</v>
      </c>
      <c r="O102" s="106">
        <f>'2021'!S882</f>
        <v>0</v>
      </c>
      <c r="P102" s="106">
        <f>'2021'!T882</f>
      </c>
      <c r="Q102" s="119">
        <f>'2021'!U882</f>
        <v>175</v>
      </c>
      <c r="R102" s="119">
        <f>'2021'!V882</f>
        <v>0</v>
      </c>
      <c r="S102" s="106">
        <f>'2021'!W882</f>
        <v>0</v>
      </c>
      <c r="T102" s="106">
        <f>'2021'!X882</f>
      </c>
      <c r="U102" s="119">
        <f>'2021'!Y882</f>
        <v>181</v>
      </c>
      <c r="V102" s="119">
        <f>'2021'!Z882</f>
        <v>6</v>
      </c>
      <c r="W102" s="106">
        <f>'2021'!AA882</f>
        <v>15.6</v>
      </c>
      <c r="X102" s="106">
        <f>'2021'!AB882</f>
      </c>
      <c r="Y102" s="119">
        <f>'2021'!AC882</f>
        <v>186</v>
      </c>
      <c r="Z102" s="119">
        <f>'2021'!AD882</f>
        <v>5</v>
      </c>
      <c r="AA102" s="106">
        <f>'2021'!AE882</f>
        <v>13</v>
      </c>
      <c r="AB102" s="106">
        <f>'2021'!AF882</f>
      </c>
      <c r="AC102" s="119">
        <f>'2021'!AG882</f>
        <v>188</v>
      </c>
      <c r="AD102" s="119">
        <f>'2021'!AH882</f>
        <v>2</v>
      </c>
      <c r="AE102" s="106">
        <f>'2021'!AI882</f>
        <v>5.4</v>
      </c>
      <c r="AF102" s="106">
        <f>'2021'!AJ882</f>
        <v>47</v>
      </c>
      <c r="AG102" s="119">
        <f>'2021'!AK882</f>
        <v>191</v>
      </c>
      <c r="AH102" s="119">
        <f>'2021'!AL882</f>
        <v>3</v>
      </c>
      <c r="AI102" s="106">
        <f>'2021'!AM882</f>
        <v>8.1</v>
      </c>
      <c r="AJ102" s="106">
        <f>'2021'!AN882</f>
        <v>8.1</v>
      </c>
      <c r="AK102" s="119">
        <f>'2021'!AO882</f>
        <v>194</v>
      </c>
      <c r="AL102" s="119">
        <f>'2021'!AP882</f>
        <v>3</v>
      </c>
      <c r="AM102" s="106">
        <f>'2021'!AQ882</f>
        <v>8.1</v>
      </c>
      <c r="AN102" s="106">
        <f>'2021'!AR882</f>
      </c>
      <c r="AO102" s="119">
        <f>'2021'!AS882</f>
        <v>195</v>
      </c>
      <c r="AP102" s="119">
        <f>'2021'!AT882</f>
        <v>1</v>
      </c>
      <c r="AQ102" s="106">
        <f>'2021'!AU882</f>
        <v>2.7</v>
      </c>
      <c r="AR102" s="106">
        <f>'2021'!AV882</f>
      </c>
      <c r="AS102" s="119">
        <f>'2021'!AW882</f>
        <v>195</v>
      </c>
      <c r="AT102" s="119">
        <f>'2021'!AX882</f>
        <v>0</v>
      </c>
      <c r="AU102" s="106">
        <f>'2021'!AY882</f>
        <v>0</v>
      </c>
      <c r="AV102" s="106">
        <f>'2021'!AZ882</f>
      </c>
      <c r="AW102" s="106"/>
      <c r="AX102" s="106">
        <f t="shared" si="0"/>
        <v>0</v>
      </c>
      <c r="AY102" s="119">
        <f>'2021'!BA882</f>
        <v>195</v>
      </c>
      <c r="AZ102" s="119">
        <f>'2021'!BB882</f>
        <v>0</v>
      </c>
      <c r="BA102" s="106">
        <f>'2021'!BC882</f>
        <v>0</v>
      </c>
      <c r="BB102" s="106">
        <f>'2021'!BD882</f>
      </c>
      <c r="BC102" s="106"/>
      <c r="BD102" s="106">
        <f t="shared" si="1"/>
        <v>0</v>
      </c>
      <c r="BE102" s="119">
        <f>'2021'!BE882</f>
        <v>20</v>
      </c>
      <c r="BF102" s="106">
        <f>'2021'!BF882</f>
        <v>52.9</v>
      </c>
      <c r="BG102" s="106">
        <f>'2021'!BG882</f>
        <v>55.1</v>
      </c>
      <c r="BH102" s="106">
        <f>'2021'!BH882</f>
        <v>10.8</v>
      </c>
      <c r="BI102" s="106">
        <f t="shared" si="2"/>
        <v>0</v>
      </c>
      <c r="BJ102" s="338">
        <f t="shared" si="3"/>
        <v>10.8</v>
      </c>
    </row>
    <row r="103" ht="15.75" customHeight="1" spans="1:62" x14ac:dyDescent="0.25">
      <c r="A103" s="14"/>
      <c r="B103" s="115">
        <v>103</v>
      </c>
      <c r="C103" s="115">
        <v>4.42</v>
      </c>
      <c r="D103" s="117" t="s">
        <v>322</v>
      </c>
      <c r="E103" s="119">
        <f>'2021'!I891</f>
        <v>0</v>
      </c>
      <c r="F103" s="119">
        <f>'2021'!J891</f>
        <v>0</v>
      </c>
      <c r="G103" s="106">
        <f>'2021'!K891</f>
        <v>0</v>
      </c>
      <c r="H103" s="106">
        <f>'2021'!L891</f>
      </c>
      <c r="I103" s="119">
        <f>'2021'!M891</f>
        <v>0</v>
      </c>
      <c r="J103" s="119">
        <f>'2021'!N891</f>
        <v>0</v>
      </c>
      <c r="K103" s="106">
        <f>'2021'!O891</f>
        <v>0</v>
      </c>
      <c r="L103" s="106">
        <f>'2021'!P891</f>
      </c>
      <c r="M103" s="119">
        <f>'2021'!Q891</f>
        <v>0</v>
      </c>
      <c r="N103" s="119">
        <f>'2021'!R891</f>
        <v>0</v>
      </c>
      <c r="O103" s="106">
        <f>'2021'!S891</f>
        <v>0</v>
      </c>
      <c r="P103" s="106">
        <f>'2021'!T891</f>
      </c>
      <c r="Q103" s="119">
        <f>'2021'!U891</f>
        <v>0</v>
      </c>
      <c r="R103" s="119">
        <f>'2021'!V891</f>
        <v>0</v>
      </c>
      <c r="S103" s="106">
        <f>'2021'!W891</f>
        <v>0</v>
      </c>
      <c r="T103" s="106">
        <f>'2021'!X891</f>
      </c>
      <c r="U103" s="119">
        <f>'2021'!Y891</f>
      </c>
      <c r="V103" s="119">
        <f>'2021'!Z891</f>
        <v>0</v>
      </c>
      <c r="W103" s="106">
        <f>'2021'!AA891</f>
        <v>0</v>
      </c>
      <c r="X103" s="106">
        <f>'2021'!AB891</f>
      </c>
      <c r="Y103" s="119">
        <f>'2021'!AC891</f>
      </c>
      <c r="Z103" s="119">
        <f>'2021'!AD891</f>
        <v>0</v>
      </c>
      <c r="AA103" s="106">
        <f>'2021'!AE891</f>
        <v>0</v>
      </c>
      <c r="AB103" s="106">
        <f>'2021'!AF891</f>
      </c>
      <c r="AC103" s="119">
        <f>'2021'!AG891</f>
      </c>
      <c r="AD103" s="119">
        <f>'2021'!AH891</f>
        <v>0</v>
      </c>
      <c r="AE103" s="106">
        <f>'2021'!AI891</f>
        <v>0</v>
      </c>
      <c r="AF103" s="106">
        <f>'2021'!AJ891</f>
      </c>
      <c r="AG103" s="119">
        <f>'2021'!AK891</f>
        <v>3</v>
      </c>
      <c r="AH103" s="119">
        <f>'2021'!AL891</f>
        <v>3</v>
      </c>
      <c r="AI103" s="106">
        <f>'2021'!AM891</f>
        <v>8.1</v>
      </c>
      <c r="AJ103" s="106">
        <f>'2021'!AN891</f>
      </c>
      <c r="AK103" s="119">
        <f>'2021'!AO891</f>
        <v>3</v>
      </c>
      <c r="AL103" s="119">
        <f>'2021'!AP891</f>
        <v>0</v>
      </c>
      <c r="AM103" s="106">
        <f>'2021'!AQ891</f>
        <v>0</v>
      </c>
      <c r="AN103" s="106">
        <f>'2021'!AR891</f>
      </c>
      <c r="AO103" s="119">
        <f>'2021'!AS891</f>
        <v>3</v>
      </c>
      <c r="AP103" s="119">
        <f>'2021'!AT891</f>
        <v>0</v>
      </c>
      <c r="AQ103" s="106">
        <f>'2021'!AU891</f>
        <v>0</v>
      </c>
      <c r="AR103" s="106">
        <f>'2021'!AV891</f>
      </c>
      <c r="AS103" s="119">
        <f>'2021'!AW891</f>
        <v>3</v>
      </c>
      <c r="AT103" s="119">
        <f>'2021'!AX891</f>
        <v>0</v>
      </c>
      <c r="AU103" s="106">
        <f>'2021'!AY891</f>
        <v>0</v>
      </c>
      <c r="AV103" s="106">
        <f>'2021'!AZ891</f>
      </c>
      <c r="AW103" s="106"/>
      <c r="AX103" s="106">
        <f t="shared" si="0"/>
        <v>0</v>
      </c>
      <c r="AY103" s="119">
        <f>'2021'!BA891</f>
        <v>3</v>
      </c>
      <c r="AZ103" s="119">
        <f>'2021'!BB891</f>
        <v>0</v>
      </c>
      <c r="BA103" s="106">
        <f>'2021'!BC891</f>
        <v>0</v>
      </c>
      <c r="BB103" s="106">
        <f>'2021'!BD891</f>
      </c>
      <c r="BC103" s="106"/>
      <c r="BD103" s="106">
        <f t="shared" si="1"/>
        <v>0</v>
      </c>
      <c r="BE103" s="119">
        <f>'2021'!BE891</f>
        <v>3</v>
      </c>
      <c r="BF103" s="106">
        <f>'2021'!BF891</f>
        <v>8.1</v>
      </c>
      <c r="BG103" s="106">
        <f>'2021'!BG891</f>
        <v>0</v>
      </c>
      <c r="BH103" s="106">
        <f>'2021'!BH891</f>
        <v>8.1</v>
      </c>
      <c r="BI103" s="106">
        <f t="shared" si="2"/>
        <v>0</v>
      </c>
      <c r="BJ103" s="338">
        <f t="shared" si="3"/>
        <v>8.1</v>
      </c>
    </row>
    <row r="104" ht="15.75" customHeight="1" spans="1:62" x14ac:dyDescent="0.25">
      <c r="A104" s="14"/>
      <c r="B104" s="115">
        <v>105</v>
      </c>
      <c r="C104" s="115">
        <v>4.41</v>
      </c>
      <c r="D104" s="117" t="s">
        <v>323</v>
      </c>
      <c r="E104" s="119">
        <f>'2021'!I900</f>
        <v>1704</v>
      </c>
      <c r="F104" s="119">
        <f>'2021'!J900</f>
        <v>0</v>
      </c>
      <c r="G104" s="106">
        <f>'2021'!K900</f>
        <v>0</v>
      </c>
      <c r="H104" s="106">
        <f>'2021'!L900</f>
      </c>
      <c r="I104" s="119">
        <f>'2021'!M900</f>
        <v>1704</v>
      </c>
      <c r="J104" s="119">
        <f>'2021'!N900</f>
        <v>0</v>
      </c>
      <c r="K104" s="106">
        <f>'2021'!O900</f>
        <v>0</v>
      </c>
      <c r="L104" s="106">
        <f>'2021'!P900</f>
      </c>
      <c r="M104" s="119">
        <f>'2021'!Q900</f>
        <v>1704</v>
      </c>
      <c r="N104" s="119">
        <f>'2021'!R900</f>
        <v>0</v>
      </c>
      <c r="O104" s="106">
        <f>'2021'!S900</f>
        <v>0</v>
      </c>
      <c r="P104" s="106">
        <f>'2021'!T900</f>
      </c>
      <c r="Q104" s="119">
        <f>'2021'!U900</f>
        <v>1704</v>
      </c>
      <c r="R104" s="119">
        <f>'2021'!V900</f>
        <v>0</v>
      </c>
      <c r="S104" s="106">
        <f>'2021'!W900</f>
        <v>0</v>
      </c>
      <c r="T104" s="106">
        <f>'2021'!X900</f>
      </c>
      <c r="U104" s="119">
        <f>'2021'!Y900</f>
        <v>1736</v>
      </c>
      <c r="V104" s="119">
        <f>'2021'!Z900</f>
        <v>32</v>
      </c>
      <c r="W104" s="106">
        <f>'2021'!AA900</f>
        <v>83.2</v>
      </c>
      <c r="X104" s="106">
        <f>'2021'!AB900</f>
      </c>
      <c r="Y104" s="119">
        <f>'2021'!AC900</f>
        <v>1931</v>
      </c>
      <c r="Z104" s="119">
        <f>'2021'!AD900</f>
        <v>195</v>
      </c>
      <c r="AA104" s="106">
        <f>'2021'!AE900</f>
        <v>507</v>
      </c>
      <c r="AB104" s="106">
        <f>'2021'!AF900</f>
      </c>
      <c r="AC104" s="119">
        <f>'2021'!AG900</f>
        <v>2105</v>
      </c>
      <c r="AD104" s="119">
        <f>'2021'!AH900</f>
        <v>174</v>
      </c>
      <c r="AE104" s="106">
        <f>'2021'!AI900</f>
        <v>469.8</v>
      </c>
      <c r="AF104" s="106">
        <f>'2021'!AJ900</f>
        <v>589</v>
      </c>
      <c r="AG104" s="119">
        <f>'2021'!AK900</f>
        <v>2266</v>
      </c>
      <c r="AH104" s="119">
        <f>'2021'!AL900</f>
        <v>161</v>
      </c>
      <c r="AI104" s="106">
        <f>'2021'!AM900</f>
        <v>434.7</v>
      </c>
      <c r="AJ104" s="106">
        <f>'2021'!AN900</f>
      </c>
      <c r="AK104" s="119">
        <f>'2021'!AO900</f>
        <v>2395</v>
      </c>
      <c r="AL104" s="119">
        <f>'2021'!AP900</f>
        <v>129</v>
      </c>
      <c r="AM104" s="106">
        <f>'2021'!AQ900</f>
        <v>348.3</v>
      </c>
      <c r="AN104" s="106">
        <f>'2021'!AR900</f>
      </c>
      <c r="AO104" s="119">
        <f>'2021'!AS900</f>
        <v>2540</v>
      </c>
      <c r="AP104" s="119">
        <f>'2021'!AT900</f>
        <v>145</v>
      </c>
      <c r="AQ104" s="106">
        <f>'2021'!AU900</f>
        <v>391.5</v>
      </c>
      <c r="AR104" s="106">
        <f>'2021'!AV900</f>
        <v>1643.48</v>
      </c>
      <c r="AS104" s="119">
        <f>'2021'!AW900</f>
        <v>2571</v>
      </c>
      <c r="AT104" s="119">
        <f>'2021'!AX900</f>
        <v>31</v>
      </c>
      <c r="AU104" s="106">
        <f>'2021'!AY900</f>
        <v>83.7</v>
      </c>
      <c r="AV104" s="106">
        <f>'2021'!AZ900</f>
      </c>
      <c r="AW104" s="106"/>
      <c r="AX104" s="106">
        <f t="shared" si="0"/>
        <v>0</v>
      </c>
      <c r="AY104" s="119">
        <f>'2021'!BA900</f>
        <v>2571</v>
      </c>
      <c r="AZ104" s="119">
        <f>'2021'!BB900</f>
        <v>0</v>
      </c>
      <c r="BA104" s="106">
        <f>'2021'!BC900</f>
        <v>0</v>
      </c>
      <c r="BB104" s="106">
        <f>'2021'!BD900</f>
      </c>
      <c r="BC104" s="106"/>
      <c r="BD104" s="106">
        <f t="shared" si="1"/>
        <v>0</v>
      </c>
      <c r="BE104" s="119">
        <f>'2021'!BE900</f>
        <v>867</v>
      </c>
      <c r="BF104" s="106">
        <f>'2021'!BF900</f>
        <v>2318.2</v>
      </c>
      <c r="BG104" s="106">
        <f>'2021'!BG900</f>
        <v>2232.48</v>
      </c>
      <c r="BH104" s="106">
        <f>'2021'!BH900</f>
        <v>83.7</v>
      </c>
      <c r="BI104" s="106">
        <f t="shared" si="2"/>
        <v>0</v>
      </c>
      <c r="BJ104" s="338">
        <f t="shared" si="3"/>
        <v>83.7</v>
      </c>
    </row>
    <row r="105" ht="15.75" customHeight="1" spans="1:62" x14ac:dyDescent="0.25">
      <c r="A105" s="21"/>
      <c r="B105" s="115">
        <v>107</v>
      </c>
      <c r="C105" s="115">
        <v>4.37</v>
      </c>
      <c r="D105" s="117" t="s">
        <v>325</v>
      </c>
      <c r="E105" s="119">
        <f>'2021'!I909</f>
        <v>295</v>
      </c>
      <c r="F105" s="119">
        <f>'2021'!J909</f>
        <v>0</v>
      </c>
      <c r="G105" s="106">
        <f>'2021'!K909</f>
        <v>0</v>
      </c>
      <c r="H105" s="106">
        <f>'2021'!L909</f>
      </c>
      <c r="I105" s="119">
        <f>'2021'!M909</f>
        <v>295</v>
      </c>
      <c r="J105" s="119">
        <f>'2021'!N909</f>
        <v>0</v>
      </c>
      <c r="K105" s="106">
        <f>'2021'!O909</f>
        <v>0</v>
      </c>
      <c r="L105" s="106">
        <f>'2021'!P909</f>
      </c>
      <c r="M105" s="119">
        <f>'2021'!Q909</f>
        <v>295</v>
      </c>
      <c r="N105" s="119">
        <f>'2021'!R909</f>
        <v>0</v>
      </c>
      <c r="O105" s="106">
        <f>'2021'!S909</f>
        <v>0</v>
      </c>
      <c r="P105" s="106">
        <f>'2021'!T909</f>
      </c>
      <c r="Q105" s="119">
        <f>'2021'!U909</f>
        <v>295</v>
      </c>
      <c r="R105" s="119">
        <f>'2021'!V909</f>
        <v>0</v>
      </c>
      <c r="S105" s="106">
        <f>'2021'!W909</f>
        <v>0</v>
      </c>
      <c r="T105" s="106">
        <f>'2021'!X909</f>
      </c>
      <c r="U105" s="119">
        <f>'2021'!Y909</f>
        <v>322</v>
      </c>
      <c r="V105" s="119">
        <f>'2021'!Z909</f>
        <v>27</v>
      </c>
      <c r="W105" s="106">
        <f>'2021'!AA909</f>
        <v>70.2</v>
      </c>
      <c r="X105" s="106">
        <f>'2021'!AB909</f>
      </c>
      <c r="Y105" s="119">
        <f>'2021'!AC909</f>
        <v>416</v>
      </c>
      <c r="Z105" s="119">
        <f>'2021'!AD909</f>
        <v>94</v>
      </c>
      <c r="AA105" s="106">
        <f>'2021'!AE909</f>
        <v>244.4</v>
      </c>
      <c r="AB105" s="106">
        <f>'2021'!AF909</f>
      </c>
      <c r="AC105" s="119">
        <f>'2021'!AG909</f>
        <v>514</v>
      </c>
      <c r="AD105" s="119">
        <f>'2021'!AH909</f>
        <v>98</v>
      </c>
      <c r="AE105" s="106">
        <f>'2021'!AI909</f>
        <v>264.6</v>
      </c>
      <c r="AF105" s="106">
        <f>'2021'!AJ909</f>
        <v>585.8</v>
      </c>
      <c r="AG105" s="119">
        <f>'2021'!AK909</f>
        <v>632</v>
      </c>
      <c r="AH105" s="119">
        <f>'2021'!AL909</f>
        <v>118</v>
      </c>
      <c r="AI105" s="106">
        <f>'2021'!AM909</f>
        <v>318.6</v>
      </c>
      <c r="AJ105" s="106">
        <f>'2021'!AN909</f>
        <v>318</v>
      </c>
      <c r="AK105" s="119">
        <f>'2021'!AO909</f>
        <v>687</v>
      </c>
      <c r="AL105" s="119">
        <f>'2021'!AP909</f>
        <v>55</v>
      </c>
      <c r="AM105" s="106">
        <f>'2021'!AQ909</f>
        <v>148.5</v>
      </c>
      <c r="AN105" s="106">
        <f>'2021'!AR909</f>
      </c>
      <c r="AO105" s="119">
        <f>'2021'!AS909</f>
        <v>695</v>
      </c>
      <c r="AP105" s="119">
        <f>'2021'!AT909</f>
        <v>8</v>
      </c>
      <c r="AQ105" s="106">
        <f>'2021'!AU909</f>
        <v>21.6</v>
      </c>
      <c r="AR105" s="106">
        <f>'2021'!AV909</f>
      </c>
      <c r="AS105" s="119">
        <f>'2021'!AW909</f>
        <v>695</v>
      </c>
      <c r="AT105" s="119">
        <f>'2021'!AX909</f>
        <v>0</v>
      </c>
      <c r="AU105" s="106">
        <f>'2021'!AY909</f>
        <v>0</v>
      </c>
      <c r="AV105" s="106">
        <f>'2021'!AZ909</f>
      </c>
      <c r="AW105" s="106"/>
      <c r="AX105" s="106">
        <f t="shared" si="0"/>
        <v>0</v>
      </c>
      <c r="AY105" s="119">
        <f>'2021'!BA909</f>
        <v>695</v>
      </c>
      <c r="AZ105" s="119">
        <f>'2021'!BB909</f>
        <v>0</v>
      </c>
      <c r="BA105" s="106">
        <f>'2021'!BC909</f>
        <v>0</v>
      </c>
      <c r="BB105" s="106">
        <f>'2021'!BD909</f>
      </c>
      <c r="BC105" s="106"/>
      <c r="BD105" s="106">
        <f t="shared" si="1"/>
        <v>0</v>
      </c>
      <c r="BE105" s="119">
        <f>'2021'!BE909</f>
        <v>400</v>
      </c>
      <c r="BF105" s="106">
        <f>'2021'!BF909</f>
        <v>1067.9</v>
      </c>
      <c r="BG105" s="106">
        <f>'2021'!BG909</f>
        <v>903.8</v>
      </c>
      <c r="BH105" s="106">
        <f>'2021'!BH909</f>
        <v>170.7</v>
      </c>
      <c r="BI105" s="106">
        <f t="shared" si="2"/>
        <v>0</v>
      </c>
      <c r="BJ105" s="338">
        <f t="shared" si="3"/>
        <v>170.7</v>
      </c>
    </row>
    <row r="106" ht="15.75" customHeight="1" spans="1:62" x14ac:dyDescent="0.25">
      <c r="A106" s="114" t="s">
        <v>327</v>
      </c>
      <c r="B106" s="115">
        <v>96</v>
      </c>
      <c r="C106" s="115">
        <v>4.46</v>
      </c>
      <c r="D106" s="117" t="s">
        <v>450</v>
      </c>
      <c r="E106" s="119">
        <f>'2021'!I918</f>
        <v>0</v>
      </c>
      <c r="F106" s="119">
        <f>'2021'!J918</f>
        <v>0</v>
      </c>
      <c r="G106" s="106">
        <f>'2021'!K918</f>
        <v>0</v>
      </c>
      <c r="H106" s="106">
        <f>'2021'!L918</f>
      </c>
      <c r="I106" s="119">
        <f>'2021'!M918</f>
        <v>0</v>
      </c>
      <c r="J106" s="119">
        <f>'2021'!N918</f>
        <v>0</v>
      </c>
      <c r="K106" s="106">
        <f>'2021'!O918</f>
        <v>0</v>
      </c>
      <c r="L106" s="106">
        <f>'2021'!P918</f>
      </c>
      <c r="M106" s="119">
        <f>'2021'!Q918</f>
        <v>0</v>
      </c>
      <c r="N106" s="119">
        <f>'2021'!R918</f>
        <v>0</v>
      </c>
      <c r="O106" s="106">
        <f>'2021'!S918</f>
        <v>0</v>
      </c>
      <c r="P106" s="106">
        <f>'2021'!T918</f>
      </c>
      <c r="Q106" s="119">
        <f>'2021'!U918</f>
        <v>0</v>
      </c>
      <c r="R106" s="119">
        <f>'2021'!V918</f>
        <v>0</v>
      </c>
      <c r="S106" s="106">
        <f>'2021'!W918</f>
        <v>0</v>
      </c>
      <c r="T106" s="106">
        <f>'2021'!X918</f>
      </c>
      <c r="U106" s="119">
        <f>'2021'!Y918</f>
      </c>
      <c r="V106" s="119">
        <f>'2021'!Z918</f>
        <v>0</v>
      </c>
      <c r="W106" s="106">
        <f>'2021'!AA918</f>
        <v>0</v>
      </c>
      <c r="X106" s="106">
        <f>'2021'!AB918</f>
      </c>
      <c r="Y106" s="119">
        <f>'2021'!AC918</f>
      </c>
      <c r="Z106" s="119">
        <f>'2021'!AD918</f>
        <v>0</v>
      </c>
      <c r="AA106" s="106">
        <f>'2021'!AE918</f>
        <v>0</v>
      </c>
      <c r="AB106" s="106">
        <f>'2021'!AF918</f>
      </c>
      <c r="AC106" s="119">
        <f>'2021'!AG918</f>
      </c>
      <c r="AD106" s="119">
        <f>'2021'!AH918</f>
        <v>0</v>
      </c>
      <c r="AE106" s="106">
        <f>'2021'!AI918</f>
        <v>0</v>
      </c>
      <c r="AF106" s="106">
        <f>'2021'!AJ918</f>
      </c>
      <c r="AG106" s="119">
        <f>'2021'!AK918</f>
      </c>
      <c r="AH106" s="119">
        <f>'2021'!AL918</f>
        <v>0</v>
      </c>
      <c r="AI106" s="106">
        <f>'2021'!AM918</f>
        <v>0</v>
      </c>
      <c r="AJ106" s="106">
        <f>'2021'!AN918</f>
      </c>
      <c r="AK106" s="119">
        <f>'2021'!AO918</f>
      </c>
      <c r="AL106" s="119">
        <f>'2021'!AP918</f>
        <v>0</v>
      </c>
      <c r="AM106" s="106">
        <f>'2021'!AQ918</f>
        <v>0</v>
      </c>
      <c r="AN106" s="106">
        <f>'2021'!AR918</f>
      </c>
      <c r="AO106" s="119">
        <f>'2021'!AS918</f>
      </c>
      <c r="AP106" s="119">
        <f>'2021'!AT918</f>
        <v>0</v>
      </c>
      <c r="AQ106" s="106">
        <f>'2021'!AU918</f>
        <v>0</v>
      </c>
      <c r="AR106" s="106">
        <f>'2021'!AV918</f>
      </c>
      <c r="AS106" s="119">
        <f>'2021'!AW918</f>
      </c>
      <c r="AT106" s="119">
        <f>'2021'!AX918</f>
        <v>0</v>
      </c>
      <c r="AU106" s="106">
        <f>'2021'!AY918</f>
        <v>0</v>
      </c>
      <c r="AV106" s="106">
        <f>'2021'!AZ918</f>
      </c>
      <c r="AW106" s="106"/>
      <c r="AX106" s="106">
        <f t="shared" si="0"/>
        <v>0</v>
      </c>
      <c r="AY106" s="119">
        <f>'2021'!BA918</f>
      </c>
      <c r="AZ106" s="119">
        <f>'2021'!BB918</f>
        <v>0</v>
      </c>
      <c r="BA106" s="106">
        <f>'2021'!BC918</f>
        <v>0</v>
      </c>
      <c r="BB106" s="106">
        <f>'2021'!BD918</f>
      </c>
      <c r="BC106" s="106"/>
      <c r="BD106" s="106">
        <f t="shared" si="1"/>
        <v>0</v>
      </c>
      <c r="BE106" s="119">
        <f>'2021'!BE918</f>
        <v>0</v>
      </c>
      <c r="BF106" s="106">
        <f>'2021'!BF918</f>
        <v>0</v>
      </c>
      <c r="BG106" s="106">
        <f>'2021'!BG918</f>
        <v>0</v>
      </c>
      <c r="BH106" s="106">
        <f>'2021'!BH918</f>
        <v>0</v>
      </c>
      <c r="BI106" s="106">
        <f t="shared" si="2"/>
        <v>0</v>
      </c>
      <c r="BJ106" s="338">
        <f t="shared" si="3"/>
        <v>0</v>
      </c>
    </row>
    <row r="107" ht="15.75" customHeight="1" spans="1:62" x14ac:dyDescent="0.25">
      <c r="A107" s="14"/>
      <c r="B107" s="115">
        <v>98</v>
      </c>
      <c r="C107" s="115">
        <v>4.45</v>
      </c>
      <c r="D107" s="117" t="s">
        <v>328</v>
      </c>
      <c r="E107" s="119">
        <f>'2021'!I927</f>
        <v>0</v>
      </c>
      <c r="F107" s="119">
        <f>'2021'!J927</f>
        <v>0</v>
      </c>
      <c r="G107" s="106">
        <f>'2021'!K927</f>
        <v>0</v>
      </c>
      <c r="H107" s="106">
        <f>'2021'!L927</f>
      </c>
      <c r="I107" s="119">
        <f>'2021'!M927</f>
        <v>0</v>
      </c>
      <c r="J107" s="119">
        <f>'2021'!N927</f>
        <v>0</v>
      </c>
      <c r="K107" s="106">
        <f>'2021'!O927</f>
        <v>0</v>
      </c>
      <c r="L107" s="106">
        <f>'2021'!P927</f>
      </c>
      <c r="M107" s="119">
        <f>'2021'!Q927</f>
        <v>0</v>
      </c>
      <c r="N107" s="119">
        <f>'2021'!R927</f>
        <v>0</v>
      </c>
      <c r="O107" s="106">
        <f>'2021'!S927</f>
        <v>0</v>
      </c>
      <c r="P107" s="106">
        <f>'2021'!T927</f>
      </c>
      <c r="Q107" s="119">
        <f>'2021'!U927</f>
        <v>0</v>
      </c>
      <c r="R107" s="119">
        <f>'2021'!V927</f>
        <v>0</v>
      </c>
      <c r="S107" s="106">
        <f>'2021'!W927</f>
        <v>0</v>
      </c>
      <c r="T107" s="106">
        <f>'2021'!X927</f>
      </c>
      <c r="U107" s="119">
        <f>'2021'!Y927</f>
      </c>
      <c r="V107" s="119">
        <f>'2021'!Z927</f>
        <v>0</v>
      </c>
      <c r="W107" s="106">
        <f>'2021'!AA927</f>
        <v>0</v>
      </c>
      <c r="X107" s="106">
        <f>'2021'!AB927</f>
      </c>
      <c r="Y107" s="119">
        <f>'2021'!AC927</f>
      </c>
      <c r="Z107" s="119">
        <f>'2021'!AD927</f>
        <v>0</v>
      </c>
      <c r="AA107" s="106">
        <f>'2021'!AE927</f>
        <v>0</v>
      </c>
      <c r="AB107" s="106">
        <f>'2021'!AF927</f>
        <v>332.68</v>
      </c>
      <c r="AC107" s="119">
        <f>'2021'!AG927</f>
      </c>
      <c r="AD107" s="119">
        <f>'2021'!AH927</f>
        <v>0</v>
      </c>
      <c r="AE107" s="106">
        <f>'2021'!AI927</f>
        <v>0</v>
      </c>
      <c r="AF107" s="106">
        <f>'2021'!AJ927</f>
      </c>
      <c r="AG107" s="119">
        <f>'2021'!AK927</f>
      </c>
      <c r="AH107" s="119">
        <f>'2021'!AL927</f>
        <v>0</v>
      </c>
      <c r="AI107" s="106">
        <f>'2021'!AM927</f>
        <v>0</v>
      </c>
      <c r="AJ107" s="106">
        <f>'2021'!AN927</f>
      </c>
      <c r="AK107" s="119">
        <f>'2021'!AO927</f>
      </c>
      <c r="AL107" s="119">
        <f>'2021'!AP927</f>
        <v>0</v>
      </c>
      <c r="AM107" s="106">
        <f>'2021'!AQ927</f>
        <v>0</v>
      </c>
      <c r="AN107" s="106">
        <f>'2021'!AR927</f>
      </c>
      <c r="AO107" s="119">
        <f>'2021'!AS927</f>
      </c>
      <c r="AP107" s="119">
        <f>'2021'!AT927</f>
        <v>0</v>
      </c>
      <c r="AQ107" s="106">
        <f>'2021'!AU927</f>
        <v>0</v>
      </c>
      <c r="AR107" s="106">
        <f>'2021'!AV927</f>
      </c>
      <c r="AS107" s="119">
        <f>'2021'!AW927</f>
      </c>
      <c r="AT107" s="119">
        <f>'2021'!AX927</f>
        <v>0</v>
      </c>
      <c r="AU107" s="106">
        <f>'2021'!AY927</f>
        <v>0</v>
      </c>
      <c r="AV107" s="106">
        <f>'2021'!AZ927</f>
      </c>
      <c r="AW107" s="106"/>
      <c r="AX107" s="106">
        <f t="shared" si="0"/>
        <v>0</v>
      </c>
      <c r="AY107" s="119">
        <f>'2021'!BA927</f>
      </c>
      <c r="AZ107" s="119">
        <f>'2021'!BB927</f>
        <v>0</v>
      </c>
      <c r="BA107" s="106">
        <f>'2021'!BC927</f>
        <v>0</v>
      </c>
      <c r="BB107" s="106">
        <f>'2021'!BD927</f>
      </c>
      <c r="BC107" s="106"/>
      <c r="BD107" s="106">
        <f t="shared" si="1"/>
        <v>0</v>
      </c>
      <c r="BE107" s="119">
        <f>'2021'!BE927</f>
        <v>0</v>
      </c>
      <c r="BF107" s="106">
        <f>'2021'!BF927</f>
        <v>0</v>
      </c>
      <c r="BG107" s="106">
        <f>'2021'!BG927</f>
        <v>332.68</v>
      </c>
      <c r="BH107" s="106">
        <f>'2021'!BH927</f>
        <v>-332.68</v>
      </c>
      <c r="BI107" s="106">
        <f t="shared" si="2"/>
        <v>0</v>
      </c>
      <c r="BJ107" s="338">
        <f t="shared" si="3"/>
        <v>-332.68</v>
      </c>
    </row>
    <row r="108" ht="15.75" customHeight="1" spans="1:62" x14ac:dyDescent="0.25">
      <c r="A108" s="14"/>
      <c r="B108" s="115">
        <v>100</v>
      </c>
      <c r="C108" s="115">
        <v>4.47</v>
      </c>
      <c r="D108" s="117" t="s">
        <v>330</v>
      </c>
      <c r="E108" s="119">
        <f>'2021'!I936</f>
        <v>746</v>
      </c>
      <c r="F108" s="119">
        <f>'2021'!J936</f>
        <v>0</v>
      </c>
      <c r="G108" s="106">
        <f>'2021'!K936</f>
        <v>0</v>
      </c>
      <c r="H108" s="106">
        <f>'2021'!L936</f>
      </c>
      <c r="I108" s="119">
        <f>'2021'!M936</f>
        <v>746</v>
      </c>
      <c r="J108" s="119">
        <f>'2021'!N936</f>
        <v>0</v>
      </c>
      <c r="K108" s="106">
        <f>'2021'!O936</f>
        <v>0</v>
      </c>
      <c r="L108" s="106">
        <f>'2021'!P936</f>
      </c>
      <c r="M108" s="119">
        <f>'2021'!Q936</f>
        <v>746</v>
      </c>
      <c r="N108" s="119">
        <f>'2021'!R936</f>
        <v>0</v>
      </c>
      <c r="O108" s="106">
        <f>'2021'!S936</f>
        <v>0</v>
      </c>
      <c r="P108" s="106">
        <f>'2021'!T936</f>
      </c>
      <c r="Q108" s="119">
        <f>'2021'!U936</f>
        <v>746</v>
      </c>
      <c r="R108" s="119">
        <f>'2021'!V936</f>
        <v>0</v>
      </c>
      <c r="S108" s="106">
        <f>'2021'!W936</f>
        <v>0</v>
      </c>
      <c r="T108" s="106">
        <f>'2021'!X936</f>
      </c>
      <c r="U108" s="119">
        <f>'2021'!Y936</f>
        <v>879</v>
      </c>
      <c r="V108" s="119">
        <f>'2021'!Z936</f>
        <v>133</v>
      </c>
      <c r="W108" s="106">
        <f>'2021'!AA936</f>
        <v>345.8</v>
      </c>
      <c r="X108" s="106">
        <f>'2021'!AB936</f>
      </c>
      <c r="Y108" s="119">
        <f>'2021'!AC936</f>
        <v>962</v>
      </c>
      <c r="Z108" s="119">
        <f>'2021'!AD936</f>
        <v>83</v>
      </c>
      <c r="AA108" s="106">
        <f>'2021'!AE936</f>
        <v>215.8</v>
      </c>
      <c r="AB108" s="106">
        <f>'2021'!AF936</f>
        <v>900</v>
      </c>
      <c r="AC108" s="119">
        <f>'2021'!AG936</f>
        <v>1007</v>
      </c>
      <c r="AD108" s="119">
        <f>'2021'!AH936</f>
        <v>45</v>
      </c>
      <c r="AE108" s="106">
        <f>'2021'!AI936</f>
        <v>121.5</v>
      </c>
      <c r="AF108" s="106">
        <f>'2021'!AJ936</f>
      </c>
      <c r="AG108" s="119">
        <f>'2021'!AK936</f>
        <v>1027</v>
      </c>
      <c r="AH108" s="119">
        <f>'2021'!AL936</f>
        <v>20</v>
      </c>
      <c r="AI108" s="106">
        <f>'2021'!AM936</f>
        <v>54</v>
      </c>
      <c r="AJ108" s="106">
        <f>'2021'!AN936</f>
      </c>
      <c r="AK108" s="119">
        <f>'2021'!AO936</f>
        <v>1063</v>
      </c>
      <c r="AL108" s="119">
        <f>'2021'!AP936</f>
        <v>36</v>
      </c>
      <c r="AM108" s="106">
        <f>'2021'!AQ936</f>
        <v>97.2</v>
      </c>
      <c r="AN108" s="106">
        <f>'2021'!AR936</f>
      </c>
      <c r="AO108" s="119">
        <f>'2021'!AS936</f>
        <v>1129</v>
      </c>
      <c r="AP108" s="119">
        <f>'2021'!AT936</f>
        <v>66</v>
      </c>
      <c r="AQ108" s="106">
        <f>'2021'!AU936</f>
        <v>178.2</v>
      </c>
      <c r="AR108" s="106">
        <f>'2021'!AV936</f>
        <v>453.1</v>
      </c>
      <c r="AS108" s="119">
        <f>'2021'!AW936</f>
        <v>1129</v>
      </c>
      <c r="AT108" s="119">
        <f>'2021'!AX936</f>
        <v>0</v>
      </c>
      <c r="AU108" s="106">
        <f>'2021'!AY936</f>
        <v>0</v>
      </c>
      <c r="AV108" s="106">
        <f>'2021'!AZ936</f>
      </c>
      <c r="AW108" s="106"/>
      <c r="AX108" s="106">
        <f t="shared" si="0"/>
        <v>0</v>
      </c>
      <c r="AY108" s="119">
        <f>'2021'!BA936</f>
        <v>1129</v>
      </c>
      <c r="AZ108" s="119">
        <f>'2021'!BB936</f>
        <v>0</v>
      </c>
      <c r="BA108" s="106">
        <f>'2021'!BC936</f>
        <v>0</v>
      </c>
      <c r="BB108" s="106">
        <f>'2021'!BD936</f>
      </c>
      <c r="BC108" s="106"/>
      <c r="BD108" s="106">
        <f t="shared" si="1"/>
        <v>0</v>
      </c>
      <c r="BE108" s="119">
        <f>'2021'!BE936</f>
        <v>383</v>
      </c>
      <c r="BF108" s="106">
        <f>'2021'!BF936</f>
        <v>1012.5</v>
      </c>
      <c r="BG108" s="106">
        <f>'2021'!BG936</f>
        <v>1353.1</v>
      </c>
      <c r="BH108" s="106">
        <f>'2021'!BH936</f>
        <v>0</v>
      </c>
      <c r="BI108" s="106">
        <f t="shared" si="2"/>
        <v>0</v>
      </c>
      <c r="BJ108" s="338">
        <f t="shared" si="3"/>
        <v>0</v>
      </c>
    </row>
    <row r="109" ht="15.75" customHeight="1" spans="1:62" x14ac:dyDescent="0.25">
      <c r="A109" s="14"/>
      <c r="B109" s="125">
        <v>102</v>
      </c>
      <c r="C109" s="115">
        <v>4.45</v>
      </c>
      <c r="D109" s="117" t="s">
        <v>331</v>
      </c>
      <c r="E109" s="119">
        <f>'2021'!I945</f>
        <v>2210</v>
      </c>
      <c r="F109" s="119">
        <f>'2021'!J945</f>
        <v>45</v>
      </c>
      <c r="G109" s="106">
        <f>'2021'!K945</f>
        <v>117</v>
      </c>
      <c r="H109" s="106">
        <f>'2021'!L945</f>
      </c>
      <c r="I109" s="119">
        <f>'2021'!M945</f>
        <v>2294</v>
      </c>
      <c r="J109" s="119">
        <f>'2021'!N945</f>
        <v>84</v>
      </c>
      <c r="K109" s="106">
        <f>'2021'!O945</f>
        <v>218.4</v>
      </c>
      <c r="L109" s="106">
        <f>'2021'!P945</f>
      </c>
      <c r="M109" s="119">
        <f>'2021'!Q945</f>
        <v>2294</v>
      </c>
      <c r="N109" s="119">
        <f>'2021'!R945</f>
        <v>0</v>
      </c>
      <c r="O109" s="106">
        <f>'2021'!S945</f>
        <v>0</v>
      </c>
      <c r="P109" s="106">
        <f>'2021'!T945</f>
      </c>
      <c r="Q109" s="119">
        <f>'2021'!U945</f>
        <v>2307</v>
      </c>
      <c r="R109" s="119">
        <f>'2021'!V945</f>
        <v>13</v>
      </c>
      <c r="S109" s="106">
        <f>'2021'!W945</f>
        <v>33.8</v>
      </c>
      <c r="T109" s="106">
        <f>'2021'!X945</f>
      </c>
      <c r="U109" s="119">
        <f>'2021'!Y945</f>
        <v>2431</v>
      </c>
      <c r="V109" s="119">
        <f>'2021'!Z945</f>
        <v>124</v>
      </c>
      <c r="W109" s="106">
        <f>'2021'!AA945</f>
        <v>322.4</v>
      </c>
      <c r="X109" s="106">
        <f>'2021'!AB945</f>
      </c>
      <c r="Y109" s="119">
        <f>'2021'!AC945</f>
        <v>2754</v>
      </c>
      <c r="Z109" s="119">
        <f>'2021'!AD945</f>
        <v>323</v>
      </c>
      <c r="AA109" s="106">
        <f>'2021'!AE945</f>
        <v>839.8</v>
      </c>
      <c r="AB109" s="106">
        <f>'2021'!AF945</f>
      </c>
      <c r="AC109" s="119">
        <f>'2021'!AG945</f>
        <v>3234</v>
      </c>
      <c r="AD109" s="119">
        <f>'2021'!AH945</f>
        <v>480</v>
      </c>
      <c r="AE109" s="106">
        <f>'2021'!AI945</f>
        <v>1296</v>
      </c>
      <c r="AF109" s="106">
        <f>'2021'!AJ945</f>
        <v>2294.45</v>
      </c>
      <c r="AG109" s="119">
        <f>'2021'!AK945</f>
        <v>3742</v>
      </c>
      <c r="AH109" s="119">
        <f>'2021'!AL945</f>
        <v>508</v>
      </c>
      <c r="AI109" s="106">
        <f>'2021'!AM945</f>
        <v>1371.6</v>
      </c>
      <c r="AJ109" s="106">
        <f>'2021'!AN945</f>
      </c>
      <c r="AK109" s="119">
        <f>'2021'!AO945</f>
        <v>4017</v>
      </c>
      <c r="AL109" s="119">
        <f>'2021'!AP945</f>
        <v>275</v>
      </c>
      <c r="AM109" s="106">
        <f>'2021'!AQ945</f>
        <v>742.5</v>
      </c>
      <c r="AN109" s="106">
        <f>'2021'!AR945</f>
      </c>
      <c r="AO109" s="119">
        <f>'2021'!AS945</f>
        <v>4026</v>
      </c>
      <c r="AP109" s="119">
        <f>'2021'!AT945</f>
        <v>9</v>
      </c>
      <c r="AQ109" s="106">
        <f>'2021'!AU945</f>
        <v>24.3</v>
      </c>
      <c r="AR109" s="106">
        <f>'2021'!AV945</f>
      </c>
      <c r="AS109" s="126">
        <f>'2021'!AW945</f>
        <v>4046</v>
      </c>
      <c r="AT109" s="119">
        <f>'2021'!AX945</f>
        <v>20</v>
      </c>
      <c r="AU109" s="106">
        <f>'2021'!AY945</f>
        <v>54</v>
      </c>
      <c r="AV109" s="106">
        <f>'2021'!AZ945</f>
      </c>
      <c r="AW109" s="119"/>
      <c r="AX109" s="106">
        <f t="shared" si="0"/>
        <v>0</v>
      </c>
      <c r="AY109" s="119">
        <f>'2021'!BA945</f>
        <v>4046</v>
      </c>
      <c r="AZ109" s="119">
        <f>'2021'!BB945</f>
        <v>0</v>
      </c>
      <c r="BA109" s="106">
        <f>'2021'!BC945</f>
        <v>0</v>
      </c>
      <c r="BB109" s="106">
        <f>'2021'!BD945</f>
        <v>5000</v>
      </c>
      <c r="BC109" s="106"/>
      <c r="BD109" s="106">
        <f t="shared" si="1"/>
        <v>0</v>
      </c>
      <c r="BE109" s="119">
        <f>'2021'!BE945</f>
        <v>1881</v>
      </c>
      <c r="BF109" s="106">
        <f>'2021'!BF945</f>
        <v>5019.8</v>
      </c>
      <c r="BG109" s="106">
        <f>'2021'!BG945</f>
        <v>7294.45</v>
      </c>
      <c r="BH109" s="106">
        <f>'2021'!BH945</f>
        <v>-2071.05</v>
      </c>
      <c r="BI109" s="106">
        <f t="shared" si="2"/>
        <v>0</v>
      </c>
      <c r="BJ109" s="338">
        <f t="shared" si="3"/>
        <v>-2071.05</v>
      </c>
    </row>
    <row r="110" ht="15.75" customHeight="1" spans="1:62" x14ac:dyDescent="0.25">
      <c r="A110" s="14"/>
      <c r="B110" s="118">
        <v>104</v>
      </c>
      <c r="C110" s="115">
        <v>4.42</v>
      </c>
      <c r="D110" s="117" t="s">
        <v>333</v>
      </c>
      <c r="E110" s="119">
        <f>'2021'!I954</f>
        <v>1140</v>
      </c>
      <c r="F110" s="119">
        <f>'2021'!J954</f>
        <v>0</v>
      </c>
      <c r="G110" s="106">
        <f>'2021'!K954</f>
        <v>0</v>
      </c>
      <c r="H110" s="106">
        <f>'2021'!L954</f>
      </c>
      <c r="I110" s="119">
        <f>'2021'!M954</f>
        <v>1140</v>
      </c>
      <c r="J110" s="119">
        <f>'2021'!N954</f>
        <v>0</v>
      </c>
      <c r="K110" s="106">
        <f>'2021'!O954</f>
        <v>0</v>
      </c>
      <c r="L110" s="106">
        <f>'2021'!P954</f>
      </c>
      <c r="M110" s="119">
        <f>'2021'!Q954</f>
        <v>1140</v>
      </c>
      <c r="N110" s="119">
        <f>'2021'!R954</f>
        <v>0</v>
      </c>
      <c r="O110" s="106">
        <f>'2021'!S954</f>
        <v>0</v>
      </c>
      <c r="P110" s="106">
        <f>'2021'!T954</f>
      </c>
      <c r="Q110" s="119">
        <f>'2021'!U954</f>
        <v>1140</v>
      </c>
      <c r="R110" s="119">
        <f>'2021'!V954</f>
        <v>0</v>
      </c>
      <c r="S110" s="106">
        <f>'2021'!W954</f>
        <v>0</v>
      </c>
      <c r="T110" s="106">
        <f>'2021'!X954</f>
      </c>
      <c r="U110" s="119">
        <f>'2021'!Y954</f>
        <v>1157</v>
      </c>
      <c r="V110" s="119">
        <f>'2021'!Z954</f>
        <v>17</v>
      </c>
      <c r="W110" s="106">
        <f>'2021'!AA954</f>
        <v>44.2</v>
      </c>
      <c r="X110" s="106">
        <f>'2021'!AB954</f>
      </c>
      <c r="Y110" s="119">
        <f>'2021'!AC954</f>
        <v>1162</v>
      </c>
      <c r="Z110" s="119">
        <f>'2021'!AD954</f>
        <v>5</v>
      </c>
      <c r="AA110" s="106">
        <f>'2021'!AE954</f>
        <v>13</v>
      </c>
      <c r="AB110" s="106">
        <f>'2021'!AF954</f>
        <v>55.02</v>
      </c>
      <c r="AC110" s="119">
        <f>'2021'!AG954</f>
        <v>1164</v>
      </c>
      <c r="AD110" s="119">
        <f>'2021'!AH954</f>
        <v>2</v>
      </c>
      <c r="AE110" s="106">
        <f>'2021'!AI954</f>
        <v>5.4</v>
      </c>
      <c r="AF110" s="106">
        <f>'2021'!AJ954</f>
        <v>3.54</v>
      </c>
      <c r="AG110" s="119">
        <f>'2021'!AK954</f>
        <v>1169</v>
      </c>
      <c r="AH110" s="119">
        <f>'2021'!AL954</f>
        <v>5</v>
      </c>
      <c r="AI110" s="106">
        <f>'2021'!AM954</f>
        <v>13.5</v>
      </c>
      <c r="AJ110" s="106">
        <f>'2021'!AN954</f>
      </c>
      <c r="AK110" s="119">
        <f>'2021'!AO954</f>
        <v>1190</v>
      </c>
      <c r="AL110" s="119">
        <f>'2021'!AP954</f>
        <v>21</v>
      </c>
      <c r="AM110" s="106">
        <f>'2021'!AQ954</f>
        <v>56.7</v>
      </c>
      <c r="AN110" s="106">
        <f>'2021'!AR954</f>
      </c>
      <c r="AO110" s="119">
        <f>'2021'!AS954</f>
        <v>1196</v>
      </c>
      <c r="AP110" s="119">
        <f>'2021'!AT954</f>
        <v>6</v>
      </c>
      <c r="AQ110" s="106">
        <f>'2021'!AU954</f>
        <v>16.2</v>
      </c>
      <c r="AR110" s="106">
        <f>'2021'!AV954</f>
        <v>167.8</v>
      </c>
      <c r="AS110" s="119">
        <f>'2021'!AW954</f>
        <v>1196</v>
      </c>
      <c r="AT110" s="119">
        <f>'2021'!AX954</f>
        <v>0</v>
      </c>
      <c r="AU110" s="106">
        <f>'2021'!AY954</f>
        <v>0</v>
      </c>
      <c r="AV110" s="106">
        <f>'2021'!AZ954</f>
      </c>
      <c r="AW110" s="106"/>
      <c r="AX110" s="106">
        <f t="shared" si="0"/>
        <v>0</v>
      </c>
      <c r="AY110" s="119">
        <f>'2021'!BA954</f>
        <v>1196</v>
      </c>
      <c r="AZ110" s="119">
        <f>'2021'!BB954</f>
        <v>0</v>
      </c>
      <c r="BA110" s="106">
        <f>'2021'!BC954</f>
        <v>0</v>
      </c>
      <c r="BB110" s="106">
        <f>'2021'!BD954</f>
      </c>
      <c r="BC110" s="106"/>
      <c r="BD110" s="106">
        <f t="shared" si="1"/>
        <v>0</v>
      </c>
      <c r="BE110" s="119">
        <f>'2021'!BE954</f>
        <v>56</v>
      </c>
      <c r="BF110" s="106">
        <f>'2021'!BF954</f>
        <v>149</v>
      </c>
      <c r="BG110" s="106">
        <f>'2021'!BG954</f>
        <v>226.36</v>
      </c>
      <c r="BH110" s="106">
        <f>'2021'!BH954</f>
        <v>-81.4</v>
      </c>
      <c r="BI110" s="106">
        <f t="shared" si="2"/>
        <v>0</v>
      </c>
      <c r="BJ110" s="338">
        <f t="shared" si="3"/>
        <v>-81.4</v>
      </c>
    </row>
    <row r="111" ht="15.75" customHeight="1" spans="1:62" x14ac:dyDescent="0.25">
      <c r="A111" s="14"/>
      <c r="B111" s="115">
        <v>106</v>
      </c>
      <c r="C111" s="115">
        <v>4.57</v>
      </c>
      <c r="D111" s="117" t="s">
        <v>336</v>
      </c>
      <c r="E111" s="119">
        <f>'2021'!I963</f>
        <v>0</v>
      </c>
      <c r="F111" s="119">
        <f>'2021'!J963</f>
        <v>0</v>
      </c>
      <c r="G111" s="106">
        <f>'2021'!K963</f>
        <v>0</v>
      </c>
      <c r="H111" s="106">
        <f>'2021'!L963</f>
      </c>
      <c r="I111" s="119">
        <f>'2021'!M963</f>
        <v>0</v>
      </c>
      <c r="J111" s="119">
        <f>'2021'!N963</f>
        <v>0</v>
      </c>
      <c r="K111" s="106">
        <f>'2021'!O963</f>
        <v>0</v>
      </c>
      <c r="L111" s="106">
        <f>'2021'!P963</f>
      </c>
      <c r="M111" s="119">
        <f>'2021'!Q963</f>
        <v>0</v>
      </c>
      <c r="N111" s="119">
        <f>'2021'!R963</f>
        <v>0</v>
      </c>
      <c r="O111" s="106">
        <f>'2021'!S963</f>
        <v>0</v>
      </c>
      <c r="P111" s="106">
        <f>'2021'!T963</f>
      </c>
      <c r="Q111" s="119">
        <f>'2021'!U963</f>
        <v>0</v>
      </c>
      <c r="R111" s="119">
        <f>'2021'!V963</f>
        <v>0</v>
      </c>
      <c r="S111" s="106">
        <f>'2021'!W963</f>
        <v>0</v>
      </c>
      <c r="T111" s="106">
        <f>'2021'!X963</f>
      </c>
      <c r="U111" s="119">
        <f>'2021'!Y963</f>
      </c>
      <c r="V111" s="119">
        <f>'2021'!Z963</f>
        <v>0</v>
      </c>
      <c r="W111" s="106">
        <f>'2021'!AA963</f>
        <v>0</v>
      </c>
      <c r="X111" s="106">
        <f>'2021'!AB963</f>
      </c>
      <c r="Y111" s="119">
        <f>'2021'!AC963</f>
      </c>
      <c r="Z111" s="119">
        <f>'2021'!AD963</f>
        <v>0</v>
      </c>
      <c r="AA111" s="106">
        <f>'2021'!AE963</f>
        <v>0</v>
      </c>
      <c r="AB111" s="106">
        <f>'2021'!AF963</f>
      </c>
      <c r="AC111" s="119">
        <f>'2021'!AG963</f>
      </c>
      <c r="AD111" s="119">
        <f>'2021'!AH963</f>
        <v>0</v>
      </c>
      <c r="AE111" s="106">
        <f>'2021'!AI963</f>
        <v>0</v>
      </c>
      <c r="AF111" s="106">
        <f>'2021'!AJ963</f>
      </c>
      <c r="AG111" s="119">
        <f>'2021'!AK963</f>
      </c>
      <c r="AH111" s="119">
        <f>'2021'!AL963</f>
        <v>0</v>
      </c>
      <c r="AI111" s="106">
        <f>'2021'!AM963</f>
        <v>0</v>
      </c>
      <c r="AJ111" s="106">
        <f>'2021'!AN963</f>
      </c>
      <c r="AK111" s="119">
        <f>'2021'!AO963</f>
      </c>
      <c r="AL111" s="119">
        <f>'2021'!AP963</f>
        <v>0</v>
      </c>
      <c r="AM111" s="106">
        <f>'2021'!AQ963</f>
        <v>0</v>
      </c>
      <c r="AN111" s="106">
        <f>'2021'!AR963</f>
      </c>
      <c r="AO111" s="119">
        <f>'2021'!AS963</f>
      </c>
      <c r="AP111" s="119">
        <f>'2021'!AT963</f>
        <v>0</v>
      </c>
      <c r="AQ111" s="106">
        <f>'2021'!AU963</f>
        <v>0</v>
      </c>
      <c r="AR111" s="106">
        <f>'2021'!AV963</f>
      </c>
      <c r="AS111" s="119">
        <f>'2021'!AW963</f>
      </c>
      <c r="AT111" s="119">
        <f>'2021'!AX963</f>
        <v>0</v>
      </c>
      <c r="AU111" s="106">
        <f>'2021'!AY963</f>
        <v>0</v>
      </c>
      <c r="AV111" s="106">
        <f>'2021'!AZ963</f>
      </c>
      <c r="AW111" s="106"/>
      <c r="AX111" s="106">
        <f t="shared" si="0"/>
        <v>0</v>
      </c>
      <c r="AY111" s="119">
        <f>'2021'!BA963</f>
      </c>
      <c r="AZ111" s="119">
        <f>'2021'!BB963</f>
        <v>0</v>
      </c>
      <c r="BA111" s="106">
        <f>'2021'!BC963</f>
        <v>0</v>
      </c>
      <c r="BB111" s="106">
        <f>'2021'!BD963</f>
      </c>
      <c r="BC111" s="106"/>
      <c r="BD111" s="106">
        <f t="shared" si="1"/>
        <v>0</v>
      </c>
      <c r="BE111" s="119">
        <f>'2021'!BE963</f>
        <v>0</v>
      </c>
      <c r="BF111" s="106">
        <f>'2021'!BF963</f>
        <v>0</v>
      </c>
      <c r="BG111" s="106">
        <f>'2021'!BG963</f>
        <v>0</v>
      </c>
      <c r="BH111" s="106">
        <f>'2021'!BH963</f>
        <v>0</v>
      </c>
      <c r="BI111" s="106">
        <f t="shared" si="2"/>
        <v>0</v>
      </c>
      <c r="BJ111" s="338">
        <f t="shared" si="3"/>
        <v>0</v>
      </c>
    </row>
    <row r="112" ht="15.75" customHeight="1" spans="1:62" x14ac:dyDescent="0.25">
      <c r="A112" s="14"/>
      <c r="B112" s="115">
        <v>108</v>
      </c>
      <c r="C112" s="115">
        <v>4.32</v>
      </c>
      <c r="D112" s="117" t="s">
        <v>339</v>
      </c>
      <c r="E112" s="119">
        <f>'2021'!I972</f>
        <v>0</v>
      </c>
      <c r="F112" s="119">
        <f>'2021'!J972</f>
        <v>0</v>
      </c>
      <c r="G112" s="106">
        <f>'2021'!K972</f>
        <v>0</v>
      </c>
      <c r="H112" s="106">
        <f>'2021'!L972</f>
      </c>
      <c r="I112" s="119">
        <f>'2021'!M972</f>
        <v>0</v>
      </c>
      <c r="J112" s="119">
        <f>'2021'!N972</f>
        <v>0</v>
      </c>
      <c r="K112" s="106">
        <f>'2021'!O972</f>
        <v>0</v>
      </c>
      <c r="L112" s="106">
        <f>'2021'!P972</f>
      </c>
      <c r="M112" s="119">
        <f>'2021'!Q972</f>
        <v>0</v>
      </c>
      <c r="N112" s="119">
        <f>'2021'!R972</f>
        <v>0</v>
      </c>
      <c r="O112" s="106">
        <f>'2021'!S972</f>
        <v>0</v>
      </c>
      <c r="P112" s="106">
        <f>'2021'!T972</f>
      </c>
      <c r="Q112" s="119">
        <f>'2021'!U972</f>
        <v>0</v>
      </c>
      <c r="R112" s="119">
        <f>'2021'!V972</f>
        <v>0</v>
      </c>
      <c r="S112" s="106">
        <f>'2021'!W972</f>
        <v>0</v>
      </c>
      <c r="T112" s="106">
        <f>'2021'!X972</f>
      </c>
      <c r="U112" s="119">
        <f>'2021'!Y972</f>
      </c>
      <c r="V112" s="119">
        <f>'2021'!Z972</f>
        <v>0</v>
      </c>
      <c r="W112" s="106">
        <f>'2021'!AA972</f>
        <v>0</v>
      </c>
      <c r="X112" s="106">
        <f>'2021'!AB972</f>
      </c>
      <c r="Y112" s="119">
        <f>'2021'!AC972</f>
      </c>
      <c r="Z112" s="119">
        <f>'2021'!AD972</f>
        <v>0</v>
      </c>
      <c r="AA112" s="106">
        <f>'2021'!AE972</f>
        <v>0</v>
      </c>
      <c r="AB112" s="106">
        <f>'2021'!AF972</f>
      </c>
      <c r="AC112" s="119">
        <f>'2021'!AG972</f>
      </c>
      <c r="AD112" s="119">
        <f>'2021'!AH972</f>
        <v>0</v>
      </c>
      <c r="AE112" s="106">
        <f>'2021'!AI972</f>
        <v>0</v>
      </c>
      <c r="AF112" s="106">
        <f>'2021'!AJ972</f>
      </c>
      <c r="AG112" s="119">
        <f>'2021'!AK972</f>
      </c>
      <c r="AH112" s="119">
        <f>'2021'!AL972</f>
        <v>0</v>
      </c>
      <c r="AI112" s="106">
        <f>'2021'!AM972</f>
        <v>0</v>
      </c>
      <c r="AJ112" s="106">
        <f>'2021'!AN972</f>
      </c>
      <c r="AK112" s="119">
        <f>'2021'!AO972</f>
      </c>
      <c r="AL112" s="119">
        <f>'2021'!AP972</f>
        <v>0</v>
      </c>
      <c r="AM112" s="106">
        <f>'2021'!AQ972</f>
        <v>0</v>
      </c>
      <c r="AN112" s="106">
        <f>'2021'!AR972</f>
      </c>
      <c r="AO112" s="119">
        <f>'2021'!AS972</f>
      </c>
      <c r="AP112" s="119">
        <f>'2021'!AT972</f>
        <v>0</v>
      </c>
      <c r="AQ112" s="106">
        <f>'2021'!AU972</f>
        <v>0</v>
      </c>
      <c r="AR112" s="106">
        <f>'2021'!AV972</f>
      </c>
      <c r="AS112" s="119">
        <f>'2021'!AW972</f>
      </c>
      <c r="AT112" s="119">
        <f>'2021'!AX972</f>
        <v>0</v>
      </c>
      <c r="AU112" s="106">
        <f>'2021'!AY972</f>
        <v>0</v>
      </c>
      <c r="AV112" s="106">
        <f>'2021'!AZ972</f>
      </c>
      <c r="AW112" s="106"/>
      <c r="AX112" s="106">
        <f t="shared" si="0"/>
        <v>0</v>
      </c>
      <c r="AY112" s="119">
        <f>'2021'!BA972</f>
      </c>
      <c r="AZ112" s="119">
        <f>'2021'!BB972</f>
        <v>0</v>
      </c>
      <c r="BA112" s="106">
        <f>'2021'!BC972</f>
        <v>0</v>
      </c>
      <c r="BB112" s="106">
        <f>'2021'!BD972</f>
      </c>
      <c r="BC112" s="106"/>
      <c r="BD112" s="106">
        <f t="shared" si="1"/>
        <v>0</v>
      </c>
      <c r="BE112" s="119">
        <f>'2021'!BE972</f>
        <v>0</v>
      </c>
      <c r="BF112" s="106">
        <f>'2021'!BF972</f>
        <v>0</v>
      </c>
      <c r="BG112" s="106">
        <f>'2021'!BG972</f>
        <v>0</v>
      </c>
      <c r="BH112" s="106">
        <f>'2021'!BH972</f>
        <v>0</v>
      </c>
      <c r="BI112" s="106">
        <f t="shared" si="2"/>
        <v>0</v>
      </c>
      <c r="BJ112" s="338">
        <f t="shared" si="3"/>
        <v>0</v>
      </c>
    </row>
    <row r="113" ht="15.75" customHeight="1" spans="1:62" x14ac:dyDescent="0.25">
      <c r="A113" s="14"/>
      <c r="B113" s="115">
        <v>109</v>
      </c>
      <c r="C113" s="115">
        <v>6.22</v>
      </c>
      <c r="D113" s="2" t="s">
        <v>455</v>
      </c>
      <c r="E113" s="119">
        <f>'2021'!I981</f>
        <v>41</v>
      </c>
      <c r="F113" s="119">
        <f>'2021'!J981</f>
        <v>0</v>
      </c>
      <c r="G113" s="106">
        <f>'2021'!K981</f>
        <v>0</v>
      </c>
      <c r="H113" s="106">
        <f>'2021'!L981</f>
      </c>
      <c r="I113" s="119">
        <f>'2021'!M981</f>
        <v>41</v>
      </c>
      <c r="J113" s="119">
        <f>'2021'!N981</f>
        <v>0</v>
      </c>
      <c r="K113" s="106">
        <f>'2021'!O981</f>
        <v>0</v>
      </c>
      <c r="L113" s="106">
        <f>'2021'!P981</f>
      </c>
      <c r="M113" s="119">
        <f>'2021'!Q981</f>
        <v>41</v>
      </c>
      <c r="N113" s="119">
        <f>'2021'!R981</f>
        <v>0</v>
      </c>
      <c r="O113" s="106">
        <f>'2021'!S981</f>
        <v>0</v>
      </c>
      <c r="P113" s="106">
        <f>'2021'!T981</f>
      </c>
      <c r="Q113" s="119">
        <f>'2021'!U981</f>
        <v>41</v>
      </c>
      <c r="R113" s="119">
        <f>'2021'!V981</f>
        <v>0</v>
      </c>
      <c r="S113" s="106">
        <f>'2021'!W981</f>
        <v>0</v>
      </c>
      <c r="T113" s="106">
        <f>'2021'!X981</f>
      </c>
      <c r="U113" s="119">
        <f>'2021'!Y981</f>
        <v>42</v>
      </c>
      <c r="V113" s="119">
        <f>'2021'!Z981</f>
        <v>1</v>
      </c>
      <c r="W113" s="106">
        <f>'2021'!AA981</f>
        <v>2.6</v>
      </c>
      <c r="X113" s="106">
        <f>'2021'!AB981</f>
        <v>17.8</v>
      </c>
      <c r="Y113" s="119">
        <f>'2021'!AC981</f>
        <v>43</v>
      </c>
      <c r="Z113" s="119">
        <f>'2021'!AD981</f>
        <v>1</v>
      </c>
      <c r="AA113" s="106">
        <f>'2021'!AE981</f>
        <v>2.6</v>
      </c>
      <c r="AB113" s="106">
        <f>'2021'!AF981</f>
      </c>
      <c r="AC113" s="119">
        <f>'2021'!AG981</f>
        <v>45</v>
      </c>
      <c r="AD113" s="119">
        <f>'2021'!AH981</f>
        <v>2</v>
      </c>
      <c r="AE113" s="106">
        <f>'2021'!AI981</f>
        <v>5.4</v>
      </c>
      <c r="AF113" s="106">
        <f>'2021'!AJ981</f>
      </c>
      <c r="AG113" s="119">
        <f>'2021'!AK981</f>
        <v>46</v>
      </c>
      <c r="AH113" s="119">
        <f>'2021'!AL981</f>
        <v>1</v>
      </c>
      <c r="AI113" s="106">
        <f>'2021'!AM981</f>
        <v>2.7</v>
      </c>
      <c r="AJ113" s="106">
        <f>'2021'!AN981</f>
      </c>
      <c r="AK113" s="119">
        <f>'2021'!AO981</f>
        <v>46</v>
      </c>
      <c r="AL113" s="119">
        <f>'2021'!AP981</f>
        <v>0</v>
      </c>
      <c r="AM113" s="106">
        <f>'2021'!AQ981</f>
        <v>0</v>
      </c>
      <c r="AN113" s="106">
        <f>'2021'!AR981</f>
      </c>
      <c r="AO113" s="119">
        <f>'2021'!AS981</f>
        <v>46</v>
      </c>
      <c r="AP113" s="119">
        <f>'2021'!AT981</f>
        <v>0</v>
      </c>
      <c r="AQ113" s="106">
        <f>'2021'!AU981</f>
        <v>0</v>
      </c>
      <c r="AR113" s="106">
        <f>'2021'!AV981</f>
      </c>
      <c r="AS113" s="119">
        <f>'2021'!AW981</f>
        <v>46</v>
      </c>
      <c r="AT113" s="119">
        <f>'2021'!AX981</f>
        <v>0</v>
      </c>
      <c r="AU113" s="106">
        <f>'2021'!AY981</f>
        <v>0</v>
      </c>
      <c r="AV113" s="106">
        <f>'2021'!AZ981</f>
      </c>
      <c r="AW113" s="106"/>
      <c r="AX113" s="106">
        <f t="shared" si="0"/>
        <v>0</v>
      </c>
      <c r="AY113" s="119">
        <f>'2021'!BA981</f>
        <v>46</v>
      </c>
      <c r="AZ113" s="119">
        <f>'2021'!BB981</f>
        <v>0</v>
      </c>
      <c r="BA113" s="106">
        <f>'2021'!BC981</f>
        <v>0</v>
      </c>
      <c r="BB113" s="106">
        <f>'2021'!BD981</f>
      </c>
      <c r="BC113" s="106"/>
      <c r="BD113" s="106">
        <f t="shared" si="1"/>
        <v>0</v>
      </c>
      <c r="BE113" s="119">
        <f>'2021'!BE981</f>
        <v>5</v>
      </c>
      <c r="BF113" s="106">
        <f>'2021'!BF981</f>
        <v>13.3</v>
      </c>
      <c r="BG113" s="106">
        <f>'2021'!BG981</f>
        <v>17.8</v>
      </c>
      <c r="BH113" s="106">
        <f>'2021'!BH981</f>
        <v>10.7</v>
      </c>
      <c r="BI113" s="106">
        <f t="shared" si="2"/>
        <v>0</v>
      </c>
      <c r="BJ113" s="338">
        <f t="shared" si="3"/>
        <v>10.7</v>
      </c>
    </row>
    <row r="114" ht="15.75" customHeight="1" spans="1:62" x14ac:dyDescent="0.25">
      <c r="A114" s="14"/>
      <c r="B114" s="115">
        <v>110</v>
      </c>
      <c r="C114" s="115">
        <v>4.91</v>
      </c>
      <c r="D114" s="117" t="s">
        <v>342</v>
      </c>
      <c r="E114" s="119">
        <f>'2021'!I990</f>
        <v>151</v>
      </c>
      <c r="F114" s="119">
        <f>'2021'!J990</f>
        <v>0</v>
      </c>
      <c r="G114" s="106">
        <f>'2021'!K990</f>
        <v>0</v>
      </c>
      <c r="H114" s="106">
        <f>'2021'!L990</f>
      </c>
      <c r="I114" s="119">
        <f>'2021'!M990</f>
        <v>151</v>
      </c>
      <c r="J114" s="119">
        <f>'2021'!N990</f>
        <v>0</v>
      </c>
      <c r="K114" s="106">
        <f>'2021'!O990</f>
        <v>0</v>
      </c>
      <c r="L114" s="106">
        <f>'2021'!P990</f>
      </c>
      <c r="M114" s="119">
        <f>'2021'!Q990</f>
        <v>151</v>
      </c>
      <c r="N114" s="119">
        <f>'2021'!R990</f>
        <v>0</v>
      </c>
      <c r="O114" s="106">
        <f>'2021'!S990</f>
        <v>0</v>
      </c>
      <c r="P114" s="106">
        <f>'2021'!T990</f>
      </c>
      <c r="Q114" s="119">
        <f>'2021'!U990</f>
        <v>151</v>
      </c>
      <c r="R114" s="119">
        <f>'2021'!V990</f>
        <v>0</v>
      </c>
      <c r="S114" s="106">
        <f>'2021'!W990</f>
        <v>0</v>
      </c>
      <c r="T114" s="106">
        <f>'2021'!X990</f>
      </c>
      <c r="U114" s="119">
        <f>'2021'!Y990</f>
        <v>152</v>
      </c>
      <c r="V114" s="119">
        <f>'2021'!Z990</f>
        <v>1</v>
      </c>
      <c r="W114" s="106">
        <f>'2021'!AA990</f>
        <v>2.6</v>
      </c>
      <c r="X114" s="106">
        <f>'2021'!AB990</f>
      </c>
      <c r="Y114" s="119">
        <f>'2021'!AC990</f>
        <v>152</v>
      </c>
      <c r="Z114" s="119">
        <f>'2021'!AD990</f>
        <v>0</v>
      </c>
      <c r="AA114" s="106">
        <f>'2021'!AE990</f>
        <v>0</v>
      </c>
      <c r="AB114" s="106">
        <f>'2021'!AF990</f>
      </c>
      <c r="AC114" s="119">
        <f>'2021'!AG990</f>
        <v>152</v>
      </c>
      <c r="AD114" s="119">
        <f>'2021'!AH990</f>
        <v>0</v>
      </c>
      <c r="AE114" s="106">
        <f>'2021'!AI990</f>
        <v>0</v>
      </c>
      <c r="AF114" s="106">
        <f>'2021'!AJ990</f>
      </c>
      <c r="AG114" s="119">
        <f>'2021'!AK990</f>
        <v>152</v>
      </c>
      <c r="AH114" s="119">
        <f>'2021'!AL990</f>
        <v>0</v>
      </c>
      <c r="AI114" s="106">
        <f>'2021'!AM990</f>
        <v>0</v>
      </c>
      <c r="AJ114" s="106">
        <f>'2021'!AN990</f>
      </c>
      <c r="AK114" s="119">
        <f>'2021'!AO990</f>
        <v>153</v>
      </c>
      <c r="AL114" s="119">
        <f>'2021'!AP990</f>
        <v>1</v>
      </c>
      <c r="AM114" s="106">
        <f>'2021'!AQ990</f>
        <v>2.7</v>
      </c>
      <c r="AN114" s="106">
        <f>'2021'!AR990</f>
      </c>
      <c r="AO114" s="119">
        <f>'2021'!AS990</f>
        <v>154</v>
      </c>
      <c r="AP114" s="119">
        <f>'2021'!AT990</f>
        <v>1</v>
      </c>
      <c r="AQ114" s="106">
        <f>'2021'!AU990</f>
        <v>2.7</v>
      </c>
      <c r="AR114" s="106">
        <f>'2021'!AV990</f>
      </c>
      <c r="AS114" s="119">
        <f>'2021'!AW990</f>
        <v>154</v>
      </c>
      <c r="AT114" s="119">
        <f>'2021'!AX990</f>
        <v>0</v>
      </c>
      <c r="AU114" s="106">
        <f>'2021'!AY990</f>
        <v>0</v>
      </c>
      <c r="AV114" s="106">
        <f>'2021'!AZ990</f>
      </c>
      <c r="AW114" s="119"/>
      <c r="AX114" s="106">
        <f t="shared" si="0"/>
        <v>0</v>
      </c>
      <c r="AY114" s="119">
        <f>'2021'!BA990</f>
        <v>154</v>
      </c>
      <c r="AZ114" s="119">
        <f>'2021'!BB990</f>
        <v>0</v>
      </c>
      <c r="BA114" s="106">
        <f>'2021'!BC990</f>
        <v>0</v>
      </c>
      <c r="BB114" s="106">
        <f>'2021'!BD990</f>
      </c>
      <c r="BC114" s="106"/>
      <c r="BD114" s="106">
        <f t="shared" si="1"/>
        <v>0</v>
      </c>
      <c r="BE114" s="119">
        <f>'2021'!BE990</f>
        <v>3</v>
      </c>
      <c r="BF114" s="106">
        <f>'2021'!BF990</f>
        <v>8</v>
      </c>
      <c r="BG114" s="106">
        <f>'2021'!BG990</f>
        <v>0</v>
      </c>
      <c r="BH114" s="106">
        <f>'2021'!BH990</f>
        <v>109.1</v>
      </c>
      <c r="BI114" s="106">
        <f t="shared" si="2"/>
        <v>0</v>
      </c>
      <c r="BJ114" s="338">
        <f t="shared" si="3"/>
        <v>109.1</v>
      </c>
    </row>
    <row r="115" ht="15.75" customHeight="1" spans="1:62" x14ac:dyDescent="0.25">
      <c r="A115" s="14"/>
      <c r="B115" s="125">
        <v>111</v>
      </c>
      <c r="C115" s="116">
        <v>6.8</v>
      </c>
      <c r="D115" s="117" t="s">
        <v>280</v>
      </c>
      <c r="E115" s="119">
        <f>'2021'!I999</f>
        <v>9941</v>
      </c>
      <c r="F115" s="119">
        <f>'2021'!J999</f>
        <v>3233</v>
      </c>
      <c r="G115" s="106">
        <f>'2021'!K999</f>
        <v>8405.8</v>
      </c>
      <c r="H115" s="106">
        <f>'2021'!L999</f>
        <v>10000</v>
      </c>
      <c r="I115" s="119">
        <f>'2021'!M999</f>
        <v>14379</v>
      </c>
      <c r="J115" s="119">
        <f>'2021'!N999</f>
        <v>4438</v>
      </c>
      <c r="K115" s="106">
        <f>'2021'!O999</f>
        <v>11538.8</v>
      </c>
      <c r="L115" s="106">
        <f>'2021'!P999</f>
        <v>7000</v>
      </c>
      <c r="M115" s="119">
        <f>'2021'!Q999</f>
        <v>17955</v>
      </c>
      <c r="N115" s="119">
        <f>'2021'!R999</f>
        <v>3576</v>
      </c>
      <c r="O115" s="106">
        <f>'2021'!S999</f>
        <v>9297.6</v>
      </c>
      <c r="P115" s="106">
        <f>'2021'!T999</f>
        <v>19900</v>
      </c>
      <c r="Q115" s="119">
        <f>'2021'!U999</f>
        <v>20687</v>
      </c>
      <c r="R115" s="119">
        <f>'2021'!V999</f>
        <v>2732</v>
      </c>
      <c r="S115" s="106">
        <f>'2021'!W999</f>
        <v>7103.2</v>
      </c>
      <c r="T115" s="106">
        <f>'2021'!X999</f>
      </c>
      <c r="U115" s="119">
        <f>'2021'!Y999</f>
        <v>663</v>
      </c>
      <c r="V115" s="119">
        <f>'2021'!Z999</f>
        <v>1063</v>
      </c>
      <c r="W115" s="106">
        <f>'2021'!AA999</f>
        <v>2763.8</v>
      </c>
      <c r="X115" s="106">
        <f>'2021'!AB999</f>
        <v>7500</v>
      </c>
      <c r="Y115" s="119">
        <f>'2021'!AC999</f>
        <v>1347</v>
      </c>
      <c r="Z115" s="119">
        <f>'2021'!AD999</f>
        <v>684</v>
      </c>
      <c r="AA115" s="106">
        <f>'2021'!AE999</f>
        <v>1778.4</v>
      </c>
      <c r="AB115" s="106">
        <f>'2021'!AF999</f>
        <v>5500</v>
      </c>
      <c r="AC115" s="119">
        <f>'2021'!AG999</f>
        <v>2119</v>
      </c>
      <c r="AD115" s="119">
        <f>'2021'!AH999</f>
        <v>772</v>
      </c>
      <c r="AE115" s="106">
        <f>'2021'!AI999</f>
        <v>2084.4</v>
      </c>
      <c r="AF115" s="106">
        <f>'2021'!AJ999</f>
      </c>
      <c r="AG115" s="119">
        <f>'2021'!AK999</f>
        <v>2876</v>
      </c>
      <c r="AH115" s="119">
        <f>'2021'!AL999</f>
        <v>757</v>
      </c>
      <c r="AI115" s="106">
        <f>'2021'!AM999</f>
        <v>2043.9</v>
      </c>
      <c r="AJ115" s="106">
        <f>'2021'!AN999</f>
      </c>
      <c r="AK115" s="119">
        <f>'2021'!AO999</f>
        <v>4139</v>
      </c>
      <c r="AL115" s="119">
        <f>'2021'!AP999</f>
        <v>1263</v>
      </c>
      <c r="AM115" s="106">
        <f>'2021'!AQ999</f>
        <v>3410.1</v>
      </c>
      <c r="AN115" s="106">
        <f>'2021'!AR999</f>
        <v>3000</v>
      </c>
      <c r="AO115" s="119">
        <f>'2021'!AS999</f>
        <v>6151</v>
      </c>
      <c r="AP115" s="119">
        <f>'2021'!AT999</f>
        <v>2012</v>
      </c>
      <c r="AQ115" s="106">
        <f>'2021'!AU999</f>
        <v>5432.4</v>
      </c>
      <c r="AR115" s="106">
        <f>'2021'!AV999</f>
        <v>3300</v>
      </c>
      <c r="AS115" s="119">
        <f>'2021'!AW999</f>
        <v>10036</v>
      </c>
      <c r="AT115" s="119">
        <f>'2021'!AX999</f>
        <v>3885</v>
      </c>
      <c r="AU115" s="106">
        <f>'2021'!AY999</f>
        <v>10489.5</v>
      </c>
      <c r="AV115" s="106">
        <f>'2021'!AZ999</f>
        <v>15900</v>
      </c>
      <c r="AW115" s="106"/>
      <c r="AX115" s="106">
        <f t="shared" si="0"/>
        <v>0</v>
      </c>
      <c r="AY115" s="119">
        <f>'2021'!BA999</f>
        <v>12885</v>
      </c>
      <c r="AZ115" s="119">
        <f>'2021'!BB999</f>
        <v>2849</v>
      </c>
      <c r="BA115" s="106">
        <f>'2021'!BC999</f>
        <v>7692.3</v>
      </c>
      <c r="BB115" s="106">
        <f>'2021'!BD999</f>
        <v>7700</v>
      </c>
      <c r="BC115" s="106"/>
      <c r="BD115" s="106">
        <f t="shared" si="1"/>
        <v>0</v>
      </c>
      <c r="BE115" s="119">
        <f>'2021'!BE999</f>
        <v>27264</v>
      </c>
      <c r="BF115" s="106">
        <f>'2021'!BF999</f>
        <v>72040.2</v>
      </c>
      <c r="BG115" s="106">
        <f>'2021'!BG999</f>
        <v>79800</v>
      </c>
      <c r="BH115" s="106">
        <f>'2021'!BH999</f>
        <v>-13.4</v>
      </c>
      <c r="BI115" s="106">
        <f t="shared" si="2"/>
        <v>0</v>
      </c>
      <c r="BJ115" s="338">
        <f t="shared" si="3"/>
        <v>-13.4</v>
      </c>
    </row>
    <row r="116" ht="15.75" customHeight="1" spans="1:62" x14ac:dyDescent="0.25">
      <c r="A116" s="14"/>
      <c r="B116" s="115">
        <v>112</v>
      </c>
      <c r="C116" s="115">
        <v>4.94</v>
      </c>
      <c r="D116" s="117" t="s">
        <v>347</v>
      </c>
      <c r="E116" s="119">
        <f>'2021'!I1008</f>
        <v>174</v>
      </c>
      <c r="F116" s="119">
        <f>'2021'!J1008</f>
        <v>0</v>
      </c>
      <c r="G116" s="106">
        <f>'2021'!K1008</f>
        <v>0</v>
      </c>
      <c r="H116" s="106">
        <f>'2021'!L1008</f>
      </c>
      <c r="I116" s="119">
        <f>'2021'!M1008</f>
        <v>174</v>
      </c>
      <c r="J116" s="119">
        <f>'2021'!N1008</f>
        <v>0</v>
      </c>
      <c r="K116" s="106">
        <f>'2021'!O1008</f>
        <v>0</v>
      </c>
      <c r="L116" s="106">
        <f>'2021'!P1008</f>
      </c>
      <c r="M116" s="119">
        <f>'2021'!Q1008</f>
        <v>174</v>
      </c>
      <c r="N116" s="119">
        <f>'2021'!R1008</f>
        <v>0</v>
      </c>
      <c r="O116" s="106">
        <f>'2021'!S1008</f>
        <v>0</v>
      </c>
      <c r="P116" s="106">
        <f>'2021'!T1008</f>
      </c>
      <c r="Q116" s="119">
        <f>'2021'!U1008</f>
        <v>174</v>
      </c>
      <c r="R116" s="119">
        <f>'2021'!V1008</f>
        <v>0</v>
      </c>
      <c r="S116" s="106">
        <f>'2021'!W1008</f>
        <v>0</v>
      </c>
      <c r="T116" s="106">
        <f>'2021'!X1008</f>
      </c>
      <c r="U116" s="119">
        <f>'2021'!Y1008</f>
        <v>176</v>
      </c>
      <c r="V116" s="119">
        <f>'2021'!Z1008</f>
        <v>2</v>
      </c>
      <c r="W116" s="106">
        <f>'2021'!AA1008</f>
        <v>5.2</v>
      </c>
      <c r="X116" s="106">
        <f>'2021'!AB1008</f>
      </c>
      <c r="Y116" s="119">
        <f>'2021'!AC1008</f>
        <v>179</v>
      </c>
      <c r="Z116" s="119">
        <f>'2021'!AD1008</f>
        <v>3</v>
      </c>
      <c r="AA116" s="106">
        <f>'2021'!AE1008</f>
        <v>7.8</v>
      </c>
      <c r="AB116" s="106">
        <f>'2021'!AF1008</f>
      </c>
      <c r="AC116" s="119">
        <f>'2021'!AG1008</f>
        <v>182</v>
      </c>
      <c r="AD116" s="119">
        <f>'2021'!AH1008</f>
        <v>3</v>
      </c>
      <c r="AE116" s="106">
        <f>'2021'!AI1008</f>
        <v>8.1</v>
      </c>
      <c r="AF116" s="106">
        <f>'2021'!AJ1008</f>
      </c>
      <c r="AG116" s="119">
        <f>'2021'!AK1008</f>
        <v>184</v>
      </c>
      <c r="AH116" s="119">
        <f>'2021'!AL1008</f>
        <v>2</v>
      </c>
      <c r="AI116" s="106">
        <f>'2021'!AM1008</f>
        <v>5.4</v>
      </c>
      <c r="AJ116" s="106">
        <f>'2021'!AN1008</f>
      </c>
      <c r="AK116" s="119">
        <f>'2021'!AO1008</f>
        <v>186</v>
      </c>
      <c r="AL116" s="119">
        <f>'2021'!AP1008</f>
        <v>2</v>
      </c>
      <c r="AM116" s="106">
        <f>'2021'!AQ1008</f>
        <v>5.4</v>
      </c>
      <c r="AN116" s="106">
        <f>'2021'!AR1008</f>
      </c>
      <c r="AO116" s="119">
        <f>'2021'!AS1008</f>
        <v>186</v>
      </c>
      <c r="AP116" s="119">
        <f>'2021'!AT1008</f>
        <v>0</v>
      </c>
      <c r="AQ116" s="106">
        <f>'2021'!AU1008</f>
        <v>0</v>
      </c>
      <c r="AR116" s="106">
        <f>'2021'!AV1008</f>
      </c>
      <c r="AS116" s="119">
        <f>'2021'!AW1008</f>
        <v>186</v>
      </c>
      <c r="AT116" s="119">
        <f>'2021'!AX1008</f>
        <v>0</v>
      </c>
      <c r="AU116" s="106">
        <f>'2021'!AY1008</f>
        <v>0</v>
      </c>
      <c r="AV116" s="106">
        <f>'2021'!AZ1008</f>
      </c>
      <c r="AW116" s="106"/>
      <c r="AX116" s="106">
        <f t="shared" si="0"/>
        <v>0</v>
      </c>
      <c r="AY116" s="119">
        <f>'2021'!BA1008</f>
        <v>186</v>
      </c>
      <c r="AZ116" s="119">
        <f>'2021'!BB1008</f>
        <v>0</v>
      </c>
      <c r="BA116" s="106">
        <f>'2021'!BC1008</f>
        <v>0</v>
      </c>
      <c r="BB116" s="106">
        <f>'2021'!BD1008</f>
      </c>
      <c r="BC116" s="106"/>
      <c r="BD116" s="106">
        <f t="shared" si="1"/>
        <v>0</v>
      </c>
      <c r="BE116" s="119">
        <f>'2021'!BE1008</f>
        <v>12</v>
      </c>
      <c r="BF116" s="106">
        <f>'2021'!BF1008</f>
        <v>31.9</v>
      </c>
      <c r="BG116" s="106">
        <f>'2021'!BG1008</f>
        <v>0</v>
      </c>
      <c r="BH116" s="106">
        <f>'2021'!BH1008</f>
        <v>31.41</v>
      </c>
      <c r="BI116" s="106">
        <f t="shared" si="2"/>
        <v>0</v>
      </c>
      <c r="BJ116" s="338">
        <f t="shared" si="3"/>
        <v>31.41</v>
      </c>
    </row>
    <row r="117" ht="15.75" customHeight="1" spans="1:62" x14ac:dyDescent="0.25">
      <c r="A117" s="14"/>
      <c r="B117" s="115">
        <v>113</v>
      </c>
      <c r="C117" s="115">
        <v>4.98</v>
      </c>
      <c r="D117" s="117" t="s">
        <v>348</v>
      </c>
      <c r="E117" s="119">
        <f>'2021'!I1017</f>
        <v>0</v>
      </c>
      <c r="F117" s="119">
        <f>'2021'!J1017</f>
        <v>0</v>
      </c>
      <c r="G117" s="106">
        <f>'2021'!K1017</f>
        <v>0</v>
      </c>
      <c r="H117" s="106">
        <f>'2021'!L1017</f>
      </c>
      <c r="I117" s="119">
        <f>'2021'!M1017</f>
        <v>0</v>
      </c>
      <c r="J117" s="119">
        <f>'2021'!N1017</f>
        <v>0</v>
      </c>
      <c r="K117" s="106">
        <f>'2021'!O1017</f>
        <v>0</v>
      </c>
      <c r="L117" s="106">
        <f>'2021'!P1017</f>
      </c>
      <c r="M117" s="119">
        <f>'2021'!Q1017</f>
        <v>0</v>
      </c>
      <c r="N117" s="119">
        <f>'2021'!R1017</f>
        <v>0</v>
      </c>
      <c r="O117" s="106">
        <f>'2021'!S1017</f>
        <v>0</v>
      </c>
      <c r="P117" s="106">
        <f>'2021'!T1017</f>
      </c>
      <c r="Q117" s="119">
        <f>'2021'!U1017</f>
        <v>0</v>
      </c>
      <c r="R117" s="119">
        <f>'2021'!V1017</f>
        <v>0</v>
      </c>
      <c r="S117" s="106">
        <f>'2021'!W1017</f>
        <v>0</v>
      </c>
      <c r="T117" s="106">
        <f>'2021'!X1017</f>
      </c>
      <c r="U117" s="119">
        <f>'2021'!Y1017</f>
      </c>
      <c r="V117" s="119">
        <f>'2021'!Z1017</f>
        <v>0</v>
      </c>
      <c r="W117" s="106">
        <f>'2021'!AA1017</f>
        <v>0</v>
      </c>
      <c r="X117" s="106">
        <f>'2021'!AB1017</f>
      </c>
      <c r="Y117" s="119">
        <f>'2021'!AC1017</f>
      </c>
      <c r="Z117" s="119">
        <f>'2021'!AD1017</f>
        <v>0</v>
      </c>
      <c r="AA117" s="106">
        <f>'2021'!AE1017</f>
        <v>0</v>
      </c>
      <c r="AB117" s="106">
        <f>'2021'!AF1017</f>
      </c>
      <c r="AC117" s="119">
        <f>'2021'!AG1017</f>
      </c>
      <c r="AD117" s="119">
        <f>'2021'!AH1017</f>
        <v>0</v>
      </c>
      <c r="AE117" s="106">
        <f>'2021'!AI1017</f>
        <v>0</v>
      </c>
      <c r="AF117" s="106">
        <f>'2021'!AJ1017</f>
      </c>
      <c r="AG117" s="119">
        <f>'2021'!AK1017</f>
        <v>2</v>
      </c>
      <c r="AH117" s="119">
        <f>'2021'!AL1017</f>
        <v>2</v>
      </c>
      <c r="AI117" s="106">
        <f>'2021'!AM1017</f>
        <v>5.4</v>
      </c>
      <c r="AJ117" s="106">
        <f>'2021'!AN1017</f>
      </c>
      <c r="AK117" s="119">
        <f>'2021'!AO1017</f>
        <v>2</v>
      </c>
      <c r="AL117" s="119">
        <f>'2021'!AP1017</f>
        <v>0</v>
      </c>
      <c r="AM117" s="106">
        <f>'2021'!AQ1017</f>
        <v>0</v>
      </c>
      <c r="AN117" s="106">
        <f>'2021'!AR1017</f>
      </c>
      <c r="AO117" s="119">
        <f>'2021'!AS1017</f>
        <v>2</v>
      </c>
      <c r="AP117" s="119">
        <f>'2021'!AT1017</f>
        <v>0</v>
      </c>
      <c r="AQ117" s="106">
        <f>'2021'!AU1017</f>
        <v>0</v>
      </c>
      <c r="AR117" s="106">
        <f>'2021'!AV1017</f>
      </c>
      <c r="AS117" s="119">
        <f>'2021'!AW1017</f>
        <v>2</v>
      </c>
      <c r="AT117" s="119">
        <f>'2021'!AX1017</f>
        <v>0</v>
      </c>
      <c r="AU117" s="106">
        <f>'2021'!AY1017</f>
        <v>0</v>
      </c>
      <c r="AV117" s="106">
        <f>'2021'!AZ1017</f>
      </c>
      <c r="AW117" s="106"/>
      <c r="AX117" s="106">
        <f t="shared" si="0"/>
        <v>0</v>
      </c>
      <c r="AY117" s="119">
        <f>'2021'!BA1017</f>
        <v>2</v>
      </c>
      <c r="AZ117" s="119">
        <f>'2021'!BB1017</f>
        <v>0</v>
      </c>
      <c r="BA117" s="106">
        <f>'2021'!BC1017</f>
        <v>0</v>
      </c>
      <c r="BB117" s="106">
        <f>'2021'!BD1017</f>
      </c>
      <c r="BC117" s="106"/>
      <c r="BD117" s="106">
        <f t="shared" si="1"/>
        <v>0</v>
      </c>
      <c r="BE117" s="119">
        <f>'2021'!BE1017</f>
        <v>2</v>
      </c>
      <c r="BF117" s="106">
        <f>'2021'!BF1017</f>
        <v>5.4</v>
      </c>
      <c r="BG117" s="106">
        <f>'2021'!BG1017</f>
        <v>0</v>
      </c>
      <c r="BH117" s="106">
        <f>'2021'!BH1017</f>
        <v>5.4</v>
      </c>
      <c r="BI117" s="106">
        <f t="shared" si="2"/>
        <v>0</v>
      </c>
      <c r="BJ117" s="338">
        <f t="shared" si="3"/>
        <v>5.4</v>
      </c>
    </row>
    <row r="118" ht="15.75" customHeight="1" spans="1:62" x14ac:dyDescent="0.25">
      <c r="A118" s="14"/>
      <c r="B118" s="115">
        <v>114</v>
      </c>
      <c r="C118" s="115">
        <v>4.86</v>
      </c>
      <c r="D118" s="117" t="s">
        <v>245</v>
      </c>
      <c r="E118" s="119">
        <f>'2021'!I1026</f>
        <v>263</v>
      </c>
      <c r="F118" s="119">
        <f>'2021'!J1026</f>
        <v>0</v>
      </c>
      <c r="G118" s="106">
        <f>'2021'!K1026</f>
        <v>0</v>
      </c>
      <c r="H118" s="106">
        <f>'2021'!L1026</f>
      </c>
      <c r="I118" s="119">
        <f>'2021'!M1026</f>
        <v>263</v>
      </c>
      <c r="J118" s="119">
        <f>'2021'!N1026</f>
        <v>0</v>
      </c>
      <c r="K118" s="106">
        <f>'2021'!O1026</f>
        <v>0</v>
      </c>
      <c r="L118" s="106">
        <f>'2021'!P1026</f>
      </c>
      <c r="M118" s="119">
        <f>'2021'!Q1026</f>
        <v>263</v>
      </c>
      <c r="N118" s="119">
        <f>'2021'!R1026</f>
        <v>0</v>
      </c>
      <c r="O118" s="106">
        <f>'2021'!S1026</f>
        <v>0</v>
      </c>
      <c r="P118" s="106">
        <f>'2021'!T1026</f>
      </c>
      <c r="Q118" s="119">
        <f>'2021'!U1026</f>
        <v>263</v>
      </c>
      <c r="R118" s="119">
        <f>'2021'!V1026</f>
        <v>0</v>
      </c>
      <c r="S118" s="106">
        <f>'2021'!W1026</f>
        <v>0</v>
      </c>
      <c r="T118" s="106">
        <f>'2021'!X1026</f>
      </c>
      <c r="U118" s="119">
        <f>'2021'!Y1026</f>
        <v>338</v>
      </c>
      <c r="V118" s="119">
        <f>'2021'!Z1026</f>
        <v>75</v>
      </c>
      <c r="W118" s="106">
        <f>'2021'!AA1026</f>
        <v>195</v>
      </c>
      <c r="X118" s="106">
        <f>'2021'!AB1026</f>
      </c>
      <c r="Y118" s="119">
        <f>'2021'!AC1026</f>
        <v>464</v>
      </c>
      <c r="Z118" s="119">
        <f>'2021'!AD1026</f>
        <v>126</v>
      </c>
      <c r="AA118" s="106">
        <f>'2021'!AE1026</f>
        <v>327.6</v>
      </c>
      <c r="AB118" s="106">
        <f>'2021'!AF1026</f>
      </c>
      <c r="AC118" s="119">
        <f>'2021'!AG1026</f>
        <v>561</v>
      </c>
      <c r="AD118" s="119">
        <f>'2021'!AH1026</f>
        <v>97</v>
      </c>
      <c r="AE118" s="106">
        <f>'2021'!AI1026</f>
        <v>261.9</v>
      </c>
      <c r="AF118" s="106">
        <f>'2021'!AJ1026</f>
        <v>1000</v>
      </c>
      <c r="AG118" s="119">
        <f>'2021'!AK1026</f>
        <v>699</v>
      </c>
      <c r="AH118" s="119">
        <f>'2021'!AL1026</f>
        <v>138</v>
      </c>
      <c r="AI118" s="106">
        <f>'2021'!AM1026</f>
        <v>372.6</v>
      </c>
      <c r="AJ118" s="106">
        <f>'2021'!AN1026</f>
      </c>
      <c r="AK118" s="119">
        <f>'2021'!AO1026</f>
        <v>865</v>
      </c>
      <c r="AL118" s="119">
        <f>'2021'!AP1026</f>
        <v>166</v>
      </c>
      <c r="AM118" s="106">
        <f>'2021'!AQ1026</f>
        <v>448.2</v>
      </c>
      <c r="AN118" s="106">
        <f>'2021'!AR1026</f>
      </c>
      <c r="AO118" s="119">
        <f>'2021'!AS1026</f>
        <v>902</v>
      </c>
      <c r="AP118" s="119">
        <f>'2021'!AT1026</f>
        <v>37</v>
      </c>
      <c r="AQ118" s="106">
        <f>'2021'!AU1026</f>
        <v>99.9</v>
      </c>
      <c r="AR118" s="106">
        <f>'2021'!AV1026</f>
        <v>500</v>
      </c>
      <c r="AS118" s="119">
        <f>'2021'!AW1026</f>
        <v>902</v>
      </c>
      <c r="AT118" s="119">
        <f>'2021'!AX1026</f>
        <v>0</v>
      </c>
      <c r="AU118" s="106">
        <f>'2021'!AY1026</f>
        <v>0</v>
      </c>
      <c r="AV118" s="106">
        <f>'2021'!AZ1026</f>
      </c>
      <c r="AW118" s="106"/>
      <c r="AX118" s="106">
        <f t="shared" si="0"/>
        <v>0</v>
      </c>
      <c r="AY118" s="119">
        <f>'2021'!BA1026</f>
        <v>902</v>
      </c>
      <c r="AZ118" s="119">
        <f>'2021'!BB1026</f>
        <v>0</v>
      </c>
      <c r="BA118" s="106">
        <f>'2021'!BC1026</f>
        <v>0</v>
      </c>
      <c r="BB118" s="106">
        <f>'2021'!BD1026</f>
      </c>
      <c r="BC118" s="106"/>
      <c r="BD118" s="106">
        <f t="shared" si="1"/>
        <v>0</v>
      </c>
      <c r="BE118" s="119">
        <f>'2021'!BE1026</f>
        <v>639</v>
      </c>
      <c r="BF118" s="106">
        <f>'2021'!BF1026</f>
        <v>1705.2</v>
      </c>
      <c r="BG118" s="106">
        <f>'2021'!BG1026</f>
        <v>1500</v>
      </c>
      <c r="BH118" s="106">
        <f>'2021'!BH1026</f>
        <v>-184.1</v>
      </c>
      <c r="BI118" s="106">
        <f t="shared" si="2"/>
        <v>0</v>
      </c>
      <c r="BJ118" s="338">
        <f t="shared" si="3"/>
        <v>-184.1</v>
      </c>
    </row>
    <row r="119" ht="15.75" customHeight="1" spans="1:62" x14ac:dyDescent="0.25">
      <c r="A119" s="117"/>
      <c r="B119" s="125" t="s">
        <v>350</v>
      </c>
      <c r="C119" s="116">
        <f>SUM(C5:C118)</f>
        <v>505.74</v>
      </c>
      <c r="D119" s="117"/>
      <c r="E119" s="119">
        <f t="shared" ref="E119:BI119" si="4">SUM(E5:E118)</f>
        <v>273144</v>
      </c>
      <c r="F119" s="119">
        <f t="shared" si="4"/>
        <v>21452</v>
      </c>
      <c r="G119" s="106">
        <f t="shared" si="4"/>
        <v>55775.2</v>
      </c>
      <c r="H119" s="106">
        <f t="shared" si="4"/>
        <v>43882</v>
      </c>
      <c r="I119" s="119">
        <f t="shared" si="4"/>
        <v>291324</v>
      </c>
      <c r="J119" s="119">
        <f t="shared" si="4"/>
        <v>18180</v>
      </c>
      <c r="K119" s="106">
        <f t="shared" si="4"/>
        <v>47268</v>
      </c>
      <c r="L119" s="106">
        <f t="shared" si="4"/>
        <v>34410.2</v>
      </c>
      <c r="M119" s="119">
        <f t="shared" si="4"/>
        <v>306585</v>
      </c>
      <c r="N119" s="119">
        <f t="shared" si="4"/>
        <v>15261</v>
      </c>
      <c r="O119" s="106">
        <f t="shared" si="4"/>
        <v>39678.6</v>
      </c>
      <c r="P119" s="106">
        <f t="shared" si="4"/>
        <v>58024.949</v>
      </c>
      <c r="Q119" s="119">
        <f t="shared" si="4"/>
        <v>319072</v>
      </c>
      <c r="R119" s="119">
        <f t="shared" si="4"/>
        <v>12487</v>
      </c>
      <c r="S119" s="106">
        <f t="shared" si="4"/>
        <v>32466.2</v>
      </c>
      <c r="T119" s="106">
        <f t="shared" si="4"/>
        <v>26686.33</v>
      </c>
      <c r="U119" s="119">
        <f t="shared" si="4"/>
        <v>308156</v>
      </c>
      <c r="V119" s="119">
        <f t="shared" si="4"/>
        <v>10171</v>
      </c>
      <c r="W119" s="106">
        <f t="shared" si="4"/>
        <v>26444.6</v>
      </c>
      <c r="X119" s="106">
        <f t="shared" si="4"/>
        <v>25007.73</v>
      </c>
      <c r="Y119" s="119">
        <f t="shared" si="4"/>
        <v>316332</v>
      </c>
      <c r="Z119" s="119">
        <f t="shared" si="4"/>
        <v>8176</v>
      </c>
      <c r="AA119" s="106">
        <f t="shared" si="4"/>
        <v>21257.6</v>
      </c>
      <c r="AB119" s="106">
        <f t="shared" si="4"/>
        <v>38749.9</v>
      </c>
      <c r="AC119" s="119">
        <f t="shared" si="4"/>
        <v>324596</v>
      </c>
      <c r="AD119" s="119">
        <f t="shared" si="4"/>
        <v>8663</v>
      </c>
      <c r="AE119" s="106">
        <f t="shared" si="4"/>
        <v>23390.1</v>
      </c>
      <c r="AF119" s="106">
        <f t="shared" si="4"/>
        <v>18071.97</v>
      </c>
      <c r="AG119" s="119">
        <f t="shared" si="4"/>
        <v>333256</v>
      </c>
      <c r="AH119" s="119">
        <f t="shared" si="4"/>
        <v>8660</v>
      </c>
      <c r="AI119" s="106">
        <f t="shared" si="4"/>
        <v>23382</v>
      </c>
      <c r="AJ119" s="106">
        <f t="shared" si="4"/>
        <v>20514.25</v>
      </c>
      <c r="AK119" s="119">
        <f t="shared" si="4"/>
        <v>344788</v>
      </c>
      <c r="AL119" s="119">
        <f t="shared" si="4"/>
        <v>11532</v>
      </c>
      <c r="AM119" s="106">
        <f t="shared" si="4"/>
        <v>31091.7</v>
      </c>
      <c r="AN119" s="106">
        <f t="shared" si="4"/>
        <v>34802.3</v>
      </c>
      <c r="AO119" s="119">
        <f t="shared" si="4"/>
        <v>359986</v>
      </c>
      <c r="AP119" s="119">
        <f t="shared" si="4"/>
        <v>15198</v>
      </c>
      <c r="AQ119" s="106">
        <f t="shared" si="4"/>
        <v>41034.6</v>
      </c>
      <c r="AR119" s="106">
        <f t="shared" si="4"/>
        <v>14888.24</v>
      </c>
      <c r="AS119" s="119">
        <f t="shared" si="4"/>
        <v>380533</v>
      </c>
      <c r="AT119" s="119">
        <f t="shared" si="4"/>
        <v>20547</v>
      </c>
      <c r="AU119" s="106">
        <f t="shared" si="4"/>
        <v>55476.9</v>
      </c>
      <c r="AV119" s="106">
        <f t="shared" si="4"/>
        <v>40522.8</v>
      </c>
      <c r="AW119" s="119">
        <f t="shared" si="4"/>
        <v>0</v>
      </c>
      <c r="AX119" s="106">
        <f t="shared" si="4"/>
        <v>0</v>
      </c>
      <c r="AY119" s="119">
        <f t="shared" si="4"/>
        <v>393468</v>
      </c>
      <c r="AZ119" s="119">
        <f t="shared" si="4"/>
        <v>14975</v>
      </c>
      <c r="BA119" s="106">
        <f t="shared" si="4"/>
        <v>40432.5</v>
      </c>
      <c r="BB119" s="106">
        <f t="shared" si="4"/>
        <v>73792.2</v>
      </c>
      <c r="BC119" s="119">
        <f t="shared" si="4"/>
        <v>0</v>
      </c>
      <c r="BD119" s="106">
        <f t="shared" si="4"/>
        <v>0</v>
      </c>
      <c r="BE119" s="119">
        <f t="shared" si="4"/>
        <v>165302</v>
      </c>
      <c r="BF119" s="106">
        <f t="shared" si="4"/>
        <v>437698</v>
      </c>
      <c r="BG119" s="106">
        <f t="shared" si="4"/>
        <v>429352.869</v>
      </c>
      <c r="BH119" s="106">
        <f t="shared" si="4"/>
        <v>39640.791</v>
      </c>
      <c r="BI119" s="106">
        <f t="shared" si="4"/>
        <v>0</v>
      </c>
      <c r="BJ119" s="106">
        <f>BH119+AX119</f>
        <v>39640.791</v>
      </c>
    </row>
    <row r="120" ht="15.75" customHeight="1" spans="1:3" x14ac:dyDescent="0.25" outlineLevel="1" collapsed="1">
      <c r="A120" s="15"/>
      <c r="B120" s="112"/>
      <c r="C120" s="112"/>
    </row>
    <row r="121" ht="15.75" customHeight="1" spans="1:61" x14ac:dyDescent="0.25" outlineLevel="1" collapsed="1">
      <c r="A121" s="15"/>
      <c r="B121" s="112"/>
      <c r="C121" s="112"/>
      <c r="E121" s="120" t="b">
        <f>E119='2021'!I1037</f>
        <v>1</v>
      </c>
      <c r="F121" s="120" t="b">
        <f>F119='2021'!J1037</f>
        <v>1</v>
      </c>
      <c r="G121" s="120" t="b">
        <f>G119='2021'!K1037</f>
        <v>1</v>
      </c>
      <c r="H121" s="120" t="b">
        <f>H119='2021'!L1037</f>
        <v>1</v>
      </c>
      <c r="I121" s="120" t="b">
        <f>I119='2021'!M1037</f>
        <v>1</v>
      </c>
      <c r="J121" s="120" t="b">
        <f>J119='2021'!N1037</f>
        <v>1</v>
      </c>
      <c r="K121" s="120" t="b">
        <f>K119='2021'!O1037</f>
        <v>1</v>
      </c>
      <c r="L121" s="120" t="b">
        <f>L119='2021'!P1037</f>
        <v>1</v>
      </c>
      <c r="M121" s="120" t="b">
        <f>M119='2021'!Q1037</f>
        <v>1</v>
      </c>
      <c r="N121" s="120" t="b">
        <f>N119='2021'!R1037</f>
        <v>1</v>
      </c>
      <c r="O121" s="120" t="b">
        <f>O119='2021'!S1037</f>
        <v>1</v>
      </c>
      <c r="P121" s="120" t="b">
        <f>P119='2021'!T1037</f>
        <v>1</v>
      </c>
      <c r="Q121" s="120" t="b">
        <f>Q119='2021'!U1037</f>
        <v>1</v>
      </c>
      <c r="R121" s="120" t="b">
        <f>R119='2021'!V1037</f>
        <v>1</v>
      </c>
      <c r="S121" s="120" t="b">
        <f>S119='2021'!W1037</f>
        <v>1</v>
      </c>
      <c r="T121" s="120" t="b">
        <f>T119='2021'!X1037</f>
        <v>1</v>
      </c>
      <c r="U121" s="120" t="b">
        <f>U119='2021'!Y1037</f>
        <v>1</v>
      </c>
      <c r="V121" s="120" t="b">
        <f>V119='2021'!Z1037</f>
        <v>1</v>
      </c>
      <c r="W121" s="120" t="b">
        <f>W119='2021'!AA1037</f>
        <v>1</v>
      </c>
      <c r="X121" s="120" t="b">
        <f>X119='2021'!AB1037</f>
        <v>1</v>
      </c>
      <c r="Y121" s="120" t="b">
        <f>Y119='2021'!AC1037</f>
        <v>1</v>
      </c>
      <c r="Z121" s="120" t="b">
        <f>Z119='2021'!AD1037</f>
        <v>1</v>
      </c>
      <c r="AA121" s="120" t="b">
        <f>AA119='2021'!AE1037</f>
        <v>1</v>
      </c>
      <c r="AB121" s="120" t="b">
        <f>AB119='2021'!AF1037</f>
        <v>1</v>
      </c>
      <c r="AC121" s="120" t="b">
        <f>AC119='2021'!AG1037</f>
        <v>1</v>
      </c>
      <c r="AD121" s="120" t="b">
        <f>AD119='2021'!AH1037</f>
        <v>1</v>
      </c>
      <c r="AE121" s="120" t="b">
        <f>AE119='2021'!AI1037</f>
        <v>1</v>
      </c>
      <c r="AF121" s="120" t="b">
        <f>AF119='2021'!AJ1037</f>
        <v>1</v>
      </c>
      <c r="AG121" s="120" t="b">
        <f>AG119='2021'!AK1037</f>
        <v>1</v>
      </c>
      <c r="AH121" s="120" t="b">
        <f>AH119='2021'!AL1037</f>
        <v>1</v>
      </c>
      <c r="AI121" s="120" t="b">
        <f>AI119='2021'!AM1037</f>
        <v>1</v>
      </c>
      <c r="AJ121" s="120" t="b">
        <f>AJ119='2021'!AN1037</f>
        <v>1</v>
      </c>
      <c r="AK121" s="120" t="b">
        <f>AK119='2021'!AO1037</f>
        <v>1</v>
      </c>
      <c r="AL121" s="120" t="b">
        <f>AL119='2021'!AP1037</f>
        <v>1</v>
      </c>
      <c r="AM121" s="120" t="b">
        <f>AM119='2021'!AQ1037</f>
        <v>1</v>
      </c>
      <c r="AN121" s="120" t="b">
        <f>AN119='2021'!AR1037</f>
        <v>1</v>
      </c>
      <c r="AO121" s="120" t="b">
        <f>AO119='2021'!AS1037</f>
        <v>1</v>
      </c>
      <c r="AP121" s="120" t="b">
        <f>AP119='2021'!AT1037</f>
        <v>1</v>
      </c>
      <c r="AQ121" s="120" t="b">
        <f>AQ119='2021'!AU1037</f>
        <v>1</v>
      </c>
      <c r="AR121" s="120" t="b">
        <f>AR119='2021'!AV1037</f>
        <v>1</v>
      </c>
      <c r="AS121" s="120" t="b">
        <f>AS119='2021'!AW1037</f>
        <v>1</v>
      </c>
      <c r="AT121" s="120" t="b">
        <f>AT119='2021'!AX1037</f>
        <v>1</v>
      </c>
      <c r="AU121" s="120" t="b">
        <f>AU119='2021'!AY1037</f>
        <v>1</v>
      </c>
      <c r="AV121" s="120" t="b">
        <f>AV119='2021'!AZ1037</f>
        <v>1</v>
      </c>
      <c r="AW121" s="120"/>
      <c r="AX121" s="120"/>
      <c r="AY121" s="120" t="b">
        <f>AY119='2021'!BA1037</f>
        <v>1</v>
      </c>
      <c r="AZ121" s="120" t="b">
        <f>AZ119='2021'!BB1037</f>
        <v>1</v>
      </c>
      <c r="BA121" s="120" t="b">
        <f>BA119='2021'!BC1037</f>
        <v>1</v>
      </c>
      <c r="BB121" s="120" t="b">
        <f>BB119='2021'!BD1037</f>
        <v>1</v>
      </c>
      <c r="BC121" s="120"/>
      <c r="BD121" s="120"/>
      <c r="BE121" s="120" t="b">
        <f>BE119='2021'!BE1037</f>
        <v>1</v>
      </c>
      <c r="BF121" s="120" t="b">
        <f>BF119='2021'!BF1037</f>
        <v>1</v>
      </c>
      <c r="BG121" s="120" t="b">
        <f>BG119='2021'!BG1037</f>
        <v>1</v>
      </c>
      <c r="BH121" s="120" t="b">
        <f>BH119='2021'!BH1037</f>
        <v>1</v>
      </c>
      <c r="BI121" s="120"/>
    </row>
    <row r="122" ht="15.75" customHeight="1" spans="1:61" x14ac:dyDescent="0.25" outlineLevel="1" collapsed="1">
      <c r="A122" s="15"/>
      <c r="B122" s="112"/>
      <c r="C122" s="112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  <c r="BC122" s="120"/>
      <c r="BD122" s="120"/>
      <c r="BE122" s="120" t="b">
        <f t="shared" ref="BE122:BG122" si="5">BE119=F119+J119+N119+R119+V119+Z119+AD119+AH119+AL119+AP119+AT119+AZ119</f>
        <v>1</v>
      </c>
      <c r="BF122" s="120" t="b">
        <f t="shared" si="5"/>
        <v>1</v>
      </c>
      <c r="BG122" s="120" t="b">
        <f t="shared" si="5"/>
        <v>1</v>
      </c>
      <c r="BH122" s="120"/>
      <c r="BI122" s="120"/>
    </row>
    <row r="123" ht="18" customHeight="1" spans="1:62" x14ac:dyDescent="0.25">
      <c r="A123" s="15"/>
      <c r="B123" s="167" t="s">
        <v>481</v>
      </c>
      <c r="C123" s="112"/>
      <c r="E123" s="168">
        <f t="shared" ref="E123:AN123" si="6">E5+E6+E9+E17+E26+E32+E38+E43+E44+E46+E47+E54+E55+E57+E58+E60+E61+E63+E64+E74+E90+E98+E99+E109+E115+E118</f>
        <v>233249</v>
      </c>
      <c r="F123" s="168">
        <f t="shared" si="6"/>
        <v>21452</v>
      </c>
      <c r="G123" s="136">
        <f t="shared" si="6"/>
        <v>55775.2</v>
      </c>
      <c r="H123" s="136">
        <f t="shared" si="6"/>
        <v>43882</v>
      </c>
      <c r="I123" s="168">
        <f t="shared" si="6"/>
        <v>251429</v>
      </c>
      <c r="J123" s="168">
        <f t="shared" si="6"/>
        <v>18180</v>
      </c>
      <c r="K123" s="136">
        <f t="shared" si="6"/>
        <v>47268</v>
      </c>
      <c r="L123" s="136">
        <f t="shared" si="6"/>
        <v>33955</v>
      </c>
      <c r="M123" s="168">
        <f t="shared" si="6"/>
        <v>266690</v>
      </c>
      <c r="N123" s="168">
        <f t="shared" si="6"/>
        <v>15261</v>
      </c>
      <c r="O123" s="136">
        <f t="shared" si="6"/>
        <v>39678.6</v>
      </c>
      <c r="P123" s="136">
        <f t="shared" si="6"/>
        <v>57942.8</v>
      </c>
      <c r="Q123" s="168">
        <f t="shared" si="6"/>
        <v>279177</v>
      </c>
      <c r="R123" s="168">
        <f t="shared" si="6"/>
        <v>12487</v>
      </c>
      <c r="S123" s="136">
        <f t="shared" si="6"/>
        <v>32466.2</v>
      </c>
      <c r="T123" s="136">
        <f t="shared" si="6"/>
        <v>26358.98</v>
      </c>
      <c r="U123" s="168">
        <f t="shared" si="6"/>
        <v>266631</v>
      </c>
      <c r="V123" s="168">
        <f t="shared" si="6"/>
        <v>8541</v>
      </c>
      <c r="W123" s="136">
        <f t="shared" si="6"/>
        <v>22206.6</v>
      </c>
      <c r="X123" s="136">
        <f t="shared" si="6"/>
        <v>21214.13</v>
      </c>
      <c r="Y123" s="168">
        <f t="shared" si="6"/>
        <v>272472</v>
      </c>
      <c r="Z123" s="168">
        <f t="shared" si="6"/>
        <v>5841</v>
      </c>
      <c r="AA123" s="136">
        <f t="shared" si="6"/>
        <v>15186.6</v>
      </c>
      <c r="AB123" s="136">
        <f t="shared" si="6"/>
        <v>27011.52</v>
      </c>
      <c r="AC123" s="168">
        <f t="shared" si="6"/>
        <v>278049</v>
      </c>
      <c r="AD123" s="168">
        <f t="shared" si="6"/>
        <v>5976</v>
      </c>
      <c r="AE123" s="136">
        <f t="shared" si="6"/>
        <v>16135.2</v>
      </c>
      <c r="AF123" s="136">
        <f t="shared" si="6"/>
        <v>11505.05</v>
      </c>
      <c r="AG123" s="168">
        <f t="shared" si="6"/>
        <v>283917</v>
      </c>
      <c r="AH123" s="168">
        <f t="shared" si="6"/>
        <v>5868</v>
      </c>
      <c r="AI123" s="136">
        <f t="shared" si="6"/>
        <v>15843.6</v>
      </c>
      <c r="AJ123" s="136">
        <f t="shared" si="6"/>
        <v>16307.85</v>
      </c>
      <c r="AK123" s="168">
        <f t="shared" si="6"/>
        <v>292293</v>
      </c>
      <c r="AL123" s="168">
        <f t="shared" si="6"/>
        <v>8376</v>
      </c>
      <c r="AM123" s="136">
        <f t="shared" si="6"/>
        <v>22570.5</v>
      </c>
      <c r="AN123" s="136">
        <f t="shared" si="6"/>
        <v>32425.45</v>
      </c>
      <c r="AO123" s="168">
        <f>AO5+AO6+AO17+AO26+AO32+AO43+AO44+AO46+AO47+AO54+AO55+AO57+AO58+AO60+AO61+AO63+AO64+AO74+AO76+AO90+AO98+AO99+AO109+AO115+BL98</f>
        <v>302141</v>
      </c>
      <c r="AP123" s="168">
        <f>AP5+AP6+AP17+AP26+AP32+AP43+AP44+AP46+AP47+AP54+AP55+AP57+AP58+AP60+AP61+AP63+AP64+AP74+AP76+AP90+AP98++AP109+AP115</f>
        <v>11809</v>
      </c>
      <c r="AQ123" s="136">
        <f t="shared" ref="AQ123:AR123" si="7">AQ5+AQ6+AQ17+AQ26+AQ32+AQ43+AQ44+AQ46+AQ47+AQ54+AQ55+AQ57+AQ58+AQ60+AQ61+AQ63+AQ64+AQ74+AQ90+AQ98+AQ99+AQ109+AQ115+AQ76</f>
        <v>35483.4</v>
      </c>
      <c r="AR123" s="136">
        <f t="shared" si="7"/>
        <v>11955.06</v>
      </c>
      <c r="AS123" s="168">
        <f t="shared" ref="AS123:AU123" si="8">AS5+AS6+AS17+AS26+AS32+AS43+AS44+AS46+AS47+AS54+AS55+AS57+AS58+AS60+AS61+AS63+AS64+AS74+AS76+AS90+AS98+AS99+AS109+AS115</f>
        <v>321042</v>
      </c>
      <c r="AT123" s="168">
        <f t="shared" si="8"/>
        <v>18901</v>
      </c>
      <c r="AU123" s="136">
        <f t="shared" si="8"/>
        <v>51032.7</v>
      </c>
      <c r="AV123" s="136">
        <f t="shared" ref="AV123:BG123" si="9">AV5+AV6+AV9+AV17+AV26+AV32+AV38+AV43+AV44+AV46+AV47+AV54+AV55+AV57+AV58+AV60+AV61+AV63+AV64+AV74+AV90+AV98+AV99+AV109+AV115+AV118</f>
        <v>40291</v>
      </c>
      <c r="AW123" s="168">
        <f t="shared" si="9"/>
        <v>0</v>
      </c>
      <c r="AX123" s="136">
        <f t="shared" si="9"/>
        <v>0</v>
      </c>
      <c r="AY123" s="168">
        <f t="shared" si="9"/>
        <v>335488</v>
      </c>
      <c r="AZ123" s="168">
        <f t="shared" si="9"/>
        <v>14422</v>
      </c>
      <c r="BA123" s="136">
        <f t="shared" si="9"/>
        <v>38939.4</v>
      </c>
      <c r="BB123" s="136">
        <f t="shared" si="9"/>
        <v>73792.2</v>
      </c>
      <c r="BC123" s="168">
        <f t="shared" si="9"/>
        <v>0</v>
      </c>
      <c r="BD123" s="136">
        <f t="shared" si="9"/>
        <v>0</v>
      </c>
      <c r="BE123" s="168">
        <f t="shared" si="9"/>
        <v>147217</v>
      </c>
      <c r="BF123" s="136">
        <f t="shared" si="9"/>
        <v>389265</v>
      </c>
      <c r="BG123" s="136">
        <f t="shared" si="9"/>
        <v>397141.04</v>
      </c>
      <c r="BH123" s="136">
        <f>BH5+BH6+BH17+BH26+BH32+BH43+BH44+BH46+BH47+BH54+BH55+BH57+BH58+BH60+BH61+BH63+BH64+BH74+BH90+BH98+BH99+BH109+BH115+BH76</f>
        <v>22785.79</v>
      </c>
      <c r="BI123" s="136">
        <f t="shared" ref="BI123:BJ123" si="10">BI5+BI6+BI9+BI17+BI26+BI32+BI38+BI43+BI44+BI46+BI47+BI54+BI55+BI57+BI58+BI60+BI61+BI63+BI64+BI74+BI90+BI98+BI99+BI109+BI115+BI118</f>
        <v>0</v>
      </c>
      <c r="BJ123" s="136">
        <f t="shared" si="10"/>
        <v>16806.09</v>
      </c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spans="1:3" x14ac:dyDescent="0.25">
      <c r="A316" s="15"/>
      <c r="B316" s="112"/>
      <c r="C316" s="112"/>
    </row>
    <row r="317" ht="15.75" customHeight="1" spans="1:3" x14ac:dyDescent="0.25">
      <c r="A317" s="15"/>
      <c r="B317" s="112"/>
      <c r="C317" s="112"/>
    </row>
    <row r="318" ht="15.75" customHeight="1" spans="1:3" x14ac:dyDescent="0.25">
      <c r="A318" s="15"/>
      <c r="B318" s="112"/>
      <c r="C318" s="112"/>
    </row>
    <row r="319" ht="15.75" customHeight="1" spans="1:3" x14ac:dyDescent="0.25">
      <c r="A319" s="15"/>
      <c r="B319" s="112"/>
      <c r="C319" s="112"/>
    </row>
    <row r="320" ht="15.75" customHeight="1" spans="1:3" x14ac:dyDescent="0.25">
      <c r="A320" s="15"/>
      <c r="B320" s="112"/>
      <c r="C320" s="112"/>
    </row>
    <row r="321" ht="15.75" customHeight="1" spans="1:3" x14ac:dyDescent="0.25">
      <c r="A321" s="15"/>
      <c r="B321" s="112"/>
      <c r="C321" s="112"/>
    </row>
    <row r="322" ht="15.75" customHeight="1" spans="1:3" x14ac:dyDescent="0.25">
      <c r="A322" s="15"/>
      <c r="B322" s="112"/>
      <c r="C322" s="112"/>
    </row>
    <row r="323" ht="15.75" customHeight="1" spans="1:3" x14ac:dyDescent="0.25">
      <c r="A323" s="15"/>
      <c r="B323" s="112"/>
      <c r="C323" s="112"/>
    </row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A$1:$BJ$119"/>
  <mergeCells count="15">
    <mergeCell ref="E3:H3"/>
    <mergeCell ref="I3:L3"/>
    <mergeCell ref="M3:P3"/>
    <mergeCell ref="Q3:T3"/>
    <mergeCell ref="U3:X3"/>
    <mergeCell ref="Y3:AB3"/>
    <mergeCell ref="AC3:AF3"/>
    <mergeCell ref="AG3:AJ3"/>
    <mergeCell ref="AK3:AN3"/>
    <mergeCell ref="AO3:AR3"/>
    <mergeCell ref="AS3:AV3"/>
    <mergeCell ref="AW3:AX3"/>
    <mergeCell ref="AY3:BB3"/>
    <mergeCell ref="BC3:BD3"/>
    <mergeCell ref="BE3:BH3"/>
  </mergeCells>
  <pageMargins left="0.196527777777778" right="0" top="0.196527777777778" bottom="0.196527777777778" header="0" footer="0"/>
  <pageSetup paperSize="9"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C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86" customWidth="1"/>
    <col min="2" max="2" width="7.14" customWidth="1"/>
    <col min="3" max="3" width="6.43" outlineLevel="1" collapsed="1" customWidth="1"/>
    <col min="4" max="4" width="13.86" outlineLevel="1" collapsed="1" customWidth="1"/>
    <col min="5" max="5" width="7.14" outlineLevel="1" collapsed="1" customWidth="1"/>
    <col min="6" max="6" width="7.14" customWidth="1"/>
    <col min="7" max="7" width="7.14" outlineLevel="1" collapsed="1" customWidth="1"/>
    <col min="8" max="8" width="7.14" customWidth="1"/>
    <col min="9" max="9" width="7.14" outlineLevel="1" collapsed="1" customWidth="1"/>
    <col min="10" max="10" width="7.14" customWidth="1"/>
    <col min="11" max="11" width="7.14" outlineLevel="1" collapsed="1" customWidth="1"/>
    <col min="12" max="12" width="7.14" customWidth="1"/>
    <col min="13" max="13" width="7.14" outlineLevel="1" collapsed="1" customWidth="1"/>
    <col min="14" max="14" width="7.14" customWidth="1"/>
    <col min="15" max="15" width="7.14" outlineLevel="1" collapsed="1" customWidth="1"/>
    <col min="16" max="16" width="7.14" customWidth="1"/>
    <col min="17" max="17" width="7.14" outlineLevel="1" collapsed="1" customWidth="1"/>
    <col min="18" max="18" width="7.14" customWidth="1"/>
    <col min="19" max="19" width="7.14" outlineLevel="1" collapsed="1" customWidth="1"/>
    <col min="20" max="20" width="7.14" customWidth="1"/>
    <col min="21" max="21" width="7.14" outlineLevel="1" collapsed="1" customWidth="1"/>
    <col min="22" max="22" width="7.14" customWidth="1"/>
    <col min="23" max="23" width="7.14" outlineLevel="1" collapsed="1" customWidth="1"/>
    <col min="24" max="24" width="7.14" customWidth="1"/>
    <col min="25" max="25" width="7.14" outlineLevel="1" collapsed="1" customWidth="1"/>
    <col min="26" max="26" width="7.14" customWidth="1"/>
    <col min="27" max="27" width="7.14" outlineLevel="1" collapsed="1" customWidth="1"/>
    <col min="28" max="29" width="7.14" customWidth="1"/>
  </cols>
  <sheetData>
    <row r="1" spans="1:16" x14ac:dyDescent="0.25">
      <c r="A1" s="1" t="s">
        <v>375</v>
      </c>
      <c r="B1" s="112" t="str">
        <f>'2021'!F1</f>
        <v>на 15 декабря 2021 года</v>
      </c>
      <c r="C1" s="112"/>
      <c r="F1" s="1"/>
      <c r="G1" s="1"/>
      <c r="H1" s="1"/>
      <c r="I1" s="1"/>
      <c r="J1" s="1"/>
      <c r="K1" s="1"/>
      <c r="L1" s="1"/>
      <c r="M1" s="1"/>
      <c r="O1" s="1"/>
      <c r="P1" s="1"/>
    </row>
    <row r="2" spans="1:3" x14ac:dyDescent="0.25">
      <c r="A2" s="15" t="s">
        <v>366</v>
      </c>
      <c r="B2" s="112"/>
      <c r="C2" s="112"/>
    </row>
    <row r="3" spans="1:29" x14ac:dyDescent="0.25">
      <c r="A3" s="3"/>
      <c r="B3" s="17" t="s">
        <v>2</v>
      </c>
      <c r="C3" s="17" t="s">
        <v>354</v>
      </c>
      <c r="D3" s="16" t="s">
        <v>355</v>
      </c>
      <c r="E3" s="11" t="s">
        <v>9</v>
      </c>
      <c r="F3" s="12"/>
      <c r="G3" s="11" t="s">
        <v>10</v>
      </c>
      <c r="H3" s="12"/>
      <c r="I3" s="11" t="s">
        <v>11</v>
      </c>
      <c r="J3" s="12"/>
      <c r="K3" s="11" t="s">
        <v>12</v>
      </c>
      <c r="L3" s="12"/>
      <c r="M3" s="11" t="s">
        <v>13</v>
      </c>
      <c r="N3" s="12"/>
      <c r="O3" s="11" t="s">
        <v>14</v>
      </c>
      <c r="P3" s="12"/>
      <c r="Q3" s="11" t="s">
        <v>15</v>
      </c>
      <c r="R3" s="12"/>
      <c r="S3" s="11" t="s">
        <v>16</v>
      </c>
      <c r="T3" s="12"/>
      <c r="U3" s="11" t="s">
        <v>17</v>
      </c>
      <c r="V3" s="12"/>
      <c r="W3" s="11" t="s">
        <v>18</v>
      </c>
      <c r="X3" s="12"/>
      <c r="Y3" s="11" t="s">
        <v>19</v>
      </c>
      <c r="Z3" s="12"/>
      <c r="AA3" s="11" t="s">
        <v>20</v>
      </c>
      <c r="AB3" s="12"/>
      <c r="AC3" s="17" t="s">
        <v>367</v>
      </c>
    </row>
    <row r="4" spans="1:29" x14ac:dyDescent="0.25">
      <c r="A4" s="20"/>
      <c r="B4" s="24" t="s">
        <v>23</v>
      </c>
      <c r="C4" s="24"/>
      <c r="D4" s="23"/>
      <c r="E4" s="4" t="s">
        <v>30</v>
      </c>
      <c r="F4" s="4" t="s">
        <v>3</v>
      </c>
      <c r="G4" s="4" t="s">
        <v>30</v>
      </c>
      <c r="H4" s="4" t="s">
        <v>3</v>
      </c>
      <c r="I4" s="4" t="s">
        <v>30</v>
      </c>
      <c r="J4" s="4" t="s">
        <v>3</v>
      </c>
      <c r="K4" s="4" t="s">
        <v>30</v>
      </c>
      <c r="L4" s="4" t="s">
        <v>3</v>
      </c>
      <c r="M4" s="4" t="s">
        <v>30</v>
      </c>
      <c r="N4" s="4" t="s">
        <v>3</v>
      </c>
      <c r="O4" s="4" t="s">
        <v>30</v>
      </c>
      <c r="P4" s="4" t="s">
        <v>3</v>
      </c>
      <c r="Q4" s="4" t="s">
        <v>30</v>
      </c>
      <c r="R4" s="4" t="s">
        <v>3</v>
      </c>
      <c r="S4" s="4" t="s">
        <v>30</v>
      </c>
      <c r="T4" s="4" t="s">
        <v>3</v>
      </c>
      <c r="U4" s="4" t="s">
        <v>30</v>
      </c>
      <c r="V4" s="4" t="s">
        <v>3</v>
      </c>
      <c r="W4" s="4" t="s">
        <v>30</v>
      </c>
      <c r="X4" s="4" t="s">
        <v>3</v>
      </c>
      <c r="Y4" s="4" t="s">
        <v>30</v>
      </c>
      <c r="Z4" s="4" t="s">
        <v>3</v>
      </c>
      <c r="AA4" s="4" t="s">
        <v>30</v>
      </c>
      <c r="AB4" s="4" t="s">
        <v>3</v>
      </c>
      <c r="AC4" s="113" t="s">
        <v>48</v>
      </c>
    </row>
    <row r="5" spans="1:29" x14ac:dyDescent="0.25">
      <c r="A5" s="114" t="s">
        <v>41</v>
      </c>
      <c r="B5" s="115">
        <v>1</v>
      </c>
      <c r="C5" s="116">
        <v>4</v>
      </c>
      <c r="D5" s="117" t="s">
        <v>43</v>
      </c>
      <c r="E5" s="119">
        <f>'2021'!I10</f>
      </c>
      <c r="F5" s="119">
        <f>'2021'!J10</f>
      </c>
      <c r="G5" s="119">
        <f>'2021'!M10</f>
      </c>
      <c r="H5" s="119">
        <f>'2021'!N10</f>
      </c>
      <c r="I5" s="119">
        <f>'2021'!Q10</f>
      </c>
      <c r="J5" s="119">
        <f>'2021'!R10</f>
      </c>
      <c r="K5" s="119">
        <f>'2021'!U10</f>
      </c>
      <c r="L5" s="119">
        <f>'2021'!V10</f>
      </c>
      <c r="M5" s="119">
        <f>'2021'!Y10</f>
      </c>
      <c r="N5" s="119">
        <f>'2021'!Z10</f>
      </c>
      <c r="O5" s="119">
        <f>'2021'!AC10</f>
      </c>
      <c r="P5" s="119">
        <f>'2021'!AD10</f>
      </c>
      <c r="Q5" s="119">
        <f>'2021'!AG10</f>
      </c>
      <c r="R5" s="119">
        <f>'2021'!AH10</f>
      </c>
      <c r="S5" s="119">
        <f>'2021'!AK10</f>
      </c>
      <c r="T5" s="119">
        <f>'2021'!AL10</f>
      </c>
      <c r="U5" s="119">
        <f>'2021'!AO10</f>
      </c>
      <c r="V5" s="119">
        <f>'2021'!AP10</f>
      </c>
      <c r="W5" s="119">
        <f>'2021'!AS10</f>
      </c>
      <c r="X5" s="119">
        <f>'2021'!AT10</f>
      </c>
      <c r="Y5" s="119">
        <f>'2021'!AW10</f>
      </c>
      <c r="Z5" s="119">
        <f>'2021'!AX10</f>
      </c>
      <c r="AA5" s="119">
        <f>'2021'!BA10</f>
      </c>
      <c r="AB5" s="119">
        <f>'2021'!BB10</f>
      </c>
      <c r="AC5" s="119">
        <f>'2021'!BE10</f>
        <v>0</v>
      </c>
    </row>
    <row r="6" spans="1:29" x14ac:dyDescent="0.25">
      <c r="A6" s="14"/>
      <c r="B6" s="115">
        <v>2</v>
      </c>
      <c r="C6" s="115">
        <v>4.12</v>
      </c>
      <c r="D6" s="117" t="s">
        <v>359</v>
      </c>
      <c r="E6" s="119">
        <f>'2021'!I19</f>
        <v>14</v>
      </c>
      <c r="F6" s="119">
        <f>'2021'!J19</f>
      </c>
      <c r="G6" s="119">
        <f>'2021'!M19</f>
        <v>14</v>
      </c>
      <c r="H6" s="119">
        <f>'2021'!N19</f>
        <v>0</v>
      </c>
      <c r="I6" s="119">
        <f>'2021'!Q19</f>
        <v>14</v>
      </c>
      <c r="J6" s="119">
        <f>'2021'!R19</f>
        <v>0</v>
      </c>
      <c r="K6" s="119">
        <f>'2021'!U19</f>
        <v>14</v>
      </c>
      <c r="L6" s="119">
        <f>'2021'!V19</f>
        <v>0</v>
      </c>
      <c r="M6" s="119">
        <f>'2021'!Y19</f>
        <v>15</v>
      </c>
      <c r="N6" s="119">
        <f>'2021'!Z19</f>
        <v>1</v>
      </c>
      <c r="O6" s="119">
        <f>'2021'!AC19</f>
        <v>24</v>
      </c>
      <c r="P6" s="119">
        <f>'2021'!AD19</f>
        <v>9</v>
      </c>
      <c r="Q6" s="119">
        <f>'2021'!AG19</f>
        <v>30</v>
      </c>
      <c r="R6" s="119">
        <f>'2021'!AH19</f>
        <v>6</v>
      </c>
      <c r="S6" s="119">
        <f>'2021'!AK19</f>
        <v>32</v>
      </c>
      <c r="T6" s="119">
        <f>'2021'!AL19</f>
        <v>2</v>
      </c>
      <c r="U6" s="119">
        <f>'2021'!AO19</f>
        <v>33</v>
      </c>
      <c r="V6" s="119">
        <f>'2021'!AP19</f>
        <v>1</v>
      </c>
      <c r="W6" s="119">
        <f>'2021'!AS19</f>
        <v>33</v>
      </c>
      <c r="X6" s="119">
        <f>'2021'!AT19</f>
        <v>0</v>
      </c>
      <c r="Y6" s="119">
        <f>'2021'!AW19</f>
        <v>33</v>
      </c>
      <c r="Z6" s="119">
        <f>'2021'!AX19</f>
        <v>0</v>
      </c>
      <c r="AA6" s="119">
        <f>'2021'!BA19</f>
        <v>33</v>
      </c>
      <c r="AB6" s="119">
        <f>'2021'!BB19</f>
        <v>0</v>
      </c>
      <c r="AC6" s="119">
        <f>'2021'!BE19</f>
        <v>19</v>
      </c>
    </row>
    <row r="7" spans="1:29" x14ac:dyDescent="0.25">
      <c r="A7" s="14"/>
      <c r="B7" s="115">
        <v>3</v>
      </c>
      <c r="C7" s="116">
        <v>4</v>
      </c>
      <c r="D7" s="117" t="s">
        <v>60</v>
      </c>
      <c r="E7" s="119">
        <f>'2021'!I28</f>
        <v>280</v>
      </c>
      <c r="F7" s="119">
        <f>'2021'!J28</f>
      </c>
      <c r="G7" s="119">
        <f>'2021'!M28</f>
        <v>280</v>
      </c>
      <c r="H7" s="119">
        <f>'2021'!N28</f>
        <v>0</v>
      </c>
      <c r="I7" s="119">
        <f>'2021'!Q28</f>
        <v>280</v>
      </c>
      <c r="J7" s="119">
        <f>'2021'!R28</f>
        <v>0</v>
      </c>
      <c r="K7" s="119">
        <f>'2021'!U28</f>
        <v>280</v>
      </c>
      <c r="L7" s="119">
        <f>'2021'!V28</f>
        <v>0</v>
      </c>
      <c r="M7" s="119">
        <f>'2021'!Y28</f>
        <v>283</v>
      </c>
      <c r="N7" s="119">
        <f>'2021'!Z28</f>
        <v>3</v>
      </c>
      <c r="O7" s="119">
        <f>'2021'!AC28</f>
        <v>297</v>
      </c>
      <c r="P7" s="119">
        <f>'2021'!AD28</f>
        <v>14</v>
      </c>
      <c r="Q7" s="119">
        <f>'2021'!AG28</f>
        <v>297</v>
      </c>
      <c r="R7" s="119">
        <f>'2021'!AH28</f>
        <v>0</v>
      </c>
      <c r="S7" s="119">
        <f>'2021'!AK28</f>
        <v>308</v>
      </c>
      <c r="T7" s="119">
        <f>'2021'!AL28</f>
        <v>11</v>
      </c>
      <c r="U7" s="119">
        <f>'2021'!AO28</f>
        <v>308</v>
      </c>
      <c r="V7" s="119">
        <f>'2021'!AP28</f>
        <v>0</v>
      </c>
      <c r="W7" s="119">
        <f>'2021'!AS28</f>
        <v>308</v>
      </c>
      <c r="X7" s="119">
        <f>'2021'!AT28</f>
        <v>0</v>
      </c>
      <c r="Y7" s="119">
        <f>'2021'!AW28</f>
        <v>308</v>
      </c>
      <c r="Z7" s="119">
        <f>'2021'!AX28</f>
        <v>0</v>
      </c>
      <c r="AA7" s="119">
        <f>'2021'!BA28</f>
        <v>308</v>
      </c>
      <c r="AB7" s="119">
        <f>'2021'!BB28</f>
        <v>0</v>
      </c>
      <c r="AC7" s="119">
        <f>'2021'!BE28</f>
        <v>28</v>
      </c>
    </row>
    <row r="8" spans="1:29" x14ac:dyDescent="0.25">
      <c r="A8" s="14"/>
      <c r="B8" s="115">
        <v>4</v>
      </c>
      <c r="C8" s="115">
        <v>3.95</v>
      </c>
      <c r="D8" s="117" t="s">
        <v>64</v>
      </c>
      <c r="E8" s="119">
        <f>'2021'!I37</f>
        <v>21</v>
      </c>
      <c r="F8" s="119">
        <f>'2021'!J37</f>
      </c>
      <c r="G8" s="119">
        <f>'2021'!M37</f>
        <v>21</v>
      </c>
      <c r="H8" s="119">
        <f>'2021'!N37</f>
        <v>0</v>
      </c>
      <c r="I8" s="119">
        <f>'2021'!Q37</f>
        <v>21</v>
      </c>
      <c r="J8" s="119">
        <f>'2021'!R37</f>
        <v>0</v>
      </c>
      <c r="K8" s="119">
        <f>'2021'!U37</f>
        <v>21</v>
      </c>
      <c r="L8" s="119">
        <f>'2021'!V37</f>
        <v>0</v>
      </c>
      <c r="M8" s="119">
        <f>'2021'!Y37</f>
        <v>21</v>
      </c>
      <c r="N8" s="119">
        <f>'2021'!Z37</f>
        <v>0</v>
      </c>
      <c r="O8" s="119">
        <f>'2021'!AC37</f>
        <v>21</v>
      </c>
      <c r="P8" s="119">
        <f>'2021'!AD37</f>
        <v>0</v>
      </c>
      <c r="Q8" s="119">
        <f>'2021'!AG37</f>
        <v>21</v>
      </c>
      <c r="R8" s="119">
        <f>'2021'!AH37</f>
        <v>0</v>
      </c>
      <c r="S8" s="119">
        <f>'2021'!AK37</f>
        <v>21</v>
      </c>
      <c r="T8" s="119">
        <f>'2021'!AL37</f>
        <v>0</v>
      </c>
      <c r="U8" s="119">
        <f>'2021'!AO37</f>
        <v>21</v>
      </c>
      <c r="V8" s="119">
        <f>'2021'!AP37</f>
        <v>0</v>
      </c>
      <c r="W8" s="119">
        <f>'2021'!AS37</f>
        <v>21</v>
      </c>
      <c r="X8" s="119">
        <f>'2021'!AT37</f>
        <v>0</v>
      </c>
      <c r="Y8" s="119">
        <f>'2021'!AW37</f>
        <v>21</v>
      </c>
      <c r="Z8" s="119">
        <f>'2021'!AX37</f>
        <v>0</v>
      </c>
      <c r="AA8" s="119">
        <f>'2021'!BA37</f>
        <v>21</v>
      </c>
      <c r="AB8" s="119">
        <f>'2021'!BB37</f>
        <v>0</v>
      </c>
      <c r="AC8" s="119">
        <f>'2021'!BE37</f>
        <v>0</v>
      </c>
    </row>
    <row r="9" spans="1:29" x14ac:dyDescent="0.25">
      <c r="A9" s="14"/>
      <c r="B9" s="115">
        <v>5</v>
      </c>
      <c r="C9" s="115">
        <v>5.08</v>
      </c>
      <c r="D9" s="2" t="s">
        <v>488</v>
      </c>
      <c r="E9" s="119">
        <f>'2021'!I46</f>
        <v>181</v>
      </c>
      <c r="F9" s="119">
        <f>'2021'!J46</f>
      </c>
      <c r="G9" s="119">
        <f>'2021'!M46</f>
        <v>181</v>
      </c>
      <c r="H9" s="119">
        <f>'2021'!N46</f>
        <v>0</v>
      </c>
      <c r="I9" s="119">
        <f>'2021'!Q46</f>
        <v>181</v>
      </c>
      <c r="J9" s="119">
        <f>'2021'!R46</f>
        <v>0</v>
      </c>
      <c r="K9" s="119">
        <f>'2021'!U46</f>
        <v>181</v>
      </c>
      <c r="L9" s="119">
        <f>'2021'!V46</f>
        <v>0</v>
      </c>
      <c r="M9" s="119">
        <f>'2021'!Y46</f>
        <v>187</v>
      </c>
      <c r="N9" s="119">
        <f>'2021'!Z46</f>
        <v>6</v>
      </c>
      <c r="O9" s="119">
        <f>'2021'!AC46</f>
        <v>200</v>
      </c>
      <c r="P9" s="119">
        <f>'2021'!AD46</f>
        <v>13</v>
      </c>
      <c r="Q9" s="119">
        <f>'2021'!AG46</f>
        <v>219</v>
      </c>
      <c r="R9" s="119">
        <f>'2021'!AH46</f>
        <v>19</v>
      </c>
      <c r="S9" s="119">
        <f>'2021'!AK46</f>
        <v>232</v>
      </c>
      <c r="T9" s="119">
        <f>'2021'!AL46</f>
        <v>13</v>
      </c>
      <c r="U9" s="119">
        <f>'2021'!AO46</f>
        <v>244</v>
      </c>
      <c r="V9" s="119">
        <f>'2021'!AP46</f>
        <v>12</v>
      </c>
      <c r="W9" s="119">
        <f>'2021'!AS46</f>
        <v>244</v>
      </c>
      <c r="X9" s="119">
        <f>'2021'!AT46</f>
        <v>0</v>
      </c>
      <c r="Y9" s="119">
        <f>'2021'!AW46</f>
        <v>244</v>
      </c>
      <c r="Z9" s="119">
        <f>'2021'!AX46</f>
        <v>0</v>
      </c>
      <c r="AA9" s="119">
        <f>'2021'!BA46</f>
        <v>244</v>
      </c>
      <c r="AB9" s="119">
        <f>'2021'!BB46</f>
        <v>0</v>
      </c>
      <c r="AC9" s="119">
        <f>'2021'!BE46</f>
        <v>63</v>
      </c>
    </row>
    <row r="10" spans="1:29" x14ac:dyDescent="0.25">
      <c r="A10" s="14"/>
      <c r="B10" s="115">
        <v>6</v>
      </c>
      <c r="C10" s="115">
        <v>4.01</v>
      </c>
      <c r="D10" s="117" t="s">
        <v>70</v>
      </c>
      <c r="E10" s="119">
        <f>'2021'!I55</f>
        <v>268</v>
      </c>
      <c r="F10" s="119">
        <f>'2021'!J55</f>
      </c>
      <c r="G10" s="119">
        <f>'2021'!M55</f>
        <v>268</v>
      </c>
      <c r="H10" s="119">
        <f>'2021'!N55</f>
        <v>0</v>
      </c>
      <c r="I10" s="119">
        <f>'2021'!Q55</f>
        <v>268</v>
      </c>
      <c r="J10" s="119">
        <f>'2021'!R55</f>
        <v>0</v>
      </c>
      <c r="K10" s="119">
        <f>'2021'!U55</f>
        <v>268</v>
      </c>
      <c r="L10" s="119">
        <f>'2021'!V55</f>
        <v>0</v>
      </c>
      <c r="M10" s="119">
        <f>'2021'!Y55</f>
        <v>271</v>
      </c>
      <c r="N10" s="119">
        <f>'2021'!Z55</f>
        <v>3</v>
      </c>
      <c r="O10" s="119">
        <f>'2021'!AC55</f>
        <v>274</v>
      </c>
      <c r="P10" s="119">
        <f>'2021'!AD55</f>
        <v>3</v>
      </c>
      <c r="Q10" s="119">
        <f>'2021'!AG55</f>
        <v>274</v>
      </c>
      <c r="R10" s="119">
        <f>'2021'!AH55</f>
        <v>0</v>
      </c>
      <c r="S10" s="119">
        <f>'2021'!AK55</f>
        <v>274</v>
      </c>
      <c r="T10" s="119">
        <f>'2021'!AL55</f>
        <v>0</v>
      </c>
      <c r="U10" s="119">
        <f>'2021'!AO55</f>
        <v>274</v>
      </c>
      <c r="V10" s="119">
        <f>'2021'!AP55</f>
        <v>0</v>
      </c>
      <c r="W10" s="119">
        <f>'2021'!AS55</f>
        <v>274</v>
      </c>
      <c r="X10" s="119">
        <f>'2021'!AT55</f>
        <v>0</v>
      </c>
      <c r="Y10" s="119">
        <f>'2021'!AW55</f>
        <v>274</v>
      </c>
      <c r="Z10" s="119">
        <f>'2021'!AX55</f>
        <v>0</v>
      </c>
      <c r="AA10" s="119">
        <f>'2021'!BA55</f>
        <v>274</v>
      </c>
      <c r="AB10" s="119">
        <f>'2021'!BB55</f>
        <v>0</v>
      </c>
      <c r="AC10" s="119">
        <f>'2021'!BE55</f>
        <v>6</v>
      </c>
    </row>
    <row r="11" spans="1:29" x14ac:dyDescent="0.25">
      <c r="A11" s="14"/>
      <c r="B11" s="115">
        <v>7</v>
      </c>
      <c r="C11" s="115">
        <v>4.85</v>
      </c>
      <c r="D11" s="117" t="s">
        <v>74</v>
      </c>
      <c r="E11" s="119">
        <f>'2021'!I64</f>
        <v>60</v>
      </c>
      <c r="F11" s="119">
        <f>'2021'!J64</f>
      </c>
      <c r="G11" s="119">
        <f>'2021'!M64</f>
        <v>60</v>
      </c>
      <c r="H11" s="119">
        <f>'2021'!N64</f>
        <v>0</v>
      </c>
      <c r="I11" s="119">
        <f>'2021'!Q64</f>
        <v>60</v>
      </c>
      <c r="J11" s="119">
        <f>'2021'!R64</f>
        <v>0</v>
      </c>
      <c r="K11" s="119">
        <f>'2021'!U64</f>
        <v>60</v>
      </c>
      <c r="L11" s="119">
        <f>'2021'!V64</f>
        <v>0</v>
      </c>
      <c r="M11" s="119">
        <f>'2021'!Y64</f>
        <v>60</v>
      </c>
      <c r="N11" s="119">
        <f>'2021'!Z64</f>
        <v>0</v>
      </c>
      <c r="O11" s="119">
        <f>'2021'!AC64</f>
        <v>60</v>
      </c>
      <c r="P11" s="119">
        <f>'2021'!AD64</f>
        <v>0</v>
      </c>
      <c r="Q11" s="119">
        <f>'2021'!AG64</f>
        <v>60</v>
      </c>
      <c r="R11" s="119">
        <f>'2021'!AH64</f>
        <v>0</v>
      </c>
      <c r="S11" s="119">
        <f>'2021'!AK64</f>
        <v>60</v>
      </c>
      <c r="T11" s="119">
        <f>'2021'!AL64</f>
        <v>0</v>
      </c>
      <c r="U11" s="119">
        <f>'2021'!AO64</f>
        <v>76</v>
      </c>
      <c r="V11" s="119">
        <f>'2021'!AP64</f>
        <v>16</v>
      </c>
      <c r="W11" s="119">
        <f>'2021'!AS64</f>
        <v>76</v>
      </c>
      <c r="X11" s="119">
        <f>'2021'!AT64</f>
        <v>0</v>
      </c>
      <c r="Y11" s="119">
        <f>'2021'!AW64</f>
        <v>76</v>
      </c>
      <c r="Z11" s="119">
        <f>'2021'!AX64</f>
        <v>0</v>
      </c>
      <c r="AA11" s="119">
        <f>'2021'!BA64</f>
        <v>76</v>
      </c>
      <c r="AB11" s="119">
        <f>'2021'!BB64</f>
        <v>0</v>
      </c>
      <c r="AC11" s="119">
        <f>'2021'!BE64</f>
        <v>16</v>
      </c>
    </row>
    <row r="12" spans="1:29" x14ac:dyDescent="0.25">
      <c r="A12" s="14"/>
      <c r="B12" s="115">
        <v>8</v>
      </c>
      <c r="C12" s="116">
        <v>4</v>
      </c>
      <c r="D12" s="2" t="s">
        <v>383</v>
      </c>
      <c r="E12" s="119">
        <f>'2021'!I73</f>
        <v>32</v>
      </c>
      <c r="F12" s="119">
        <f>'2021'!J73</f>
      </c>
      <c r="G12" s="119">
        <f>'2021'!M73</f>
        <v>32</v>
      </c>
      <c r="H12" s="119">
        <f>'2021'!N73</f>
        <v>0</v>
      </c>
      <c r="I12" s="119">
        <f>'2021'!Q73</f>
        <v>32</v>
      </c>
      <c r="J12" s="119">
        <f>'2021'!R73</f>
        <v>0</v>
      </c>
      <c r="K12" s="119">
        <f>'2021'!U73</f>
        <v>32</v>
      </c>
      <c r="L12" s="119">
        <f>'2021'!V73</f>
        <v>0</v>
      </c>
      <c r="M12" s="119">
        <f>'2021'!Y73</f>
        <v>33</v>
      </c>
      <c r="N12" s="119">
        <f>'2021'!Z73</f>
        <v>1</v>
      </c>
      <c r="O12" s="119">
        <f>'2021'!AC73</f>
        <v>33</v>
      </c>
      <c r="P12" s="119">
        <f>'2021'!AD73</f>
        <v>0</v>
      </c>
      <c r="Q12" s="119">
        <f>'2021'!AG73</f>
        <v>46</v>
      </c>
      <c r="R12" s="119">
        <f>'2021'!AH73</f>
        <v>13</v>
      </c>
      <c r="S12" s="119">
        <f>'2021'!AK73</f>
        <v>46</v>
      </c>
      <c r="T12" s="119">
        <f>'2021'!AL73</f>
        <v>0</v>
      </c>
      <c r="U12" s="119">
        <f>'2021'!AO73</f>
        <v>51</v>
      </c>
      <c r="V12" s="119">
        <f>'2021'!AP73</f>
        <v>5</v>
      </c>
      <c r="W12" s="119">
        <f>'2021'!AS73</f>
        <v>51</v>
      </c>
      <c r="X12" s="119">
        <f>'2021'!AT73</f>
        <v>0</v>
      </c>
      <c r="Y12" s="119">
        <f>'2021'!AW73</f>
        <v>51</v>
      </c>
      <c r="Z12" s="119">
        <f>'2021'!AX73</f>
        <v>0</v>
      </c>
      <c r="AA12" s="119">
        <f>'2021'!BA73</f>
        <v>51</v>
      </c>
      <c r="AB12" s="119">
        <f>'2021'!BB73</f>
        <v>0</v>
      </c>
      <c r="AC12" s="119">
        <f>'2021'!BE73</f>
        <v>19</v>
      </c>
    </row>
    <row r="13" spans="1:29" x14ac:dyDescent="0.25">
      <c r="A13" s="14"/>
      <c r="B13" s="115">
        <v>9</v>
      </c>
      <c r="C13" s="115">
        <v>4.03</v>
      </c>
      <c r="D13" s="117" t="s">
        <v>82</v>
      </c>
      <c r="E13" s="119">
        <f>'2021'!I82</f>
        <v>148</v>
      </c>
      <c r="F13" s="119">
        <f>'2021'!J82</f>
      </c>
      <c r="G13" s="119">
        <f>'2021'!M82</f>
        <v>148</v>
      </c>
      <c r="H13" s="119">
        <f>'2021'!N82</f>
        <v>0</v>
      </c>
      <c r="I13" s="119">
        <f>'2021'!Q82</f>
        <v>148</v>
      </c>
      <c r="J13" s="119">
        <f>'2021'!R82</f>
        <v>0</v>
      </c>
      <c r="K13" s="119">
        <f>'2021'!U82</f>
        <v>148</v>
      </c>
      <c r="L13" s="119">
        <f>'2021'!V82</f>
        <v>0</v>
      </c>
      <c r="M13" s="119">
        <f>'2021'!Y82</f>
        <v>149</v>
      </c>
      <c r="N13" s="119">
        <f>'2021'!Z82</f>
        <v>1</v>
      </c>
      <c r="O13" s="119">
        <f>'2021'!AC82</f>
        <v>158</v>
      </c>
      <c r="P13" s="119">
        <f>'2021'!AD82</f>
        <v>9</v>
      </c>
      <c r="Q13" s="119">
        <f>'2021'!AG82</f>
        <v>159</v>
      </c>
      <c r="R13" s="119">
        <f>'2021'!AH82</f>
        <v>1</v>
      </c>
      <c r="S13" s="119">
        <f>'2021'!AK82</f>
        <v>160</v>
      </c>
      <c r="T13" s="119">
        <f>'2021'!AL82</f>
        <v>1</v>
      </c>
      <c r="U13" s="119">
        <f>'2021'!AO82</f>
        <v>161</v>
      </c>
      <c r="V13" s="119">
        <f>'2021'!AP82</f>
        <v>1</v>
      </c>
      <c r="W13" s="119">
        <f>'2021'!AS82</f>
        <v>161</v>
      </c>
      <c r="X13" s="119">
        <f>'2021'!AT82</f>
        <v>0</v>
      </c>
      <c r="Y13" s="119">
        <f>'2021'!AW82</f>
        <v>161</v>
      </c>
      <c r="Z13" s="119">
        <f>'2021'!AX82</f>
        <v>0</v>
      </c>
      <c r="AA13" s="119">
        <f>'2021'!BA82</f>
        <v>161</v>
      </c>
      <c r="AB13" s="119">
        <f>'2021'!BB82</f>
        <v>0</v>
      </c>
      <c r="AC13" s="119">
        <f>'2021'!BE82</f>
        <v>13</v>
      </c>
    </row>
    <row r="14" spans="1:29" x14ac:dyDescent="0.25">
      <c r="A14" s="14"/>
      <c r="B14" s="115">
        <v>10</v>
      </c>
      <c r="C14" s="115">
        <v>4.01</v>
      </c>
      <c r="D14" s="117" t="s">
        <v>86</v>
      </c>
      <c r="E14" s="119">
        <f>'2021'!I91</f>
        <v>50</v>
      </c>
      <c r="F14" s="119">
        <f>'2021'!J91</f>
      </c>
      <c r="G14" s="119">
        <f>'2021'!M91</f>
        <v>50</v>
      </c>
      <c r="H14" s="119">
        <f>'2021'!N91</f>
        <v>0</v>
      </c>
      <c r="I14" s="119">
        <f>'2021'!Q91</f>
        <v>50</v>
      </c>
      <c r="J14" s="119">
        <f>'2021'!R91</f>
        <v>0</v>
      </c>
      <c r="K14" s="119">
        <f>'2021'!U91</f>
        <v>50</v>
      </c>
      <c r="L14" s="119">
        <f>'2021'!V91</f>
        <v>0</v>
      </c>
      <c r="M14" s="119">
        <f>'2021'!Y91</f>
        <v>50</v>
      </c>
      <c r="N14" s="119">
        <f>'2021'!Z91</f>
        <v>0</v>
      </c>
      <c r="O14" s="119">
        <f>'2021'!AC91</f>
        <v>60</v>
      </c>
      <c r="P14" s="119">
        <f>'2021'!AD91</f>
        <v>10</v>
      </c>
      <c r="Q14" s="119">
        <f>'2021'!AG91</f>
        <v>60</v>
      </c>
      <c r="R14" s="119">
        <f>'2021'!AH91</f>
        <v>0</v>
      </c>
      <c r="S14" s="119">
        <f>'2021'!AK91</f>
        <v>60</v>
      </c>
      <c r="T14" s="119">
        <f>'2021'!AL91</f>
        <v>0</v>
      </c>
      <c r="U14" s="119">
        <f>'2021'!AO91</f>
        <v>60</v>
      </c>
      <c r="V14" s="119">
        <f>'2021'!AP91</f>
        <v>0</v>
      </c>
      <c r="W14" s="119">
        <f>'2021'!AS91</f>
        <v>60</v>
      </c>
      <c r="X14" s="119">
        <f>'2021'!AT91</f>
        <v>0</v>
      </c>
      <c r="Y14" s="119">
        <f>'2021'!AW91</f>
        <v>60</v>
      </c>
      <c r="Z14" s="119">
        <f>'2021'!AX91</f>
        <v>0</v>
      </c>
      <c r="AA14" s="119">
        <f>'2021'!BA91</f>
        <v>60</v>
      </c>
      <c r="AB14" s="119">
        <f>'2021'!BB91</f>
        <v>0</v>
      </c>
      <c r="AC14" s="119">
        <f>'2021'!BE91</f>
        <v>10</v>
      </c>
    </row>
    <row r="15" spans="1:29" x14ac:dyDescent="0.25">
      <c r="A15" s="14"/>
      <c r="B15" s="115">
        <v>11</v>
      </c>
      <c r="C15" s="115">
        <v>4.02</v>
      </c>
      <c r="D15" s="117" t="s">
        <v>89</v>
      </c>
      <c r="E15" s="119">
        <f>'2021'!I100</f>
        <v>10</v>
      </c>
      <c r="F15" s="119">
        <f>'2021'!J100</f>
      </c>
      <c r="G15" s="119">
        <f>'2021'!M100</f>
        <v>10</v>
      </c>
      <c r="H15" s="119">
        <f>'2021'!N100</f>
        <v>0</v>
      </c>
      <c r="I15" s="119">
        <f>'2021'!Q100</f>
        <v>10</v>
      </c>
      <c r="J15" s="119">
        <f>'2021'!R100</f>
        <v>0</v>
      </c>
      <c r="K15" s="119">
        <f>'2021'!U100</f>
        <v>10</v>
      </c>
      <c r="L15" s="119">
        <f>'2021'!V100</f>
        <v>0</v>
      </c>
      <c r="M15" s="119">
        <f>'2021'!Y100</f>
        <v>10</v>
      </c>
      <c r="N15" s="119">
        <f>'2021'!Z100</f>
        <v>0</v>
      </c>
      <c r="O15" s="119">
        <f>'2021'!AC100</f>
        <v>10</v>
      </c>
      <c r="P15" s="119">
        <f>'2021'!AD100</f>
        <v>0</v>
      </c>
      <c r="Q15" s="119">
        <f>'2021'!AG100</f>
        <v>10</v>
      </c>
      <c r="R15" s="119">
        <f>'2021'!AH100</f>
        <v>0</v>
      </c>
      <c r="S15" s="119">
        <f>'2021'!AK100</f>
        <v>10</v>
      </c>
      <c r="T15" s="119">
        <f>'2021'!AL100</f>
        <v>0</v>
      </c>
      <c r="U15" s="119">
        <f>'2021'!AO100</f>
        <v>10</v>
      </c>
      <c r="V15" s="119">
        <f>'2021'!AP100</f>
        <v>0</v>
      </c>
      <c r="W15" s="119">
        <f>'2021'!AS100</f>
        <v>10</v>
      </c>
      <c r="X15" s="119">
        <f>'2021'!AT100</f>
        <v>0</v>
      </c>
      <c r="Y15" s="119">
        <f>'2021'!AW100</f>
        <v>10</v>
      </c>
      <c r="Z15" s="119">
        <f>'2021'!AX100</f>
        <v>0</v>
      </c>
      <c r="AA15" s="119">
        <f>'2021'!BA100</f>
        <v>10</v>
      </c>
      <c r="AB15" s="119">
        <f>'2021'!BB100</f>
        <v>0</v>
      </c>
      <c r="AC15" s="119">
        <f>'2021'!BE100</f>
        <v>0</v>
      </c>
    </row>
    <row r="16" spans="1:29" x14ac:dyDescent="0.25">
      <c r="A16" s="14"/>
      <c r="B16" s="115">
        <v>12</v>
      </c>
      <c r="C16" s="115">
        <v>4.02</v>
      </c>
      <c r="D16" s="117" t="s">
        <v>92</v>
      </c>
      <c r="E16" s="119">
        <f>'2021'!I109</f>
      </c>
      <c r="F16" s="119">
        <f>'2021'!J109</f>
      </c>
      <c r="G16" s="119">
        <f>'2021'!M109</f>
      </c>
      <c r="H16" s="119">
        <f>'2021'!N109</f>
        <v>0</v>
      </c>
      <c r="I16" s="119">
        <f>'2021'!Q109</f>
      </c>
      <c r="J16" s="119">
        <f>'2021'!R109</f>
        <v>0</v>
      </c>
      <c r="K16" s="119">
        <f>'2021'!U109</f>
      </c>
      <c r="L16" s="119">
        <f>'2021'!V109</f>
        <v>0</v>
      </c>
      <c r="M16" s="119">
        <f>'2021'!Y109</f>
      </c>
      <c r="N16" s="119">
        <f>'2021'!Z109</f>
        <v>0</v>
      </c>
      <c r="O16" s="119">
        <f>'2021'!AC109</f>
      </c>
      <c r="P16" s="119">
        <f>'2021'!AD109</f>
        <v>0</v>
      </c>
      <c r="Q16" s="119">
        <f>'2021'!AG109</f>
      </c>
      <c r="R16" s="119">
        <f>'2021'!AH109</f>
        <v>0</v>
      </c>
      <c r="S16" s="119">
        <f>'2021'!AK109</f>
      </c>
      <c r="T16" s="119">
        <f>'2021'!AL109</f>
        <v>0</v>
      </c>
      <c r="U16" s="119">
        <f>'2021'!AO109</f>
      </c>
      <c r="V16" s="119">
        <f>'2021'!AP109</f>
        <v>0</v>
      </c>
      <c r="W16" s="119">
        <f>'2021'!AS109</f>
      </c>
      <c r="X16" s="119">
        <f>'2021'!AT109</f>
        <v>0</v>
      </c>
      <c r="Y16" s="119">
        <f>'2021'!AW109</f>
      </c>
      <c r="Z16" s="119">
        <f>'2021'!AX109</f>
        <v>0</v>
      </c>
      <c r="AA16" s="119">
        <f>'2021'!BA109</f>
      </c>
      <c r="AB16" s="119">
        <f>'2021'!BB109</f>
        <v>0</v>
      </c>
      <c r="AC16" s="119">
        <f>'2021'!BE109</f>
        <v>0</v>
      </c>
    </row>
    <row r="17" spans="1:29" x14ac:dyDescent="0.25">
      <c r="A17" s="14"/>
      <c r="B17" s="115" t="s">
        <v>96</v>
      </c>
      <c r="C17" s="115">
        <v>3.94</v>
      </c>
      <c r="D17" s="117" t="s">
        <v>97</v>
      </c>
      <c r="E17" s="119">
        <f>'2021'!I118</f>
        <v>55</v>
      </c>
      <c r="F17" s="119">
        <f>'2021'!J118</f>
      </c>
      <c r="G17" s="119">
        <f>'2021'!M118</f>
        <v>55</v>
      </c>
      <c r="H17" s="119">
        <f>'2021'!N118</f>
        <v>0</v>
      </c>
      <c r="I17" s="119">
        <f>'2021'!Q118</f>
        <v>55</v>
      </c>
      <c r="J17" s="119">
        <f>'2021'!R118</f>
        <v>0</v>
      </c>
      <c r="K17" s="119">
        <f>'2021'!U118</f>
        <v>55</v>
      </c>
      <c r="L17" s="119">
        <f>'2021'!V118</f>
        <v>0</v>
      </c>
      <c r="M17" s="119">
        <f>'2021'!Y118</f>
        <v>57</v>
      </c>
      <c r="N17" s="119">
        <f>'2021'!Z118</f>
        <v>2</v>
      </c>
      <c r="O17" s="119">
        <f>'2021'!AC118</f>
        <v>69</v>
      </c>
      <c r="P17" s="119">
        <f>'2021'!AD118</f>
        <v>12</v>
      </c>
      <c r="Q17" s="119">
        <f>'2021'!AG118</f>
        <v>73</v>
      </c>
      <c r="R17" s="119">
        <f>'2021'!AH118</f>
        <v>4</v>
      </c>
      <c r="S17" s="119">
        <f>'2021'!AK118</f>
        <v>83</v>
      </c>
      <c r="T17" s="119">
        <f>'2021'!AL118</f>
        <v>10</v>
      </c>
      <c r="U17" s="119">
        <f>'2021'!AO118</f>
        <v>87</v>
      </c>
      <c r="V17" s="119">
        <f>'2021'!AP118</f>
        <v>4</v>
      </c>
      <c r="W17" s="119">
        <f>'2021'!AS118</f>
        <v>87</v>
      </c>
      <c r="X17" s="119">
        <f>'2021'!AT118</f>
        <v>0</v>
      </c>
      <c r="Y17" s="119">
        <f>'2021'!AW118</f>
        <v>87</v>
      </c>
      <c r="Z17" s="119">
        <f>'2021'!AX118</f>
        <v>0</v>
      </c>
      <c r="AA17" s="119">
        <f>'2021'!BA118</f>
        <v>87</v>
      </c>
      <c r="AB17" s="119">
        <f>'2021'!BB118</f>
        <v>0</v>
      </c>
      <c r="AC17" s="119">
        <f>'2021'!BE118</f>
        <v>32</v>
      </c>
    </row>
    <row r="18" spans="1:29" x14ac:dyDescent="0.25">
      <c r="A18" s="14"/>
      <c r="B18" s="115" t="s">
        <v>96</v>
      </c>
      <c r="C18" s="116">
        <v>4</v>
      </c>
      <c r="D18" s="117" t="s">
        <v>97</v>
      </c>
      <c r="E18" s="119">
        <f>'2021'!I127</f>
        <v>38</v>
      </c>
      <c r="F18" s="119">
        <f>'2021'!J127</f>
      </c>
      <c r="G18" s="119">
        <f>'2021'!M127</f>
        <v>38</v>
      </c>
      <c r="H18" s="119">
        <f>'2021'!N127</f>
        <v>0</v>
      </c>
      <c r="I18" s="119">
        <f>'2021'!Q127</f>
        <v>38</v>
      </c>
      <c r="J18" s="119">
        <f>'2021'!R127</f>
        <v>0</v>
      </c>
      <c r="K18" s="119">
        <f>'2021'!U127</f>
        <v>38</v>
      </c>
      <c r="L18" s="119">
        <f>'2021'!V127</f>
        <v>0</v>
      </c>
      <c r="M18" s="119">
        <f>'2021'!Y127</f>
        <v>2</v>
      </c>
      <c r="N18" s="119">
        <f>'2021'!Z127</f>
        <v>1</v>
      </c>
      <c r="O18" s="119">
        <f>'2021'!AC127</f>
        <v>15</v>
      </c>
      <c r="P18" s="119">
        <f>'2021'!AD127</f>
        <v>13</v>
      </c>
      <c r="Q18" s="119">
        <f>'2021'!AG127</f>
        <v>21</v>
      </c>
      <c r="R18" s="119">
        <f>'2021'!AH127</f>
        <v>6</v>
      </c>
      <c r="S18" s="119">
        <f>'2021'!AK127</f>
        <v>35</v>
      </c>
      <c r="T18" s="119">
        <f>'2021'!AL127</f>
        <v>14</v>
      </c>
      <c r="U18" s="119">
        <f>'2021'!AO127</f>
        <v>43</v>
      </c>
      <c r="V18" s="119">
        <f>'2021'!AP127</f>
        <v>8</v>
      </c>
      <c r="W18" s="119">
        <f>'2021'!AS127</f>
        <v>43</v>
      </c>
      <c r="X18" s="119">
        <f>'2021'!AT127</f>
        <v>0</v>
      </c>
      <c r="Y18" s="119">
        <f>'2021'!AW127</f>
        <v>43</v>
      </c>
      <c r="Z18" s="119">
        <f>'2021'!AX127</f>
        <v>0</v>
      </c>
      <c r="AA18" s="119">
        <f>'2021'!BA127</f>
        <v>43</v>
      </c>
      <c r="AB18" s="119">
        <f>'2021'!BB127</f>
        <v>0</v>
      </c>
      <c r="AC18" s="119">
        <f>'2021'!BE127</f>
        <v>42</v>
      </c>
    </row>
    <row r="19" spans="1:29" x14ac:dyDescent="0.25">
      <c r="A19" s="14"/>
      <c r="B19" s="115">
        <v>14</v>
      </c>
      <c r="C19" s="115">
        <v>4.02</v>
      </c>
      <c r="D19" s="117" t="s">
        <v>100</v>
      </c>
      <c r="E19" s="119">
        <f>'2021'!I136</f>
        <v>477</v>
      </c>
      <c r="F19" s="119">
        <f>'2021'!J136</f>
      </c>
      <c r="G19" s="119">
        <f>'2021'!M136</f>
        <v>477</v>
      </c>
      <c r="H19" s="119">
        <f>'2021'!N136</f>
        <v>0</v>
      </c>
      <c r="I19" s="119">
        <f>'2021'!Q136</f>
        <v>477</v>
      </c>
      <c r="J19" s="119">
        <f>'2021'!R136</f>
        <v>0</v>
      </c>
      <c r="K19" s="119">
        <f>'2021'!U136</f>
        <v>477</v>
      </c>
      <c r="L19" s="119">
        <f>'2021'!V136</f>
        <v>0</v>
      </c>
      <c r="M19" s="119">
        <f>'2021'!Y136</f>
        <v>479</v>
      </c>
      <c r="N19" s="119">
        <f>'2021'!Z136</f>
        <v>2</v>
      </c>
      <c r="O19" s="119">
        <f>'2021'!AC136</f>
        <v>491</v>
      </c>
      <c r="P19" s="119">
        <f>'2021'!AD136</f>
        <v>12</v>
      </c>
      <c r="Q19" s="119">
        <f>'2021'!AG136</f>
        <v>491</v>
      </c>
      <c r="R19" s="119">
        <f>'2021'!AH136</f>
        <v>0</v>
      </c>
      <c r="S19" s="119">
        <f>'2021'!AK136</f>
        <v>491</v>
      </c>
      <c r="T19" s="119">
        <f>'2021'!AL136</f>
        <v>0</v>
      </c>
      <c r="U19" s="119">
        <f>'2021'!AO136</f>
        <v>492</v>
      </c>
      <c r="V19" s="119">
        <f>'2021'!AP136</f>
        <v>1</v>
      </c>
      <c r="W19" s="119">
        <f>'2021'!AS136</f>
        <v>492</v>
      </c>
      <c r="X19" s="119">
        <f>'2021'!AT136</f>
        <v>0</v>
      </c>
      <c r="Y19" s="119">
        <f>'2021'!AW136</f>
        <v>492</v>
      </c>
      <c r="Z19" s="119">
        <f>'2021'!AX136</f>
        <v>0</v>
      </c>
      <c r="AA19" s="119">
        <f>'2021'!BA136</f>
        <v>492</v>
      </c>
      <c r="AB19" s="119">
        <f>'2021'!BB136</f>
        <v>0</v>
      </c>
      <c r="AC19" s="119">
        <f>'2021'!BE136</f>
        <v>15</v>
      </c>
    </row>
    <row r="20" spans="1:29" x14ac:dyDescent="0.25">
      <c r="A20" s="14"/>
      <c r="B20" s="115">
        <v>16</v>
      </c>
      <c r="C20" s="115">
        <v>3.98</v>
      </c>
      <c r="D20" s="117" t="s">
        <v>103</v>
      </c>
      <c r="E20" s="119">
        <f>'2021'!I145</f>
        <v>126</v>
      </c>
      <c r="F20" s="119">
        <f>'2021'!J145</f>
      </c>
      <c r="G20" s="119">
        <f>'2021'!M145</f>
        <v>126</v>
      </c>
      <c r="H20" s="119">
        <f>'2021'!N145</f>
        <v>0</v>
      </c>
      <c r="I20" s="119">
        <f>'2021'!Q145</f>
        <v>126</v>
      </c>
      <c r="J20" s="119">
        <f>'2021'!R145</f>
        <v>0</v>
      </c>
      <c r="K20" s="119">
        <f>'2021'!U145</f>
        <v>126</v>
      </c>
      <c r="L20" s="119">
        <f>'2021'!V145</f>
        <v>0</v>
      </c>
      <c r="M20" s="119">
        <f>'2021'!Y145</f>
        <v>126</v>
      </c>
      <c r="N20" s="119">
        <f>'2021'!Z145</f>
        <v>0</v>
      </c>
      <c r="O20" s="119">
        <f>'2021'!AC145</f>
        <v>129</v>
      </c>
      <c r="P20" s="119">
        <f>'2021'!AD145</f>
        <v>3</v>
      </c>
      <c r="Q20" s="119">
        <f>'2021'!AG145</f>
        <v>130</v>
      </c>
      <c r="R20" s="119">
        <f>'2021'!AH145</f>
        <v>1</v>
      </c>
      <c r="S20" s="119">
        <f>'2021'!AK145</f>
        <v>130</v>
      </c>
      <c r="T20" s="119">
        <f>'2021'!AL145</f>
        <v>0</v>
      </c>
      <c r="U20" s="119">
        <f>'2021'!AO145</f>
        <v>132</v>
      </c>
      <c r="V20" s="119">
        <f>'2021'!AP145</f>
        <v>2</v>
      </c>
      <c r="W20" s="119">
        <f>'2021'!AS145</f>
        <v>132</v>
      </c>
      <c r="X20" s="119">
        <f>'2021'!AT145</f>
        <v>0</v>
      </c>
      <c r="Y20" s="119">
        <f>'2021'!AW145</f>
        <v>132</v>
      </c>
      <c r="Z20" s="119">
        <f>'2021'!AX145</f>
        <v>0</v>
      </c>
      <c r="AA20" s="119">
        <f>'2021'!BA145</f>
        <v>132</v>
      </c>
      <c r="AB20" s="119">
        <f>'2021'!BB145</f>
        <v>0</v>
      </c>
      <c r="AC20" s="119">
        <f>'2021'!BE145</f>
        <v>6</v>
      </c>
    </row>
    <row r="21" ht="15.75" customHeight="1" spans="1:29" x14ac:dyDescent="0.25">
      <c r="A21" s="14"/>
      <c r="B21" s="115">
        <v>17</v>
      </c>
      <c r="C21" s="116">
        <v>4</v>
      </c>
      <c r="D21" s="117" t="s">
        <v>106</v>
      </c>
      <c r="E21" s="119">
        <f>'2021'!I154</f>
        <v>72</v>
      </c>
      <c r="F21" s="119">
        <f>'2021'!J154</f>
      </c>
      <c r="G21" s="119">
        <f>'2021'!M154</f>
        <v>72</v>
      </c>
      <c r="H21" s="119">
        <f>'2021'!N154</f>
        <v>0</v>
      </c>
      <c r="I21" s="119">
        <f>'2021'!Q154</f>
        <v>72</v>
      </c>
      <c r="J21" s="119">
        <f>'2021'!R154</f>
        <v>0</v>
      </c>
      <c r="K21" s="119">
        <f>'2021'!U154</f>
        <v>72</v>
      </c>
      <c r="L21" s="119">
        <f>'2021'!V154</f>
        <v>0</v>
      </c>
      <c r="M21" s="119">
        <f>'2021'!Y154</f>
        <v>1</v>
      </c>
      <c r="N21" s="119">
        <f>'2021'!Z154</f>
        <v>1</v>
      </c>
      <c r="O21" s="119">
        <f>'2021'!AC154</f>
        <v>1</v>
      </c>
      <c r="P21" s="119">
        <f>'2021'!AD154</f>
        <v>0</v>
      </c>
      <c r="Q21" s="119">
        <f>'2021'!AG154</f>
        <v>2</v>
      </c>
      <c r="R21" s="119">
        <f>'2021'!AH154</f>
        <v>1</v>
      </c>
      <c r="S21" s="119">
        <f>'2021'!AK154</f>
        <v>3</v>
      </c>
      <c r="T21" s="119">
        <f>'2021'!AL154</f>
        <v>1</v>
      </c>
      <c r="U21" s="119">
        <f>'2021'!AO154</f>
        <v>3</v>
      </c>
      <c r="V21" s="119">
        <f>'2021'!AP154</f>
        <v>0</v>
      </c>
      <c r="W21" s="119">
        <f>'2021'!AS154</f>
        <v>3</v>
      </c>
      <c r="X21" s="119">
        <f>'2021'!AT154</f>
        <v>0</v>
      </c>
      <c r="Y21" s="119">
        <f>'2021'!AW154</f>
        <v>3</v>
      </c>
      <c r="Z21" s="119">
        <f>'2021'!AX154</f>
        <v>0</v>
      </c>
      <c r="AA21" s="119">
        <f>'2021'!BA154</f>
        <v>3</v>
      </c>
      <c r="AB21" s="119">
        <f>'2021'!BB154</f>
        <v>0</v>
      </c>
      <c r="AC21" s="119">
        <f>'2021'!BE154</f>
        <v>3</v>
      </c>
    </row>
    <row r="22" ht="15.75" customHeight="1" spans="1:29" x14ac:dyDescent="0.25">
      <c r="A22" s="14"/>
      <c r="B22" s="115">
        <v>18</v>
      </c>
      <c r="C22" s="115">
        <v>4.03</v>
      </c>
      <c r="D22" s="117" t="s">
        <v>109</v>
      </c>
      <c r="E22" s="119">
        <f>'2021'!I163</f>
        <v>239</v>
      </c>
      <c r="F22" s="119">
        <f>'2021'!J163</f>
      </c>
      <c r="G22" s="119">
        <f>'2021'!M163</f>
        <v>239</v>
      </c>
      <c r="H22" s="119">
        <f>'2021'!N163</f>
        <v>0</v>
      </c>
      <c r="I22" s="119">
        <f>'2021'!Q163</f>
        <v>239</v>
      </c>
      <c r="J22" s="119">
        <f>'2021'!R163</f>
        <v>0</v>
      </c>
      <c r="K22" s="119">
        <f>'2021'!U163</f>
        <v>241</v>
      </c>
      <c r="L22" s="119">
        <f>'2021'!V163</f>
        <v>2</v>
      </c>
      <c r="M22" s="119">
        <f>'2021'!Y163</f>
        <v>19</v>
      </c>
      <c r="N22" s="119">
        <f>'2021'!Z163</f>
        <v>0</v>
      </c>
      <c r="O22" s="119">
        <f>'2021'!AC163</f>
        <v>27</v>
      </c>
      <c r="P22" s="119">
        <f>'2021'!AD163</f>
        <v>8</v>
      </c>
      <c r="Q22" s="119">
        <f>'2021'!AG163</f>
        <v>30</v>
      </c>
      <c r="R22" s="119">
        <f>'2021'!AH163</f>
        <v>3</v>
      </c>
      <c r="S22" s="119">
        <f>'2021'!AK163</f>
        <v>34</v>
      </c>
      <c r="T22" s="119">
        <f>'2021'!AL163</f>
        <v>4</v>
      </c>
      <c r="U22" s="119">
        <f>'2021'!AO163</f>
        <v>34</v>
      </c>
      <c r="V22" s="119">
        <f>'2021'!AP163</f>
        <v>0</v>
      </c>
      <c r="W22" s="119">
        <f>'2021'!AS163</f>
        <v>34</v>
      </c>
      <c r="X22" s="119">
        <f>'2021'!AT163</f>
        <v>0</v>
      </c>
      <c r="Y22" s="119">
        <f>'2021'!AW163</f>
        <v>34</v>
      </c>
      <c r="Z22" s="119">
        <f>'2021'!AX163</f>
        <v>0</v>
      </c>
      <c r="AA22" s="119">
        <f>'2021'!BA163</f>
        <v>34</v>
      </c>
      <c r="AB22" s="119">
        <f>'2021'!BB163</f>
        <v>0</v>
      </c>
      <c r="AC22" s="119">
        <f>'2021'!BE163</f>
        <v>17</v>
      </c>
    </row>
    <row r="23" ht="15.75" customHeight="1" spans="1:29" x14ac:dyDescent="0.25">
      <c r="A23" s="21"/>
      <c r="B23" s="115">
        <v>19</v>
      </c>
      <c r="C23" s="116">
        <v>4.1</v>
      </c>
      <c r="D23" s="117" t="s">
        <v>113</v>
      </c>
      <c r="E23" s="119">
        <f>'2021'!I172</f>
        <v>93</v>
      </c>
      <c r="F23" s="119">
        <f>'2021'!J172</f>
      </c>
      <c r="G23" s="119">
        <f>'2021'!M172</f>
        <v>93</v>
      </c>
      <c r="H23" s="119">
        <f>'2021'!N172</f>
        <v>0</v>
      </c>
      <c r="I23" s="119">
        <f>'2021'!Q172</f>
        <v>93</v>
      </c>
      <c r="J23" s="119">
        <f>'2021'!R172</f>
        <v>0</v>
      </c>
      <c r="K23" s="119">
        <f>'2021'!U172</f>
        <v>93</v>
      </c>
      <c r="L23" s="119">
        <f>'2021'!V172</f>
        <v>0</v>
      </c>
      <c r="M23" s="119">
        <f>'2021'!Y172</f>
        <v>202</v>
      </c>
      <c r="N23" s="119">
        <f>'2021'!Z172</f>
        <v>0</v>
      </c>
      <c r="O23" s="119">
        <f>'2021'!AC172</f>
        <v>210</v>
      </c>
      <c r="P23" s="119">
        <f>'2021'!AD172</f>
        <v>0</v>
      </c>
      <c r="Q23" s="119">
        <f>'2021'!AG172</f>
        <v>210</v>
      </c>
      <c r="R23" s="119">
        <f>'2021'!AH172</f>
        <v>0</v>
      </c>
      <c r="S23" s="119">
        <f>'2021'!AK172</f>
        <v>210</v>
      </c>
      <c r="T23" s="119">
        <f>'2021'!AL172</f>
        <v>0</v>
      </c>
      <c r="U23" s="119">
        <f>'2021'!AO172</f>
        <v>210</v>
      </c>
      <c r="V23" s="119">
        <f>'2021'!AP172</f>
        <v>0</v>
      </c>
      <c r="W23" s="119">
        <f>'2021'!AS172</f>
        <v>210</v>
      </c>
      <c r="X23" s="119">
        <f>'2021'!AT172</f>
        <v>0</v>
      </c>
      <c r="Y23" s="119">
        <f>'2021'!AW172</f>
        <v>210</v>
      </c>
      <c r="Z23" s="119">
        <f>'2021'!AX172</f>
        <v>0</v>
      </c>
      <c r="AA23" s="119">
        <f>'2021'!BA172</f>
        <v>210</v>
      </c>
      <c r="AB23" s="119">
        <f>'2021'!BB172</f>
        <v>0</v>
      </c>
      <c r="AC23" s="119">
        <f>'2021'!BE172</f>
        <v>0</v>
      </c>
    </row>
    <row r="24" ht="15.75" customHeight="1" spans="1:29" x14ac:dyDescent="0.25">
      <c r="A24" s="114" t="s">
        <v>116</v>
      </c>
      <c r="B24" s="115" t="s">
        <v>117</v>
      </c>
      <c r="C24" s="283">
        <v>4</v>
      </c>
      <c r="D24" s="117" t="s">
        <v>118</v>
      </c>
      <c r="E24" s="119">
        <f>'2021'!I181</f>
        <v>82</v>
      </c>
      <c r="F24" s="119">
        <f>'2021'!J181</f>
      </c>
      <c r="G24" s="119">
        <f>'2021'!M181</f>
        <v>82</v>
      </c>
      <c r="H24" s="119">
        <f>'2021'!N181</f>
        <v>0</v>
      </c>
      <c r="I24" s="119">
        <f>'2021'!Q181</f>
        <v>82</v>
      </c>
      <c r="J24" s="119">
        <f>'2021'!R181</f>
        <v>0</v>
      </c>
      <c r="K24" s="119">
        <f>'2021'!U181</f>
        <v>82</v>
      </c>
      <c r="L24" s="119">
        <f>'2021'!V181</f>
        <v>0</v>
      </c>
      <c r="M24" s="119">
        <f>'2021'!Y181</f>
        <v>82</v>
      </c>
      <c r="N24" s="119">
        <f>'2021'!Z181</f>
        <v>0</v>
      </c>
      <c r="O24" s="119">
        <f>'2021'!AC181</f>
        <v>82</v>
      </c>
      <c r="P24" s="119">
        <f>'2021'!AD181</f>
        <v>0</v>
      </c>
      <c r="Q24" s="119">
        <f>'2021'!AG181</f>
        <v>82</v>
      </c>
      <c r="R24" s="119">
        <f>'2021'!AH181</f>
        <v>0</v>
      </c>
      <c r="S24" s="119">
        <f>'2021'!AK181</f>
        <v>83</v>
      </c>
      <c r="T24" s="119">
        <f>'2021'!AL181</f>
        <v>1</v>
      </c>
      <c r="U24" s="119">
        <f>'2021'!AO181</f>
        <v>83</v>
      </c>
      <c r="V24" s="119">
        <f>'2021'!AP181</f>
        <v>0</v>
      </c>
      <c r="W24" s="119">
        <f>'2021'!AS181</f>
        <v>83</v>
      </c>
      <c r="X24" s="119">
        <f>'2021'!AT181</f>
        <v>0</v>
      </c>
      <c r="Y24" s="119">
        <f>'2021'!AW181</f>
        <v>83</v>
      </c>
      <c r="Z24" s="119">
        <f>'2021'!AX181</f>
        <v>0</v>
      </c>
      <c r="AA24" s="119">
        <f>'2021'!BA181</f>
        <v>83</v>
      </c>
      <c r="AB24" s="119">
        <f>'2021'!BB181</f>
        <v>0</v>
      </c>
      <c r="AC24" s="119">
        <f>'2021'!BE181</f>
        <v>1</v>
      </c>
    </row>
    <row r="25" ht="15.75" customHeight="1" spans="1:29" x14ac:dyDescent="0.25">
      <c r="A25" s="27"/>
      <c r="B25" s="115" t="s">
        <v>117</v>
      </c>
      <c r="C25" s="283">
        <v>4</v>
      </c>
      <c r="D25" s="117" t="s">
        <v>118</v>
      </c>
      <c r="E25" s="119">
        <f>'2021'!I190</f>
        <v>101</v>
      </c>
      <c r="F25" s="119">
        <f>'2021'!J190</f>
      </c>
      <c r="G25" s="119">
        <f>'2021'!M190</f>
        <v>101</v>
      </c>
      <c r="H25" s="119">
        <f>'2021'!N190</f>
        <v>0</v>
      </c>
      <c r="I25" s="119">
        <f>'2021'!Q190</f>
        <v>101</v>
      </c>
      <c r="J25" s="119">
        <f>'2021'!R190</f>
        <v>0</v>
      </c>
      <c r="K25" s="119">
        <f>'2021'!U190</f>
        <v>101</v>
      </c>
      <c r="L25" s="119">
        <f>'2021'!V190</f>
        <v>0</v>
      </c>
      <c r="M25" s="119">
        <f>'2021'!Y190</f>
        <v>101</v>
      </c>
      <c r="N25" s="119">
        <f>'2021'!Z190</f>
        <v>0</v>
      </c>
      <c r="O25" s="119">
        <f>'2021'!AC190</f>
        <v>102</v>
      </c>
      <c r="P25" s="119">
        <f>'2021'!AD190</f>
        <v>1</v>
      </c>
      <c r="Q25" s="119">
        <f>'2021'!AG190</f>
        <v>102</v>
      </c>
      <c r="R25" s="119">
        <f>'2021'!AH190</f>
        <v>0</v>
      </c>
      <c r="S25" s="119">
        <f>'2021'!AK190</f>
        <v>102</v>
      </c>
      <c r="T25" s="119">
        <f>'2021'!AL190</f>
        <v>0</v>
      </c>
      <c r="U25" s="119">
        <f>'2021'!AO190</f>
        <v>102</v>
      </c>
      <c r="V25" s="119">
        <f>'2021'!AP190</f>
        <v>0</v>
      </c>
      <c r="W25" s="119">
        <f>'2021'!AS190</f>
        <v>102</v>
      </c>
      <c r="X25" s="119">
        <f>'2021'!AT190</f>
        <v>0</v>
      </c>
      <c r="Y25" s="119">
        <f>'2021'!AW190</f>
        <v>102</v>
      </c>
      <c r="Z25" s="119">
        <f>'2021'!AX190</f>
        <v>0</v>
      </c>
      <c r="AA25" s="119">
        <f>'2021'!BA190</f>
        <v>102</v>
      </c>
      <c r="AB25" s="119">
        <f>'2021'!BB190</f>
        <v>0</v>
      </c>
      <c r="AC25" s="119">
        <f>'2021'!BE190</f>
        <v>1</v>
      </c>
    </row>
    <row r="26" ht="15.75" customHeight="1" spans="1:29" x14ac:dyDescent="0.25">
      <c r="A26" s="14"/>
      <c r="B26" s="115">
        <v>21</v>
      </c>
      <c r="C26" s="115">
        <v>3.96</v>
      </c>
      <c r="D26" s="117" t="s">
        <v>120</v>
      </c>
      <c r="E26" s="119">
        <f>'2021'!I199</f>
        <v>52</v>
      </c>
      <c r="F26" s="119">
        <f>'2021'!J199</f>
      </c>
      <c r="G26" s="119">
        <f>'2021'!M199</f>
        <v>52</v>
      </c>
      <c r="H26" s="119">
        <f>'2021'!N199</f>
        <v>0</v>
      </c>
      <c r="I26" s="119">
        <f>'2021'!Q199</f>
        <v>52</v>
      </c>
      <c r="J26" s="119">
        <f>'2021'!R199</f>
        <v>0</v>
      </c>
      <c r="K26" s="119">
        <f>'2021'!U199</f>
        <v>52</v>
      </c>
      <c r="L26" s="119">
        <f>'2021'!V199</f>
        <v>0</v>
      </c>
      <c r="M26" s="119">
        <f>'2021'!Y199</f>
        <v>53</v>
      </c>
      <c r="N26" s="119">
        <f>'2021'!Z199</f>
        <v>1</v>
      </c>
      <c r="O26" s="119">
        <f>'2021'!AC199</f>
        <v>56</v>
      </c>
      <c r="P26" s="119">
        <f>'2021'!AD199</f>
        <v>3</v>
      </c>
      <c r="Q26" s="119">
        <f>'2021'!AG199</f>
        <v>57</v>
      </c>
      <c r="R26" s="119">
        <f>'2021'!AH199</f>
        <v>1</v>
      </c>
      <c r="S26" s="119">
        <f>'2021'!AK199</f>
        <v>58</v>
      </c>
      <c r="T26" s="119">
        <f>'2021'!AL199</f>
        <v>1</v>
      </c>
      <c r="U26" s="119">
        <f>'2021'!AO199</f>
        <v>60</v>
      </c>
      <c r="V26" s="119">
        <f>'2021'!AP199</f>
        <v>2</v>
      </c>
      <c r="W26" s="119">
        <f>'2021'!AS199</f>
        <v>60</v>
      </c>
      <c r="X26" s="119">
        <f>'2021'!AT199</f>
        <v>0</v>
      </c>
      <c r="Y26" s="119">
        <f>'2021'!AW199</f>
        <v>60</v>
      </c>
      <c r="Z26" s="119">
        <f>'2021'!AX199</f>
        <v>0</v>
      </c>
      <c r="AA26" s="119">
        <f>'2021'!BA199</f>
        <v>60</v>
      </c>
      <c r="AB26" s="119">
        <f>'2021'!BB199</f>
        <v>0</v>
      </c>
      <c r="AC26" s="119">
        <f>'2021'!BE199</f>
        <v>8</v>
      </c>
    </row>
    <row r="27" ht="15.75" customHeight="1" spans="1:29" x14ac:dyDescent="0.25">
      <c r="A27" s="14"/>
      <c r="B27" s="115">
        <v>23</v>
      </c>
      <c r="C27" s="115">
        <v>3.98</v>
      </c>
      <c r="D27" s="117" t="s">
        <v>124</v>
      </c>
      <c r="E27" s="119">
        <f>'2021'!I208</f>
        <v>81</v>
      </c>
      <c r="F27" s="119">
        <f>'2021'!J208</f>
      </c>
      <c r="G27" s="119">
        <f>'2021'!M208</f>
        <v>81</v>
      </c>
      <c r="H27" s="119">
        <f>'2021'!N208</f>
        <v>0</v>
      </c>
      <c r="I27" s="119">
        <f>'2021'!Q208</f>
        <v>81</v>
      </c>
      <c r="J27" s="119">
        <f>'2021'!R208</f>
        <v>0</v>
      </c>
      <c r="K27" s="119">
        <f>'2021'!U208</f>
        <v>81</v>
      </c>
      <c r="L27" s="119">
        <f>'2021'!V208</f>
        <v>0</v>
      </c>
      <c r="M27" s="119">
        <f>'2021'!Y208</f>
        <v>90</v>
      </c>
      <c r="N27" s="119">
        <f>'2021'!Z208</f>
        <v>9</v>
      </c>
      <c r="O27" s="119">
        <f>'2021'!AC208</f>
        <v>90</v>
      </c>
      <c r="P27" s="119">
        <f>'2021'!AD208</f>
        <v>0</v>
      </c>
      <c r="Q27" s="119">
        <f>'2021'!AG208</f>
        <v>92</v>
      </c>
      <c r="R27" s="119">
        <f>'2021'!AH208</f>
        <v>2</v>
      </c>
      <c r="S27" s="119">
        <f>'2021'!AK208</f>
        <v>92</v>
      </c>
      <c r="T27" s="119">
        <f>'2021'!AL208</f>
        <v>0</v>
      </c>
      <c r="U27" s="119">
        <f>'2021'!AO208</f>
        <v>98</v>
      </c>
      <c r="V27" s="119">
        <f>'2021'!AP208</f>
        <v>6</v>
      </c>
      <c r="W27" s="119">
        <f>'2021'!AS208</f>
        <v>98</v>
      </c>
      <c r="X27" s="119">
        <f>'2021'!AT208</f>
        <v>0</v>
      </c>
      <c r="Y27" s="119">
        <f>'2021'!AW208</f>
        <v>98</v>
      </c>
      <c r="Z27" s="119">
        <f>'2021'!AX208</f>
        <v>0</v>
      </c>
      <c r="AA27" s="119">
        <f>'2021'!BA208</f>
        <v>98</v>
      </c>
      <c r="AB27" s="119">
        <f>'2021'!BB208</f>
        <v>0</v>
      </c>
      <c r="AC27" s="119">
        <f>'2021'!BE208</f>
        <v>17</v>
      </c>
    </row>
    <row r="28" ht="15.75" customHeight="1" spans="1:29" x14ac:dyDescent="0.25">
      <c r="A28" s="14"/>
      <c r="B28" s="115">
        <v>24</v>
      </c>
      <c r="C28" s="115">
        <v>4.01</v>
      </c>
      <c r="D28" s="117" t="s">
        <v>127</v>
      </c>
      <c r="E28" s="119">
        <f>'2021'!I217</f>
        <v>97</v>
      </c>
      <c r="F28" s="119">
        <f>'2021'!J217</f>
      </c>
      <c r="G28" s="119">
        <f>'2021'!M217</f>
        <v>97</v>
      </c>
      <c r="H28" s="119">
        <f>'2021'!N217</f>
        <v>0</v>
      </c>
      <c r="I28" s="119">
        <f>'2021'!Q217</f>
        <v>97</v>
      </c>
      <c r="J28" s="119">
        <f>'2021'!R217</f>
        <v>0</v>
      </c>
      <c r="K28" s="119">
        <f>'2021'!U217</f>
        <v>97</v>
      </c>
      <c r="L28" s="119">
        <f>'2021'!V217</f>
        <v>0</v>
      </c>
      <c r="M28" s="119">
        <f>'2021'!Y217</f>
        <v>98</v>
      </c>
      <c r="N28" s="119">
        <f>'2021'!Z217</f>
        <v>1</v>
      </c>
      <c r="O28" s="119">
        <f>'2021'!AC217</f>
        <v>103</v>
      </c>
      <c r="P28" s="119">
        <f>'2021'!AD217</f>
        <v>5</v>
      </c>
      <c r="Q28" s="119">
        <f>'2021'!AG217</f>
        <v>106</v>
      </c>
      <c r="R28" s="119">
        <f>'2021'!AH217</f>
        <v>3</v>
      </c>
      <c r="S28" s="119">
        <f>'2021'!AK217</f>
        <v>110</v>
      </c>
      <c r="T28" s="119">
        <f>'2021'!AL217</f>
        <v>4</v>
      </c>
      <c r="U28" s="119">
        <f>'2021'!AO217</f>
        <v>113</v>
      </c>
      <c r="V28" s="119">
        <f>'2021'!AP217</f>
        <v>3</v>
      </c>
      <c r="W28" s="119">
        <f>'2021'!AS217</f>
        <v>113</v>
      </c>
      <c r="X28" s="119">
        <f>'2021'!AT217</f>
        <v>0</v>
      </c>
      <c r="Y28" s="119">
        <f>'2021'!AW217</f>
        <v>113</v>
      </c>
      <c r="Z28" s="119">
        <f>'2021'!AX217</f>
        <v>0</v>
      </c>
      <c r="AA28" s="119">
        <f>'2021'!BA217</f>
        <v>113</v>
      </c>
      <c r="AB28" s="119">
        <f>'2021'!BB217</f>
        <v>0</v>
      </c>
      <c r="AC28" s="119">
        <f>'2021'!BE217</f>
        <v>16</v>
      </c>
    </row>
    <row r="29" ht="15.75" customHeight="1" spans="1:29" x14ac:dyDescent="0.25">
      <c r="A29" s="14"/>
      <c r="B29" s="115">
        <v>25</v>
      </c>
      <c r="C29" s="116">
        <v>4</v>
      </c>
      <c r="D29" s="117" t="s">
        <v>131</v>
      </c>
      <c r="E29" s="119">
        <f>'2021'!I226</f>
        <v>2</v>
      </c>
      <c r="F29" s="119">
        <f>'2021'!J226</f>
      </c>
      <c r="G29" s="119">
        <f>'2021'!M226</f>
        <v>2</v>
      </c>
      <c r="H29" s="119">
        <f>'2021'!N226</f>
        <v>0</v>
      </c>
      <c r="I29" s="119">
        <f>'2021'!Q226</f>
        <v>2</v>
      </c>
      <c r="J29" s="119">
        <f>'2021'!R226</f>
        <v>0</v>
      </c>
      <c r="K29" s="119">
        <f>'2021'!U226</f>
        <v>2</v>
      </c>
      <c r="L29" s="119">
        <f>'2021'!V226</f>
        <v>0</v>
      </c>
      <c r="M29" s="119">
        <f>'2021'!Y226</f>
        <v>2</v>
      </c>
      <c r="N29" s="119">
        <f>'2021'!Z226</f>
        <v>0</v>
      </c>
      <c r="O29" s="119">
        <f>'2021'!AC226</f>
        <v>2</v>
      </c>
      <c r="P29" s="119">
        <f>'2021'!AD226</f>
        <v>0</v>
      </c>
      <c r="Q29" s="119">
        <f>'2021'!AG226</f>
        <v>2</v>
      </c>
      <c r="R29" s="119">
        <f>'2021'!AH226</f>
        <v>0</v>
      </c>
      <c r="S29" s="119">
        <f>'2021'!AK226</f>
        <v>2</v>
      </c>
      <c r="T29" s="119">
        <f>'2021'!AL226</f>
        <v>0</v>
      </c>
      <c r="U29" s="119">
        <f>'2021'!AO226</f>
        <v>2</v>
      </c>
      <c r="V29" s="119">
        <f>'2021'!AP226</f>
        <v>0</v>
      </c>
      <c r="W29" s="119">
        <f>'2021'!AS226</f>
        <v>2</v>
      </c>
      <c r="X29" s="119">
        <f>'2021'!AT226</f>
        <v>0</v>
      </c>
      <c r="Y29" s="119">
        <f>'2021'!AW226</f>
        <v>2</v>
      </c>
      <c r="Z29" s="119">
        <f>'2021'!AX226</f>
        <v>0</v>
      </c>
      <c r="AA29" s="119">
        <f>'2021'!BA226</f>
        <v>2</v>
      </c>
      <c r="AB29" s="119">
        <f>'2021'!BB226</f>
        <v>0</v>
      </c>
      <c r="AC29" s="119">
        <f>'2021'!BE226</f>
        <v>0</v>
      </c>
    </row>
    <row r="30" ht="15.75" customHeight="1" spans="1:29" x14ac:dyDescent="0.25">
      <c r="A30" s="14"/>
      <c r="B30" s="115">
        <v>26</v>
      </c>
      <c r="C30" s="115">
        <v>3.98</v>
      </c>
      <c r="D30" s="117" t="s">
        <v>133</v>
      </c>
      <c r="E30" s="119">
        <f>'2021'!I235</f>
      </c>
      <c r="F30" s="119">
        <f>'2021'!J235</f>
      </c>
      <c r="G30" s="119">
        <f>'2021'!M235</f>
      </c>
      <c r="H30" s="119">
        <f>'2021'!N235</f>
        <v>0</v>
      </c>
      <c r="I30" s="119">
        <f>'2021'!Q235</f>
      </c>
      <c r="J30" s="119">
        <f>'2021'!R235</f>
        <v>0</v>
      </c>
      <c r="K30" s="119">
        <f>'2021'!U235</f>
      </c>
      <c r="L30" s="119">
        <f>'2021'!V235</f>
        <v>0</v>
      </c>
      <c r="M30" s="119">
        <f>'2021'!Y235</f>
      </c>
      <c r="N30" s="119">
        <f>'2021'!Z235</f>
        <v>0</v>
      </c>
      <c r="O30" s="119">
        <f>'2021'!AC235</f>
      </c>
      <c r="P30" s="119">
        <f>'2021'!AD235</f>
        <v>0</v>
      </c>
      <c r="Q30" s="119">
        <f>'2021'!AG235</f>
      </c>
      <c r="R30" s="119">
        <f>'2021'!AH235</f>
        <v>0</v>
      </c>
      <c r="S30" s="119">
        <f>'2021'!AK235</f>
      </c>
      <c r="T30" s="119">
        <f>'2021'!AL235</f>
        <v>0</v>
      </c>
      <c r="U30" s="119">
        <f>'2021'!AO235</f>
      </c>
      <c r="V30" s="119">
        <f>'2021'!AP235</f>
        <v>0</v>
      </c>
      <c r="W30" s="119">
        <f>'2021'!AS235</f>
      </c>
      <c r="X30" s="119">
        <f>'2021'!AT235</f>
        <v>0</v>
      </c>
      <c r="Y30" s="119">
        <f>'2021'!AW235</f>
      </c>
      <c r="Z30" s="119">
        <f>'2021'!AX235</f>
        <v>0</v>
      </c>
      <c r="AA30" s="119">
        <f>'2021'!BA235</f>
      </c>
      <c r="AB30" s="119">
        <f>'2021'!BB235</f>
        <v>0</v>
      </c>
      <c r="AC30" s="119">
        <f>'2021'!BE235</f>
        <v>0</v>
      </c>
    </row>
    <row r="31" ht="15.75" customHeight="1" spans="1:29" x14ac:dyDescent="0.25">
      <c r="A31" s="14"/>
      <c r="B31" s="115">
        <v>27</v>
      </c>
      <c r="C31" s="115">
        <v>4.04</v>
      </c>
      <c r="D31" s="117" t="s">
        <v>136</v>
      </c>
      <c r="E31" s="119">
        <f>'2021'!I244</f>
      </c>
      <c r="F31" s="119">
        <f>'2021'!J244</f>
      </c>
      <c r="G31" s="119">
        <f>'2021'!M244</f>
      </c>
      <c r="H31" s="119">
        <f>'2021'!N244</f>
        <v>0</v>
      </c>
      <c r="I31" s="119">
        <f>'2021'!Q244</f>
      </c>
      <c r="J31" s="119">
        <f>'2021'!R244</f>
        <v>0</v>
      </c>
      <c r="K31" s="119">
        <f>'2021'!U244</f>
      </c>
      <c r="L31" s="119">
        <f>'2021'!V244</f>
        <v>0</v>
      </c>
      <c r="M31" s="119">
        <f>'2021'!Y244</f>
      </c>
      <c r="N31" s="119">
        <f>'2021'!Z244</f>
        <v>0</v>
      </c>
      <c r="O31" s="119">
        <f>'2021'!AC244</f>
      </c>
      <c r="P31" s="119">
        <f>'2021'!AD244</f>
        <v>0</v>
      </c>
      <c r="Q31" s="119">
        <f>'2021'!AG244</f>
      </c>
      <c r="R31" s="119">
        <f>'2021'!AH244</f>
        <v>0</v>
      </c>
      <c r="S31" s="119">
        <f>'2021'!AK244</f>
      </c>
      <c r="T31" s="119">
        <f>'2021'!AL244</f>
        <v>0</v>
      </c>
      <c r="U31" s="119">
        <f>'2021'!AO244</f>
      </c>
      <c r="V31" s="119">
        <f>'2021'!AP244</f>
        <v>0</v>
      </c>
      <c r="W31" s="119">
        <f>'2021'!AS244</f>
      </c>
      <c r="X31" s="119">
        <f>'2021'!AT244</f>
        <v>0</v>
      </c>
      <c r="Y31" s="119">
        <f>'2021'!AW244</f>
      </c>
      <c r="Z31" s="119">
        <f>'2021'!AX244</f>
        <v>0</v>
      </c>
      <c r="AA31" s="119">
        <f>'2021'!BA244</f>
      </c>
      <c r="AB31" s="119">
        <f>'2021'!BB244</f>
        <v>0</v>
      </c>
      <c r="AC31" s="119">
        <f>'2021'!BE244</f>
        <v>0</v>
      </c>
    </row>
    <row r="32" ht="15.75" customHeight="1" spans="1:29" x14ac:dyDescent="0.25">
      <c r="A32" s="14"/>
      <c r="B32" s="115">
        <v>28</v>
      </c>
      <c r="C32" s="115">
        <v>3.96</v>
      </c>
      <c r="D32" s="117" t="s">
        <v>140</v>
      </c>
      <c r="E32" s="119">
        <f>'2021'!I253</f>
        <v>7</v>
      </c>
      <c r="F32" s="119">
        <f>'2021'!J253</f>
      </c>
      <c r="G32" s="119">
        <f>'2021'!M253</f>
        <v>7</v>
      </c>
      <c r="H32" s="119">
        <f>'2021'!N253</f>
        <v>0</v>
      </c>
      <c r="I32" s="119">
        <f>'2021'!Q253</f>
        <v>7</v>
      </c>
      <c r="J32" s="119">
        <f>'2021'!R253</f>
        <v>0</v>
      </c>
      <c r="K32" s="119">
        <f>'2021'!U253</f>
        <v>7</v>
      </c>
      <c r="L32" s="119">
        <f>'2021'!V253</f>
        <v>0</v>
      </c>
      <c r="M32" s="119">
        <f>'2021'!Y253</f>
        <v>7</v>
      </c>
      <c r="N32" s="119">
        <f>'2021'!Z253</f>
        <v>0</v>
      </c>
      <c r="O32" s="119">
        <f>'2021'!AC253</f>
        <v>7</v>
      </c>
      <c r="P32" s="119">
        <f>'2021'!AD253</f>
        <v>0</v>
      </c>
      <c r="Q32" s="119">
        <f>'2021'!AG253</f>
        <v>17</v>
      </c>
      <c r="R32" s="119">
        <f>'2021'!AH253</f>
        <v>10</v>
      </c>
      <c r="S32" s="119">
        <f>'2021'!AK253</f>
        <v>18</v>
      </c>
      <c r="T32" s="119">
        <f>'2021'!AL253</f>
        <v>1</v>
      </c>
      <c r="U32" s="119">
        <f>'2021'!AO253</f>
        <v>19</v>
      </c>
      <c r="V32" s="119">
        <f>'2021'!AP253</f>
        <v>1</v>
      </c>
      <c r="W32" s="119">
        <f>'2021'!AS253</f>
        <v>19</v>
      </c>
      <c r="X32" s="119">
        <f>'2021'!AT253</f>
        <v>0</v>
      </c>
      <c r="Y32" s="119">
        <f>'2021'!AW253</f>
        <v>19</v>
      </c>
      <c r="Z32" s="119">
        <f>'2021'!AX253</f>
        <v>0</v>
      </c>
      <c r="AA32" s="119">
        <f>'2021'!BA253</f>
        <v>19</v>
      </c>
      <c r="AB32" s="119">
        <f>'2021'!BB253</f>
        <v>0</v>
      </c>
      <c r="AC32" s="119">
        <f>'2021'!BE253</f>
        <v>12</v>
      </c>
    </row>
    <row r="33" ht="15.75" customHeight="1" spans="1:29" x14ac:dyDescent="0.25">
      <c r="A33" s="14"/>
      <c r="B33" s="115">
        <v>30</v>
      </c>
      <c r="C33" s="115">
        <v>4.05</v>
      </c>
      <c r="D33" s="117" t="s">
        <v>496</v>
      </c>
      <c r="E33" s="119">
        <f>'2021'!I262</f>
        <v>9</v>
      </c>
      <c r="F33" s="119">
        <f>'2021'!J262</f>
      </c>
      <c r="G33" s="119">
        <f>'2021'!M262</f>
        <v>9</v>
      </c>
      <c r="H33" s="119">
        <f>'2021'!N262</f>
        <v>0</v>
      </c>
      <c r="I33" s="119">
        <f>'2021'!Q262</f>
        <v>9</v>
      </c>
      <c r="J33" s="119">
        <f>'2021'!R262</f>
        <v>0</v>
      </c>
      <c r="K33" s="119">
        <f>'2021'!U262</f>
        <v>9</v>
      </c>
      <c r="L33" s="119">
        <f>'2021'!V262</f>
        <v>0</v>
      </c>
      <c r="M33" s="119">
        <f>'2021'!Y262</f>
        <v>11</v>
      </c>
      <c r="N33" s="119">
        <f>'2021'!Z262</f>
        <v>2</v>
      </c>
      <c r="O33" s="119">
        <f>'2021'!AC262</f>
        <v>21</v>
      </c>
      <c r="P33" s="119">
        <f>'2021'!AD262</f>
        <v>10</v>
      </c>
      <c r="Q33" s="119">
        <f>'2021'!AG262</f>
        <v>31</v>
      </c>
      <c r="R33" s="119">
        <f>'2021'!AH262</f>
        <v>10</v>
      </c>
      <c r="S33" s="119">
        <f>'2021'!AK262</f>
        <v>45</v>
      </c>
      <c r="T33" s="119">
        <f>'2021'!AL262</f>
        <v>14</v>
      </c>
      <c r="U33" s="119">
        <f>'2021'!AO262</f>
        <v>81</v>
      </c>
      <c r="V33" s="119">
        <f>'2021'!AP262</f>
        <v>36</v>
      </c>
      <c r="W33" s="119">
        <f>'2021'!AS262</f>
        <v>81</v>
      </c>
      <c r="X33" s="119">
        <f>'2021'!AT262</f>
        <v>0</v>
      </c>
      <c r="Y33" s="119">
        <f>'2021'!AW262</f>
        <v>81</v>
      </c>
      <c r="Z33" s="119">
        <f>'2021'!AX262</f>
        <v>0</v>
      </c>
      <c r="AA33" s="119">
        <f>'2021'!BA262</f>
        <v>81</v>
      </c>
      <c r="AB33" s="119">
        <f>'2021'!BB262</f>
        <v>0</v>
      </c>
      <c r="AC33" s="119">
        <f>'2021'!BE262</f>
        <v>72</v>
      </c>
    </row>
    <row r="34" ht="15.75" customHeight="1" spans="1:29" x14ac:dyDescent="0.25">
      <c r="A34" s="14"/>
      <c r="B34" s="115">
        <v>29</v>
      </c>
      <c r="C34" s="115">
        <v>4.02</v>
      </c>
      <c r="D34" s="117" t="s">
        <v>146</v>
      </c>
      <c r="E34" s="119">
        <f>'2021'!I271</f>
        <v>25</v>
      </c>
      <c r="F34" s="119">
        <f>'2021'!J271</f>
      </c>
      <c r="G34" s="119">
        <f>'2021'!M271</f>
        <v>25</v>
      </c>
      <c r="H34" s="119">
        <f>'2021'!N271</f>
        <v>0</v>
      </c>
      <c r="I34" s="119">
        <f>'2021'!Q271</f>
        <v>25</v>
      </c>
      <c r="J34" s="119">
        <f>'2021'!R271</f>
        <v>0</v>
      </c>
      <c r="K34" s="119">
        <f>'2021'!U271</f>
        <v>25</v>
      </c>
      <c r="L34" s="119">
        <f>'2021'!V271</f>
        <v>0</v>
      </c>
      <c r="M34" s="119">
        <f>'2021'!Y271</f>
        <v>25</v>
      </c>
      <c r="N34" s="119">
        <f>'2021'!Z271</f>
        <v>0</v>
      </c>
      <c r="O34" s="119">
        <f>'2021'!AC271</f>
        <v>25</v>
      </c>
      <c r="P34" s="119">
        <f>'2021'!AD271</f>
        <v>0</v>
      </c>
      <c r="Q34" s="119">
        <f>'2021'!AG271</f>
        <v>25</v>
      </c>
      <c r="R34" s="119">
        <f>'2021'!AH271</f>
        <v>0</v>
      </c>
      <c r="S34" s="119">
        <f>'2021'!AK271</f>
        <v>25</v>
      </c>
      <c r="T34" s="119">
        <f>'2021'!AL271</f>
        <v>0</v>
      </c>
      <c r="U34" s="119">
        <f>'2021'!AO271</f>
        <v>25</v>
      </c>
      <c r="V34" s="119">
        <f>'2021'!AP271</f>
        <v>0</v>
      </c>
      <c r="W34" s="119">
        <f>'2021'!AS271</f>
        <v>25</v>
      </c>
      <c r="X34" s="119">
        <f>'2021'!AT271</f>
        <v>0</v>
      </c>
      <c r="Y34" s="119">
        <f>'2021'!AW271</f>
        <v>25</v>
      </c>
      <c r="Z34" s="119">
        <f>'2021'!AX271</f>
        <v>0</v>
      </c>
      <c r="AA34" s="119">
        <f>'2021'!BA271</f>
        <v>25</v>
      </c>
      <c r="AB34" s="119">
        <f>'2021'!BB271</f>
        <v>0</v>
      </c>
      <c r="AC34" s="119">
        <f>'2021'!BE271</f>
        <v>0</v>
      </c>
    </row>
    <row r="35" ht="15.75" customHeight="1" spans="1:29" x14ac:dyDescent="0.25">
      <c r="A35" s="14"/>
      <c r="B35" s="115">
        <v>31</v>
      </c>
      <c r="C35" s="116">
        <v>4</v>
      </c>
      <c r="D35" s="117" t="s">
        <v>149</v>
      </c>
      <c r="E35" s="119">
        <f>'2021'!I280</f>
        <v>530</v>
      </c>
      <c r="F35" s="119">
        <f>'2021'!J280</f>
      </c>
      <c r="G35" s="119">
        <f>'2021'!M280</f>
        <v>530</v>
      </c>
      <c r="H35" s="119">
        <f>'2021'!N280</f>
        <v>0</v>
      </c>
      <c r="I35" s="119">
        <f>'2021'!Q280</f>
        <v>530</v>
      </c>
      <c r="J35" s="119">
        <f>'2021'!R280</f>
        <v>0</v>
      </c>
      <c r="K35" s="119">
        <f>'2021'!U280</f>
        <v>530</v>
      </c>
      <c r="L35" s="119">
        <f>'2021'!V280</f>
        <v>0</v>
      </c>
      <c r="M35" s="119">
        <f>'2021'!Y280</f>
        <v>530</v>
      </c>
      <c r="N35" s="119">
        <f>'2021'!Z280</f>
        <v>0</v>
      </c>
      <c r="O35" s="119">
        <f>'2021'!AC280</f>
        <v>530</v>
      </c>
      <c r="P35" s="119">
        <f>'2021'!AD280</f>
        <v>0</v>
      </c>
      <c r="Q35" s="119">
        <f>'2021'!AG280</f>
        <v>530</v>
      </c>
      <c r="R35" s="119">
        <f>'2021'!AH280</f>
        <v>0</v>
      </c>
      <c r="S35" s="119">
        <f>'2021'!AK280</f>
        <v>538</v>
      </c>
      <c r="T35" s="119">
        <f>'2021'!AL280</f>
        <v>8</v>
      </c>
      <c r="U35" s="119">
        <f>'2021'!AO280</f>
        <v>538</v>
      </c>
      <c r="V35" s="119">
        <f>'2021'!AP280</f>
        <v>0</v>
      </c>
      <c r="W35" s="119">
        <f>'2021'!AS280</f>
        <v>538</v>
      </c>
      <c r="X35" s="119">
        <f>'2021'!AT280</f>
        <v>0</v>
      </c>
      <c r="Y35" s="119">
        <f>'2021'!AW280</f>
        <v>538</v>
      </c>
      <c r="Z35" s="119">
        <f>'2021'!AX280</f>
        <v>0</v>
      </c>
      <c r="AA35" s="119">
        <f>'2021'!BA280</f>
        <v>538</v>
      </c>
      <c r="AB35" s="119">
        <f>'2021'!BB280</f>
        <v>0</v>
      </c>
      <c r="AC35" s="119">
        <f>'2021'!BE280</f>
        <v>8</v>
      </c>
    </row>
    <row r="36" ht="15.75" customHeight="1" spans="1:29" x14ac:dyDescent="0.25">
      <c r="A36" s="14"/>
      <c r="B36" s="115">
        <v>32</v>
      </c>
      <c r="C36" s="115">
        <v>3.96</v>
      </c>
      <c r="D36" s="117" t="s">
        <v>152</v>
      </c>
      <c r="E36" s="119">
        <f>'2021'!I289</f>
      </c>
      <c r="F36" s="119">
        <f>'2021'!J289</f>
      </c>
      <c r="G36" s="119">
        <f>'2021'!M289</f>
      </c>
      <c r="H36" s="119">
        <f>'2021'!N289</f>
        <v>0</v>
      </c>
      <c r="I36" s="119">
        <f>'2021'!Q289</f>
      </c>
      <c r="J36" s="119">
        <f>'2021'!R289</f>
        <v>0</v>
      </c>
      <c r="K36" s="119">
        <f>'2021'!U289</f>
      </c>
      <c r="L36" s="119">
        <f>'2021'!V289</f>
        <v>0</v>
      </c>
      <c r="M36" s="119">
        <f>'2021'!Y289</f>
      </c>
      <c r="N36" s="119">
        <f>'2021'!Z289</f>
        <v>0</v>
      </c>
      <c r="O36" s="119">
        <f>'2021'!AC289</f>
      </c>
      <c r="P36" s="119">
        <f>'2021'!AD289</f>
        <v>0</v>
      </c>
      <c r="Q36" s="119">
        <f>'2021'!AG289</f>
      </c>
      <c r="R36" s="119">
        <f>'2021'!AH289</f>
        <v>0</v>
      </c>
      <c r="S36" s="119">
        <f>'2021'!AK289</f>
      </c>
      <c r="T36" s="119">
        <f>'2021'!AL289</f>
        <v>0</v>
      </c>
      <c r="U36" s="119">
        <f>'2021'!AO289</f>
      </c>
      <c r="V36" s="119">
        <f>'2021'!AP289</f>
        <v>0</v>
      </c>
      <c r="W36" s="119">
        <f>'2021'!AS289</f>
      </c>
      <c r="X36" s="119">
        <f>'2021'!AT289</f>
        <v>0</v>
      </c>
      <c r="Y36" s="119">
        <f>'2021'!AW289</f>
      </c>
      <c r="Z36" s="119">
        <f>'2021'!AX289</f>
        <v>0</v>
      </c>
      <c r="AA36" s="119">
        <f>'2021'!BA289</f>
      </c>
      <c r="AB36" s="119">
        <f>'2021'!BB289</f>
        <v>0</v>
      </c>
      <c r="AC36" s="119">
        <f>'2021'!BE289</f>
        <v>0</v>
      </c>
    </row>
    <row r="37" ht="15.75" customHeight="1" spans="1:29" x14ac:dyDescent="0.25">
      <c r="A37" s="14"/>
      <c r="B37" s="115">
        <v>33</v>
      </c>
      <c r="C37" s="115">
        <v>4.01</v>
      </c>
      <c r="D37" s="117" t="s">
        <v>154</v>
      </c>
      <c r="E37" s="119">
        <f>'2021'!I298</f>
        <v>22</v>
      </c>
      <c r="F37" s="119">
        <f>'2021'!J298</f>
      </c>
      <c r="G37" s="119">
        <f>'2021'!M298</f>
        <v>22</v>
      </c>
      <c r="H37" s="119">
        <f>'2021'!N298</f>
        <v>0</v>
      </c>
      <c r="I37" s="119">
        <f>'2021'!Q298</f>
        <v>22</v>
      </c>
      <c r="J37" s="119">
        <f>'2021'!R298</f>
        <v>0</v>
      </c>
      <c r="K37" s="119">
        <f>'2021'!U298</f>
        <v>22</v>
      </c>
      <c r="L37" s="119">
        <f>'2021'!V298</f>
        <v>0</v>
      </c>
      <c r="M37" s="119">
        <f>'2021'!Y298</f>
        <v>22</v>
      </c>
      <c r="N37" s="119">
        <f>'2021'!Z298</f>
        <v>0</v>
      </c>
      <c r="O37" s="119">
        <f>'2021'!AC298</f>
        <v>22</v>
      </c>
      <c r="P37" s="119">
        <f>'2021'!AD298</f>
        <v>0</v>
      </c>
      <c r="Q37" s="119">
        <f>'2021'!AG298</f>
        <v>22</v>
      </c>
      <c r="R37" s="119">
        <f>'2021'!AH298</f>
        <v>0</v>
      </c>
      <c r="S37" s="119">
        <f>'2021'!AK298</f>
        <v>22</v>
      </c>
      <c r="T37" s="119">
        <f>'2021'!AL298</f>
        <v>0</v>
      </c>
      <c r="U37" s="119">
        <f>'2021'!AO298</f>
        <v>22</v>
      </c>
      <c r="V37" s="119">
        <f>'2021'!AP298</f>
        <v>0</v>
      </c>
      <c r="W37" s="119">
        <f>'2021'!AS298</f>
        <v>22</v>
      </c>
      <c r="X37" s="119">
        <f>'2021'!AT298</f>
        <v>0</v>
      </c>
      <c r="Y37" s="119">
        <f>'2021'!AW298</f>
        <v>22</v>
      </c>
      <c r="Z37" s="119">
        <f>'2021'!AX298</f>
        <v>0</v>
      </c>
      <c r="AA37" s="119">
        <f>'2021'!BA298</f>
        <v>22</v>
      </c>
      <c r="AB37" s="119">
        <f>'2021'!BB298</f>
        <v>0</v>
      </c>
      <c r="AC37" s="119">
        <f>'2021'!BE298</f>
        <v>0</v>
      </c>
    </row>
    <row r="38" ht="15.75" customHeight="1" spans="1:29" x14ac:dyDescent="0.25">
      <c r="A38" s="14"/>
      <c r="B38" s="115">
        <v>34</v>
      </c>
      <c r="C38" s="115">
        <v>4.01</v>
      </c>
      <c r="D38" s="117" t="s">
        <v>155</v>
      </c>
      <c r="E38" s="119">
        <f>'2021'!I307</f>
        <v>67</v>
      </c>
      <c r="F38" s="119">
        <f>'2021'!J307</f>
      </c>
      <c r="G38" s="119">
        <f>'2021'!M307</f>
        <v>67</v>
      </c>
      <c r="H38" s="119">
        <f>'2021'!N307</f>
        <v>0</v>
      </c>
      <c r="I38" s="119">
        <f>'2021'!Q307</f>
        <v>67</v>
      </c>
      <c r="J38" s="119">
        <f>'2021'!R307</f>
        <v>0</v>
      </c>
      <c r="K38" s="119">
        <f>'2021'!U307</f>
        <v>67</v>
      </c>
      <c r="L38" s="119">
        <f>'2021'!V307</f>
        <v>0</v>
      </c>
      <c r="M38" s="119">
        <f>'2021'!Y307</f>
        <v>67</v>
      </c>
      <c r="N38" s="119">
        <f>'2021'!Z307</f>
        <v>0</v>
      </c>
      <c r="O38" s="119">
        <f>'2021'!AC307</f>
        <v>67</v>
      </c>
      <c r="P38" s="119">
        <f>'2021'!AD307</f>
        <v>0</v>
      </c>
      <c r="Q38" s="119">
        <f>'2021'!AG307</f>
        <v>67</v>
      </c>
      <c r="R38" s="119">
        <f>'2021'!AH307</f>
        <v>0</v>
      </c>
      <c r="S38" s="119">
        <f>'2021'!AK307</f>
        <v>67</v>
      </c>
      <c r="T38" s="119">
        <f>'2021'!AL307</f>
        <v>0</v>
      </c>
      <c r="U38" s="119">
        <f>'2021'!AO307</f>
        <v>67</v>
      </c>
      <c r="V38" s="119">
        <f>'2021'!AP307</f>
        <v>0</v>
      </c>
      <c r="W38" s="119">
        <f>'2021'!AS307</f>
        <v>67</v>
      </c>
      <c r="X38" s="119">
        <f>'2021'!AT307</f>
        <v>0</v>
      </c>
      <c r="Y38" s="119">
        <f>'2021'!AW307</f>
        <v>67</v>
      </c>
      <c r="Z38" s="119">
        <f>'2021'!AX307</f>
        <v>0</v>
      </c>
      <c r="AA38" s="119">
        <f>'2021'!BA307</f>
        <v>67</v>
      </c>
      <c r="AB38" s="119">
        <f>'2021'!BB307</f>
        <v>0</v>
      </c>
      <c r="AC38" s="119">
        <f>'2021'!BE307</f>
        <v>0</v>
      </c>
    </row>
    <row r="39" ht="15.75" customHeight="1" spans="1:29" x14ac:dyDescent="0.25">
      <c r="A39" s="14"/>
      <c r="B39" s="115">
        <v>35</v>
      </c>
      <c r="C39" s="115">
        <v>4.01</v>
      </c>
      <c r="D39" s="117" t="s">
        <v>157</v>
      </c>
      <c r="E39" s="119">
        <f>'2021'!I316</f>
        <v>155</v>
      </c>
      <c r="F39" s="119">
        <f>'2021'!J316</f>
      </c>
      <c r="G39" s="119">
        <f>'2021'!M316</f>
        <v>155</v>
      </c>
      <c r="H39" s="119">
        <f>'2021'!N316</f>
        <v>0</v>
      </c>
      <c r="I39" s="119">
        <f>'2021'!Q316</f>
        <v>155</v>
      </c>
      <c r="J39" s="119">
        <f>'2021'!R316</f>
        <v>0</v>
      </c>
      <c r="K39" s="119">
        <f>'2021'!U316</f>
        <v>155</v>
      </c>
      <c r="L39" s="119">
        <f>'2021'!V316</f>
        <v>0</v>
      </c>
      <c r="M39" s="119">
        <f>'2021'!Y316</f>
        <v>166</v>
      </c>
      <c r="N39" s="119">
        <f>'2021'!Z316</f>
        <v>11</v>
      </c>
      <c r="O39" s="119">
        <f>'2021'!AC316</f>
        <v>166</v>
      </c>
      <c r="P39" s="119">
        <f>'2021'!AD316</f>
        <v>0</v>
      </c>
      <c r="Q39" s="119">
        <f>'2021'!AG316</f>
        <v>174</v>
      </c>
      <c r="R39" s="119">
        <f>'2021'!AH316</f>
        <v>8</v>
      </c>
      <c r="S39" s="119">
        <f>'2021'!AK316</f>
        <v>177</v>
      </c>
      <c r="T39" s="119">
        <f>'2021'!AL316</f>
        <v>3</v>
      </c>
      <c r="U39" s="119">
        <f>'2021'!AO316</f>
        <v>177</v>
      </c>
      <c r="V39" s="119">
        <f>'2021'!AP316</f>
        <v>0</v>
      </c>
      <c r="W39" s="119">
        <f>'2021'!AS316</f>
        <v>177</v>
      </c>
      <c r="X39" s="119">
        <f>'2021'!AT316</f>
        <v>0</v>
      </c>
      <c r="Y39" s="119">
        <f>'2021'!AW316</f>
        <v>177</v>
      </c>
      <c r="Z39" s="119">
        <f>'2021'!AX316</f>
        <v>0</v>
      </c>
      <c r="AA39" s="119">
        <f>'2021'!BA316</f>
        <v>177</v>
      </c>
      <c r="AB39" s="119">
        <f>'2021'!BB316</f>
        <v>0</v>
      </c>
      <c r="AC39" s="119">
        <f>'2021'!BE316</f>
        <v>22</v>
      </c>
    </row>
    <row r="40" ht="15.75" customHeight="1" spans="1:29" x14ac:dyDescent="0.25">
      <c r="A40" s="14"/>
      <c r="B40" s="115">
        <v>36</v>
      </c>
      <c r="C40" s="115">
        <v>4.03</v>
      </c>
      <c r="D40" s="117" t="s">
        <v>160</v>
      </c>
      <c r="E40" s="119">
        <f>'2021'!I325</f>
        <v>93</v>
      </c>
      <c r="F40" s="119">
        <f>'2021'!J325</f>
      </c>
      <c r="G40" s="119">
        <f>'2021'!M325</f>
        <v>93</v>
      </c>
      <c r="H40" s="119">
        <f>'2021'!N325</f>
        <v>0</v>
      </c>
      <c r="I40" s="119">
        <f>'2021'!Q325</f>
        <v>93</v>
      </c>
      <c r="J40" s="119">
        <f>'2021'!R325</f>
        <v>0</v>
      </c>
      <c r="K40" s="119">
        <f>'2021'!U325</f>
        <v>93</v>
      </c>
      <c r="L40" s="119">
        <f>'2021'!V325</f>
        <v>0</v>
      </c>
      <c r="M40" s="119">
        <f>'2021'!Y325</f>
        <v>0</v>
      </c>
      <c r="N40" s="119">
        <f>'2021'!Z325</f>
      </c>
      <c r="O40" s="119">
        <f>'2021'!AC325</f>
        <v>17</v>
      </c>
      <c r="P40" s="119">
        <f>'2021'!AD325</f>
        <v>17</v>
      </c>
      <c r="Q40" s="119">
        <f>'2021'!AG325</f>
        <v>30</v>
      </c>
      <c r="R40" s="119">
        <f>'2021'!AH325</f>
        <v>13</v>
      </c>
      <c r="S40" s="119">
        <f>'2021'!AK325</f>
        <v>30</v>
      </c>
      <c r="T40" s="119">
        <f>'2021'!AL325</f>
        <v>0</v>
      </c>
      <c r="U40" s="119">
        <f>'2021'!AO325</f>
        <v>30</v>
      </c>
      <c r="V40" s="119">
        <f>'2021'!AP325</f>
        <v>0</v>
      </c>
      <c r="W40" s="119">
        <f>'2021'!AS325</f>
        <v>30</v>
      </c>
      <c r="X40" s="119">
        <f>'2021'!AT325</f>
        <v>0</v>
      </c>
      <c r="Y40" s="119">
        <f>'2021'!AW325</f>
        <v>30</v>
      </c>
      <c r="Z40" s="119">
        <f>'2021'!AX325</f>
        <v>0</v>
      </c>
      <c r="AA40" s="119">
        <f>'2021'!BA325</f>
        <v>30</v>
      </c>
      <c r="AB40" s="119">
        <f>'2021'!BB325</f>
        <v>0</v>
      </c>
      <c r="AC40" s="119">
        <f>'2021'!BE325</f>
        <v>30</v>
      </c>
    </row>
    <row r="41" ht="15.75" customHeight="1" spans="1:29" x14ac:dyDescent="0.25">
      <c r="A41" s="14"/>
      <c r="B41" s="115">
        <v>37</v>
      </c>
      <c r="C41" s="115">
        <v>4.06</v>
      </c>
      <c r="D41" s="117" t="s">
        <v>162</v>
      </c>
      <c r="E41" s="119">
        <f>'2021'!I334</f>
        <v>11</v>
      </c>
      <c r="F41" s="119">
        <f>'2021'!J334</f>
      </c>
      <c r="G41" s="119">
        <f>'2021'!M334</f>
        <v>11</v>
      </c>
      <c r="H41" s="119">
        <f>'2021'!N334</f>
        <v>0</v>
      </c>
      <c r="I41" s="119">
        <f>'2021'!Q334</f>
        <v>11</v>
      </c>
      <c r="J41" s="119">
        <f>'2021'!R334</f>
        <v>0</v>
      </c>
      <c r="K41" s="119">
        <f>'2021'!U334</f>
        <v>11</v>
      </c>
      <c r="L41" s="119">
        <f>'2021'!V334</f>
        <v>0</v>
      </c>
      <c r="M41" s="119">
        <f>'2021'!Y334</f>
        <v>13</v>
      </c>
      <c r="N41" s="119">
        <f>'2021'!Z334</f>
        <v>2</v>
      </c>
      <c r="O41" s="119">
        <f>'2021'!AC334</f>
        <v>13</v>
      </c>
      <c r="P41" s="119">
        <f>'2021'!AD334</f>
        <v>0</v>
      </c>
      <c r="Q41" s="119">
        <f>'2021'!AG334</f>
        <v>13</v>
      </c>
      <c r="R41" s="119">
        <f>'2021'!AH334</f>
        <v>0</v>
      </c>
      <c r="S41" s="119">
        <f>'2021'!AK334</f>
        <v>18</v>
      </c>
      <c r="T41" s="119">
        <f>'2021'!AL334</f>
        <v>5</v>
      </c>
      <c r="U41" s="119">
        <f>'2021'!AO334</f>
        <v>18</v>
      </c>
      <c r="V41" s="119">
        <f>'2021'!AP334</f>
        <v>0</v>
      </c>
      <c r="W41" s="119">
        <f>'2021'!AS334</f>
        <v>18</v>
      </c>
      <c r="X41" s="119">
        <f>'2021'!AT334</f>
        <v>0</v>
      </c>
      <c r="Y41" s="119">
        <f>'2021'!AW334</f>
        <v>18</v>
      </c>
      <c r="Z41" s="119">
        <f>'2021'!AX334</f>
        <v>0</v>
      </c>
      <c r="AA41" s="119">
        <f>'2021'!BA334</f>
        <v>18</v>
      </c>
      <c r="AB41" s="119">
        <f>'2021'!BB334</f>
        <v>0</v>
      </c>
      <c r="AC41" s="119">
        <f>'2021'!BE334</f>
        <v>7</v>
      </c>
    </row>
    <row r="42" ht="15.75" customHeight="1" spans="1:29" x14ac:dyDescent="0.25">
      <c r="A42" s="14"/>
      <c r="B42" s="115">
        <v>38</v>
      </c>
      <c r="C42" s="115">
        <v>4.34</v>
      </c>
      <c r="D42" s="117" t="s">
        <v>167</v>
      </c>
      <c r="E42" s="119">
        <f>'2021'!I343</f>
        <v>129</v>
      </c>
      <c r="F42" s="119">
        <f>'2021'!J343</f>
      </c>
      <c r="G42" s="119">
        <f>'2021'!M343</f>
        <v>129</v>
      </c>
      <c r="H42" s="119">
        <f>'2021'!N343</f>
        <v>0</v>
      </c>
      <c r="I42" s="119">
        <f>'2021'!Q343</f>
        <v>129</v>
      </c>
      <c r="J42" s="119">
        <f>'2021'!R343</f>
        <v>0</v>
      </c>
      <c r="K42" s="119">
        <f>'2021'!U343</f>
        <v>129</v>
      </c>
      <c r="L42" s="119">
        <f>'2021'!V343</f>
        <v>0</v>
      </c>
      <c r="M42" s="119">
        <f>'2021'!Y343</f>
        <v>129</v>
      </c>
      <c r="N42" s="119">
        <f>'2021'!Z343</f>
        <v>0</v>
      </c>
      <c r="O42" s="119">
        <f>'2021'!AC343</f>
        <v>129</v>
      </c>
      <c r="P42" s="119">
        <f>'2021'!AD343</f>
        <v>0</v>
      </c>
      <c r="Q42" s="119">
        <f>'2021'!AG343</f>
        <v>129</v>
      </c>
      <c r="R42" s="119">
        <f>'2021'!AH343</f>
        <v>0</v>
      </c>
      <c r="S42" s="119">
        <f>'2021'!AK343</f>
        <v>129</v>
      </c>
      <c r="T42" s="119">
        <f>'2021'!AL343</f>
        <v>0</v>
      </c>
      <c r="U42" s="119">
        <f>'2021'!AO343</f>
        <v>129</v>
      </c>
      <c r="V42" s="119">
        <f>'2021'!AP343</f>
        <v>0</v>
      </c>
      <c r="W42" s="119">
        <f>'2021'!AS343</f>
        <v>129</v>
      </c>
      <c r="X42" s="119">
        <f>'2021'!AT343</f>
        <v>0</v>
      </c>
      <c r="Y42" s="119">
        <f>'2021'!AW343</f>
        <v>129</v>
      </c>
      <c r="Z42" s="119">
        <f>'2021'!AX343</f>
        <v>0</v>
      </c>
      <c r="AA42" s="119">
        <f>'2021'!BA343</f>
        <v>129</v>
      </c>
      <c r="AB42" s="119">
        <f>'2021'!BB343</f>
        <v>0</v>
      </c>
      <c r="AC42" s="119">
        <f>'2021'!BE343</f>
        <v>0</v>
      </c>
    </row>
    <row r="43" ht="15.75" customHeight="1" spans="1:29" x14ac:dyDescent="0.25">
      <c r="A43" s="21"/>
      <c r="B43" s="115">
        <v>39</v>
      </c>
      <c r="C43" s="116">
        <v>4</v>
      </c>
      <c r="D43" s="117" t="s">
        <v>169</v>
      </c>
      <c r="E43" s="119">
        <f>'2021'!I352</f>
        <v>65</v>
      </c>
      <c r="F43" s="119">
        <f>'2021'!J352</f>
      </c>
      <c r="G43" s="119">
        <f>'2021'!M352</f>
        <v>65</v>
      </c>
      <c r="H43" s="119">
        <f>'2021'!N352</f>
        <v>0</v>
      </c>
      <c r="I43" s="119">
        <f>'2021'!Q352</f>
        <v>65</v>
      </c>
      <c r="J43" s="119">
        <f>'2021'!R352</f>
        <v>0</v>
      </c>
      <c r="K43" s="119">
        <f>'2021'!U352</f>
        <v>65</v>
      </c>
      <c r="L43" s="119">
        <f>'2021'!V352</f>
        <v>0</v>
      </c>
      <c r="M43" s="119">
        <f>'2021'!Y352</f>
        <v>67</v>
      </c>
      <c r="N43" s="119">
        <f>'2021'!Z352</f>
        <v>2</v>
      </c>
      <c r="O43" s="119">
        <f>'2021'!AC352</f>
        <v>74</v>
      </c>
      <c r="P43" s="119">
        <f>'2021'!AD352</f>
        <v>7</v>
      </c>
      <c r="Q43" s="119">
        <f>'2021'!AG352</f>
        <v>84</v>
      </c>
      <c r="R43" s="119">
        <f>'2021'!AH352</f>
        <v>10</v>
      </c>
      <c r="S43" s="119">
        <f>'2021'!AK352</f>
        <v>93</v>
      </c>
      <c r="T43" s="119">
        <f>'2021'!AL352</f>
        <v>9</v>
      </c>
      <c r="U43" s="119">
        <f>'2021'!AO352</f>
        <v>97</v>
      </c>
      <c r="V43" s="119">
        <f>'2021'!AP352</f>
        <v>4</v>
      </c>
      <c r="W43" s="119">
        <f>'2021'!AS352</f>
        <v>97</v>
      </c>
      <c r="X43" s="119">
        <f>'2021'!AT352</f>
        <v>0</v>
      </c>
      <c r="Y43" s="119">
        <f>'2021'!AW352</f>
        <v>97</v>
      </c>
      <c r="Z43" s="119">
        <f>'2021'!AX352</f>
        <v>0</v>
      </c>
      <c r="AA43" s="119">
        <f>'2021'!BA352</f>
        <v>97</v>
      </c>
      <c r="AB43" s="119">
        <f>'2021'!BB352</f>
        <v>0</v>
      </c>
      <c r="AC43" s="119">
        <f>'2021'!BE352</f>
        <v>32</v>
      </c>
    </row>
    <row r="44" ht="15.75" customHeight="1" spans="1:29" x14ac:dyDescent="0.25">
      <c r="A44" s="114" t="s">
        <v>173</v>
      </c>
      <c r="B44" s="115">
        <v>40</v>
      </c>
      <c r="C44" s="115">
        <v>4.92</v>
      </c>
      <c r="D44" s="117" t="s">
        <v>174</v>
      </c>
      <c r="E44" s="119">
        <f>'2021'!I361</f>
        <v>143</v>
      </c>
      <c r="F44" s="119">
        <f>'2021'!J361</f>
      </c>
      <c r="G44" s="119">
        <f>'2021'!M361</f>
        <v>143</v>
      </c>
      <c r="H44" s="119">
        <f>'2021'!N361</f>
        <v>0</v>
      </c>
      <c r="I44" s="119">
        <f>'2021'!Q361</f>
        <v>143</v>
      </c>
      <c r="J44" s="119">
        <f>'2021'!R361</f>
        <v>0</v>
      </c>
      <c r="K44" s="119">
        <f>'2021'!U361</f>
        <v>143</v>
      </c>
      <c r="L44" s="119">
        <f>'2021'!V361</f>
        <v>0</v>
      </c>
      <c r="M44" s="119">
        <f>'2021'!Y361</f>
        <v>144</v>
      </c>
      <c r="N44" s="119">
        <f>'2021'!Z361</f>
        <v>1</v>
      </c>
      <c r="O44" s="119">
        <f>'2021'!AC361</f>
        <v>149</v>
      </c>
      <c r="P44" s="119">
        <f>'2021'!AD361</f>
        <v>5</v>
      </c>
      <c r="Q44" s="119">
        <f>'2021'!AG361</f>
        <v>160</v>
      </c>
      <c r="R44" s="119">
        <f>'2021'!AH361</f>
        <v>11</v>
      </c>
      <c r="S44" s="119">
        <f>'2021'!AK361</f>
        <v>165</v>
      </c>
      <c r="T44" s="119">
        <f>'2021'!AL361</f>
        <v>5</v>
      </c>
      <c r="U44" s="119">
        <f>'2021'!AO361</f>
        <v>166</v>
      </c>
      <c r="V44" s="119">
        <f>'2021'!AP361</f>
        <v>1</v>
      </c>
      <c r="W44" s="119">
        <f>'2021'!AS361</f>
        <v>166</v>
      </c>
      <c r="X44" s="119">
        <f>'2021'!AT361</f>
        <v>0</v>
      </c>
      <c r="Y44" s="119">
        <f>'2021'!AW361</f>
        <v>166</v>
      </c>
      <c r="Z44" s="119">
        <f>'2021'!AX361</f>
        <v>0</v>
      </c>
      <c r="AA44" s="119">
        <f>'2021'!BA361</f>
        <v>166</v>
      </c>
      <c r="AB44" s="119">
        <f>'2021'!BB361</f>
        <v>0</v>
      </c>
      <c r="AC44" s="119">
        <f>'2021'!BE361</f>
        <v>23</v>
      </c>
    </row>
    <row r="45" ht="15.75" customHeight="1" spans="1:29" x14ac:dyDescent="0.25">
      <c r="A45" s="14"/>
      <c r="B45" s="115">
        <v>41</v>
      </c>
      <c r="C45" s="115">
        <v>4.87</v>
      </c>
      <c r="D45" s="117" t="s">
        <v>177</v>
      </c>
      <c r="E45" s="119">
        <f>'2021'!I370</f>
        <v>38</v>
      </c>
      <c r="F45" s="119">
        <f>'2021'!J370</f>
      </c>
      <c r="G45" s="119">
        <f>'2021'!M370</f>
        <v>38</v>
      </c>
      <c r="H45" s="119">
        <f>'2021'!N370</f>
        <v>0</v>
      </c>
      <c r="I45" s="119">
        <f>'2021'!Q370</f>
        <v>38</v>
      </c>
      <c r="J45" s="119">
        <f>'2021'!R370</f>
        <v>0</v>
      </c>
      <c r="K45" s="119">
        <f>'2021'!U370</f>
        <v>38</v>
      </c>
      <c r="L45" s="119">
        <f>'2021'!V370</f>
        <v>0</v>
      </c>
      <c r="M45" s="119">
        <f>'2021'!Y370</f>
        <v>38</v>
      </c>
      <c r="N45" s="119">
        <f>'2021'!Z370</f>
        <v>0</v>
      </c>
      <c r="O45" s="119">
        <f>'2021'!AC370</f>
        <v>38</v>
      </c>
      <c r="P45" s="119">
        <f>'2021'!AD370</f>
        <v>0</v>
      </c>
      <c r="Q45" s="119">
        <f>'2021'!AG370</f>
        <v>38</v>
      </c>
      <c r="R45" s="119">
        <f>'2021'!AH370</f>
        <v>0</v>
      </c>
      <c r="S45" s="119">
        <f>'2021'!AK370</f>
        <v>38</v>
      </c>
      <c r="T45" s="119">
        <f>'2021'!AL370</f>
        <v>0</v>
      </c>
      <c r="U45" s="119">
        <f>'2021'!AO370</f>
        <v>38</v>
      </c>
      <c r="V45" s="119">
        <f>'2021'!AP370</f>
        <v>0</v>
      </c>
      <c r="W45" s="119">
        <f>'2021'!AS370</f>
        <v>38</v>
      </c>
      <c r="X45" s="119">
        <f>'2021'!AT370</f>
        <v>0</v>
      </c>
      <c r="Y45" s="119">
        <f>'2021'!AW370</f>
        <v>38</v>
      </c>
      <c r="Z45" s="119">
        <f>'2021'!AX370</f>
        <v>0</v>
      </c>
      <c r="AA45" s="119">
        <f>'2021'!BA370</f>
        <v>38</v>
      </c>
      <c r="AB45" s="119">
        <f>'2021'!BB370</f>
        <v>0</v>
      </c>
      <c r="AC45" s="119">
        <f>'2021'!BE370</f>
        <v>0</v>
      </c>
    </row>
    <row r="46" ht="15.75" customHeight="1" spans="1:29" x14ac:dyDescent="0.25">
      <c r="A46" s="14"/>
      <c r="B46" s="115">
        <v>42</v>
      </c>
      <c r="C46" s="116">
        <v>4.9</v>
      </c>
      <c r="D46" s="2" t="s">
        <v>181</v>
      </c>
      <c r="E46" s="119">
        <f>'2021'!I379</f>
        <v>10</v>
      </c>
      <c r="F46" s="119">
        <f>'2021'!J379</f>
      </c>
      <c r="G46" s="119">
        <f>'2021'!M379</f>
        <v>10</v>
      </c>
      <c r="H46" s="119">
        <f>'2021'!N379</f>
        <v>0</v>
      </c>
      <c r="I46" s="119">
        <f>'2021'!Q379</f>
        <v>10</v>
      </c>
      <c r="J46" s="119">
        <f>'2021'!R379</f>
        <v>0</v>
      </c>
      <c r="K46" s="119">
        <f>'2021'!U379</f>
        <v>10</v>
      </c>
      <c r="L46" s="119">
        <f>'2021'!V379</f>
        <v>0</v>
      </c>
      <c r="M46" s="119">
        <f>'2021'!Y379</f>
        <v>11</v>
      </c>
      <c r="N46" s="119">
        <f>'2021'!Z379</f>
        <v>1</v>
      </c>
      <c r="O46" s="119">
        <f>'2021'!AC379</f>
        <v>15</v>
      </c>
      <c r="P46" s="119">
        <f>'2021'!AD379</f>
        <v>4</v>
      </c>
      <c r="Q46" s="119">
        <f>'2021'!AG379</f>
        <v>21</v>
      </c>
      <c r="R46" s="119">
        <f>'2021'!AH379</f>
        <v>6</v>
      </c>
      <c r="S46" s="119">
        <f>'2021'!AK379</f>
        <v>25</v>
      </c>
      <c r="T46" s="119">
        <f>'2021'!AL379</f>
        <v>4</v>
      </c>
      <c r="U46" s="119">
        <f>'2021'!AO379</f>
        <v>25</v>
      </c>
      <c r="V46" s="119">
        <f>'2021'!AP379</f>
        <v>0</v>
      </c>
      <c r="W46" s="119">
        <f>'2021'!AS379</f>
        <v>25</v>
      </c>
      <c r="X46" s="119">
        <f>'2021'!AT379</f>
        <v>0</v>
      </c>
      <c r="Y46" s="119">
        <f>'2021'!AW379</f>
        <v>25</v>
      </c>
      <c r="Z46" s="119">
        <f>'2021'!AX379</f>
        <v>0</v>
      </c>
      <c r="AA46" s="119">
        <f>'2021'!BA379</f>
        <v>25</v>
      </c>
      <c r="AB46" s="119">
        <f>'2021'!BB379</f>
        <v>0</v>
      </c>
      <c r="AC46" s="119">
        <f>'2021'!BE379</f>
        <v>15</v>
      </c>
    </row>
    <row r="47" ht="15.75" customHeight="1" spans="1:29" x14ac:dyDescent="0.25">
      <c r="A47" s="14"/>
      <c r="B47" s="115">
        <v>43</v>
      </c>
      <c r="C47" s="115">
        <v>4.96</v>
      </c>
      <c r="D47" s="117" t="s">
        <v>185</v>
      </c>
      <c r="E47" s="119">
        <f>'2021'!I388</f>
        <v>101</v>
      </c>
      <c r="F47" s="119">
        <f>'2021'!J388</f>
      </c>
      <c r="G47" s="119">
        <f>'2021'!M388</f>
        <v>101</v>
      </c>
      <c r="H47" s="119">
        <f>'2021'!N388</f>
        <v>0</v>
      </c>
      <c r="I47" s="119">
        <f>'2021'!Q388</f>
        <v>101</v>
      </c>
      <c r="J47" s="119">
        <f>'2021'!R388</f>
        <v>0</v>
      </c>
      <c r="K47" s="119">
        <f>'2021'!U388</f>
        <v>101</v>
      </c>
      <c r="L47" s="119">
        <f>'2021'!V388</f>
        <v>0</v>
      </c>
      <c r="M47" s="119">
        <f>'2021'!Y388</f>
        <v>5</v>
      </c>
      <c r="N47" s="119">
        <f>'2021'!Z388</f>
        <v>3</v>
      </c>
      <c r="O47" s="119">
        <f>'2021'!AC388</f>
        <v>17</v>
      </c>
      <c r="P47" s="119">
        <f>'2021'!AD388</f>
        <v>12</v>
      </c>
      <c r="Q47" s="119">
        <f>'2021'!AG388</f>
        <v>24</v>
      </c>
      <c r="R47" s="119">
        <f>'2021'!AH388</f>
        <v>7</v>
      </c>
      <c r="S47" s="119">
        <f>'2021'!AK388</f>
        <v>29</v>
      </c>
      <c r="T47" s="119">
        <f>'2021'!AL388</f>
        <v>5</v>
      </c>
      <c r="U47" s="119">
        <f>'2021'!AO388</f>
        <v>34</v>
      </c>
      <c r="V47" s="119">
        <f>'2021'!AP388</f>
        <v>5</v>
      </c>
      <c r="W47" s="119">
        <f>'2021'!AS388</f>
        <v>34</v>
      </c>
      <c r="X47" s="119">
        <f>'2021'!AT388</f>
        <v>0</v>
      </c>
      <c r="Y47" s="119">
        <f>'2021'!AW388</f>
        <v>34</v>
      </c>
      <c r="Z47" s="119">
        <f>'2021'!AX388</f>
        <v>0</v>
      </c>
      <c r="AA47" s="119">
        <f>'2021'!BA388</f>
        <v>34</v>
      </c>
      <c r="AB47" s="119">
        <f>'2021'!BB388</f>
        <v>0</v>
      </c>
      <c r="AC47" s="119">
        <f>'2021'!BE388</f>
        <v>32</v>
      </c>
    </row>
    <row r="48" ht="15.75" customHeight="1" spans="1:29" x14ac:dyDescent="0.25">
      <c r="A48" s="14"/>
      <c r="B48" s="115">
        <v>44</v>
      </c>
      <c r="C48" s="115">
        <v>4.01</v>
      </c>
      <c r="D48" s="15" t="s">
        <v>412</v>
      </c>
      <c r="E48" s="119">
        <f>'2021'!I397</f>
        <v>5</v>
      </c>
      <c r="F48" s="119">
        <f>'2021'!J397</f>
      </c>
      <c r="G48" s="119">
        <f>'2021'!M397</f>
        <v>5</v>
      </c>
      <c r="H48" s="119">
        <f>'2021'!N397</f>
        <v>0</v>
      </c>
      <c r="I48" s="119">
        <f>'2021'!Q397</f>
        <v>5</v>
      </c>
      <c r="J48" s="119">
        <f>'2021'!R397</f>
        <v>0</v>
      </c>
      <c r="K48" s="119">
        <f>'2021'!U397</f>
        <v>5</v>
      </c>
      <c r="L48" s="119">
        <f>'2021'!V397</f>
        <v>0</v>
      </c>
      <c r="M48" s="119">
        <f>'2021'!Y397</f>
        <v>14</v>
      </c>
      <c r="N48" s="119">
        <f>'2021'!Z397</f>
        <v>9</v>
      </c>
      <c r="O48" s="119">
        <f>'2021'!AC397</f>
        <v>14</v>
      </c>
      <c r="P48" s="119">
        <f>'2021'!AD397</f>
        <v>0</v>
      </c>
      <c r="Q48" s="119">
        <f>'2021'!AG397</f>
        <v>14</v>
      </c>
      <c r="R48" s="119">
        <f>'2021'!AH397</f>
        <v>0</v>
      </c>
      <c r="S48" s="119">
        <f>'2021'!AK397</f>
        <v>14</v>
      </c>
      <c r="T48" s="119">
        <f>'2021'!AL397</f>
        <v>0</v>
      </c>
      <c r="U48" s="119">
        <f>'2021'!AO397</f>
        <v>14</v>
      </c>
      <c r="V48" s="119">
        <f>'2021'!AP397</f>
        <v>0</v>
      </c>
      <c r="W48" s="119">
        <f>'2021'!AS397</f>
        <v>14</v>
      </c>
      <c r="X48" s="119">
        <f>'2021'!AT397</f>
        <v>0</v>
      </c>
      <c r="Y48" s="119">
        <f>'2021'!AW397</f>
        <v>14</v>
      </c>
      <c r="Z48" s="119">
        <f>'2021'!AX397</f>
        <v>0</v>
      </c>
      <c r="AA48" s="119">
        <f>'2021'!BA397</f>
        <v>14</v>
      </c>
      <c r="AB48" s="119">
        <f>'2021'!BB397</f>
        <v>0</v>
      </c>
      <c r="AC48" s="119">
        <f>'2021'!BE397</f>
        <v>9</v>
      </c>
    </row>
    <row r="49" ht="15.75" customHeight="1" spans="1:29" x14ac:dyDescent="0.25">
      <c r="A49" s="14"/>
      <c r="B49" s="115">
        <v>45</v>
      </c>
      <c r="C49" s="115">
        <v>5.04</v>
      </c>
      <c r="D49" s="117" t="s">
        <v>189</v>
      </c>
      <c r="E49" s="119">
        <f>'2021'!I406</f>
        <v>2</v>
      </c>
      <c r="F49" s="119">
        <f>'2021'!J406</f>
      </c>
      <c r="G49" s="119">
        <f>'2021'!M406</f>
        <v>2</v>
      </c>
      <c r="H49" s="119">
        <f>'2021'!N406</f>
        <v>0</v>
      </c>
      <c r="I49" s="119">
        <f>'2021'!Q406</f>
        <v>2</v>
      </c>
      <c r="J49" s="119">
        <f>'2021'!R406</f>
        <v>0</v>
      </c>
      <c r="K49" s="119">
        <f>'2021'!U406</f>
        <v>2</v>
      </c>
      <c r="L49" s="119">
        <f>'2021'!V406</f>
        <v>0</v>
      </c>
      <c r="M49" s="119">
        <f>'2021'!Y406</f>
        <v>2</v>
      </c>
      <c r="N49" s="119">
        <f>'2021'!Z406</f>
        <v>0</v>
      </c>
      <c r="O49" s="119">
        <f>'2021'!AC406</f>
        <v>2</v>
      </c>
      <c r="P49" s="119">
        <f>'2021'!AD406</f>
        <v>0</v>
      </c>
      <c r="Q49" s="119">
        <f>'2021'!AG406</f>
        <v>2</v>
      </c>
      <c r="R49" s="119">
        <f>'2021'!AH406</f>
        <v>0</v>
      </c>
      <c r="S49" s="119">
        <f>'2021'!AK406</f>
        <v>2</v>
      </c>
      <c r="T49" s="119">
        <f>'2021'!AL406</f>
        <v>0</v>
      </c>
      <c r="U49" s="119">
        <f>'2021'!AO406</f>
        <v>2</v>
      </c>
      <c r="V49" s="119">
        <f>'2021'!AP406</f>
        <v>0</v>
      </c>
      <c r="W49" s="119">
        <f>'2021'!AS406</f>
        <v>2</v>
      </c>
      <c r="X49" s="119">
        <f>'2021'!AT406</f>
        <v>0</v>
      </c>
      <c r="Y49" s="119">
        <f>'2021'!AW406</f>
        <v>2</v>
      </c>
      <c r="Z49" s="119">
        <f>'2021'!AX406</f>
        <v>0</v>
      </c>
      <c r="AA49" s="119">
        <f>'2021'!BA406</f>
        <v>2</v>
      </c>
      <c r="AB49" s="119">
        <f>'2021'!BB406</f>
        <v>0</v>
      </c>
      <c r="AC49" s="119">
        <f>'2021'!BE406</f>
        <v>0</v>
      </c>
    </row>
    <row r="50" ht="15.75" customHeight="1" spans="1:29" x14ac:dyDescent="0.25">
      <c r="A50" s="14"/>
      <c r="B50" s="115">
        <v>46</v>
      </c>
      <c r="C50" s="116">
        <v>4</v>
      </c>
      <c r="D50" s="117" t="s">
        <v>188</v>
      </c>
      <c r="E50" s="119">
        <f>'2021'!I415</f>
        <v>137</v>
      </c>
      <c r="F50" s="119">
        <f>'2021'!J415</f>
      </c>
      <c r="G50" s="119">
        <f>'2021'!M415</f>
        <v>137</v>
      </c>
      <c r="H50" s="119">
        <f>'2021'!N415</f>
        <v>0</v>
      </c>
      <c r="I50" s="119">
        <f>'2021'!Q415</f>
        <v>137</v>
      </c>
      <c r="J50" s="119">
        <f>'2021'!R415</f>
        <v>0</v>
      </c>
      <c r="K50" s="119">
        <f>'2021'!U415</f>
        <v>137</v>
      </c>
      <c r="L50" s="119">
        <f>'2021'!V415</f>
        <v>0</v>
      </c>
      <c r="M50" s="119">
        <f>'2021'!Y415</f>
        <v>140</v>
      </c>
      <c r="N50" s="119">
        <f>'2021'!Z415</f>
        <v>3</v>
      </c>
      <c r="O50" s="119">
        <f>'2021'!AC415</f>
        <v>151</v>
      </c>
      <c r="P50" s="119">
        <f>'2021'!AD415</f>
        <v>11</v>
      </c>
      <c r="Q50" s="119">
        <f>'2021'!AG415</f>
        <v>162</v>
      </c>
      <c r="R50" s="119">
        <f>'2021'!AH415</f>
        <v>11</v>
      </c>
      <c r="S50" s="119">
        <f>'2021'!AK415</f>
        <v>171</v>
      </c>
      <c r="T50" s="119">
        <f>'2021'!AL415</f>
        <v>9</v>
      </c>
      <c r="U50" s="119">
        <f>'2021'!AO415</f>
        <v>171</v>
      </c>
      <c r="V50" s="119">
        <f>'2021'!AP415</f>
        <v>0</v>
      </c>
      <c r="W50" s="119">
        <f>'2021'!AS415</f>
        <v>171</v>
      </c>
      <c r="X50" s="119">
        <f>'2021'!AT415</f>
        <v>0</v>
      </c>
      <c r="Y50" s="119">
        <f>'2021'!AW415</f>
        <v>171</v>
      </c>
      <c r="Z50" s="119">
        <f>'2021'!AX415</f>
        <v>0</v>
      </c>
      <c r="AA50" s="119">
        <f>'2021'!BA415</f>
        <v>171</v>
      </c>
      <c r="AB50" s="119">
        <f>'2021'!BB415</f>
        <v>0</v>
      </c>
      <c r="AC50" s="119">
        <f>'2021'!BE415</f>
        <v>34</v>
      </c>
    </row>
    <row r="51" ht="15.75" customHeight="1" spans="1:29" x14ac:dyDescent="0.25">
      <c r="A51" s="14"/>
      <c r="B51" s="115">
        <v>47</v>
      </c>
      <c r="C51" s="116">
        <v>5</v>
      </c>
      <c r="D51" s="117" t="s">
        <v>192</v>
      </c>
      <c r="E51" s="119">
        <f>'2021'!I424</f>
        <v>30</v>
      </c>
      <c r="F51" s="119">
        <f>'2021'!J424</f>
      </c>
      <c r="G51" s="119">
        <f>'2021'!M424</f>
        <v>30</v>
      </c>
      <c r="H51" s="119">
        <f>'2021'!N424</f>
        <v>0</v>
      </c>
      <c r="I51" s="119">
        <f>'2021'!Q424</f>
        <v>30</v>
      </c>
      <c r="J51" s="119">
        <f>'2021'!R424</f>
        <v>0</v>
      </c>
      <c r="K51" s="119">
        <f>'2021'!U424</f>
        <v>30</v>
      </c>
      <c r="L51" s="119">
        <f>'2021'!V424</f>
        <v>0</v>
      </c>
      <c r="M51" s="119">
        <f>'2021'!Y424</f>
        <v>30</v>
      </c>
      <c r="N51" s="119">
        <f>'2021'!Z424</f>
        <v>0</v>
      </c>
      <c r="O51" s="119">
        <f>'2021'!AC424</f>
        <v>30</v>
      </c>
      <c r="P51" s="119">
        <f>'2021'!AD424</f>
        <v>0</v>
      </c>
      <c r="Q51" s="119">
        <f>'2021'!AG424</f>
        <v>30</v>
      </c>
      <c r="R51" s="119">
        <f>'2021'!AH424</f>
        <v>0</v>
      </c>
      <c r="S51" s="119">
        <f>'2021'!AK424</f>
        <v>30</v>
      </c>
      <c r="T51" s="119">
        <f>'2021'!AL424</f>
        <v>0</v>
      </c>
      <c r="U51" s="119">
        <f>'2021'!AO424</f>
        <v>30</v>
      </c>
      <c r="V51" s="119">
        <f>'2021'!AP424</f>
        <v>0</v>
      </c>
      <c r="W51" s="119">
        <f>'2021'!AS424</f>
        <v>30</v>
      </c>
      <c r="X51" s="119">
        <f>'2021'!AT424</f>
        <v>0</v>
      </c>
      <c r="Y51" s="119">
        <f>'2021'!AW424</f>
        <v>30</v>
      </c>
      <c r="Z51" s="119">
        <f>'2021'!AX424</f>
        <v>0</v>
      </c>
      <c r="AA51" s="119">
        <f>'2021'!BA424</f>
        <v>30</v>
      </c>
      <c r="AB51" s="119">
        <f>'2021'!BB424</f>
        <v>0</v>
      </c>
      <c r="AC51" s="119">
        <f>'2021'!BE424</f>
        <v>0</v>
      </c>
    </row>
    <row r="52" ht="15.75" customHeight="1" spans="1:29" x14ac:dyDescent="0.25">
      <c r="A52" s="14"/>
      <c r="B52" s="115">
        <v>48</v>
      </c>
      <c r="C52" s="115">
        <v>5.93</v>
      </c>
      <c r="D52" s="117" t="s">
        <v>97</v>
      </c>
      <c r="E52" s="119">
        <f>'2021'!I433</f>
        <v>160</v>
      </c>
      <c r="F52" s="119">
        <f>'2021'!J433</f>
      </c>
      <c r="G52" s="119">
        <f>'2021'!M433</f>
        <v>160</v>
      </c>
      <c r="H52" s="119">
        <f>'2021'!N433</f>
        <v>0</v>
      </c>
      <c r="I52" s="119">
        <f>'2021'!Q433</f>
        <v>160</v>
      </c>
      <c r="J52" s="119">
        <f>'2021'!R433</f>
        <v>0</v>
      </c>
      <c r="K52" s="119">
        <f>'2021'!U433</f>
        <v>160</v>
      </c>
      <c r="L52" s="119">
        <f>'2021'!V433</f>
        <v>0</v>
      </c>
      <c r="M52" s="119">
        <f>'2021'!Y433</f>
        <v>136</v>
      </c>
      <c r="N52" s="119">
        <f>'2021'!Z433</f>
        <v>0</v>
      </c>
      <c r="O52" s="119">
        <f>'2021'!AC433</f>
        <v>146</v>
      </c>
      <c r="P52" s="119">
        <f>'2021'!AD433</f>
        <v>10</v>
      </c>
      <c r="Q52" s="119">
        <f>'2021'!AG433</f>
        <v>152</v>
      </c>
      <c r="R52" s="119">
        <f>'2021'!AH433</f>
        <v>6</v>
      </c>
      <c r="S52" s="119">
        <f>'2021'!AK433</f>
        <v>155</v>
      </c>
      <c r="T52" s="119">
        <f>'2021'!AL433</f>
        <v>3</v>
      </c>
      <c r="U52" s="119">
        <f>'2021'!AO433</f>
        <v>157</v>
      </c>
      <c r="V52" s="119">
        <f>'2021'!AP433</f>
        <v>2</v>
      </c>
      <c r="W52" s="119">
        <f>'2021'!AS433</f>
        <v>157</v>
      </c>
      <c r="X52" s="119">
        <f>'2021'!AT433</f>
        <v>0</v>
      </c>
      <c r="Y52" s="119">
        <f>'2021'!AW433</f>
        <v>157</v>
      </c>
      <c r="Z52" s="119">
        <f>'2021'!AX433</f>
        <v>0</v>
      </c>
      <c r="AA52" s="119">
        <f>'2021'!BA433</f>
        <v>157</v>
      </c>
      <c r="AB52" s="119">
        <f>'2021'!BB433</f>
        <v>0</v>
      </c>
      <c r="AC52" s="119">
        <f>'2021'!BE433</f>
        <v>21</v>
      </c>
    </row>
    <row r="53" ht="15.75" customHeight="1" spans="1:29" x14ac:dyDescent="0.25">
      <c r="A53" s="14"/>
      <c r="B53" s="115">
        <v>49</v>
      </c>
      <c r="C53" s="115">
        <v>5.03</v>
      </c>
      <c r="D53" s="117" t="s">
        <v>197</v>
      </c>
      <c r="E53" s="119">
        <f>'2021'!I442</f>
        <v>200</v>
      </c>
      <c r="F53" s="119">
        <f>'2021'!J442</f>
      </c>
      <c r="G53" s="119">
        <f>'2021'!M442</f>
        <v>200</v>
      </c>
      <c r="H53" s="119">
        <f>'2021'!N442</f>
        <v>0</v>
      </c>
      <c r="I53" s="119">
        <f>'2021'!Q442</f>
        <v>200</v>
      </c>
      <c r="J53" s="119">
        <f>'2021'!R442</f>
        <v>0</v>
      </c>
      <c r="K53" s="119">
        <f>'2021'!U442</f>
        <v>200</v>
      </c>
      <c r="L53" s="119">
        <f>'2021'!V442</f>
        <v>0</v>
      </c>
      <c r="M53" s="119">
        <f>'2021'!Y442</f>
        <v>201</v>
      </c>
      <c r="N53" s="119">
        <f>'2021'!Z442</f>
        <v>1</v>
      </c>
      <c r="O53" s="119">
        <f>'2021'!AC442</f>
        <v>215</v>
      </c>
      <c r="P53" s="119">
        <f>'2021'!AD442</f>
        <v>14</v>
      </c>
      <c r="Q53" s="119">
        <f>'2021'!AG442</f>
        <v>222</v>
      </c>
      <c r="R53" s="119">
        <f>'2021'!AH442</f>
        <v>7</v>
      </c>
      <c r="S53" s="119">
        <f>'2021'!AK442</f>
        <v>237</v>
      </c>
      <c r="T53" s="119">
        <f>'2021'!AL442</f>
        <v>15</v>
      </c>
      <c r="U53" s="119">
        <f>'2021'!AO442</f>
        <v>243</v>
      </c>
      <c r="V53" s="119">
        <f>'2021'!AP442</f>
        <v>6</v>
      </c>
      <c r="W53" s="119">
        <f>'2021'!AS442</f>
        <v>243</v>
      </c>
      <c r="X53" s="119">
        <f>'2021'!AT442</f>
        <v>0</v>
      </c>
      <c r="Y53" s="119">
        <f>'2021'!AW442</f>
        <v>243</v>
      </c>
      <c r="Z53" s="119">
        <f>'2021'!AX442</f>
        <v>0</v>
      </c>
      <c r="AA53" s="119">
        <f>'2021'!BA442</f>
        <v>243</v>
      </c>
      <c r="AB53" s="119">
        <f>'2021'!BB442</f>
        <v>0</v>
      </c>
      <c r="AC53" s="119">
        <f>'2021'!BE442</f>
        <v>43</v>
      </c>
    </row>
    <row r="54" ht="15.75" customHeight="1" spans="1:29" x14ac:dyDescent="0.25">
      <c r="A54" s="14"/>
      <c r="B54" s="115">
        <v>50</v>
      </c>
      <c r="C54" s="115">
        <v>6.05</v>
      </c>
      <c r="D54" s="117" t="s">
        <v>200</v>
      </c>
      <c r="E54" s="119">
        <f>'2021'!I451</f>
        <v>252</v>
      </c>
      <c r="F54" s="119">
        <f>'2021'!J451</f>
      </c>
      <c r="G54" s="119">
        <f>'2021'!M451</f>
        <v>252</v>
      </c>
      <c r="H54" s="119">
        <f>'2021'!N451</f>
        <v>0</v>
      </c>
      <c r="I54" s="119">
        <f>'2021'!Q451</f>
        <v>252</v>
      </c>
      <c r="J54" s="119">
        <f>'2021'!R451</f>
        <v>0</v>
      </c>
      <c r="K54" s="119">
        <f>'2021'!U451</f>
        <v>252</v>
      </c>
      <c r="L54" s="119">
        <f>'2021'!V451</f>
        <v>0</v>
      </c>
      <c r="M54" s="119">
        <f>'2021'!Y451</f>
        <v>252</v>
      </c>
      <c r="N54" s="119">
        <f>'2021'!Z451</f>
        <v>0</v>
      </c>
      <c r="O54" s="119">
        <f>'2021'!AC451</f>
        <v>261</v>
      </c>
      <c r="P54" s="119">
        <f>'2021'!AD451</f>
        <v>9</v>
      </c>
      <c r="Q54" s="119">
        <f>'2021'!AG451</f>
        <v>268</v>
      </c>
      <c r="R54" s="119">
        <f>'2021'!AH451</f>
        <v>7</v>
      </c>
      <c r="S54" s="119">
        <f>'2021'!AK451</f>
        <v>272</v>
      </c>
      <c r="T54" s="119">
        <f>'2021'!AL451</f>
        <v>4</v>
      </c>
      <c r="U54" s="119">
        <f>'2021'!AO451</f>
        <v>274</v>
      </c>
      <c r="V54" s="119">
        <f>'2021'!AP451</f>
        <v>2</v>
      </c>
      <c r="W54" s="119">
        <f>'2021'!AS451</f>
        <v>274</v>
      </c>
      <c r="X54" s="119">
        <f>'2021'!AT451</f>
        <v>0</v>
      </c>
      <c r="Y54" s="119">
        <f>'2021'!AW451</f>
        <v>274</v>
      </c>
      <c r="Z54" s="119">
        <f>'2021'!AX451</f>
        <v>0</v>
      </c>
      <c r="AA54" s="119">
        <f>'2021'!BA451</f>
        <v>274</v>
      </c>
      <c r="AB54" s="119">
        <f>'2021'!BB451</f>
        <v>0</v>
      </c>
      <c r="AC54" s="119">
        <f>'2021'!BE451</f>
        <v>22</v>
      </c>
    </row>
    <row r="55" ht="15.75" customHeight="1" spans="1:29" x14ac:dyDescent="0.25">
      <c r="A55" s="14"/>
      <c r="B55" s="115">
        <v>51</v>
      </c>
      <c r="C55" s="115">
        <v>4.95</v>
      </c>
      <c r="D55" s="117" t="s">
        <v>204</v>
      </c>
      <c r="E55" s="119">
        <f>'2021'!I460</f>
        <v>49</v>
      </c>
      <c r="F55" s="119">
        <f>'2021'!J460</f>
      </c>
      <c r="G55" s="119">
        <f>'2021'!M460</f>
        <v>49</v>
      </c>
      <c r="H55" s="119">
        <f>'2021'!N460</f>
        <v>0</v>
      </c>
      <c r="I55" s="119">
        <f>'2021'!Q460</f>
        <v>49</v>
      </c>
      <c r="J55" s="119">
        <f>'2021'!R460</f>
        <v>0</v>
      </c>
      <c r="K55" s="119">
        <f>'2021'!U460</f>
        <v>49</v>
      </c>
      <c r="L55" s="119">
        <f>'2021'!V460</f>
        <v>0</v>
      </c>
      <c r="M55" s="119">
        <f>'2021'!Y460</f>
        <v>50</v>
      </c>
      <c r="N55" s="119">
        <f>'2021'!Z460</f>
        <v>1</v>
      </c>
      <c r="O55" s="119">
        <f>'2021'!AC460</f>
        <v>58</v>
      </c>
      <c r="P55" s="119">
        <f>'2021'!AD460</f>
        <v>8</v>
      </c>
      <c r="Q55" s="119">
        <f>'2021'!AG460</f>
        <v>58</v>
      </c>
      <c r="R55" s="119">
        <f>'2021'!AH460</f>
        <v>0</v>
      </c>
      <c r="S55" s="119">
        <f>'2021'!AK460</f>
        <v>67</v>
      </c>
      <c r="T55" s="119">
        <f>'2021'!AL460</f>
        <v>9</v>
      </c>
      <c r="U55" s="119">
        <f>'2021'!AO460</f>
        <v>67</v>
      </c>
      <c r="V55" s="119">
        <f>'2021'!AP460</f>
        <v>0</v>
      </c>
      <c r="W55" s="119">
        <f>'2021'!AS460</f>
        <v>67</v>
      </c>
      <c r="X55" s="119">
        <f>'2021'!AT460</f>
        <v>0</v>
      </c>
      <c r="Y55" s="119">
        <f>'2021'!AW460</f>
        <v>67</v>
      </c>
      <c r="Z55" s="119">
        <f>'2021'!AX460</f>
        <v>0</v>
      </c>
      <c r="AA55" s="119">
        <f>'2021'!BA460</f>
        <v>67</v>
      </c>
      <c r="AB55" s="119">
        <f>'2021'!BB460</f>
        <v>0</v>
      </c>
      <c r="AC55" s="119">
        <f>'2021'!BE460</f>
        <v>18</v>
      </c>
    </row>
    <row r="56" ht="15.75" customHeight="1" spans="1:29" x14ac:dyDescent="0.25">
      <c r="A56" s="14"/>
      <c r="B56" s="115">
        <v>52</v>
      </c>
      <c r="C56" s="116">
        <v>5</v>
      </c>
      <c r="D56" s="117" t="s">
        <v>206</v>
      </c>
      <c r="E56" s="119">
        <f>'2021'!I469</f>
        <v>215</v>
      </c>
      <c r="F56" s="119">
        <f>'2021'!J469</f>
      </c>
      <c r="G56" s="119">
        <f>'2021'!M469</f>
        <v>215</v>
      </c>
      <c r="H56" s="119">
        <f>'2021'!N469</f>
        <v>0</v>
      </c>
      <c r="I56" s="119">
        <f>'2021'!Q469</f>
        <v>215</v>
      </c>
      <c r="J56" s="119">
        <f>'2021'!R469</f>
        <v>0</v>
      </c>
      <c r="K56" s="119">
        <f>'2021'!U469</f>
        <v>215</v>
      </c>
      <c r="L56" s="119">
        <f>'2021'!V469</f>
        <v>0</v>
      </c>
      <c r="M56" s="119">
        <f>'2021'!Y469</f>
        <v>215</v>
      </c>
      <c r="N56" s="119">
        <f>'2021'!Z469</f>
        <v>0</v>
      </c>
      <c r="O56" s="119">
        <f>'2021'!AC469</f>
        <v>221</v>
      </c>
      <c r="P56" s="119">
        <f>'2021'!AD469</f>
        <v>6</v>
      </c>
      <c r="Q56" s="119">
        <f>'2021'!AG469</f>
        <v>221</v>
      </c>
      <c r="R56" s="119">
        <f>'2021'!AH469</f>
        <v>0</v>
      </c>
      <c r="S56" s="119">
        <f>'2021'!AK469</f>
        <v>227</v>
      </c>
      <c r="T56" s="119">
        <f>'2021'!AL469</f>
        <v>6</v>
      </c>
      <c r="U56" s="119">
        <f>'2021'!AO469</f>
        <v>227</v>
      </c>
      <c r="V56" s="119">
        <f>'2021'!AP469</f>
        <v>0</v>
      </c>
      <c r="W56" s="119">
        <f>'2021'!AS469</f>
        <v>227</v>
      </c>
      <c r="X56" s="119">
        <f>'2021'!AT469</f>
        <v>0</v>
      </c>
      <c r="Y56" s="119">
        <f>'2021'!AW469</f>
        <v>227</v>
      </c>
      <c r="Z56" s="119">
        <f>'2021'!AX469</f>
        <v>0</v>
      </c>
      <c r="AA56" s="119">
        <f>'2021'!BA469</f>
        <v>227</v>
      </c>
      <c r="AB56" s="119">
        <f>'2021'!BB469</f>
        <v>0</v>
      </c>
      <c r="AC56" s="119">
        <f>'2021'!BE469</f>
        <v>12</v>
      </c>
    </row>
    <row r="57" ht="15.75" customHeight="1" spans="1:29" x14ac:dyDescent="0.25">
      <c r="A57" s="14"/>
      <c r="B57" s="115">
        <v>53</v>
      </c>
      <c r="C57" s="115">
        <v>5.05</v>
      </c>
      <c r="D57" s="117" t="s">
        <v>210</v>
      </c>
      <c r="E57" s="119">
        <f>'2021'!I478</f>
        <v>110</v>
      </c>
      <c r="F57" s="119">
        <f>'2021'!J478</f>
      </c>
      <c r="G57" s="119">
        <f>'2021'!M478</f>
        <v>110</v>
      </c>
      <c r="H57" s="119">
        <f>'2021'!N478</f>
        <v>0</v>
      </c>
      <c r="I57" s="119">
        <f>'2021'!Q478</f>
        <v>110</v>
      </c>
      <c r="J57" s="119">
        <f>'2021'!R478</f>
        <v>0</v>
      </c>
      <c r="K57" s="119">
        <f>'2021'!U478</f>
        <v>110</v>
      </c>
      <c r="L57" s="119">
        <f>'2021'!V478</f>
        <v>0</v>
      </c>
      <c r="M57" s="119">
        <f>'2021'!Y478</f>
        <v>112</v>
      </c>
      <c r="N57" s="119">
        <f>'2021'!Z478</f>
        <v>2</v>
      </c>
      <c r="O57" s="119">
        <f>'2021'!AC478</f>
        <v>123</v>
      </c>
      <c r="P57" s="119">
        <f>'2021'!AD478</f>
        <v>11</v>
      </c>
      <c r="Q57" s="119">
        <f>'2021'!AG478</f>
        <v>130</v>
      </c>
      <c r="R57" s="119">
        <f>'2021'!AH478</f>
        <v>7</v>
      </c>
      <c r="S57" s="119">
        <f>'2021'!AK478</f>
        <v>130</v>
      </c>
      <c r="T57" s="119">
        <f>'2021'!AL478</f>
        <v>0</v>
      </c>
      <c r="U57" s="119">
        <f>'2021'!AO478</f>
        <v>132</v>
      </c>
      <c r="V57" s="119">
        <f>'2021'!AP478</f>
        <v>2</v>
      </c>
      <c r="W57" s="119">
        <f>'2021'!AS478</f>
        <v>132</v>
      </c>
      <c r="X57" s="119">
        <f>'2021'!AT478</f>
        <v>0</v>
      </c>
      <c r="Y57" s="119">
        <f>'2021'!AW478</f>
        <v>132</v>
      </c>
      <c r="Z57" s="119">
        <f>'2021'!AX478</f>
        <v>0</v>
      </c>
      <c r="AA57" s="119">
        <f>'2021'!BA478</f>
        <v>132</v>
      </c>
      <c r="AB57" s="119">
        <f>'2021'!BB478</f>
        <v>0</v>
      </c>
      <c r="AC57" s="119">
        <f>'2021'!BE478</f>
        <v>22</v>
      </c>
    </row>
    <row r="58" ht="15.75" customHeight="1" spans="1:29" x14ac:dyDescent="0.25">
      <c r="A58" s="14"/>
      <c r="B58" s="115">
        <v>54</v>
      </c>
      <c r="C58" s="115">
        <v>5.54</v>
      </c>
      <c r="D58" s="117" t="s">
        <v>212</v>
      </c>
      <c r="E58" s="119">
        <f>'2021'!I487</f>
        <v>135</v>
      </c>
      <c r="F58" s="119">
        <f>'2021'!J487</f>
      </c>
      <c r="G58" s="119">
        <f>'2021'!M487</f>
        <v>135</v>
      </c>
      <c r="H58" s="119">
        <f>'2021'!N487</f>
        <v>0</v>
      </c>
      <c r="I58" s="119">
        <f>'2021'!Q487</f>
        <v>135</v>
      </c>
      <c r="J58" s="119">
        <f>'2021'!R487</f>
        <v>0</v>
      </c>
      <c r="K58" s="119">
        <f>'2021'!U487</f>
        <v>135</v>
      </c>
      <c r="L58" s="119">
        <f>'2021'!V487</f>
        <v>0</v>
      </c>
      <c r="M58" s="119">
        <f>'2021'!Y487</f>
        <v>143</v>
      </c>
      <c r="N58" s="119">
        <f>'2021'!Z487</f>
        <v>8</v>
      </c>
      <c r="O58" s="119">
        <f>'2021'!AC487</f>
        <v>150</v>
      </c>
      <c r="P58" s="119">
        <f>'2021'!AD487</f>
        <v>7</v>
      </c>
      <c r="Q58" s="119">
        <f>'2021'!AG487</f>
        <v>150</v>
      </c>
      <c r="R58" s="119">
        <f>'2021'!AH487</f>
        <v>0</v>
      </c>
      <c r="S58" s="119">
        <f>'2021'!AK487</f>
        <v>150</v>
      </c>
      <c r="T58" s="119">
        <f>'2021'!AL487</f>
        <v>0</v>
      </c>
      <c r="U58" s="119">
        <f>'2021'!AO487</f>
        <v>150</v>
      </c>
      <c r="V58" s="119">
        <f>'2021'!AP487</f>
        <v>0</v>
      </c>
      <c r="W58" s="119">
        <f>'2021'!AS487</f>
        <v>150</v>
      </c>
      <c r="X58" s="119">
        <f>'2021'!AT487</f>
        <v>0</v>
      </c>
      <c r="Y58" s="119">
        <f>'2021'!AW487</f>
        <v>150</v>
      </c>
      <c r="Z58" s="119">
        <f>'2021'!AX487</f>
        <v>0</v>
      </c>
      <c r="AA58" s="119">
        <f>'2021'!BA487</f>
        <v>150</v>
      </c>
      <c r="AB58" s="119">
        <f>'2021'!BB487</f>
        <v>0</v>
      </c>
      <c r="AC58" s="119">
        <f>'2021'!BE487</f>
        <v>15</v>
      </c>
    </row>
    <row r="59" ht="15.75" customHeight="1" spans="1:29" x14ac:dyDescent="0.25">
      <c r="A59" s="21"/>
      <c r="B59" s="115">
        <v>55</v>
      </c>
      <c r="C59" s="116">
        <v>5.5</v>
      </c>
      <c r="D59" s="117" t="s">
        <v>214</v>
      </c>
      <c r="E59" s="119">
        <f>'2021'!I496</f>
        <v>22</v>
      </c>
      <c r="F59" s="119">
        <f>'2021'!J496</f>
      </c>
      <c r="G59" s="119">
        <f>'2021'!M496</f>
        <v>22</v>
      </c>
      <c r="H59" s="119">
        <f>'2021'!N496</f>
        <v>0</v>
      </c>
      <c r="I59" s="119">
        <f>'2021'!Q496</f>
        <v>22</v>
      </c>
      <c r="J59" s="119">
        <f>'2021'!R496</f>
        <v>0</v>
      </c>
      <c r="K59" s="119">
        <f>'2021'!U496</f>
        <v>22</v>
      </c>
      <c r="L59" s="119">
        <f>'2021'!V496</f>
        <v>0</v>
      </c>
      <c r="M59" s="119">
        <f>'2021'!Y496</f>
        <v>22</v>
      </c>
      <c r="N59" s="119">
        <f>'2021'!Z496</f>
        <v>0</v>
      </c>
      <c r="O59" s="119">
        <f>'2021'!AC496</f>
        <v>28</v>
      </c>
      <c r="P59" s="119">
        <f>'2021'!AD496</f>
        <v>6</v>
      </c>
      <c r="Q59" s="119">
        <f>'2021'!AG496</f>
        <v>32</v>
      </c>
      <c r="R59" s="119">
        <f>'2021'!AH496</f>
        <v>4</v>
      </c>
      <c r="S59" s="119">
        <f>'2021'!AK496</f>
        <v>32</v>
      </c>
      <c r="T59" s="119">
        <f>'2021'!AL496</f>
        <v>0</v>
      </c>
      <c r="U59" s="119">
        <f>'2021'!AO496</f>
        <v>32</v>
      </c>
      <c r="V59" s="119">
        <f>'2021'!AP496</f>
        <v>0</v>
      </c>
      <c r="W59" s="119">
        <f>'2021'!AS496</f>
        <v>32</v>
      </c>
      <c r="X59" s="119">
        <f>'2021'!AT496</f>
        <v>0</v>
      </c>
      <c r="Y59" s="119">
        <f>'2021'!AW496</f>
        <v>32</v>
      </c>
      <c r="Z59" s="119">
        <f>'2021'!AX496</f>
        <v>0</v>
      </c>
      <c r="AA59" s="119">
        <f>'2021'!BA496</f>
        <v>32</v>
      </c>
      <c r="AB59" s="119">
        <f>'2021'!BB496</f>
        <v>0</v>
      </c>
      <c r="AC59" s="119">
        <f>'2021'!BE496</f>
        <v>10</v>
      </c>
    </row>
    <row r="60" ht="15.75" customHeight="1" spans="1:29" x14ac:dyDescent="0.25">
      <c r="A60" s="114" t="s">
        <v>217</v>
      </c>
      <c r="B60" s="115">
        <v>56</v>
      </c>
      <c r="C60" s="115">
        <v>6.23</v>
      </c>
      <c r="D60" s="117" t="s">
        <v>423</v>
      </c>
      <c r="E60" s="119">
        <f>'2021'!I505</f>
        <v>27</v>
      </c>
      <c r="F60" s="119">
        <f>'2021'!J505</f>
      </c>
      <c r="G60" s="119">
        <f>'2021'!M505</f>
        <v>27</v>
      </c>
      <c r="H60" s="119">
        <f>'2021'!N505</f>
        <v>0</v>
      </c>
      <c r="I60" s="119">
        <f>'2021'!Q505</f>
        <v>27</v>
      </c>
      <c r="J60" s="119">
        <f>'2021'!R505</f>
        <v>0</v>
      </c>
      <c r="K60" s="119">
        <f>'2021'!U505</f>
        <v>27</v>
      </c>
      <c r="L60" s="119">
        <f>'2021'!V505</f>
        <v>0</v>
      </c>
      <c r="M60" s="119">
        <f>'2021'!Y505</f>
        <v>27</v>
      </c>
      <c r="N60" s="119">
        <f>'2021'!Z505</f>
        <v>0</v>
      </c>
      <c r="O60" s="119">
        <f>'2021'!AC505</f>
        <v>32</v>
      </c>
      <c r="P60" s="119">
        <f>'2021'!AD505</f>
        <v>5</v>
      </c>
      <c r="Q60" s="119">
        <f>'2021'!AG505</f>
        <v>35</v>
      </c>
      <c r="R60" s="119">
        <f>'2021'!AH505</f>
        <v>3</v>
      </c>
      <c r="S60" s="119">
        <f>'2021'!AK505</f>
        <v>35</v>
      </c>
      <c r="T60" s="119">
        <f>'2021'!AL505</f>
        <v>0</v>
      </c>
      <c r="U60" s="119">
        <f>'2021'!AO505</f>
        <v>36</v>
      </c>
      <c r="V60" s="119">
        <f>'2021'!AP505</f>
        <v>1</v>
      </c>
      <c r="W60" s="119">
        <f>'2021'!AS505</f>
        <v>36</v>
      </c>
      <c r="X60" s="119">
        <f>'2021'!AT505</f>
        <v>0</v>
      </c>
      <c r="Y60" s="119">
        <f>'2021'!AW505</f>
        <v>36</v>
      </c>
      <c r="Z60" s="119">
        <f>'2021'!AX505</f>
        <v>0</v>
      </c>
      <c r="AA60" s="119">
        <f>'2021'!BA505</f>
        <v>36</v>
      </c>
      <c r="AB60" s="119">
        <f>'2021'!BB505</f>
        <v>0</v>
      </c>
      <c r="AC60" s="119">
        <f>'2021'!BE505</f>
        <v>9</v>
      </c>
    </row>
    <row r="61" ht="15.75" customHeight="1" spans="1:29" x14ac:dyDescent="0.25">
      <c r="A61" s="14"/>
      <c r="B61" s="115">
        <v>57</v>
      </c>
      <c r="C61" s="116">
        <v>4</v>
      </c>
      <c r="D61" s="2" t="s">
        <v>502</v>
      </c>
      <c r="E61" s="119">
        <f>'2021'!I514</f>
        <v>21</v>
      </c>
      <c r="F61" s="119">
        <f>'2021'!J514</f>
      </c>
      <c r="G61" s="119">
        <f>'2021'!M514</f>
        <v>21</v>
      </c>
      <c r="H61" s="119">
        <f>'2021'!N514</f>
        <v>0</v>
      </c>
      <c r="I61" s="119">
        <f>'2021'!Q514</f>
        <v>21</v>
      </c>
      <c r="J61" s="119">
        <f>'2021'!R514</f>
        <v>0</v>
      </c>
      <c r="K61" s="119">
        <f>'2021'!U514</f>
        <v>21</v>
      </c>
      <c r="L61" s="119">
        <f>'2021'!V514</f>
        <v>0</v>
      </c>
      <c r="M61" s="119">
        <f>'2021'!Y514</f>
        <v>1</v>
      </c>
      <c r="N61" s="119">
        <f>'2021'!Z514</f>
        <v>0</v>
      </c>
      <c r="O61" s="119">
        <f>'2021'!AC514</f>
        <v>6</v>
      </c>
      <c r="P61" s="119">
        <f>'2021'!AD514</f>
        <v>5</v>
      </c>
      <c r="Q61" s="119">
        <f>'2021'!AG514</f>
        <v>8</v>
      </c>
      <c r="R61" s="119">
        <f>'2021'!AH514</f>
        <v>2</v>
      </c>
      <c r="S61" s="119">
        <f>'2021'!AK514</f>
        <v>8</v>
      </c>
      <c r="T61" s="119">
        <f>'2021'!AL514</f>
        <v>0</v>
      </c>
      <c r="U61" s="119">
        <f>'2021'!AO514</f>
        <v>12</v>
      </c>
      <c r="V61" s="119">
        <f>'2021'!AP514</f>
        <v>4</v>
      </c>
      <c r="W61" s="119">
        <f>'2021'!AS514</f>
        <v>12</v>
      </c>
      <c r="X61" s="119">
        <f>'2021'!AT514</f>
        <v>0</v>
      </c>
      <c r="Y61" s="119">
        <f>'2021'!AW514</f>
        <v>12</v>
      </c>
      <c r="Z61" s="119">
        <f>'2021'!AX514</f>
        <v>0</v>
      </c>
      <c r="AA61" s="119">
        <f>'2021'!BA514</f>
        <v>12</v>
      </c>
      <c r="AB61" s="119">
        <f>'2021'!BB514</f>
        <v>0</v>
      </c>
      <c r="AC61" s="119">
        <f>'2021'!BE514</f>
        <v>11</v>
      </c>
    </row>
    <row r="62" ht="15.75" customHeight="1" spans="1:29" x14ac:dyDescent="0.25">
      <c r="A62" s="14"/>
      <c r="B62" s="115">
        <v>59</v>
      </c>
      <c r="C62" s="116">
        <v>4</v>
      </c>
      <c r="D62" s="117" t="s">
        <v>221</v>
      </c>
      <c r="E62" s="119">
        <f>'2021'!I523</f>
      </c>
      <c r="F62" s="119">
        <f>'2021'!J523</f>
      </c>
      <c r="G62" s="119">
        <f>'2021'!M523</f>
      </c>
      <c r="H62" s="119">
        <f>'2021'!N523</f>
        <v>0</v>
      </c>
      <c r="I62" s="119">
        <f>'2021'!Q523</f>
      </c>
      <c r="J62" s="119">
        <f>'2021'!R523</f>
        <v>0</v>
      </c>
      <c r="K62" s="119">
        <f>'2021'!U523</f>
      </c>
      <c r="L62" s="119">
        <f>'2021'!V523</f>
        <v>0</v>
      </c>
      <c r="M62" s="119">
        <f>'2021'!Y523</f>
      </c>
      <c r="N62" s="119">
        <f>'2021'!Z523</f>
        <v>0</v>
      </c>
      <c r="O62" s="119">
        <f>'2021'!AC523</f>
      </c>
      <c r="P62" s="119">
        <f>'2021'!AD523</f>
        <v>0</v>
      </c>
      <c r="Q62" s="119">
        <f>'2021'!AG523</f>
      </c>
      <c r="R62" s="119">
        <f>'2021'!AH523</f>
        <v>0</v>
      </c>
      <c r="S62" s="119">
        <f>'2021'!AK523</f>
      </c>
      <c r="T62" s="119">
        <f>'2021'!AL523</f>
        <v>0</v>
      </c>
      <c r="U62" s="119">
        <f>'2021'!AO523</f>
      </c>
      <c r="V62" s="119">
        <f>'2021'!AP523</f>
        <v>0</v>
      </c>
      <c r="W62" s="119">
        <f>'2021'!AS523</f>
      </c>
      <c r="X62" s="119">
        <f>'2021'!AT523</f>
        <v>0</v>
      </c>
      <c r="Y62" s="119">
        <f>'2021'!AW523</f>
      </c>
      <c r="Z62" s="119">
        <f>'2021'!AX523</f>
        <v>0</v>
      </c>
      <c r="AA62" s="119">
        <f>'2021'!BA523</f>
      </c>
      <c r="AB62" s="119">
        <f>'2021'!BB523</f>
        <v>0</v>
      </c>
      <c r="AC62" s="119">
        <f>'2021'!BE523</f>
        <v>0</v>
      </c>
    </row>
    <row r="63" ht="15.75" customHeight="1" spans="1:29" x14ac:dyDescent="0.25">
      <c r="A63" s="14"/>
      <c r="B63" s="115">
        <v>58</v>
      </c>
      <c r="C63" s="115">
        <v>5.08</v>
      </c>
      <c r="D63" s="117" t="s">
        <v>223</v>
      </c>
      <c r="E63" s="119">
        <f>'2021'!I532</f>
        <v>501</v>
      </c>
      <c r="F63" s="119">
        <f>'2021'!J532</f>
      </c>
      <c r="G63" s="119">
        <f>'2021'!M532</f>
        <v>501</v>
      </c>
      <c r="H63" s="119">
        <f>'2021'!N532</f>
        <v>0</v>
      </c>
      <c r="I63" s="119">
        <f>'2021'!Q532</f>
        <v>501</v>
      </c>
      <c r="J63" s="119">
        <f>'2021'!R532</f>
        <v>0</v>
      </c>
      <c r="K63" s="119">
        <f>'2021'!U532</f>
        <v>501</v>
      </c>
      <c r="L63" s="119">
        <f>'2021'!V532</f>
        <v>0</v>
      </c>
      <c r="M63" s="119">
        <f>'2021'!Y532</f>
        <v>501</v>
      </c>
      <c r="N63" s="119">
        <f>'2021'!Z532</f>
        <v>0</v>
      </c>
      <c r="O63" s="119">
        <f>'2021'!AC532</f>
        <v>501</v>
      </c>
      <c r="P63" s="119">
        <f>'2021'!AD532</f>
        <v>0</v>
      </c>
      <c r="Q63" s="119">
        <f>'2021'!AG532</f>
        <v>529</v>
      </c>
      <c r="R63" s="119">
        <f>'2021'!AH532</f>
        <v>28</v>
      </c>
      <c r="S63" s="119">
        <f>'2021'!AK532</f>
        <v>535</v>
      </c>
      <c r="T63" s="119">
        <f>'2021'!AL532</f>
        <v>6</v>
      </c>
      <c r="U63" s="119">
        <f>'2021'!AO532</f>
        <v>540</v>
      </c>
      <c r="V63" s="119">
        <f>'2021'!AP532</f>
        <v>5</v>
      </c>
      <c r="W63" s="119">
        <f>'2021'!AS532</f>
        <v>540</v>
      </c>
      <c r="X63" s="119">
        <f>'2021'!AT532</f>
        <v>0</v>
      </c>
      <c r="Y63" s="119">
        <f>'2021'!AW532</f>
        <v>540</v>
      </c>
      <c r="Z63" s="119">
        <f>'2021'!AX532</f>
        <v>0</v>
      </c>
      <c r="AA63" s="119">
        <f>'2021'!BA532</f>
        <v>540</v>
      </c>
      <c r="AB63" s="119">
        <f>'2021'!BB532</f>
        <v>0</v>
      </c>
      <c r="AC63" s="119">
        <f>'2021'!BE532</f>
        <v>39</v>
      </c>
    </row>
    <row r="64" ht="15.75" customHeight="1" spans="1:29" x14ac:dyDescent="0.25">
      <c r="A64" s="14"/>
      <c r="B64" s="115">
        <v>60</v>
      </c>
      <c r="C64" s="116">
        <v>4.4</v>
      </c>
      <c r="D64" s="117" t="s">
        <v>227</v>
      </c>
      <c r="E64" s="119">
        <f>'2021'!I541</f>
        <v>133</v>
      </c>
      <c r="F64" s="119">
        <f>'2021'!J541</f>
      </c>
      <c r="G64" s="119">
        <f>'2021'!M541</f>
        <v>133</v>
      </c>
      <c r="H64" s="119">
        <f>'2021'!N541</f>
        <v>0</v>
      </c>
      <c r="I64" s="119">
        <f>'2021'!Q541</f>
        <v>133</v>
      </c>
      <c r="J64" s="119">
        <f>'2021'!R541</f>
        <v>0</v>
      </c>
      <c r="K64" s="119">
        <f>'2021'!U541</f>
        <v>133</v>
      </c>
      <c r="L64" s="119">
        <f>'2021'!V541</f>
        <v>0</v>
      </c>
      <c r="M64" s="119">
        <f>'2021'!Y541</f>
        <v>135</v>
      </c>
      <c r="N64" s="119">
        <f>'2021'!Z541</f>
        <v>2</v>
      </c>
      <c r="O64" s="119">
        <f>'2021'!AC541</f>
        <v>142</v>
      </c>
      <c r="P64" s="119">
        <f>'2021'!AD541</f>
        <v>7</v>
      </c>
      <c r="Q64" s="119">
        <f>'2021'!AG541</f>
        <v>148</v>
      </c>
      <c r="R64" s="119">
        <f>'2021'!AH541</f>
        <v>6</v>
      </c>
      <c r="S64" s="119">
        <f>'2021'!AK541</f>
        <v>148</v>
      </c>
      <c r="T64" s="119">
        <f>'2021'!AL541</f>
        <v>0</v>
      </c>
      <c r="U64" s="119">
        <f>'2021'!AO541</f>
        <v>162</v>
      </c>
      <c r="V64" s="119">
        <f>'2021'!AP541</f>
        <v>14</v>
      </c>
      <c r="W64" s="119">
        <f>'2021'!AS541</f>
        <v>162</v>
      </c>
      <c r="X64" s="119">
        <f>'2021'!AT541</f>
        <v>0</v>
      </c>
      <c r="Y64" s="119">
        <f>'2021'!AW541</f>
        <v>162</v>
      </c>
      <c r="Z64" s="119">
        <f>'2021'!AX541</f>
        <v>0</v>
      </c>
      <c r="AA64" s="119">
        <f>'2021'!BA541</f>
        <v>162</v>
      </c>
      <c r="AB64" s="119">
        <f>'2021'!BB541</f>
        <v>0</v>
      </c>
      <c r="AC64" s="119">
        <f>'2021'!BE541</f>
        <v>29</v>
      </c>
    </row>
    <row r="65" ht="15.75" customHeight="1" spans="1:29" x14ac:dyDescent="0.25">
      <c r="A65" s="14"/>
      <c r="B65" s="115">
        <v>61</v>
      </c>
      <c r="C65" s="115">
        <v>4.71</v>
      </c>
      <c r="D65" s="117" t="s">
        <v>231</v>
      </c>
      <c r="E65" s="119">
        <f>'2021'!I550</f>
        <v>282</v>
      </c>
      <c r="F65" s="119">
        <f>'2021'!J550</f>
      </c>
      <c r="G65" s="119">
        <f>'2021'!M550</f>
        <v>282</v>
      </c>
      <c r="H65" s="119">
        <f>'2021'!N550</f>
        <v>0</v>
      </c>
      <c r="I65" s="119">
        <f>'2021'!Q550</f>
        <v>282</v>
      </c>
      <c r="J65" s="119">
        <f>'2021'!R550</f>
        <v>0</v>
      </c>
      <c r="K65" s="119">
        <f>'2021'!U550</f>
        <v>282</v>
      </c>
      <c r="L65" s="119">
        <f>'2021'!V550</f>
        <v>0</v>
      </c>
      <c r="M65" s="119">
        <f>'2021'!Y550</f>
        <v>283</v>
      </c>
      <c r="N65" s="119">
        <f>'2021'!Z550</f>
        <v>1</v>
      </c>
      <c r="O65" s="119">
        <f>'2021'!AC550</f>
        <v>291</v>
      </c>
      <c r="P65" s="119">
        <f>'2021'!AD550</f>
        <v>8</v>
      </c>
      <c r="Q65" s="119">
        <f>'2021'!AG550</f>
        <v>296</v>
      </c>
      <c r="R65" s="119">
        <f>'2021'!AH550</f>
        <v>5</v>
      </c>
      <c r="S65" s="119">
        <f>'2021'!AK550</f>
        <v>303</v>
      </c>
      <c r="T65" s="119">
        <f>'2021'!AL550</f>
        <v>7</v>
      </c>
      <c r="U65" s="119">
        <f>'2021'!AO550</f>
        <v>303</v>
      </c>
      <c r="V65" s="119">
        <f>'2021'!AP550</f>
        <v>0</v>
      </c>
      <c r="W65" s="119">
        <f>'2021'!AS550</f>
        <v>303</v>
      </c>
      <c r="X65" s="119">
        <f>'2021'!AT550</f>
        <v>0</v>
      </c>
      <c r="Y65" s="119">
        <f>'2021'!AW550</f>
        <v>303</v>
      </c>
      <c r="Z65" s="119">
        <f>'2021'!AX550</f>
        <v>0</v>
      </c>
      <c r="AA65" s="119">
        <f>'2021'!BA550</f>
        <v>303</v>
      </c>
      <c r="AB65" s="119">
        <f>'2021'!BB550</f>
        <v>0</v>
      </c>
      <c r="AC65" s="119">
        <f>'2021'!BE550</f>
        <v>21</v>
      </c>
    </row>
    <row r="66" ht="15.75" customHeight="1" spans="1:29" x14ac:dyDescent="0.25">
      <c r="A66" s="14"/>
      <c r="B66" s="115">
        <v>62</v>
      </c>
      <c r="C66" s="116">
        <v>4.6</v>
      </c>
      <c r="D66" s="15" t="s">
        <v>236</v>
      </c>
      <c r="E66" s="119">
        <f>'2021'!I559</f>
        <v>194</v>
      </c>
      <c r="F66" s="119">
        <f>'2021'!J559</f>
      </c>
      <c r="G66" s="119">
        <f>'2021'!M559</f>
        <v>194</v>
      </c>
      <c r="H66" s="119">
        <f>'2021'!N559</f>
        <v>0</v>
      </c>
      <c r="I66" s="119">
        <f>'2021'!Q559</f>
        <v>194</v>
      </c>
      <c r="J66" s="119">
        <f>'2021'!R559</f>
        <v>0</v>
      </c>
      <c r="K66" s="119">
        <f>'2021'!U559</f>
        <v>194</v>
      </c>
      <c r="L66" s="119">
        <f>'2021'!V559</f>
        <v>0</v>
      </c>
      <c r="M66" s="119">
        <f>'2021'!Y559</f>
        <v>194</v>
      </c>
      <c r="N66" s="119">
        <f>'2021'!Z559</f>
        <v>0</v>
      </c>
      <c r="O66" s="119">
        <f>'2021'!AC559</f>
        <v>194</v>
      </c>
      <c r="P66" s="119">
        <f>'2021'!AD559</f>
        <v>0</v>
      </c>
      <c r="Q66" s="119">
        <f>'2021'!AG559</f>
        <v>194</v>
      </c>
      <c r="R66" s="119">
        <f>'2021'!AH559</f>
        <v>0</v>
      </c>
      <c r="S66" s="119">
        <f>'2021'!AK559</f>
        <v>194</v>
      </c>
      <c r="T66" s="119">
        <f>'2021'!AL559</f>
        <v>0</v>
      </c>
      <c r="U66" s="119">
        <f>'2021'!AO559</f>
        <v>194</v>
      </c>
      <c r="V66" s="119">
        <f>'2021'!AP559</f>
        <v>0</v>
      </c>
      <c r="W66" s="119">
        <f>'2021'!AS559</f>
        <v>194</v>
      </c>
      <c r="X66" s="119">
        <f>'2021'!AT559</f>
        <v>0</v>
      </c>
      <c r="Y66" s="119">
        <f>'2021'!AW559</f>
        <v>194</v>
      </c>
      <c r="Z66" s="119">
        <f>'2021'!AX559</f>
        <v>0</v>
      </c>
      <c r="AA66" s="119">
        <f>'2021'!BA559</f>
        <v>194</v>
      </c>
      <c r="AB66" s="119">
        <f>'2021'!BB559</f>
        <v>0</v>
      </c>
      <c r="AC66" s="119">
        <f>'2021'!BE559</f>
        <v>0</v>
      </c>
    </row>
    <row r="67" ht="15.75" customHeight="1" spans="1:29" x14ac:dyDescent="0.25">
      <c r="A67" s="14"/>
      <c r="B67" s="115" t="s">
        <v>237</v>
      </c>
      <c r="C67" s="115">
        <v>4.01</v>
      </c>
      <c r="D67" s="117" t="s">
        <v>238</v>
      </c>
      <c r="E67" s="119">
        <f>'2021'!I568</f>
        <v>132</v>
      </c>
      <c r="F67" s="119">
        <f>'2021'!J568</f>
      </c>
      <c r="G67" s="119">
        <f>'2021'!M568</f>
        <v>132</v>
      </c>
      <c r="H67" s="119">
        <f>'2021'!N568</f>
        <v>0</v>
      </c>
      <c r="I67" s="119">
        <f>'2021'!Q568</f>
        <v>132</v>
      </c>
      <c r="J67" s="119">
        <f>'2021'!R568</f>
        <v>0</v>
      </c>
      <c r="K67" s="119">
        <f>'2021'!U568</f>
        <v>132</v>
      </c>
      <c r="L67" s="119">
        <f>'2021'!V568</f>
        <v>0</v>
      </c>
      <c r="M67" s="119">
        <f>'2021'!Y568</f>
        <v>133</v>
      </c>
      <c r="N67" s="119">
        <f>'2021'!Z568</f>
        <v>1</v>
      </c>
      <c r="O67" s="119">
        <f>'2021'!AC568</f>
        <v>141</v>
      </c>
      <c r="P67" s="119">
        <f>'2021'!AD568</f>
        <v>8</v>
      </c>
      <c r="Q67" s="119">
        <f>'2021'!AG568</f>
        <v>148</v>
      </c>
      <c r="R67" s="119">
        <f>'2021'!AH568</f>
        <v>7</v>
      </c>
      <c r="S67" s="119">
        <f>'2021'!AK568</f>
        <v>152</v>
      </c>
      <c r="T67" s="119">
        <f>'2021'!AL568</f>
        <v>4</v>
      </c>
      <c r="U67" s="119">
        <f>'2021'!AO568</f>
        <v>153</v>
      </c>
      <c r="V67" s="119">
        <f>'2021'!AP568</f>
        <v>1</v>
      </c>
      <c r="W67" s="119">
        <f>'2021'!AS568</f>
        <v>153</v>
      </c>
      <c r="X67" s="119">
        <f>'2021'!AT568</f>
        <v>0</v>
      </c>
      <c r="Y67" s="119">
        <f>'2021'!AW568</f>
        <v>153</v>
      </c>
      <c r="Z67" s="119">
        <f>'2021'!AX568</f>
        <v>0</v>
      </c>
      <c r="AA67" s="119">
        <f>'2021'!BA568</f>
        <v>153</v>
      </c>
      <c r="AB67" s="119">
        <f>'2021'!BB568</f>
        <v>0</v>
      </c>
      <c r="AC67" s="119">
        <f>'2021'!BE568</f>
        <v>21</v>
      </c>
    </row>
    <row r="68" ht="15.75" customHeight="1" spans="1:29" x14ac:dyDescent="0.25">
      <c r="A68" s="14"/>
      <c r="B68" s="115" t="s">
        <v>237</v>
      </c>
      <c r="C68" s="115">
        <v>4.01</v>
      </c>
      <c r="D68" s="117" t="s">
        <v>238</v>
      </c>
      <c r="E68" s="119">
        <f>'2021'!I577</f>
        <v>197</v>
      </c>
      <c r="F68" s="119">
        <f>'2021'!J577</f>
      </c>
      <c r="G68" s="119">
        <f>'2021'!M577</f>
        <v>197</v>
      </c>
      <c r="H68" s="119">
        <f>'2021'!N577</f>
        <v>0</v>
      </c>
      <c r="I68" s="119">
        <f>'2021'!Q577</f>
        <v>197</v>
      </c>
      <c r="J68" s="119">
        <f>'2021'!R577</f>
        <v>0</v>
      </c>
      <c r="K68" s="119">
        <f>'2021'!U577</f>
        <v>197</v>
      </c>
      <c r="L68" s="119">
        <f>'2021'!V577</f>
        <v>0</v>
      </c>
      <c r="M68" s="119">
        <f>'2021'!Y577</f>
        <v>197</v>
      </c>
      <c r="N68" s="119">
        <f>'2021'!Z577</f>
        <v>0</v>
      </c>
      <c r="O68" s="119">
        <f>'2021'!AC577</f>
        <v>197</v>
      </c>
      <c r="P68" s="119">
        <f>'2021'!AD577</f>
        <v>0</v>
      </c>
      <c r="Q68" s="119">
        <f>'2021'!AG577</f>
        <v>197</v>
      </c>
      <c r="R68" s="119">
        <f>'2021'!AH577</f>
        <v>0</v>
      </c>
      <c r="S68" s="119">
        <f>'2021'!AK577</f>
        <v>197</v>
      </c>
      <c r="T68" s="119">
        <f>'2021'!AL577</f>
        <v>0</v>
      </c>
      <c r="U68" s="119">
        <f>'2021'!AO577</f>
        <v>197</v>
      </c>
      <c r="V68" s="119">
        <f>'2021'!AP577</f>
        <v>0</v>
      </c>
      <c r="W68" s="119">
        <f>'2021'!AS577</f>
        <v>197</v>
      </c>
      <c r="X68" s="119">
        <f>'2021'!AT577</f>
        <v>0</v>
      </c>
      <c r="Y68" s="119">
        <f>'2021'!AW577</f>
        <v>197</v>
      </c>
      <c r="Z68" s="119">
        <f>'2021'!AX577</f>
        <v>0</v>
      </c>
      <c r="AA68" s="119">
        <f>'2021'!BA577</f>
        <v>197</v>
      </c>
      <c r="AB68" s="119">
        <f>'2021'!BB577</f>
        <v>0</v>
      </c>
      <c r="AC68" s="119">
        <f>'2021'!BE577</f>
        <v>0</v>
      </c>
    </row>
    <row r="69" ht="15.75" customHeight="1" spans="1:29" x14ac:dyDescent="0.25">
      <c r="A69" s="14"/>
      <c r="B69" s="115">
        <v>64</v>
      </c>
      <c r="C69" s="115">
        <v>4.24</v>
      </c>
      <c r="D69" s="117" t="s">
        <v>241</v>
      </c>
      <c r="E69" s="119">
        <f>'2021'!I586</f>
        <v>105</v>
      </c>
      <c r="F69" s="119">
        <f>'2021'!J586</f>
      </c>
      <c r="G69" s="119">
        <f>'2021'!M586</f>
        <v>105</v>
      </c>
      <c r="H69" s="119">
        <f>'2021'!N586</f>
        <v>0</v>
      </c>
      <c r="I69" s="119">
        <f>'2021'!Q586</f>
        <v>105</v>
      </c>
      <c r="J69" s="119">
        <f>'2021'!R586</f>
        <v>0</v>
      </c>
      <c r="K69" s="119">
        <f>'2021'!U586</f>
        <v>105</v>
      </c>
      <c r="L69" s="119">
        <f>'2021'!V586</f>
        <v>0</v>
      </c>
      <c r="M69" s="119">
        <f>'2021'!Y586</f>
        <v>44</v>
      </c>
      <c r="N69" s="119">
        <f>'2021'!Z586</f>
        <v>0</v>
      </c>
      <c r="O69" s="119">
        <f>'2021'!AC586</f>
        <v>44</v>
      </c>
      <c r="P69" s="119">
        <f>'2021'!AD586</f>
        <v>0</v>
      </c>
      <c r="Q69" s="119">
        <f>'2021'!AG586</f>
        <v>44</v>
      </c>
      <c r="R69" s="119">
        <f>'2021'!AH586</f>
        <v>0</v>
      </c>
      <c r="S69" s="119">
        <f>'2021'!AK586</f>
        <v>72</v>
      </c>
      <c r="T69" s="119">
        <f>'2021'!AL586</f>
        <v>28</v>
      </c>
      <c r="U69" s="119">
        <f>'2021'!AO586</f>
        <v>74</v>
      </c>
      <c r="V69" s="119">
        <f>'2021'!AP586</f>
        <v>2</v>
      </c>
      <c r="W69" s="119">
        <f>'2021'!AS586</f>
        <v>74</v>
      </c>
      <c r="X69" s="119">
        <f>'2021'!AT586</f>
        <v>0</v>
      </c>
      <c r="Y69" s="119">
        <f>'2021'!AW586</f>
        <v>74</v>
      </c>
      <c r="Z69" s="119">
        <f>'2021'!AX586</f>
        <v>0</v>
      </c>
      <c r="AA69" s="119">
        <f>'2021'!BA586</f>
        <v>74</v>
      </c>
      <c r="AB69" s="119">
        <f>'2021'!BB586</f>
        <v>0</v>
      </c>
      <c r="AC69" s="119">
        <f>'2021'!BE586</f>
        <v>30</v>
      </c>
    </row>
    <row r="70" ht="15.75" customHeight="1" spans="1:29" x14ac:dyDescent="0.25">
      <c r="A70" s="14"/>
      <c r="B70" s="115">
        <v>66</v>
      </c>
      <c r="C70" s="115">
        <v>4.66</v>
      </c>
      <c r="D70" s="117" t="s">
        <v>244</v>
      </c>
      <c r="E70" s="119">
        <f>'2021'!I595</f>
        <v>41</v>
      </c>
      <c r="F70" s="119">
        <f>'2021'!J595</f>
      </c>
      <c r="G70" s="119">
        <f>'2021'!M595</f>
        <v>41</v>
      </c>
      <c r="H70" s="119">
        <f>'2021'!N595</f>
        <v>0</v>
      </c>
      <c r="I70" s="119">
        <f>'2021'!Q595</f>
        <v>41</v>
      </c>
      <c r="J70" s="119">
        <f>'2021'!R595</f>
        <v>0</v>
      </c>
      <c r="K70" s="119">
        <f>'2021'!U595</f>
        <v>41</v>
      </c>
      <c r="L70" s="119">
        <f>'2021'!V595</f>
        <v>0</v>
      </c>
      <c r="M70" s="119">
        <f>'2021'!Y595</f>
        <v>41</v>
      </c>
      <c r="N70" s="119">
        <f>'2021'!Z595</f>
        <v>0</v>
      </c>
      <c r="O70" s="119">
        <f>'2021'!AC595</f>
        <v>41</v>
      </c>
      <c r="P70" s="119">
        <f>'2021'!AD595</f>
        <v>0</v>
      </c>
      <c r="Q70" s="119">
        <f>'2021'!AG595</f>
        <v>41</v>
      </c>
      <c r="R70" s="119">
        <f>'2021'!AH595</f>
        <v>0</v>
      </c>
      <c r="S70" s="119">
        <f>'2021'!AK595</f>
        <v>41</v>
      </c>
      <c r="T70" s="119">
        <f>'2021'!AL595</f>
        <v>0</v>
      </c>
      <c r="U70" s="119">
        <f>'2021'!AO595</f>
        <v>41</v>
      </c>
      <c r="V70" s="119">
        <f>'2021'!AP595</f>
        <v>0</v>
      </c>
      <c r="W70" s="119">
        <f>'2021'!AS595</f>
        <v>41</v>
      </c>
      <c r="X70" s="119">
        <f>'2021'!AT595</f>
        <v>0</v>
      </c>
      <c r="Y70" s="119">
        <f>'2021'!AW595</f>
        <v>41</v>
      </c>
      <c r="Z70" s="119">
        <f>'2021'!AX595</f>
        <v>0</v>
      </c>
      <c r="AA70" s="119">
        <f>'2021'!BA595</f>
        <v>41</v>
      </c>
      <c r="AB70" s="119">
        <f>'2021'!BB595</f>
        <v>0</v>
      </c>
      <c r="AC70" s="119">
        <f>'2021'!BE595</f>
        <v>0</v>
      </c>
    </row>
    <row r="71" ht="15.75" customHeight="1" spans="1:29" x14ac:dyDescent="0.25">
      <c r="A71" s="14"/>
      <c r="B71" s="115">
        <v>67</v>
      </c>
      <c r="C71" s="115">
        <v>6.08</v>
      </c>
      <c r="D71" s="117" t="s">
        <v>245</v>
      </c>
      <c r="E71" s="119">
        <f>'2021'!I604</f>
        <v>170</v>
      </c>
      <c r="F71" s="119">
        <f>'2021'!J604</f>
      </c>
      <c r="G71" s="119">
        <f>'2021'!M604</f>
        <v>170</v>
      </c>
      <c r="H71" s="119">
        <f>'2021'!N604</f>
        <v>0</v>
      </c>
      <c r="I71" s="119">
        <f>'2021'!Q604</f>
        <v>170</v>
      </c>
      <c r="J71" s="119">
        <f>'2021'!R604</f>
        <v>0</v>
      </c>
      <c r="K71" s="119">
        <f>'2021'!U604</f>
        <v>170</v>
      </c>
      <c r="L71" s="119">
        <f>'2021'!V604</f>
        <v>0</v>
      </c>
      <c r="M71" s="119">
        <f>'2021'!Y604</f>
        <v>170</v>
      </c>
      <c r="N71" s="119">
        <f>'2021'!Z604</f>
        <v>0</v>
      </c>
      <c r="O71" s="119">
        <f>'2021'!AC604</f>
        <v>171</v>
      </c>
      <c r="P71" s="119">
        <f>'2021'!AD604</f>
        <v>1</v>
      </c>
      <c r="Q71" s="119">
        <f>'2021'!AG604</f>
        <v>190</v>
      </c>
      <c r="R71" s="119">
        <f>'2021'!AH604</f>
        <v>19</v>
      </c>
      <c r="S71" s="119">
        <f>'2021'!AK604</f>
        <v>197</v>
      </c>
      <c r="T71" s="119">
        <f>'2021'!AL604</f>
        <v>7</v>
      </c>
      <c r="U71" s="119">
        <f>'2021'!AO604</f>
        <v>201</v>
      </c>
      <c r="V71" s="119">
        <f>'2021'!AP604</f>
        <v>4</v>
      </c>
      <c r="W71" s="119">
        <f>'2021'!AS604</f>
        <v>201</v>
      </c>
      <c r="X71" s="119">
        <f>'2021'!AT604</f>
        <v>0</v>
      </c>
      <c r="Y71" s="119">
        <f>'2021'!AW604</f>
        <v>201</v>
      </c>
      <c r="Z71" s="119">
        <f>'2021'!AX604</f>
        <v>0</v>
      </c>
      <c r="AA71" s="119">
        <f>'2021'!BA604</f>
        <v>201</v>
      </c>
      <c r="AB71" s="119">
        <f>'2021'!BB604</f>
        <v>0</v>
      </c>
      <c r="AC71" s="119">
        <f>'2021'!BE604</f>
        <v>31</v>
      </c>
    </row>
    <row r="72" ht="15.75" customHeight="1" spans="1:29" x14ac:dyDescent="0.25">
      <c r="A72" s="14"/>
      <c r="B72" s="115" t="s">
        <v>248</v>
      </c>
      <c r="C72" s="115">
        <v>4.01</v>
      </c>
      <c r="D72" s="117" t="s">
        <v>249</v>
      </c>
      <c r="E72" s="119">
        <f>'2021'!I613</f>
        <v>115</v>
      </c>
      <c r="F72" s="119">
        <f>'2021'!J613</f>
      </c>
      <c r="G72" s="119">
        <f>'2021'!M613</f>
        <v>115</v>
      </c>
      <c r="H72" s="119">
        <f>'2021'!N613</f>
        <v>0</v>
      </c>
      <c r="I72" s="119">
        <f>'2021'!Q613</f>
        <v>115</v>
      </c>
      <c r="J72" s="119">
        <f>'2021'!R613</f>
        <v>0</v>
      </c>
      <c r="K72" s="119">
        <f>'2021'!U613</f>
        <v>115</v>
      </c>
      <c r="L72" s="119">
        <f>'2021'!V613</f>
        <v>0</v>
      </c>
      <c r="M72" s="119">
        <f>'2021'!Y613</f>
        <v>131</v>
      </c>
      <c r="N72" s="119">
        <f>'2021'!Z613</f>
        <v>16</v>
      </c>
      <c r="O72" s="119">
        <f>'2021'!AC613</f>
        <v>142</v>
      </c>
      <c r="P72" s="119">
        <f>'2021'!AD613</f>
        <v>11</v>
      </c>
      <c r="Q72" s="119">
        <f>'2021'!AG613</f>
        <v>153</v>
      </c>
      <c r="R72" s="119">
        <f>'2021'!AH613</f>
        <v>11</v>
      </c>
      <c r="S72" s="119">
        <f>'2021'!AK613</f>
        <v>167</v>
      </c>
      <c r="T72" s="119">
        <f>'2021'!AL613</f>
        <v>14</v>
      </c>
      <c r="U72" s="119">
        <f>'2021'!AO613</f>
        <v>174</v>
      </c>
      <c r="V72" s="119">
        <f>'2021'!AP613</f>
        <v>7</v>
      </c>
      <c r="W72" s="119">
        <f>'2021'!AS613</f>
        <v>174</v>
      </c>
      <c r="X72" s="119">
        <f>'2021'!AT613</f>
        <v>0</v>
      </c>
      <c r="Y72" s="119">
        <f>'2021'!AW613</f>
        <v>174</v>
      </c>
      <c r="Z72" s="119">
        <f>'2021'!AX613</f>
        <v>0</v>
      </c>
      <c r="AA72" s="119">
        <f>'2021'!BA613</f>
        <v>174</v>
      </c>
      <c r="AB72" s="119">
        <f>'2021'!BB613</f>
        <v>0</v>
      </c>
      <c r="AC72" s="119">
        <f>'2021'!BE613</f>
        <v>59</v>
      </c>
    </row>
    <row r="73" ht="15.75" customHeight="1" spans="1:29" x14ac:dyDescent="0.25">
      <c r="A73" s="14"/>
      <c r="B73" s="115" t="s">
        <v>248</v>
      </c>
      <c r="C73" s="115">
        <v>4.02</v>
      </c>
      <c r="D73" s="117" t="s">
        <v>249</v>
      </c>
      <c r="E73" s="119">
        <f>'2021'!I622</f>
      </c>
      <c r="F73" s="119">
        <f>'2021'!J622</f>
      </c>
      <c r="G73" s="119">
        <f>'2021'!M622</f>
      </c>
      <c r="H73" s="119">
        <f>'2021'!N622</f>
        <v>0</v>
      </c>
      <c r="I73" s="119">
        <f>'2021'!Q622</f>
      </c>
      <c r="J73" s="119">
        <f>'2021'!R622</f>
        <v>0</v>
      </c>
      <c r="K73" s="119">
        <f>'2021'!U622</f>
      </c>
      <c r="L73" s="119">
        <f>'2021'!V622</f>
        <v>0</v>
      </c>
      <c r="M73" s="119">
        <f>'2021'!Y622</f>
      </c>
      <c r="N73" s="119">
        <f>'2021'!Z622</f>
        <v>0</v>
      </c>
      <c r="O73" s="119">
        <f>'2021'!AC622</f>
      </c>
      <c r="P73" s="119">
        <f>'2021'!AD622</f>
        <v>0</v>
      </c>
      <c r="Q73" s="119">
        <f>'2021'!AG622</f>
      </c>
      <c r="R73" s="119">
        <f>'2021'!AH622</f>
        <v>0</v>
      </c>
      <c r="S73" s="119">
        <f>'2021'!AK622</f>
      </c>
      <c r="T73" s="119">
        <f>'2021'!AL622</f>
        <v>0</v>
      </c>
      <c r="U73" s="119">
        <f>'2021'!AO622</f>
      </c>
      <c r="V73" s="119">
        <f>'2021'!AP622</f>
        <v>0</v>
      </c>
      <c r="W73" s="119">
        <f>'2021'!AS622</f>
      </c>
      <c r="X73" s="119">
        <f>'2021'!AT622</f>
        <v>0</v>
      </c>
      <c r="Y73" s="119">
        <f>'2021'!AW622</f>
      </c>
      <c r="Z73" s="119">
        <f>'2021'!AX622</f>
        <v>0</v>
      </c>
      <c r="AA73" s="119">
        <f>'2021'!BA622</f>
      </c>
      <c r="AB73" s="119">
        <f>'2021'!BB622</f>
        <v>0</v>
      </c>
      <c r="AC73" s="119">
        <f>'2021'!BE622</f>
        <v>0</v>
      </c>
    </row>
    <row r="74" ht="15.75" customHeight="1" spans="1:29" x14ac:dyDescent="0.25">
      <c r="A74" s="14"/>
      <c r="B74" s="115">
        <v>69</v>
      </c>
      <c r="C74" s="115">
        <v>4.03</v>
      </c>
      <c r="D74" s="117" t="s">
        <v>253</v>
      </c>
      <c r="E74" s="119">
        <f>'2021'!I631</f>
        <v>15</v>
      </c>
      <c r="F74" s="119">
        <f>'2021'!J631</f>
      </c>
      <c r="G74" s="119">
        <f>'2021'!M631</f>
        <v>15</v>
      </c>
      <c r="H74" s="119">
        <f>'2021'!N631</f>
        <v>0</v>
      </c>
      <c r="I74" s="119">
        <f>'2021'!Q631</f>
        <v>15</v>
      </c>
      <c r="J74" s="119">
        <f>'2021'!R631</f>
        <v>0</v>
      </c>
      <c r="K74" s="119">
        <f>'2021'!U631</f>
        <v>15</v>
      </c>
      <c r="L74" s="119">
        <f>'2021'!V631</f>
        <v>0</v>
      </c>
      <c r="M74" s="119">
        <f>'2021'!Y631</f>
        <v>15</v>
      </c>
      <c r="N74" s="119">
        <f>'2021'!Z631</f>
        <v>0</v>
      </c>
      <c r="O74" s="119">
        <f>'2021'!AC631</f>
        <v>15</v>
      </c>
      <c r="P74" s="119">
        <f>'2021'!AD631</f>
        <v>0</v>
      </c>
      <c r="Q74" s="119">
        <f>'2021'!AG631</f>
        <v>15</v>
      </c>
      <c r="R74" s="119">
        <f>'2021'!AH631</f>
        <v>0</v>
      </c>
      <c r="S74" s="119">
        <f>'2021'!AK631</f>
        <v>15</v>
      </c>
      <c r="T74" s="119">
        <f>'2021'!AL631</f>
        <v>0</v>
      </c>
      <c r="U74" s="119">
        <f>'2021'!AO631</f>
        <v>15</v>
      </c>
      <c r="V74" s="119">
        <f>'2021'!AP631</f>
        <v>0</v>
      </c>
      <c r="W74" s="119">
        <f>'2021'!AS631</f>
        <v>15</v>
      </c>
      <c r="X74" s="119">
        <f>'2021'!AT631</f>
        <v>0</v>
      </c>
      <c r="Y74" s="119">
        <f>'2021'!AW631</f>
        <v>15</v>
      </c>
      <c r="Z74" s="119">
        <f>'2021'!AX631</f>
        <v>0</v>
      </c>
      <c r="AA74" s="119">
        <f>'2021'!BA631</f>
        <v>15</v>
      </c>
      <c r="AB74" s="119">
        <f>'2021'!BB631</f>
        <v>0</v>
      </c>
      <c r="AC74" s="119">
        <f>'2021'!BE631</f>
        <v>0</v>
      </c>
    </row>
    <row r="75" ht="15.75" customHeight="1" spans="1:29" x14ac:dyDescent="0.25">
      <c r="A75" s="14"/>
      <c r="B75" s="115">
        <v>71</v>
      </c>
      <c r="C75" s="115">
        <v>5.98</v>
      </c>
      <c r="D75" s="117" t="s">
        <v>255</v>
      </c>
      <c r="E75" s="119">
        <f>'2021'!I640</f>
        <v>258</v>
      </c>
      <c r="F75" s="119">
        <f>'2021'!J640</f>
      </c>
      <c r="G75" s="119">
        <f>'2021'!M640</f>
        <v>258</v>
      </c>
      <c r="H75" s="119">
        <f>'2021'!N640</f>
        <v>0</v>
      </c>
      <c r="I75" s="119">
        <f>'2021'!Q640</f>
        <v>258</v>
      </c>
      <c r="J75" s="119">
        <f>'2021'!R640</f>
        <v>0</v>
      </c>
      <c r="K75" s="119">
        <f>'2021'!U640</f>
        <v>258</v>
      </c>
      <c r="L75" s="119">
        <f>'2021'!V640</f>
        <v>0</v>
      </c>
      <c r="M75" s="119">
        <f>'2021'!Y640</f>
        <v>258</v>
      </c>
      <c r="N75" s="119">
        <f>'2021'!Z640</f>
        <v>0</v>
      </c>
      <c r="O75" s="119">
        <f>'2021'!AC640</f>
        <v>262</v>
      </c>
      <c r="P75" s="119">
        <f>'2021'!AD640</f>
        <v>4</v>
      </c>
      <c r="Q75" s="119">
        <f>'2021'!AG640</f>
        <v>267</v>
      </c>
      <c r="R75" s="119">
        <f>'2021'!AH640</f>
        <v>5</v>
      </c>
      <c r="S75" s="119">
        <f>'2021'!AK640</f>
        <v>272</v>
      </c>
      <c r="T75" s="119">
        <f>'2021'!AL640</f>
        <v>5</v>
      </c>
      <c r="U75" s="119">
        <f>'2021'!AO640</f>
        <v>272</v>
      </c>
      <c r="V75" s="119">
        <f>'2021'!AP640</f>
        <v>0</v>
      </c>
      <c r="W75" s="119">
        <f>'2021'!AS640</f>
        <v>272</v>
      </c>
      <c r="X75" s="119">
        <f>'2021'!AT640</f>
        <v>0</v>
      </c>
      <c r="Y75" s="119">
        <f>'2021'!AW640</f>
        <v>272</v>
      </c>
      <c r="Z75" s="119">
        <f>'2021'!AX640</f>
        <v>0</v>
      </c>
      <c r="AA75" s="119">
        <f>'2021'!BA640</f>
        <v>272</v>
      </c>
      <c r="AB75" s="119">
        <f>'2021'!BB640</f>
        <v>0</v>
      </c>
      <c r="AC75" s="119">
        <f>'2021'!BE640</f>
        <v>14</v>
      </c>
    </row>
    <row r="76" ht="15.75" customHeight="1" spans="1:29" x14ac:dyDescent="0.25">
      <c r="A76" s="14"/>
      <c r="B76" s="115">
        <v>72</v>
      </c>
      <c r="C76" s="115">
        <v>4.03</v>
      </c>
      <c r="D76" s="117" t="s">
        <v>257</v>
      </c>
      <c r="E76" s="119">
        <f>'2021'!I649</f>
        <v>40</v>
      </c>
      <c r="F76" s="119">
        <f>'2021'!J649</f>
      </c>
      <c r="G76" s="119">
        <f>'2021'!M649</f>
        <v>40</v>
      </c>
      <c r="H76" s="119">
        <f>'2021'!N649</f>
        <v>0</v>
      </c>
      <c r="I76" s="119">
        <f>'2021'!Q649</f>
        <v>40</v>
      </c>
      <c r="J76" s="119">
        <f>'2021'!R649</f>
        <v>0</v>
      </c>
      <c r="K76" s="119">
        <f>'2021'!U649</f>
        <v>40</v>
      </c>
      <c r="L76" s="119">
        <f>'2021'!V649</f>
        <v>0</v>
      </c>
      <c r="M76" s="119">
        <f>'2021'!Y649</f>
        <v>40</v>
      </c>
      <c r="N76" s="119">
        <f>'2021'!Z649</f>
        <v>0</v>
      </c>
      <c r="O76" s="119">
        <f>'2021'!AC649</f>
        <v>45</v>
      </c>
      <c r="P76" s="119">
        <f>'2021'!AD649</f>
        <v>5</v>
      </c>
      <c r="Q76" s="119">
        <f>'2021'!AG649</f>
        <v>45</v>
      </c>
      <c r="R76" s="119">
        <f>'2021'!AH649</f>
        <v>0</v>
      </c>
      <c r="S76" s="119">
        <f>'2021'!AK649</f>
        <v>45</v>
      </c>
      <c r="T76" s="119">
        <f>'2021'!AL649</f>
        <v>0</v>
      </c>
      <c r="U76" s="119">
        <f>'2021'!AO649</f>
        <v>45</v>
      </c>
      <c r="V76" s="119">
        <f>'2021'!AP649</f>
        <v>0</v>
      </c>
      <c r="W76" s="119">
        <f>'2021'!AS649</f>
        <v>45</v>
      </c>
      <c r="X76" s="119">
        <f>'2021'!AT649</f>
        <v>0</v>
      </c>
      <c r="Y76" s="119">
        <f>'2021'!AW649</f>
        <v>45</v>
      </c>
      <c r="Z76" s="119">
        <f>'2021'!AX649</f>
        <v>0</v>
      </c>
      <c r="AA76" s="119">
        <f>'2021'!BA649</f>
        <v>45</v>
      </c>
      <c r="AB76" s="119">
        <f>'2021'!BB649</f>
        <v>0</v>
      </c>
      <c r="AC76" s="119">
        <f>'2021'!BE649</f>
        <v>5</v>
      </c>
    </row>
    <row r="77" ht="15.75" customHeight="1" spans="1:29" x14ac:dyDescent="0.25">
      <c r="A77" s="14"/>
      <c r="B77" s="115">
        <v>73</v>
      </c>
      <c r="C77" s="115">
        <v>4.02</v>
      </c>
      <c r="D77" s="117" t="s">
        <v>259</v>
      </c>
      <c r="E77" s="119">
        <f>'2021'!I658</f>
        <v>82</v>
      </c>
      <c r="F77" s="119">
        <f>'2021'!J658</f>
      </c>
      <c r="G77" s="119">
        <f>'2021'!M658</f>
        <v>82</v>
      </c>
      <c r="H77" s="119">
        <f>'2021'!N658</f>
        <v>0</v>
      </c>
      <c r="I77" s="119">
        <f>'2021'!Q658</f>
        <v>82</v>
      </c>
      <c r="J77" s="119">
        <f>'2021'!R658</f>
        <v>0</v>
      </c>
      <c r="K77" s="119">
        <f>'2021'!U658</f>
        <v>82</v>
      </c>
      <c r="L77" s="119">
        <f>'2021'!V658</f>
        <v>0</v>
      </c>
      <c r="M77" s="119">
        <f>'2021'!Y658</f>
        <v>93</v>
      </c>
      <c r="N77" s="119">
        <f>'2021'!Z658</f>
        <v>11</v>
      </c>
      <c r="O77" s="119">
        <f>'2021'!AC658</f>
        <v>98</v>
      </c>
      <c r="P77" s="119">
        <f>'2021'!AD658</f>
        <v>5</v>
      </c>
      <c r="Q77" s="119">
        <f>'2021'!AG658</f>
        <v>101</v>
      </c>
      <c r="R77" s="119">
        <f>'2021'!AH658</f>
        <v>3</v>
      </c>
      <c r="S77" s="119">
        <f>'2021'!AK658</f>
        <v>103</v>
      </c>
      <c r="T77" s="119">
        <f>'2021'!AL658</f>
        <v>2</v>
      </c>
      <c r="U77" s="119">
        <f>'2021'!AO658</f>
        <v>103</v>
      </c>
      <c r="V77" s="119">
        <f>'2021'!AP658</f>
        <v>0</v>
      </c>
      <c r="W77" s="119">
        <f>'2021'!AS658</f>
        <v>103</v>
      </c>
      <c r="X77" s="119">
        <f>'2021'!AT658</f>
        <v>0</v>
      </c>
      <c r="Y77" s="119">
        <f>'2021'!AW658</f>
        <v>103</v>
      </c>
      <c r="Z77" s="119">
        <f>'2021'!AX658</f>
        <v>0</v>
      </c>
      <c r="AA77" s="119">
        <f>'2021'!BA658</f>
        <v>103</v>
      </c>
      <c r="AB77" s="119">
        <f>'2021'!BB658</f>
        <v>0</v>
      </c>
      <c r="AC77" s="119">
        <f>'2021'!BE658</f>
        <v>21</v>
      </c>
    </row>
    <row r="78" ht="15.75" customHeight="1" spans="1:29" x14ac:dyDescent="0.25">
      <c r="A78" s="21"/>
      <c r="B78" s="115">
        <v>74</v>
      </c>
      <c r="C78" s="115">
        <v>4.97</v>
      </c>
      <c r="D78" s="117" t="s">
        <v>262</v>
      </c>
      <c r="E78" s="119">
        <f>'2021'!I667</f>
        <v>161</v>
      </c>
      <c r="F78" s="119">
        <f>'2021'!J667</f>
      </c>
      <c r="G78" s="119">
        <f>'2021'!M667</f>
        <v>161</v>
      </c>
      <c r="H78" s="119">
        <f>'2021'!N667</f>
        <v>0</v>
      </c>
      <c r="I78" s="119">
        <f>'2021'!Q667</f>
        <v>161</v>
      </c>
      <c r="J78" s="119">
        <f>'2021'!R667</f>
        <v>0</v>
      </c>
      <c r="K78" s="119">
        <f>'2021'!U667</f>
        <v>161</v>
      </c>
      <c r="L78" s="119">
        <f>'2021'!V667</f>
        <v>0</v>
      </c>
      <c r="M78" s="119">
        <f>'2021'!Y667</f>
        <v>1</v>
      </c>
      <c r="N78" s="119">
        <f>'2021'!Z667</f>
        <v>0</v>
      </c>
      <c r="O78" s="119">
        <f>'2021'!AC667</f>
        <v>12</v>
      </c>
      <c r="P78" s="119">
        <f>'2021'!AD667</f>
        <v>11</v>
      </c>
      <c r="Q78" s="119">
        <f>'2021'!AG667</f>
        <v>16</v>
      </c>
      <c r="R78" s="119">
        <f>'2021'!AH667</f>
        <v>4</v>
      </c>
      <c r="S78" s="119">
        <f>'2021'!AK667</f>
        <v>20</v>
      </c>
      <c r="T78" s="119">
        <f>'2021'!AL667</f>
        <v>4</v>
      </c>
      <c r="U78" s="119">
        <f>'2021'!AO667</f>
        <v>20</v>
      </c>
      <c r="V78" s="119">
        <f>'2021'!AP667</f>
        <v>0</v>
      </c>
      <c r="W78" s="119">
        <f>'2021'!AS667</f>
        <v>20</v>
      </c>
      <c r="X78" s="119">
        <f>'2021'!AT667</f>
        <v>0</v>
      </c>
      <c r="Y78" s="119">
        <f>'2021'!AW667</f>
        <v>20</v>
      </c>
      <c r="Z78" s="119">
        <f>'2021'!AX667</f>
        <v>0</v>
      </c>
      <c r="AA78" s="119">
        <f>'2021'!BA667</f>
        <v>20</v>
      </c>
      <c r="AB78" s="119">
        <f>'2021'!BB667</f>
        <v>0</v>
      </c>
      <c r="AC78" s="119">
        <f>'2021'!BE667</f>
        <v>19</v>
      </c>
    </row>
    <row r="79" ht="15.75" customHeight="1" spans="1:29" x14ac:dyDescent="0.25">
      <c r="A79" s="114" t="s">
        <v>264</v>
      </c>
      <c r="B79" s="115">
        <v>75</v>
      </c>
      <c r="C79" s="115">
        <v>4.15</v>
      </c>
      <c r="D79" s="117" t="s">
        <v>265</v>
      </c>
      <c r="E79" s="119">
        <f>'2021'!I676</f>
        <v>89</v>
      </c>
      <c r="F79" s="119">
        <f>'2021'!J676</f>
      </c>
      <c r="G79" s="119">
        <f>'2021'!M676</f>
        <v>89</v>
      </c>
      <c r="H79" s="119">
        <f>'2021'!N676</f>
        <v>0</v>
      </c>
      <c r="I79" s="119">
        <f>'2021'!Q676</f>
        <v>96</v>
      </c>
      <c r="J79" s="119">
        <f>'2021'!R676</f>
        <v>7</v>
      </c>
      <c r="K79" s="119">
        <f>'2021'!U676</f>
        <v>97</v>
      </c>
      <c r="L79" s="119">
        <f>'2021'!V676</f>
        <v>1</v>
      </c>
      <c r="M79" s="119">
        <f>'2021'!Y676</f>
        <v>97</v>
      </c>
      <c r="N79" s="119">
        <f>'2021'!Z676</f>
        <v>0</v>
      </c>
      <c r="O79" s="119">
        <f>'2021'!AC676</f>
        <v>97</v>
      </c>
      <c r="P79" s="119">
        <f>'2021'!AD676</f>
        <v>0</v>
      </c>
      <c r="Q79" s="119">
        <f>'2021'!AG676</f>
        <v>97</v>
      </c>
      <c r="R79" s="119">
        <f>'2021'!AH676</f>
        <v>0</v>
      </c>
      <c r="S79" s="119">
        <f>'2021'!AK676</f>
        <v>97</v>
      </c>
      <c r="T79" s="119">
        <f>'2021'!AL676</f>
        <v>0</v>
      </c>
      <c r="U79" s="119">
        <f>'2021'!AO676</f>
        <v>97</v>
      </c>
      <c r="V79" s="119">
        <f>'2021'!AP676</f>
        <v>0</v>
      </c>
      <c r="W79" s="119">
        <f>'2021'!AS676</f>
        <v>97</v>
      </c>
      <c r="X79" s="119">
        <f>'2021'!AT676</f>
        <v>0</v>
      </c>
      <c r="Y79" s="119">
        <f>'2021'!AW676</f>
        <v>97</v>
      </c>
      <c r="Z79" s="119">
        <f>'2021'!AX676</f>
        <v>0</v>
      </c>
      <c r="AA79" s="119">
        <f>'2021'!BA676</f>
        <v>97</v>
      </c>
      <c r="AB79" s="119">
        <f>'2021'!BB676</f>
        <v>0</v>
      </c>
      <c r="AC79" s="119">
        <f>'2021'!BE676</f>
        <v>8</v>
      </c>
    </row>
    <row r="80" ht="15.75" customHeight="1" spans="1:29" x14ac:dyDescent="0.25">
      <c r="A80" s="14"/>
      <c r="B80" s="115">
        <v>76</v>
      </c>
      <c r="C80" s="115">
        <v>4.15</v>
      </c>
      <c r="D80" s="117" t="s">
        <v>267</v>
      </c>
      <c r="E80" s="119">
        <f>'2021'!I685</f>
        <v>21</v>
      </c>
      <c r="F80" s="119">
        <f>'2021'!J685</f>
      </c>
      <c r="G80" s="119">
        <f>'2021'!M685</f>
        <v>21</v>
      </c>
      <c r="H80" s="119">
        <f>'2021'!N685</f>
        <v>0</v>
      </c>
      <c r="I80" s="119">
        <f>'2021'!Q685</f>
        <v>21</v>
      </c>
      <c r="J80" s="119">
        <f>'2021'!R685</f>
        <v>0</v>
      </c>
      <c r="K80" s="119">
        <f>'2021'!U685</f>
        <v>21</v>
      </c>
      <c r="L80" s="119">
        <f>'2021'!V685</f>
        <v>0</v>
      </c>
      <c r="M80" s="119">
        <f>'2021'!Y685</f>
        <v>21</v>
      </c>
      <c r="N80" s="119">
        <f>'2021'!Z685</f>
        <v>0</v>
      </c>
      <c r="O80" s="119">
        <f>'2021'!AC685</f>
        <v>21</v>
      </c>
      <c r="P80" s="119">
        <f>'2021'!AD685</f>
        <v>0</v>
      </c>
      <c r="Q80" s="119">
        <f>'2021'!AG685</f>
        <v>21</v>
      </c>
      <c r="R80" s="119">
        <f>'2021'!AH685</f>
        <v>0</v>
      </c>
      <c r="S80" s="119">
        <f>'2021'!AK685</f>
        <v>23</v>
      </c>
      <c r="T80" s="119">
        <f>'2021'!AL685</f>
        <v>2</v>
      </c>
      <c r="U80" s="119">
        <f>'2021'!AO685</f>
        <v>23</v>
      </c>
      <c r="V80" s="119">
        <f>'2021'!AP685</f>
        <v>0</v>
      </c>
      <c r="W80" s="119">
        <f>'2021'!AS685</f>
        <v>23</v>
      </c>
      <c r="X80" s="119">
        <f>'2021'!AT685</f>
        <v>0</v>
      </c>
      <c r="Y80" s="119">
        <f>'2021'!AW685</f>
        <v>23</v>
      </c>
      <c r="Z80" s="119">
        <f>'2021'!AX685</f>
        <v>0</v>
      </c>
      <c r="AA80" s="119">
        <f>'2021'!BA685</f>
        <v>23</v>
      </c>
      <c r="AB80" s="119">
        <f>'2021'!BB685</f>
        <v>0</v>
      </c>
      <c r="AC80" s="119">
        <f>'2021'!BE685</f>
        <v>2</v>
      </c>
    </row>
    <row r="81" ht="15.75" customHeight="1" spans="1:29" x14ac:dyDescent="0.25">
      <c r="A81" s="14"/>
      <c r="B81" s="115">
        <v>77</v>
      </c>
      <c r="C81" s="115">
        <v>4.12</v>
      </c>
      <c r="D81" s="117" t="s">
        <v>268</v>
      </c>
      <c r="E81" s="119">
        <f>'2021'!I694</f>
        <v>404</v>
      </c>
      <c r="F81" s="119">
        <f>'2021'!J694</f>
      </c>
      <c r="G81" s="119">
        <f>'2021'!M694</f>
        <v>404</v>
      </c>
      <c r="H81" s="119">
        <f>'2021'!N694</f>
        <v>0</v>
      </c>
      <c r="I81" s="119">
        <f>'2021'!Q694</f>
        <v>404</v>
      </c>
      <c r="J81" s="119">
        <f>'2021'!R694</f>
        <v>0</v>
      </c>
      <c r="K81" s="119">
        <f>'2021'!U694</f>
        <v>404</v>
      </c>
      <c r="L81" s="119">
        <f>'2021'!V694</f>
        <v>0</v>
      </c>
      <c r="M81" s="119">
        <f>'2021'!Y694</f>
        <v>405</v>
      </c>
      <c r="N81" s="119">
        <f>'2021'!Z694</f>
        <v>1</v>
      </c>
      <c r="O81" s="119">
        <f>'2021'!AC694</f>
        <v>419</v>
      </c>
      <c r="P81" s="119">
        <f>'2021'!AD694</f>
        <v>14</v>
      </c>
      <c r="Q81" s="119">
        <f>'2021'!AG694</f>
        <v>429</v>
      </c>
      <c r="R81" s="119">
        <f>'2021'!AH694</f>
        <v>10</v>
      </c>
      <c r="S81" s="119">
        <f>'2021'!AK694</f>
        <v>432</v>
      </c>
      <c r="T81" s="119">
        <f>'2021'!AL694</f>
        <v>3</v>
      </c>
      <c r="U81" s="119">
        <f>'2021'!AO694</f>
        <v>432</v>
      </c>
      <c r="V81" s="119">
        <f>'2021'!AP694</f>
        <v>0</v>
      </c>
      <c r="W81" s="119">
        <f>'2021'!AS694</f>
        <v>432</v>
      </c>
      <c r="X81" s="119">
        <f>'2021'!AT694</f>
        <v>0</v>
      </c>
      <c r="Y81" s="119">
        <f>'2021'!AW694</f>
        <v>432</v>
      </c>
      <c r="Z81" s="119">
        <f>'2021'!AX694</f>
        <v>0</v>
      </c>
      <c r="AA81" s="119">
        <f>'2021'!BA694</f>
        <v>432</v>
      </c>
      <c r="AB81" s="119">
        <f>'2021'!BB694</f>
        <v>0</v>
      </c>
      <c r="AC81" s="119">
        <f>'2021'!BE694</f>
        <v>28</v>
      </c>
    </row>
    <row r="82" ht="15.75" customHeight="1" spans="1:29" x14ac:dyDescent="0.25">
      <c r="A82" s="14"/>
      <c r="B82" s="115">
        <v>78</v>
      </c>
      <c r="C82" s="115">
        <v>4.03</v>
      </c>
      <c r="D82" s="117" t="s">
        <v>271</v>
      </c>
      <c r="E82" s="119">
        <f>'2021'!I703</f>
        <v>162</v>
      </c>
      <c r="F82" s="119">
        <f>'2021'!J703</f>
      </c>
      <c r="G82" s="119">
        <f>'2021'!M703</f>
        <v>162</v>
      </c>
      <c r="H82" s="119">
        <f>'2021'!N703</f>
        <v>0</v>
      </c>
      <c r="I82" s="119">
        <f>'2021'!Q703</f>
        <v>162</v>
      </c>
      <c r="J82" s="119">
        <f>'2021'!R703</f>
        <v>0</v>
      </c>
      <c r="K82" s="119">
        <f>'2021'!U703</f>
        <v>162</v>
      </c>
      <c r="L82" s="119">
        <f>'2021'!V703</f>
        <v>0</v>
      </c>
      <c r="M82" s="119">
        <f>'2021'!Y703</f>
        <v>166</v>
      </c>
      <c r="N82" s="119">
        <f>'2021'!Z703</f>
        <v>4</v>
      </c>
      <c r="O82" s="119">
        <f>'2021'!AC703</f>
        <v>182</v>
      </c>
      <c r="P82" s="119">
        <f>'2021'!AD703</f>
        <v>16</v>
      </c>
      <c r="Q82" s="119">
        <f>'2021'!AG703</f>
        <v>188</v>
      </c>
      <c r="R82" s="119">
        <f>'2021'!AH703</f>
        <v>6</v>
      </c>
      <c r="S82" s="119">
        <f>'2021'!AK703</f>
        <v>195</v>
      </c>
      <c r="T82" s="119">
        <f>'2021'!AL703</f>
        <v>7</v>
      </c>
      <c r="U82" s="119">
        <f>'2021'!AO703</f>
        <v>195</v>
      </c>
      <c r="V82" s="119">
        <f>'2021'!AP703</f>
        <v>0</v>
      </c>
      <c r="W82" s="119">
        <f>'2021'!AS703</f>
        <v>195</v>
      </c>
      <c r="X82" s="119">
        <f>'2021'!AT703</f>
        <v>0</v>
      </c>
      <c r="Y82" s="119">
        <f>'2021'!AW703</f>
        <v>195</v>
      </c>
      <c r="Z82" s="119">
        <f>'2021'!AX703</f>
        <v>0</v>
      </c>
      <c r="AA82" s="119">
        <f>'2021'!BA703</f>
        <v>195</v>
      </c>
      <c r="AB82" s="119">
        <f>'2021'!BB703</f>
        <v>0</v>
      </c>
      <c r="AC82" s="119">
        <f>'2021'!BE703</f>
        <v>33</v>
      </c>
    </row>
    <row r="83" ht="15.75" customHeight="1" spans="1:29" x14ac:dyDescent="0.25">
      <c r="A83" s="14"/>
      <c r="B83" s="115">
        <v>79</v>
      </c>
      <c r="C83" s="115">
        <v>4.24</v>
      </c>
      <c r="D83" s="117" t="s">
        <v>275</v>
      </c>
      <c r="E83" s="119">
        <f>'2021'!I712</f>
        <v>1</v>
      </c>
      <c r="F83" s="119">
        <f>'2021'!J712</f>
      </c>
      <c r="G83" s="119">
        <f>'2021'!M712</f>
        <v>1</v>
      </c>
      <c r="H83" s="119">
        <f>'2021'!N712</f>
        <v>0</v>
      </c>
      <c r="I83" s="119">
        <f>'2021'!Q712</f>
        <v>1</v>
      </c>
      <c r="J83" s="119">
        <f>'2021'!R712</f>
        <v>0</v>
      </c>
      <c r="K83" s="119">
        <f>'2021'!U712</f>
        <v>1</v>
      </c>
      <c r="L83" s="119">
        <f>'2021'!V712</f>
        <v>0</v>
      </c>
      <c r="M83" s="119">
        <f>'2021'!Y712</f>
        <v>6</v>
      </c>
      <c r="N83" s="119">
        <f>'2021'!Z712</f>
        <v>5</v>
      </c>
      <c r="O83" s="119">
        <f>'2021'!AC712</f>
        <v>6</v>
      </c>
      <c r="P83" s="119">
        <f>'2021'!AD712</f>
        <v>0</v>
      </c>
      <c r="Q83" s="119">
        <f>'2021'!AG712</f>
        <v>6</v>
      </c>
      <c r="R83" s="119">
        <f>'2021'!AH712</f>
        <v>0</v>
      </c>
      <c r="S83" s="119">
        <f>'2021'!AK712</f>
        <v>6</v>
      </c>
      <c r="T83" s="119">
        <f>'2021'!AL712</f>
        <v>0</v>
      </c>
      <c r="U83" s="119">
        <f>'2021'!AO712</f>
        <v>6</v>
      </c>
      <c r="V83" s="119">
        <f>'2021'!AP712</f>
        <v>0</v>
      </c>
      <c r="W83" s="119">
        <f>'2021'!AS712</f>
        <v>6</v>
      </c>
      <c r="X83" s="119">
        <f>'2021'!AT712</f>
        <v>0</v>
      </c>
      <c r="Y83" s="119">
        <f>'2021'!AW712</f>
        <v>6</v>
      </c>
      <c r="Z83" s="119">
        <f>'2021'!AX712</f>
        <v>0</v>
      </c>
      <c r="AA83" s="119">
        <f>'2021'!BA712</f>
        <v>6</v>
      </c>
      <c r="AB83" s="119">
        <f>'2021'!BB712</f>
        <v>0</v>
      </c>
      <c r="AC83" s="119">
        <f>'2021'!BE712</f>
        <v>5</v>
      </c>
    </row>
    <row r="84" ht="15.75" customHeight="1" spans="1:29" x14ac:dyDescent="0.25">
      <c r="A84" s="14"/>
      <c r="B84" s="115">
        <v>81</v>
      </c>
      <c r="C84" s="116">
        <v>4.3</v>
      </c>
      <c r="D84" s="117" t="s">
        <v>278</v>
      </c>
      <c r="E84" s="119">
        <f>'2021'!I721</f>
        <v>40</v>
      </c>
      <c r="F84" s="119">
        <f>'2021'!J721</f>
      </c>
      <c r="G84" s="119">
        <f>'2021'!M721</f>
        <v>40</v>
      </c>
      <c r="H84" s="119">
        <f>'2021'!N721</f>
        <v>0</v>
      </c>
      <c r="I84" s="119">
        <f>'2021'!Q721</f>
        <v>40</v>
      </c>
      <c r="J84" s="119">
        <f>'2021'!R721</f>
        <v>0</v>
      </c>
      <c r="K84" s="119">
        <f>'2021'!U721</f>
        <v>40</v>
      </c>
      <c r="L84" s="119">
        <f>'2021'!V721</f>
        <v>0</v>
      </c>
      <c r="M84" s="119">
        <f>'2021'!Y721</f>
        <v>1</v>
      </c>
      <c r="N84" s="119">
        <f>'2021'!Z721</f>
        <v>1</v>
      </c>
      <c r="O84" s="119">
        <f>'2021'!AC721</f>
        <v>2</v>
      </c>
      <c r="P84" s="119">
        <f>'2021'!AD721</f>
        <v>1</v>
      </c>
      <c r="Q84" s="119">
        <f>'2021'!AG721</f>
        <v>5</v>
      </c>
      <c r="R84" s="119">
        <f>'2021'!AH721</f>
        <v>3</v>
      </c>
      <c r="S84" s="119">
        <f>'2021'!AK721</f>
        <v>7</v>
      </c>
      <c r="T84" s="119">
        <f>'2021'!AL721</f>
        <v>2</v>
      </c>
      <c r="U84" s="119">
        <f>'2021'!AO721</f>
        <v>9</v>
      </c>
      <c r="V84" s="119">
        <f>'2021'!AP721</f>
        <v>2</v>
      </c>
      <c r="W84" s="119">
        <f>'2021'!AS721</f>
        <v>9</v>
      </c>
      <c r="X84" s="119">
        <f>'2021'!AT721</f>
        <v>0</v>
      </c>
      <c r="Y84" s="119">
        <f>'2021'!AW721</f>
        <v>9</v>
      </c>
      <c r="Z84" s="119">
        <f>'2021'!AX721</f>
        <v>0</v>
      </c>
      <c r="AA84" s="119">
        <f>'2021'!BA721</f>
        <v>9</v>
      </c>
      <c r="AB84" s="119">
        <f>'2021'!BB721</f>
        <v>0</v>
      </c>
      <c r="AC84" s="119">
        <f>'2021'!BE721</f>
        <v>9</v>
      </c>
    </row>
    <row r="85" ht="15.75" customHeight="1" spans="1:29" x14ac:dyDescent="0.25">
      <c r="A85" s="14"/>
      <c r="B85" s="115">
        <v>83</v>
      </c>
      <c r="C85" s="115">
        <v>4.29</v>
      </c>
      <c r="D85" s="117" t="s">
        <v>280</v>
      </c>
      <c r="E85" s="119">
        <f>'2021'!I730</f>
        <v>17</v>
      </c>
      <c r="F85" s="119">
        <f>'2021'!J730</f>
      </c>
      <c r="G85" s="119">
        <f>'2021'!M730</f>
        <v>17</v>
      </c>
      <c r="H85" s="119">
        <f>'2021'!N730</f>
        <v>0</v>
      </c>
      <c r="I85" s="119">
        <f>'2021'!Q730</f>
        <v>17</v>
      </c>
      <c r="J85" s="119">
        <f>'2021'!R730</f>
        <v>0</v>
      </c>
      <c r="K85" s="119">
        <f>'2021'!U730</f>
        <v>18</v>
      </c>
      <c r="L85" s="119">
        <f>'2021'!V730</f>
        <v>1</v>
      </c>
      <c r="M85" s="119">
        <f>'2021'!Y730</f>
        <v>0</v>
      </c>
      <c r="N85" s="119">
        <f>'2021'!Z730</f>
        <v>0</v>
      </c>
      <c r="O85" s="119">
        <f>'2021'!AC730</f>
        <v>0</v>
      </c>
      <c r="P85" s="119">
        <f>'2021'!AD730</f>
        <v>0</v>
      </c>
      <c r="Q85" s="119">
        <f>'2021'!AG730</f>
        <v>0</v>
      </c>
      <c r="R85" s="119">
        <f>'2021'!AH730</f>
        <v>0</v>
      </c>
      <c r="S85" s="119">
        <f>'2021'!AK730</f>
        <v>14</v>
      </c>
      <c r="T85" s="119">
        <f>'2021'!AL730</f>
        <v>14</v>
      </c>
      <c r="U85" s="119">
        <f>'2021'!AO730</f>
        <v>14</v>
      </c>
      <c r="V85" s="119">
        <f>'2021'!AP730</f>
        <v>0</v>
      </c>
      <c r="W85" s="119">
        <f>'2021'!AS730</f>
        <v>14</v>
      </c>
      <c r="X85" s="119">
        <f>'2021'!AT730</f>
        <v>0</v>
      </c>
      <c r="Y85" s="119">
        <f>'2021'!AW730</f>
        <v>14</v>
      </c>
      <c r="Z85" s="119">
        <f>'2021'!AX730</f>
        <v>0</v>
      </c>
      <c r="AA85" s="119">
        <f>'2021'!BA730</f>
        <v>14</v>
      </c>
      <c r="AB85" s="119">
        <f>'2021'!BB730</f>
        <v>0</v>
      </c>
      <c r="AC85" s="119">
        <f>'2021'!BE730</f>
        <v>15</v>
      </c>
    </row>
    <row r="86" ht="15.75" customHeight="1" spans="1:29" x14ac:dyDescent="0.25">
      <c r="A86" s="14"/>
      <c r="B86" s="115">
        <v>85</v>
      </c>
      <c r="C86" s="115">
        <v>4.27</v>
      </c>
      <c r="D86" s="117" t="s">
        <v>282</v>
      </c>
      <c r="E86" s="119">
        <f>'2021'!I739</f>
        <v>160</v>
      </c>
      <c r="F86" s="119">
        <f>'2021'!J739</f>
      </c>
      <c r="G86" s="119">
        <f>'2021'!M739</f>
        <v>160</v>
      </c>
      <c r="H86" s="119">
        <f>'2021'!N739</f>
        <v>0</v>
      </c>
      <c r="I86" s="119">
        <f>'2021'!Q739</f>
        <v>160</v>
      </c>
      <c r="J86" s="119">
        <f>'2021'!R739</f>
        <v>0</v>
      </c>
      <c r="K86" s="119">
        <f>'2021'!U739</f>
        <v>160</v>
      </c>
      <c r="L86" s="119">
        <f>'2021'!V739</f>
        <v>0</v>
      </c>
      <c r="M86" s="119">
        <f>'2021'!Y739</f>
        <v>160</v>
      </c>
      <c r="N86" s="119">
        <f>'2021'!Z739</f>
        <v>0</v>
      </c>
      <c r="O86" s="119">
        <f>'2021'!AC739</f>
        <v>170</v>
      </c>
      <c r="P86" s="119">
        <f>'2021'!AD739</f>
        <v>10</v>
      </c>
      <c r="Q86" s="119">
        <f>'2021'!AG739</f>
        <v>177</v>
      </c>
      <c r="R86" s="119">
        <f>'2021'!AH739</f>
        <v>7</v>
      </c>
      <c r="S86" s="119">
        <f>'2021'!AK739</f>
        <v>192</v>
      </c>
      <c r="T86" s="119">
        <f>'2021'!AL739</f>
        <v>15</v>
      </c>
      <c r="U86" s="119">
        <f>'2021'!AO739</f>
        <v>196</v>
      </c>
      <c r="V86" s="119">
        <f>'2021'!AP739</f>
        <v>4</v>
      </c>
      <c r="W86" s="119">
        <f>'2021'!AS739</f>
        <v>196</v>
      </c>
      <c r="X86" s="119">
        <f>'2021'!AT739</f>
        <v>0</v>
      </c>
      <c r="Y86" s="119">
        <f>'2021'!AW739</f>
        <v>196</v>
      </c>
      <c r="Z86" s="119">
        <f>'2021'!AX739</f>
        <v>0</v>
      </c>
      <c r="AA86" s="119">
        <f>'2021'!BA739</f>
        <v>196</v>
      </c>
      <c r="AB86" s="119">
        <f>'2021'!BB739</f>
        <v>0</v>
      </c>
      <c r="AC86" s="119">
        <f>'2021'!BE739</f>
        <v>36</v>
      </c>
    </row>
    <row r="87" ht="15.75" customHeight="1" spans="1:29" x14ac:dyDescent="0.25">
      <c r="A87" s="14"/>
      <c r="B87" s="115">
        <v>87</v>
      </c>
      <c r="C87" s="115">
        <v>4.23</v>
      </c>
      <c r="D87" s="117" t="s">
        <v>284</v>
      </c>
      <c r="E87" s="119">
        <f>'2021'!I748</f>
        <v>230</v>
      </c>
      <c r="F87" s="119">
        <f>'2021'!J748</f>
      </c>
      <c r="G87" s="119">
        <f>'2021'!M748</f>
        <v>230</v>
      </c>
      <c r="H87" s="119">
        <f>'2021'!N748</f>
        <v>0</v>
      </c>
      <c r="I87" s="119">
        <f>'2021'!Q748</f>
        <v>230</v>
      </c>
      <c r="J87" s="119">
        <f>'2021'!R748</f>
        <v>0</v>
      </c>
      <c r="K87" s="119">
        <f>'2021'!U748</f>
        <v>230</v>
      </c>
      <c r="L87" s="119">
        <f>'2021'!V748</f>
        <v>0</v>
      </c>
      <c r="M87" s="119">
        <f>'2021'!Y748</f>
        <v>230</v>
      </c>
      <c r="N87" s="119">
        <f>'2021'!Z748</f>
        <v>0</v>
      </c>
      <c r="O87" s="119">
        <f>'2021'!AC748</f>
        <v>243</v>
      </c>
      <c r="P87" s="119">
        <f>'2021'!AD748</f>
        <v>13</v>
      </c>
      <c r="Q87" s="119">
        <f>'2021'!AG748</f>
        <v>243</v>
      </c>
      <c r="R87" s="119">
        <f>'2021'!AH748</f>
        <v>0</v>
      </c>
      <c r="S87" s="119">
        <f>'2021'!AK748</f>
        <v>243</v>
      </c>
      <c r="T87" s="119">
        <f>'2021'!AL748</f>
        <v>0</v>
      </c>
      <c r="U87" s="119">
        <f>'2021'!AO748</f>
        <v>273</v>
      </c>
      <c r="V87" s="119">
        <f>'2021'!AP748</f>
        <v>30</v>
      </c>
      <c r="W87" s="119">
        <f>'2021'!AS748</f>
        <v>273</v>
      </c>
      <c r="X87" s="119">
        <f>'2021'!AT748</f>
        <v>0</v>
      </c>
      <c r="Y87" s="119">
        <f>'2021'!AW748</f>
        <v>273</v>
      </c>
      <c r="Z87" s="119">
        <f>'2021'!AX748</f>
        <v>0</v>
      </c>
      <c r="AA87" s="119">
        <f>'2021'!BA748</f>
        <v>273</v>
      </c>
      <c r="AB87" s="119">
        <f>'2021'!BB748</f>
        <v>0</v>
      </c>
      <c r="AC87" s="119">
        <f>'2021'!BE748</f>
        <v>43</v>
      </c>
    </row>
    <row r="88" ht="15.75" customHeight="1" spans="1:29" x14ac:dyDescent="0.25">
      <c r="A88" s="14"/>
      <c r="B88" s="115">
        <v>89</v>
      </c>
      <c r="C88" s="115">
        <v>4.25</v>
      </c>
      <c r="D88" s="117" t="s">
        <v>286</v>
      </c>
      <c r="E88" s="119">
        <f>'2021'!I757</f>
        <v>128</v>
      </c>
      <c r="F88" s="119">
        <f>'2021'!J757</f>
      </c>
      <c r="G88" s="119">
        <f>'2021'!M757</f>
        <v>128</v>
      </c>
      <c r="H88" s="119">
        <f>'2021'!N757</f>
        <v>0</v>
      </c>
      <c r="I88" s="119">
        <f>'2021'!Q757</f>
        <v>128</v>
      </c>
      <c r="J88" s="119">
        <f>'2021'!R757</f>
        <v>0</v>
      </c>
      <c r="K88" s="119">
        <f>'2021'!U757</f>
        <v>128</v>
      </c>
      <c r="L88" s="119">
        <f>'2021'!V757</f>
        <v>0</v>
      </c>
      <c r="M88" s="119">
        <f>'2021'!Y757</f>
        <v>145</v>
      </c>
      <c r="N88" s="119">
        <f>'2021'!Z757</f>
        <v>17</v>
      </c>
      <c r="O88" s="119">
        <f>'2021'!AC757</f>
        <v>157</v>
      </c>
      <c r="P88" s="119">
        <f>'2021'!AD757</f>
        <v>12</v>
      </c>
      <c r="Q88" s="119">
        <f>'2021'!AG757</f>
        <v>159</v>
      </c>
      <c r="R88" s="119">
        <f>'2021'!AH757</f>
        <v>2</v>
      </c>
      <c r="S88" s="119">
        <f>'2021'!AK757</f>
        <v>162</v>
      </c>
      <c r="T88" s="119">
        <f>'2021'!AL757</f>
        <v>3</v>
      </c>
      <c r="U88" s="119">
        <f>'2021'!AO757</f>
        <v>165</v>
      </c>
      <c r="V88" s="119">
        <f>'2021'!AP757</f>
        <v>3</v>
      </c>
      <c r="W88" s="119">
        <f>'2021'!AS757</f>
        <v>165</v>
      </c>
      <c r="X88" s="119">
        <f>'2021'!AT757</f>
        <v>0</v>
      </c>
      <c r="Y88" s="119">
        <f>'2021'!AW757</f>
        <v>165</v>
      </c>
      <c r="Z88" s="119">
        <f>'2021'!AX757</f>
        <v>0</v>
      </c>
      <c r="AA88" s="119">
        <f>'2021'!BA757</f>
        <v>165</v>
      </c>
      <c r="AB88" s="119">
        <f>'2021'!BB757</f>
        <v>0</v>
      </c>
      <c r="AC88" s="119">
        <f>'2021'!BE757</f>
        <v>37</v>
      </c>
    </row>
    <row r="89" ht="15.75" customHeight="1" spans="1:29" x14ac:dyDescent="0.25">
      <c r="A89" s="14"/>
      <c r="B89" s="115">
        <v>91</v>
      </c>
      <c r="C89" s="115">
        <v>4.23</v>
      </c>
      <c r="D89" s="117" t="s">
        <v>288</v>
      </c>
      <c r="E89" s="119">
        <f>'2021'!I766</f>
        <v>99</v>
      </c>
      <c r="F89" s="119">
        <f>'2021'!J766</f>
      </c>
      <c r="G89" s="119">
        <f>'2021'!M766</f>
        <v>99</v>
      </c>
      <c r="H89" s="119">
        <f>'2021'!N766</f>
        <v>0</v>
      </c>
      <c r="I89" s="119">
        <f>'2021'!Q766</f>
        <v>99</v>
      </c>
      <c r="J89" s="119">
        <f>'2021'!R766</f>
        <v>0</v>
      </c>
      <c r="K89" s="119">
        <f>'2021'!U766</f>
        <v>99</v>
      </c>
      <c r="L89" s="119">
        <f>'2021'!V766</f>
        <v>0</v>
      </c>
      <c r="M89" s="119">
        <f>'2021'!Y766</f>
        <v>101</v>
      </c>
      <c r="N89" s="119">
        <f>'2021'!Z766</f>
        <v>2</v>
      </c>
      <c r="O89" s="119">
        <f>'2021'!AC766</f>
        <v>105</v>
      </c>
      <c r="P89" s="119">
        <f>'2021'!AD766</f>
        <v>4</v>
      </c>
      <c r="Q89" s="119">
        <f>'2021'!AG766</f>
        <v>105</v>
      </c>
      <c r="R89" s="119">
        <f>'2021'!AH766</f>
        <v>0</v>
      </c>
      <c r="S89" s="119">
        <f>'2021'!AK766</f>
        <v>108</v>
      </c>
      <c r="T89" s="119">
        <f>'2021'!AL766</f>
        <v>3</v>
      </c>
      <c r="U89" s="119">
        <f>'2021'!AO766</f>
        <v>108</v>
      </c>
      <c r="V89" s="119">
        <f>'2021'!AP766</f>
        <v>0</v>
      </c>
      <c r="W89" s="119">
        <f>'2021'!AS766</f>
        <v>108</v>
      </c>
      <c r="X89" s="119">
        <f>'2021'!AT766</f>
        <v>0</v>
      </c>
      <c r="Y89" s="119">
        <f>'2021'!AW766</f>
        <v>108</v>
      </c>
      <c r="Z89" s="119">
        <f>'2021'!AX766</f>
        <v>0</v>
      </c>
      <c r="AA89" s="119">
        <f>'2021'!BA766</f>
        <v>108</v>
      </c>
      <c r="AB89" s="119">
        <f>'2021'!BB766</f>
        <v>0</v>
      </c>
      <c r="AC89" s="119">
        <f>'2021'!BE766</f>
        <v>9</v>
      </c>
    </row>
    <row r="90" ht="15.75" customHeight="1" spans="1:29" x14ac:dyDescent="0.25">
      <c r="A90" s="14"/>
      <c r="B90" s="115" t="s">
        <v>292</v>
      </c>
      <c r="C90" s="115">
        <v>4.31</v>
      </c>
      <c r="D90" s="117" t="s">
        <v>436</v>
      </c>
      <c r="E90" s="119">
        <f>'2021'!I775</f>
        <v>23</v>
      </c>
      <c r="F90" s="119">
        <f>'2021'!J775</f>
      </c>
      <c r="G90" s="119">
        <f>'2021'!M775</f>
        <v>23</v>
      </c>
      <c r="H90" s="119">
        <f>'2021'!N775</f>
        <v>0</v>
      </c>
      <c r="I90" s="119">
        <f>'2021'!Q775</f>
        <v>23</v>
      </c>
      <c r="J90" s="119">
        <f>'2021'!R775</f>
        <v>0</v>
      </c>
      <c r="K90" s="119">
        <f>'2021'!U775</f>
        <v>23</v>
      </c>
      <c r="L90" s="119">
        <f>'2021'!V775</f>
        <v>0</v>
      </c>
      <c r="M90" s="119">
        <f>'2021'!Y775</f>
        <v>1</v>
      </c>
      <c r="N90" s="119">
        <f>'2021'!Z775</f>
        <v>0</v>
      </c>
      <c r="O90" s="119">
        <f>'2021'!AC775</f>
        <v>3</v>
      </c>
      <c r="P90" s="119">
        <f>'2021'!AD775</f>
        <v>2</v>
      </c>
      <c r="Q90" s="119">
        <f>'2021'!AG775</f>
        <v>9</v>
      </c>
      <c r="R90" s="119">
        <f>'2021'!AH775</f>
        <v>6</v>
      </c>
      <c r="S90" s="119">
        <f>'2021'!AK775</f>
        <v>12</v>
      </c>
      <c r="T90" s="119">
        <f>'2021'!AL775</f>
        <v>3</v>
      </c>
      <c r="U90" s="119">
        <f>'2021'!AO775</f>
        <v>12</v>
      </c>
      <c r="V90" s="119">
        <f>'2021'!AP775</f>
        <v>0</v>
      </c>
      <c r="W90" s="119">
        <f>'2021'!AS775</f>
        <v>12</v>
      </c>
      <c r="X90" s="119">
        <f>'2021'!AT775</f>
        <v>0</v>
      </c>
      <c r="Y90" s="119">
        <f>'2021'!AW775</f>
        <v>12</v>
      </c>
      <c r="Z90" s="119">
        <f>'2021'!AX775</f>
        <v>0</v>
      </c>
      <c r="AA90" s="119">
        <f>'2021'!BA775</f>
        <v>12</v>
      </c>
      <c r="AB90" s="119">
        <f>'2021'!BB775</f>
        <v>0</v>
      </c>
      <c r="AC90" s="119">
        <f>'2021'!BE775</f>
        <v>11</v>
      </c>
    </row>
    <row r="91" ht="15.75" customHeight="1" spans="1:29" x14ac:dyDescent="0.25">
      <c r="A91" s="21"/>
      <c r="B91" s="115" t="s">
        <v>292</v>
      </c>
      <c r="C91" s="115">
        <v>4.25</v>
      </c>
      <c r="D91" s="15" t="s">
        <v>436</v>
      </c>
      <c r="E91" s="119">
        <f>'2021'!I784</f>
        <v>9</v>
      </c>
      <c r="F91" s="119">
        <f>'2021'!J784</f>
      </c>
      <c r="G91" s="119">
        <f>'2021'!M784</f>
        <v>9</v>
      </c>
      <c r="H91" s="119">
        <f>'2021'!N784</f>
        <v>0</v>
      </c>
      <c r="I91" s="119">
        <f>'2021'!Q784</f>
        <v>9</v>
      </c>
      <c r="J91" s="119">
        <f>'2021'!R784</f>
        <v>0</v>
      </c>
      <c r="K91" s="119">
        <f>'2021'!U784</f>
        <v>9</v>
      </c>
      <c r="L91" s="119">
        <f>'2021'!V784</f>
        <v>0</v>
      </c>
      <c r="M91" s="119">
        <f>'2021'!Y784</f>
        <v>9</v>
      </c>
      <c r="N91" s="119">
        <f>'2021'!Z784</f>
        <v>0</v>
      </c>
      <c r="O91" s="119">
        <f>'2021'!AC784</f>
        <v>10</v>
      </c>
      <c r="P91" s="119">
        <f>'2021'!AD784</f>
        <v>1</v>
      </c>
      <c r="Q91" s="119">
        <f>'2021'!AG784</f>
        <v>11</v>
      </c>
      <c r="R91" s="119">
        <f>'2021'!AH784</f>
        <v>1</v>
      </c>
      <c r="S91" s="119">
        <f>'2021'!AK784</f>
        <v>15</v>
      </c>
      <c r="T91" s="119">
        <f>'2021'!AL784</f>
        <v>4</v>
      </c>
      <c r="U91" s="119">
        <f>'2021'!AO784</f>
        <v>18</v>
      </c>
      <c r="V91" s="119">
        <f>'2021'!AP784</f>
        <v>3</v>
      </c>
      <c r="W91" s="119">
        <f>'2021'!AS784</f>
        <v>18</v>
      </c>
      <c r="X91" s="119">
        <f>'2021'!AT784</f>
        <v>0</v>
      </c>
      <c r="Y91" s="119">
        <f>'2021'!AW784</f>
        <v>18</v>
      </c>
      <c r="Z91" s="119">
        <f>'2021'!AX784</f>
        <v>0</v>
      </c>
      <c r="AA91" s="119">
        <f>'2021'!BA784</f>
        <v>18</v>
      </c>
      <c r="AB91" s="119">
        <f>'2021'!BB784</f>
        <v>0</v>
      </c>
      <c r="AC91" s="119">
        <f>'2021'!BE784</f>
        <v>9</v>
      </c>
    </row>
    <row r="92" ht="15.75" customHeight="1" spans="1:29" x14ac:dyDescent="0.25">
      <c r="A92" s="114" t="s">
        <v>297</v>
      </c>
      <c r="B92" s="115">
        <v>80</v>
      </c>
      <c r="C92" s="115">
        <v>4.28</v>
      </c>
      <c r="D92" s="117" t="s">
        <v>298</v>
      </c>
      <c r="E92" s="119">
        <f>'2021'!I793</f>
        <v>34</v>
      </c>
      <c r="F92" s="119">
        <f>'2021'!J793</f>
      </c>
      <c r="G92" s="119">
        <f>'2021'!M793</f>
        <v>34</v>
      </c>
      <c r="H92" s="119">
        <f>'2021'!N793</f>
        <v>0</v>
      </c>
      <c r="I92" s="119">
        <f>'2021'!Q793</f>
        <v>34</v>
      </c>
      <c r="J92" s="119">
        <f>'2021'!R793</f>
        <v>0</v>
      </c>
      <c r="K92" s="119">
        <f>'2021'!U793</f>
        <v>34</v>
      </c>
      <c r="L92" s="119">
        <f>'2021'!V793</f>
        <v>0</v>
      </c>
      <c r="M92" s="119">
        <f>'2021'!Y793</f>
        <v>35</v>
      </c>
      <c r="N92" s="119">
        <f>'2021'!Z793</f>
        <v>1</v>
      </c>
      <c r="O92" s="119">
        <f>'2021'!AC793</f>
        <v>45</v>
      </c>
      <c r="P92" s="119">
        <f>'2021'!AD793</f>
        <v>10</v>
      </c>
      <c r="Q92" s="119">
        <f>'2021'!AG793</f>
        <v>47</v>
      </c>
      <c r="R92" s="119">
        <f>'2021'!AH793</f>
        <v>2</v>
      </c>
      <c r="S92" s="119">
        <f>'2021'!AK793</f>
        <v>50</v>
      </c>
      <c r="T92" s="119">
        <f>'2021'!AL793</f>
        <v>3</v>
      </c>
      <c r="U92" s="119">
        <f>'2021'!AO793</f>
        <v>50</v>
      </c>
      <c r="V92" s="119">
        <f>'2021'!AP793</f>
        <v>0</v>
      </c>
      <c r="W92" s="119">
        <f>'2021'!AS793</f>
        <v>50</v>
      </c>
      <c r="X92" s="119">
        <f>'2021'!AT793</f>
        <v>0</v>
      </c>
      <c r="Y92" s="119">
        <f>'2021'!AW793</f>
        <v>50</v>
      </c>
      <c r="Z92" s="119">
        <f>'2021'!AX793</f>
        <v>0</v>
      </c>
      <c r="AA92" s="119">
        <f>'2021'!BA793</f>
        <v>50</v>
      </c>
      <c r="AB92" s="119">
        <f>'2021'!BB793</f>
        <v>0</v>
      </c>
      <c r="AC92" s="119">
        <f>'2021'!BE793</f>
        <v>16</v>
      </c>
    </row>
    <row r="93" ht="15.75" customHeight="1" spans="1:29" x14ac:dyDescent="0.25">
      <c r="A93" s="14"/>
      <c r="B93" s="115">
        <v>82</v>
      </c>
      <c r="C93" s="115">
        <v>4.28</v>
      </c>
      <c r="D93" s="117" t="s">
        <v>300</v>
      </c>
      <c r="E93" s="119">
        <f>'2021'!I802</f>
        <v>61</v>
      </c>
      <c r="F93" s="119">
        <f>'2021'!J802</f>
      </c>
      <c r="G93" s="119">
        <f>'2021'!M802</f>
        <v>61</v>
      </c>
      <c r="H93" s="119">
        <f>'2021'!N802</f>
        <v>0</v>
      </c>
      <c r="I93" s="119">
        <f>'2021'!Q802</f>
        <v>61</v>
      </c>
      <c r="J93" s="119">
        <f>'2021'!R802</f>
        <v>0</v>
      </c>
      <c r="K93" s="119">
        <f>'2021'!U802</f>
        <v>61</v>
      </c>
      <c r="L93" s="119">
        <f>'2021'!V802</f>
        <v>0</v>
      </c>
      <c r="M93" s="119">
        <f>'2021'!Y802</f>
        <v>61</v>
      </c>
      <c r="N93" s="119">
        <f>'2021'!Z802</f>
        <v>0</v>
      </c>
      <c r="O93" s="119">
        <f>'2021'!AC802</f>
        <v>64</v>
      </c>
      <c r="P93" s="119">
        <f>'2021'!AD802</f>
        <v>3</v>
      </c>
      <c r="Q93" s="119">
        <f>'2021'!AG802</f>
        <v>65</v>
      </c>
      <c r="R93" s="119">
        <f>'2021'!AH802</f>
        <v>1</v>
      </c>
      <c r="S93" s="119">
        <f>'2021'!AK802</f>
        <v>67</v>
      </c>
      <c r="T93" s="119">
        <f>'2021'!AL802</f>
        <v>2</v>
      </c>
      <c r="U93" s="119">
        <f>'2021'!AO802</f>
        <v>69</v>
      </c>
      <c r="V93" s="119">
        <f>'2021'!AP802</f>
        <v>2</v>
      </c>
      <c r="W93" s="119">
        <f>'2021'!AS802</f>
        <v>69</v>
      </c>
      <c r="X93" s="119">
        <f>'2021'!AT802</f>
        <v>0</v>
      </c>
      <c r="Y93" s="119">
        <f>'2021'!AW802</f>
        <v>69</v>
      </c>
      <c r="Z93" s="119">
        <f>'2021'!AX802</f>
        <v>0</v>
      </c>
      <c r="AA93" s="119">
        <f>'2021'!BA802</f>
        <v>69</v>
      </c>
      <c r="AB93" s="119">
        <f>'2021'!BB802</f>
        <v>0</v>
      </c>
      <c r="AC93" s="119">
        <f>'2021'!BE802</f>
        <v>8</v>
      </c>
    </row>
    <row r="94" ht="15.75" customHeight="1" spans="1:29" x14ac:dyDescent="0.25">
      <c r="A94" s="14"/>
      <c r="B94" s="115">
        <v>84</v>
      </c>
      <c r="C94" s="115">
        <v>4.18</v>
      </c>
      <c r="D94" s="117" t="s">
        <v>301</v>
      </c>
      <c r="E94" s="119">
        <f>'2021'!I811</f>
        <v>30</v>
      </c>
      <c r="F94" s="119">
        <f>'2021'!J811</f>
      </c>
      <c r="G94" s="119">
        <f>'2021'!M811</f>
        <v>30</v>
      </c>
      <c r="H94" s="119">
        <f>'2021'!N811</f>
        <v>0</v>
      </c>
      <c r="I94" s="119">
        <f>'2021'!Q811</f>
        <v>30</v>
      </c>
      <c r="J94" s="119">
        <f>'2021'!R811</f>
        <v>0</v>
      </c>
      <c r="K94" s="119">
        <f>'2021'!U811</f>
        <v>30</v>
      </c>
      <c r="L94" s="119">
        <f>'2021'!V811</f>
        <v>0</v>
      </c>
      <c r="M94" s="119">
        <f>'2021'!Y811</f>
        <v>31</v>
      </c>
      <c r="N94" s="119">
        <f>'2021'!Z811</f>
        <v>1</v>
      </c>
      <c r="O94" s="119">
        <f>'2021'!AC811</f>
        <v>35</v>
      </c>
      <c r="P94" s="119">
        <f>'2021'!AD811</f>
        <v>4</v>
      </c>
      <c r="Q94" s="119">
        <f>'2021'!AG811</f>
        <v>38</v>
      </c>
      <c r="R94" s="119">
        <f>'2021'!AH811</f>
        <v>3</v>
      </c>
      <c r="S94" s="119">
        <f>'2021'!AK811</f>
        <v>43</v>
      </c>
      <c r="T94" s="119">
        <f>'2021'!AL811</f>
        <v>5</v>
      </c>
      <c r="U94" s="119">
        <f>'2021'!AO811</f>
        <v>45</v>
      </c>
      <c r="V94" s="119">
        <f>'2021'!AP811</f>
        <v>2</v>
      </c>
      <c r="W94" s="119">
        <f>'2021'!AS811</f>
        <v>45</v>
      </c>
      <c r="X94" s="119">
        <f>'2021'!AT811</f>
        <v>0</v>
      </c>
      <c r="Y94" s="119">
        <f>'2021'!AW811</f>
        <v>45</v>
      </c>
      <c r="Z94" s="119">
        <f>'2021'!AX811</f>
        <v>0</v>
      </c>
      <c r="AA94" s="119">
        <f>'2021'!BA811</f>
        <v>45</v>
      </c>
      <c r="AB94" s="119">
        <f>'2021'!BB811</f>
        <v>0</v>
      </c>
      <c r="AC94" s="119">
        <f>'2021'!BE811</f>
        <v>15</v>
      </c>
    </row>
    <row r="95" ht="15.75" customHeight="1" spans="1:29" x14ac:dyDescent="0.25">
      <c r="A95" s="14"/>
      <c r="B95" s="115">
        <v>86</v>
      </c>
      <c r="C95" s="115">
        <v>4.23</v>
      </c>
      <c r="D95" s="117" t="s">
        <v>304</v>
      </c>
      <c r="E95" s="119">
        <f>'2021'!I820</f>
      </c>
      <c r="F95" s="119">
        <f>'2021'!J820</f>
      </c>
      <c r="G95" s="119">
        <f>'2021'!M820</f>
      </c>
      <c r="H95" s="119">
        <f>'2021'!N820</f>
        <v>0</v>
      </c>
      <c r="I95" s="119">
        <f>'2021'!Q820</f>
      </c>
      <c r="J95" s="119">
        <f>'2021'!R820</f>
        <v>0</v>
      </c>
      <c r="K95" s="119">
        <f>'2021'!U820</f>
      </c>
      <c r="L95" s="119">
        <f>'2021'!V820</f>
        <v>0</v>
      </c>
      <c r="M95" s="119">
        <f>'2021'!Y820</f>
      </c>
      <c r="N95" s="119">
        <f>'2021'!Z820</f>
        <v>0</v>
      </c>
      <c r="O95" s="119">
        <f>'2021'!AC820</f>
      </c>
      <c r="P95" s="119">
        <f>'2021'!AD820</f>
        <v>0</v>
      </c>
      <c r="Q95" s="119">
        <f>'2021'!AG820</f>
      </c>
      <c r="R95" s="119">
        <f>'2021'!AH820</f>
        <v>0</v>
      </c>
      <c r="S95" s="119">
        <f>'2021'!AK820</f>
      </c>
      <c r="T95" s="119">
        <f>'2021'!AL820</f>
        <v>0</v>
      </c>
      <c r="U95" s="119">
        <f>'2021'!AO820</f>
      </c>
      <c r="V95" s="119">
        <f>'2021'!AP820</f>
        <v>0</v>
      </c>
      <c r="W95" s="119">
        <f>'2021'!AS820</f>
      </c>
      <c r="X95" s="119">
        <f>'2021'!AT820</f>
        <v>0</v>
      </c>
      <c r="Y95" s="119">
        <f>'2021'!AW820</f>
      </c>
      <c r="Z95" s="119">
        <f>'2021'!AX820</f>
        <v>0</v>
      </c>
      <c r="AA95" s="119">
        <f>'2021'!BA820</f>
      </c>
      <c r="AB95" s="119">
        <f>'2021'!BB820</f>
        <v>0</v>
      </c>
      <c r="AC95" s="119">
        <f>'2021'!BE820</f>
        <v>0</v>
      </c>
    </row>
    <row r="96" ht="15.75" customHeight="1" spans="1:29" x14ac:dyDescent="0.25">
      <c r="A96" s="14"/>
      <c r="B96" s="115">
        <v>88</v>
      </c>
      <c r="C96" s="115">
        <v>4.23</v>
      </c>
      <c r="D96" s="117" t="s">
        <v>308</v>
      </c>
      <c r="E96" s="119">
        <f>'2021'!I829</f>
      </c>
      <c r="F96" s="119">
        <f>'2021'!J829</f>
      </c>
      <c r="G96" s="119">
        <f>'2021'!M829</f>
      </c>
      <c r="H96" s="119">
        <f>'2021'!N829</f>
        <v>0</v>
      </c>
      <c r="I96" s="119">
        <f>'2021'!Q829</f>
      </c>
      <c r="J96" s="119">
        <f>'2021'!R829</f>
        <v>0</v>
      </c>
      <c r="K96" s="119">
        <f>'2021'!U829</f>
      </c>
      <c r="L96" s="119">
        <f>'2021'!V829</f>
        <v>0</v>
      </c>
      <c r="M96" s="119">
        <f>'2021'!Y829</f>
      </c>
      <c r="N96" s="119">
        <f>'2021'!Z829</f>
        <v>0</v>
      </c>
      <c r="O96" s="119">
        <f>'2021'!AC829</f>
      </c>
      <c r="P96" s="119">
        <f>'2021'!AD829</f>
        <v>0</v>
      </c>
      <c r="Q96" s="119">
        <f>'2021'!AG829</f>
      </c>
      <c r="R96" s="119">
        <f>'2021'!AH829</f>
        <v>0</v>
      </c>
      <c r="S96" s="119">
        <f>'2021'!AK829</f>
      </c>
      <c r="T96" s="119">
        <f>'2021'!AL829</f>
        <v>0</v>
      </c>
      <c r="U96" s="119">
        <f>'2021'!AO829</f>
      </c>
      <c r="V96" s="119">
        <f>'2021'!AP829</f>
        <v>0</v>
      </c>
      <c r="W96" s="119">
        <f>'2021'!AS829</f>
      </c>
      <c r="X96" s="119">
        <f>'2021'!AT829</f>
        <v>0</v>
      </c>
      <c r="Y96" s="119">
        <f>'2021'!AW829</f>
      </c>
      <c r="Z96" s="119">
        <f>'2021'!AX829</f>
        <v>0</v>
      </c>
      <c r="AA96" s="119">
        <f>'2021'!BA829</f>
      </c>
      <c r="AB96" s="119">
        <f>'2021'!BB829</f>
        <v>0</v>
      </c>
      <c r="AC96" s="119">
        <f>'2021'!BE829</f>
        <v>0</v>
      </c>
    </row>
    <row r="97" ht="15.75" customHeight="1" spans="1:29" x14ac:dyDescent="0.25">
      <c r="A97" s="14"/>
      <c r="B97" s="115">
        <v>90</v>
      </c>
      <c r="C97" s="115">
        <v>4.23</v>
      </c>
      <c r="D97" s="117" t="s">
        <v>311</v>
      </c>
      <c r="E97" s="119">
        <f>'2021'!I838</f>
      </c>
      <c r="F97" s="119">
        <f>'2021'!J838</f>
      </c>
      <c r="G97" s="119">
        <f>'2021'!M838</f>
      </c>
      <c r="H97" s="119">
        <f>'2021'!N838</f>
        <v>0</v>
      </c>
      <c r="I97" s="119">
        <f>'2021'!Q838</f>
      </c>
      <c r="J97" s="119">
        <f>'2021'!R838</f>
        <v>0</v>
      </c>
      <c r="K97" s="119">
        <f>'2021'!U838</f>
      </c>
      <c r="L97" s="119">
        <f>'2021'!V838</f>
        <v>0</v>
      </c>
      <c r="M97" s="119">
        <f>'2021'!Y838</f>
      </c>
      <c r="N97" s="119">
        <f>'2021'!Z838</f>
        <v>0</v>
      </c>
      <c r="O97" s="119">
        <f>'2021'!AC838</f>
      </c>
      <c r="P97" s="119">
        <f>'2021'!AD838</f>
        <v>0</v>
      </c>
      <c r="Q97" s="119">
        <f>'2021'!AG838</f>
      </c>
      <c r="R97" s="119">
        <f>'2021'!AH838</f>
        <v>0</v>
      </c>
      <c r="S97" s="119">
        <f>'2021'!AK838</f>
      </c>
      <c r="T97" s="119">
        <f>'2021'!AL838</f>
        <v>0</v>
      </c>
      <c r="U97" s="119">
        <f>'2021'!AO838</f>
      </c>
      <c r="V97" s="119">
        <f>'2021'!AP838</f>
        <v>0</v>
      </c>
      <c r="W97" s="119">
        <f>'2021'!AS838</f>
      </c>
      <c r="X97" s="119">
        <f>'2021'!AT838</f>
        <v>0</v>
      </c>
      <c r="Y97" s="119">
        <f>'2021'!AW838</f>
      </c>
      <c r="Z97" s="119">
        <f>'2021'!AX838</f>
        <v>0</v>
      </c>
      <c r="AA97" s="119">
        <f>'2021'!BA838</f>
      </c>
      <c r="AB97" s="119">
        <f>'2021'!BB838</f>
        <v>0</v>
      </c>
      <c r="AC97" s="119">
        <f>'2021'!BE838</f>
        <v>0</v>
      </c>
    </row>
    <row r="98" ht="15.75" customHeight="1" spans="1:29" x14ac:dyDescent="0.25">
      <c r="A98" s="14"/>
      <c r="B98" s="115">
        <v>92</v>
      </c>
      <c r="C98" s="115">
        <v>4.28</v>
      </c>
      <c r="D98" s="117" t="s">
        <v>312</v>
      </c>
      <c r="E98" s="119">
        <f>'2021'!I847</f>
        <v>235</v>
      </c>
      <c r="F98" s="119">
        <f>'2021'!J847</f>
      </c>
      <c r="G98" s="119">
        <f>'2021'!M847</f>
        <v>235</v>
      </c>
      <c r="H98" s="119">
        <f>'2021'!N847</f>
        <v>0</v>
      </c>
      <c r="I98" s="119">
        <f>'2021'!Q847</f>
        <v>235</v>
      </c>
      <c r="J98" s="119">
        <f>'2021'!R847</f>
        <v>0</v>
      </c>
      <c r="K98" s="119">
        <f>'2021'!U847</f>
        <v>235</v>
      </c>
      <c r="L98" s="119">
        <f>'2021'!V847</f>
        <v>0</v>
      </c>
      <c r="M98" s="119">
        <f>'2021'!Y847</f>
        <v>235</v>
      </c>
      <c r="N98" s="119">
        <f>'2021'!Z847</f>
        <v>0</v>
      </c>
      <c r="O98" s="119">
        <f>'2021'!AC847</f>
        <v>237</v>
      </c>
      <c r="P98" s="119">
        <f>'2021'!AD847</f>
        <v>2</v>
      </c>
      <c r="Q98" s="119">
        <f>'2021'!AG847</f>
        <v>237</v>
      </c>
      <c r="R98" s="119">
        <f>'2021'!AH847</f>
        <v>0</v>
      </c>
      <c r="S98" s="119">
        <f>'2021'!AK847</f>
        <v>253</v>
      </c>
      <c r="T98" s="119">
        <f>'2021'!AL847</f>
        <v>16</v>
      </c>
      <c r="U98" s="119">
        <f>'2021'!AO847</f>
        <v>254</v>
      </c>
      <c r="V98" s="119">
        <f>'2021'!AP847</f>
        <v>1</v>
      </c>
      <c r="W98" s="119">
        <f>'2021'!AS847</f>
        <v>254</v>
      </c>
      <c r="X98" s="119">
        <f>'2021'!AT847</f>
        <v>0</v>
      </c>
      <c r="Y98" s="119">
        <f>'2021'!AW847</f>
        <v>254</v>
      </c>
      <c r="Z98" s="119">
        <f>'2021'!AX847</f>
        <v>0</v>
      </c>
      <c r="AA98" s="119">
        <f>'2021'!BA847</f>
        <v>254</v>
      </c>
      <c r="AB98" s="119">
        <f>'2021'!BB847</f>
        <v>0</v>
      </c>
      <c r="AC98" s="119">
        <f>'2021'!BE847</f>
        <v>19</v>
      </c>
    </row>
    <row r="99" ht="15.75" customHeight="1" spans="1:29" x14ac:dyDescent="0.25">
      <c r="A99" s="14"/>
      <c r="B99" s="115" t="s">
        <v>315</v>
      </c>
      <c r="C99" s="115">
        <v>4.36</v>
      </c>
      <c r="D99" s="117" t="s">
        <v>316</v>
      </c>
      <c r="E99" s="119">
        <f>'2021'!I856</f>
        <v>181</v>
      </c>
      <c r="F99" s="119">
        <f>'2021'!J856</f>
      </c>
      <c r="G99" s="119">
        <f>'2021'!M856</f>
        <v>181</v>
      </c>
      <c r="H99" s="119">
        <f>'2021'!N856</f>
        <v>0</v>
      </c>
      <c r="I99" s="119">
        <f>'2021'!Q856</f>
        <v>181</v>
      </c>
      <c r="J99" s="119">
        <f>'2021'!R856</f>
        <v>0</v>
      </c>
      <c r="K99" s="119">
        <f>'2021'!U856</f>
        <v>181</v>
      </c>
      <c r="L99" s="119">
        <f>'2021'!V856</f>
        <v>0</v>
      </c>
      <c r="M99" s="119">
        <f>'2021'!Y856</f>
        <v>183</v>
      </c>
      <c r="N99" s="119">
        <f>'2021'!Z856</f>
        <v>2</v>
      </c>
      <c r="O99" s="119">
        <f>'2021'!AC856</f>
        <v>187</v>
      </c>
      <c r="P99" s="119">
        <f>'2021'!AD856</f>
        <v>4</v>
      </c>
      <c r="Q99" s="119">
        <f>'2021'!AG856</f>
        <v>190</v>
      </c>
      <c r="R99" s="119">
        <f>'2021'!AH856</f>
        <v>3</v>
      </c>
      <c r="S99" s="119">
        <f>'2021'!AK856</f>
        <v>194</v>
      </c>
      <c r="T99" s="119">
        <f>'2021'!AL856</f>
        <v>4</v>
      </c>
      <c r="U99" s="119">
        <f>'2021'!AO856</f>
        <v>196</v>
      </c>
      <c r="V99" s="119">
        <f>'2021'!AP856</f>
        <v>2</v>
      </c>
      <c r="W99" s="119">
        <f>'2021'!AS856</f>
        <v>196</v>
      </c>
      <c r="X99" s="119">
        <f>'2021'!AT856</f>
        <v>0</v>
      </c>
      <c r="Y99" s="119">
        <f>'2021'!AW856</f>
        <v>196</v>
      </c>
      <c r="Z99" s="119">
        <f>'2021'!AX856</f>
        <v>0</v>
      </c>
      <c r="AA99" s="119">
        <f>'2021'!BA856</f>
        <v>196</v>
      </c>
      <c r="AB99" s="119">
        <f>'2021'!BB856</f>
        <v>0</v>
      </c>
      <c r="AC99" s="119">
        <f>'2021'!BE856</f>
      </c>
    </row>
    <row r="100" ht="15.75" customHeight="1" spans="1:29" x14ac:dyDescent="0.25">
      <c r="A100" s="14"/>
      <c r="B100" s="115" t="s">
        <v>315</v>
      </c>
      <c r="C100" s="116">
        <v>4.4</v>
      </c>
      <c r="D100" s="117" t="s">
        <v>316</v>
      </c>
      <c r="E100" s="119">
        <f>'2021'!I865</f>
        <v>56</v>
      </c>
      <c r="F100" s="119">
        <f>'2021'!J865</f>
      </c>
      <c r="G100" s="119">
        <f>'2021'!M865</f>
        <v>56</v>
      </c>
      <c r="H100" s="119">
        <f>'2021'!N865</f>
        <v>0</v>
      </c>
      <c r="I100" s="119">
        <f>'2021'!Q865</f>
        <v>56</v>
      </c>
      <c r="J100" s="119">
        <f>'2021'!R865</f>
        <v>0</v>
      </c>
      <c r="K100" s="119">
        <f>'2021'!U865</f>
        <v>56</v>
      </c>
      <c r="L100" s="119">
        <f>'2021'!V865</f>
        <v>0</v>
      </c>
      <c r="M100" s="119">
        <f>'2021'!Y865</f>
        <v>1</v>
      </c>
      <c r="N100" s="119">
        <f>'2021'!Z865</f>
        <v>1</v>
      </c>
      <c r="O100" s="119">
        <f>'2021'!AC865</f>
        <v>6</v>
      </c>
      <c r="P100" s="119">
        <f>'2021'!AD865</f>
        <v>5</v>
      </c>
      <c r="Q100" s="119">
        <f>'2021'!AG865</f>
        <v>8</v>
      </c>
      <c r="R100" s="119">
        <f>'2021'!AH865</f>
        <v>2</v>
      </c>
      <c r="S100" s="119">
        <f>'2021'!AK865</f>
        <v>13</v>
      </c>
      <c r="T100" s="119">
        <f>'2021'!AL865</f>
        <v>5</v>
      </c>
      <c r="U100" s="119">
        <f>'2021'!AO865</f>
        <v>15</v>
      </c>
      <c r="V100" s="119">
        <f>'2021'!AP865</f>
        <v>2</v>
      </c>
      <c r="W100" s="119">
        <f>'2021'!AS865</f>
        <v>15</v>
      </c>
      <c r="X100" s="119">
        <f>'2021'!AT865</f>
        <v>0</v>
      </c>
      <c r="Y100" s="119">
        <f>'2021'!AW865</f>
        <v>15</v>
      </c>
      <c r="Z100" s="119">
        <f>'2021'!AX865</f>
        <v>0</v>
      </c>
      <c r="AA100" s="119">
        <f>'2021'!BA865</f>
        <v>15</v>
      </c>
      <c r="AB100" s="119">
        <f>'2021'!BB865</f>
        <v>0</v>
      </c>
      <c r="AC100" s="119">
        <f>'2021'!BE865</f>
        <v>15</v>
      </c>
    </row>
    <row r="101" ht="15.75" customHeight="1" spans="1:29" x14ac:dyDescent="0.25">
      <c r="A101" s="14"/>
      <c r="B101" s="115">
        <v>99</v>
      </c>
      <c r="C101" s="115">
        <v>4.53</v>
      </c>
      <c r="D101" s="117" t="s">
        <v>319</v>
      </c>
      <c r="E101" s="119">
        <f>'2021'!I874</f>
        <v>270</v>
      </c>
      <c r="F101" s="119">
        <f>'2021'!J874</f>
      </c>
      <c r="G101" s="119">
        <f>'2021'!M874</f>
        <v>270</v>
      </c>
      <c r="H101" s="119">
        <f>'2021'!N874</f>
        <v>0</v>
      </c>
      <c r="I101" s="119">
        <f>'2021'!Q874</f>
        <v>270</v>
      </c>
      <c r="J101" s="119">
        <f>'2021'!R874</f>
        <v>0</v>
      </c>
      <c r="K101" s="119">
        <f>'2021'!U874</f>
        <v>270</v>
      </c>
      <c r="L101" s="119">
        <f>'2021'!V874</f>
        <v>0</v>
      </c>
      <c r="M101" s="119">
        <f>'2021'!Y874</f>
        <v>351</v>
      </c>
      <c r="N101" s="119">
        <f>'2021'!Z874</f>
        <v>81</v>
      </c>
      <c r="O101" s="119">
        <f>'2021'!AC874</f>
        <v>351</v>
      </c>
      <c r="P101" s="119">
        <f>'2021'!AD874</f>
        <v>0</v>
      </c>
      <c r="Q101" s="119">
        <f>'2021'!AG874</f>
        <v>351</v>
      </c>
      <c r="R101" s="119">
        <f>'2021'!AH874</f>
        <v>0</v>
      </c>
      <c r="S101" s="119">
        <f>'2021'!AK874</f>
        <v>351</v>
      </c>
      <c r="T101" s="119">
        <f>'2021'!AL874</f>
        <v>0</v>
      </c>
      <c r="U101" s="119">
        <f>'2021'!AO874</f>
        <v>351</v>
      </c>
      <c r="V101" s="119">
        <f>'2021'!AP874</f>
        <v>0</v>
      </c>
      <c r="W101" s="119">
        <f>'2021'!AS874</f>
        <v>351</v>
      </c>
      <c r="X101" s="119">
        <f>'2021'!AT874</f>
        <v>0</v>
      </c>
      <c r="Y101" s="119">
        <f>'2021'!AW874</f>
        <v>351</v>
      </c>
      <c r="Z101" s="119">
        <f>'2021'!AX874</f>
        <v>0</v>
      </c>
      <c r="AA101" s="119">
        <f>'2021'!BA874</f>
        <v>351</v>
      </c>
      <c r="AB101" s="119">
        <f>'2021'!BB874</f>
        <v>0</v>
      </c>
      <c r="AC101" s="119">
        <f>'2021'!BE874</f>
        <v>81</v>
      </c>
    </row>
    <row r="102" ht="15.75" customHeight="1" spans="1:29" x14ac:dyDescent="0.25">
      <c r="A102" s="14"/>
      <c r="B102" s="115">
        <v>101</v>
      </c>
      <c r="C102" s="115">
        <v>4.46</v>
      </c>
      <c r="D102" s="117" t="s">
        <v>321</v>
      </c>
      <c r="E102" s="119">
        <f>'2021'!I883</f>
        <v>641</v>
      </c>
      <c r="F102" s="119">
        <f>'2021'!J883</f>
      </c>
      <c r="G102" s="119">
        <f>'2021'!M883</f>
        <v>641</v>
      </c>
      <c r="H102" s="119">
        <f>'2021'!N883</f>
        <v>0</v>
      </c>
      <c r="I102" s="119">
        <f>'2021'!Q883</f>
        <v>641</v>
      </c>
      <c r="J102" s="119">
        <f>'2021'!R883</f>
        <v>0</v>
      </c>
      <c r="K102" s="119">
        <f>'2021'!U883</f>
        <v>641</v>
      </c>
      <c r="L102" s="119">
        <f>'2021'!V883</f>
        <v>0</v>
      </c>
      <c r="M102" s="119">
        <f>'2021'!Y883</f>
        <v>644</v>
      </c>
      <c r="N102" s="119">
        <f>'2021'!Z883</f>
        <v>3</v>
      </c>
      <c r="O102" s="119">
        <f>'2021'!AC883</f>
        <v>654</v>
      </c>
      <c r="P102" s="119">
        <f>'2021'!AD883</f>
        <v>10</v>
      </c>
      <c r="Q102" s="119">
        <f>'2021'!AG883</f>
        <v>663</v>
      </c>
      <c r="R102" s="119">
        <f>'2021'!AH883</f>
        <v>9</v>
      </c>
      <c r="S102" s="119">
        <f>'2021'!AK883</f>
        <v>675</v>
      </c>
      <c r="T102" s="119">
        <f>'2021'!AL883</f>
        <v>12</v>
      </c>
      <c r="U102" s="119">
        <f>'2021'!AO883</f>
        <v>675</v>
      </c>
      <c r="V102" s="119">
        <f>'2021'!AP883</f>
        <v>0</v>
      </c>
      <c r="W102" s="119">
        <f>'2021'!AS883</f>
        <v>675</v>
      </c>
      <c r="X102" s="119">
        <f>'2021'!AT883</f>
        <v>0</v>
      </c>
      <c r="Y102" s="119">
        <f>'2021'!AW883</f>
        <v>675</v>
      </c>
      <c r="Z102" s="119">
        <f>'2021'!AX883</f>
        <v>0</v>
      </c>
      <c r="AA102" s="119">
        <f>'2021'!BA883</f>
        <v>675</v>
      </c>
      <c r="AB102" s="119">
        <f>'2021'!BB883</f>
        <v>0</v>
      </c>
      <c r="AC102" s="119">
        <f>'2021'!BE883</f>
        <v>34</v>
      </c>
    </row>
    <row r="103" ht="15.75" customHeight="1" spans="1:29" x14ac:dyDescent="0.25">
      <c r="A103" s="14"/>
      <c r="B103" s="115">
        <v>103</v>
      </c>
      <c r="C103" s="115">
        <v>4.42</v>
      </c>
      <c r="D103" s="117" t="s">
        <v>322</v>
      </c>
      <c r="E103" s="119">
        <f>'2021'!I892</f>
        <v>26</v>
      </c>
      <c r="F103" s="119">
        <f>'2021'!J892</f>
      </c>
      <c r="G103" s="119">
        <f>'2021'!M892</f>
        <v>26</v>
      </c>
      <c r="H103" s="119">
        <f>'2021'!N892</f>
        <v>0</v>
      </c>
      <c r="I103" s="119">
        <f>'2021'!Q892</f>
        <v>26</v>
      </c>
      <c r="J103" s="119">
        <f>'2021'!R892</f>
        <v>0</v>
      </c>
      <c r="K103" s="119">
        <f>'2021'!U892</f>
        <v>26</v>
      </c>
      <c r="L103" s="119">
        <f>'2021'!V892</f>
        <v>0</v>
      </c>
      <c r="M103" s="119">
        <f>'2021'!Y892</f>
        <v>28</v>
      </c>
      <c r="N103" s="119">
        <f>'2021'!Z892</f>
        <v>2</v>
      </c>
      <c r="O103" s="119">
        <f>'2021'!AC892</f>
        <v>32</v>
      </c>
      <c r="P103" s="119">
        <f>'2021'!AD892</f>
        <v>4</v>
      </c>
      <c r="Q103" s="119">
        <f>'2021'!AG892</f>
        <v>34</v>
      </c>
      <c r="R103" s="119">
        <f>'2021'!AH892</f>
        <v>2</v>
      </c>
      <c r="S103" s="119">
        <f>'2021'!AK892</f>
        <v>34</v>
      </c>
      <c r="T103" s="119">
        <f>'2021'!AL892</f>
        <v>0</v>
      </c>
      <c r="U103" s="119">
        <f>'2021'!AO892</f>
        <v>36</v>
      </c>
      <c r="V103" s="119">
        <f>'2021'!AP892</f>
        <v>2</v>
      </c>
      <c r="W103" s="119">
        <f>'2021'!AS892</f>
        <v>36</v>
      </c>
      <c r="X103" s="119">
        <f>'2021'!AT892</f>
        <v>0</v>
      </c>
      <c r="Y103" s="119">
        <f>'2021'!AW892</f>
        <v>36</v>
      </c>
      <c r="Z103" s="119">
        <f>'2021'!AX892</f>
        <v>0</v>
      </c>
      <c r="AA103" s="119">
        <f>'2021'!BA892</f>
        <v>36</v>
      </c>
      <c r="AB103" s="119">
        <f>'2021'!BB892</f>
        <v>0</v>
      </c>
      <c r="AC103" s="119">
        <f>'2021'!BE892</f>
        <v>10</v>
      </c>
    </row>
    <row r="104" ht="15.75" customHeight="1" spans="1:29" x14ac:dyDescent="0.25">
      <c r="A104" s="14"/>
      <c r="B104" s="115">
        <v>105</v>
      </c>
      <c r="C104" s="115">
        <v>4.41</v>
      </c>
      <c r="D104" s="117" t="s">
        <v>323</v>
      </c>
      <c r="E104" s="119">
        <f>'2021'!I901</f>
        <v>226</v>
      </c>
      <c r="F104" s="119">
        <f>'2021'!J901</f>
      </c>
      <c r="G104" s="119">
        <f>'2021'!M901</f>
        <v>226</v>
      </c>
      <c r="H104" s="119">
        <f>'2021'!N901</f>
        <v>0</v>
      </c>
      <c r="I104" s="119">
        <f>'2021'!Q901</f>
        <v>226</v>
      </c>
      <c r="J104" s="119">
        <f>'2021'!R901</f>
        <v>0</v>
      </c>
      <c r="K104" s="119">
        <f>'2021'!U901</f>
        <v>226</v>
      </c>
      <c r="L104" s="119">
        <f>'2021'!V901</f>
        <v>0</v>
      </c>
      <c r="M104" s="119">
        <f>'2021'!Y901</f>
        <v>226</v>
      </c>
      <c r="N104" s="119">
        <f>'2021'!Z901</f>
        <v>0</v>
      </c>
      <c r="O104" s="119">
        <f>'2021'!AC901</f>
        <v>246</v>
      </c>
      <c r="P104" s="119">
        <f>'2021'!AD901</f>
        <v>20</v>
      </c>
      <c r="Q104" s="119">
        <f>'2021'!AG901</f>
        <v>271</v>
      </c>
      <c r="R104" s="119">
        <f>'2021'!AH901</f>
        <v>25</v>
      </c>
      <c r="S104" s="119">
        <f>'2021'!AK901</f>
        <v>283</v>
      </c>
      <c r="T104" s="119">
        <f>'2021'!AL901</f>
        <v>12</v>
      </c>
      <c r="U104" s="119">
        <f>'2021'!AO901</f>
        <v>287</v>
      </c>
      <c r="V104" s="119">
        <f>'2021'!AP901</f>
        <v>4</v>
      </c>
      <c r="W104" s="119">
        <f>'2021'!AS901</f>
        <v>287</v>
      </c>
      <c r="X104" s="119">
        <f>'2021'!AT901</f>
        <v>0</v>
      </c>
      <c r="Y104" s="119">
        <f>'2021'!AW901</f>
        <v>287</v>
      </c>
      <c r="Z104" s="119">
        <f>'2021'!AX901</f>
        <v>0</v>
      </c>
      <c r="AA104" s="119">
        <f>'2021'!BA901</f>
        <v>287</v>
      </c>
      <c r="AB104" s="119">
        <f>'2021'!BB901</f>
        <v>0</v>
      </c>
      <c r="AC104" s="119">
        <f>'2021'!BE901</f>
        <v>61</v>
      </c>
    </row>
    <row r="105" ht="15.75" customHeight="1" spans="1:29" x14ac:dyDescent="0.25">
      <c r="A105" s="21"/>
      <c r="B105" s="115">
        <v>107</v>
      </c>
      <c r="C105" s="115">
        <v>4.37</v>
      </c>
      <c r="D105" s="117" t="s">
        <v>325</v>
      </c>
      <c r="E105" s="119">
        <f>'2021'!I910</f>
        <v>133</v>
      </c>
      <c r="F105" s="119">
        <f>'2021'!J910</f>
      </c>
      <c r="G105" s="119">
        <f>'2021'!M910</f>
        <v>133</v>
      </c>
      <c r="H105" s="119">
        <f>'2021'!N910</f>
        <v>0</v>
      </c>
      <c r="I105" s="119">
        <f>'2021'!Q910</f>
        <v>133</v>
      </c>
      <c r="J105" s="119">
        <f>'2021'!R910</f>
        <v>0</v>
      </c>
      <c r="K105" s="119">
        <f>'2021'!U910</f>
        <v>134</v>
      </c>
      <c r="L105" s="119">
        <f>'2021'!V910</f>
        <v>1</v>
      </c>
      <c r="M105" s="119">
        <f>'2021'!Y910</f>
        <v>444</v>
      </c>
      <c r="N105" s="119">
        <f>'2021'!Z910</f>
        <v>0</v>
      </c>
      <c r="O105" s="119">
        <f>'2021'!AC910</f>
        <v>453</v>
      </c>
      <c r="P105" s="119">
        <f>'2021'!AD910</f>
        <v>9</v>
      </c>
      <c r="Q105" s="119">
        <f>'2021'!AG910</f>
        <v>461</v>
      </c>
      <c r="R105" s="119">
        <f>'2021'!AH910</f>
        <v>8</v>
      </c>
      <c r="S105" s="119">
        <f>'2021'!AK910</f>
        <v>468</v>
      </c>
      <c r="T105" s="119">
        <f>'2021'!AL910</f>
        <v>7</v>
      </c>
      <c r="U105" s="119">
        <f>'2021'!AO910</f>
        <v>472</v>
      </c>
      <c r="V105" s="119">
        <f>'2021'!AP910</f>
        <v>4</v>
      </c>
      <c r="W105" s="119">
        <f>'2021'!AS910</f>
        <v>472</v>
      </c>
      <c r="X105" s="119">
        <f>'2021'!AT910</f>
        <v>0</v>
      </c>
      <c r="Y105" s="119">
        <f>'2021'!AW910</f>
        <v>472</v>
      </c>
      <c r="Z105" s="119">
        <f>'2021'!AX910</f>
        <v>0</v>
      </c>
      <c r="AA105" s="119">
        <f>'2021'!BA910</f>
        <v>472</v>
      </c>
      <c r="AB105" s="119">
        <f>'2021'!BB910</f>
        <v>0</v>
      </c>
      <c r="AC105" s="119">
        <f>'2021'!BE910</f>
        <v>29</v>
      </c>
    </row>
    <row r="106" ht="15.75" customHeight="1" spans="1:29" x14ac:dyDescent="0.25">
      <c r="A106" s="114" t="s">
        <v>327</v>
      </c>
      <c r="B106" s="115">
        <v>96</v>
      </c>
      <c r="C106" s="115">
        <v>4.46</v>
      </c>
      <c r="D106" s="117" t="s">
        <v>450</v>
      </c>
      <c r="E106" s="119">
        <f>'2021'!I919</f>
      </c>
      <c r="F106" s="119">
        <f>'2021'!J919</f>
      </c>
      <c r="G106" s="119">
        <f>'2021'!M919</f>
      </c>
      <c r="H106" s="119">
        <f>'2021'!N919</f>
        <v>0</v>
      </c>
      <c r="I106" s="119">
        <f>'2021'!Q919</f>
      </c>
      <c r="J106" s="119">
        <f>'2021'!R919</f>
        <v>0</v>
      </c>
      <c r="K106" s="119">
        <f>'2021'!U919</f>
      </c>
      <c r="L106" s="119">
        <f>'2021'!V919</f>
        <v>0</v>
      </c>
      <c r="M106" s="119">
        <f>'2021'!Y919</f>
      </c>
      <c r="N106" s="119">
        <f>'2021'!Z919</f>
        <v>0</v>
      </c>
      <c r="O106" s="119">
        <f>'2021'!AC919</f>
      </c>
      <c r="P106" s="119">
        <f>'2021'!AD919</f>
        <v>0</v>
      </c>
      <c r="Q106" s="119">
        <f>'2021'!AG919</f>
      </c>
      <c r="R106" s="119">
        <f>'2021'!AH919</f>
        <v>0</v>
      </c>
      <c r="S106" s="119">
        <f>'2021'!AK919</f>
      </c>
      <c r="T106" s="119">
        <f>'2021'!AL919</f>
        <v>0</v>
      </c>
      <c r="U106" s="119">
        <f>'2021'!AO919</f>
      </c>
      <c r="V106" s="119">
        <f>'2021'!AP919</f>
        <v>0</v>
      </c>
      <c r="W106" s="119">
        <f>'2021'!AS919</f>
      </c>
      <c r="X106" s="119">
        <f>'2021'!AT919</f>
        <v>0</v>
      </c>
      <c r="Y106" s="119">
        <f>'2021'!AW919</f>
      </c>
      <c r="Z106" s="119">
        <f>'2021'!AX919</f>
        <v>0</v>
      </c>
      <c r="AA106" s="119">
        <f>'2021'!BA919</f>
      </c>
      <c r="AB106" s="119">
        <f>'2021'!BB919</f>
        <v>0</v>
      </c>
      <c r="AC106" s="119">
        <f>'2021'!BE919</f>
        <v>0</v>
      </c>
    </row>
    <row r="107" ht="15.75" customHeight="1" spans="1:29" x14ac:dyDescent="0.25">
      <c r="A107" s="14"/>
      <c r="B107" s="115">
        <v>98</v>
      </c>
      <c r="C107" s="115">
        <v>4.45</v>
      </c>
      <c r="D107" s="117" t="s">
        <v>328</v>
      </c>
      <c r="E107" s="119">
        <f>'2021'!I928</f>
        <v>166</v>
      </c>
      <c r="F107" s="119">
        <f>'2021'!J928</f>
      </c>
      <c r="G107" s="119">
        <f>'2021'!M928</f>
        <v>166</v>
      </c>
      <c r="H107" s="119">
        <f>'2021'!N928</f>
        <v>0</v>
      </c>
      <c r="I107" s="119">
        <f>'2021'!Q928</f>
        <v>166</v>
      </c>
      <c r="J107" s="119">
        <f>'2021'!R928</f>
        <v>0</v>
      </c>
      <c r="K107" s="119">
        <f>'2021'!U928</f>
        <v>166</v>
      </c>
      <c r="L107" s="119">
        <f>'2021'!V928</f>
        <v>0</v>
      </c>
      <c r="M107" s="119">
        <f>'2021'!Y928</f>
        <v>1</v>
      </c>
      <c r="N107" s="119">
        <f>'2021'!Z928</f>
        <v>0</v>
      </c>
      <c r="O107" s="119">
        <f>'2021'!AC928</f>
      </c>
      <c r="P107" s="119">
        <f>'2021'!AD928</f>
        <v>0</v>
      </c>
      <c r="Q107" s="119">
        <f>'2021'!AG928</f>
      </c>
      <c r="R107" s="119">
        <f>'2021'!AH928</f>
        <v>0</v>
      </c>
      <c r="S107" s="119">
        <f>'2021'!AK928</f>
      </c>
      <c r="T107" s="119">
        <f>'2021'!AL928</f>
        <v>0</v>
      </c>
      <c r="U107" s="119">
        <f>'2021'!AO928</f>
      </c>
      <c r="V107" s="119">
        <f>'2021'!AP928</f>
        <v>0</v>
      </c>
      <c r="W107" s="119">
        <f>'2021'!AS928</f>
      </c>
      <c r="X107" s="119">
        <f>'2021'!AT928</f>
        <v>0</v>
      </c>
      <c r="Y107" s="119">
        <f>'2021'!AW928</f>
      </c>
      <c r="Z107" s="119">
        <f>'2021'!AX928</f>
        <v>0</v>
      </c>
      <c r="AA107" s="119">
        <f>'2021'!BA928</f>
      </c>
      <c r="AB107" s="119">
        <f>'2021'!BB928</f>
        <v>0</v>
      </c>
      <c r="AC107" s="119">
        <f>'2021'!BE928</f>
        <v>0</v>
      </c>
    </row>
    <row r="108" ht="15.75" customHeight="1" spans="1:29" x14ac:dyDescent="0.25">
      <c r="A108" s="14"/>
      <c r="B108" s="115">
        <v>100</v>
      </c>
      <c r="C108" s="115">
        <v>4.47</v>
      </c>
      <c r="D108" s="117" t="s">
        <v>330</v>
      </c>
      <c r="E108" s="119">
        <f>'2021'!I937</f>
        <v>128</v>
      </c>
      <c r="F108" s="119">
        <f>'2021'!J937</f>
      </c>
      <c r="G108" s="119">
        <f>'2021'!M937</f>
        <v>128</v>
      </c>
      <c r="H108" s="119">
        <f>'2021'!N937</f>
        <v>0</v>
      </c>
      <c r="I108" s="119">
        <f>'2021'!Q937</f>
        <v>128</v>
      </c>
      <c r="J108" s="119">
        <f>'2021'!R937</f>
        <v>0</v>
      </c>
      <c r="K108" s="119">
        <f>'2021'!U937</f>
        <v>143</v>
      </c>
      <c r="L108" s="119">
        <f>'2021'!V937</f>
        <v>15</v>
      </c>
      <c r="M108" s="119">
        <f>'2021'!Y937</f>
        <v>0</v>
      </c>
      <c r="N108" s="119">
        <f>'2021'!Z937</f>
        <v>0</v>
      </c>
      <c r="O108" s="119">
        <f>'2021'!AC937</f>
      </c>
      <c r="P108" s="119">
        <f>'2021'!AD937</f>
        <v>0</v>
      </c>
      <c r="Q108" s="119">
        <f>'2021'!AG937</f>
      </c>
      <c r="R108" s="119">
        <f>'2021'!AH937</f>
        <v>0</v>
      </c>
      <c r="S108" s="119">
        <f>'2021'!AK937</f>
      </c>
      <c r="T108" s="119">
        <f>'2021'!AL937</f>
        <v>0</v>
      </c>
      <c r="U108" s="119">
        <f>'2021'!AO937</f>
      </c>
      <c r="V108" s="119">
        <f>'2021'!AP937</f>
        <v>0</v>
      </c>
      <c r="W108" s="119">
        <f>'2021'!AS937</f>
      </c>
      <c r="X108" s="119">
        <f>'2021'!AT937</f>
        <v>0</v>
      </c>
      <c r="Y108" s="119">
        <f>'2021'!AW937</f>
      </c>
      <c r="Z108" s="119">
        <f>'2021'!AX937</f>
        <v>0</v>
      </c>
      <c r="AA108" s="119">
        <f>'2021'!BA937</f>
      </c>
      <c r="AB108" s="119">
        <f>'2021'!BB937</f>
        <v>0</v>
      </c>
      <c r="AC108" s="119">
        <f>'2021'!BE937</f>
        <v>15</v>
      </c>
    </row>
    <row r="109" ht="15.75" customHeight="1" spans="1:29" x14ac:dyDescent="0.25">
      <c r="A109" s="14"/>
      <c r="B109" s="115">
        <v>102</v>
      </c>
      <c r="C109" s="115">
        <v>4.45</v>
      </c>
      <c r="D109" s="117" t="s">
        <v>331</v>
      </c>
      <c r="E109" s="119">
        <f>'2021'!I946</f>
        <v>41</v>
      </c>
      <c r="F109" s="119">
        <f>'2021'!J946</f>
      </c>
      <c r="G109" s="119">
        <f>'2021'!M946</f>
        <v>41</v>
      </c>
      <c r="H109" s="119">
        <f>'2021'!N946</f>
        <v>0</v>
      </c>
      <c r="I109" s="119">
        <f>'2021'!Q946</f>
        <v>41</v>
      </c>
      <c r="J109" s="119">
        <f>'2021'!R946</f>
        <v>0</v>
      </c>
      <c r="K109" s="119">
        <f>'2021'!U946</f>
        <v>41</v>
      </c>
      <c r="L109" s="119">
        <f>'2021'!V946</f>
        <v>0</v>
      </c>
      <c r="M109" s="119">
        <f>'2021'!Y946</f>
        <v>47</v>
      </c>
      <c r="N109" s="119">
        <f>'2021'!Z946</f>
        <v>6</v>
      </c>
      <c r="O109" s="119">
        <f>'2021'!AC946</f>
        <v>47</v>
      </c>
      <c r="P109" s="119">
        <f>'2021'!AD946</f>
        <v>0</v>
      </c>
      <c r="Q109" s="119">
        <f>'2021'!AG946</f>
        <v>47</v>
      </c>
      <c r="R109" s="119">
        <f>'2021'!AH946</f>
        <v>0</v>
      </c>
      <c r="S109" s="119">
        <f>'2021'!AK946</f>
        <v>47</v>
      </c>
      <c r="T109" s="119">
        <f>'2021'!AL946</f>
        <v>0</v>
      </c>
      <c r="U109" s="119">
        <f>'2021'!AO946</f>
        <v>47</v>
      </c>
      <c r="V109" s="119">
        <f>'2021'!AP946</f>
        <v>0</v>
      </c>
      <c r="W109" s="119">
        <f>'2021'!AS946</f>
        <v>47</v>
      </c>
      <c r="X109" s="119">
        <f>'2021'!AT946</f>
        <v>0</v>
      </c>
      <c r="Y109" s="119">
        <f>'2021'!AW946</f>
        <v>47</v>
      </c>
      <c r="Z109" s="119">
        <f>'2021'!AX946</f>
        <v>0</v>
      </c>
      <c r="AA109" s="119">
        <f>'2021'!BA946</f>
        <v>47</v>
      </c>
      <c r="AB109" s="119">
        <f>'2021'!BB946</f>
        <v>0</v>
      </c>
      <c r="AC109" s="119">
        <f>'2021'!BE946</f>
        <v>6</v>
      </c>
    </row>
    <row r="110" ht="15.75" customHeight="1" spans="1:29" x14ac:dyDescent="0.25">
      <c r="A110" s="14"/>
      <c r="B110" s="115">
        <v>104</v>
      </c>
      <c r="C110" s="115">
        <v>4.42</v>
      </c>
      <c r="D110" s="117" t="s">
        <v>333</v>
      </c>
      <c r="E110" s="119">
        <f>'2021'!I955</f>
        <v>238</v>
      </c>
      <c r="F110" s="119">
        <f>'2021'!J955</f>
      </c>
      <c r="G110" s="119">
        <f>'2021'!M955</f>
        <v>238</v>
      </c>
      <c r="H110" s="119">
        <f>'2021'!N955</f>
        <v>0</v>
      </c>
      <c r="I110" s="119">
        <f>'2021'!Q955</f>
        <v>238</v>
      </c>
      <c r="J110" s="119">
        <f>'2021'!R955</f>
        <v>0</v>
      </c>
      <c r="K110" s="119">
        <f>'2021'!U955</f>
        <v>238</v>
      </c>
      <c r="L110" s="119">
        <f>'2021'!V955</f>
        <v>0</v>
      </c>
      <c r="M110" s="119">
        <f>'2021'!Y955</f>
        <v>238</v>
      </c>
      <c r="N110" s="119">
        <f>'2021'!Z955</f>
        <v>0</v>
      </c>
      <c r="O110" s="119">
        <f>'2021'!AC955</f>
        <v>251</v>
      </c>
      <c r="P110" s="119">
        <f>'2021'!AD955</f>
        <v>13</v>
      </c>
      <c r="Q110" s="119">
        <f>'2021'!AG955</f>
        <v>260</v>
      </c>
      <c r="R110" s="119">
        <f>'2021'!AH955</f>
        <v>9</v>
      </c>
      <c r="S110" s="119">
        <f>'2021'!AK955</f>
        <v>260</v>
      </c>
      <c r="T110" s="119">
        <f>'2021'!AL955</f>
        <v>0</v>
      </c>
      <c r="U110" s="119">
        <f>'2021'!AO955</f>
        <v>260</v>
      </c>
      <c r="V110" s="119">
        <f>'2021'!AP955</f>
        <v>0</v>
      </c>
      <c r="W110" s="119">
        <f>'2021'!AS955</f>
        <v>260</v>
      </c>
      <c r="X110" s="119">
        <f>'2021'!AT955</f>
        <v>0</v>
      </c>
      <c r="Y110" s="119">
        <f>'2021'!AW955</f>
        <v>260</v>
      </c>
      <c r="Z110" s="119">
        <f>'2021'!AX955</f>
        <v>0</v>
      </c>
      <c r="AA110" s="119">
        <f>'2021'!BA955</f>
        <v>260</v>
      </c>
      <c r="AB110" s="119">
        <f>'2021'!BB955</f>
        <v>0</v>
      </c>
      <c r="AC110" s="119">
        <f>'2021'!BE955</f>
        <v>22</v>
      </c>
    </row>
    <row r="111" ht="15.75" customHeight="1" spans="1:29" x14ac:dyDescent="0.25">
      <c r="A111" s="14"/>
      <c r="B111" s="115">
        <v>106</v>
      </c>
      <c r="C111" s="115">
        <v>4.57</v>
      </c>
      <c r="D111" s="117" t="s">
        <v>336</v>
      </c>
      <c r="E111" s="119">
        <f>'2021'!I964</f>
        <v>423</v>
      </c>
      <c r="F111" s="119">
        <f>'2021'!J964</f>
      </c>
      <c r="G111" s="119">
        <f>'2021'!M964</f>
        <v>423</v>
      </c>
      <c r="H111" s="119">
        <f>'2021'!N964</f>
        <v>0</v>
      </c>
      <c r="I111" s="119">
        <f>'2021'!Q964</f>
        <v>423</v>
      </c>
      <c r="J111" s="119">
        <f>'2021'!R964</f>
        <v>0</v>
      </c>
      <c r="K111" s="119">
        <f>'2021'!U964</f>
        <v>423</v>
      </c>
      <c r="L111" s="119">
        <f>'2021'!V964</f>
        <v>0</v>
      </c>
      <c r="M111" s="119">
        <f>'2021'!Y964</f>
        <v>1</v>
      </c>
      <c r="N111" s="119">
        <f>'2021'!Z964</f>
        <v>1</v>
      </c>
      <c r="O111" s="119">
        <f>'2021'!AC964</f>
        <v>9</v>
      </c>
      <c r="P111" s="119">
        <f>'2021'!AD964</f>
        <v>8</v>
      </c>
      <c r="Q111" s="119">
        <f>'2021'!AG964</f>
        <v>18</v>
      </c>
      <c r="R111" s="119">
        <f>'2021'!AH964</f>
        <v>9</v>
      </c>
      <c r="S111" s="119">
        <f>'2021'!AK964</f>
        <v>20</v>
      </c>
      <c r="T111" s="119">
        <f>'2021'!AL964</f>
        <v>2</v>
      </c>
      <c r="U111" s="119">
        <f>'2021'!AO964</f>
        <v>22</v>
      </c>
      <c r="V111" s="119">
        <f>'2021'!AP964</f>
        <v>2</v>
      </c>
      <c r="W111" s="119">
        <f>'2021'!AS964</f>
        <v>22</v>
      </c>
      <c r="X111" s="119">
        <f>'2021'!AT964</f>
        <v>0</v>
      </c>
      <c r="Y111" s="119">
        <f>'2021'!AW964</f>
        <v>22</v>
      </c>
      <c r="Z111" s="119">
        <f>'2021'!AX964</f>
        <v>0</v>
      </c>
      <c r="AA111" s="119">
        <f>'2021'!BA964</f>
        <v>22</v>
      </c>
      <c r="AB111" s="119">
        <f>'2021'!BB964</f>
        <v>0</v>
      </c>
      <c r="AC111" s="119">
        <f>'2021'!BE964</f>
        <v>22</v>
      </c>
    </row>
    <row r="112" ht="15.75" customHeight="1" spans="1:29" x14ac:dyDescent="0.25">
      <c r="A112" s="14"/>
      <c r="B112" s="115">
        <v>108</v>
      </c>
      <c r="C112" s="115">
        <v>4.32</v>
      </c>
      <c r="D112" s="117" t="s">
        <v>339</v>
      </c>
      <c r="E112" s="119">
        <f>'2021'!I973</f>
      </c>
      <c r="F112" s="119">
        <f>'2021'!J973</f>
      </c>
      <c r="G112" s="119">
        <f>'2021'!M973</f>
      </c>
      <c r="H112" s="119">
        <f>'2021'!N973</f>
        <v>0</v>
      </c>
      <c r="I112" s="119">
        <f>'2021'!Q973</f>
      </c>
      <c r="J112" s="119">
        <f>'2021'!R973</f>
        <v>0</v>
      </c>
      <c r="K112" s="119">
        <f>'2021'!U973</f>
      </c>
      <c r="L112" s="119">
        <f>'2021'!V973</f>
        <v>0</v>
      </c>
      <c r="M112" s="119">
        <f>'2021'!Y973</f>
      </c>
      <c r="N112" s="119">
        <f>'2021'!Z973</f>
        <v>0</v>
      </c>
      <c r="O112" s="119">
        <f>'2021'!AC973</f>
      </c>
      <c r="P112" s="119">
        <f>'2021'!AD973</f>
        <v>0</v>
      </c>
      <c r="Q112" s="119">
        <f>'2021'!AG973</f>
      </c>
      <c r="R112" s="119">
        <f>'2021'!AH973</f>
        <v>0</v>
      </c>
      <c r="S112" s="119">
        <f>'2021'!AK973</f>
      </c>
      <c r="T112" s="119">
        <f>'2021'!AL973</f>
        <v>0</v>
      </c>
      <c r="U112" s="119">
        <f>'2021'!AO973</f>
      </c>
      <c r="V112" s="119">
        <f>'2021'!AP973</f>
        <v>0</v>
      </c>
      <c r="W112" s="119">
        <f>'2021'!AS973</f>
      </c>
      <c r="X112" s="119">
        <f>'2021'!AT973</f>
        <v>0</v>
      </c>
      <c r="Y112" s="119">
        <f>'2021'!AW973</f>
      </c>
      <c r="Z112" s="119">
        <f>'2021'!AX973</f>
        <v>0</v>
      </c>
      <c r="AA112" s="119">
        <f>'2021'!BA973</f>
      </c>
      <c r="AB112" s="119">
        <f>'2021'!BB973</f>
        <v>0</v>
      </c>
      <c r="AC112" s="119">
        <f>'2021'!BE973</f>
        <v>0</v>
      </c>
    </row>
    <row r="113" ht="15.75" customHeight="1" spans="1:29" x14ac:dyDescent="0.25">
      <c r="A113" s="14"/>
      <c r="B113" s="115">
        <v>109</v>
      </c>
      <c r="C113" s="115">
        <v>6.22</v>
      </c>
      <c r="D113" s="2" t="s">
        <v>455</v>
      </c>
      <c r="E113" s="119">
        <f>'2021'!I982</f>
        <v>8</v>
      </c>
      <c r="F113" s="119">
        <f>'2021'!J982</f>
      </c>
      <c r="G113" s="119">
        <f>'2021'!M982</f>
        <v>8</v>
      </c>
      <c r="H113" s="119">
        <f>'2021'!N982</f>
        <v>0</v>
      </c>
      <c r="I113" s="119">
        <f>'2021'!Q982</f>
        <v>8</v>
      </c>
      <c r="J113" s="119">
        <f>'2021'!R982</f>
        <v>0</v>
      </c>
      <c r="K113" s="119">
        <f>'2021'!U982</f>
        <v>8</v>
      </c>
      <c r="L113" s="119">
        <f>'2021'!V982</f>
        <v>0</v>
      </c>
      <c r="M113" s="119">
        <f>'2021'!Y982</f>
        <v>8</v>
      </c>
      <c r="N113" s="119">
        <f>'2021'!Z982</f>
        <v>0</v>
      </c>
      <c r="O113" s="119">
        <f>'2021'!AC982</f>
        <v>8</v>
      </c>
      <c r="P113" s="119">
        <f>'2021'!AD982</f>
        <v>0</v>
      </c>
      <c r="Q113" s="119">
        <f>'2021'!AG982</f>
        <v>8</v>
      </c>
      <c r="R113" s="119">
        <f>'2021'!AH982</f>
        <v>0</v>
      </c>
      <c r="S113" s="119">
        <f>'2021'!AK982</f>
        <v>8</v>
      </c>
      <c r="T113" s="119">
        <f>'2021'!AL982</f>
        <v>0</v>
      </c>
      <c r="U113" s="119">
        <f>'2021'!AO982</f>
        <v>11</v>
      </c>
      <c r="V113" s="119">
        <f>'2021'!AP982</f>
        <v>3</v>
      </c>
      <c r="W113" s="119">
        <f>'2021'!AS982</f>
        <v>11</v>
      </c>
      <c r="X113" s="119">
        <f>'2021'!AT982</f>
        <v>0</v>
      </c>
      <c r="Y113" s="119">
        <f>'2021'!AW982</f>
        <v>11</v>
      </c>
      <c r="Z113" s="119">
        <f>'2021'!AX982</f>
        <v>0</v>
      </c>
      <c r="AA113" s="119">
        <f>'2021'!BA982</f>
        <v>11</v>
      </c>
      <c r="AB113" s="119">
        <f>'2021'!BB982</f>
        <v>0</v>
      </c>
      <c r="AC113" s="119">
        <f>'2021'!BE982</f>
        <v>3</v>
      </c>
    </row>
    <row r="114" ht="15.75" customHeight="1" spans="1:29" x14ac:dyDescent="0.25">
      <c r="A114" s="14"/>
      <c r="B114" s="115">
        <v>110</v>
      </c>
      <c r="C114" s="115">
        <v>4.91</v>
      </c>
      <c r="D114" s="117" t="s">
        <v>342</v>
      </c>
      <c r="E114" s="119">
        <f>'2021'!I991</f>
        <v>41</v>
      </c>
      <c r="F114" s="119">
        <f>'2021'!J991</f>
      </c>
      <c r="G114" s="119">
        <f>'2021'!M991</f>
        <v>41</v>
      </c>
      <c r="H114" s="119">
        <f>'2021'!N991</f>
        <v>0</v>
      </c>
      <c r="I114" s="119">
        <f>'2021'!Q991</f>
        <v>41</v>
      </c>
      <c r="J114" s="119">
        <f>'2021'!R991</f>
        <v>0</v>
      </c>
      <c r="K114" s="119">
        <f>'2021'!U991</f>
        <v>41</v>
      </c>
      <c r="L114" s="119">
        <f>'2021'!V991</f>
        <v>0</v>
      </c>
      <c r="M114" s="119">
        <f>'2021'!Y991</f>
        <v>41</v>
      </c>
      <c r="N114" s="119">
        <f>'2021'!Z991</f>
        <v>0</v>
      </c>
      <c r="O114" s="119">
        <f>'2021'!AC991</f>
        <v>41</v>
      </c>
      <c r="P114" s="119">
        <f>'2021'!AD991</f>
        <v>0</v>
      </c>
      <c r="Q114" s="119">
        <f>'2021'!AG991</f>
        <v>41</v>
      </c>
      <c r="R114" s="119">
        <f>'2021'!AH991</f>
        <v>0</v>
      </c>
      <c r="S114" s="119">
        <f>'2021'!AK991</f>
        <v>41</v>
      </c>
      <c r="T114" s="119">
        <f>'2021'!AL991</f>
        <v>0</v>
      </c>
      <c r="U114" s="119">
        <f>'2021'!AO991</f>
        <v>41</v>
      </c>
      <c r="V114" s="119">
        <f>'2021'!AP991</f>
        <v>0</v>
      </c>
      <c r="W114" s="119">
        <f>'2021'!AS991</f>
        <v>41</v>
      </c>
      <c r="X114" s="119">
        <f>'2021'!AT991</f>
        <v>0</v>
      </c>
      <c r="Y114" s="119">
        <f>'2021'!AW991</f>
        <v>41</v>
      </c>
      <c r="Z114" s="119">
        <f>'2021'!AX991</f>
        <v>0</v>
      </c>
      <c r="AA114" s="119">
        <f>'2021'!BA991</f>
        <v>41</v>
      </c>
      <c r="AB114" s="119">
        <f>'2021'!BB991</f>
        <v>0</v>
      </c>
      <c r="AC114" s="119">
        <f>'2021'!BE991</f>
        <v>0</v>
      </c>
    </row>
    <row r="115" ht="15.75" customHeight="1" spans="1:29" x14ac:dyDescent="0.25">
      <c r="A115" s="14"/>
      <c r="B115" s="115">
        <v>111</v>
      </c>
      <c r="C115" s="116">
        <v>6.8</v>
      </c>
      <c r="D115" s="117" t="s">
        <v>280</v>
      </c>
      <c r="E115" s="119">
        <f>'2021'!I1000</f>
        <v>6</v>
      </c>
      <c r="F115" s="119">
        <f>'2021'!J1000</f>
      </c>
      <c r="G115" s="119">
        <f>'2021'!M1000</f>
        <v>6</v>
      </c>
      <c r="H115" s="119">
        <f>'2021'!N1000</f>
        <v>0</v>
      </c>
      <c r="I115" s="119">
        <f>'2021'!Q1000</f>
        <v>6</v>
      </c>
      <c r="J115" s="119">
        <f>'2021'!R1000</f>
        <v>0</v>
      </c>
      <c r="K115" s="119">
        <f>'2021'!U1000</f>
        <v>6</v>
      </c>
      <c r="L115" s="119">
        <f>'2021'!V1000</f>
        <v>0</v>
      </c>
      <c r="M115" s="119">
        <f>'2021'!Y1000</f>
        <v>7</v>
      </c>
      <c r="N115" s="119">
        <f>'2021'!Z1000</f>
        <v>1</v>
      </c>
      <c r="O115" s="119">
        <f>'2021'!AC1000</f>
        <v>9</v>
      </c>
      <c r="P115" s="119">
        <f>'2021'!AD1000</f>
        <v>2</v>
      </c>
      <c r="Q115" s="119">
        <f>'2021'!AG1000</f>
        <v>13</v>
      </c>
      <c r="R115" s="119">
        <f>'2021'!AH1000</f>
        <v>4</v>
      </c>
      <c r="S115" s="119">
        <f>'2021'!AK1000</f>
        <v>15</v>
      </c>
      <c r="T115" s="119">
        <f>'2021'!AL1000</f>
        <v>2</v>
      </c>
      <c r="U115" s="119">
        <f>'2021'!AO1000</f>
        <v>15</v>
      </c>
      <c r="V115" s="119">
        <f>'2021'!AP1000</f>
        <v>0</v>
      </c>
      <c r="W115" s="119">
        <f>'2021'!AS1000</f>
        <v>15</v>
      </c>
      <c r="X115" s="119">
        <f>'2021'!AT1000</f>
        <v>0</v>
      </c>
      <c r="Y115" s="119">
        <f>'2021'!AW1000</f>
        <v>15</v>
      </c>
      <c r="Z115" s="119">
        <f>'2021'!AX1000</f>
        <v>0</v>
      </c>
      <c r="AA115" s="119">
        <f>'2021'!BA1000</f>
        <v>15</v>
      </c>
      <c r="AB115" s="119">
        <f>'2021'!BB1000</f>
        <v>0</v>
      </c>
      <c r="AC115" s="119">
        <f>'2021'!BE1000</f>
        <v>9</v>
      </c>
    </row>
    <row r="116" ht="15.75" customHeight="1" spans="1:29" x14ac:dyDescent="0.25">
      <c r="A116" s="14"/>
      <c r="B116" s="115">
        <v>112</v>
      </c>
      <c r="C116" s="115">
        <v>4.94</v>
      </c>
      <c r="D116" s="117" t="s">
        <v>347</v>
      </c>
      <c r="E116" s="119">
        <f>'2021'!I1009</f>
        <v>48</v>
      </c>
      <c r="F116" s="119">
        <f>'2021'!J1009</f>
      </c>
      <c r="G116" s="119">
        <f>'2021'!M1009</f>
        <v>48</v>
      </c>
      <c r="H116" s="119">
        <f>'2021'!N1009</f>
        <v>0</v>
      </c>
      <c r="I116" s="119">
        <f>'2021'!Q1009</f>
        <v>48</v>
      </c>
      <c r="J116" s="119">
        <f>'2021'!R1009</f>
        <v>0</v>
      </c>
      <c r="K116" s="119">
        <f>'2021'!U1009</f>
        <v>48</v>
      </c>
      <c r="L116" s="119">
        <f>'2021'!V1009</f>
        <v>0</v>
      </c>
      <c r="M116" s="119">
        <f>'2021'!Y1009</f>
        <v>52</v>
      </c>
      <c r="N116" s="119">
        <f>'2021'!Z1009</f>
        <v>4</v>
      </c>
      <c r="O116" s="119">
        <f>'2021'!AC1009</f>
        <v>52</v>
      </c>
      <c r="P116" s="119">
        <f>'2021'!AD1009</f>
        <v>0</v>
      </c>
      <c r="Q116" s="119">
        <f>'2021'!AG1009</f>
        <v>52</v>
      </c>
      <c r="R116" s="119">
        <f>'2021'!AH1009</f>
        <v>0</v>
      </c>
      <c r="S116" s="119">
        <f>'2021'!AK1009</f>
        <v>52</v>
      </c>
      <c r="T116" s="119">
        <f>'2021'!AL1009</f>
        <v>0</v>
      </c>
      <c r="U116" s="119">
        <f>'2021'!AO1009</f>
        <v>52</v>
      </c>
      <c r="V116" s="119">
        <f>'2021'!AP1009</f>
        <v>0</v>
      </c>
      <c r="W116" s="119">
        <f>'2021'!AS1009</f>
        <v>52</v>
      </c>
      <c r="X116" s="119">
        <f>'2021'!AT1009</f>
        <v>0</v>
      </c>
      <c r="Y116" s="119">
        <f>'2021'!AW1009</f>
        <v>52</v>
      </c>
      <c r="Z116" s="119">
        <f>'2021'!AX1009</f>
        <v>0</v>
      </c>
      <c r="AA116" s="119">
        <f>'2021'!BA1009</f>
        <v>52</v>
      </c>
      <c r="AB116" s="119">
        <f>'2021'!BB1009</f>
        <v>0</v>
      </c>
      <c r="AC116" s="119">
        <f>'2021'!BE1009</f>
        <v>4</v>
      </c>
    </row>
    <row r="117" ht="15.75" customHeight="1" spans="1:29" x14ac:dyDescent="0.25">
      <c r="A117" s="14"/>
      <c r="B117" s="115">
        <v>113</v>
      </c>
      <c r="C117" s="115">
        <v>4.98</v>
      </c>
      <c r="D117" s="117" t="s">
        <v>348</v>
      </c>
      <c r="E117" s="119">
        <f>'2021'!I1018</f>
      </c>
      <c r="F117" s="119">
        <f>'2021'!J1018</f>
      </c>
      <c r="G117" s="119">
        <f>'2021'!M1018</f>
      </c>
      <c r="H117" s="119">
        <f>'2021'!N1018</f>
        <v>0</v>
      </c>
      <c r="I117" s="119">
        <f>'2021'!Q1018</f>
      </c>
      <c r="J117" s="119">
        <f>'2021'!R1018</f>
        <v>0</v>
      </c>
      <c r="K117" s="119">
        <f>'2021'!U1018</f>
      </c>
      <c r="L117" s="119">
        <f>'2021'!V1018</f>
        <v>0</v>
      </c>
      <c r="M117" s="119">
        <f>'2021'!Y1018</f>
      </c>
      <c r="N117" s="119">
        <f>'2021'!Z1018</f>
        <v>0</v>
      </c>
      <c r="O117" s="119">
        <f>'2021'!AC1018</f>
      </c>
      <c r="P117" s="119">
        <f>'2021'!AD1018</f>
        <v>0</v>
      </c>
      <c r="Q117" s="119">
        <f>'2021'!AG1018</f>
      </c>
      <c r="R117" s="119">
        <f>'2021'!AH1018</f>
        <v>0</v>
      </c>
      <c r="S117" s="119">
        <f>'2021'!AK1018</f>
      </c>
      <c r="T117" s="119">
        <f>'2021'!AL1018</f>
        <v>0</v>
      </c>
      <c r="U117" s="119">
        <f>'2021'!AO1018</f>
      </c>
      <c r="V117" s="119">
        <f>'2021'!AP1018</f>
        <v>0</v>
      </c>
      <c r="W117" s="119">
        <f>'2021'!AS1018</f>
      </c>
      <c r="X117" s="119">
        <f>'2021'!AT1018</f>
        <v>0</v>
      </c>
      <c r="Y117" s="119">
        <f>'2021'!AW1018</f>
      </c>
      <c r="Z117" s="119">
        <f>'2021'!AX1018</f>
        <v>0</v>
      </c>
      <c r="AA117" s="119">
        <f>'2021'!BA1018</f>
      </c>
      <c r="AB117" s="119">
        <f>'2021'!BB1018</f>
        <v>0</v>
      </c>
      <c r="AC117" s="119">
        <f>'2021'!BE1018</f>
        <v>0</v>
      </c>
    </row>
    <row r="118" ht="15.75" customHeight="1" spans="1:29" x14ac:dyDescent="0.25">
      <c r="A118" s="14"/>
      <c r="B118" s="118">
        <v>114</v>
      </c>
      <c r="C118" s="115">
        <v>4.86</v>
      </c>
      <c r="D118" s="117" t="s">
        <v>245</v>
      </c>
      <c r="E118" s="119">
        <f>'2021'!I1027</f>
        <v>47</v>
      </c>
      <c r="F118" s="119">
        <f>'2021'!J1027</f>
      </c>
      <c r="G118" s="119">
        <f>'2021'!M1027</f>
        <v>47</v>
      </c>
      <c r="H118" s="119">
        <f>'2021'!N1027</f>
        <v>0</v>
      </c>
      <c r="I118" s="119">
        <f>'2021'!Q1027</f>
        <v>47</v>
      </c>
      <c r="J118" s="119">
        <f>'2021'!R1027</f>
        <v>0</v>
      </c>
      <c r="K118" s="119">
        <f>'2021'!U1027</f>
        <v>47</v>
      </c>
      <c r="L118" s="119">
        <f>'2021'!V1027</f>
        <v>0</v>
      </c>
      <c r="M118" s="119">
        <f>'2021'!Y1027</f>
        <v>50</v>
      </c>
      <c r="N118" s="119">
        <f>'2021'!Z1027</f>
        <v>3</v>
      </c>
      <c r="O118" s="119">
        <f>'2021'!AC1027</f>
        <v>69</v>
      </c>
      <c r="P118" s="119">
        <f>'2021'!AD1027</f>
        <v>19</v>
      </c>
      <c r="Q118" s="119">
        <f>'2021'!AG1027</f>
        <v>83</v>
      </c>
      <c r="R118" s="119">
        <f>'2021'!AH1027</f>
        <v>14</v>
      </c>
      <c r="S118" s="119">
        <f>'2021'!AK1027</f>
        <v>90</v>
      </c>
      <c r="T118" s="119">
        <f>'2021'!AL1027</f>
        <v>7</v>
      </c>
      <c r="U118" s="119">
        <f>'2021'!AO1027</f>
        <v>93</v>
      </c>
      <c r="V118" s="119">
        <f>'2021'!AP1027</f>
        <v>3</v>
      </c>
      <c r="W118" s="119">
        <f>'2021'!AS1027</f>
        <v>93</v>
      </c>
      <c r="X118" s="119">
        <f>'2021'!AT1027</f>
        <v>0</v>
      </c>
      <c r="Y118" s="119">
        <f>'2021'!AW1027</f>
        <v>93</v>
      </c>
      <c r="Z118" s="119">
        <f>'2021'!AX1027</f>
        <v>0</v>
      </c>
      <c r="AA118" s="119">
        <f>'2021'!BA1027</f>
        <v>93</v>
      </c>
      <c r="AB118" s="119">
        <f>'2021'!BB1027</f>
        <v>0</v>
      </c>
      <c r="AC118" s="119">
        <f>'2021'!BE1027</f>
        <v>46</v>
      </c>
    </row>
    <row r="119" ht="15.75" customHeight="1" spans="1:29" x14ac:dyDescent="0.25">
      <c r="A119" s="117"/>
      <c r="B119" s="115" t="s">
        <v>350</v>
      </c>
      <c r="C119" s="116">
        <f>SUM(C5:C118)</f>
        <v>505.74</v>
      </c>
      <c r="D119" s="117"/>
      <c r="E119" s="119">
        <f t="shared" ref="E119:AC119" si="0">SUM(E5:E118)</f>
        <v>12197</v>
      </c>
      <c r="F119" s="119">
        <f t="shared" si="0"/>
        <v>0</v>
      </c>
      <c r="G119" s="119">
        <f t="shared" si="0"/>
        <v>12197</v>
      </c>
      <c r="H119" s="119">
        <f t="shared" si="0"/>
        <v>0</v>
      </c>
      <c r="I119" s="119">
        <f t="shared" si="0"/>
        <v>12204</v>
      </c>
      <c r="J119" s="119">
        <f t="shared" si="0"/>
        <v>7</v>
      </c>
      <c r="K119" s="119">
        <f t="shared" si="0"/>
        <v>12224</v>
      </c>
      <c r="L119" s="119">
        <f t="shared" si="0"/>
        <v>20</v>
      </c>
      <c r="M119" s="119">
        <f t="shared" si="0"/>
        <v>11233</v>
      </c>
      <c r="N119" s="119">
        <f t="shared" si="0"/>
        <v>245</v>
      </c>
      <c r="O119" s="119">
        <f t="shared" si="0"/>
        <v>11748</v>
      </c>
      <c r="P119" s="119">
        <f t="shared" si="0"/>
        <v>508</v>
      </c>
      <c r="Q119" s="119">
        <f t="shared" si="0"/>
        <v>12144</v>
      </c>
      <c r="R119" s="119">
        <f t="shared" si="0"/>
        <v>396</v>
      </c>
      <c r="S119" s="119">
        <f t="shared" si="0"/>
        <v>12516</v>
      </c>
      <c r="T119" s="119">
        <f t="shared" si="0"/>
        <v>372</v>
      </c>
      <c r="U119" s="119">
        <f t="shared" si="0"/>
        <v>12743</v>
      </c>
      <c r="V119" s="119">
        <f t="shared" si="0"/>
        <v>227</v>
      </c>
      <c r="W119" s="119">
        <f t="shared" si="0"/>
        <v>12743</v>
      </c>
      <c r="X119" s="119">
        <f t="shared" si="0"/>
        <v>0</v>
      </c>
      <c r="Y119" s="119">
        <f t="shared" si="0"/>
        <v>12743</v>
      </c>
      <c r="Z119" s="119">
        <f t="shared" si="0"/>
        <v>0</v>
      </c>
      <c r="AA119" s="119">
        <f t="shared" si="0"/>
        <v>12743</v>
      </c>
      <c r="AB119" s="119">
        <f t="shared" si="0"/>
        <v>0</v>
      </c>
      <c r="AC119" s="119">
        <f t="shared" si="0"/>
        <v>1760</v>
      </c>
    </row>
    <row r="120" ht="15.75" customHeight="1" spans="1:3" x14ac:dyDescent="0.25">
      <c r="A120" s="15"/>
      <c r="B120" s="112"/>
      <c r="C120" s="112"/>
    </row>
    <row r="121" ht="15.75" customHeight="1" spans="1:29" x14ac:dyDescent="0.25" outlineLevel="1" collapsed="1">
      <c r="A121" s="15"/>
      <c r="B121" s="112"/>
      <c r="C121" s="112"/>
      <c r="E121" s="120" t="b">
        <f>E119='2021'!I1038</f>
        <v>1</v>
      </c>
      <c r="F121" s="120" t="b">
        <f>F119='2021'!J1038</f>
        <v>1</v>
      </c>
      <c r="G121" s="120" t="b">
        <f>G119='2021'!M1038</f>
        <v>1</v>
      </c>
      <c r="H121" s="120" t="b">
        <f>H119='2021'!N1038</f>
        <v>1</v>
      </c>
      <c r="I121" s="120" t="b">
        <f>I119='2021'!Q1038</f>
        <v>1</v>
      </c>
      <c r="J121" s="120" t="b">
        <f>J119='2021'!R1038</f>
        <v>1</v>
      </c>
      <c r="K121" s="120" t="b">
        <f>K119='2021'!U1038</f>
        <v>1</v>
      </c>
      <c r="L121" s="120" t="b">
        <f>L119='2021'!V1038</f>
        <v>1</v>
      </c>
      <c r="M121" s="120" t="b">
        <f>M119='2021'!Y1038</f>
        <v>1</v>
      </c>
      <c r="N121" s="120" t="b">
        <f>N119='2021'!Z1038</f>
        <v>1</v>
      </c>
      <c r="O121" s="120" t="b">
        <f>O119='2021'!AC1038</f>
        <v>1</v>
      </c>
      <c r="P121" s="120" t="b">
        <f>P119='2021'!AD1038</f>
        <v>1</v>
      </c>
      <c r="Q121" s="120" t="b">
        <f>Q119='2021'!AG1038</f>
        <v>1</v>
      </c>
      <c r="R121" s="120" t="b">
        <f>R119='2021'!AH1038</f>
        <v>1</v>
      </c>
      <c r="S121" s="120" t="b">
        <f>S119='2021'!AK1038</f>
        <v>1</v>
      </c>
      <c r="T121" s="120" t="b">
        <f>T119='2021'!AL1038</f>
        <v>1</v>
      </c>
      <c r="U121" s="120" t="b">
        <f>U119='2021'!AO1038</f>
        <v>1</v>
      </c>
      <c r="V121" s="120" t="b">
        <f>V119='2021'!AP1038</f>
        <v>1</v>
      </c>
      <c r="W121" s="120" t="b">
        <f>W119='2021'!AS1038</f>
        <v>1</v>
      </c>
      <c r="X121" s="120" t="b">
        <f>X119='2021'!AT1038</f>
        <v>1</v>
      </c>
      <c r="Y121" s="120" t="b">
        <f>Y119='2021'!AW1038</f>
        <v>1</v>
      </c>
      <c r="Z121" s="120" t="b">
        <f>Z119='2021'!AX1038</f>
        <v>1</v>
      </c>
      <c r="AA121" s="120" t="b">
        <f>AA119='2021'!BA1038</f>
        <v>1</v>
      </c>
      <c r="AB121" s="120" t="b">
        <f>AB119='2021'!BB1038</f>
        <v>1</v>
      </c>
      <c r="AC121" s="120" t="b">
        <f>AC119='2021'!BE1038</f>
        <v>0</v>
      </c>
    </row>
    <row r="122" ht="15.75" customHeight="1" spans="1:29" x14ac:dyDescent="0.25">
      <c r="A122" s="15"/>
      <c r="B122" s="112"/>
      <c r="C122" s="112"/>
      <c r="AC122" s="120" t="b">
        <f>AC119=F119+H119+J119+L119+N119+P119+R119+T119+V119+X119+Z119+AB119</f>
        <v>0</v>
      </c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spans="1:3" x14ac:dyDescent="0.25">
      <c r="A316" s="15"/>
      <c r="B316" s="112"/>
      <c r="C316" s="112"/>
    </row>
    <row r="317" ht="15.75" customHeight="1" spans="1:3" x14ac:dyDescent="0.25">
      <c r="A317" s="15"/>
      <c r="B317" s="112"/>
      <c r="C317" s="112"/>
    </row>
    <row r="318" ht="15.75" customHeight="1" spans="1:3" x14ac:dyDescent="0.25">
      <c r="A318" s="15"/>
      <c r="B318" s="112"/>
      <c r="C318" s="112"/>
    </row>
    <row r="319" ht="15.75" customHeight="1" spans="1:3" x14ac:dyDescent="0.25">
      <c r="A319" s="15"/>
      <c r="B319" s="112"/>
      <c r="C319" s="112"/>
    </row>
    <row r="320" ht="15.75" customHeight="1" spans="1:3" x14ac:dyDescent="0.25">
      <c r="A320" s="15"/>
      <c r="B320" s="112"/>
      <c r="C320" s="112"/>
    </row>
    <row r="321" ht="15.75" customHeight="1" spans="1:3" x14ac:dyDescent="0.25">
      <c r="A321" s="15"/>
      <c r="B321" s="112"/>
      <c r="C321" s="112"/>
    </row>
    <row r="322" ht="15.75" customHeight="1" spans="1:3" x14ac:dyDescent="0.25">
      <c r="A322" s="15"/>
      <c r="B322" s="112"/>
      <c r="C322" s="112"/>
    </row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B$4:$AC$121"/>
  <mergeCells count="12"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</mergeCells>
  <pageMargins left="0.196527777777778" right="0" top="0.196527777777778" bottom="0.196527777777778" header="0" footer="0"/>
  <pageSetup paperSize="9" orientation="landscape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B1054"/>
  <sheetViews>
    <sheetView workbookViewId="0" zoomScale="100" zoomScaleNormal="100">
      <pane xSplit="8" topLeftCell="I1" activePane="topRight" state="frozen"/>
      <selection pane="topRight" activeCell="J2" sqref="J2"/>
    </sheetView>
  </sheetViews>
  <sheetFormatPr defaultRowHeight="15" outlineLevelRow="0" outlineLevelCol="2" x14ac:dyDescent="0" defaultColWidth="14.43"/>
  <cols>
    <col min="1" max="2" width="7.14" customWidth="1"/>
    <col min="3" max="3" width="18" customWidth="1"/>
    <col min="4" max="4" width="11" customWidth="1"/>
    <col min="5" max="8" width="10.43" customWidth="1"/>
    <col min="9" max="10" width="10.43" outlineLevel="1" customWidth="1"/>
    <col min="11" max="12" width="10.43" customWidth="1"/>
    <col min="13" max="14" width="10.43" outlineLevel="1" customWidth="1"/>
    <col min="15" max="16" width="10.43" customWidth="1"/>
    <col min="17" max="18" width="10.43" outlineLevel="1" customWidth="1"/>
    <col min="19" max="20" width="10.43" customWidth="1"/>
    <col min="21" max="22" width="10.43" outlineLevel="1" customWidth="1"/>
    <col min="23" max="24" width="10.43" customWidth="1"/>
    <col min="25" max="26" width="10.43" outlineLevel="2" collapsed="1" customWidth="1"/>
    <col min="27" max="28" width="10.43" customWidth="1"/>
    <col min="29" max="30" width="10.43" outlineLevel="1" customWidth="1"/>
    <col min="31" max="32" width="10.43" customWidth="1"/>
    <col min="33" max="34" width="10.43" outlineLevel="1" customWidth="1"/>
    <col min="35" max="36" width="10.43" customWidth="1"/>
    <col min="37" max="38" width="10.43" outlineLevel="2" collapsed="1" customWidth="1"/>
    <col min="39" max="40" width="10.43" customWidth="1"/>
    <col min="41" max="42" width="10.43" outlineLevel="1" customWidth="1"/>
    <col min="43" max="44" width="10.43" customWidth="1"/>
    <col min="45" max="46" width="10.43" outlineLevel="1" customWidth="1"/>
    <col min="47" max="48" width="10.43" customWidth="1"/>
    <col min="49" max="50" width="10.43" outlineLevel="2" collapsed="1" customWidth="1"/>
    <col min="51" max="52" width="10.43" outlineLevel="1" customWidth="1"/>
    <col min="53" max="54" width="10.43" outlineLevel="2" collapsed="1" customWidth="1"/>
    <col min="55" max="56" width="10.43" outlineLevel="1" customWidth="1"/>
    <col min="57" max="57" width="10.43" customWidth="1"/>
    <col min="58" max="60" width="11.14" customWidth="1"/>
    <col min="61" max="61" width="10.43" outlineLevel="1" customWidth="1"/>
    <col min="62" max="62" width="8.14" outlineLevel="1" customWidth="1"/>
    <col min="63" max="63" width="8.86" outlineLevel="1" customWidth="1"/>
  </cols>
  <sheetData>
    <row r="1" spans="2:36" x14ac:dyDescent="0.25">
      <c r="B1" s="1" t="s">
        <v>0</v>
      </c>
      <c r="F1" s="2" t="s">
        <v>543</v>
      </c>
      <c r="AC1" s="341" t="s">
        <v>484</v>
      </c>
      <c r="AJ1" s="89"/>
    </row>
    <row r="2" spans="2:36" x14ac:dyDescent="0.25">
      <c r="B2" s="1"/>
      <c r="AC2" s="342" t="s">
        <v>485</v>
      </c>
      <c r="AJ2" s="89"/>
    </row>
    <row r="3" spans="1:63" x14ac:dyDescent="0.25">
      <c r="A3" s="3" t="s">
        <v>2</v>
      </c>
      <c r="B3" s="4" t="s">
        <v>3</v>
      </c>
      <c r="C3" s="5" t="s">
        <v>4</v>
      </c>
      <c r="D3" s="4" t="s">
        <v>5</v>
      </c>
      <c r="E3" s="5" t="s">
        <v>6</v>
      </c>
      <c r="F3" s="6" t="s">
        <v>7</v>
      </c>
      <c r="G3" s="7"/>
      <c r="H3" s="128" t="s">
        <v>8</v>
      </c>
      <c r="I3" s="8" t="s">
        <v>9</v>
      </c>
      <c r="J3" s="9"/>
      <c r="K3" s="9"/>
      <c r="L3" s="7"/>
      <c r="M3" s="10" t="s">
        <v>10</v>
      </c>
      <c r="N3" s="9"/>
      <c r="O3" s="9"/>
      <c r="P3" s="9"/>
      <c r="Q3" s="8" t="s">
        <v>11</v>
      </c>
      <c r="R3" s="9"/>
      <c r="S3" s="9"/>
      <c r="T3" s="7"/>
      <c r="U3" s="10" t="s">
        <v>12</v>
      </c>
      <c r="V3" s="9"/>
      <c r="W3" s="9"/>
      <c r="X3" s="9"/>
      <c r="Y3" s="129" t="s">
        <v>13</v>
      </c>
      <c r="Z3" s="9"/>
      <c r="AA3" s="9"/>
      <c r="AB3" s="7"/>
      <c r="AC3" s="343" t="s">
        <v>14</v>
      </c>
      <c r="AD3" s="9"/>
      <c r="AE3" s="9"/>
      <c r="AF3" s="9"/>
      <c r="AG3" s="8" t="s">
        <v>15</v>
      </c>
      <c r="AH3" s="9"/>
      <c r="AI3" s="9"/>
      <c r="AJ3" s="7"/>
      <c r="AK3" s="8" t="s">
        <v>16</v>
      </c>
      <c r="AL3" s="9"/>
      <c r="AM3" s="9"/>
      <c r="AN3" s="7"/>
      <c r="AO3" s="173" t="s">
        <v>17</v>
      </c>
      <c r="AP3" s="9"/>
      <c r="AQ3" s="9"/>
      <c r="AR3" s="7"/>
      <c r="AS3" s="10" t="s">
        <v>18</v>
      </c>
      <c r="AT3" s="9"/>
      <c r="AU3" s="9"/>
      <c r="AV3" s="9"/>
      <c r="AW3" s="8" t="s">
        <v>19</v>
      </c>
      <c r="AX3" s="9"/>
      <c r="AY3" s="9"/>
      <c r="AZ3" s="7"/>
      <c r="BA3" s="10" t="s">
        <v>20</v>
      </c>
      <c r="BB3" s="9"/>
      <c r="BC3" s="9"/>
      <c r="BD3" s="9"/>
      <c r="BE3" s="8" t="s">
        <v>21</v>
      </c>
      <c r="BF3" s="9"/>
      <c r="BG3" s="9"/>
      <c r="BH3" s="7"/>
      <c r="BI3" s="11" t="s">
        <v>22</v>
      </c>
      <c r="BJ3" s="157"/>
      <c r="BK3" s="12"/>
    </row>
    <row r="4" spans="1:63" x14ac:dyDescent="0.25">
      <c r="A4" s="13" t="s">
        <v>23</v>
      </c>
      <c r="B4" s="14" t="s">
        <v>24</v>
      </c>
      <c r="C4" s="15" t="s">
        <v>25</v>
      </c>
      <c r="D4" s="14" t="s">
        <v>26</v>
      </c>
      <c r="E4" s="15"/>
      <c r="F4" s="14" t="s">
        <v>27</v>
      </c>
      <c r="G4" s="14" t="s">
        <v>377</v>
      </c>
      <c r="H4" s="81" t="s">
        <v>29</v>
      </c>
      <c r="I4" s="4" t="s">
        <v>30</v>
      </c>
      <c r="J4" s="4" t="s">
        <v>3</v>
      </c>
      <c r="K4" s="4" t="s">
        <v>31</v>
      </c>
      <c r="L4" s="4" t="s">
        <v>32</v>
      </c>
      <c r="M4" s="5" t="s">
        <v>30</v>
      </c>
      <c r="N4" s="4" t="s">
        <v>3</v>
      </c>
      <c r="O4" s="16" t="s">
        <v>31</v>
      </c>
      <c r="P4" s="3" t="s">
        <v>32</v>
      </c>
      <c r="Q4" s="4" t="s">
        <v>30</v>
      </c>
      <c r="R4" s="4" t="s">
        <v>3</v>
      </c>
      <c r="S4" s="4" t="s">
        <v>31</v>
      </c>
      <c r="T4" s="4" t="s">
        <v>32</v>
      </c>
      <c r="U4" s="16" t="s">
        <v>30</v>
      </c>
      <c r="V4" s="4" t="s">
        <v>3</v>
      </c>
      <c r="W4" s="4" t="s">
        <v>31</v>
      </c>
      <c r="X4" s="3" t="s">
        <v>32</v>
      </c>
      <c r="Y4" s="4" t="s">
        <v>30</v>
      </c>
      <c r="Z4" s="4" t="s">
        <v>3</v>
      </c>
      <c r="AA4" s="4" t="s">
        <v>31</v>
      </c>
      <c r="AB4" s="4" t="s">
        <v>32</v>
      </c>
      <c r="AC4" s="344" t="s">
        <v>30</v>
      </c>
      <c r="AD4" s="4" t="s">
        <v>3</v>
      </c>
      <c r="AE4" s="4" t="s">
        <v>31</v>
      </c>
      <c r="AF4" s="3" t="s">
        <v>32</v>
      </c>
      <c r="AG4" s="4" t="s">
        <v>30</v>
      </c>
      <c r="AH4" s="4" t="s">
        <v>3</v>
      </c>
      <c r="AI4" s="4" t="s">
        <v>31</v>
      </c>
      <c r="AJ4" s="345" t="s">
        <v>32</v>
      </c>
      <c r="AK4" s="4" t="s">
        <v>30</v>
      </c>
      <c r="AL4" s="4" t="s">
        <v>3</v>
      </c>
      <c r="AM4" s="4" t="s">
        <v>31</v>
      </c>
      <c r="AN4" s="4" t="s">
        <v>32</v>
      </c>
      <c r="AO4" s="4" t="s">
        <v>30</v>
      </c>
      <c r="AP4" s="4" t="s">
        <v>3</v>
      </c>
      <c r="AQ4" s="4" t="s">
        <v>31</v>
      </c>
      <c r="AR4" s="4" t="s">
        <v>32</v>
      </c>
      <c r="AS4" s="16" t="s">
        <v>30</v>
      </c>
      <c r="AT4" s="4" t="s">
        <v>3</v>
      </c>
      <c r="AU4" s="4" t="s">
        <v>31</v>
      </c>
      <c r="AV4" s="3" t="s">
        <v>32</v>
      </c>
      <c r="AW4" s="4" t="s">
        <v>30</v>
      </c>
      <c r="AX4" s="4" t="s">
        <v>3</v>
      </c>
      <c r="AY4" s="4" t="s">
        <v>31</v>
      </c>
      <c r="AZ4" s="4" t="s">
        <v>32</v>
      </c>
      <c r="BA4" s="16" t="s">
        <v>30</v>
      </c>
      <c r="BB4" s="4" t="s">
        <v>3</v>
      </c>
      <c r="BC4" s="4" t="s">
        <v>31</v>
      </c>
      <c r="BD4" s="3" t="s">
        <v>32</v>
      </c>
      <c r="BE4" s="4" t="s">
        <v>3</v>
      </c>
      <c r="BF4" s="17" t="s">
        <v>33</v>
      </c>
      <c r="BG4" s="17" t="s">
        <v>34</v>
      </c>
      <c r="BH4" s="17" t="s">
        <v>35</v>
      </c>
      <c r="BI4" s="18"/>
      <c r="BJ4"/>
      <c r="BK4" s="19"/>
    </row>
    <row r="5" spans="1:63" x14ac:dyDescent="0.25">
      <c r="A5" s="20"/>
      <c r="B5" s="21" t="s">
        <v>36</v>
      </c>
      <c r="C5" s="22"/>
      <c r="D5" s="21"/>
      <c r="E5" s="22"/>
      <c r="F5" s="21" t="s">
        <v>378</v>
      </c>
      <c r="G5" s="21" t="s">
        <v>378</v>
      </c>
      <c r="H5" s="131" t="s">
        <v>38</v>
      </c>
      <c r="I5" s="21"/>
      <c r="J5" s="21"/>
      <c r="K5" s="21" t="s">
        <v>39</v>
      </c>
      <c r="L5" s="21"/>
      <c r="M5" s="22"/>
      <c r="N5" s="21"/>
      <c r="O5" s="23" t="s">
        <v>39</v>
      </c>
      <c r="P5" s="20"/>
      <c r="Q5" s="21"/>
      <c r="R5" s="21"/>
      <c r="S5" s="21" t="s">
        <v>39</v>
      </c>
      <c r="T5" s="21"/>
      <c r="U5" s="23"/>
      <c r="V5" s="21"/>
      <c r="W5" s="21" t="s">
        <v>39</v>
      </c>
      <c r="X5" s="20"/>
      <c r="Y5" s="21"/>
      <c r="Z5" s="21"/>
      <c r="AA5" s="21" t="s">
        <v>39</v>
      </c>
      <c r="AB5" s="21"/>
      <c r="AC5" s="346"/>
      <c r="AD5" s="21"/>
      <c r="AE5" s="21" t="s">
        <v>39</v>
      </c>
      <c r="AF5" s="20"/>
      <c r="AG5" s="21"/>
      <c r="AH5" s="21">
        <v>1.056</v>
      </c>
      <c r="AI5" s="21" t="s">
        <v>39</v>
      </c>
      <c r="AJ5" s="347"/>
      <c r="AK5" s="21"/>
      <c r="AL5" s="21">
        <v>1.028</v>
      </c>
      <c r="AM5" s="21" t="s">
        <v>39</v>
      </c>
      <c r="AN5" s="21"/>
      <c r="AO5" s="21"/>
      <c r="AP5" s="21">
        <v>1.033</v>
      </c>
      <c r="AQ5" s="21" t="s">
        <v>39</v>
      </c>
      <c r="AR5" s="21"/>
      <c r="AS5" s="23"/>
      <c r="AT5" s="21">
        <v>1.05</v>
      </c>
      <c r="AU5" s="21" t="s">
        <v>39</v>
      </c>
      <c r="AV5" s="20"/>
      <c r="AW5" s="21"/>
      <c r="AX5" s="21"/>
      <c r="AY5" s="21" t="s">
        <v>39</v>
      </c>
      <c r="AZ5" s="21"/>
      <c r="BA5" s="23"/>
      <c r="BB5" s="21"/>
      <c r="BC5" s="21" t="s">
        <v>39</v>
      </c>
      <c r="BD5" s="20"/>
      <c r="BE5" s="21"/>
      <c r="BF5" s="21"/>
      <c r="BG5" s="21"/>
      <c r="BH5" s="24" t="s">
        <v>40</v>
      </c>
      <c r="BI5" s="25"/>
      <c r="BJ5" s="174"/>
      <c r="BK5" s="26"/>
    </row>
    <row r="6" spans="1:60" x14ac:dyDescent="0.25">
      <c r="A6" s="1" t="s">
        <v>41</v>
      </c>
      <c r="B6" s="27"/>
      <c r="C6" s="15"/>
      <c r="D6" s="14"/>
      <c r="E6" s="15"/>
      <c r="F6" s="13"/>
      <c r="G6" s="28"/>
      <c r="H6" s="15"/>
      <c r="I6" s="13"/>
      <c r="J6" s="15"/>
      <c r="K6" s="15"/>
      <c r="L6" s="28"/>
      <c r="M6" s="15"/>
      <c r="N6" s="15"/>
      <c r="O6" s="15"/>
      <c r="P6" s="15"/>
      <c r="Q6" s="13"/>
      <c r="R6" s="15"/>
      <c r="S6" s="15"/>
      <c r="T6" s="28"/>
      <c r="U6" s="15"/>
      <c r="V6" s="15"/>
      <c r="W6" s="15"/>
      <c r="X6" s="15"/>
      <c r="Y6" s="13"/>
      <c r="Z6" s="15"/>
      <c r="AA6" s="15"/>
      <c r="AB6" s="28"/>
      <c r="AC6" s="348"/>
      <c r="AE6" s="15"/>
      <c r="AF6" s="15"/>
      <c r="AG6" s="13"/>
      <c r="AH6" s="15"/>
      <c r="AI6" s="15"/>
      <c r="AJ6" s="80"/>
      <c r="AK6" s="3"/>
      <c r="AL6" s="15"/>
      <c r="AM6" s="3"/>
      <c r="AN6" s="28"/>
      <c r="AO6" s="13"/>
      <c r="AP6" s="15" t="s">
        <v>532</v>
      </c>
      <c r="AQ6" s="15"/>
      <c r="AR6" s="15"/>
      <c r="AS6" s="3"/>
      <c r="AT6" s="15"/>
      <c r="AU6" s="15"/>
      <c r="AV6" s="15"/>
      <c r="AW6" s="13"/>
      <c r="AX6" s="15"/>
      <c r="AY6" s="15"/>
      <c r="AZ6" s="28"/>
      <c r="BA6" s="15"/>
      <c r="BB6" s="15"/>
      <c r="BC6" s="15"/>
      <c r="BD6" s="15"/>
      <c r="BE6" s="14"/>
      <c r="BF6" s="13"/>
      <c r="BG6" s="15"/>
      <c r="BH6" s="28"/>
    </row>
    <row r="7" spans="1:63" x14ac:dyDescent="0.25">
      <c r="A7" s="175">
        <v>1</v>
      </c>
      <c r="B7" s="27"/>
      <c r="C7" s="15"/>
      <c r="D7" s="14" t="s">
        <v>379</v>
      </c>
      <c r="E7" s="15"/>
      <c r="F7" s="13"/>
      <c r="G7" s="28"/>
      <c r="H7" s="34">
        <f>'2021'!BH7</f>
        <v>0</v>
      </c>
      <c r="I7" s="13"/>
      <c r="J7" s="15"/>
      <c r="K7" s="15"/>
      <c r="L7" s="28"/>
      <c r="M7" s="13"/>
      <c r="N7" s="15"/>
      <c r="O7" s="15"/>
      <c r="P7" s="15"/>
      <c r="Q7" s="13"/>
      <c r="R7" s="15"/>
      <c r="S7" s="15"/>
      <c r="T7" s="28"/>
      <c r="U7" s="13"/>
      <c r="V7" s="15"/>
      <c r="W7" s="15"/>
      <c r="X7" s="15"/>
      <c r="Y7" s="13"/>
      <c r="Z7" s="2"/>
      <c r="AA7" s="15"/>
      <c r="AB7" s="28"/>
      <c r="AC7" s="348"/>
      <c r="AD7" s="15"/>
      <c r="AE7" s="15"/>
      <c r="AF7" s="15"/>
      <c r="AG7" s="15"/>
      <c r="AH7" s="2"/>
      <c r="AI7" s="15"/>
      <c r="AJ7" s="15"/>
      <c r="AK7" s="15"/>
      <c r="AL7" s="15"/>
      <c r="AM7" s="15"/>
      <c r="AN7" s="15"/>
      <c r="AO7" s="13"/>
      <c r="AP7" s="15"/>
      <c r="AQ7" s="15"/>
      <c r="AR7" s="15"/>
      <c r="AS7" s="13"/>
      <c r="AT7" s="15"/>
      <c r="AU7" s="15"/>
      <c r="AV7" s="15"/>
      <c r="AW7" s="13"/>
      <c r="AX7" s="15"/>
      <c r="AZ7" s="28"/>
      <c r="BA7" s="13"/>
      <c r="BB7" s="15"/>
      <c r="BC7" s="15"/>
      <c r="BD7" s="15"/>
      <c r="BE7" s="14"/>
      <c r="BF7" s="41">
        <f t="shared" ref="BF7:BG7" si="0">K7+O7+S7+W7+AA7+AE7+AI7+AM7+AQ7+AU7+AY7+BC7</f>
        <v>0</v>
      </c>
      <c r="BG7" s="34">
        <f t="shared" si="0"/>
        <v>0</v>
      </c>
      <c r="BH7" s="35">
        <f t="shared" ref="BH7:BH15" si="1">H7+BF7-BG7</f>
        <v>0</v>
      </c>
      <c r="BK7" s="2" t="b">
        <f>H7='2021'!BH7</f>
        <v>1</v>
      </c>
    </row>
    <row r="8" spans="1:63" x14ac:dyDescent="0.25">
      <c r="A8" s="176">
        <v>1</v>
      </c>
      <c r="B8" s="30">
        <v>4</v>
      </c>
      <c r="C8" s="2" t="s">
        <v>43</v>
      </c>
      <c r="D8" s="14" t="s">
        <v>44</v>
      </c>
      <c r="E8" s="2" t="s">
        <v>45</v>
      </c>
      <c r="F8" s="46">
        <v>2.7</v>
      </c>
      <c r="G8" s="298">
        <v>2.46</v>
      </c>
      <c r="H8" s="34">
        <f>'2021'!BH8</f>
        <v>3737.11</v>
      </c>
      <c r="I8" s="13">
        <v>6315</v>
      </c>
      <c r="J8" s="15">
        <f>I8-'2021'!BA8</f>
        <v>100</v>
      </c>
      <c r="K8" s="34">
        <f t="shared" ref="K8:K9" si="2">J8*$F$8</f>
        <v>270</v>
      </c>
      <c r="L8" s="349">
        <v>3737.11</v>
      </c>
      <c r="M8" s="13">
        <v>6344</v>
      </c>
      <c r="N8" s="15">
        <f t="shared" ref="N8:N9" si="3">M8-I8</f>
        <v>29</v>
      </c>
      <c r="O8" s="34">
        <f t="shared" ref="O8:O9" si="4">N8*$F$8</f>
        <v>78.3</v>
      </c>
      <c r="P8" s="15"/>
      <c r="Q8" s="13">
        <v>6378</v>
      </c>
      <c r="R8" s="15">
        <f t="shared" ref="R8:R9" si="5">Q8-M8</f>
        <v>34</v>
      </c>
      <c r="S8" s="34">
        <f t="shared" ref="S8:S9" si="6">R8*$F$8</f>
        <v>91.8</v>
      </c>
      <c r="T8" s="35"/>
      <c r="U8" s="13">
        <v>6409</v>
      </c>
      <c r="V8" s="15">
        <f t="shared" ref="V8:V9" si="7">U8-Q8</f>
        <v>31</v>
      </c>
      <c r="W8" s="34">
        <f t="shared" ref="W8:W9" si="8">V8*$F$8</f>
        <v>83.7</v>
      </c>
      <c r="X8" s="34"/>
      <c r="Y8" s="13">
        <v>6441</v>
      </c>
      <c r="Z8" s="2">
        <f t="shared" ref="Z8:Z9" si="9">Y8-U8</f>
        <v>32</v>
      </c>
      <c r="AA8" s="34">
        <f t="shared" ref="AA8:AA9" si="10">Z8*$F$8</f>
        <v>86.4</v>
      </c>
      <c r="AB8" s="35"/>
      <c r="AC8" s="350">
        <v>6480</v>
      </c>
      <c r="AD8" s="15">
        <f t="shared" ref="AD8:AD9" si="11">AC8-Y8</f>
        <v>39</v>
      </c>
      <c r="AE8" s="180">
        <f>AD8*$F$8</f>
        <v>105.3</v>
      </c>
      <c r="AF8" s="180"/>
      <c r="AG8" s="13">
        <v>6517</v>
      </c>
      <c r="AH8" s="180">
        <f>(AG8-AC8)*AH5</f>
        <v>39.072</v>
      </c>
      <c r="AI8" s="45">
        <f t="shared" ref="AI8:AI9" si="12">AH8*$G$8</f>
        <v>96.11712</v>
      </c>
      <c r="AJ8" s="39"/>
      <c r="AK8" s="13">
        <v>6570</v>
      </c>
      <c r="AL8" s="15">
        <f>(AK8-AG8)*AL5</f>
        <v>54.484</v>
      </c>
      <c r="AM8" s="45">
        <f t="shared" ref="AM8:AM9" si="13">AL8*$G$8</f>
        <v>134.03064</v>
      </c>
      <c r="AN8" s="34"/>
      <c r="AO8" s="13">
        <v>6610</v>
      </c>
      <c r="AP8" s="15">
        <f>(AO8-AK8)*AP5</f>
        <v>41.32</v>
      </c>
      <c r="AQ8" s="45">
        <f t="shared" ref="AQ8:AQ9" si="14">AP8*$G$8</f>
        <v>101.6472</v>
      </c>
      <c r="AR8" s="34"/>
      <c r="AS8" s="13">
        <v>6665</v>
      </c>
      <c r="AT8" s="15">
        <f>(AS8-AO8)*AT5</f>
        <v>57.75</v>
      </c>
      <c r="AU8" s="45">
        <f t="shared" ref="AU8:AU9" si="15">AT8*$G$8</f>
        <v>142.065</v>
      </c>
      <c r="AV8" s="34"/>
      <c r="AW8" s="13"/>
      <c r="AX8" s="15">
        <f>(AW8-AS8)*AX5</f>
        <v>0</v>
      </c>
      <c r="AY8" s="45">
        <f t="shared" ref="AY8:AY9" si="16">AX8*$G$8</f>
        <v>0</v>
      </c>
      <c r="AZ8" s="35"/>
      <c r="BA8" s="13"/>
      <c r="BB8" s="15"/>
      <c r="BC8" s="45">
        <f t="shared" ref="BC8:BC9" si="17">BB8*$G$8</f>
        <v>0</v>
      </c>
      <c r="BD8" s="34"/>
      <c r="BE8" s="40">
        <f t="shared" ref="BE8:BG8" si="18">J8+N8+R8+V8+Z8+AD8+AH8+AL8+AP8+AT8+AX8+BB8</f>
        <v>457.626</v>
      </c>
      <c r="BF8" s="41">
        <f t="shared" si="18"/>
        <v>1189.35996</v>
      </c>
      <c r="BG8" s="34">
        <f t="shared" si="18"/>
        <v>3737.11</v>
      </c>
      <c r="BH8" s="35">
        <f t="shared" si="1"/>
        <v>1189.35996</v>
      </c>
      <c r="BK8" s="2" t="b">
        <f>H8='2021'!BH8</f>
        <v>1</v>
      </c>
    </row>
    <row r="9" spans="1:63" x14ac:dyDescent="0.25">
      <c r="A9" s="176">
        <v>1</v>
      </c>
      <c r="B9" s="42"/>
      <c r="D9" s="43" t="s">
        <v>46</v>
      </c>
      <c r="E9" s="2" t="s">
        <v>45</v>
      </c>
      <c r="F9" s="46">
        <v>2.7</v>
      </c>
      <c r="G9" s="85">
        <v>2.46</v>
      </c>
      <c r="H9" s="34">
        <f>'2021'!BH9</f>
        <v>-255.89</v>
      </c>
      <c r="I9" s="13"/>
      <c r="J9" s="81"/>
      <c r="K9" s="34">
        <f t="shared" si="2"/>
        <v>0</v>
      </c>
      <c r="L9" s="28"/>
      <c r="M9" s="13"/>
      <c r="N9" s="15">
        <f t="shared" si="3"/>
        <v>0</v>
      </c>
      <c r="O9" s="34">
        <f t="shared" si="4"/>
        <v>0</v>
      </c>
      <c r="P9" s="15"/>
      <c r="Q9" s="13"/>
      <c r="R9" s="15">
        <f t="shared" si="5"/>
        <v>0</v>
      </c>
      <c r="S9" s="34">
        <f t="shared" si="6"/>
        <v>0</v>
      </c>
      <c r="T9" s="28"/>
      <c r="U9" s="13"/>
      <c r="V9" s="15">
        <f t="shared" si="7"/>
        <v>0</v>
      </c>
      <c r="W9" s="34">
        <f t="shared" si="8"/>
        <v>0</v>
      </c>
      <c r="X9" s="34"/>
      <c r="Y9" s="13"/>
      <c r="Z9" s="2">
        <f t="shared" si="9"/>
        <v>0</v>
      </c>
      <c r="AA9" s="34">
        <f t="shared" si="10"/>
        <v>0</v>
      </c>
      <c r="AB9" s="35"/>
      <c r="AC9" s="348"/>
      <c r="AD9" s="15">
        <f t="shared" si="11"/>
        <v>0</v>
      </c>
      <c r="AE9" s="45">
        <f>AD9*$G$8</f>
        <v>0</v>
      </c>
      <c r="AF9" s="34"/>
      <c r="AG9" s="15"/>
      <c r="AH9" s="2">
        <f>AG9-AC9</f>
        <v>0</v>
      </c>
      <c r="AI9" s="45">
        <f t="shared" si="12"/>
        <v>0</v>
      </c>
      <c r="AJ9" s="39"/>
      <c r="AK9" s="15"/>
      <c r="AL9" s="15">
        <f>AK9-AG9</f>
        <v>0</v>
      </c>
      <c r="AM9" s="45">
        <f t="shared" si="13"/>
        <v>0</v>
      </c>
      <c r="AN9" s="34"/>
      <c r="AO9" s="13"/>
      <c r="AP9" s="15">
        <f>AO9-AK9</f>
        <v>0</v>
      </c>
      <c r="AQ9" s="45">
        <f t="shared" si="14"/>
        <v>0</v>
      </c>
      <c r="AR9" s="34"/>
      <c r="AS9" s="13"/>
      <c r="AT9" s="15">
        <f>AS9-AO9</f>
        <v>0</v>
      </c>
      <c r="AU9" s="45">
        <f t="shared" si="15"/>
        <v>0</v>
      </c>
      <c r="AV9" s="34"/>
      <c r="AW9" s="13"/>
      <c r="AX9" s="15">
        <f>AW9-AS9</f>
        <v>0</v>
      </c>
      <c r="AY9" s="45">
        <f t="shared" si="16"/>
        <v>0</v>
      </c>
      <c r="AZ9" s="35"/>
      <c r="BA9" s="13"/>
      <c r="BB9" s="15"/>
      <c r="BC9" s="45">
        <f t="shared" si="17"/>
        <v>0</v>
      </c>
      <c r="BD9" s="34"/>
      <c r="BE9" s="44">
        <f t="shared" ref="BE9:BG9" si="19">J9+N9+R9+V9+Z9+AD9+AH9+AL9+AP9+AT9+AX9+BB9</f>
        <v>0</v>
      </c>
      <c r="BF9" s="41">
        <f t="shared" si="19"/>
        <v>0</v>
      </c>
      <c r="BG9" s="34">
        <f t="shared" si="19"/>
        <v>0</v>
      </c>
      <c r="BH9" s="35">
        <f t="shared" si="1"/>
        <v>-255.89</v>
      </c>
      <c r="BK9" s="2" t="b">
        <f>H9='2021'!BH9</f>
        <v>1</v>
      </c>
    </row>
    <row r="10" spans="1:63" x14ac:dyDescent="0.25">
      <c r="A10" s="176">
        <v>1</v>
      </c>
      <c r="B10" s="14"/>
      <c r="D10" s="14" t="s">
        <v>47</v>
      </c>
      <c r="E10" s="2" t="s">
        <v>48</v>
      </c>
      <c r="F10" s="31">
        <v>20.35</v>
      </c>
      <c r="G10" s="85">
        <v>21.4</v>
      </c>
      <c r="H10" s="34">
        <f>'2021'!BH10</f>
        <v>0</v>
      </c>
      <c r="I10" s="13"/>
      <c r="J10" s="15"/>
      <c r="K10" s="34"/>
      <c r="L10" s="28"/>
      <c r="M10" s="13"/>
      <c r="N10" s="15"/>
      <c r="O10" s="34"/>
      <c r="P10" s="15"/>
      <c r="Q10" s="13"/>
      <c r="R10" s="15"/>
      <c r="S10" s="34"/>
      <c r="T10" s="28"/>
      <c r="U10" s="13"/>
      <c r="V10" s="15"/>
      <c r="W10" s="34"/>
      <c r="X10" s="15"/>
      <c r="Y10" s="13"/>
      <c r="Z10" s="2"/>
      <c r="AA10" s="34">
        <f>Z10*$F$10</f>
        <v>0</v>
      </c>
      <c r="AB10" s="28"/>
      <c r="AC10" s="348"/>
      <c r="AD10" s="15"/>
      <c r="AE10" s="34">
        <f>AD10*$F$10</f>
        <v>0</v>
      </c>
      <c r="AF10" s="15"/>
      <c r="AG10" s="15"/>
      <c r="AH10" s="2"/>
      <c r="AI10" s="45">
        <f>AH10*$G$10</f>
        <v>0</v>
      </c>
      <c r="AJ10" s="15"/>
      <c r="AK10" s="15"/>
      <c r="AL10" s="15"/>
      <c r="AM10" s="45">
        <f>AL10*$G$10</f>
        <v>0</v>
      </c>
      <c r="AN10" s="15"/>
      <c r="AO10" s="13"/>
      <c r="AP10" s="15"/>
      <c r="AQ10" s="45">
        <f>AP10*$G$10</f>
        <v>0</v>
      </c>
      <c r="AR10" s="15"/>
      <c r="AS10" s="13"/>
      <c r="AT10" s="15"/>
      <c r="AU10" s="45">
        <f>AT10*$G$10</f>
        <v>0</v>
      </c>
      <c r="AV10" s="15"/>
      <c r="AW10" s="13"/>
      <c r="AX10" s="15"/>
      <c r="AY10" s="34"/>
      <c r="AZ10" s="28"/>
      <c r="BA10" s="13"/>
      <c r="BB10" s="15"/>
      <c r="BC10" s="34"/>
      <c r="BD10" s="15"/>
      <c r="BE10" s="40">
        <f t="shared" ref="BE10:BG10" si="20">J10+N10+R10+V10+Z10+AD10+AH10+AL10+AP10+AT10+AX10+BB10</f>
        <v>0</v>
      </c>
      <c r="BF10" s="41">
        <f t="shared" si="20"/>
        <v>0</v>
      </c>
      <c r="BG10" s="34">
        <f t="shared" si="20"/>
        <v>0</v>
      </c>
      <c r="BH10" s="35">
        <f t="shared" si="1"/>
        <v>0</v>
      </c>
      <c r="BK10" s="2" t="b">
        <f>H10='2021'!BH10</f>
        <v>1</v>
      </c>
    </row>
    <row r="11" spans="1:63" x14ac:dyDescent="0.25">
      <c r="A11" s="176">
        <v>1</v>
      </c>
      <c r="B11" s="14"/>
      <c r="D11" s="14" t="s">
        <v>47</v>
      </c>
      <c r="E11" s="2" t="s">
        <v>49</v>
      </c>
      <c r="F11" s="299">
        <v>500</v>
      </c>
      <c r="G11" s="38">
        <v>500</v>
      </c>
      <c r="H11" s="34">
        <f>'2021'!BH11</f>
        <v>0</v>
      </c>
      <c r="I11" s="13"/>
      <c r="J11" s="15"/>
      <c r="K11" s="34"/>
      <c r="L11" s="28"/>
      <c r="M11" s="13"/>
      <c r="N11" s="15"/>
      <c r="O11" s="34"/>
      <c r="P11" s="15"/>
      <c r="Q11" s="13"/>
      <c r="R11" s="15"/>
      <c r="S11" s="34"/>
      <c r="T11" s="28"/>
      <c r="U11" s="13"/>
      <c r="V11" s="15"/>
      <c r="W11" s="34"/>
      <c r="X11" s="15"/>
      <c r="Y11" s="13"/>
      <c r="Z11" s="2"/>
      <c r="AA11" s="34"/>
      <c r="AB11" s="28"/>
      <c r="AC11" s="348"/>
      <c r="AD11" s="15"/>
      <c r="AE11" s="34"/>
      <c r="AF11" s="15"/>
      <c r="AG11" s="15"/>
      <c r="AH11" s="2"/>
      <c r="AI11" s="34"/>
      <c r="AJ11" s="15"/>
      <c r="AK11" s="15"/>
      <c r="AL11" s="15"/>
      <c r="AM11" s="34"/>
      <c r="AN11" s="15"/>
      <c r="AO11" s="13"/>
      <c r="AP11" s="15"/>
      <c r="AQ11" s="34"/>
      <c r="AR11" s="15"/>
      <c r="AS11" s="13"/>
      <c r="AT11" s="15"/>
      <c r="AU11" s="34"/>
      <c r="AV11" s="15"/>
      <c r="AW11" s="13"/>
      <c r="AX11" s="15"/>
      <c r="AY11" s="34"/>
      <c r="AZ11" s="28"/>
      <c r="BA11" s="13"/>
      <c r="BB11" s="15"/>
      <c r="BC11" s="34"/>
      <c r="BD11" s="15"/>
      <c r="BE11" s="14"/>
      <c r="BF11" s="41">
        <f t="shared" ref="BF11:BG11" si="21">K11+O11+S11+W11+AA11+AE11+AI11+AM11+AQ11+AU11+AY11+BC11</f>
        <v>0</v>
      </c>
      <c r="BG11" s="34">
        <f t="shared" si="21"/>
        <v>0</v>
      </c>
      <c r="BH11" s="35">
        <f t="shared" si="1"/>
        <v>0</v>
      </c>
      <c r="BK11" s="2" t="b">
        <f>H11='2021'!BH11</f>
        <v>1</v>
      </c>
    </row>
    <row r="12" spans="1:63" x14ac:dyDescent="0.25">
      <c r="A12" s="176">
        <v>1</v>
      </c>
      <c r="B12" s="14"/>
      <c r="D12" s="14" t="s">
        <v>50</v>
      </c>
      <c r="E12" s="2" t="s">
        <v>49</v>
      </c>
      <c r="F12" s="299">
        <v>1300</v>
      </c>
      <c r="G12" s="38"/>
      <c r="H12" s="34">
        <f>'2021'!BH12</f>
        <v>0</v>
      </c>
      <c r="I12" s="13"/>
      <c r="J12" s="15"/>
      <c r="K12" s="15"/>
      <c r="L12" s="28"/>
      <c r="M12" s="13"/>
      <c r="N12" s="15"/>
      <c r="O12" s="15"/>
      <c r="P12" s="15"/>
      <c r="Q12" s="13"/>
      <c r="R12" s="15"/>
      <c r="S12" s="15"/>
      <c r="T12" s="28"/>
      <c r="U12" s="13"/>
      <c r="V12" s="15"/>
      <c r="W12" s="15"/>
      <c r="X12" s="15"/>
      <c r="Y12" s="13"/>
      <c r="Z12" s="2"/>
      <c r="AA12" s="15"/>
      <c r="AB12" s="28"/>
      <c r="AC12" s="348"/>
      <c r="AD12" s="15"/>
      <c r="AE12" s="34"/>
      <c r="AF12" s="180"/>
      <c r="AG12" s="15"/>
      <c r="AH12" s="2"/>
      <c r="AI12" s="15"/>
      <c r="AJ12" s="15"/>
      <c r="AK12" s="15"/>
      <c r="AL12" s="15"/>
      <c r="AM12" s="15"/>
      <c r="AN12" s="15"/>
      <c r="AO12" s="13"/>
      <c r="AP12" s="15"/>
      <c r="AQ12" s="15"/>
      <c r="AR12" s="15"/>
      <c r="AS12" s="13"/>
      <c r="AT12" s="15"/>
      <c r="AU12" s="15"/>
      <c r="AV12" s="15"/>
      <c r="AW12" s="13"/>
      <c r="AX12" s="15"/>
      <c r="AZ12" s="28"/>
      <c r="BA12" s="13"/>
      <c r="BB12" s="15"/>
      <c r="BC12" s="15"/>
      <c r="BD12" s="15"/>
      <c r="BE12" s="14"/>
      <c r="BF12" s="41">
        <f t="shared" ref="BF12:BG12" si="22">K12+O12+S12+W12+AA12+AE12+AI12+AM12+AQ12+AU12+AY12+BC12</f>
        <v>0</v>
      </c>
      <c r="BG12" s="34">
        <f t="shared" si="22"/>
        <v>0</v>
      </c>
      <c r="BH12" s="35">
        <f t="shared" si="1"/>
        <v>0</v>
      </c>
      <c r="BK12" s="2" t="b">
        <f>H12='2021'!BH12</f>
        <v>1</v>
      </c>
    </row>
    <row r="13" spans="1:63" x14ac:dyDescent="0.25">
      <c r="A13" s="176">
        <v>1</v>
      </c>
      <c r="B13" s="14"/>
      <c r="D13" s="14" t="s">
        <v>51</v>
      </c>
      <c r="E13" s="2" t="s">
        <v>39</v>
      </c>
      <c r="F13" s="299">
        <v>1000</v>
      </c>
      <c r="G13" s="38"/>
      <c r="H13" s="34">
        <f>'2021'!BH13</f>
        <v>0</v>
      </c>
      <c r="I13" s="13"/>
      <c r="J13" s="15"/>
      <c r="K13" s="34"/>
      <c r="L13" s="28"/>
      <c r="M13" s="13"/>
      <c r="N13" s="15"/>
      <c r="O13" s="34"/>
      <c r="P13" s="34"/>
      <c r="Q13" s="13"/>
      <c r="R13" s="15"/>
      <c r="S13" s="34"/>
      <c r="T13" s="35"/>
      <c r="U13" s="13"/>
      <c r="V13" s="15"/>
      <c r="W13" s="15"/>
      <c r="X13" s="34"/>
      <c r="Y13" s="13"/>
      <c r="Z13" s="2"/>
      <c r="AA13" s="15"/>
      <c r="AB13" s="28"/>
      <c r="AC13" s="348"/>
      <c r="AD13" s="15"/>
      <c r="AE13" s="15"/>
      <c r="AF13" s="15"/>
      <c r="AG13" s="15"/>
      <c r="AH13" s="2"/>
      <c r="AI13" s="15"/>
      <c r="AJ13" s="15"/>
      <c r="AK13" s="15"/>
      <c r="AL13" s="15"/>
      <c r="AM13" s="15"/>
      <c r="AN13" s="15"/>
      <c r="AO13" s="13"/>
      <c r="AP13" s="15"/>
      <c r="AQ13" s="15"/>
      <c r="AR13" s="15"/>
      <c r="AS13" s="13"/>
      <c r="AT13" s="15"/>
      <c r="AU13" s="15"/>
      <c r="AV13" s="15"/>
      <c r="AW13" s="13"/>
      <c r="AX13" s="15"/>
      <c r="AZ13" s="28"/>
      <c r="BA13" s="13"/>
      <c r="BB13" s="15"/>
      <c r="BC13" s="34"/>
      <c r="BD13" s="34"/>
      <c r="BE13" s="14"/>
      <c r="BF13" s="82">
        <f t="shared" ref="BF13:BG13" si="23">K13+O13+S13+W13+AA13+AE13+AI13+AM13+AQ13+AU13+AY13+BC13</f>
        <v>0</v>
      </c>
      <c r="BG13" s="34">
        <f t="shared" si="23"/>
        <v>0</v>
      </c>
      <c r="BH13" s="35">
        <f t="shared" si="1"/>
        <v>0</v>
      </c>
      <c r="BK13" s="2" t="b">
        <f>H13='2021'!BH13</f>
        <v>1</v>
      </c>
    </row>
    <row r="14" spans="1:63" x14ac:dyDescent="0.25">
      <c r="A14" s="176">
        <v>1</v>
      </c>
      <c r="B14" s="14"/>
      <c r="D14" s="14" t="s">
        <v>51</v>
      </c>
      <c r="E14" s="2" t="s">
        <v>49</v>
      </c>
      <c r="F14" s="299"/>
      <c r="G14" s="38"/>
      <c r="H14" s="34">
        <f>'2021'!BH14</f>
        <v>0</v>
      </c>
      <c r="I14" s="13"/>
      <c r="J14" s="15"/>
      <c r="K14" s="34"/>
      <c r="L14" s="28"/>
      <c r="M14" s="13"/>
      <c r="N14" s="15"/>
      <c r="O14" s="34"/>
      <c r="P14" s="34"/>
      <c r="Q14" s="13"/>
      <c r="R14" s="15"/>
      <c r="S14" s="34"/>
      <c r="T14" s="35"/>
      <c r="U14" s="13"/>
      <c r="V14" s="15"/>
      <c r="W14" s="15"/>
      <c r="X14" s="34"/>
      <c r="Y14" s="13"/>
      <c r="Z14" s="2"/>
      <c r="AA14" s="15"/>
      <c r="AB14" s="28"/>
      <c r="AC14" s="348"/>
      <c r="AD14" s="15"/>
      <c r="AE14" s="15"/>
      <c r="AF14" s="15"/>
      <c r="AG14" s="15"/>
      <c r="AH14" s="2"/>
      <c r="AI14" s="15"/>
      <c r="AJ14" s="15"/>
      <c r="AK14" s="15"/>
      <c r="AL14" s="15"/>
      <c r="AM14" s="15"/>
      <c r="AN14" s="15"/>
      <c r="AO14" s="13"/>
      <c r="AP14" s="15"/>
      <c r="AQ14" s="34"/>
      <c r="AR14" s="15"/>
      <c r="AS14" s="13"/>
      <c r="AT14" s="15"/>
      <c r="AU14" s="15"/>
      <c r="AV14" s="15"/>
      <c r="AW14" s="13"/>
      <c r="AX14" s="15"/>
      <c r="AZ14" s="28"/>
      <c r="BA14" s="13"/>
      <c r="BB14" s="15"/>
      <c r="BC14" s="34"/>
      <c r="BD14" s="34"/>
      <c r="BE14" s="14"/>
      <c r="BF14" s="82">
        <f t="shared" ref="BF14:BG14" si="24">K14+O14+S14+W14+AA14+AE14+AI14+AM14+AQ14+AU14+AY14+BC14</f>
        <v>0</v>
      </c>
      <c r="BG14" s="34">
        <f t="shared" si="24"/>
        <v>0</v>
      </c>
      <c r="BH14" s="35">
        <f t="shared" si="1"/>
        <v>0</v>
      </c>
      <c r="BK14" s="2" t="b">
        <f>H14='2021'!BH14</f>
        <v>1</v>
      </c>
    </row>
    <row r="15" spans="1:63" x14ac:dyDescent="0.25">
      <c r="A15" s="176">
        <v>1</v>
      </c>
      <c r="B15" s="14"/>
      <c r="D15" s="14" t="s">
        <v>52</v>
      </c>
      <c r="E15" s="2" t="s">
        <v>39</v>
      </c>
      <c r="F15" s="299"/>
      <c r="G15" s="38"/>
      <c r="H15" s="34">
        <f>'2021'!BH15</f>
        <v>0</v>
      </c>
      <c r="I15" s="13"/>
      <c r="J15" s="15"/>
      <c r="K15" s="15"/>
      <c r="L15" s="28"/>
      <c r="M15" s="13"/>
      <c r="N15" s="15"/>
      <c r="O15" s="15"/>
      <c r="P15" s="15"/>
      <c r="Q15" s="13"/>
      <c r="R15" s="15"/>
      <c r="S15" s="15"/>
      <c r="T15" s="28"/>
      <c r="U15" s="13"/>
      <c r="V15" s="15"/>
      <c r="W15" s="15"/>
      <c r="X15" s="15"/>
      <c r="Y15" s="13"/>
      <c r="Z15" s="2"/>
      <c r="AA15" s="34"/>
      <c r="AB15" s="28"/>
      <c r="AC15" s="348"/>
      <c r="AD15" s="15"/>
      <c r="AE15" s="15"/>
      <c r="AF15" s="15"/>
      <c r="AG15" s="15"/>
      <c r="AH15" s="2"/>
      <c r="AI15" s="15"/>
      <c r="AJ15" s="15"/>
      <c r="AK15" s="15"/>
      <c r="AL15" s="15"/>
      <c r="AM15" s="15"/>
      <c r="AN15" s="15"/>
      <c r="AO15" s="13"/>
      <c r="AP15" s="15"/>
      <c r="AQ15" s="15"/>
      <c r="AR15" s="15"/>
      <c r="AS15" s="13"/>
      <c r="AT15" s="15"/>
      <c r="AU15" s="15"/>
      <c r="AV15" s="15"/>
      <c r="AW15" s="13"/>
      <c r="AX15" s="15"/>
      <c r="AZ15" s="28"/>
      <c r="BA15" s="13"/>
      <c r="BB15" s="15"/>
      <c r="BC15" s="15"/>
      <c r="BD15" s="15"/>
      <c r="BE15" s="14"/>
      <c r="BF15" s="82">
        <f t="shared" ref="BF15:BG15" si="25">K15+O15+S15+W15+AA15+AE15+AI15+AM15+AQ15+AU15+AY15+BC15</f>
        <v>0</v>
      </c>
      <c r="BG15" s="34">
        <f t="shared" si="25"/>
        <v>0</v>
      </c>
      <c r="BH15" s="35">
        <f t="shared" si="1"/>
        <v>0</v>
      </c>
      <c r="BK15" s="2" t="b">
        <f>H15='2021'!BH15</f>
        <v>1</v>
      </c>
    </row>
    <row r="16" spans="1:63" x14ac:dyDescent="0.25">
      <c r="A16" s="177">
        <v>1</v>
      </c>
      <c r="B16" s="21"/>
      <c r="C16" s="22" t="s">
        <v>53</v>
      </c>
      <c r="D16" s="21"/>
      <c r="E16" s="22"/>
      <c r="F16" s="20"/>
      <c r="G16" s="23"/>
      <c r="H16" s="51">
        <f>SUM(H6:H15)-H9</f>
        <v>3737.11</v>
      </c>
      <c r="I16" s="52"/>
      <c r="J16" s="53"/>
      <c r="K16" s="54">
        <f t="shared" ref="K16:L16" si="26">SUM(K8:K15)-K9</f>
        <v>270</v>
      </c>
      <c r="L16" s="55">
        <f t="shared" si="26"/>
        <v>3737.11</v>
      </c>
      <c r="M16" s="52"/>
      <c r="N16" s="53"/>
      <c r="O16" s="54">
        <f t="shared" ref="O16:P16" si="27">SUM(O8:O15)-O9</f>
        <v>78.3</v>
      </c>
      <c r="P16" s="54">
        <f t="shared" si="27"/>
        <v>0</v>
      </c>
      <c r="Q16" s="52"/>
      <c r="R16" s="53"/>
      <c r="S16" s="54">
        <f t="shared" ref="S16:T16" si="28">SUM(S8:S15)-S9</f>
        <v>91.8</v>
      </c>
      <c r="T16" s="55">
        <f t="shared" si="28"/>
        <v>0</v>
      </c>
      <c r="U16" s="52"/>
      <c r="V16" s="53"/>
      <c r="W16" s="54">
        <f t="shared" ref="W16:X16" si="29">SUM(W8:W15)-W9</f>
        <v>83.7</v>
      </c>
      <c r="X16" s="54">
        <f t="shared" si="29"/>
        <v>0</v>
      </c>
      <c r="Y16" s="52"/>
      <c r="Z16" s="301"/>
      <c r="AA16" s="54">
        <f t="shared" ref="AA16:AB16" si="30">SUM(AA8:AA15)-AA9</f>
        <v>86.4</v>
      </c>
      <c r="AB16" s="55">
        <f t="shared" si="30"/>
        <v>0</v>
      </c>
      <c r="AC16" s="351"/>
      <c r="AD16" s="53"/>
      <c r="AE16" s="54">
        <f t="shared" ref="AE16:AF16" si="31">SUM(AE8:AE15)-AE9</f>
        <v>105.3</v>
      </c>
      <c r="AF16" s="54">
        <f t="shared" si="31"/>
        <v>0</v>
      </c>
      <c r="AG16" s="53"/>
      <c r="AH16" s="301"/>
      <c r="AI16" s="54">
        <f t="shared" ref="AI16:AJ16" si="32">SUM(AI8:AI15)-AI9</f>
        <v>96.11712</v>
      </c>
      <c r="AJ16" s="54">
        <f t="shared" si="32"/>
        <v>0</v>
      </c>
      <c r="AK16" s="53"/>
      <c r="AL16" s="53"/>
      <c r="AM16" s="54">
        <f t="shared" ref="AM16:AN16" si="33">SUM(AM8:AM15)-AM9</f>
        <v>134.03064</v>
      </c>
      <c r="AN16" s="54">
        <f t="shared" si="33"/>
        <v>0</v>
      </c>
      <c r="AO16" s="52"/>
      <c r="AP16" s="53"/>
      <c r="AQ16" s="54">
        <f t="shared" ref="AQ16:AR16" si="34">SUM(AQ7:AQ15)-AQ9</f>
        <v>101.6472</v>
      </c>
      <c r="AR16" s="54">
        <f t="shared" si="34"/>
        <v>0</v>
      </c>
      <c r="AS16" s="52"/>
      <c r="AT16" s="53"/>
      <c r="AU16" s="54">
        <f t="shared" ref="AU16:AV16" si="35">SUM(AU7:AU15)-AU9</f>
        <v>142.065</v>
      </c>
      <c r="AV16" s="55">
        <f t="shared" si="35"/>
        <v>0</v>
      </c>
      <c r="AW16" s="52"/>
      <c r="AX16" s="53"/>
      <c r="AY16" s="54">
        <f t="shared" ref="AY16:AZ16" si="36">SUM(AY7:AY15)-AY9</f>
        <v>0</v>
      </c>
      <c r="AZ16" s="55">
        <f t="shared" si="36"/>
        <v>0</v>
      </c>
      <c r="BA16" s="52"/>
      <c r="BB16" s="53"/>
      <c r="BC16" s="54">
        <f t="shared" ref="BC16:BD16" si="37">SUM(BC7:BC15)-BC9</f>
        <v>0</v>
      </c>
      <c r="BD16" s="55">
        <f t="shared" si="37"/>
        <v>0</v>
      </c>
      <c r="BE16" s="56"/>
      <c r="BF16" s="57">
        <f t="shared" ref="BF16:BG16" si="38">SUM(BF7:BF15)-BF9</f>
        <v>1189.35996</v>
      </c>
      <c r="BG16" s="58">
        <f t="shared" si="38"/>
        <v>3737.11</v>
      </c>
      <c r="BH16" s="59">
        <f>SUM(BH8:BH15)-BH9</f>
        <v>1189.35996</v>
      </c>
      <c r="BI16" s="34">
        <f>H16+BF16-BG16</f>
        <v>1189.35996</v>
      </c>
      <c r="BJ16" s="34">
        <f>BH16-BI16</f>
        <v>0</v>
      </c>
      <c r="BK16" s="2" t="b">
        <f>H16='2021'!BH16</f>
        <v>1</v>
      </c>
    </row>
    <row r="17" spans="1:63" x14ac:dyDescent="0.25">
      <c r="A17" s="2">
        <v>2</v>
      </c>
      <c r="B17" s="14"/>
      <c r="D17" s="176" t="s">
        <v>544</v>
      </c>
      <c r="F17" s="31"/>
      <c r="G17" s="28"/>
      <c r="H17" s="34">
        <f>'2021'!BH17</f>
        <v>0</v>
      </c>
      <c r="I17" s="61"/>
      <c r="J17" s="60"/>
      <c r="K17" s="62"/>
      <c r="L17" s="28"/>
      <c r="M17" s="61"/>
      <c r="N17" s="60"/>
      <c r="O17" s="62"/>
      <c r="P17" s="62"/>
      <c r="Q17" s="61"/>
      <c r="R17" s="60"/>
      <c r="S17" s="62"/>
      <c r="T17" s="63"/>
      <c r="U17" s="61"/>
      <c r="V17" s="60"/>
      <c r="W17" s="153"/>
      <c r="X17" s="34"/>
      <c r="Y17" s="61"/>
      <c r="Z17" s="303"/>
      <c r="AA17" s="154">
        <v>248.5</v>
      </c>
      <c r="AB17" s="179"/>
      <c r="AC17" s="352"/>
      <c r="AD17" s="60"/>
      <c r="AE17" s="64"/>
      <c r="AF17" s="353">
        <v>248.5</v>
      </c>
      <c r="AG17" s="60"/>
      <c r="AH17" s="303"/>
      <c r="AI17" s="64"/>
      <c r="AJ17" s="62"/>
      <c r="AK17" s="60"/>
      <c r="AL17" s="60"/>
      <c r="AM17" s="64"/>
      <c r="AN17" s="62"/>
      <c r="AO17" s="61"/>
      <c r="AP17" s="60"/>
      <c r="AQ17" s="64"/>
      <c r="AR17" s="62"/>
      <c r="AS17" s="61"/>
      <c r="AT17" s="60"/>
      <c r="AU17" s="64"/>
      <c r="AV17" s="62"/>
      <c r="AW17" s="61"/>
      <c r="AX17" s="60"/>
      <c r="AY17" s="64"/>
      <c r="AZ17" s="63"/>
      <c r="BA17" s="61"/>
      <c r="BB17" s="60"/>
      <c r="BC17" s="64"/>
      <c r="BD17" s="62"/>
      <c r="BE17" s="65"/>
      <c r="BF17" s="41">
        <f t="shared" ref="BF17:BG17" si="39">K17+O17+S17+W17+AA17+AE17+AI17+AM17+AQ17+AU17+AY17+BC17</f>
        <v>248.5</v>
      </c>
      <c r="BG17" s="34">
        <f t="shared" si="39"/>
        <v>248.5</v>
      </c>
      <c r="BH17" s="35">
        <f t="shared" ref="BH17:BH24" si="40">H17+BF17-BG17</f>
        <v>0</v>
      </c>
      <c r="BK17" s="2" t="b">
        <f>H17='2021'!BH17</f>
        <v>1</v>
      </c>
    </row>
    <row r="18" spans="1:132" x14ac:dyDescent="0.25">
      <c r="A18" s="147">
        <v>2</v>
      </c>
      <c r="B18" s="14">
        <v>4.12</v>
      </c>
      <c r="C18" s="2" t="s">
        <v>359</v>
      </c>
      <c r="D18" s="14" t="s">
        <v>44</v>
      </c>
      <c r="E18" s="2" t="s">
        <v>45</v>
      </c>
      <c r="F18" s="41">
        <v>2.5</v>
      </c>
      <c r="G18" s="35">
        <v>2.6</v>
      </c>
      <c r="H18" s="180">
        <f>'2021'!BH18</f>
        <v>0</v>
      </c>
      <c r="I18" s="13">
        <v>36199</v>
      </c>
      <c r="J18" s="15">
        <f>I18-'2021'!BA18</f>
        <v>606</v>
      </c>
      <c r="K18" s="34">
        <f>J18*$F$8</f>
        <v>1636.2</v>
      </c>
      <c r="L18" s="35">
        <v>2000</v>
      </c>
      <c r="M18" s="13">
        <v>36837</v>
      </c>
      <c r="N18" s="15">
        <f t="shared" ref="N18:N19" si="41">M18-I18</f>
        <v>638</v>
      </c>
      <c r="O18" s="34">
        <f>N18*$F$8</f>
        <v>1722.6</v>
      </c>
      <c r="P18" s="1"/>
      <c r="Q18" s="13">
        <v>37235</v>
      </c>
      <c r="R18" s="15">
        <f t="shared" ref="R18:R19" si="42">Q18-M18</f>
        <v>398</v>
      </c>
      <c r="S18" s="34">
        <f>R18*$F$8</f>
        <v>1074.6</v>
      </c>
      <c r="T18" s="32">
        <f>2000+1500</f>
        <v>3500</v>
      </c>
      <c r="U18" s="13">
        <v>37659</v>
      </c>
      <c r="V18" s="15">
        <f t="shared" ref="V18:V19" si="43">U18-Q18</f>
        <v>424</v>
      </c>
      <c r="W18" s="34">
        <f>V18*$F$8</f>
        <v>1144.8</v>
      </c>
      <c r="X18" s="39">
        <v>78.2</v>
      </c>
      <c r="Y18" s="13">
        <v>38097</v>
      </c>
      <c r="Z18" s="2">
        <f t="shared" ref="Z18:Z19" si="44">Y18-U18</f>
        <v>438</v>
      </c>
      <c r="AA18" s="34">
        <f>Z18*$F$8</f>
        <v>1182.6</v>
      </c>
      <c r="AB18" s="179">
        <v>1182.6</v>
      </c>
      <c r="AC18" s="350">
        <v>38548</v>
      </c>
      <c r="AD18" s="15">
        <f t="shared" ref="AD18:AD19" si="45">AC18-Y18</f>
        <v>451</v>
      </c>
      <c r="AE18" s="180">
        <f>AD18*$F$8</f>
        <v>1217.7</v>
      </c>
      <c r="AF18" s="248"/>
      <c r="AG18" s="13">
        <v>38872</v>
      </c>
      <c r="AH18" s="180">
        <f>(AG18-AC18)*AH5</f>
        <v>342.144</v>
      </c>
      <c r="AI18" s="45">
        <f>AH18*$G$8</f>
        <v>841.67424</v>
      </c>
      <c r="AJ18" s="248">
        <v>1217.7</v>
      </c>
      <c r="AK18" s="13">
        <v>39303</v>
      </c>
      <c r="AL18" s="15">
        <f>(AK18-AG18)*AL5</f>
        <v>443.068</v>
      </c>
      <c r="AM18" s="45">
        <f>AL18*$G$8</f>
        <v>1089.94728</v>
      </c>
      <c r="AN18" s="1">
        <f>841.67+1089.95</f>
        <v>1931.62</v>
      </c>
      <c r="AO18" s="13">
        <v>39661</v>
      </c>
      <c r="AP18" s="15">
        <f>(AO18-AK18)*AP5</f>
        <v>369.814</v>
      </c>
      <c r="AQ18" s="45">
        <f>AP18*$G$8</f>
        <v>909.74244</v>
      </c>
      <c r="AR18" s="1">
        <v>909.74</v>
      </c>
      <c r="AS18" s="13">
        <v>40038</v>
      </c>
      <c r="AT18" s="15">
        <f>(AS18-AO18)*AT5</f>
        <v>395.85</v>
      </c>
      <c r="AU18" s="45">
        <f>AT18*$G$8</f>
        <v>973.791</v>
      </c>
      <c r="AV18" s="1"/>
      <c r="AW18" s="13">
        <v>2</v>
      </c>
      <c r="AX18" s="15">
        <f>(AW18-AS18)*AX5</f>
        <v>0</v>
      </c>
      <c r="AY18" s="45">
        <f>AX18*$G$8</f>
        <v>0</v>
      </c>
      <c r="AZ18" s="38">
        <v>2</v>
      </c>
      <c r="BA18" s="13"/>
      <c r="BB18" s="15"/>
      <c r="BC18" s="45">
        <f>BB18*$G$8</f>
        <v>0</v>
      </c>
      <c r="BD18" s="34"/>
      <c r="BE18" s="40">
        <f t="shared" ref="BE18:BG18" si="46">J18+N18+R18+V18+Z18+AD18+AH18+AL18+AP18+AT18+AX18+BB18</f>
        <v>4505.876</v>
      </c>
      <c r="BF18" s="41">
        <f t="shared" si="46"/>
        <v>11793.65496</v>
      </c>
      <c r="BG18" s="34">
        <f t="shared" si="46"/>
        <v>10819.86</v>
      </c>
      <c r="BH18" s="35">
        <f t="shared" si="40"/>
        <v>973.79496</v>
      </c>
      <c r="BK18" s="2" t="b">
        <f>H18='2021'!BH18</f>
        <v>1</v>
      </c>
      <c r="CU18">
        <v>2</v>
      </c>
      <c r="EB18">
        <v>2</v>
      </c>
    </row>
    <row r="19" spans="1:132" x14ac:dyDescent="0.25">
      <c r="A19" s="2">
        <v>2</v>
      </c>
      <c r="B19" s="14"/>
      <c r="C19" s="2" t="s">
        <v>487</v>
      </c>
      <c r="D19" s="14" t="s">
        <v>47</v>
      </c>
      <c r="E19" s="2" t="s">
        <v>48</v>
      </c>
      <c r="F19" s="13">
        <v>18.56</v>
      </c>
      <c r="G19" s="35">
        <v>19.46</v>
      </c>
      <c r="H19" s="34">
        <f>'2021'!BH19</f>
        <v>0</v>
      </c>
      <c r="I19" s="13">
        <v>33</v>
      </c>
      <c r="J19" s="15"/>
      <c r="K19" s="34"/>
      <c r="L19" s="28"/>
      <c r="M19" s="13">
        <v>33</v>
      </c>
      <c r="N19" s="15">
        <f t="shared" si="41"/>
        <v>0</v>
      </c>
      <c r="O19" s="15"/>
      <c r="P19" s="15"/>
      <c r="Q19" s="13">
        <v>33</v>
      </c>
      <c r="R19" s="15">
        <f t="shared" si="42"/>
        <v>0</v>
      </c>
      <c r="S19" s="15"/>
      <c r="T19" s="28"/>
      <c r="U19" s="13">
        <v>33</v>
      </c>
      <c r="V19" s="15">
        <f t="shared" si="43"/>
        <v>0</v>
      </c>
      <c r="W19" s="180">
        <f>V19*$F$10</f>
        <v>0</v>
      </c>
      <c r="X19" s="15"/>
      <c r="Y19" s="13">
        <v>35</v>
      </c>
      <c r="Z19" s="2">
        <f t="shared" si="44"/>
        <v>2</v>
      </c>
      <c r="AA19" s="34">
        <f>Z19*$F$10</f>
        <v>40.7</v>
      </c>
      <c r="AB19" s="63"/>
      <c r="AC19" s="348">
        <v>39</v>
      </c>
      <c r="AD19" s="15">
        <f t="shared" si="45"/>
        <v>4</v>
      </c>
      <c r="AE19" s="34">
        <f>AD19*$F$10</f>
        <v>81.4</v>
      </c>
      <c r="AF19" s="39">
        <v>40.7</v>
      </c>
      <c r="AG19" s="15">
        <v>41</v>
      </c>
      <c r="AH19" s="2">
        <f>AG19-AC19</f>
        <v>2</v>
      </c>
      <c r="AI19" s="45">
        <f>AH19*$G$10</f>
        <v>42.8</v>
      </c>
      <c r="AJ19" s="1">
        <v>81.4</v>
      </c>
      <c r="AK19" s="15">
        <v>43</v>
      </c>
      <c r="AL19" s="15">
        <f>AK19-AG19</f>
        <v>2</v>
      </c>
      <c r="AM19" s="45">
        <f>AL19*$G$10</f>
        <v>42.8</v>
      </c>
      <c r="AN19" s="1">
        <v>42.8</v>
      </c>
      <c r="AO19" s="13">
        <v>44</v>
      </c>
      <c r="AP19" s="15">
        <f>AO19-AK19</f>
        <v>1</v>
      </c>
      <c r="AQ19" s="45">
        <f>AP19*$G$10</f>
        <v>21.4</v>
      </c>
      <c r="AR19" s="1">
        <v>42.8</v>
      </c>
      <c r="AS19" s="13">
        <v>44</v>
      </c>
      <c r="AT19" s="15">
        <f>AS19-AO19</f>
        <v>0</v>
      </c>
      <c r="AU19" s="45">
        <f>AT19*$G$10</f>
        <v>0</v>
      </c>
      <c r="AV19" s="15"/>
      <c r="AW19" s="13">
        <v>1</v>
      </c>
      <c r="AX19" s="15">
        <f>AW19-AS19</f>
        <v>-44</v>
      </c>
      <c r="AY19" s="45"/>
      <c r="AZ19" s="32">
        <v>2</v>
      </c>
      <c r="BA19" s="13"/>
      <c r="BB19" s="15"/>
      <c r="BC19" s="45"/>
      <c r="BD19" s="15"/>
      <c r="BE19" s="40">
        <f t="shared" ref="BE19:BG19" si="47">J19+N19+R19+V19+Z19+AD19+AH19+AL19+AP19+AT19+AX19+BB19</f>
        <v>-33</v>
      </c>
      <c r="BF19" s="41">
        <f t="shared" si="47"/>
        <v>229.1</v>
      </c>
      <c r="BG19" s="34">
        <f t="shared" si="47"/>
        <v>207.7</v>
      </c>
      <c r="BH19" s="35">
        <f t="shared" si="40"/>
        <v>21.4</v>
      </c>
      <c r="BK19" s="2" t="b">
        <f>H19='2021'!BH19</f>
        <v>1</v>
      </c>
      <c r="CU19">
        <v>1</v>
      </c>
      <c r="EB19">
        <v>2</v>
      </c>
    </row>
    <row r="20" spans="1:63" x14ac:dyDescent="0.25">
      <c r="A20" s="2">
        <v>2</v>
      </c>
      <c r="B20" s="14"/>
      <c r="C20" s="2" t="s">
        <v>56</v>
      </c>
      <c r="D20" s="14" t="s">
        <v>47</v>
      </c>
      <c r="E20" s="2" t="s">
        <v>49</v>
      </c>
      <c r="F20" s="41">
        <v>500</v>
      </c>
      <c r="G20" s="38"/>
      <c r="H20" s="34">
        <f>'2021'!BH20</f>
        <v>0</v>
      </c>
      <c r="I20" s="13"/>
      <c r="J20" s="15"/>
      <c r="K20" s="15"/>
      <c r="L20" s="28"/>
      <c r="M20" s="13"/>
      <c r="N20" s="15"/>
      <c r="O20" s="15"/>
      <c r="P20" s="15"/>
      <c r="Q20" s="13"/>
      <c r="R20" s="15"/>
      <c r="S20" s="15"/>
      <c r="T20" s="28"/>
      <c r="U20" s="13"/>
      <c r="V20" s="15"/>
      <c r="W20" s="15"/>
      <c r="X20" s="15"/>
      <c r="Y20" s="13"/>
      <c r="Z20" s="2"/>
      <c r="AA20" s="15"/>
      <c r="AB20" s="179"/>
      <c r="AC20" s="348"/>
      <c r="AD20" s="15"/>
      <c r="AE20" s="34"/>
      <c r="AF20" s="15"/>
      <c r="AG20" s="15"/>
      <c r="AH20" s="2"/>
      <c r="AI20" s="45"/>
      <c r="AJ20" s="1"/>
      <c r="AK20" s="15"/>
      <c r="AL20" s="15"/>
      <c r="AM20" s="45"/>
      <c r="AN20" s="15"/>
      <c r="AO20" s="13"/>
      <c r="AP20" s="15"/>
      <c r="AQ20" s="45"/>
      <c r="AR20" s="15"/>
      <c r="AS20" s="13"/>
      <c r="AT20" s="15"/>
      <c r="AU20" s="45"/>
      <c r="AV20" s="15"/>
      <c r="AW20" s="13"/>
      <c r="AX20" s="15"/>
      <c r="AY20" s="45"/>
      <c r="AZ20" s="28"/>
      <c r="BA20" s="13"/>
      <c r="BB20" s="15"/>
      <c r="BC20" s="45"/>
      <c r="BD20" s="15"/>
      <c r="BE20" s="14"/>
      <c r="BF20" s="41">
        <f t="shared" ref="BF20:BG20" si="48">K20+O20+S20+W20+AA20+AE20+AI20+AM20+AQ20+AU20+AY20+BC20</f>
        <v>0</v>
      </c>
      <c r="BG20" s="34">
        <f t="shared" si="48"/>
        <v>0</v>
      </c>
      <c r="BH20" s="35">
        <f t="shared" si="40"/>
        <v>0</v>
      </c>
      <c r="BK20" s="2" t="b">
        <f>H20='2021'!BH20</f>
        <v>1</v>
      </c>
    </row>
    <row r="21" ht="15.75" customHeight="1" spans="1:63" x14ac:dyDescent="0.25">
      <c r="A21" s="2">
        <v>2</v>
      </c>
      <c r="B21" s="14"/>
      <c r="C21" s="2" t="s">
        <v>57</v>
      </c>
      <c r="D21" s="14" t="s">
        <v>50</v>
      </c>
      <c r="E21" s="2" t="s">
        <v>49</v>
      </c>
      <c r="F21" s="41">
        <v>1100</v>
      </c>
      <c r="G21" s="38"/>
      <c r="H21" s="180">
        <f>'2021'!BH21</f>
        <v>0</v>
      </c>
      <c r="I21" s="13"/>
      <c r="J21" s="15"/>
      <c r="K21" s="15"/>
      <c r="L21" s="28"/>
      <c r="M21" s="13"/>
      <c r="N21" s="15"/>
      <c r="O21" s="15"/>
      <c r="P21" s="15"/>
      <c r="Q21" s="13"/>
      <c r="R21" s="15"/>
      <c r="S21" s="15"/>
      <c r="T21" s="28"/>
      <c r="U21" s="13"/>
      <c r="V21" s="15"/>
      <c r="W21" s="15"/>
      <c r="X21" s="15"/>
      <c r="Y21" s="13"/>
      <c r="Z21" s="2"/>
      <c r="AA21" s="15"/>
      <c r="AB21" s="63"/>
      <c r="AC21" s="348"/>
      <c r="AD21" s="15"/>
      <c r="AE21" s="34">
        <f>B18*$F$12</f>
        <v>5356</v>
      </c>
      <c r="AF21" s="15"/>
      <c r="AG21" s="15"/>
      <c r="AH21" s="2"/>
      <c r="AI21" s="45"/>
      <c r="AJ21" s="1"/>
      <c r="AK21" s="15"/>
      <c r="AL21" s="15"/>
      <c r="AM21" s="45"/>
      <c r="AN21" s="15"/>
      <c r="AO21" s="13"/>
      <c r="AP21" s="15"/>
      <c r="AQ21" s="34"/>
      <c r="AR21" s="1">
        <v>5356</v>
      </c>
      <c r="AS21" s="13"/>
      <c r="AT21" s="15"/>
      <c r="AU21" s="45"/>
      <c r="AV21" s="15"/>
      <c r="AW21" s="13"/>
      <c r="AX21" s="15"/>
      <c r="AY21" s="45"/>
      <c r="AZ21" s="28"/>
      <c r="BA21" s="13"/>
      <c r="BB21" s="15"/>
      <c r="BC21" s="45"/>
      <c r="BD21" s="15"/>
      <c r="BE21" s="14"/>
      <c r="BF21" s="41">
        <f t="shared" ref="BF21:BG21" si="49">K21+O21+S21+W21+AA21+AE21+AI21+AM21+AQ21+AU21+AY21+BC21</f>
        <v>5356</v>
      </c>
      <c r="BG21" s="34">
        <f t="shared" si="49"/>
        <v>5356</v>
      </c>
      <c r="BH21" s="35">
        <f t="shared" si="40"/>
        <v>0</v>
      </c>
      <c r="BK21" s="2" t="b">
        <f>H21='2021'!BH21</f>
        <v>1</v>
      </c>
    </row>
    <row r="22" ht="15.75" customHeight="1" spans="1:63" x14ac:dyDescent="0.25">
      <c r="A22" s="2">
        <v>2</v>
      </c>
      <c r="B22" s="14"/>
      <c r="C22" s="2" t="s">
        <v>58</v>
      </c>
      <c r="D22" s="14" t="s">
        <v>51</v>
      </c>
      <c r="E22" s="2" t="s">
        <v>39</v>
      </c>
      <c r="F22" s="41">
        <v>500</v>
      </c>
      <c r="G22" s="38"/>
      <c r="H22" s="34">
        <f>'2021'!BH22</f>
        <v>0</v>
      </c>
      <c r="I22" s="13"/>
      <c r="J22" s="15"/>
      <c r="K22" s="15"/>
      <c r="L22" s="28"/>
      <c r="M22" s="13"/>
      <c r="N22" s="15"/>
      <c r="O22" s="15"/>
      <c r="P22" s="15"/>
      <c r="Q22" s="13"/>
      <c r="R22" s="15"/>
      <c r="S22" s="15"/>
      <c r="T22" s="28"/>
      <c r="U22" s="13"/>
      <c r="V22" s="15"/>
      <c r="W22" s="15"/>
      <c r="X22" s="15"/>
      <c r="Y22" s="13"/>
      <c r="Z22" s="2"/>
      <c r="AA22" s="15"/>
      <c r="AB22" s="179"/>
      <c r="AC22" s="348"/>
      <c r="AD22" s="15"/>
      <c r="AE22" s="180">
        <f>$F$13</f>
        <v>1000</v>
      </c>
      <c r="AF22" s="15"/>
      <c r="AG22" s="15"/>
      <c r="AH22" s="2"/>
      <c r="AI22" s="45"/>
      <c r="AJ22" s="1">
        <v>1000</v>
      </c>
      <c r="AK22" s="15"/>
      <c r="AL22" s="15"/>
      <c r="AM22" s="45"/>
      <c r="AN22" s="15"/>
      <c r="AO22" s="13"/>
      <c r="AP22" s="15"/>
      <c r="AQ22" s="180"/>
      <c r="AR22" s="34"/>
      <c r="AS22" s="13"/>
      <c r="AT22" s="15"/>
      <c r="AU22" s="45"/>
      <c r="AV22" s="15"/>
      <c r="AW22" s="13"/>
      <c r="AX22" s="15"/>
      <c r="AY22" s="45"/>
      <c r="AZ22" s="28"/>
      <c r="BA22" s="13"/>
      <c r="BB22" s="15"/>
      <c r="BC22" s="45"/>
      <c r="BD22" s="15"/>
      <c r="BE22" s="14"/>
      <c r="BF22" s="41">
        <f t="shared" ref="BF22:BG22" si="50">K22+O22+S22+W22+AA22+AE22+AI22+AM22+AQ22+AU22+AY22+BC22</f>
        <v>1000</v>
      </c>
      <c r="BG22" s="34">
        <f t="shared" si="50"/>
        <v>1000</v>
      </c>
      <c r="BH22" s="35">
        <f t="shared" si="40"/>
        <v>0</v>
      </c>
      <c r="BK22" s="2" t="b">
        <f>H22='2021'!BH22</f>
        <v>1</v>
      </c>
    </row>
    <row r="23" ht="15.75" customHeight="1" spans="1:63" x14ac:dyDescent="0.25">
      <c r="A23" s="2">
        <v>2</v>
      </c>
      <c r="B23" s="14"/>
      <c r="D23" s="14" t="s">
        <v>51</v>
      </c>
      <c r="E23" s="2" t="s">
        <v>49</v>
      </c>
      <c r="F23" s="41">
        <v>500</v>
      </c>
      <c r="G23" s="38"/>
      <c r="H23" s="34">
        <f>'2021'!BH23</f>
        <v>0</v>
      </c>
      <c r="I23" s="13"/>
      <c r="J23" s="15"/>
      <c r="K23" s="15"/>
      <c r="L23" s="28"/>
      <c r="M23" s="13"/>
      <c r="N23" s="15"/>
      <c r="O23" s="15"/>
      <c r="P23" s="15"/>
      <c r="Q23" s="13"/>
      <c r="R23" s="15"/>
      <c r="S23" s="15"/>
      <c r="T23" s="28"/>
      <c r="U23" s="13"/>
      <c r="V23" s="15"/>
      <c r="W23" s="15"/>
      <c r="X23" s="15"/>
      <c r="Y23" s="13"/>
      <c r="Z23" s="2"/>
      <c r="AA23" s="15"/>
      <c r="AB23" s="179"/>
      <c r="AC23" s="348"/>
      <c r="AD23" s="15"/>
      <c r="AE23" s="34"/>
      <c r="AF23" s="15"/>
      <c r="AG23" s="15"/>
      <c r="AH23" s="2"/>
      <c r="AI23" s="45"/>
      <c r="AJ23" s="15"/>
      <c r="AK23" s="15"/>
      <c r="AL23" s="15"/>
      <c r="AM23" s="45"/>
      <c r="AN23" s="15"/>
      <c r="AO23" s="13"/>
      <c r="AP23" s="15"/>
      <c r="AQ23" s="180">
        <f>B18*$F$14</f>
        <v>0</v>
      </c>
      <c r="AR23" s="34"/>
      <c r="AS23" s="13"/>
      <c r="AT23" s="15"/>
      <c r="AU23" s="45"/>
      <c r="AV23" s="15"/>
      <c r="AW23" s="13"/>
      <c r="AX23" s="15"/>
      <c r="AY23" s="45"/>
      <c r="AZ23" s="28"/>
      <c r="BA23" s="13"/>
      <c r="BB23" s="15"/>
      <c r="BC23" s="45"/>
      <c r="BD23" s="15"/>
      <c r="BE23" s="14"/>
      <c r="BF23" s="41">
        <f t="shared" ref="BF23:BG23" si="51">K23+O23+S23+W23+AA23+AE23+AI23+AM23+AQ23+AU23+AY23+BC23</f>
        <v>0</v>
      </c>
      <c r="BG23" s="34">
        <f t="shared" si="51"/>
        <v>0</v>
      </c>
      <c r="BH23" s="35">
        <f t="shared" si="40"/>
        <v>0</v>
      </c>
      <c r="BK23" s="2" t="b">
        <f>H23='2021'!BH23</f>
        <v>1</v>
      </c>
    </row>
    <row r="24" ht="15.75" customHeight="1" spans="1:63" x14ac:dyDescent="0.25">
      <c r="A24" s="2">
        <v>2</v>
      </c>
      <c r="B24" s="14"/>
      <c r="C24" s="2" t="s">
        <v>59</v>
      </c>
      <c r="D24" s="14" t="s">
        <v>52</v>
      </c>
      <c r="E24" s="2" t="s">
        <v>39</v>
      </c>
      <c r="F24" s="41">
        <v>500</v>
      </c>
      <c r="G24" s="38"/>
      <c r="H24" s="34">
        <f>'2021'!BH24</f>
        <v>0</v>
      </c>
      <c r="I24" s="13"/>
      <c r="J24" s="15"/>
      <c r="K24" s="15"/>
      <c r="L24" s="28"/>
      <c r="M24" s="13"/>
      <c r="N24" s="15"/>
      <c r="O24" s="15"/>
      <c r="P24" s="15"/>
      <c r="Q24" s="13"/>
      <c r="R24" s="15"/>
      <c r="S24" s="15"/>
      <c r="T24" s="28"/>
      <c r="U24" s="13"/>
      <c r="V24" s="15"/>
      <c r="W24" s="15"/>
      <c r="X24" s="15"/>
      <c r="Y24" s="13"/>
      <c r="Z24" s="2"/>
      <c r="AA24" s="84"/>
      <c r="AB24" s="35"/>
      <c r="AC24" s="348"/>
      <c r="AD24" s="15"/>
      <c r="AE24" s="15"/>
      <c r="AF24" s="15"/>
      <c r="AG24" s="15"/>
      <c r="AH24" s="2"/>
      <c r="AI24" s="45"/>
      <c r="AJ24" s="15"/>
      <c r="AK24" s="15"/>
      <c r="AL24" s="15"/>
      <c r="AM24" s="45"/>
      <c r="AN24" s="15"/>
      <c r="AO24" s="13"/>
      <c r="AP24" s="15"/>
      <c r="AQ24" s="45"/>
      <c r="AR24" s="15"/>
      <c r="AS24" s="13"/>
      <c r="AT24" s="15"/>
      <c r="AU24" s="45"/>
      <c r="AV24" s="15"/>
      <c r="AW24" s="13"/>
      <c r="AX24" s="15"/>
      <c r="AY24" s="45"/>
      <c r="AZ24" s="28"/>
      <c r="BA24" s="13"/>
      <c r="BB24" s="15"/>
      <c r="BC24" s="45"/>
      <c r="BD24" s="15"/>
      <c r="BE24" s="14"/>
      <c r="BF24" s="41">
        <f t="shared" ref="BF24:BG24" si="52">K24+O24+S24+W24+AA24+AE24+AI24+AM24+AQ24+AU24+AY24+BC24</f>
        <v>0</v>
      </c>
      <c r="BG24" s="34">
        <f t="shared" si="52"/>
        <v>0</v>
      </c>
      <c r="BH24" s="35">
        <f t="shared" si="40"/>
        <v>0</v>
      </c>
      <c r="BK24" s="2" t="b">
        <f>H24='2021'!BH24</f>
        <v>1</v>
      </c>
    </row>
    <row r="25" ht="15.75" customHeight="1" spans="1:63" x14ac:dyDescent="0.25">
      <c r="A25" s="2">
        <v>2</v>
      </c>
      <c r="B25" s="21"/>
      <c r="C25" s="22" t="s">
        <v>53</v>
      </c>
      <c r="D25" s="21"/>
      <c r="E25" s="22"/>
      <c r="F25" s="20"/>
      <c r="G25" s="23"/>
      <c r="H25" s="51">
        <f>SUM(H17:H24)</f>
        <v>0</v>
      </c>
      <c r="I25" s="52"/>
      <c r="J25" s="53"/>
      <c r="K25" s="51">
        <f t="shared" ref="K25:L25" si="53">SUM(K17:K24)</f>
        <v>1636.2</v>
      </c>
      <c r="L25" s="68">
        <f t="shared" si="53"/>
        <v>2000</v>
      </c>
      <c r="M25" s="52"/>
      <c r="N25" s="53"/>
      <c r="O25" s="51">
        <f t="shared" ref="O25:P25" si="54">SUM(O17:O24)</f>
        <v>1722.6</v>
      </c>
      <c r="P25" s="68">
        <f t="shared" si="54"/>
        <v>0</v>
      </c>
      <c r="Q25" s="52"/>
      <c r="R25" s="53"/>
      <c r="S25" s="51">
        <f t="shared" ref="S25:T25" si="55">SUM(S17:S24)</f>
        <v>1074.6</v>
      </c>
      <c r="T25" s="68">
        <f t="shared" si="55"/>
        <v>3500</v>
      </c>
      <c r="U25" s="52"/>
      <c r="V25" s="53"/>
      <c r="W25" s="51">
        <f t="shared" ref="W25:X25" si="56">SUM(W17:W24)</f>
        <v>1144.8</v>
      </c>
      <c r="X25" s="68">
        <f t="shared" si="56"/>
        <v>78.2</v>
      </c>
      <c r="Y25" s="52"/>
      <c r="Z25" s="301"/>
      <c r="AA25" s="51">
        <f t="shared" ref="AA25:AB25" si="57">SUM(AA17:AA24)</f>
        <v>1471.8</v>
      </c>
      <c r="AB25" s="68">
        <f t="shared" si="57"/>
        <v>1182.6</v>
      </c>
      <c r="AC25" s="351"/>
      <c r="AD25" s="53"/>
      <c r="AE25" s="51">
        <f t="shared" ref="AE25:AF25" si="58">SUM(AE17:AE24)</f>
        <v>7655.1</v>
      </c>
      <c r="AF25" s="68">
        <f t="shared" si="58"/>
        <v>289.2</v>
      </c>
      <c r="AG25" s="53"/>
      <c r="AH25" s="301"/>
      <c r="AI25" s="183">
        <f t="shared" ref="AI25:AJ25" si="59">SUM(AI17:AI24)</f>
        <v>884.47424</v>
      </c>
      <c r="AJ25" s="51">
        <f t="shared" si="59"/>
        <v>2299.1</v>
      </c>
      <c r="AK25" s="53"/>
      <c r="AL25" s="53"/>
      <c r="AM25" s="183">
        <f t="shared" ref="AM25:AN25" si="60">SUM(AM17:AM24)</f>
        <v>1132.74728</v>
      </c>
      <c r="AN25" s="51">
        <f t="shared" si="60"/>
        <v>1974.42</v>
      </c>
      <c r="AO25" s="52"/>
      <c r="AP25" s="53"/>
      <c r="AQ25" s="183">
        <f t="shared" ref="AQ25:AR25" si="61">SUM(AQ17:AQ24)</f>
        <v>931.14244</v>
      </c>
      <c r="AR25" s="51">
        <f t="shared" si="61"/>
        <v>6308.54</v>
      </c>
      <c r="AS25" s="52"/>
      <c r="AT25" s="53"/>
      <c r="AU25" s="183">
        <f t="shared" ref="AU25:AV25" si="62">SUM(AU17:AU24)</f>
        <v>973.791</v>
      </c>
      <c r="AV25" s="68">
        <f t="shared" si="62"/>
        <v>0</v>
      </c>
      <c r="AW25" s="52"/>
      <c r="AX25" s="53"/>
      <c r="AY25" s="183">
        <f t="shared" ref="AY25:AZ25" si="63">SUM(AY17:AY24)</f>
        <v>0</v>
      </c>
      <c r="AZ25" s="68">
        <f t="shared" si="63"/>
        <v>0</v>
      </c>
      <c r="BA25" s="52"/>
      <c r="BB25" s="53"/>
      <c r="BC25" s="183">
        <f t="shared" ref="BC25:BD25" si="64">SUM(BC17:BC24)</f>
        <v>0</v>
      </c>
      <c r="BD25" s="68">
        <f t="shared" si="64"/>
        <v>0</v>
      </c>
      <c r="BE25" s="69"/>
      <c r="BF25" s="70">
        <f t="shared" ref="BF25:BH25" si="65">SUM(BF17:BF24)</f>
        <v>18627.25496</v>
      </c>
      <c r="BG25" s="71">
        <f t="shared" si="65"/>
        <v>17632.06</v>
      </c>
      <c r="BH25" s="72">
        <f t="shared" si="65"/>
        <v>995.19496</v>
      </c>
      <c r="BI25" s="34">
        <f>H25+BF25-BG25</f>
        <v>995.19496</v>
      </c>
      <c r="BJ25" s="34">
        <f>BH25-BI25</f>
        <v>0</v>
      </c>
      <c r="BK25" s="2" t="b">
        <f>H25='2021'!BH25</f>
        <v>1</v>
      </c>
    </row>
    <row r="26" ht="15.75" customHeight="1" spans="1:63" x14ac:dyDescent="0.25">
      <c r="A26" s="175">
        <v>3</v>
      </c>
      <c r="B26" s="14"/>
      <c r="D26" s="14" t="s">
        <v>379</v>
      </c>
      <c r="F26" s="13"/>
      <c r="G26" s="28"/>
      <c r="H26" s="34">
        <f>'2021'!BH26</f>
        <v>0</v>
      </c>
      <c r="I26" s="61"/>
      <c r="J26" s="60"/>
      <c r="K26" s="60"/>
      <c r="L26" s="63"/>
      <c r="M26" s="61"/>
      <c r="N26" s="60"/>
      <c r="O26" s="60"/>
      <c r="P26" s="62"/>
      <c r="Q26" s="61"/>
      <c r="R26" s="60"/>
      <c r="S26" s="62"/>
      <c r="T26" s="63"/>
      <c r="U26" s="61"/>
      <c r="V26" s="60"/>
      <c r="W26" s="62"/>
      <c r="X26" s="62"/>
      <c r="Y26" s="61"/>
      <c r="Z26" s="303"/>
      <c r="AA26" s="62"/>
      <c r="AB26" s="63"/>
      <c r="AC26" s="352"/>
      <c r="AD26" s="60"/>
      <c r="AE26" s="62"/>
      <c r="AF26" s="62"/>
      <c r="AG26" s="60"/>
      <c r="AH26" s="303"/>
      <c r="AI26" s="45"/>
      <c r="AJ26" s="62"/>
      <c r="AK26" s="60"/>
      <c r="AL26" s="60"/>
      <c r="AM26" s="45"/>
      <c r="AN26" s="62"/>
      <c r="AO26" s="61"/>
      <c r="AP26" s="60"/>
      <c r="AQ26" s="45"/>
      <c r="AR26" s="62"/>
      <c r="AS26" s="61"/>
      <c r="AT26" s="60"/>
      <c r="AU26" s="45"/>
      <c r="AV26" s="62"/>
      <c r="AW26" s="61"/>
      <c r="AX26" s="60"/>
      <c r="AY26" s="45"/>
      <c r="AZ26" s="63"/>
      <c r="BA26" s="61"/>
      <c r="BB26" s="60"/>
      <c r="BC26" s="45"/>
      <c r="BD26" s="62"/>
      <c r="BE26" s="65"/>
      <c r="BF26" s="41">
        <f t="shared" ref="BF26:BG26" si="66">K26+O26+S26+W26+AA26+AE26+AI26+AM26+AQ26+AU26+AY26+BC26</f>
        <v>0</v>
      </c>
      <c r="BG26" s="34">
        <f t="shared" si="66"/>
        <v>0</v>
      </c>
      <c r="BH26" s="35">
        <f t="shared" ref="BH26:BH33" si="67">H26+BF26-BG26</f>
        <v>0</v>
      </c>
      <c r="BK26" s="2" t="b">
        <f>H26='2021'!BH26</f>
        <v>1</v>
      </c>
    </row>
    <row r="27" ht="15.75" customHeight="1" spans="1:63" x14ac:dyDescent="0.25">
      <c r="A27" s="176">
        <v>3</v>
      </c>
      <c r="B27" s="42">
        <v>4</v>
      </c>
      <c r="C27" s="2" t="s">
        <v>60</v>
      </c>
      <c r="D27" s="14" t="s">
        <v>44</v>
      </c>
      <c r="E27" s="2" t="s">
        <v>45</v>
      </c>
      <c r="F27" s="41">
        <v>2.5</v>
      </c>
      <c r="G27" s="35">
        <v>2.6</v>
      </c>
      <c r="H27" s="34">
        <f>'2021'!BH27</f>
        <v>2.7</v>
      </c>
      <c r="I27" s="13">
        <v>63</v>
      </c>
      <c r="J27" s="15">
        <f>I27-'2021'!BA27</f>
        <v>0</v>
      </c>
      <c r="K27" s="34">
        <f>J27*$F$8</f>
        <v>0</v>
      </c>
      <c r="L27" s="28"/>
      <c r="M27" s="13">
        <v>63</v>
      </c>
      <c r="N27" s="15">
        <f t="shared" ref="N27:N28" si="68">M27-I27</f>
        <v>0</v>
      </c>
      <c r="O27" s="34">
        <f>N27*$F$8</f>
        <v>0</v>
      </c>
      <c r="P27" s="15"/>
      <c r="Q27" s="13">
        <v>63</v>
      </c>
      <c r="R27" s="15">
        <f t="shared" ref="R27:R28" si="69">Q27-M27</f>
        <v>0</v>
      </c>
      <c r="S27" s="34">
        <f>R27*$F$8</f>
        <v>0</v>
      </c>
      <c r="T27" s="28"/>
      <c r="U27" s="13">
        <v>63</v>
      </c>
      <c r="V27" s="15">
        <f t="shared" ref="V27:V28" si="70">U27-Q27</f>
        <v>0</v>
      </c>
      <c r="W27" s="34">
        <f>V27*$F$8</f>
        <v>0</v>
      </c>
      <c r="X27" s="15"/>
      <c r="Y27" s="13">
        <v>65</v>
      </c>
      <c r="Z27" s="2">
        <f t="shared" ref="Z27:Z28" si="71">Y27-U27</f>
        <v>2</v>
      </c>
      <c r="AA27" s="34">
        <f>Z27*$F$8</f>
        <v>5.4</v>
      </c>
      <c r="AB27" s="28"/>
      <c r="AC27" s="350">
        <v>87</v>
      </c>
      <c r="AD27" s="15">
        <f t="shared" ref="AD27:AD28" si="72">AC27-Y27</f>
        <v>22</v>
      </c>
      <c r="AE27" s="180">
        <f>AD27*$F$8</f>
        <v>59.4</v>
      </c>
      <c r="AF27" s="354">
        <v>8.1</v>
      </c>
      <c r="AG27" s="13">
        <v>89</v>
      </c>
      <c r="AH27" s="180">
        <f>(AG27-AC27)*AH5</f>
        <v>2.112</v>
      </c>
      <c r="AI27" s="45">
        <f>AH27*$G$8</f>
        <v>5.19552</v>
      </c>
      <c r="AJ27" s="15"/>
      <c r="AK27" s="13">
        <v>92</v>
      </c>
      <c r="AL27" s="15">
        <f>(AK27-AG27)*AL5</f>
        <v>3.084</v>
      </c>
      <c r="AM27" s="45">
        <f>AL27*$G$8</f>
        <v>7.58664</v>
      </c>
      <c r="AN27" s="154">
        <v>64.6</v>
      </c>
      <c r="AO27" s="13">
        <v>94</v>
      </c>
      <c r="AP27" s="15">
        <f>(AO27-AK27)*AP5</f>
        <v>2.066</v>
      </c>
      <c r="AQ27" s="45">
        <f>AP27*$G$8</f>
        <v>5.08236</v>
      </c>
      <c r="AR27" s="154">
        <v>7.58</v>
      </c>
      <c r="AS27" s="13">
        <v>95</v>
      </c>
      <c r="AT27" s="15">
        <f>(AS27-AO27)*AT5</f>
        <v>1.05</v>
      </c>
      <c r="AU27" s="45">
        <f>AT27*$G$8</f>
        <v>2.583</v>
      </c>
      <c r="AV27" s="15"/>
      <c r="AW27" s="13"/>
      <c r="AX27" s="15">
        <f>(AW27-AS27)*AX5</f>
        <v>0</v>
      </c>
      <c r="AY27" s="45">
        <f>AX27*$G$8</f>
        <v>0</v>
      </c>
      <c r="AZ27" s="28"/>
      <c r="BA27" s="13"/>
      <c r="BB27" s="15"/>
      <c r="BC27" s="45">
        <f>BB27*$G$8</f>
        <v>0</v>
      </c>
      <c r="BD27" s="15"/>
      <c r="BE27" s="40">
        <f t="shared" ref="BE27:BG27" si="73">J27+N27+R27+V27+Z27+AD27+AH27+AL27+AP27+AT27+AX27+BB27</f>
        <v>32.312</v>
      </c>
      <c r="BF27" s="41">
        <f t="shared" si="73"/>
        <v>85.24752</v>
      </c>
      <c r="BG27" s="34">
        <f t="shared" si="73"/>
        <v>80.28</v>
      </c>
      <c r="BH27" s="35">
        <f t="shared" si="67"/>
        <v>7.66752</v>
      </c>
      <c r="BK27" s="2" t="b">
        <f>H27='2021'!BH27</f>
        <v>1</v>
      </c>
    </row>
    <row r="28" ht="15.75" customHeight="1" spans="1:63" x14ac:dyDescent="0.25">
      <c r="A28" s="176">
        <v>3</v>
      </c>
      <c r="B28" s="14"/>
      <c r="C28" s="2" t="s">
        <v>61</v>
      </c>
      <c r="D28" s="14" t="s">
        <v>47</v>
      </c>
      <c r="E28" s="2" t="s">
        <v>48</v>
      </c>
      <c r="F28" s="13">
        <v>18.56</v>
      </c>
      <c r="G28" s="35">
        <v>19.46</v>
      </c>
      <c r="H28" s="34">
        <f>'2021'!BH28</f>
        <v>0</v>
      </c>
      <c r="I28" s="13">
        <v>308</v>
      </c>
      <c r="J28" s="15"/>
      <c r="K28" s="34"/>
      <c r="L28" s="28"/>
      <c r="M28" s="13">
        <v>308</v>
      </c>
      <c r="N28" s="15">
        <f t="shared" si="68"/>
        <v>0</v>
      </c>
      <c r="O28" s="15"/>
      <c r="P28" s="15"/>
      <c r="Q28" s="13">
        <v>308</v>
      </c>
      <c r="R28" s="15">
        <f t="shared" si="69"/>
        <v>0</v>
      </c>
      <c r="S28" s="15"/>
      <c r="T28" s="28"/>
      <c r="U28" s="13">
        <v>308</v>
      </c>
      <c r="V28" s="15">
        <f t="shared" si="70"/>
        <v>0</v>
      </c>
      <c r="W28" s="180">
        <f>V28*$F$10</f>
        <v>0</v>
      </c>
      <c r="X28" s="15"/>
      <c r="Y28" s="13">
        <v>313</v>
      </c>
      <c r="Z28" s="2">
        <f t="shared" si="71"/>
        <v>5</v>
      </c>
      <c r="AA28" s="34">
        <f>Z28*$F$10</f>
        <v>101.75</v>
      </c>
      <c r="AB28" s="28"/>
      <c r="AC28" s="350">
        <v>327</v>
      </c>
      <c r="AD28" s="15">
        <f t="shared" si="72"/>
        <v>14</v>
      </c>
      <c r="AE28" s="34">
        <f>AD28*$F$10</f>
        <v>284.9</v>
      </c>
      <c r="AF28" s="354">
        <v>101.75</v>
      </c>
      <c r="AG28" s="13">
        <v>337</v>
      </c>
      <c r="AH28" s="2">
        <f>AG28-AC28</f>
        <v>10</v>
      </c>
      <c r="AI28" s="45">
        <f>AH28*$G$10</f>
        <v>214</v>
      </c>
      <c r="AJ28" s="34"/>
      <c r="AK28" s="13">
        <v>348</v>
      </c>
      <c r="AL28" s="15">
        <f>AK28-AG28</f>
        <v>11</v>
      </c>
      <c r="AM28" s="45">
        <f>AL28*$G$10</f>
        <v>235.4</v>
      </c>
      <c r="AN28" s="154">
        <v>498.9</v>
      </c>
      <c r="AO28" s="13">
        <v>353</v>
      </c>
      <c r="AP28" s="15">
        <f>AO28-AK28</f>
        <v>5</v>
      </c>
      <c r="AQ28" s="45">
        <f>AP28*$G$10</f>
        <v>107</v>
      </c>
      <c r="AR28" s="154">
        <v>235.4</v>
      </c>
      <c r="AS28" s="13">
        <v>353</v>
      </c>
      <c r="AT28" s="15">
        <f>AS28-AO28</f>
        <v>0</v>
      </c>
      <c r="AU28" s="45">
        <f>AT28*$G$10</f>
        <v>0</v>
      </c>
      <c r="AV28" s="15"/>
      <c r="AW28" s="13"/>
      <c r="AX28" s="15">
        <f>AW28-AS28</f>
        <v>-353</v>
      </c>
      <c r="AY28" s="45"/>
      <c r="AZ28" s="28"/>
      <c r="BA28" s="13"/>
      <c r="BB28" s="15"/>
      <c r="BC28" s="45"/>
      <c r="BD28" s="15"/>
      <c r="BE28" s="40">
        <f t="shared" ref="BE28:BG28" si="74">J28+N28+R28+V28+Z28+AD28+AH28+AL28+AP28+AT28+AX28+BB28</f>
        <v>-308</v>
      </c>
      <c r="BF28" s="41">
        <f t="shared" si="74"/>
        <v>943.05</v>
      </c>
      <c r="BG28" s="34">
        <f t="shared" si="74"/>
        <v>836.05</v>
      </c>
      <c r="BH28" s="35">
        <f t="shared" si="67"/>
        <v>107</v>
      </c>
      <c r="BK28" s="2" t="b">
        <f>H28='2021'!BH28</f>
        <v>1</v>
      </c>
    </row>
    <row r="29" ht="15.75" customHeight="1" spans="1:63" x14ac:dyDescent="0.25">
      <c r="A29" s="176">
        <v>3</v>
      </c>
      <c r="B29" s="14"/>
      <c r="C29" s="2" t="s">
        <v>62</v>
      </c>
      <c r="D29" s="14" t="s">
        <v>47</v>
      </c>
      <c r="E29" s="2" t="s">
        <v>49</v>
      </c>
      <c r="F29" s="41">
        <v>500</v>
      </c>
      <c r="G29" s="35"/>
      <c r="H29" s="34">
        <f>'2021'!BH29</f>
        <v>0</v>
      </c>
      <c r="I29" s="13"/>
      <c r="J29" s="15"/>
      <c r="K29" s="15"/>
      <c r="L29" s="28"/>
      <c r="M29" s="13"/>
      <c r="N29" s="15"/>
      <c r="O29" s="15"/>
      <c r="P29" s="15"/>
      <c r="Q29" s="13"/>
      <c r="R29" s="15"/>
      <c r="S29" s="15"/>
      <c r="T29" s="28"/>
      <c r="U29" s="13"/>
      <c r="V29" s="15"/>
      <c r="W29" s="15"/>
      <c r="X29" s="15"/>
      <c r="Y29" s="13"/>
      <c r="Z29" s="2"/>
      <c r="AA29" s="15"/>
      <c r="AB29" s="28"/>
      <c r="AC29" s="348"/>
      <c r="AD29" s="15"/>
      <c r="AE29" s="34"/>
      <c r="AF29" s="154"/>
      <c r="AG29" s="15"/>
      <c r="AH29" s="2"/>
      <c r="AI29" s="45"/>
      <c r="AJ29" s="15"/>
      <c r="AK29" s="15"/>
      <c r="AL29" s="15"/>
      <c r="AM29" s="45"/>
      <c r="AN29" s="15"/>
      <c r="AO29" s="13"/>
      <c r="AP29" s="15"/>
      <c r="AQ29" s="45"/>
      <c r="AR29" s="15"/>
      <c r="AS29" s="13"/>
      <c r="AT29" s="15"/>
      <c r="AU29" s="45"/>
      <c r="AV29" s="15"/>
      <c r="AW29" s="13"/>
      <c r="AX29" s="15"/>
      <c r="AY29" s="45"/>
      <c r="AZ29" s="28"/>
      <c r="BA29" s="13"/>
      <c r="BB29" s="15"/>
      <c r="BC29" s="45"/>
      <c r="BD29" s="15"/>
      <c r="BE29" s="14"/>
      <c r="BF29" s="41">
        <f t="shared" ref="BF29:BG29" si="75">K29+O29+S29+W29+AA29+AE29+AI29+AM29+AQ29+AU29+AY29+BC29</f>
        <v>0</v>
      </c>
      <c r="BG29" s="34">
        <f t="shared" si="75"/>
        <v>0</v>
      </c>
      <c r="BH29" s="35">
        <f t="shared" si="67"/>
        <v>0</v>
      </c>
      <c r="BK29" s="2" t="b">
        <f>H29='2021'!BH29</f>
        <v>1</v>
      </c>
    </row>
    <row r="30" ht="15.75" customHeight="1" spans="1:63" x14ac:dyDescent="0.25">
      <c r="A30" s="176">
        <v>3</v>
      </c>
      <c r="B30" s="14"/>
      <c r="C30" s="2" t="s">
        <v>63</v>
      </c>
      <c r="D30" s="14" t="s">
        <v>50</v>
      </c>
      <c r="E30" s="2" t="s">
        <v>49</v>
      </c>
      <c r="F30" s="41">
        <v>1100</v>
      </c>
      <c r="G30" s="35"/>
      <c r="H30" s="34">
        <f>'2021'!BH30</f>
        <v>0</v>
      </c>
      <c r="I30" s="13"/>
      <c r="J30" s="15"/>
      <c r="K30" s="15"/>
      <c r="L30" s="28"/>
      <c r="M30" s="13"/>
      <c r="N30" s="15"/>
      <c r="O30" s="15"/>
      <c r="P30" s="15"/>
      <c r="Q30" s="13"/>
      <c r="R30" s="15"/>
      <c r="S30" s="15"/>
      <c r="T30" s="28"/>
      <c r="U30" s="13"/>
      <c r="V30" s="15"/>
      <c r="W30" s="15"/>
      <c r="X30" s="15"/>
      <c r="Y30" s="13"/>
      <c r="Z30" s="2"/>
      <c r="AA30" s="15"/>
      <c r="AB30" s="28"/>
      <c r="AC30" s="348"/>
      <c r="AD30" s="15"/>
      <c r="AE30" s="182">
        <f>B27*$F$12</f>
        <v>5200</v>
      </c>
      <c r="AF30" s="354">
        <v>5200</v>
      </c>
      <c r="AG30" s="15"/>
      <c r="AH30" s="2"/>
      <c r="AI30" s="45"/>
      <c r="AJ30" s="15"/>
      <c r="AK30" s="15"/>
      <c r="AL30" s="15"/>
      <c r="AM30" s="45"/>
      <c r="AN30" s="15"/>
      <c r="AO30" s="13"/>
      <c r="AP30" s="15"/>
      <c r="AQ30" s="45"/>
      <c r="AR30" s="15"/>
      <c r="AS30" s="13"/>
      <c r="AT30" s="15"/>
      <c r="AU30" s="45"/>
      <c r="AV30" s="15"/>
      <c r="AW30" s="13"/>
      <c r="AX30" s="15"/>
      <c r="AY30" s="45"/>
      <c r="AZ30" s="28"/>
      <c r="BA30" s="13"/>
      <c r="BB30" s="15"/>
      <c r="BC30" s="45"/>
      <c r="BD30" s="15"/>
      <c r="BE30" s="14"/>
      <c r="BF30" s="41">
        <f t="shared" ref="BF30:BG30" si="76">K30+O30+S30+W30+AA30+AE30+AI30+AM30+AQ30+AU30+AY30+BC30</f>
        <v>5200</v>
      </c>
      <c r="BG30" s="34">
        <f t="shared" si="76"/>
        <v>5200</v>
      </c>
      <c r="BH30" s="35">
        <f t="shared" si="67"/>
        <v>0</v>
      </c>
      <c r="BK30" s="2" t="b">
        <f>H30='2021'!BH30</f>
        <v>1</v>
      </c>
    </row>
    <row r="31" ht="15.75" customHeight="1" spans="1:63" x14ac:dyDescent="0.25">
      <c r="A31" s="176">
        <v>3</v>
      </c>
      <c r="B31" s="14"/>
      <c r="D31" s="14" t="s">
        <v>51</v>
      </c>
      <c r="E31" s="2" t="s">
        <v>39</v>
      </c>
      <c r="F31" s="41">
        <v>500</v>
      </c>
      <c r="G31" s="35"/>
      <c r="H31" s="34">
        <f>'2021'!BH31</f>
        <v>0</v>
      </c>
      <c r="I31" s="13"/>
      <c r="J31" s="15"/>
      <c r="K31" s="15"/>
      <c r="L31" s="28"/>
      <c r="M31" s="13"/>
      <c r="N31" s="15"/>
      <c r="O31" s="15"/>
      <c r="P31" s="15"/>
      <c r="Q31" s="13"/>
      <c r="R31" s="15"/>
      <c r="S31" s="15"/>
      <c r="T31" s="28"/>
      <c r="U31" s="13"/>
      <c r="V31" s="15"/>
      <c r="W31" s="15"/>
      <c r="X31" s="15"/>
      <c r="Y31" s="13"/>
      <c r="Z31" s="2"/>
      <c r="AA31" s="15"/>
      <c r="AB31" s="28"/>
      <c r="AC31" s="348"/>
      <c r="AD31" s="15"/>
      <c r="AE31" s="180">
        <f>$F$13</f>
        <v>1000</v>
      </c>
      <c r="AF31" s="354">
        <v>1000</v>
      </c>
      <c r="AG31" s="15"/>
      <c r="AH31" s="2"/>
      <c r="AI31" s="45"/>
      <c r="AJ31" s="15"/>
      <c r="AK31" s="15"/>
      <c r="AL31" s="15"/>
      <c r="AM31" s="45"/>
      <c r="AN31" s="15"/>
      <c r="AO31" s="13"/>
      <c r="AP31" s="15"/>
      <c r="AQ31" s="180"/>
      <c r="AR31" s="15"/>
      <c r="AS31" s="13"/>
      <c r="AT31" s="15"/>
      <c r="AU31" s="45"/>
      <c r="AV31" s="15"/>
      <c r="AW31" s="13"/>
      <c r="AX31" s="15"/>
      <c r="AY31" s="45"/>
      <c r="AZ31" s="28"/>
      <c r="BA31" s="13"/>
      <c r="BB31" s="15"/>
      <c r="BC31" s="45"/>
      <c r="BD31" s="15"/>
      <c r="BE31" s="14"/>
      <c r="BF31" s="41">
        <f t="shared" ref="BF31:BG31" si="77">K31+O31+S31+W31+AA31+AE31+AI31+AM31+AQ31+AU31+AY31+BC31</f>
        <v>1000</v>
      </c>
      <c r="BG31" s="34">
        <f t="shared" si="77"/>
        <v>1000</v>
      </c>
      <c r="BH31" s="35">
        <f t="shared" si="67"/>
        <v>0</v>
      </c>
      <c r="BK31" s="2" t="b">
        <f>H31='2021'!BH31</f>
        <v>1</v>
      </c>
    </row>
    <row r="32" ht="15.75" customHeight="1" spans="1:63" x14ac:dyDescent="0.25">
      <c r="A32" s="176">
        <v>3</v>
      </c>
      <c r="B32" s="14"/>
      <c r="D32" s="14" t="s">
        <v>51</v>
      </c>
      <c r="E32" s="2" t="s">
        <v>49</v>
      </c>
      <c r="F32" s="41">
        <v>500</v>
      </c>
      <c r="G32" s="35"/>
      <c r="H32" s="34">
        <f>'2021'!BH32</f>
        <v>0</v>
      </c>
      <c r="I32" s="13"/>
      <c r="J32" s="15"/>
      <c r="K32" s="15"/>
      <c r="L32" s="28"/>
      <c r="M32" s="13"/>
      <c r="N32" s="15"/>
      <c r="O32" s="15"/>
      <c r="P32" s="15"/>
      <c r="Q32" s="13"/>
      <c r="R32" s="15"/>
      <c r="S32" s="15"/>
      <c r="T32" s="28"/>
      <c r="U32" s="13"/>
      <c r="V32" s="15"/>
      <c r="W32" s="15"/>
      <c r="X32" s="15"/>
      <c r="Y32" s="13"/>
      <c r="Z32" s="2"/>
      <c r="AA32" s="15"/>
      <c r="AB32" s="28"/>
      <c r="AC32" s="348"/>
      <c r="AD32" s="15"/>
      <c r="AE32" s="34"/>
      <c r="AF32" s="182"/>
      <c r="AG32" s="15"/>
      <c r="AH32" s="2"/>
      <c r="AI32" s="45"/>
      <c r="AJ32" s="15"/>
      <c r="AK32" s="15"/>
      <c r="AL32" s="15"/>
      <c r="AM32" s="45"/>
      <c r="AN32" s="15"/>
      <c r="AO32" s="13"/>
      <c r="AP32" s="15"/>
      <c r="AQ32" s="180">
        <f>B27*$F$14</f>
        <v>0</v>
      </c>
      <c r="AR32" s="15"/>
      <c r="AS32" s="13"/>
      <c r="AT32" s="15"/>
      <c r="AU32" s="45"/>
      <c r="AV32" s="15"/>
      <c r="AW32" s="13"/>
      <c r="AX32" s="15"/>
      <c r="AY32" s="45"/>
      <c r="AZ32" s="28"/>
      <c r="BA32" s="13"/>
      <c r="BB32" s="15"/>
      <c r="BC32" s="45"/>
      <c r="BD32" s="15"/>
      <c r="BE32" s="14"/>
      <c r="BF32" s="41">
        <f t="shared" ref="BF32:BG32" si="78">K32+O32+S32+W32+AA32+AE32+AI32+AM32+AQ32+AU32+AY32+BC32</f>
        <v>0</v>
      </c>
      <c r="BG32" s="34">
        <f t="shared" si="78"/>
        <v>0</v>
      </c>
      <c r="BH32" s="35">
        <f t="shared" si="67"/>
        <v>0</v>
      </c>
      <c r="BK32" s="2" t="b">
        <f>H32='2021'!BH32</f>
        <v>1</v>
      </c>
    </row>
    <row r="33" ht="15.75" customHeight="1" spans="1:63" x14ac:dyDescent="0.25">
      <c r="A33" s="176">
        <v>3</v>
      </c>
      <c r="B33" s="14"/>
      <c r="D33" s="14" t="s">
        <v>52</v>
      </c>
      <c r="E33" s="2" t="s">
        <v>39</v>
      </c>
      <c r="F33" s="41">
        <v>500</v>
      </c>
      <c r="G33" s="35"/>
      <c r="H33" s="34">
        <f>'2021'!BH33</f>
        <v>0</v>
      </c>
      <c r="I33" s="13"/>
      <c r="J33" s="15"/>
      <c r="K33" s="15"/>
      <c r="L33" s="28"/>
      <c r="M33" s="13"/>
      <c r="N33" s="15"/>
      <c r="O33" s="15"/>
      <c r="P33" s="15"/>
      <c r="Q33" s="13"/>
      <c r="R33" s="15"/>
      <c r="S33" s="15"/>
      <c r="T33" s="28"/>
      <c r="U33" s="13"/>
      <c r="V33" s="15"/>
      <c r="W33" s="15"/>
      <c r="X33" s="15"/>
      <c r="Y33" s="13"/>
      <c r="Z33" s="2"/>
      <c r="AA33" s="34">
        <f>$F$15</f>
      </c>
      <c r="AB33" s="35"/>
      <c r="AC33" s="348"/>
      <c r="AD33" s="15"/>
      <c r="AE33" s="15"/>
      <c r="AF33" s="34"/>
      <c r="AG33" s="15"/>
      <c r="AH33" s="2"/>
      <c r="AI33" s="45"/>
      <c r="AJ33" s="15"/>
      <c r="AK33" s="15"/>
      <c r="AL33" s="15"/>
      <c r="AM33" s="45"/>
      <c r="AN33" s="15"/>
      <c r="AO33" s="13"/>
      <c r="AP33" s="15"/>
      <c r="AQ33" s="45"/>
      <c r="AR33" s="15"/>
      <c r="AS33" s="13"/>
      <c r="AT33" s="15"/>
      <c r="AU33" s="45"/>
      <c r="AV33" s="15"/>
      <c r="AW33" s="13"/>
      <c r="AX33" s="15"/>
      <c r="AY33" s="45"/>
      <c r="AZ33" s="28"/>
      <c r="BA33" s="13"/>
      <c r="BB33" s="15"/>
      <c r="BC33" s="45"/>
      <c r="BD33" s="15"/>
      <c r="BE33" s="14"/>
      <c r="BF33" s="41">
        <f t="shared" ref="BF33:BG33" si="79">K33+O33+S33+W33+AA33+AE33+AI33+AM33+AQ33+AU33+AY33+BC33</f>
        <v>0</v>
      </c>
      <c r="BG33" s="34">
        <f t="shared" si="79"/>
        <v>0</v>
      </c>
      <c r="BH33" s="35">
        <f t="shared" si="67"/>
        <v>0</v>
      </c>
      <c r="BK33" s="2" t="b">
        <f>H33='2021'!BH33</f>
        <v>1</v>
      </c>
    </row>
    <row r="34" ht="15.75" customHeight="1" spans="1:63" x14ac:dyDescent="0.25">
      <c r="A34" s="177">
        <v>3</v>
      </c>
      <c r="B34" s="21"/>
      <c r="C34" s="22" t="s">
        <v>53</v>
      </c>
      <c r="D34" s="21"/>
      <c r="E34" s="22"/>
      <c r="F34" s="20"/>
      <c r="G34" s="23"/>
      <c r="H34" s="51">
        <f>SUM(H26:H33)</f>
        <v>2.7</v>
      </c>
      <c r="I34" s="52"/>
      <c r="J34" s="53"/>
      <c r="K34" s="51">
        <f t="shared" ref="K34:L34" si="80">SUM(K26:K33)</f>
        <v>0</v>
      </c>
      <c r="L34" s="68">
        <f t="shared" si="80"/>
        <v>0</v>
      </c>
      <c r="M34" s="52"/>
      <c r="N34" s="53"/>
      <c r="O34" s="51">
        <f t="shared" ref="O34:P34" si="81">SUM(O26:O33)</f>
        <v>0</v>
      </c>
      <c r="P34" s="68">
        <f t="shared" si="81"/>
        <v>0</v>
      </c>
      <c r="Q34" s="52"/>
      <c r="R34" s="53"/>
      <c r="S34" s="51">
        <f t="shared" ref="S34:T34" si="82">SUM(S26:S33)</f>
        <v>0</v>
      </c>
      <c r="T34" s="68">
        <f t="shared" si="82"/>
        <v>0</v>
      </c>
      <c r="U34" s="52"/>
      <c r="V34" s="53"/>
      <c r="W34" s="51">
        <f t="shared" ref="W34:X34" si="83">SUM(W26:W33)</f>
        <v>0</v>
      </c>
      <c r="X34" s="68">
        <f t="shared" si="83"/>
        <v>0</v>
      </c>
      <c r="Y34" s="52"/>
      <c r="Z34" s="301"/>
      <c r="AA34" s="51">
        <f t="shared" ref="AA34:AB34" si="84">SUM(AA26:AA33)</f>
        <v>107.15</v>
      </c>
      <c r="AB34" s="68">
        <f t="shared" si="84"/>
        <v>0</v>
      </c>
      <c r="AC34" s="351"/>
      <c r="AD34" s="53"/>
      <c r="AE34" s="51">
        <f t="shared" ref="AE34:AF34" si="85">SUM(AE26:AE33)</f>
        <v>6544.3</v>
      </c>
      <c r="AF34" s="68">
        <f t="shared" si="85"/>
        <v>6309.85</v>
      </c>
      <c r="AG34" s="53"/>
      <c r="AH34" s="301"/>
      <c r="AI34" s="183">
        <f t="shared" ref="AI34:AJ34" si="86">SUM(AI26:AI33)</f>
        <v>219.19552</v>
      </c>
      <c r="AJ34" s="51">
        <f t="shared" si="86"/>
        <v>0</v>
      </c>
      <c r="AK34" s="53"/>
      <c r="AL34" s="53"/>
      <c r="AM34" s="183">
        <f t="shared" ref="AM34:AN34" si="87">SUM(AM26:AM33)</f>
        <v>242.98664</v>
      </c>
      <c r="AN34" s="51">
        <f t="shared" si="87"/>
        <v>563.5</v>
      </c>
      <c r="AO34" s="52"/>
      <c r="AP34" s="53"/>
      <c r="AQ34" s="183">
        <f t="shared" ref="AQ34:AR34" si="88">SUM(AQ26:AQ33)</f>
        <v>112.08236</v>
      </c>
      <c r="AR34" s="51">
        <f t="shared" si="88"/>
        <v>242.98</v>
      </c>
      <c r="AS34" s="52"/>
      <c r="AT34" s="53"/>
      <c r="AU34" s="183">
        <f t="shared" ref="AU34:AV34" si="89">SUM(AU26:AU33)</f>
        <v>2.583</v>
      </c>
      <c r="AV34" s="68">
        <f t="shared" si="89"/>
        <v>0</v>
      </c>
      <c r="AW34" s="52"/>
      <c r="AX34" s="53"/>
      <c r="AY34" s="183">
        <f t="shared" ref="AY34:AZ34" si="90">SUM(AY26:AY33)</f>
        <v>0</v>
      </c>
      <c r="AZ34" s="68">
        <f t="shared" si="90"/>
        <v>0</v>
      </c>
      <c r="BA34" s="52"/>
      <c r="BB34" s="53"/>
      <c r="BC34" s="183">
        <f t="shared" ref="BC34:BD34" si="91">SUM(BC26:BC33)</f>
        <v>0</v>
      </c>
      <c r="BD34" s="68">
        <f t="shared" si="91"/>
        <v>0</v>
      </c>
      <c r="BE34" s="69"/>
      <c r="BF34" s="70">
        <f t="shared" ref="BF34:BH34" si="92">SUM(BF26:BF33)</f>
        <v>7228.29752</v>
      </c>
      <c r="BG34" s="71">
        <f t="shared" si="92"/>
        <v>7116.33</v>
      </c>
      <c r="BH34" s="72">
        <f t="shared" si="92"/>
        <v>114.66752</v>
      </c>
      <c r="BI34" s="34">
        <f>H34+BF34-BG34</f>
        <v>114.66752</v>
      </c>
      <c r="BJ34" s="34">
        <f>BH34-BI34</f>
        <v>0</v>
      </c>
      <c r="BK34" s="2" t="b">
        <f>H34='2021'!BH34</f>
        <v>1</v>
      </c>
    </row>
    <row r="35" ht="15.75" customHeight="1" spans="1:63" x14ac:dyDescent="0.25">
      <c r="A35" s="175">
        <v>4</v>
      </c>
      <c r="B35" s="14"/>
      <c r="D35" s="14" t="s">
        <v>379</v>
      </c>
      <c r="F35" s="13"/>
      <c r="G35" s="28"/>
      <c r="H35" s="34">
        <f>'2021'!BH35</f>
        <v>20.46</v>
      </c>
      <c r="I35" s="13"/>
      <c r="J35" s="15"/>
      <c r="K35" s="15"/>
      <c r="L35" s="28"/>
      <c r="M35" s="13"/>
      <c r="N35" s="15"/>
      <c r="O35" s="15"/>
      <c r="P35" s="15"/>
      <c r="Q35" s="13"/>
      <c r="R35" s="15"/>
      <c r="S35" s="15">
        <v>21.14</v>
      </c>
      <c r="T35" s="28"/>
      <c r="U35" s="13"/>
      <c r="V35" s="15"/>
      <c r="W35" s="15">
        <v>20.46</v>
      </c>
      <c r="X35" s="15"/>
      <c r="Y35" s="13"/>
      <c r="Z35" s="2"/>
      <c r="AA35" s="15">
        <v>21.14</v>
      </c>
      <c r="AB35" s="28"/>
      <c r="AC35" s="348"/>
      <c r="AD35" s="15"/>
      <c r="AE35" s="280">
        <v>20.46</v>
      </c>
      <c r="AF35" s="1"/>
      <c r="AG35" s="15"/>
      <c r="AH35" s="2"/>
      <c r="AI35" s="45">
        <v>21.14</v>
      </c>
      <c r="AJ35" s="15"/>
      <c r="AK35" s="15"/>
      <c r="AL35" s="15"/>
      <c r="AM35" s="45"/>
      <c r="AN35" s="15"/>
      <c r="AO35" s="13"/>
      <c r="AP35" s="15"/>
      <c r="AQ35" s="45"/>
      <c r="AR35" s="15"/>
      <c r="AS35" s="13"/>
      <c r="AT35" s="15"/>
      <c r="AU35" s="45"/>
      <c r="AV35" s="15"/>
      <c r="AW35" s="13"/>
      <c r="AX35" s="15"/>
      <c r="AY35" s="45"/>
      <c r="AZ35" s="28"/>
      <c r="BA35" s="13"/>
      <c r="BB35" s="15"/>
      <c r="BC35" s="45"/>
      <c r="BD35" s="15"/>
      <c r="BE35" s="14"/>
      <c r="BF35" s="41">
        <f t="shared" ref="BF35:BG35" si="93">K35+O35+S35+W35+AA35+AE35+AI35+AM35+AQ35+AU35+AY35+BC35</f>
        <v>104.34</v>
      </c>
      <c r="BG35" s="34">
        <f t="shared" si="93"/>
        <v>0</v>
      </c>
      <c r="BH35" s="35">
        <f t="shared" ref="BH35:BH42" si="94">H35+BF35-BG35</f>
        <v>124.8</v>
      </c>
      <c r="BK35" s="2" t="b">
        <f>H35='2021'!BH35</f>
        <v>1</v>
      </c>
    </row>
    <row r="36" ht="15.75" customHeight="1" spans="1:63" x14ac:dyDescent="0.25">
      <c r="A36" s="176">
        <v>4</v>
      </c>
      <c r="B36" s="14">
        <v>3.95</v>
      </c>
      <c r="C36" s="2" t="s">
        <v>64</v>
      </c>
      <c r="D36" s="14" t="s">
        <v>44</v>
      </c>
      <c r="E36" s="2" t="s">
        <v>45</v>
      </c>
      <c r="F36" s="41">
        <v>2.5</v>
      </c>
      <c r="G36" s="35">
        <v>2.6</v>
      </c>
      <c r="H36" s="104">
        <f>'2021'!BH36</f>
        <v>0</v>
      </c>
      <c r="I36" s="13"/>
      <c r="J36" s="15">
        <f>I36-'2021'!BA36</f>
        <v>0</v>
      </c>
      <c r="K36" s="34">
        <f>J36*$F$8</f>
        <v>0</v>
      </c>
      <c r="L36" s="28"/>
      <c r="M36" s="13"/>
      <c r="N36" s="15">
        <f t="shared" ref="N36:N37" si="95">M36-I36</f>
        <v>0</v>
      </c>
      <c r="O36" s="34">
        <f>N36*$F$8</f>
        <v>0</v>
      </c>
      <c r="P36" s="15"/>
      <c r="Q36" s="13"/>
      <c r="R36" s="15">
        <f t="shared" ref="R36:R37" si="96">Q36-M36</f>
        <v>0</v>
      </c>
      <c r="S36" s="34">
        <f>R36*$F$8</f>
        <v>0</v>
      </c>
      <c r="T36" s="28"/>
      <c r="U36" s="13">
        <v>0</v>
      </c>
      <c r="V36" s="15">
        <f t="shared" ref="V36:V37" si="97">U36-Q36</f>
        <v>0</v>
      </c>
      <c r="W36" s="34">
        <f>V36*$F$8</f>
        <v>0</v>
      </c>
      <c r="X36" s="15"/>
      <c r="Y36" s="13">
        <v>0</v>
      </c>
      <c r="Z36" s="2">
        <f t="shared" ref="Z36:Z37" si="98">Y36-U36</f>
        <v>0</v>
      </c>
      <c r="AA36" s="34">
        <f>Z36*$F$8</f>
        <v>0</v>
      </c>
      <c r="AB36" s="28"/>
      <c r="AC36" s="350">
        <v>0</v>
      </c>
      <c r="AD36" s="15">
        <f t="shared" ref="AD36:AD37" si="99">AC36-Y36</f>
        <v>0</v>
      </c>
      <c r="AE36" s="180">
        <f>AD36*$F$8</f>
        <v>0</v>
      </c>
      <c r="AF36" s="15"/>
      <c r="AG36" s="13">
        <v>0</v>
      </c>
      <c r="AH36" s="2">
        <f>(AG36-AC36)*AH5</f>
        <v>0</v>
      </c>
      <c r="AI36" s="45">
        <f>AH36*$G$8</f>
        <v>0</v>
      </c>
      <c r="AJ36" s="15"/>
      <c r="AK36" s="13">
        <v>0</v>
      </c>
      <c r="AL36" s="37">
        <f>(AK36-AG36)*AL5</f>
        <v>0</v>
      </c>
      <c r="AM36" s="45">
        <f>AL36*$G$8</f>
        <v>0</v>
      </c>
      <c r="AN36" s="15"/>
      <c r="AO36" s="13">
        <v>0</v>
      </c>
      <c r="AP36" s="37">
        <f>(AO36-AK36)*AP5</f>
        <v>0</v>
      </c>
      <c r="AQ36" s="45">
        <f>AP36*$G$8</f>
        <v>0</v>
      </c>
      <c r="AR36" s="15"/>
      <c r="AS36" s="13">
        <v>0</v>
      </c>
      <c r="AT36" s="37">
        <f>(AS36-AO36)*AT5</f>
        <v>0</v>
      </c>
      <c r="AU36" s="45">
        <f t="shared" ref="AU36:AU37" si="100">AT36*$G$8</f>
        <v>0</v>
      </c>
      <c r="AV36" s="15"/>
      <c r="AW36" s="13"/>
      <c r="AX36" s="37">
        <f>(AW36-AS36)*AX5</f>
        <v>0</v>
      </c>
      <c r="AY36" s="45">
        <f>AX36*$G$8</f>
        <v>0</v>
      </c>
      <c r="AZ36" s="28"/>
      <c r="BA36" s="13"/>
      <c r="BB36" s="37"/>
      <c r="BC36" s="45">
        <f>BB36*$G$8</f>
        <v>0</v>
      </c>
      <c r="BD36" s="15"/>
      <c r="BE36" s="40">
        <f t="shared" ref="BE36:BG36" si="101">J36+N36+R36+V36+Z36+AD36+AH36+AL36+AP36+AT36+AX36+BB36</f>
        <v>0</v>
      </c>
      <c r="BF36" s="41">
        <f t="shared" si="101"/>
        <v>0</v>
      </c>
      <c r="BG36" s="34">
        <f t="shared" si="101"/>
        <v>0</v>
      </c>
      <c r="BH36" s="35">
        <f t="shared" si="94"/>
        <v>0</v>
      </c>
      <c r="BK36" s="2" t="b">
        <f>H36='2021'!BH36</f>
        <v>1</v>
      </c>
    </row>
    <row r="37" ht="15.75" customHeight="1" spans="1:63" x14ac:dyDescent="0.25">
      <c r="A37" s="176">
        <v>4</v>
      </c>
      <c r="B37" s="14"/>
      <c r="C37" s="2" t="s">
        <v>65</v>
      </c>
      <c r="D37" s="14" t="s">
        <v>47</v>
      </c>
      <c r="E37" s="2" t="s">
        <v>48</v>
      </c>
      <c r="F37" s="13">
        <v>18.56</v>
      </c>
      <c r="G37" s="35">
        <v>19.46</v>
      </c>
      <c r="H37" s="34">
        <f>'2021'!BH37</f>
        <v>-38.81</v>
      </c>
      <c r="I37" s="13">
        <v>21</v>
      </c>
      <c r="J37" s="15"/>
      <c r="K37" s="15"/>
      <c r="L37" s="28"/>
      <c r="M37" s="13">
        <v>21</v>
      </c>
      <c r="N37" s="15">
        <f t="shared" si="95"/>
        <v>0</v>
      </c>
      <c r="O37" s="15"/>
      <c r="P37" s="15"/>
      <c r="Q37" s="13">
        <v>21</v>
      </c>
      <c r="R37" s="15">
        <f t="shared" si="96"/>
        <v>0</v>
      </c>
      <c r="S37" s="15"/>
      <c r="T37" s="28"/>
      <c r="U37" s="13">
        <v>21</v>
      </c>
      <c r="V37" s="15">
        <f t="shared" si="97"/>
        <v>0</v>
      </c>
      <c r="W37" s="180">
        <f>V37*$F$10</f>
        <v>0</v>
      </c>
      <c r="X37" s="15"/>
      <c r="Y37" s="13">
        <v>21</v>
      </c>
      <c r="Z37" s="2">
        <f t="shared" si="98"/>
        <v>0</v>
      </c>
      <c r="AA37" s="34">
        <f>Z37*$F$10</f>
        <v>0</v>
      </c>
      <c r="AB37" s="28"/>
      <c r="AC37" s="348">
        <v>21</v>
      </c>
      <c r="AD37" s="15">
        <f t="shared" si="99"/>
        <v>0</v>
      </c>
      <c r="AE37" s="34">
        <f>AD37*$F$10</f>
        <v>0</v>
      </c>
      <c r="AF37" s="180"/>
      <c r="AG37" s="15">
        <v>21</v>
      </c>
      <c r="AH37" s="2">
        <f>AG37-AC37</f>
        <v>0</v>
      </c>
      <c r="AI37" s="45">
        <f>AH37*$G$10</f>
        <v>0</v>
      </c>
      <c r="AJ37" s="39"/>
      <c r="AK37" s="15">
        <v>21</v>
      </c>
      <c r="AL37" s="37">
        <f>AK37-AG37</f>
        <v>0</v>
      </c>
      <c r="AM37" s="45">
        <f>AL37*$G$10</f>
        <v>0</v>
      </c>
      <c r="AN37" s="15"/>
      <c r="AO37" s="13">
        <v>21</v>
      </c>
      <c r="AP37" s="37">
        <f>AO37-AK37</f>
        <v>0</v>
      </c>
      <c r="AQ37" s="45">
        <f>AP37*$G$10</f>
        <v>0</v>
      </c>
      <c r="AR37" s="15"/>
      <c r="AS37" s="13">
        <v>21</v>
      </c>
      <c r="AT37" s="37">
        <f>AS37-AO37</f>
        <v>0</v>
      </c>
      <c r="AU37" s="45">
        <f t="shared" si="100"/>
        <v>0</v>
      </c>
      <c r="AV37" s="15"/>
      <c r="AW37" s="13"/>
      <c r="AX37" s="37">
        <f>AW37-AS37</f>
        <v>-21</v>
      </c>
      <c r="AY37" s="45"/>
      <c r="AZ37" s="28"/>
      <c r="BA37" s="13"/>
      <c r="BB37" s="15"/>
      <c r="BC37" s="45"/>
      <c r="BD37" s="15"/>
      <c r="BE37" s="40">
        <f t="shared" ref="BE37:BG37" si="102">J37+N37+R37+V37+Z37+AD37+AH37+AL37+AP37+AT37+AX37+BB37</f>
        <v>-21</v>
      </c>
      <c r="BF37" s="41">
        <f t="shared" si="102"/>
        <v>0</v>
      </c>
      <c r="BG37" s="34">
        <f t="shared" si="102"/>
        <v>0</v>
      </c>
      <c r="BH37" s="35">
        <f t="shared" si="94"/>
        <v>-38.81</v>
      </c>
      <c r="BK37" s="2" t="b">
        <f>H37='2021'!BH37</f>
        <v>1</v>
      </c>
    </row>
    <row r="38" ht="15.75" customHeight="1" spans="1:63" x14ac:dyDescent="0.25">
      <c r="A38" s="176">
        <v>4</v>
      </c>
      <c r="B38" s="14"/>
      <c r="C38" s="2" t="s">
        <v>58</v>
      </c>
      <c r="D38" s="14" t="s">
        <v>47</v>
      </c>
      <c r="E38" s="2" t="s">
        <v>49</v>
      </c>
      <c r="F38" s="41">
        <v>500</v>
      </c>
      <c r="G38" s="35"/>
      <c r="H38" s="34">
        <f>'2021'!BH38</f>
        <v>0</v>
      </c>
      <c r="I38" s="13"/>
      <c r="J38" s="15"/>
      <c r="K38" s="15"/>
      <c r="L38" s="28"/>
      <c r="M38" s="13"/>
      <c r="N38" s="15"/>
      <c r="O38" s="15"/>
      <c r="P38" s="15"/>
      <c r="Q38" s="13"/>
      <c r="R38" s="15"/>
      <c r="S38" s="15"/>
      <c r="T38" s="28"/>
      <c r="U38" s="13"/>
      <c r="V38" s="15"/>
      <c r="W38" s="15"/>
      <c r="X38" s="15"/>
      <c r="Y38" s="13"/>
      <c r="Z38" s="2"/>
      <c r="AA38" s="15"/>
      <c r="AB38" s="28"/>
      <c r="AC38" s="348"/>
      <c r="AD38" s="15"/>
      <c r="AE38" s="34"/>
      <c r="AF38" s="15"/>
      <c r="AG38" s="15"/>
      <c r="AH38" s="2"/>
      <c r="AI38" s="45"/>
      <c r="AJ38" s="15"/>
      <c r="AK38" s="15"/>
      <c r="AL38" s="15"/>
      <c r="AM38" s="45"/>
      <c r="AN38" s="15"/>
      <c r="AO38" s="13"/>
      <c r="AP38" s="15"/>
      <c r="AQ38" s="45"/>
      <c r="AR38" s="15"/>
      <c r="AS38" s="13"/>
      <c r="AT38" s="15"/>
      <c r="AU38" s="45"/>
      <c r="AV38" s="15"/>
      <c r="AW38" s="13"/>
      <c r="AX38" s="15"/>
      <c r="AY38" s="45"/>
      <c r="AZ38" s="28"/>
      <c r="BA38" s="13"/>
      <c r="BB38" s="15"/>
      <c r="BC38" s="45"/>
      <c r="BD38" s="15"/>
      <c r="BE38" s="14"/>
      <c r="BF38" s="41">
        <f t="shared" ref="BF38:BG38" si="103">K38+O38+S38+W38+AA38+AE38+AI38+AM38+AQ38+AU38+AY38+BC38</f>
        <v>0</v>
      </c>
      <c r="BG38" s="34">
        <f t="shared" si="103"/>
        <v>0</v>
      </c>
      <c r="BH38" s="35">
        <f t="shared" si="94"/>
        <v>0</v>
      </c>
      <c r="BK38" s="2" t="b">
        <f>H38='2021'!BH38</f>
        <v>1</v>
      </c>
    </row>
    <row r="39" ht="15.75" customHeight="1" spans="1:63" x14ac:dyDescent="0.25">
      <c r="A39" s="176">
        <v>4</v>
      </c>
      <c r="B39" s="14"/>
      <c r="C39" s="15" t="s">
        <v>380</v>
      </c>
      <c r="D39" s="14" t="s">
        <v>50</v>
      </c>
      <c r="E39" s="2" t="s">
        <v>49</v>
      </c>
      <c r="F39" s="41">
        <v>1100</v>
      </c>
      <c r="G39" s="35"/>
      <c r="H39" s="34">
        <f>'2021'!BH39</f>
        <v>4345</v>
      </c>
      <c r="I39" s="13"/>
      <c r="J39" s="15"/>
      <c r="K39" s="15"/>
      <c r="L39" s="28"/>
      <c r="M39" s="13"/>
      <c r="N39" s="15"/>
      <c r="O39" s="15"/>
      <c r="P39" s="15"/>
      <c r="Q39" s="13"/>
      <c r="R39" s="15"/>
      <c r="S39" s="15"/>
      <c r="T39" s="28"/>
      <c r="U39" s="13"/>
      <c r="V39" s="15"/>
      <c r="W39" s="15"/>
      <c r="X39" s="15"/>
      <c r="Y39" s="13"/>
      <c r="Z39" s="2"/>
      <c r="AA39" s="15"/>
      <c r="AB39" s="28"/>
      <c r="AC39" s="348"/>
      <c r="AD39" s="15"/>
      <c r="AE39" s="34">
        <f>B36*$F$12</f>
        <v>5135</v>
      </c>
      <c r="AF39" s="180"/>
      <c r="AG39" s="15"/>
      <c r="AH39" s="2"/>
      <c r="AI39" s="45"/>
      <c r="AJ39" s="15"/>
      <c r="AK39" s="15"/>
      <c r="AL39" s="15"/>
      <c r="AM39" s="45"/>
      <c r="AN39" s="15"/>
      <c r="AO39" s="13"/>
      <c r="AP39" s="15"/>
      <c r="AQ39" s="45"/>
      <c r="AR39" s="15"/>
      <c r="AS39" s="13"/>
      <c r="AT39" s="15"/>
      <c r="AU39" s="45"/>
      <c r="AV39" s="15"/>
      <c r="AW39" s="13"/>
      <c r="AX39" s="15"/>
      <c r="AY39" s="45"/>
      <c r="AZ39" s="28"/>
      <c r="BA39" s="13"/>
      <c r="BB39" s="15"/>
      <c r="BC39" s="45"/>
      <c r="BD39" s="15"/>
      <c r="BE39" s="14"/>
      <c r="BF39" s="41">
        <f t="shared" ref="BF39:BG39" si="104">K39+O39+S39+W39+AA39+AE39+AI39+AM39+AQ39+AU39+AY39+BC39</f>
        <v>5135</v>
      </c>
      <c r="BG39" s="34">
        <f t="shared" si="104"/>
        <v>0</v>
      </c>
      <c r="BH39" s="35">
        <f t="shared" si="94"/>
        <v>9480</v>
      </c>
      <c r="BK39" s="2" t="b">
        <f>H39='2021'!BH39</f>
        <v>1</v>
      </c>
    </row>
    <row r="40" ht="15.75" customHeight="1" spans="1:63" x14ac:dyDescent="0.25">
      <c r="A40" s="176">
        <v>4</v>
      </c>
      <c r="B40" s="14"/>
      <c r="C40" s="73" t="s">
        <v>381</v>
      </c>
      <c r="D40" s="14" t="s">
        <v>51</v>
      </c>
      <c r="E40" s="2" t="s">
        <v>39</v>
      </c>
      <c r="F40" s="41">
        <v>500</v>
      </c>
      <c r="G40" s="35"/>
      <c r="H40" s="34">
        <f>'2021'!BH40</f>
        <v>500</v>
      </c>
      <c r="I40" s="13"/>
      <c r="J40" s="15"/>
      <c r="K40" s="15"/>
      <c r="L40" s="28"/>
      <c r="M40" s="13"/>
      <c r="N40" s="15"/>
      <c r="O40" s="15"/>
      <c r="P40" s="15"/>
      <c r="Q40" s="13"/>
      <c r="R40" s="15"/>
      <c r="S40" s="15"/>
      <c r="T40" s="28"/>
      <c r="U40" s="13"/>
      <c r="V40" s="15"/>
      <c r="W40" s="15"/>
      <c r="X40" s="15"/>
      <c r="Y40" s="13"/>
      <c r="Z40" s="2"/>
      <c r="AA40" s="15"/>
      <c r="AB40" s="28"/>
      <c r="AC40" s="348"/>
      <c r="AD40" s="15"/>
      <c r="AE40" s="180">
        <f>$F$13</f>
        <v>1000</v>
      </c>
      <c r="AF40" s="34"/>
      <c r="AG40" s="15"/>
      <c r="AH40" s="2"/>
      <c r="AI40" s="45"/>
      <c r="AJ40" s="15"/>
      <c r="AK40" s="15"/>
      <c r="AL40" s="15"/>
      <c r="AM40" s="45"/>
      <c r="AN40" s="15"/>
      <c r="AO40" s="13"/>
      <c r="AP40" s="15"/>
      <c r="AQ40" s="180"/>
      <c r="AR40" s="15"/>
      <c r="AS40" s="13"/>
      <c r="AT40" s="15"/>
      <c r="AU40" s="45"/>
      <c r="AV40" s="15"/>
      <c r="AW40" s="13"/>
      <c r="AX40" s="15"/>
      <c r="AY40" s="45"/>
      <c r="AZ40" s="28"/>
      <c r="BA40" s="13"/>
      <c r="BB40" s="15"/>
      <c r="BC40" s="45"/>
      <c r="BD40" s="15"/>
      <c r="BE40" s="14"/>
      <c r="BF40" s="41">
        <f t="shared" ref="BF40:BG40" si="105">K40+O40+S40+W40+AA40+AE40+AI40+AM40+AQ40+AU40+AY40+BC40</f>
        <v>1000</v>
      </c>
      <c r="BG40" s="34">
        <f t="shared" si="105"/>
        <v>0</v>
      </c>
      <c r="BH40" s="35">
        <f t="shared" si="94"/>
        <v>1500</v>
      </c>
      <c r="BK40" s="2" t="b">
        <f>H40='2021'!BH40</f>
        <v>1</v>
      </c>
    </row>
    <row r="41" ht="15.75" customHeight="1" spans="1:63" x14ac:dyDescent="0.25">
      <c r="A41" s="176">
        <v>4</v>
      </c>
      <c r="B41" s="14"/>
      <c r="C41" s="15"/>
      <c r="D41" s="14" t="s">
        <v>51</v>
      </c>
      <c r="E41" s="2" t="s">
        <v>49</v>
      </c>
      <c r="F41" s="41">
        <v>500</v>
      </c>
      <c r="G41" s="35"/>
      <c r="H41" s="34">
        <f>'2021'!BH41</f>
        <v>1975</v>
      </c>
      <c r="I41" s="13"/>
      <c r="J41" s="15"/>
      <c r="K41" s="15"/>
      <c r="L41" s="28"/>
      <c r="M41" s="13"/>
      <c r="N41" s="15"/>
      <c r="O41" s="15"/>
      <c r="P41" s="15"/>
      <c r="Q41" s="13"/>
      <c r="R41" s="15"/>
      <c r="S41" s="15"/>
      <c r="T41" s="28"/>
      <c r="U41" s="13"/>
      <c r="V41" s="15"/>
      <c r="W41" s="15"/>
      <c r="X41" s="15"/>
      <c r="Y41" s="13"/>
      <c r="Z41" s="2"/>
      <c r="AA41" s="15"/>
      <c r="AB41" s="28"/>
      <c r="AC41" s="348"/>
      <c r="AD41" s="15"/>
      <c r="AE41" s="34"/>
      <c r="AF41" s="34"/>
      <c r="AG41" s="15"/>
      <c r="AH41" s="2"/>
      <c r="AI41" s="45"/>
      <c r="AJ41" s="15"/>
      <c r="AK41" s="15"/>
      <c r="AL41" s="15"/>
      <c r="AM41" s="45"/>
      <c r="AN41" s="15"/>
      <c r="AO41" s="13"/>
      <c r="AP41" s="15"/>
      <c r="AQ41" s="180">
        <f>B36*$F$14</f>
        <v>0</v>
      </c>
      <c r="AR41" s="15"/>
      <c r="AS41" s="13"/>
      <c r="AT41" s="15"/>
      <c r="AU41" s="45"/>
      <c r="AV41" s="15"/>
      <c r="AW41" s="13"/>
      <c r="AX41" s="15"/>
      <c r="AY41" s="45"/>
      <c r="AZ41" s="28"/>
      <c r="BA41" s="13"/>
      <c r="BB41" s="15"/>
      <c r="BC41" s="45"/>
      <c r="BD41" s="15"/>
      <c r="BE41" s="14"/>
      <c r="BF41" s="41">
        <f t="shared" ref="BF41:BG41" si="106">K41+O41+S41+W41+AA41+AE41+AI41+AM41+AQ41+AU41+AY41+BC41</f>
        <v>0</v>
      </c>
      <c r="BG41" s="34">
        <f t="shared" si="106"/>
        <v>0</v>
      </c>
      <c r="BH41" s="35">
        <f t="shared" si="94"/>
        <v>1975</v>
      </c>
      <c r="BK41" s="2" t="b">
        <f>H41='2021'!BH41</f>
        <v>1</v>
      </c>
    </row>
    <row r="42" ht="15.75" customHeight="1" spans="1:63" x14ac:dyDescent="0.25">
      <c r="A42" s="176">
        <v>4</v>
      </c>
      <c r="B42" s="14"/>
      <c r="C42" s="2" t="s">
        <v>382</v>
      </c>
      <c r="D42" s="14" t="s">
        <v>52</v>
      </c>
      <c r="E42" s="2" t="s">
        <v>39</v>
      </c>
      <c r="F42" s="41">
        <v>500</v>
      </c>
      <c r="G42" s="35"/>
      <c r="H42" s="34">
        <f>'2021'!BH42</f>
        <v>0</v>
      </c>
      <c r="I42" s="13"/>
      <c r="J42" s="15"/>
      <c r="K42" s="15"/>
      <c r="L42" s="28"/>
      <c r="M42" s="13"/>
      <c r="N42" s="15"/>
      <c r="O42" s="15"/>
      <c r="P42" s="15"/>
      <c r="Q42" s="13"/>
      <c r="R42" s="15"/>
      <c r="S42" s="15"/>
      <c r="T42" s="28"/>
      <c r="U42" s="13"/>
      <c r="V42" s="15"/>
      <c r="W42" s="15"/>
      <c r="X42" s="15"/>
      <c r="Y42" s="13"/>
      <c r="Z42" s="2"/>
      <c r="AA42" s="34">
        <f>$F$15</f>
      </c>
      <c r="AB42" s="35"/>
      <c r="AC42" s="348"/>
      <c r="AD42" s="15"/>
      <c r="AE42" s="15"/>
      <c r="AF42" s="180"/>
      <c r="AG42" s="15"/>
      <c r="AH42" s="2"/>
      <c r="AI42" s="45"/>
      <c r="AJ42" s="15"/>
      <c r="AK42" s="15"/>
      <c r="AL42" s="15"/>
      <c r="AM42" s="45"/>
      <c r="AN42" s="15"/>
      <c r="AO42" s="13"/>
      <c r="AP42" s="15"/>
      <c r="AQ42" s="45"/>
      <c r="AR42" s="15"/>
      <c r="AS42" s="13"/>
      <c r="AT42" s="15"/>
      <c r="AU42" s="45"/>
      <c r="AV42" s="15"/>
      <c r="AW42" s="13"/>
      <c r="AX42" s="15"/>
      <c r="AY42" s="45"/>
      <c r="AZ42" s="28"/>
      <c r="BA42" s="13"/>
      <c r="BB42" s="15"/>
      <c r="BC42" s="45"/>
      <c r="BD42" s="15"/>
      <c r="BE42" s="14"/>
      <c r="BF42" s="41">
        <f t="shared" ref="BF42:BG42" si="107">K42+O42+S42+W42+AA42+AE42+AI42+AM42+AQ42+AU42+AY42+BC42</f>
        <v>0</v>
      </c>
      <c r="BG42" s="34">
        <f t="shared" si="107"/>
        <v>0</v>
      </c>
      <c r="BH42" s="35">
        <f t="shared" si="94"/>
        <v>0</v>
      </c>
      <c r="BK42" s="2" t="b">
        <f>H42='2021'!BH42</f>
        <v>1</v>
      </c>
    </row>
    <row r="43" ht="15.75" customHeight="1" spans="1:63" x14ac:dyDescent="0.25">
      <c r="A43" s="177">
        <v>4</v>
      </c>
      <c r="B43" s="21"/>
      <c r="C43" s="22" t="s">
        <v>53</v>
      </c>
      <c r="D43" s="21"/>
      <c r="E43" s="22"/>
      <c r="F43" s="20"/>
      <c r="G43" s="23"/>
      <c r="H43" s="51">
        <f>SUM(H35:H42)</f>
        <v>6801.65</v>
      </c>
      <c r="I43" s="52"/>
      <c r="J43" s="53"/>
      <c r="K43" s="51">
        <f t="shared" ref="K43:L43" si="108">SUM(K35:K42)</f>
        <v>0</v>
      </c>
      <c r="L43" s="68">
        <f t="shared" si="108"/>
        <v>0</v>
      </c>
      <c r="M43" s="52"/>
      <c r="N43" s="53"/>
      <c r="O43" s="51">
        <f t="shared" ref="O43:P43" si="109">SUM(O35:O42)</f>
        <v>0</v>
      </c>
      <c r="P43" s="68">
        <f t="shared" si="109"/>
        <v>0</v>
      </c>
      <c r="Q43" s="52"/>
      <c r="R43" s="53"/>
      <c r="S43" s="51">
        <f t="shared" ref="S43:T43" si="110">SUM(S35:S42)</f>
        <v>21.14</v>
      </c>
      <c r="T43" s="68">
        <f t="shared" si="110"/>
        <v>0</v>
      </c>
      <c r="U43" s="52"/>
      <c r="V43" s="53"/>
      <c r="W43" s="51">
        <f t="shared" ref="W43:X43" si="111">SUM(W35:W42)</f>
        <v>20.46</v>
      </c>
      <c r="X43" s="68">
        <f t="shared" si="111"/>
        <v>0</v>
      </c>
      <c r="Y43" s="52"/>
      <c r="Z43" s="301"/>
      <c r="AA43" s="51">
        <f t="shared" ref="AA43:AB43" si="112">SUM(AA35:AA42)</f>
        <v>21.14</v>
      </c>
      <c r="AB43" s="68">
        <f t="shared" si="112"/>
        <v>0</v>
      </c>
      <c r="AC43" s="351"/>
      <c r="AD43" s="53"/>
      <c r="AE43" s="51">
        <f t="shared" ref="AE43:AF43" si="113">SUM(AE35:AE42)</f>
        <v>6155.46</v>
      </c>
      <c r="AF43" s="68">
        <f t="shared" si="113"/>
        <v>0</v>
      </c>
      <c r="AG43" s="53"/>
      <c r="AH43" s="301"/>
      <c r="AI43" s="183">
        <f t="shared" ref="AI43:AJ43" si="114">SUM(AI35:AI42)</f>
        <v>21.14</v>
      </c>
      <c r="AJ43" s="51">
        <f t="shared" si="114"/>
        <v>0</v>
      </c>
      <c r="AK43" s="53"/>
      <c r="AL43" s="53"/>
      <c r="AM43" s="183">
        <f t="shared" ref="AM43:AN43" si="115">SUM(AM35:AM42)</f>
        <v>0</v>
      </c>
      <c r="AN43" s="51">
        <f t="shared" si="115"/>
        <v>0</v>
      </c>
      <c r="AO43" s="52"/>
      <c r="AP43" s="53"/>
      <c r="AQ43" s="183">
        <f t="shared" ref="AQ43:AR43" si="116">SUM(AQ35:AQ42)</f>
        <v>0</v>
      </c>
      <c r="AR43" s="51">
        <f t="shared" si="116"/>
        <v>0</v>
      </c>
      <c r="AS43" s="52"/>
      <c r="AT43" s="53"/>
      <c r="AU43" s="183">
        <f t="shared" ref="AU43:AV43" si="117">SUM(AU35:AU42)</f>
        <v>0</v>
      </c>
      <c r="AV43" s="68">
        <f t="shared" si="117"/>
        <v>0</v>
      </c>
      <c r="AW43" s="52"/>
      <c r="AX43" s="53"/>
      <c r="AY43" s="183">
        <f t="shared" ref="AY43:AZ43" si="118">SUM(AY35:AY42)</f>
        <v>0</v>
      </c>
      <c r="AZ43" s="68">
        <f t="shared" si="118"/>
        <v>0</v>
      </c>
      <c r="BA43" s="52"/>
      <c r="BB43" s="53"/>
      <c r="BC43" s="183">
        <f t="shared" ref="BC43:BD43" si="119">SUM(BC35:BC42)</f>
        <v>0</v>
      </c>
      <c r="BD43" s="68">
        <f t="shared" si="119"/>
        <v>0</v>
      </c>
      <c r="BE43" s="69"/>
      <c r="BF43" s="70">
        <f t="shared" ref="BF43:BH43" si="120">SUM(BF35:BF42)</f>
        <v>6239.34</v>
      </c>
      <c r="BG43" s="71">
        <f t="shared" si="120"/>
        <v>0</v>
      </c>
      <c r="BH43" s="72">
        <f t="shared" si="120"/>
        <v>13040.99</v>
      </c>
      <c r="BI43" s="34">
        <f>H43+BF43-BG43</f>
        <v>13040.99</v>
      </c>
      <c r="BJ43" s="34">
        <f>BH43-BI43</f>
        <v>0</v>
      </c>
      <c r="BK43" s="2" t="b">
        <f>H43='2021'!BH43</f>
        <v>1</v>
      </c>
    </row>
    <row r="44" ht="15.75" customHeight="1" spans="1:63" x14ac:dyDescent="0.25">
      <c r="A44" s="175">
        <v>5</v>
      </c>
      <c r="B44" s="14"/>
      <c r="D44" s="14" t="s">
        <v>379</v>
      </c>
      <c r="F44" s="13"/>
      <c r="G44" s="28"/>
      <c r="H44" s="34">
        <f>'2021'!BH44</f>
        <v>0</v>
      </c>
      <c r="I44" s="13"/>
      <c r="J44" s="15"/>
      <c r="K44" s="15"/>
      <c r="L44" s="28"/>
      <c r="M44" s="13"/>
      <c r="N44" s="15"/>
      <c r="O44" s="15"/>
      <c r="P44" s="15"/>
      <c r="Q44" s="13"/>
      <c r="R44" s="15"/>
      <c r="S44" s="15"/>
      <c r="T44" s="28"/>
      <c r="U44" s="13"/>
      <c r="V44" s="15"/>
      <c r="W44" s="15"/>
      <c r="X44" s="15"/>
      <c r="Y44" s="13"/>
      <c r="Z44" s="2"/>
      <c r="AA44" s="15"/>
      <c r="AB44" s="28"/>
      <c r="AC44" s="348"/>
      <c r="AD44" s="15"/>
      <c r="AE44" s="15"/>
      <c r="AF44" s="15"/>
      <c r="AG44" s="15"/>
      <c r="AH44" s="2"/>
      <c r="AI44" s="45"/>
      <c r="AJ44" s="15"/>
      <c r="AK44" s="15"/>
      <c r="AL44" s="15"/>
      <c r="AM44" s="45"/>
      <c r="AN44" s="15"/>
      <c r="AO44" s="13"/>
      <c r="AP44" s="15"/>
      <c r="AQ44" s="45"/>
      <c r="AR44" s="15"/>
      <c r="AS44" s="13"/>
      <c r="AT44" s="15"/>
      <c r="AU44" s="45"/>
      <c r="AV44" s="15"/>
      <c r="AW44" s="13"/>
      <c r="AX44" s="15"/>
      <c r="AY44" s="45"/>
      <c r="AZ44" s="28"/>
      <c r="BA44" s="13"/>
      <c r="BB44" s="15"/>
      <c r="BC44" s="45"/>
      <c r="BD44" s="15"/>
      <c r="BE44" s="14"/>
      <c r="BF44" s="41">
        <f t="shared" ref="BF44:BG44" si="121">K44+O44+S44+W44+AA44+AE44+AI44+AM44+AQ44+AU44+AY44+BC44</f>
        <v>0</v>
      </c>
      <c r="BG44" s="34">
        <f t="shared" si="121"/>
        <v>0</v>
      </c>
      <c r="BH44" s="35">
        <f t="shared" ref="BH44:BH51" si="122">H44+BF44-BG44</f>
        <v>0</v>
      </c>
      <c r="BK44" s="2" t="b">
        <f>H44='2021'!BH44</f>
        <v>1</v>
      </c>
    </row>
    <row r="45" ht="15.75" customHeight="1" spans="1:63" x14ac:dyDescent="0.25">
      <c r="A45" s="176">
        <v>5</v>
      </c>
      <c r="B45" s="14">
        <v>5.08</v>
      </c>
      <c r="C45" s="2" t="s">
        <v>488</v>
      </c>
      <c r="D45" s="14" t="s">
        <v>44</v>
      </c>
      <c r="E45" s="2" t="s">
        <v>45</v>
      </c>
      <c r="F45" s="41">
        <v>2.5</v>
      </c>
      <c r="G45" s="35">
        <v>2.6</v>
      </c>
      <c r="H45" s="34">
        <f>'2021'!BH45</f>
        <v>0</v>
      </c>
      <c r="I45" s="13">
        <v>1005</v>
      </c>
      <c r="J45" s="15">
        <f>I45-'2021'!BA45</f>
        <v>0</v>
      </c>
      <c r="K45" s="34">
        <f>J45*$F$8</f>
        <v>0</v>
      </c>
      <c r="L45" s="28"/>
      <c r="M45" s="13">
        <v>1005</v>
      </c>
      <c r="N45" s="15">
        <f t="shared" ref="N45:N46" si="123">M45-I45</f>
        <v>0</v>
      </c>
      <c r="O45" s="34">
        <f>N45*$F$8</f>
        <v>0</v>
      </c>
      <c r="P45" s="15"/>
      <c r="Q45" s="13">
        <v>1005</v>
      </c>
      <c r="R45" s="15">
        <f t="shared" ref="R45:R46" si="124">Q45-M45</f>
        <v>0</v>
      </c>
      <c r="S45" s="34">
        <f>R45*$F$8</f>
        <v>0</v>
      </c>
      <c r="T45" s="28"/>
      <c r="U45" s="13">
        <v>1005</v>
      </c>
      <c r="V45" s="15">
        <f t="shared" ref="V45:V46" si="125">U45-Q45</f>
        <v>0</v>
      </c>
      <c r="W45" s="34">
        <f>V45*$F$8</f>
        <v>0</v>
      </c>
      <c r="X45" s="15"/>
      <c r="Y45" s="13">
        <v>1011</v>
      </c>
      <c r="Z45" s="2">
        <f t="shared" ref="Z45:Z46" si="126">Y45-U45</f>
        <v>6</v>
      </c>
      <c r="AA45" s="34">
        <f>Z45*$F$8</f>
        <v>16.2</v>
      </c>
      <c r="AB45" s="28"/>
      <c r="AC45" s="350">
        <v>1266</v>
      </c>
      <c r="AD45" s="15">
        <f t="shared" ref="AD45:AD46" si="127">AC45-Y45</f>
        <v>255</v>
      </c>
      <c r="AE45" s="180">
        <f>AD45*$F$8</f>
        <v>688.5</v>
      </c>
      <c r="AF45" s="1">
        <v>16.2</v>
      </c>
      <c r="AG45" s="13">
        <v>1623</v>
      </c>
      <c r="AH45" s="180">
        <f>(AG45-AC45)*AH5</f>
        <v>376.992</v>
      </c>
      <c r="AI45" s="45">
        <f>AH45*$G$8</f>
        <v>927.40032</v>
      </c>
      <c r="AJ45" s="248">
        <v>688.5</v>
      </c>
      <c r="AK45" s="13">
        <v>2010</v>
      </c>
      <c r="AL45" s="15">
        <f>(AK45-AG45)*AL5</f>
        <v>397.836</v>
      </c>
      <c r="AM45" s="45">
        <f>AL45*$G$8</f>
        <v>978.67656</v>
      </c>
      <c r="AN45" s="1">
        <v>927.4</v>
      </c>
      <c r="AO45" s="13">
        <v>2583</v>
      </c>
      <c r="AP45" s="15">
        <f>(AO45-AK45)*AP5</f>
        <v>591.909</v>
      </c>
      <c r="AQ45" s="45">
        <f>AP45*$G$8</f>
        <v>1456.09614</v>
      </c>
      <c r="AR45" s="1">
        <f>978.68+1456.09</f>
        <v>2434.77</v>
      </c>
      <c r="AS45" s="13">
        <v>2840</v>
      </c>
      <c r="AT45" s="15">
        <f>(AS45-AO45)*AT5</f>
        <v>269.85</v>
      </c>
      <c r="AU45" s="45">
        <f>AT45*$G$8</f>
        <v>663.831</v>
      </c>
      <c r="AV45" s="15"/>
      <c r="AW45" s="13"/>
      <c r="AX45" s="15">
        <f>(AW45-AS45)*AX5</f>
        <v>0</v>
      </c>
      <c r="AY45" s="45">
        <f>AX45*$G$8</f>
        <v>0</v>
      </c>
      <c r="AZ45" s="28"/>
      <c r="BA45" s="13"/>
      <c r="BB45" s="15"/>
      <c r="BC45" s="45">
        <f>BB45*$G$8</f>
        <v>0</v>
      </c>
      <c r="BD45" s="15"/>
      <c r="BE45" s="40">
        <f t="shared" ref="BE45:BG45" si="128">J45+N45+R45+V45+Z45+AD45+AH45+AL45+AP45+AT45+AX45+BB45</f>
        <v>1897.587</v>
      </c>
      <c r="BF45" s="41">
        <f t="shared" si="128"/>
        <v>4730.70402</v>
      </c>
      <c r="BG45" s="34">
        <f t="shared" si="128"/>
        <v>4066.87</v>
      </c>
      <c r="BH45" s="35">
        <f t="shared" si="122"/>
        <v>663.83402</v>
      </c>
      <c r="BK45" s="2" t="b">
        <f>H45='2021'!BH45</f>
        <v>1</v>
      </c>
    </row>
    <row r="46" ht="15.75" customHeight="1" spans="1:63" x14ac:dyDescent="0.25">
      <c r="A46" s="176">
        <v>5</v>
      </c>
      <c r="B46" s="14"/>
      <c r="C46" s="2" t="s">
        <v>61</v>
      </c>
      <c r="D46" s="14" t="s">
        <v>47</v>
      </c>
      <c r="E46" s="2" t="s">
        <v>48</v>
      </c>
      <c r="F46" s="13">
        <v>18.56</v>
      </c>
      <c r="G46" s="35">
        <v>19.46</v>
      </c>
      <c r="H46" s="34">
        <f>'2021'!BH46</f>
        <v>0</v>
      </c>
      <c r="I46" s="13">
        <v>244</v>
      </c>
      <c r="J46" s="15"/>
      <c r="K46" s="15"/>
      <c r="L46" s="28"/>
      <c r="M46" s="13">
        <v>244</v>
      </c>
      <c r="N46" s="15">
        <f t="shared" si="123"/>
        <v>0</v>
      </c>
      <c r="O46" s="15"/>
      <c r="P46" s="15"/>
      <c r="Q46" s="13">
        <v>244</v>
      </c>
      <c r="R46" s="15">
        <f t="shared" si="124"/>
        <v>0</v>
      </c>
      <c r="S46" s="15"/>
      <c r="T46" s="28"/>
      <c r="U46" s="13">
        <v>244</v>
      </c>
      <c r="V46" s="15">
        <f t="shared" si="125"/>
        <v>0</v>
      </c>
      <c r="W46" s="180">
        <f>V46*$F$10</f>
        <v>0</v>
      </c>
      <c r="X46" s="15"/>
      <c r="Y46" s="13">
        <v>248</v>
      </c>
      <c r="Z46" s="2">
        <f t="shared" si="126"/>
        <v>4</v>
      </c>
      <c r="AA46" s="34">
        <f>Z46*$F$10</f>
        <v>81.4</v>
      </c>
      <c r="AB46" s="28"/>
      <c r="AC46" s="348">
        <v>275</v>
      </c>
      <c r="AD46" s="15">
        <f t="shared" si="127"/>
        <v>27</v>
      </c>
      <c r="AE46" s="34">
        <f>AD46*$F$10</f>
        <v>549.45</v>
      </c>
      <c r="AF46" s="1">
        <v>81.4</v>
      </c>
      <c r="AG46" s="15">
        <v>298</v>
      </c>
      <c r="AH46" s="2">
        <f>AG46-AC46</f>
        <v>23</v>
      </c>
      <c r="AI46" s="45">
        <f>AH46*$G$10</f>
        <v>492.2</v>
      </c>
      <c r="AJ46" s="248">
        <v>549.45</v>
      </c>
      <c r="AK46" s="15">
        <v>316</v>
      </c>
      <c r="AL46" s="15">
        <f>AK46-AG46</f>
        <v>18</v>
      </c>
      <c r="AM46" s="45">
        <f>AL46*$G$10</f>
        <v>385.2</v>
      </c>
      <c r="AN46" s="1">
        <v>492.2</v>
      </c>
      <c r="AO46" s="13">
        <v>316</v>
      </c>
      <c r="AP46" s="15">
        <f>AO46-AK46</f>
        <v>0</v>
      </c>
      <c r="AQ46" s="45">
        <f>AP46*$G$10</f>
        <v>0</v>
      </c>
      <c r="AR46" s="1">
        <v>385.2</v>
      </c>
      <c r="AS46" s="13">
        <v>316</v>
      </c>
      <c r="AT46" s="15">
        <f>AS46-AO46</f>
        <v>0</v>
      </c>
      <c r="AU46" s="45">
        <f>AT46*$G$10</f>
        <v>0</v>
      </c>
      <c r="AV46" s="15"/>
      <c r="AW46" s="13"/>
      <c r="AX46" s="15">
        <f>AW46-AS46</f>
        <v>-316</v>
      </c>
      <c r="AY46" s="45"/>
      <c r="AZ46" s="28"/>
      <c r="BA46" s="13"/>
      <c r="BB46" s="15"/>
      <c r="BC46" s="45"/>
      <c r="BD46" s="15"/>
      <c r="BE46" s="40">
        <f t="shared" ref="BE46:BG46" si="129">J46+N46+R46+V46+Z46+AD46+AH46+AL46+AP46+AT46+AX46+BB46</f>
        <v>-244</v>
      </c>
      <c r="BF46" s="41">
        <f t="shared" si="129"/>
        <v>1508.25</v>
      </c>
      <c r="BG46" s="34">
        <f t="shared" si="129"/>
        <v>1508.25</v>
      </c>
      <c r="BH46" s="35">
        <f t="shared" si="122"/>
        <v>0</v>
      </c>
      <c r="BK46" s="2" t="b">
        <f>H46='2021'!BH46</f>
        <v>1</v>
      </c>
    </row>
    <row r="47" ht="15.75" customHeight="1" spans="1:63" x14ac:dyDescent="0.25">
      <c r="A47" s="176">
        <v>5</v>
      </c>
      <c r="B47" s="14"/>
      <c r="C47" s="2" t="s">
        <v>102</v>
      </c>
      <c r="D47" s="14" t="s">
        <v>47</v>
      </c>
      <c r="E47" s="2" t="s">
        <v>49</v>
      </c>
      <c r="F47" s="41">
        <v>500</v>
      </c>
      <c r="G47" s="35"/>
      <c r="H47" s="34">
        <f>'2021'!BH47</f>
        <v>0</v>
      </c>
      <c r="I47" s="13"/>
      <c r="J47" s="15"/>
      <c r="K47" s="15"/>
      <c r="L47" s="28"/>
      <c r="M47" s="13"/>
      <c r="N47" s="15"/>
      <c r="O47" s="15"/>
      <c r="P47" s="15"/>
      <c r="Q47" s="13"/>
      <c r="R47" s="15"/>
      <c r="S47" s="15"/>
      <c r="T47" s="28"/>
      <c r="U47" s="13"/>
      <c r="V47" s="15"/>
      <c r="W47" s="15"/>
      <c r="X47" s="15"/>
      <c r="Y47" s="13"/>
      <c r="Z47" s="2"/>
      <c r="AA47" s="15"/>
      <c r="AB47" s="28"/>
      <c r="AC47" s="348"/>
      <c r="AD47" s="15"/>
      <c r="AE47" s="34"/>
      <c r="AF47" s="15"/>
      <c r="AG47" s="15"/>
      <c r="AH47" s="2"/>
      <c r="AI47" s="45"/>
      <c r="AJ47" s="15"/>
      <c r="AK47" s="15"/>
      <c r="AL47" s="15"/>
      <c r="AM47" s="45"/>
      <c r="AN47" s="15"/>
      <c r="AO47" s="13"/>
      <c r="AP47" s="15"/>
      <c r="AQ47" s="45"/>
      <c r="AR47" s="15"/>
      <c r="AS47" s="13"/>
      <c r="AT47" s="15"/>
      <c r="AU47" s="45"/>
      <c r="AV47" s="15"/>
      <c r="AW47" s="13"/>
      <c r="AX47" s="15"/>
      <c r="AY47" s="45"/>
      <c r="AZ47" s="32"/>
      <c r="BA47" s="13"/>
      <c r="BB47" s="15"/>
      <c r="BC47" s="45"/>
      <c r="BD47" s="15"/>
      <c r="BE47" s="14"/>
      <c r="BF47" s="41">
        <f t="shared" ref="BF47:BG47" si="130">K47+O47+S47+W47+AA47+AE47+AI47+AM47+AQ47+AU47+AY47+BC47</f>
        <v>0</v>
      </c>
      <c r="BG47" s="34">
        <f t="shared" si="130"/>
        <v>0</v>
      </c>
      <c r="BH47" s="35">
        <f t="shared" si="122"/>
        <v>0</v>
      </c>
      <c r="BK47" s="2" t="b">
        <f>H47='2021'!BH47</f>
        <v>1</v>
      </c>
    </row>
    <row r="48" ht="15.75" customHeight="1" spans="1:63" x14ac:dyDescent="0.25">
      <c r="A48" s="176">
        <v>5</v>
      </c>
      <c r="B48" s="14"/>
      <c r="C48" s="2" t="s">
        <v>489</v>
      </c>
      <c r="D48" s="14" t="s">
        <v>50</v>
      </c>
      <c r="E48" s="2" t="s">
        <v>49</v>
      </c>
      <c r="F48" s="41">
        <v>1100</v>
      </c>
      <c r="G48" s="35"/>
      <c r="H48" s="34">
        <f>'2021'!BH48</f>
        <v>0</v>
      </c>
      <c r="I48" s="13"/>
      <c r="J48" s="15"/>
      <c r="K48" s="15"/>
      <c r="L48" s="28"/>
      <c r="M48" s="13"/>
      <c r="N48" s="15"/>
      <c r="O48" s="15"/>
      <c r="P48" s="15"/>
      <c r="Q48" s="13"/>
      <c r="R48" s="15"/>
      <c r="S48" s="15"/>
      <c r="T48" s="28"/>
      <c r="U48" s="13"/>
      <c r="V48" s="15"/>
      <c r="W48" s="15"/>
      <c r="X48" s="15"/>
      <c r="Y48" s="13"/>
      <c r="Z48" s="2"/>
      <c r="AA48" s="15"/>
      <c r="AB48" s="28"/>
      <c r="AC48" s="348"/>
      <c r="AD48" s="15"/>
      <c r="AE48" s="34">
        <f>B45*$F$12</f>
        <v>6604</v>
      </c>
      <c r="AF48" s="15"/>
      <c r="AG48" s="15"/>
      <c r="AH48" s="2"/>
      <c r="AI48" s="45"/>
      <c r="AJ48" s="248">
        <v>1604</v>
      </c>
      <c r="AK48" s="15"/>
      <c r="AL48" s="15"/>
      <c r="AM48" s="45"/>
      <c r="AN48" s="1">
        <v>2500</v>
      </c>
      <c r="AO48" s="13"/>
      <c r="AP48" s="15"/>
      <c r="AQ48" s="45"/>
      <c r="AR48" s="1">
        <v>2500</v>
      </c>
      <c r="AS48" s="13"/>
      <c r="AT48" s="15"/>
      <c r="AU48" s="45"/>
      <c r="AV48" s="15"/>
      <c r="AW48" s="13"/>
      <c r="AX48" s="15"/>
      <c r="AY48" s="45"/>
      <c r="AZ48" s="32"/>
      <c r="BA48" s="13"/>
      <c r="BB48" s="15"/>
      <c r="BC48" s="45"/>
      <c r="BD48" s="15"/>
      <c r="BE48" s="14"/>
      <c r="BF48" s="41">
        <f t="shared" ref="BF48:BG48" si="131">K48+O48+S48+W48+AA48+AE48+AI48+AM48+AQ48+AU48+AY48+BC48</f>
        <v>6604</v>
      </c>
      <c r="BG48" s="34">
        <f t="shared" si="131"/>
        <v>6604</v>
      </c>
      <c r="BH48" s="35">
        <f t="shared" si="122"/>
        <v>0</v>
      </c>
      <c r="BK48" s="2" t="b">
        <f>H48='2021'!BH48</f>
        <v>1</v>
      </c>
    </row>
    <row r="49" ht="15.75" customHeight="1" spans="1:63" x14ac:dyDescent="0.25">
      <c r="A49" s="176">
        <v>5</v>
      </c>
      <c r="B49" s="14"/>
      <c r="D49" s="14" t="s">
        <v>51</v>
      </c>
      <c r="E49" s="2" t="s">
        <v>39</v>
      </c>
      <c r="F49" s="41">
        <v>500</v>
      </c>
      <c r="G49" s="35"/>
      <c r="H49" s="34">
        <f>'2021'!BH49</f>
        <v>0</v>
      </c>
      <c r="I49" s="13"/>
      <c r="J49" s="15"/>
      <c r="K49" s="15"/>
      <c r="L49" s="28"/>
      <c r="M49" s="13"/>
      <c r="N49" s="15"/>
      <c r="O49" s="15"/>
      <c r="P49" s="15"/>
      <c r="Q49" s="13"/>
      <c r="R49" s="15"/>
      <c r="S49" s="15"/>
      <c r="T49" s="28"/>
      <c r="U49" s="13"/>
      <c r="V49" s="15"/>
      <c r="W49" s="15"/>
      <c r="X49" s="15"/>
      <c r="Y49" s="13"/>
      <c r="Z49" s="2"/>
      <c r="AA49" s="15"/>
      <c r="AB49" s="28"/>
      <c r="AC49" s="348"/>
      <c r="AD49" s="15"/>
      <c r="AE49" s="180">
        <f>$F$13</f>
        <v>1000</v>
      </c>
      <c r="AF49" s="15"/>
      <c r="AG49" s="15"/>
      <c r="AH49" s="2"/>
      <c r="AI49" s="45"/>
      <c r="AJ49" s="248">
        <v>1000</v>
      </c>
      <c r="AK49" s="15"/>
      <c r="AL49" s="15"/>
      <c r="AM49" s="45"/>
      <c r="AN49" s="15"/>
      <c r="AO49" s="13"/>
      <c r="AP49" s="15"/>
      <c r="AQ49" s="180"/>
      <c r="AR49" s="15"/>
      <c r="AS49" s="13"/>
      <c r="AT49" s="15"/>
      <c r="AU49" s="45"/>
      <c r="AV49" s="15"/>
      <c r="AW49" s="13"/>
      <c r="AX49" s="15"/>
      <c r="AY49" s="45"/>
      <c r="AZ49" s="32"/>
      <c r="BA49" s="13"/>
      <c r="BB49" s="15"/>
      <c r="BC49" s="45"/>
      <c r="BD49" s="15"/>
      <c r="BE49" s="14"/>
      <c r="BF49" s="41">
        <f t="shared" ref="BF49:BG49" si="132">K49+O49+S49+W49+AA49+AE49+AI49+AM49+AQ49+AU49+AY49+BC49</f>
        <v>1000</v>
      </c>
      <c r="BG49" s="34">
        <f t="shared" si="132"/>
        <v>1000</v>
      </c>
      <c r="BH49" s="35">
        <f t="shared" si="122"/>
        <v>0</v>
      </c>
      <c r="BK49" s="2" t="b">
        <f>H49='2021'!BH49</f>
        <v>1</v>
      </c>
    </row>
    <row r="50" ht="15.75" customHeight="1" spans="1:63" x14ac:dyDescent="0.25">
      <c r="A50" s="176">
        <v>5</v>
      </c>
      <c r="B50" s="14"/>
      <c r="D50" s="14" t="s">
        <v>51</v>
      </c>
      <c r="E50" s="2" t="s">
        <v>49</v>
      </c>
      <c r="F50" s="41">
        <v>500</v>
      </c>
      <c r="G50" s="35"/>
      <c r="H50" s="34">
        <f>'2021'!BH50</f>
        <v>0</v>
      </c>
      <c r="I50" s="13"/>
      <c r="J50" s="15"/>
      <c r="K50" s="15"/>
      <c r="L50" s="28"/>
      <c r="M50" s="13"/>
      <c r="N50" s="15"/>
      <c r="O50" s="15"/>
      <c r="P50" s="15"/>
      <c r="Q50" s="13"/>
      <c r="R50" s="15"/>
      <c r="S50" s="15"/>
      <c r="T50" s="28"/>
      <c r="U50" s="13"/>
      <c r="V50" s="15"/>
      <c r="W50" s="15"/>
      <c r="X50" s="15"/>
      <c r="Y50" s="13"/>
      <c r="Z50" s="2"/>
      <c r="AA50" s="15"/>
      <c r="AB50" s="28"/>
      <c r="AC50" s="348"/>
      <c r="AD50" s="15"/>
      <c r="AE50" s="34"/>
      <c r="AF50" s="15"/>
      <c r="AG50" s="15"/>
      <c r="AH50" s="2"/>
      <c r="AI50" s="45"/>
      <c r="AJ50" s="180"/>
      <c r="AK50" s="15"/>
      <c r="AL50" s="15"/>
      <c r="AM50" s="45"/>
      <c r="AN50" s="15"/>
      <c r="AO50" s="13"/>
      <c r="AP50" s="15"/>
      <c r="AQ50" s="180">
        <f>B45*$F$14</f>
        <v>0</v>
      </c>
      <c r="AR50" s="15"/>
      <c r="AS50" s="13"/>
      <c r="AT50" s="15"/>
      <c r="AU50" s="45"/>
      <c r="AV50" s="15"/>
      <c r="AW50" s="13"/>
      <c r="AX50" s="15"/>
      <c r="AY50" s="45"/>
      <c r="AZ50" s="35"/>
      <c r="BA50" s="13"/>
      <c r="BB50" s="15"/>
      <c r="BC50" s="45"/>
      <c r="BD50" s="15"/>
      <c r="BE50" s="14"/>
      <c r="BF50" s="41">
        <f t="shared" ref="BF50:BG50" si="133">K50+O50+S50+W50+AA50+AE50+AI50+AM50+AQ50+AU50+AY50+BC50</f>
        <v>0</v>
      </c>
      <c r="BG50" s="34">
        <f t="shared" si="133"/>
        <v>0</v>
      </c>
      <c r="BH50" s="35">
        <f t="shared" si="122"/>
        <v>0</v>
      </c>
      <c r="BK50" s="2" t="b">
        <f>H50='2021'!BH50</f>
        <v>1</v>
      </c>
    </row>
    <row r="51" ht="15.75" customHeight="1" spans="1:63" x14ac:dyDescent="0.25">
      <c r="A51" s="176">
        <v>5</v>
      </c>
      <c r="B51" s="14"/>
      <c r="D51" s="14" t="s">
        <v>52</v>
      </c>
      <c r="E51" s="2" t="s">
        <v>39</v>
      </c>
      <c r="F51" s="41">
        <v>500</v>
      </c>
      <c r="G51" s="35"/>
      <c r="H51" s="34">
        <f>'2021'!BH51</f>
        <v>0</v>
      </c>
      <c r="I51" s="13"/>
      <c r="J51" s="15"/>
      <c r="K51" s="15"/>
      <c r="L51" s="28"/>
      <c r="M51" s="13"/>
      <c r="N51" s="15"/>
      <c r="O51" s="15"/>
      <c r="P51" s="15"/>
      <c r="Q51" s="13"/>
      <c r="R51" s="15"/>
      <c r="S51" s="15"/>
      <c r="T51" s="28"/>
      <c r="U51" s="13"/>
      <c r="V51" s="15"/>
      <c r="W51" s="15"/>
      <c r="X51" s="15"/>
      <c r="Y51" s="13"/>
      <c r="Z51" s="2"/>
      <c r="AA51" s="34">
        <f>$F$15</f>
      </c>
      <c r="AB51" s="28"/>
      <c r="AC51" s="348"/>
      <c r="AD51" s="15"/>
      <c r="AE51" s="15"/>
      <c r="AF51" s="15"/>
      <c r="AG51" s="15"/>
      <c r="AH51" s="2"/>
      <c r="AI51" s="45"/>
      <c r="AJ51" s="180"/>
      <c r="AK51" s="15"/>
      <c r="AL51" s="15"/>
      <c r="AM51" s="45"/>
      <c r="AN51" s="15"/>
      <c r="AO51" s="13"/>
      <c r="AP51" s="15"/>
      <c r="AQ51" s="45"/>
      <c r="AR51" s="15"/>
      <c r="AS51" s="13"/>
      <c r="AT51" s="15"/>
      <c r="AU51" s="45"/>
      <c r="AV51" s="15"/>
      <c r="AW51" s="13"/>
      <c r="AX51" s="15"/>
      <c r="AY51" s="45"/>
      <c r="AZ51" s="28"/>
      <c r="BA51" s="13"/>
      <c r="BB51" s="15"/>
      <c r="BC51" s="45"/>
      <c r="BD51" s="15"/>
      <c r="BE51" s="14"/>
      <c r="BF51" s="41">
        <f t="shared" ref="BF51:BG51" si="134">K51+O51+S51+W51+AA51+AE51+AI51+AM51+AQ51+AU51+AY51+BC51</f>
        <v>0</v>
      </c>
      <c r="BG51" s="34">
        <f t="shared" si="134"/>
        <v>0</v>
      </c>
      <c r="BH51" s="35">
        <f t="shared" si="122"/>
        <v>0</v>
      </c>
      <c r="BK51" s="2" t="b">
        <f>H51='2021'!BH51</f>
        <v>1</v>
      </c>
    </row>
    <row r="52" ht="15.75" customHeight="1" spans="1:63" x14ac:dyDescent="0.25">
      <c r="A52" s="177">
        <v>5</v>
      </c>
      <c r="B52" s="21"/>
      <c r="C52" s="22" t="s">
        <v>53</v>
      </c>
      <c r="D52" s="21"/>
      <c r="E52" s="22"/>
      <c r="F52" s="20"/>
      <c r="G52" s="23"/>
      <c r="H52" s="51">
        <f>SUM(H44:H51)</f>
        <v>0</v>
      </c>
      <c r="I52" s="52"/>
      <c r="J52" s="53"/>
      <c r="K52" s="51">
        <f t="shared" ref="K52:L52" si="135">SUM(K44:K51)</f>
        <v>0</v>
      </c>
      <c r="L52" s="68">
        <f t="shared" si="135"/>
        <v>0</v>
      </c>
      <c r="M52" s="52"/>
      <c r="N52" s="53"/>
      <c r="O52" s="51">
        <f t="shared" ref="O52:P52" si="136">SUM(O44:O51)</f>
        <v>0</v>
      </c>
      <c r="P52" s="68">
        <f t="shared" si="136"/>
        <v>0</v>
      </c>
      <c r="Q52" s="52"/>
      <c r="R52" s="53"/>
      <c r="S52" s="51">
        <f t="shared" ref="S52:T52" si="137">SUM(S44:S51)</f>
        <v>0</v>
      </c>
      <c r="T52" s="68">
        <f t="shared" si="137"/>
        <v>0</v>
      </c>
      <c r="U52" s="52"/>
      <c r="V52" s="53"/>
      <c r="W52" s="51">
        <f t="shared" ref="W52:X52" si="138">SUM(W44:W51)</f>
        <v>0</v>
      </c>
      <c r="X52" s="68">
        <f t="shared" si="138"/>
        <v>0</v>
      </c>
      <c r="Y52" s="52"/>
      <c r="Z52" s="301"/>
      <c r="AA52" s="51">
        <f t="shared" ref="AA52:AB52" si="139">SUM(AA44:AA51)</f>
        <v>97.6</v>
      </c>
      <c r="AB52" s="68">
        <f t="shared" si="139"/>
        <v>0</v>
      </c>
      <c r="AC52" s="351"/>
      <c r="AD52" s="53"/>
      <c r="AE52" s="51">
        <f t="shared" ref="AE52:AF52" si="140">SUM(AE44:AE51)</f>
        <v>8841.95</v>
      </c>
      <c r="AF52" s="68">
        <f t="shared" si="140"/>
        <v>97.6</v>
      </c>
      <c r="AG52" s="53"/>
      <c r="AH52" s="301"/>
      <c r="AI52" s="183">
        <f t="shared" ref="AI52:AJ52" si="141">SUM(AI44:AI51)</f>
        <v>1419.60032</v>
      </c>
      <c r="AJ52" s="51">
        <f t="shared" si="141"/>
        <v>3841.95</v>
      </c>
      <c r="AK52" s="53"/>
      <c r="AL52" s="53"/>
      <c r="AM52" s="183">
        <f t="shared" ref="AM52:AN52" si="142">SUM(AM44:AM51)</f>
        <v>1363.87656</v>
      </c>
      <c r="AN52" s="51">
        <f t="shared" si="142"/>
        <v>3919.6</v>
      </c>
      <c r="AO52" s="52"/>
      <c r="AP52" s="53"/>
      <c r="AQ52" s="183">
        <f t="shared" ref="AQ52:AR52" si="143">SUM(AQ44:AQ51)</f>
        <v>1456.09614</v>
      </c>
      <c r="AR52" s="51">
        <f t="shared" si="143"/>
        <v>5319.97</v>
      </c>
      <c r="AS52" s="52"/>
      <c r="AT52" s="53"/>
      <c r="AU52" s="183">
        <f t="shared" ref="AU52:AV52" si="144">SUM(AU44:AU51)</f>
        <v>663.831</v>
      </c>
      <c r="AV52" s="68">
        <f t="shared" si="144"/>
        <v>0</v>
      </c>
      <c r="AW52" s="52"/>
      <c r="AX52" s="53"/>
      <c r="AY52" s="183">
        <f t="shared" ref="AY52:AZ52" si="145">SUM(AY44:AY51)</f>
        <v>0</v>
      </c>
      <c r="AZ52" s="68">
        <f t="shared" si="145"/>
        <v>0</v>
      </c>
      <c r="BA52" s="52"/>
      <c r="BB52" s="53"/>
      <c r="BC52" s="183">
        <f t="shared" ref="BC52:BD52" si="146">SUM(BC44:BC51)</f>
        <v>0</v>
      </c>
      <c r="BD52" s="68">
        <f t="shared" si="146"/>
        <v>0</v>
      </c>
      <c r="BE52" s="69"/>
      <c r="BF52" s="70">
        <f t="shared" ref="BF52:BH52" si="147">SUM(BF44:BF51)</f>
        <v>13842.95402</v>
      </c>
      <c r="BG52" s="71">
        <f t="shared" si="147"/>
        <v>13179.12</v>
      </c>
      <c r="BH52" s="72">
        <f t="shared" si="147"/>
        <v>663.83402</v>
      </c>
      <c r="BI52" s="34">
        <f>H52+BF52-BG52</f>
        <v>663.83402</v>
      </c>
      <c r="BJ52" s="34">
        <f>BH52-BI52</f>
        <v>0</v>
      </c>
      <c r="BK52" s="2" t="b">
        <f>H52='2021'!BH52</f>
        <v>1</v>
      </c>
    </row>
    <row r="53" ht="15.75" customHeight="1" spans="1:63" x14ac:dyDescent="0.25">
      <c r="A53" s="175">
        <v>6</v>
      </c>
      <c r="B53" s="14"/>
      <c r="C53" s="2"/>
      <c r="D53" s="14" t="s">
        <v>379</v>
      </c>
      <c r="F53" s="13"/>
      <c r="G53" s="28"/>
      <c r="H53" s="34">
        <f>'2021'!BH53</f>
        <v>0</v>
      </c>
      <c r="I53" s="13"/>
      <c r="J53" s="15"/>
      <c r="K53" s="15"/>
      <c r="L53" s="28"/>
      <c r="M53" s="13"/>
      <c r="N53" s="15"/>
      <c r="O53" s="15"/>
      <c r="P53" s="15"/>
      <c r="Q53" s="13"/>
      <c r="R53" s="15"/>
      <c r="S53" s="15"/>
      <c r="T53" s="28"/>
      <c r="U53" s="13"/>
      <c r="V53" s="15"/>
      <c r="W53" s="15"/>
      <c r="X53" s="15"/>
      <c r="Y53" s="13"/>
      <c r="Z53" s="2"/>
      <c r="AA53" s="15"/>
      <c r="AB53" s="28"/>
      <c r="AC53" s="348"/>
      <c r="AD53" s="15"/>
      <c r="AE53" s="15"/>
      <c r="AF53" s="154"/>
      <c r="AG53" s="15"/>
      <c r="AH53" s="2"/>
      <c r="AI53" s="45"/>
      <c r="AJ53" s="15"/>
      <c r="AK53" s="15"/>
      <c r="AL53" s="15"/>
      <c r="AM53" s="45"/>
      <c r="AN53" s="154"/>
      <c r="AO53" s="13"/>
      <c r="AP53" s="15"/>
      <c r="AQ53" s="307"/>
      <c r="AR53" s="15"/>
      <c r="AS53" s="13"/>
      <c r="AT53" s="15"/>
      <c r="AU53" s="180"/>
      <c r="AV53" s="15"/>
      <c r="AW53" s="13"/>
      <c r="AX53" s="15"/>
      <c r="AY53" s="180"/>
      <c r="AZ53" s="35"/>
      <c r="BA53" s="13"/>
      <c r="BB53" s="15"/>
      <c r="BC53" s="45"/>
      <c r="BD53" s="15"/>
      <c r="BE53" s="14"/>
      <c r="BF53" s="41">
        <f t="shared" ref="BF53:BG53" si="148">K53+O53+S53+W53+AA53+AE53+AI53+AM53+AQ53+AU53+AY53+BC53</f>
        <v>0</v>
      </c>
      <c r="BG53" s="34">
        <f t="shared" si="148"/>
        <v>0</v>
      </c>
      <c r="BH53" s="35">
        <f t="shared" ref="BH53:BH60" si="149">H53+BF53-BG53</f>
        <v>0</v>
      </c>
      <c r="BK53" s="2" t="b">
        <f>H53='2021'!BH53</f>
        <v>1</v>
      </c>
    </row>
    <row r="54" ht="15.75" customHeight="1" spans="1:63" x14ac:dyDescent="0.25">
      <c r="A54" s="176">
        <v>6</v>
      </c>
      <c r="B54" s="14">
        <v>4.01</v>
      </c>
      <c r="C54" s="2" t="s">
        <v>70</v>
      </c>
      <c r="D54" s="14" t="s">
        <v>44</v>
      </c>
      <c r="E54" s="2" t="s">
        <v>45</v>
      </c>
      <c r="F54" s="41">
        <v>2.5</v>
      </c>
      <c r="G54" s="35">
        <v>2.6</v>
      </c>
      <c r="H54" s="34">
        <f>'2021'!BH54</f>
        <v>0</v>
      </c>
      <c r="I54" s="13">
        <v>23</v>
      </c>
      <c r="J54" s="15">
        <f>I54-'2021'!BA54</f>
        <v>0</v>
      </c>
      <c r="K54" s="34">
        <f>J54*$F$8</f>
        <v>0</v>
      </c>
      <c r="L54" s="28"/>
      <c r="M54" s="13">
        <v>23</v>
      </c>
      <c r="N54" s="15">
        <f t="shared" ref="N54:N55" si="150">M54-I54</f>
        <v>0</v>
      </c>
      <c r="O54" s="34">
        <f>N54*$F$8</f>
        <v>0</v>
      </c>
      <c r="P54" s="15"/>
      <c r="Q54" s="13">
        <v>23</v>
      </c>
      <c r="R54" s="15">
        <f t="shared" ref="R54:R55" si="151">Q54-M54</f>
        <v>0</v>
      </c>
      <c r="S54" s="34">
        <f>R54*$F$8</f>
        <v>0</v>
      </c>
      <c r="T54" s="28"/>
      <c r="U54" s="13">
        <v>23</v>
      </c>
      <c r="V54" s="15">
        <f t="shared" ref="V54:V55" si="152">U54-Q54</f>
        <v>0</v>
      </c>
      <c r="W54" s="34">
        <f>V54*$F$8</f>
        <v>0</v>
      </c>
      <c r="X54" s="15"/>
      <c r="Y54" s="13">
        <v>24</v>
      </c>
      <c r="Z54" s="2">
        <f t="shared" ref="Z54:Z55" si="153">Y54-U54</f>
        <v>1</v>
      </c>
      <c r="AA54" s="34">
        <f>Z54*$F$8</f>
        <v>2.7</v>
      </c>
      <c r="AB54" s="28"/>
      <c r="AC54" s="350">
        <v>25</v>
      </c>
      <c r="AD54" s="15">
        <f t="shared" ref="AD54:AD55" si="154">AC54-Y54</f>
        <v>1</v>
      </c>
      <c r="AE54" s="180">
        <f>AD54*$F$8</f>
        <v>2.7</v>
      </c>
      <c r="AF54" s="154"/>
      <c r="AG54" s="13">
        <v>26</v>
      </c>
      <c r="AH54" s="2">
        <f>(AG54-AC54)*AH5</f>
        <v>1.056</v>
      </c>
      <c r="AI54" s="45">
        <f>AH54*$G$8</f>
        <v>2.59776</v>
      </c>
      <c r="AJ54" s="15"/>
      <c r="AK54" s="13">
        <v>26</v>
      </c>
      <c r="AL54" s="15">
        <f>(AK54-AG54)*AL5</f>
        <v>0</v>
      </c>
      <c r="AM54" s="45">
        <f>AL54*$G$8</f>
        <v>0</v>
      </c>
      <c r="AN54" s="154">
        <v>8</v>
      </c>
      <c r="AO54" s="13">
        <v>27</v>
      </c>
      <c r="AP54" s="15">
        <f>(AO54-AK54)*AP5</f>
        <v>1.033</v>
      </c>
      <c r="AQ54" s="45">
        <f>AP54*$G$8</f>
        <v>2.54118</v>
      </c>
      <c r="AR54" s="15"/>
      <c r="AS54" s="13">
        <v>27</v>
      </c>
      <c r="AT54" s="15">
        <f>(AS54-AO54)*AT5</f>
        <v>0</v>
      </c>
      <c r="AU54" s="45">
        <f>AT54*$G$8</f>
        <v>0</v>
      </c>
      <c r="AV54" s="15"/>
      <c r="AW54" s="13"/>
      <c r="AX54" s="15">
        <f>(AW54-AS54)*AX5</f>
        <v>0</v>
      </c>
      <c r="AY54" s="45">
        <f>AX54*$G$8</f>
        <v>0</v>
      </c>
      <c r="AZ54" s="35"/>
      <c r="BA54" s="13"/>
      <c r="BB54" s="15"/>
      <c r="BC54" s="45">
        <f>BB54*$G$8</f>
        <v>0</v>
      </c>
      <c r="BD54" s="15"/>
      <c r="BE54" s="40">
        <f t="shared" ref="BE54:BG54" si="155">J54+N54+R54+V54+Z54+AD54+AH54+AL54+AP54+AT54+AX54+BB54</f>
        <v>4.089</v>
      </c>
      <c r="BF54" s="41">
        <f t="shared" si="155"/>
        <v>10.53894</v>
      </c>
      <c r="BG54" s="34">
        <f t="shared" si="155"/>
        <v>8</v>
      </c>
      <c r="BH54" s="35">
        <f t="shared" si="149"/>
        <v>2.53894</v>
      </c>
      <c r="BK54" s="2" t="b">
        <f>H54='2021'!BH54</f>
        <v>1</v>
      </c>
    </row>
    <row r="55" ht="15.75" customHeight="1" spans="1:63" x14ac:dyDescent="0.25">
      <c r="A55" s="176">
        <v>6</v>
      </c>
      <c r="B55" s="14"/>
      <c r="C55" s="2" t="s">
        <v>71</v>
      </c>
      <c r="D55" s="14" t="s">
        <v>47</v>
      </c>
      <c r="E55" s="2" t="s">
        <v>48</v>
      </c>
      <c r="F55" s="13">
        <v>18.56</v>
      </c>
      <c r="G55" s="35">
        <v>19.46</v>
      </c>
      <c r="H55" s="34">
        <f>'2021'!BH55</f>
        <v>0</v>
      </c>
      <c r="I55" s="13">
        <v>274</v>
      </c>
      <c r="J55" s="15"/>
      <c r="K55" s="15"/>
      <c r="L55" s="28"/>
      <c r="M55" s="13">
        <v>274</v>
      </c>
      <c r="N55" s="15">
        <f t="shared" si="150"/>
        <v>0</v>
      </c>
      <c r="O55" s="15"/>
      <c r="P55" s="15"/>
      <c r="Q55" s="13">
        <v>274</v>
      </c>
      <c r="R55" s="15">
        <f t="shared" si="151"/>
        <v>0</v>
      </c>
      <c r="S55" s="15"/>
      <c r="T55" s="28"/>
      <c r="U55" s="13">
        <v>274</v>
      </c>
      <c r="V55" s="15">
        <f t="shared" si="152"/>
        <v>0</v>
      </c>
      <c r="W55" s="34">
        <f>V55*$F$10</f>
        <v>0</v>
      </c>
      <c r="X55" s="15"/>
      <c r="Y55" s="13">
        <v>295</v>
      </c>
      <c r="Z55" s="2">
        <f t="shared" si="153"/>
        <v>21</v>
      </c>
      <c r="AA55" s="34">
        <f>Z55*$F$10</f>
        <v>427.35</v>
      </c>
      <c r="AB55" s="28"/>
      <c r="AC55" s="350">
        <v>295</v>
      </c>
      <c r="AD55" s="15">
        <f t="shared" si="154"/>
        <v>0</v>
      </c>
      <c r="AE55" s="34">
        <f>AD55*$F$10</f>
        <v>0</v>
      </c>
      <c r="AF55" s="154"/>
      <c r="AG55" s="13">
        <v>295</v>
      </c>
      <c r="AH55" s="2">
        <f>AG55-AC55</f>
        <v>0</v>
      </c>
      <c r="AI55" s="45">
        <f>AH55*$G$10</f>
        <v>0</v>
      </c>
      <c r="AJ55" s="15"/>
      <c r="AK55" s="13">
        <v>295</v>
      </c>
      <c r="AL55" s="15">
        <f>AK55-AG55</f>
        <v>0</v>
      </c>
      <c r="AM55" s="45">
        <f>AL55*$G$10</f>
        <v>0</v>
      </c>
      <c r="AN55" s="154">
        <v>427.35</v>
      </c>
      <c r="AO55" s="13">
        <v>295</v>
      </c>
      <c r="AP55" s="15">
        <f>AO55-AK55</f>
        <v>0</v>
      </c>
      <c r="AQ55" s="45">
        <f>AP55*$G$10</f>
        <v>0</v>
      </c>
      <c r="AR55" s="15"/>
      <c r="AS55" s="13">
        <v>295</v>
      </c>
      <c r="AT55" s="15">
        <f>AS55-AO55</f>
        <v>0</v>
      </c>
      <c r="AU55" s="45">
        <f>AT55*$G$10</f>
        <v>0</v>
      </c>
      <c r="AV55" s="15"/>
      <c r="AW55" s="13"/>
      <c r="AX55" s="15">
        <f>AW55-AS55</f>
        <v>-295</v>
      </c>
      <c r="AY55" s="45"/>
      <c r="AZ55" s="28"/>
      <c r="BA55" s="13"/>
      <c r="BB55" s="15"/>
      <c r="BC55" s="45"/>
      <c r="BD55" s="15"/>
      <c r="BE55" s="40">
        <f t="shared" ref="BE55:BG55" si="156">J55+N55+R55+V55+Z55+AD55+AH55+AL55+AP55+AT55+AX55+BB55</f>
        <v>-274</v>
      </c>
      <c r="BF55" s="41">
        <f t="shared" si="156"/>
        <v>427.35</v>
      </c>
      <c r="BG55" s="34">
        <f t="shared" si="156"/>
        <v>427.35</v>
      </c>
      <c r="BH55" s="35">
        <f t="shared" si="149"/>
        <v>0</v>
      </c>
      <c r="BK55" s="2" t="b">
        <f>H55='2021'!BH55</f>
        <v>1</v>
      </c>
    </row>
    <row r="56" ht="15.75" customHeight="1" spans="1:63" x14ac:dyDescent="0.25">
      <c r="A56" s="176">
        <v>6</v>
      </c>
      <c r="B56" s="14"/>
      <c r="C56" s="2" t="s">
        <v>72</v>
      </c>
      <c r="D56" s="14" t="s">
        <v>47</v>
      </c>
      <c r="E56" s="2" t="s">
        <v>49</v>
      </c>
      <c r="F56" s="41">
        <v>500</v>
      </c>
      <c r="G56" s="35"/>
      <c r="H56" s="34">
        <f>'2021'!BH56</f>
        <v>0</v>
      </c>
      <c r="I56" s="13"/>
      <c r="J56" s="15"/>
      <c r="K56" s="15"/>
      <c r="L56" s="28"/>
      <c r="M56" s="13"/>
      <c r="N56" s="15"/>
      <c r="O56" s="15"/>
      <c r="P56" s="15"/>
      <c r="Q56" s="13"/>
      <c r="R56" s="15"/>
      <c r="S56" s="15"/>
      <c r="T56" s="28"/>
      <c r="U56" s="13"/>
      <c r="V56" s="15"/>
      <c r="W56" s="15"/>
      <c r="X56" s="15"/>
      <c r="Y56" s="13"/>
      <c r="Z56" s="2"/>
      <c r="AA56" s="15"/>
      <c r="AB56" s="28"/>
      <c r="AC56" s="348"/>
      <c r="AD56" s="15"/>
      <c r="AE56" s="34"/>
      <c r="AF56" s="154"/>
      <c r="AG56" s="15"/>
      <c r="AH56" s="2"/>
      <c r="AI56" s="45"/>
      <c r="AJ56" s="15"/>
      <c r="AK56" s="15"/>
      <c r="AL56" s="15"/>
      <c r="AM56" s="45"/>
      <c r="AN56" s="154"/>
      <c r="AO56" s="13"/>
      <c r="AP56" s="15"/>
      <c r="AQ56" s="45"/>
      <c r="AR56" s="15"/>
      <c r="AS56" s="13"/>
      <c r="AT56" s="15"/>
      <c r="AU56" s="45"/>
      <c r="AV56" s="15"/>
      <c r="AW56" s="13"/>
      <c r="AX56" s="15"/>
      <c r="AY56" s="45"/>
      <c r="AZ56" s="32"/>
      <c r="BA56" s="13"/>
      <c r="BB56" s="15"/>
      <c r="BC56" s="45"/>
      <c r="BD56" s="15"/>
      <c r="BE56" s="14"/>
      <c r="BF56" s="41">
        <f t="shared" ref="BF56:BG56" si="157">K56+O56+S56+W56+AA56+AE56+AI56+AM56+AQ56+AU56+AY56+BC56</f>
        <v>0</v>
      </c>
      <c r="BG56" s="34">
        <f t="shared" si="157"/>
        <v>0</v>
      </c>
      <c r="BH56" s="35">
        <f t="shared" si="149"/>
        <v>0</v>
      </c>
      <c r="BK56" s="2" t="b">
        <f>H56='2021'!BH56</f>
        <v>1</v>
      </c>
    </row>
    <row r="57" ht="15.75" customHeight="1" spans="1:63" x14ac:dyDescent="0.25">
      <c r="A57" s="176">
        <v>6</v>
      </c>
      <c r="B57" s="14"/>
      <c r="C57" s="15" t="s">
        <v>73</v>
      </c>
      <c r="D57" s="14" t="s">
        <v>50</v>
      </c>
      <c r="E57" s="2" t="s">
        <v>49</v>
      </c>
      <c r="F57" s="41">
        <v>1100</v>
      </c>
      <c r="G57" s="35"/>
      <c r="H57" s="34">
        <f>'2021'!BH57</f>
        <v>0</v>
      </c>
      <c r="I57" s="13"/>
      <c r="J57" s="15"/>
      <c r="K57" s="15"/>
      <c r="L57" s="28"/>
      <c r="M57" s="13"/>
      <c r="N57" s="15"/>
      <c r="O57" s="15"/>
      <c r="P57" s="15"/>
      <c r="Q57" s="13"/>
      <c r="R57" s="15"/>
      <c r="S57" s="15"/>
      <c r="T57" s="28"/>
      <c r="U57" s="13"/>
      <c r="V57" s="15"/>
      <c r="W57" s="15"/>
      <c r="X57" s="15"/>
      <c r="Y57" s="13"/>
      <c r="Z57" s="2"/>
      <c r="AA57" s="15"/>
      <c r="AB57" s="28"/>
      <c r="AC57" s="348"/>
      <c r="AD57" s="15"/>
      <c r="AE57" s="182">
        <f>B54*$F$12</f>
        <v>5213</v>
      </c>
      <c r="AF57" s="182"/>
      <c r="AG57" s="15"/>
      <c r="AH57" s="2"/>
      <c r="AI57" s="45"/>
      <c r="AJ57" s="15"/>
      <c r="AK57" s="15"/>
      <c r="AL57" s="15"/>
      <c r="AM57" s="45"/>
      <c r="AN57" s="154">
        <v>5213</v>
      </c>
      <c r="AO57" s="13"/>
      <c r="AP57" s="15"/>
      <c r="AQ57" s="45"/>
      <c r="AR57" s="15"/>
      <c r="AS57" s="13"/>
      <c r="AT57" s="15"/>
      <c r="AU57" s="45"/>
      <c r="AV57" s="15"/>
      <c r="AW57" s="13"/>
      <c r="AX57" s="15"/>
      <c r="AY57" s="45"/>
      <c r="AZ57" s="35"/>
      <c r="BA57" s="13"/>
      <c r="BB57" s="15"/>
      <c r="BC57" s="45"/>
      <c r="BD57" s="15"/>
      <c r="BE57" s="14"/>
      <c r="BF57" s="41">
        <f t="shared" ref="BF57:BG57" si="158">K57+O57+S57+W57+AA57+AE57+AI57+AM57+AQ57+AU57+AY57+BC57</f>
        <v>5213</v>
      </c>
      <c r="BG57" s="34">
        <f t="shared" si="158"/>
        <v>5213</v>
      </c>
      <c r="BH57" s="35">
        <f t="shared" si="149"/>
        <v>0</v>
      </c>
      <c r="BK57" s="2" t="b">
        <f>H57='2021'!BH57</f>
        <v>1</v>
      </c>
    </row>
    <row r="58" ht="15.75" customHeight="1" spans="1:63" x14ac:dyDescent="0.25">
      <c r="A58" s="176">
        <v>6</v>
      </c>
      <c r="B58" s="14"/>
      <c r="D58" s="14" t="s">
        <v>51</v>
      </c>
      <c r="E58" s="2" t="s">
        <v>39</v>
      </c>
      <c r="F58" s="41">
        <v>500</v>
      </c>
      <c r="G58" s="35"/>
      <c r="H58" s="34">
        <f>'2021'!BH58</f>
        <v>0</v>
      </c>
      <c r="I58" s="13"/>
      <c r="J58" s="15"/>
      <c r="K58" s="15"/>
      <c r="L58" s="28"/>
      <c r="M58" s="13"/>
      <c r="N58" s="15"/>
      <c r="O58" s="15"/>
      <c r="P58" s="15"/>
      <c r="Q58" s="13"/>
      <c r="R58" s="15"/>
      <c r="S58" s="15"/>
      <c r="T58" s="28"/>
      <c r="U58" s="13"/>
      <c r="V58" s="15"/>
      <c r="W58" s="15"/>
      <c r="X58" s="15"/>
      <c r="Y58" s="13"/>
      <c r="Z58" s="2"/>
      <c r="AA58" s="15"/>
      <c r="AB58" s="28"/>
      <c r="AC58" s="348"/>
      <c r="AD58" s="15"/>
      <c r="AE58" s="180">
        <f>$F$13</f>
        <v>1000</v>
      </c>
      <c r="AF58" s="15"/>
      <c r="AG58" s="15"/>
      <c r="AH58" s="2"/>
      <c r="AI58" s="45"/>
      <c r="AJ58" s="15"/>
      <c r="AK58" s="15"/>
      <c r="AL58" s="15"/>
      <c r="AM58" s="45"/>
      <c r="AN58" s="154">
        <v>1000</v>
      </c>
      <c r="AO58" s="13"/>
      <c r="AP58" s="15"/>
      <c r="AQ58" s="180"/>
      <c r="AR58" s="15"/>
      <c r="AS58" s="13"/>
      <c r="AT58" s="15"/>
      <c r="AU58" s="45"/>
      <c r="AV58" s="15"/>
      <c r="AW58" s="13"/>
      <c r="AX58" s="15"/>
      <c r="AY58" s="45"/>
      <c r="AZ58" s="35"/>
      <c r="BA58" s="13"/>
      <c r="BB58" s="15"/>
      <c r="BC58" s="45"/>
      <c r="BD58" s="15"/>
      <c r="BE58" s="14"/>
      <c r="BF58" s="41">
        <f t="shared" ref="BF58:BG58" si="159">K58+O58+S58+W58+AA58+AE58+AI58+AM58+AQ58+AU58+AY58+BC58</f>
        <v>1000</v>
      </c>
      <c r="BG58" s="34">
        <f t="shared" si="159"/>
        <v>1000</v>
      </c>
      <c r="BH58" s="35">
        <f t="shared" si="149"/>
        <v>0</v>
      </c>
      <c r="BK58" s="2" t="b">
        <f>H58='2021'!BH58</f>
        <v>1</v>
      </c>
    </row>
    <row r="59" ht="15.75" customHeight="1" spans="1:63" x14ac:dyDescent="0.25">
      <c r="A59" s="176">
        <v>6</v>
      </c>
      <c r="B59" s="14"/>
      <c r="D59" s="14" t="s">
        <v>51</v>
      </c>
      <c r="E59" s="2" t="s">
        <v>49</v>
      </c>
      <c r="F59" s="41">
        <v>500</v>
      </c>
      <c r="G59" s="35"/>
      <c r="H59" s="34">
        <f>'2021'!BH59</f>
        <v>0</v>
      </c>
      <c r="I59" s="13"/>
      <c r="J59" s="15"/>
      <c r="K59" s="15"/>
      <c r="L59" s="28"/>
      <c r="M59" s="13"/>
      <c r="N59" s="15"/>
      <c r="O59" s="15"/>
      <c r="P59" s="15"/>
      <c r="Q59" s="13"/>
      <c r="R59" s="15"/>
      <c r="S59" s="15"/>
      <c r="T59" s="28"/>
      <c r="U59" s="13"/>
      <c r="V59" s="15"/>
      <c r="W59" s="15"/>
      <c r="X59" s="15"/>
      <c r="Y59" s="13"/>
      <c r="Z59" s="2"/>
      <c r="AA59" s="15"/>
      <c r="AB59" s="28"/>
      <c r="AC59" s="348"/>
      <c r="AD59" s="15"/>
      <c r="AE59" s="34"/>
      <c r="AF59" s="15"/>
      <c r="AG59" s="15"/>
      <c r="AH59" s="2"/>
      <c r="AI59" s="45"/>
      <c r="AJ59" s="15"/>
      <c r="AK59" s="15"/>
      <c r="AL59" s="15"/>
      <c r="AM59" s="45"/>
      <c r="AN59" s="15"/>
      <c r="AO59" s="13"/>
      <c r="AP59" s="15"/>
      <c r="AQ59" s="180">
        <f>B54*$F$14</f>
        <v>0</v>
      </c>
      <c r="AR59" s="15"/>
      <c r="AS59" s="13"/>
      <c r="AT59" s="15"/>
      <c r="AU59" s="45"/>
      <c r="AV59" s="15"/>
      <c r="AW59" s="13"/>
      <c r="AX59" s="15"/>
      <c r="AY59" s="45"/>
      <c r="AZ59" s="35"/>
      <c r="BA59" s="13"/>
      <c r="BB59" s="15"/>
      <c r="BC59" s="45"/>
      <c r="BD59" s="15"/>
      <c r="BE59" s="14"/>
      <c r="BF59" s="41">
        <f t="shared" ref="BF59:BG59" si="160">K59+O59+S59+W59+AA59+AE59+AI59+AM59+AQ59+AU59+AY59+BC59</f>
        <v>0</v>
      </c>
      <c r="BG59" s="34">
        <f t="shared" si="160"/>
        <v>0</v>
      </c>
      <c r="BH59" s="35">
        <f t="shared" si="149"/>
        <v>0</v>
      </c>
      <c r="BK59" s="2" t="b">
        <f>H59='2021'!BH59</f>
        <v>1</v>
      </c>
    </row>
    <row r="60" ht="15.75" customHeight="1" spans="1:63" x14ac:dyDescent="0.25">
      <c r="A60" s="176">
        <v>6</v>
      </c>
      <c r="B60" s="14"/>
      <c r="D60" s="14" t="s">
        <v>52</v>
      </c>
      <c r="E60" s="2" t="s">
        <v>39</v>
      </c>
      <c r="F60" s="41">
        <v>500</v>
      </c>
      <c r="G60" s="35"/>
      <c r="H60" s="34">
        <f>'2021'!BH60</f>
        <v>0</v>
      </c>
      <c r="I60" s="13"/>
      <c r="J60" s="15"/>
      <c r="K60" s="15"/>
      <c r="L60" s="28"/>
      <c r="M60" s="13"/>
      <c r="N60" s="15"/>
      <c r="O60" s="15"/>
      <c r="P60" s="15"/>
      <c r="Q60" s="13"/>
      <c r="R60" s="15"/>
      <c r="S60" s="15"/>
      <c r="T60" s="28"/>
      <c r="U60" s="13"/>
      <c r="V60" s="15"/>
      <c r="W60" s="15"/>
      <c r="X60" s="15"/>
      <c r="Y60" s="13"/>
      <c r="Z60" s="2"/>
      <c r="AA60" s="34">
        <f>$F$15</f>
      </c>
      <c r="AB60" s="35"/>
      <c r="AC60" s="348"/>
      <c r="AD60" s="15"/>
      <c r="AE60" s="15"/>
      <c r="AF60" s="34"/>
      <c r="AG60" s="15"/>
      <c r="AH60" s="2"/>
      <c r="AI60" s="45"/>
      <c r="AJ60" s="15"/>
      <c r="AK60" s="15"/>
      <c r="AL60" s="15"/>
      <c r="AM60" s="45"/>
      <c r="AN60" s="15"/>
      <c r="AO60" s="13"/>
      <c r="AP60" s="15"/>
      <c r="AQ60" s="45"/>
      <c r="AR60" s="15"/>
      <c r="AS60" s="13"/>
      <c r="AT60" s="15"/>
      <c r="AU60" s="45"/>
      <c r="AV60" s="15"/>
      <c r="AW60" s="13"/>
      <c r="AX60" s="15"/>
      <c r="AY60" s="45"/>
      <c r="AZ60" s="35"/>
      <c r="BA60" s="13"/>
      <c r="BB60" s="15"/>
      <c r="BC60" s="45"/>
      <c r="BD60" s="15"/>
      <c r="BE60" s="14"/>
      <c r="BF60" s="41">
        <f t="shared" ref="BF60:BG60" si="161">K60+O60+S60+W60+AA60+AE60+AI60+AM60+AQ60+AU60+AY60+BC60</f>
        <v>0</v>
      </c>
      <c r="BG60" s="34">
        <f t="shared" si="161"/>
        <v>0</v>
      </c>
      <c r="BH60" s="35">
        <f t="shared" si="149"/>
        <v>0</v>
      </c>
      <c r="BK60" s="2" t="b">
        <f>H60='2021'!BH60</f>
        <v>1</v>
      </c>
    </row>
    <row r="61" ht="15.75" customHeight="1" spans="1:63" x14ac:dyDescent="0.25">
      <c r="A61" s="177">
        <v>6</v>
      </c>
      <c r="B61" s="21"/>
      <c r="C61" s="22" t="s">
        <v>53</v>
      </c>
      <c r="D61" s="21"/>
      <c r="E61" s="22"/>
      <c r="F61" s="20"/>
      <c r="G61" s="23"/>
      <c r="H61" s="51">
        <f>SUM(H53:H60)</f>
        <v>0</v>
      </c>
      <c r="I61" s="52"/>
      <c r="J61" s="53"/>
      <c r="K61" s="51">
        <f t="shared" ref="K61:L61" si="162">SUM(K53:K60)</f>
        <v>0</v>
      </c>
      <c r="L61" s="68">
        <f t="shared" si="162"/>
        <v>0</v>
      </c>
      <c r="M61" s="52"/>
      <c r="N61" s="53"/>
      <c r="O61" s="51">
        <f t="shared" ref="O61:P61" si="163">SUM(O53:O60)</f>
        <v>0</v>
      </c>
      <c r="P61" s="68">
        <f t="shared" si="163"/>
        <v>0</v>
      </c>
      <c r="Q61" s="52"/>
      <c r="R61" s="53"/>
      <c r="S61" s="51">
        <f t="shared" ref="S61:T61" si="164">SUM(S53:S60)</f>
        <v>0</v>
      </c>
      <c r="T61" s="68">
        <f t="shared" si="164"/>
        <v>0</v>
      </c>
      <c r="U61" s="52"/>
      <c r="V61" s="53"/>
      <c r="W61" s="51">
        <f t="shared" ref="W61:X61" si="165">SUM(W53:W60)</f>
        <v>0</v>
      </c>
      <c r="X61" s="68">
        <f t="shared" si="165"/>
        <v>0</v>
      </c>
      <c r="Y61" s="52"/>
      <c r="Z61" s="301"/>
      <c r="AA61" s="51">
        <f t="shared" ref="AA61:AB61" si="166">SUM(AA53:AA60)</f>
        <v>430.05</v>
      </c>
      <c r="AB61" s="68">
        <f t="shared" si="166"/>
        <v>0</v>
      </c>
      <c r="AC61" s="351"/>
      <c r="AD61" s="53"/>
      <c r="AE61" s="51">
        <f t="shared" ref="AE61:AF61" si="167">SUM(AE53:AE60)</f>
        <v>6215.7</v>
      </c>
      <c r="AF61" s="68">
        <f t="shared" si="167"/>
        <v>0</v>
      </c>
      <c r="AG61" s="53"/>
      <c r="AH61" s="301"/>
      <c r="AI61" s="183">
        <f t="shared" ref="AI61:AJ61" si="168">SUM(AI53:AI60)</f>
        <v>2.59776</v>
      </c>
      <c r="AJ61" s="51">
        <f t="shared" si="168"/>
        <v>0</v>
      </c>
      <c r="AK61" s="53"/>
      <c r="AL61" s="53"/>
      <c r="AM61" s="183">
        <f t="shared" ref="AM61:AN61" si="169">SUM(AM53:AM60)</f>
        <v>0</v>
      </c>
      <c r="AN61" s="51">
        <f t="shared" si="169"/>
        <v>6648.35</v>
      </c>
      <c r="AO61" s="52"/>
      <c r="AP61" s="53"/>
      <c r="AQ61" s="183">
        <f t="shared" ref="AQ61:AR61" si="170">SUM(AQ53:AQ60)</f>
        <v>2.54118</v>
      </c>
      <c r="AR61" s="51">
        <f t="shared" si="170"/>
        <v>0</v>
      </c>
      <c r="AS61" s="52"/>
      <c r="AT61" s="53"/>
      <c r="AU61" s="183">
        <f t="shared" ref="AU61:AV61" si="171">SUM(AU53:AU60)</f>
        <v>0</v>
      </c>
      <c r="AV61" s="68">
        <f t="shared" si="171"/>
        <v>0</v>
      </c>
      <c r="AW61" s="52"/>
      <c r="AX61" s="53"/>
      <c r="AY61" s="183">
        <f t="shared" ref="AY61:AZ61" si="172">SUM(AY53:AY60)</f>
        <v>0</v>
      </c>
      <c r="AZ61" s="68">
        <f t="shared" si="172"/>
        <v>0</v>
      </c>
      <c r="BA61" s="52"/>
      <c r="BB61" s="53"/>
      <c r="BC61" s="183">
        <f t="shared" ref="BC61:BD61" si="173">SUM(BC53:BC60)</f>
        <v>0</v>
      </c>
      <c r="BD61" s="68">
        <f t="shared" si="173"/>
        <v>0</v>
      </c>
      <c r="BE61" s="69"/>
      <c r="BF61" s="70">
        <f t="shared" ref="BF61:BH61" si="174">SUM(BF53:BF60)</f>
        <v>6650.88894</v>
      </c>
      <c r="BG61" s="71">
        <f t="shared" si="174"/>
        <v>6648.35</v>
      </c>
      <c r="BH61" s="72">
        <f t="shared" si="174"/>
        <v>2.53894</v>
      </c>
      <c r="BI61" s="34">
        <f>H61+BF61-BG61</f>
        <v>2.53894</v>
      </c>
      <c r="BJ61" s="34">
        <f>BH61-BI61</f>
        <v>0</v>
      </c>
      <c r="BK61" s="2" t="b">
        <f>H61='2021'!BH61</f>
        <v>1</v>
      </c>
    </row>
    <row r="62" ht="15.75" customHeight="1" spans="1:63" x14ac:dyDescent="0.25">
      <c r="A62" s="175">
        <v>7</v>
      </c>
      <c r="B62" s="14"/>
      <c r="D62" s="14" t="s">
        <v>379</v>
      </c>
      <c r="F62" s="13"/>
      <c r="G62" s="28"/>
      <c r="H62" s="34">
        <f>'2021'!BH62</f>
        <v>0</v>
      </c>
      <c r="I62" s="13"/>
      <c r="J62" s="15"/>
      <c r="K62" s="15"/>
      <c r="L62" s="28"/>
      <c r="M62" s="13"/>
      <c r="N62" s="15"/>
      <c r="O62" s="15"/>
      <c r="P62" s="15"/>
      <c r="Q62" s="13"/>
      <c r="R62" s="15"/>
      <c r="S62" s="15"/>
      <c r="T62" s="28"/>
      <c r="U62" s="13"/>
      <c r="V62" s="15"/>
      <c r="W62" s="15"/>
      <c r="X62" s="15"/>
      <c r="Y62" s="13"/>
      <c r="Z62" s="2"/>
      <c r="AA62" s="15"/>
      <c r="AB62" s="28"/>
      <c r="AC62" s="348"/>
      <c r="AD62" s="15"/>
      <c r="AE62" s="15"/>
      <c r="AF62" s="15"/>
      <c r="AG62" s="15"/>
      <c r="AH62" s="2"/>
      <c r="AI62" s="45"/>
      <c r="AJ62" s="15"/>
      <c r="AK62" s="15"/>
      <c r="AL62" s="15"/>
      <c r="AM62" s="45"/>
      <c r="AN62" s="15"/>
      <c r="AO62" s="13"/>
      <c r="AP62" s="15"/>
      <c r="AQ62" s="45"/>
      <c r="AR62" s="15"/>
      <c r="AS62" s="13"/>
      <c r="AT62" s="15"/>
      <c r="AU62" s="45"/>
      <c r="AV62" s="15"/>
      <c r="AW62" s="13"/>
      <c r="AX62" s="15"/>
      <c r="AY62" s="45"/>
      <c r="AZ62" s="28"/>
      <c r="BA62" s="13"/>
      <c r="BB62" s="15"/>
      <c r="BC62" s="45"/>
      <c r="BD62" s="15"/>
      <c r="BE62" s="14"/>
      <c r="BF62" s="41">
        <f t="shared" ref="BF62:BG62" si="175">K62+O62+S62+W62+AA62+AE62+AI62+AM62+AQ62+AU62+AY62+BC62</f>
        <v>0</v>
      </c>
      <c r="BG62" s="34">
        <f t="shared" si="175"/>
        <v>0</v>
      </c>
      <c r="BH62" s="35">
        <f t="shared" ref="BH62:BH69" si="176">H62+BF62-BG62</f>
        <v>0</v>
      </c>
      <c r="BK62" s="2" t="b">
        <f>H62='2021'!BH62</f>
        <v>1</v>
      </c>
    </row>
    <row r="63" ht="15.75" customHeight="1" spans="1:63" x14ac:dyDescent="0.25">
      <c r="A63" s="176">
        <v>7</v>
      </c>
      <c r="B63" s="14">
        <v>4.85</v>
      </c>
      <c r="C63" s="2" t="s">
        <v>74</v>
      </c>
      <c r="D63" s="14" t="s">
        <v>44</v>
      </c>
      <c r="E63" s="2" t="s">
        <v>45</v>
      </c>
      <c r="F63" s="41">
        <v>2.5</v>
      </c>
      <c r="G63" s="35">
        <v>2.6</v>
      </c>
      <c r="H63" s="34">
        <f>'2021'!BH63</f>
        <v>10.8</v>
      </c>
      <c r="I63" s="13">
        <v>562</v>
      </c>
      <c r="J63" s="15">
        <f>I63-'2021'!BA63</f>
        <v>0</v>
      </c>
      <c r="K63" s="34">
        <f>J63*$F$8</f>
        <v>0</v>
      </c>
      <c r="L63" s="28"/>
      <c r="M63" s="13">
        <v>562</v>
      </c>
      <c r="N63" s="15">
        <f t="shared" ref="N63:N64" si="177">M63-I63</f>
        <v>0</v>
      </c>
      <c r="O63" s="34">
        <f>N63*$F$8</f>
        <v>0</v>
      </c>
      <c r="P63" s="15"/>
      <c r="Q63" s="13">
        <v>562</v>
      </c>
      <c r="R63" s="15">
        <f t="shared" ref="R63:R64" si="178">Q63-M63</f>
        <v>0</v>
      </c>
      <c r="S63" s="34">
        <f>R63*$F$8</f>
        <v>0</v>
      </c>
      <c r="T63" s="28"/>
      <c r="U63" s="13">
        <v>562</v>
      </c>
      <c r="V63" s="15">
        <f t="shared" ref="V63:V64" si="179">U63-Q63</f>
        <v>0</v>
      </c>
      <c r="W63" s="34">
        <f>V63*$F$8</f>
        <v>0</v>
      </c>
      <c r="X63" s="15"/>
      <c r="Y63" s="13">
        <v>601</v>
      </c>
      <c r="Z63" s="2">
        <f>Y63-U63</f>
        <v>39</v>
      </c>
      <c r="AA63" s="34">
        <f>Z63*$F$8</f>
        <v>105.3</v>
      </c>
      <c r="AB63" s="28"/>
      <c r="AC63" s="350">
        <v>680</v>
      </c>
      <c r="AD63" s="15">
        <f>AC63-Y63</f>
        <v>79</v>
      </c>
      <c r="AE63" s="180">
        <f>AD63*$F$8</f>
        <v>213.3</v>
      </c>
      <c r="AF63" s="248"/>
      <c r="AG63" s="13">
        <v>749</v>
      </c>
      <c r="AH63" s="2">
        <f>(AG63-AC63)*AH5</f>
        <v>72.864</v>
      </c>
      <c r="AI63" s="45">
        <f>AH63*$G$8</f>
        <v>179.24544</v>
      </c>
      <c r="AJ63" s="1">
        <v>200.85</v>
      </c>
      <c r="AK63" s="13">
        <v>829</v>
      </c>
      <c r="AL63" s="15">
        <f>(AK63-AG63)*AL5</f>
        <v>82.24</v>
      </c>
      <c r="AM63" s="45">
        <f>AL63*$G$8</f>
        <v>202.3104</v>
      </c>
      <c r="AN63" s="15"/>
      <c r="AO63" s="13">
        <v>979</v>
      </c>
      <c r="AP63" s="15">
        <f>(AO63-AK63)*AP5</f>
        <v>154.95</v>
      </c>
      <c r="AQ63" s="45">
        <f>AP63*$G$8</f>
        <v>381.177</v>
      </c>
      <c r="AR63" s="15"/>
      <c r="AS63" s="13">
        <v>1119</v>
      </c>
      <c r="AT63" s="15">
        <f>(AS63-AO63)*AT5</f>
        <v>147</v>
      </c>
      <c r="AU63" s="45">
        <f>AT63*$G$8</f>
        <v>361.62</v>
      </c>
      <c r="AV63" s="15"/>
      <c r="AW63" s="13"/>
      <c r="AX63" s="15">
        <f>(AW63-AS63)*AX5</f>
        <v>0</v>
      </c>
      <c r="AY63" s="45">
        <f>AX63*$G$8</f>
        <v>0</v>
      </c>
      <c r="AZ63" s="28"/>
      <c r="BA63" s="13"/>
      <c r="BB63" s="15"/>
      <c r="BC63" s="45">
        <f>BB63*$G$8</f>
        <v>0</v>
      </c>
      <c r="BD63" s="15"/>
      <c r="BE63" s="40">
        <f t="shared" ref="BE63:BG63" si="180">J63+N63+R63+V63+Z63+AD63+AH63+AL63+AP63+AT63+AX63+BB63</f>
        <v>575.054</v>
      </c>
      <c r="BF63" s="41">
        <f t="shared" si="180"/>
        <v>1442.95284</v>
      </c>
      <c r="BG63" s="34">
        <f t="shared" si="180"/>
        <v>200.85</v>
      </c>
      <c r="BH63" s="35">
        <f t="shared" si="176"/>
        <v>1252.90284</v>
      </c>
      <c r="BK63" s="2" t="b">
        <f>H63='2021'!BH63</f>
        <v>1</v>
      </c>
    </row>
    <row r="64" ht="15.75" customHeight="1" spans="1:63" x14ac:dyDescent="0.25">
      <c r="A64" s="176">
        <v>7</v>
      </c>
      <c r="B64" s="14"/>
      <c r="C64" s="2" t="s">
        <v>75</v>
      </c>
      <c r="D64" s="14" t="s">
        <v>47</v>
      </c>
      <c r="E64" s="2" t="s">
        <v>48</v>
      </c>
      <c r="F64" s="13">
        <v>18.56</v>
      </c>
      <c r="G64" s="35">
        <v>19.46</v>
      </c>
      <c r="H64" s="34">
        <f>'2021'!BH64</f>
        <v>-287</v>
      </c>
      <c r="I64" s="13">
        <v>76</v>
      </c>
      <c r="J64" s="15"/>
      <c r="K64" s="15"/>
      <c r="L64" s="28"/>
      <c r="M64" s="13">
        <v>76</v>
      </c>
      <c r="N64" s="15">
        <f t="shared" si="177"/>
        <v>0</v>
      </c>
      <c r="O64" s="15"/>
      <c r="P64" s="15"/>
      <c r="Q64" s="13">
        <v>76</v>
      </c>
      <c r="R64" s="15">
        <f t="shared" si="178"/>
        <v>0</v>
      </c>
      <c r="S64" s="15"/>
      <c r="T64" s="28"/>
      <c r="U64" s="13">
        <v>76</v>
      </c>
      <c r="V64" s="15">
        <f t="shared" si="179"/>
        <v>0</v>
      </c>
      <c r="W64" s="34">
        <f>V64*$F$10</f>
        <v>0</v>
      </c>
      <c r="X64" s="15"/>
      <c r="Y64" s="13">
        <v>16</v>
      </c>
      <c r="Z64" s="2">
        <v>0</v>
      </c>
      <c r="AA64" s="34">
        <f>Z64*$F$10</f>
        <v>0</v>
      </c>
      <c r="AB64" s="28"/>
      <c r="AC64" s="348">
        <v>16</v>
      </c>
      <c r="AD64" s="15">
        <v>0</v>
      </c>
      <c r="AE64" s="34">
        <f>AD64*$F$10</f>
        <v>0</v>
      </c>
      <c r="AF64" s="248"/>
      <c r="AG64" s="15">
        <v>16</v>
      </c>
      <c r="AH64" s="2">
        <v>0</v>
      </c>
      <c r="AI64" s="45">
        <f>AH64*$G$10</f>
        <v>0</v>
      </c>
      <c r="AJ64" s="39">
        <v>400</v>
      </c>
      <c r="AK64" s="15">
        <v>16</v>
      </c>
      <c r="AL64" s="15">
        <v>0</v>
      </c>
      <c r="AM64" s="45">
        <f>AL64*$G$10</f>
        <v>0</v>
      </c>
      <c r="AN64" s="15"/>
      <c r="AO64" s="13">
        <v>16</v>
      </c>
      <c r="AP64" s="15">
        <v>0</v>
      </c>
      <c r="AQ64" s="45">
        <f>AP64*$G$10</f>
        <v>0</v>
      </c>
      <c r="AR64" s="15"/>
      <c r="AS64" s="13">
        <v>16</v>
      </c>
      <c r="AT64" s="15">
        <v>0</v>
      </c>
      <c r="AU64" s="45">
        <f>AT64*$G$10</f>
        <v>0</v>
      </c>
      <c r="AV64" s="15"/>
      <c r="AW64" s="13"/>
      <c r="AX64" s="15">
        <v>0</v>
      </c>
      <c r="AY64" s="45"/>
      <c r="AZ64" s="28"/>
      <c r="BA64" s="13"/>
      <c r="BB64" s="15"/>
      <c r="BC64" s="45"/>
      <c r="BD64" s="15"/>
      <c r="BE64" s="40">
        <f t="shared" ref="BE64:BG64" si="181">J64+N64+R64+V64+Z64+AD64+AH64+AL64+AP64+AT64+AX64+BB64</f>
        <v>0</v>
      </c>
      <c r="BF64" s="41">
        <f t="shared" si="181"/>
        <v>0</v>
      </c>
      <c r="BG64" s="34">
        <f t="shared" si="181"/>
        <v>400</v>
      </c>
      <c r="BH64" s="35">
        <f t="shared" si="176"/>
        <v>-687</v>
      </c>
      <c r="BK64" s="2" t="b">
        <f>H64='2021'!BH64</f>
        <v>1</v>
      </c>
    </row>
    <row r="65" ht="15.75" customHeight="1" spans="1:63" x14ac:dyDescent="0.25">
      <c r="A65" s="176">
        <v>7</v>
      </c>
      <c r="B65" s="14"/>
      <c r="C65" s="2" t="s">
        <v>76</v>
      </c>
      <c r="D65" s="14" t="s">
        <v>47</v>
      </c>
      <c r="E65" s="2" t="s">
        <v>49</v>
      </c>
      <c r="F65" s="41">
        <v>500</v>
      </c>
      <c r="G65" s="35"/>
      <c r="H65" s="34">
        <f>'2021'!BH65</f>
        <v>0</v>
      </c>
      <c r="I65" s="13"/>
      <c r="J65" s="15"/>
      <c r="K65" s="15"/>
      <c r="L65" s="28"/>
      <c r="M65" s="13"/>
      <c r="N65" s="15"/>
      <c r="O65" s="15"/>
      <c r="P65" s="15"/>
      <c r="Q65" s="13"/>
      <c r="R65" s="15"/>
      <c r="S65" s="15"/>
      <c r="T65" s="28"/>
      <c r="U65" s="13"/>
      <c r="V65" s="15"/>
      <c r="W65" s="15"/>
      <c r="X65" s="15"/>
      <c r="Y65" s="13"/>
      <c r="Z65" s="2"/>
      <c r="AA65" s="15"/>
      <c r="AB65" s="28"/>
      <c r="AC65" s="348"/>
      <c r="AD65" s="15"/>
      <c r="AE65" s="34"/>
      <c r="AF65" s="39"/>
      <c r="AG65" s="15"/>
      <c r="AH65" s="2"/>
      <c r="AI65" s="45"/>
      <c r="AJ65" s="15"/>
      <c r="AK65" s="15"/>
      <c r="AL65" s="15"/>
      <c r="AM65" s="45"/>
      <c r="AN65" s="15"/>
      <c r="AO65" s="13"/>
      <c r="AP65" s="15"/>
      <c r="AQ65" s="45"/>
      <c r="AR65" s="15"/>
      <c r="AS65" s="13"/>
      <c r="AT65" s="15"/>
      <c r="AU65" s="45"/>
      <c r="AV65" s="15"/>
      <c r="AW65" s="13"/>
      <c r="AX65" s="15"/>
      <c r="AY65" s="45"/>
      <c r="AZ65" s="28"/>
      <c r="BA65" s="13"/>
      <c r="BB65" s="15"/>
      <c r="BC65" s="45"/>
      <c r="BD65" s="15"/>
      <c r="BE65" s="14"/>
      <c r="BF65" s="41">
        <f t="shared" ref="BF65:BG65" si="182">K65+O65+S65+W65+AA65+AE65+AI65+AM65+AQ65+AU65+AY65+BC65</f>
        <v>0</v>
      </c>
      <c r="BG65" s="34">
        <f t="shared" si="182"/>
        <v>0</v>
      </c>
      <c r="BH65" s="35">
        <f t="shared" si="176"/>
        <v>0</v>
      </c>
      <c r="BK65" s="2" t="b">
        <f>H65='2021'!BH65</f>
        <v>1</v>
      </c>
    </row>
    <row r="66" ht="15.75" customHeight="1" spans="1:63" x14ac:dyDescent="0.25">
      <c r="A66" s="176">
        <v>7</v>
      </c>
      <c r="B66" s="14"/>
      <c r="C66" s="15" t="s">
        <v>77</v>
      </c>
      <c r="D66" s="14" t="s">
        <v>50</v>
      </c>
      <c r="E66" s="2" t="s">
        <v>49</v>
      </c>
      <c r="F66" s="41">
        <v>1100</v>
      </c>
      <c r="G66" s="35"/>
      <c r="H66" s="34">
        <f>'2021'!BH66</f>
        <v>-1352.85</v>
      </c>
      <c r="I66" s="13"/>
      <c r="J66" s="15"/>
      <c r="K66" s="15"/>
      <c r="L66" s="28"/>
      <c r="M66" s="13"/>
      <c r="N66" s="15"/>
      <c r="O66" s="15"/>
      <c r="P66" s="15"/>
      <c r="Q66" s="13"/>
      <c r="R66" s="15"/>
      <c r="S66" s="15"/>
      <c r="T66" s="28"/>
      <c r="U66" s="13"/>
      <c r="V66" s="15"/>
      <c r="W66" s="15"/>
      <c r="X66" s="15"/>
      <c r="Y66" s="13"/>
      <c r="Z66" s="2"/>
      <c r="AA66" s="15"/>
      <c r="AB66" s="28"/>
      <c r="AC66" s="348"/>
      <c r="AD66" s="15"/>
      <c r="AE66" s="34">
        <f>B63*$F$12</f>
        <v>6305</v>
      </c>
      <c r="AF66" s="248"/>
      <c r="AG66" s="15"/>
      <c r="AH66" s="2"/>
      <c r="AI66" s="45"/>
      <c r="AJ66" s="248">
        <v>4952.15</v>
      </c>
      <c r="AK66" s="15"/>
      <c r="AL66" s="15"/>
      <c r="AM66" s="45"/>
      <c r="AN66" s="15"/>
      <c r="AO66" s="13"/>
      <c r="AP66" s="15"/>
      <c r="AQ66" s="45"/>
      <c r="AR66" s="15"/>
      <c r="AS66" s="13"/>
      <c r="AT66" s="15"/>
      <c r="AU66" s="45"/>
      <c r="AV66" s="15"/>
      <c r="AW66" s="13"/>
      <c r="AX66" s="15"/>
      <c r="AY66" s="45"/>
      <c r="AZ66" s="28"/>
      <c r="BA66" s="13"/>
      <c r="BB66" s="15"/>
      <c r="BC66" s="45"/>
      <c r="BD66" s="15"/>
      <c r="BE66" s="14"/>
      <c r="BF66" s="41">
        <f t="shared" ref="BF66:BG66" si="183">K66+O66+S66+W66+AA66+AE66+AI66+AM66+AQ66+AU66+AY66+BC66</f>
        <v>6305</v>
      </c>
      <c r="BG66" s="34">
        <f t="shared" si="183"/>
        <v>4952.15</v>
      </c>
      <c r="BH66" s="35">
        <f t="shared" si="176"/>
        <v>0</v>
      </c>
      <c r="BK66" s="2" t="b">
        <f>H66='2021'!BH66</f>
        <v>1</v>
      </c>
    </row>
    <row r="67" ht="15.75" customHeight="1" spans="1:63" x14ac:dyDescent="0.25">
      <c r="A67" s="176">
        <v>7</v>
      </c>
      <c r="B67" s="14"/>
      <c r="D67" s="14" t="s">
        <v>51</v>
      </c>
      <c r="E67" s="2" t="s">
        <v>39</v>
      </c>
      <c r="F67" s="41">
        <v>500</v>
      </c>
      <c r="G67" s="35"/>
      <c r="H67" s="34">
        <f>'2021'!BH67</f>
        <v>0</v>
      </c>
      <c r="I67" s="13"/>
      <c r="J67" s="15"/>
      <c r="K67" s="15"/>
      <c r="L67" s="28"/>
      <c r="M67" s="13"/>
      <c r="N67" s="15"/>
      <c r="O67" s="15"/>
      <c r="P67" s="15"/>
      <c r="Q67" s="13"/>
      <c r="R67" s="15"/>
      <c r="S67" s="15"/>
      <c r="T67" s="28"/>
      <c r="U67" s="13"/>
      <c r="V67" s="15"/>
      <c r="W67" s="15"/>
      <c r="X67" s="15"/>
      <c r="Y67" s="13"/>
      <c r="Z67" s="2"/>
      <c r="AA67" s="15"/>
      <c r="AB67" s="28"/>
      <c r="AC67" s="348"/>
      <c r="AD67" s="15"/>
      <c r="AE67" s="180">
        <f>$F$13</f>
        <v>1000</v>
      </c>
      <c r="AF67" s="248"/>
      <c r="AG67" s="15"/>
      <c r="AH67" s="2"/>
      <c r="AI67" s="45"/>
      <c r="AJ67" s="1">
        <v>1000</v>
      </c>
      <c r="AK67" s="15"/>
      <c r="AL67" s="15"/>
      <c r="AM67" s="45"/>
      <c r="AN67" s="15"/>
      <c r="AO67" s="13"/>
      <c r="AP67" s="15"/>
      <c r="AQ67" s="180"/>
      <c r="AR67" s="15"/>
      <c r="AS67" s="13"/>
      <c r="AT67" s="15"/>
      <c r="AU67" s="45"/>
      <c r="AV67" s="15"/>
      <c r="AW67" s="13"/>
      <c r="AX67" s="15"/>
      <c r="AY67" s="45"/>
      <c r="AZ67" s="28"/>
      <c r="BA67" s="13"/>
      <c r="BB67" s="15"/>
      <c r="BC67" s="45"/>
      <c r="BD67" s="15"/>
      <c r="BE67" s="14"/>
      <c r="BF67" s="41">
        <f t="shared" ref="BF67:BG67" si="184">K67+O67+S67+W67+AA67+AE67+AI67+AM67+AQ67+AU67+AY67+BC67</f>
        <v>1000</v>
      </c>
      <c r="BG67" s="34">
        <f t="shared" si="184"/>
        <v>1000</v>
      </c>
      <c r="BH67" s="35">
        <f t="shared" si="176"/>
        <v>0</v>
      </c>
      <c r="BK67" s="2" t="b">
        <f>H67='2021'!BH67</f>
        <v>1</v>
      </c>
    </row>
    <row r="68" ht="15.75" customHeight="1" spans="1:63" x14ac:dyDescent="0.25">
      <c r="A68" s="176">
        <v>7</v>
      </c>
      <c r="B68" s="14"/>
      <c r="D68" s="14" t="s">
        <v>51</v>
      </c>
      <c r="E68" s="2" t="s">
        <v>49</v>
      </c>
      <c r="F68" s="41">
        <v>500</v>
      </c>
      <c r="G68" s="35"/>
      <c r="H68" s="34">
        <f>'2021'!BH68</f>
        <v>0</v>
      </c>
      <c r="I68" s="13"/>
      <c r="J68" s="15"/>
      <c r="K68" s="15"/>
      <c r="L68" s="28"/>
      <c r="M68" s="13"/>
      <c r="N68" s="15"/>
      <c r="O68" s="15"/>
      <c r="P68" s="15"/>
      <c r="Q68" s="13"/>
      <c r="R68" s="15"/>
      <c r="S68" s="15"/>
      <c r="T68" s="28"/>
      <c r="U68" s="13"/>
      <c r="V68" s="15"/>
      <c r="W68" s="15"/>
      <c r="X68" s="15"/>
      <c r="Y68" s="13"/>
      <c r="Z68" s="2"/>
      <c r="AA68" s="15"/>
      <c r="AB68" s="28"/>
      <c r="AC68" s="348"/>
      <c r="AD68" s="15"/>
      <c r="AE68" s="34"/>
      <c r="AF68" s="187"/>
      <c r="AG68" s="15"/>
      <c r="AH68" s="2"/>
      <c r="AI68" s="45"/>
      <c r="AJ68" s="15"/>
      <c r="AK68" s="15"/>
      <c r="AL68" s="15"/>
      <c r="AM68" s="45"/>
      <c r="AN68" s="15"/>
      <c r="AO68" s="13"/>
      <c r="AP68" s="15"/>
      <c r="AQ68" s="180">
        <f>B63*$F$14</f>
        <v>0</v>
      </c>
      <c r="AR68" s="15"/>
      <c r="AS68" s="13"/>
      <c r="AT68" s="15"/>
      <c r="AU68" s="45"/>
      <c r="AV68" s="15"/>
      <c r="AW68" s="13"/>
      <c r="AX68" s="15"/>
      <c r="AY68" s="45"/>
      <c r="AZ68" s="28"/>
      <c r="BA68" s="13"/>
      <c r="BB68" s="15"/>
      <c r="BC68" s="45"/>
      <c r="BD68" s="15"/>
      <c r="BE68" s="14"/>
      <c r="BF68" s="41">
        <f t="shared" ref="BF68:BG68" si="185">K68+O68+S68+W68+AA68+AE68+AI68+AM68+AQ68+AU68+AY68+BC68</f>
        <v>0</v>
      </c>
      <c r="BG68" s="34">
        <f t="shared" si="185"/>
        <v>0</v>
      </c>
      <c r="BH68" s="35">
        <f t="shared" si="176"/>
        <v>0</v>
      </c>
      <c r="BK68" s="2" t="b">
        <f>H68='2021'!BH68</f>
        <v>1</v>
      </c>
    </row>
    <row r="69" ht="15.75" customHeight="1" spans="1:63" x14ac:dyDescent="0.25">
      <c r="A69" s="176">
        <v>7</v>
      </c>
      <c r="B69" s="14"/>
      <c r="D69" s="14" t="s">
        <v>52</v>
      </c>
      <c r="E69" s="2" t="s">
        <v>39</v>
      </c>
      <c r="F69" s="41">
        <v>500</v>
      </c>
      <c r="G69" s="35"/>
      <c r="H69" s="34">
        <f>'2021'!BH69</f>
        <v>0</v>
      </c>
      <c r="I69" s="13"/>
      <c r="J69" s="15"/>
      <c r="K69" s="15"/>
      <c r="L69" s="28"/>
      <c r="M69" s="13"/>
      <c r="N69" s="15"/>
      <c r="O69" s="15"/>
      <c r="P69" s="15"/>
      <c r="Q69" s="13"/>
      <c r="R69" s="15"/>
      <c r="S69" s="15"/>
      <c r="T69" s="28"/>
      <c r="U69" s="13"/>
      <c r="V69" s="15"/>
      <c r="W69" s="15"/>
      <c r="X69" s="15"/>
      <c r="Y69" s="13"/>
      <c r="Z69" s="2"/>
      <c r="AA69" s="34">
        <f>$F$15</f>
      </c>
      <c r="AB69" s="28"/>
      <c r="AC69" s="348"/>
      <c r="AD69" s="15"/>
      <c r="AE69" s="15"/>
      <c r="AF69" s="180"/>
      <c r="AG69" s="15"/>
      <c r="AH69" s="2"/>
      <c r="AI69" s="45"/>
      <c r="AJ69" s="39"/>
      <c r="AK69" s="15"/>
      <c r="AL69" s="15"/>
      <c r="AM69" s="45"/>
      <c r="AN69" s="15"/>
      <c r="AO69" s="13"/>
      <c r="AP69" s="15"/>
      <c r="AQ69" s="45"/>
      <c r="AR69" s="15"/>
      <c r="AS69" s="13"/>
      <c r="AT69" s="15"/>
      <c r="AU69" s="45"/>
      <c r="AV69" s="15"/>
      <c r="AW69" s="13"/>
      <c r="AX69" s="15"/>
      <c r="AY69" s="45"/>
      <c r="AZ69" s="28"/>
      <c r="BA69" s="13"/>
      <c r="BB69" s="15"/>
      <c r="BC69" s="45"/>
      <c r="BD69" s="15"/>
      <c r="BE69" s="14"/>
      <c r="BF69" s="41">
        <f t="shared" ref="BF69:BG69" si="186">K69+O69+S69+W69+AA69+AE69+AI69+AM69+AQ69+AU69+AY69+BC69</f>
        <v>0</v>
      </c>
      <c r="BG69" s="34">
        <f t="shared" si="186"/>
        <v>0</v>
      </c>
      <c r="BH69" s="35">
        <f t="shared" si="176"/>
        <v>0</v>
      </c>
      <c r="BK69" s="2" t="b">
        <f>H69='2021'!BH69</f>
        <v>1</v>
      </c>
    </row>
    <row r="70" ht="15.75" customHeight="1" spans="1:63" x14ac:dyDescent="0.25">
      <c r="A70" s="177">
        <v>7</v>
      </c>
      <c r="B70" s="21"/>
      <c r="C70" s="22" t="s">
        <v>53</v>
      </c>
      <c r="D70" s="21"/>
      <c r="E70" s="22"/>
      <c r="F70" s="20"/>
      <c r="G70" s="23"/>
      <c r="H70" s="51">
        <f>SUM(H62:H69)</f>
        <v>-1629.05</v>
      </c>
      <c r="I70" s="52"/>
      <c r="J70" s="53"/>
      <c r="K70" s="51">
        <f t="shared" ref="K70:L70" si="187">SUM(K62:K69)</f>
        <v>0</v>
      </c>
      <c r="L70" s="68">
        <f t="shared" si="187"/>
        <v>0</v>
      </c>
      <c r="M70" s="52"/>
      <c r="N70" s="53"/>
      <c r="O70" s="51">
        <f t="shared" ref="O70:P70" si="188">SUM(O62:O69)</f>
        <v>0</v>
      </c>
      <c r="P70" s="68">
        <f t="shared" si="188"/>
        <v>0</v>
      </c>
      <c r="Q70" s="52"/>
      <c r="R70" s="53"/>
      <c r="S70" s="51">
        <f t="shared" ref="S70:T70" si="189">SUM(S62:S69)</f>
        <v>0</v>
      </c>
      <c r="T70" s="68">
        <f t="shared" si="189"/>
        <v>0</v>
      </c>
      <c r="U70" s="52"/>
      <c r="V70" s="53"/>
      <c r="W70" s="51">
        <f t="shared" ref="W70:X70" si="190">SUM(W62:W69)</f>
        <v>0</v>
      </c>
      <c r="X70" s="68">
        <f t="shared" si="190"/>
        <v>0</v>
      </c>
      <c r="Y70" s="52"/>
      <c r="Z70" s="301"/>
      <c r="AA70" s="51">
        <f t="shared" ref="AA70:AB70" si="191">SUM(AA62:AA69)</f>
        <v>105.3</v>
      </c>
      <c r="AB70" s="68">
        <f t="shared" si="191"/>
        <v>0</v>
      </c>
      <c r="AC70" s="351"/>
      <c r="AD70" s="53"/>
      <c r="AE70" s="51">
        <f t="shared" ref="AE70:AF70" si="192">SUM(AE62:AE69)</f>
        <v>7518.3</v>
      </c>
      <c r="AF70" s="68">
        <f t="shared" si="192"/>
        <v>0</v>
      </c>
      <c r="AG70" s="53"/>
      <c r="AH70" s="301"/>
      <c r="AI70" s="183">
        <f t="shared" ref="AI70:AJ70" si="193">SUM(AI62:AI69)</f>
        <v>179.24544</v>
      </c>
      <c r="AJ70" s="51">
        <f t="shared" si="193"/>
        <v>6553</v>
      </c>
      <c r="AK70" s="53"/>
      <c r="AL70" s="53"/>
      <c r="AM70" s="183">
        <f t="shared" ref="AM70:AN70" si="194">SUM(AM62:AM69)</f>
        <v>202.3104</v>
      </c>
      <c r="AN70" s="51">
        <f t="shared" si="194"/>
        <v>0</v>
      </c>
      <c r="AO70" s="52"/>
      <c r="AP70" s="53"/>
      <c r="AQ70" s="183">
        <f t="shared" ref="AQ70:AR70" si="195">SUM(AQ62:AQ69)</f>
        <v>381.177</v>
      </c>
      <c r="AR70" s="51">
        <f t="shared" si="195"/>
        <v>0</v>
      </c>
      <c r="AS70" s="52"/>
      <c r="AT70" s="53"/>
      <c r="AU70" s="183">
        <f t="shared" ref="AU70:AV70" si="196">SUM(AU62:AU69)</f>
        <v>361.62</v>
      </c>
      <c r="AV70" s="68">
        <f t="shared" si="196"/>
        <v>0</v>
      </c>
      <c r="AW70" s="52"/>
      <c r="AX70" s="53"/>
      <c r="AY70" s="183">
        <f t="shared" ref="AY70:AZ70" si="197">SUM(AY62:AY69)</f>
        <v>0</v>
      </c>
      <c r="AZ70" s="68">
        <f t="shared" si="197"/>
        <v>0</v>
      </c>
      <c r="BA70" s="52"/>
      <c r="BB70" s="53"/>
      <c r="BC70" s="183">
        <f t="shared" ref="BC70:BD70" si="198">SUM(BC62:BC69)</f>
        <v>0</v>
      </c>
      <c r="BD70" s="68">
        <f t="shared" si="198"/>
        <v>0</v>
      </c>
      <c r="BE70" s="69"/>
      <c r="BF70" s="70">
        <f t="shared" ref="BF70:BH70" si="199">SUM(BF62:BF69)</f>
        <v>8747.95284</v>
      </c>
      <c r="BG70" s="71">
        <f t="shared" si="199"/>
        <v>6553</v>
      </c>
      <c r="BH70" s="72">
        <f t="shared" si="199"/>
        <v>565.90284</v>
      </c>
      <c r="BI70" s="34">
        <f>H70+BF70-BG70</f>
        <v>565.90284</v>
      </c>
      <c r="BJ70" s="34">
        <f>BH70-BI70</f>
        <v>0</v>
      </c>
      <c r="BK70" s="2" t="b">
        <f>H70='2021'!BH70</f>
        <v>1</v>
      </c>
    </row>
    <row r="71" ht="15.75" customHeight="1" spans="1:63" x14ac:dyDescent="0.25">
      <c r="A71" s="2">
        <v>8</v>
      </c>
      <c r="B71" s="14"/>
      <c r="D71" s="14" t="s">
        <v>379</v>
      </c>
      <c r="F71" s="13"/>
      <c r="G71" s="28"/>
      <c r="H71" s="34">
        <f>'2021'!BH71</f>
        <v>0</v>
      </c>
      <c r="I71" s="13"/>
      <c r="J71" s="15"/>
      <c r="K71" s="15"/>
      <c r="L71" s="28"/>
      <c r="M71" s="13"/>
      <c r="N71" s="15"/>
      <c r="O71" s="15"/>
      <c r="P71" s="15"/>
      <c r="Q71" s="13"/>
      <c r="R71" s="15"/>
      <c r="S71" s="15"/>
      <c r="T71" s="28"/>
      <c r="U71" s="13"/>
      <c r="V71" s="15"/>
      <c r="W71" s="15"/>
      <c r="X71" s="15"/>
      <c r="Y71" s="13"/>
      <c r="Z71" s="2"/>
      <c r="AA71" s="15"/>
      <c r="AB71" s="28"/>
      <c r="AC71" s="348"/>
      <c r="AD71" s="15"/>
      <c r="AE71" s="15"/>
      <c r="AF71" s="15"/>
      <c r="AG71" s="15"/>
      <c r="AH71" s="2"/>
      <c r="AI71" s="45"/>
      <c r="AJ71" s="15"/>
      <c r="AK71" s="15"/>
      <c r="AL71" s="15"/>
      <c r="AM71" s="45"/>
      <c r="AN71" s="15"/>
      <c r="AO71" s="13"/>
      <c r="AP71" s="15"/>
      <c r="AQ71" s="45"/>
      <c r="AR71" s="15"/>
      <c r="AS71" s="13"/>
      <c r="AT71" s="15"/>
      <c r="AU71" s="45"/>
      <c r="AV71" s="15"/>
      <c r="AW71" s="13"/>
      <c r="AX71" s="15"/>
      <c r="AY71" s="45"/>
      <c r="AZ71" s="28"/>
      <c r="BA71" s="13"/>
      <c r="BB71" s="15"/>
      <c r="BC71" s="45"/>
      <c r="BD71" s="15"/>
      <c r="BE71" s="14"/>
      <c r="BF71" s="41">
        <f t="shared" ref="BF71:BG71" si="200">K71+O71+S71+W71+AA71+AE71+AI71+AM71+AQ71+AU71+AY71+BC71</f>
        <v>0</v>
      </c>
      <c r="BG71" s="34">
        <f t="shared" si="200"/>
        <v>0</v>
      </c>
      <c r="BH71" s="35">
        <f t="shared" ref="BH71:BH78" si="201">H71+BF71-BG71</f>
        <v>0</v>
      </c>
      <c r="BK71" s="2" t="b">
        <f>H71='2021'!BH71</f>
        <v>1</v>
      </c>
    </row>
    <row r="72" ht="15.75" customHeight="1" spans="1:63" x14ac:dyDescent="0.25">
      <c r="A72" s="2">
        <v>8</v>
      </c>
      <c r="B72" s="42">
        <v>4</v>
      </c>
      <c r="C72" s="2" t="s">
        <v>383</v>
      </c>
      <c r="D72" s="14" t="s">
        <v>44</v>
      </c>
      <c r="E72" s="2" t="s">
        <v>45</v>
      </c>
      <c r="F72" s="41">
        <v>2.5</v>
      </c>
      <c r="G72" s="35">
        <v>2.6</v>
      </c>
      <c r="H72" s="34">
        <f>'2021'!BH72</f>
        <v>-204.8</v>
      </c>
      <c r="I72" s="13">
        <v>731</v>
      </c>
      <c r="J72" s="15">
        <f>I72-'2021'!BA72</f>
        <v>0</v>
      </c>
      <c r="K72" s="34">
        <f>J72*$F$8</f>
        <v>0</v>
      </c>
      <c r="L72" s="35"/>
      <c r="M72" s="13">
        <v>731</v>
      </c>
      <c r="N72" s="15">
        <f t="shared" ref="N72:N73" si="202">M72-I72</f>
        <v>0</v>
      </c>
      <c r="O72" s="34">
        <f>N72*$F$8</f>
        <v>0</v>
      </c>
      <c r="P72" s="15"/>
      <c r="Q72" s="13">
        <v>731</v>
      </c>
      <c r="R72" s="15">
        <f t="shared" ref="R72:R73" si="203">Q72-M72</f>
        <v>0</v>
      </c>
      <c r="S72" s="34">
        <f>R72*$F$8</f>
        <v>0</v>
      </c>
      <c r="T72" s="28"/>
      <c r="U72" s="13">
        <v>731</v>
      </c>
      <c r="V72" s="15">
        <f t="shared" ref="V72:V73" si="204">U72-Q72</f>
        <v>0</v>
      </c>
      <c r="W72" s="34">
        <f>V72*$F$8</f>
        <v>0</v>
      </c>
      <c r="X72" s="34"/>
      <c r="Y72" s="13">
        <v>731</v>
      </c>
      <c r="Z72" s="2">
        <f t="shared" ref="Z72:Z73" si="205">Y72-U72</f>
        <v>0</v>
      </c>
      <c r="AA72" s="34">
        <f>Z72*$F$8</f>
        <v>0</v>
      </c>
      <c r="AB72" s="28"/>
      <c r="AC72" s="348">
        <v>736</v>
      </c>
      <c r="AD72" s="15">
        <f t="shared" ref="AD72:AD73" si="206">AC72-Y72</f>
        <v>5</v>
      </c>
      <c r="AE72" s="180">
        <f>AD72*$F$8</f>
        <v>13.5</v>
      </c>
      <c r="AF72" s="180"/>
      <c r="AG72" s="15">
        <v>736</v>
      </c>
      <c r="AH72" s="2">
        <f>(AG72-AC72)*AH5</f>
        <v>0</v>
      </c>
      <c r="AI72" s="45">
        <f>AH72*$G$8</f>
        <v>0</v>
      </c>
      <c r="AJ72" s="154"/>
      <c r="AK72" s="15">
        <v>736</v>
      </c>
      <c r="AL72" s="15">
        <f>(AK72-AG72)*AL5</f>
        <v>0</v>
      </c>
      <c r="AM72" s="45">
        <f>AL72*$G$8</f>
        <v>0</v>
      </c>
      <c r="AN72" s="15"/>
      <c r="AO72" s="13">
        <v>736</v>
      </c>
      <c r="AP72" s="15">
        <f>(AO72-AK72)*AP5</f>
        <v>0</v>
      </c>
      <c r="AQ72" s="45">
        <f>AP72*$G$8</f>
        <v>0</v>
      </c>
      <c r="AR72" s="15"/>
      <c r="AS72" s="13">
        <v>736</v>
      </c>
      <c r="AT72" s="15">
        <f>(AS72-AO72)*AT5</f>
        <v>0</v>
      </c>
      <c r="AU72" s="45">
        <f>AT72*$G$8</f>
        <v>0</v>
      </c>
      <c r="AV72" s="15"/>
      <c r="AW72" s="13"/>
      <c r="AX72" s="15">
        <f>(AW72-AS72)*AX5</f>
        <v>0</v>
      </c>
      <c r="AY72" s="45">
        <f>AX72*$G$8</f>
        <v>0</v>
      </c>
      <c r="AZ72" s="28"/>
      <c r="BA72" s="13"/>
      <c r="BB72" s="15"/>
      <c r="BC72" s="45">
        <f>BB72*$G$8</f>
        <v>0</v>
      </c>
      <c r="BD72" s="15"/>
      <c r="BE72" s="40">
        <f t="shared" ref="BE72:BG72" si="207">J72+N72+R72+V72+Z72+AD72+AH72+AL72+AP72+AT72+AX72+BB72</f>
        <v>5</v>
      </c>
      <c r="BF72" s="41">
        <f t="shared" si="207"/>
        <v>13.5</v>
      </c>
      <c r="BG72" s="34">
        <f t="shared" si="207"/>
        <v>0</v>
      </c>
      <c r="BH72" s="35">
        <f t="shared" si="201"/>
        <v>-191.3</v>
      </c>
      <c r="BK72" s="2" t="b">
        <f>H72='2021'!BH72</f>
        <v>1</v>
      </c>
    </row>
    <row r="73" ht="15.75" customHeight="1" spans="1:63" x14ac:dyDescent="0.25">
      <c r="A73" s="2">
        <v>8</v>
      </c>
      <c r="B73" s="14"/>
      <c r="C73" s="2" t="s">
        <v>71</v>
      </c>
      <c r="D73" s="14" t="s">
        <v>47</v>
      </c>
      <c r="E73" s="2" t="s">
        <v>48</v>
      </c>
      <c r="F73" s="13">
        <v>18.56</v>
      </c>
      <c r="G73" s="35">
        <v>19.46</v>
      </c>
      <c r="H73" s="34">
        <f>'2021'!BH73</f>
        <v>-132.24</v>
      </c>
      <c r="I73" s="13">
        <v>51</v>
      </c>
      <c r="J73" s="15"/>
      <c r="K73" s="15"/>
      <c r="L73" s="28"/>
      <c r="M73" s="13">
        <v>51</v>
      </c>
      <c r="N73" s="15">
        <f t="shared" si="202"/>
        <v>0</v>
      </c>
      <c r="O73" s="15"/>
      <c r="P73" s="15"/>
      <c r="Q73" s="13">
        <v>51</v>
      </c>
      <c r="R73" s="15">
        <f t="shared" si="203"/>
        <v>0</v>
      </c>
      <c r="S73" s="15"/>
      <c r="T73" s="28"/>
      <c r="U73" s="13">
        <v>51</v>
      </c>
      <c r="V73" s="15">
        <f t="shared" si="204"/>
        <v>0</v>
      </c>
      <c r="W73" s="34">
        <f>V73*$F$10</f>
        <v>0</v>
      </c>
      <c r="X73" s="15"/>
      <c r="Y73" s="13">
        <v>54</v>
      </c>
      <c r="Z73" s="2">
        <f t="shared" si="205"/>
        <v>3</v>
      </c>
      <c r="AA73" s="34">
        <f>Z73*$F$10</f>
        <v>61.05</v>
      </c>
      <c r="AB73" s="35"/>
      <c r="AC73" s="348">
        <v>62</v>
      </c>
      <c r="AD73" s="15">
        <f t="shared" si="206"/>
        <v>8</v>
      </c>
      <c r="AE73" s="34">
        <f>AD73*$F$10</f>
        <v>162.8</v>
      </c>
      <c r="AF73" s="1"/>
      <c r="AG73" s="15">
        <v>67</v>
      </c>
      <c r="AH73" s="2">
        <f>AG73-AC73</f>
        <v>5</v>
      </c>
      <c r="AI73" s="45">
        <f>AH73*$G$10</f>
        <v>107</v>
      </c>
      <c r="AJ73" s="154"/>
      <c r="AK73" s="15">
        <v>71</v>
      </c>
      <c r="AL73" s="15">
        <f>AK73-AG73</f>
        <v>4</v>
      </c>
      <c r="AM73" s="45">
        <f>AL73*$G$10</f>
        <v>85.6</v>
      </c>
      <c r="AN73" s="15"/>
      <c r="AO73" s="13">
        <v>71</v>
      </c>
      <c r="AP73" s="15">
        <f>AO73-AK73</f>
        <v>0</v>
      </c>
      <c r="AQ73" s="45">
        <f>AP73*$G$10</f>
        <v>0</v>
      </c>
      <c r="AR73" s="154">
        <v>500</v>
      </c>
      <c r="AS73" s="13">
        <v>71</v>
      </c>
      <c r="AT73" s="15">
        <f>AS73-AO73</f>
        <v>0</v>
      </c>
      <c r="AU73" s="45">
        <f>AT73*$G$10</f>
        <v>0</v>
      </c>
      <c r="AV73" s="15"/>
      <c r="AW73" s="13"/>
      <c r="AX73" s="15">
        <f>AW73-AS73</f>
        <v>-71</v>
      </c>
      <c r="AY73" s="45"/>
      <c r="AZ73" s="28"/>
      <c r="BA73" s="13"/>
      <c r="BB73" s="15"/>
      <c r="BC73" s="45"/>
      <c r="BD73" s="15"/>
      <c r="BE73" s="40">
        <f t="shared" ref="BE73:BG73" si="208">J73+N73+R73+V73+Z73+AD73+AH73+AL73+AP73+AT73+AX73+BB73</f>
        <v>-51</v>
      </c>
      <c r="BF73" s="41">
        <f t="shared" si="208"/>
        <v>416.45</v>
      </c>
      <c r="BG73" s="34">
        <f t="shared" si="208"/>
        <v>500</v>
      </c>
      <c r="BH73" s="35">
        <f t="shared" si="201"/>
        <v>-215.79</v>
      </c>
      <c r="BK73" s="2" t="b">
        <f>H73='2021'!BH73</f>
        <v>1</v>
      </c>
    </row>
    <row r="74" ht="15.75" customHeight="1" spans="1:63" x14ac:dyDescent="0.25">
      <c r="A74" s="2">
        <v>8</v>
      </c>
      <c r="B74" s="14"/>
      <c r="C74" s="2" t="s">
        <v>164</v>
      </c>
      <c r="D74" s="14" t="s">
        <v>47</v>
      </c>
      <c r="E74" s="2" t="s">
        <v>49</v>
      </c>
      <c r="F74" s="41">
        <v>500</v>
      </c>
      <c r="G74" s="35"/>
      <c r="H74" s="34">
        <f>'2021'!BH74</f>
        <v>0</v>
      </c>
      <c r="I74" s="13"/>
      <c r="J74" s="15"/>
      <c r="K74" s="15"/>
      <c r="L74" s="28"/>
      <c r="M74" s="13"/>
      <c r="N74" s="15"/>
      <c r="O74" s="15"/>
      <c r="P74" s="15"/>
      <c r="Q74" s="13"/>
      <c r="R74" s="15"/>
      <c r="S74" s="15"/>
      <c r="T74" s="28"/>
      <c r="U74" s="13"/>
      <c r="V74" s="15"/>
      <c r="W74" s="15"/>
      <c r="X74" s="15"/>
      <c r="Y74" s="13"/>
      <c r="Z74" s="2"/>
      <c r="AA74" s="15"/>
      <c r="AB74" s="28"/>
      <c r="AC74" s="348"/>
      <c r="AD74" s="15"/>
      <c r="AE74" s="34"/>
      <c r="AF74" s="1"/>
      <c r="AG74" s="15"/>
      <c r="AH74" s="2"/>
      <c r="AI74" s="45"/>
      <c r="AJ74" s="154"/>
      <c r="AK74" s="15"/>
      <c r="AL74" s="15"/>
      <c r="AM74" s="45"/>
      <c r="AN74" s="15"/>
      <c r="AO74" s="13"/>
      <c r="AP74" s="15"/>
      <c r="AQ74" s="45"/>
      <c r="AR74" s="15"/>
      <c r="AS74" s="13"/>
      <c r="AT74" s="15"/>
      <c r="AU74" s="45"/>
      <c r="AV74" s="15"/>
      <c r="AW74" s="13"/>
      <c r="AX74" s="15"/>
      <c r="AY74" s="45"/>
      <c r="AZ74" s="28"/>
      <c r="BA74" s="13"/>
      <c r="BB74" s="15"/>
      <c r="BC74" s="45"/>
      <c r="BD74" s="15"/>
      <c r="BE74" s="14"/>
      <c r="BF74" s="41">
        <f t="shared" ref="BF74:BG74" si="209">K74+O74+S74+W74+AA74+AE74+AI74+AM74+AQ74+AU74+AY74+BC74</f>
        <v>0</v>
      </c>
      <c r="BG74" s="34">
        <f t="shared" si="209"/>
        <v>0</v>
      </c>
      <c r="BH74" s="35">
        <f t="shared" si="201"/>
        <v>0</v>
      </c>
      <c r="BK74" s="2" t="b">
        <f>H74='2021'!BH74</f>
        <v>1</v>
      </c>
    </row>
    <row r="75" ht="15.75" customHeight="1" spans="1:63" x14ac:dyDescent="0.25">
      <c r="A75" s="2">
        <v>8</v>
      </c>
      <c r="B75" s="14"/>
      <c r="C75" s="15" t="s">
        <v>384</v>
      </c>
      <c r="D75" s="14" t="s">
        <v>50</v>
      </c>
      <c r="E75" s="2" t="s">
        <v>49</v>
      </c>
      <c r="F75" s="41">
        <v>1100</v>
      </c>
      <c r="G75" s="35"/>
      <c r="H75" s="34">
        <f>'2021'!BH75</f>
        <v>0</v>
      </c>
      <c r="I75" s="13"/>
      <c r="J75" s="15"/>
      <c r="K75" s="15"/>
      <c r="L75" s="28"/>
      <c r="M75" s="13"/>
      <c r="N75" s="15"/>
      <c r="O75" s="15"/>
      <c r="P75" s="15"/>
      <c r="Q75" s="13"/>
      <c r="R75" s="15"/>
      <c r="S75" s="15"/>
      <c r="T75" s="28"/>
      <c r="U75" s="13"/>
      <c r="V75" s="15"/>
      <c r="W75" s="15"/>
      <c r="X75" s="15"/>
      <c r="Y75" s="13"/>
      <c r="Z75" s="2"/>
      <c r="AA75" s="15"/>
      <c r="AB75" s="28"/>
      <c r="AC75" s="348"/>
      <c r="AD75" s="15"/>
      <c r="AE75" s="34">
        <f>B72*$F$12</f>
        <v>5200</v>
      </c>
      <c r="AF75" s="355">
        <v>4000</v>
      </c>
      <c r="AG75" s="15"/>
      <c r="AH75" s="2"/>
      <c r="AI75" s="45"/>
      <c r="AJ75" s="154"/>
      <c r="AK75" s="15"/>
      <c r="AL75" s="15"/>
      <c r="AM75" s="45"/>
      <c r="AN75" s="15"/>
      <c r="AO75" s="13"/>
      <c r="AP75" s="15"/>
      <c r="AQ75" s="45"/>
      <c r="AR75" s="154">
        <v>1200</v>
      </c>
      <c r="AS75" s="13"/>
      <c r="AT75" s="15"/>
      <c r="AU75" s="45"/>
      <c r="AV75" s="15"/>
      <c r="AW75" s="13"/>
      <c r="AX75" s="15"/>
      <c r="AY75" s="45"/>
      <c r="AZ75" s="28"/>
      <c r="BA75" s="13"/>
      <c r="BB75" s="15"/>
      <c r="BC75" s="45"/>
      <c r="BD75" s="15"/>
      <c r="BE75" s="14"/>
      <c r="BF75" s="41">
        <f t="shared" ref="BF75:BG75" si="210">K75+O75+S75+W75+AA75+AE75+AI75+AM75+AQ75+AU75+AY75+BC75</f>
        <v>5200</v>
      </c>
      <c r="BG75" s="34">
        <f t="shared" si="210"/>
        <v>5200</v>
      </c>
      <c r="BH75" s="35">
        <f t="shared" si="201"/>
        <v>0</v>
      </c>
      <c r="BK75" s="2" t="b">
        <f>H75='2021'!BH75</f>
        <v>1</v>
      </c>
    </row>
    <row r="76" ht="15.75" customHeight="1" spans="1:63" x14ac:dyDescent="0.25">
      <c r="A76" s="2">
        <v>8</v>
      </c>
      <c r="B76" s="14"/>
      <c r="C76" s="2"/>
      <c r="D76" s="14" t="s">
        <v>51</v>
      </c>
      <c r="E76" s="2" t="s">
        <v>39</v>
      </c>
      <c r="F76" s="41">
        <v>500</v>
      </c>
      <c r="G76" s="35"/>
      <c r="H76" s="34">
        <f>'2021'!BH76</f>
        <v>0</v>
      </c>
      <c r="I76" s="13"/>
      <c r="J76" s="15"/>
      <c r="K76" s="15"/>
      <c r="L76" s="28"/>
      <c r="M76" s="13"/>
      <c r="N76" s="15"/>
      <c r="O76" s="15"/>
      <c r="P76" s="15"/>
      <c r="Q76" s="13"/>
      <c r="R76" s="15"/>
      <c r="S76" s="15"/>
      <c r="T76" s="28"/>
      <c r="U76" s="13"/>
      <c r="V76" s="15"/>
      <c r="W76" s="15"/>
      <c r="X76" s="15"/>
      <c r="Y76" s="13"/>
      <c r="Z76" s="2"/>
      <c r="AA76" s="15"/>
      <c r="AB76" s="28"/>
      <c r="AC76" s="348"/>
      <c r="AD76" s="15"/>
      <c r="AE76" s="180">
        <f>$F$13</f>
        <v>1000</v>
      </c>
      <c r="AF76" s="355">
        <v>1000</v>
      </c>
      <c r="AG76" s="15"/>
      <c r="AH76" s="2"/>
      <c r="AI76" s="45"/>
      <c r="AJ76" s="154"/>
      <c r="AK76" s="15"/>
      <c r="AL76" s="15"/>
      <c r="AM76" s="45"/>
      <c r="AN76" s="15"/>
      <c r="AO76" s="13"/>
      <c r="AP76" s="15"/>
      <c r="AQ76" s="180"/>
      <c r="AR76" s="15"/>
      <c r="AS76" s="13"/>
      <c r="AT76" s="15"/>
      <c r="AU76" s="45"/>
      <c r="AV76" s="15"/>
      <c r="AW76" s="13"/>
      <c r="AX76" s="15"/>
      <c r="AY76" s="45"/>
      <c r="AZ76" s="28"/>
      <c r="BA76" s="13"/>
      <c r="BB76" s="15"/>
      <c r="BC76" s="45"/>
      <c r="BD76" s="15"/>
      <c r="BE76" s="14"/>
      <c r="BF76" s="41">
        <f t="shared" ref="BF76:BG76" si="211">K76+O76+S76+W76+AA76+AE76+AI76+AM76+AQ76+AU76+AY76+BC76</f>
        <v>1000</v>
      </c>
      <c r="BG76" s="34">
        <f t="shared" si="211"/>
        <v>1000</v>
      </c>
      <c r="BH76" s="35">
        <f t="shared" si="201"/>
        <v>0</v>
      </c>
      <c r="BK76" s="2" t="b">
        <f>H76='2021'!BH76</f>
        <v>1</v>
      </c>
    </row>
    <row r="77" ht="15.75" customHeight="1" spans="1:63" x14ac:dyDescent="0.25">
      <c r="A77" s="2">
        <v>8</v>
      </c>
      <c r="B77" s="14"/>
      <c r="C77" s="2"/>
      <c r="D77" s="14" t="s">
        <v>51</v>
      </c>
      <c r="E77" s="2" t="s">
        <v>49</v>
      </c>
      <c r="F77" s="41">
        <v>500</v>
      </c>
      <c r="G77" s="35"/>
      <c r="H77" s="34">
        <f>'2021'!BH77</f>
        <v>0</v>
      </c>
      <c r="I77" s="13"/>
      <c r="J77" s="15"/>
      <c r="K77" s="15"/>
      <c r="L77" s="28"/>
      <c r="M77" s="13"/>
      <c r="N77" s="15"/>
      <c r="O77" s="15"/>
      <c r="P77" s="15"/>
      <c r="Q77" s="13"/>
      <c r="R77" s="15"/>
      <c r="S77" s="15"/>
      <c r="T77" s="28"/>
      <c r="U77" s="13"/>
      <c r="V77" s="15"/>
      <c r="W77" s="15"/>
      <c r="X77" s="15"/>
      <c r="Y77" s="13"/>
      <c r="Z77" s="2"/>
      <c r="AA77" s="15"/>
      <c r="AB77" s="28"/>
      <c r="AC77" s="348"/>
      <c r="AD77" s="15"/>
      <c r="AE77" s="34"/>
      <c r="AF77" s="39"/>
      <c r="AG77" s="15"/>
      <c r="AH77" s="2"/>
      <c r="AI77" s="45"/>
      <c r="AJ77" s="154"/>
      <c r="AK77" s="15"/>
      <c r="AL77" s="15"/>
      <c r="AM77" s="45"/>
      <c r="AN77" s="15"/>
      <c r="AO77" s="13"/>
      <c r="AP77" s="15"/>
      <c r="AQ77" s="180">
        <f>B72*$F$14</f>
        <v>0</v>
      </c>
      <c r="AR77" s="15"/>
      <c r="AS77" s="13"/>
      <c r="AT77" s="15"/>
      <c r="AU77" s="45"/>
      <c r="AV77" s="15"/>
      <c r="AW77" s="13"/>
      <c r="AX77" s="15"/>
      <c r="AY77" s="45"/>
      <c r="AZ77" s="28"/>
      <c r="BA77" s="13"/>
      <c r="BB77" s="15"/>
      <c r="BC77" s="45"/>
      <c r="BD77" s="15"/>
      <c r="BE77" s="14"/>
      <c r="BF77" s="41">
        <f t="shared" ref="BF77:BG77" si="212">K77+O77+S77+W77+AA77+AE77+AI77+AM77+AQ77+AU77+AY77+BC77</f>
        <v>0</v>
      </c>
      <c r="BG77" s="34">
        <f t="shared" si="212"/>
        <v>0</v>
      </c>
      <c r="BH77" s="35">
        <f t="shared" si="201"/>
        <v>0</v>
      </c>
      <c r="BK77" s="2" t="b">
        <f>H77='2021'!BH77</f>
        <v>1</v>
      </c>
    </row>
    <row r="78" ht="15.75" customHeight="1" spans="1:63" x14ac:dyDescent="0.25">
      <c r="A78" s="2">
        <v>8</v>
      </c>
      <c r="B78" s="14"/>
      <c r="C78" s="15"/>
      <c r="D78" s="14" t="s">
        <v>52</v>
      </c>
      <c r="E78" s="2" t="s">
        <v>39</v>
      </c>
      <c r="F78" s="41">
        <v>500</v>
      </c>
      <c r="G78" s="35"/>
      <c r="H78" s="34">
        <f>'2021'!BH78</f>
        <v>0</v>
      </c>
      <c r="I78" s="13"/>
      <c r="J78" s="15"/>
      <c r="K78" s="15"/>
      <c r="L78" s="28"/>
      <c r="M78" s="13"/>
      <c r="N78" s="15"/>
      <c r="O78" s="15"/>
      <c r="P78" s="15"/>
      <c r="Q78" s="13"/>
      <c r="R78" s="15"/>
      <c r="S78" s="15"/>
      <c r="T78" s="28"/>
      <c r="U78" s="13"/>
      <c r="V78" s="15"/>
      <c r="W78" s="15"/>
      <c r="X78" s="15"/>
      <c r="Y78" s="13"/>
      <c r="Z78" s="2"/>
      <c r="AA78" s="34">
        <f>$F$15</f>
      </c>
      <c r="AB78" s="28"/>
      <c r="AC78" s="348"/>
      <c r="AD78" s="15"/>
      <c r="AE78" s="15"/>
      <c r="AF78" s="180"/>
      <c r="AG78" s="15"/>
      <c r="AH78" s="2"/>
      <c r="AI78" s="45"/>
      <c r="AJ78" s="15"/>
      <c r="AK78" s="15"/>
      <c r="AL78" s="15"/>
      <c r="AM78" s="45"/>
      <c r="AN78" s="15"/>
      <c r="AO78" s="13"/>
      <c r="AP78" s="15"/>
      <c r="AQ78" s="45"/>
      <c r="AR78" s="15"/>
      <c r="AS78" s="13"/>
      <c r="AT78" s="15"/>
      <c r="AU78" s="45"/>
      <c r="AV78" s="15"/>
      <c r="AW78" s="13"/>
      <c r="AX78" s="15"/>
      <c r="AY78" s="45"/>
      <c r="AZ78" s="28"/>
      <c r="BA78" s="13"/>
      <c r="BB78" s="15"/>
      <c r="BC78" s="45"/>
      <c r="BD78" s="15"/>
      <c r="BE78" s="14"/>
      <c r="BF78" s="41">
        <f t="shared" ref="BF78:BG78" si="213">K78+O78+S78+W78+AA78+AE78+AI78+AM78+AQ78+AU78+AY78+BC78</f>
        <v>0</v>
      </c>
      <c r="BG78" s="34">
        <f t="shared" si="213"/>
        <v>0</v>
      </c>
      <c r="BH78" s="35">
        <f t="shared" si="201"/>
        <v>0</v>
      </c>
      <c r="BK78" s="2" t="b">
        <f>H78='2021'!BH78</f>
        <v>1</v>
      </c>
    </row>
    <row r="79" ht="15.75" customHeight="1" spans="1:63" x14ac:dyDescent="0.25">
      <c r="A79" s="2">
        <v>8</v>
      </c>
      <c r="B79" s="21"/>
      <c r="C79" s="22" t="s">
        <v>53</v>
      </c>
      <c r="D79" s="21"/>
      <c r="E79" s="22"/>
      <c r="F79" s="20"/>
      <c r="G79" s="23"/>
      <c r="H79" s="51">
        <f>SUM(H71:H78)</f>
        <v>-337.04</v>
      </c>
      <c r="I79" s="52"/>
      <c r="J79" s="53"/>
      <c r="K79" s="51">
        <f t="shared" ref="K79:L79" si="214">SUM(K71:K78)</f>
        <v>0</v>
      </c>
      <c r="L79" s="68">
        <f t="shared" si="214"/>
        <v>0</v>
      </c>
      <c r="M79" s="52"/>
      <c r="N79" s="53"/>
      <c r="O79" s="51">
        <f t="shared" ref="O79:P79" si="215">SUM(O71:O78)</f>
        <v>0</v>
      </c>
      <c r="P79" s="68">
        <f t="shared" si="215"/>
        <v>0</v>
      </c>
      <c r="Q79" s="52"/>
      <c r="R79" s="53"/>
      <c r="S79" s="51">
        <f t="shared" ref="S79:T79" si="216">SUM(S71:S78)</f>
        <v>0</v>
      </c>
      <c r="T79" s="68">
        <f t="shared" si="216"/>
        <v>0</v>
      </c>
      <c r="U79" s="52"/>
      <c r="V79" s="53"/>
      <c r="W79" s="51">
        <f t="shared" ref="W79:X79" si="217">SUM(W71:W78)</f>
        <v>0</v>
      </c>
      <c r="X79" s="68">
        <f t="shared" si="217"/>
        <v>0</v>
      </c>
      <c r="Y79" s="52"/>
      <c r="Z79" s="301"/>
      <c r="AA79" s="51">
        <f t="shared" ref="AA79:AB79" si="218">SUM(AA71:AA78)</f>
        <v>61.05</v>
      </c>
      <c r="AB79" s="68">
        <f t="shared" si="218"/>
        <v>0</v>
      </c>
      <c r="AC79" s="351"/>
      <c r="AD79" s="53"/>
      <c r="AE79" s="51">
        <f t="shared" ref="AE79:AF79" si="219">SUM(AE71:AE78)</f>
        <v>6376.3</v>
      </c>
      <c r="AF79" s="68">
        <f t="shared" si="219"/>
        <v>5000</v>
      </c>
      <c r="AG79" s="53"/>
      <c r="AH79" s="301"/>
      <c r="AI79" s="183">
        <f t="shared" ref="AI79:AJ79" si="220">SUM(AI71:AI78)</f>
        <v>107</v>
      </c>
      <c r="AJ79" s="51">
        <f t="shared" si="220"/>
        <v>0</v>
      </c>
      <c r="AK79" s="53"/>
      <c r="AL79" s="53"/>
      <c r="AM79" s="183">
        <f t="shared" ref="AM79:AN79" si="221">SUM(AM71:AM78)</f>
        <v>85.6</v>
      </c>
      <c r="AN79" s="51">
        <f t="shared" si="221"/>
        <v>0</v>
      </c>
      <c r="AO79" s="52"/>
      <c r="AP79" s="53"/>
      <c r="AQ79" s="183">
        <f t="shared" ref="AQ79:AR79" si="222">SUM(AQ71:AQ78)</f>
        <v>0</v>
      </c>
      <c r="AR79" s="51">
        <f t="shared" si="222"/>
        <v>1700</v>
      </c>
      <c r="AS79" s="52"/>
      <c r="AT79" s="53"/>
      <c r="AU79" s="183">
        <f t="shared" ref="AU79:AV79" si="223">SUM(AU71:AU78)</f>
        <v>0</v>
      </c>
      <c r="AV79" s="68">
        <f t="shared" si="223"/>
        <v>0</v>
      </c>
      <c r="AW79" s="52"/>
      <c r="AX79" s="53"/>
      <c r="AY79" s="183">
        <f t="shared" ref="AY79:AZ79" si="224">SUM(AY71:AY78)</f>
        <v>0</v>
      </c>
      <c r="AZ79" s="68">
        <f t="shared" si="224"/>
        <v>0</v>
      </c>
      <c r="BA79" s="52"/>
      <c r="BB79" s="53"/>
      <c r="BC79" s="183">
        <f t="shared" ref="BC79:BD79" si="225">SUM(BC71:BC78)</f>
        <v>0</v>
      </c>
      <c r="BD79" s="68">
        <f t="shared" si="225"/>
        <v>0</v>
      </c>
      <c r="BE79" s="69"/>
      <c r="BF79" s="70">
        <f t="shared" ref="BF79:BH79" si="226">SUM(BF71:BF78)</f>
        <v>6629.95</v>
      </c>
      <c r="BG79" s="71">
        <f t="shared" si="226"/>
        <v>6700</v>
      </c>
      <c r="BH79" s="72">
        <f t="shared" si="226"/>
        <v>-407.09</v>
      </c>
      <c r="BI79" s="34">
        <f>H79+BF79-BG79</f>
        <v>-407.09</v>
      </c>
      <c r="BJ79" s="34">
        <f>BH79-BI79</f>
        <v>0</v>
      </c>
      <c r="BK79" s="2" t="b">
        <f>H79='2021'!BH79</f>
        <v>1</v>
      </c>
    </row>
    <row r="80" ht="15.75" customHeight="1" spans="1:63" x14ac:dyDescent="0.25">
      <c r="A80" s="188">
        <v>9</v>
      </c>
      <c r="B80" s="189"/>
      <c r="C80" s="189"/>
      <c r="D80" s="189" t="s">
        <v>379</v>
      </c>
      <c r="E80" s="189"/>
      <c r="F80" s="13"/>
      <c r="G80" s="28"/>
      <c r="H80" s="190">
        <f>'2021'!BH80</f>
        <v>0</v>
      </c>
      <c r="I80" s="13"/>
      <c r="J80" s="192"/>
      <c r="K80" s="192"/>
      <c r="L80" s="193"/>
      <c r="M80" s="13"/>
      <c r="N80" s="308"/>
      <c r="O80" s="192"/>
      <c r="P80" s="193"/>
      <c r="Q80" s="13"/>
      <c r="R80" s="308"/>
      <c r="S80" s="194"/>
      <c r="T80" s="193"/>
      <c r="U80" s="13"/>
      <c r="V80" s="308"/>
      <c r="W80" s="194"/>
      <c r="X80" s="193"/>
      <c r="Y80" s="13"/>
      <c r="Z80" s="311"/>
      <c r="AA80" s="194"/>
      <c r="AB80" s="193"/>
      <c r="AC80" s="356"/>
      <c r="AD80" s="308"/>
      <c r="AE80" s="194"/>
      <c r="AF80" s="193"/>
      <c r="AG80" s="309"/>
      <c r="AH80" s="2"/>
      <c r="AI80" s="45"/>
      <c r="AJ80" s="15"/>
      <c r="AK80" s="309"/>
      <c r="AL80" s="15"/>
      <c r="AM80" s="45"/>
      <c r="AN80" s="15"/>
      <c r="AO80" s="13"/>
      <c r="AP80" s="15"/>
      <c r="AQ80" s="45"/>
      <c r="AR80" s="15"/>
      <c r="AS80" s="13"/>
      <c r="AT80" s="15"/>
      <c r="AU80" s="45"/>
      <c r="AV80" s="28"/>
      <c r="AW80" s="13"/>
      <c r="AX80" s="15"/>
      <c r="AY80" s="45"/>
      <c r="AZ80" s="28"/>
      <c r="BA80" s="13"/>
      <c r="BB80" s="15"/>
      <c r="BC80" s="45"/>
      <c r="BD80" s="28"/>
      <c r="BE80" s="189"/>
      <c r="BF80" s="196">
        <f t="shared" ref="BF80:BG80" si="227">K80+O80+S80+W80+AA80+AE80+AI80+AM80+AQ80+AU80+AY80+BC80</f>
        <v>0</v>
      </c>
      <c r="BG80" s="197">
        <f t="shared" si="227"/>
        <v>0</v>
      </c>
      <c r="BH80" s="198">
        <f t="shared" ref="BH80:BH87" si="228">H80+BF80-BG80</f>
        <v>0</v>
      </c>
      <c r="BI80" s="195"/>
      <c r="BJ80" s="195"/>
      <c r="BK80" s="195" t="b">
        <f>H80='2021'!BH80</f>
        <v>1</v>
      </c>
    </row>
    <row r="81" ht="15.75" customHeight="1" spans="1:63" x14ac:dyDescent="0.25">
      <c r="A81" s="199">
        <v>9</v>
      </c>
      <c r="B81" s="200">
        <v>4.03</v>
      </c>
      <c r="C81" s="200" t="s">
        <v>82</v>
      </c>
      <c r="D81" s="200" t="s">
        <v>44</v>
      </c>
      <c r="E81" s="200" t="s">
        <v>45</v>
      </c>
      <c r="F81" s="41">
        <v>2.5</v>
      </c>
      <c r="G81" s="35">
        <v>2.6</v>
      </c>
      <c r="H81" s="201">
        <f>'2021'!BH81</f>
        <v>-285.03</v>
      </c>
      <c r="I81" s="13">
        <v>46</v>
      </c>
      <c r="J81" s="15">
        <f>I81-'2021'!BA81</f>
        <v>0</v>
      </c>
      <c r="K81" s="204">
        <f>J81*$F$8</f>
        <v>0</v>
      </c>
      <c r="L81" s="205"/>
      <c r="M81" s="13">
        <v>46</v>
      </c>
      <c r="N81" s="312">
        <f t="shared" ref="N81:N82" si="229">M81-I81</f>
        <v>0</v>
      </c>
      <c r="O81" s="204">
        <f>N81*$F$8</f>
        <v>0</v>
      </c>
      <c r="P81" s="205"/>
      <c r="Q81" s="13">
        <v>46</v>
      </c>
      <c r="R81" s="15">
        <f t="shared" ref="R81:R82" si="230">Q81-M81</f>
        <v>0</v>
      </c>
      <c r="S81" s="204">
        <f>R81*$F$8</f>
        <v>0</v>
      </c>
      <c r="T81" s="205"/>
      <c r="U81" s="13">
        <v>46</v>
      </c>
      <c r="V81" s="15">
        <f>U81-Q81</f>
        <v>0</v>
      </c>
      <c r="W81" s="204">
        <f>V81*$F$8</f>
        <v>0</v>
      </c>
      <c r="X81" s="205"/>
      <c r="Y81" s="13">
        <v>46</v>
      </c>
      <c r="Z81" s="315">
        <f>Y81-U81</f>
        <v>0</v>
      </c>
      <c r="AA81" s="204">
        <f>Z81*$F$8</f>
        <v>0</v>
      </c>
      <c r="AB81" s="205"/>
      <c r="AC81" s="357">
        <v>46</v>
      </c>
      <c r="AD81" s="312">
        <f>AC81-Y81</f>
        <v>0</v>
      </c>
      <c r="AE81" s="180">
        <f>AD81*$F$8</f>
        <v>0</v>
      </c>
      <c r="AF81" s="316"/>
      <c r="AG81" s="313">
        <v>46</v>
      </c>
      <c r="AH81" s="2">
        <f>(AG81-AC81)*AH5</f>
        <v>0</v>
      </c>
      <c r="AI81" s="45">
        <f>AH81*$G$8</f>
        <v>0</v>
      </c>
      <c r="AJ81" s="317"/>
      <c r="AK81" s="313">
        <v>46</v>
      </c>
      <c r="AL81" s="15">
        <f>(AK81-AG81)*AL5</f>
        <v>0</v>
      </c>
      <c r="AM81" s="45">
        <f>AL81*$G$8</f>
        <v>0</v>
      </c>
      <c r="AN81" s="2"/>
      <c r="AO81" s="13">
        <v>46</v>
      </c>
      <c r="AP81" s="15">
        <f>(AO81-AK81)*AP5</f>
        <v>0</v>
      </c>
      <c r="AQ81" s="45">
        <f>AP81*$G$8</f>
        <v>0</v>
      </c>
      <c r="AR81" s="317"/>
      <c r="AS81" s="13">
        <v>46</v>
      </c>
      <c r="AT81" s="15">
        <f>(AS81-AO81)*AT5</f>
        <v>0</v>
      </c>
      <c r="AU81" s="45">
        <f t="shared" ref="AU81:AU82" si="231">AT81*$G$8</f>
        <v>0</v>
      </c>
      <c r="AV81" s="208"/>
      <c r="AW81" s="13"/>
      <c r="AX81" s="15">
        <f>(AW81-AS81)*AX5</f>
        <v>0</v>
      </c>
      <c r="AY81" s="45">
        <f>AX81*$G$8</f>
        <v>0</v>
      </c>
      <c r="AZ81" s="208"/>
      <c r="BA81" s="13"/>
      <c r="BB81" s="15"/>
      <c r="BC81" s="45">
        <f>BB81*$G$8</f>
        <v>0</v>
      </c>
      <c r="BD81" s="208"/>
      <c r="BE81" s="209">
        <f t="shared" ref="BE81:BG81" si="232">J81+N81+R81+V81+Z81+AD81+AH81+AL81+AP81+AT81+AX81+BB81</f>
        <v>0</v>
      </c>
      <c r="BF81" s="210">
        <f t="shared" si="232"/>
        <v>0</v>
      </c>
      <c r="BG81" s="204">
        <f t="shared" si="232"/>
        <v>0</v>
      </c>
      <c r="BH81" s="211">
        <f t="shared" si="228"/>
        <v>-285.03</v>
      </c>
      <c r="BI81" s="212"/>
      <c r="BJ81" s="203"/>
      <c r="BK81" s="203" t="b">
        <f>H81='2021'!BH81</f>
        <v>1</v>
      </c>
    </row>
    <row r="82" ht="15.75" customHeight="1" spans="1:63" x14ac:dyDescent="0.25">
      <c r="A82" s="199">
        <v>9</v>
      </c>
      <c r="B82" s="200"/>
      <c r="C82" s="200" t="s">
        <v>83</v>
      </c>
      <c r="D82" s="200" t="s">
        <v>47</v>
      </c>
      <c r="E82" s="200" t="s">
        <v>48</v>
      </c>
      <c r="F82" s="13">
        <v>18.56</v>
      </c>
      <c r="G82" s="35">
        <v>19.46</v>
      </c>
      <c r="H82" s="201">
        <f>'2021'!BH82</f>
        <v>61.05</v>
      </c>
      <c r="I82" s="13">
        <v>161</v>
      </c>
      <c r="J82" s="203"/>
      <c r="K82" s="203"/>
      <c r="L82" s="205"/>
      <c r="M82" s="13">
        <v>161</v>
      </c>
      <c r="N82" s="312">
        <f t="shared" si="229"/>
        <v>0</v>
      </c>
      <c r="O82" s="203"/>
      <c r="P82" s="205"/>
      <c r="Q82" s="13">
        <v>161</v>
      </c>
      <c r="R82" s="15">
        <f t="shared" si="230"/>
        <v>0</v>
      </c>
      <c r="S82" s="203"/>
      <c r="T82" s="205"/>
      <c r="U82" s="13">
        <v>92</v>
      </c>
      <c r="V82" s="15">
        <v>0</v>
      </c>
      <c r="W82" s="204">
        <f>V82*$F$10</f>
        <v>0</v>
      </c>
      <c r="X82" s="205"/>
      <c r="Y82" s="13">
        <v>92</v>
      </c>
      <c r="Z82" s="315">
        <v>8</v>
      </c>
      <c r="AA82" s="204">
        <f>Z82*$F$10</f>
        <v>162.8</v>
      </c>
      <c r="AB82" s="205"/>
      <c r="AC82" s="358">
        <v>92</v>
      </c>
      <c r="AD82" s="359">
        <v>0</v>
      </c>
      <c r="AE82" s="204">
        <f>AD82*$F$10</f>
        <v>0</v>
      </c>
      <c r="AF82" s="360">
        <v>200</v>
      </c>
      <c r="AG82" s="313">
        <v>5</v>
      </c>
      <c r="AH82" s="315">
        <v>5</v>
      </c>
      <c r="AI82" s="45">
        <f>AH82*$G$10</f>
        <v>107</v>
      </c>
      <c r="AJ82" s="317"/>
      <c r="AK82" s="313">
        <v>5</v>
      </c>
      <c r="AL82" s="15">
        <v>5</v>
      </c>
      <c r="AM82" s="45">
        <f>AL82*$G$10</f>
        <v>107</v>
      </c>
      <c r="AN82" s="2"/>
      <c r="AO82" s="13">
        <v>5</v>
      </c>
      <c r="AP82" s="15">
        <v>5</v>
      </c>
      <c r="AQ82" s="45">
        <f>AP82*$G$10</f>
        <v>107</v>
      </c>
      <c r="AR82" s="317">
        <v>250</v>
      </c>
      <c r="AS82" s="13">
        <v>5</v>
      </c>
      <c r="AT82" s="15">
        <v>5</v>
      </c>
      <c r="AU82" s="45">
        <f t="shared" si="231"/>
        <v>12.3</v>
      </c>
      <c r="AV82" s="208"/>
      <c r="AW82" s="13"/>
      <c r="AX82" s="15">
        <v>5</v>
      </c>
      <c r="AY82" s="45"/>
      <c r="AZ82" s="208"/>
      <c r="BA82" s="13"/>
      <c r="BB82" s="15"/>
      <c r="BC82" s="45"/>
      <c r="BD82" s="208"/>
      <c r="BE82" s="209">
        <f t="shared" ref="BE82:BG82" si="233">J82+N82+R82+V82+Z82+AD82+AH82+AL82+AP82+AT82+AX82+BB82</f>
        <v>33</v>
      </c>
      <c r="BF82" s="210">
        <f t="shared" si="233"/>
        <v>496.1</v>
      </c>
      <c r="BG82" s="204">
        <f t="shared" si="233"/>
        <v>450</v>
      </c>
      <c r="BH82" s="211">
        <f t="shared" si="228"/>
        <v>107.15</v>
      </c>
      <c r="BI82" s="212"/>
      <c r="BJ82" s="203"/>
      <c r="BK82" s="203" t="b">
        <f>H82='2021'!BH82</f>
        <v>1</v>
      </c>
    </row>
    <row r="83" ht="15.75" customHeight="1" spans="1:63" x14ac:dyDescent="0.25">
      <c r="A83" s="199">
        <v>9</v>
      </c>
      <c r="B83" s="200"/>
      <c r="C83" s="200" t="s">
        <v>84</v>
      </c>
      <c r="D83" s="200" t="s">
        <v>47</v>
      </c>
      <c r="E83" s="200" t="s">
        <v>49</v>
      </c>
      <c r="F83" s="41">
        <v>500</v>
      </c>
      <c r="G83" s="35"/>
      <c r="H83" s="201">
        <f>'2021'!BH83</f>
        <v>0</v>
      </c>
      <c r="I83" s="13"/>
      <c r="J83" s="203"/>
      <c r="K83" s="203"/>
      <c r="L83" s="205"/>
      <c r="M83" s="13"/>
      <c r="N83" s="312"/>
      <c r="O83" s="203"/>
      <c r="P83" s="205"/>
      <c r="Q83" s="13"/>
      <c r="R83" s="312"/>
      <c r="S83" s="203"/>
      <c r="T83" s="205"/>
      <c r="U83" s="13"/>
      <c r="V83" s="312"/>
      <c r="W83" s="203"/>
      <c r="X83" s="205"/>
      <c r="Y83" s="13"/>
      <c r="Z83" s="315"/>
      <c r="AA83" s="203"/>
      <c r="AB83" s="205"/>
      <c r="AC83" s="357"/>
      <c r="AD83" s="312"/>
      <c r="AE83" s="204"/>
      <c r="AF83" s="214"/>
      <c r="AG83" s="313"/>
      <c r="AH83" s="2"/>
      <c r="AI83" s="45"/>
      <c r="AJ83" s="1"/>
      <c r="AK83" s="313"/>
      <c r="AL83" s="15"/>
      <c r="AM83" s="45"/>
      <c r="AN83" s="15"/>
      <c r="AO83" s="13"/>
      <c r="AP83" s="15"/>
      <c r="AQ83" s="45"/>
      <c r="AR83" s="15"/>
      <c r="AS83" s="13"/>
      <c r="AT83" s="15"/>
      <c r="AU83" s="45"/>
      <c r="AV83" s="28"/>
      <c r="AW83" s="13"/>
      <c r="AX83" s="15"/>
      <c r="AY83" s="45"/>
      <c r="AZ83" s="28"/>
      <c r="BA83" s="13"/>
      <c r="BB83" s="15"/>
      <c r="BC83" s="45"/>
      <c r="BD83" s="28"/>
      <c r="BE83" s="200"/>
      <c r="BF83" s="210">
        <f t="shared" ref="BF83:BG83" si="234">K83+O83+S83+W83+AA83+AE83+AI83+AM83+AQ83+AU83+AY83+BC83</f>
        <v>0</v>
      </c>
      <c r="BG83" s="204">
        <f t="shared" si="234"/>
        <v>0</v>
      </c>
      <c r="BH83" s="211">
        <f t="shared" si="228"/>
        <v>0</v>
      </c>
      <c r="BI83" s="212"/>
      <c r="BJ83" s="203"/>
      <c r="BK83" s="203" t="b">
        <f>H83='2021'!BH83</f>
        <v>1</v>
      </c>
    </row>
    <row r="84" ht="15.75" customHeight="1" spans="1:63" x14ac:dyDescent="0.25">
      <c r="A84" s="199">
        <v>9</v>
      </c>
      <c r="B84" s="200"/>
      <c r="C84" s="200" t="s">
        <v>85</v>
      </c>
      <c r="D84" s="200" t="s">
        <v>50</v>
      </c>
      <c r="E84" s="200" t="s">
        <v>49</v>
      </c>
      <c r="F84" s="41">
        <v>1100</v>
      </c>
      <c r="G84" s="35"/>
      <c r="H84" s="201">
        <f>'2021'!BH84</f>
        <v>0</v>
      </c>
      <c r="I84" s="13"/>
      <c r="J84" s="203"/>
      <c r="K84" s="203"/>
      <c r="L84" s="205"/>
      <c r="M84" s="13"/>
      <c r="N84" s="312"/>
      <c r="O84" s="203"/>
      <c r="P84" s="205"/>
      <c r="Q84" s="13"/>
      <c r="R84" s="312"/>
      <c r="S84" s="203"/>
      <c r="T84" s="205"/>
      <c r="U84" s="13"/>
      <c r="V84" s="312"/>
      <c r="W84" s="203"/>
      <c r="X84" s="205"/>
      <c r="Y84" s="13"/>
      <c r="Z84" s="315"/>
      <c r="AA84" s="203"/>
      <c r="AB84" s="205"/>
      <c r="AC84" s="357"/>
      <c r="AD84" s="312"/>
      <c r="AE84" s="34">
        <f>B81*$F$12</f>
        <v>5239</v>
      </c>
      <c r="AF84" s="360">
        <v>5239</v>
      </c>
      <c r="AG84" s="313"/>
      <c r="AH84" s="2"/>
      <c r="AI84" s="45"/>
      <c r="AJ84" s="248"/>
      <c r="AK84" s="313"/>
      <c r="AL84" s="15"/>
      <c r="AM84" s="45"/>
      <c r="AN84" s="15"/>
      <c r="AO84" s="13"/>
      <c r="AP84" s="15"/>
      <c r="AQ84" s="45"/>
      <c r="AR84" s="15"/>
      <c r="AS84" s="13"/>
      <c r="AT84" s="15"/>
      <c r="AU84" s="45"/>
      <c r="AV84" s="28"/>
      <c r="AW84" s="13"/>
      <c r="AX84" s="15"/>
      <c r="AY84" s="45"/>
      <c r="AZ84" s="28"/>
      <c r="BA84" s="13"/>
      <c r="BB84" s="15"/>
      <c r="BC84" s="45"/>
      <c r="BD84" s="28"/>
      <c r="BE84" s="200"/>
      <c r="BF84" s="210">
        <f t="shared" ref="BF84:BG84" si="235">K84+O84+S84+W84+AA84+AE84+AI84+AM84+AQ84+AU84+AY84+BC84</f>
        <v>5239</v>
      </c>
      <c r="BG84" s="204">
        <f t="shared" si="235"/>
        <v>5239</v>
      </c>
      <c r="BH84" s="211">
        <f t="shared" si="228"/>
        <v>0</v>
      </c>
      <c r="BI84" s="212"/>
      <c r="BJ84" s="203"/>
      <c r="BK84" s="203" t="b">
        <f>H84='2021'!BH84</f>
        <v>1</v>
      </c>
    </row>
    <row r="85" ht="15.75" customHeight="1" spans="1:63" x14ac:dyDescent="0.25">
      <c r="A85" s="199">
        <v>9</v>
      </c>
      <c r="B85" s="200"/>
      <c r="C85" s="200" t="s">
        <v>490</v>
      </c>
      <c r="D85" s="200" t="s">
        <v>51</v>
      </c>
      <c r="E85" s="203" t="s">
        <v>39</v>
      </c>
      <c r="F85" s="41">
        <v>500</v>
      </c>
      <c r="G85" s="35"/>
      <c r="H85" s="201">
        <f>'2021'!BH85</f>
        <v>0</v>
      </c>
      <c r="I85" s="13"/>
      <c r="J85" s="203"/>
      <c r="K85" s="203"/>
      <c r="L85" s="205"/>
      <c r="M85" s="13"/>
      <c r="N85" s="312"/>
      <c r="O85" s="203"/>
      <c r="P85" s="205"/>
      <c r="Q85" s="13"/>
      <c r="R85" s="312"/>
      <c r="S85" s="203"/>
      <c r="T85" s="205"/>
      <c r="U85" s="13"/>
      <c r="V85" s="312"/>
      <c r="W85" s="203"/>
      <c r="X85" s="205"/>
      <c r="Y85" s="13"/>
      <c r="Z85" s="315"/>
      <c r="AA85" s="203"/>
      <c r="AB85" s="205"/>
      <c r="AC85" s="357"/>
      <c r="AD85" s="312"/>
      <c r="AE85" s="180">
        <f>$F$13</f>
        <v>1000</v>
      </c>
      <c r="AF85" s="39"/>
      <c r="AG85" s="313"/>
      <c r="AH85" s="2"/>
      <c r="AI85" s="45"/>
      <c r="AJ85" s="1">
        <v>1000</v>
      </c>
      <c r="AK85" s="313"/>
      <c r="AL85" s="15"/>
      <c r="AM85" s="45"/>
      <c r="AN85" s="15"/>
      <c r="AO85" s="13"/>
      <c r="AP85" s="15"/>
      <c r="AQ85" s="180"/>
      <c r="AR85" s="15"/>
      <c r="AS85" s="13"/>
      <c r="AT85" s="15"/>
      <c r="AU85" s="45"/>
      <c r="AV85" s="28"/>
      <c r="AW85" s="13"/>
      <c r="AX85" s="15"/>
      <c r="AY85" s="45"/>
      <c r="AZ85" s="28"/>
      <c r="BA85" s="13"/>
      <c r="BB85" s="15"/>
      <c r="BC85" s="45"/>
      <c r="BD85" s="35"/>
      <c r="BE85" s="200"/>
      <c r="BF85" s="210">
        <f t="shared" ref="BF85:BG85" si="236">K85+O85+S85+W85+AA85+AE85+AI85+AM85+AQ85+AU85+AY85+BC85</f>
        <v>1000</v>
      </c>
      <c r="BG85" s="204">
        <f t="shared" si="236"/>
        <v>1000</v>
      </c>
      <c r="BH85" s="211">
        <f t="shared" si="228"/>
        <v>0</v>
      </c>
      <c r="BI85" s="212"/>
      <c r="BJ85" s="203"/>
      <c r="BK85" s="203" t="b">
        <f>H85='2021'!BH85</f>
        <v>1</v>
      </c>
    </row>
    <row r="86" ht="15.75" customHeight="1" spans="1:63" x14ac:dyDescent="0.25">
      <c r="A86" s="199">
        <v>9</v>
      </c>
      <c r="B86" s="200"/>
      <c r="C86" s="200"/>
      <c r="D86" s="200" t="s">
        <v>51</v>
      </c>
      <c r="E86" s="200" t="s">
        <v>49</v>
      </c>
      <c r="F86" s="41">
        <v>500</v>
      </c>
      <c r="G86" s="35"/>
      <c r="H86" s="201">
        <f>'2021'!BH86</f>
        <v>0</v>
      </c>
      <c r="I86" s="13"/>
      <c r="J86" s="203"/>
      <c r="K86" s="203"/>
      <c r="L86" s="205"/>
      <c r="M86" s="13"/>
      <c r="N86" s="312"/>
      <c r="O86" s="203"/>
      <c r="P86" s="205"/>
      <c r="Q86" s="13"/>
      <c r="R86" s="312"/>
      <c r="S86" s="203"/>
      <c r="T86" s="205"/>
      <c r="U86" s="13"/>
      <c r="V86" s="312"/>
      <c r="W86" s="203"/>
      <c r="X86" s="205"/>
      <c r="Y86" s="13"/>
      <c r="Z86" s="315"/>
      <c r="AA86" s="203"/>
      <c r="AB86" s="205"/>
      <c r="AC86" s="357"/>
      <c r="AD86" s="312"/>
      <c r="AE86" s="204"/>
      <c r="AF86" s="39"/>
      <c r="AG86" s="313"/>
      <c r="AH86" s="2"/>
      <c r="AI86" s="45"/>
      <c r="AJ86" s="15"/>
      <c r="AK86" s="313"/>
      <c r="AL86" s="15"/>
      <c r="AM86" s="45"/>
      <c r="AN86" s="15"/>
      <c r="AO86" s="13"/>
      <c r="AP86" s="15"/>
      <c r="AQ86" s="180">
        <f>B81*$F$14</f>
        <v>0</v>
      </c>
      <c r="AR86" s="15"/>
      <c r="AS86" s="13"/>
      <c r="AT86" s="15"/>
      <c r="AU86" s="45"/>
      <c r="AV86" s="28"/>
      <c r="AW86" s="13"/>
      <c r="AX86" s="15"/>
      <c r="AY86" s="45"/>
      <c r="AZ86" s="28"/>
      <c r="BA86" s="13"/>
      <c r="BB86" s="15"/>
      <c r="BC86" s="45"/>
      <c r="BD86" s="35"/>
      <c r="BE86" s="200"/>
      <c r="BF86" s="210">
        <f t="shared" ref="BF86:BG86" si="237">K86+O86+S86+W86+AA86+AE86+AI86+AM86+AQ86+AU86+AY86+BC86</f>
        <v>0</v>
      </c>
      <c r="BG86" s="204">
        <f t="shared" si="237"/>
        <v>0</v>
      </c>
      <c r="BH86" s="211">
        <f t="shared" si="228"/>
        <v>0</v>
      </c>
      <c r="BI86" s="212"/>
      <c r="BJ86" s="203"/>
      <c r="BK86" s="203" t="b">
        <f>H86='2021'!BH86</f>
        <v>1</v>
      </c>
    </row>
    <row r="87" ht="15.75" customHeight="1" spans="1:63" x14ac:dyDescent="0.25">
      <c r="A87" s="199">
        <v>9</v>
      </c>
      <c r="B87" s="200"/>
      <c r="C87" s="200"/>
      <c r="D87" s="200" t="s">
        <v>52</v>
      </c>
      <c r="E87" s="200" t="s">
        <v>39</v>
      </c>
      <c r="F87" s="41">
        <v>500</v>
      </c>
      <c r="G87" s="35"/>
      <c r="H87" s="201">
        <f>'2021'!BH87</f>
        <v>0</v>
      </c>
      <c r="I87" s="13"/>
      <c r="J87" s="203"/>
      <c r="K87" s="203"/>
      <c r="L87" s="205"/>
      <c r="M87" s="13"/>
      <c r="N87" s="312"/>
      <c r="O87" s="203"/>
      <c r="P87" s="205"/>
      <c r="Q87" s="13"/>
      <c r="R87" s="312"/>
      <c r="S87" s="203"/>
      <c r="T87" s="205"/>
      <c r="U87" s="13"/>
      <c r="V87" s="312"/>
      <c r="W87" s="203"/>
      <c r="X87" s="205"/>
      <c r="Y87" s="13"/>
      <c r="Z87" s="315"/>
      <c r="AA87" s="34">
        <f>$F$15</f>
      </c>
      <c r="AB87" s="211"/>
      <c r="AC87" s="357"/>
      <c r="AD87" s="312"/>
      <c r="AE87" s="203"/>
      <c r="AF87" s="316"/>
      <c r="AG87" s="313"/>
      <c r="AH87" s="2"/>
      <c r="AI87" s="45"/>
      <c r="AJ87" s="15"/>
      <c r="AK87" s="313"/>
      <c r="AL87" s="15"/>
      <c r="AM87" s="45"/>
      <c r="AN87" s="34"/>
      <c r="AO87" s="13"/>
      <c r="AP87" s="15"/>
      <c r="AQ87" s="45"/>
      <c r="AR87" s="34"/>
      <c r="AS87" s="13"/>
      <c r="AT87" s="15"/>
      <c r="AU87" s="45"/>
      <c r="AV87" s="35"/>
      <c r="AW87" s="13"/>
      <c r="AX87" s="15"/>
      <c r="AY87" s="45"/>
      <c r="AZ87" s="35"/>
      <c r="BA87" s="13"/>
      <c r="BB87" s="15"/>
      <c r="BC87" s="45"/>
      <c r="BD87" s="35"/>
      <c r="BE87" s="200"/>
      <c r="BF87" s="210">
        <f t="shared" ref="BF87:BG87" si="238">K87+O87+S87+W87+AA87+AE87+AI87+AM87+AQ87+AU87+AY87+BC87</f>
        <v>0</v>
      </c>
      <c r="BG87" s="204">
        <f t="shared" si="238"/>
        <v>0</v>
      </c>
      <c r="BH87" s="211">
        <f t="shared" si="228"/>
        <v>0</v>
      </c>
      <c r="BI87" s="212"/>
      <c r="BJ87" s="203"/>
      <c r="BK87" s="203" t="b">
        <f>H87='2021'!BH87</f>
        <v>1</v>
      </c>
    </row>
    <row r="88" ht="15.75" customHeight="1" spans="1:63" x14ac:dyDescent="0.25">
      <c r="A88" s="216">
        <v>9</v>
      </c>
      <c r="B88" s="217"/>
      <c r="C88" s="217" t="s">
        <v>53</v>
      </c>
      <c r="D88" s="217"/>
      <c r="E88" s="217"/>
      <c r="F88" s="20"/>
      <c r="G88" s="23"/>
      <c r="H88" s="218">
        <f>SUM(H80:H87)</f>
        <v>-223.98</v>
      </c>
      <c r="I88" s="52"/>
      <c r="J88" s="220"/>
      <c r="K88" s="221">
        <f t="shared" ref="K88:L88" si="239">SUM(K80:K87)</f>
        <v>0</v>
      </c>
      <c r="L88" s="222">
        <f t="shared" si="239"/>
        <v>0</v>
      </c>
      <c r="M88" s="52"/>
      <c r="N88" s="319"/>
      <c r="O88" s="221">
        <f t="shared" ref="O88:P88" si="240">SUM(O80:O87)</f>
        <v>0</v>
      </c>
      <c r="P88" s="222">
        <f t="shared" si="240"/>
        <v>0</v>
      </c>
      <c r="Q88" s="52"/>
      <c r="R88" s="319"/>
      <c r="S88" s="221">
        <f t="shared" ref="S88:T88" si="241">SUM(S80:S87)</f>
        <v>0</v>
      </c>
      <c r="T88" s="222">
        <f t="shared" si="241"/>
        <v>0</v>
      </c>
      <c r="U88" s="52"/>
      <c r="V88" s="319"/>
      <c r="W88" s="221">
        <f t="shared" ref="W88:X88" si="242">SUM(W80:W87)</f>
        <v>0</v>
      </c>
      <c r="X88" s="222">
        <f t="shared" si="242"/>
        <v>0</v>
      </c>
      <c r="Y88" s="52"/>
      <c r="Z88" s="322"/>
      <c r="AA88" s="221">
        <f t="shared" ref="AA88:AB88" si="243">SUM(AA80:AA87)</f>
        <v>162.8</v>
      </c>
      <c r="AB88" s="222">
        <f t="shared" si="243"/>
        <v>0</v>
      </c>
      <c r="AC88" s="361"/>
      <c r="AD88" s="319"/>
      <c r="AE88" s="221">
        <f t="shared" ref="AE88:AF88" si="244">SUM(AE80:AE87)</f>
        <v>6239</v>
      </c>
      <c r="AF88" s="222">
        <f t="shared" si="244"/>
        <v>5439</v>
      </c>
      <c r="AG88" s="320"/>
      <c r="AH88" s="301"/>
      <c r="AI88" s="183">
        <f t="shared" ref="AI88:AJ88" si="245">SUM(AI80:AI87)</f>
        <v>107</v>
      </c>
      <c r="AJ88" s="51">
        <f t="shared" si="245"/>
        <v>1000</v>
      </c>
      <c r="AK88" s="320"/>
      <c r="AL88" s="53"/>
      <c r="AM88" s="183">
        <f t="shared" ref="AM88:AN88" si="246">SUM(AM80:AM87)</f>
        <v>107</v>
      </c>
      <c r="AN88" s="51">
        <f t="shared" si="246"/>
        <v>0</v>
      </c>
      <c r="AO88" s="52"/>
      <c r="AP88" s="53"/>
      <c r="AQ88" s="183">
        <f t="shared" ref="AQ88:AR88" si="247">SUM(AQ80:AQ87)</f>
        <v>107</v>
      </c>
      <c r="AR88" s="51">
        <f t="shared" si="247"/>
        <v>250</v>
      </c>
      <c r="AS88" s="52"/>
      <c r="AT88" s="53"/>
      <c r="AU88" s="183">
        <f t="shared" ref="AU88:AV88" si="248">SUM(AU80:AU87)</f>
        <v>12.3</v>
      </c>
      <c r="AV88" s="68">
        <f t="shared" si="248"/>
        <v>0</v>
      </c>
      <c r="AW88" s="52"/>
      <c r="AX88" s="53"/>
      <c r="AY88" s="183">
        <f t="shared" ref="AY88:AZ88" si="249">SUM(AY80:AY87)</f>
        <v>0</v>
      </c>
      <c r="AZ88" s="68">
        <f t="shared" si="249"/>
        <v>0</v>
      </c>
      <c r="BA88" s="52"/>
      <c r="BB88" s="53"/>
      <c r="BC88" s="183">
        <f t="shared" ref="BC88:BD88" si="250">SUM(BC80:BC87)</f>
        <v>0</v>
      </c>
      <c r="BD88" s="68">
        <f t="shared" si="250"/>
        <v>0</v>
      </c>
      <c r="BE88" s="223"/>
      <c r="BF88" s="224">
        <f t="shared" ref="BF88:BH88" si="251">SUM(BF80:BF87)</f>
        <v>6735.1</v>
      </c>
      <c r="BG88" s="225">
        <f t="shared" si="251"/>
        <v>6689</v>
      </c>
      <c r="BH88" s="226">
        <f t="shared" si="251"/>
        <v>-177.88</v>
      </c>
      <c r="BI88" s="227">
        <f>H88+BF88-BG88</f>
        <v>-177.88</v>
      </c>
      <c r="BJ88" s="204">
        <f>BH88-BI88</f>
        <v>0</v>
      </c>
      <c r="BK88" s="203" t="b">
        <f>H88='2021'!BH88</f>
        <v>1</v>
      </c>
    </row>
    <row r="89" ht="15.75" customHeight="1" spans="1:63" x14ac:dyDescent="0.25">
      <c r="A89" s="228">
        <v>10</v>
      </c>
      <c r="B89" s="229"/>
      <c r="C89" s="229"/>
      <c r="D89" s="229" t="s">
        <v>379</v>
      </c>
      <c r="E89" s="228"/>
      <c r="F89" s="230"/>
      <c r="G89" s="231"/>
      <c r="H89" s="232">
        <f>'2021'!BH89</f>
        <v>0</v>
      </c>
      <c r="I89" s="13"/>
      <c r="J89" s="192"/>
      <c r="K89" s="192"/>
      <c r="L89" s="193"/>
      <c r="M89" s="13"/>
      <c r="N89" s="308"/>
      <c r="O89" s="192"/>
      <c r="P89" s="193"/>
      <c r="Q89" s="13"/>
      <c r="R89" s="308"/>
      <c r="S89" s="194"/>
      <c r="T89" s="193"/>
      <c r="U89" s="13"/>
      <c r="V89" s="308"/>
      <c r="W89" s="194"/>
      <c r="X89" s="193"/>
      <c r="Y89" s="13"/>
      <c r="Z89" s="311"/>
      <c r="AA89" s="194"/>
      <c r="AB89" s="193"/>
      <c r="AC89" s="356"/>
      <c r="AD89" s="308"/>
      <c r="AE89" s="194"/>
      <c r="AF89" s="193"/>
      <c r="AG89" s="309"/>
      <c r="AH89" s="2"/>
      <c r="AI89" s="45"/>
      <c r="AJ89" s="15"/>
      <c r="AK89" s="309"/>
      <c r="AL89" s="15"/>
      <c r="AM89" s="45"/>
      <c r="AN89" s="15"/>
      <c r="AO89" s="13"/>
      <c r="AP89" s="15"/>
      <c r="AQ89" s="45"/>
      <c r="AR89" s="15"/>
      <c r="AS89" s="13"/>
      <c r="AT89" s="15"/>
      <c r="AU89" s="45"/>
      <c r="AV89" s="28"/>
      <c r="AW89" s="13"/>
      <c r="AX89" s="15"/>
      <c r="AY89" s="45"/>
      <c r="AZ89" s="28"/>
      <c r="BA89" s="13"/>
      <c r="BB89" s="15"/>
      <c r="BC89" s="45"/>
      <c r="BD89" s="28"/>
      <c r="BE89" s="233"/>
      <c r="BF89" s="234">
        <f t="shared" ref="BF89:BG89" si="252">K89+O89+S89+W89+AA89+AE89+AI89+AM89+AQ89+AU89+AY89+BC89</f>
        <v>0</v>
      </c>
      <c r="BG89" s="235">
        <f t="shared" si="252"/>
        <v>0</v>
      </c>
      <c r="BH89" s="236">
        <f t="shared" ref="BH89:BH96" si="253">H89+BF89-BG89</f>
        <v>0</v>
      </c>
      <c r="BI89" s="212"/>
      <c r="BJ89" s="203"/>
      <c r="BK89" s="203" t="b">
        <f>H89='2021'!BH89</f>
        <v>1</v>
      </c>
    </row>
    <row r="90" ht="15.75" customHeight="1" spans="1:63" x14ac:dyDescent="0.25">
      <c r="A90" s="199">
        <v>10</v>
      </c>
      <c r="B90" s="200">
        <v>4.01</v>
      </c>
      <c r="C90" s="200" t="s">
        <v>86</v>
      </c>
      <c r="D90" s="200" t="s">
        <v>44</v>
      </c>
      <c r="E90" s="199" t="s">
        <v>45</v>
      </c>
      <c r="F90" s="41">
        <v>2.5</v>
      </c>
      <c r="G90" s="35">
        <v>2.6</v>
      </c>
      <c r="H90" s="237">
        <f>'2021'!BH90</f>
        <v>0</v>
      </c>
      <c r="I90" s="13"/>
      <c r="J90" s="15">
        <f>I90-'2021'!BA90</f>
        <v>0</v>
      </c>
      <c r="K90" s="204">
        <f>J90*$F$8</f>
        <v>0</v>
      </c>
      <c r="L90" s="205"/>
      <c r="M90" s="13"/>
      <c r="N90" s="312">
        <f t="shared" ref="N90:N91" si="254">M90-I90</f>
        <v>0</v>
      </c>
      <c r="O90" s="204">
        <f>N90*$F$8</f>
        <v>0</v>
      </c>
      <c r="P90" s="205"/>
      <c r="Q90" s="13"/>
      <c r="R90" s="15">
        <f t="shared" ref="R90:R91" si="255">Q90-M90</f>
        <v>0</v>
      </c>
      <c r="S90" s="204">
        <f>R90*$F$8</f>
        <v>0</v>
      </c>
      <c r="T90" s="205"/>
      <c r="U90" s="13"/>
      <c r="V90" s="15">
        <f t="shared" ref="V90:V91" si="256">U90-Q90</f>
        <v>0</v>
      </c>
      <c r="W90" s="204">
        <f>V90*$F$8</f>
        <v>0</v>
      </c>
      <c r="X90" s="205"/>
      <c r="Y90" s="13"/>
      <c r="Z90" s="315">
        <f t="shared" ref="Z90:Z91" si="257">Y90-U90</f>
        <v>0</v>
      </c>
      <c r="AA90" s="204">
        <f>Z90*$F$8</f>
        <v>0</v>
      </c>
      <c r="AB90" s="205"/>
      <c r="AC90" s="357"/>
      <c r="AD90" s="312">
        <f t="shared" ref="AD90:AD91" si="258">AC90-Y90</f>
        <v>0</v>
      </c>
      <c r="AE90" s="180">
        <f>AD90*$F$8</f>
        <v>0</v>
      </c>
      <c r="AF90" s="323"/>
      <c r="AG90" s="313"/>
      <c r="AH90" s="2">
        <f>(AG90-AC90)*AH5</f>
        <v>0</v>
      </c>
      <c r="AI90" s="45">
        <f>AH90*$G$8</f>
        <v>0</v>
      </c>
      <c r="AJ90" s="2"/>
      <c r="AK90" s="313"/>
      <c r="AL90" s="15">
        <f>(AK90-AG90)*AL5</f>
        <v>0</v>
      </c>
      <c r="AM90" s="45">
        <f>AL90*$G$8</f>
        <v>0</v>
      </c>
      <c r="AN90" s="2"/>
      <c r="AO90" s="13"/>
      <c r="AP90" s="15">
        <f>(AO90-AK90)*AP5</f>
        <v>0</v>
      </c>
      <c r="AQ90" s="45">
        <f>AP90*$G$8</f>
        <v>0</v>
      </c>
      <c r="AR90" s="2"/>
      <c r="AS90" s="13"/>
      <c r="AT90" s="15">
        <f>(AS90-AO90)*AT5</f>
        <v>0</v>
      </c>
      <c r="AU90" s="45">
        <f>AT90*$G$8</f>
        <v>0</v>
      </c>
      <c r="AV90" s="208"/>
      <c r="AW90" s="13"/>
      <c r="AX90" s="15">
        <f>(AW90-AS90)*AX5</f>
        <v>0</v>
      </c>
      <c r="AY90" s="45">
        <f>AX90*$G$8</f>
        <v>0</v>
      </c>
      <c r="AZ90" s="208"/>
      <c r="BA90" s="13"/>
      <c r="BB90" s="15"/>
      <c r="BC90" s="45">
        <f>BB90*$G$8</f>
        <v>0</v>
      </c>
      <c r="BD90" s="208"/>
      <c r="BE90" s="209">
        <f t="shared" ref="BE90:BG90" si="259">J90+N90+R90+V90+Z90+AD90+AH90+AL90+AP90+AT90+AX90+BB90</f>
        <v>0</v>
      </c>
      <c r="BF90" s="210">
        <f t="shared" si="259"/>
        <v>0</v>
      </c>
      <c r="BG90" s="204">
        <f t="shared" si="259"/>
        <v>0</v>
      </c>
      <c r="BH90" s="211">
        <f t="shared" si="253"/>
        <v>0</v>
      </c>
      <c r="BI90" s="212"/>
      <c r="BJ90" s="203"/>
      <c r="BK90" s="203" t="b">
        <f>H90='2021'!BH90</f>
        <v>1</v>
      </c>
    </row>
    <row r="91" ht="15.75" customHeight="1" spans="1:63" x14ac:dyDescent="0.25">
      <c r="A91" s="199">
        <v>10</v>
      </c>
      <c r="B91" s="200"/>
      <c r="C91" s="200" t="s">
        <v>87</v>
      </c>
      <c r="D91" s="200" t="s">
        <v>47</v>
      </c>
      <c r="E91" s="199" t="s">
        <v>48</v>
      </c>
      <c r="F91" s="13">
        <v>18.56</v>
      </c>
      <c r="G91" s="35">
        <v>19.46</v>
      </c>
      <c r="H91" s="238">
        <f>'2021'!BH91</f>
        <v>-244.79</v>
      </c>
      <c r="I91" s="13">
        <v>60</v>
      </c>
      <c r="J91" s="203"/>
      <c r="K91" s="203"/>
      <c r="L91" s="205"/>
      <c r="M91" s="13">
        <v>60</v>
      </c>
      <c r="N91" s="312">
        <f t="shared" si="254"/>
        <v>0</v>
      </c>
      <c r="O91" s="203"/>
      <c r="P91" s="205"/>
      <c r="Q91" s="13">
        <v>60</v>
      </c>
      <c r="R91" s="15">
        <f t="shared" si="255"/>
        <v>0</v>
      </c>
      <c r="S91" s="203"/>
      <c r="T91" s="205"/>
      <c r="U91" s="13">
        <v>60</v>
      </c>
      <c r="V91" s="15">
        <f t="shared" si="256"/>
        <v>0</v>
      </c>
      <c r="W91" s="324">
        <f>V91*$F$10</f>
        <v>0</v>
      </c>
      <c r="X91" s="205"/>
      <c r="Y91" s="13">
        <v>60</v>
      </c>
      <c r="Z91" s="315">
        <f t="shared" si="257"/>
        <v>0</v>
      </c>
      <c r="AA91" s="204">
        <f>Z91*$F$10</f>
        <v>0</v>
      </c>
      <c r="AB91" s="205"/>
      <c r="AC91" s="357">
        <v>60</v>
      </c>
      <c r="AD91" s="312">
        <f t="shared" si="258"/>
        <v>0</v>
      </c>
      <c r="AE91" s="204">
        <f>AD91*$F$10</f>
        <v>0</v>
      </c>
      <c r="AF91" s="325"/>
      <c r="AG91" s="313">
        <v>60</v>
      </c>
      <c r="AH91" s="315">
        <f>AG91-AC91</f>
        <v>0</v>
      </c>
      <c r="AI91" s="45">
        <f>AH91*$G$10</f>
        <v>0</v>
      </c>
      <c r="AJ91" s="180"/>
      <c r="AK91" s="313">
        <v>74</v>
      </c>
      <c r="AL91" s="15">
        <f>AK91-AG91</f>
        <v>14</v>
      </c>
      <c r="AM91" s="45">
        <f>AL91*$G$10</f>
        <v>299.6</v>
      </c>
      <c r="AN91" s="182">
        <v>299.6</v>
      </c>
      <c r="AO91" s="13">
        <v>74</v>
      </c>
      <c r="AP91" s="15">
        <f>AO91-AK91</f>
        <v>0</v>
      </c>
      <c r="AQ91" s="45">
        <f>AP91*$G$10</f>
        <v>0</v>
      </c>
      <c r="AR91" s="2"/>
      <c r="AS91" s="13">
        <v>74</v>
      </c>
      <c r="AT91" s="15">
        <f>AS91-AO91</f>
        <v>0</v>
      </c>
      <c r="AU91" s="45">
        <f>AT91*$G$10</f>
        <v>0</v>
      </c>
      <c r="AV91" s="249"/>
      <c r="AW91" s="13"/>
      <c r="AX91" s="15">
        <f>AW91-AS91</f>
        <v>-74</v>
      </c>
      <c r="AY91" s="45"/>
      <c r="AZ91" s="208"/>
      <c r="BA91" s="13"/>
      <c r="BB91" s="15"/>
      <c r="BC91" s="45"/>
      <c r="BD91" s="208"/>
      <c r="BE91" s="209">
        <f t="shared" ref="BE91:BG91" si="260">J91+N91+R91+V91+Z91+AD91+AH91+AL91+AP91+AT91+AX91+BB91</f>
        <v>-60</v>
      </c>
      <c r="BF91" s="210">
        <f t="shared" si="260"/>
        <v>299.6</v>
      </c>
      <c r="BG91" s="204">
        <f t="shared" si="260"/>
        <v>299.6</v>
      </c>
      <c r="BH91" s="211">
        <f t="shared" si="253"/>
        <v>-244.79</v>
      </c>
      <c r="BI91" s="212"/>
      <c r="BJ91" s="203"/>
      <c r="BK91" s="203" t="b">
        <f>H91='2021'!BH91</f>
        <v>1</v>
      </c>
    </row>
    <row r="92" ht="15.75" customHeight="1" spans="1:63" x14ac:dyDescent="0.25">
      <c r="A92" s="199">
        <v>10</v>
      </c>
      <c r="B92" s="200"/>
      <c r="C92" s="200" t="s">
        <v>68</v>
      </c>
      <c r="D92" s="200" t="s">
        <v>47</v>
      </c>
      <c r="E92" s="199" t="s">
        <v>49</v>
      </c>
      <c r="F92" s="210">
        <v>500</v>
      </c>
      <c r="G92" s="211"/>
      <c r="H92" s="238">
        <f>'2021'!BH92</f>
        <v>0</v>
      </c>
      <c r="I92" s="13"/>
      <c r="J92" s="203"/>
      <c r="K92" s="203"/>
      <c r="L92" s="205"/>
      <c r="M92" s="13"/>
      <c r="N92" s="312"/>
      <c r="O92" s="203"/>
      <c r="P92" s="205"/>
      <c r="Q92" s="13"/>
      <c r="R92" s="312"/>
      <c r="S92" s="203"/>
      <c r="T92" s="205"/>
      <c r="U92" s="13"/>
      <c r="V92" s="312"/>
      <c r="W92" s="203"/>
      <c r="X92" s="205"/>
      <c r="Y92" s="13"/>
      <c r="Z92" s="315"/>
      <c r="AA92" s="203"/>
      <c r="AB92" s="205"/>
      <c r="AC92" s="357"/>
      <c r="AD92" s="312"/>
      <c r="AE92" s="204"/>
      <c r="AF92" s="323"/>
      <c r="AG92" s="313"/>
      <c r="AH92" s="2"/>
      <c r="AI92" s="45"/>
      <c r="AJ92" s="15"/>
      <c r="AK92" s="313"/>
      <c r="AL92" s="15"/>
      <c r="AM92" s="45"/>
      <c r="AN92" s="15"/>
      <c r="AO92" s="13"/>
      <c r="AP92" s="15"/>
      <c r="AQ92" s="45"/>
      <c r="AR92" s="15"/>
      <c r="AS92" s="13"/>
      <c r="AT92" s="15"/>
      <c r="AU92" s="45"/>
      <c r="AV92" s="28"/>
      <c r="AW92" s="13"/>
      <c r="AX92" s="15"/>
      <c r="AY92" s="45"/>
      <c r="AZ92" s="28"/>
      <c r="BA92" s="13"/>
      <c r="BB92" s="15"/>
      <c r="BC92" s="45"/>
      <c r="BD92" s="28"/>
      <c r="BE92" s="200"/>
      <c r="BF92" s="210">
        <f t="shared" ref="BF92:BG92" si="261">K92+O92+S92+W92+AA92+AE92+AI92+AM92+AQ92+AU92+AY92+BC92</f>
        <v>0</v>
      </c>
      <c r="BG92" s="204">
        <f t="shared" si="261"/>
        <v>0</v>
      </c>
      <c r="BH92" s="211">
        <f t="shared" si="253"/>
        <v>0</v>
      </c>
      <c r="BI92" s="212"/>
      <c r="BJ92" s="203"/>
      <c r="BK92" s="203" t="b">
        <f>H92='2021'!BH92</f>
        <v>1</v>
      </c>
    </row>
    <row r="93" ht="15.75" customHeight="1" spans="1:63" x14ac:dyDescent="0.25">
      <c r="A93" s="199">
        <v>10</v>
      </c>
      <c r="B93" s="200"/>
      <c r="C93" s="200" t="s">
        <v>88</v>
      </c>
      <c r="D93" s="200" t="s">
        <v>50</v>
      </c>
      <c r="E93" s="199" t="s">
        <v>49</v>
      </c>
      <c r="F93" s="41">
        <v>1100</v>
      </c>
      <c r="G93" s="211"/>
      <c r="H93" s="238">
        <f>'2021'!BH93</f>
        <v>0</v>
      </c>
      <c r="I93" s="13"/>
      <c r="J93" s="203"/>
      <c r="K93" s="203"/>
      <c r="L93" s="205"/>
      <c r="M93" s="13"/>
      <c r="N93" s="312"/>
      <c r="O93" s="203"/>
      <c r="P93" s="205"/>
      <c r="Q93" s="13"/>
      <c r="R93" s="312"/>
      <c r="S93" s="203"/>
      <c r="T93" s="205"/>
      <c r="U93" s="13"/>
      <c r="V93" s="312"/>
      <c r="W93" s="203"/>
      <c r="X93" s="205"/>
      <c r="Y93" s="13"/>
      <c r="Z93" s="315"/>
      <c r="AA93" s="203"/>
      <c r="AB93" s="205"/>
      <c r="AC93" s="357"/>
      <c r="AD93" s="312"/>
      <c r="AE93" s="182">
        <f>B90*$F$12</f>
        <v>5213</v>
      </c>
      <c r="AF93" s="362">
        <v>5200</v>
      </c>
      <c r="AG93" s="313"/>
      <c r="AH93" s="2"/>
      <c r="AI93" s="45"/>
      <c r="AJ93" s="180"/>
      <c r="AK93" s="313"/>
      <c r="AL93" s="15"/>
      <c r="AM93" s="45"/>
      <c r="AN93" s="154">
        <v>13</v>
      </c>
      <c r="AO93" s="13"/>
      <c r="AP93" s="15"/>
      <c r="AQ93" s="45"/>
      <c r="AR93" s="15"/>
      <c r="AS93" s="13"/>
      <c r="AT93" s="15"/>
      <c r="AU93" s="45"/>
      <c r="AV93" s="28"/>
      <c r="AW93" s="13"/>
      <c r="AX93" s="15"/>
      <c r="AY93" s="45"/>
      <c r="AZ93" s="28"/>
      <c r="BA93" s="13"/>
      <c r="BB93" s="15"/>
      <c r="BC93" s="45"/>
      <c r="BD93" s="28"/>
      <c r="BE93" s="200"/>
      <c r="BF93" s="210">
        <f t="shared" ref="BF93:BG93" si="262">K93+O93+S93+W93+AA93+AE93+AI93+AM93+AQ93+AU93+AY93+BC93</f>
        <v>5213</v>
      </c>
      <c r="BG93" s="204">
        <f t="shared" si="262"/>
        <v>5213</v>
      </c>
      <c r="BH93" s="211">
        <f t="shared" si="253"/>
        <v>0</v>
      </c>
      <c r="BI93" s="212"/>
      <c r="BJ93" s="203"/>
      <c r="BK93" s="203" t="b">
        <f>H93='2021'!BH93</f>
        <v>1</v>
      </c>
    </row>
    <row r="94" ht="15.75" customHeight="1" spans="1:63" x14ac:dyDescent="0.25">
      <c r="A94" s="199">
        <v>10</v>
      </c>
      <c r="B94" s="200"/>
      <c r="C94" s="200"/>
      <c r="D94" s="200" t="s">
        <v>51</v>
      </c>
      <c r="E94" s="203" t="s">
        <v>39</v>
      </c>
      <c r="F94" s="210">
        <v>500</v>
      </c>
      <c r="G94" s="211"/>
      <c r="H94" s="238">
        <f>'2021'!BH94</f>
        <v>0</v>
      </c>
      <c r="I94" s="13"/>
      <c r="J94" s="203"/>
      <c r="K94" s="203"/>
      <c r="L94" s="205"/>
      <c r="M94" s="13"/>
      <c r="N94" s="312"/>
      <c r="O94" s="203"/>
      <c r="P94" s="205"/>
      <c r="Q94" s="13"/>
      <c r="R94" s="312"/>
      <c r="S94" s="203"/>
      <c r="T94" s="205"/>
      <c r="U94" s="13"/>
      <c r="V94" s="312"/>
      <c r="W94" s="203"/>
      <c r="X94" s="205"/>
      <c r="Y94" s="13"/>
      <c r="Z94" s="315"/>
      <c r="AA94" s="203"/>
      <c r="AB94" s="205"/>
      <c r="AC94" s="357"/>
      <c r="AD94" s="312"/>
      <c r="AE94" s="180">
        <f>$F$13</f>
        <v>1000</v>
      </c>
      <c r="AF94" s="326">
        <v>1000</v>
      </c>
      <c r="AG94" s="313"/>
      <c r="AH94" s="2"/>
      <c r="AI94" s="45"/>
      <c r="AJ94" s="15"/>
      <c r="AK94" s="313"/>
      <c r="AL94" s="15"/>
      <c r="AM94" s="45"/>
      <c r="AN94" s="15"/>
      <c r="AO94" s="13"/>
      <c r="AP94" s="15"/>
      <c r="AQ94" s="180"/>
      <c r="AR94" s="15"/>
      <c r="AS94" s="13"/>
      <c r="AT94" s="15"/>
      <c r="AU94" s="45"/>
      <c r="AV94" s="28"/>
      <c r="AW94" s="13"/>
      <c r="AX94" s="15"/>
      <c r="AY94" s="45"/>
      <c r="AZ94" s="28"/>
      <c r="BA94" s="13"/>
      <c r="BB94" s="15"/>
      <c r="BC94" s="45"/>
      <c r="BD94" s="28"/>
      <c r="BE94" s="200"/>
      <c r="BF94" s="210">
        <f t="shared" ref="BF94:BG94" si="263">K94+O94+S94+W94+AA94+AE94+AI94+AM94+AQ94+AU94+AY94+BC94</f>
        <v>1000</v>
      </c>
      <c r="BG94" s="204">
        <f t="shared" si="263"/>
        <v>1000</v>
      </c>
      <c r="BH94" s="211">
        <f t="shared" si="253"/>
        <v>0</v>
      </c>
      <c r="BI94" s="212"/>
      <c r="BJ94" s="203"/>
      <c r="BK94" s="203" t="b">
        <f>H94='2021'!BH94</f>
        <v>1</v>
      </c>
    </row>
    <row r="95" ht="15.75" customHeight="1" spans="1:63" x14ac:dyDescent="0.25">
      <c r="A95" s="199">
        <v>10</v>
      </c>
      <c r="B95" s="200"/>
      <c r="C95" s="200"/>
      <c r="D95" s="200" t="s">
        <v>51</v>
      </c>
      <c r="E95" s="199" t="s">
        <v>49</v>
      </c>
      <c r="F95" s="210">
        <v>500</v>
      </c>
      <c r="G95" s="211"/>
      <c r="H95" s="238">
        <f>'2021'!BH95</f>
        <v>0</v>
      </c>
      <c r="I95" s="13"/>
      <c r="J95" s="203"/>
      <c r="K95" s="203"/>
      <c r="L95" s="205"/>
      <c r="M95" s="13"/>
      <c r="N95" s="312"/>
      <c r="O95" s="203"/>
      <c r="P95" s="205"/>
      <c r="Q95" s="13"/>
      <c r="R95" s="312"/>
      <c r="S95" s="203"/>
      <c r="T95" s="205"/>
      <c r="U95" s="13"/>
      <c r="V95" s="312"/>
      <c r="W95" s="203"/>
      <c r="X95" s="205"/>
      <c r="Y95" s="13"/>
      <c r="Z95" s="315"/>
      <c r="AA95" s="203"/>
      <c r="AB95" s="205"/>
      <c r="AC95" s="357"/>
      <c r="AD95" s="312"/>
      <c r="AE95" s="204"/>
      <c r="AF95" s="182"/>
      <c r="AG95" s="313"/>
      <c r="AH95" s="2"/>
      <c r="AI95" s="45"/>
      <c r="AJ95" s="15"/>
      <c r="AK95" s="313"/>
      <c r="AL95" s="15"/>
      <c r="AM95" s="45"/>
      <c r="AN95" s="15"/>
      <c r="AO95" s="13"/>
      <c r="AP95" s="15"/>
      <c r="AQ95" s="180">
        <f>B90*$F$14</f>
        <v>0</v>
      </c>
      <c r="AR95" s="15"/>
      <c r="AS95" s="13"/>
      <c r="AT95" s="15"/>
      <c r="AU95" s="45"/>
      <c r="AV95" s="28"/>
      <c r="AW95" s="13"/>
      <c r="AX95" s="15"/>
      <c r="AY95" s="45"/>
      <c r="AZ95" s="28"/>
      <c r="BA95" s="13"/>
      <c r="BB95" s="15"/>
      <c r="BC95" s="45"/>
      <c r="BD95" s="28"/>
      <c r="BE95" s="200"/>
      <c r="BF95" s="210">
        <f t="shared" ref="BF95:BG95" si="264">K95+O95+S95+W95+AA95+AE95+AI95+AM95+AQ95+AU95+AY95+BC95</f>
        <v>0</v>
      </c>
      <c r="BG95" s="204">
        <f t="shared" si="264"/>
        <v>0</v>
      </c>
      <c r="BH95" s="211">
        <f t="shared" si="253"/>
        <v>0</v>
      </c>
      <c r="BI95" s="212"/>
      <c r="BJ95" s="203"/>
      <c r="BK95" s="203" t="b">
        <f>H95='2021'!BH95</f>
        <v>1</v>
      </c>
    </row>
    <row r="96" ht="15.75" customHeight="1" spans="1:63" x14ac:dyDescent="0.25">
      <c r="A96" s="199">
        <v>10</v>
      </c>
      <c r="B96" s="200"/>
      <c r="C96" s="200"/>
      <c r="D96" s="200" t="s">
        <v>52</v>
      </c>
      <c r="E96" s="199" t="s">
        <v>39</v>
      </c>
      <c r="F96" s="210">
        <v>500</v>
      </c>
      <c r="G96" s="211"/>
      <c r="H96" s="238">
        <f>'2021'!BH96</f>
        <v>0</v>
      </c>
      <c r="I96" s="13"/>
      <c r="J96" s="203"/>
      <c r="K96" s="203"/>
      <c r="L96" s="205"/>
      <c r="M96" s="13"/>
      <c r="N96" s="312"/>
      <c r="O96" s="203"/>
      <c r="P96" s="205"/>
      <c r="Q96" s="13"/>
      <c r="R96" s="312"/>
      <c r="S96" s="203"/>
      <c r="T96" s="205"/>
      <c r="U96" s="13"/>
      <c r="V96" s="312"/>
      <c r="W96" s="203"/>
      <c r="X96" s="205"/>
      <c r="Y96" s="13"/>
      <c r="Z96" s="315"/>
      <c r="AA96" s="34">
        <f>$F$15</f>
      </c>
      <c r="AB96" s="211"/>
      <c r="AC96" s="357"/>
      <c r="AD96" s="312"/>
      <c r="AE96" s="203"/>
      <c r="AF96" s="211"/>
      <c r="AG96" s="313"/>
      <c r="AH96" s="2"/>
      <c r="AI96" s="45"/>
      <c r="AJ96" s="180"/>
      <c r="AK96" s="313"/>
      <c r="AL96" s="15"/>
      <c r="AM96" s="45"/>
      <c r="AN96" s="34"/>
      <c r="AO96" s="13"/>
      <c r="AP96" s="15"/>
      <c r="AQ96" s="45"/>
      <c r="AR96" s="34"/>
      <c r="AS96" s="13"/>
      <c r="AT96" s="15"/>
      <c r="AU96" s="45"/>
      <c r="AV96" s="35"/>
      <c r="AW96" s="13"/>
      <c r="AX96" s="15"/>
      <c r="AY96" s="45"/>
      <c r="AZ96" s="35"/>
      <c r="BA96" s="13"/>
      <c r="BB96" s="15"/>
      <c r="BC96" s="45"/>
      <c r="BD96" s="35"/>
      <c r="BE96" s="200"/>
      <c r="BF96" s="210">
        <f t="shared" ref="BF96:BG96" si="265">K96+O96+S96+W96+AA96+AE96+AI96+AM96+AQ96+AU96+AY96+BC96</f>
        <v>0</v>
      </c>
      <c r="BG96" s="204">
        <f t="shared" si="265"/>
        <v>0</v>
      </c>
      <c r="BH96" s="211">
        <f t="shared" si="253"/>
        <v>0</v>
      </c>
      <c r="BI96" s="212"/>
      <c r="BJ96" s="203"/>
      <c r="BK96" s="203" t="b">
        <f>H96='2021'!BH96</f>
        <v>1</v>
      </c>
    </row>
    <row r="97" ht="15.75" customHeight="1" spans="1:63" x14ac:dyDescent="0.25">
      <c r="A97" s="216">
        <v>10</v>
      </c>
      <c r="B97" s="217"/>
      <c r="C97" s="217" t="s">
        <v>53</v>
      </c>
      <c r="D97" s="217"/>
      <c r="E97" s="216"/>
      <c r="F97" s="240"/>
      <c r="G97" s="241"/>
      <c r="H97" s="223">
        <f>SUM(H89:H96)</f>
        <v>-244.79</v>
      </c>
      <c r="I97" s="52"/>
      <c r="J97" s="220"/>
      <c r="K97" s="221">
        <f t="shared" ref="K97:L97" si="266">SUM(K89:K96)</f>
        <v>0</v>
      </c>
      <c r="L97" s="222">
        <f t="shared" si="266"/>
        <v>0</v>
      </c>
      <c r="M97" s="52"/>
      <c r="N97" s="319"/>
      <c r="O97" s="221">
        <f t="shared" ref="O97:P97" si="267">SUM(O89:O96)</f>
        <v>0</v>
      </c>
      <c r="P97" s="222">
        <f t="shared" si="267"/>
        <v>0</v>
      </c>
      <c r="Q97" s="52"/>
      <c r="R97" s="319"/>
      <c r="S97" s="221">
        <f t="shared" ref="S97:T97" si="268">SUM(S89:S96)</f>
        <v>0</v>
      </c>
      <c r="T97" s="222">
        <f t="shared" si="268"/>
        <v>0</v>
      </c>
      <c r="U97" s="52"/>
      <c r="V97" s="319"/>
      <c r="W97" s="221">
        <f t="shared" ref="W97:X97" si="269">SUM(W89:W96)</f>
        <v>0</v>
      </c>
      <c r="X97" s="222">
        <f t="shared" si="269"/>
        <v>0</v>
      </c>
      <c r="Y97" s="52"/>
      <c r="Z97" s="322"/>
      <c r="AA97" s="221">
        <f t="shared" ref="AA97:AB97" si="270">SUM(AA89:AA96)</f>
        <v>0</v>
      </c>
      <c r="AB97" s="222">
        <f t="shared" si="270"/>
        <v>0</v>
      </c>
      <c r="AC97" s="361"/>
      <c r="AD97" s="319"/>
      <c r="AE97" s="221">
        <f t="shared" ref="AE97:AF97" si="271">SUM(AE89:AE96)</f>
        <v>6213</v>
      </c>
      <c r="AF97" s="222">
        <f t="shared" si="271"/>
        <v>6200</v>
      </c>
      <c r="AG97" s="320"/>
      <c r="AH97" s="301"/>
      <c r="AI97" s="183">
        <f t="shared" ref="AI97:AJ97" si="272">SUM(AI89:AI96)</f>
        <v>0</v>
      </c>
      <c r="AJ97" s="51">
        <f t="shared" si="272"/>
        <v>0</v>
      </c>
      <c r="AK97" s="320"/>
      <c r="AL97" s="53"/>
      <c r="AM97" s="183">
        <f t="shared" ref="AM97:AN97" si="273">SUM(AM89:AM96)</f>
        <v>299.6</v>
      </c>
      <c r="AN97" s="51">
        <f t="shared" si="273"/>
        <v>312.6</v>
      </c>
      <c r="AO97" s="52"/>
      <c r="AP97" s="53"/>
      <c r="AQ97" s="183">
        <f t="shared" ref="AQ97:AR97" si="274">SUM(AQ89:AQ96)</f>
        <v>0</v>
      </c>
      <c r="AR97" s="51">
        <f t="shared" si="274"/>
        <v>0</v>
      </c>
      <c r="AS97" s="52"/>
      <c r="AT97" s="53"/>
      <c r="AU97" s="183">
        <f t="shared" ref="AU97:AV97" si="275">SUM(AU89:AU96)</f>
        <v>0</v>
      </c>
      <c r="AV97" s="68">
        <f t="shared" si="275"/>
        <v>0</v>
      </c>
      <c r="AW97" s="52"/>
      <c r="AX97" s="53"/>
      <c r="AY97" s="183">
        <f t="shared" ref="AY97:AZ97" si="276">SUM(AY89:AY96)</f>
        <v>0</v>
      </c>
      <c r="AZ97" s="68">
        <f t="shared" si="276"/>
        <v>0</v>
      </c>
      <c r="BA97" s="52"/>
      <c r="BB97" s="53"/>
      <c r="BC97" s="183">
        <f t="shared" ref="BC97:BD97" si="277">SUM(BC89:BC96)</f>
        <v>0</v>
      </c>
      <c r="BD97" s="68">
        <f t="shared" si="277"/>
        <v>0</v>
      </c>
      <c r="BE97" s="223"/>
      <c r="BF97" s="224">
        <f t="shared" ref="BF97:BH97" si="278">SUM(BF89:BF96)</f>
        <v>6512.6</v>
      </c>
      <c r="BG97" s="225">
        <f t="shared" si="278"/>
        <v>6512.6</v>
      </c>
      <c r="BH97" s="226">
        <f t="shared" si="278"/>
        <v>-244.79</v>
      </c>
      <c r="BI97" s="227">
        <f>H97+BF97-BG97</f>
        <v>-244.79</v>
      </c>
      <c r="BJ97" s="204">
        <f>BH97-BI97</f>
        <v>0</v>
      </c>
      <c r="BK97" s="203" t="b">
        <f>H97='2021'!BH97</f>
        <v>1</v>
      </c>
    </row>
    <row r="98" ht="15.75" customHeight="1" spans="1:63" x14ac:dyDescent="0.25">
      <c r="A98" s="175">
        <v>11</v>
      </c>
      <c r="B98" s="14"/>
      <c r="D98" s="14" t="s">
        <v>379</v>
      </c>
      <c r="F98" s="13"/>
      <c r="G98" s="28"/>
      <c r="H98" s="34">
        <f>'2021'!BH98</f>
        <v>0</v>
      </c>
      <c r="I98" s="13"/>
      <c r="J98" s="15"/>
      <c r="K98" s="15"/>
      <c r="L98" s="28"/>
      <c r="M98" s="13"/>
      <c r="N98" s="15"/>
      <c r="O98" s="15"/>
      <c r="P98" s="15"/>
      <c r="Q98" s="13"/>
      <c r="R98" s="15"/>
      <c r="S98" s="15"/>
      <c r="T98" s="28"/>
      <c r="U98" s="13"/>
      <c r="V98" s="15"/>
      <c r="W98" s="15"/>
      <c r="X98" s="15"/>
      <c r="Y98" s="13"/>
      <c r="Z98" s="2"/>
      <c r="AA98" s="15"/>
      <c r="AB98" s="28"/>
      <c r="AC98" s="348"/>
      <c r="AD98" s="15"/>
      <c r="AE98" s="15"/>
      <c r="AF98" s="15"/>
      <c r="AG98" s="15"/>
      <c r="AH98" s="2"/>
      <c r="AI98" s="45"/>
      <c r="AJ98" s="154"/>
      <c r="AK98" s="15"/>
      <c r="AL98" s="15"/>
      <c r="AM98" s="45"/>
      <c r="AN98" s="15"/>
      <c r="AO98" s="13"/>
      <c r="AP98" s="15"/>
      <c r="AQ98" s="180"/>
      <c r="AR98" s="15"/>
      <c r="AS98" s="13"/>
      <c r="AT98" s="15"/>
      <c r="AU98" s="180"/>
      <c r="AV98" s="15"/>
      <c r="AW98" s="13"/>
      <c r="AX98" s="15"/>
      <c r="AY98" s="180"/>
      <c r="AZ98" s="28"/>
      <c r="BA98" s="13"/>
      <c r="BB98" s="15"/>
      <c r="BC98" s="180"/>
      <c r="BD98" s="28"/>
      <c r="BE98" s="14"/>
      <c r="BF98" s="41">
        <f t="shared" ref="BF98:BG98" si="279">K98+O98+S98+W98+AA98+AE98+AI98+AM98+AQ98+AU98+AY98+BC98</f>
        <v>0</v>
      </c>
      <c r="BG98" s="34">
        <f t="shared" si="279"/>
        <v>0</v>
      </c>
      <c r="BH98" s="35">
        <f t="shared" ref="BH98:BH105" si="280">H98+BF98-BG98</f>
        <v>0</v>
      </c>
      <c r="BK98" s="2" t="b">
        <f>H98='2021'!BH98</f>
        <v>1</v>
      </c>
    </row>
    <row r="99" ht="15.75" customHeight="1" spans="1:63" x14ac:dyDescent="0.25">
      <c r="A99" s="176">
        <v>11</v>
      </c>
      <c r="B99" s="14">
        <v>4.02</v>
      </c>
      <c r="C99" s="2" t="s">
        <v>545</v>
      </c>
      <c r="D99" s="14" t="s">
        <v>44</v>
      </c>
      <c r="E99" s="2" t="s">
        <v>45</v>
      </c>
      <c r="F99" s="41">
        <v>2.5</v>
      </c>
      <c r="G99" s="35">
        <v>2.6</v>
      </c>
      <c r="H99" s="34">
        <f>'2021'!BH99</f>
        <v>-78</v>
      </c>
      <c r="I99" s="13">
        <v>36</v>
      </c>
      <c r="J99" s="15">
        <f>I99-'2021'!BA99</f>
        <v>0</v>
      </c>
      <c r="K99" s="34">
        <f>J99*$F$8</f>
        <v>0</v>
      </c>
      <c r="L99" s="28"/>
      <c r="M99" s="13">
        <v>36</v>
      </c>
      <c r="N99" s="15">
        <f t="shared" ref="N99:N100" si="281">M99-I99</f>
        <v>0</v>
      </c>
      <c r="O99" s="34">
        <f>N99*$F$8</f>
        <v>0</v>
      </c>
      <c r="P99" s="15"/>
      <c r="Q99" s="13">
        <v>36</v>
      </c>
      <c r="R99" s="15">
        <f t="shared" ref="R99:R100" si="282">Q99-M99</f>
        <v>0</v>
      </c>
      <c r="S99" s="34">
        <f>R99*$F$8</f>
        <v>0</v>
      </c>
      <c r="T99" s="28"/>
      <c r="U99" s="13">
        <v>36</v>
      </c>
      <c r="V99" s="15">
        <f t="shared" ref="V99:V100" si="283">U99-Q99</f>
        <v>0</v>
      </c>
      <c r="W99" s="34">
        <f>V99*$F$8</f>
        <v>0</v>
      </c>
      <c r="X99" s="15"/>
      <c r="Y99" s="13">
        <v>36</v>
      </c>
      <c r="Z99" s="2">
        <f t="shared" ref="Z99:Z100" si="284">Y99-U99</f>
        <v>0</v>
      </c>
      <c r="AA99" s="34">
        <f>Z99*$F$8</f>
        <v>0</v>
      </c>
      <c r="AB99" s="35"/>
      <c r="AC99" s="350">
        <v>36</v>
      </c>
      <c r="AD99" s="15">
        <f t="shared" ref="AD99:AD100" si="285">AC99-Y99</f>
        <v>0</v>
      </c>
      <c r="AE99" s="180">
        <f>AD99*$F$8</f>
        <v>0</v>
      </c>
      <c r="AF99" s="15"/>
      <c r="AG99" s="13">
        <v>36</v>
      </c>
      <c r="AH99" s="2">
        <f>(AG99-AC99)*AH5</f>
        <v>0</v>
      </c>
      <c r="AI99" s="45">
        <f>AH99*$G$8</f>
        <v>0</v>
      </c>
      <c r="AJ99" s="154"/>
      <c r="AK99" s="13">
        <v>36</v>
      </c>
      <c r="AL99" s="15">
        <f>(AK99-AG99)*AL5</f>
        <v>0</v>
      </c>
      <c r="AM99" s="45">
        <f>AL99*$G$8</f>
        <v>0</v>
      </c>
      <c r="AN99" s="15"/>
      <c r="AO99" s="13">
        <v>36</v>
      </c>
      <c r="AP99" s="15">
        <f>(AO99-AK99)*AP5</f>
        <v>0</v>
      </c>
      <c r="AQ99" s="45">
        <f>AP99*$G$8</f>
        <v>0</v>
      </c>
      <c r="AR99" s="15"/>
      <c r="AS99" s="13">
        <v>36</v>
      </c>
      <c r="AT99" s="15">
        <f>(AS99-AO99)*AT5</f>
        <v>0</v>
      </c>
      <c r="AU99" s="45">
        <f>AT99*$G$8</f>
        <v>0</v>
      </c>
      <c r="AV99" s="15"/>
      <c r="AW99" s="13"/>
      <c r="AX99" s="15">
        <f>(AW99-AS99)*AX5</f>
        <v>0</v>
      </c>
      <c r="AY99" s="45">
        <f>AX99*$G$8</f>
        <v>0</v>
      </c>
      <c r="AZ99" s="208"/>
      <c r="BA99" s="13"/>
      <c r="BB99" s="15"/>
      <c r="BC99" s="45">
        <f>BB99*$G$8</f>
        <v>0</v>
      </c>
      <c r="BD99" s="208"/>
      <c r="BE99" s="40">
        <f t="shared" ref="BE99:BG99" si="286">J99+N99+R99+V99+Z99+AD99+AH99+AL99+AP99+AT99+AX99+BB99</f>
        <v>0</v>
      </c>
      <c r="BF99" s="41">
        <f t="shared" si="286"/>
        <v>0</v>
      </c>
      <c r="BG99" s="34">
        <f t="shared" si="286"/>
        <v>0</v>
      </c>
      <c r="BH99" s="35">
        <f t="shared" si="280"/>
        <v>-78</v>
      </c>
      <c r="BK99" s="2" t="b">
        <f>H99='2021'!BH99</f>
        <v>1</v>
      </c>
    </row>
    <row r="100" ht="15.75" customHeight="1" spans="1:63" x14ac:dyDescent="0.25">
      <c r="A100" s="176">
        <v>11</v>
      </c>
      <c r="B100" s="14"/>
      <c r="C100" s="2" t="s">
        <v>71</v>
      </c>
      <c r="D100" s="14" t="s">
        <v>47</v>
      </c>
      <c r="E100" s="2" t="s">
        <v>48</v>
      </c>
      <c r="F100" s="13">
        <v>18.56</v>
      </c>
      <c r="G100" s="35">
        <v>19.46</v>
      </c>
      <c r="H100" s="34">
        <f>'2021'!BH100</f>
        <v>0</v>
      </c>
      <c r="I100" s="13">
        <v>10</v>
      </c>
      <c r="J100" s="15"/>
      <c r="K100" s="15"/>
      <c r="L100" s="28"/>
      <c r="M100" s="13">
        <v>10</v>
      </c>
      <c r="N100" s="15">
        <f t="shared" si="281"/>
        <v>0</v>
      </c>
      <c r="O100" s="15"/>
      <c r="P100" s="15"/>
      <c r="Q100" s="13">
        <v>10</v>
      </c>
      <c r="R100" s="15">
        <f t="shared" si="282"/>
        <v>0</v>
      </c>
      <c r="S100" s="15"/>
      <c r="T100" s="28"/>
      <c r="U100" s="13">
        <v>10</v>
      </c>
      <c r="V100" s="15">
        <f t="shared" si="283"/>
        <v>0</v>
      </c>
      <c r="W100" s="34">
        <f>V100*$F$10</f>
        <v>0</v>
      </c>
      <c r="X100" s="15"/>
      <c r="Y100" s="13">
        <v>10</v>
      </c>
      <c r="Z100" s="2">
        <f t="shared" si="284"/>
        <v>0</v>
      </c>
      <c r="AA100" s="34">
        <f>Z100*$F$10</f>
        <v>0</v>
      </c>
      <c r="AB100" s="28"/>
      <c r="AC100" s="348">
        <v>10</v>
      </c>
      <c r="AD100" s="15">
        <f t="shared" si="285"/>
        <v>0</v>
      </c>
      <c r="AE100" s="34">
        <f>AD100*$F$10</f>
        <v>0</v>
      </c>
      <c r="AF100" s="15"/>
      <c r="AG100" s="15">
        <v>10</v>
      </c>
      <c r="AH100" s="2">
        <f>AG100-AC100</f>
        <v>0</v>
      </c>
      <c r="AI100" s="45">
        <f>AH100*$G$10</f>
        <v>0</v>
      </c>
      <c r="AJ100" s="154"/>
      <c r="AK100" s="15">
        <v>10</v>
      </c>
      <c r="AL100" s="15">
        <f>AK100-AG100</f>
        <v>0</v>
      </c>
      <c r="AM100" s="45">
        <f>AL100*$G$10</f>
        <v>0</v>
      </c>
      <c r="AN100" s="15"/>
      <c r="AO100" s="13">
        <v>10</v>
      </c>
      <c r="AP100" s="15">
        <f>AO100-AK100</f>
        <v>0</v>
      </c>
      <c r="AQ100" s="45">
        <f>AP100*$G$10</f>
        <v>0</v>
      </c>
      <c r="AR100" s="15"/>
      <c r="AS100" s="13">
        <v>10</v>
      </c>
      <c r="AT100" s="15">
        <f>AS100-AO100</f>
        <v>0</v>
      </c>
      <c r="AU100" s="45">
        <f>AT100*$G$10</f>
        <v>0</v>
      </c>
      <c r="AV100" s="15"/>
      <c r="AW100" s="13"/>
      <c r="AX100" s="15">
        <f>AW100-AS100</f>
        <v>-10</v>
      </c>
      <c r="AY100" s="45"/>
      <c r="AZ100" s="208"/>
      <c r="BA100" s="13"/>
      <c r="BB100" s="15"/>
      <c r="BC100" s="45"/>
      <c r="BD100" s="208"/>
      <c r="BE100" s="40">
        <f t="shared" ref="BE100:BG100" si="287">J100+N100+R100+V100+Z100+AD100+AH100+AL100+AP100+AT100+AX100+BB100</f>
        <v>-10</v>
      </c>
      <c r="BF100" s="41">
        <f t="shared" si="287"/>
        <v>0</v>
      </c>
      <c r="BG100" s="34">
        <f t="shared" si="287"/>
        <v>0</v>
      </c>
      <c r="BH100" s="35">
        <f t="shared" si="280"/>
        <v>0</v>
      </c>
      <c r="BK100" s="2" t="b">
        <f>H100='2021'!BH100</f>
        <v>1</v>
      </c>
    </row>
    <row r="101" ht="15.75" customHeight="1" spans="1:63" x14ac:dyDescent="0.25">
      <c r="A101" s="176">
        <v>11</v>
      </c>
      <c r="B101" s="14"/>
      <c r="C101" s="2" t="s">
        <v>115</v>
      </c>
      <c r="D101" s="14" t="s">
        <v>47</v>
      </c>
      <c r="E101" s="2" t="s">
        <v>49</v>
      </c>
      <c r="F101" s="41">
        <v>500</v>
      </c>
      <c r="G101" s="35"/>
      <c r="H101" s="34">
        <f>'2021'!BH101</f>
        <v>0</v>
      </c>
      <c r="I101" s="13"/>
      <c r="J101" s="15"/>
      <c r="K101" s="15"/>
      <c r="L101" s="28"/>
      <c r="M101" s="13"/>
      <c r="N101" s="15"/>
      <c r="O101" s="15"/>
      <c r="P101" s="15"/>
      <c r="Q101" s="13"/>
      <c r="R101" s="15"/>
      <c r="S101" s="15"/>
      <c r="T101" s="28"/>
      <c r="U101" s="13"/>
      <c r="V101" s="15"/>
      <c r="W101" s="15"/>
      <c r="X101" s="15"/>
      <c r="Y101" s="13"/>
      <c r="Z101" s="2"/>
      <c r="AA101" s="15"/>
      <c r="AB101" s="28"/>
      <c r="AC101" s="348"/>
      <c r="AD101" s="15"/>
      <c r="AE101" s="34"/>
      <c r="AF101" s="15"/>
      <c r="AG101" s="15"/>
      <c r="AH101" s="2"/>
      <c r="AI101" s="45"/>
      <c r="AJ101" s="154"/>
      <c r="AK101" s="15"/>
      <c r="AL101" s="15"/>
      <c r="AM101" s="45"/>
      <c r="AN101" s="15"/>
      <c r="AO101" s="13"/>
      <c r="AP101" s="15"/>
      <c r="AQ101" s="45"/>
      <c r="AR101" s="15"/>
      <c r="AS101" s="13"/>
      <c r="AT101" s="15"/>
      <c r="AU101" s="45"/>
      <c r="AV101" s="15"/>
      <c r="AW101" s="13"/>
      <c r="AX101" s="15"/>
      <c r="AY101" s="45"/>
      <c r="AZ101" s="28"/>
      <c r="BA101" s="13"/>
      <c r="BB101" s="15"/>
      <c r="BC101" s="45"/>
      <c r="BD101" s="28"/>
      <c r="BE101" s="14"/>
      <c r="BF101" s="41">
        <f t="shared" ref="BF101:BG101" si="288">K101+O101+S101+W101+AA101+AE101+AI101+AM101+AQ101+AU101+AY101+BC101</f>
        <v>0</v>
      </c>
      <c r="BG101" s="34">
        <f t="shared" si="288"/>
        <v>0</v>
      </c>
      <c r="BH101" s="35">
        <f t="shared" si="280"/>
        <v>0</v>
      </c>
      <c r="BK101" s="2" t="b">
        <f>H101='2021'!BH101</f>
        <v>1</v>
      </c>
    </row>
    <row r="102" ht="15.75" customHeight="1" spans="1:63" x14ac:dyDescent="0.25">
      <c r="A102" s="176">
        <v>11</v>
      </c>
      <c r="B102" s="14"/>
      <c r="C102" s="73" t="s">
        <v>546</v>
      </c>
      <c r="D102" s="14" t="s">
        <v>50</v>
      </c>
      <c r="E102" s="2" t="s">
        <v>49</v>
      </c>
      <c r="F102" s="41">
        <v>1100</v>
      </c>
      <c r="G102" s="35"/>
      <c r="H102" s="34">
        <f>'2021'!BH102</f>
        <v>0</v>
      </c>
      <c r="I102" s="13"/>
      <c r="J102" s="15"/>
      <c r="K102" s="15"/>
      <c r="L102" s="28"/>
      <c r="M102" s="13"/>
      <c r="N102" s="15"/>
      <c r="O102" s="15"/>
      <c r="P102" s="15"/>
      <c r="Q102" s="13"/>
      <c r="R102" s="15"/>
      <c r="S102" s="15"/>
      <c r="T102" s="28"/>
      <c r="U102" s="13"/>
      <c r="V102" s="15"/>
      <c r="W102" s="15"/>
      <c r="X102" s="15"/>
      <c r="Y102" s="13"/>
      <c r="Z102" s="2"/>
      <c r="AA102" s="15"/>
      <c r="AB102" s="28"/>
      <c r="AC102" s="348"/>
      <c r="AD102" s="15"/>
      <c r="AE102" s="34">
        <f>B99*$F$12</f>
        <v>5226</v>
      </c>
      <c r="AF102" s="15"/>
      <c r="AG102" s="15"/>
      <c r="AH102" s="2"/>
      <c r="AI102" s="45"/>
      <c r="AJ102" s="154"/>
      <c r="AK102" s="15"/>
      <c r="AL102" s="15"/>
      <c r="AM102" s="45"/>
      <c r="AN102" s="15"/>
      <c r="AO102" s="13"/>
      <c r="AP102" s="15"/>
      <c r="AQ102" s="45"/>
      <c r="AR102" s="15"/>
      <c r="AS102" s="13"/>
      <c r="AT102" s="15"/>
      <c r="AU102" s="45"/>
      <c r="AV102" s="15"/>
      <c r="AW102" s="13"/>
      <c r="AX102" s="15"/>
      <c r="AY102" s="45"/>
      <c r="AZ102" s="28"/>
      <c r="BA102" s="13"/>
      <c r="BB102" s="15"/>
      <c r="BC102" s="45"/>
      <c r="BD102" s="28"/>
      <c r="BE102" s="14"/>
      <c r="BF102" s="41">
        <f t="shared" ref="BF102:BG102" si="289">K102+O102+S102+W102+AA102+AE102+AI102+AM102+AQ102+AU102+AY102+BC102</f>
        <v>5226</v>
      </c>
      <c r="BG102" s="34">
        <f t="shared" si="289"/>
        <v>0</v>
      </c>
      <c r="BH102" s="35">
        <f t="shared" si="280"/>
        <v>5226</v>
      </c>
      <c r="BK102" s="2" t="b">
        <f>H102='2021'!BH102</f>
        <v>1</v>
      </c>
    </row>
    <row r="103" ht="15.75" customHeight="1" spans="1:63" x14ac:dyDescent="0.25">
      <c r="A103" s="176">
        <v>11</v>
      </c>
      <c r="B103" s="14"/>
      <c r="D103" s="14" t="s">
        <v>51</v>
      </c>
      <c r="E103" s="2" t="s">
        <v>39</v>
      </c>
      <c r="F103" s="41">
        <v>500</v>
      </c>
      <c r="G103" s="35"/>
      <c r="H103" s="34">
        <f>'2021'!BH103</f>
        <v>0</v>
      </c>
      <c r="I103" s="13"/>
      <c r="J103" s="15"/>
      <c r="K103" s="15"/>
      <c r="L103" s="28"/>
      <c r="M103" s="13"/>
      <c r="N103" s="15"/>
      <c r="O103" s="15"/>
      <c r="P103" s="15"/>
      <c r="Q103" s="13"/>
      <c r="R103" s="15"/>
      <c r="S103" s="15"/>
      <c r="T103" s="28"/>
      <c r="U103" s="13"/>
      <c r="V103" s="15"/>
      <c r="W103" s="15"/>
      <c r="X103" s="15"/>
      <c r="Y103" s="13"/>
      <c r="Z103" s="2"/>
      <c r="AA103" s="15"/>
      <c r="AB103" s="28"/>
      <c r="AC103" s="348"/>
      <c r="AD103" s="15"/>
      <c r="AE103" s="180">
        <f>$F$13</f>
        <v>1000</v>
      </c>
      <c r="AF103" s="15"/>
      <c r="AG103" s="15"/>
      <c r="AH103" s="2"/>
      <c r="AI103" s="45"/>
      <c r="AJ103" s="154"/>
      <c r="AK103" s="15"/>
      <c r="AL103" s="15"/>
      <c r="AM103" s="45"/>
      <c r="AN103" s="15"/>
      <c r="AO103" s="13"/>
      <c r="AP103" s="15"/>
      <c r="AQ103" s="180"/>
      <c r="AR103" s="15"/>
      <c r="AS103" s="13"/>
      <c r="AT103" s="15"/>
      <c r="AU103" s="45"/>
      <c r="AV103" s="15"/>
      <c r="AW103" s="13"/>
      <c r="AX103" s="15"/>
      <c r="AY103" s="45"/>
      <c r="AZ103" s="28"/>
      <c r="BA103" s="13"/>
      <c r="BB103" s="15"/>
      <c r="BC103" s="45"/>
      <c r="BD103" s="28"/>
      <c r="BE103" s="14"/>
      <c r="BF103" s="41">
        <f t="shared" ref="BF103:BG103" si="290">K103+O103+S103+W103+AA103+AE103+AI103+AM103+AQ103+AU103+AY103+BC103</f>
        <v>1000</v>
      </c>
      <c r="BG103" s="34">
        <f t="shared" si="290"/>
        <v>0</v>
      </c>
      <c r="BH103" s="35">
        <f t="shared" si="280"/>
        <v>1000</v>
      </c>
      <c r="BK103" s="2" t="b">
        <f>H103='2021'!BH103</f>
        <v>1</v>
      </c>
    </row>
    <row r="104" ht="15.75" customHeight="1" spans="1:63" x14ac:dyDescent="0.25">
      <c r="A104" s="176">
        <v>11</v>
      </c>
      <c r="B104" s="14"/>
      <c r="D104" s="14" t="s">
        <v>51</v>
      </c>
      <c r="E104" s="2" t="s">
        <v>49</v>
      </c>
      <c r="F104" s="41">
        <v>500</v>
      </c>
      <c r="G104" s="35"/>
      <c r="H104" s="34">
        <f>'2021'!BH104</f>
        <v>0</v>
      </c>
      <c r="I104" s="13"/>
      <c r="J104" s="15"/>
      <c r="K104" s="15"/>
      <c r="L104" s="28"/>
      <c r="M104" s="13"/>
      <c r="N104" s="15"/>
      <c r="O104" s="15"/>
      <c r="P104" s="15"/>
      <c r="Q104" s="13"/>
      <c r="R104" s="15"/>
      <c r="S104" s="15"/>
      <c r="T104" s="28"/>
      <c r="U104" s="13"/>
      <c r="V104" s="15"/>
      <c r="W104" s="15"/>
      <c r="X104" s="15"/>
      <c r="Y104" s="13"/>
      <c r="Z104" s="2"/>
      <c r="AA104" s="15"/>
      <c r="AB104" s="28"/>
      <c r="AC104" s="348"/>
      <c r="AD104" s="15"/>
      <c r="AE104" s="34"/>
      <c r="AF104" s="15"/>
      <c r="AG104" s="15"/>
      <c r="AH104" s="2"/>
      <c r="AI104" s="45"/>
      <c r="AJ104" s="154"/>
      <c r="AK104" s="15"/>
      <c r="AL104" s="15"/>
      <c r="AM104" s="45"/>
      <c r="AN104" s="15"/>
      <c r="AO104" s="13"/>
      <c r="AP104" s="15"/>
      <c r="AQ104" s="180">
        <f>B99*$F$14</f>
        <v>0</v>
      </c>
      <c r="AR104" s="15"/>
      <c r="AS104" s="13"/>
      <c r="AT104" s="15"/>
      <c r="AU104" s="45"/>
      <c r="AV104" s="15"/>
      <c r="AW104" s="13"/>
      <c r="AX104" s="15"/>
      <c r="AY104" s="45"/>
      <c r="AZ104" s="28"/>
      <c r="BA104" s="13"/>
      <c r="BB104" s="15"/>
      <c r="BC104" s="45"/>
      <c r="BD104" s="28"/>
      <c r="BE104" s="14"/>
      <c r="BF104" s="41">
        <f t="shared" ref="BF104:BG104" si="291">K104+O104+S104+W104+AA104+AE104+AI104+AM104+AQ104+AU104+AY104+BC104</f>
        <v>0</v>
      </c>
      <c r="BG104" s="34">
        <f t="shared" si="291"/>
        <v>0</v>
      </c>
      <c r="BH104" s="35">
        <f t="shared" si="280"/>
        <v>0</v>
      </c>
      <c r="BK104" s="2" t="b">
        <f>H104='2021'!BH104</f>
        <v>1</v>
      </c>
    </row>
    <row r="105" ht="15.75" customHeight="1" spans="1:63" x14ac:dyDescent="0.25">
      <c r="A105" s="176">
        <v>11</v>
      </c>
      <c r="B105" s="14"/>
      <c r="D105" s="14" t="s">
        <v>52</v>
      </c>
      <c r="E105" s="2" t="s">
        <v>39</v>
      </c>
      <c r="F105" s="41">
        <v>500</v>
      </c>
      <c r="G105" s="35"/>
      <c r="H105" s="34">
        <f>'2021'!BH105</f>
        <v>0</v>
      </c>
      <c r="I105" s="13"/>
      <c r="J105" s="15"/>
      <c r="K105" s="15"/>
      <c r="L105" s="28"/>
      <c r="M105" s="13"/>
      <c r="N105" s="15"/>
      <c r="O105" s="15"/>
      <c r="P105" s="15"/>
      <c r="Q105" s="13"/>
      <c r="R105" s="15"/>
      <c r="S105" s="15"/>
      <c r="T105" s="28"/>
      <c r="U105" s="13"/>
      <c r="V105" s="15"/>
      <c r="W105" s="15"/>
      <c r="X105" s="15"/>
      <c r="Y105" s="13"/>
      <c r="Z105" s="2"/>
      <c r="AA105" s="34">
        <f>$F$15</f>
      </c>
      <c r="AB105" s="35"/>
      <c r="AC105" s="348"/>
      <c r="AD105" s="15"/>
      <c r="AE105" s="15"/>
      <c r="AF105" s="15"/>
      <c r="AG105" s="15"/>
      <c r="AH105" s="2"/>
      <c r="AI105" s="45"/>
      <c r="AJ105" s="154"/>
      <c r="AK105" s="15"/>
      <c r="AL105" s="15"/>
      <c r="AM105" s="45"/>
      <c r="AN105" s="15"/>
      <c r="AO105" s="13"/>
      <c r="AP105" s="15"/>
      <c r="AQ105" s="45"/>
      <c r="AR105" s="15"/>
      <c r="AS105" s="13"/>
      <c r="AT105" s="15"/>
      <c r="AU105" s="45"/>
      <c r="AV105" s="15"/>
      <c r="AW105" s="13"/>
      <c r="AX105" s="15"/>
      <c r="AY105" s="45"/>
      <c r="AZ105" s="35"/>
      <c r="BA105" s="13"/>
      <c r="BB105" s="15"/>
      <c r="BC105" s="45"/>
      <c r="BD105" s="35"/>
      <c r="BE105" s="14"/>
      <c r="BF105" s="41">
        <f t="shared" ref="BF105:BG105" si="292">K105+O105+S105+W105+AA105+AE105+AI105+AM105+AQ105+AU105+AY105+BC105</f>
        <v>0</v>
      </c>
      <c r="BG105" s="34">
        <f t="shared" si="292"/>
        <v>0</v>
      </c>
      <c r="BH105" s="35">
        <f t="shared" si="280"/>
        <v>0</v>
      </c>
      <c r="BK105" s="2" t="b">
        <f>H105='2021'!BH105</f>
        <v>1</v>
      </c>
    </row>
    <row r="106" ht="15.75" customHeight="1" spans="1:63" x14ac:dyDescent="0.25">
      <c r="A106" s="177">
        <v>11</v>
      </c>
      <c r="B106" s="21"/>
      <c r="C106" s="22" t="s">
        <v>53</v>
      </c>
      <c r="D106" s="21"/>
      <c r="E106" s="22"/>
      <c r="F106" s="20"/>
      <c r="G106" s="23"/>
      <c r="H106" s="51">
        <f>SUM(H98:H105)</f>
        <v>-78</v>
      </c>
      <c r="I106" s="52"/>
      <c r="J106" s="53"/>
      <c r="K106" s="51">
        <f t="shared" ref="K106:L106" si="293">SUM(K98:K105)</f>
        <v>0</v>
      </c>
      <c r="L106" s="68">
        <f t="shared" si="293"/>
        <v>0</v>
      </c>
      <c r="M106" s="52"/>
      <c r="N106" s="53"/>
      <c r="O106" s="51">
        <f t="shared" ref="O106:P106" si="294">SUM(O98:O105)</f>
        <v>0</v>
      </c>
      <c r="P106" s="68">
        <f t="shared" si="294"/>
        <v>0</v>
      </c>
      <c r="Q106" s="52"/>
      <c r="R106" s="53"/>
      <c r="S106" s="51">
        <f t="shared" ref="S106:T106" si="295">SUM(S98:S105)</f>
        <v>0</v>
      </c>
      <c r="T106" s="68">
        <f t="shared" si="295"/>
        <v>0</v>
      </c>
      <c r="U106" s="52"/>
      <c r="V106" s="53"/>
      <c r="W106" s="51">
        <f t="shared" ref="W106:X106" si="296">SUM(W98:W105)</f>
        <v>0</v>
      </c>
      <c r="X106" s="68">
        <f t="shared" si="296"/>
        <v>0</v>
      </c>
      <c r="Y106" s="52"/>
      <c r="Z106" s="301"/>
      <c r="AA106" s="51">
        <f t="shared" ref="AA106:AB106" si="297">SUM(AA98:AA105)</f>
        <v>0</v>
      </c>
      <c r="AB106" s="68">
        <f t="shared" si="297"/>
        <v>0</v>
      </c>
      <c r="AC106" s="351"/>
      <c r="AD106" s="53"/>
      <c r="AE106" s="51">
        <f t="shared" ref="AE106:AF106" si="298">SUM(AE98:AE105)</f>
        <v>6226</v>
      </c>
      <c r="AF106" s="68">
        <f t="shared" si="298"/>
        <v>0</v>
      </c>
      <c r="AG106" s="53"/>
      <c r="AH106" s="301"/>
      <c r="AI106" s="183">
        <f t="shared" ref="AI106:AJ106" si="299">SUM(AI98:AI105)</f>
        <v>0</v>
      </c>
      <c r="AJ106" s="51">
        <f t="shared" si="299"/>
        <v>0</v>
      </c>
      <c r="AK106" s="53"/>
      <c r="AL106" s="53"/>
      <c r="AM106" s="183">
        <f t="shared" ref="AM106:AN106" si="300">SUM(AM98:AM105)</f>
        <v>0</v>
      </c>
      <c r="AN106" s="51">
        <f t="shared" si="300"/>
        <v>0</v>
      </c>
      <c r="AO106" s="52"/>
      <c r="AP106" s="53"/>
      <c r="AQ106" s="183">
        <f t="shared" ref="AQ106:AR106" si="301">SUM(AQ98:AQ105)</f>
        <v>0</v>
      </c>
      <c r="AR106" s="51">
        <f t="shared" si="301"/>
        <v>0</v>
      </c>
      <c r="AS106" s="52"/>
      <c r="AT106" s="53"/>
      <c r="AU106" s="183">
        <f t="shared" ref="AU106:AV106" si="302">SUM(AU98:AU105)</f>
        <v>0</v>
      </c>
      <c r="AV106" s="68">
        <f t="shared" si="302"/>
        <v>0</v>
      </c>
      <c r="AW106" s="52"/>
      <c r="AX106" s="53"/>
      <c r="AY106" s="183">
        <f t="shared" ref="AY106:AZ106" si="303">SUM(AY98:AY105)</f>
        <v>0</v>
      </c>
      <c r="AZ106" s="68">
        <f t="shared" si="303"/>
        <v>0</v>
      </c>
      <c r="BA106" s="52"/>
      <c r="BB106" s="53"/>
      <c r="BC106" s="183">
        <f t="shared" ref="BC106:BD106" si="304">SUM(BC98:BC105)</f>
        <v>0</v>
      </c>
      <c r="BD106" s="68">
        <f t="shared" si="304"/>
        <v>0</v>
      </c>
      <c r="BE106" s="69"/>
      <c r="BF106" s="70">
        <f t="shared" ref="BF106:BH106" si="305">SUM(BF98:BF105)</f>
        <v>6226</v>
      </c>
      <c r="BG106" s="71">
        <f t="shared" si="305"/>
        <v>0</v>
      </c>
      <c r="BH106" s="72">
        <f t="shared" si="305"/>
        <v>6148</v>
      </c>
      <c r="BI106" s="34">
        <f>H106+BF106-BG106</f>
        <v>6148</v>
      </c>
      <c r="BJ106" s="34">
        <f>BH106-BI106</f>
        <v>0</v>
      </c>
      <c r="BK106" s="2" t="b">
        <f>H106='2021'!BH106</f>
        <v>1</v>
      </c>
    </row>
    <row r="107" ht="15.75" customHeight="1" spans="1:63" x14ac:dyDescent="0.25">
      <c r="A107" s="175">
        <v>12</v>
      </c>
      <c r="B107" s="14"/>
      <c r="D107" s="14" t="s">
        <v>379</v>
      </c>
      <c r="F107" s="13"/>
      <c r="G107" s="28"/>
      <c r="H107" s="34">
        <f>'2021'!BH107</f>
        <v>0</v>
      </c>
      <c r="I107" s="13"/>
      <c r="J107" s="15"/>
      <c r="K107" s="15"/>
      <c r="L107" s="28"/>
      <c r="M107" s="13"/>
      <c r="N107" s="15"/>
      <c r="O107" s="15"/>
      <c r="P107" s="15"/>
      <c r="Q107" s="13"/>
      <c r="R107" s="15"/>
      <c r="S107" s="15"/>
      <c r="T107" s="28"/>
      <c r="U107" s="13"/>
      <c r="V107" s="15"/>
      <c r="W107" s="15"/>
      <c r="X107" s="15"/>
      <c r="Y107" s="13"/>
      <c r="Z107" s="2"/>
      <c r="AA107" s="15"/>
      <c r="AB107" s="28"/>
      <c r="AC107" s="348"/>
      <c r="AD107" s="15"/>
      <c r="AE107" s="15"/>
      <c r="AF107" s="15"/>
      <c r="AG107" s="15"/>
      <c r="AH107" s="2"/>
      <c r="AI107" s="45"/>
      <c r="AJ107" s="15"/>
      <c r="AK107" s="15"/>
      <c r="AL107" s="15"/>
      <c r="AM107" s="45"/>
      <c r="AN107" s="15"/>
      <c r="AO107" s="13"/>
      <c r="AP107" s="15"/>
      <c r="AQ107" s="45"/>
      <c r="AR107" s="15"/>
      <c r="AS107" s="13"/>
      <c r="AT107" s="15"/>
      <c r="AU107" s="45"/>
      <c r="AV107" s="15"/>
      <c r="AW107" s="13"/>
      <c r="AX107" s="15"/>
      <c r="AY107" s="45"/>
      <c r="AZ107" s="28"/>
      <c r="BA107" s="13"/>
      <c r="BB107" s="15"/>
      <c r="BC107" s="45"/>
      <c r="BD107" s="28"/>
      <c r="BE107" s="14"/>
      <c r="BF107" s="41">
        <f t="shared" ref="BF107:BG107" si="306">K107+O107+S107+W107+AA107+AE107+AI107+AM107+AQ107+AU107+AY107+BC107</f>
        <v>0</v>
      </c>
      <c r="BG107" s="34">
        <f t="shared" si="306"/>
        <v>0</v>
      </c>
      <c r="BH107" s="35">
        <f t="shared" ref="BH107:BH114" si="307">H107+BF107-BG107</f>
        <v>0</v>
      </c>
      <c r="BK107" s="2" t="b">
        <f>H107='2021'!BH107</f>
        <v>1</v>
      </c>
    </row>
    <row r="108" ht="15.75" customHeight="1" spans="1:63" x14ac:dyDescent="0.25">
      <c r="A108" s="176">
        <v>12</v>
      </c>
      <c r="B108" s="14">
        <v>4.02</v>
      </c>
      <c r="C108" s="15" t="s">
        <v>92</v>
      </c>
      <c r="D108" s="14" t="s">
        <v>44</v>
      </c>
      <c r="E108" s="2" t="s">
        <v>45</v>
      </c>
      <c r="F108" s="41">
        <v>2.5</v>
      </c>
      <c r="G108" s="35">
        <v>2.6</v>
      </c>
      <c r="H108" s="104">
        <f>'2021'!BH108</f>
        <v>0</v>
      </c>
      <c r="I108" s="13"/>
      <c r="J108" s="15">
        <f>I108-'2021'!BA108</f>
        <v>0</v>
      </c>
      <c r="K108" s="34">
        <f>J108*$F$8</f>
        <v>0</v>
      </c>
      <c r="L108" s="28"/>
      <c r="M108" s="13"/>
      <c r="N108" s="15">
        <f t="shared" ref="N108:N109" si="308">M108-I108</f>
        <v>0</v>
      </c>
      <c r="O108" s="34">
        <f>N108*$F$8</f>
        <v>0</v>
      </c>
      <c r="P108" s="15"/>
      <c r="Q108" s="13"/>
      <c r="R108" s="15">
        <f t="shared" ref="R108:R109" si="309">Q108-M108</f>
        <v>0</v>
      </c>
      <c r="S108" s="34">
        <f>R108*$F$8</f>
        <v>0</v>
      </c>
      <c r="T108" s="28"/>
      <c r="U108" s="13"/>
      <c r="V108" s="15">
        <f t="shared" ref="V108:V109" si="310">U108-Q108</f>
        <v>0</v>
      </c>
      <c r="W108" s="34">
        <f>V108*$F$8</f>
        <v>0</v>
      </c>
      <c r="X108" s="15"/>
      <c r="Y108" s="13"/>
      <c r="Z108" s="2">
        <f t="shared" ref="Z108:Z109" si="311">Y108-U108</f>
        <v>0</v>
      </c>
      <c r="AA108" s="34">
        <f>Z108*$F$8</f>
        <v>0</v>
      </c>
      <c r="AB108" s="28"/>
      <c r="AC108" s="348"/>
      <c r="AD108" s="15">
        <f>AC108-Y108</f>
        <v>0</v>
      </c>
      <c r="AE108" s="180">
        <f>AD108*$F$8</f>
        <v>0</v>
      </c>
      <c r="AF108" s="15"/>
      <c r="AG108" s="15"/>
      <c r="AH108" s="2">
        <f>(AG108-AC108)*AH5</f>
        <v>0</v>
      </c>
      <c r="AI108" s="45">
        <f>AH108*$G$8</f>
        <v>0</v>
      </c>
      <c r="AJ108" s="15"/>
      <c r="AK108" s="15"/>
      <c r="AL108" s="15">
        <f>(AK108-AG108)*AL5</f>
        <v>0</v>
      </c>
      <c r="AM108" s="45">
        <f>AL108*$G$8</f>
        <v>0</v>
      </c>
      <c r="AN108" s="15"/>
      <c r="AO108" s="13"/>
      <c r="AP108" s="15">
        <f>(AO108-AK108)*AP5</f>
        <v>0</v>
      </c>
      <c r="AQ108" s="45">
        <f>AP108*$G$8</f>
        <v>0</v>
      </c>
      <c r="AR108" s="15"/>
      <c r="AS108" s="13"/>
      <c r="AT108" s="15">
        <f>(AS108-AO108)*AT5</f>
        <v>0</v>
      </c>
      <c r="AU108" s="45">
        <f>AT108*$G$8</f>
        <v>0</v>
      </c>
      <c r="AV108" s="15"/>
      <c r="AW108" s="13"/>
      <c r="AX108" s="15">
        <f>(AW108-AS108)*AX5</f>
        <v>0</v>
      </c>
      <c r="AY108" s="45">
        <f>AX108*$G$8</f>
        <v>0</v>
      </c>
      <c r="AZ108" s="208"/>
      <c r="BA108" s="13"/>
      <c r="BB108" s="15"/>
      <c r="BC108" s="45">
        <f>BB108*$G$8</f>
        <v>0</v>
      </c>
      <c r="BD108" s="208"/>
      <c r="BE108" s="40">
        <f t="shared" ref="BE108:BG108" si="312">J108+N108+R108+V108+Z108+AD108+AH108+AL108+AP108+AT108+AX108+BB108</f>
        <v>0</v>
      </c>
      <c r="BF108" s="41">
        <f t="shared" si="312"/>
        <v>0</v>
      </c>
      <c r="BG108" s="34">
        <f t="shared" si="312"/>
        <v>0</v>
      </c>
      <c r="BH108" s="35">
        <f t="shared" si="307"/>
        <v>0</v>
      </c>
      <c r="BK108" s="2" t="b">
        <f>H108='2021'!BH108</f>
        <v>1</v>
      </c>
    </row>
    <row r="109" ht="15.75" customHeight="1" spans="1:63" x14ac:dyDescent="0.25">
      <c r="A109" s="176">
        <v>12</v>
      </c>
      <c r="B109" s="14"/>
      <c r="C109" s="15" t="s">
        <v>93</v>
      </c>
      <c r="D109" s="14" t="s">
        <v>47</v>
      </c>
      <c r="E109" s="2" t="s">
        <v>48</v>
      </c>
      <c r="F109" s="13">
        <v>18.56</v>
      </c>
      <c r="G109" s="35">
        <v>19.46</v>
      </c>
      <c r="H109" s="34">
        <f>'2021'!BH109</f>
        <v>0</v>
      </c>
      <c r="I109" s="13"/>
      <c r="J109" s="15"/>
      <c r="K109" s="15"/>
      <c r="L109" s="28"/>
      <c r="M109" s="13"/>
      <c r="N109" s="15">
        <f t="shared" si="308"/>
        <v>0</v>
      </c>
      <c r="O109" s="15"/>
      <c r="P109" s="15"/>
      <c r="Q109" s="13"/>
      <c r="R109" s="15">
        <f t="shared" si="309"/>
        <v>0</v>
      </c>
      <c r="S109" s="15"/>
      <c r="T109" s="28"/>
      <c r="U109" s="13"/>
      <c r="V109" s="15">
        <f t="shared" si="310"/>
        <v>0</v>
      </c>
      <c r="W109" s="34">
        <f>V109*$F$10</f>
        <v>0</v>
      </c>
      <c r="X109" s="15"/>
      <c r="Y109" s="13"/>
      <c r="Z109" s="2">
        <f t="shared" si="311"/>
        <v>0</v>
      </c>
      <c r="AA109" s="34">
        <f>Z109*$F$10</f>
        <v>0</v>
      </c>
      <c r="AB109" s="28"/>
      <c r="AC109" s="348"/>
      <c r="AD109" s="15">
        <v>9</v>
      </c>
      <c r="AE109" s="34">
        <f>AD109*$F$10</f>
        <v>183.15</v>
      </c>
      <c r="AF109" s="15"/>
      <c r="AG109" s="15"/>
      <c r="AH109" s="2">
        <v>9</v>
      </c>
      <c r="AI109" s="45">
        <f>AH109*$G$10</f>
        <v>192.6</v>
      </c>
      <c r="AJ109" s="15"/>
      <c r="AK109" s="15"/>
      <c r="AL109" s="15">
        <v>9</v>
      </c>
      <c r="AM109" s="45">
        <f>AL109*$G$10</f>
        <v>192.6</v>
      </c>
      <c r="AN109" s="15"/>
      <c r="AO109" s="13"/>
      <c r="AP109" s="15">
        <v>9</v>
      </c>
      <c r="AQ109" s="45">
        <f>AP109*$G$10</f>
        <v>192.6</v>
      </c>
      <c r="AR109" s="154">
        <v>568.35</v>
      </c>
      <c r="AS109" s="13"/>
      <c r="AT109" s="15">
        <v>9</v>
      </c>
      <c r="AU109" s="45">
        <f>AT109*$G$10</f>
        <v>192.6</v>
      </c>
      <c r="AV109" s="15"/>
      <c r="AW109" s="13"/>
      <c r="AX109" s="15">
        <v>9</v>
      </c>
      <c r="AY109" s="45"/>
      <c r="AZ109" s="208"/>
      <c r="BA109" s="13"/>
      <c r="BB109" s="15"/>
      <c r="BC109" s="45"/>
      <c r="BD109" s="208"/>
      <c r="BE109" s="40">
        <f t="shared" ref="BE109:BG109" si="313">J109+N109+R109+V109+Z109+AD109+AH109+AL109+AP109+AT109+AX109+BB109</f>
        <v>54</v>
      </c>
      <c r="BF109" s="41">
        <f t="shared" si="313"/>
        <v>953.55</v>
      </c>
      <c r="BG109" s="34">
        <f t="shared" si="313"/>
        <v>568.35</v>
      </c>
      <c r="BH109" s="35">
        <f t="shared" si="307"/>
        <v>385.2</v>
      </c>
      <c r="BK109" s="2" t="b">
        <f>H109='2021'!BH109</f>
        <v>1</v>
      </c>
    </row>
    <row r="110" ht="15.75" customHeight="1" spans="1:63" x14ac:dyDescent="0.25">
      <c r="A110" s="176">
        <v>12</v>
      </c>
      <c r="B110" s="14"/>
      <c r="C110" s="15" t="s">
        <v>94</v>
      </c>
      <c r="D110" s="14" t="s">
        <v>47</v>
      </c>
      <c r="E110" s="2" t="s">
        <v>49</v>
      </c>
      <c r="F110" s="41">
        <v>500</v>
      </c>
      <c r="G110" s="35"/>
      <c r="H110" s="77">
        <f>'2021'!BH110</f>
        <v>0</v>
      </c>
      <c r="I110" s="13"/>
      <c r="J110" s="15"/>
      <c r="K110" s="15"/>
      <c r="L110" s="28"/>
      <c r="M110" s="13"/>
      <c r="N110" s="15"/>
      <c r="O110" s="15"/>
      <c r="P110" s="15"/>
      <c r="Q110" s="13"/>
      <c r="R110" s="15"/>
      <c r="S110" s="15"/>
      <c r="T110" s="28"/>
      <c r="U110" s="13"/>
      <c r="V110" s="15"/>
      <c r="W110" s="15"/>
      <c r="X110" s="15"/>
      <c r="Y110" s="13"/>
      <c r="Z110" s="2"/>
      <c r="AA110" s="34"/>
      <c r="AB110" s="28"/>
      <c r="AC110" s="348"/>
      <c r="AD110" s="15"/>
      <c r="AE110" s="34"/>
      <c r="AF110" s="15"/>
      <c r="AG110" s="15"/>
      <c r="AH110" s="2"/>
      <c r="AI110" s="45"/>
      <c r="AJ110" s="15"/>
      <c r="AK110" s="15"/>
      <c r="AL110" s="15"/>
      <c r="AM110" s="45"/>
      <c r="AN110" s="1"/>
      <c r="AO110" s="13"/>
      <c r="AP110" s="15"/>
      <c r="AQ110" s="45"/>
      <c r="AR110" s="34"/>
      <c r="AS110" s="13"/>
      <c r="AT110" s="15"/>
      <c r="AU110" s="45"/>
      <c r="AV110" s="15"/>
      <c r="AW110" s="13"/>
      <c r="AX110" s="15"/>
      <c r="AY110" s="45"/>
      <c r="AZ110" s="28"/>
      <c r="BA110" s="13"/>
      <c r="BB110" s="15"/>
      <c r="BC110" s="45"/>
      <c r="BD110" s="28"/>
      <c r="BE110" s="14"/>
      <c r="BF110" s="41"/>
      <c r="BG110" s="34">
        <f>L110+P110+T110+X110+AB110+AF110+AJ110+AN110+AR110+AV110+AZ110+BD110</f>
        <v>0</v>
      </c>
      <c r="BH110" s="35">
        <f t="shared" si="307"/>
        <v>0</v>
      </c>
      <c r="BK110" s="2" t="b">
        <f>H110='2021'!BH110</f>
        <v>1</v>
      </c>
    </row>
    <row r="111" ht="15.75" customHeight="1" spans="1:63" x14ac:dyDescent="0.25">
      <c r="A111" s="176">
        <v>12</v>
      </c>
      <c r="B111" s="14"/>
      <c r="C111" s="15" t="s">
        <v>95</v>
      </c>
      <c r="D111" s="14" t="s">
        <v>50</v>
      </c>
      <c r="E111" s="2" t="s">
        <v>49</v>
      </c>
      <c r="F111" s="41">
        <v>1100</v>
      </c>
      <c r="G111" s="35"/>
      <c r="H111" s="180">
        <f>'2021'!BH111</f>
        <v>0</v>
      </c>
      <c r="I111" s="13"/>
      <c r="J111" s="15"/>
      <c r="K111" s="15"/>
      <c r="L111" s="28"/>
      <c r="M111" s="13"/>
      <c r="N111" s="15"/>
      <c r="O111" s="15"/>
      <c r="P111" s="15"/>
      <c r="Q111" s="13"/>
      <c r="R111" s="15"/>
      <c r="S111" s="15"/>
      <c r="T111" s="28"/>
      <c r="U111" s="13"/>
      <c r="V111" s="15"/>
      <c r="W111" s="15"/>
      <c r="X111" s="15"/>
      <c r="Y111" s="13"/>
      <c r="Z111" s="2"/>
      <c r="AA111" s="15"/>
      <c r="AB111" s="28"/>
      <c r="AC111" s="348"/>
      <c r="AD111" s="15"/>
      <c r="AE111" s="34">
        <f>B108*$F$12</f>
        <v>5226</v>
      </c>
      <c r="AF111" s="15"/>
      <c r="AG111" s="15"/>
      <c r="AH111" s="2"/>
      <c r="AI111" s="45"/>
      <c r="AJ111" s="15"/>
      <c r="AK111" s="15"/>
      <c r="AL111" s="15"/>
      <c r="AM111" s="45"/>
      <c r="AN111" s="1"/>
      <c r="AO111" s="13"/>
      <c r="AP111" s="15"/>
      <c r="AQ111" s="45"/>
      <c r="AR111" s="182">
        <v>5226</v>
      </c>
      <c r="AS111" s="13"/>
      <c r="AT111" s="15"/>
      <c r="AU111" s="45"/>
      <c r="AV111" s="15"/>
      <c r="AW111" s="13"/>
      <c r="AX111" s="15"/>
      <c r="AY111" s="45"/>
      <c r="AZ111" s="28"/>
      <c r="BA111" s="13"/>
      <c r="BB111" s="15"/>
      <c r="BC111" s="45"/>
      <c r="BD111" s="28"/>
      <c r="BE111" s="14"/>
      <c r="BF111" s="41">
        <f t="shared" ref="BF111:BG111" si="314">K111+O111+S111+W111+AA111+AE111+AI111+AM111+AQ111+AU111+AY111+BC111</f>
        <v>5226</v>
      </c>
      <c r="BG111" s="34">
        <f t="shared" si="314"/>
        <v>5226</v>
      </c>
      <c r="BH111" s="35">
        <f t="shared" si="307"/>
        <v>0</v>
      </c>
      <c r="BK111" s="2" t="b">
        <f>H111='2021'!BH111</f>
        <v>1</v>
      </c>
    </row>
    <row r="112" ht="15.75" customHeight="1" spans="1:63" x14ac:dyDescent="0.25">
      <c r="A112" s="176">
        <v>12</v>
      </c>
      <c r="B112" s="14"/>
      <c r="C112" s="15" t="s">
        <v>385</v>
      </c>
      <c r="D112" s="14" t="s">
        <v>51</v>
      </c>
      <c r="E112" s="2" t="s">
        <v>39</v>
      </c>
      <c r="F112" s="41">
        <v>500</v>
      </c>
      <c r="G112" s="35"/>
      <c r="H112" s="180">
        <f>'2021'!BH112</f>
        <v>0</v>
      </c>
      <c r="I112" s="13"/>
      <c r="J112" s="15"/>
      <c r="K112" s="15"/>
      <c r="L112" s="28"/>
      <c r="M112" s="13"/>
      <c r="N112" s="15"/>
      <c r="O112" s="15"/>
      <c r="P112" s="15"/>
      <c r="Q112" s="13"/>
      <c r="R112" s="15"/>
      <c r="S112" s="15"/>
      <c r="T112" s="28"/>
      <c r="U112" s="13"/>
      <c r="V112" s="15"/>
      <c r="W112" s="15"/>
      <c r="X112" s="15"/>
      <c r="Y112" s="13"/>
      <c r="Z112" s="2"/>
      <c r="AA112" s="15"/>
      <c r="AB112" s="28"/>
      <c r="AC112" s="348"/>
      <c r="AD112" s="15"/>
      <c r="AE112" s="180">
        <f>$F$13</f>
        <v>1000</v>
      </c>
      <c r="AF112" s="15"/>
      <c r="AG112" s="15"/>
      <c r="AH112" s="2"/>
      <c r="AI112" s="45"/>
      <c r="AJ112" s="15"/>
      <c r="AK112" s="15"/>
      <c r="AL112" s="15"/>
      <c r="AM112" s="45"/>
      <c r="AN112" s="15"/>
      <c r="AO112" s="13"/>
      <c r="AP112" s="15"/>
      <c r="AQ112" s="180"/>
      <c r="AR112" s="182">
        <v>1000</v>
      </c>
      <c r="AS112" s="13"/>
      <c r="AT112" s="15"/>
      <c r="AU112" s="45"/>
      <c r="AV112" s="15"/>
      <c r="AW112" s="13"/>
      <c r="AX112" s="15"/>
      <c r="AY112" s="45"/>
      <c r="AZ112" s="28"/>
      <c r="BA112" s="13"/>
      <c r="BB112" s="15"/>
      <c r="BC112" s="45"/>
      <c r="BD112" s="28"/>
      <c r="BE112" s="14"/>
      <c r="BF112" s="41">
        <f t="shared" ref="BF112:BG112" si="315">K112+O112+S112+W112+AA112+AE112+AI112+AM112+AQ112+AU112+AY112+BC112</f>
        <v>1000</v>
      </c>
      <c r="BG112" s="34">
        <f t="shared" si="315"/>
        <v>1000</v>
      </c>
      <c r="BH112" s="35">
        <f t="shared" si="307"/>
        <v>0</v>
      </c>
      <c r="BK112" s="2" t="b">
        <f>H112='2021'!BH112</f>
        <v>1</v>
      </c>
    </row>
    <row r="113" ht="15.75" customHeight="1" spans="1:63" x14ac:dyDescent="0.25">
      <c r="A113" s="176">
        <v>12</v>
      </c>
      <c r="B113" s="14"/>
      <c r="C113" s="15"/>
      <c r="D113" s="14" t="s">
        <v>51</v>
      </c>
      <c r="E113" s="2" t="s">
        <v>49</v>
      </c>
      <c r="F113" s="41">
        <v>500</v>
      </c>
      <c r="G113" s="35"/>
      <c r="H113" s="180">
        <f>'2021'!BH113</f>
        <v>0</v>
      </c>
      <c r="I113" s="13"/>
      <c r="J113" s="15"/>
      <c r="K113" s="15"/>
      <c r="L113" s="28"/>
      <c r="M113" s="13"/>
      <c r="N113" s="15"/>
      <c r="O113" s="15"/>
      <c r="P113" s="15"/>
      <c r="Q113" s="13"/>
      <c r="R113" s="15"/>
      <c r="S113" s="15"/>
      <c r="T113" s="28"/>
      <c r="U113" s="13"/>
      <c r="V113" s="15"/>
      <c r="W113" s="15"/>
      <c r="X113" s="15"/>
      <c r="Y113" s="13"/>
      <c r="Z113" s="2"/>
      <c r="AA113" s="15"/>
      <c r="AB113" s="28"/>
      <c r="AC113" s="348"/>
      <c r="AD113" s="15"/>
      <c r="AE113" s="34"/>
      <c r="AF113" s="15"/>
      <c r="AG113" s="15"/>
      <c r="AH113" s="2"/>
      <c r="AI113" s="45"/>
      <c r="AJ113" s="15"/>
      <c r="AK113" s="15"/>
      <c r="AL113" s="15"/>
      <c r="AM113" s="45"/>
      <c r="AN113" s="15"/>
      <c r="AO113" s="13"/>
      <c r="AP113" s="15"/>
      <c r="AQ113" s="180">
        <f>B108*$F$14</f>
        <v>0</v>
      </c>
      <c r="AR113" s="34"/>
      <c r="AS113" s="13"/>
      <c r="AT113" s="15"/>
      <c r="AU113" s="45"/>
      <c r="AV113" s="15"/>
      <c r="AW113" s="13"/>
      <c r="AX113" s="15"/>
      <c r="AY113" s="45"/>
      <c r="AZ113" s="28"/>
      <c r="BA113" s="13"/>
      <c r="BB113" s="15"/>
      <c r="BC113" s="45"/>
      <c r="BD113" s="28"/>
      <c r="BE113" s="14"/>
      <c r="BF113" s="41">
        <f t="shared" ref="BF113:BG113" si="316">K113+O113+S113+W113+AA113+AE113+AI113+AM113+AQ113+AU113+AY113+BC113</f>
        <v>0</v>
      </c>
      <c r="BG113" s="34">
        <f t="shared" si="316"/>
        <v>0</v>
      </c>
      <c r="BH113" s="35">
        <f t="shared" si="307"/>
        <v>0</v>
      </c>
      <c r="BK113" s="2" t="b">
        <f>H113='2021'!BH113</f>
        <v>1</v>
      </c>
    </row>
    <row r="114" ht="15.75" customHeight="1" spans="1:63" x14ac:dyDescent="0.25">
      <c r="A114" s="176">
        <v>12</v>
      </c>
      <c r="B114" s="14"/>
      <c r="D114" s="14" t="s">
        <v>52</v>
      </c>
      <c r="E114" s="2" t="s">
        <v>39</v>
      </c>
      <c r="F114" s="41">
        <v>500</v>
      </c>
      <c r="G114" s="35"/>
      <c r="H114" s="180">
        <f>'2021'!BH114</f>
        <v>0</v>
      </c>
      <c r="I114" s="13"/>
      <c r="J114" s="15"/>
      <c r="K114" s="15"/>
      <c r="L114" s="28"/>
      <c r="M114" s="13"/>
      <c r="N114" s="15"/>
      <c r="O114" s="15"/>
      <c r="P114" s="15"/>
      <c r="Q114" s="13"/>
      <c r="R114" s="15"/>
      <c r="S114" s="15"/>
      <c r="T114" s="28"/>
      <c r="U114" s="13"/>
      <c r="V114" s="15"/>
      <c r="W114" s="15"/>
      <c r="X114" s="15"/>
      <c r="Y114" s="13"/>
      <c r="Z114" s="2"/>
      <c r="AA114" s="34">
        <f>$F$15</f>
      </c>
      <c r="AB114" s="28"/>
      <c r="AC114" s="348"/>
      <c r="AD114" s="15"/>
      <c r="AE114" s="15"/>
      <c r="AF114" s="15"/>
      <c r="AG114" s="15"/>
      <c r="AH114" s="2"/>
      <c r="AI114" s="45"/>
      <c r="AJ114" s="15"/>
      <c r="AK114" s="15"/>
      <c r="AL114" s="15"/>
      <c r="AM114" s="45"/>
      <c r="AN114" s="15"/>
      <c r="AO114" s="13"/>
      <c r="AP114" s="15"/>
      <c r="AQ114" s="45"/>
      <c r="AR114" s="34"/>
      <c r="AS114" s="13"/>
      <c r="AT114" s="15"/>
      <c r="AU114" s="45"/>
      <c r="AV114" s="15"/>
      <c r="AW114" s="13"/>
      <c r="AX114" s="15"/>
      <c r="AY114" s="45"/>
      <c r="AZ114" s="35"/>
      <c r="BA114" s="13"/>
      <c r="BB114" s="15"/>
      <c r="BC114" s="45"/>
      <c r="BD114" s="35"/>
      <c r="BE114" s="14"/>
      <c r="BF114" s="41">
        <f t="shared" ref="BF114:BG114" si="317">K114+O114+S114+W114+AA114+AE114+AI114+AM114+AQ114+AU114+AY114+BC114</f>
        <v>0</v>
      </c>
      <c r="BG114" s="34">
        <f t="shared" si="317"/>
        <v>0</v>
      </c>
      <c r="BH114" s="35">
        <f t="shared" si="307"/>
        <v>0</v>
      </c>
      <c r="BK114" s="2" t="b">
        <f>H114='2021'!BH114</f>
        <v>1</v>
      </c>
    </row>
    <row r="115" ht="15.75" customHeight="1" spans="1:63" x14ac:dyDescent="0.25">
      <c r="A115" s="177">
        <v>12</v>
      </c>
      <c r="B115" s="21"/>
      <c r="C115" s="22" t="s">
        <v>53</v>
      </c>
      <c r="D115" s="21"/>
      <c r="E115" s="22"/>
      <c r="F115" s="20"/>
      <c r="G115" s="23"/>
      <c r="H115" s="51">
        <f>SUM(H107:H114)</f>
        <v>0</v>
      </c>
      <c r="I115" s="52"/>
      <c r="J115" s="53"/>
      <c r="K115" s="51">
        <f t="shared" ref="K115:L115" si="318">SUM(K107:K114)</f>
        <v>0</v>
      </c>
      <c r="L115" s="68">
        <f t="shared" si="318"/>
        <v>0</v>
      </c>
      <c r="M115" s="52"/>
      <c r="N115" s="53"/>
      <c r="O115" s="51">
        <f t="shared" ref="O115:P115" si="319">SUM(O107:O114)</f>
        <v>0</v>
      </c>
      <c r="P115" s="68">
        <f t="shared" si="319"/>
        <v>0</v>
      </c>
      <c r="Q115" s="52"/>
      <c r="R115" s="53"/>
      <c r="S115" s="51">
        <f t="shared" ref="S115:T115" si="320">SUM(S107:S114)</f>
        <v>0</v>
      </c>
      <c r="T115" s="68">
        <f t="shared" si="320"/>
        <v>0</v>
      </c>
      <c r="U115" s="52"/>
      <c r="V115" s="53"/>
      <c r="W115" s="51">
        <f t="shared" ref="W115:X115" si="321">SUM(W107:W114)</f>
        <v>0</v>
      </c>
      <c r="X115" s="68">
        <f t="shared" si="321"/>
        <v>0</v>
      </c>
      <c r="Y115" s="52"/>
      <c r="Z115" s="301"/>
      <c r="AA115" s="51">
        <f t="shared" ref="AA115:AB115" si="322">SUM(AA107:AA114)</f>
        <v>0</v>
      </c>
      <c r="AB115" s="68">
        <f t="shared" si="322"/>
        <v>0</v>
      </c>
      <c r="AC115" s="351"/>
      <c r="AD115" s="53"/>
      <c r="AE115" s="51">
        <f t="shared" ref="AE115:AF115" si="323">SUM(AE107:AE114)</f>
        <v>6409.15</v>
      </c>
      <c r="AF115" s="68">
        <f t="shared" si="323"/>
        <v>0</v>
      </c>
      <c r="AG115" s="53"/>
      <c r="AH115" s="301"/>
      <c r="AI115" s="183">
        <f t="shared" ref="AI115:AJ115" si="324">SUM(AI107:AI114)</f>
        <v>192.6</v>
      </c>
      <c r="AJ115" s="51">
        <f t="shared" si="324"/>
        <v>0</v>
      </c>
      <c r="AK115" s="53"/>
      <c r="AL115" s="53"/>
      <c r="AM115" s="183">
        <f t="shared" ref="AM115:AN115" si="325">SUM(AM107:AM114)</f>
        <v>192.6</v>
      </c>
      <c r="AN115" s="51">
        <f t="shared" si="325"/>
        <v>0</v>
      </c>
      <c r="AO115" s="52"/>
      <c r="AP115" s="53"/>
      <c r="AQ115" s="183">
        <f t="shared" ref="AQ115:AR115" si="326">SUM(AQ107:AQ114)</f>
        <v>192.6</v>
      </c>
      <c r="AR115" s="51">
        <f t="shared" si="326"/>
        <v>6794.35</v>
      </c>
      <c r="AS115" s="52"/>
      <c r="AT115" s="53"/>
      <c r="AU115" s="183">
        <f t="shared" ref="AU115:AV115" si="327">SUM(AU107:AU114)</f>
        <v>192.6</v>
      </c>
      <c r="AV115" s="68">
        <f t="shared" si="327"/>
        <v>0</v>
      </c>
      <c r="AW115" s="52"/>
      <c r="AX115" s="53"/>
      <c r="AY115" s="183">
        <f t="shared" ref="AY115:AZ115" si="328">SUM(AY107:AY114)</f>
        <v>0</v>
      </c>
      <c r="AZ115" s="68">
        <f t="shared" si="328"/>
        <v>0</v>
      </c>
      <c r="BA115" s="52"/>
      <c r="BB115" s="53"/>
      <c r="BC115" s="183">
        <f t="shared" ref="BC115:BD115" si="329">SUM(BC107:BC114)</f>
        <v>0</v>
      </c>
      <c r="BD115" s="68">
        <f t="shared" si="329"/>
        <v>0</v>
      </c>
      <c r="BE115" s="69"/>
      <c r="BF115" s="70">
        <f t="shared" ref="BF115:BH115" si="330">SUM(BF107:BF114)</f>
        <v>7179.55</v>
      </c>
      <c r="BG115" s="71">
        <f t="shared" si="330"/>
        <v>6794.35</v>
      </c>
      <c r="BH115" s="72">
        <f t="shared" si="330"/>
        <v>385.2</v>
      </c>
      <c r="BI115" s="34">
        <f>H115+BF115-BG115</f>
        <v>385.2</v>
      </c>
      <c r="BJ115" s="34">
        <f>BH115-BI115</f>
        <v>0</v>
      </c>
      <c r="BK115" s="2" t="b">
        <f>H115='2021'!BH115</f>
        <v>1</v>
      </c>
    </row>
    <row r="116" ht="15.75" customHeight="1" spans="1:63" x14ac:dyDescent="0.25">
      <c r="A116" s="89" t="s">
        <v>96</v>
      </c>
      <c r="B116" s="14"/>
      <c r="D116" s="43" t="s">
        <v>547</v>
      </c>
      <c r="F116" s="13"/>
      <c r="G116" s="28"/>
      <c r="H116" s="34">
        <f>'2021'!BH116</f>
        <v>0</v>
      </c>
      <c r="I116" s="13"/>
      <c r="J116" s="15"/>
      <c r="K116" s="15"/>
      <c r="L116" s="28"/>
      <c r="M116" s="13"/>
      <c r="N116" s="15"/>
      <c r="O116" s="15"/>
      <c r="P116" s="15"/>
      <c r="Q116" s="13"/>
      <c r="R116" s="15"/>
      <c r="S116" s="15"/>
      <c r="T116" s="28"/>
      <c r="U116" s="13"/>
      <c r="V116" s="15"/>
      <c r="W116" s="15"/>
      <c r="X116" s="15"/>
      <c r="Y116" s="13"/>
      <c r="Z116" s="2"/>
      <c r="AA116" s="154">
        <v>248.5</v>
      </c>
      <c r="AB116" s="28"/>
      <c r="AC116" s="348"/>
      <c r="AD116" s="15"/>
      <c r="AE116" s="15"/>
      <c r="AF116" s="1">
        <v>248.5</v>
      </c>
      <c r="AG116" s="15"/>
      <c r="AH116" s="2"/>
      <c r="AI116" s="45"/>
      <c r="AJ116" s="180"/>
      <c r="AK116" s="15"/>
      <c r="AL116" s="15"/>
      <c r="AM116" s="45"/>
      <c r="AN116" s="15"/>
      <c r="AO116" s="13"/>
      <c r="AP116" s="15"/>
      <c r="AQ116" s="45"/>
      <c r="AR116" s="1"/>
      <c r="AS116" s="13"/>
      <c r="AT116" s="15"/>
      <c r="AU116" s="45"/>
      <c r="AV116" s="15"/>
      <c r="AW116" s="13"/>
      <c r="AX116" s="15"/>
      <c r="AY116" s="45"/>
      <c r="AZ116" s="28"/>
      <c r="BA116" s="13"/>
      <c r="BB116" s="15"/>
      <c r="BC116" s="45"/>
      <c r="BD116" s="28"/>
      <c r="BE116" s="14"/>
      <c r="BF116" s="41">
        <f t="shared" ref="BF116:BG116" si="331">K116+O116+S116+W116+AA116+AE116+AI116+AM116+AQ116+AU116+AY116+BC116</f>
        <v>248.5</v>
      </c>
      <c r="BG116" s="34">
        <f t="shared" si="331"/>
        <v>248.5</v>
      </c>
      <c r="BH116" s="35">
        <f t="shared" ref="BH116:BH123" si="332">H116+BF116-BG116</f>
        <v>0</v>
      </c>
      <c r="BK116" s="2" t="b">
        <f>H116='2021'!BH116</f>
        <v>1</v>
      </c>
    </row>
    <row r="117" ht="15.75" customHeight="1" spans="1:63" x14ac:dyDescent="0.25">
      <c r="A117" s="89" t="s">
        <v>96</v>
      </c>
      <c r="B117" s="14">
        <v>3.94</v>
      </c>
      <c r="C117" s="2" t="s">
        <v>492</v>
      </c>
      <c r="D117" s="14" t="s">
        <v>44</v>
      </c>
      <c r="E117" s="2" t="s">
        <v>45</v>
      </c>
      <c r="F117" s="41">
        <v>2.5</v>
      </c>
      <c r="G117" s="35">
        <v>2.6</v>
      </c>
      <c r="H117" s="34">
        <f>'2021'!BH117</f>
        <v>-171.82</v>
      </c>
      <c r="I117" s="13">
        <v>8068</v>
      </c>
      <c r="J117" s="15">
        <f>I117-'2021'!BA117</f>
        <v>0</v>
      </c>
      <c r="K117" s="34">
        <f>J117*$F$8</f>
        <v>0</v>
      </c>
      <c r="L117" s="28"/>
      <c r="M117" s="13">
        <v>8068</v>
      </c>
      <c r="N117" s="15">
        <f t="shared" ref="N117:N118" si="333">M117-I117</f>
        <v>0</v>
      </c>
      <c r="O117" s="34">
        <f>N117*$F$8</f>
        <v>0</v>
      </c>
      <c r="P117" s="15"/>
      <c r="Q117" s="13">
        <v>8075</v>
      </c>
      <c r="R117" s="15">
        <f t="shared" ref="R117:R118" si="334">Q117-M117</f>
        <v>7</v>
      </c>
      <c r="S117" s="34">
        <f>R117*$F$8</f>
        <v>18.9</v>
      </c>
      <c r="T117" s="28"/>
      <c r="U117" s="13">
        <v>8107</v>
      </c>
      <c r="V117" s="15">
        <f t="shared" ref="V117:V118" si="335">U117-Q117</f>
        <v>32</v>
      </c>
      <c r="W117" s="34">
        <f>V117*$F$8</f>
        <v>86.4</v>
      </c>
      <c r="X117" s="15"/>
      <c r="Y117" s="13">
        <v>8172</v>
      </c>
      <c r="Z117" s="2">
        <f t="shared" ref="Z117:Z118" si="336">Y117-U117</f>
        <v>65</v>
      </c>
      <c r="AA117" s="34">
        <f>Z117*$F$8</f>
        <v>175.5</v>
      </c>
      <c r="AB117" s="28"/>
      <c r="AC117" s="348">
        <v>8286</v>
      </c>
      <c r="AD117" s="15">
        <f t="shared" ref="AD117:AD118" si="337">AC117-Y117</f>
        <v>114</v>
      </c>
      <c r="AE117" s="180">
        <f>AD117*$F$8</f>
        <v>307.8</v>
      </c>
      <c r="AF117" s="1">
        <f>500-248.5</f>
        <v>251.5</v>
      </c>
      <c r="AG117" s="15">
        <v>8450</v>
      </c>
      <c r="AH117" s="2">
        <f>(AG117-AC117)*AH5</f>
        <v>173.184</v>
      </c>
      <c r="AI117" s="45">
        <f>AH117*$G$8</f>
        <v>426.03264</v>
      </c>
      <c r="AJ117" s="180"/>
      <c r="AK117" s="15">
        <v>8718</v>
      </c>
      <c r="AL117" s="15">
        <f>(AK117-AG117)*AL5</f>
        <v>275.504</v>
      </c>
      <c r="AM117" s="45">
        <f>AL117*$G$8</f>
        <v>677.73984</v>
      </c>
      <c r="AN117" s="15"/>
      <c r="AO117" s="13">
        <v>9017</v>
      </c>
      <c r="AP117" s="15">
        <f>(AO117-AK117)*AP5</f>
        <v>308.867</v>
      </c>
      <c r="AQ117" s="45">
        <f>AP117*$G$8</f>
        <v>759.81282</v>
      </c>
      <c r="AR117" s="1">
        <v>944.85</v>
      </c>
      <c r="AS117" s="13">
        <v>9569</v>
      </c>
      <c r="AT117" s="15">
        <f>(AS117-AO117)*AT5</f>
        <v>579.6</v>
      </c>
      <c r="AU117" s="45">
        <f>AT117*$G$8</f>
        <v>1425.816</v>
      </c>
      <c r="AV117" s="1">
        <v>2000</v>
      </c>
      <c r="AW117" s="13"/>
      <c r="AX117" s="15">
        <f>(AW117-AS117)*AX5</f>
        <v>0</v>
      </c>
      <c r="AY117" s="45">
        <f>AX117*$G$8</f>
        <v>0</v>
      </c>
      <c r="AZ117" s="246"/>
      <c r="BA117" s="13"/>
      <c r="BB117" s="15"/>
      <c r="BC117" s="45">
        <f>BB117*$G$8</f>
        <v>0</v>
      </c>
      <c r="BD117" s="208"/>
      <c r="BE117" s="40">
        <f t="shared" ref="BE117:BG117" si="338">J117+N117+R117+V117+Z117+AD117+AH117+AL117+AP117+AT117+AX117+BB117</f>
        <v>1555.155</v>
      </c>
      <c r="BF117" s="41">
        <f t="shared" si="338"/>
        <v>3878.0013</v>
      </c>
      <c r="BG117" s="34">
        <f t="shared" si="338"/>
        <v>3196.35</v>
      </c>
      <c r="BH117" s="35">
        <f t="shared" si="332"/>
        <v>509.8313</v>
      </c>
      <c r="BK117" s="2" t="b">
        <f>H117='2021'!BH117</f>
        <v>1</v>
      </c>
    </row>
    <row r="118" ht="15.75" customHeight="1" spans="1:63" x14ac:dyDescent="0.25">
      <c r="A118" s="89" t="s">
        <v>96</v>
      </c>
      <c r="B118" s="14"/>
      <c r="C118" s="2" t="s">
        <v>65</v>
      </c>
      <c r="D118" s="14" t="s">
        <v>47</v>
      </c>
      <c r="E118" s="2" t="s">
        <v>48</v>
      </c>
      <c r="F118" s="13">
        <v>18.56</v>
      </c>
      <c r="G118" s="35">
        <v>19.46</v>
      </c>
      <c r="H118" s="34">
        <f>'2021'!BH118</f>
        <v>0</v>
      </c>
      <c r="I118" s="13">
        <v>87</v>
      </c>
      <c r="J118" s="15"/>
      <c r="K118" s="15"/>
      <c r="L118" s="28"/>
      <c r="M118" s="13">
        <v>87</v>
      </c>
      <c r="N118" s="15">
        <f t="shared" si="333"/>
        <v>0</v>
      </c>
      <c r="O118" s="15"/>
      <c r="P118" s="15"/>
      <c r="Q118" s="13">
        <v>87</v>
      </c>
      <c r="R118" s="15">
        <f t="shared" si="334"/>
        <v>0</v>
      </c>
      <c r="S118" s="15"/>
      <c r="T118" s="28"/>
      <c r="U118" s="13">
        <v>87</v>
      </c>
      <c r="V118" s="15">
        <f t="shared" si="335"/>
        <v>0</v>
      </c>
      <c r="W118" s="34">
        <f>V118*$F$10</f>
        <v>0</v>
      </c>
      <c r="X118" s="15"/>
      <c r="Y118" s="13">
        <v>94</v>
      </c>
      <c r="Z118" s="2">
        <f t="shared" si="336"/>
        <v>7</v>
      </c>
      <c r="AA118" s="34">
        <f>Z118*$F$10</f>
        <v>142.45</v>
      </c>
      <c r="AB118" s="28"/>
      <c r="AC118" s="350">
        <v>94</v>
      </c>
      <c r="AD118" s="15">
        <f t="shared" si="337"/>
        <v>0</v>
      </c>
      <c r="AE118" s="34">
        <f>AD118*$F$10</f>
        <v>0</v>
      </c>
      <c r="AF118" s="1"/>
      <c r="AG118" s="13">
        <v>98</v>
      </c>
      <c r="AH118" s="2">
        <f>AG118-AC118</f>
        <v>4</v>
      </c>
      <c r="AI118" s="45">
        <f>AH118*$G$10</f>
        <v>85.6</v>
      </c>
      <c r="AJ118" s="1"/>
      <c r="AK118" s="13">
        <v>108</v>
      </c>
      <c r="AL118" s="15">
        <f>AK118-AG118</f>
        <v>10</v>
      </c>
      <c r="AM118" s="45">
        <f>AL118*$G$10</f>
        <v>214</v>
      </c>
      <c r="AN118" s="15"/>
      <c r="AO118" s="13">
        <v>113</v>
      </c>
      <c r="AP118" s="15">
        <f>AO118-AK118</f>
        <v>5</v>
      </c>
      <c r="AQ118" s="45">
        <f>AP118*$G$10</f>
        <v>107</v>
      </c>
      <c r="AR118" s="1">
        <v>549.05</v>
      </c>
      <c r="AS118" s="13">
        <v>113</v>
      </c>
      <c r="AT118" s="15">
        <f>AS118-AO118</f>
        <v>0</v>
      </c>
      <c r="AU118" s="45">
        <f>AT118*$G$10</f>
        <v>0</v>
      </c>
      <c r="AV118" s="15"/>
      <c r="AW118" s="13"/>
      <c r="AX118" s="15">
        <f>AW118-AS118</f>
        <v>-113</v>
      </c>
      <c r="AY118" s="45"/>
      <c r="AZ118" s="246"/>
      <c r="BA118" s="13"/>
      <c r="BB118" s="15"/>
      <c r="BC118" s="45"/>
      <c r="BD118" s="208"/>
      <c r="BE118" s="40">
        <f t="shared" ref="BE118:BG118" si="339">J118+N118+R118+V118+Z118+AD118+AH118+AL118+AP118+AT118+AX118+BB118</f>
        <v>-87</v>
      </c>
      <c r="BF118" s="41">
        <f t="shared" si="339"/>
        <v>549.05</v>
      </c>
      <c r="BG118" s="34">
        <f t="shared" si="339"/>
        <v>549.05</v>
      </c>
      <c r="BH118" s="35">
        <f t="shared" si="332"/>
        <v>0</v>
      </c>
      <c r="BK118" s="2" t="b">
        <f>H118='2021'!BH118</f>
        <v>1</v>
      </c>
    </row>
    <row r="119" ht="15.75" customHeight="1" spans="1:63" x14ac:dyDescent="0.25">
      <c r="A119" s="89" t="s">
        <v>96</v>
      </c>
      <c r="B119" s="14"/>
      <c r="C119" s="2" t="s">
        <v>115</v>
      </c>
      <c r="D119" s="14" t="s">
        <v>47</v>
      </c>
      <c r="E119" s="2" t="s">
        <v>49</v>
      </c>
      <c r="F119" s="41">
        <v>500</v>
      </c>
      <c r="G119" s="35"/>
      <c r="H119" s="34">
        <f>'2021'!BH119</f>
        <v>0</v>
      </c>
      <c r="I119" s="13"/>
      <c r="J119" s="15"/>
      <c r="K119" s="15"/>
      <c r="L119" s="28"/>
      <c r="M119" s="13"/>
      <c r="N119" s="15"/>
      <c r="O119" s="15"/>
      <c r="P119" s="15"/>
      <c r="Q119" s="13"/>
      <c r="R119" s="15"/>
      <c r="S119" s="15"/>
      <c r="T119" s="28"/>
      <c r="U119" s="13"/>
      <c r="V119" s="15"/>
      <c r="W119" s="15"/>
      <c r="X119" s="15"/>
      <c r="Y119" s="13"/>
      <c r="Z119" s="2"/>
      <c r="AA119" s="15"/>
      <c r="AB119" s="28"/>
      <c r="AC119" s="348"/>
      <c r="AD119" s="15"/>
      <c r="AE119" s="34"/>
      <c r="AF119" s="1"/>
      <c r="AG119" s="15"/>
      <c r="AH119" s="2"/>
      <c r="AI119" s="45"/>
      <c r="AJ119" s="1"/>
      <c r="AK119" s="15"/>
      <c r="AL119" s="15"/>
      <c r="AM119" s="45"/>
      <c r="AN119" s="15"/>
      <c r="AO119" s="13"/>
      <c r="AP119" s="15"/>
      <c r="AQ119" s="45"/>
      <c r="AR119" s="1"/>
      <c r="AS119" s="13"/>
      <c r="AT119" s="15"/>
      <c r="AU119" s="45"/>
      <c r="AV119" s="15"/>
      <c r="AW119" s="13"/>
      <c r="AX119" s="15"/>
      <c r="AY119" s="45"/>
      <c r="AZ119" s="28"/>
      <c r="BA119" s="13"/>
      <c r="BB119" s="15"/>
      <c r="BC119" s="45"/>
      <c r="BD119" s="28"/>
      <c r="BE119" s="14"/>
      <c r="BF119" s="41">
        <f t="shared" ref="BF119:BG119" si="340">K119+O119+S119+W119+AA119+AE119+AI119+AM119+AQ119+AU119+AY119+BC119</f>
        <v>0</v>
      </c>
      <c r="BG119" s="34">
        <f t="shared" si="340"/>
        <v>0</v>
      </c>
      <c r="BH119" s="35">
        <f t="shared" si="332"/>
        <v>0</v>
      </c>
      <c r="BK119" s="2" t="b">
        <f>H119='2021'!BH119</f>
        <v>1</v>
      </c>
    </row>
    <row r="120" ht="15.75" customHeight="1" spans="1:63" x14ac:dyDescent="0.25">
      <c r="A120" s="89" t="s">
        <v>96</v>
      </c>
      <c r="B120" s="14"/>
      <c r="C120" s="73" t="s">
        <v>493</v>
      </c>
      <c r="D120" s="14" t="s">
        <v>50</v>
      </c>
      <c r="E120" s="2" t="s">
        <v>49</v>
      </c>
      <c r="F120" s="41">
        <v>1100</v>
      </c>
      <c r="G120" s="35"/>
      <c r="H120" s="34">
        <f>'2021'!BH120</f>
        <v>0</v>
      </c>
      <c r="I120" s="13"/>
      <c r="J120" s="15"/>
      <c r="K120" s="15"/>
      <c r="L120" s="28"/>
      <c r="M120" s="13"/>
      <c r="N120" s="15"/>
      <c r="O120" s="15"/>
      <c r="P120" s="15"/>
      <c r="Q120" s="13"/>
      <c r="R120" s="15"/>
      <c r="S120" s="15"/>
      <c r="T120" s="28"/>
      <c r="U120" s="13"/>
      <c r="V120" s="15"/>
      <c r="W120" s="15"/>
      <c r="X120" s="15"/>
      <c r="Y120" s="13"/>
      <c r="Z120" s="2"/>
      <c r="AA120" s="15"/>
      <c r="AB120" s="28"/>
      <c r="AC120" s="348"/>
      <c r="AD120" s="15"/>
      <c r="AE120" s="34">
        <f>B117*$F$12</f>
        <v>5122</v>
      </c>
      <c r="AF120" s="1"/>
      <c r="AG120" s="15"/>
      <c r="AH120" s="2"/>
      <c r="AI120" s="45"/>
      <c r="AJ120" s="180"/>
      <c r="AK120" s="15"/>
      <c r="AL120" s="15"/>
      <c r="AM120" s="45"/>
      <c r="AN120" s="15"/>
      <c r="AO120" s="13"/>
      <c r="AP120" s="15"/>
      <c r="AQ120" s="45"/>
      <c r="AR120" s="1">
        <v>5122</v>
      </c>
      <c r="AS120" s="13"/>
      <c r="AT120" s="15"/>
      <c r="AU120" s="45"/>
      <c r="AV120" s="1"/>
      <c r="AW120" s="13"/>
      <c r="AX120" s="15"/>
      <c r="AY120" s="45"/>
      <c r="AZ120" s="28"/>
      <c r="BA120" s="13"/>
      <c r="BB120" s="15"/>
      <c r="BC120" s="45"/>
      <c r="BD120" s="28"/>
      <c r="BE120" s="14"/>
      <c r="BF120" s="41">
        <f t="shared" ref="BF120:BG120" si="341">K120+O120+S120+W120+AA120+AE120+AI120+AM120+AQ120+AU120+AY120+BC120</f>
        <v>5122</v>
      </c>
      <c r="BG120" s="34">
        <f t="shared" si="341"/>
        <v>5122</v>
      </c>
      <c r="BH120" s="35">
        <f t="shared" si="332"/>
        <v>0</v>
      </c>
      <c r="BK120" s="2" t="b">
        <f>H120='2021'!BH120</f>
        <v>1</v>
      </c>
    </row>
    <row r="121" ht="15.75" customHeight="1" spans="1:63" x14ac:dyDescent="0.25">
      <c r="A121" s="89" t="s">
        <v>96</v>
      </c>
      <c r="B121" s="14"/>
      <c r="D121" s="14" t="s">
        <v>51</v>
      </c>
      <c r="E121" s="2" t="s">
        <v>39</v>
      </c>
      <c r="F121" s="41">
        <v>500</v>
      </c>
      <c r="G121" s="35"/>
      <c r="H121" s="34">
        <f>'2021'!BH121</f>
        <v>0</v>
      </c>
      <c r="I121" s="13"/>
      <c r="J121" s="15"/>
      <c r="K121" s="15"/>
      <c r="L121" s="28"/>
      <c r="M121" s="13"/>
      <c r="N121" s="15"/>
      <c r="O121" s="15"/>
      <c r="P121" s="15"/>
      <c r="Q121" s="13"/>
      <c r="R121" s="15"/>
      <c r="S121" s="15"/>
      <c r="T121" s="28"/>
      <c r="U121" s="13"/>
      <c r="V121" s="15"/>
      <c r="W121" s="15"/>
      <c r="X121" s="15"/>
      <c r="Y121" s="13"/>
      <c r="Z121" s="2"/>
      <c r="AA121" s="15"/>
      <c r="AB121" s="28"/>
      <c r="AC121" s="348"/>
      <c r="AD121" s="15"/>
      <c r="AE121" s="180">
        <f>$F$13</f>
        <v>1000</v>
      </c>
      <c r="AF121" s="1"/>
      <c r="AG121" s="15"/>
      <c r="AH121" s="2"/>
      <c r="AI121" s="45"/>
      <c r="AJ121" s="15"/>
      <c r="AK121" s="15"/>
      <c r="AL121" s="15"/>
      <c r="AM121" s="45"/>
      <c r="AN121" s="15"/>
      <c r="AO121" s="13"/>
      <c r="AP121" s="15"/>
      <c r="AQ121" s="180"/>
      <c r="AR121" s="1">
        <v>1000</v>
      </c>
      <c r="AS121" s="13"/>
      <c r="AT121" s="15"/>
      <c r="AU121" s="45"/>
      <c r="AV121" s="15"/>
      <c r="AW121" s="13"/>
      <c r="AX121" s="15"/>
      <c r="AY121" s="45"/>
      <c r="AZ121" s="28"/>
      <c r="BA121" s="13"/>
      <c r="BB121" s="15"/>
      <c r="BC121" s="45"/>
      <c r="BD121" s="28"/>
      <c r="BE121" s="14"/>
      <c r="BF121" s="41">
        <f t="shared" ref="BF121:BG121" si="342">K121+O121+S121+W121+AA121+AE121+AI121+AM121+AQ121+AU121+AY121+BC121</f>
        <v>1000</v>
      </c>
      <c r="BG121" s="34">
        <f t="shared" si="342"/>
        <v>1000</v>
      </c>
      <c r="BH121" s="35">
        <f t="shared" si="332"/>
        <v>0</v>
      </c>
      <c r="BK121" s="2" t="b">
        <f>H121='2021'!BH121</f>
        <v>1</v>
      </c>
    </row>
    <row r="122" ht="15.75" customHeight="1" spans="1:63" x14ac:dyDescent="0.25">
      <c r="A122" s="89" t="s">
        <v>96</v>
      </c>
      <c r="B122" s="14"/>
      <c r="D122" s="14" t="s">
        <v>51</v>
      </c>
      <c r="E122" s="2" t="s">
        <v>49</v>
      </c>
      <c r="F122" s="41">
        <v>500</v>
      </c>
      <c r="G122" s="35"/>
      <c r="H122" s="34">
        <f>'2021'!BH122</f>
        <v>0</v>
      </c>
      <c r="I122" s="13"/>
      <c r="J122" s="15"/>
      <c r="K122" s="15"/>
      <c r="L122" s="28"/>
      <c r="M122" s="13"/>
      <c r="N122" s="15"/>
      <c r="O122" s="15"/>
      <c r="P122" s="15"/>
      <c r="Q122" s="13"/>
      <c r="R122" s="15"/>
      <c r="S122" s="15"/>
      <c r="T122" s="28"/>
      <c r="U122" s="13"/>
      <c r="V122" s="15"/>
      <c r="W122" s="15"/>
      <c r="X122" s="15"/>
      <c r="Y122" s="13"/>
      <c r="Z122" s="2"/>
      <c r="AA122" s="15"/>
      <c r="AB122" s="28"/>
      <c r="AC122" s="348"/>
      <c r="AD122" s="15"/>
      <c r="AE122" s="34"/>
      <c r="AF122" s="1"/>
      <c r="AG122" s="15"/>
      <c r="AH122" s="2"/>
      <c r="AI122" s="45"/>
      <c r="AJ122" s="15"/>
      <c r="AK122" s="15"/>
      <c r="AL122" s="15"/>
      <c r="AM122" s="45"/>
      <c r="AN122" s="15"/>
      <c r="AO122" s="13"/>
      <c r="AP122" s="15"/>
      <c r="AQ122" s="180">
        <f>B117*$F$14</f>
        <v>0</v>
      </c>
      <c r="AR122" s="1"/>
      <c r="AS122" s="13"/>
      <c r="AT122" s="15"/>
      <c r="AU122" s="45"/>
      <c r="AV122" s="15"/>
      <c r="AW122" s="13"/>
      <c r="AX122" s="15"/>
      <c r="AY122" s="45"/>
      <c r="AZ122" s="28"/>
      <c r="BA122" s="13"/>
      <c r="BB122" s="15"/>
      <c r="BC122" s="45"/>
      <c r="BD122" s="28"/>
      <c r="BE122" s="14"/>
      <c r="BF122" s="41">
        <f t="shared" ref="BF122:BG122" si="343">K122+O122+S122+W122+AA122+AE122+AI122+AM122+AQ122+AU122+AY122+BC122</f>
        <v>0</v>
      </c>
      <c r="BG122" s="34">
        <f t="shared" si="343"/>
        <v>0</v>
      </c>
      <c r="BH122" s="35">
        <f t="shared" si="332"/>
        <v>0</v>
      </c>
      <c r="BK122" s="2" t="b">
        <f>H122='2021'!BH122</f>
        <v>1</v>
      </c>
    </row>
    <row r="123" ht="15.75" customHeight="1" spans="1:63" x14ac:dyDescent="0.25">
      <c r="A123" s="89" t="s">
        <v>96</v>
      </c>
      <c r="B123" s="14"/>
      <c r="D123" s="14" t="s">
        <v>52</v>
      </c>
      <c r="E123" s="2" t="s">
        <v>39</v>
      </c>
      <c r="F123" s="41">
        <v>500</v>
      </c>
      <c r="G123" s="35"/>
      <c r="H123" s="34">
        <f>'2021'!BH123</f>
        <v>0</v>
      </c>
      <c r="I123" s="13"/>
      <c r="J123" s="15"/>
      <c r="K123" s="15"/>
      <c r="L123" s="28"/>
      <c r="M123" s="13"/>
      <c r="N123" s="15"/>
      <c r="O123" s="15"/>
      <c r="P123" s="15"/>
      <c r="Q123" s="13"/>
      <c r="R123" s="15"/>
      <c r="S123" s="15"/>
      <c r="T123" s="28"/>
      <c r="U123" s="13"/>
      <c r="V123" s="15"/>
      <c r="W123" s="15"/>
      <c r="X123" s="15"/>
      <c r="Y123" s="13"/>
      <c r="Z123" s="2"/>
      <c r="AA123" s="34">
        <f>$F$15</f>
      </c>
      <c r="AB123" s="28"/>
      <c r="AC123" s="348"/>
      <c r="AD123" s="15"/>
      <c r="AE123" s="15"/>
      <c r="AF123" s="39"/>
      <c r="AG123" s="15"/>
      <c r="AH123" s="2"/>
      <c r="AI123" s="45"/>
      <c r="AJ123" s="15"/>
      <c r="AK123" s="15"/>
      <c r="AL123" s="15"/>
      <c r="AM123" s="45"/>
      <c r="AN123" s="15"/>
      <c r="AO123" s="13"/>
      <c r="AP123" s="15"/>
      <c r="AQ123" s="45"/>
      <c r="AR123" s="1"/>
      <c r="AS123" s="13"/>
      <c r="AT123" s="15"/>
      <c r="AU123" s="45"/>
      <c r="AV123" s="15"/>
      <c r="AW123" s="13"/>
      <c r="AX123" s="15"/>
      <c r="AY123" s="45"/>
      <c r="AZ123" s="35"/>
      <c r="BA123" s="13"/>
      <c r="BB123" s="15"/>
      <c r="BC123" s="45"/>
      <c r="BD123" s="35"/>
      <c r="BE123" s="14"/>
      <c r="BF123" s="41">
        <f t="shared" ref="BF123:BG123" si="344">K123+O123+S123+W123+AA123+AE123+AI123+AM123+AQ123+AU123+AY123+BC123</f>
        <v>0</v>
      </c>
      <c r="BG123" s="34">
        <f t="shared" si="344"/>
        <v>0</v>
      </c>
      <c r="BH123" s="35">
        <f t="shared" si="332"/>
        <v>0</v>
      </c>
      <c r="BK123" s="2" t="b">
        <f>H123='2021'!BH123</f>
        <v>1</v>
      </c>
    </row>
    <row r="124" ht="15.75" customHeight="1" spans="1:63" x14ac:dyDescent="0.25">
      <c r="A124" s="243" t="s">
        <v>96</v>
      </c>
      <c r="B124" s="21"/>
      <c r="C124" s="22" t="s">
        <v>53</v>
      </c>
      <c r="D124" s="21"/>
      <c r="E124" s="22"/>
      <c r="F124" s="20"/>
      <c r="G124" s="23"/>
      <c r="H124" s="51">
        <f>SUM(H116:H123)</f>
        <v>-171.82</v>
      </c>
      <c r="I124" s="52"/>
      <c r="J124" s="53"/>
      <c r="K124" s="51">
        <f t="shared" ref="K124:L124" si="345">SUM(K116:K123)</f>
        <v>0</v>
      </c>
      <c r="L124" s="68">
        <f t="shared" si="345"/>
        <v>0</v>
      </c>
      <c r="M124" s="52"/>
      <c r="N124" s="53"/>
      <c r="O124" s="51">
        <f t="shared" ref="O124:P124" si="346">SUM(O116:O123)</f>
        <v>0</v>
      </c>
      <c r="P124" s="68">
        <f t="shared" si="346"/>
        <v>0</v>
      </c>
      <c r="Q124" s="52"/>
      <c r="R124" s="53"/>
      <c r="S124" s="51">
        <f t="shared" ref="S124:T124" si="347">SUM(S116:S123)</f>
        <v>18.9</v>
      </c>
      <c r="T124" s="68">
        <f t="shared" si="347"/>
        <v>0</v>
      </c>
      <c r="U124" s="52"/>
      <c r="V124" s="53"/>
      <c r="W124" s="51">
        <f t="shared" ref="W124:X124" si="348">SUM(W116:W123)</f>
        <v>86.4</v>
      </c>
      <c r="X124" s="68">
        <f t="shared" si="348"/>
        <v>0</v>
      </c>
      <c r="Y124" s="52"/>
      <c r="Z124" s="301"/>
      <c r="AA124" s="51">
        <f t="shared" ref="AA124:AB124" si="349">SUM(AA116:AA123)</f>
        <v>566.45</v>
      </c>
      <c r="AB124" s="68">
        <f t="shared" si="349"/>
        <v>0</v>
      </c>
      <c r="AC124" s="351"/>
      <c r="AD124" s="53"/>
      <c r="AE124" s="51">
        <f t="shared" ref="AE124:AF124" si="350">SUM(AE116:AE123)</f>
        <v>6429.8</v>
      </c>
      <c r="AF124" s="68">
        <f t="shared" si="350"/>
        <v>500</v>
      </c>
      <c r="AG124" s="53"/>
      <c r="AH124" s="301"/>
      <c r="AI124" s="183">
        <f t="shared" ref="AI124:AJ124" si="351">SUM(AI116:AI123)</f>
        <v>511.63264</v>
      </c>
      <c r="AJ124" s="51">
        <f t="shared" si="351"/>
        <v>0</v>
      </c>
      <c r="AK124" s="53"/>
      <c r="AL124" s="53"/>
      <c r="AM124" s="183">
        <f t="shared" ref="AM124:AN124" si="352">SUM(AM116:AM123)</f>
        <v>891.73984</v>
      </c>
      <c r="AN124" s="51">
        <f t="shared" si="352"/>
        <v>0</v>
      </c>
      <c r="AO124" s="52"/>
      <c r="AP124" s="53"/>
      <c r="AQ124" s="183">
        <f t="shared" ref="AQ124:AR124" si="353">SUM(AQ116:AQ123)</f>
        <v>866.81282</v>
      </c>
      <c r="AR124" s="51">
        <f t="shared" si="353"/>
        <v>7615.9</v>
      </c>
      <c r="AS124" s="52"/>
      <c r="AT124" s="53"/>
      <c r="AU124" s="183">
        <f t="shared" ref="AU124:AV124" si="354">SUM(AU116:AU123)</f>
        <v>1425.816</v>
      </c>
      <c r="AV124" s="68">
        <f t="shared" si="354"/>
        <v>2000</v>
      </c>
      <c r="AW124" s="52"/>
      <c r="AX124" s="53"/>
      <c r="AY124" s="183">
        <f t="shared" ref="AY124:AZ124" si="355">SUM(AY116:AY123)</f>
        <v>0</v>
      </c>
      <c r="AZ124" s="68">
        <f t="shared" si="355"/>
        <v>0</v>
      </c>
      <c r="BA124" s="52"/>
      <c r="BB124" s="53"/>
      <c r="BC124" s="183">
        <f t="shared" ref="BC124:BD124" si="356">SUM(BC116:BC123)</f>
        <v>0</v>
      </c>
      <c r="BD124" s="68">
        <f t="shared" si="356"/>
        <v>0</v>
      </c>
      <c r="BE124" s="69"/>
      <c r="BF124" s="70">
        <f t="shared" ref="BF124:BH124" si="357">SUM(BF116:BF123)</f>
        <v>10797.5513</v>
      </c>
      <c r="BG124" s="71">
        <f t="shared" si="357"/>
        <v>10115.9</v>
      </c>
      <c r="BH124" s="72">
        <f t="shared" si="357"/>
        <v>509.8313</v>
      </c>
      <c r="BI124" s="34">
        <f>H124+BF124-BG124</f>
        <v>509.8313</v>
      </c>
      <c r="BJ124" s="34">
        <f>BH124-BI124</f>
        <v>0</v>
      </c>
      <c r="BK124" s="2" t="b">
        <f>H124='2021'!BH124</f>
        <v>1</v>
      </c>
    </row>
    <row r="125" ht="15.75" customHeight="1" spans="1:63" x14ac:dyDescent="0.25">
      <c r="A125" s="89" t="s">
        <v>96</v>
      </c>
      <c r="B125" s="14"/>
      <c r="D125" s="14" t="s">
        <v>379</v>
      </c>
      <c r="F125" s="13"/>
      <c r="G125" s="28"/>
      <c r="H125" s="34">
        <f>'2021'!BH125</f>
        <v>0</v>
      </c>
      <c r="I125" s="13"/>
      <c r="J125" s="15"/>
      <c r="K125" s="15"/>
      <c r="L125" s="28"/>
      <c r="M125" s="13"/>
      <c r="N125" s="15"/>
      <c r="O125" s="15"/>
      <c r="P125" s="15"/>
      <c r="Q125" s="13"/>
      <c r="R125" s="15"/>
      <c r="S125" s="15"/>
      <c r="T125" s="28"/>
      <c r="U125" s="13"/>
      <c r="V125" s="15"/>
      <c r="W125" s="15"/>
      <c r="X125" s="15"/>
      <c r="Y125" s="13"/>
      <c r="Z125" s="2"/>
      <c r="AA125" s="15"/>
      <c r="AB125" s="28"/>
      <c r="AC125" s="348"/>
      <c r="AD125" s="15"/>
      <c r="AE125" s="15"/>
      <c r="AF125" s="1"/>
      <c r="AG125" s="15"/>
      <c r="AH125" s="2"/>
      <c r="AI125" s="45"/>
      <c r="AJ125" s="15"/>
      <c r="AK125" s="15"/>
      <c r="AL125" s="15"/>
      <c r="AM125" s="45"/>
      <c r="AN125" s="15"/>
      <c r="AO125" s="13"/>
      <c r="AP125" s="15"/>
      <c r="AQ125" s="45"/>
      <c r="AR125" s="1"/>
      <c r="AS125" s="13"/>
      <c r="AT125" s="15"/>
      <c r="AU125" s="45"/>
      <c r="AV125" s="15"/>
      <c r="AW125" s="13"/>
      <c r="AX125" s="15"/>
      <c r="AY125" s="45"/>
      <c r="AZ125" s="28"/>
      <c r="BA125" s="13"/>
      <c r="BB125" s="15"/>
      <c r="BC125" s="45"/>
      <c r="BD125" s="28"/>
      <c r="BE125" s="14"/>
      <c r="BF125" s="41">
        <f t="shared" ref="BF125:BG125" si="358">K125+O125+S125+W125+AA125+AE125+AI125+AM125+AQ125+AU125+AY125+BC125</f>
        <v>0</v>
      </c>
      <c r="BG125" s="34">
        <f t="shared" si="358"/>
        <v>0</v>
      </c>
      <c r="BH125" s="35">
        <f t="shared" ref="BH125:BH132" si="359">H125+BF125-BG125</f>
        <v>0</v>
      </c>
      <c r="BK125" s="2" t="b">
        <f>H125='2021'!BH125</f>
        <v>1</v>
      </c>
    </row>
    <row r="126" ht="15.75" customHeight="1" spans="1:63" x14ac:dyDescent="0.25">
      <c r="A126" s="89" t="s">
        <v>96</v>
      </c>
      <c r="B126" s="42">
        <v>4</v>
      </c>
      <c r="C126" s="2" t="s">
        <v>492</v>
      </c>
      <c r="D126" s="14" t="s">
        <v>44</v>
      </c>
      <c r="E126" s="2" t="s">
        <v>45</v>
      </c>
      <c r="F126" s="41">
        <v>2.5</v>
      </c>
      <c r="G126" s="35">
        <v>2.6</v>
      </c>
      <c r="H126" s="34">
        <f>'2021'!BH126</f>
        <v>0</v>
      </c>
      <c r="I126" s="13"/>
      <c r="J126" s="15">
        <f>I126-'2021'!BA126</f>
        <v>0</v>
      </c>
      <c r="K126" s="34">
        <f>J126*$F$8</f>
        <v>0</v>
      </c>
      <c r="L126" s="28"/>
      <c r="M126" s="13"/>
      <c r="N126" s="15">
        <f t="shared" ref="N126:N127" si="360">M126-I126</f>
        <v>0</v>
      </c>
      <c r="O126" s="34">
        <f>N126*$F$8</f>
        <v>0</v>
      </c>
      <c r="P126" s="15"/>
      <c r="Q126" s="13"/>
      <c r="R126" s="15">
        <f t="shared" ref="R126:R127" si="361">Q126-M126</f>
        <v>0</v>
      </c>
      <c r="S126" s="34">
        <f>R126*$F$8</f>
        <v>0</v>
      </c>
      <c r="T126" s="28"/>
      <c r="U126" s="13"/>
      <c r="V126" s="15">
        <f t="shared" ref="V126:V127" si="362">U126-Q126</f>
        <v>0</v>
      </c>
      <c r="W126" s="34">
        <f>V126*$F$8</f>
        <v>0</v>
      </c>
      <c r="X126" s="15"/>
      <c r="Y126" s="13"/>
      <c r="Z126" s="2">
        <f t="shared" ref="Z126:Z127" si="363">Y126-U126</f>
        <v>0</v>
      </c>
      <c r="AA126" s="34">
        <f>Z126*$F$8</f>
        <v>0</v>
      </c>
      <c r="AB126" s="28"/>
      <c r="AC126" s="348"/>
      <c r="AD126" s="15">
        <f t="shared" ref="AD126:AD127" si="364">AC126-Y126</f>
        <v>0</v>
      </c>
      <c r="AE126" s="180">
        <f>AD126*$F$8</f>
        <v>0</v>
      </c>
      <c r="AF126" s="1"/>
      <c r="AG126" s="15"/>
      <c r="AH126" s="2">
        <f>(AG126-AC126)*AH5</f>
        <v>0</v>
      </c>
      <c r="AI126" s="45">
        <f>AH126*$G$8</f>
        <v>0</v>
      </c>
      <c r="AJ126" s="15"/>
      <c r="AK126" s="15"/>
      <c r="AL126" s="15">
        <f>(AK126-AG126)*AL5</f>
        <v>0</v>
      </c>
      <c r="AM126" s="45">
        <f>AL126*$G$8</f>
        <v>0</v>
      </c>
      <c r="AN126" s="15"/>
      <c r="AO126" s="13"/>
      <c r="AP126" s="15">
        <f>(AO126-AK126)*AP5</f>
        <v>0</v>
      </c>
      <c r="AQ126" s="45">
        <f>AP126*$G$8</f>
        <v>0</v>
      </c>
      <c r="AR126" s="1"/>
      <c r="AS126" s="13"/>
      <c r="AT126" s="15">
        <f>(AS126-AO126)*AT5</f>
        <v>0</v>
      </c>
      <c r="AU126" s="45">
        <f t="shared" ref="AU126:AU127" si="365">AT126*$G$8</f>
        <v>0</v>
      </c>
      <c r="AV126" s="15"/>
      <c r="AW126" s="13"/>
      <c r="AX126" s="15">
        <f>(AW126-AS126)*AX5</f>
        <v>0</v>
      </c>
      <c r="AY126" s="45">
        <f>AX126*$G$8</f>
        <v>0</v>
      </c>
      <c r="AZ126" s="208"/>
      <c r="BA126" s="13"/>
      <c r="BB126" s="15"/>
      <c r="BC126" s="45">
        <f>BB126*$G$8</f>
        <v>0</v>
      </c>
      <c r="BD126" s="208"/>
      <c r="BE126" s="40">
        <f t="shared" ref="BE126:BG126" si="366">J126+N126+R126+V126+Z126+AD126+AH126+AL126+AP126+AT126+AX126+BB126</f>
        <v>0</v>
      </c>
      <c r="BF126" s="41">
        <f t="shared" si="366"/>
        <v>0</v>
      </c>
      <c r="BG126" s="34">
        <f t="shared" si="366"/>
        <v>0</v>
      </c>
      <c r="BH126" s="35">
        <f t="shared" si="359"/>
        <v>0</v>
      </c>
      <c r="BK126" s="2" t="b">
        <f>H126='2021'!BH126</f>
        <v>1</v>
      </c>
    </row>
    <row r="127" ht="15.75" customHeight="1" spans="1:63" x14ac:dyDescent="0.25">
      <c r="A127" s="89" t="s">
        <v>96</v>
      </c>
      <c r="B127" s="14"/>
      <c r="C127" s="2" t="s">
        <v>65</v>
      </c>
      <c r="D127" s="14" t="s">
        <v>47</v>
      </c>
      <c r="E127" s="2" t="s">
        <v>48</v>
      </c>
      <c r="F127" s="13">
        <v>18.56</v>
      </c>
      <c r="G127" s="35">
        <v>19.46</v>
      </c>
      <c r="H127" s="34">
        <f>'2021'!BH127</f>
        <v>0</v>
      </c>
      <c r="I127" s="13">
        <v>43</v>
      </c>
      <c r="J127" s="15"/>
      <c r="K127" s="15"/>
      <c r="L127" s="28"/>
      <c r="M127" s="13">
        <v>43</v>
      </c>
      <c r="N127" s="15">
        <f t="shared" si="360"/>
        <v>0</v>
      </c>
      <c r="O127" s="15"/>
      <c r="P127" s="15"/>
      <c r="Q127" s="13">
        <v>43</v>
      </c>
      <c r="R127" s="15">
        <f t="shared" si="361"/>
        <v>0</v>
      </c>
      <c r="S127" s="15"/>
      <c r="T127" s="28"/>
      <c r="U127" s="13">
        <v>43</v>
      </c>
      <c r="V127" s="15">
        <f t="shared" si="362"/>
        <v>0</v>
      </c>
      <c r="W127" s="34">
        <f>V127*$F$10</f>
        <v>0</v>
      </c>
      <c r="X127" s="15"/>
      <c r="Y127" s="13">
        <v>76</v>
      </c>
      <c r="Z127" s="2">
        <f t="shared" si="363"/>
        <v>33</v>
      </c>
      <c r="AA127" s="34">
        <f>Z127*$F$10</f>
        <v>671.55</v>
      </c>
      <c r="AB127" s="28"/>
      <c r="AC127" s="350">
        <v>77</v>
      </c>
      <c r="AD127" s="15">
        <f t="shared" si="364"/>
        <v>1</v>
      </c>
      <c r="AE127" s="34">
        <f>AD127*$F$10</f>
        <v>20.35</v>
      </c>
      <c r="AF127" s="1"/>
      <c r="AG127" s="13">
        <v>87</v>
      </c>
      <c r="AH127" s="2">
        <f>AG127-AC127</f>
        <v>10</v>
      </c>
      <c r="AI127" s="45">
        <f>AH127*$G$10</f>
        <v>214</v>
      </c>
      <c r="AJ127" s="15"/>
      <c r="AK127" s="13">
        <v>92</v>
      </c>
      <c r="AL127" s="15">
        <f>AK127-AG127</f>
        <v>5</v>
      </c>
      <c r="AM127" s="45">
        <f>AL127*$G$10</f>
        <v>107</v>
      </c>
      <c r="AN127" s="15"/>
      <c r="AO127" s="13">
        <v>100</v>
      </c>
      <c r="AP127" s="15">
        <f>AO127-AK127</f>
        <v>8</v>
      </c>
      <c r="AQ127" s="45">
        <f>AP127*$G$10</f>
        <v>171.2</v>
      </c>
      <c r="AR127" s="1">
        <v>1184.1</v>
      </c>
      <c r="AS127" s="13">
        <v>100</v>
      </c>
      <c r="AT127" s="15">
        <f>AS127-AO127</f>
        <v>0</v>
      </c>
      <c r="AU127" s="45">
        <f t="shared" si="365"/>
        <v>0</v>
      </c>
      <c r="AV127" s="15"/>
      <c r="AW127" s="13"/>
      <c r="AX127" s="15">
        <f>AW127-AS127</f>
        <v>-100</v>
      </c>
      <c r="AY127" s="45"/>
      <c r="AZ127" s="208"/>
      <c r="BA127" s="13"/>
      <c r="BB127" s="15"/>
      <c r="BC127" s="45"/>
      <c r="BD127" s="208"/>
      <c r="BE127" s="40">
        <f t="shared" ref="BE127:BG127" si="367">J127+N127+R127+V127+Z127+AD127+AH127+AL127+AP127+AT127+AX127+BB127</f>
        <v>-43</v>
      </c>
      <c r="BF127" s="41">
        <f t="shared" si="367"/>
        <v>1184.1</v>
      </c>
      <c r="BG127" s="34">
        <f t="shared" si="367"/>
        <v>1184.1</v>
      </c>
      <c r="BH127" s="35">
        <f t="shared" si="359"/>
        <v>0</v>
      </c>
      <c r="BK127" s="2" t="b">
        <f>H127='2021'!BH127</f>
        <v>1</v>
      </c>
    </row>
    <row r="128" ht="15.75" customHeight="1" spans="1:63" x14ac:dyDescent="0.25">
      <c r="A128" s="89" t="s">
        <v>96</v>
      </c>
      <c r="B128" s="14"/>
      <c r="C128" s="2" t="s">
        <v>115</v>
      </c>
      <c r="D128" s="14" t="s">
        <v>47</v>
      </c>
      <c r="E128" s="2" t="s">
        <v>49</v>
      </c>
      <c r="F128" s="41">
        <v>500</v>
      </c>
      <c r="G128" s="35"/>
      <c r="H128" s="34">
        <f>'2021'!BH128</f>
        <v>0</v>
      </c>
      <c r="I128" s="13"/>
      <c r="J128" s="15"/>
      <c r="K128" s="15"/>
      <c r="L128" s="28"/>
      <c r="M128" s="13"/>
      <c r="N128" s="15"/>
      <c r="O128" s="15"/>
      <c r="P128" s="15"/>
      <c r="Q128" s="13"/>
      <c r="R128" s="15"/>
      <c r="S128" s="15"/>
      <c r="T128" s="28"/>
      <c r="U128" s="13"/>
      <c r="V128" s="15"/>
      <c r="W128" s="15"/>
      <c r="X128" s="15"/>
      <c r="Y128" s="13"/>
      <c r="Z128" s="2"/>
      <c r="AA128" s="15"/>
      <c r="AB128" s="28"/>
      <c r="AC128" s="348"/>
      <c r="AD128" s="15"/>
      <c r="AE128" s="34"/>
      <c r="AF128" s="1"/>
      <c r="AG128" s="15"/>
      <c r="AH128" s="2"/>
      <c r="AI128" s="45"/>
      <c r="AJ128" s="15"/>
      <c r="AK128" s="15"/>
      <c r="AL128" s="15"/>
      <c r="AM128" s="45"/>
      <c r="AN128" s="15"/>
      <c r="AO128" s="13"/>
      <c r="AP128" s="15"/>
      <c r="AQ128" s="45"/>
      <c r="AR128" s="1"/>
      <c r="AS128" s="13"/>
      <c r="AT128" s="15"/>
      <c r="AU128" s="45"/>
      <c r="AV128" s="15"/>
      <c r="AW128" s="13"/>
      <c r="AX128" s="15"/>
      <c r="AY128" s="45"/>
      <c r="AZ128" s="28"/>
      <c r="BA128" s="13"/>
      <c r="BB128" s="15"/>
      <c r="BC128" s="45"/>
      <c r="BD128" s="28"/>
      <c r="BE128" s="14"/>
      <c r="BF128" s="41">
        <f t="shared" ref="BF128:BG128" si="368">K128+O128+S128+W128+AA128+AE128+AI128+AM128+AQ128+AU128+AY128+BC128</f>
        <v>0</v>
      </c>
      <c r="BG128" s="34">
        <f t="shared" si="368"/>
        <v>0</v>
      </c>
      <c r="BH128" s="35">
        <f t="shared" si="359"/>
        <v>0</v>
      </c>
      <c r="BK128" s="2" t="b">
        <f>H128='2021'!BH128</f>
        <v>1</v>
      </c>
    </row>
    <row r="129" ht="15.75" customHeight="1" spans="1:63" x14ac:dyDescent="0.25">
      <c r="A129" s="89" t="s">
        <v>96</v>
      </c>
      <c r="B129" s="14"/>
      <c r="C129" s="73" t="s">
        <v>493</v>
      </c>
      <c r="D129" s="14" t="s">
        <v>50</v>
      </c>
      <c r="E129" s="2" t="s">
        <v>49</v>
      </c>
      <c r="F129" s="41">
        <v>1100</v>
      </c>
      <c r="G129" s="35"/>
      <c r="H129" s="34">
        <f>'2021'!BH129</f>
        <v>0</v>
      </c>
      <c r="I129" s="13"/>
      <c r="J129" s="15"/>
      <c r="K129" s="15"/>
      <c r="L129" s="28"/>
      <c r="M129" s="13"/>
      <c r="N129" s="15"/>
      <c r="O129" s="15"/>
      <c r="P129" s="15"/>
      <c r="Q129" s="13"/>
      <c r="R129" s="15"/>
      <c r="S129" s="15"/>
      <c r="T129" s="28"/>
      <c r="U129" s="13"/>
      <c r="V129" s="15"/>
      <c r="W129" s="15"/>
      <c r="X129" s="15"/>
      <c r="Y129" s="13"/>
      <c r="Z129" s="2"/>
      <c r="AA129" s="15"/>
      <c r="AB129" s="28"/>
      <c r="AC129" s="348"/>
      <c r="AD129" s="15"/>
      <c r="AE129" s="34">
        <f>B126*$F$12</f>
        <v>5200</v>
      </c>
      <c r="AF129" s="1"/>
      <c r="AG129" s="15"/>
      <c r="AH129" s="2"/>
      <c r="AI129" s="45"/>
      <c r="AJ129" s="180"/>
      <c r="AK129" s="15"/>
      <c r="AL129" s="15"/>
      <c r="AM129" s="45"/>
      <c r="AN129" s="15"/>
      <c r="AO129" s="13"/>
      <c r="AP129" s="15"/>
      <c r="AQ129" s="45"/>
      <c r="AR129" s="1">
        <v>5200</v>
      </c>
      <c r="AS129" s="13"/>
      <c r="AT129" s="15"/>
      <c r="AU129" s="45"/>
      <c r="AV129" s="1"/>
      <c r="AW129" s="13"/>
      <c r="AX129" s="15"/>
      <c r="AY129" s="45"/>
      <c r="AZ129" s="28"/>
      <c r="BA129" s="13"/>
      <c r="BB129" s="15"/>
      <c r="BC129" s="45"/>
      <c r="BD129" s="28"/>
      <c r="BE129" s="14"/>
      <c r="BF129" s="41">
        <f t="shared" ref="BF129:BG129" si="369">K129+O129+S129+W129+AA129+AE129+AI129+AM129+AQ129+AU129+AY129+BC129</f>
        <v>5200</v>
      </c>
      <c r="BG129" s="34">
        <f t="shared" si="369"/>
        <v>5200</v>
      </c>
      <c r="BH129" s="35">
        <f t="shared" si="359"/>
        <v>0</v>
      </c>
      <c r="BK129" s="2" t="b">
        <f>H129='2021'!BH129</f>
        <v>1</v>
      </c>
    </row>
    <row r="130" ht="15.75" customHeight="1" spans="1:63" x14ac:dyDescent="0.25">
      <c r="A130" s="89" t="s">
        <v>96</v>
      </c>
      <c r="B130" s="14"/>
      <c r="D130" s="14" t="s">
        <v>51</v>
      </c>
      <c r="E130" s="2" t="s">
        <v>39</v>
      </c>
      <c r="F130" s="41">
        <v>500</v>
      </c>
      <c r="G130" s="35"/>
      <c r="H130" s="34">
        <f>'2021'!BH130</f>
        <v>0</v>
      </c>
      <c r="I130" s="13"/>
      <c r="J130" s="15"/>
      <c r="K130" s="15"/>
      <c r="L130" s="28"/>
      <c r="M130" s="13"/>
      <c r="N130" s="15"/>
      <c r="O130" s="15"/>
      <c r="P130" s="15"/>
      <c r="Q130" s="13"/>
      <c r="R130" s="15"/>
      <c r="S130" s="15"/>
      <c r="T130" s="28"/>
      <c r="U130" s="13"/>
      <c r="V130" s="15"/>
      <c r="W130" s="15"/>
      <c r="X130" s="15"/>
      <c r="Y130" s="13"/>
      <c r="Z130" s="2"/>
      <c r="AA130" s="15"/>
      <c r="AB130" s="28"/>
      <c r="AC130" s="348"/>
      <c r="AD130" s="15"/>
      <c r="AE130" s="180">
        <f>$F$13</f>
        <v>1000</v>
      </c>
      <c r="AF130" s="1"/>
      <c r="AG130" s="15"/>
      <c r="AH130" s="2"/>
      <c r="AI130" s="45"/>
      <c r="AJ130" s="15"/>
      <c r="AK130" s="15"/>
      <c r="AL130" s="15"/>
      <c r="AM130" s="45"/>
      <c r="AN130" s="15"/>
      <c r="AO130" s="13"/>
      <c r="AP130" s="15"/>
      <c r="AQ130" s="180"/>
      <c r="AR130" s="1">
        <v>1000</v>
      </c>
      <c r="AS130" s="13"/>
      <c r="AT130" s="15"/>
      <c r="AU130" s="45"/>
      <c r="AV130" s="15"/>
      <c r="AW130" s="13"/>
      <c r="AX130" s="15"/>
      <c r="AY130" s="45"/>
      <c r="AZ130" s="28"/>
      <c r="BA130" s="13"/>
      <c r="BB130" s="15"/>
      <c r="BC130" s="45"/>
      <c r="BD130" s="28"/>
      <c r="BE130" s="14"/>
      <c r="BF130" s="41">
        <f t="shared" ref="BF130:BG130" si="370">K130+O130+S130+W130+AA130+AE130+AI130+AM130+AQ130+AU130+AY130+BC130</f>
        <v>1000</v>
      </c>
      <c r="BG130" s="34">
        <f t="shared" si="370"/>
        <v>1000</v>
      </c>
      <c r="BH130" s="35">
        <f t="shared" si="359"/>
        <v>0</v>
      </c>
      <c r="BK130" s="2" t="b">
        <f>H130='2021'!BH130</f>
        <v>1</v>
      </c>
    </row>
    <row r="131" ht="15.75" customHeight="1" spans="1:63" x14ac:dyDescent="0.25">
      <c r="A131" s="89" t="s">
        <v>96</v>
      </c>
      <c r="B131" s="14"/>
      <c r="D131" s="14" t="s">
        <v>51</v>
      </c>
      <c r="E131" s="2" t="s">
        <v>49</v>
      </c>
      <c r="F131" s="41">
        <v>500</v>
      </c>
      <c r="G131" s="35"/>
      <c r="H131" s="34">
        <f>'2021'!BH131</f>
        <v>0</v>
      </c>
      <c r="I131" s="13"/>
      <c r="J131" s="15"/>
      <c r="K131" s="15"/>
      <c r="L131" s="28"/>
      <c r="M131" s="13"/>
      <c r="N131" s="15"/>
      <c r="O131" s="15"/>
      <c r="P131" s="15"/>
      <c r="Q131" s="13"/>
      <c r="R131" s="15"/>
      <c r="S131" s="15"/>
      <c r="T131" s="28"/>
      <c r="U131" s="13"/>
      <c r="V131" s="15"/>
      <c r="W131" s="15"/>
      <c r="X131" s="15"/>
      <c r="Y131" s="13"/>
      <c r="Z131" s="2"/>
      <c r="AA131" s="15"/>
      <c r="AB131" s="28"/>
      <c r="AC131" s="348"/>
      <c r="AD131" s="15"/>
      <c r="AE131" s="34"/>
      <c r="AF131" s="1"/>
      <c r="AG131" s="15"/>
      <c r="AH131" s="2"/>
      <c r="AI131" s="45"/>
      <c r="AJ131" s="15"/>
      <c r="AK131" s="15"/>
      <c r="AL131" s="15"/>
      <c r="AM131" s="45"/>
      <c r="AN131" s="15"/>
      <c r="AO131" s="13"/>
      <c r="AP131" s="15"/>
      <c r="AQ131" s="180">
        <f>B126*$F$14</f>
        <v>0</v>
      </c>
      <c r="AR131" s="1"/>
      <c r="AS131" s="13"/>
      <c r="AT131" s="15"/>
      <c r="AU131" s="45"/>
      <c r="AV131" s="15"/>
      <c r="AW131" s="13"/>
      <c r="AX131" s="15"/>
      <c r="AY131" s="45"/>
      <c r="AZ131" s="28"/>
      <c r="BA131" s="13"/>
      <c r="BB131" s="15"/>
      <c r="BC131" s="45"/>
      <c r="BD131" s="28"/>
      <c r="BE131" s="14"/>
      <c r="BF131" s="41">
        <f t="shared" ref="BF131:BG131" si="371">K131+O131+S131+W131+AA131+AE131+AI131+AM131+AQ131+AU131+AY131+BC131</f>
        <v>0</v>
      </c>
      <c r="BG131" s="34">
        <f t="shared" si="371"/>
        <v>0</v>
      </c>
      <c r="BH131" s="35">
        <f t="shared" si="359"/>
        <v>0</v>
      </c>
      <c r="BK131" s="2" t="b">
        <f>H131='2021'!BH131</f>
        <v>1</v>
      </c>
    </row>
    <row r="132" ht="15.75" customHeight="1" spans="1:63" x14ac:dyDescent="0.25">
      <c r="A132" s="89" t="s">
        <v>96</v>
      </c>
      <c r="B132" s="14"/>
      <c r="D132" s="14" t="s">
        <v>52</v>
      </c>
      <c r="E132" s="2" t="s">
        <v>39</v>
      </c>
      <c r="F132" s="41">
        <v>500</v>
      </c>
      <c r="G132" s="35"/>
      <c r="H132" s="34">
        <f>'2021'!BH132</f>
        <v>0</v>
      </c>
      <c r="I132" s="13"/>
      <c r="J132" s="15"/>
      <c r="K132" s="15"/>
      <c r="L132" s="28"/>
      <c r="M132" s="13"/>
      <c r="N132" s="15"/>
      <c r="O132" s="15"/>
      <c r="P132" s="15"/>
      <c r="Q132" s="13"/>
      <c r="R132" s="15"/>
      <c r="S132" s="15"/>
      <c r="T132" s="28"/>
      <c r="U132" s="13"/>
      <c r="V132" s="15"/>
      <c r="W132" s="15"/>
      <c r="X132" s="15"/>
      <c r="Y132" s="13"/>
      <c r="Z132" s="2"/>
      <c r="AA132" s="34">
        <f>$F$15</f>
      </c>
      <c r="AB132" s="28"/>
      <c r="AC132" s="348"/>
      <c r="AD132" s="15"/>
      <c r="AE132" s="15"/>
      <c r="AF132" s="34"/>
      <c r="AG132" s="15"/>
      <c r="AH132" s="2"/>
      <c r="AI132" s="45"/>
      <c r="AJ132" s="15"/>
      <c r="AK132" s="15"/>
      <c r="AL132" s="15"/>
      <c r="AM132" s="45"/>
      <c r="AN132" s="15"/>
      <c r="AO132" s="13"/>
      <c r="AP132" s="15"/>
      <c r="AQ132" s="45"/>
      <c r="AR132" s="1"/>
      <c r="AS132" s="13"/>
      <c r="AT132" s="15"/>
      <c r="AU132" s="45"/>
      <c r="AV132" s="15"/>
      <c r="AW132" s="13"/>
      <c r="AX132" s="15"/>
      <c r="AY132" s="45"/>
      <c r="AZ132" s="35"/>
      <c r="BA132" s="13"/>
      <c r="BB132" s="15"/>
      <c r="BC132" s="45"/>
      <c r="BD132" s="35"/>
      <c r="BE132" s="14"/>
      <c r="BF132" s="41">
        <f t="shared" ref="BF132:BG132" si="372">K132+O132+S132+W132+AA132+AE132+AI132+AM132+AQ132+AU132+AY132+BC132</f>
        <v>0</v>
      </c>
      <c r="BG132" s="34">
        <f t="shared" si="372"/>
        <v>0</v>
      </c>
      <c r="BH132" s="35">
        <f t="shared" si="359"/>
        <v>0</v>
      </c>
      <c r="BK132" s="2" t="b">
        <f>H132='2021'!BH132</f>
        <v>1</v>
      </c>
    </row>
    <row r="133" ht="15.75" customHeight="1" spans="1:63" x14ac:dyDescent="0.25">
      <c r="A133" s="89" t="s">
        <v>96</v>
      </c>
      <c r="B133" s="21"/>
      <c r="C133" s="22" t="s">
        <v>53</v>
      </c>
      <c r="D133" s="21"/>
      <c r="E133" s="22"/>
      <c r="F133" s="20"/>
      <c r="G133" s="23"/>
      <c r="H133" s="51">
        <f>SUM(H125:H132)</f>
        <v>0</v>
      </c>
      <c r="I133" s="52"/>
      <c r="J133" s="53"/>
      <c r="K133" s="51">
        <f t="shared" ref="K133:L133" si="373">SUM(K125:K132)</f>
        <v>0</v>
      </c>
      <c r="L133" s="68">
        <f t="shared" si="373"/>
        <v>0</v>
      </c>
      <c r="M133" s="52"/>
      <c r="N133" s="53"/>
      <c r="O133" s="51">
        <f t="shared" ref="O133:P133" si="374">SUM(O125:O132)</f>
        <v>0</v>
      </c>
      <c r="P133" s="68">
        <f t="shared" si="374"/>
        <v>0</v>
      </c>
      <c r="Q133" s="52"/>
      <c r="R133" s="53"/>
      <c r="S133" s="51">
        <f t="shared" ref="S133:T133" si="375">SUM(S125:S132)</f>
        <v>0</v>
      </c>
      <c r="T133" s="68">
        <f t="shared" si="375"/>
        <v>0</v>
      </c>
      <c r="U133" s="52"/>
      <c r="V133" s="53"/>
      <c r="W133" s="51">
        <f t="shared" ref="W133:X133" si="376">SUM(W125:W132)</f>
        <v>0</v>
      </c>
      <c r="X133" s="68">
        <f t="shared" si="376"/>
        <v>0</v>
      </c>
      <c r="Y133" s="52"/>
      <c r="Z133" s="301"/>
      <c r="AA133" s="51">
        <f t="shared" ref="AA133:AB133" si="377">SUM(AA125:AA132)</f>
        <v>671.55</v>
      </c>
      <c r="AB133" s="68">
        <f t="shared" si="377"/>
        <v>0</v>
      </c>
      <c r="AC133" s="351"/>
      <c r="AD133" s="53"/>
      <c r="AE133" s="51">
        <f t="shared" ref="AE133:AF133" si="378">SUM(AE125:AE132)</f>
        <v>6220.35</v>
      </c>
      <c r="AF133" s="68">
        <f t="shared" si="378"/>
        <v>0</v>
      </c>
      <c r="AG133" s="53"/>
      <c r="AH133" s="301"/>
      <c r="AI133" s="183">
        <f t="shared" ref="AI133:AJ133" si="379">SUM(AI125:AI132)</f>
        <v>214</v>
      </c>
      <c r="AJ133" s="51">
        <f t="shared" si="379"/>
        <v>0</v>
      </c>
      <c r="AK133" s="53"/>
      <c r="AL133" s="53"/>
      <c r="AM133" s="183">
        <f t="shared" ref="AM133:AN133" si="380">SUM(AM125:AM132)</f>
        <v>107</v>
      </c>
      <c r="AN133" s="51">
        <f t="shared" si="380"/>
        <v>0</v>
      </c>
      <c r="AO133" s="52"/>
      <c r="AP133" s="53"/>
      <c r="AQ133" s="183">
        <f t="shared" ref="AQ133:AR133" si="381">SUM(AQ125:AQ132)</f>
        <v>171.2</v>
      </c>
      <c r="AR133" s="51">
        <f t="shared" si="381"/>
        <v>7384.1</v>
      </c>
      <c r="AS133" s="52"/>
      <c r="AT133" s="53"/>
      <c r="AU133" s="183">
        <f t="shared" ref="AU133:AV133" si="382">SUM(AU125:AU132)</f>
        <v>0</v>
      </c>
      <c r="AV133" s="68">
        <f t="shared" si="382"/>
        <v>0</v>
      </c>
      <c r="AW133" s="52"/>
      <c r="AX133" s="53"/>
      <c r="AY133" s="183">
        <f t="shared" ref="AY133:AZ133" si="383">SUM(AY125:AY132)</f>
        <v>0</v>
      </c>
      <c r="AZ133" s="68">
        <f t="shared" si="383"/>
        <v>0</v>
      </c>
      <c r="BA133" s="52"/>
      <c r="BB133" s="53"/>
      <c r="BC133" s="183">
        <f t="shared" ref="BC133:BD133" si="384">SUM(BC125:BC132)</f>
        <v>0</v>
      </c>
      <c r="BD133" s="68">
        <f t="shared" si="384"/>
        <v>0</v>
      </c>
      <c r="BE133" s="69"/>
      <c r="BF133" s="70">
        <f t="shared" ref="BF133:BH133" si="385">SUM(BF125:BF132)</f>
        <v>7384.1</v>
      </c>
      <c r="BG133" s="71">
        <f t="shared" si="385"/>
        <v>7384.1</v>
      </c>
      <c r="BH133" s="72">
        <f t="shared" si="385"/>
        <v>0</v>
      </c>
      <c r="BI133" s="34">
        <f>H133+BF133-BG133</f>
        <v>0</v>
      </c>
      <c r="BJ133" s="34">
        <f>BH133-BI133</f>
        <v>0</v>
      </c>
      <c r="BK133" s="2" t="b">
        <f>H133='2021'!BH133</f>
        <v>1</v>
      </c>
    </row>
    <row r="134" ht="15.75" customHeight="1" spans="1:63" x14ac:dyDescent="0.25">
      <c r="A134" s="175">
        <v>14</v>
      </c>
      <c r="B134" s="14"/>
      <c r="D134" s="14" t="s">
        <v>379</v>
      </c>
      <c r="F134" s="13"/>
      <c r="G134" s="28"/>
      <c r="H134" s="34">
        <f>'2021'!BH134</f>
        <v>0</v>
      </c>
      <c r="I134" s="13"/>
      <c r="J134" s="15"/>
      <c r="K134" s="15"/>
      <c r="L134" s="28"/>
      <c r="M134" s="13"/>
      <c r="N134" s="15"/>
      <c r="O134" s="15"/>
      <c r="P134" s="15"/>
      <c r="Q134" s="13"/>
      <c r="R134" s="15"/>
      <c r="S134" s="15"/>
      <c r="T134" s="28"/>
      <c r="U134" s="13"/>
      <c r="V134" s="15"/>
      <c r="W134" s="15"/>
      <c r="X134" s="15"/>
      <c r="Y134" s="13"/>
      <c r="Z134" s="2"/>
      <c r="AA134" s="15"/>
      <c r="AB134" s="28"/>
      <c r="AC134" s="348"/>
      <c r="AD134" s="15"/>
      <c r="AE134" s="15"/>
      <c r="AF134" s="15"/>
      <c r="AG134" s="15"/>
      <c r="AH134" s="2"/>
      <c r="AI134" s="45"/>
      <c r="AJ134" s="15"/>
      <c r="AK134" s="15"/>
      <c r="AL134" s="15"/>
      <c r="AM134" s="45"/>
      <c r="AN134" s="15"/>
      <c r="AO134" s="13"/>
      <c r="AP134" s="15"/>
      <c r="AQ134" s="45"/>
      <c r="AR134" s="15"/>
      <c r="AS134" s="13"/>
      <c r="AT134" s="15"/>
      <c r="AU134" s="45"/>
      <c r="AV134" s="15"/>
      <c r="AW134" s="13"/>
      <c r="AX134" s="15"/>
      <c r="AY134" s="45"/>
      <c r="AZ134" s="28"/>
      <c r="BA134" s="13"/>
      <c r="BB134" s="15"/>
      <c r="BC134" s="45"/>
      <c r="BD134" s="28"/>
      <c r="BE134" s="14"/>
      <c r="BF134" s="41">
        <f t="shared" ref="BF134:BG134" si="386">K134+O134+S134+W134+AA134+AE134+AI134+AM134+AQ134+AU134+AY134+BC134</f>
        <v>0</v>
      </c>
      <c r="BG134" s="34">
        <f t="shared" si="386"/>
        <v>0</v>
      </c>
      <c r="BH134" s="35">
        <f t="shared" ref="BH134:BH141" si="387">H134+BF134-BG134</f>
        <v>0</v>
      </c>
      <c r="BK134" s="2" t="b">
        <f>H134='2021'!BH134</f>
        <v>1</v>
      </c>
    </row>
    <row r="135" ht="15.75" customHeight="1" spans="1:63" x14ac:dyDescent="0.25">
      <c r="A135" s="176">
        <v>14</v>
      </c>
      <c r="B135" s="14">
        <v>4.02</v>
      </c>
      <c r="C135" s="15" t="s">
        <v>100</v>
      </c>
      <c r="D135" s="14" t="s">
        <v>44</v>
      </c>
      <c r="E135" s="2" t="s">
        <v>45</v>
      </c>
      <c r="F135" s="41">
        <v>2.5</v>
      </c>
      <c r="G135" s="35">
        <v>2.6</v>
      </c>
      <c r="H135" s="104">
        <f>'2021'!BH135</f>
        <v>0</v>
      </c>
      <c r="I135" s="13"/>
      <c r="J135" s="15">
        <f>I135-'2021'!BA135</f>
        <v>0</v>
      </c>
      <c r="K135" s="34">
        <f>J135*$F$8</f>
        <v>0</v>
      </c>
      <c r="L135" s="28"/>
      <c r="M135" s="13"/>
      <c r="N135" s="15">
        <f t="shared" ref="N135:N136" si="388">M135-I135</f>
        <v>0</v>
      </c>
      <c r="O135" s="34">
        <f>N135*$F$8</f>
        <v>0</v>
      </c>
      <c r="P135" s="15"/>
      <c r="Q135" s="13"/>
      <c r="R135" s="15">
        <f t="shared" ref="R135:R136" si="389">Q135-M135</f>
        <v>0</v>
      </c>
      <c r="S135" s="34">
        <f>R135*$F$8</f>
        <v>0</v>
      </c>
      <c r="T135" s="28"/>
      <c r="U135" s="13"/>
      <c r="V135" s="15">
        <f t="shared" ref="V135:V136" si="390">U135-Q135</f>
        <v>0</v>
      </c>
      <c r="W135" s="34">
        <f>V135*$F$8</f>
        <v>0</v>
      </c>
      <c r="X135" s="15"/>
      <c r="Y135" s="13"/>
      <c r="Z135" s="2">
        <f t="shared" ref="Z135:Z136" si="391">Y135-U135</f>
        <v>0</v>
      </c>
      <c r="AA135" s="34">
        <f>Z135*$F$8</f>
        <v>0</v>
      </c>
      <c r="AB135" s="28"/>
      <c r="AC135" s="348"/>
      <c r="AD135" s="15">
        <f t="shared" ref="AD135:AD136" si="392">AC135-Y135</f>
        <v>0</v>
      </c>
      <c r="AE135" s="180">
        <f>AD135*$F$8</f>
        <v>0</v>
      </c>
      <c r="AF135" s="154"/>
      <c r="AG135" s="15"/>
      <c r="AH135" s="2">
        <f>(AG135-AC135)*AH5</f>
        <v>0</v>
      </c>
      <c r="AI135" s="45">
        <f>AH135*$G$8</f>
        <v>0</v>
      </c>
      <c r="AJ135" s="15"/>
      <c r="AK135" s="15"/>
      <c r="AL135" s="15">
        <f>(AK135-AG135)*AL5</f>
        <v>0</v>
      </c>
      <c r="AM135" s="45">
        <f>AL135*$G$8</f>
        <v>0</v>
      </c>
      <c r="AN135" s="15"/>
      <c r="AO135" s="13"/>
      <c r="AP135" s="15">
        <f>(AO135-AK135)*AP5</f>
        <v>0</v>
      </c>
      <c r="AQ135" s="45">
        <f>AP135*$G$8</f>
        <v>0</v>
      </c>
      <c r="AR135" s="15"/>
      <c r="AS135" s="13"/>
      <c r="AT135" s="15">
        <f>(AS135-AO135)*AT5</f>
        <v>0</v>
      </c>
      <c r="AU135" s="45">
        <f>AT135*$G$8</f>
        <v>0</v>
      </c>
      <c r="AV135" s="15"/>
      <c r="AW135" s="13"/>
      <c r="AX135" s="15">
        <f>(AW135-AS135)*AX5</f>
        <v>0</v>
      </c>
      <c r="AY135" s="45">
        <f>AX135*$G$8</f>
        <v>0</v>
      </c>
      <c r="AZ135" s="208"/>
      <c r="BA135" s="13"/>
      <c r="BB135" s="15"/>
      <c r="BC135" s="45">
        <f>BB135*$G$8</f>
        <v>0</v>
      </c>
      <c r="BD135" s="208"/>
      <c r="BE135" s="40">
        <f t="shared" ref="BE135:BG135" si="393">J135+N135+R135+V135+Z135+AD135+AH135+AL135+AP135+AT135+AX135+BB135</f>
        <v>0</v>
      </c>
      <c r="BF135" s="41">
        <f t="shared" si="393"/>
        <v>0</v>
      </c>
      <c r="BG135" s="34">
        <f t="shared" si="393"/>
        <v>0</v>
      </c>
      <c r="BH135" s="35">
        <f t="shared" si="387"/>
        <v>0</v>
      </c>
      <c r="BK135" s="2" t="b">
        <f>H135='2021'!BH135</f>
        <v>1</v>
      </c>
    </row>
    <row r="136" ht="15.75" customHeight="1" spans="1:63" x14ac:dyDescent="0.25">
      <c r="A136" s="176">
        <v>14</v>
      </c>
      <c r="B136" s="14"/>
      <c r="C136" s="2" t="s">
        <v>101</v>
      </c>
      <c r="D136" s="14" t="s">
        <v>47</v>
      </c>
      <c r="E136" s="2" t="s">
        <v>48</v>
      </c>
      <c r="F136" s="13">
        <v>18.56</v>
      </c>
      <c r="G136" s="35">
        <v>19.46</v>
      </c>
      <c r="H136" s="34">
        <f>'2021'!BH136</f>
        <v>20.35</v>
      </c>
      <c r="I136" s="13">
        <v>492</v>
      </c>
      <c r="J136" s="15"/>
      <c r="K136" s="15"/>
      <c r="L136" s="28"/>
      <c r="M136" s="13">
        <v>492</v>
      </c>
      <c r="N136" s="15">
        <f t="shared" si="388"/>
        <v>0</v>
      </c>
      <c r="O136" s="15"/>
      <c r="P136" s="15"/>
      <c r="Q136" s="13">
        <v>492</v>
      </c>
      <c r="R136" s="15">
        <f t="shared" si="389"/>
        <v>0</v>
      </c>
      <c r="S136" s="15"/>
      <c r="T136" s="28"/>
      <c r="U136" s="13">
        <v>492</v>
      </c>
      <c r="V136" s="15">
        <f t="shared" si="390"/>
        <v>0</v>
      </c>
      <c r="W136" s="34">
        <f>V136*$F$10</f>
        <v>0</v>
      </c>
      <c r="X136" s="15"/>
      <c r="Y136" s="13">
        <v>493</v>
      </c>
      <c r="Z136" s="2">
        <f t="shared" si="391"/>
        <v>1</v>
      </c>
      <c r="AA136" s="34">
        <f>Z136*$F$10</f>
        <v>20.35</v>
      </c>
      <c r="AB136" s="28"/>
      <c r="AC136" s="348">
        <v>496</v>
      </c>
      <c r="AD136" s="15">
        <f t="shared" si="392"/>
        <v>3</v>
      </c>
      <c r="AE136" s="34">
        <f>AD136*$F$10</f>
        <v>61.05</v>
      </c>
      <c r="AF136" s="355">
        <v>274</v>
      </c>
      <c r="AG136" s="15">
        <v>499</v>
      </c>
      <c r="AH136" s="2">
        <f>AG136-AC136</f>
        <v>3</v>
      </c>
      <c r="AI136" s="45">
        <f>AH136*$G$10</f>
        <v>64.2</v>
      </c>
      <c r="AJ136" s="15"/>
      <c r="AK136" s="15">
        <v>501</v>
      </c>
      <c r="AL136" s="15">
        <f>AK136-AG136</f>
        <v>2</v>
      </c>
      <c r="AM136" s="45">
        <f>AL136*$G$10</f>
        <v>42.8</v>
      </c>
      <c r="AN136" s="15"/>
      <c r="AO136" s="13">
        <v>503</v>
      </c>
      <c r="AP136" s="15">
        <f>AO136-AK136</f>
        <v>2</v>
      </c>
      <c r="AQ136" s="45">
        <f>AP136*$G$10</f>
        <v>42.8</v>
      </c>
      <c r="AR136" s="15"/>
      <c r="AS136" s="13">
        <v>503</v>
      </c>
      <c r="AT136" s="15">
        <f>AS136-AO136</f>
        <v>0</v>
      </c>
      <c r="AU136" s="45">
        <f>AT136*$G$10</f>
        <v>0</v>
      </c>
      <c r="AV136" s="15"/>
      <c r="AW136" s="13"/>
      <c r="AX136" s="15">
        <f>AW136-AS136</f>
        <v>-503</v>
      </c>
      <c r="AY136" s="45"/>
      <c r="AZ136" s="208"/>
      <c r="BA136" s="13"/>
      <c r="BB136" s="15"/>
      <c r="BC136" s="45"/>
      <c r="BD136" s="208"/>
      <c r="BE136" s="40">
        <f t="shared" ref="BE136:BG136" si="394">J136+N136+R136+V136+Z136+AD136+AH136+AL136+AP136+AT136+AX136+BB136</f>
        <v>-492</v>
      </c>
      <c r="BF136" s="41">
        <f t="shared" si="394"/>
        <v>231.2</v>
      </c>
      <c r="BG136" s="34">
        <f t="shared" si="394"/>
        <v>274</v>
      </c>
      <c r="BH136" s="35">
        <f t="shared" si="387"/>
        <v>-22.45</v>
      </c>
      <c r="BK136" s="2" t="b">
        <f>H136='2021'!BH136</f>
        <v>1</v>
      </c>
    </row>
    <row r="137" ht="15.75" customHeight="1" spans="1:63" x14ac:dyDescent="0.25">
      <c r="A137" s="176">
        <v>14</v>
      </c>
      <c r="B137" s="14"/>
      <c r="C137" s="2" t="s">
        <v>102</v>
      </c>
      <c r="D137" s="14" t="s">
        <v>47</v>
      </c>
      <c r="E137" s="2" t="s">
        <v>49</v>
      </c>
      <c r="F137" s="41">
        <v>500</v>
      </c>
      <c r="G137" s="35"/>
      <c r="H137" s="34">
        <f>'2021'!BH137</f>
        <v>0</v>
      </c>
      <c r="I137" s="13"/>
      <c r="J137" s="15"/>
      <c r="K137" s="15"/>
      <c r="L137" s="28"/>
      <c r="M137" s="13"/>
      <c r="N137" s="15"/>
      <c r="O137" s="15"/>
      <c r="P137" s="15"/>
      <c r="Q137" s="13"/>
      <c r="R137" s="15"/>
      <c r="S137" s="15"/>
      <c r="T137" s="28"/>
      <c r="U137" s="13"/>
      <c r="V137" s="15"/>
      <c r="W137" s="15"/>
      <c r="X137" s="15"/>
      <c r="Y137" s="13"/>
      <c r="Z137" s="2"/>
      <c r="AA137" s="34"/>
      <c r="AB137" s="28"/>
      <c r="AC137" s="348"/>
      <c r="AD137" s="15"/>
      <c r="AE137" s="34"/>
      <c r="AF137" s="182"/>
      <c r="AG137" s="15"/>
      <c r="AH137" s="2"/>
      <c r="AI137" s="45"/>
      <c r="AJ137" s="39"/>
      <c r="AK137" s="15"/>
      <c r="AL137" s="15"/>
      <c r="AM137" s="45"/>
      <c r="AN137" s="15"/>
      <c r="AO137" s="13"/>
      <c r="AP137" s="15"/>
      <c r="AQ137" s="45"/>
      <c r="AR137" s="15"/>
      <c r="AS137" s="13"/>
      <c r="AT137" s="15"/>
      <c r="AU137" s="45"/>
      <c r="AV137" s="15"/>
      <c r="AW137" s="13"/>
      <c r="AX137" s="15"/>
      <c r="AY137" s="45"/>
      <c r="AZ137" s="28"/>
      <c r="BA137" s="13"/>
      <c r="BB137" s="15"/>
      <c r="BC137" s="45"/>
      <c r="BD137" s="28"/>
      <c r="BE137" s="14"/>
      <c r="BF137" s="41">
        <f t="shared" ref="BF137:BG137" si="395">K137+O137+S137+W137+AA137+AE137+AI137+AM137+AQ137+AU137+AY137+BC137</f>
        <v>0</v>
      </c>
      <c r="BG137" s="34">
        <f t="shared" si="395"/>
        <v>0</v>
      </c>
      <c r="BH137" s="35">
        <f t="shared" si="387"/>
        <v>0</v>
      </c>
      <c r="BK137" s="2" t="b">
        <f>H137='2021'!BH137</f>
        <v>1</v>
      </c>
    </row>
    <row r="138" ht="15.75" customHeight="1" spans="1:63" x14ac:dyDescent="0.25">
      <c r="A138" s="176">
        <v>14</v>
      </c>
      <c r="B138" s="14"/>
      <c r="C138" s="15" t="s">
        <v>387</v>
      </c>
      <c r="D138" s="14" t="s">
        <v>50</v>
      </c>
      <c r="E138" s="2" t="s">
        <v>49</v>
      </c>
      <c r="F138" s="41">
        <v>1100</v>
      </c>
      <c r="G138" s="35"/>
      <c r="H138" s="34">
        <f>'2021'!BH138</f>
        <v>0</v>
      </c>
      <c r="I138" s="13"/>
      <c r="J138" s="15"/>
      <c r="K138" s="15"/>
      <c r="L138" s="28"/>
      <c r="M138" s="13"/>
      <c r="N138" s="15"/>
      <c r="O138" s="15"/>
      <c r="P138" s="15"/>
      <c r="Q138" s="13"/>
      <c r="R138" s="15"/>
      <c r="S138" s="15"/>
      <c r="T138" s="28"/>
      <c r="U138" s="13"/>
      <c r="V138" s="15"/>
      <c r="W138" s="15"/>
      <c r="X138" s="15"/>
      <c r="Y138" s="13"/>
      <c r="Z138" s="2"/>
      <c r="AA138" s="15"/>
      <c r="AB138" s="28"/>
      <c r="AC138" s="348"/>
      <c r="AD138" s="15"/>
      <c r="AE138" s="182">
        <f>B135*$F$12</f>
        <v>5226</v>
      </c>
      <c r="AF138" s="355">
        <v>5226</v>
      </c>
      <c r="AG138" s="15"/>
      <c r="AH138" s="2"/>
      <c r="AI138" s="45"/>
      <c r="AJ138" s="15"/>
      <c r="AK138" s="15"/>
      <c r="AL138" s="15"/>
      <c r="AM138" s="45"/>
      <c r="AN138" s="15"/>
      <c r="AO138" s="13"/>
      <c r="AP138" s="15"/>
      <c r="AQ138" s="45"/>
      <c r="AR138" s="15"/>
      <c r="AS138" s="13"/>
      <c r="AT138" s="15"/>
      <c r="AU138" s="45"/>
      <c r="AV138" s="15"/>
      <c r="AW138" s="13"/>
      <c r="AX138" s="15"/>
      <c r="AY138" s="45"/>
      <c r="AZ138" s="28"/>
      <c r="BA138" s="13"/>
      <c r="BB138" s="15"/>
      <c r="BC138" s="45"/>
      <c r="BD138" s="28"/>
      <c r="BE138" s="14"/>
      <c r="BF138" s="41">
        <f t="shared" ref="BF138:BG138" si="396">K138+O138+S138+W138+AA138+AE138+AI138+AM138+AQ138+AU138+AY138+BC138</f>
        <v>5226</v>
      </c>
      <c r="BG138" s="34">
        <f t="shared" si="396"/>
        <v>5226</v>
      </c>
      <c r="BH138" s="35">
        <f t="shared" si="387"/>
        <v>0</v>
      </c>
      <c r="BK138" s="2" t="b">
        <f>H138='2021'!BH138</f>
        <v>1</v>
      </c>
    </row>
    <row r="139" ht="15.75" customHeight="1" spans="1:63" x14ac:dyDescent="0.25">
      <c r="A139" s="176">
        <v>14</v>
      </c>
      <c r="B139" s="14"/>
      <c r="C139" s="15" t="s">
        <v>388</v>
      </c>
      <c r="D139" s="14" t="s">
        <v>51</v>
      </c>
      <c r="E139" s="2" t="s">
        <v>39</v>
      </c>
      <c r="F139" s="41">
        <v>500</v>
      </c>
      <c r="G139" s="35"/>
      <c r="H139" s="34">
        <f>'2021'!BH139</f>
        <v>0</v>
      </c>
      <c r="I139" s="13"/>
      <c r="J139" s="15"/>
      <c r="K139" s="15"/>
      <c r="L139" s="28"/>
      <c r="M139" s="13"/>
      <c r="N139" s="15"/>
      <c r="O139" s="15"/>
      <c r="P139" s="15"/>
      <c r="Q139" s="13"/>
      <c r="R139" s="15"/>
      <c r="S139" s="15"/>
      <c r="T139" s="28"/>
      <c r="U139" s="13"/>
      <c r="V139" s="15"/>
      <c r="W139" s="15"/>
      <c r="X139" s="15"/>
      <c r="Y139" s="13"/>
      <c r="Z139" s="2"/>
      <c r="AA139" s="15"/>
      <c r="AB139" s="28"/>
      <c r="AC139" s="348"/>
      <c r="AD139" s="15"/>
      <c r="AE139" s="180">
        <f>$F$13</f>
        <v>1000</v>
      </c>
      <c r="AF139" s="355">
        <v>1000</v>
      </c>
      <c r="AG139" s="15"/>
      <c r="AH139" s="2"/>
      <c r="AI139" s="45"/>
      <c r="AJ139" s="15"/>
      <c r="AK139" s="15"/>
      <c r="AL139" s="15"/>
      <c r="AM139" s="45"/>
      <c r="AN139" s="15"/>
      <c r="AO139" s="13"/>
      <c r="AP139" s="15"/>
      <c r="AQ139" s="180"/>
      <c r="AR139" s="15"/>
      <c r="AS139" s="13"/>
      <c r="AT139" s="15"/>
      <c r="AU139" s="45"/>
      <c r="AV139" s="15"/>
      <c r="AW139" s="13"/>
      <c r="AX139" s="15"/>
      <c r="AY139" s="45"/>
      <c r="AZ139" s="35"/>
      <c r="BA139" s="13"/>
      <c r="BB139" s="15"/>
      <c r="BC139" s="45"/>
      <c r="BD139" s="28"/>
      <c r="BE139" s="14"/>
      <c r="BF139" s="41">
        <f t="shared" ref="BF139:BG139" si="397">K139+O139+S139+W139+AA139+AE139+AI139+AM139+AQ139+AU139+AY139+BC139</f>
        <v>1000</v>
      </c>
      <c r="BG139" s="34">
        <f t="shared" si="397"/>
        <v>1000</v>
      </c>
      <c r="BH139" s="35">
        <f t="shared" si="387"/>
        <v>0</v>
      </c>
      <c r="BK139" s="2" t="b">
        <f>H139='2021'!BH139</f>
        <v>1</v>
      </c>
    </row>
    <row r="140" ht="15.75" customHeight="1" spans="1:63" x14ac:dyDescent="0.25">
      <c r="A140" s="176">
        <v>14</v>
      </c>
      <c r="B140" s="14"/>
      <c r="C140" s="15"/>
      <c r="D140" s="14" t="s">
        <v>51</v>
      </c>
      <c r="E140" s="2" t="s">
        <v>49</v>
      </c>
      <c r="F140" s="41">
        <v>500</v>
      </c>
      <c r="G140" s="35"/>
      <c r="H140" s="34">
        <f>'2021'!BH140</f>
        <v>0</v>
      </c>
      <c r="I140" s="13"/>
      <c r="J140" s="15"/>
      <c r="K140" s="15"/>
      <c r="L140" s="28"/>
      <c r="M140" s="13"/>
      <c r="N140" s="15"/>
      <c r="O140" s="15"/>
      <c r="P140" s="15"/>
      <c r="Q140" s="13"/>
      <c r="R140" s="15"/>
      <c r="S140" s="15"/>
      <c r="T140" s="28"/>
      <c r="U140" s="13"/>
      <c r="V140" s="15"/>
      <c r="W140" s="15"/>
      <c r="X140" s="15"/>
      <c r="Y140" s="13"/>
      <c r="Z140" s="2"/>
      <c r="AA140" s="15"/>
      <c r="AB140" s="28"/>
      <c r="AC140" s="348"/>
      <c r="AD140" s="15"/>
      <c r="AE140" s="34"/>
      <c r="AF140" s="34"/>
      <c r="AG140" s="15"/>
      <c r="AH140" s="2"/>
      <c r="AI140" s="45"/>
      <c r="AJ140" s="15"/>
      <c r="AK140" s="15"/>
      <c r="AL140" s="15"/>
      <c r="AM140" s="45"/>
      <c r="AN140" s="15"/>
      <c r="AO140" s="13"/>
      <c r="AP140" s="15"/>
      <c r="AQ140" s="180">
        <f>B135*$F$14</f>
        <v>0</v>
      </c>
      <c r="AR140" s="15"/>
      <c r="AS140" s="13"/>
      <c r="AT140" s="15"/>
      <c r="AU140" s="45"/>
      <c r="AV140" s="15"/>
      <c r="AW140" s="13"/>
      <c r="AX140" s="15"/>
      <c r="AY140" s="45"/>
      <c r="AZ140" s="35"/>
      <c r="BA140" s="13"/>
      <c r="BB140" s="15"/>
      <c r="BC140" s="45"/>
      <c r="BD140" s="28"/>
      <c r="BE140" s="14"/>
      <c r="BF140" s="41">
        <f t="shared" ref="BF140:BG140" si="398">K140+O140+S140+W140+AA140+AE140+AI140+AM140+AQ140+AU140+AY140+BC140</f>
        <v>0</v>
      </c>
      <c r="BG140" s="34">
        <f t="shared" si="398"/>
        <v>0</v>
      </c>
      <c r="BH140" s="35">
        <f t="shared" si="387"/>
        <v>0</v>
      </c>
      <c r="BK140" s="2" t="b">
        <f>H140='2021'!BH140</f>
        <v>1</v>
      </c>
    </row>
    <row r="141" ht="15.75" customHeight="1" spans="1:63" x14ac:dyDescent="0.25">
      <c r="A141" s="176">
        <v>14</v>
      </c>
      <c r="B141" s="14"/>
      <c r="C141" s="15" t="s">
        <v>389</v>
      </c>
      <c r="D141" s="14" t="s">
        <v>52</v>
      </c>
      <c r="E141" s="2" t="s">
        <v>39</v>
      </c>
      <c r="F141" s="41">
        <v>500</v>
      </c>
      <c r="G141" s="35"/>
      <c r="H141" s="34">
        <f>'2021'!BH141</f>
        <v>0</v>
      </c>
      <c r="I141" s="13"/>
      <c r="J141" s="15"/>
      <c r="K141" s="15"/>
      <c r="L141" s="28"/>
      <c r="M141" s="13"/>
      <c r="N141" s="15"/>
      <c r="O141" s="15"/>
      <c r="P141" s="15"/>
      <c r="Q141" s="13"/>
      <c r="R141" s="15"/>
      <c r="S141" s="15"/>
      <c r="T141" s="28"/>
      <c r="U141" s="13"/>
      <c r="V141" s="15"/>
      <c r="W141" s="15"/>
      <c r="X141" s="15"/>
      <c r="Y141" s="13"/>
      <c r="Z141" s="2"/>
      <c r="AA141" s="34">
        <f>$F$15</f>
      </c>
      <c r="AB141" s="35"/>
      <c r="AC141" s="348"/>
      <c r="AD141" s="15"/>
      <c r="AE141" s="15"/>
      <c r="AF141" s="180"/>
      <c r="AG141" s="15"/>
      <c r="AH141" s="2"/>
      <c r="AI141" s="45"/>
      <c r="AJ141" s="15"/>
      <c r="AK141" s="15"/>
      <c r="AL141" s="15"/>
      <c r="AM141" s="45"/>
      <c r="AN141" s="15"/>
      <c r="AO141" s="13"/>
      <c r="AP141" s="15"/>
      <c r="AQ141" s="45"/>
      <c r="AR141" s="15"/>
      <c r="AS141" s="13"/>
      <c r="AT141" s="15"/>
      <c r="AU141" s="45"/>
      <c r="AV141" s="15"/>
      <c r="AW141" s="13"/>
      <c r="AX141" s="15"/>
      <c r="AY141" s="45"/>
      <c r="AZ141" s="35"/>
      <c r="BA141" s="13"/>
      <c r="BB141" s="15"/>
      <c r="BC141" s="45"/>
      <c r="BD141" s="35"/>
      <c r="BE141" s="14"/>
      <c r="BF141" s="41">
        <f t="shared" ref="BF141:BG141" si="399">K141+O141+S141+W141+AA141+AE141+AI141+AM141+AQ141+AU141+AY141+BC141</f>
        <v>0</v>
      </c>
      <c r="BG141" s="34">
        <f t="shared" si="399"/>
        <v>0</v>
      </c>
      <c r="BH141" s="35">
        <f t="shared" si="387"/>
        <v>0</v>
      </c>
      <c r="BK141" s="2" t="b">
        <f>H141='2021'!BH141</f>
        <v>1</v>
      </c>
    </row>
    <row r="142" ht="15.75" customHeight="1" spans="1:63" x14ac:dyDescent="0.25">
      <c r="A142" s="177">
        <v>14</v>
      </c>
      <c r="B142" s="21"/>
      <c r="C142" s="22" t="s">
        <v>53</v>
      </c>
      <c r="D142" s="21"/>
      <c r="E142" s="22"/>
      <c r="F142" s="20"/>
      <c r="G142" s="23"/>
      <c r="H142" s="51">
        <f>SUM(H134:H141)</f>
        <v>20.35</v>
      </c>
      <c r="I142" s="52"/>
      <c r="J142" s="53"/>
      <c r="K142" s="51">
        <f t="shared" ref="K142:L142" si="400">SUM(K134:K141)</f>
        <v>0</v>
      </c>
      <c r="L142" s="68">
        <f t="shared" si="400"/>
        <v>0</v>
      </c>
      <c r="M142" s="52"/>
      <c r="N142" s="53"/>
      <c r="O142" s="51">
        <f t="shared" ref="O142:P142" si="401">SUM(O134:O141)</f>
        <v>0</v>
      </c>
      <c r="P142" s="68">
        <f t="shared" si="401"/>
        <v>0</v>
      </c>
      <c r="Q142" s="52"/>
      <c r="R142" s="53"/>
      <c r="S142" s="51">
        <f t="shared" ref="S142:T142" si="402">SUM(S134:S141)</f>
        <v>0</v>
      </c>
      <c r="T142" s="68">
        <f t="shared" si="402"/>
        <v>0</v>
      </c>
      <c r="U142" s="52"/>
      <c r="V142" s="53"/>
      <c r="W142" s="51">
        <f t="shared" ref="W142:X142" si="403">SUM(W134:W141)</f>
        <v>0</v>
      </c>
      <c r="X142" s="68">
        <f t="shared" si="403"/>
        <v>0</v>
      </c>
      <c r="Y142" s="52"/>
      <c r="Z142" s="301"/>
      <c r="AA142" s="51">
        <f t="shared" ref="AA142:AB142" si="404">SUM(AA134:AA141)</f>
        <v>20.35</v>
      </c>
      <c r="AB142" s="68">
        <f t="shared" si="404"/>
        <v>0</v>
      </c>
      <c r="AC142" s="351"/>
      <c r="AD142" s="53"/>
      <c r="AE142" s="51">
        <f t="shared" ref="AE142:AF142" si="405">SUM(AE134:AE141)</f>
        <v>6287.05</v>
      </c>
      <c r="AF142" s="68">
        <f t="shared" si="405"/>
        <v>6500</v>
      </c>
      <c r="AG142" s="53"/>
      <c r="AH142" s="301"/>
      <c r="AI142" s="183">
        <f t="shared" ref="AI142:AJ142" si="406">SUM(AI134:AI141)</f>
        <v>64.2</v>
      </c>
      <c r="AJ142" s="51">
        <f t="shared" si="406"/>
        <v>0</v>
      </c>
      <c r="AK142" s="53"/>
      <c r="AL142" s="53"/>
      <c r="AM142" s="183">
        <f t="shared" ref="AM142:AN142" si="407">SUM(AM134:AM141)</f>
        <v>42.8</v>
      </c>
      <c r="AN142" s="51">
        <f t="shared" si="407"/>
        <v>0</v>
      </c>
      <c r="AO142" s="52"/>
      <c r="AP142" s="53"/>
      <c r="AQ142" s="183">
        <f t="shared" ref="AQ142:AR142" si="408">SUM(AQ134:AQ141)</f>
        <v>42.8</v>
      </c>
      <c r="AR142" s="51">
        <f t="shared" si="408"/>
        <v>0</v>
      </c>
      <c r="AS142" s="52"/>
      <c r="AT142" s="53"/>
      <c r="AU142" s="183">
        <f t="shared" ref="AU142:AV142" si="409">SUM(AU134:AU141)</f>
        <v>0</v>
      </c>
      <c r="AV142" s="68">
        <f t="shared" si="409"/>
        <v>0</v>
      </c>
      <c r="AW142" s="52"/>
      <c r="AX142" s="53"/>
      <c r="AY142" s="183">
        <f t="shared" ref="AY142:AZ142" si="410">SUM(AY134:AY141)</f>
        <v>0</v>
      </c>
      <c r="AZ142" s="68">
        <f t="shared" si="410"/>
        <v>0</v>
      </c>
      <c r="BA142" s="52"/>
      <c r="BB142" s="53"/>
      <c r="BC142" s="183">
        <f t="shared" ref="BC142:BD142" si="411">SUM(BC134:BC141)</f>
        <v>0</v>
      </c>
      <c r="BD142" s="68">
        <f t="shared" si="411"/>
        <v>0</v>
      </c>
      <c r="BE142" s="69"/>
      <c r="BF142" s="70">
        <f t="shared" ref="BF142:BH142" si="412">SUM(BF134:BF141)</f>
        <v>6457.2</v>
      </c>
      <c r="BG142" s="71">
        <f t="shared" si="412"/>
        <v>6500</v>
      </c>
      <c r="BH142" s="72">
        <f t="shared" si="412"/>
        <v>-22.45</v>
      </c>
      <c r="BI142" s="34">
        <f>H142+BF142-BG142</f>
        <v>-22.45</v>
      </c>
      <c r="BJ142" s="34">
        <f>BH142-BI142</f>
        <v>0</v>
      </c>
      <c r="BK142" s="2" t="b">
        <f>H142='2021'!BH142</f>
        <v>1</v>
      </c>
    </row>
    <row r="143" ht="15.75" customHeight="1" spans="1:63" x14ac:dyDescent="0.25">
      <c r="A143" s="175">
        <v>16</v>
      </c>
      <c r="B143" s="14"/>
      <c r="D143" s="14" t="s">
        <v>379</v>
      </c>
      <c r="F143" s="41"/>
      <c r="G143" s="28"/>
      <c r="H143" s="34">
        <f>'2021'!BH143</f>
        <v>11.6</v>
      </c>
      <c r="I143" s="13"/>
      <c r="J143" s="15"/>
      <c r="K143" s="34"/>
      <c r="L143" s="35"/>
      <c r="M143" s="13"/>
      <c r="N143" s="15"/>
      <c r="O143" s="15"/>
      <c r="P143" s="15"/>
      <c r="Q143" s="13"/>
      <c r="R143" s="15"/>
      <c r="S143" s="15">
        <v>11.99</v>
      </c>
      <c r="T143" s="28"/>
      <c r="U143" s="13"/>
      <c r="V143" s="15"/>
      <c r="W143" s="15">
        <v>11.6</v>
      </c>
      <c r="X143" s="15"/>
      <c r="Y143" s="13"/>
      <c r="Z143" s="2"/>
      <c r="AA143" s="15">
        <v>11.99</v>
      </c>
      <c r="AB143" s="28"/>
      <c r="AC143" s="348"/>
      <c r="AD143" s="15"/>
      <c r="AE143" s="280">
        <v>1.16</v>
      </c>
      <c r="AF143" s="306">
        <v>47.18</v>
      </c>
      <c r="AG143" s="15"/>
      <c r="AH143" s="2"/>
      <c r="AI143" s="45"/>
      <c r="AJ143" s="39"/>
      <c r="AK143" s="15"/>
      <c r="AL143" s="15"/>
      <c r="AM143" s="45"/>
      <c r="AN143" s="15"/>
      <c r="AO143" s="13"/>
      <c r="AP143" s="15"/>
      <c r="AQ143" s="45"/>
      <c r="AR143" s="15"/>
      <c r="AS143" s="13"/>
      <c r="AT143" s="15"/>
      <c r="AU143" s="45"/>
      <c r="AV143" s="15"/>
      <c r="AW143" s="13"/>
      <c r="AX143" s="15"/>
      <c r="AY143" s="45"/>
      <c r="AZ143" s="28"/>
      <c r="BA143" s="13"/>
      <c r="BB143" s="15"/>
      <c r="BC143" s="45"/>
      <c r="BD143" s="28"/>
      <c r="BE143" s="14"/>
      <c r="BF143" s="41">
        <f t="shared" ref="BF143:BG143" si="413">K143+O143+S143+W143+AA143+AE143+AI143+AM143+AQ143+AU143+AY143+BC143</f>
        <v>36.74</v>
      </c>
      <c r="BG143" s="34">
        <f t="shared" si="413"/>
        <v>47.18</v>
      </c>
      <c r="BH143" s="35">
        <f t="shared" ref="BH143:BH150" si="414">H143+BF143-BG143</f>
        <v>1.16</v>
      </c>
      <c r="BK143" s="2" t="b">
        <f>H143='2021'!BH143</f>
        <v>1</v>
      </c>
    </row>
    <row r="144" ht="15.75" customHeight="1" spans="1:63" x14ac:dyDescent="0.25">
      <c r="A144" s="176">
        <v>16</v>
      </c>
      <c r="B144" s="14">
        <v>3.98</v>
      </c>
      <c r="C144" s="2" t="s">
        <v>103</v>
      </c>
      <c r="D144" s="14" t="s">
        <v>44</v>
      </c>
      <c r="E144" s="2" t="s">
        <v>45</v>
      </c>
      <c r="F144" s="41">
        <v>2.5</v>
      </c>
      <c r="G144" s="35">
        <v>2.6</v>
      </c>
      <c r="H144" s="34">
        <f>'2021'!BH144</f>
        <v>-403.37</v>
      </c>
      <c r="I144" s="13">
        <v>1328</v>
      </c>
      <c r="J144" s="15">
        <f>I144-'2021'!BA144</f>
        <v>0</v>
      </c>
      <c r="K144" s="34">
        <f>J144*$F$8</f>
        <v>0</v>
      </c>
      <c r="L144" s="28"/>
      <c r="M144" s="13">
        <v>1328</v>
      </c>
      <c r="N144" s="15">
        <f t="shared" ref="N144:N145" si="415">M144-I144</f>
        <v>0</v>
      </c>
      <c r="O144" s="34">
        <f>N144*$F$8</f>
        <v>0</v>
      </c>
      <c r="P144" s="15"/>
      <c r="Q144" s="13">
        <v>1328</v>
      </c>
      <c r="R144" s="15">
        <f t="shared" ref="R144:R145" si="416">Q144-M144</f>
        <v>0</v>
      </c>
      <c r="S144" s="34">
        <f>R144*$F$8</f>
        <v>0</v>
      </c>
      <c r="T144" s="28"/>
      <c r="U144" s="13">
        <v>1328</v>
      </c>
      <c r="V144" s="15">
        <f t="shared" ref="V144:V145" si="417">U144-Q144</f>
        <v>0</v>
      </c>
      <c r="W144" s="34">
        <f>V144*$F$8</f>
        <v>0</v>
      </c>
      <c r="X144" s="15"/>
      <c r="Y144" s="13">
        <v>1335</v>
      </c>
      <c r="Z144" s="2">
        <f t="shared" ref="Z144:Z145" si="418">Y144-U144</f>
        <v>7</v>
      </c>
      <c r="AA144" s="34">
        <f>Z144*$F$8</f>
        <v>18.9</v>
      </c>
      <c r="AB144" s="35"/>
      <c r="AC144" s="348">
        <v>1392</v>
      </c>
      <c r="AD144" s="15">
        <f t="shared" ref="AD144:AD145" si="419">AC144-Y144</f>
        <v>57</v>
      </c>
      <c r="AE144" s="180">
        <f>AD144*$F$8</f>
        <v>153.9</v>
      </c>
      <c r="AF144" s="154"/>
      <c r="AG144" s="15">
        <v>1431</v>
      </c>
      <c r="AH144" s="2">
        <f>(AG144-AC144)*AH5</f>
        <v>41.184</v>
      </c>
      <c r="AI144" s="45">
        <f>AH144*$G$8</f>
        <v>101.31264</v>
      </c>
      <c r="AJ144" s="180"/>
      <c r="AK144" s="15">
        <v>1461</v>
      </c>
      <c r="AL144" s="15">
        <f>(AK144-AG144)*AL5</f>
        <v>30.84</v>
      </c>
      <c r="AM144" s="45">
        <f>AL144*$G$8</f>
        <v>75.8664</v>
      </c>
      <c r="AN144" s="154">
        <v>326</v>
      </c>
      <c r="AO144" s="13">
        <v>1482</v>
      </c>
      <c r="AP144" s="15">
        <f>(AO144-AK144)*AP5</f>
        <v>21.693</v>
      </c>
      <c r="AQ144" s="45">
        <f>AP144*$G$8</f>
        <v>53.36478</v>
      </c>
      <c r="AR144" s="15"/>
      <c r="AS144" s="13">
        <v>1502</v>
      </c>
      <c r="AT144" s="15">
        <f>(AS144-AO144)*AT5</f>
        <v>21</v>
      </c>
      <c r="AU144" s="45">
        <f>AT144*$G$8</f>
        <v>51.66</v>
      </c>
      <c r="AV144" s="15"/>
      <c r="AW144" s="13"/>
      <c r="AX144" s="15">
        <f>(AW144-AS144)*AX5</f>
        <v>0</v>
      </c>
      <c r="AY144" s="45">
        <f>AX144*$G$8</f>
        <v>0</v>
      </c>
      <c r="AZ144" s="208"/>
      <c r="BA144" s="13"/>
      <c r="BB144" s="15"/>
      <c r="BC144" s="45">
        <f>BB144*$G$8</f>
        <v>0</v>
      </c>
      <c r="BD144" s="208"/>
      <c r="BE144" s="40">
        <f t="shared" ref="BE144:BG144" si="420">J144+N144+R144+V144+Z144+AD144+AH144+AL144+AP144+AT144+AX144+BB144</f>
        <v>178.717</v>
      </c>
      <c r="BF144" s="41">
        <f t="shared" si="420"/>
        <v>455.00382</v>
      </c>
      <c r="BG144" s="34">
        <f t="shared" si="420"/>
        <v>326</v>
      </c>
      <c r="BH144" s="35">
        <f t="shared" si="414"/>
        <v>-274.36618</v>
      </c>
      <c r="BK144" s="2" t="b">
        <f>H144='2021'!BH144</f>
        <v>1</v>
      </c>
    </row>
    <row r="145" ht="15.75" customHeight="1" spans="1:63" x14ac:dyDescent="0.25">
      <c r="A145" s="176">
        <v>16</v>
      </c>
      <c r="B145" s="14"/>
      <c r="C145" s="2" t="s">
        <v>104</v>
      </c>
      <c r="D145" s="14" t="s">
        <v>47</v>
      </c>
      <c r="E145" s="2" t="s">
        <v>48</v>
      </c>
      <c r="F145" s="13">
        <v>18.56</v>
      </c>
      <c r="G145" s="35">
        <v>19.46</v>
      </c>
      <c r="H145" s="34">
        <f>'2021'!BH145</f>
        <v>-637.49</v>
      </c>
      <c r="I145" s="13">
        <v>132</v>
      </c>
      <c r="J145" s="15"/>
      <c r="K145" s="15"/>
      <c r="L145" s="28"/>
      <c r="M145" s="13">
        <v>132</v>
      </c>
      <c r="N145" s="15">
        <f t="shared" si="415"/>
        <v>0</v>
      </c>
      <c r="O145" s="15"/>
      <c r="P145" s="15"/>
      <c r="Q145" s="13">
        <v>132</v>
      </c>
      <c r="R145" s="15">
        <f t="shared" si="416"/>
        <v>0</v>
      </c>
      <c r="S145" s="15"/>
      <c r="T145" s="28"/>
      <c r="U145" s="13">
        <v>132</v>
      </c>
      <c r="V145" s="15">
        <f t="shared" si="417"/>
        <v>0</v>
      </c>
      <c r="W145" s="34">
        <f>V145*$F$10</f>
        <v>0</v>
      </c>
      <c r="X145" s="15"/>
      <c r="Y145" s="13">
        <v>133</v>
      </c>
      <c r="Z145" s="2">
        <f t="shared" si="418"/>
        <v>1</v>
      </c>
      <c r="AA145" s="34">
        <f>Z145*$F$10</f>
        <v>20.35</v>
      </c>
      <c r="AB145" s="35"/>
      <c r="AC145" s="348">
        <v>137</v>
      </c>
      <c r="AD145" s="15">
        <f t="shared" si="419"/>
        <v>4</v>
      </c>
      <c r="AE145" s="34">
        <f>AD145*$F$10</f>
        <v>81.4</v>
      </c>
      <c r="AF145" s="326">
        <v>84.82</v>
      </c>
      <c r="AG145" s="15">
        <v>140</v>
      </c>
      <c r="AH145" s="2">
        <f>AG145-AC145</f>
        <v>3</v>
      </c>
      <c r="AI145" s="45">
        <f>AH145*$G$10</f>
        <v>64.2</v>
      </c>
      <c r="AJ145" s="180"/>
      <c r="AK145" s="15">
        <v>142</v>
      </c>
      <c r="AL145" s="15">
        <f>AK145-AG145</f>
        <v>2</v>
      </c>
      <c r="AM145" s="45">
        <f>AL145*$G$10</f>
        <v>42.8</v>
      </c>
      <c r="AN145" s="15"/>
      <c r="AO145" s="13">
        <v>143</v>
      </c>
      <c r="AP145" s="15">
        <f>AO145-AK145</f>
        <v>1</v>
      </c>
      <c r="AQ145" s="45">
        <f>AP145*$G$10</f>
        <v>21.4</v>
      </c>
      <c r="AR145" s="15"/>
      <c r="AS145" s="13">
        <v>143</v>
      </c>
      <c r="AT145" s="15">
        <f>AS145-AO145</f>
        <v>0</v>
      </c>
      <c r="AU145" s="45">
        <f>AT145*$G$10</f>
        <v>0</v>
      </c>
      <c r="AV145" s="15"/>
      <c r="AW145" s="13"/>
      <c r="AX145" s="15">
        <f>AW145-AS145</f>
        <v>-143</v>
      </c>
      <c r="AY145" s="45"/>
      <c r="AZ145" s="208"/>
      <c r="BA145" s="13"/>
      <c r="BB145" s="15"/>
      <c r="BC145" s="45"/>
      <c r="BD145" s="208"/>
      <c r="BE145" s="40">
        <f t="shared" ref="BE145:BG145" si="421">J145+N145+R145+V145+Z145+AD145+AH145+AL145+AP145+AT145+AX145+BB145</f>
        <v>-132</v>
      </c>
      <c r="BF145" s="41">
        <f t="shared" si="421"/>
        <v>230.15</v>
      </c>
      <c r="BG145" s="34">
        <f t="shared" si="421"/>
        <v>84.82</v>
      </c>
      <c r="BH145" s="35">
        <f t="shared" si="414"/>
        <v>-492.16</v>
      </c>
      <c r="BK145" s="2" t="b">
        <f>H145='2021'!BH145</f>
        <v>1</v>
      </c>
    </row>
    <row r="146" ht="15.75" customHeight="1" spans="1:63" x14ac:dyDescent="0.25">
      <c r="A146" s="176">
        <v>16</v>
      </c>
      <c r="B146" s="14"/>
      <c r="C146" s="2" t="s">
        <v>91</v>
      </c>
      <c r="D146" s="14" t="s">
        <v>47</v>
      </c>
      <c r="E146" s="2" t="s">
        <v>49</v>
      </c>
      <c r="F146" s="41">
        <v>500</v>
      </c>
      <c r="G146" s="35"/>
      <c r="H146" s="34">
        <f>'2021'!BH146</f>
        <v>0</v>
      </c>
      <c r="I146" s="13"/>
      <c r="J146" s="15"/>
      <c r="K146" s="15"/>
      <c r="L146" s="28"/>
      <c r="M146" s="13"/>
      <c r="N146" s="15"/>
      <c r="O146" s="15"/>
      <c r="P146" s="15"/>
      <c r="Q146" s="13"/>
      <c r="R146" s="15"/>
      <c r="S146" s="15"/>
      <c r="T146" s="28"/>
      <c r="U146" s="13"/>
      <c r="V146" s="15"/>
      <c r="W146" s="15"/>
      <c r="X146" s="15"/>
      <c r="Y146" s="13"/>
      <c r="Z146" s="2"/>
      <c r="AA146" s="15"/>
      <c r="AB146" s="28"/>
      <c r="AC146" s="348"/>
      <c r="AD146" s="15"/>
      <c r="AE146" s="15"/>
      <c r="AF146" s="15"/>
      <c r="AG146" s="15"/>
      <c r="AH146" s="2"/>
      <c r="AI146" s="45"/>
      <c r="AJ146" s="15"/>
      <c r="AK146" s="15"/>
      <c r="AL146" s="15"/>
      <c r="AM146" s="45"/>
      <c r="AN146" s="15"/>
      <c r="AO146" s="13"/>
      <c r="AP146" s="15"/>
      <c r="AQ146" s="45"/>
      <c r="AR146" s="15"/>
      <c r="AS146" s="13"/>
      <c r="AT146" s="15"/>
      <c r="AU146" s="45"/>
      <c r="AV146" s="15"/>
      <c r="AW146" s="13"/>
      <c r="AX146" s="15"/>
      <c r="AY146" s="45"/>
      <c r="AZ146" s="28"/>
      <c r="BA146" s="13"/>
      <c r="BB146" s="15"/>
      <c r="BC146" s="45"/>
      <c r="BD146" s="28"/>
      <c r="BE146" s="14"/>
      <c r="BF146" s="41">
        <f t="shared" ref="BF146:BG146" si="422">K146+O146+S146+W146+AA146+AE146+AI146+AM146+AQ146+AU146+AY146+BC146</f>
        <v>0</v>
      </c>
      <c r="BG146" s="34">
        <f t="shared" si="422"/>
        <v>0</v>
      </c>
      <c r="BH146" s="35">
        <f t="shared" si="414"/>
        <v>0</v>
      </c>
      <c r="BK146" s="2" t="b">
        <f>H146='2021'!BH146</f>
        <v>1</v>
      </c>
    </row>
    <row r="147" ht="15.75" customHeight="1" spans="1:63" x14ac:dyDescent="0.25">
      <c r="A147" s="176">
        <v>16</v>
      </c>
      <c r="B147" s="14"/>
      <c r="C147" s="2" t="s">
        <v>105</v>
      </c>
      <c r="D147" s="14" t="s">
        <v>50</v>
      </c>
      <c r="E147" s="2" t="s">
        <v>49</v>
      </c>
      <c r="F147" s="41">
        <v>1100</v>
      </c>
      <c r="G147" s="35"/>
      <c r="H147" s="34">
        <f>'2021'!BH147</f>
        <v>3868</v>
      </c>
      <c r="I147" s="13"/>
      <c r="J147" s="15"/>
      <c r="K147" s="15"/>
      <c r="L147" s="28"/>
      <c r="M147" s="13"/>
      <c r="N147" s="15"/>
      <c r="O147" s="15"/>
      <c r="P147" s="15"/>
      <c r="Q147" s="13"/>
      <c r="R147" s="15"/>
      <c r="S147" s="15"/>
      <c r="T147" s="28"/>
      <c r="U147" s="13"/>
      <c r="V147" s="15"/>
      <c r="W147" s="15"/>
      <c r="X147" s="15"/>
      <c r="Y147" s="13"/>
      <c r="Z147" s="2"/>
      <c r="AA147" s="15"/>
      <c r="AB147" s="28"/>
      <c r="AC147" s="348"/>
      <c r="AD147" s="15"/>
      <c r="AE147" s="182">
        <f>B144*$F$12</f>
        <v>5174</v>
      </c>
      <c r="AF147" s="326">
        <v>4868</v>
      </c>
      <c r="AG147" s="15"/>
      <c r="AH147" s="2"/>
      <c r="AI147" s="45"/>
      <c r="AJ147" s="39"/>
      <c r="AK147" s="15"/>
      <c r="AL147" s="15"/>
      <c r="AM147" s="45"/>
      <c r="AN147" s="182">
        <v>4174</v>
      </c>
      <c r="AO147" s="13"/>
      <c r="AP147" s="15"/>
      <c r="AQ147" s="45"/>
      <c r="AR147" s="15"/>
      <c r="AS147" s="13"/>
      <c r="AT147" s="15"/>
      <c r="AU147" s="45"/>
      <c r="AV147" s="15"/>
      <c r="AW147" s="13"/>
      <c r="AX147" s="15"/>
      <c r="AY147" s="45"/>
      <c r="AZ147" s="28"/>
      <c r="BA147" s="13"/>
      <c r="BB147" s="15"/>
      <c r="BC147" s="45"/>
      <c r="BD147" s="28"/>
      <c r="BE147" s="14"/>
      <c r="BF147" s="41">
        <f t="shared" ref="BF147:BG147" si="423">K147+O147+S147+W147+AA147+AE147+AI147+AM147+AQ147+AU147+AY147+BC147</f>
        <v>5174</v>
      </c>
      <c r="BG147" s="34">
        <f t="shared" si="423"/>
        <v>9042</v>
      </c>
      <c r="BH147" s="35">
        <f t="shared" si="414"/>
        <v>0</v>
      </c>
      <c r="BK147" s="2" t="b">
        <f>H147='2021'!BH147</f>
        <v>1</v>
      </c>
    </row>
    <row r="148" ht="15.75" customHeight="1" spans="1:63" x14ac:dyDescent="0.25">
      <c r="A148" s="176">
        <v>16</v>
      </c>
      <c r="B148" s="14"/>
      <c r="C148" s="2" t="s">
        <v>93</v>
      </c>
      <c r="D148" s="14" t="s">
        <v>51</v>
      </c>
      <c r="E148" s="2" t="s">
        <v>39</v>
      </c>
      <c r="F148" s="41">
        <v>500</v>
      </c>
      <c r="G148" s="35"/>
      <c r="H148" s="34">
        <f>'2021'!BH148</f>
        <v>0</v>
      </c>
      <c r="I148" s="13"/>
      <c r="J148" s="15"/>
      <c r="K148" s="15"/>
      <c r="L148" s="28"/>
      <c r="M148" s="13"/>
      <c r="N148" s="15"/>
      <c r="O148" s="15"/>
      <c r="P148" s="15"/>
      <c r="Q148" s="13"/>
      <c r="R148" s="15"/>
      <c r="S148" s="15"/>
      <c r="T148" s="28"/>
      <c r="U148" s="13"/>
      <c r="V148" s="15"/>
      <c r="W148" s="15"/>
      <c r="X148" s="15"/>
      <c r="Y148" s="13"/>
      <c r="Z148" s="2"/>
      <c r="AA148" s="15"/>
      <c r="AB148" s="28"/>
      <c r="AC148" s="348"/>
      <c r="AD148" s="15"/>
      <c r="AE148" s="180">
        <f>$F$13</f>
        <v>1000</v>
      </c>
      <c r="AF148" s="326">
        <v>1000</v>
      </c>
      <c r="AG148" s="15"/>
      <c r="AH148" s="2"/>
      <c r="AI148" s="45"/>
      <c r="AJ148" s="15"/>
      <c r="AK148" s="15"/>
      <c r="AL148" s="15"/>
      <c r="AM148" s="45"/>
      <c r="AN148" s="15"/>
      <c r="AO148" s="13"/>
      <c r="AP148" s="15"/>
      <c r="AQ148" s="180"/>
      <c r="AR148" s="15"/>
      <c r="AS148" s="13"/>
      <c r="AT148" s="15"/>
      <c r="AU148" s="45"/>
      <c r="AV148" s="15"/>
      <c r="AW148" s="13"/>
      <c r="AX148" s="15"/>
      <c r="AY148" s="45"/>
      <c r="AZ148" s="28"/>
      <c r="BA148" s="13"/>
      <c r="BB148" s="15"/>
      <c r="BC148" s="45"/>
      <c r="BD148" s="28"/>
      <c r="BE148" s="14"/>
      <c r="BF148" s="41">
        <f t="shared" ref="BF148:BG148" si="424">K148+O148+S148+W148+AA148+AE148+AI148+AM148+AQ148+AU148+AY148+BC148</f>
        <v>1000</v>
      </c>
      <c r="BG148" s="34">
        <f t="shared" si="424"/>
        <v>1000</v>
      </c>
      <c r="BH148" s="35">
        <f t="shared" si="414"/>
        <v>0</v>
      </c>
      <c r="BK148" s="2" t="b">
        <f>H148='2021'!BH148</f>
        <v>1</v>
      </c>
    </row>
    <row r="149" ht="15.75" customHeight="1" spans="1:63" x14ac:dyDescent="0.25">
      <c r="A149" s="176">
        <v>16</v>
      </c>
      <c r="B149" s="14"/>
      <c r="D149" s="14" t="s">
        <v>51</v>
      </c>
      <c r="E149" s="2" t="s">
        <v>49</v>
      </c>
      <c r="F149" s="41">
        <v>500</v>
      </c>
      <c r="G149" s="35"/>
      <c r="H149" s="34">
        <f>'2021'!BH149</f>
        <v>0</v>
      </c>
      <c r="I149" s="13"/>
      <c r="J149" s="15"/>
      <c r="K149" s="15"/>
      <c r="L149" s="28"/>
      <c r="M149" s="13"/>
      <c r="N149" s="15"/>
      <c r="O149" s="15"/>
      <c r="P149" s="15"/>
      <c r="Q149" s="13"/>
      <c r="R149" s="15"/>
      <c r="S149" s="15"/>
      <c r="T149" s="28"/>
      <c r="U149" s="13"/>
      <c r="V149" s="15"/>
      <c r="W149" s="15"/>
      <c r="X149" s="15"/>
      <c r="Y149" s="13"/>
      <c r="Z149" s="2"/>
      <c r="AA149" s="15"/>
      <c r="AB149" s="28"/>
      <c r="AC149" s="348"/>
      <c r="AD149" s="15"/>
      <c r="AE149" s="34"/>
      <c r="AF149" s="182"/>
      <c r="AG149" s="15"/>
      <c r="AH149" s="2"/>
      <c r="AI149" s="45"/>
      <c r="AJ149" s="15"/>
      <c r="AK149" s="15"/>
      <c r="AL149" s="15"/>
      <c r="AM149" s="45"/>
      <c r="AN149" s="15"/>
      <c r="AO149" s="13"/>
      <c r="AP149" s="15"/>
      <c r="AQ149" s="180">
        <f>B144*$F$14</f>
        <v>0</v>
      </c>
      <c r="AR149" s="15"/>
      <c r="AS149" s="13"/>
      <c r="AT149" s="15"/>
      <c r="AU149" s="45"/>
      <c r="AV149" s="15"/>
      <c r="AW149" s="13"/>
      <c r="AX149" s="15"/>
      <c r="AY149" s="45"/>
      <c r="AZ149" s="28"/>
      <c r="BA149" s="13"/>
      <c r="BB149" s="15"/>
      <c r="BC149" s="45"/>
      <c r="BD149" s="28"/>
      <c r="BE149" s="14"/>
      <c r="BF149" s="41">
        <f t="shared" ref="BF149:BG149" si="425">K149+O149+S149+W149+AA149+AE149+AI149+AM149+AQ149+AU149+AY149+BC149</f>
        <v>0</v>
      </c>
      <c r="BG149" s="34">
        <f t="shared" si="425"/>
        <v>0</v>
      </c>
      <c r="BH149" s="35">
        <f t="shared" si="414"/>
        <v>0</v>
      </c>
      <c r="BK149" s="2" t="b">
        <f>H149='2021'!BH149</f>
        <v>1</v>
      </c>
    </row>
    <row r="150" ht="15.75" customHeight="1" spans="1:63" x14ac:dyDescent="0.25">
      <c r="A150" s="176">
        <v>16</v>
      </c>
      <c r="B150" s="14"/>
      <c r="C150" s="2" t="s">
        <v>390</v>
      </c>
      <c r="D150" s="14" t="s">
        <v>52</v>
      </c>
      <c r="E150" s="2" t="s">
        <v>39</v>
      </c>
      <c r="F150" s="41">
        <v>500</v>
      </c>
      <c r="G150" s="35"/>
      <c r="H150" s="34">
        <f>'2021'!BH150</f>
        <v>0</v>
      </c>
      <c r="I150" s="13"/>
      <c r="J150" s="15"/>
      <c r="K150" s="15"/>
      <c r="L150" s="28"/>
      <c r="M150" s="13"/>
      <c r="N150" s="15"/>
      <c r="O150" s="15"/>
      <c r="P150" s="15"/>
      <c r="Q150" s="13"/>
      <c r="R150" s="15"/>
      <c r="S150" s="15"/>
      <c r="T150" s="28"/>
      <c r="U150" s="13"/>
      <c r="V150" s="15"/>
      <c r="W150" s="15"/>
      <c r="X150" s="15"/>
      <c r="Y150" s="13"/>
      <c r="Z150" s="2"/>
      <c r="AA150" s="34">
        <f>$F$15</f>
      </c>
      <c r="AB150" s="35"/>
      <c r="AC150" s="348"/>
      <c r="AD150" s="15"/>
      <c r="AE150" s="15"/>
      <c r="AF150" s="34"/>
      <c r="AG150" s="15"/>
      <c r="AH150" s="2"/>
      <c r="AI150" s="45"/>
      <c r="AJ150" s="15"/>
      <c r="AK150" s="15"/>
      <c r="AL150" s="15"/>
      <c r="AM150" s="45"/>
      <c r="AN150" s="34"/>
      <c r="AO150" s="13"/>
      <c r="AP150" s="15"/>
      <c r="AQ150" s="45"/>
      <c r="AR150" s="15"/>
      <c r="AS150" s="13"/>
      <c r="AT150" s="15"/>
      <c r="AU150" s="45"/>
      <c r="AV150" s="15"/>
      <c r="AW150" s="13"/>
      <c r="AX150" s="15"/>
      <c r="AY150" s="45"/>
      <c r="AZ150" s="35"/>
      <c r="BA150" s="13"/>
      <c r="BB150" s="15"/>
      <c r="BC150" s="45"/>
      <c r="BD150" s="35"/>
      <c r="BE150" s="14"/>
      <c r="BF150" s="41">
        <f t="shared" ref="BF150:BG150" si="426">K150+O150+S150+W150+AA150+AE150+AI150+AM150+AQ150+AU150+AY150+BC150</f>
        <v>0</v>
      </c>
      <c r="BG150" s="34">
        <f t="shared" si="426"/>
        <v>0</v>
      </c>
      <c r="BH150" s="35">
        <f t="shared" si="414"/>
        <v>0</v>
      </c>
      <c r="BK150" s="2" t="b">
        <f>H150='2021'!BH150</f>
        <v>1</v>
      </c>
    </row>
    <row r="151" ht="15.75" customHeight="1" spans="1:63" x14ac:dyDescent="0.25">
      <c r="A151" s="177">
        <v>16</v>
      </c>
      <c r="B151" s="21"/>
      <c r="C151" s="22" t="s">
        <v>53</v>
      </c>
      <c r="D151" s="21"/>
      <c r="E151" s="22"/>
      <c r="F151" s="20"/>
      <c r="G151" s="23"/>
      <c r="H151" s="51">
        <f>SUM(H143:H150)</f>
        <v>2838.74</v>
      </c>
      <c r="I151" s="52"/>
      <c r="J151" s="53"/>
      <c r="K151" s="51">
        <f t="shared" ref="K151:L151" si="427">SUM(K143:K150)</f>
        <v>0</v>
      </c>
      <c r="L151" s="68">
        <f t="shared" si="427"/>
        <v>0</v>
      </c>
      <c r="M151" s="52"/>
      <c r="N151" s="53"/>
      <c r="O151" s="51">
        <f t="shared" ref="O151:P151" si="428">SUM(O143:O150)</f>
        <v>0</v>
      </c>
      <c r="P151" s="68">
        <f t="shared" si="428"/>
        <v>0</v>
      </c>
      <c r="Q151" s="52"/>
      <c r="R151" s="53"/>
      <c r="S151" s="51">
        <f t="shared" ref="S151:T151" si="429">SUM(S143:S150)</f>
        <v>11.99</v>
      </c>
      <c r="T151" s="68">
        <f t="shared" si="429"/>
        <v>0</v>
      </c>
      <c r="U151" s="52"/>
      <c r="V151" s="53"/>
      <c r="W151" s="51">
        <f t="shared" ref="W151:X151" si="430">SUM(W143:W150)</f>
        <v>11.6</v>
      </c>
      <c r="X151" s="68">
        <f t="shared" si="430"/>
        <v>0</v>
      </c>
      <c r="Y151" s="52"/>
      <c r="Z151" s="301"/>
      <c r="AA151" s="51">
        <f t="shared" ref="AA151:AB151" si="431">SUM(AA143:AA150)</f>
        <v>51.24</v>
      </c>
      <c r="AB151" s="68">
        <f t="shared" si="431"/>
        <v>0</v>
      </c>
      <c r="AC151" s="351"/>
      <c r="AD151" s="53"/>
      <c r="AE151" s="51">
        <f t="shared" ref="AE151:AF151" si="432">SUM(AE143:AE150)</f>
        <v>6410.46</v>
      </c>
      <c r="AF151" s="68">
        <f t="shared" si="432"/>
        <v>6000</v>
      </c>
      <c r="AG151" s="53"/>
      <c r="AH151" s="301"/>
      <c r="AI151" s="183">
        <f t="shared" ref="AI151:AJ151" si="433">SUM(AI143:AI150)</f>
        <v>165.51264</v>
      </c>
      <c r="AJ151" s="51">
        <f t="shared" si="433"/>
        <v>0</v>
      </c>
      <c r="AK151" s="53"/>
      <c r="AL151" s="53"/>
      <c r="AM151" s="183">
        <f t="shared" ref="AM151:AN151" si="434">SUM(AM143:AM150)</f>
        <v>118.6664</v>
      </c>
      <c r="AN151" s="51">
        <f t="shared" si="434"/>
        <v>4500</v>
      </c>
      <c r="AO151" s="52"/>
      <c r="AP151" s="53"/>
      <c r="AQ151" s="183">
        <f t="shared" ref="AQ151:AR151" si="435">SUM(AQ143:AQ150)</f>
        <v>74.76478</v>
      </c>
      <c r="AR151" s="51">
        <f t="shared" si="435"/>
        <v>0</v>
      </c>
      <c r="AS151" s="52"/>
      <c r="AT151" s="53"/>
      <c r="AU151" s="183">
        <f t="shared" ref="AU151:AV151" si="436">SUM(AU143:AU150)</f>
        <v>51.66</v>
      </c>
      <c r="AV151" s="68">
        <f t="shared" si="436"/>
        <v>0</v>
      </c>
      <c r="AW151" s="52"/>
      <c r="AX151" s="53"/>
      <c r="AY151" s="183">
        <f t="shared" ref="AY151:AZ151" si="437">SUM(AY143:AY150)</f>
        <v>0</v>
      </c>
      <c r="AZ151" s="68">
        <f t="shared" si="437"/>
        <v>0</v>
      </c>
      <c r="BA151" s="52"/>
      <c r="BB151" s="53"/>
      <c r="BC151" s="183">
        <f t="shared" ref="BC151:BD151" si="438">SUM(BC143:BC150)</f>
        <v>0</v>
      </c>
      <c r="BD151" s="68">
        <f t="shared" si="438"/>
        <v>0</v>
      </c>
      <c r="BE151" s="69"/>
      <c r="BF151" s="70">
        <f t="shared" ref="BF151:BH151" si="439">SUM(BF143:BF150)</f>
        <v>6895.89382</v>
      </c>
      <c r="BG151" s="71">
        <f t="shared" si="439"/>
        <v>10500</v>
      </c>
      <c r="BH151" s="72">
        <f t="shared" si="439"/>
        <v>-765.36618</v>
      </c>
      <c r="BI151" s="34">
        <f>H151+BF151-BG151</f>
        <v>-765.36618</v>
      </c>
      <c r="BJ151" s="34">
        <f>BH151-BI151</f>
        <v>0</v>
      </c>
      <c r="BK151" s="2" t="b">
        <f>H151='2021'!BH151</f>
        <v>1</v>
      </c>
    </row>
    <row r="152" ht="15.75" customHeight="1" spans="1:63" x14ac:dyDescent="0.25">
      <c r="A152" s="175">
        <v>17</v>
      </c>
      <c r="B152" s="14"/>
      <c r="D152" s="14" t="s">
        <v>379</v>
      </c>
      <c r="F152" s="13"/>
      <c r="G152" s="28"/>
      <c r="H152" s="34">
        <f>'2021'!BH152</f>
        <v>0</v>
      </c>
      <c r="I152" s="13"/>
      <c r="J152" s="15"/>
      <c r="K152" s="15"/>
      <c r="L152" s="28"/>
      <c r="M152" s="13"/>
      <c r="N152" s="15"/>
      <c r="Q152" s="13"/>
      <c r="R152" s="15"/>
      <c r="S152" s="15"/>
      <c r="T152" s="28"/>
      <c r="U152" s="13"/>
      <c r="V152" s="15"/>
      <c r="Y152" s="13"/>
      <c r="Z152" s="2"/>
      <c r="AA152" s="15"/>
      <c r="AB152" s="28"/>
      <c r="AC152" s="348"/>
      <c r="AD152" s="15"/>
      <c r="AG152" s="15"/>
      <c r="AH152" s="2"/>
      <c r="AI152" s="45"/>
      <c r="AJ152" s="15"/>
      <c r="AK152" s="15"/>
      <c r="AM152" s="45"/>
      <c r="AO152" s="13"/>
      <c r="AQ152" s="45"/>
      <c r="AS152" s="13"/>
      <c r="AU152" s="45"/>
      <c r="AW152" s="13"/>
      <c r="AY152" s="45"/>
      <c r="AZ152" s="28"/>
      <c r="BA152" s="13"/>
      <c r="BB152" s="15"/>
      <c r="BC152" s="45"/>
      <c r="BD152" s="28"/>
      <c r="BE152" s="14"/>
      <c r="BF152" s="41">
        <f t="shared" ref="BF152:BG152" si="440">K152+O152+S152+W152+AA152+AE152+AI152+AM152+AQ152+AU152+AY152+BC152</f>
        <v>0</v>
      </c>
      <c r="BG152" s="34">
        <f t="shared" si="440"/>
        <v>0</v>
      </c>
      <c r="BH152" s="35">
        <f t="shared" ref="BH152:BH159" si="441">H152+BF152-BG152</f>
        <v>0</v>
      </c>
      <c r="BK152" s="2" t="b">
        <f>H152='2021'!BH152</f>
        <v>1</v>
      </c>
    </row>
    <row r="153" ht="15.75" customHeight="1" spans="1:63" x14ac:dyDescent="0.25">
      <c r="A153" s="176">
        <v>17</v>
      </c>
      <c r="B153" s="86">
        <v>4</v>
      </c>
      <c r="C153" s="2" t="s">
        <v>106</v>
      </c>
      <c r="D153" s="14" t="s">
        <v>44</v>
      </c>
      <c r="E153" s="2" t="s">
        <v>45</v>
      </c>
      <c r="F153" s="41">
        <v>2.5</v>
      </c>
      <c r="G153" s="35">
        <v>2.6</v>
      </c>
      <c r="H153" s="34">
        <f>'2021'!BH153</f>
        <v>-11.49</v>
      </c>
      <c r="I153" s="13">
        <v>192</v>
      </c>
      <c r="J153" s="15">
        <f>I153-'2021'!BA153</f>
        <v>0</v>
      </c>
      <c r="K153" s="34">
        <f>J153*$F$8</f>
        <v>0</v>
      </c>
      <c r="L153" s="28"/>
      <c r="M153" s="13">
        <v>192</v>
      </c>
      <c r="N153" s="15">
        <f t="shared" ref="N153:N154" si="442">M153-I153</f>
        <v>0</v>
      </c>
      <c r="O153" s="34">
        <f>N153*$F$8</f>
        <v>0</v>
      </c>
      <c r="Q153" s="13">
        <v>192</v>
      </c>
      <c r="R153" s="15">
        <f t="shared" ref="R153:R154" si="443">Q153-M153</f>
        <v>0</v>
      </c>
      <c r="S153" s="34">
        <f>R153*$F$8</f>
        <v>0</v>
      </c>
      <c r="T153" s="28"/>
      <c r="U153" s="13">
        <v>192</v>
      </c>
      <c r="V153" s="15">
        <f t="shared" ref="V153:V154" si="444">U153-Q153</f>
        <v>0</v>
      </c>
      <c r="W153" s="34">
        <f>V153*$F$8</f>
        <v>0</v>
      </c>
      <c r="Y153" s="13">
        <v>203</v>
      </c>
      <c r="Z153" s="2">
        <f>Y153-U153</f>
        <v>11</v>
      </c>
      <c r="AA153" s="34">
        <f>Z153*$F$8</f>
        <v>29.7</v>
      </c>
      <c r="AB153" s="28"/>
      <c r="AC153" s="350">
        <v>241</v>
      </c>
      <c r="AD153" s="15">
        <f t="shared" ref="AD153:AD154" si="445">AC153-Y153</f>
        <v>38</v>
      </c>
      <c r="AE153" s="180">
        <f>AD153*$F$8</f>
        <v>102.6</v>
      </c>
      <c r="AF153" s="354">
        <v>18.21</v>
      </c>
      <c r="AG153" s="13">
        <v>271</v>
      </c>
      <c r="AH153" s="2">
        <f>(AG153-AC153)*AH5</f>
        <v>31.68</v>
      </c>
      <c r="AI153" s="45">
        <f>AH153*$G$8</f>
        <v>77.9328</v>
      </c>
      <c r="AJ153" s="154">
        <v>300</v>
      </c>
      <c r="AK153" s="13">
        <v>300</v>
      </c>
      <c r="AL153" s="15">
        <f>(AK153-AG153)*AL5</f>
        <v>29.812</v>
      </c>
      <c r="AM153" s="45">
        <f>AL153*$G$8</f>
        <v>73.33752</v>
      </c>
      <c r="AN153" s="15"/>
      <c r="AO153" s="13">
        <v>302</v>
      </c>
      <c r="AP153" s="15">
        <f>(AO153-AK153)*AP5</f>
        <v>2.066</v>
      </c>
      <c r="AQ153" s="45">
        <f>AP153*$G$8</f>
        <v>5.08236</v>
      </c>
      <c r="AR153" s="39"/>
      <c r="AS153" s="13">
        <v>302</v>
      </c>
      <c r="AT153" s="15">
        <f>(AS153-AO153)*AT5</f>
        <v>0</v>
      </c>
      <c r="AU153" s="45">
        <f>AT153*$G$8</f>
        <v>0</v>
      </c>
      <c r="AV153" s="15"/>
      <c r="AW153" s="13"/>
      <c r="AX153" s="15">
        <f>(AW153-AS153)*AX5</f>
        <v>0</v>
      </c>
      <c r="AY153" s="45">
        <f>AX153*$G$8</f>
        <v>0</v>
      </c>
      <c r="AZ153" s="249"/>
      <c r="BA153" s="13"/>
      <c r="BB153" s="15"/>
      <c r="BC153" s="45">
        <f>BB153*$G$8</f>
        <v>0</v>
      </c>
      <c r="BD153" s="208"/>
      <c r="BE153" s="40">
        <f t="shared" ref="BE153:BG153" si="446">J153+N153+R153+V153+Z153+AD153+AH153+AL153+AP153+AT153+AX153+BB153</f>
        <v>112.558</v>
      </c>
      <c r="BF153" s="41">
        <f t="shared" si="446"/>
        <v>288.65268</v>
      </c>
      <c r="BG153" s="34">
        <f t="shared" si="446"/>
        <v>318.21</v>
      </c>
      <c r="BH153" s="35">
        <f t="shared" si="441"/>
        <v>-41.04732</v>
      </c>
      <c r="BK153" s="2" t="b">
        <f>H153='2021'!BH153</f>
        <v>1</v>
      </c>
    </row>
    <row r="154" ht="15.75" customHeight="1" spans="1:63" x14ac:dyDescent="0.25">
      <c r="A154" s="176">
        <v>17</v>
      </c>
      <c r="B154" s="14"/>
      <c r="C154" s="2" t="s">
        <v>83</v>
      </c>
      <c r="D154" s="14" t="s">
        <v>47</v>
      </c>
      <c r="E154" s="2" t="s">
        <v>48</v>
      </c>
      <c r="F154" s="13">
        <v>18.56</v>
      </c>
      <c r="G154" s="35">
        <v>19.46</v>
      </c>
      <c r="H154" s="34">
        <f>'2021'!BH154</f>
        <v>-9.82</v>
      </c>
      <c r="I154" s="13">
        <v>3</v>
      </c>
      <c r="J154" s="15"/>
      <c r="K154" s="15"/>
      <c r="L154" s="28"/>
      <c r="M154" s="13">
        <v>3</v>
      </c>
      <c r="N154" s="15">
        <f t="shared" si="442"/>
        <v>0</v>
      </c>
      <c r="Q154" s="13">
        <v>3</v>
      </c>
      <c r="R154" s="15">
        <f t="shared" si="443"/>
        <v>0</v>
      </c>
      <c r="S154" s="15"/>
      <c r="T154" s="28"/>
      <c r="U154" s="13">
        <v>3</v>
      </c>
      <c r="V154" s="15">
        <f t="shared" si="444"/>
        <v>0</v>
      </c>
      <c r="W154" s="34">
        <f>V154*$F$10</f>
        <v>0</v>
      </c>
      <c r="Y154" s="13">
        <v>0</v>
      </c>
      <c r="Z154" s="2">
        <v>0</v>
      </c>
      <c r="AA154" s="34">
        <f>Z154*$F$10</f>
        <v>0</v>
      </c>
      <c r="AB154" s="28"/>
      <c r="AC154" s="348">
        <v>2</v>
      </c>
      <c r="AD154" s="15">
        <f t="shared" si="445"/>
        <v>2</v>
      </c>
      <c r="AE154" s="34">
        <f>AD154*$F$10</f>
        <v>40.7</v>
      </c>
      <c r="AF154" s="1"/>
      <c r="AG154" s="15">
        <v>3</v>
      </c>
      <c r="AH154" s="2">
        <f>AG154-AC154</f>
        <v>1</v>
      </c>
      <c r="AI154" s="45">
        <f>AH154*$G$10</f>
        <v>21.4</v>
      </c>
      <c r="AJ154" s="154">
        <v>200</v>
      </c>
      <c r="AK154" s="15">
        <v>7</v>
      </c>
      <c r="AL154" s="15">
        <f>AK154-AG154</f>
        <v>4</v>
      </c>
      <c r="AM154" s="45">
        <f>AL154*$G$10</f>
        <v>85.6</v>
      </c>
      <c r="AN154" s="15"/>
      <c r="AO154" s="13">
        <v>7</v>
      </c>
      <c r="AP154" s="15">
        <f>AO154-AK154</f>
        <v>0</v>
      </c>
      <c r="AQ154" s="45">
        <f>AP154*$G$10</f>
        <v>0</v>
      </c>
      <c r="AR154" s="1"/>
      <c r="AS154" s="13">
        <v>7</v>
      </c>
      <c r="AT154" s="15">
        <f>AS154-AO154</f>
        <v>0</v>
      </c>
      <c r="AU154" s="45">
        <f>AT154*$G$10</f>
        <v>0</v>
      </c>
      <c r="AV154" s="15"/>
      <c r="AW154" s="13"/>
      <c r="AX154" s="15">
        <f>AW154-AS154</f>
        <v>-7</v>
      </c>
      <c r="AY154" s="45"/>
      <c r="AZ154" s="208"/>
      <c r="BA154" s="13"/>
      <c r="BB154" s="15"/>
      <c r="BC154" s="45"/>
      <c r="BD154" s="208"/>
      <c r="BE154" s="40">
        <f t="shared" ref="BE154:BG154" si="447">J154+N154+R154+V154+Z154+AD154+AH154+AL154+AP154+AT154+AX154+BB154</f>
        <v>0</v>
      </c>
      <c r="BF154" s="41">
        <f t="shared" si="447"/>
        <v>147.7</v>
      </c>
      <c r="BG154" s="34">
        <f t="shared" si="447"/>
        <v>200</v>
      </c>
      <c r="BH154" s="35">
        <f t="shared" si="441"/>
        <v>-62.12</v>
      </c>
      <c r="BK154" s="2" t="b">
        <f>H154='2021'!BH154</f>
        <v>1</v>
      </c>
    </row>
    <row r="155" ht="15.75" customHeight="1" spans="1:63" x14ac:dyDescent="0.25">
      <c r="A155" s="176">
        <v>17</v>
      </c>
      <c r="B155" s="14"/>
      <c r="C155" s="2" t="s">
        <v>107</v>
      </c>
      <c r="D155" s="14" t="s">
        <v>47</v>
      </c>
      <c r="E155" s="2" t="s">
        <v>49</v>
      </c>
      <c r="F155" s="41">
        <v>500</v>
      </c>
      <c r="G155" s="35"/>
      <c r="H155" s="34">
        <f>'2021'!BH155</f>
        <v>0</v>
      </c>
      <c r="I155" s="13"/>
      <c r="J155" s="15"/>
      <c r="K155" s="15"/>
      <c r="L155" s="28"/>
      <c r="M155" s="13"/>
      <c r="N155" s="15"/>
      <c r="Q155" s="13"/>
      <c r="R155" s="15"/>
      <c r="S155" s="15"/>
      <c r="T155" s="28"/>
      <c r="U155" s="13"/>
      <c r="V155" s="15"/>
      <c r="Y155" s="13"/>
      <c r="Z155" s="2"/>
      <c r="AA155" s="15"/>
      <c r="AB155" s="28"/>
      <c r="AC155" s="348"/>
      <c r="AD155" s="15"/>
      <c r="AF155" s="1"/>
      <c r="AG155" s="15"/>
      <c r="AH155" s="2"/>
      <c r="AI155" s="45"/>
      <c r="AJ155" s="1"/>
      <c r="AK155" s="15"/>
      <c r="AL155" s="15"/>
      <c r="AM155" s="45"/>
      <c r="AN155" s="15"/>
      <c r="AO155" s="13"/>
      <c r="AP155" s="15"/>
      <c r="AQ155" s="45"/>
      <c r="AR155" s="1"/>
      <c r="AS155" s="13"/>
      <c r="AT155" s="15"/>
      <c r="AU155" s="45"/>
      <c r="AV155" s="15"/>
      <c r="AW155" s="13"/>
      <c r="AX155" s="15"/>
      <c r="AY155" s="45"/>
      <c r="AZ155" s="28"/>
      <c r="BA155" s="13"/>
      <c r="BB155" s="15"/>
      <c r="BC155" s="45"/>
      <c r="BD155" s="28"/>
      <c r="BE155" s="14"/>
      <c r="BF155" s="41">
        <f t="shared" ref="BF155:BG155" si="448">K155+O155+S155+W155+AA155+AE155+AI155+AM155+AQ155+AU155+AY155+BC155</f>
        <v>0</v>
      </c>
      <c r="BG155" s="34">
        <f t="shared" si="448"/>
        <v>0</v>
      </c>
      <c r="BH155" s="35">
        <f t="shared" si="441"/>
        <v>0</v>
      </c>
      <c r="BK155" s="2" t="b">
        <f>H155='2021'!BH155</f>
        <v>1</v>
      </c>
    </row>
    <row r="156" ht="15.75" customHeight="1" spans="1:63" x14ac:dyDescent="0.25">
      <c r="A156" s="176">
        <v>17</v>
      </c>
      <c r="B156" s="14"/>
      <c r="C156" s="15" t="s">
        <v>108</v>
      </c>
      <c r="D156" s="14" t="s">
        <v>50</v>
      </c>
      <c r="E156" s="2" t="s">
        <v>49</v>
      </c>
      <c r="F156" s="41">
        <v>1100</v>
      </c>
      <c r="G156" s="35"/>
      <c r="H156" s="34">
        <f>'2021'!BH156</f>
        <v>0</v>
      </c>
      <c r="I156" s="13"/>
      <c r="J156" s="15"/>
      <c r="K156" s="15"/>
      <c r="L156" s="28"/>
      <c r="M156" s="13"/>
      <c r="N156" s="15"/>
      <c r="Q156" s="13"/>
      <c r="R156" s="15"/>
      <c r="S156" s="15"/>
      <c r="T156" s="28"/>
      <c r="U156" s="13"/>
      <c r="V156" s="15"/>
      <c r="Y156" s="13"/>
      <c r="Z156" s="2"/>
      <c r="AA156" s="15"/>
      <c r="AB156" s="28"/>
      <c r="AC156" s="348"/>
      <c r="AD156" s="15"/>
      <c r="AE156" s="34">
        <f>B153*$F$12</f>
        <v>5200</v>
      </c>
      <c r="AF156" s="354">
        <v>5200</v>
      </c>
      <c r="AG156" s="15"/>
      <c r="AH156" s="2"/>
      <c r="AI156" s="45"/>
      <c r="AJ156" s="1"/>
      <c r="AK156" s="15"/>
      <c r="AL156" s="15"/>
      <c r="AM156" s="45"/>
      <c r="AN156" s="15"/>
      <c r="AO156" s="13"/>
      <c r="AP156" s="15"/>
      <c r="AQ156" s="45"/>
      <c r="AR156" s="1"/>
      <c r="AS156" s="13"/>
      <c r="AT156" s="15"/>
      <c r="AU156" s="45"/>
      <c r="AV156" s="15"/>
      <c r="AW156" s="13"/>
      <c r="AX156" s="15"/>
      <c r="AY156" s="45"/>
      <c r="AZ156" s="28"/>
      <c r="BA156" s="13"/>
      <c r="BB156" s="15"/>
      <c r="BC156" s="45"/>
      <c r="BD156" s="28"/>
      <c r="BE156" s="14"/>
      <c r="BF156" s="41">
        <f t="shared" ref="BF156:BG156" si="449">K156+O156+S156+W156+AA156+AE156+AI156+AM156+AQ156+AU156+AY156+BC156</f>
        <v>5200</v>
      </c>
      <c r="BG156" s="34">
        <f t="shared" si="449"/>
        <v>5200</v>
      </c>
      <c r="BH156" s="35">
        <f t="shared" si="441"/>
        <v>0</v>
      </c>
      <c r="BK156" s="2" t="b">
        <f>H156='2021'!BH156</f>
        <v>1</v>
      </c>
    </row>
    <row r="157" ht="15.75" customHeight="1" spans="1:63" x14ac:dyDescent="0.25">
      <c r="A157" s="176">
        <v>17</v>
      </c>
      <c r="B157" s="14"/>
      <c r="D157" s="14" t="s">
        <v>51</v>
      </c>
      <c r="E157" s="2" t="s">
        <v>39</v>
      </c>
      <c r="F157" s="41">
        <v>500</v>
      </c>
      <c r="G157" s="35"/>
      <c r="H157" s="34">
        <f>'2021'!BH157</f>
        <v>0</v>
      </c>
      <c r="I157" s="13"/>
      <c r="J157" s="15"/>
      <c r="K157" s="15"/>
      <c r="L157" s="28"/>
      <c r="M157" s="13"/>
      <c r="N157" s="15"/>
      <c r="Q157" s="13"/>
      <c r="R157" s="15"/>
      <c r="S157" s="15"/>
      <c r="T157" s="28"/>
      <c r="U157" s="13"/>
      <c r="V157" s="15"/>
      <c r="Y157" s="13"/>
      <c r="Z157" s="2"/>
      <c r="AA157" s="15"/>
      <c r="AB157" s="28"/>
      <c r="AC157" s="348"/>
      <c r="AD157" s="15"/>
      <c r="AE157" s="180">
        <f>$F$13</f>
        <v>1000</v>
      </c>
      <c r="AF157" s="354">
        <v>1000</v>
      </c>
      <c r="AG157" s="15"/>
      <c r="AH157" s="2"/>
      <c r="AI157" s="45"/>
      <c r="AJ157" s="15"/>
      <c r="AK157" s="15"/>
      <c r="AL157" s="15"/>
      <c r="AM157" s="45"/>
      <c r="AN157" s="15"/>
      <c r="AO157" s="13"/>
      <c r="AP157" s="15"/>
      <c r="AQ157" s="180"/>
      <c r="AR157" s="34"/>
      <c r="AS157" s="13"/>
      <c r="AT157" s="15"/>
      <c r="AU157" s="45"/>
      <c r="AV157" s="15"/>
      <c r="AW157" s="13"/>
      <c r="AX157" s="15"/>
      <c r="AY157" s="45"/>
      <c r="AZ157" s="28"/>
      <c r="BA157" s="13"/>
      <c r="BB157" s="15"/>
      <c r="BC157" s="45"/>
      <c r="BD157" s="28"/>
      <c r="BE157" s="14"/>
      <c r="BF157" s="41">
        <f t="shared" ref="BF157:BG157" si="450">K157+O157+S157+W157+AA157+AE157+AI157+AM157+AQ157+AU157+AY157+BC157</f>
        <v>1000</v>
      </c>
      <c r="BG157" s="34">
        <f t="shared" si="450"/>
        <v>1000</v>
      </c>
      <c r="BH157" s="35">
        <f t="shared" si="441"/>
        <v>0</v>
      </c>
      <c r="BK157" s="2" t="b">
        <f>H157='2021'!BH157</f>
        <v>1</v>
      </c>
    </row>
    <row r="158" ht="15.75" customHeight="1" spans="1:63" x14ac:dyDescent="0.25">
      <c r="A158" s="176">
        <v>17</v>
      </c>
      <c r="B158" s="14"/>
      <c r="D158" s="14" t="s">
        <v>51</v>
      </c>
      <c r="E158" s="2" t="s">
        <v>49</v>
      </c>
      <c r="F158" s="41">
        <v>500</v>
      </c>
      <c r="G158" s="35"/>
      <c r="H158" s="34">
        <f>'2021'!BH158</f>
        <v>0</v>
      </c>
      <c r="I158" s="13"/>
      <c r="J158" s="15"/>
      <c r="K158" s="15"/>
      <c r="L158" s="28"/>
      <c r="M158" s="13"/>
      <c r="N158" s="15"/>
      <c r="Q158" s="13"/>
      <c r="R158" s="15"/>
      <c r="S158" s="15"/>
      <c r="T158" s="28"/>
      <c r="U158" s="13"/>
      <c r="V158" s="15"/>
      <c r="Y158" s="13"/>
      <c r="Z158" s="2"/>
      <c r="AA158" s="15"/>
      <c r="AB158" s="28"/>
      <c r="AC158" s="348"/>
      <c r="AD158" s="15"/>
      <c r="AE158" s="34"/>
      <c r="AF158" s="39"/>
      <c r="AG158" s="15"/>
      <c r="AH158" s="2"/>
      <c r="AI158" s="45"/>
      <c r="AJ158" s="15"/>
      <c r="AK158" s="15"/>
      <c r="AL158" s="15"/>
      <c r="AM158" s="45"/>
      <c r="AN158" s="15"/>
      <c r="AO158" s="13"/>
      <c r="AP158" s="15"/>
      <c r="AQ158" s="180">
        <f>B153*$F$14</f>
        <v>0</v>
      </c>
      <c r="AR158" s="34"/>
      <c r="AS158" s="13"/>
      <c r="AT158" s="15"/>
      <c r="AU158" s="45"/>
      <c r="AV158" s="15"/>
      <c r="AW158" s="13"/>
      <c r="AX158" s="15"/>
      <c r="AY158" s="45"/>
      <c r="AZ158" s="28"/>
      <c r="BA158" s="13"/>
      <c r="BB158" s="15"/>
      <c r="BC158" s="45"/>
      <c r="BD158" s="28"/>
      <c r="BE158" s="14"/>
      <c r="BF158" s="41">
        <f t="shared" ref="BF158:BG158" si="451">K158+O158+S158+W158+AA158+AE158+AI158+AM158+AQ158+AU158+AY158+BC158</f>
        <v>0</v>
      </c>
      <c r="BG158" s="34">
        <f t="shared" si="451"/>
        <v>0</v>
      </c>
      <c r="BH158" s="35">
        <f t="shared" si="441"/>
        <v>0</v>
      </c>
      <c r="BK158" s="2" t="b">
        <f>H158='2021'!BH158</f>
        <v>1</v>
      </c>
    </row>
    <row r="159" ht="15.75" customHeight="1" spans="1:63" x14ac:dyDescent="0.25">
      <c r="A159" s="176">
        <v>17</v>
      </c>
      <c r="B159" s="14"/>
      <c r="D159" s="14" t="s">
        <v>52</v>
      </c>
      <c r="E159" s="2" t="s">
        <v>39</v>
      </c>
      <c r="F159" s="41">
        <v>500</v>
      </c>
      <c r="G159" s="35"/>
      <c r="H159" s="34">
        <f>'2021'!BH159</f>
        <v>0</v>
      </c>
      <c r="I159" s="13"/>
      <c r="J159" s="15"/>
      <c r="K159" s="15"/>
      <c r="L159" s="28"/>
      <c r="M159" s="13"/>
      <c r="N159" s="15"/>
      <c r="Q159" s="13"/>
      <c r="R159" s="15"/>
      <c r="S159" s="15"/>
      <c r="T159" s="28"/>
      <c r="U159" s="13"/>
      <c r="V159" s="15"/>
      <c r="Y159" s="13"/>
      <c r="Z159" s="2"/>
      <c r="AA159" s="34">
        <f>$F$15</f>
      </c>
      <c r="AB159" s="35"/>
      <c r="AC159" s="348"/>
      <c r="AD159" s="15"/>
      <c r="AF159" s="180"/>
      <c r="AG159" s="15"/>
      <c r="AH159" s="2"/>
      <c r="AI159" s="45"/>
      <c r="AJ159" s="15"/>
      <c r="AK159" s="15"/>
      <c r="AL159" s="15"/>
      <c r="AM159" s="45"/>
      <c r="AN159" s="15"/>
      <c r="AO159" s="13"/>
      <c r="AP159" s="15"/>
      <c r="AQ159" s="45"/>
      <c r="AR159" s="15"/>
      <c r="AS159" s="13"/>
      <c r="AT159" s="15"/>
      <c r="AU159" s="45"/>
      <c r="AV159" s="15"/>
      <c r="AW159" s="13"/>
      <c r="AX159" s="15"/>
      <c r="AY159" s="45"/>
      <c r="AZ159" s="35"/>
      <c r="BA159" s="13"/>
      <c r="BB159" s="15"/>
      <c r="BC159" s="45"/>
      <c r="BD159" s="35"/>
      <c r="BE159" s="14"/>
      <c r="BF159" s="41">
        <f t="shared" ref="BF159:BG159" si="452">K159+O159+S159+W159+AA159+AE159+AI159+AM159+AQ159+AU159+AY159+BC159</f>
        <v>0</v>
      </c>
      <c r="BG159" s="34">
        <f t="shared" si="452"/>
        <v>0</v>
      </c>
      <c r="BH159" s="35">
        <f t="shared" si="441"/>
        <v>0</v>
      </c>
      <c r="BK159" s="2" t="b">
        <f>H159='2021'!BH159</f>
        <v>1</v>
      </c>
    </row>
    <row r="160" ht="15.75" customHeight="1" spans="1:63" x14ac:dyDescent="0.25">
      <c r="A160" s="177">
        <v>17</v>
      </c>
      <c r="B160" s="21"/>
      <c r="C160" s="22" t="s">
        <v>53</v>
      </c>
      <c r="D160" s="21"/>
      <c r="E160" s="22"/>
      <c r="F160" s="20"/>
      <c r="G160" s="23"/>
      <c r="H160" s="51">
        <f>SUM(H152:H159)</f>
        <v>-21.31</v>
      </c>
      <c r="I160" s="52"/>
      <c r="J160" s="53"/>
      <c r="K160" s="51">
        <f t="shared" ref="K160:L160" si="453">SUM(K152:K159)</f>
        <v>0</v>
      </c>
      <c r="L160" s="68">
        <f t="shared" si="453"/>
        <v>0</v>
      </c>
      <c r="M160" s="52"/>
      <c r="N160" s="53"/>
      <c r="O160" s="51">
        <f t="shared" ref="O160:P160" si="454">SUM(O152:O159)</f>
        <v>0</v>
      </c>
      <c r="P160" s="68">
        <f t="shared" si="454"/>
        <v>0</v>
      </c>
      <c r="Q160" s="52"/>
      <c r="R160" s="53"/>
      <c r="S160" s="51">
        <f t="shared" ref="S160:T160" si="455">SUM(S152:S159)</f>
        <v>0</v>
      </c>
      <c r="T160" s="68">
        <f t="shared" si="455"/>
        <v>0</v>
      </c>
      <c r="U160" s="52"/>
      <c r="V160" s="53"/>
      <c r="W160" s="51">
        <f t="shared" ref="W160:X160" si="456">SUM(W152:W159)</f>
        <v>0</v>
      </c>
      <c r="X160" s="68">
        <f t="shared" si="456"/>
        <v>0</v>
      </c>
      <c r="Y160" s="52"/>
      <c r="Z160" s="301"/>
      <c r="AA160" s="51">
        <f t="shared" ref="AA160:AB160" si="457">SUM(AA152:AA159)</f>
        <v>29.7</v>
      </c>
      <c r="AB160" s="68">
        <f t="shared" si="457"/>
        <v>0</v>
      </c>
      <c r="AC160" s="351"/>
      <c r="AD160" s="53"/>
      <c r="AE160" s="51">
        <f t="shared" ref="AE160:AF160" si="458">SUM(AE152:AE159)</f>
        <v>6343.3</v>
      </c>
      <c r="AF160" s="68">
        <f t="shared" si="458"/>
        <v>6218.21</v>
      </c>
      <c r="AG160" s="53"/>
      <c r="AH160" s="301"/>
      <c r="AI160" s="183">
        <f t="shared" ref="AI160:AJ160" si="459">SUM(AI152:AI159)</f>
        <v>99.3328</v>
      </c>
      <c r="AJ160" s="51">
        <f t="shared" si="459"/>
        <v>500</v>
      </c>
      <c r="AK160" s="53"/>
      <c r="AL160" s="53"/>
      <c r="AM160" s="183">
        <f t="shared" ref="AM160:AN160" si="460">SUM(AM152:AM159)</f>
        <v>158.93752</v>
      </c>
      <c r="AN160" s="51">
        <f t="shared" si="460"/>
        <v>0</v>
      </c>
      <c r="AO160" s="52"/>
      <c r="AP160" s="53"/>
      <c r="AQ160" s="183">
        <f t="shared" ref="AQ160:AR160" si="461">SUM(AQ152:AQ159)</f>
        <v>5.08236</v>
      </c>
      <c r="AR160" s="51">
        <f t="shared" si="461"/>
        <v>0</v>
      </c>
      <c r="AS160" s="52"/>
      <c r="AT160" s="53"/>
      <c r="AU160" s="183">
        <f t="shared" ref="AU160:AV160" si="462">SUM(AU152:AU159)</f>
        <v>0</v>
      </c>
      <c r="AV160" s="68">
        <f t="shared" si="462"/>
        <v>0</v>
      </c>
      <c r="AW160" s="52"/>
      <c r="AX160" s="53"/>
      <c r="AY160" s="183">
        <f t="shared" ref="AY160:AZ160" si="463">SUM(AY152:AY159)</f>
        <v>0</v>
      </c>
      <c r="AZ160" s="68">
        <f t="shared" si="463"/>
        <v>0</v>
      </c>
      <c r="BA160" s="52"/>
      <c r="BB160" s="53"/>
      <c r="BC160" s="183">
        <f t="shared" ref="BC160:BD160" si="464">SUM(BC152:BC159)</f>
        <v>0</v>
      </c>
      <c r="BD160" s="68">
        <f t="shared" si="464"/>
        <v>0</v>
      </c>
      <c r="BE160" s="69"/>
      <c r="BF160" s="70">
        <f t="shared" ref="BF160:BH160" si="465">SUM(BF152:BF159)</f>
        <v>6636.35268</v>
      </c>
      <c r="BG160" s="71">
        <f t="shared" si="465"/>
        <v>6718.21</v>
      </c>
      <c r="BH160" s="72">
        <f t="shared" si="465"/>
        <v>-103.16732</v>
      </c>
      <c r="BI160" s="34">
        <f>H160+BF160-BG160</f>
        <v>-103.16732</v>
      </c>
      <c r="BJ160" s="34">
        <f>BH160-BI160</f>
        <v>0</v>
      </c>
      <c r="BK160" s="2" t="b">
        <f>H160='2021'!BH160</f>
        <v>1</v>
      </c>
    </row>
    <row r="161" ht="15.75" customHeight="1" spans="1:63" x14ac:dyDescent="0.25">
      <c r="A161" s="175">
        <v>18</v>
      </c>
      <c r="B161" s="14"/>
      <c r="D161" s="14" t="s">
        <v>379</v>
      </c>
      <c r="F161" s="13"/>
      <c r="G161" s="28"/>
      <c r="H161" s="34">
        <f>'2021'!BH161</f>
        <v>0</v>
      </c>
      <c r="I161" s="13"/>
      <c r="J161" s="15"/>
      <c r="K161" s="15"/>
      <c r="L161" s="28"/>
      <c r="M161" s="13"/>
      <c r="N161" s="15"/>
      <c r="Q161" s="13"/>
      <c r="R161" s="15"/>
      <c r="S161" s="15"/>
      <c r="T161" s="28"/>
      <c r="U161" s="13"/>
      <c r="V161" s="15"/>
      <c r="Y161" s="13"/>
      <c r="Z161" s="2"/>
      <c r="AA161" s="15"/>
      <c r="AB161" s="28"/>
      <c r="AC161" s="348"/>
      <c r="AD161" s="15"/>
      <c r="AF161" s="363"/>
      <c r="AG161" s="15"/>
      <c r="AH161" s="2"/>
      <c r="AI161" s="45"/>
      <c r="AJ161" s="15"/>
      <c r="AK161" s="15"/>
      <c r="AM161" s="45"/>
      <c r="AO161" s="13"/>
      <c r="AQ161" s="45"/>
      <c r="AS161" s="13"/>
      <c r="AU161" s="45"/>
      <c r="AW161" s="13"/>
      <c r="AY161" s="45"/>
      <c r="AZ161" s="28"/>
      <c r="BA161" s="13"/>
      <c r="BB161" s="15"/>
      <c r="BC161" s="45"/>
      <c r="BD161" s="28"/>
      <c r="BE161" s="14"/>
      <c r="BF161" s="41">
        <f t="shared" ref="BF161:BG161" si="466">K161+O161+S161+W161+AA161+AE161+AI161+AM161+AQ161+AU161+AY161+BC161</f>
        <v>0</v>
      </c>
      <c r="BG161" s="34">
        <f t="shared" si="466"/>
        <v>0</v>
      </c>
      <c r="BH161" s="35">
        <f t="shared" ref="BH161:BH168" si="467">H161+BF161-BG161</f>
        <v>0</v>
      </c>
      <c r="BK161" s="2" t="b">
        <f>H161='2021'!BH161</f>
        <v>1</v>
      </c>
    </row>
    <row r="162" ht="15.75" customHeight="1" spans="1:63" x14ac:dyDescent="0.25">
      <c r="A162" s="176">
        <v>18</v>
      </c>
      <c r="B162" s="14">
        <v>4.03</v>
      </c>
      <c r="C162" s="2" t="s">
        <v>109</v>
      </c>
      <c r="D162" s="14" t="s">
        <v>44</v>
      </c>
      <c r="E162" s="2" t="s">
        <v>45</v>
      </c>
      <c r="F162" s="41">
        <v>2.5</v>
      </c>
      <c r="G162" s="35">
        <v>2.6</v>
      </c>
      <c r="H162" s="34">
        <f>'2021'!BH162</f>
        <v>228.78</v>
      </c>
      <c r="I162" s="13">
        <v>489</v>
      </c>
      <c r="J162" s="15">
        <f>I162-'2021'!BA162</f>
        <v>0</v>
      </c>
      <c r="K162" s="34">
        <f>J162*$F$8</f>
        <v>0</v>
      </c>
      <c r="L162" s="28"/>
      <c r="M162" s="13">
        <v>489</v>
      </c>
      <c r="N162" s="15">
        <f t="shared" ref="N162:N163" si="468">M162-I162</f>
        <v>0</v>
      </c>
      <c r="O162" s="34">
        <f>N162*$F$8</f>
        <v>0</v>
      </c>
      <c r="Q162" s="13">
        <v>489</v>
      </c>
      <c r="R162" s="15">
        <f t="shared" ref="R162:R163" si="469">Q162-M162</f>
        <v>0</v>
      </c>
      <c r="S162" s="34">
        <f>R162*$F$8</f>
        <v>0</v>
      </c>
      <c r="T162" s="28"/>
      <c r="U162" s="13">
        <v>489</v>
      </c>
      <c r="V162" s="15">
        <f t="shared" ref="V162:V163" si="470">U162-Q162</f>
        <v>0</v>
      </c>
      <c r="W162" s="34">
        <f>V162*$F$8</f>
        <v>0</v>
      </c>
      <c r="Y162" s="13">
        <v>514</v>
      </c>
      <c r="Z162" s="2">
        <f t="shared" ref="Z162:Z163" si="471">Y162-U162</f>
        <v>25</v>
      </c>
      <c r="AA162" s="34">
        <f>Z162*$F$8</f>
        <v>67.5</v>
      </c>
      <c r="AB162" s="28"/>
      <c r="AC162" s="348">
        <v>523</v>
      </c>
      <c r="AD162" s="15">
        <f t="shared" ref="AD162:AD163" si="472">AC162-Y162</f>
        <v>9</v>
      </c>
      <c r="AE162" s="180">
        <f>AD162*$F$8</f>
        <v>24.3</v>
      </c>
      <c r="AF162" s="364">
        <v>296.28</v>
      </c>
      <c r="AG162" s="15">
        <v>529</v>
      </c>
      <c r="AH162" s="2">
        <f>(AG162-AC162)*AH5</f>
        <v>6.336</v>
      </c>
      <c r="AI162" s="45">
        <f>AH162*$G$8</f>
        <v>15.58656</v>
      </c>
      <c r="AJ162" s="182"/>
      <c r="AK162" s="15">
        <v>537</v>
      </c>
      <c r="AL162" s="15">
        <f>(AK162-AG162)*AL5</f>
        <v>8.224</v>
      </c>
      <c r="AM162" s="45">
        <f>AL162*$G$8</f>
        <v>20.23104</v>
      </c>
      <c r="AN162" s="39"/>
      <c r="AO162" s="13">
        <v>541</v>
      </c>
      <c r="AP162" s="15">
        <f>(AO162-AK162)*AP5</f>
        <v>4.132</v>
      </c>
      <c r="AQ162" s="45">
        <f>AP162*$G$8</f>
        <v>10.16472</v>
      </c>
      <c r="AR162" s="15"/>
      <c r="AS162" s="13">
        <v>561</v>
      </c>
      <c r="AT162" s="15">
        <f>(AS162-AO162)*AT5</f>
        <v>21</v>
      </c>
      <c r="AU162" s="45">
        <f>AT162*$G$8</f>
        <v>51.66</v>
      </c>
      <c r="AV162" s="15"/>
      <c r="AW162" s="13"/>
      <c r="AX162" s="15">
        <f>(AW162-AS162)*AX5</f>
        <v>0</v>
      </c>
      <c r="AY162" s="45">
        <f>AX162*$G$8</f>
        <v>0</v>
      </c>
      <c r="AZ162" s="208"/>
      <c r="BA162" s="13"/>
      <c r="BB162" s="15"/>
      <c r="BC162" s="45">
        <f>BB162*$G$8</f>
        <v>0</v>
      </c>
      <c r="BD162" s="208"/>
      <c r="BE162" s="40">
        <f t="shared" ref="BE162:BG162" si="473">J162+N162+R162+V162+Z162+AD162+AH162+AL162+AP162+AT162+AX162+BB162</f>
        <v>73.692</v>
      </c>
      <c r="BF162" s="41">
        <f t="shared" si="473"/>
        <v>189.44232</v>
      </c>
      <c r="BG162" s="34">
        <f t="shared" si="473"/>
        <v>296.28</v>
      </c>
      <c r="BH162" s="35">
        <f t="shared" si="467"/>
        <v>121.94232</v>
      </c>
      <c r="BK162" s="2" t="b">
        <f>H162='2021'!BH162</f>
        <v>1</v>
      </c>
    </row>
    <row r="163" ht="15.75" customHeight="1" spans="1:63" x14ac:dyDescent="0.25">
      <c r="A163" s="176">
        <v>18</v>
      </c>
      <c r="B163" s="14"/>
      <c r="C163" s="2" t="s">
        <v>110</v>
      </c>
      <c r="D163" s="14" t="s">
        <v>47</v>
      </c>
      <c r="E163" s="2" t="s">
        <v>48</v>
      </c>
      <c r="F163" s="13">
        <v>18.56</v>
      </c>
      <c r="G163" s="35">
        <v>19.46</v>
      </c>
      <c r="H163" s="34">
        <f>'2021'!BH163</f>
        <v>0</v>
      </c>
      <c r="I163" s="13">
        <v>34</v>
      </c>
      <c r="J163" s="15"/>
      <c r="K163" s="15"/>
      <c r="L163" s="28"/>
      <c r="M163" s="13">
        <v>34</v>
      </c>
      <c r="N163" s="15">
        <f t="shared" si="468"/>
        <v>0</v>
      </c>
      <c r="Q163" s="13">
        <v>34</v>
      </c>
      <c r="R163" s="15">
        <f t="shared" si="469"/>
        <v>0</v>
      </c>
      <c r="S163" s="15"/>
      <c r="T163" s="28"/>
      <c r="U163" s="13">
        <v>34</v>
      </c>
      <c r="V163" s="15">
        <f t="shared" si="470"/>
        <v>0</v>
      </c>
      <c r="W163" s="34">
        <f>V163*$F$10</f>
        <v>0</v>
      </c>
      <c r="Y163" s="13">
        <v>41</v>
      </c>
      <c r="Z163" s="2">
        <f t="shared" si="471"/>
        <v>7</v>
      </c>
      <c r="AA163" s="34">
        <f>Z163*$F$10</f>
        <v>142.45</v>
      </c>
      <c r="AB163" s="28"/>
      <c r="AC163" s="348">
        <v>41</v>
      </c>
      <c r="AD163" s="15">
        <f t="shared" si="472"/>
        <v>0</v>
      </c>
      <c r="AE163" s="34">
        <f>AD163*$F$10</f>
        <v>0</v>
      </c>
      <c r="AF163" s="364">
        <v>142.45</v>
      </c>
      <c r="AG163" s="15">
        <v>41</v>
      </c>
      <c r="AH163" s="2">
        <f>AG163-AC163</f>
        <v>0</v>
      </c>
      <c r="AI163" s="45">
        <f>AH163*$G$10</f>
        <v>0</v>
      </c>
      <c r="AJ163" s="182"/>
      <c r="AK163" s="15">
        <v>41</v>
      </c>
      <c r="AL163" s="15">
        <f>AK163-AG163</f>
        <v>0</v>
      </c>
      <c r="AM163" s="45">
        <f>AL163*$G$10</f>
        <v>0</v>
      </c>
      <c r="AN163" s="39"/>
      <c r="AO163" s="13">
        <v>41</v>
      </c>
      <c r="AP163" s="15">
        <f>AO163-AK163</f>
        <v>0</v>
      </c>
      <c r="AQ163" s="45">
        <f>AP163*$G$10</f>
        <v>0</v>
      </c>
      <c r="AR163" s="15"/>
      <c r="AS163" s="13">
        <v>41</v>
      </c>
      <c r="AT163" s="15">
        <f>AS163-AO163</f>
        <v>0</v>
      </c>
      <c r="AU163" s="45">
        <f>AT163*$G$10</f>
        <v>0</v>
      </c>
      <c r="AV163" s="15"/>
      <c r="AW163" s="13"/>
      <c r="AX163" s="15">
        <f>AW163-AS163</f>
        <v>-41</v>
      </c>
      <c r="AY163" s="45"/>
      <c r="AZ163" s="208"/>
      <c r="BA163" s="13"/>
      <c r="BB163" s="15"/>
      <c r="BC163" s="45"/>
      <c r="BD163" s="208"/>
      <c r="BE163" s="40">
        <f t="shared" ref="BE163:BG163" si="474">J163+N163+R163+V163+Z163+AD163+AH163+AL163+AP163+AT163+AX163+BB163</f>
        <v>-34</v>
      </c>
      <c r="BF163" s="41">
        <f t="shared" si="474"/>
        <v>142.45</v>
      </c>
      <c r="BG163" s="34">
        <f t="shared" si="474"/>
        <v>142.45</v>
      </c>
      <c r="BH163" s="35">
        <f t="shared" si="467"/>
        <v>0</v>
      </c>
      <c r="BK163" s="2" t="b">
        <f>H163='2021'!BH163</f>
        <v>1</v>
      </c>
    </row>
    <row r="164" ht="15.75" customHeight="1" spans="1:63" x14ac:dyDescent="0.25">
      <c r="A164" s="176">
        <v>18</v>
      </c>
      <c r="B164" s="14"/>
      <c r="C164" s="2" t="s">
        <v>111</v>
      </c>
      <c r="D164" s="14" t="s">
        <v>47</v>
      </c>
      <c r="E164" s="2" t="s">
        <v>49</v>
      </c>
      <c r="F164" s="41">
        <v>500</v>
      </c>
      <c r="G164" s="35"/>
      <c r="H164" s="34">
        <f>'2021'!BH164</f>
        <v>0</v>
      </c>
      <c r="I164" s="13"/>
      <c r="J164" s="15"/>
      <c r="K164" s="15"/>
      <c r="L164" s="28"/>
      <c r="M164" s="13"/>
      <c r="N164" s="15"/>
      <c r="Q164" s="13"/>
      <c r="R164" s="15"/>
      <c r="S164" s="15"/>
      <c r="T164" s="28"/>
      <c r="U164" s="13"/>
      <c r="V164" s="15"/>
      <c r="Y164" s="13"/>
      <c r="Z164" s="2"/>
      <c r="AA164" s="15"/>
      <c r="AB164" s="28"/>
      <c r="AC164" s="348"/>
      <c r="AD164" s="15"/>
      <c r="AF164" s="154"/>
      <c r="AG164" s="15"/>
      <c r="AH164" s="2"/>
      <c r="AI164" s="45"/>
      <c r="AJ164" s="154"/>
      <c r="AK164" s="15"/>
      <c r="AL164" s="15"/>
      <c r="AM164" s="45"/>
      <c r="AN164" s="15"/>
      <c r="AO164" s="13"/>
      <c r="AP164" s="15"/>
      <c r="AQ164" s="45"/>
      <c r="AR164" s="15"/>
      <c r="AS164" s="13"/>
      <c r="AT164" s="15"/>
      <c r="AU164" s="45"/>
      <c r="AV164" s="15"/>
      <c r="AW164" s="13"/>
      <c r="AX164" s="15"/>
      <c r="AY164" s="45"/>
      <c r="AZ164" s="28"/>
      <c r="BA164" s="13"/>
      <c r="BB164" s="15"/>
      <c r="BC164" s="45"/>
      <c r="BD164" s="28"/>
      <c r="BE164" s="14"/>
      <c r="BF164" s="41">
        <f t="shared" ref="BF164:BG164" si="475">K164+O164+S164+W164+AA164+AE164+AI164+AM164+AQ164+AU164+AY164+BC164</f>
        <v>0</v>
      </c>
      <c r="BG164" s="34">
        <f t="shared" si="475"/>
        <v>0</v>
      </c>
      <c r="BH164" s="35">
        <f t="shared" si="467"/>
        <v>0</v>
      </c>
      <c r="BK164" s="2" t="b">
        <f>H164='2021'!BH164</f>
        <v>1</v>
      </c>
    </row>
    <row r="165" ht="15.75" customHeight="1" spans="1:63" x14ac:dyDescent="0.25">
      <c r="A165" s="176">
        <v>18</v>
      </c>
      <c r="B165" s="14"/>
      <c r="C165" s="15" t="s">
        <v>112</v>
      </c>
      <c r="D165" s="14" t="s">
        <v>50</v>
      </c>
      <c r="E165" s="2" t="s">
        <v>49</v>
      </c>
      <c r="F165" s="41">
        <v>1100</v>
      </c>
      <c r="G165" s="35"/>
      <c r="H165" s="34">
        <f>'2021'!BH165</f>
        <v>0</v>
      </c>
      <c r="I165" s="13"/>
      <c r="J165" s="15"/>
      <c r="K165" s="15"/>
      <c r="L165" s="28"/>
      <c r="M165" s="13"/>
      <c r="N165" s="15"/>
      <c r="Q165" s="13"/>
      <c r="R165" s="15"/>
      <c r="S165" s="15"/>
      <c r="T165" s="28"/>
      <c r="U165" s="13"/>
      <c r="V165" s="15"/>
      <c r="Y165" s="13"/>
      <c r="Z165" s="2"/>
      <c r="AA165" s="15"/>
      <c r="AB165" s="28"/>
      <c r="AC165" s="348"/>
      <c r="AD165" s="15"/>
      <c r="AE165" s="182">
        <f>B162*$F$12</f>
        <v>5239</v>
      </c>
      <c r="AF165" s="354">
        <v>5239</v>
      </c>
      <c r="AG165" s="15"/>
      <c r="AH165" s="2"/>
      <c r="AI165" s="45"/>
      <c r="AJ165" s="182"/>
      <c r="AK165" s="15"/>
      <c r="AL165" s="15"/>
      <c r="AM165" s="45"/>
      <c r="AN165" s="15"/>
      <c r="AO165" s="13"/>
      <c r="AP165" s="15"/>
      <c r="AQ165" s="45"/>
      <c r="AR165" s="15"/>
      <c r="AS165" s="13"/>
      <c r="AT165" s="15"/>
      <c r="AU165" s="45"/>
      <c r="AV165" s="15"/>
      <c r="AW165" s="13"/>
      <c r="AX165" s="15"/>
      <c r="AY165" s="45"/>
      <c r="AZ165" s="28"/>
      <c r="BA165" s="13"/>
      <c r="BB165" s="15"/>
      <c r="BC165" s="45"/>
      <c r="BD165" s="28"/>
      <c r="BE165" s="14"/>
      <c r="BF165" s="41">
        <f t="shared" ref="BF165:BG165" si="476">K165+O165+S165+W165+AA165+AE165+AI165+AM165+AQ165+AU165+AY165+BC165</f>
        <v>5239</v>
      </c>
      <c r="BG165" s="34">
        <f t="shared" si="476"/>
        <v>5239</v>
      </c>
      <c r="BH165" s="35">
        <f t="shared" si="467"/>
        <v>0</v>
      </c>
      <c r="BK165" s="2" t="b">
        <f>H165='2021'!BH165</f>
        <v>1</v>
      </c>
    </row>
    <row r="166" ht="15.75" customHeight="1" spans="1:63" x14ac:dyDescent="0.25">
      <c r="A166" s="176">
        <v>18</v>
      </c>
      <c r="B166" s="14"/>
      <c r="D166" s="14" t="s">
        <v>51</v>
      </c>
      <c r="E166" s="2" t="s">
        <v>39</v>
      </c>
      <c r="F166" s="41">
        <v>500</v>
      </c>
      <c r="G166" s="35"/>
      <c r="H166" s="34">
        <f>'2021'!BH166</f>
        <v>0</v>
      </c>
      <c r="I166" s="13"/>
      <c r="J166" s="15"/>
      <c r="K166" s="15"/>
      <c r="L166" s="28"/>
      <c r="M166" s="13"/>
      <c r="N166" s="15"/>
      <c r="Q166" s="13"/>
      <c r="R166" s="15"/>
      <c r="S166" s="15"/>
      <c r="T166" s="28"/>
      <c r="U166" s="13"/>
      <c r="V166" s="15"/>
      <c r="Y166" s="13"/>
      <c r="Z166" s="2"/>
      <c r="AA166" s="15"/>
      <c r="AB166" s="28"/>
      <c r="AC166" s="348"/>
      <c r="AD166" s="15"/>
      <c r="AE166" s="180">
        <f>$F$13</f>
        <v>1000</v>
      </c>
      <c r="AF166" s="354">
        <v>1000</v>
      </c>
      <c r="AG166" s="15"/>
      <c r="AH166" s="2"/>
      <c r="AI166" s="45"/>
      <c r="AJ166" s="154"/>
      <c r="AK166" s="15"/>
      <c r="AL166" s="15"/>
      <c r="AM166" s="45"/>
      <c r="AN166" s="15"/>
      <c r="AO166" s="13"/>
      <c r="AP166" s="15"/>
      <c r="AQ166" s="180"/>
      <c r="AR166" s="15"/>
      <c r="AS166" s="13"/>
      <c r="AT166" s="15"/>
      <c r="AU166" s="45"/>
      <c r="AV166" s="15"/>
      <c r="AW166" s="13"/>
      <c r="AX166" s="15"/>
      <c r="AY166" s="45"/>
      <c r="AZ166" s="28"/>
      <c r="BA166" s="13"/>
      <c r="BB166" s="15"/>
      <c r="BC166" s="45"/>
      <c r="BD166" s="28"/>
      <c r="BE166" s="14"/>
      <c r="BF166" s="41">
        <f t="shared" ref="BF166:BG166" si="477">K166+O166+S166+W166+AA166+AE166+AI166+AM166+AQ166+AU166+AY166+BC166</f>
        <v>1000</v>
      </c>
      <c r="BG166" s="34">
        <f t="shared" si="477"/>
        <v>1000</v>
      </c>
      <c r="BH166" s="35">
        <f t="shared" si="467"/>
        <v>0</v>
      </c>
      <c r="BK166" s="2" t="b">
        <f>H166='2021'!BH166</f>
        <v>1</v>
      </c>
    </row>
    <row r="167" ht="15.75" customHeight="1" spans="1:63" x14ac:dyDescent="0.25">
      <c r="A167" s="176">
        <v>18</v>
      </c>
      <c r="B167" s="14"/>
      <c r="D167" s="14" t="s">
        <v>51</v>
      </c>
      <c r="E167" s="2" t="s">
        <v>49</v>
      </c>
      <c r="F167" s="41">
        <v>500</v>
      </c>
      <c r="G167" s="35"/>
      <c r="H167" s="34">
        <f>'2021'!BH167</f>
        <v>0</v>
      </c>
      <c r="I167" s="13"/>
      <c r="J167" s="15"/>
      <c r="K167" s="15"/>
      <c r="L167" s="28"/>
      <c r="M167" s="13"/>
      <c r="N167" s="15"/>
      <c r="Q167" s="13"/>
      <c r="R167" s="15"/>
      <c r="S167" s="15"/>
      <c r="T167" s="28"/>
      <c r="U167" s="13"/>
      <c r="V167" s="15"/>
      <c r="Y167" s="13"/>
      <c r="Z167" s="2"/>
      <c r="AA167" s="15"/>
      <c r="AB167" s="28"/>
      <c r="AC167" s="348"/>
      <c r="AD167" s="15"/>
      <c r="AE167" s="34"/>
      <c r="AF167" s="182"/>
      <c r="AG167" s="15"/>
      <c r="AH167" s="2"/>
      <c r="AI167" s="45"/>
      <c r="AJ167" s="154"/>
      <c r="AK167" s="15"/>
      <c r="AL167" s="15"/>
      <c r="AM167" s="45"/>
      <c r="AN167" s="15"/>
      <c r="AO167" s="13"/>
      <c r="AP167" s="15"/>
      <c r="AQ167" s="180">
        <f>B162*$F$14</f>
        <v>0</v>
      </c>
      <c r="AR167" s="15"/>
      <c r="AS167" s="13"/>
      <c r="AT167" s="15"/>
      <c r="AU167" s="45"/>
      <c r="AV167" s="15"/>
      <c r="AW167" s="13"/>
      <c r="AX167" s="15"/>
      <c r="AY167" s="45"/>
      <c r="AZ167" s="28"/>
      <c r="BA167" s="13"/>
      <c r="BB167" s="15"/>
      <c r="BC167" s="45"/>
      <c r="BD167" s="28"/>
      <c r="BE167" s="14"/>
      <c r="BF167" s="41">
        <f t="shared" ref="BF167:BG167" si="478">K167+O167+S167+W167+AA167+AE167+AI167+AM167+AQ167+AU167+AY167+BC167</f>
        <v>0</v>
      </c>
      <c r="BG167" s="34">
        <f t="shared" si="478"/>
        <v>0</v>
      </c>
      <c r="BH167" s="35">
        <f t="shared" si="467"/>
        <v>0</v>
      </c>
      <c r="BK167" s="2" t="b">
        <f>H167='2021'!BH167</f>
        <v>1</v>
      </c>
    </row>
    <row r="168" ht="15.75" customHeight="1" spans="1:63" x14ac:dyDescent="0.25">
      <c r="A168" s="176">
        <v>18</v>
      </c>
      <c r="B168" s="14"/>
      <c r="D168" s="14" t="s">
        <v>52</v>
      </c>
      <c r="E168" s="2" t="s">
        <v>39</v>
      </c>
      <c r="F168" s="41">
        <v>500</v>
      </c>
      <c r="G168" s="35"/>
      <c r="H168" s="34">
        <f>'2021'!BH168</f>
        <v>0</v>
      </c>
      <c r="I168" s="13"/>
      <c r="J168" s="15"/>
      <c r="K168" s="15"/>
      <c r="L168" s="28"/>
      <c r="M168" s="13"/>
      <c r="N168" s="15"/>
      <c r="Q168" s="13"/>
      <c r="R168" s="15"/>
      <c r="S168" s="15"/>
      <c r="T168" s="28"/>
      <c r="U168" s="13"/>
      <c r="V168" s="15"/>
      <c r="Y168" s="13"/>
      <c r="Z168" s="2"/>
      <c r="AA168" s="34">
        <f>$F$15</f>
      </c>
      <c r="AB168" s="28"/>
      <c r="AC168" s="348"/>
      <c r="AD168" s="15"/>
      <c r="AF168" s="34"/>
      <c r="AG168" s="15"/>
      <c r="AH168" s="2"/>
      <c r="AI168" s="45"/>
      <c r="AJ168" s="180"/>
      <c r="AK168" s="15"/>
      <c r="AL168" s="15"/>
      <c r="AM168" s="45"/>
      <c r="AN168" s="15"/>
      <c r="AO168" s="13"/>
      <c r="AP168" s="15"/>
      <c r="AQ168" s="45"/>
      <c r="AR168" s="15"/>
      <c r="AS168" s="13"/>
      <c r="AT168" s="15"/>
      <c r="AU168" s="45"/>
      <c r="AV168" s="15"/>
      <c r="AW168" s="13"/>
      <c r="AX168" s="15"/>
      <c r="AY168" s="45"/>
      <c r="AZ168" s="35"/>
      <c r="BA168" s="13"/>
      <c r="BB168" s="15"/>
      <c r="BC168" s="45"/>
      <c r="BD168" s="35"/>
      <c r="BE168" s="14"/>
      <c r="BF168" s="41">
        <f t="shared" ref="BF168:BG168" si="479">K168+O168+S168+W168+AA168+AE168+AI168+AM168+AQ168+AU168+AY168+BC168</f>
        <v>0</v>
      </c>
      <c r="BG168" s="34">
        <f t="shared" si="479"/>
        <v>0</v>
      </c>
      <c r="BH168" s="35">
        <f t="shared" si="467"/>
        <v>0</v>
      </c>
      <c r="BK168" s="2" t="b">
        <f>H168='2021'!BH168</f>
        <v>1</v>
      </c>
    </row>
    <row r="169" ht="15.75" customHeight="1" spans="1:63" x14ac:dyDescent="0.25">
      <c r="A169" s="177">
        <v>18</v>
      </c>
      <c r="B169" s="21"/>
      <c r="C169" s="22" t="s">
        <v>53</v>
      </c>
      <c r="D169" s="21"/>
      <c r="E169" s="22"/>
      <c r="F169" s="20"/>
      <c r="G169" s="23"/>
      <c r="H169" s="51">
        <f>SUM(H161:H168)</f>
        <v>228.78</v>
      </c>
      <c r="I169" s="52"/>
      <c r="J169" s="53"/>
      <c r="K169" s="51">
        <f t="shared" ref="K169:L169" si="480">SUM(K161:K168)</f>
        <v>0</v>
      </c>
      <c r="L169" s="68">
        <f t="shared" si="480"/>
        <v>0</v>
      </c>
      <c r="M169" s="52"/>
      <c r="N169" s="53"/>
      <c r="O169" s="51">
        <f t="shared" ref="O169:P169" si="481">SUM(O161:O168)</f>
        <v>0</v>
      </c>
      <c r="P169" s="68">
        <f t="shared" si="481"/>
        <v>0</v>
      </c>
      <c r="Q169" s="52"/>
      <c r="R169" s="53"/>
      <c r="S169" s="51">
        <f t="shared" ref="S169:T169" si="482">SUM(S161:S168)</f>
        <v>0</v>
      </c>
      <c r="T169" s="68">
        <f t="shared" si="482"/>
        <v>0</v>
      </c>
      <c r="U169" s="52"/>
      <c r="V169" s="53"/>
      <c r="W169" s="51">
        <f t="shared" ref="W169:X169" si="483">SUM(W161:W168)</f>
        <v>0</v>
      </c>
      <c r="X169" s="68">
        <f t="shared" si="483"/>
        <v>0</v>
      </c>
      <c r="Y169" s="52"/>
      <c r="Z169" s="301"/>
      <c r="AA169" s="51">
        <f t="shared" ref="AA169:AB169" si="484">SUM(AA161:AA168)</f>
        <v>209.95</v>
      </c>
      <c r="AB169" s="68">
        <f t="shared" si="484"/>
        <v>0</v>
      </c>
      <c r="AC169" s="351"/>
      <c r="AD169" s="53"/>
      <c r="AE169" s="51">
        <f t="shared" ref="AE169:AF169" si="485">SUM(AE161:AE168)</f>
        <v>6263.3</v>
      </c>
      <c r="AF169" s="68">
        <f t="shared" si="485"/>
        <v>6677.73</v>
      </c>
      <c r="AG169" s="53"/>
      <c r="AH169" s="301"/>
      <c r="AI169" s="183">
        <f t="shared" ref="AI169:AJ169" si="486">SUM(AI161:AI168)</f>
        <v>15.58656</v>
      </c>
      <c r="AJ169" s="51">
        <f t="shared" si="486"/>
        <v>0</v>
      </c>
      <c r="AK169" s="53"/>
      <c r="AL169" s="53"/>
      <c r="AM169" s="183">
        <f t="shared" ref="AM169:AN169" si="487">SUM(AM161:AM168)</f>
        <v>20.23104</v>
      </c>
      <c r="AN169" s="51">
        <f t="shared" si="487"/>
        <v>0</v>
      </c>
      <c r="AO169" s="52"/>
      <c r="AP169" s="53"/>
      <c r="AQ169" s="183">
        <f t="shared" ref="AQ169:AR169" si="488">SUM(AQ161:AQ168)</f>
        <v>10.16472</v>
      </c>
      <c r="AR169" s="51">
        <f t="shared" si="488"/>
        <v>0</v>
      </c>
      <c r="AS169" s="52"/>
      <c r="AT169" s="53"/>
      <c r="AU169" s="183">
        <f t="shared" ref="AU169:AV169" si="489">SUM(AU161:AU168)</f>
        <v>51.66</v>
      </c>
      <c r="AV169" s="68">
        <f t="shared" si="489"/>
        <v>0</v>
      </c>
      <c r="AW169" s="52"/>
      <c r="AX169" s="53"/>
      <c r="AY169" s="183">
        <f t="shared" ref="AY169:AZ169" si="490">SUM(AY161:AY168)</f>
        <v>0</v>
      </c>
      <c r="AZ169" s="68">
        <f t="shared" si="490"/>
        <v>0</v>
      </c>
      <c r="BA169" s="52"/>
      <c r="BB169" s="53"/>
      <c r="BC169" s="183">
        <f t="shared" ref="BC169:BD169" si="491">SUM(BC161:BC168)</f>
        <v>0</v>
      </c>
      <c r="BD169" s="68">
        <f t="shared" si="491"/>
        <v>0</v>
      </c>
      <c r="BE169" s="69"/>
      <c r="BF169" s="70">
        <f t="shared" ref="BF169:BH169" si="492">SUM(BF161:BF168)</f>
        <v>6570.89232</v>
      </c>
      <c r="BG169" s="71">
        <f t="shared" si="492"/>
        <v>6677.73</v>
      </c>
      <c r="BH169" s="72">
        <f t="shared" si="492"/>
        <v>121.94232</v>
      </c>
      <c r="BI169" s="34">
        <f>H169+BF169-BG169</f>
        <v>121.94232</v>
      </c>
      <c r="BJ169" s="34">
        <f>BH169-BI169</f>
        <v>0</v>
      </c>
      <c r="BK169" s="2" t="b">
        <f>H169='2021'!BH169</f>
        <v>1</v>
      </c>
    </row>
    <row r="170" ht="15.75" customHeight="1" spans="1:63" x14ac:dyDescent="0.25">
      <c r="A170" s="2">
        <v>19</v>
      </c>
      <c r="B170" s="14"/>
      <c r="D170" s="14" t="s">
        <v>379</v>
      </c>
      <c r="F170" s="13"/>
      <c r="G170" s="28"/>
      <c r="H170" s="34">
        <f>'2021'!BH170</f>
        <v>0.73</v>
      </c>
      <c r="I170" s="13"/>
      <c r="J170" s="15"/>
      <c r="K170" s="15"/>
      <c r="L170" s="28"/>
      <c r="M170" s="13"/>
      <c r="N170" s="15"/>
      <c r="Q170" s="13"/>
      <c r="R170" s="15"/>
      <c r="S170" s="15"/>
      <c r="T170" s="28"/>
      <c r="U170" s="13"/>
      <c r="V170" s="15"/>
      <c r="Y170" s="13"/>
      <c r="Z170" s="2"/>
      <c r="AA170" s="15"/>
      <c r="AB170" s="28"/>
      <c r="AC170" s="348"/>
      <c r="AD170" s="15"/>
      <c r="AF170" s="154"/>
      <c r="AG170" s="15"/>
      <c r="AH170" s="2"/>
      <c r="AI170" s="45"/>
      <c r="AJ170" s="180"/>
      <c r="AK170" s="15"/>
      <c r="AM170" s="45"/>
      <c r="AO170" s="13"/>
      <c r="AQ170" s="180"/>
      <c r="AS170" s="13"/>
      <c r="AU170" s="180"/>
      <c r="AW170" s="13"/>
      <c r="AY170" s="180"/>
      <c r="AZ170" s="28"/>
      <c r="BA170" s="13"/>
      <c r="BB170" s="15"/>
      <c r="BC170" s="180"/>
      <c r="BD170" s="28"/>
      <c r="BE170" s="14"/>
      <c r="BF170" s="41">
        <f t="shared" ref="BF170:BG170" si="493">K170+O170+S170+W170+AA170+AE170+AI170+AM170+AQ170+AU170+AY170+BC170</f>
        <v>0</v>
      </c>
      <c r="BG170" s="34">
        <f t="shared" si="493"/>
        <v>0</v>
      </c>
      <c r="BH170" s="35">
        <f t="shared" ref="BH170:BH177" si="494">H170+BF170-BG170</f>
        <v>0.73</v>
      </c>
      <c r="BK170" s="2" t="b">
        <f>H170='2021'!BH170</f>
        <v>1</v>
      </c>
    </row>
    <row r="171" ht="15.75" customHeight="1" spans="1:63" x14ac:dyDescent="0.25">
      <c r="A171" s="2">
        <v>19</v>
      </c>
      <c r="B171" s="42">
        <v>4.1</v>
      </c>
      <c r="C171" s="2" t="s">
        <v>113</v>
      </c>
      <c r="D171" s="14" t="s">
        <v>44</v>
      </c>
      <c r="E171" s="2" t="s">
        <v>45</v>
      </c>
      <c r="F171" s="41">
        <v>2.5</v>
      </c>
      <c r="G171" s="35">
        <v>2.6</v>
      </c>
      <c r="H171" s="34">
        <f>'2021'!BH171</f>
        <v>0</v>
      </c>
      <c r="I171" s="13">
        <v>1</v>
      </c>
      <c r="J171" s="15">
        <f>I171-'2021'!BA171</f>
        <v>0</v>
      </c>
      <c r="K171" s="34">
        <f>J171*$F$8</f>
        <v>0</v>
      </c>
      <c r="L171" s="28"/>
      <c r="M171" s="13">
        <v>1</v>
      </c>
      <c r="N171" s="15">
        <f t="shared" ref="N171:N172" si="495">M171-I171</f>
        <v>0</v>
      </c>
      <c r="O171" s="34">
        <f>N171*$F$8</f>
        <v>0</v>
      </c>
      <c r="Q171" s="13">
        <v>1</v>
      </c>
      <c r="R171" s="15">
        <f t="shared" ref="R171:R172" si="496">Q171-M171</f>
        <v>0</v>
      </c>
      <c r="S171" s="34">
        <f>R171*$F$8</f>
        <v>0</v>
      </c>
      <c r="T171" s="28"/>
      <c r="U171" s="13">
        <v>1</v>
      </c>
      <c r="V171" s="15">
        <f t="shared" ref="V171:V172" si="497">U171-Q171</f>
        <v>0</v>
      </c>
      <c r="W171" s="34">
        <f>V171*$F$8</f>
        <v>0</v>
      </c>
      <c r="Y171" s="13">
        <v>1</v>
      </c>
      <c r="Z171" s="2">
        <f t="shared" ref="Z171:Z172" si="498">Y171-U171</f>
        <v>0</v>
      </c>
      <c r="AA171" s="34">
        <f>Z171*$F$8</f>
        <v>0</v>
      </c>
      <c r="AB171" s="28"/>
      <c r="AC171" s="348">
        <v>1</v>
      </c>
      <c r="AD171" s="15">
        <f t="shared" ref="AD171:AD172" si="499">AC171-Y171</f>
        <v>0</v>
      </c>
      <c r="AE171" s="180">
        <f>AD171*$F$8</f>
        <v>0</v>
      </c>
      <c r="AF171" s="154"/>
      <c r="AG171" s="15">
        <v>1</v>
      </c>
      <c r="AH171" s="2">
        <f>(AG171-AC171)*AH5</f>
        <v>0</v>
      </c>
      <c r="AI171" s="45">
        <f>AH171*$G$8</f>
        <v>0</v>
      </c>
      <c r="AJ171" s="15"/>
      <c r="AK171" s="15">
        <v>1</v>
      </c>
      <c r="AL171" s="15">
        <f>(AK171-AG171)*AL5</f>
        <v>0</v>
      </c>
      <c r="AM171" s="45">
        <f>AL171*$G$8</f>
        <v>0</v>
      </c>
      <c r="AN171" s="15"/>
      <c r="AO171" s="13">
        <v>1</v>
      </c>
      <c r="AP171" s="15">
        <f>(AO171-AK171)*AP5</f>
        <v>0</v>
      </c>
      <c r="AQ171" s="45">
        <f>AP171*$G$8</f>
        <v>0</v>
      </c>
      <c r="AR171" s="15"/>
      <c r="AS171" s="13">
        <v>1</v>
      </c>
      <c r="AT171" s="15">
        <f>(AS171-AO171)*AT5</f>
        <v>0</v>
      </c>
      <c r="AU171" s="45">
        <f>AT171*$G$8</f>
        <v>0</v>
      </c>
      <c r="AV171" s="15"/>
      <c r="AW171" s="13"/>
      <c r="AX171" s="15">
        <f>(AW171-AS171)*AX5</f>
        <v>0</v>
      </c>
      <c r="AY171" s="45">
        <f>AX171*$G$8</f>
        <v>0</v>
      </c>
      <c r="AZ171" s="208"/>
      <c r="BA171" s="13"/>
      <c r="BB171" s="15"/>
      <c r="BC171" s="45">
        <f>BB171*$G$8</f>
        <v>0</v>
      </c>
      <c r="BD171" s="208"/>
      <c r="BE171" s="40">
        <f t="shared" ref="BE171:BG171" si="500">J171+N171+R171+V171+Z171+AD171+AH171+AL171+AP171+AT171+AX171+BB171</f>
        <v>0</v>
      </c>
      <c r="BF171" s="41">
        <f t="shared" si="500"/>
        <v>0</v>
      </c>
      <c r="BG171" s="34">
        <f t="shared" si="500"/>
        <v>0</v>
      </c>
      <c r="BH171" s="35">
        <f t="shared" si="494"/>
        <v>0</v>
      </c>
      <c r="BK171" s="2" t="b">
        <f>H171='2021'!BH171</f>
        <v>1</v>
      </c>
    </row>
    <row r="172" ht="15.75" customHeight="1" spans="1:63" x14ac:dyDescent="0.25">
      <c r="A172" s="2">
        <v>19</v>
      </c>
      <c r="B172" s="14"/>
      <c r="C172" s="2" t="s">
        <v>114</v>
      </c>
      <c r="D172" s="14" t="s">
        <v>47</v>
      </c>
      <c r="E172" s="2" t="s">
        <v>48</v>
      </c>
      <c r="F172" s="13">
        <v>18.56</v>
      </c>
      <c r="G172" s="35">
        <v>19.46</v>
      </c>
      <c r="H172" s="34">
        <f>'2021'!BH172</f>
        <v>-239.13</v>
      </c>
      <c r="I172" s="13">
        <v>210</v>
      </c>
      <c r="J172" s="15"/>
      <c r="K172" s="15"/>
      <c r="L172" s="28"/>
      <c r="M172" s="13">
        <v>210</v>
      </c>
      <c r="N172" s="15">
        <f t="shared" si="495"/>
        <v>0</v>
      </c>
      <c r="Q172" s="13">
        <v>210</v>
      </c>
      <c r="R172" s="15">
        <f t="shared" si="496"/>
        <v>0</v>
      </c>
      <c r="S172" s="15"/>
      <c r="T172" s="28"/>
      <c r="U172" s="13">
        <v>210</v>
      </c>
      <c r="V172" s="15">
        <f t="shared" si="497"/>
        <v>0</v>
      </c>
      <c r="W172" s="34">
        <f>V172*$F$10</f>
        <v>0</v>
      </c>
      <c r="Y172" s="13">
        <v>329</v>
      </c>
      <c r="Z172" s="2">
        <f t="shared" si="498"/>
        <v>119</v>
      </c>
      <c r="AA172" s="34">
        <f>Z172*$F$10</f>
        <v>2421.65</v>
      </c>
      <c r="AB172" s="28"/>
      <c r="AC172" s="348">
        <v>329</v>
      </c>
      <c r="AD172" s="15">
        <f t="shared" si="499"/>
        <v>0</v>
      </c>
      <c r="AE172" s="34">
        <f>AD172*$F$10</f>
        <v>0</v>
      </c>
      <c r="AF172" s="365">
        <v>2182.52</v>
      </c>
      <c r="AG172" s="15">
        <v>329</v>
      </c>
      <c r="AH172" s="2">
        <f>AG172-AC172</f>
        <v>0</v>
      </c>
      <c r="AI172" s="45">
        <f>AH172*$G$10</f>
        <v>0</v>
      </c>
      <c r="AJ172" s="180"/>
      <c r="AK172" s="15">
        <v>329</v>
      </c>
      <c r="AL172" s="15">
        <f>AK172-AG172</f>
        <v>0</v>
      </c>
      <c r="AM172" s="45">
        <f>AL172*$G$10</f>
        <v>0</v>
      </c>
      <c r="AN172" s="15"/>
      <c r="AO172" s="13">
        <v>329</v>
      </c>
      <c r="AP172" s="15">
        <f>AO172-AK172</f>
        <v>0</v>
      </c>
      <c r="AQ172" s="45">
        <f>AP172*$G$10</f>
        <v>0</v>
      </c>
      <c r="AR172" s="15"/>
      <c r="AS172" s="13">
        <v>329</v>
      </c>
      <c r="AT172" s="15">
        <f>AS172-AO172</f>
        <v>0</v>
      </c>
      <c r="AU172" s="45">
        <f>AT172*$G$10</f>
        <v>0</v>
      </c>
      <c r="AV172" s="15"/>
      <c r="AW172" s="13"/>
      <c r="AX172" s="15">
        <f>AW172-AS172</f>
        <v>-329</v>
      </c>
      <c r="AY172" s="45"/>
      <c r="AZ172" s="208"/>
      <c r="BA172" s="13"/>
      <c r="BB172" s="15"/>
      <c r="BC172" s="45"/>
      <c r="BD172" s="208"/>
      <c r="BE172" s="40">
        <f t="shared" ref="BE172:BG172" si="501">J172+N172+R172+V172+Z172+AD172+AH172+AL172+AP172+AT172+AX172+BB172</f>
        <v>-210</v>
      </c>
      <c r="BF172" s="41">
        <f t="shared" si="501"/>
        <v>2421.65</v>
      </c>
      <c r="BG172" s="34">
        <f t="shared" si="501"/>
        <v>2182.52</v>
      </c>
      <c r="BH172" s="35">
        <f t="shared" si="494"/>
        <v>0</v>
      </c>
      <c r="BK172" s="2" t="b">
        <f>H172='2021'!BH172</f>
        <v>1</v>
      </c>
    </row>
    <row r="173" ht="15.75" customHeight="1" spans="1:63" x14ac:dyDescent="0.25">
      <c r="A173" s="2">
        <v>19</v>
      </c>
      <c r="B173" s="14"/>
      <c r="C173" s="2" t="s">
        <v>115</v>
      </c>
      <c r="D173" s="14" t="s">
        <v>47</v>
      </c>
      <c r="E173" s="2" t="s">
        <v>49</v>
      </c>
      <c r="F173" s="41">
        <v>500</v>
      </c>
      <c r="G173" s="35"/>
      <c r="H173" s="34">
        <f>'2021'!BH173</f>
        <v>0</v>
      </c>
      <c r="I173" s="13"/>
      <c r="J173" s="15"/>
      <c r="K173" s="15"/>
      <c r="L173" s="28"/>
      <c r="M173" s="13"/>
      <c r="N173" s="15"/>
      <c r="Q173" s="13"/>
      <c r="R173" s="15"/>
      <c r="S173" s="15"/>
      <c r="T173" s="28"/>
      <c r="U173" s="13"/>
      <c r="V173" s="15"/>
      <c r="Y173" s="13"/>
      <c r="Z173" s="2"/>
      <c r="AA173" s="15"/>
      <c r="AB173" s="28"/>
      <c r="AC173" s="348"/>
      <c r="AD173" s="15"/>
      <c r="AF173" s="154"/>
      <c r="AG173" s="15"/>
      <c r="AH173" s="2"/>
      <c r="AI173" s="45"/>
      <c r="AJ173" s="15"/>
      <c r="AK173" s="15"/>
      <c r="AL173" s="15"/>
      <c r="AM173" s="45"/>
      <c r="AN173" s="15"/>
      <c r="AO173" s="13"/>
      <c r="AP173" s="15"/>
      <c r="AQ173" s="45"/>
      <c r="AR173" s="15"/>
      <c r="AS173" s="13"/>
      <c r="AT173" s="15"/>
      <c r="AU173" s="45"/>
      <c r="AV173" s="15"/>
      <c r="AW173" s="13"/>
      <c r="AX173" s="15"/>
      <c r="AY173" s="45"/>
      <c r="AZ173" s="28"/>
      <c r="BA173" s="13"/>
      <c r="BB173" s="15"/>
      <c r="BC173" s="45"/>
      <c r="BD173" s="28"/>
      <c r="BE173" s="14"/>
      <c r="BF173" s="41">
        <f t="shared" ref="BF173:BG173" si="502">K173+O173+S173+W173+AA173+AE173+AI173+AM173+AQ173+AU173+AY173+BC173</f>
        <v>0</v>
      </c>
      <c r="BG173" s="34">
        <f t="shared" si="502"/>
        <v>0</v>
      </c>
      <c r="BH173" s="35">
        <f t="shared" si="494"/>
        <v>0</v>
      </c>
      <c r="BK173" s="2" t="b">
        <f>H173='2021'!BH173</f>
        <v>1</v>
      </c>
    </row>
    <row r="174" ht="15.75" customHeight="1" spans="1:63" x14ac:dyDescent="0.25">
      <c r="A174" s="2">
        <v>19</v>
      </c>
      <c r="B174" s="14"/>
      <c r="C174" s="73"/>
      <c r="D174" s="14" t="s">
        <v>50</v>
      </c>
      <c r="E174" s="2" t="s">
        <v>49</v>
      </c>
      <c r="F174" s="41">
        <v>1100</v>
      </c>
      <c r="G174" s="35"/>
      <c r="H174" s="34">
        <f>'2021'!BH174</f>
        <v>0</v>
      </c>
      <c r="I174" s="13"/>
      <c r="J174" s="15"/>
      <c r="K174" s="15"/>
      <c r="L174" s="28"/>
      <c r="M174" s="13"/>
      <c r="N174" s="15"/>
      <c r="Q174" s="13"/>
      <c r="R174" s="15"/>
      <c r="S174" s="15"/>
      <c r="T174" s="28"/>
      <c r="U174" s="13"/>
      <c r="V174" s="15"/>
      <c r="Y174" s="13"/>
      <c r="Z174" s="2"/>
      <c r="AA174" s="15"/>
      <c r="AB174" s="28"/>
      <c r="AC174" s="348"/>
      <c r="AD174" s="15"/>
      <c r="AE174" s="182">
        <f>B171*$F$12</f>
        <v>5330</v>
      </c>
      <c r="AF174" s="355">
        <v>3817.48</v>
      </c>
      <c r="AG174" s="15"/>
      <c r="AH174" s="2"/>
      <c r="AI174" s="45"/>
      <c r="AJ174" s="182">
        <v>1512.52</v>
      </c>
      <c r="AK174" s="15"/>
      <c r="AL174" s="15"/>
      <c r="AM174" s="45"/>
      <c r="AN174" s="15"/>
      <c r="AO174" s="13"/>
      <c r="AP174" s="15"/>
      <c r="AQ174" s="45"/>
      <c r="AR174" s="15"/>
      <c r="AS174" s="13"/>
      <c r="AT174" s="15"/>
      <c r="AU174" s="45"/>
      <c r="AV174" s="15"/>
      <c r="AW174" s="13"/>
      <c r="AX174" s="15"/>
      <c r="AY174" s="45"/>
      <c r="AZ174" s="28"/>
      <c r="BA174" s="13"/>
      <c r="BB174" s="15"/>
      <c r="BC174" s="45"/>
      <c r="BD174" s="28"/>
      <c r="BE174" s="14"/>
      <c r="BF174" s="41">
        <f t="shared" ref="BF174:BG174" si="503">K174+O174+S174+W174+AA174+AE174+AI174+AM174+AQ174+AU174+AY174+BC174</f>
        <v>5330</v>
      </c>
      <c r="BG174" s="34">
        <f t="shared" si="503"/>
        <v>5330</v>
      </c>
      <c r="BH174" s="35">
        <f t="shared" si="494"/>
        <v>0</v>
      </c>
      <c r="BK174" s="2" t="b">
        <f>H174='2021'!BH174</f>
        <v>1</v>
      </c>
    </row>
    <row r="175" ht="15.75" customHeight="1" spans="1:63" x14ac:dyDescent="0.25">
      <c r="A175" s="2">
        <v>19</v>
      </c>
      <c r="B175" s="14"/>
      <c r="C175" s="2" t="s">
        <v>494</v>
      </c>
      <c r="D175" s="14" t="s">
        <v>51</v>
      </c>
      <c r="E175" s="2" t="s">
        <v>39</v>
      </c>
      <c r="F175" s="41">
        <v>500</v>
      </c>
      <c r="G175" s="35"/>
      <c r="H175" s="34">
        <f>'2021'!BH175</f>
        <v>0</v>
      </c>
      <c r="I175" s="13"/>
      <c r="J175" s="15"/>
      <c r="K175" s="15"/>
      <c r="L175" s="28"/>
      <c r="M175" s="13"/>
      <c r="N175" s="15"/>
      <c r="Q175" s="13"/>
      <c r="R175" s="15"/>
      <c r="S175" s="15"/>
      <c r="T175" s="28"/>
      <c r="U175" s="13"/>
      <c r="V175" s="15"/>
      <c r="Y175" s="13"/>
      <c r="Z175" s="2"/>
      <c r="AA175" s="15"/>
      <c r="AB175" s="28"/>
      <c r="AC175" s="348"/>
      <c r="AD175" s="15"/>
      <c r="AE175" s="180">
        <f>$F$13</f>
        <v>1000</v>
      </c>
      <c r="AF175" s="154"/>
      <c r="AG175" s="15"/>
      <c r="AH175" s="2"/>
      <c r="AI175" s="45"/>
      <c r="AJ175" s="15"/>
      <c r="AK175" s="15"/>
      <c r="AL175" s="15"/>
      <c r="AM175" s="45"/>
      <c r="AN175" s="15"/>
      <c r="AO175" s="13"/>
      <c r="AP175" s="15"/>
      <c r="AQ175" s="180"/>
      <c r="AR175" s="15"/>
      <c r="AS175" s="13"/>
      <c r="AT175" s="15"/>
      <c r="AU175" s="45"/>
      <c r="AV175" s="15"/>
      <c r="AW175" s="13"/>
      <c r="AX175" s="15"/>
      <c r="AY175" s="45"/>
      <c r="AZ175" s="28"/>
      <c r="BA175" s="13"/>
      <c r="BB175" s="15"/>
      <c r="BC175" s="45"/>
      <c r="BD175" s="28"/>
      <c r="BE175" s="14"/>
      <c r="BF175" s="41">
        <f t="shared" ref="BF175:BG175" si="504">K175+O175+S175+W175+AA175+AE175+AI175+AM175+AQ175+AU175+AY175+BC175</f>
        <v>1000</v>
      </c>
      <c r="BG175" s="34">
        <f t="shared" si="504"/>
        <v>0</v>
      </c>
      <c r="BH175" s="35">
        <f t="shared" si="494"/>
        <v>1000</v>
      </c>
      <c r="BK175" s="2" t="b">
        <f>H175='2021'!BH175</f>
        <v>1</v>
      </c>
    </row>
    <row r="176" ht="15.75" customHeight="1" spans="1:63" x14ac:dyDescent="0.25">
      <c r="A176" s="2">
        <v>19</v>
      </c>
      <c r="B176" s="14"/>
      <c r="D176" s="14" t="s">
        <v>51</v>
      </c>
      <c r="E176" s="2" t="s">
        <v>49</v>
      </c>
      <c r="F176" s="41">
        <v>500</v>
      </c>
      <c r="G176" s="35"/>
      <c r="H176" s="34">
        <f>'2021'!BH176</f>
        <v>0</v>
      </c>
      <c r="I176" s="13"/>
      <c r="J176" s="15"/>
      <c r="K176" s="15"/>
      <c r="L176" s="28"/>
      <c r="M176" s="13"/>
      <c r="N176" s="15"/>
      <c r="Q176" s="13"/>
      <c r="R176" s="15"/>
      <c r="S176" s="15"/>
      <c r="T176" s="28"/>
      <c r="U176" s="13"/>
      <c r="V176" s="15"/>
      <c r="Y176" s="13"/>
      <c r="Z176" s="2"/>
      <c r="AA176" s="15"/>
      <c r="AB176" s="28"/>
      <c r="AC176" s="348"/>
      <c r="AD176" s="15"/>
      <c r="AE176" s="34"/>
      <c r="AF176" s="154"/>
      <c r="AG176" s="15"/>
      <c r="AH176" s="2"/>
      <c r="AI176" s="45"/>
      <c r="AJ176" s="15"/>
      <c r="AK176" s="15"/>
      <c r="AL176" s="15"/>
      <c r="AM176" s="45"/>
      <c r="AN176" s="15"/>
      <c r="AO176" s="13"/>
      <c r="AP176" s="15"/>
      <c r="AQ176" s="180">
        <f>B171*$F$14</f>
        <v>0</v>
      </c>
      <c r="AR176" s="15"/>
      <c r="AS176" s="13"/>
      <c r="AT176" s="15"/>
      <c r="AU176" s="45"/>
      <c r="AV176" s="15"/>
      <c r="AW176" s="13"/>
      <c r="AX176" s="15"/>
      <c r="AY176" s="45"/>
      <c r="AZ176" s="28"/>
      <c r="BA176" s="13"/>
      <c r="BB176" s="15"/>
      <c r="BC176" s="45"/>
      <c r="BD176" s="28"/>
      <c r="BE176" s="14"/>
      <c r="BF176" s="41">
        <f t="shared" ref="BF176:BG176" si="505">K176+O176+S176+W176+AA176+AE176+AI176+AM176+AQ176+AU176+AY176+BC176</f>
        <v>0</v>
      </c>
      <c r="BG176" s="34">
        <f t="shared" si="505"/>
        <v>0</v>
      </c>
      <c r="BH176" s="35">
        <f t="shared" si="494"/>
        <v>0</v>
      </c>
      <c r="BK176" s="2" t="b">
        <f>H176='2021'!BH176</f>
        <v>1</v>
      </c>
    </row>
    <row r="177" ht="15.75" customHeight="1" spans="1:63" x14ac:dyDescent="0.25">
      <c r="A177" s="2">
        <v>19</v>
      </c>
      <c r="B177" s="14"/>
      <c r="C177" s="15" t="s">
        <v>495</v>
      </c>
      <c r="D177" s="14" t="s">
        <v>52</v>
      </c>
      <c r="E177" s="2" t="s">
        <v>39</v>
      </c>
      <c r="F177" s="41">
        <v>500</v>
      </c>
      <c r="G177" s="35"/>
      <c r="H177" s="34">
        <f>'2021'!BH177</f>
        <v>0</v>
      </c>
      <c r="I177" s="13"/>
      <c r="J177" s="15"/>
      <c r="K177" s="15"/>
      <c r="L177" s="28"/>
      <c r="M177" s="13"/>
      <c r="N177" s="15"/>
      <c r="Q177" s="13"/>
      <c r="R177" s="15"/>
      <c r="S177" s="15"/>
      <c r="T177" s="28"/>
      <c r="U177" s="13"/>
      <c r="V177" s="15"/>
      <c r="Y177" s="13"/>
      <c r="Z177" s="2"/>
      <c r="AA177" s="34">
        <f>$F$15</f>
      </c>
      <c r="AB177" s="28"/>
      <c r="AC177" s="348"/>
      <c r="AD177" s="15"/>
      <c r="AG177" s="15"/>
      <c r="AH177" s="2"/>
      <c r="AI177" s="45"/>
      <c r="AJ177" s="180"/>
      <c r="AK177" s="15"/>
      <c r="AL177" s="15"/>
      <c r="AM177" s="45"/>
      <c r="AN177" s="15"/>
      <c r="AO177" s="13"/>
      <c r="AP177" s="15"/>
      <c r="AQ177" s="45"/>
      <c r="AR177" s="15"/>
      <c r="AS177" s="13"/>
      <c r="AT177" s="15"/>
      <c r="AU177" s="45"/>
      <c r="AV177" s="15"/>
      <c r="AW177" s="13"/>
      <c r="AX177" s="15"/>
      <c r="AY177" s="45"/>
      <c r="AZ177" s="35"/>
      <c r="BA177" s="13"/>
      <c r="BB177" s="15"/>
      <c r="BC177" s="45"/>
      <c r="BD177" s="35"/>
      <c r="BE177" s="14"/>
      <c r="BF177" s="41">
        <f t="shared" ref="BF177:BG177" si="506">K177+O177+S177+W177+AA177+AE177+AI177+AM177+AQ177+AU177+AY177+BC177</f>
        <v>0</v>
      </c>
      <c r="BG177" s="34">
        <f t="shared" si="506"/>
        <v>0</v>
      </c>
      <c r="BH177" s="35">
        <f t="shared" si="494"/>
        <v>0</v>
      </c>
      <c r="BK177" s="2" t="b">
        <f>H177='2021'!BH177</f>
        <v>1</v>
      </c>
    </row>
    <row r="178" ht="15.75" customHeight="1" spans="1:63" x14ac:dyDescent="0.25">
      <c r="A178" s="244" t="s">
        <v>116</v>
      </c>
      <c r="B178" s="21"/>
      <c r="C178" s="22" t="s">
        <v>53</v>
      </c>
      <c r="D178" s="21"/>
      <c r="E178" s="22"/>
      <c r="F178" s="20"/>
      <c r="G178" s="23"/>
      <c r="H178" s="51">
        <f>SUM(H170:H177)</f>
        <v>-238.4</v>
      </c>
      <c r="I178" s="52"/>
      <c r="J178" s="53"/>
      <c r="K178" s="51">
        <f t="shared" ref="K178:L178" si="507">SUM(K170:K177)</f>
        <v>0</v>
      </c>
      <c r="L178" s="68">
        <f t="shared" si="507"/>
        <v>0</v>
      </c>
      <c r="M178" s="52"/>
      <c r="N178" s="53"/>
      <c r="O178" s="51">
        <f t="shared" ref="O178:P178" si="508">SUM(O170:O177)</f>
        <v>0</v>
      </c>
      <c r="P178" s="68">
        <f t="shared" si="508"/>
        <v>0</v>
      </c>
      <c r="Q178" s="52"/>
      <c r="R178" s="53"/>
      <c r="S178" s="51">
        <f t="shared" ref="S178:T178" si="509">SUM(S170:S177)</f>
        <v>0</v>
      </c>
      <c r="T178" s="68">
        <f t="shared" si="509"/>
        <v>0</v>
      </c>
      <c r="U178" s="52"/>
      <c r="V178" s="53"/>
      <c r="W178" s="51">
        <f t="shared" ref="W178:X178" si="510">SUM(W170:W177)</f>
        <v>0</v>
      </c>
      <c r="X178" s="68">
        <f t="shared" si="510"/>
        <v>0</v>
      </c>
      <c r="Y178" s="52"/>
      <c r="Z178" s="301"/>
      <c r="AA178" s="51">
        <f t="shared" ref="AA178:AB178" si="511">SUM(AA170:AA177)</f>
        <v>2421.65</v>
      </c>
      <c r="AB178" s="68">
        <f t="shared" si="511"/>
        <v>0</v>
      </c>
      <c r="AC178" s="351"/>
      <c r="AD178" s="53"/>
      <c r="AE178" s="51">
        <f t="shared" ref="AE178:AF178" si="512">SUM(AE170:AE177)</f>
        <v>6330</v>
      </c>
      <c r="AF178" s="68">
        <f t="shared" si="512"/>
        <v>6000</v>
      </c>
      <c r="AG178" s="53"/>
      <c r="AH178" s="301"/>
      <c r="AI178" s="183">
        <f t="shared" ref="AI178:AJ178" si="513">SUM(AI170:AI177)</f>
        <v>0</v>
      </c>
      <c r="AJ178" s="51">
        <f t="shared" si="513"/>
        <v>1512.52</v>
      </c>
      <c r="AK178" s="53"/>
      <c r="AL178" s="53"/>
      <c r="AM178" s="183">
        <f t="shared" ref="AM178:AN178" si="514">SUM(AM170:AM177)</f>
        <v>0</v>
      </c>
      <c r="AN178" s="51">
        <f t="shared" si="514"/>
        <v>0</v>
      </c>
      <c r="AO178" s="52"/>
      <c r="AP178" s="53"/>
      <c r="AQ178" s="183">
        <f t="shared" ref="AQ178:AR178" si="515">SUM(AQ170:AQ177)</f>
        <v>0</v>
      </c>
      <c r="AR178" s="51">
        <f t="shared" si="515"/>
        <v>0</v>
      </c>
      <c r="AS178" s="52"/>
      <c r="AT178" s="53"/>
      <c r="AU178" s="183">
        <f t="shared" ref="AU178:AV178" si="516">SUM(AU170:AU177)</f>
        <v>0</v>
      </c>
      <c r="AV178" s="68">
        <f t="shared" si="516"/>
        <v>0</v>
      </c>
      <c r="AW178" s="52"/>
      <c r="AX178" s="53"/>
      <c r="AY178" s="183">
        <f t="shared" ref="AY178:AZ178" si="517">SUM(AY170:AY177)</f>
        <v>0</v>
      </c>
      <c r="AZ178" s="68">
        <f t="shared" si="517"/>
        <v>0</v>
      </c>
      <c r="BA178" s="52"/>
      <c r="BB178" s="53"/>
      <c r="BC178" s="183">
        <f t="shared" ref="BC178:BD178" si="518">SUM(BC170:BC177)</f>
        <v>0</v>
      </c>
      <c r="BD178" s="68">
        <f t="shared" si="518"/>
        <v>0</v>
      </c>
      <c r="BE178" s="69"/>
      <c r="BF178" s="70">
        <f t="shared" ref="BF178:BH178" si="519">SUM(BF170:BF177)</f>
        <v>8751.65</v>
      </c>
      <c r="BG178" s="71">
        <f t="shared" si="519"/>
        <v>7512.52</v>
      </c>
      <c r="BH178" s="72">
        <f t="shared" si="519"/>
        <v>1000.73</v>
      </c>
      <c r="BI178" s="34">
        <f>H178+BF178-BG178</f>
        <v>1000.73</v>
      </c>
      <c r="BJ178" s="34">
        <f>BH178-BI178</f>
        <v>0</v>
      </c>
      <c r="BK178" s="2" t="b">
        <f>H178='2021'!BH178</f>
        <v>1</v>
      </c>
    </row>
    <row r="179" ht="15.75" customHeight="1" spans="1:63" x14ac:dyDescent="0.25">
      <c r="A179" s="89" t="s">
        <v>117</v>
      </c>
      <c r="B179" s="14"/>
      <c r="D179" s="14" t="s">
        <v>379</v>
      </c>
      <c r="F179" s="13"/>
      <c r="G179" s="28"/>
      <c r="H179" s="34">
        <f>'2021'!BH179</f>
        <v>0</v>
      </c>
      <c r="I179" s="13"/>
      <c r="J179" s="15"/>
      <c r="K179" s="15"/>
      <c r="L179" s="28"/>
      <c r="M179" s="13"/>
      <c r="N179" s="15"/>
      <c r="Q179" s="13"/>
      <c r="R179" s="15"/>
      <c r="S179" s="15"/>
      <c r="T179" s="28"/>
      <c r="U179" s="13"/>
      <c r="V179" s="15"/>
      <c r="Y179" s="13"/>
      <c r="Z179" s="2"/>
      <c r="AA179" s="15"/>
      <c r="AB179" s="28"/>
      <c r="AC179" s="348"/>
      <c r="AD179" s="15"/>
      <c r="AG179" s="15"/>
      <c r="AH179" s="2"/>
      <c r="AI179" s="45"/>
      <c r="AJ179" s="15"/>
      <c r="AK179" s="15"/>
      <c r="AM179" s="45"/>
      <c r="AO179" s="13"/>
      <c r="AQ179" s="45"/>
      <c r="AS179" s="13"/>
      <c r="AU179" s="45"/>
      <c r="AW179" s="13"/>
      <c r="AY179" s="45"/>
      <c r="AZ179" s="28"/>
      <c r="BA179" s="13"/>
      <c r="BB179" s="15"/>
      <c r="BC179" s="45"/>
      <c r="BD179" s="28"/>
      <c r="BE179" s="14"/>
      <c r="BF179" s="41">
        <f t="shared" ref="BF179:BG179" si="520">K179+O179+S179+W179+AA179+AE179+AI179+AM179+AQ179+AU179+AY179+BC179</f>
        <v>0</v>
      </c>
      <c r="BG179" s="34">
        <f t="shared" si="520"/>
        <v>0</v>
      </c>
      <c r="BH179" s="35">
        <f t="shared" ref="BH179:BH186" si="521">H179+BF179-BG179</f>
        <v>0</v>
      </c>
      <c r="BK179" s="2" t="b">
        <f>H179='2021'!BH179</f>
        <v>1</v>
      </c>
    </row>
    <row r="180" ht="15.75" customHeight="1" spans="1:63" x14ac:dyDescent="0.25">
      <c r="A180" s="89" t="s">
        <v>117</v>
      </c>
      <c r="B180" s="30">
        <v>4</v>
      </c>
      <c r="C180" s="15" t="s">
        <v>548</v>
      </c>
      <c r="D180" s="14" t="s">
        <v>44</v>
      </c>
      <c r="E180" s="2" t="s">
        <v>45</v>
      </c>
      <c r="F180" s="41">
        <v>2.5</v>
      </c>
      <c r="G180" s="35">
        <v>2.6</v>
      </c>
      <c r="H180" s="34">
        <f>'2021'!BH180</f>
        <v>0</v>
      </c>
      <c r="I180" s="13">
        <v>3271</v>
      </c>
      <c r="J180" s="15">
        <f>I180-'2021'!BA180</f>
        <v>0</v>
      </c>
      <c r="K180" s="34">
        <f>J180*$F$8</f>
        <v>0</v>
      </c>
      <c r="L180" s="28"/>
      <c r="M180" s="13">
        <v>3271</v>
      </c>
      <c r="N180" s="15">
        <f t="shared" ref="N180:N181" si="522">M180-I180</f>
        <v>0</v>
      </c>
      <c r="O180" s="34">
        <f>N180*$F$8</f>
        <v>0</v>
      </c>
      <c r="Q180" s="13">
        <v>3271</v>
      </c>
      <c r="R180" s="15">
        <f t="shared" ref="R180:R181" si="523">Q180-M180</f>
        <v>0</v>
      </c>
      <c r="S180" s="34">
        <f>R180*$F$8</f>
        <v>0</v>
      </c>
      <c r="T180" s="28"/>
      <c r="U180" s="13">
        <v>3271</v>
      </c>
      <c r="V180" s="15">
        <f t="shared" ref="V180:V181" si="524">U180-Q180</f>
        <v>0</v>
      </c>
      <c r="W180" s="34">
        <f>V180*$F$8</f>
        <v>0</v>
      </c>
      <c r="X180" s="34"/>
      <c r="Y180" s="13">
        <v>3271</v>
      </c>
      <c r="Z180" s="2">
        <f t="shared" ref="Z180:Z181" si="525">Y180-U180</f>
        <v>0</v>
      </c>
      <c r="AA180" s="34">
        <f>Z180*$F$8</f>
        <v>0</v>
      </c>
      <c r="AB180" s="32"/>
      <c r="AC180" s="348">
        <v>3271</v>
      </c>
      <c r="AD180" s="15">
        <v>150</v>
      </c>
      <c r="AE180" s="180">
        <f>AD180*$F$8</f>
        <v>405</v>
      </c>
      <c r="AF180" s="180"/>
      <c r="AG180" s="15">
        <v>3271</v>
      </c>
      <c r="AH180" s="2">
        <v>150</v>
      </c>
      <c r="AI180" s="45">
        <f>AH180*$G$8</f>
        <v>369</v>
      </c>
      <c r="AJ180" s="182"/>
      <c r="AK180" s="15">
        <v>55</v>
      </c>
      <c r="AL180" s="15">
        <f>55*AL5</f>
        <v>56.54</v>
      </c>
      <c r="AM180" s="45">
        <f>AL180*$G$8</f>
        <v>139.0884</v>
      </c>
      <c r="AN180" s="15"/>
      <c r="AO180" s="13">
        <v>137</v>
      </c>
      <c r="AP180" s="15">
        <f>(AO180-AK180)*AP5</f>
        <v>84.706</v>
      </c>
      <c r="AQ180" s="45">
        <f>AP180*$G$8</f>
        <v>208.37676</v>
      </c>
      <c r="AR180" s="1">
        <v>913.09</v>
      </c>
      <c r="AS180" s="13">
        <v>152</v>
      </c>
      <c r="AT180" s="15">
        <f>(AS180-AO180)*AT5</f>
        <v>15.75</v>
      </c>
      <c r="AU180" s="45">
        <f t="shared" ref="AU180:AU181" si="526">AT180*$G$8</f>
        <v>38.745</v>
      </c>
      <c r="AV180" s="15">
        <v>208.38</v>
      </c>
      <c r="AW180" s="13"/>
      <c r="AX180" s="15">
        <f>(AW180-AS180)*AX5</f>
        <v>0</v>
      </c>
      <c r="AY180" s="45">
        <f>AX180*$G$8</f>
        <v>0</v>
      </c>
      <c r="AZ180" s="208"/>
      <c r="BA180" s="13"/>
      <c r="BB180" s="15"/>
      <c r="BC180" s="45">
        <f>BB180*$G$8</f>
        <v>0</v>
      </c>
      <c r="BD180" s="208"/>
      <c r="BE180" s="40">
        <f t="shared" ref="BE180:BG180" si="527">J180+N180+R180+V180+Z180+AD180+AH180+AL180+AP180+AT180+AX180+BB180</f>
        <v>456.996</v>
      </c>
      <c r="BF180" s="41">
        <f t="shared" si="527"/>
        <v>1160.21016</v>
      </c>
      <c r="BG180" s="34">
        <f t="shared" si="527"/>
        <v>1121.47</v>
      </c>
      <c r="BH180" s="35">
        <f t="shared" si="521"/>
        <v>38.74016</v>
      </c>
      <c r="BK180" s="2" t="b">
        <f>H180='2021'!BH180</f>
        <v>1</v>
      </c>
    </row>
    <row r="181" ht="15.75" customHeight="1" spans="1:63" x14ac:dyDescent="0.25">
      <c r="A181" s="89" t="s">
        <v>117</v>
      </c>
      <c r="B181" s="14"/>
      <c r="C181" s="15" t="s">
        <v>110</v>
      </c>
      <c r="D181" s="14" t="s">
        <v>47</v>
      </c>
      <c r="E181" s="2" t="s">
        <v>48</v>
      </c>
      <c r="F181" s="13">
        <v>18.56</v>
      </c>
      <c r="G181" s="35">
        <v>19.46</v>
      </c>
      <c r="H181" s="34">
        <f>'2021'!BH181</f>
        <v>-194.45</v>
      </c>
      <c r="I181" s="13">
        <v>83</v>
      </c>
      <c r="J181" s="15"/>
      <c r="K181" s="15"/>
      <c r="L181" s="28"/>
      <c r="M181" s="13">
        <v>83</v>
      </c>
      <c r="N181" s="15">
        <f t="shared" si="522"/>
        <v>0</v>
      </c>
      <c r="Q181" s="13">
        <v>83</v>
      </c>
      <c r="R181" s="15">
        <f t="shared" si="523"/>
        <v>0</v>
      </c>
      <c r="S181" s="15"/>
      <c r="T181" s="28"/>
      <c r="U181" s="13">
        <v>83</v>
      </c>
      <c r="V181" s="15">
        <f t="shared" si="524"/>
        <v>0</v>
      </c>
      <c r="W181" s="34">
        <f>V181*$F$10</f>
        <v>0</v>
      </c>
      <c r="Y181" s="13">
        <v>83</v>
      </c>
      <c r="Z181" s="2">
        <f t="shared" si="525"/>
        <v>0</v>
      </c>
      <c r="AA181" s="34">
        <f>Z181*$F$10</f>
        <v>0</v>
      </c>
      <c r="AB181" s="32"/>
      <c r="AC181" s="350">
        <v>85</v>
      </c>
      <c r="AD181" s="15">
        <f>AC181-Y181</f>
        <v>2</v>
      </c>
      <c r="AE181" s="34">
        <f>AD181*$F$10</f>
        <v>40.7</v>
      </c>
      <c r="AF181" s="34"/>
      <c r="AG181" s="13">
        <v>88</v>
      </c>
      <c r="AH181" s="2">
        <f>AG181-AC181</f>
        <v>3</v>
      </c>
      <c r="AI181" s="45">
        <f>AH181*$G$10</f>
        <v>64.2</v>
      </c>
      <c r="AJ181" s="2"/>
      <c r="AK181" s="13">
        <v>91</v>
      </c>
      <c r="AL181" s="15">
        <f>AK181-AG181</f>
        <v>3</v>
      </c>
      <c r="AM181" s="45">
        <f>AL181*$G$10</f>
        <v>64.2</v>
      </c>
      <c r="AN181" s="15"/>
      <c r="AO181" s="13">
        <v>93</v>
      </c>
      <c r="AP181" s="15">
        <f>AO181-AK181</f>
        <v>2</v>
      </c>
      <c r="AQ181" s="45">
        <f>AP181*$G$10</f>
        <v>42.8</v>
      </c>
      <c r="AR181" s="15"/>
      <c r="AS181" s="13">
        <v>93</v>
      </c>
      <c r="AT181" s="15">
        <f>AS181-AO181</f>
        <v>0</v>
      </c>
      <c r="AU181" s="45">
        <f t="shared" si="526"/>
        <v>0</v>
      </c>
      <c r="AV181" s="15">
        <v>17.45</v>
      </c>
      <c r="AW181" s="13"/>
      <c r="AX181" s="15">
        <f>AW181-AS181</f>
        <v>-93</v>
      </c>
      <c r="AY181" s="45"/>
      <c r="AZ181" s="208"/>
      <c r="BA181" s="13"/>
      <c r="BB181" s="15"/>
      <c r="BC181" s="45"/>
      <c r="BD181" s="208"/>
      <c r="BE181" s="40">
        <f t="shared" ref="BE181:BG181" si="528">J181+N181+R181+V181+Z181+AD181+AH181+AL181+AP181+AT181+AX181+BB181</f>
        <v>-83</v>
      </c>
      <c r="BF181" s="41">
        <f t="shared" si="528"/>
        <v>211.9</v>
      </c>
      <c r="BG181" s="34">
        <f t="shared" si="528"/>
        <v>17.45</v>
      </c>
      <c r="BH181" s="35">
        <f t="shared" si="521"/>
        <v>0</v>
      </c>
      <c r="BK181" s="2" t="b">
        <f>H181='2021'!BH181</f>
        <v>1</v>
      </c>
    </row>
    <row r="182" ht="15.75" customHeight="1" spans="1:63" x14ac:dyDescent="0.25">
      <c r="A182" s="89" t="s">
        <v>117</v>
      </c>
      <c r="B182" s="14"/>
      <c r="C182" s="15" t="s">
        <v>306</v>
      </c>
      <c r="D182" s="14" t="s">
        <v>47</v>
      </c>
      <c r="E182" s="2" t="s">
        <v>49</v>
      </c>
      <c r="F182" s="41">
        <v>500</v>
      </c>
      <c r="G182" s="35"/>
      <c r="H182" s="34">
        <f>'2021'!BH182</f>
        <v>0</v>
      </c>
      <c r="I182" s="13"/>
      <c r="J182" s="15"/>
      <c r="K182" s="15"/>
      <c r="L182" s="28"/>
      <c r="M182" s="13"/>
      <c r="N182" s="15"/>
      <c r="Q182" s="13"/>
      <c r="R182" s="15"/>
      <c r="S182" s="15"/>
      <c r="T182" s="28"/>
      <c r="U182" s="13"/>
      <c r="V182" s="15"/>
      <c r="Y182" s="13"/>
      <c r="Z182" s="2"/>
      <c r="AA182" s="15"/>
      <c r="AB182" s="32"/>
      <c r="AC182" s="348"/>
      <c r="AD182" s="15"/>
      <c r="AG182" s="15"/>
      <c r="AH182" s="2"/>
      <c r="AI182" s="45"/>
      <c r="AJ182" s="15"/>
      <c r="AK182" s="15"/>
      <c r="AL182" s="15"/>
      <c r="AM182" s="45"/>
      <c r="AN182" s="15"/>
      <c r="AO182" s="13"/>
      <c r="AP182" s="15"/>
      <c r="AQ182" s="45"/>
      <c r="AR182" s="15"/>
      <c r="AS182" s="13"/>
      <c r="AT182" s="15"/>
      <c r="AU182" s="45"/>
      <c r="AV182" s="15"/>
      <c r="AW182" s="13"/>
      <c r="AX182" s="15"/>
      <c r="AY182" s="45"/>
      <c r="AZ182" s="28"/>
      <c r="BA182" s="13"/>
      <c r="BB182" s="15"/>
      <c r="BC182" s="45"/>
      <c r="BD182" s="28"/>
      <c r="BE182" s="14"/>
      <c r="BF182" s="41">
        <f t="shared" ref="BF182:BG182" si="529">K182+O182+S182+W182+AA182+AE182+AI182+AM182+AQ182+AU182+AY182+BC182</f>
        <v>0</v>
      </c>
      <c r="BG182" s="34">
        <f t="shared" si="529"/>
        <v>0</v>
      </c>
      <c r="BH182" s="35">
        <f t="shared" si="521"/>
        <v>0</v>
      </c>
      <c r="BK182" s="2" t="b">
        <f>H182='2021'!BH182</f>
        <v>1</v>
      </c>
    </row>
    <row r="183" ht="15.75" customHeight="1" spans="1:63" x14ac:dyDescent="0.25">
      <c r="A183" s="89" t="s">
        <v>117</v>
      </c>
      <c r="B183" s="14"/>
      <c r="C183" s="366" t="s">
        <v>549</v>
      </c>
      <c r="D183" s="14" t="s">
        <v>50</v>
      </c>
      <c r="E183" s="2" t="s">
        <v>49</v>
      </c>
      <c r="F183" s="41">
        <v>1100</v>
      </c>
      <c r="G183" s="35"/>
      <c r="H183" s="34">
        <f>'2021'!BH183</f>
        <v>0</v>
      </c>
      <c r="I183" s="13"/>
      <c r="J183" s="15"/>
      <c r="K183" s="15"/>
      <c r="L183" s="28"/>
      <c r="M183" s="13"/>
      <c r="N183" s="15"/>
      <c r="Q183" s="13"/>
      <c r="R183" s="15"/>
      <c r="S183" s="15"/>
      <c r="T183" s="28"/>
      <c r="U183" s="13"/>
      <c r="V183" s="15"/>
      <c r="Y183" s="13"/>
      <c r="Z183" s="2"/>
      <c r="AA183" s="15"/>
      <c r="AB183" s="32"/>
      <c r="AC183" s="348"/>
      <c r="AD183" s="15"/>
      <c r="AE183" s="34">
        <f>B180*$F$12</f>
        <v>5200</v>
      </c>
      <c r="AF183" s="180"/>
      <c r="AG183" s="15"/>
      <c r="AH183" s="2"/>
      <c r="AI183" s="45"/>
      <c r="AJ183" s="1"/>
      <c r="AK183" s="15"/>
      <c r="AL183" s="15"/>
      <c r="AM183" s="45"/>
      <c r="AN183" s="15"/>
      <c r="AO183" s="13"/>
      <c r="AP183" s="15"/>
      <c r="AQ183" s="45"/>
      <c r="AR183" s="1">
        <v>5200</v>
      </c>
      <c r="AS183" s="13"/>
      <c r="AT183" s="15"/>
      <c r="AU183" s="45"/>
      <c r="AV183" s="15"/>
      <c r="AW183" s="13"/>
      <c r="AX183" s="15"/>
      <c r="AY183" s="45"/>
      <c r="AZ183" s="28"/>
      <c r="BA183" s="13"/>
      <c r="BB183" s="15"/>
      <c r="BC183" s="45"/>
      <c r="BD183" s="28"/>
      <c r="BE183" s="14"/>
      <c r="BF183" s="41">
        <f t="shared" ref="BF183:BG183" si="530">K183+O183+S183+W183+AA183+AE183+AI183+AM183+AQ183+AU183+AY183+BC183</f>
        <v>5200</v>
      </c>
      <c r="BG183" s="34">
        <f t="shared" si="530"/>
        <v>5200</v>
      </c>
      <c r="BH183" s="35">
        <f t="shared" si="521"/>
        <v>0</v>
      </c>
      <c r="BK183" s="2" t="b">
        <f>H183='2021'!BH183</f>
        <v>1</v>
      </c>
    </row>
    <row r="184" ht="15.75" customHeight="1" spans="1:63" x14ac:dyDescent="0.25">
      <c r="A184" s="89" t="s">
        <v>117</v>
      </c>
      <c r="B184" s="14"/>
      <c r="D184" s="14" t="s">
        <v>51</v>
      </c>
      <c r="E184" s="2" t="s">
        <v>39</v>
      </c>
      <c r="F184" s="41">
        <v>500</v>
      </c>
      <c r="G184" s="35"/>
      <c r="H184" s="34">
        <f>'2021'!BH184</f>
        <v>0</v>
      </c>
      <c r="I184" s="13"/>
      <c r="J184" s="15"/>
      <c r="K184" s="15"/>
      <c r="L184" s="28"/>
      <c r="M184" s="13"/>
      <c r="N184" s="15"/>
      <c r="Q184" s="13"/>
      <c r="R184" s="15"/>
      <c r="S184" s="15"/>
      <c r="T184" s="28"/>
      <c r="U184" s="13"/>
      <c r="V184" s="15"/>
      <c r="Y184" s="13"/>
      <c r="Z184" s="2"/>
      <c r="AA184" s="15"/>
      <c r="AB184" s="32"/>
      <c r="AC184" s="348"/>
      <c r="AD184" s="15"/>
      <c r="AE184" s="182">
        <f>$F$13</f>
        <v>1000</v>
      </c>
      <c r="AF184" s="34"/>
      <c r="AG184" s="15"/>
      <c r="AH184" s="2"/>
      <c r="AI184" s="45"/>
      <c r="AJ184" s="15"/>
      <c r="AK184" s="15"/>
      <c r="AL184" s="15"/>
      <c r="AM184" s="45"/>
      <c r="AN184" s="1">
        <v>1000</v>
      </c>
      <c r="AO184" s="13"/>
      <c r="AP184" s="15"/>
      <c r="AQ184" s="180"/>
      <c r="AR184" s="15"/>
      <c r="AS184" s="13"/>
      <c r="AT184" s="15"/>
      <c r="AU184" s="45"/>
      <c r="AV184" s="15"/>
      <c r="AW184" s="13"/>
      <c r="AX184" s="15"/>
      <c r="AY184" s="45"/>
      <c r="AZ184" s="28"/>
      <c r="BA184" s="13"/>
      <c r="BB184" s="15"/>
      <c r="BC184" s="45"/>
      <c r="BD184" s="28"/>
      <c r="BE184" s="14"/>
      <c r="BF184" s="41">
        <f t="shared" ref="BF184:BG184" si="531">K184+O184+S184+W184+AA184+AE184+AI184+AM184+AQ184+AU184+AY184+BC184</f>
        <v>1000</v>
      </c>
      <c r="BG184" s="34">
        <f t="shared" si="531"/>
        <v>1000</v>
      </c>
      <c r="BH184" s="35">
        <f t="shared" si="521"/>
        <v>0</v>
      </c>
      <c r="BK184" s="2" t="b">
        <f>H184='2021'!BH184</f>
        <v>1</v>
      </c>
    </row>
    <row r="185" ht="15.75" customHeight="1" spans="1:63" x14ac:dyDescent="0.25">
      <c r="A185" s="89" t="s">
        <v>117</v>
      </c>
      <c r="B185" s="14"/>
      <c r="D185" s="14" t="s">
        <v>51</v>
      </c>
      <c r="E185" s="2" t="s">
        <v>49</v>
      </c>
      <c r="F185" s="41">
        <v>500</v>
      </c>
      <c r="G185" s="35"/>
      <c r="H185" s="34">
        <f>'2021'!BH185</f>
        <v>0</v>
      </c>
      <c r="I185" s="13"/>
      <c r="J185" s="15"/>
      <c r="K185" s="15"/>
      <c r="L185" s="28"/>
      <c r="M185" s="13"/>
      <c r="N185" s="15"/>
      <c r="Q185" s="13"/>
      <c r="R185" s="15"/>
      <c r="S185" s="15"/>
      <c r="T185" s="28"/>
      <c r="U185" s="13"/>
      <c r="V185" s="15"/>
      <c r="Y185" s="13"/>
      <c r="Z185" s="2"/>
      <c r="AA185" s="15"/>
      <c r="AB185" s="32"/>
      <c r="AC185" s="348"/>
      <c r="AD185" s="15"/>
      <c r="AE185" s="34"/>
      <c r="AF185" s="34"/>
      <c r="AG185" s="15"/>
      <c r="AH185" s="2"/>
      <c r="AI185" s="45"/>
      <c r="AJ185" s="15"/>
      <c r="AK185" s="15"/>
      <c r="AL185" s="15"/>
      <c r="AM185" s="45"/>
      <c r="AN185" s="15"/>
      <c r="AO185" s="13"/>
      <c r="AP185" s="15"/>
      <c r="AQ185" s="180">
        <f>B180*$F$14</f>
        <v>0</v>
      </c>
      <c r="AR185" s="15"/>
      <c r="AS185" s="13"/>
      <c r="AT185" s="15"/>
      <c r="AU185" s="45"/>
      <c r="AV185" s="15"/>
      <c r="AW185" s="13"/>
      <c r="AX185" s="15"/>
      <c r="AY185" s="45"/>
      <c r="AZ185" s="28"/>
      <c r="BA185" s="13"/>
      <c r="BB185" s="15"/>
      <c r="BC185" s="45"/>
      <c r="BD185" s="28"/>
      <c r="BE185" s="14"/>
      <c r="BF185" s="41">
        <f t="shared" ref="BF185:BG185" si="532">K185+O185+S185+W185+AA185+AE185+AI185+AM185+AQ185+AU185+AY185+BC185</f>
        <v>0</v>
      </c>
      <c r="BG185" s="34">
        <f t="shared" si="532"/>
        <v>0</v>
      </c>
      <c r="BH185" s="35">
        <f t="shared" si="521"/>
        <v>0</v>
      </c>
      <c r="BK185" s="2" t="b">
        <f>H185='2021'!BH185</f>
        <v>1</v>
      </c>
    </row>
    <row r="186" ht="15.75" customHeight="1" spans="1:63" x14ac:dyDescent="0.25">
      <c r="A186" s="89" t="s">
        <v>117</v>
      </c>
      <c r="B186" s="14"/>
      <c r="D186" s="14" t="s">
        <v>52</v>
      </c>
      <c r="E186" s="2" t="s">
        <v>39</v>
      </c>
      <c r="F186" s="41">
        <v>500</v>
      </c>
      <c r="G186" s="35"/>
      <c r="H186" s="34">
        <f>'2021'!BH186</f>
        <v>0</v>
      </c>
      <c r="I186" s="13"/>
      <c r="J186" s="15"/>
      <c r="K186" s="15"/>
      <c r="L186" s="28"/>
      <c r="M186" s="13"/>
      <c r="N186" s="15"/>
      <c r="Q186" s="13"/>
      <c r="R186" s="15"/>
      <c r="S186" s="15"/>
      <c r="T186" s="28"/>
      <c r="U186" s="13"/>
      <c r="V186" s="15"/>
      <c r="Y186" s="13"/>
      <c r="Z186" s="2"/>
      <c r="AA186" s="34">
        <f>$F$15</f>
      </c>
      <c r="AB186" s="28"/>
      <c r="AC186" s="348"/>
      <c r="AD186" s="15"/>
      <c r="AF186" s="180"/>
      <c r="AG186" s="15"/>
      <c r="AH186" s="2"/>
      <c r="AI186" s="45"/>
      <c r="AJ186" s="39"/>
      <c r="AK186" s="15"/>
      <c r="AL186" s="15"/>
      <c r="AM186" s="45"/>
      <c r="AN186" s="15"/>
      <c r="AO186" s="13"/>
      <c r="AP186" s="15"/>
      <c r="AQ186" s="45"/>
      <c r="AR186" s="15"/>
      <c r="AS186" s="13"/>
      <c r="AT186" s="15"/>
      <c r="AU186" s="45"/>
      <c r="AV186" s="15"/>
      <c r="AW186" s="13"/>
      <c r="AX186" s="15"/>
      <c r="AY186" s="45"/>
      <c r="AZ186" s="35"/>
      <c r="BA186" s="13"/>
      <c r="BB186" s="15"/>
      <c r="BC186" s="45"/>
      <c r="BD186" s="35"/>
      <c r="BE186" s="14"/>
      <c r="BF186" s="41">
        <f t="shared" ref="BF186:BG186" si="533">K186+O186+S186+W186+AA186+AE186+AI186+AM186+AQ186+AU186+AY186+BC186</f>
        <v>0</v>
      </c>
      <c r="BG186" s="34">
        <f t="shared" si="533"/>
        <v>0</v>
      </c>
      <c r="BH186" s="35">
        <f t="shared" si="521"/>
        <v>0</v>
      </c>
      <c r="BK186" s="2" t="b">
        <f>H186='2021'!BH186</f>
        <v>1</v>
      </c>
    </row>
    <row r="187" ht="15.75" customHeight="1" spans="1:63" x14ac:dyDescent="0.25">
      <c r="A187" s="243" t="s">
        <v>117</v>
      </c>
      <c r="B187" s="21"/>
      <c r="C187" s="22" t="s">
        <v>53</v>
      </c>
      <c r="D187" s="21"/>
      <c r="E187" s="22"/>
      <c r="F187" s="20"/>
      <c r="G187" s="23"/>
      <c r="H187" s="51">
        <f>SUM(H179:H186)</f>
        <v>-194.45</v>
      </c>
      <c r="I187" s="52"/>
      <c r="J187" s="53"/>
      <c r="K187" s="51">
        <f t="shared" ref="K187:L187" si="534">SUM(K179:K186)</f>
        <v>0</v>
      </c>
      <c r="L187" s="68">
        <f t="shared" si="534"/>
        <v>0</v>
      </c>
      <c r="M187" s="52"/>
      <c r="N187" s="53"/>
      <c r="O187" s="51">
        <f t="shared" ref="O187:P187" si="535">SUM(O179:O186)</f>
        <v>0</v>
      </c>
      <c r="P187" s="68">
        <f t="shared" si="535"/>
        <v>0</v>
      </c>
      <c r="Q187" s="52"/>
      <c r="R187" s="53"/>
      <c r="S187" s="51">
        <f t="shared" ref="S187:T187" si="536">SUM(S179:S186)</f>
        <v>0</v>
      </c>
      <c r="T187" s="68">
        <f t="shared" si="536"/>
        <v>0</v>
      </c>
      <c r="U187" s="52"/>
      <c r="V187" s="53"/>
      <c r="W187" s="51">
        <f t="shared" ref="W187:X187" si="537">SUM(W179:W186)</f>
        <v>0</v>
      </c>
      <c r="X187" s="68">
        <f t="shared" si="537"/>
        <v>0</v>
      </c>
      <c r="Y187" s="52"/>
      <c r="Z187" s="301"/>
      <c r="AA187" s="51">
        <f t="shared" ref="AA187:AB187" si="538">SUM(AA179:AA186)</f>
        <v>0</v>
      </c>
      <c r="AB187" s="68">
        <f t="shared" si="538"/>
        <v>0</v>
      </c>
      <c r="AC187" s="351"/>
      <c r="AD187" s="53"/>
      <c r="AE187" s="51">
        <f t="shared" ref="AE187:AF187" si="539">SUM(AE179:AE186)</f>
        <v>6645.7</v>
      </c>
      <c r="AF187" s="68">
        <f t="shared" si="539"/>
        <v>0</v>
      </c>
      <c r="AG187" s="53"/>
      <c r="AH187" s="301"/>
      <c r="AI187" s="183">
        <f t="shared" ref="AI187:AJ187" si="540">SUM(AI179:AI186)</f>
        <v>433.2</v>
      </c>
      <c r="AJ187" s="51">
        <f t="shared" si="540"/>
        <v>0</v>
      </c>
      <c r="AK187" s="53"/>
      <c r="AL187" s="53"/>
      <c r="AM187" s="183">
        <f t="shared" ref="AM187:AN187" si="541">SUM(AM179:AM186)</f>
        <v>203.2884</v>
      </c>
      <c r="AN187" s="51">
        <f t="shared" si="541"/>
        <v>1000</v>
      </c>
      <c r="AO187" s="52"/>
      <c r="AP187" s="53"/>
      <c r="AQ187" s="183">
        <f t="shared" ref="AQ187:AR187" si="542">SUM(AQ179:AQ186)</f>
        <v>251.17676</v>
      </c>
      <c r="AR187" s="51">
        <f t="shared" si="542"/>
        <v>6113.09</v>
      </c>
      <c r="AS187" s="52"/>
      <c r="AT187" s="53"/>
      <c r="AU187" s="183">
        <f t="shared" ref="AU187:AV187" si="543">SUM(AU179:AU186)</f>
        <v>38.745</v>
      </c>
      <c r="AV187" s="68">
        <f t="shared" si="543"/>
        <v>225.83</v>
      </c>
      <c r="AW187" s="52"/>
      <c r="AX187" s="53"/>
      <c r="AY187" s="183">
        <f t="shared" ref="AY187:AZ187" si="544">SUM(AY179:AY186)</f>
        <v>0</v>
      </c>
      <c r="AZ187" s="68">
        <f t="shared" si="544"/>
        <v>0</v>
      </c>
      <c r="BA187" s="52"/>
      <c r="BB187" s="53"/>
      <c r="BC187" s="183">
        <f t="shared" ref="BC187:BD187" si="545">SUM(BC179:BC186)</f>
        <v>0</v>
      </c>
      <c r="BD187" s="68">
        <f t="shared" si="545"/>
        <v>0</v>
      </c>
      <c r="BE187" s="69"/>
      <c r="BF187" s="70">
        <f t="shared" ref="BF187:BH187" si="546">SUM(BF179:BF186)</f>
        <v>7572.11016</v>
      </c>
      <c r="BG187" s="71">
        <f t="shared" si="546"/>
        <v>7338.92</v>
      </c>
      <c r="BH187" s="72">
        <f t="shared" si="546"/>
        <v>38.74016</v>
      </c>
      <c r="BI187" s="34">
        <f>H187+BF187-BG187</f>
        <v>38.74016</v>
      </c>
      <c r="BJ187" s="34">
        <f>BH187-BI187</f>
        <v>0</v>
      </c>
      <c r="BK187" s="2" t="b">
        <f>H187='2021'!BH187</f>
        <v>1</v>
      </c>
    </row>
    <row r="188" ht="15.75" customHeight="1" spans="1:63" x14ac:dyDescent="0.25">
      <c r="A188" s="89" t="s">
        <v>117</v>
      </c>
      <c r="B188" s="14"/>
      <c r="D188" s="14" t="s">
        <v>379</v>
      </c>
      <c r="F188" s="13"/>
      <c r="G188" s="28"/>
      <c r="H188" s="34">
        <f>'2021'!BH188</f>
        <v>0</v>
      </c>
      <c r="I188" s="13"/>
      <c r="J188" s="15"/>
      <c r="K188" s="15"/>
      <c r="L188" s="28"/>
      <c r="M188" s="13"/>
      <c r="N188" s="15"/>
      <c r="Q188" s="13"/>
      <c r="R188" s="15"/>
      <c r="S188" s="15"/>
      <c r="T188" s="28"/>
      <c r="U188" s="13"/>
      <c r="V188" s="15"/>
      <c r="Y188" s="13"/>
      <c r="Z188" s="2"/>
      <c r="AA188" s="15"/>
      <c r="AB188" s="28"/>
      <c r="AC188" s="348"/>
      <c r="AD188" s="15"/>
      <c r="AG188" s="15"/>
      <c r="AH188" s="2"/>
      <c r="AI188" s="45"/>
      <c r="AJ188" s="15"/>
      <c r="AK188" s="15"/>
      <c r="AM188" s="45"/>
      <c r="AO188" s="13"/>
      <c r="AQ188" s="45"/>
      <c r="AS188" s="13"/>
      <c r="AU188" s="45"/>
      <c r="AW188" s="13"/>
      <c r="AY188" s="45"/>
      <c r="AZ188" s="28"/>
      <c r="BA188" s="13"/>
      <c r="BB188" s="15"/>
      <c r="BC188" s="45"/>
      <c r="BD188" s="28"/>
      <c r="BE188" s="14"/>
      <c r="BF188" s="41">
        <f t="shared" ref="BF188:BG188" si="547">K188+O188+S188+W188+AA188+AE188+AI188+AM188+AQ188+AU188+AY188+BC188</f>
        <v>0</v>
      </c>
      <c r="BG188" s="34">
        <f t="shared" si="547"/>
        <v>0</v>
      </c>
      <c r="BH188" s="35">
        <f t="shared" ref="BH188:BH195" si="548">H188+BF188-BG188</f>
        <v>0</v>
      </c>
      <c r="BK188" s="2" t="b">
        <f>H188='2021'!BH188</f>
        <v>1</v>
      </c>
    </row>
    <row r="189" ht="15.75" customHeight="1" spans="1:63" x14ac:dyDescent="0.25">
      <c r="A189" s="89" t="s">
        <v>117</v>
      </c>
      <c r="B189" s="30">
        <v>4</v>
      </c>
      <c r="C189" s="2" t="s">
        <v>548</v>
      </c>
      <c r="D189" s="14" t="s">
        <v>44</v>
      </c>
      <c r="E189" s="2" t="s">
        <v>45</v>
      </c>
      <c r="F189" s="41">
        <v>2.5</v>
      </c>
      <c r="G189" s="35">
        <v>2.6</v>
      </c>
      <c r="H189" s="34">
        <f>'2021'!BH189</f>
        <v>0</v>
      </c>
      <c r="I189" s="13"/>
      <c r="J189" s="15">
        <f>I189-'2021'!BA189</f>
        <v>0</v>
      </c>
      <c r="K189" s="34">
        <f>J189*$F$8</f>
        <v>0</v>
      </c>
      <c r="L189" s="28"/>
      <c r="M189" s="13"/>
      <c r="N189" s="15">
        <f t="shared" ref="N189:N190" si="549">M189-I189</f>
        <v>0</v>
      </c>
      <c r="O189" s="34">
        <f>N189*$F$8</f>
        <v>0</v>
      </c>
      <c r="Q189" s="13"/>
      <c r="R189" s="15">
        <f t="shared" ref="R189:R190" si="550">Q189-M189</f>
        <v>0</v>
      </c>
      <c r="S189" s="34">
        <f>R189*$F$8</f>
        <v>0</v>
      </c>
      <c r="T189" s="28"/>
      <c r="U189" s="13"/>
      <c r="V189" s="15">
        <f t="shared" ref="V189:V190" si="551">U189-Q189</f>
        <v>0</v>
      </c>
      <c r="W189" s="34">
        <f>V189*$F$8</f>
        <v>0</v>
      </c>
      <c r="X189" s="34"/>
      <c r="Y189" s="13"/>
      <c r="Z189" s="2">
        <f t="shared" ref="Z189:Z190" si="552">Y189-U189</f>
        <v>0</v>
      </c>
      <c r="AA189" s="34">
        <f>Z189*$F$8</f>
        <v>0</v>
      </c>
      <c r="AB189" s="32"/>
      <c r="AC189" s="348"/>
      <c r="AD189" s="15">
        <f t="shared" ref="AD189:AD190" si="553">AC189-Y189</f>
        <v>0</v>
      </c>
      <c r="AE189" s="180">
        <f>AD189*$F$8</f>
        <v>0</v>
      </c>
      <c r="AF189" s="34"/>
      <c r="AG189" s="15"/>
      <c r="AH189" s="2">
        <f>(AG189-AC189)*AH5</f>
        <v>0</v>
      </c>
      <c r="AI189" s="45">
        <f>AH189*$G$8</f>
        <v>0</v>
      </c>
      <c r="AJ189" s="2"/>
      <c r="AK189" s="15"/>
      <c r="AL189" s="15">
        <f>(AK189-AG189)*AL5</f>
        <v>0</v>
      </c>
      <c r="AM189" s="45">
        <f>AL189*$G$8</f>
        <v>0</v>
      </c>
      <c r="AN189" s="15"/>
      <c r="AO189" s="13"/>
      <c r="AP189" s="15">
        <f>(AO189-AK189)*AP5</f>
        <v>0</v>
      </c>
      <c r="AQ189" s="45">
        <f>AP189*$G$8</f>
        <v>0</v>
      </c>
      <c r="AR189" s="15"/>
      <c r="AS189" s="13"/>
      <c r="AT189" s="15">
        <f>(AS189-AO189)*AT5</f>
        <v>0</v>
      </c>
      <c r="AU189" s="45">
        <f t="shared" ref="AU189:AU190" si="554">AT189*$G$8</f>
        <v>0</v>
      </c>
      <c r="AV189" s="15"/>
      <c r="AW189" s="13"/>
      <c r="AX189" s="15">
        <f>(AW189-AS189)*AX5</f>
        <v>0</v>
      </c>
      <c r="AY189" s="45">
        <f>AX189*$G$8</f>
        <v>0</v>
      </c>
      <c r="AZ189" s="208"/>
      <c r="BA189" s="13"/>
      <c r="BB189" s="15"/>
      <c r="BC189" s="45">
        <f>BB189*$G$8</f>
        <v>0</v>
      </c>
      <c r="BD189" s="208"/>
      <c r="BE189" s="40">
        <f t="shared" ref="BE189:BG189" si="555">J189+N189+R189+V189+Z189+AD189+AH189+AL189+AP189+AT189+AX189+BB189</f>
        <v>0</v>
      </c>
      <c r="BF189" s="41">
        <f t="shared" si="555"/>
        <v>0</v>
      </c>
      <c r="BG189" s="34">
        <f t="shared" si="555"/>
        <v>0</v>
      </c>
      <c r="BH189" s="35">
        <f t="shared" si="548"/>
        <v>0</v>
      </c>
      <c r="BK189" s="2" t="b">
        <f>H189='2021'!BH189</f>
        <v>1</v>
      </c>
    </row>
    <row r="190" ht="15.75" customHeight="1" spans="1:63" x14ac:dyDescent="0.25">
      <c r="A190" s="89" t="s">
        <v>117</v>
      </c>
      <c r="B190" s="14"/>
      <c r="C190" s="2" t="s">
        <v>110</v>
      </c>
      <c r="D190" s="14" t="s">
        <v>47</v>
      </c>
      <c r="E190" s="2" t="s">
        <v>48</v>
      </c>
      <c r="F190" s="13">
        <v>18.56</v>
      </c>
      <c r="G190" s="35">
        <v>19.46</v>
      </c>
      <c r="H190" s="34">
        <f>'2021'!BH190</f>
        <v>0</v>
      </c>
      <c r="I190" s="13">
        <v>102</v>
      </c>
      <c r="J190" s="15"/>
      <c r="K190" s="15"/>
      <c r="L190" s="28"/>
      <c r="M190" s="13">
        <v>102</v>
      </c>
      <c r="N190" s="15">
        <f t="shared" si="549"/>
        <v>0</v>
      </c>
      <c r="Q190" s="13">
        <v>102</v>
      </c>
      <c r="R190" s="15">
        <f t="shared" si="550"/>
        <v>0</v>
      </c>
      <c r="S190" s="15"/>
      <c r="T190" s="28"/>
      <c r="U190" s="13">
        <v>102</v>
      </c>
      <c r="V190" s="15">
        <f t="shared" si="551"/>
        <v>0</v>
      </c>
      <c r="W190" s="34">
        <f>V190*$F$10</f>
        <v>0</v>
      </c>
      <c r="Y190" s="13">
        <v>102</v>
      </c>
      <c r="Z190" s="2">
        <f t="shared" si="552"/>
        <v>0</v>
      </c>
      <c r="AA190" s="34">
        <f>Z190*$F$10</f>
        <v>0</v>
      </c>
      <c r="AB190" s="32"/>
      <c r="AC190" s="350">
        <v>111</v>
      </c>
      <c r="AD190" s="15">
        <f t="shared" si="553"/>
        <v>9</v>
      </c>
      <c r="AE190" s="34">
        <f>AD190*$F$10</f>
        <v>183.15</v>
      </c>
      <c r="AF190" s="180"/>
      <c r="AG190" s="13">
        <v>132</v>
      </c>
      <c r="AH190" s="2">
        <f>AG190-AC190</f>
        <v>21</v>
      </c>
      <c r="AI190" s="45">
        <f>AH190*$G$10</f>
        <v>449.4</v>
      </c>
      <c r="AJ190" s="180"/>
      <c r="AK190" s="13">
        <v>136</v>
      </c>
      <c r="AL190" s="15">
        <f>AK190-AG190</f>
        <v>4</v>
      </c>
      <c r="AM190" s="45">
        <f>AL190*$G$10</f>
        <v>85.6</v>
      </c>
      <c r="AN190" s="1">
        <v>632.55</v>
      </c>
      <c r="AO190" s="13">
        <v>138</v>
      </c>
      <c r="AP190" s="15">
        <f>AO190-AK190</f>
        <v>2</v>
      </c>
      <c r="AQ190" s="45">
        <f>AP190*$G$10</f>
        <v>42.8</v>
      </c>
      <c r="AR190" s="1">
        <v>60.25</v>
      </c>
      <c r="AS190" s="13">
        <v>138</v>
      </c>
      <c r="AT190" s="15">
        <f>AS190-AO190</f>
        <v>0</v>
      </c>
      <c r="AU190" s="45">
        <f t="shared" si="554"/>
        <v>0</v>
      </c>
      <c r="AV190" s="15">
        <v>68.15</v>
      </c>
      <c r="AW190" s="13"/>
      <c r="AX190" s="15">
        <f>AW190-AS190</f>
        <v>-138</v>
      </c>
      <c r="AY190" s="45"/>
      <c r="AZ190" s="208"/>
      <c r="BA190" s="13"/>
      <c r="BB190" s="15"/>
      <c r="BC190" s="45"/>
      <c r="BD190" s="208"/>
      <c r="BE190" s="40">
        <f t="shared" ref="BE190:BG190" si="556">J190+N190+R190+V190+Z190+AD190+AH190+AL190+AP190+AT190+AX190+BB190</f>
        <v>-102</v>
      </c>
      <c r="BF190" s="41">
        <f t="shared" si="556"/>
        <v>760.95</v>
      </c>
      <c r="BG190" s="34">
        <f t="shared" si="556"/>
        <v>760.95</v>
      </c>
      <c r="BH190" s="35">
        <f t="shared" si="548"/>
        <v>0</v>
      </c>
      <c r="BK190" s="2" t="b">
        <f>H190='2021'!BH190</f>
        <v>1</v>
      </c>
    </row>
    <row r="191" ht="15.75" customHeight="1" spans="1:63" x14ac:dyDescent="0.25">
      <c r="A191" s="89" t="s">
        <v>117</v>
      </c>
      <c r="B191" s="14"/>
      <c r="C191" s="2" t="s">
        <v>306</v>
      </c>
      <c r="D191" s="14" t="s">
        <v>47</v>
      </c>
      <c r="E191" s="2" t="s">
        <v>49</v>
      </c>
      <c r="F191" s="41">
        <v>500</v>
      </c>
      <c r="G191" s="35"/>
      <c r="H191" s="34">
        <f>'2021'!BH191</f>
        <v>0</v>
      </c>
      <c r="I191" s="13"/>
      <c r="J191" s="15"/>
      <c r="K191" s="15"/>
      <c r="L191" s="28"/>
      <c r="M191" s="13"/>
      <c r="N191" s="15"/>
      <c r="Q191" s="13"/>
      <c r="R191" s="15"/>
      <c r="S191" s="15"/>
      <c r="T191" s="28"/>
      <c r="U191" s="13"/>
      <c r="V191" s="15"/>
      <c r="Y191" s="13"/>
      <c r="Z191" s="2"/>
      <c r="AA191" s="15"/>
      <c r="AB191" s="32"/>
      <c r="AC191" s="348"/>
      <c r="AD191" s="15"/>
      <c r="AG191" s="15"/>
      <c r="AH191" s="2"/>
      <c r="AI191" s="45"/>
      <c r="AJ191" s="15"/>
      <c r="AK191" s="15"/>
      <c r="AL191" s="15"/>
      <c r="AM191" s="45"/>
      <c r="AN191" s="15"/>
      <c r="AO191" s="13"/>
      <c r="AP191" s="15"/>
      <c r="AQ191" s="45"/>
      <c r="AR191" s="15"/>
      <c r="AS191" s="13"/>
      <c r="AT191" s="15"/>
      <c r="AU191" s="45"/>
      <c r="AV191" s="15"/>
      <c r="AW191" s="13"/>
      <c r="AX191" s="15"/>
      <c r="AY191" s="45"/>
      <c r="AZ191" s="28"/>
      <c r="BA191" s="13"/>
      <c r="BB191" s="15"/>
      <c r="BC191" s="45"/>
      <c r="BD191" s="28"/>
      <c r="BE191" s="14"/>
      <c r="BF191" s="41">
        <f t="shared" ref="BF191:BG191" si="557">K191+O191+S191+W191+AA191+AE191+AI191+AM191+AQ191+AU191+AY191+BC191</f>
        <v>0</v>
      </c>
      <c r="BG191" s="34">
        <f t="shared" si="557"/>
        <v>0</v>
      </c>
      <c r="BH191" s="35">
        <f t="shared" si="548"/>
        <v>0</v>
      </c>
      <c r="BK191" s="2" t="b">
        <f>H191='2021'!BH191</f>
        <v>1</v>
      </c>
    </row>
    <row r="192" ht="15.75" customHeight="1" spans="1:63" x14ac:dyDescent="0.25">
      <c r="A192" s="89" t="s">
        <v>117</v>
      </c>
      <c r="B192" s="14"/>
      <c r="C192" s="2" t="s">
        <v>549</v>
      </c>
      <c r="D192" s="14" t="s">
        <v>50</v>
      </c>
      <c r="E192" s="2" t="s">
        <v>49</v>
      </c>
      <c r="F192" s="41">
        <v>1100</v>
      </c>
      <c r="G192" s="35"/>
      <c r="H192" s="34">
        <f>'2021'!BH192</f>
        <v>0</v>
      </c>
      <c r="I192" s="13"/>
      <c r="J192" s="15"/>
      <c r="K192" s="15"/>
      <c r="L192" s="28"/>
      <c r="M192" s="13"/>
      <c r="N192" s="15"/>
      <c r="Q192" s="13"/>
      <c r="R192" s="15"/>
      <c r="S192" s="15"/>
      <c r="T192" s="28"/>
      <c r="U192" s="13"/>
      <c r="V192" s="15"/>
      <c r="Y192" s="13"/>
      <c r="Z192" s="2"/>
      <c r="AA192" s="15"/>
      <c r="AB192" s="32"/>
      <c r="AC192" s="348"/>
      <c r="AD192" s="15"/>
      <c r="AE192" s="34">
        <f>B189*$F$12</f>
        <v>5200</v>
      </c>
      <c r="AF192" s="180"/>
      <c r="AG192" s="15"/>
      <c r="AH192" s="2"/>
      <c r="AI192" s="45"/>
      <c r="AJ192" s="1"/>
      <c r="AK192" s="15"/>
      <c r="AL192" s="15"/>
      <c r="AM192" s="45"/>
      <c r="AN192" s="15"/>
      <c r="AO192" s="13"/>
      <c r="AP192" s="15"/>
      <c r="AQ192" s="45"/>
      <c r="AR192" s="1">
        <v>5200</v>
      </c>
      <c r="AS192" s="13"/>
      <c r="AT192" s="15"/>
      <c r="AU192" s="45"/>
      <c r="AV192" s="15"/>
      <c r="AW192" s="13"/>
      <c r="AX192" s="15"/>
      <c r="AY192" s="45"/>
      <c r="AZ192" s="28"/>
      <c r="BA192" s="13"/>
      <c r="BB192" s="15"/>
      <c r="BC192" s="45"/>
      <c r="BD192" s="28"/>
      <c r="BE192" s="14"/>
      <c r="BF192" s="41">
        <f t="shared" ref="BF192:BG192" si="558">K192+O192+S192+W192+AA192+AE192+AI192+AM192+AQ192+AU192+AY192+BC192</f>
        <v>5200</v>
      </c>
      <c r="BG192" s="34">
        <f t="shared" si="558"/>
        <v>5200</v>
      </c>
      <c r="BH192" s="35">
        <f t="shared" si="548"/>
        <v>0</v>
      </c>
      <c r="BK192" s="2" t="b">
        <f>H192='2021'!BH192</f>
        <v>1</v>
      </c>
    </row>
    <row r="193" ht="15.75" customHeight="1" spans="1:63" x14ac:dyDescent="0.25">
      <c r="A193" s="89" t="s">
        <v>117</v>
      </c>
      <c r="B193" s="14"/>
      <c r="D193" s="14" t="s">
        <v>51</v>
      </c>
      <c r="E193" s="2" t="s">
        <v>39</v>
      </c>
      <c r="F193" s="41">
        <v>500</v>
      </c>
      <c r="G193" s="35"/>
      <c r="H193" s="34">
        <f>'2021'!BH193</f>
        <v>0</v>
      </c>
      <c r="I193" s="13"/>
      <c r="J193" s="15"/>
      <c r="K193" s="15"/>
      <c r="L193" s="28"/>
      <c r="M193" s="13"/>
      <c r="N193" s="15"/>
      <c r="Q193" s="13"/>
      <c r="R193" s="15"/>
      <c r="S193" s="15"/>
      <c r="T193" s="28"/>
      <c r="U193" s="13"/>
      <c r="V193" s="15"/>
      <c r="Y193" s="13"/>
      <c r="Z193" s="2"/>
      <c r="AA193" s="15"/>
      <c r="AB193" s="32"/>
      <c r="AC193" s="348"/>
      <c r="AD193" s="15"/>
      <c r="AE193" s="182">
        <f>$F$13</f>
        <v>1000</v>
      </c>
      <c r="AF193" s="34"/>
      <c r="AG193" s="15"/>
      <c r="AH193" s="2"/>
      <c r="AI193" s="45"/>
      <c r="AJ193" s="15"/>
      <c r="AK193" s="15"/>
      <c r="AL193" s="15"/>
      <c r="AM193" s="45"/>
      <c r="AN193" s="1">
        <v>1000</v>
      </c>
      <c r="AO193" s="13"/>
      <c r="AP193" s="15"/>
      <c r="AQ193" s="180"/>
      <c r="AR193" s="15"/>
      <c r="AS193" s="13"/>
      <c r="AT193" s="15"/>
      <c r="AU193" s="45"/>
      <c r="AV193" s="15"/>
      <c r="AW193" s="13"/>
      <c r="AX193" s="15"/>
      <c r="AY193" s="45"/>
      <c r="AZ193" s="28"/>
      <c r="BA193" s="13"/>
      <c r="BB193" s="15"/>
      <c r="BC193" s="45"/>
      <c r="BD193" s="28"/>
      <c r="BE193" s="14"/>
      <c r="BF193" s="41">
        <f t="shared" ref="BF193:BG193" si="559">K193+O193+S193+W193+AA193+AE193+AI193+AM193+AQ193+AU193+AY193+BC193</f>
        <v>1000</v>
      </c>
      <c r="BG193" s="34">
        <f t="shared" si="559"/>
        <v>1000</v>
      </c>
      <c r="BH193" s="35">
        <f t="shared" si="548"/>
        <v>0</v>
      </c>
      <c r="BK193" s="2" t="b">
        <f>H193='2021'!BH193</f>
        <v>1</v>
      </c>
    </row>
    <row r="194" ht="15.75" customHeight="1" spans="1:63" x14ac:dyDescent="0.25">
      <c r="A194" s="89" t="s">
        <v>117</v>
      </c>
      <c r="B194" s="14"/>
      <c r="D194" s="14" t="s">
        <v>51</v>
      </c>
      <c r="E194" s="2" t="s">
        <v>49</v>
      </c>
      <c r="F194" s="41">
        <v>500</v>
      </c>
      <c r="G194" s="35"/>
      <c r="H194" s="34">
        <f>'2021'!BH194</f>
        <v>0</v>
      </c>
      <c r="I194" s="13"/>
      <c r="J194" s="15"/>
      <c r="K194" s="15"/>
      <c r="L194" s="28"/>
      <c r="M194" s="13"/>
      <c r="N194" s="15"/>
      <c r="Q194" s="13"/>
      <c r="R194" s="15"/>
      <c r="S194" s="15"/>
      <c r="T194" s="28"/>
      <c r="U194" s="13"/>
      <c r="V194" s="15"/>
      <c r="Y194" s="13"/>
      <c r="Z194" s="2"/>
      <c r="AA194" s="15"/>
      <c r="AB194" s="32"/>
      <c r="AC194" s="348"/>
      <c r="AD194" s="15"/>
      <c r="AE194" s="34"/>
      <c r="AF194" s="34"/>
      <c r="AG194" s="15"/>
      <c r="AH194" s="2"/>
      <c r="AI194" s="45"/>
      <c r="AJ194" s="15"/>
      <c r="AK194" s="15"/>
      <c r="AL194" s="15"/>
      <c r="AM194" s="45"/>
      <c r="AN194" s="15"/>
      <c r="AO194" s="13"/>
      <c r="AP194" s="15"/>
      <c r="AQ194" s="180">
        <f>B189*$F$14</f>
        <v>0</v>
      </c>
      <c r="AR194" s="15"/>
      <c r="AS194" s="13"/>
      <c r="AT194" s="15"/>
      <c r="AU194" s="45"/>
      <c r="AV194" s="15"/>
      <c r="AW194" s="13"/>
      <c r="AX194" s="15"/>
      <c r="AY194" s="45"/>
      <c r="AZ194" s="28"/>
      <c r="BA194" s="13"/>
      <c r="BB194" s="15"/>
      <c r="BC194" s="45"/>
      <c r="BD194" s="28"/>
      <c r="BE194" s="14"/>
      <c r="BF194" s="41">
        <f t="shared" ref="BF194:BG194" si="560">K194+O194+S194+W194+AA194+AE194+AI194+AM194+AQ194+AU194+AY194+BC194</f>
        <v>0</v>
      </c>
      <c r="BG194" s="34">
        <f t="shared" si="560"/>
        <v>0</v>
      </c>
      <c r="BH194" s="35">
        <f t="shared" si="548"/>
        <v>0</v>
      </c>
      <c r="BK194" s="2" t="b">
        <f>H194='2021'!BH194</f>
        <v>1</v>
      </c>
    </row>
    <row r="195" ht="15.75" customHeight="1" spans="1:63" x14ac:dyDescent="0.25">
      <c r="A195" s="89" t="s">
        <v>117</v>
      </c>
      <c r="B195" s="14"/>
      <c r="D195" s="14" t="s">
        <v>52</v>
      </c>
      <c r="E195" s="2" t="s">
        <v>39</v>
      </c>
      <c r="F195" s="41">
        <v>500</v>
      </c>
      <c r="G195" s="35"/>
      <c r="H195" s="34">
        <f>'2021'!BH195</f>
        <v>0</v>
      </c>
      <c r="I195" s="13"/>
      <c r="J195" s="15"/>
      <c r="K195" s="15"/>
      <c r="L195" s="28"/>
      <c r="M195" s="13"/>
      <c r="N195" s="15"/>
      <c r="Q195" s="13"/>
      <c r="R195" s="15"/>
      <c r="S195" s="15"/>
      <c r="T195" s="28"/>
      <c r="U195" s="13"/>
      <c r="V195" s="15"/>
      <c r="Y195" s="13"/>
      <c r="Z195" s="2"/>
      <c r="AA195" s="34">
        <f>$F$15</f>
      </c>
      <c r="AB195" s="28"/>
      <c r="AC195" s="348"/>
      <c r="AD195" s="15"/>
      <c r="AF195" s="180"/>
      <c r="AG195" s="15"/>
      <c r="AH195" s="2"/>
      <c r="AI195" s="45"/>
      <c r="AJ195" s="39"/>
      <c r="AK195" s="15"/>
      <c r="AL195" s="15"/>
      <c r="AM195" s="45"/>
      <c r="AN195" s="15"/>
      <c r="AO195" s="13"/>
      <c r="AP195" s="15"/>
      <c r="AQ195" s="45"/>
      <c r="AR195" s="15"/>
      <c r="AS195" s="13"/>
      <c r="AT195" s="15"/>
      <c r="AU195" s="45"/>
      <c r="AV195" s="15"/>
      <c r="AW195" s="13"/>
      <c r="AX195" s="15"/>
      <c r="AY195" s="45"/>
      <c r="AZ195" s="35"/>
      <c r="BA195" s="13"/>
      <c r="BB195" s="15"/>
      <c r="BC195" s="45"/>
      <c r="BD195" s="35"/>
      <c r="BE195" s="14"/>
      <c r="BF195" s="41">
        <f t="shared" ref="BF195:BG195" si="561">K195+O195+S195+W195+AA195+AE195+AI195+AM195+AQ195+AU195+AY195+BC195</f>
        <v>0</v>
      </c>
      <c r="BG195" s="34">
        <f t="shared" si="561"/>
        <v>0</v>
      </c>
      <c r="BH195" s="35">
        <f t="shared" si="548"/>
        <v>0</v>
      </c>
      <c r="BK195" s="2" t="b">
        <f>H195='2021'!BH195</f>
        <v>1</v>
      </c>
    </row>
    <row r="196" ht="15.75" customHeight="1" spans="1:63" x14ac:dyDescent="0.25">
      <c r="A196" s="243" t="s">
        <v>117</v>
      </c>
      <c r="B196" s="21"/>
      <c r="C196" s="22" t="s">
        <v>53</v>
      </c>
      <c r="D196" s="21"/>
      <c r="E196" s="22"/>
      <c r="F196" s="20"/>
      <c r="G196" s="23"/>
      <c r="H196" s="51">
        <f>SUM(H188:H195)</f>
        <v>0</v>
      </c>
      <c r="I196" s="52"/>
      <c r="J196" s="53"/>
      <c r="K196" s="51">
        <f t="shared" ref="K196:L196" si="562">SUM(K188:K195)</f>
        <v>0</v>
      </c>
      <c r="L196" s="68">
        <f t="shared" si="562"/>
        <v>0</v>
      </c>
      <c r="M196" s="52"/>
      <c r="N196" s="53"/>
      <c r="O196" s="51">
        <f t="shared" ref="O196:P196" si="563">SUM(O188:O195)</f>
        <v>0</v>
      </c>
      <c r="P196" s="68">
        <f t="shared" si="563"/>
        <v>0</v>
      </c>
      <c r="Q196" s="52"/>
      <c r="R196" s="53"/>
      <c r="S196" s="51">
        <f t="shared" ref="S196:T196" si="564">SUM(S188:S195)</f>
        <v>0</v>
      </c>
      <c r="T196" s="68">
        <f t="shared" si="564"/>
        <v>0</v>
      </c>
      <c r="U196" s="52"/>
      <c r="V196" s="53"/>
      <c r="W196" s="51">
        <f t="shared" ref="W196:X196" si="565">SUM(W188:W195)</f>
        <v>0</v>
      </c>
      <c r="X196" s="68">
        <f t="shared" si="565"/>
        <v>0</v>
      </c>
      <c r="Y196" s="52"/>
      <c r="Z196" s="301"/>
      <c r="AA196" s="51">
        <f t="shared" ref="AA196:AB196" si="566">SUM(AA188:AA195)</f>
        <v>0</v>
      </c>
      <c r="AB196" s="68">
        <f t="shared" si="566"/>
        <v>0</v>
      </c>
      <c r="AC196" s="351"/>
      <c r="AD196" s="53"/>
      <c r="AE196" s="51">
        <f t="shared" ref="AE196:AF196" si="567">SUM(AE188:AE195)</f>
        <v>6383.15</v>
      </c>
      <c r="AF196" s="68">
        <f t="shared" si="567"/>
        <v>0</v>
      </c>
      <c r="AG196" s="53"/>
      <c r="AH196" s="301"/>
      <c r="AI196" s="183">
        <f t="shared" ref="AI196:AJ196" si="568">SUM(AI188:AI195)</f>
        <v>449.4</v>
      </c>
      <c r="AJ196" s="51">
        <f t="shared" si="568"/>
        <v>0</v>
      </c>
      <c r="AK196" s="53"/>
      <c r="AL196" s="53"/>
      <c r="AM196" s="183">
        <f t="shared" ref="AM196:AN196" si="569">SUM(AM188:AM195)</f>
        <v>85.6</v>
      </c>
      <c r="AN196" s="51">
        <f t="shared" si="569"/>
        <v>1632.55</v>
      </c>
      <c r="AO196" s="52"/>
      <c r="AP196" s="53"/>
      <c r="AQ196" s="183">
        <f t="shared" ref="AQ196:AR196" si="570">SUM(AQ188:AQ195)</f>
        <v>42.8</v>
      </c>
      <c r="AR196" s="51">
        <f t="shared" si="570"/>
        <v>5260.25</v>
      </c>
      <c r="AS196" s="52"/>
      <c r="AT196" s="53"/>
      <c r="AU196" s="183">
        <f t="shared" ref="AU196:AV196" si="571">SUM(AU188:AU195)</f>
        <v>0</v>
      </c>
      <c r="AV196" s="68">
        <f t="shared" si="571"/>
        <v>68.15</v>
      </c>
      <c r="AW196" s="52"/>
      <c r="AX196" s="53"/>
      <c r="AY196" s="183">
        <f t="shared" ref="AY196:AZ196" si="572">SUM(AY188:AY195)</f>
        <v>0</v>
      </c>
      <c r="AZ196" s="68">
        <f t="shared" si="572"/>
        <v>0</v>
      </c>
      <c r="BA196" s="52"/>
      <c r="BB196" s="53"/>
      <c r="BC196" s="183">
        <f t="shared" ref="BC196:BD196" si="573">SUM(BC188:BC195)</f>
        <v>0</v>
      </c>
      <c r="BD196" s="68">
        <f t="shared" si="573"/>
        <v>0</v>
      </c>
      <c r="BE196" s="69"/>
      <c r="BF196" s="70">
        <f t="shared" ref="BF196:BH196" si="574">SUM(BF188:BF195)</f>
        <v>6960.95</v>
      </c>
      <c r="BG196" s="71">
        <f t="shared" si="574"/>
        <v>6960.95</v>
      </c>
      <c r="BH196" s="72">
        <f t="shared" si="574"/>
        <v>0</v>
      </c>
      <c r="BI196" s="34">
        <f>H196+BF196-BG196</f>
        <v>0</v>
      </c>
      <c r="BJ196" s="34">
        <f>BH196-BI196</f>
        <v>0</v>
      </c>
      <c r="BK196" s="2" t="b">
        <f>H196='2021'!BH196</f>
        <v>1</v>
      </c>
    </row>
    <row r="197" ht="15.75" customHeight="1" spans="1:63" x14ac:dyDescent="0.25">
      <c r="A197" s="2">
        <v>21</v>
      </c>
      <c r="B197" s="14"/>
      <c r="C197" s="15"/>
      <c r="D197" s="43" t="s">
        <v>547</v>
      </c>
      <c r="E197" s="15"/>
      <c r="F197" s="13"/>
      <c r="G197" s="28"/>
      <c r="H197" s="34">
        <f>'2021'!BH197</f>
        <v>-0.1</v>
      </c>
      <c r="I197" s="61"/>
      <c r="J197" s="60"/>
      <c r="K197" s="60"/>
      <c r="L197" s="63"/>
      <c r="M197" s="61"/>
      <c r="N197" s="60"/>
      <c r="O197" s="60"/>
      <c r="P197" s="62"/>
      <c r="Q197" s="61"/>
      <c r="R197" s="60"/>
      <c r="S197" s="62"/>
      <c r="T197" s="63"/>
      <c r="U197" s="61"/>
      <c r="V197" s="60"/>
      <c r="W197" s="153"/>
      <c r="X197" s="34"/>
      <c r="Y197" s="61"/>
      <c r="Z197" s="303"/>
      <c r="AA197" s="154">
        <v>248.5</v>
      </c>
      <c r="AB197" s="63"/>
      <c r="AC197" s="352"/>
      <c r="AD197" s="60"/>
      <c r="AE197" s="62"/>
      <c r="AF197" s="353">
        <v>248.4</v>
      </c>
      <c r="AG197" s="60"/>
      <c r="AH197" s="303"/>
      <c r="AI197" s="45"/>
      <c r="AJ197" s="62"/>
      <c r="AK197" s="60"/>
      <c r="AL197" s="60"/>
      <c r="AM197" s="45"/>
      <c r="AN197" s="15"/>
      <c r="AO197" s="61"/>
      <c r="AP197" s="60"/>
      <c r="AQ197" s="45"/>
      <c r="AR197" s="15"/>
      <c r="AS197" s="61"/>
      <c r="AT197" s="60"/>
      <c r="AU197" s="45"/>
      <c r="AV197" s="15"/>
      <c r="AW197" s="61"/>
      <c r="AX197" s="60"/>
      <c r="AY197" s="45"/>
      <c r="AZ197" s="28"/>
      <c r="BA197" s="61"/>
      <c r="BB197" s="15"/>
      <c r="BC197" s="45"/>
      <c r="BD197" s="28"/>
      <c r="BE197" s="65"/>
      <c r="BF197" s="41">
        <f t="shared" ref="BF197:BG197" si="575">K197+O197+S197+W197+AA197+AE197+AI197+AM197+AQ197+AU197+AY197+BC197</f>
        <v>248.5</v>
      </c>
      <c r="BG197" s="34">
        <f t="shared" si="575"/>
        <v>248.4</v>
      </c>
      <c r="BH197" s="35">
        <f t="shared" ref="BH197:BH204" si="576">H197+BF197-BG197</f>
        <v>0</v>
      </c>
      <c r="BK197" s="2" t="b">
        <f>H197='2021'!BH197</f>
        <v>1</v>
      </c>
    </row>
    <row r="198" ht="15.75" customHeight="1" spans="1:63" x14ac:dyDescent="0.25">
      <c r="A198" s="147">
        <v>21</v>
      </c>
      <c r="B198" s="14">
        <v>3.96</v>
      </c>
      <c r="C198" s="15" t="s">
        <v>120</v>
      </c>
      <c r="D198" s="14" t="s">
        <v>44</v>
      </c>
      <c r="E198" s="2" t="s">
        <v>45</v>
      </c>
      <c r="F198" s="41">
        <v>2.5</v>
      </c>
      <c r="G198" s="35">
        <v>2.6</v>
      </c>
      <c r="H198" s="34">
        <f>'2021'!BH198</f>
        <v>40.3</v>
      </c>
      <c r="I198" s="13">
        <v>2745</v>
      </c>
      <c r="J198" s="15">
        <f>I198-'2021'!BA198</f>
        <v>19</v>
      </c>
      <c r="K198" s="34">
        <f>J198*$F$8</f>
        <v>51.3</v>
      </c>
      <c r="L198" s="28">
        <v>100</v>
      </c>
      <c r="M198" s="13">
        <v>2765</v>
      </c>
      <c r="N198" s="15">
        <f t="shared" ref="N198:N199" si="577">M198-I198</f>
        <v>20</v>
      </c>
      <c r="O198" s="34">
        <f>N198*$F$8</f>
        <v>54</v>
      </c>
      <c r="P198" s="1"/>
      <c r="Q198" s="13">
        <v>2781</v>
      </c>
      <c r="R198" s="15">
        <f t="shared" ref="R198:R199" si="578">Q198-M198</f>
        <v>16</v>
      </c>
      <c r="S198" s="34">
        <f>R198*$F$8</f>
        <v>43.2</v>
      </c>
      <c r="T198" s="38">
        <v>150</v>
      </c>
      <c r="U198" s="13">
        <v>2822</v>
      </c>
      <c r="V198" s="15">
        <f t="shared" ref="V198:V199" si="579">U198-Q198</f>
        <v>41</v>
      </c>
      <c r="W198" s="34">
        <f>V198*$F$8</f>
        <v>110.7</v>
      </c>
      <c r="X198" s="34"/>
      <c r="Y198" s="13">
        <v>2925</v>
      </c>
      <c r="Z198" s="2">
        <f t="shared" ref="Z198:Z199" si="580">Y198-U198</f>
        <v>103</v>
      </c>
      <c r="AA198" s="34">
        <f>Z198*$F$8</f>
        <v>278.1</v>
      </c>
      <c r="AB198" s="32">
        <f>60.22+268</f>
        <v>328.22</v>
      </c>
      <c r="AC198" s="348">
        <v>3038</v>
      </c>
      <c r="AD198" s="15">
        <f t="shared" ref="AD198:AD199" si="581">AC198-Y198</f>
        <v>113</v>
      </c>
      <c r="AE198" s="180">
        <f>AD198*$F$8</f>
        <v>305.1</v>
      </c>
      <c r="AF198" s="248">
        <v>1.6</v>
      </c>
      <c r="AG198" s="15">
        <v>3124</v>
      </c>
      <c r="AH198" s="2">
        <f>(AG198-AC198)*AH5</f>
        <v>90.816</v>
      </c>
      <c r="AI198" s="45">
        <f>AH198*$G$8</f>
        <v>223.40736</v>
      </c>
      <c r="AJ198" s="248">
        <v>303</v>
      </c>
      <c r="AK198" s="15">
        <v>3191</v>
      </c>
      <c r="AL198" s="15">
        <f>(AK198-AG198)*AL5</f>
        <v>68.876</v>
      </c>
      <c r="AM198" s="45">
        <f>AL198*$G$8</f>
        <v>169.43496</v>
      </c>
      <c r="AN198" s="1">
        <f>224+169</f>
        <v>393</v>
      </c>
      <c r="AO198" s="13">
        <v>3253</v>
      </c>
      <c r="AP198" s="15">
        <f>(AO198-AK198)*AP5</f>
        <v>64.046</v>
      </c>
      <c r="AQ198" s="45">
        <f>AP198*$G$8</f>
        <v>157.55316</v>
      </c>
      <c r="AR198" s="39">
        <v>158</v>
      </c>
      <c r="AS198" s="13">
        <v>3302</v>
      </c>
      <c r="AT198" s="15">
        <f>(AS198-AO198)*AT5</f>
        <v>51.45</v>
      </c>
      <c r="AU198" s="45">
        <f t="shared" ref="AU198:AU199" si="582">AT198*$G$8</f>
        <v>126.567</v>
      </c>
      <c r="AV198" s="39"/>
      <c r="AW198" s="13"/>
      <c r="AX198" s="15">
        <f>(AW198-AS198)*AX5</f>
        <v>0</v>
      </c>
      <c r="AY198" s="45">
        <f>AX198*$G$8</f>
        <v>0</v>
      </c>
      <c r="AZ198" s="246"/>
      <c r="BA198" s="13"/>
      <c r="BB198" s="15"/>
      <c r="BC198" s="45">
        <f>BB198*$G$8</f>
        <v>0</v>
      </c>
      <c r="BD198" s="246"/>
      <c r="BE198" s="40">
        <f t="shared" ref="BE198:BG198" si="583">J198+N198+R198+V198+Z198+AD198+AH198+AL198+AP198+AT198+AX198+BB198</f>
        <v>587.188</v>
      </c>
      <c r="BF198" s="41">
        <f t="shared" si="583"/>
        <v>1519.36248</v>
      </c>
      <c r="BG198" s="34">
        <f t="shared" si="583"/>
        <v>1433.82</v>
      </c>
      <c r="BH198" s="35">
        <f t="shared" si="576"/>
        <v>125.84248</v>
      </c>
      <c r="BK198" s="2" t="b">
        <f>H198='2021'!BH198</f>
        <v>1</v>
      </c>
    </row>
    <row r="199" ht="15.75" customHeight="1" spans="1:63" x14ac:dyDescent="0.25">
      <c r="A199" s="2">
        <v>21</v>
      </c>
      <c r="B199" s="14"/>
      <c r="C199" s="15" t="s">
        <v>121</v>
      </c>
      <c r="D199" s="14" t="s">
        <v>47</v>
      </c>
      <c r="E199" s="2" t="s">
        <v>48</v>
      </c>
      <c r="F199" s="13">
        <v>18.56</v>
      </c>
      <c r="G199" s="35">
        <v>19.46</v>
      </c>
      <c r="H199" s="34">
        <f>'2021'!BH199</f>
        <v>39.78</v>
      </c>
      <c r="I199" s="13">
        <v>60</v>
      </c>
      <c r="J199" s="15"/>
      <c r="K199" s="15"/>
      <c r="L199" s="28"/>
      <c r="M199" s="13">
        <v>60</v>
      </c>
      <c r="N199" s="15">
        <f t="shared" si="577"/>
        <v>0</v>
      </c>
      <c r="Q199" s="13">
        <v>60</v>
      </c>
      <c r="R199" s="15">
        <f t="shared" si="578"/>
        <v>0</v>
      </c>
      <c r="S199" s="15"/>
      <c r="T199" s="28"/>
      <c r="U199" s="13">
        <v>60</v>
      </c>
      <c r="V199" s="15">
        <f t="shared" si="579"/>
        <v>0</v>
      </c>
      <c r="W199" s="180">
        <f>V199*$F$10</f>
        <v>0</v>
      </c>
      <c r="Y199" s="13">
        <v>60</v>
      </c>
      <c r="Z199" s="2">
        <f t="shared" si="580"/>
        <v>0</v>
      </c>
      <c r="AA199" s="34">
        <f>Z199*$F$10</f>
        <v>0</v>
      </c>
      <c r="AB199" s="32">
        <v>39.78</v>
      </c>
      <c r="AC199" s="348">
        <v>63</v>
      </c>
      <c r="AD199" s="15">
        <f t="shared" si="581"/>
        <v>3</v>
      </c>
      <c r="AE199" s="34">
        <f>AD199*$F$10</f>
        <v>61.05</v>
      </c>
      <c r="AF199" s="1"/>
      <c r="AG199" s="15">
        <v>65</v>
      </c>
      <c r="AH199" s="2">
        <f>AG199-AC199</f>
        <v>2</v>
      </c>
      <c r="AI199" s="45">
        <f>AH199*$G$10</f>
        <v>42.8</v>
      </c>
      <c r="AJ199" s="1">
        <v>62</v>
      </c>
      <c r="AK199" s="15">
        <v>67</v>
      </c>
      <c r="AL199" s="15">
        <f>AK199-AG199</f>
        <v>2</v>
      </c>
      <c r="AM199" s="45">
        <f>AL199*$G$10</f>
        <v>42.8</v>
      </c>
      <c r="AN199" s="15">
        <v>42</v>
      </c>
      <c r="AO199" s="13">
        <v>69</v>
      </c>
      <c r="AP199" s="15">
        <f>AO199-AK199</f>
        <v>2</v>
      </c>
      <c r="AQ199" s="45">
        <f>AP199*$G$10</f>
        <v>42.8</v>
      </c>
      <c r="AR199" s="39">
        <v>45</v>
      </c>
      <c r="AS199" s="13">
        <v>69</v>
      </c>
      <c r="AT199" s="15">
        <f>AS199-AO199</f>
        <v>0</v>
      </c>
      <c r="AU199" s="45">
        <f t="shared" si="582"/>
        <v>0</v>
      </c>
      <c r="AV199" s="15">
        <v>40</v>
      </c>
      <c r="AW199" s="13"/>
      <c r="AX199" s="15">
        <f>AW199-AS199</f>
        <v>-69</v>
      </c>
      <c r="AY199" s="45"/>
      <c r="AZ199" s="208"/>
      <c r="BA199" s="13"/>
      <c r="BB199" s="15"/>
      <c r="BC199" s="45"/>
      <c r="BD199" s="208"/>
      <c r="BE199" s="40">
        <f t="shared" ref="BE199:BG199" si="584">J199+N199+R199+V199+Z199+AD199+AH199+AL199+AP199+AT199+AX199+BB199</f>
        <v>-60</v>
      </c>
      <c r="BF199" s="41">
        <f t="shared" si="584"/>
        <v>189.45</v>
      </c>
      <c r="BG199" s="34">
        <f t="shared" si="584"/>
        <v>228.78</v>
      </c>
      <c r="BH199" s="35">
        <f t="shared" si="576"/>
        <v>0.45</v>
      </c>
      <c r="BK199" s="2" t="b">
        <f>H199='2021'!BH199</f>
        <v>1</v>
      </c>
    </row>
    <row r="200" ht="15.75" customHeight="1" spans="1:63" x14ac:dyDescent="0.25">
      <c r="A200" s="2">
        <v>21</v>
      </c>
      <c r="B200" s="14"/>
      <c r="C200" s="15" t="s">
        <v>122</v>
      </c>
      <c r="D200" s="14" t="s">
        <v>47</v>
      </c>
      <c r="E200" s="2" t="s">
        <v>49</v>
      </c>
      <c r="F200" s="41">
        <v>500</v>
      </c>
      <c r="G200" s="28"/>
      <c r="H200" s="34">
        <f>'2021'!BH200</f>
        <v>0</v>
      </c>
      <c r="I200" s="13"/>
      <c r="J200" s="15"/>
      <c r="K200" s="15"/>
      <c r="L200" s="28"/>
      <c r="M200" s="13"/>
      <c r="N200" s="15"/>
      <c r="Q200" s="13"/>
      <c r="R200" s="15"/>
      <c r="S200" s="15"/>
      <c r="T200" s="28"/>
      <c r="U200" s="13"/>
      <c r="V200" s="15"/>
      <c r="Y200" s="13"/>
      <c r="Z200" s="2"/>
      <c r="AA200" s="15"/>
      <c r="AB200" s="28"/>
      <c r="AC200" s="348"/>
      <c r="AD200" s="15"/>
      <c r="AG200" s="15"/>
      <c r="AH200" s="2"/>
      <c r="AI200" s="45"/>
      <c r="AJ200" s="15"/>
      <c r="AK200" s="15"/>
      <c r="AL200" s="15"/>
      <c r="AM200" s="45"/>
      <c r="AN200" s="15"/>
      <c r="AO200" s="13"/>
      <c r="AP200" s="15"/>
      <c r="AQ200" s="45"/>
      <c r="AR200" s="15"/>
      <c r="AS200" s="13"/>
      <c r="AT200" s="15"/>
      <c r="AU200" s="45"/>
      <c r="AV200" s="15"/>
      <c r="AW200" s="13"/>
      <c r="AX200" s="15"/>
      <c r="AY200" s="45"/>
      <c r="AZ200" s="28"/>
      <c r="BA200" s="13"/>
      <c r="BB200" s="15"/>
      <c r="BC200" s="45"/>
      <c r="BD200" s="28"/>
      <c r="BE200" s="14"/>
      <c r="BF200" s="41">
        <f t="shared" ref="BF200:BG200" si="585">K200+O200+S200+W200+AA200+AE200+AI200+AM200+AQ200+AU200+AY200+BC200</f>
        <v>0</v>
      </c>
      <c r="BG200" s="34">
        <f t="shared" si="585"/>
        <v>0</v>
      </c>
      <c r="BH200" s="35">
        <f t="shared" si="576"/>
        <v>0</v>
      </c>
      <c r="BK200" s="2" t="b">
        <f>H200='2021'!BH200</f>
        <v>1</v>
      </c>
    </row>
    <row r="201" ht="15.75" customHeight="1" spans="1:63" x14ac:dyDescent="0.25">
      <c r="A201" s="2">
        <v>21</v>
      </c>
      <c r="B201" s="14"/>
      <c r="C201" s="15" t="s">
        <v>123</v>
      </c>
      <c r="D201" s="14" t="s">
        <v>50</v>
      </c>
      <c r="E201" s="2" t="s">
        <v>49</v>
      </c>
      <c r="F201" s="41">
        <v>1100</v>
      </c>
      <c r="G201" s="28"/>
      <c r="H201" s="34">
        <f>'2021'!BH201</f>
        <v>0</v>
      </c>
      <c r="I201" s="13"/>
      <c r="J201" s="15"/>
      <c r="K201" s="15"/>
      <c r="L201" s="28"/>
      <c r="M201" s="13"/>
      <c r="N201" s="15"/>
      <c r="Q201" s="13"/>
      <c r="R201" s="15"/>
      <c r="S201" s="15"/>
      <c r="T201" s="28"/>
      <c r="U201" s="13"/>
      <c r="V201" s="15"/>
      <c r="Y201" s="13"/>
      <c r="Z201" s="2"/>
      <c r="AA201" s="15"/>
      <c r="AB201" s="28"/>
      <c r="AC201" s="348"/>
      <c r="AD201" s="15"/>
      <c r="AE201" s="34">
        <f>B198*$F$12</f>
        <v>5148</v>
      </c>
      <c r="AF201" s="34"/>
      <c r="AG201" s="15"/>
      <c r="AH201" s="2"/>
      <c r="AI201" s="45"/>
      <c r="AJ201" s="15"/>
      <c r="AK201" s="15"/>
      <c r="AL201" s="15"/>
      <c r="AM201" s="45"/>
      <c r="AN201" s="39">
        <v>2148</v>
      </c>
      <c r="AO201" s="13"/>
      <c r="AP201" s="15"/>
      <c r="AQ201" s="45"/>
      <c r="AR201" s="1">
        <v>3000</v>
      </c>
      <c r="AS201" s="13"/>
      <c r="AT201" s="15"/>
      <c r="AU201" s="45"/>
      <c r="AV201" s="15"/>
      <c r="AW201" s="13"/>
      <c r="AX201" s="15"/>
      <c r="AY201" s="45"/>
      <c r="AZ201" s="28"/>
      <c r="BA201" s="13"/>
      <c r="BB201" s="15"/>
      <c r="BC201" s="45"/>
      <c r="BD201" s="28"/>
      <c r="BE201" s="14"/>
      <c r="BF201" s="41">
        <f t="shared" ref="BF201:BG201" si="586">K201+O201+S201+W201+AA201+AE201+AI201+AM201+AQ201+AU201+AY201+BC201</f>
        <v>5148</v>
      </c>
      <c r="BG201" s="34">
        <f t="shared" si="586"/>
        <v>5148</v>
      </c>
      <c r="BH201" s="35">
        <f t="shared" si="576"/>
        <v>0</v>
      </c>
      <c r="BK201" s="2" t="b">
        <f>H201='2021'!BH201</f>
        <v>1</v>
      </c>
    </row>
    <row r="202" ht="15.75" customHeight="1" spans="1:63" x14ac:dyDescent="0.25">
      <c r="A202" s="2">
        <v>21</v>
      </c>
      <c r="B202" s="14"/>
      <c r="D202" s="14" t="s">
        <v>51</v>
      </c>
      <c r="E202" s="2" t="s">
        <v>39</v>
      </c>
      <c r="F202" s="41">
        <v>500</v>
      </c>
      <c r="G202" s="28"/>
      <c r="H202" s="34">
        <f>'2021'!BH202</f>
        <v>0</v>
      </c>
      <c r="I202" s="13"/>
      <c r="J202" s="15"/>
      <c r="K202" s="15"/>
      <c r="L202" s="28"/>
      <c r="M202" s="13"/>
      <c r="N202" s="15"/>
      <c r="Q202" s="13"/>
      <c r="R202" s="15"/>
      <c r="S202" s="15"/>
      <c r="T202" s="28"/>
      <c r="U202" s="13"/>
      <c r="V202" s="15"/>
      <c r="X202" s="1"/>
      <c r="Y202" s="13"/>
      <c r="Z202" s="2"/>
      <c r="AA202" s="15"/>
      <c r="AB202" s="28"/>
      <c r="AC202" s="348"/>
      <c r="AD202" s="15"/>
      <c r="AE202" s="180">
        <f>$F$13</f>
        <v>1000</v>
      </c>
      <c r="AF202" s="34"/>
      <c r="AG202" s="15"/>
      <c r="AH202" s="2"/>
      <c r="AI202" s="45"/>
      <c r="AJ202" s="15"/>
      <c r="AK202" s="15"/>
      <c r="AL202" s="15"/>
      <c r="AM202" s="45"/>
      <c r="AN202" s="1">
        <v>1000</v>
      </c>
      <c r="AO202" s="13"/>
      <c r="AP202" s="15"/>
      <c r="AQ202" s="180"/>
      <c r="AR202" s="15"/>
      <c r="AS202" s="13"/>
      <c r="AT202" s="15"/>
      <c r="AU202" s="45"/>
      <c r="AV202" s="15"/>
      <c r="AW202" s="13"/>
      <c r="AX202" s="15"/>
      <c r="AY202" s="45"/>
      <c r="AZ202" s="28"/>
      <c r="BA202" s="13"/>
      <c r="BB202" s="15"/>
      <c r="BC202" s="45"/>
      <c r="BD202" s="28"/>
      <c r="BE202" s="14"/>
      <c r="BF202" s="41">
        <f t="shared" ref="BF202:BG202" si="587">K202+O202+S202+W202+AA202+AE202+AI202+AM202+AQ202+AU202+AY202+BC202</f>
        <v>1000</v>
      </c>
      <c r="BG202" s="34">
        <f t="shared" si="587"/>
        <v>1000</v>
      </c>
      <c r="BH202" s="35">
        <f t="shared" si="576"/>
        <v>0</v>
      </c>
      <c r="BK202" s="2" t="b">
        <f>H202='2021'!BH202</f>
        <v>1</v>
      </c>
    </row>
    <row r="203" ht="15.75" customHeight="1" spans="1:63" x14ac:dyDescent="0.25">
      <c r="A203" s="2">
        <v>21</v>
      </c>
      <c r="B203" s="14"/>
      <c r="D203" s="14" t="s">
        <v>51</v>
      </c>
      <c r="E203" s="2" t="s">
        <v>49</v>
      </c>
      <c r="F203" s="41">
        <v>500</v>
      </c>
      <c r="G203" s="28"/>
      <c r="H203" s="34">
        <f>'2021'!BH203</f>
        <v>0</v>
      </c>
      <c r="I203" s="13"/>
      <c r="J203" s="15"/>
      <c r="K203" s="15"/>
      <c r="L203" s="28"/>
      <c r="M203" s="13"/>
      <c r="N203" s="15"/>
      <c r="Q203" s="13"/>
      <c r="R203" s="15"/>
      <c r="S203" s="15"/>
      <c r="T203" s="28"/>
      <c r="U203" s="13"/>
      <c r="V203" s="15"/>
      <c r="X203" s="1"/>
      <c r="Y203" s="13"/>
      <c r="Z203" s="2"/>
      <c r="AA203" s="15"/>
      <c r="AB203" s="28"/>
      <c r="AC203" s="348"/>
      <c r="AD203" s="15"/>
      <c r="AE203" s="34"/>
      <c r="AF203" s="34"/>
      <c r="AG203" s="15"/>
      <c r="AH203" s="2"/>
      <c r="AI203" s="45"/>
      <c r="AJ203" s="15"/>
      <c r="AK203" s="15"/>
      <c r="AL203" s="15"/>
      <c r="AM203" s="45"/>
      <c r="AN203" s="15"/>
      <c r="AO203" s="13"/>
      <c r="AP203" s="15"/>
      <c r="AQ203" s="180">
        <f>B198*$F$14</f>
        <v>0</v>
      </c>
      <c r="AR203" s="15"/>
      <c r="AS203" s="13"/>
      <c r="AT203" s="15"/>
      <c r="AU203" s="45"/>
      <c r="AV203" s="15"/>
      <c r="AW203" s="13"/>
      <c r="AX203" s="15"/>
      <c r="AY203" s="45"/>
      <c r="AZ203" s="28"/>
      <c r="BA203" s="13"/>
      <c r="BB203" s="15"/>
      <c r="BC203" s="45"/>
      <c r="BD203" s="28"/>
      <c r="BE203" s="14"/>
      <c r="BF203" s="41">
        <f t="shared" ref="BF203:BG203" si="588">K203+O203+S203+W203+AA203+AE203+AI203+AM203+AQ203+AU203+AY203+BC203</f>
        <v>0</v>
      </c>
      <c r="BG203" s="34">
        <f t="shared" si="588"/>
        <v>0</v>
      </c>
      <c r="BH203" s="35">
        <f t="shared" si="576"/>
        <v>0</v>
      </c>
      <c r="BK203" s="2" t="b">
        <f>H203='2021'!BH203</f>
        <v>1</v>
      </c>
    </row>
    <row r="204" ht="15.75" customHeight="1" spans="1:63" x14ac:dyDescent="0.25">
      <c r="A204" s="2">
        <v>21</v>
      </c>
      <c r="B204" s="14"/>
      <c r="D204" s="14" t="s">
        <v>52</v>
      </c>
      <c r="E204" s="2" t="s">
        <v>39</v>
      </c>
      <c r="F204" s="41">
        <v>500</v>
      </c>
      <c r="G204" s="28"/>
      <c r="H204" s="34">
        <f>'2021'!BH204</f>
        <v>0</v>
      </c>
      <c r="I204" s="13"/>
      <c r="J204" s="15"/>
      <c r="K204" s="15"/>
      <c r="L204" s="28"/>
      <c r="M204" s="13"/>
      <c r="N204" s="15"/>
      <c r="Q204" s="13"/>
      <c r="R204" s="15"/>
      <c r="S204" s="15"/>
      <c r="T204" s="28"/>
      <c r="U204" s="13"/>
      <c r="V204" s="15"/>
      <c r="Y204" s="13"/>
      <c r="Z204" s="2"/>
      <c r="AA204" s="84"/>
      <c r="AB204" s="35"/>
      <c r="AC204" s="348"/>
      <c r="AD204" s="15"/>
      <c r="AF204" s="34"/>
      <c r="AG204" s="15"/>
      <c r="AH204" s="2"/>
      <c r="AI204" s="45"/>
      <c r="AJ204" s="15"/>
      <c r="AK204" s="15"/>
      <c r="AL204" s="15"/>
      <c r="AM204" s="45"/>
      <c r="AN204" s="15"/>
      <c r="AO204" s="13"/>
      <c r="AP204" s="15"/>
      <c r="AQ204" s="45"/>
      <c r="AR204" s="15"/>
      <c r="AS204" s="13"/>
      <c r="AT204" s="15"/>
      <c r="AU204" s="45"/>
      <c r="AV204" s="15"/>
      <c r="AW204" s="13"/>
      <c r="AX204" s="15"/>
      <c r="AY204" s="45"/>
      <c r="AZ204" s="35"/>
      <c r="BA204" s="13"/>
      <c r="BB204" s="15"/>
      <c r="BC204" s="45"/>
      <c r="BD204" s="35"/>
      <c r="BE204" s="14"/>
      <c r="BF204" s="41">
        <f t="shared" ref="BF204:BG204" si="589">K204+O204+S204+W204+AA204+AE204+AI204+AM204+AQ204+AU204+AY204+BC204</f>
        <v>0</v>
      </c>
      <c r="BG204" s="34">
        <f t="shared" si="589"/>
        <v>0</v>
      </c>
      <c r="BH204" s="35">
        <f t="shared" si="576"/>
        <v>0</v>
      </c>
      <c r="BK204" s="2" t="b">
        <f>H204='2021'!BH204</f>
        <v>1</v>
      </c>
    </row>
    <row r="205" ht="15.75" customHeight="1" spans="1:63" x14ac:dyDescent="0.25">
      <c r="A205" s="247">
        <v>21</v>
      </c>
      <c r="B205" s="21"/>
      <c r="C205" s="22" t="s">
        <v>53</v>
      </c>
      <c r="D205" s="21"/>
      <c r="E205" s="22"/>
      <c r="F205" s="20"/>
      <c r="G205" s="23"/>
      <c r="H205" s="51">
        <f>SUM(H197:H204)</f>
        <v>79.98</v>
      </c>
      <c r="I205" s="52"/>
      <c r="J205" s="53"/>
      <c r="K205" s="51">
        <f t="shared" ref="K205:L205" si="590">SUM(K197:K204)</f>
        <v>51.3</v>
      </c>
      <c r="L205" s="68">
        <f t="shared" si="590"/>
        <v>100</v>
      </c>
      <c r="M205" s="52"/>
      <c r="N205" s="53"/>
      <c r="O205" s="51">
        <f t="shared" ref="O205:P205" si="591">SUM(O197:O204)</f>
        <v>54</v>
      </c>
      <c r="P205" s="68">
        <f t="shared" si="591"/>
        <v>0</v>
      </c>
      <c r="Q205" s="52"/>
      <c r="R205" s="53"/>
      <c r="S205" s="51">
        <f t="shared" ref="S205:T205" si="592">SUM(S197:S204)</f>
        <v>43.2</v>
      </c>
      <c r="T205" s="68">
        <f t="shared" si="592"/>
        <v>150</v>
      </c>
      <c r="U205" s="52"/>
      <c r="V205" s="53"/>
      <c r="W205" s="51">
        <f t="shared" ref="W205:X205" si="593">SUM(W197:W204)</f>
        <v>110.7</v>
      </c>
      <c r="X205" s="68">
        <f t="shared" si="593"/>
        <v>0</v>
      </c>
      <c r="Y205" s="52"/>
      <c r="Z205" s="301"/>
      <c r="AA205" s="51">
        <f t="shared" ref="AA205:AB205" si="594">SUM(AA197:AA204)</f>
        <v>526.6</v>
      </c>
      <c r="AB205" s="68">
        <f t="shared" si="594"/>
        <v>368</v>
      </c>
      <c r="AC205" s="351"/>
      <c r="AD205" s="53"/>
      <c r="AE205" s="51">
        <f t="shared" ref="AE205:AF205" si="595">SUM(AE197:AE204)</f>
        <v>6514.15</v>
      </c>
      <c r="AF205" s="68">
        <f t="shared" si="595"/>
        <v>250</v>
      </c>
      <c r="AG205" s="53"/>
      <c r="AH205" s="301"/>
      <c r="AI205" s="183">
        <f t="shared" ref="AI205:AJ205" si="596">SUM(AI197:AI204)</f>
        <v>266.20736</v>
      </c>
      <c r="AJ205" s="51">
        <f t="shared" si="596"/>
        <v>365</v>
      </c>
      <c r="AK205" s="53"/>
      <c r="AL205" s="53"/>
      <c r="AM205" s="183">
        <f t="shared" ref="AM205:AN205" si="597">SUM(AM197:AM204)</f>
        <v>212.23496</v>
      </c>
      <c r="AN205" s="51">
        <f t="shared" si="597"/>
        <v>3583</v>
      </c>
      <c r="AO205" s="52"/>
      <c r="AP205" s="53"/>
      <c r="AQ205" s="183">
        <f t="shared" ref="AQ205:AR205" si="598">SUM(AQ197:AQ204)</f>
        <v>200.35316</v>
      </c>
      <c r="AR205" s="51">
        <f t="shared" si="598"/>
        <v>3203</v>
      </c>
      <c r="AS205" s="52"/>
      <c r="AT205" s="53"/>
      <c r="AU205" s="183">
        <f t="shared" ref="AU205:AV205" si="599">SUM(AU197:AU204)</f>
        <v>126.567</v>
      </c>
      <c r="AV205" s="68">
        <f t="shared" si="599"/>
        <v>40</v>
      </c>
      <c r="AW205" s="52"/>
      <c r="AX205" s="53"/>
      <c r="AY205" s="183">
        <f t="shared" ref="AY205:AZ205" si="600">SUM(AY197:AY204)</f>
        <v>0</v>
      </c>
      <c r="AZ205" s="68">
        <f t="shared" si="600"/>
        <v>0</v>
      </c>
      <c r="BA205" s="52"/>
      <c r="BB205" s="53"/>
      <c r="BC205" s="183">
        <f t="shared" ref="BC205:BD205" si="601">SUM(BC197:BC204)</f>
        <v>0</v>
      </c>
      <c r="BD205" s="68">
        <f t="shared" si="601"/>
        <v>0</v>
      </c>
      <c r="BE205" s="69"/>
      <c r="BF205" s="70">
        <f t="shared" ref="BF205:BH205" si="602">SUM(BF197:BF204)</f>
        <v>8105.31248</v>
      </c>
      <c r="BG205" s="71">
        <f t="shared" si="602"/>
        <v>8059</v>
      </c>
      <c r="BH205" s="72">
        <f t="shared" si="602"/>
        <v>126.29248</v>
      </c>
      <c r="BI205" s="34">
        <f>H205+BF205-BG205</f>
        <v>126.29248</v>
      </c>
      <c r="BJ205" s="34">
        <f>BH205-BI205</f>
        <v>0</v>
      </c>
      <c r="BK205" s="2" t="b">
        <f>H205='2021'!BH205</f>
        <v>1</v>
      </c>
    </row>
    <row r="206" ht="15.75" customHeight="1" spans="1:63" x14ac:dyDescent="0.25">
      <c r="A206" s="2">
        <v>23</v>
      </c>
      <c r="B206" s="14"/>
      <c r="D206" s="14" t="s">
        <v>379</v>
      </c>
      <c r="F206" s="13"/>
      <c r="G206" s="28"/>
      <c r="H206" s="34">
        <f>'2021'!BH206</f>
        <v>0</v>
      </c>
      <c r="I206" s="13"/>
      <c r="J206" s="15"/>
      <c r="K206" s="15"/>
      <c r="L206" s="28"/>
      <c r="M206" s="13"/>
      <c r="N206" s="15"/>
      <c r="Q206" s="13"/>
      <c r="R206" s="15"/>
      <c r="S206" s="15"/>
      <c r="T206" s="28"/>
      <c r="U206" s="13"/>
      <c r="V206" s="15"/>
      <c r="Y206" s="13"/>
      <c r="Z206" s="2"/>
      <c r="AA206" s="15"/>
      <c r="AB206" s="28"/>
      <c r="AC206" s="348"/>
      <c r="AD206" s="15"/>
      <c r="AG206" s="15"/>
      <c r="AH206" s="2"/>
      <c r="AI206" s="45"/>
      <c r="AJ206" s="15"/>
      <c r="AK206" s="15"/>
      <c r="AM206" s="45"/>
      <c r="AO206" s="13"/>
      <c r="AQ206" s="45"/>
      <c r="AS206" s="13"/>
      <c r="AU206" s="45"/>
      <c r="AW206" s="13"/>
      <c r="AY206" s="45"/>
      <c r="AZ206" s="28"/>
      <c r="BA206" s="13"/>
      <c r="BB206" s="15"/>
      <c r="BC206" s="45"/>
      <c r="BD206" s="28"/>
      <c r="BE206" s="14"/>
      <c r="BF206" s="41">
        <f t="shared" ref="BF206:BG206" si="603">K206+O206+S206+W206+AA206+AE206+AI206+AM206+AQ206+AU206+AY206+BC206</f>
        <v>0</v>
      </c>
      <c r="BG206" s="34">
        <f t="shared" si="603"/>
        <v>0</v>
      </c>
      <c r="BH206" s="35">
        <f t="shared" ref="BH206:BH213" si="604">H206+BF206-BG206</f>
        <v>0</v>
      </c>
      <c r="BK206" s="2" t="b">
        <f>H206='2021'!BH206</f>
        <v>1</v>
      </c>
    </row>
    <row r="207" ht="15.75" customHeight="1" spans="1:63" x14ac:dyDescent="0.25">
      <c r="A207" s="2">
        <v>23</v>
      </c>
      <c r="B207" s="14">
        <v>3.98</v>
      </c>
      <c r="C207" s="2" t="s">
        <v>124</v>
      </c>
      <c r="D207" s="14" t="s">
        <v>44</v>
      </c>
      <c r="E207" s="2" t="s">
        <v>45</v>
      </c>
      <c r="F207" s="41">
        <v>2.5</v>
      </c>
      <c r="G207" s="35">
        <v>2.6</v>
      </c>
      <c r="H207" s="34">
        <f>'2021'!BH207</f>
        <v>2319.28</v>
      </c>
      <c r="I207" s="13">
        <v>7944</v>
      </c>
      <c r="J207" s="15">
        <f>I207-'2021'!BA207</f>
        <v>0</v>
      </c>
      <c r="K207" s="34">
        <f>J207*$F$8</f>
        <v>0</v>
      </c>
      <c r="L207" s="28"/>
      <c r="M207" s="13">
        <v>7944</v>
      </c>
      <c r="N207" s="15">
        <f t="shared" ref="N207:N208" si="605">M207-I207</f>
        <v>0</v>
      </c>
      <c r="O207" s="34">
        <f>N207*$F$8</f>
        <v>0</v>
      </c>
      <c r="P207" s="34"/>
      <c r="Q207" s="13">
        <v>7944</v>
      </c>
      <c r="R207" s="15">
        <f t="shared" ref="R207:R208" si="606">Q207-M207</f>
        <v>0</v>
      </c>
      <c r="S207" s="34">
        <f>R207*$F$8</f>
        <v>0</v>
      </c>
      <c r="T207" s="28"/>
      <c r="U207" s="13">
        <v>7944</v>
      </c>
      <c r="V207" s="15">
        <f t="shared" ref="V207:V208" si="607">U207-Q207</f>
        <v>0</v>
      </c>
      <c r="W207" s="34">
        <f>V207*$F$8</f>
        <v>0</v>
      </c>
      <c r="Y207" s="13">
        <v>8551</v>
      </c>
      <c r="Z207" s="2">
        <f>Y207-U207</f>
        <v>607</v>
      </c>
      <c r="AA207" s="34">
        <f>Z207*$F$8</f>
        <v>1638.9</v>
      </c>
      <c r="AB207" s="38">
        <v>2500</v>
      </c>
      <c r="AC207" s="348">
        <v>8930</v>
      </c>
      <c r="AD207" s="15">
        <f t="shared" ref="AD207:AD208" si="608">AC207-Y207</f>
        <v>379</v>
      </c>
      <c r="AE207" s="180">
        <f>AD207*$F$8</f>
        <v>1023.3</v>
      </c>
      <c r="AF207" s="317"/>
      <c r="AG207" s="15">
        <v>9098</v>
      </c>
      <c r="AH207" s="2">
        <f>(AG207-AC207)*AH5</f>
        <v>177.408</v>
      </c>
      <c r="AI207" s="45">
        <f>AH207*$G$8</f>
        <v>436.42368</v>
      </c>
      <c r="AJ207" s="248">
        <f>2000+500</f>
        <v>2500</v>
      </c>
      <c r="AK207" s="15">
        <v>9340</v>
      </c>
      <c r="AL207" s="15">
        <f>(AK207-AG207)*AL5</f>
        <v>248.776</v>
      </c>
      <c r="AM207" s="45">
        <f>AL207*$G$8</f>
        <v>611.98896</v>
      </c>
      <c r="AN207" s="1">
        <v>420</v>
      </c>
      <c r="AO207" s="13">
        <v>10074</v>
      </c>
      <c r="AP207" s="15">
        <f>(AO207-AK207)*AP5</f>
        <v>758.222</v>
      </c>
      <c r="AQ207" s="45">
        <f>AP207*$G$8</f>
        <v>1865.22612</v>
      </c>
      <c r="AR207" s="1">
        <v>1000</v>
      </c>
      <c r="AS207" s="13">
        <v>10372</v>
      </c>
      <c r="AT207" s="15">
        <f>(AS207-AO207)*AT5</f>
        <v>312.9</v>
      </c>
      <c r="AU207" s="45">
        <f>AT207*$G$8</f>
        <v>769.734</v>
      </c>
      <c r="AV207" s="15">
        <v>2000</v>
      </c>
      <c r="AW207" s="13"/>
      <c r="AX207" s="15">
        <f>(AW207-AS207)*AX5</f>
        <v>0</v>
      </c>
      <c r="AY207" s="45">
        <f>AX207*$G$8</f>
        <v>0</v>
      </c>
      <c r="AZ207" s="208"/>
      <c r="BA207" s="13"/>
      <c r="BB207" s="15"/>
      <c r="BC207" s="45">
        <f>BB207*$G$8</f>
        <v>0</v>
      </c>
      <c r="BD207" s="208"/>
      <c r="BE207" s="40">
        <f t="shared" ref="BE207:BG207" si="609">J207+N207+R207+V207+Z207+AD207+AH207+AL207+AP207+AT207+AX207+BB207</f>
        <v>2483.306</v>
      </c>
      <c r="BF207" s="41">
        <f t="shared" si="609"/>
        <v>6345.57276</v>
      </c>
      <c r="BG207" s="34">
        <f t="shared" si="609"/>
        <v>8420</v>
      </c>
      <c r="BH207" s="35">
        <f t="shared" si="604"/>
        <v>244.85276</v>
      </c>
      <c r="BK207" s="2" t="b">
        <f>H207='2021'!BH207</f>
        <v>1</v>
      </c>
    </row>
    <row r="208" ht="15.75" customHeight="1" spans="1:63" x14ac:dyDescent="0.25">
      <c r="A208" s="2">
        <v>23</v>
      </c>
      <c r="B208" s="14"/>
      <c r="C208" s="2" t="s">
        <v>93</v>
      </c>
      <c r="D208" s="14" t="s">
        <v>47</v>
      </c>
      <c r="E208" s="2" t="s">
        <v>48</v>
      </c>
      <c r="F208" s="13">
        <v>18.56</v>
      </c>
      <c r="G208" s="35">
        <v>19.46</v>
      </c>
      <c r="H208" s="34">
        <f>'2021'!BH208</f>
        <v>161.86</v>
      </c>
      <c r="I208" s="13">
        <v>98</v>
      </c>
      <c r="J208" s="15"/>
      <c r="K208" s="15"/>
      <c r="L208" s="28"/>
      <c r="M208" s="13">
        <v>98</v>
      </c>
      <c r="N208" s="15">
        <f t="shared" si="605"/>
        <v>0</v>
      </c>
      <c r="Q208" s="13">
        <v>98</v>
      </c>
      <c r="R208" s="15">
        <f t="shared" si="606"/>
        <v>0</v>
      </c>
      <c r="S208" s="15"/>
      <c r="T208" s="28"/>
      <c r="U208" s="13">
        <v>98</v>
      </c>
      <c r="V208" s="15">
        <f t="shared" si="607"/>
        <v>0</v>
      </c>
      <c r="W208" s="180">
        <f>V208*$F$10</f>
        <v>0</v>
      </c>
      <c r="Y208" s="13">
        <v>0</v>
      </c>
      <c r="Z208" s="2">
        <v>0</v>
      </c>
      <c r="AA208" s="34">
        <f>Z208*$F$10</f>
        <v>0</v>
      </c>
      <c r="AB208" s="28"/>
      <c r="AC208" s="348">
        <v>9</v>
      </c>
      <c r="AD208" s="15">
        <f t="shared" si="608"/>
        <v>9</v>
      </c>
      <c r="AE208" s="34">
        <f>AD208*$F$10</f>
        <v>183.15</v>
      </c>
      <c r="AF208" s="317"/>
      <c r="AG208" s="15">
        <v>12</v>
      </c>
      <c r="AH208" s="2">
        <f>AG208-AC208</f>
        <v>3</v>
      </c>
      <c r="AI208" s="45">
        <f>AH208*$G$10</f>
        <v>64.2</v>
      </c>
      <c r="AJ208" s="248">
        <v>426</v>
      </c>
      <c r="AK208" s="15">
        <v>20</v>
      </c>
      <c r="AL208" s="15">
        <f>AK208-AG208</f>
        <v>8</v>
      </c>
      <c r="AM208" s="45">
        <f>AL208*$G$10</f>
        <v>171.2</v>
      </c>
      <c r="AN208" s="15"/>
      <c r="AO208" s="13">
        <v>22</v>
      </c>
      <c r="AP208" s="15">
        <f>AO208-AK208</f>
        <v>2</v>
      </c>
      <c r="AQ208" s="45">
        <f>AP208*$G$10</f>
        <v>42.8</v>
      </c>
      <c r="AR208" s="15"/>
      <c r="AS208" s="13">
        <v>22</v>
      </c>
      <c r="AT208" s="15">
        <f>AS208-AO208</f>
        <v>0</v>
      </c>
      <c r="AU208" s="45">
        <f>AT208*$G$10</f>
        <v>0</v>
      </c>
      <c r="AV208" s="15"/>
      <c r="AW208" s="13"/>
      <c r="AX208" s="15">
        <f>AW208-AS208</f>
        <v>-22</v>
      </c>
      <c r="AY208" s="45"/>
      <c r="AZ208" s="208"/>
      <c r="BA208" s="13"/>
      <c r="BB208" s="15"/>
      <c r="BC208" s="45"/>
      <c r="BD208" s="208"/>
      <c r="BE208" s="40">
        <f t="shared" ref="BE208:BG208" si="610">J208+N208+R208+V208+Z208+AD208+AH208+AL208+AP208+AT208+AX208+BB208</f>
        <v>0</v>
      </c>
      <c r="BF208" s="41">
        <f t="shared" si="610"/>
        <v>461.35</v>
      </c>
      <c r="BG208" s="34">
        <f t="shared" si="610"/>
        <v>426</v>
      </c>
      <c r="BH208" s="35">
        <f t="shared" si="604"/>
        <v>197.21</v>
      </c>
      <c r="BK208" s="2" t="b">
        <f>H208='2021'!BH208</f>
        <v>1</v>
      </c>
    </row>
    <row r="209" ht="15.75" customHeight="1" spans="1:63" x14ac:dyDescent="0.25">
      <c r="A209" s="2">
        <v>23</v>
      </c>
      <c r="B209" s="14"/>
      <c r="C209" s="2" t="s">
        <v>125</v>
      </c>
      <c r="D209" s="14" t="s">
        <v>47</v>
      </c>
      <c r="E209" s="2" t="s">
        <v>49</v>
      </c>
      <c r="F209" s="41">
        <v>500</v>
      </c>
      <c r="G209" s="28"/>
      <c r="H209" s="34">
        <f>'2021'!BH209</f>
        <v>0</v>
      </c>
      <c r="I209" s="13"/>
      <c r="J209" s="15"/>
      <c r="K209" s="15"/>
      <c r="L209" s="28"/>
      <c r="M209" s="13"/>
      <c r="N209" s="15"/>
      <c r="Q209" s="13"/>
      <c r="R209" s="15"/>
      <c r="S209" s="15"/>
      <c r="T209" s="28"/>
      <c r="U209" s="13"/>
      <c r="V209" s="15"/>
      <c r="Y209" s="13"/>
      <c r="Z209" s="2"/>
      <c r="AA209" s="15"/>
      <c r="AB209" s="28"/>
      <c r="AC209" s="348"/>
      <c r="AD209" s="15"/>
      <c r="AG209" s="15"/>
      <c r="AH209" s="2"/>
      <c r="AI209" s="45"/>
      <c r="AJ209" s="1"/>
      <c r="AK209" s="15"/>
      <c r="AL209" s="15"/>
      <c r="AM209" s="45"/>
      <c r="AN209" s="15"/>
      <c r="AO209" s="13"/>
      <c r="AP209" s="15"/>
      <c r="AQ209" s="45"/>
      <c r="AR209" s="15"/>
      <c r="AS209" s="13"/>
      <c r="AT209" s="15"/>
      <c r="AU209" s="45"/>
      <c r="AV209" s="15"/>
      <c r="AW209" s="13"/>
      <c r="AX209" s="15"/>
      <c r="AY209" s="45"/>
      <c r="AZ209" s="28"/>
      <c r="BA209" s="13"/>
      <c r="BB209" s="15"/>
      <c r="BC209" s="45"/>
      <c r="BD209" s="28"/>
      <c r="BE209" s="14"/>
      <c r="BF209" s="41">
        <f t="shared" ref="BF209:BG209" si="611">K209+O209+S209+W209+AA209+AE209+AI209+AM209+AQ209+AU209+AY209+BC209</f>
        <v>0</v>
      </c>
      <c r="BG209" s="34">
        <f t="shared" si="611"/>
        <v>0</v>
      </c>
      <c r="BH209" s="35">
        <f t="shared" si="604"/>
        <v>0</v>
      </c>
      <c r="BK209" s="2" t="b">
        <f>H209='2021'!BH209</f>
        <v>1</v>
      </c>
    </row>
    <row r="210" ht="15.75" customHeight="1" spans="1:63" x14ac:dyDescent="0.25">
      <c r="A210" s="2">
        <v>23</v>
      </c>
      <c r="B210" s="14"/>
      <c r="C210" s="15" t="s">
        <v>126</v>
      </c>
      <c r="D210" s="14" t="s">
        <v>50</v>
      </c>
      <c r="E210" s="2" t="s">
        <v>49</v>
      </c>
      <c r="F210" s="41">
        <v>1100</v>
      </c>
      <c r="G210" s="28"/>
      <c r="H210" s="34">
        <f>'2021'!BH210</f>
        <v>0</v>
      </c>
      <c r="I210" s="13"/>
      <c r="J210" s="15"/>
      <c r="K210" s="15"/>
      <c r="L210" s="28"/>
      <c r="M210" s="13"/>
      <c r="N210" s="15"/>
      <c r="Q210" s="13"/>
      <c r="R210" s="15"/>
      <c r="S210" s="15"/>
      <c r="T210" s="28"/>
      <c r="U210" s="13"/>
      <c r="V210" s="15"/>
      <c r="Y210" s="13"/>
      <c r="Z210" s="2"/>
      <c r="AA210" s="15"/>
      <c r="AB210" s="28"/>
      <c r="AC210" s="348"/>
      <c r="AD210" s="15"/>
      <c r="AE210" s="34">
        <f>B207*$F$12</f>
        <v>5174</v>
      </c>
      <c r="AF210" s="180"/>
      <c r="AG210" s="15"/>
      <c r="AH210" s="2"/>
      <c r="AI210" s="45"/>
      <c r="AJ210" s="317">
        <v>5174</v>
      </c>
      <c r="AK210" s="15"/>
      <c r="AL210" s="15"/>
      <c r="AM210" s="45"/>
      <c r="AN210" s="15"/>
      <c r="AO210" s="13"/>
      <c r="AP210" s="15"/>
      <c r="AQ210" s="45"/>
      <c r="AR210" s="15"/>
      <c r="AS210" s="13"/>
      <c r="AT210" s="15"/>
      <c r="AU210" s="45"/>
      <c r="AV210" s="15"/>
      <c r="AW210" s="13"/>
      <c r="AX210" s="15"/>
      <c r="AY210" s="45"/>
      <c r="AZ210" s="28"/>
      <c r="BA210" s="13"/>
      <c r="BB210" s="15"/>
      <c r="BC210" s="45"/>
      <c r="BD210" s="28"/>
      <c r="BE210" s="14"/>
      <c r="BF210" s="41">
        <f t="shared" ref="BF210:BG210" si="612">K210+O210+S210+W210+AA210+AE210+AI210+AM210+AQ210+AU210+AY210+BC210</f>
        <v>5174</v>
      </c>
      <c r="BG210" s="34">
        <f t="shared" si="612"/>
        <v>5174</v>
      </c>
      <c r="BH210" s="35">
        <f t="shared" si="604"/>
        <v>0</v>
      </c>
      <c r="BK210" s="2" t="b">
        <f>H210='2021'!BH210</f>
        <v>1</v>
      </c>
    </row>
    <row r="211" ht="15.75" customHeight="1" spans="1:63" x14ac:dyDescent="0.25">
      <c r="A211" s="2">
        <v>23</v>
      </c>
      <c r="B211" s="14"/>
      <c r="D211" s="14" t="s">
        <v>51</v>
      </c>
      <c r="E211" s="2" t="s">
        <v>39</v>
      </c>
      <c r="F211" s="41">
        <v>500</v>
      </c>
      <c r="G211" s="28"/>
      <c r="H211" s="34">
        <f>'2021'!BH211</f>
        <v>0</v>
      </c>
      <c r="I211" s="13"/>
      <c r="J211" s="15"/>
      <c r="K211" s="15"/>
      <c r="L211" s="28"/>
      <c r="M211" s="13"/>
      <c r="N211" s="15"/>
      <c r="Q211" s="13"/>
      <c r="R211" s="15"/>
      <c r="S211" s="15"/>
      <c r="T211" s="28"/>
      <c r="U211" s="13"/>
      <c r="V211" s="15"/>
      <c r="Y211" s="13"/>
      <c r="Z211" s="2"/>
      <c r="AA211" s="15"/>
      <c r="AB211" s="32"/>
      <c r="AC211" s="348"/>
      <c r="AD211" s="15"/>
      <c r="AE211" s="180">
        <f>$F$13</f>
        <v>1000</v>
      </c>
      <c r="AF211" s="34"/>
      <c r="AG211" s="15"/>
      <c r="AH211" s="2"/>
      <c r="AI211" s="45"/>
      <c r="AJ211" s="1">
        <v>1000</v>
      </c>
      <c r="AK211" s="15"/>
      <c r="AL211" s="15"/>
      <c r="AM211" s="45"/>
      <c r="AN211" s="15"/>
      <c r="AO211" s="13"/>
      <c r="AP211" s="15"/>
      <c r="AQ211" s="180"/>
      <c r="AR211" s="15"/>
      <c r="AS211" s="13"/>
      <c r="AT211" s="15"/>
      <c r="AU211" s="45"/>
      <c r="AV211" s="15"/>
      <c r="AW211" s="13"/>
      <c r="AX211" s="15"/>
      <c r="AY211" s="45"/>
      <c r="AZ211" s="28"/>
      <c r="BA211" s="13"/>
      <c r="BB211" s="15"/>
      <c r="BC211" s="45"/>
      <c r="BD211" s="28"/>
      <c r="BE211" s="14"/>
      <c r="BF211" s="41">
        <f t="shared" ref="BF211:BG211" si="613">K211+O211+S211+W211+AA211+AE211+AI211+AM211+AQ211+AU211+AY211+BC211</f>
        <v>1000</v>
      </c>
      <c r="BG211" s="34">
        <f t="shared" si="613"/>
        <v>1000</v>
      </c>
      <c r="BH211" s="35">
        <f t="shared" si="604"/>
        <v>0</v>
      </c>
      <c r="BK211" s="2" t="b">
        <f>H211='2021'!BH211</f>
        <v>1</v>
      </c>
    </row>
    <row r="212" ht="15.75" customHeight="1" spans="1:63" x14ac:dyDescent="0.25">
      <c r="A212" s="2">
        <v>23</v>
      </c>
      <c r="B212" s="14"/>
      <c r="D212" s="14" t="s">
        <v>51</v>
      </c>
      <c r="E212" s="2" t="s">
        <v>49</v>
      </c>
      <c r="F212" s="41">
        <v>500</v>
      </c>
      <c r="G212" s="28"/>
      <c r="H212" s="34">
        <f>'2021'!BH212</f>
        <v>0</v>
      </c>
      <c r="I212" s="13"/>
      <c r="J212" s="15"/>
      <c r="K212" s="15"/>
      <c r="L212" s="28"/>
      <c r="M212" s="13"/>
      <c r="N212" s="15"/>
      <c r="Q212" s="13"/>
      <c r="R212" s="15"/>
      <c r="S212" s="15"/>
      <c r="T212" s="28"/>
      <c r="U212" s="13"/>
      <c r="V212" s="15"/>
      <c r="Y212" s="13"/>
      <c r="Z212" s="2"/>
      <c r="AA212" s="15"/>
      <c r="AB212" s="32"/>
      <c r="AC212" s="348"/>
      <c r="AD212" s="15"/>
      <c r="AE212" s="34"/>
      <c r="AF212" s="34"/>
      <c r="AG212" s="15"/>
      <c r="AH212" s="2"/>
      <c r="AI212" s="45"/>
      <c r="AJ212" s="15"/>
      <c r="AK212" s="15"/>
      <c r="AL212" s="15"/>
      <c r="AM212" s="45"/>
      <c r="AN212" s="15"/>
      <c r="AO212" s="13"/>
      <c r="AP212" s="15"/>
      <c r="AQ212" s="180">
        <f>B207*$F$14</f>
        <v>0</v>
      </c>
      <c r="AR212" s="15"/>
      <c r="AS212" s="13"/>
      <c r="AT212" s="15"/>
      <c r="AU212" s="45"/>
      <c r="AV212" s="15"/>
      <c r="AW212" s="13"/>
      <c r="AX212" s="15"/>
      <c r="AY212" s="45"/>
      <c r="AZ212" s="28"/>
      <c r="BA212" s="13"/>
      <c r="BB212" s="15"/>
      <c r="BC212" s="45"/>
      <c r="BD212" s="28"/>
      <c r="BE212" s="14"/>
      <c r="BF212" s="41">
        <f t="shared" ref="BF212:BG212" si="614">K212+O212+S212+W212+AA212+AE212+AI212+AM212+AQ212+AU212+AY212+BC212</f>
        <v>0</v>
      </c>
      <c r="BG212" s="34">
        <f t="shared" si="614"/>
        <v>0</v>
      </c>
      <c r="BH212" s="35">
        <f t="shared" si="604"/>
        <v>0</v>
      </c>
      <c r="BK212" s="2" t="b">
        <f>H212='2021'!BH212</f>
        <v>1</v>
      </c>
    </row>
    <row r="213" ht="15.75" customHeight="1" spans="1:63" x14ac:dyDescent="0.25">
      <c r="A213" s="2">
        <v>23</v>
      </c>
      <c r="B213" s="14"/>
      <c r="D213" s="14" t="s">
        <v>52</v>
      </c>
      <c r="E213" s="2" t="s">
        <v>39</v>
      </c>
      <c r="F213" s="41">
        <v>500</v>
      </c>
      <c r="G213" s="28"/>
      <c r="H213" s="34">
        <f>'2021'!BH213</f>
        <v>0</v>
      </c>
      <c r="I213" s="13"/>
      <c r="J213" s="15"/>
      <c r="K213" s="15"/>
      <c r="L213" s="28"/>
      <c r="M213" s="13"/>
      <c r="N213" s="15"/>
      <c r="Q213" s="13"/>
      <c r="R213" s="15"/>
      <c r="S213" s="15"/>
      <c r="T213" s="28"/>
      <c r="U213" s="13"/>
      <c r="V213" s="15"/>
      <c r="Y213" s="13"/>
      <c r="Z213" s="2"/>
      <c r="AA213" s="34">
        <f>$F$15</f>
      </c>
      <c r="AB213" s="35"/>
      <c r="AC213" s="348"/>
      <c r="AD213" s="15"/>
      <c r="AF213" s="180"/>
      <c r="AG213" s="15"/>
      <c r="AH213" s="2"/>
      <c r="AI213" s="45"/>
      <c r="AJ213" s="15"/>
      <c r="AK213" s="15"/>
      <c r="AL213" s="15"/>
      <c r="AM213" s="45"/>
      <c r="AN213" s="15"/>
      <c r="AO213" s="13"/>
      <c r="AP213" s="15"/>
      <c r="AQ213" s="45"/>
      <c r="AR213" s="15"/>
      <c r="AS213" s="13"/>
      <c r="AT213" s="15"/>
      <c r="AU213" s="45"/>
      <c r="AV213" s="15"/>
      <c r="AW213" s="13"/>
      <c r="AX213" s="15"/>
      <c r="AY213" s="45"/>
      <c r="AZ213" s="35"/>
      <c r="BA213" s="13"/>
      <c r="BB213" s="15"/>
      <c r="BC213" s="45"/>
      <c r="BD213" s="35"/>
      <c r="BE213" s="14"/>
      <c r="BF213" s="41">
        <f t="shared" ref="BF213:BG213" si="615">K213+O213+S213+W213+AA213+AE213+AI213+AM213+AQ213+AU213+AY213+BC213</f>
        <v>0</v>
      </c>
      <c r="BG213" s="34">
        <f t="shared" si="615"/>
        <v>0</v>
      </c>
      <c r="BH213" s="35">
        <f t="shared" si="604"/>
        <v>0</v>
      </c>
      <c r="BK213" s="2" t="b">
        <f>H213='2021'!BH213</f>
        <v>1</v>
      </c>
    </row>
    <row r="214" ht="15.75" customHeight="1" spans="1:63" x14ac:dyDescent="0.25">
      <c r="A214" s="247">
        <v>23</v>
      </c>
      <c r="B214" s="21"/>
      <c r="C214" s="22" t="s">
        <v>53</v>
      </c>
      <c r="D214" s="21"/>
      <c r="E214" s="22"/>
      <c r="F214" s="20"/>
      <c r="G214" s="23"/>
      <c r="H214" s="51">
        <f>SUM(H206:H213)</f>
        <v>2481.14</v>
      </c>
      <c r="I214" s="52"/>
      <c r="J214" s="53"/>
      <c r="K214" s="51">
        <f t="shared" ref="K214:L214" si="616">SUM(K206:K213)</f>
        <v>0</v>
      </c>
      <c r="L214" s="68">
        <f t="shared" si="616"/>
        <v>0</v>
      </c>
      <c r="M214" s="52"/>
      <c r="N214" s="53"/>
      <c r="O214" s="51">
        <f t="shared" ref="O214:P214" si="617">SUM(O206:O213)</f>
        <v>0</v>
      </c>
      <c r="P214" s="68">
        <f t="shared" si="617"/>
        <v>0</v>
      </c>
      <c r="Q214" s="52"/>
      <c r="R214" s="53"/>
      <c r="S214" s="51">
        <f t="shared" ref="S214:T214" si="618">SUM(S206:S213)</f>
        <v>0</v>
      </c>
      <c r="T214" s="68">
        <f t="shared" si="618"/>
        <v>0</v>
      </c>
      <c r="U214" s="52"/>
      <c r="V214" s="53"/>
      <c r="W214" s="51">
        <f t="shared" ref="W214:X214" si="619">SUM(W206:W213)</f>
        <v>0</v>
      </c>
      <c r="X214" s="68">
        <f t="shared" si="619"/>
        <v>0</v>
      </c>
      <c r="Y214" s="52"/>
      <c r="Z214" s="301"/>
      <c r="AA214" s="51">
        <f t="shared" ref="AA214:AB214" si="620">SUM(AA206:AA213)</f>
        <v>1638.9</v>
      </c>
      <c r="AB214" s="68">
        <f t="shared" si="620"/>
        <v>2500</v>
      </c>
      <c r="AC214" s="351"/>
      <c r="AD214" s="53"/>
      <c r="AE214" s="51">
        <f t="shared" ref="AE214:AF214" si="621">SUM(AE206:AE213)</f>
        <v>7380.45</v>
      </c>
      <c r="AF214" s="68">
        <f t="shared" si="621"/>
        <v>0</v>
      </c>
      <c r="AG214" s="53"/>
      <c r="AH214" s="301"/>
      <c r="AI214" s="183">
        <f t="shared" ref="AI214:AJ214" si="622">SUM(AI206:AI213)</f>
        <v>500.62368</v>
      </c>
      <c r="AJ214" s="51">
        <f t="shared" si="622"/>
        <v>9100</v>
      </c>
      <c r="AK214" s="53"/>
      <c r="AL214" s="53"/>
      <c r="AM214" s="183">
        <f t="shared" ref="AM214:AN214" si="623">SUM(AM206:AM213)</f>
        <v>783.18896</v>
      </c>
      <c r="AN214" s="51">
        <f t="shared" si="623"/>
        <v>420</v>
      </c>
      <c r="AO214" s="52"/>
      <c r="AP214" s="53"/>
      <c r="AQ214" s="183">
        <f t="shared" ref="AQ214:AR214" si="624">SUM(AQ206:AQ213)</f>
        <v>1908.02612</v>
      </c>
      <c r="AR214" s="51">
        <f t="shared" si="624"/>
        <v>1000</v>
      </c>
      <c r="AS214" s="52"/>
      <c r="AT214" s="53"/>
      <c r="AU214" s="183">
        <f t="shared" ref="AU214:AV214" si="625">SUM(AU206:AU213)</f>
        <v>769.734</v>
      </c>
      <c r="AV214" s="68">
        <f t="shared" si="625"/>
        <v>2000</v>
      </c>
      <c r="AW214" s="52"/>
      <c r="AX214" s="53"/>
      <c r="AY214" s="183">
        <f t="shared" ref="AY214:AZ214" si="626">SUM(AY206:AY213)</f>
        <v>0</v>
      </c>
      <c r="AZ214" s="68">
        <f t="shared" si="626"/>
        <v>0</v>
      </c>
      <c r="BA214" s="52"/>
      <c r="BB214" s="53"/>
      <c r="BC214" s="183">
        <f t="shared" ref="BC214:BD214" si="627">SUM(BC206:BC213)</f>
        <v>0</v>
      </c>
      <c r="BD214" s="68">
        <f t="shared" si="627"/>
        <v>0</v>
      </c>
      <c r="BE214" s="69"/>
      <c r="BF214" s="70">
        <f t="shared" ref="BF214:BH214" si="628">SUM(BF206:BF213)</f>
        <v>12980.92276</v>
      </c>
      <c r="BG214" s="71">
        <f t="shared" si="628"/>
        <v>15020</v>
      </c>
      <c r="BH214" s="72">
        <f t="shared" si="628"/>
        <v>442.06276</v>
      </c>
      <c r="BI214" s="34">
        <f>H214+BF214-BG214</f>
        <v>442.06276</v>
      </c>
      <c r="BJ214" s="34">
        <f>BH214-BI214</f>
        <v>0</v>
      </c>
      <c r="BK214" s="2" t="b">
        <f>H214='2021'!BH214</f>
        <v>1</v>
      </c>
    </row>
    <row r="215" ht="15.75" customHeight="1" spans="1:63" x14ac:dyDescent="0.25">
      <c r="A215" s="2">
        <v>24</v>
      </c>
      <c r="B215" s="14"/>
      <c r="D215" s="14" t="s">
        <v>379</v>
      </c>
      <c r="F215" s="13"/>
      <c r="G215" s="28"/>
      <c r="H215" s="34">
        <f>'2021'!BH215</f>
        <v>0</v>
      </c>
      <c r="I215" s="13"/>
      <c r="J215" s="15"/>
      <c r="K215" s="15"/>
      <c r="L215" s="28"/>
      <c r="M215" s="13"/>
      <c r="N215" s="15"/>
      <c r="Q215" s="13"/>
      <c r="R215" s="15"/>
      <c r="S215" s="15"/>
      <c r="T215" s="28"/>
      <c r="U215" s="13"/>
      <c r="V215" s="15"/>
      <c r="Y215" s="13"/>
      <c r="Z215" s="2"/>
      <c r="AA215" s="15"/>
      <c r="AB215" s="28"/>
      <c r="AC215" s="348"/>
      <c r="AD215" s="15"/>
      <c r="AG215" s="15"/>
      <c r="AH215" s="2"/>
      <c r="AI215" s="45"/>
      <c r="AJ215" s="15"/>
      <c r="AK215" s="15"/>
      <c r="AM215" s="45"/>
      <c r="AO215" s="13"/>
      <c r="AQ215" s="45"/>
      <c r="AR215" s="1"/>
      <c r="AS215" s="13"/>
      <c r="AU215" s="45"/>
      <c r="AW215" s="13"/>
      <c r="AY215" s="45"/>
      <c r="AZ215" s="28"/>
      <c r="BA215" s="13"/>
      <c r="BB215" s="15"/>
      <c r="BC215" s="45"/>
      <c r="BD215" s="28"/>
      <c r="BE215" s="14"/>
      <c r="BF215" s="41">
        <f t="shared" ref="BF215:BG215" si="629">K215+O215+S215+W215+AA215+AE215+AI215+AM215+AQ215+AU215+AY215+BC215</f>
        <v>0</v>
      </c>
      <c r="BG215" s="34">
        <f t="shared" si="629"/>
        <v>0</v>
      </c>
      <c r="BH215" s="35">
        <f t="shared" ref="BH215:BH222" si="630">H215+BF215-BG215</f>
        <v>0</v>
      </c>
      <c r="BK215" s="2" t="b">
        <f>H215='2021'!BH215</f>
        <v>1</v>
      </c>
    </row>
    <row r="216" ht="15.75" customHeight="1" spans="1:63" x14ac:dyDescent="0.25">
      <c r="A216" s="2">
        <v>24</v>
      </c>
      <c r="B216" s="14">
        <v>4.01</v>
      </c>
      <c r="C216" s="2" t="s">
        <v>127</v>
      </c>
      <c r="D216" s="14" t="s">
        <v>44</v>
      </c>
      <c r="E216" s="2" t="s">
        <v>45</v>
      </c>
      <c r="F216" s="41">
        <v>2.5</v>
      </c>
      <c r="G216" s="35">
        <v>2.6</v>
      </c>
      <c r="H216" s="34">
        <f>'2021'!BH216</f>
        <v>0</v>
      </c>
      <c r="I216" s="13">
        <v>774</v>
      </c>
      <c r="J216" s="15">
        <f>I216-'2021'!BA216</f>
        <v>0</v>
      </c>
      <c r="K216" s="34">
        <f>J216*$F$8</f>
        <v>0</v>
      </c>
      <c r="L216" s="28"/>
      <c r="M216" s="13">
        <v>774</v>
      </c>
      <c r="N216" s="15">
        <f t="shared" ref="N216:N217" si="631">M216-I216</f>
        <v>0</v>
      </c>
      <c r="O216" s="34">
        <f>N216*$F$8</f>
        <v>0</v>
      </c>
      <c r="Q216" s="13">
        <v>774</v>
      </c>
      <c r="R216" s="15">
        <f t="shared" ref="R216:R217" si="632">Q216-M216</f>
        <v>0</v>
      </c>
      <c r="S216" s="34">
        <f>R216*$F$8</f>
        <v>0</v>
      </c>
      <c r="T216" s="28"/>
      <c r="U216" s="13">
        <v>774</v>
      </c>
      <c r="V216" s="15">
        <f t="shared" ref="V216:V217" si="633">U216-Q216</f>
        <v>0</v>
      </c>
      <c r="W216" s="34">
        <f>V216*$F$8</f>
        <v>0</v>
      </c>
      <c r="Y216" s="13">
        <v>918</v>
      </c>
      <c r="Z216" s="2">
        <f t="shared" ref="Z216:Z217" si="634">Y216-U216</f>
        <v>144</v>
      </c>
      <c r="AA216" s="34">
        <f>Z216*$F$8</f>
        <v>388.8</v>
      </c>
      <c r="AB216" s="32"/>
      <c r="AC216" s="348">
        <v>1104</v>
      </c>
      <c r="AD216" s="15">
        <f t="shared" ref="AD216:AD217" si="635">AC216-Y216</f>
        <v>186</v>
      </c>
      <c r="AE216" s="180">
        <f>AD216*$F$8</f>
        <v>502.2</v>
      </c>
      <c r="AF216" s="1">
        <v>388.8</v>
      </c>
      <c r="AG216" s="15">
        <v>1217</v>
      </c>
      <c r="AH216" s="2">
        <f>(AG216-AC216)*AH5</f>
        <v>119.328</v>
      </c>
      <c r="AI216" s="45">
        <f>AH216*$G$8</f>
        <v>293.54688</v>
      </c>
      <c r="AJ216" s="248">
        <v>502.2</v>
      </c>
      <c r="AK216" s="15">
        <v>1336</v>
      </c>
      <c r="AL216" s="15">
        <f>(AK216-AG216)*AL5</f>
        <v>122.332</v>
      </c>
      <c r="AM216" s="45">
        <f>AL216*$G$8</f>
        <v>300.93672</v>
      </c>
      <c r="AN216" s="39">
        <v>293.55</v>
      </c>
      <c r="AO216" s="13">
        <v>1365</v>
      </c>
      <c r="AP216" s="15">
        <f>(AO216-AK216)*AP5</f>
        <v>29.957</v>
      </c>
      <c r="AQ216" s="45">
        <f>AP216*$G$8</f>
        <v>73.69422</v>
      </c>
      <c r="AR216" s="39"/>
      <c r="AS216" s="13">
        <v>1367</v>
      </c>
      <c r="AT216" s="15">
        <f>(AS216-AO216)*AT5</f>
        <v>2.1</v>
      </c>
      <c r="AU216" s="45">
        <f>AT216*$G$8</f>
        <v>5.166</v>
      </c>
      <c r="AV216" s="15">
        <v>374.63</v>
      </c>
      <c r="AW216" s="13"/>
      <c r="AX216" s="15">
        <f>(AW216-AS216)*AX5</f>
        <v>0</v>
      </c>
      <c r="AY216" s="45">
        <f>AX216*$G$8</f>
        <v>0</v>
      </c>
      <c r="AZ216" s="246"/>
      <c r="BA216" s="13"/>
      <c r="BB216" s="15"/>
      <c r="BC216" s="45">
        <f>BB216*$G$8</f>
        <v>0</v>
      </c>
      <c r="BD216" s="208"/>
      <c r="BE216" s="40">
        <f t="shared" ref="BE216:BG216" si="636">J216+N216+R216+V216+Z216+AD216+AH216+AL216+AP216+AT216+AX216+BB216</f>
        <v>603.717</v>
      </c>
      <c r="BF216" s="41">
        <f t="shared" si="636"/>
        <v>1564.34382</v>
      </c>
      <c r="BG216" s="34">
        <f t="shared" si="636"/>
        <v>1559.18</v>
      </c>
      <c r="BH216" s="35">
        <f t="shared" si="630"/>
        <v>5.16382</v>
      </c>
      <c r="BK216" s="2" t="b">
        <f>H216='2021'!BH216</f>
        <v>1</v>
      </c>
    </row>
    <row r="217" ht="15.75" customHeight="1" spans="1:63" x14ac:dyDescent="0.25">
      <c r="A217" s="2">
        <v>24</v>
      </c>
      <c r="B217" s="14"/>
      <c r="C217" s="2" t="s">
        <v>128</v>
      </c>
      <c r="D217" s="14" t="s">
        <v>47</v>
      </c>
      <c r="E217" s="2" t="s">
        <v>48</v>
      </c>
      <c r="F217" s="13">
        <v>18.56</v>
      </c>
      <c r="G217" s="35">
        <v>19.46</v>
      </c>
      <c r="H217" s="34">
        <f>'2021'!BH217</f>
        <v>0</v>
      </c>
      <c r="I217" s="13">
        <v>113</v>
      </c>
      <c r="J217" s="15"/>
      <c r="K217" s="15"/>
      <c r="L217" s="28"/>
      <c r="M217" s="13">
        <v>113</v>
      </c>
      <c r="N217" s="15">
        <f t="shared" si="631"/>
        <v>0</v>
      </c>
      <c r="Q217" s="13">
        <v>113</v>
      </c>
      <c r="R217" s="15">
        <f t="shared" si="632"/>
        <v>0</v>
      </c>
      <c r="S217" s="15"/>
      <c r="T217" s="28"/>
      <c r="U217" s="13">
        <v>113</v>
      </c>
      <c r="V217" s="15">
        <f t="shared" si="633"/>
        <v>0</v>
      </c>
      <c r="W217" s="34">
        <f>V217*$F$10</f>
        <v>0</v>
      </c>
      <c r="Y217" s="13">
        <v>116</v>
      </c>
      <c r="Z217" s="2">
        <f t="shared" si="634"/>
        <v>3</v>
      </c>
      <c r="AA217" s="34">
        <f>Z217*$F$10</f>
        <v>61.05</v>
      </c>
      <c r="AB217" s="28"/>
      <c r="AC217" s="348">
        <v>125</v>
      </c>
      <c r="AD217" s="15">
        <f t="shared" si="635"/>
        <v>9</v>
      </c>
      <c r="AE217" s="34">
        <f>AD217*$F$10</f>
        <v>183.15</v>
      </c>
      <c r="AF217" s="39">
        <v>61.05</v>
      </c>
      <c r="AG217" s="15">
        <v>131</v>
      </c>
      <c r="AH217" s="2">
        <f>AG217-AC217</f>
        <v>6</v>
      </c>
      <c r="AI217" s="45">
        <f>AH217*$G$10</f>
        <v>128.4</v>
      </c>
      <c r="AJ217" s="248">
        <v>183.15</v>
      </c>
      <c r="AK217" s="15">
        <v>136</v>
      </c>
      <c r="AL217" s="15">
        <f>AK217-AG217</f>
        <v>5</v>
      </c>
      <c r="AM217" s="45">
        <f>AL217*$G$10</f>
        <v>107</v>
      </c>
      <c r="AN217" s="1">
        <v>128.4</v>
      </c>
      <c r="AO217" s="13">
        <v>141</v>
      </c>
      <c r="AP217" s="15">
        <f>AO217-AK217</f>
        <v>5</v>
      </c>
      <c r="AQ217" s="45">
        <f>AP217*$G$10</f>
        <v>107</v>
      </c>
      <c r="AR217" s="39"/>
      <c r="AS217" s="13">
        <v>141</v>
      </c>
      <c r="AT217" s="15">
        <f>AS217-AO217</f>
        <v>0</v>
      </c>
      <c r="AU217" s="45">
        <f>AT217*$G$10</f>
        <v>0</v>
      </c>
      <c r="AV217" s="15">
        <v>214</v>
      </c>
      <c r="AW217" s="13"/>
      <c r="AX217" s="15">
        <f>AW217-AS217</f>
        <v>-141</v>
      </c>
      <c r="AY217" s="45"/>
      <c r="AZ217" s="208"/>
      <c r="BA217" s="13"/>
      <c r="BB217" s="15"/>
      <c r="BC217" s="45"/>
      <c r="BD217" s="208"/>
      <c r="BE217" s="40">
        <f t="shared" ref="BE217:BG217" si="637">J217+N217+R217+V217+Z217+AD217+AH217+AL217+AP217+AT217+AX217+BB217</f>
        <v>-113</v>
      </c>
      <c r="BF217" s="41">
        <f t="shared" si="637"/>
        <v>586.6</v>
      </c>
      <c r="BG217" s="34">
        <f t="shared" si="637"/>
        <v>586.6</v>
      </c>
      <c r="BH217" s="35">
        <f t="shared" si="630"/>
        <v>0</v>
      </c>
      <c r="BK217" s="2" t="b">
        <f>H217='2021'!BH217</f>
        <v>1</v>
      </c>
    </row>
    <row r="218" ht="15.75" customHeight="1" spans="1:63" x14ac:dyDescent="0.25">
      <c r="A218" s="2">
        <v>24</v>
      </c>
      <c r="B218" s="14"/>
      <c r="C218" s="2" t="s">
        <v>129</v>
      </c>
      <c r="D218" s="14" t="s">
        <v>47</v>
      </c>
      <c r="E218" s="2" t="s">
        <v>49</v>
      </c>
      <c r="F218" s="41">
        <v>500</v>
      </c>
      <c r="G218" s="28"/>
      <c r="H218" s="34">
        <f>'2021'!BH218</f>
        <v>0</v>
      </c>
      <c r="I218" s="13"/>
      <c r="J218" s="15"/>
      <c r="K218" s="15"/>
      <c r="L218" s="28"/>
      <c r="M218" s="13"/>
      <c r="N218" s="15"/>
      <c r="Q218" s="13"/>
      <c r="R218" s="15"/>
      <c r="S218" s="15"/>
      <c r="T218" s="28"/>
      <c r="U218" s="13"/>
      <c r="V218" s="15"/>
      <c r="Y218" s="13"/>
      <c r="Z218" s="2"/>
      <c r="AA218" s="15"/>
      <c r="AB218" s="28"/>
      <c r="AC218" s="348"/>
      <c r="AD218" s="15"/>
      <c r="AG218" s="15"/>
      <c r="AH218" s="2"/>
      <c r="AI218" s="45"/>
      <c r="AJ218" s="1"/>
      <c r="AK218" s="15"/>
      <c r="AL218" s="15"/>
      <c r="AM218" s="45"/>
      <c r="AN218" s="15"/>
      <c r="AO218" s="13"/>
      <c r="AP218" s="15"/>
      <c r="AQ218" s="45"/>
      <c r="AR218" s="15"/>
      <c r="AS218" s="13"/>
      <c r="AT218" s="15"/>
      <c r="AU218" s="45"/>
      <c r="AV218" s="15"/>
      <c r="AW218" s="13"/>
      <c r="AX218" s="15"/>
      <c r="AY218" s="45"/>
      <c r="AZ218" s="32"/>
      <c r="BA218" s="13"/>
      <c r="BB218" s="15"/>
      <c r="BC218" s="45"/>
      <c r="BD218" s="28"/>
      <c r="BE218" s="14"/>
      <c r="BF218" s="41">
        <f t="shared" ref="BF218:BG218" si="638">K218+O218+S218+W218+AA218+AE218+AI218+AM218+AQ218+AU218+AY218+BC218</f>
        <v>0</v>
      </c>
      <c r="BG218" s="34">
        <f t="shared" si="638"/>
        <v>0</v>
      </c>
      <c r="BH218" s="35">
        <f t="shared" si="630"/>
        <v>0</v>
      </c>
      <c r="BK218" s="2" t="b">
        <f>H218='2021'!BH218</f>
        <v>1</v>
      </c>
    </row>
    <row r="219" ht="15.75" customHeight="1" spans="1:63" x14ac:dyDescent="0.25">
      <c r="A219" s="2">
        <v>24</v>
      </c>
      <c r="B219" s="14"/>
      <c r="C219" s="2" t="s">
        <v>393</v>
      </c>
      <c r="D219" s="14" t="s">
        <v>50</v>
      </c>
      <c r="E219" s="2" t="s">
        <v>49</v>
      </c>
      <c r="F219" s="41">
        <v>1100</v>
      </c>
      <c r="G219" s="28"/>
      <c r="H219" s="34">
        <f>'2021'!BH219</f>
        <v>0</v>
      </c>
      <c r="I219" s="13"/>
      <c r="J219" s="15"/>
      <c r="K219" s="15"/>
      <c r="L219" s="28"/>
      <c r="M219" s="13"/>
      <c r="N219" s="15"/>
      <c r="Q219" s="13"/>
      <c r="R219" s="15"/>
      <c r="S219" s="15"/>
      <c r="T219" s="28"/>
      <c r="U219" s="13"/>
      <c r="V219" s="15"/>
      <c r="Y219" s="13"/>
      <c r="Z219" s="2"/>
      <c r="AA219" s="15"/>
      <c r="AB219" s="35"/>
      <c r="AC219" s="348"/>
      <c r="AD219" s="15"/>
      <c r="AE219" s="34">
        <f>B216*$F$12</f>
        <v>5213</v>
      </c>
      <c r="AF219" s="180"/>
      <c r="AG219" s="15"/>
      <c r="AH219" s="2"/>
      <c r="AI219" s="45"/>
      <c r="AJ219" s="248">
        <v>5213</v>
      </c>
      <c r="AK219" s="15"/>
      <c r="AL219" s="15"/>
      <c r="AM219" s="45"/>
      <c r="AN219" s="15"/>
      <c r="AO219" s="13"/>
      <c r="AP219" s="15"/>
      <c r="AQ219" s="45"/>
      <c r="AR219" s="15"/>
      <c r="AS219" s="13"/>
      <c r="AT219" s="15"/>
      <c r="AU219" s="45"/>
      <c r="AV219" s="15"/>
      <c r="AW219" s="13"/>
      <c r="AX219" s="15"/>
      <c r="AY219" s="45"/>
      <c r="AZ219" s="32"/>
      <c r="BA219" s="13"/>
      <c r="BB219" s="15"/>
      <c r="BC219" s="45"/>
      <c r="BD219" s="28"/>
      <c r="BE219" s="14"/>
      <c r="BF219" s="41">
        <f t="shared" ref="BF219:BG219" si="639">K219+O219+S219+W219+AA219+AE219+AI219+AM219+AQ219+AU219+AY219+BC219</f>
        <v>5213</v>
      </c>
      <c r="BG219" s="34">
        <f t="shared" si="639"/>
        <v>5213</v>
      </c>
      <c r="BH219" s="35">
        <f t="shared" si="630"/>
        <v>0</v>
      </c>
      <c r="BK219" s="2" t="b">
        <f>H219='2021'!BH219</f>
        <v>1</v>
      </c>
    </row>
    <row r="220" ht="15.75" customHeight="1" spans="1:63" x14ac:dyDescent="0.25">
      <c r="A220" s="2">
        <v>24</v>
      </c>
      <c r="B220" s="14"/>
      <c r="C220" s="73" t="s">
        <v>130</v>
      </c>
      <c r="D220" s="14" t="s">
        <v>51</v>
      </c>
      <c r="E220" s="2" t="s">
        <v>39</v>
      </c>
      <c r="F220" s="41">
        <v>500</v>
      </c>
      <c r="G220" s="28"/>
      <c r="H220" s="34">
        <f>'2021'!BH220</f>
        <v>0</v>
      </c>
      <c r="I220" s="13"/>
      <c r="J220" s="15"/>
      <c r="K220" s="15"/>
      <c r="L220" s="28"/>
      <c r="M220" s="13"/>
      <c r="N220" s="15"/>
      <c r="Q220" s="13"/>
      <c r="R220" s="15"/>
      <c r="S220" s="15"/>
      <c r="T220" s="28"/>
      <c r="U220" s="13"/>
      <c r="V220" s="15"/>
      <c r="Y220" s="13"/>
      <c r="Z220" s="2"/>
      <c r="AA220" s="15"/>
      <c r="AB220" s="28"/>
      <c r="AC220" s="348"/>
      <c r="AD220" s="15"/>
      <c r="AE220" s="180">
        <f>$F$13</f>
        <v>1000</v>
      </c>
      <c r="AF220" s="34"/>
      <c r="AG220" s="15"/>
      <c r="AH220" s="2"/>
      <c r="AI220" s="45"/>
      <c r="AJ220" s="248">
        <v>1000</v>
      </c>
      <c r="AK220" s="15"/>
      <c r="AL220" s="15"/>
      <c r="AM220" s="45"/>
      <c r="AN220" s="15"/>
      <c r="AO220" s="13"/>
      <c r="AP220" s="15"/>
      <c r="AQ220" s="180"/>
      <c r="AR220" s="15"/>
      <c r="AS220" s="13"/>
      <c r="AT220" s="15"/>
      <c r="AU220" s="45"/>
      <c r="AV220" s="15"/>
      <c r="AW220" s="13"/>
      <c r="AX220" s="15"/>
      <c r="AY220" s="45"/>
      <c r="AZ220" s="35"/>
      <c r="BA220" s="13"/>
      <c r="BB220" s="15"/>
      <c r="BC220" s="45"/>
      <c r="BD220" s="28"/>
      <c r="BE220" s="14"/>
      <c r="BF220" s="41">
        <f t="shared" ref="BF220:BG220" si="640">K220+O220+S220+W220+AA220+AE220+AI220+AM220+AQ220+AU220+AY220+BC220</f>
        <v>1000</v>
      </c>
      <c r="BG220" s="34">
        <f t="shared" si="640"/>
        <v>1000</v>
      </c>
      <c r="BH220" s="35">
        <f t="shared" si="630"/>
        <v>0</v>
      </c>
      <c r="BK220" s="2" t="b">
        <f>H220='2021'!BH220</f>
        <v>1</v>
      </c>
    </row>
    <row r="221" ht="15.75" customHeight="1" spans="1:63" x14ac:dyDescent="0.25">
      <c r="A221" s="2">
        <v>24</v>
      </c>
      <c r="B221" s="14"/>
      <c r="C221" s="73"/>
      <c r="D221" s="14" t="s">
        <v>51</v>
      </c>
      <c r="E221" s="2" t="s">
        <v>49</v>
      </c>
      <c r="F221" s="41">
        <v>500</v>
      </c>
      <c r="G221" s="28"/>
      <c r="H221" s="34">
        <f>'2021'!BH221</f>
        <v>0</v>
      </c>
      <c r="I221" s="13"/>
      <c r="J221" s="15"/>
      <c r="K221" s="15"/>
      <c r="L221" s="28"/>
      <c r="M221" s="13"/>
      <c r="N221" s="15"/>
      <c r="Q221" s="13"/>
      <c r="R221" s="15"/>
      <c r="S221" s="15"/>
      <c r="T221" s="28"/>
      <c r="U221" s="13"/>
      <c r="V221" s="15"/>
      <c r="Y221" s="13"/>
      <c r="Z221" s="2"/>
      <c r="AA221" s="15"/>
      <c r="AB221" s="28"/>
      <c r="AC221" s="348"/>
      <c r="AD221" s="15"/>
      <c r="AE221" s="34"/>
      <c r="AF221" s="34"/>
      <c r="AG221" s="15"/>
      <c r="AH221" s="2"/>
      <c r="AI221" s="45"/>
      <c r="AJ221" s="180"/>
      <c r="AK221" s="15"/>
      <c r="AL221" s="15"/>
      <c r="AM221" s="45"/>
      <c r="AN221" s="15"/>
      <c r="AO221" s="13"/>
      <c r="AP221" s="15"/>
      <c r="AQ221" s="180">
        <f>B216*$F$14</f>
        <v>0</v>
      </c>
      <c r="AR221" s="15"/>
      <c r="AS221" s="13"/>
      <c r="AT221" s="15"/>
      <c r="AU221" s="45"/>
      <c r="AV221" s="15"/>
      <c r="AW221" s="13"/>
      <c r="AX221" s="15"/>
      <c r="AY221" s="45"/>
      <c r="AZ221" s="35"/>
      <c r="BA221" s="13"/>
      <c r="BB221" s="15"/>
      <c r="BC221" s="45"/>
      <c r="BD221" s="28"/>
      <c r="BE221" s="14"/>
      <c r="BF221" s="41">
        <f t="shared" ref="BF221:BG221" si="641">K221+O221+S221+W221+AA221+AE221+AI221+AM221+AQ221+AU221+AY221+BC221</f>
        <v>0</v>
      </c>
      <c r="BG221" s="34">
        <f t="shared" si="641"/>
        <v>0</v>
      </c>
      <c r="BH221" s="35">
        <f t="shared" si="630"/>
        <v>0</v>
      </c>
      <c r="BK221" s="2" t="b">
        <f>H221='2021'!BH221</f>
        <v>1</v>
      </c>
    </row>
    <row r="222" ht="15.75" customHeight="1" spans="1:63" x14ac:dyDescent="0.25">
      <c r="A222" s="2">
        <v>24</v>
      </c>
      <c r="B222" s="14"/>
      <c r="D222" s="14" t="s">
        <v>52</v>
      </c>
      <c r="E222" s="2" t="s">
        <v>39</v>
      </c>
      <c r="F222" s="41">
        <v>500</v>
      </c>
      <c r="G222" s="28"/>
      <c r="H222" s="34">
        <f>'2021'!BH222</f>
        <v>0</v>
      </c>
      <c r="I222" s="13"/>
      <c r="J222" s="15"/>
      <c r="K222" s="15"/>
      <c r="L222" s="28"/>
      <c r="M222" s="13"/>
      <c r="N222" s="15"/>
      <c r="Q222" s="13"/>
      <c r="R222" s="15"/>
      <c r="S222" s="15"/>
      <c r="T222" s="28"/>
      <c r="U222" s="13"/>
      <c r="V222" s="15"/>
      <c r="Y222" s="13"/>
      <c r="Z222" s="2"/>
      <c r="AA222" s="34">
        <f>$F$15</f>
      </c>
      <c r="AB222" s="35"/>
      <c r="AC222" s="348"/>
      <c r="AD222" s="15"/>
      <c r="AG222" s="15"/>
      <c r="AH222" s="2"/>
      <c r="AI222" s="45"/>
      <c r="AJ222" s="180"/>
      <c r="AK222" s="15"/>
      <c r="AL222" s="15"/>
      <c r="AM222" s="45"/>
      <c r="AN222" s="15"/>
      <c r="AO222" s="13"/>
      <c r="AP222" s="15"/>
      <c r="AQ222" s="45"/>
      <c r="AR222" s="15"/>
      <c r="AS222" s="13"/>
      <c r="AT222" s="15"/>
      <c r="AU222" s="45"/>
      <c r="AV222" s="15"/>
      <c r="AW222" s="13"/>
      <c r="AX222" s="15"/>
      <c r="AY222" s="45"/>
      <c r="AZ222" s="38"/>
      <c r="BA222" s="13"/>
      <c r="BB222" s="15"/>
      <c r="BC222" s="45"/>
      <c r="BD222" s="35"/>
      <c r="BE222" s="14"/>
      <c r="BF222" s="41">
        <f t="shared" ref="BF222:BG222" si="642">K222+O222+S222+W222+AA222+AE222+AI222+AM222+AQ222+AU222+AY222+BC222</f>
        <v>0</v>
      </c>
      <c r="BG222" s="34">
        <f t="shared" si="642"/>
        <v>0</v>
      </c>
      <c r="BH222" s="35">
        <f t="shared" si="630"/>
        <v>0</v>
      </c>
      <c r="BK222" s="2" t="b">
        <f>H222='2021'!BH222</f>
        <v>1</v>
      </c>
    </row>
    <row r="223" ht="15.75" customHeight="1" spans="1:63" x14ac:dyDescent="0.25">
      <c r="A223" s="247">
        <v>24</v>
      </c>
      <c r="B223" s="21"/>
      <c r="C223" s="22" t="s">
        <v>53</v>
      </c>
      <c r="D223" s="21"/>
      <c r="E223" s="22"/>
      <c r="F223" s="20"/>
      <c r="G223" s="23"/>
      <c r="H223" s="51">
        <f>SUM(H215:H222)</f>
        <v>0</v>
      </c>
      <c r="I223" s="52"/>
      <c r="J223" s="53"/>
      <c r="K223" s="51">
        <f t="shared" ref="K223:L223" si="643">SUM(K215:K222)</f>
        <v>0</v>
      </c>
      <c r="L223" s="68">
        <f t="shared" si="643"/>
        <v>0</v>
      </c>
      <c r="M223" s="52"/>
      <c r="N223" s="53"/>
      <c r="O223" s="51">
        <f t="shared" ref="O223:P223" si="644">SUM(O215:O222)</f>
        <v>0</v>
      </c>
      <c r="P223" s="68">
        <f t="shared" si="644"/>
        <v>0</v>
      </c>
      <c r="Q223" s="52"/>
      <c r="R223" s="53"/>
      <c r="S223" s="51">
        <f t="shared" ref="S223:T223" si="645">SUM(S215:S222)</f>
        <v>0</v>
      </c>
      <c r="T223" s="68">
        <f t="shared" si="645"/>
        <v>0</v>
      </c>
      <c r="U223" s="52"/>
      <c r="V223" s="53"/>
      <c r="W223" s="51">
        <f t="shared" ref="W223:X223" si="646">SUM(W215:W222)</f>
        <v>0</v>
      </c>
      <c r="X223" s="68">
        <f t="shared" si="646"/>
        <v>0</v>
      </c>
      <c r="Y223" s="52"/>
      <c r="Z223" s="301"/>
      <c r="AA223" s="51">
        <f t="shared" ref="AA223:AB223" si="647">SUM(AA215:AA222)</f>
        <v>449.85</v>
      </c>
      <c r="AB223" s="68">
        <f t="shared" si="647"/>
        <v>0</v>
      </c>
      <c r="AC223" s="351"/>
      <c r="AD223" s="53"/>
      <c r="AE223" s="51">
        <f t="shared" ref="AE223:AF223" si="648">SUM(AE215:AE222)</f>
        <v>6898.35</v>
      </c>
      <c r="AF223" s="68">
        <f t="shared" si="648"/>
        <v>449.85</v>
      </c>
      <c r="AG223" s="53"/>
      <c r="AH223" s="301"/>
      <c r="AI223" s="183">
        <f t="shared" ref="AI223:AJ223" si="649">SUM(AI215:AI222)</f>
        <v>421.94688</v>
      </c>
      <c r="AJ223" s="51">
        <f t="shared" si="649"/>
        <v>6898.35</v>
      </c>
      <c r="AK223" s="53"/>
      <c r="AL223" s="53"/>
      <c r="AM223" s="183">
        <f t="shared" ref="AM223:AN223" si="650">SUM(AM215:AM222)</f>
        <v>407.93672</v>
      </c>
      <c r="AN223" s="51">
        <f t="shared" si="650"/>
        <v>421.95</v>
      </c>
      <c r="AO223" s="52"/>
      <c r="AP223" s="53"/>
      <c r="AQ223" s="183">
        <f t="shared" ref="AQ223:AR223" si="651">SUM(AQ215:AQ222)</f>
        <v>180.69422</v>
      </c>
      <c r="AR223" s="51">
        <f t="shared" si="651"/>
        <v>0</v>
      </c>
      <c r="AS223" s="52"/>
      <c r="AT223" s="53"/>
      <c r="AU223" s="183">
        <f t="shared" ref="AU223:AV223" si="652">SUM(AU215:AU222)</f>
        <v>5.166</v>
      </c>
      <c r="AV223" s="68">
        <f t="shared" si="652"/>
        <v>588.63</v>
      </c>
      <c r="AW223" s="52"/>
      <c r="AX223" s="53"/>
      <c r="AY223" s="183">
        <f t="shared" ref="AY223:AZ223" si="653">SUM(AY215:AY222)</f>
        <v>0</v>
      </c>
      <c r="AZ223" s="68">
        <f t="shared" si="653"/>
        <v>0</v>
      </c>
      <c r="BA223" s="52"/>
      <c r="BB223" s="53"/>
      <c r="BC223" s="183">
        <f t="shared" ref="BC223:BD223" si="654">SUM(BC215:BC222)</f>
        <v>0</v>
      </c>
      <c r="BD223" s="68">
        <f t="shared" si="654"/>
        <v>0</v>
      </c>
      <c r="BE223" s="69"/>
      <c r="BF223" s="70">
        <f t="shared" ref="BF223:BH223" si="655">SUM(BF215:BF222)</f>
        <v>8363.94382</v>
      </c>
      <c r="BG223" s="71">
        <f t="shared" si="655"/>
        <v>8358.78</v>
      </c>
      <c r="BH223" s="72">
        <f t="shared" si="655"/>
        <v>5.16382</v>
      </c>
      <c r="BI223" s="34">
        <f>H223+BF223-BG223</f>
        <v>5.16382</v>
      </c>
      <c r="BJ223" s="34">
        <f>BH223-BI223</f>
        <v>0</v>
      </c>
      <c r="BK223" s="2" t="b">
        <f>H223='2021'!BH223</f>
        <v>1</v>
      </c>
    </row>
    <row r="224" ht="15.75" customHeight="1" spans="1:63" x14ac:dyDescent="0.25">
      <c r="A224" s="2">
        <v>25</v>
      </c>
      <c r="B224" s="14"/>
      <c r="D224" s="14" t="s">
        <v>379</v>
      </c>
      <c r="F224" s="41"/>
      <c r="G224" s="28"/>
      <c r="H224" s="34">
        <f>'2021'!BH224</f>
        <v>183.88</v>
      </c>
      <c r="I224" s="13"/>
      <c r="J224" s="15"/>
      <c r="K224" s="34"/>
      <c r="L224" s="35"/>
      <c r="M224" s="13"/>
      <c r="N224" s="15"/>
      <c r="Q224" s="13"/>
      <c r="R224" s="15"/>
      <c r="S224" s="15">
        <v>35.03</v>
      </c>
      <c r="T224" s="28"/>
      <c r="U224" s="13"/>
      <c r="V224" s="15"/>
      <c r="W224" s="2">
        <v>33.9</v>
      </c>
      <c r="Y224" s="13"/>
      <c r="Z224" s="2"/>
      <c r="AA224" s="15">
        <v>21.47</v>
      </c>
      <c r="AB224" s="28">
        <v>252.81</v>
      </c>
      <c r="AC224" s="348"/>
      <c r="AD224" s="15"/>
      <c r="AG224" s="15"/>
      <c r="AH224" s="2"/>
      <c r="AI224" s="45"/>
      <c r="AJ224" s="15"/>
      <c r="AK224" s="15"/>
      <c r="AM224" s="45"/>
      <c r="AO224" s="13"/>
      <c r="AQ224" s="307"/>
      <c r="AS224" s="13"/>
      <c r="AU224" s="180"/>
      <c r="AW224" s="13"/>
      <c r="AY224" s="180"/>
      <c r="AZ224" s="28"/>
      <c r="BA224" s="13"/>
      <c r="BB224" s="15"/>
      <c r="BC224" s="180"/>
      <c r="BD224" s="28"/>
      <c r="BE224" s="14"/>
      <c r="BF224" s="41">
        <f t="shared" ref="BF224:BG224" si="656">K224+O224+S224+W224+AA224+AE224+AI224+AM224+AQ224+AU224+AY224+BC224</f>
        <v>90.4</v>
      </c>
      <c r="BG224" s="34">
        <f t="shared" si="656"/>
        <v>252.81</v>
      </c>
      <c r="BH224" s="35">
        <f t="shared" ref="BH224:BH231" si="657">H224+BF224-BG224</f>
        <v>21.47</v>
      </c>
      <c r="BK224" s="2" t="b">
        <f>H224='2021'!BH224</f>
        <v>1</v>
      </c>
    </row>
    <row r="225" ht="15.75" customHeight="1" spans="1:63" x14ac:dyDescent="0.25">
      <c r="A225" s="2">
        <v>25</v>
      </c>
      <c r="B225" s="30">
        <v>4</v>
      </c>
      <c r="C225" s="2" t="s">
        <v>131</v>
      </c>
      <c r="D225" s="14" t="s">
        <v>44</v>
      </c>
      <c r="E225" s="2" t="s">
        <v>45</v>
      </c>
      <c r="F225" s="41">
        <v>2.5</v>
      </c>
      <c r="G225" s="35">
        <v>2.6</v>
      </c>
      <c r="H225" s="34">
        <f>'2021'!BH225</f>
        <v>25.39</v>
      </c>
      <c r="I225" s="13">
        <v>48</v>
      </c>
      <c r="J225" s="15">
        <f>I225-'2021'!BA225</f>
        <v>0</v>
      </c>
      <c r="K225" s="34">
        <f>J225*$F$8</f>
        <v>0</v>
      </c>
      <c r="L225" s="28"/>
      <c r="M225" s="13">
        <v>48</v>
      </c>
      <c r="N225" s="15">
        <f t="shared" ref="N225:N226" si="658">M225-I225</f>
        <v>0</v>
      </c>
      <c r="O225" s="34">
        <f>N225*$F$8</f>
        <v>0</v>
      </c>
      <c r="Q225" s="13">
        <v>48</v>
      </c>
      <c r="R225" s="15">
        <f t="shared" ref="R225:R226" si="659">Q225-M225</f>
        <v>0</v>
      </c>
      <c r="S225" s="34">
        <f>R225*$F$8</f>
        <v>0</v>
      </c>
      <c r="T225" s="28"/>
      <c r="U225" s="13">
        <v>48</v>
      </c>
      <c r="V225" s="15">
        <f t="shared" ref="V225:V226" si="660">U225-Q225</f>
        <v>0</v>
      </c>
      <c r="W225" s="34">
        <f>V225*$F$8</f>
        <v>0</v>
      </c>
      <c r="Y225" s="13">
        <v>50</v>
      </c>
      <c r="Z225" s="2">
        <f t="shared" ref="Z225:Z226" si="661">Y225-U225</f>
        <v>2</v>
      </c>
      <c r="AA225" s="34">
        <f>Z225*$F$8</f>
        <v>5.4</v>
      </c>
      <c r="AB225" s="28">
        <v>19.84</v>
      </c>
      <c r="AC225" s="350">
        <v>50</v>
      </c>
      <c r="AD225" s="15">
        <f t="shared" ref="AD225:AD226" si="662">AC225-Y225</f>
        <v>0</v>
      </c>
      <c r="AE225" s="180">
        <f>AD225*$F$8</f>
        <v>0</v>
      </c>
      <c r="AG225" s="13">
        <v>50</v>
      </c>
      <c r="AH225" s="2">
        <f>(AG225-AC225)*AH5</f>
        <v>0</v>
      </c>
      <c r="AI225" s="45">
        <f>AH225*$G$8</f>
        <v>0</v>
      </c>
      <c r="AJ225" s="15"/>
      <c r="AK225" s="13">
        <v>50</v>
      </c>
      <c r="AL225" s="15">
        <f>(AK225-AG225)*AL5</f>
        <v>0</v>
      </c>
      <c r="AM225" s="45">
        <f>AL225*$G$8</f>
        <v>0</v>
      </c>
      <c r="AN225" s="15"/>
      <c r="AO225" s="13">
        <v>50</v>
      </c>
      <c r="AP225" s="15">
        <f>(AO225-AK225)*AP5</f>
        <v>0</v>
      </c>
      <c r="AQ225" s="45">
        <f>AP225*$G$8</f>
        <v>0</v>
      </c>
      <c r="AR225" s="15"/>
      <c r="AS225" s="13">
        <v>61</v>
      </c>
      <c r="AT225" s="15">
        <f>(AS225-AO225)*AT5</f>
        <v>11.55</v>
      </c>
      <c r="AU225" s="45">
        <f>AT225*$G$8</f>
        <v>28.413</v>
      </c>
      <c r="AV225" s="15"/>
      <c r="AW225" s="13"/>
      <c r="AX225" s="15">
        <f>(AW225-AS225)*AX5</f>
        <v>0</v>
      </c>
      <c r="AY225" s="45">
        <f>AX225*$G$8</f>
        <v>0</v>
      </c>
      <c r="AZ225" s="208"/>
      <c r="BA225" s="13"/>
      <c r="BB225" s="15"/>
      <c r="BC225" s="45">
        <f>BB225*$G$8</f>
        <v>0</v>
      </c>
      <c r="BD225" s="208"/>
      <c r="BE225" s="40">
        <f t="shared" ref="BE225:BG225" si="663">J225+N225+R225+V225+Z225+AD225+AH225+AL225+AP225+AT225+AX225+BB225</f>
        <v>13.55</v>
      </c>
      <c r="BF225" s="41">
        <f t="shared" si="663"/>
        <v>33.813</v>
      </c>
      <c r="BG225" s="34">
        <f t="shared" si="663"/>
        <v>19.84</v>
      </c>
      <c r="BH225" s="35">
        <f t="shared" si="657"/>
        <v>39.363</v>
      </c>
      <c r="BK225" s="2" t="b">
        <f>H225='2021'!BH225</f>
        <v>1</v>
      </c>
    </row>
    <row r="226" ht="15.75" customHeight="1" spans="1:63" x14ac:dyDescent="0.25">
      <c r="A226" s="2">
        <v>25</v>
      </c>
      <c r="B226" s="14"/>
      <c r="C226" s="15" t="s">
        <v>394</v>
      </c>
      <c r="D226" s="14" t="s">
        <v>47</v>
      </c>
      <c r="E226" s="2" t="s">
        <v>48</v>
      </c>
      <c r="F226" s="13">
        <v>18.56</v>
      </c>
      <c r="G226" s="35">
        <v>19.46</v>
      </c>
      <c r="H226" s="34">
        <f>'2021'!BH226</f>
        <v>0</v>
      </c>
      <c r="I226" s="13">
        <v>2</v>
      </c>
      <c r="J226" s="15"/>
      <c r="K226" s="15"/>
      <c r="L226" s="28"/>
      <c r="M226" s="13">
        <v>2</v>
      </c>
      <c r="N226" s="15">
        <f t="shared" si="658"/>
        <v>0</v>
      </c>
      <c r="Q226" s="13">
        <v>2</v>
      </c>
      <c r="R226" s="15">
        <f t="shared" si="659"/>
        <v>0</v>
      </c>
      <c r="S226" s="15"/>
      <c r="T226" s="28"/>
      <c r="U226" s="13">
        <v>2</v>
      </c>
      <c r="V226" s="15">
        <f t="shared" si="660"/>
        <v>0</v>
      </c>
      <c r="W226" s="34">
        <f>V226*$F$10</f>
        <v>0</v>
      </c>
      <c r="Y226" s="13">
        <v>23</v>
      </c>
      <c r="Z226" s="2">
        <f t="shared" si="661"/>
        <v>21</v>
      </c>
      <c r="AA226" s="34">
        <f>Z226*$F$10</f>
        <v>427.35</v>
      </c>
      <c r="AB226" s="28">
        <v>427.35</v>
      </c>
      <c r="AC226" s="350">
        <v>23</v>
      </c>
      <c r="AD226" s="15">
        <f t="shared" si="662"/>
        <v>0</v>
      </c>
      <c r="AE226" s="34">
        <f>AD226*$F$10</f>
        <v>0</v>
      </c>
      <c r="AG226" s="13">
        <v>23</v>
      </c>
      <c r="AH226" s="2">
        <f>AG226-AC226</f>
        <v>0</v>
      </c>
      <c r="AI226" s="45">
        <f>AH226*$G$10</f>
        <v>0</v>
      </c>
      <c r="AJ226" s="15"/>
      <c r="AK226" s="13">
        <v>23</v>
      </c>
      <c r="AL226" s="15">
        <f>AK226-AG226</f>
        <v>0</v>
      </c>
      <c r="AM226" s="45">
        <f>AL226*$G$10</f>
        <v>0</v>
      </c>
      <c r="AN226" s="15"/>
      <c r="AO226" s="13">
        <v>23</v>
      </c>
      <c r="AP226" s="15">
        <f>AO226-AK226</f>
        <v>0</v>
      </c>
      <c r="AQ226" s="45">
        <f>AP226*$G$10</f>
        <v>0</v>
      </c>
      <c r="AR226" s="15"/>
      <c r="AS226" s="13">
        <v>23</v>
      </c>
      <c r="AT226" s="15">
        <f>AS226-AO226</f>
        <v>0</v>
      </c>
      <c r="AU226" s="45">
        <f>AT226*$G$10</f>
        <v>0</v>
      </c>
      <c r="AV226" s="15"/>
      <c r="AW226" s="13"/>
      <c r="AX226" s="15">
        <f>AW226-AS226</f>
        <v>-23</v>
      </c>
      <c r="AY226" s="45"/>
      <c r="AZ226" s="208"/>
      <c r="BA226" s="13"/>
      <c r="BB226" s="15"/>
      <c r="BC226" s="45"/>
      <c r="BD226" s="208"/>
      <c r="BE226" s="40">
        <f t="shared" ref="BE226:BG226" si="664">J226+N226+R226+V226+Z226+AD226+AH226+AL226+AP226+AT226+AX226+BB226</f>
        <v>-2</v>
      </c>
      <c r="BF226" s="41">
        <f t="shared" si="664"/>
        <v>427.35</v>
      </c>
      <c r="BG226" s="34">
        <f t="shared" si="664"/>
        <v>427.35</v>
      </c>
      <c r="BH226" s="35">
        <f t="shared" si="657"/>
        <v>0</v>
      </c>
      <c r="BK226" s="2" t="b">
        <f>H226='2021'!BH226</f>
        <v>1</v>
      </c>
    </row>
    <row r="227" ht="15.75" customHeight="1" spans="1:63" x14ac:dyDescent="0.25">
      <c r="A227" s="2">
        <v>25</v>
      </c>
      <c r="B227" s="14"/>
      <c r="C227" s="15" t="s">
        <v>151</v>
      </c>
      <c r="D227" s="14" t="s">
        <v>47</v>
      </c>
      <c r="E227" s="2" t="s">
        <v>49</v>
      </c>
      <c r="F227" s="41">
        <v>500</v>
      </c>
      <c r="G227" s="28"/>
      <c r="H227" s="144">
        <f>'2021'!BH227</f>
        <v>0</v>
      </c>
      <c r="I227" s="13"/>
      <c r="J227" s="15"/>
      <c r="K227" s="15"/>
      <c r="L227" s="28"/>
      <c r="M227" s="13"/>
      <c r="N227" s="15"/>
      <c r="Q227" s="13"/>
      <c r="R227" s="15"/>
      <c r="S227" s="15"/>
      <c r="T227" s="28"/>
      <c r="U227" s="13"/>
      <c r="V227" s="15"/>
      <c r="Y227" s="13"/>
      <c r="Z227" s="2"/>
      <c r="AA227" s="34"/>
      <c r="AB227" s="28"/>
      <c r="AC227" s="348"/>
      <c r="AD227" s="15"/>
      <c r="AG227" s="15"/>
      <c r="AH227" s="2"/>
      <c r="AI227" s="45"/>
      <c r="AJ227" s="15"/>
      <c r="AK227" s="15"/>
      <c r="AL227" s="15"/>
      <c r="AM227" s="45"/>
      <c r="AN227" s="15"/>
      <c r="AO227" s="13"/>
      <c r="AP227" s="15"/>
      <c r="AQ227" s="45"/>
      <c r="AR227" s="15"/>
      <c r="AS227" s="13"/>
      <c r="AT227" s="15"/>
      <c r="AU227" s="45"/>
      <c r="AV227" s="15"/>
      <c r="AW227" s="13"/>
      <c r="AX227" s="15"/>
      <c r="AY227" s="45"/>
      <c r="AZ227" s="28"/>
      <c r="BA227" s="13"/>
      <c r="BB227" s="15"/>
      <c r="BC227" s="45"/>
      <c r="BD227" s="28"/>
      <c r="BE227" s="40">
        <f t="shared" ref="BE227:BG227" si="665">J227+N227+R227+V227+Z227+AD227+AH227+AL227+AP227+AT227+AX227+BB227</f>
        <v>0</v>
      </c>
      <c r="BF227" s="41">
        <f t="shared" si="665"/>
        <v>0</v>
      </c>
      <c r="BG227" s="34">
        <f t="shared" si="665"/>
        <v>0</v>
      </c>
      <c r="BH227" s="35">
        <f t="shared" si="657"/>
        <v>0</v>
      </c>
      <c r="BK227" s="2" t="b">
        <f>H227='2021'!BH227</f>
        <v>1</v>
      </c>
    </row>
    <row r="228" ht="15.75" customHeight="1" spans="1:63" x14ac:dyDescent="0.25">
      <c r="A228" s="2">
        <v>25</v>
      </c>
      <c r="B228" s="14"/>
      <c r="C228" s="73"/>
      <c r="D228" s="14" t="s">
        <v>50</v>
      </c>
      <c r="E228" s="2" t="s">
        <v>49</v>
      </c>
      <c r="F228" s="41">
        <v>1100</v>
      </c>
      <c r="G228" s="28"/>
      <c r="H228" s="34">
        <f>'2021'!BH228</f>
        <v>8800</v>
      </c>
      <c r="I228" s="13"/>
      <c r="J228" s="15"/>
      <c r="K228" s="15"/>
      <c r="L228" s="28"/>
      <c r="M228" s="13"/>
      <c r="N228" s="15"/>
      <c r="Q228" s="13"/>
      <c r="R228" s="15"/>
      <c r="S228" s="15"/>
      <c r="T228" s="28"/>
      <c r="U228" s="13"/>
      <c r="V228" s="15"/>
      <c r="Y228" s="13"/>
      <c r="Z228" s="2"/>
      <c r="AA228" s="15"/>
      <c r="AB228" s="28">
        <v>8800</v>
      </c>
      <c r="AC228" s="348"/>
      <c r="AD228" s="15"/>
      <c r="AE228" s="34">
        <f>B225*$F$12</f>
        <v>5200</v>
      </c>
      <c r="AG228" s="15"/>
      <c r="AH228" s="2"/>
      <c r="AI228" s="45"/>
      <c r="AJ228" s="15"/>
      <c r="AK228" s="15"/>
      <c r="AL228" s="15"/>
      <c r="AM228" s="45"/>
      <c r="AN228" s="15"/>
      <c r="AO228" s="13"/>
      <c r="AP228" s="15"/>
      <c r="AQ228" s="45"/>
      <c r="AR228" s="15"/>
      <c r="AS228" s="13"/>
      <c r="AT228" s="15"/>
      <c r="AU228" s="45"/>
      <c r="AV228" s="15"/>
      <c r="AW228" s="13"/>
      <c r="AX228" s="15"/>
      <c r="AY228" s="45"/>
      <c r="AZ228" s="28"/>
      <c r="BA228" s="13"/>
      <c r="BB228" s="15"/>
      <c r="BC228" s="45"/>
      <c r="BD228" s="28"/>
      <c r="BE228" s="14"/>
      <c r="BF228" s="41">
        <f t="shared" ref="BF228:BG228" si="666">K228+O228+S228+W228+AA228+AE228+AI228+AM228+AQ228+AU228+AY228+BC228</f>
        <v>5200</v>
      </c>
      <c r="BG228" s="34">
        <f t="shared" si="666"/>
        <v>8800</v>
      </c>
      <c r="BH228" s="35">
        <f t="shared" si="657"/>
        <v>5200</v>
      </c>
      <c r="BK228" s="2" t="b">
        <f>H228='2021'!BH228</f>
        <v>1</v>
      </c>
    </row>
    <row r="229" ht="15.75" customHeight="1" spans="1:63" x14ac:dyDescent="0.25">
      <c r="A229" s="2">
        <v>25</v>
      </c>
      <c r="B229" s="14"/>
      <c r="C229" s="15" t="s">
        <v>250</v>
      </c>
      <c r="D229" s="14" t="s">
        <v>51</v>
      </c>
      <c r="E229" s="2" t="s">
        <v>39</v>
      </c>
      <c r="F229" s="41">
        <v>500</v>
      </c>
      <c r="G229" s="28"/>
      <c r="H229" s="34">
        <f>'2021'!BH229</f>
        <v>500</v>
      </c>
      <c r="I229" s="13"/>
      <c r="J229" s="15"/>
      <c r="K229" s="15"/>
      <c r="L229" s="28"/>
      <c r="M229" s="13"/>
      <c r="N229" s="15"/>
      <c r="Q229" s="13"/>
      <c r="R229" s="15"/>
      <c r="S229" s="15"/>
      <c r="T229" s="28"/>
      <c r="U229" s="13"/>
      <c r="V229" s="15"/>
      <c r="Y229" s="13"/>
      <c r="Z229" s="2"/>
      <c r="AA229" s="15"/>
      <c r="AB229" s="28">
        <v>500</v>
      </c>
      <c r="AC229" s="348"/>
      <c r="AD229" s="15"/>
      <c r="AE229" s="180">
        <f>$F$13</f>
        <v>1000</v>
      </c>
      <c r="AG229" s="15"/>
      <c r="AH229" s="2"/>
      <c r="AI229" s="45"/>
      <c r="AJ229" s="15"/>
      <c r="AK229" s="15"/>
      <c r="AL229" s="15"/>
      <c r="AM229" s="45"/>
      <c r="AN229" s="15"/>
      <c r="AO229" s="13"/>
      <c r="AP229" s="15"/>
      <c r="AQ229" s="180"/>
      <c r="AR229" s="15"/>
      <c r="AS229" s="13"/>
      <c r="AT229" s="15"/>
      <c r="AU229" s="45"/>
      <c r="AV229" s="15"/>
      <c r="AW229" s="13"/>
      <c r="AX229" s="15"/>
      <c r="AY229" s="45"/>
      <c r="AZ229" s="28"/>
      <c r="BA229" s="13"/>
      <c r="BB229" s="15"/>
      <c r="BC229" s="45"/>
      <c r="BD229" s="28"/>
      <c r="BE229" s="14"/>
      <c r="BF229" s="41">
        <f t="shared" ref="BF229:BG229" si="667">K229+O229+S229+W229+AA229+AE229+AI229+AM229+AQ229+AU229+AY229+BC229</f>
        <v>1000</v>
      </c>
      <c r="BG229" s="34">
        <f t="shared" si="667"/>
        <v>500</v>
      </c>
      <c r="BH229" s="35">
        <f t="shared" si="657"/>
        <v>1000</v>
      </c>
      <c r="BK229" s="2" t="b">
        <f>H229='2021'!BH229</f>
        <v>1</v>
      </c>
    </row>
    <row r="230" ht="15.75" customHeight="1" spans="1:63" x14ac:dyDescent="0.25">
      <c r="A230" s="2">
        <v>25</v>
      </c>
      <c r="B230" s="14"/>
      <c r="C230" s="15"/>
      <c r="D230" s="14" t="s">
        <v>51</v>
      </c>
      <c r="E230" s="2" t="s">
        <v>49</v>
      </c>
      <c r="F230" s="41">
        <v>500</v>
      </c>
      <c r="G230" s="28"/>
      <c r="H230" s="34">
        <f>'2021'!BH230</f>
        <v>2000</v>
      </c>
      <c r="I230" s="13"/>
      <c r="J230" s="15"/>
      <c r="K230" s="15"/>
      <c r="L230" s="28"/>
      <c r="M230" s="13"/>
      <c r="N230" s="15"/>
      <c r="Q230" s="13"/>
      <c r="R230" s="15"/>
      <c r="S230" s="15"/>
      <c r="T230" s="28"/>
      <c r="U230" s="13"/>
      <c r="V230" s="15"/>
      <c r="Y230" s="13"/>
      <c r="Z230" s="2"/>
      <c r="AA230" s="15"/>
      <c r="AB230" s="28">
        <v>2000</v>
      </c>
      <c r="AC230" s="348"/>
      <c r="AD230" s="15"/>
      <c r="AE230" s="34"/>
      <c r="AG230" s="15"/>
      <c r="AH230" s="2"/>
      <c r="AI230" s="45"/>
      <c r="AJ230" s="15"/>
      <c r="AK230" s="15"/>
      <c r="AL230" s="15"/>
      <c r="AM230" s="45"/>
      <c r="AN230" s="15"/>
      <c r="AO230" s="13"/>
      <c r="AP230" s="15"/>
      <c r="AQ230" s="180">
        <f>B225*$F$14</f>
        <v>0</v>
      </c>
      <c r="AR230" s="15"/>
      <c r="AS230" s="13"/>
      <c r="AT230" s="15"/>
      <c r="AU230" s="45"/>
      <c r="AV230" s="15"/>
      <c r="AW230" s="13"/>
      <c r="AX230" s="15"/>
      <c r="AY230" s="45"/>
      <c r="AZ230" s="28"/>
      <c r="BA230" s="13"/>
      <c r="BB230" s="15"/>
      <c r="BC230" s="45"/>
      <c r="BD230" s="28"/>
      <c r="BE230" s="14"/>
      <c r="BF230" s="41">
        <f t="shared" ref="BF230:BG230" si="668">K230+O230+S230+W230+AA230+AE230+AI230+AM230+AQ230+AU230+AY230+BC230</f>
        <v>0</v>
      </c>
      <c r="BG230" s="34">
        <f t="shared" si="668"/>
        <v>2000</v>
      </c>
      <c r="BH230" s="35">
        <f t="shared" si="657"/>
        <v>0</v>
      </c>
      <c r="BK230" s="2" t="b">
        <f>H230='2021'!BH230</f>
        <v>1</v>
      </c>
    </row>
    <row r="231" ht="15.75" customHeight="1" spans="1:63" x14ac:dyDescent="0.25">
      <c r="A231" s="2">
        <v>25</v>
      </c>
      <c r="B231" s="14"/>
      <c r="C231" s="15" t="s">
        <v>395</v>
      </c>
      <c r="D231" s="14" t="s">
        <v>52</v>
      </c>
      <c r="E231" s="2" t="s">
        <v>39</v>
      </c>
      <c r="F231" s="41">
        <v>500</v>
      </c>
      <c r="G231" s="28"/>
      <c r="H231" s="34">
        <f>'2021'!BH231</f>
        <v>500</v>
      </c>
      <c r="I231" s="13"/>
      <c r="J231" s="15"/>
      <c r="K231" s="15"/>
      <c r="L231" s="28"/>
      <c r="M231" s="13"/>
      <c r="N231" s="15"/>
      <c r="Q231" s="13"/>
      <c r="R231" s="15"/>
      <c r="S231" s="15"/>
      <c r="T231" s="28"/>
      <c r="U231" s="13"/>
      <c r="V231" s="15"/>
      <c r="Y231" s="13"/>
      <c r="Z231" s="2"/>
      <c r="AA231" s="34">
        <f>$F$15</f>
      </c>
      <c r="AB231" s="28"/>
      <c r="AC231" s="348"/>
      <c r="AD231" s="15"/>
      <c r="AG231" s="15"/>
      <c r="AH231" s="2"/>
      <c r="AI231" s="45"/>
      <c r="AJ231" s="15"/>
      <c r="AK231" s="15"/>
      <c r="AL231" s="15"/>
      <c r="AM231" s="45"/>
      <c r="AN231" s="15"/>
      <c r="AO231" s="13"/>
      <c r="AP231" s="15"/>
      <c r="AQ231" s="45"/>
      <c r="AR231" s="15"/>
      <c r="AS231" s="13"/>
      <c r="AT231" s="15"/>
      <c r="AU231" s="45"/>
      <c r="AV231" s="15"/>
      <c r="AW231" s="13"/>
      <c r="AX231" s="15"/>
      <c r="AY231" s="45"/>
      <c r="AZ231" s="35"/>
      <c r="BA231" s="13"/>
      <c r="BB231" s="15"/>
      <c r="BC231" s="45"/>
      <c r="BD231" s="35"/>
      <c r="BE231" s="14"/>
      <c r="BF231" s="41">
        <f t="shared" ref="BF231:BG231" si="669">K231+O231+S231+W231+AA231+AE231+AI231+AM231+AQ231+AU231+AY231+BC231</f>
        <v>0</v>
      </c>
      <c r="BG231" s="34">
        <f t="shared" si="669"/>
        <v>0</v>
      </c>
      <c r="BH231" s="35">
        <f t="shared" si="657"/>
        <v>500</v>
      </c>
      <c r="BK231" s="2" t="b">
        <f>H231='2021'!BH231</f>
        <v>1</v>
      </c>
    </row>
    <row r="232" ht="15.75" customHeight="1" spans="1:63" x14ac:dyDescent="0.25">
      <c r="A232" s="247">
        <v>25</v>
      </c>
      <c r="B232" s="21"/>
      <c r="C232" s="22" t="s">
        <v>53</v>
      </c>
      <c r="D232" s="21"/>
      <c r="E232" s="22"/>
      <c r="F232" s="20"/>
      <c r="G232" s="23"/>
      <c r="H232" s="51">
        <f>SUM(H224:H231)</f>
        <v>12009.27</v>
      </c>
      <c r="I232" s="52"/>
      <c r="J232" s="53"/>
      <c r="K232" s="51">
        <f t="shared" ref="K232:L232" si="670">SUM(K224:K231)</f>
        <v>0</v>
      </c>
      <c r="L232" s="68">
        <f t="shared" si="670"/>
        <v>0</v>
      </c>
      <c r="M232" s="52"/>
      <c r="N232" s="53"/>
      <c r="O232" s="51">
        <f t="shared" ref="O232:P232" si="671">SUM(O224:O231)</f>
        <v>0</v>
      </c>
      <c r="P232" s="51">
        <f t="shared" si="671"/>
        <v>0</v>
      </c>
      <c r="Q232" s="52"/>
      <c r="R232" s="53"/>
      <c r="S232" s="51">
        <f t="shared" ref="S232:T232" si="672">SUM(S224:S231)</f>
        <v>35.03</v>
      </c>
      <c r="T232" s="51">
        <f t="shared" si="672"/>
        <v>0</v>
      </c>
      <c r="U232" s="52"/>
      <c r="V232" s="53"/>
      <c r="W232" s="51">
        <f t="shared" ref="W232:X232" si="673">SUM(W224:W231)</f>
        <v>33.9</v>
      </c>
      <c r="X232" s="51">
        <f t="shared" si="673"/>
        <v>0</v>
      </c>
      <c r="Y232" s="52"/>
      <c r="Z232" s="301"/>
      <c r="AA232" s="51">
        <f t="shared" ref="AA232:AB232" si="674">SUM(AA224:AA231)</f>
        <v>454.22</v>
      </c>
      <c r="AB232" s="51">
        <f t="shared" si="674"/>
        <v>12000</v>
      </c>
      <c r="AC232" s="367"/>
      <c r="AD232" s="53"/>
      <c r="AE232" s="51">
        <f t="shared" ref="AE232:AF232" si="675">SUM(AE224:AE231)</f>
        <v>6200</v>
      </c>
      <c r="AF232" s="51">
        <f t="shared" si="675"/>
        <v>0</v>
      </c>
      <c r="AG232" s="52"/>
      <c r="AH232" s="301"/>
      <c r="AI232" s="183">
        <f t="shared" ref="AI232:AJ232" si="676">SUM(AI224:AI231)</f>
        <v>0</v>
      </c>
      <c r="AJ232" s="51">
        <f t="shared" si="676"/>
        <v>0</v>
      </c>
      <c r="AK232" s="52"/>
      <c r="AL232" s="53"/>
      <c r="AM232" s="183">
        <f t="shared" ref="AM232:AN232" si="677">SUM(AM224:AM231)</f>
        <v>0</v>
      </c>
      <c r="AN232" s="51">
        <f t="shared" si="677"/>
        <v>0</v>
      </c>
      <c r="AO232" s="52"/>
      <c r="AP232" s="53"/>
      <c r="AQ232" s="183">
        <f t="shared" ref="AQ232:AR232" si="678">SUM(AQ224:AQ231)</f>
        <v>0</v>
      </c>
      <c r="AR232" s="51">
        <f t="shared" si="678"/>
        <v>0</v>
      </c>
      <c r="AS232" s="52"/>
      <c r="AT232" s="53"/>
      <c r="AU232" s="183">
        <f t="shared" ref="AU232:AV232" si="679">SUM(AU224:AU231)</f>
        <v>28.413</v>
      </c>
      <c r="AV232" s="68">
        <f t="shared" si="679"/>
        <v>0</v>
      </c>
      <c r="AW232" s="52"/>
      <c r="AX232" s="53"/>
      <c r="AY232" s="183">
        <f t="shared" ref="AY232:AZ232" si="680">SUM(AY224:AY231)</f>
        <v>0</v>
      </c>
      <c r="AZ232" s="68">
        <f t="shared" si="680"/>
        <v>0</v>
      </c>
      <c r="BA232" s="52"/>
      <c r="BB232" s="53"/>
      <c r="BC232" s="183">
        <f t="shared" ref="BC232:BD232" si="681">SUM(BC224:BC231)</f>
        <v>0</v>
      </c>
      <c r="BD232" s="68">
        <f t="shared" si="681"/>
        <v>0</v>
      </c>
      <c r="BE232" s="69"/>
      <c r="BF232" s="70">
        <f t="shared" ref="BF232:BH232" si="682">SUM(BF224:BF231)</f>
        <v>6751.563</v>
      </c>
      <c r="BG232" s="71">
        <f t="shared" si="682"/>
        <v>12000</v>
      </c>
      <c r="BH232" s="72">
        <f t="shared" si="682"/>
        <v>6760.833</v>
      </c>
      <c r="BI232" s="34">
        <f>H232+BF232-BG232</f>
        <v>6760.833</v>
      </c>
      <c r="BJ232" s="34">
        <f>BH232-BI232</f>
        <v>0</v>
      </c>
      <c r="BK232" s="2" t="b">
        <f>H232='2021'!BH232</f>
        <v>1</v>
      </c>
    </row>
    <row r="233" ht="15.75" customHeight="1" spans="1:63" x14ac:dyDescent="0.25">
      <c r="A233" s="2">
        <v>26</v>
      </c>
      <c r="B233" s="14"/>
      <c r="D233" s="14" t="s">
        <v>132</v>
      </c>
      <c r="F233" s="13"/>
      <c r="G233" s="28"/>
      <c r="H233" s="34">
        <f>'2021'!BH233</f>
        <v>7687.4</v>
      </c>
      <c r="I233" s="13"/>
      <c r="J233" s="15"/>
      <c r="K233" s="34"/>
      <c r="L233" s="28"/>
      <c r="M233" s="13"/>
      <c r="N233" s="15"/>
      <c r="Q233" s="13"/>
      <c r="R233" s="15"/>
      <c r="S233" s="34">
        <v>148.56</v>
      </c>
      <c r="T233" s="28"/>
      <c r="U233" s="13"/>
      <c r="V233" s="15"/>
      <c r="W233" s="2">
        <v>143.77</v>
      </c>
      <c r="Y233" s="13"/>
      <c r="Z233" s="2"/>
      <c r="AA233" s="34">
        <v>148.56</v>
      </c>
      <c r="AB233" s="28"/>
      <c r="AC233" s="348"/>
      <c r="AD233" s="15"/>
      <c r="AE233" s="2">
        <v>143.77</v>
      </c>
      <c r="AG233" s="15"/>
      <c r="AH233" s="2"/>
      <c r="AI233" s="45">
        <v>148.56</v>
      </c>
      <c r="AJ233" s="15"/>
      <c r="AK233" s="15"/>
      <c r="AM233" s="45"/>
      <c r="AO233" s="13"/>
      <c r="AQ233" s="307"/>
      <c r="AS233" s="13"/>
      <c r="AU233" s="180"/>
      <c r="AW233" s="13"/>
      <c r="AY233" s="180"/>
      <c r="AZ233" s="28"/>
      <c r="BA233" s="13"/>
      <c r="BB233" s="15"/>
      <c r="BC233" s="180"/>
      <c r="BD233" s="28"/>
      <c r="BE233" s="14"/>
      <c r="BF233" s="41">
        <f t="shared" ref="BF233:BG233" si="683">K233+O233+S233+W233+AA233+AE233+AI233+AM233+AQ233+AU233+AY233+BC233</f>
        <v>733.22</v>
      </c>
      <c r="BG233" s="34">
        <f t="shared" si="683"/>
        <v>0</v>
      </c>
      <c r="BH233" s="35">
        <f t="shared" ref="BH233:BH240" si="684">H233+BF233-BG233</f>
        <v>8420.62</v>
      </c>
      <c r="BK233" s="2" t="b">
        <f>H233='2021'!BH233</f>
        <v>1</v>
      </c>
    </row>
    <row r="234" ht="15.75" customHeight="1" spans="1:63" x14ac:dyDescent="0.25">
      <c r="A234" s="2">
        <v>26</v>
      </c>
      <c r="B234" s="14">
        <v>3.98</v>
      </c>
      <c r="C234" s="154" t="s">
        <v>133</v>
      </c>
      <c r="D234" s="14" t="s">
        <v>44</v>
      </c>
      <c r="E234" s="2" t="s">
        <v>45</v>
      </c>
      <c r="F234" s="41">
        <v>2.5</v>
      </c>
      <c r="G234" s="35">
        <v>2.6</v>
      </c>
      <c r="H234" s="104">
        <f>'2021'!BH234</f>
        <v>0</v>
      </c>
      <c r="I234" s="13"/>
      <c r="J234" s="15">
        <f>I234-'2021'!BA234</f>
        <v>0</v>
      </c>
      <c r="K234" s="34">
        <f>J234*$F$8</f>
        <v>0</v>
      </c>
      <c r="L234" s="28"/>
      <c r="M234" s="13"/>
      <c r="N234" s="15">
        <f t="shared" ref="N234:N235" si="685">M234-I234</f>
        <v>0</v>
      </c>
      <c r="O234" s="34">
        <f>N234*$F$8</f>
        <v>0</v>
      </c>
      <c r="Q234" s="13"/>
      <c r="R234" s="15">
        <f t="shared" ref="R234:R235" si="686">Q234-M234</f>
        <v>0</v>
      </c>
      <c r="S234" s="34">
        <f>R234*$F$8</f>
        <v>0</v>
      </c>
      <c r="T234" s="28"/>
      <c r="U234" s="13"/>
      <c r="V234" s="15">
        <f t="shared" ref="V234:V235" si="687">U234-Q234</f>
        <v>0</v>
      </c>
      <c r="W234" s="34">
        <f>V234*$F$8</f>
        <v>0</v>
      </c>
      <c r="Y234" s="13"/>
      <c r="Z234" s="2">
        <f t="shared" ref="Z234:Z235" si="688">Y234-U234</f>
        <v>0</v>
      </c>
      <c r="AA234" s="34">
        <f>Z234*$F$8</f>
        <v>0</v>
      </c>
      <c r="AB234" s="28"/>
      <c r="AC234" s="348"/>
      <c r="AD234" s="15">
        <f t="shared" ref="AD234:AD235" si="689">AC234-Y234</f>
        <v>0</v>
      </c>
      <c r="AE234" s="180">
        <f>AD234*$F$8</f>
        <v>0</v>
      </c>
      <c r="AG234" s="15"/>
      <c r="AH234" s="2">
        <f>(AG234-AC234)*AH5</f>
        <v>0</v>
      </c>
      <c r="AI234" s="45">
        <f>AH234*$G$8</f>
        <v>0</v>
      </c>
      <c r="AJ234" s="15"/>
      <c r="AK234" s="15"/>
      <c r="AL234" s="15">
        <f>(AK234-AG234)*AL5</f>
        <v>0</v>
      </c>
      <c r="AM234" s="45">
        <f>AL234*$G$8</f>
        <v>0</v>
      </c>
      <c r="AN234" s="15"/>
      <c r="AO234" s="13"/>
      <c r="AP234" s="15">
        <f>(AO234-AK234)*AP5</f>
        <v>0</v>
      </c>
      <c r="AQ234" s="45">
        <f>AP234*$G$8</f>
        <v>0</v>
      </c>
      <c r="AR234" s="15"/>
      <c r="AS234" s="13"/>
      <c r="AT234" s="15">
        <f>(AS234-AO234)*AT5</f>
        <v>0</v>
      </c>
      <c r="AU234" s="45">
        <f>AT234*$G$8</f>
        <v>0</v>
      </c>
      <c r="AV234" s="15"/>
      <c r="AW234" s="13"/>
      <c r="AX234" s="15">
        <f>(AW234-AS234)*AX5</f>
        <v>0</v>
      </c>
      <c r="AY234" s="45">
        <f>AX234*$G$8</f>
        <v>0</v>
      </c>
      <c r="AZ234" s="208"/>
      <c r="BA234" s="13"/>
      <c r="BB234" s="15"/>
      <c r="BC234" s="45">
        <f>BB234*$G$8</f>
        <v>0</v>
      </c>
      <c r="BD234" s="208"/>
      <c r="BE234" s="40">
        <f t="shared" ref="BE234:BG234" si="690">J234+N234+R234+V234+Z234+AD234+AH234+AL234+AP234+AT234+AX234+BB234</f>
        <v>0</v>
      </c>
      <c r="BF234" s="41">
        <f t="shared" si="690"/>
        <v>0</v>
      </c>
      <c r="BG234" s="34">
        <f t="shared" si="690"/>
        <v>0</v>
      </c>
      <c r="BH234" s="35">
        <f t="shared" si="684"/>
        <v>0</v>
      </c>
      <c r="BK234" s="2" t="b">
        <f>H234='2021'!BH234</f>
        <v>1</v>
      </c>
    </row>
    <row r="235" ht="15.75" customHeight="1" spans="1:63" x14ac:dyDescent="0.25">
      <c r="A235" s="2">
        <v>26</v>
      </c>
      <c r="B235" s="14"/>
      <c r="C235" s="154" t="s">
        <v>134</v>
      </c>
      <c r="D235" s="14" t="s">
        <v>47</v>
      </c>
      <c r="E235" s="2" t="s">
        <v>48</v>
      </c>
      <c r="F235" s="13">
        <v>18.56</v>
      </c>
      <c r="G235" s="35">
        <v>19.46</v>
      </c>
      <c r="H235" s="34">
        <f>'2021'!BH235</f>
        <v>0</v>
      </c>
      <c r="I235" s="13"/>
      <c r="J235" s="15"/>
      <c r="K235" s="15"/>
      <c r="L235" s="28"/>
      <c r="M235" s="13"/>
      <c r="N235" s="15">
        <f t="shared" si="685"/>
        <v>0</v>
      </c>
      <c r="Q235" s="13"/>
      <c r="R235" s="15">
        <f t="shared" si="686"/>
        <v>0</v>
      </c>
      <c r="S235" s="15"/>
      <c r="T235" s="28"/>
      <c r="U235" s="13"/>
      <c r="V235" s="15">
        <f t="shared" si="687"/>
        <v>0</v>
      </c>
      <c r="W235" s="34">
        <f>V235*$F$10</f>
        <v>0</v>
      </c>
      <c r="Y235" s="13"/>
      <c r="Z235" s="2">
        <f t="shared" si="688"/>
        <v>0</v>
      </c>
      <c r="AA235" s="34">
        <f>Z235*$F$10</f>
        <v>0</v>
      </c>
      <c r="AB235" s="28"/>
      <c r="AC235" s="348"/>
      <c r="AD235" s="15">
        <f t="shared" si="689"/>
        <v>0</v>
      </c>
      <c r="AE235" s="34">
        <f>AD235*$F$10</f>
        <v>0</v>
      </c>
      <c r="AG235" s="15"/>
      <c r="AH235" s="2">
        <f>AG235-AC235</f>
        <v>0</v>
      </c>
      <c r="AI235" s="45">
        <f>AH235*$G$10</f>
        <v>0</v>
      </c>
      <c r="AJ235" s="15"/>
      <c r="AK235" s="15"/>
      <c r="AL235" s="15">
        <f>AK235-AG235</f>
        <v>0</v>
      </c>
      <c r="AM235" s="45">
        <f>AL235*$G$10</f>
        <v>0</v>
      </c>
      <c r="AN235" s="15"/>
      <c r="AO235" s="13"/>
      <c r="AP235" s="15">
        <f>AO235-AK235</f>
        <v>0</v>
      </c>
      <c r="AQ235" s="45">
        <f>AP235*$G$10</f>
        <v>0</v>
      </c>
      <c r="AR235" s="15"/>
      <c r="AS235" s="13"/>
      <c r="AT235" s="15">
        <f>AS235-AO235</f>
        <v>0</v>
      </c>
      <c r="AU235" s="45">
        <f>AT235*$G$10</f>
        <v>0</v>
      </c>
      <c r="AV235" s="15"/>
      <c r="AW235" s="13"/>
      <c r="AX235" s="15">
        <f>AW235-AS235</f>
        <v>0</v>
      </c>
      <c r="AY235" s="45"/>
      <c r="AZ235" s="208"/>
      <c r="BA235" s="13"/>
      <c r="BB235" s="15"/>
      <c r="BC235" s="45"/>
      <c r="BD235" s="208"/>
      <c r="BE235" s="40">
        <f t="shared" ref="BE235:BG235" si="691">J235+N235+R235+V235+Z235+AD235+AH235+AL235+AP235+AT235+AX235+BB235</f>
        <v>0</v>
      </c>
      <c r="BF235" s="41">
        <f t="shared" si="691"/>
        <v>0</v>
      </c>
      <c r="BG235" s="34">
        <f t="shared" si="691"/>
        <v>0</v>
      </c>
      <c r="BH235" s="35">
        <f t="shared" si="684"/>
        <v>0</v>
      </c>
      <c r="BK235" s="2" t="b">
        <f>H235='2021'!BH235</f>
        <v>1</v>
      </c>
    </row>
    <row r="236" ht="15.75" customHeight="1" spans="1:63" x14ac:dyDescent="0.25">
      <c r="A236" s="2">
        <v>26</v>
      </c>
      <c r="B236" s="14"/>
      <c r="C236" s="154" t="s">
        <v>135</v>
      </c>
      <c r="D236" s="14" t="s">
        <v>47</v>
      </c>
      <c r="E236" s="2" t="s">
        <v>49</v>
      </c>
      <c r="F236" s="41">
        <v>500</v>
      </c>
      <c r="G236" s="28"/>
      <c r="H236" s="144">
        <f>'2021'!BH236</f>
        <v>0</v>
      </c>
      <c r="I236" s="13"/>
      <c r="J236" s="15"/>
      <c r="K236" s="15"/>
      <c r="L236" s="28"/>
      <c r="M236" s="13"/>
      <c r="N236" s="15"/>
      <c r="Q236" s="13"/>
      <c r="R236" s="15"/>
      <c r="S236" s="15"/>
      <c r="T236" s="28"/>
      <c r="U236" s="13"/>
      <c r="V236" s="15"/>
      <c r="Y236" s="13"/>
      <c r="Z236" s="2"/>
      <c r="AA236" s="34"/>
      <c r="AB236" s="28"/>
      <c r="AC236" s="348"/>
      <c r="AD236" s="15"/>
      <c r="AG236" s="15"/>
      <c r="AH236" s="2"/>
      <c r="AI236" s="45"/>
      <c r="AJ236" s="15"/>
      <c r="AK236" s="15"/>
      <c r="AL236" s="15"/>
      <c r="AM236" s="45"/>
      <c r="AN236" s="15"/>
      <c r="AO236" s="13"/>
      <c r="AP236" s="15"/>
      <c r="AQ236" s="45"/>
      <c r="AR236" s="15"/>
      <c r="AS236" s="13"/>
      <c r="AT236" s="15"/>
      <c r="AU236" s="45"/>
      <c r="AV236" s="15"/>
      <c r="AW236" s="13"/>
      <c r="AX236" s="15"/>
      <c r="AY236" s="45"/>
      <c r="AZ236" s="28"/>
      <c r="BA236" s="13"/>
      <c r="BB236" s="15"/>
      <c r="BC236" s="45"/>
      <c r="BD236" s="28"/>
      <c r="BE236" s="40">
        <f t="shared" ref="BE236:BG236" si="692">J236+N236+R236+V236+Z236+AD236+AH236+AL236+AP236+AT236+AX236+BB236</f>
        <v>0</v>
      </c>
      <c r="BF236" s="41">
        <f t="shared" si="692"/>
        <v>0</v>
      </c>
      <c r="BG236" s="34">
        <f t="shared" si="692"/>
        <v>0</v>
      </c>
      <c r="BH236" s="35">
        <f t="shared" si="684"/>
        <v>0</v>
      </c>
      <c r="BK236" s="2" t="b">
        <f>H236='2021'!BH236</f>
        <v>1</v>
      </c>
    </row>
    <row r="237" ht="15.75" customHeight="1" spans="1:63" x14ac:dyDescent="0.25">
      <c r="A237" s="2">
        <v>26</v>
      </c>
      <c r="B237" s="14"/>
      <c r="C237" s="154"/>
      <c r="D237" s="14" t="s">
        <v>50</v>
      </c>
      <c r="E237" s="2" t="s">
        <v>49</v>
      </c>
      <c r="F237" s="41">
        <v>1100</v>
      </c>
      <c r="G237" s="28"/>
      <c r="H237" s="180">
        <f>'2021'!BH237</f>
        <v>28906.26</v>
      </c>
      <c r="I237" s="13"/>
      <c r="J237" s="15"/>
      <c r="K237" s="15"/>
      <c r="L237" s="28"/>
      <c r="M237" s="13"/>
      <c r="N237" s="15"/>
      <c r="Q237" s="13"/>
      <c r="R237" s="15"/>
      <c r="S237" s="15"/>
      <c r="T237" s="28"/>
      <c r="U237" s="13"/>
      <c r="V237" s="15"/>
      <c r="Y237" s="13"/>
      <c r="Z237" s="2"/>
      <c r="AA237" s="15"/>
      <c r="AB237" s="28"/>
      <c r="AC237" s="348"/>
      <c r="AD237" s="15"/>
      <c r="AE237" s="34">
        <f>B234*$F$12</f>
        <v>5174</v>
      </c>
      <c r="AG237" s="15"/>
      <c r="AH237" s="2"/>
      <c r="AI237" s="45"/>
      <c r="AJ237" s="15"/>
      <c r="AK237" s="15"/>
      <c r="AL237" s="15"/>
      <c r="AM237" s="45"/>
      <c r="AN237" s="15"/>
      <c r="AO237" s="13"/>
      <c r="AP237" s="15"/>
      <c r="AQ237" s="45"/>
      <c r="AR237" s="15"/>
      <c r="AS237" s="13"/>
      <c r="AT237" s="15"/>
      <c r="AU237" s="45"/>
      <c r="AV237" s="15"/>
      <c r="AW237" s="13"/>
      <c r="AX237" s="15"/>
      <c r="AY237" s="45"/>
      <c r="AZ237" s="28"/>
      <c r="BA237" s="13"/>
      <c r="BB237" s="15"/>
      <c r="BC237" s="45"/>
      <c r="BD237" s="28"/>
      <c r="BE237" s="14"/>
      <c r="BF237" s="41">
        <f t="shared" ref="BF237:BG237" si="693">K237+O237+S237+W237+AA237+AE237+AI237+AM237+AQ237+AU237+AY237+BC237</f>
        <v>5174</v>
      </c>
      <c r="BG237" s="34">
        <f t="shared" si="693"/>
        <v>0</v>
      </c>
      <c r="BH237" s="35">
        <f t="shared" si="684"/>
        <v>34080.26</v>
      </c>
      <c r="BK237" s="2" t="b">
        <f>H237='2021'!BH237</f>
        <v>1</v>
      </c>
    </row>
    <row r="238" ht="15.75" customHeight="1" spans="1:63" x14ac:dyDescent="0.25">
      <c r="A238" s="2">
        <v>26</v>
      </c>
      <c r="B238" s="14"/>
      <c r="D238" s="14" t="s">
        <v>51</v>
      </c>
      <c r="E238" s="2" t="s">
        <v>39</v>
      </c>
      <c r="F238" s="41">
        <v>500</v>
      </c>
      <c r="G238" s="28"/>
      <c r="H238" s="180">
        <f>'2021'!BH238</f>
        <v>17027</v>
      </c>
      <c r="I238" s="13"/>
      <c r="J238" s="15"/>
      <c r="K238" s="15"/>
      <c r="L238" s="28"/>
      <c r="M238" s="13"/>
      <c r="N238" s="15"/>
      <c r="Q238" s="13"/>
      <c r="R238" s="15"/>
      <c r="S238" s="15"/>
      <c r="T238" s="28"/>
      <c r="U238" s="13"/>
      <c r="V238" s="15"/>
      <c r="Y238" s="13"/>
      <c r="Z238" s="2"/>
      <c r="AA238" s="15"/>
      <c r="AB238" s="28"/>
      <c r="AC238" s="348"/>
      <c r="AD238" s="15"/>
      <c r="AE238" s="180">
        <f>$F$13</f>
        <v>1000</v>
      </c>
      <c r="AG238" s="15"/>
      <c r="AH238" s="2"/>
      <c r="AI238" s="45"/>
      <c r="AJ238" s="15"/>
      <c r="AK238" s="15"/>
      <c r="AL238" s="15"/>
      <c r="AM238" s="45"/>
      <c r="AN238" s="15"/>
      <c r="AO238" s="13"/>
      <c r="AP238" s="15"/>
      <c r="AQ238" s="180"/>
      <c r="AR238" s="15"/>
      <c r="AS238" s="13"/>
      <c r="AT238" s="15"/>
      <c r="AU238" s="45"/>
      <c r="AV238" s="15"/>
      <c r="AW238" s="13"/>
      <c r="AX238" s="15"/>
      <c r="AY238" s="45"/>
      <c r="AZ238" s="28"/>
      <c r="BA238" s="13"/>
      <c r="BB238" s="15"/>
      <c r="BC238" s="45"/>
      <c r="BD238" s="28"/>
      <c r="BE238" s="14"/>
      <c r="BF238" s="41">
        <f t="shared" ref="BF238:BG238" si="694">K238+O238+S238+W238+AA238+AE238+AI238+AM238+AQ238+AU238+AY238+BC238</f>
        <v>1000</v>
      </c>
      <c r="BG238" s="34">
        <f t="shared" si="694"/>
        <v>0</v>
      </c>
      <c r="BH238" s="35">
        <f t="shared" si="684"/>
        <v>18027</v>
      </c>
      <c r="BK238" s="2" t="b">
        <f>H238='2021'!BH238</f>
        <v>1</v>
      </c>
    </row>
    <row r="239" ht="15.75" customHeight="1" spans="1:63" x14ac:dyDescent="0.25">
      <c r="A239" s="2">
        <v>26</v>
      </c>
      <c r="B239" s="14"/>
      <c r="D239" s="14" t="s">
        <v>51</v>
      </c>
      <c r="E239" s="2" t="s">
        <v>49</v>
      </c>
      <c r="F239" s="41">
        <v>500</v>
      </c>
      <c r="G239" s="28"/>
      <c r="H239" s="180">
        <f>'2021'!BH239</f>
        <v>1990</v>
      </c>
      <c r="I239" s="13"/>
      <c r="J239" s="15"/>
      <c r="K239" s="15"/>
      <c r="L239" s="28"/>
      <c r="M239" s="13"/>
      <c r="N239" s="15"/>
      <c r="Q239" s="13"/>
      <c r="R239" s="15"/>
      <c r="S239" s="15"/>
      <c r="T239" s="28"/>
      <c r="U239" s="13"/>
      <c r="V239" s="15"/>
      <c r="Y239" s="13"/>
      <c r="Z239" s="2"/>
      <c r="AA239" s="15"/>
      <c r="AB239" s="28"/>
      <c r="AC239" s="348"/>
      <c r="AD239" s="15"/>
      <c r="AE239" s="34"/>
      <c r="AG239" s="15"/>
      <c r="AH239" s="2"/>
      <c r="AI239" s="45"/>
      <c r="AJ239" s="15"/>
      <c r="AK239" s="15"/>
      <c r="AL239" s="15"/>
      <c r="AM239" s="45"/>
      <c r="AN239" s="15"/>
      <c r="AO239" s="13"/>
      <c r="AP239" s="15"/>
      <c r="AQ239" s="180">
        <f>B234*$F$14</f>
        <v>0</v>
      </c>
      <c r="AR239" s="15"/>
      <c r="AS239" s="13"/>
      <c r="AT239" s="15"/>
      <c r="AU239" s="45"/>
      <c r="AV239" s="15"/>
      <c r="AW239" s="13"/>
      <c r="AX239" s="15"/>
      <c r="AY239" s="45"/>
      <c r="AZ239" s="28"/>
      <c r="BA239" s="13"/>
      <c r="BB239" s="15"/>
      <c r="BC239" s="45"/>
      <c r="BD239" s="28"/>
      <c r="BE239" s="14"/>
      <c r="BF239" s="41">
        <f t="shared" ref="BF239:BG239" si="695">K239+O239+S239+W239+AA239+AE239+AI239+AM239+AQ239+AU239+AY239+BC239</f>
        <v>0</v>
      </c>
      <c r="BG239" s="34">
        <f t="shared" si="695"/>
        <v>0</v>
      </c>
      <c r="BH239" s="35">
        <f t="shared" si="684"/>
        <v>1990</v>
      </c>
      <c r="BK239" s="2" t="b">
        <f>H239='2021'!BH239</f>
        <v>1</v>
      </c>
    </row>
    <row r="240" ht="15.75" customHeight="1" spans="1:63" x14ac:dyDescent="0.25">
      <c r="A240" s="2">
        <v>26</v>
      </c>
      <c r="B240" s="14"/>
      <c r="D240" s="14" t="s">
        <v>52</v>
      </c>
      <c r="E240" s="2" t="s">
        <v>39</v>
      </c>
      <c r="F240" s="41">
        <v>500</v>
      </c>
      <c r="G240" s="28"/>
      <c r="H240" s="180">
        <f>'2021'!BH240</f>
        <v>2450</v>
      </c>
      <c r="I240" s="13"/>
      <c r="J240" s="15"/>
      <c r="K240" s="15"/>
      <c r="L240" s="28"/>
      <c r="M240" s="13"/>
      <c r="N240" s="15"/>
      <c r="Q240" s="13"/>
      <c r="R240" s="15"/>
      <c r="S240" s="15"/>
      <c r="T240" s="28"/>
      <c r="U240" s="13"/>
      <c r="V240" s="15"/>
      <c r="Y240" s="13"/>
      <c r="Z240" s="2"/>
      <c r="AA240" s="34">
        <f>$F$15</f>
      </c>
      <c r="AB240" s="28"/>
      <c r="AC240" s="348"/>
      <c r="AD240" s="15"/>
      <c r="AG240" s="15"/>
      <c r="AH240" s="2"/>
      <c r="AI240" s="45"/>
      <c r="AJ240" s="15"/>
      <c r="AK240" s="15"/>
      <c r="AL240" s="15"/>
      <c r="AM240" s="45"/>
      <c r="AN240" s="15"/>
      <c r="AO240" s="13"/>
      <c r="AP240" s="15"/>
      <c r="AQ240" s="45"/>
      <c r="AR240" s="15"/>
      <c r="AS240" s="13"/>
      <c r="AT240" s="15"/>
      <c r="AU240" s="45"/>
      <c r="AV240" s="15"/>
      <c r="AW240" s="13"/>
      <c r="AX240" s="15"/>
      <c r="AY240" s="45"/>
      <c r="AZ240" s="35"/>
      <c r="BA240" s="13"/>
      <c r="BB240" s="15"/>
      <c r="BC240" s="45"/>
      <c r="BD240" s="35"/>
      <c r="BE240" s="14"/>
      <c r="BF240" s="41">
        <f t="shared" ref="BF240:BG240" si="696">K240+O240+S240+W240+AA240+AE240+AI240+AM240+AQ240+AU240+AY240+BC240</f>
        <v>0</v>
      </c>
      <c r="BG240" s="34">
        <f t="shared" si="696"/>
        <v>0</v>
      </c>
      <c r="BH240" s="35">
        <f t="shared" si="684"/>
        <v>2450</v>
      </c>
      <c r="BK240" s="2" t="b">
        <f>H240='2021'!BH240</f>
        <v>1</v>
      </c>
    </row>
    <row r="241" ht="15.75" customHeight="1" spans="1:63" x14ac:dyDescent="0.25">
      <c r="A241" s="247">
        <v>26</v>
      </c>
      <c r="B241" s="21"/>
      <c r="C241" s="22" t="s">
        <v>53</v>
      </c>
      <c r="D241" s="21"/>
      <c r="E241" s="22"/>
      <c r="F241" s="20"/>
      <c r="G241" s="23"/>
      <c r="H241" s="51">
        <f>SUM(H233:H240)</f>
        <v>58060.66</v>
      </c>
      <c r="I241" s="52"/>
      <c r="J241" s="53"/>
      <c r="K241" s="51">
        <f t="shared" ref="K241:L241" si="697">SUM(K233:K240)</f>
        <v>0</v>
      </c>
      <c r="L241" s="68">
        <f t="shared" si="697"/>
        <v>0</v>
      </c>
      <c r="M241" s="52"/>
      <c r="N241" s="53"/>
      <c r="O241" s="51">
        <f t="shared" ref="O241:P241" si="698">SUM(O233:O240)</f>
        <v>0</v>
      </c>
      <c r="P241" s="51">
        <f t="shared" si="698"/>
        <v>0</v>
      </c>
      <c r="Q241" s="52"/>
      <c r="R241" s="53"/>
      <c r="S241" s="51">
        <f t="shared" ref="S241:T241" si="699">SUM(S233:S240)</f>
        <v>148.56</v>
      </c>
      <c r="T241" s="51">
        <f t="shared" si="699"/>
        <v>0</v>
      </c>
      <c r="U241" s="52"/>
      <c r="V241" s="53"/>
      <c r="W241" s="51">
        <f t="shared" ref="W241:X241" si="700">SUM(W233:W240)</f>
        <v>143.77</v>
      </c>
      <c r="X241" s="51">
        <f t="shared" si="700"/>
        <v>0</v>
      </c>
      <c r="Y241" s="52"/>
      <c r="Z241" s="301"/>
      <c r="AA241" s="51">
        <f t="shared" ref="AA241:AB241" si="701">SUM(AA233:AA240)</f>
        <v>148.56</v>
      </c>
      <c r="AB241" s="51">
        <f t="shared" si="701"/>
        <v>0</v>
      </c>
      <c r="AC241" s="367"/>
      <c r="AD241" s="53"/>
      <c r="AE241" s="51">
        <f t="shared" ref="AE241:AF241" si="702">SUM(AE233:AE240)</f>
        <v>6317.77</v>
      </c>
      <c r="AF241" s="51">
        <f t="shared" si="702"/>
        <v>0</v>
      </c>
      <c r="AG241" s="52"/>
      <c r="AH241" s="301"/>
      <c r="AI241" s="183">
        <f t="shared" ref="AI241:AJ241" si="703">SUM(AI233:AI240)</f>
        <v>148.56</v>
      </c>
      <c r="AJ241" s="51">
        <f t="shared" si="703"/>
        <v>0</v>
      </c>
      <c r="AK241" s="52"/>
      <c r="AL241" s="53"/>
      <c r="AM241" s="183">
        <f t="shared" ref="AM241:AN241" si="704">SUM(AM233:AM240)</f>
        <v>0</v>
      </c>
      <c r="AN241" s="51">
        <f t="shared" si="704"/>
        <v>0</v>
      </c>
      <c r="AO241" s="52"/>
      <c r="AP241" s="53"/>
      <c r="AQ241" s="183">
        <f t="shared" ref="AQ241:AR241" si="705">SUM(AQ233:AQ240)</f>
        <v>0</v>
      </c>
      <c r="AR241" s="51">
        <f t="shared" si="705"/>
        <v>0</v>
      </c>
      <c r="AS241" s="52"/>
      <c r="AT241" s="53"/>
      <c r="AU241" s="183">
        <f t="shared" ref="AU241:AV241" si="706">SUM(AU233:AU240)</f>
        <v>0</v>
      </c>
      <c r="AV241" s="68">
        <f t="shared" si="706"/>
        <v>0</v>
      </c>
      <c r="AW241" s="52"/>
      <c r="AX241" s="53"/>
      <c r="AY241" s="183">
        <f t="shared" ref="AY241:AZ241" si="707">SUM(AY233:AY240)</f>
        <v>0</v>
      </c>
      <c r="AZ241" s="68">
        <f t="shared" si="707"/>
        <v>0</v>
      </c>
      <c r="BA241" s="52"/>
      <c r="BB241" s="53"/>
      <c r="BC241" s="183">
        <f t="shared" ref="BC241:BD241" si="708">SUM(BC233:BC240)</f>
        <v>0</v>
      </c>
      <c r="BD241" s="68">
        <f t="shared" si="708"/>
        <v>0</v>
      </c>
      <c r="BE241" s="69"/>
      <c r="BF241" s="70">
        <f t="shared" ref="BF241:BH241" si="709">SUM(BF233:BF240)</f>
        <v>6907.22</v>
      </c>
      <c r="BG241" s="71">
        <f t="shared" si="709"/>
        <v>0</v>
      </c>
      <c r="BH241" s="72">
        <f t="shared" si="709"/>
        <v>64967.88</v>
      </c>
      <c r="BI241" s="34">
        <f>H241+BF241-BG241</f>
        <v>64967.88</v>
      </c>
      <c r="BJ241" s="34">
        <f>BH241-BI241</f>
        <v>0</v>
      </c>
      <c r="BK241" s="2" t="b">
        <f>H241='2021'!BH241</f>
        <v>1</v>
      </c>
    </row>
    <row r="242" ht="15.75" customHeight="1" spans="1:63" x14ac:dyDescent="0.25">
      <c r="A242" s="2">
        <v>27</v>
      </c>
      <c r="B242" s="14"/>
      <c r="D242" s="14" t="s">
        <v>379</v>
      </c>
      <c r="F242" s="13"/>
      <c r="G242" s="28"/>
      <c r="H242" s="34">
        <f>'2021'!BH242</f>
        <v>1696.86</v>
      </c>
      <c r="I242" s="13"/>
      <c r="J242" s="15"/>
      <c r="K242" s="34"/>
      <c r="L242" s="28"/>
      <c r="M242" s="13"/>
      <c r="N242" s="15"/>
      <c r="Q242" s="13"/>
      <c r="R242" s="15"/>
      <c r="S242" s="34">
        <v>99.67</v>
      </c>
      <c r="T242" s="28"/>
      <c r="U242" s="13"/>
      <c r="V242" s="15"/>
      <c r="W242" s="2">
        <v>96.45</v>
      </c>
      <c r="Y242" s="13"/>
      <c r="Z242" s="2"/>
      <c r="AA242" s="34">
        <v>99.67</v>
      </c>
      <c r="AB242" s="28"/>
      <c r="AC242" s="348"/>
      <c r="AD242" s="15"/>
      <c r="AE242" s="2">
        <v>96.45</v>
      </c>
      <c r="AG242" s="15"/>
      <c r="AH242" s="2"/>
      <c r="AI242" s="45">
        <v>99.67</v>
      </c>
      <c r="AJ242" s="15"/>
      <c r="AK242" s="15"/>
      <c r="AM242" s="45"/>
      <c r="AO242" s="13"/>
      <c r="AQ242" s="307"/>
      <c r="AS242" s="13"/>
      <c r="AU242" s="180"/>
      <c r="AW242" s="13"/>
      <c r="AY242" s="180"/>
      <c r="AZ242" s="28"/>
      <c r="BA242" s="13"/>
      <c r="BB242" s="15"/>
      <c r="BC242" s="180"/>
      <c r="BD242" s="28"/>
      <c r="BE242" s="14"/>
      <c r="BF242" s="41">
        <f t="shared" ref="BF242:BG242" si="710">K242+O242+S242+W242+AA242+AE242+AI242+AM242+AQ242+AU242+AY242+BC242</f>
        <v>491.91</v>
      </c>
      <c r="BG242" s="34">
        <f t="shared" si="710"/>
        <v>0</v>
      </c>
      <c r="BH242" s="35">
        <f t="shared" ref="BH242:BH249" si="711">H242+BF242-BG242</f>
        <v>2188.77</v>
      </c>
      <c r="BK242" s="2" t="b">
        <f>H242='2021'!BH242</f>
        <v>1</v>
      </c>
    </row>
    <row r="243" ht="15.75" customHeight="1" spans="1:63" x14ac:dyDescent="0.25">
      <c r="A243" s="2">
        <v>27</v>
      </c>
      <c r="B243" s="14">
        <v>4.04</v>
      </c>
      <c r="C243" s="154" t="s">
        <v>136</v>
      </c>
      <c r="D243" s="14" t="s">
        <v>44</v>
      </c>
      <c r="E243" s="2" t="s">
        <v>45</v>
      </c>
      <c r="F243" s="41">
        <v>2.5</v>
      </c>
      <c r="G243" s="35">
        <v>2.6</v>
      </c>
      <c r="H243" s="104">
        <f>'2021'!BH243</f>
        <v>0</v>
      </c>
      <c r="I243" s="13"/>
      <c r="J243" s="15">
        <f>I243-'2021'!BA243</f>
        <v>0</v>
      </c>
      <c r="K243" s="34">
        <f>J243*$F$8</f>
        <v>0</v>
      </c>
      <c r="L243" s="28"/>
      <c r="M243" s="13"/>
      <c r="N243" s="15">
        <f t="shared" ref="N243:N244" si="712">M243-I243</f>
        <v>0</v>
      </c>
      <c r="O243" s="34">
        <f>N243*$F$8</f>
        <v>0</v>
      </c>
      <c r="Q243" s="13"/>
      <c r="R243" s="15">
        <f t="shared" ref="R243:R244" si="713">Q243-M243</f>
        <v>0</v>
      </c>
      <c r="S243" s="34">
        <f>R243*$F$8</f>
        <v>0</v>
      </c>
      <c r="T243" s="28"/>
      <c r="U243" s="13"/>
      <c r="V243" s="15">
        <f t="shared" ref="V243:V244" si="714">U243-Q243</f>
        <v>0</v>
      </c>
      <c r="W243" s="34">
        <f>V243*$F$8</f>
        <v>0</v>
      </c>
      <c r="Y243" s="13"/>
      <c r="Z243" s="2">
        <f t="shared" ref="Z243:Z244" si="715">Y243-U243</f>
        <v>0</v>
      </c>
      <c r="AA243" s="34">
        <f>Z243*$F$8</f>
        <v>0</v>
      </c>
      <c r="AB243" s="28"/>
      <c r="AC243" s="348"/>
      <c r="AD243" s="15">
        <f t="shared" ref="AD243:AD244" si="716">AC243-Y243</f>
        <v>0</v>
      </c>
      <c r="AE243" s="180">
        <f>AD243*$F$8</f>
        <v>0</v>
      </c>
      <c r="AG243" s="15"/>
      <c r="AH243" s="2">
        <f>(AG243-AC243)*AH5</f>
        <v>0</v>
      </c>
      <c r="AI243" s="45">
        <f>AH243*$G$8</f>
        <v>0</v>
      </c>
      <c r="AJ243" s="15"/>
      <c r="AK243" s="15"/>
      <c r="AL243" s="15">
        <f>(AK243-AG243)*AL5</f>
        <v>0</v>
      </c>
      <c r="AM243" s="45">
        <f>AL243*$G$8</f>
        <v>0</v>
      </c>
      <c r="AN243" s="15"/>
      <c r="AO243" s="13"/>
      <c r="AP243" s="15">
        <f>(AO243-AK243)*AP5</f>
        <v>0</v>
      </c>
      <c r="AQ243" s="45">
        <f>AP243*$G$8</f>
        <v>0</v>
      </c>
      <c r="AR243" s="15"/>
      <c r="AS243" s="13"/>
      <c r="AT243" s="15">
        <f>(AS243-AO243)*AT5</f>
        <v>0</v>
      </c>
      <c r="AU243" s="45">
        <f>AT243*$G$8</f>
        <v>0</v>
      </c>
      <c r="AV243" s="15"/>
      <c r="AW243" s="13"/>
      <c r="AX243" s="15">
        <f>(AW243-AS243)*AX5</f>
        <v>0</v>
      </c>
      <c r="AY243" s="45">
        <f>AX243*$G$8</f>
        <v>0</v>
      </c>
      <c r="AZ243" s="208"/>
      <c r="BA243" s="13"/>
      <c r="BB243" s="15"/>
      <c r="BC243" s="45">
        <f>BB243*$G$8</f>
        <v>0</v>
      </c>
      <c r="BD243" s="208"/>
      <c r="BE243" s="40">
        <f t="shared" ref="BE243:BG243" si="717">J243+N243+R243+V243+Z243+AD243+AH243+AL243+AP243+AT243+AX243+BB243</f>
        <v>0</v>
      </c>
      <c r="BF243" s="41">
        <f t="shared" si="717"/>
        <v>0</v>
      </c>
      <c r="BG243" s="34">
        <f t="shared" si="717"/>
        <v>0</v>
      </c>
      <c r="BH243" s="35">
        <f t="shared" si="711"/>
        <v>0</v>
      </c>
      <c r="BK243" s="2" t="b">
        <f>H243='2021'!BH243</f>
        <v>1</v>
      </c>
    </row>
    <row r="244" ht="15.75" customHeight="1" spans="1:63" x14ac:dyDescent="0.25">
      <c r="A244" s="2">
        <v>27</v>
      </c>
      <c r="B244" s="14"/>
      <c r="C244" s="154" t="s">
        <v>137</v>
      </c>
      <c r="D244" s="14" t="s">
        <v>47</v>
      </c>
      <c r="E244" s="2" t="s">
        <v>48</v>
      </c>
      <c r="F244" s="13">
        <v>18.56</v>
      </c>
      <c r="G244" s="35">
        <v>19.46</v>
      </c>
      <c r="H244" s="34">
        <f>'2021'!BH244</f>
        <v>0</v>
      </c>
      <c r="I244" s="13"/>
      <c r="J244" s="15"/>
      <c r="K244" s="15"/>
      <c r="L244" s="28"/>
      <c r="M244" s="13"/>
      <c r="N244" s="15">
        <f t="shared" si="712"/>
        <v>0</v>
      </c>
      <c r="Q244" s="13"/>
      <c r="R244" s="15">
        <f t="shared" si="713"/>
        <v>0</v>
      </c>
      <c r="S244" s="15"/>
      <c r="T244" s="28"/>
      <c r="U244" s="13"/>
      <c r="V244" s="15">
        <f t="shared" si="714"/>
        <v>0</v>
      </c>
      <c r="W244" s="34">
        <f>V244*$F$10</f>
        <v>0</v>
      </c>
      <c r="Y244" s="13"/>
      <c r="Z244" s="2">
        <f t="shared" si="715"/>
        <v>0</v>
      </c>
      <c r="AA244" s="34">
        <f>Z244*$F$10</f>
        <v>0</v>
      </c>
      <c r="AB244" s="28"/>
      <c r="AC244" s="348"/>
      <c r="AD244" s="15">
        <f t="shared" si="716"/>
        <v>0</v>
      </c>
      <c r="AE244" s="34">
        <f>AD244*$F$10</f>
        <v>0</v>
      </c>
      <c r="AG244" s="15"/>
      <c r="AH244" s="2">
        <f>AG244-AC244</f>
        <v>0</v>
      </c>
      <c r="AI244" s="45">
        <f>AH244*$G$10</f>
        <v>0</v>
      </c>
      <c r="AJ244" s="15"/>
      <c r="AK244" s="15"/>
      <c r="AL244" s="15">
        <f>AK244-AG244</f>
        <v>0</v>
      </c>
      <c r="AM244" s="45">
        <f>AL244*$G$10</f>
        <v>0</v>
      </c>
      <c r="AN244" s="15"/>
      <c r="AO244" s="13"/>
      <c r="AP244" s="15">
        <f>AO244-AK244</f>
        <v>0</v>
      </c>
      <c r="AQ244" s="45">
        <f>AP244*$G$10</f>
        <v>0</v>
      </c>
      <c r="AR244" s="15"/>
      <c r="AS244" s="13"/>
      <c r="AT244" s="15">
        <f>AS244-AO244</f>
        <v>0</v>
      </c>
      <c r="AU244" s="45">
        <f>AT244*$G$10</f>
        <v>0</v>
      </c>
      <c r="AV244" s="15"/>
      <c r="AW244" s="13"/>
      <c r="AX244" s="15">
        <f>AW244-AS244</f>
        <v>0</v>
      </c>
      <c r="AY244" s="45"/>
      <c r="AZ244" s="208"/>
      <c r="BA244" s="13"/>
      <c r="BB244" s="15"/>
      <c r="BC244" s="45"/>
      <c r="BD244" s="208"/>
      <c r="BE244" s="40">
        <f t="shared" ref="BE244:BG244" si="718">J244+N244+R244+V244+Z244+AD244+AH244+AL244+AP244+AT244+AX244+BB244</f>
        <v>0</v>
      </c>
      <c r="BF244" s="41">
        <f t="shared" si="718"/>
        <v>0</v>
      </c>
      <c r="BG244" s="34">
        <f t="shared" si="718"/>
        <v>0</v>
      </c>
      <c r="BH244" s="35">
        <f t="shared" si="711"/>
        <v>0</v>
      </c>
      <c r="BK244" s="2" t="b">
        <f>H244='2021'!BH244</f>
        <v>1</v>
      </c>
    </row>
    <row r="245" ht="15.75" customHeight="1" spans="1:63" x14ac:dyDescent="0.25">
      <c r="A245" s="2">
        <v>27</v>
      </c>
      <c r="B245" s="14"/>
      <c r="C245" s="154" t="s">
        <v>138</v>
      </c>
      <c r="D245" s="14" t="s">
        <v>47</v>
      </c>
      <c r="E245" s="2" t="s">
        <v>49</v>
      </c>
      <c r="F245" s="41">
        <v>500</v>
      </c>
      <c r="G245" s="28"/>
      <c r="H245" s="144">
        <f>'2021'!BH245</f>
        <v>0</v>
      </c>
      <c r="I245" s="13"/>
      <c r="J245" s="15"/>
      <c r="K245" s="15"/>
      <c r="L245" s="28"/>
      <c r="M245" s="13"/>
      <c r="N245" s="15"/>
      <c r="Q245" s="13"/>
      <c r="R245" s="15"/>
      <c r="S245" s="15"/>
      <c r="T245" s="28"/>
      <c r="U245" s="13"/>
      <c r="V245" s="15"/>
      <c r="Y245" s="13"/>
      <c r="Z245" s="2"/>
      <c r="AA245" s="34"/>
      <c r="AB245" s="28"/>
      <c r="AC245" s="348"/>
      <c r="AD245" s="15"/>
      <c r="AG245" s="15"/>
      <c r="AH245" s="2"/>
      <c r="AI245" s="45"/>
      <c r="AJ245" s="15"/>
      <c r="AK245" s="15"/>
      <c r="AL245" s="15"/>
      <c r="AM245" s="45"/>
      <c r="AN245" s="15"/>
      <c r="AO245" s="13"/>
      <c r="AP245" s="15"/>
      <c r="AQ245" s="45"/>
      <c r="AR245" s="15"/>
      <c r="AS245" s="13"/>
      <c r="AT245" s="15"/>
      <c r="AU245" s="45"/>
      <c r="AV245" s="15"/>
      <c r="AW245" s="13"/>
      <c r="AX245" s="15"/>
      <c r="AY245" s="45"/>
      <c r="AZ245" s="28"/>
      <c r="BA245" s="13"/>
      <c r="BB245" s="15"/>
      <c r="BC245" s="45"/>
      <c r="BD245" s="28"/>
      <c r="BE245" s="40">
        <f t="shared" ref="BE245:BG245" si="719">J245+N245+R245+V245+Z245+AD245+AH245+AL245+AP245+AT245+AX245+BB245</f>
        <v>0</v>
      </c>
      <c r="BF245" s="41">
        <f t="shared" si="719"/>
        <v>0</v>
      </c>
      <c r="BG245" s="34">
        <f t="shared" si="719"/>
        <v>0</v>
      </c>
      <c r="BH245" s="35">
        <f t="shared" si="711"/>
        <v>0</v>
      </c>
      <c r="BK245" s="2" t="b">
        <f>H245='2021'!BH245</f>
        <v>1</v>
      </c>
    </row>
    <row r="246" ht="15.75" customHeight="1" spans="1:63" x14ac:dyDescent="0.25">
      <c r="A246" s="2">
        <v>27</v>
      </c>
      <c r="B246" s="14"/>
      <c r="C246" s="154"/>
      <c r="D246" s="14" t="s">
        <v>50</v>
      </c>
      <c r="E246" s="2" t="s">
        <v>49</v>
      </c>
      <c r="F246" s="41">
        <v>1100</v>
      </c>
      <c r="G246" s="28"/>
      <c r="H246" s="180">
        <f>'2021'!BH246</f>
        <v>26822.03</v>
      </c>
      <c r="I246" s="13"/>
      <c r="J246" s="15"/>
      <c r="K246" s="15"/>
      <c r="L246" s="28"/>
      <c r="M246" s="13"/>
      <c r="N246" s="15"/>
      <c r="Q246" s="13"/>
      <c r="R246" s="15"/>
      <c r="S246" s="15"/>
      <c r="T246" s="28"/>
      <c r="U246" s="13"/>
      <c r="V246" s="15"/>
      <c r="Y246" s="13"/>
      <c r="Z246" s="2"/>
      <c r="AA246" s="15"/>
      <c r="AB246" s="28"/>
      <c r="AC246" s="348"/>
      <c r="AD246" s="15"/>
      <c r="AE246" s="34">
        <f>B243*$F$12</f>
        <v>5252</v>
      </c>
      <c r="AG246" s="15"/>
      <c r="AH246" s="2"/>
      <c r="AI246" s="45"/>
      <c r="AJ246" s="15"/>
      <c r="AK246" s="15"/>
      <c r="AL246" s="15"/>
      <c r="AM246" s="45"/>
      <c r="AN246" s="15"/>
      <c r="AO246" s="13"/>
      <c r="AP246" s="15"/>
      <c r="AQ246" s="45"/>
      <c r="AR246" s="15"/>
      <c r="AS246" s="13"/>
      <c r="AT246" s="15"/>
      <c r="AU246" s="45"/>
      <c r="AV246" s="15"/>
      <c r="AW246" s="13"/>
      <c r="AX246" s="15"/>
      <c r="AY246" s="45"/>
      <c r="AZ246" s="28"/>
      <c r="BA246" s="13"/>
      <c r="BB246" s="15"/>
      <c r="BC246" s="45"/>
      <c r="BD246" s="28"/>
      <c r="BE246" s="14"/>
      <c r="BF246" s="41">
        <f t="shared" ref="BF246:BG246" si="720">K246+O246+S246+W246+AA246+AE246+AI246+AM246+AQ246+AU246+AY246+BC246</f>
        <v>5252</v>
      </c>
      <c r="BG246" s="34">
        <f t="shared" si="720"/>
        <v>0</v>
      </c>
      <c r="BH246" s="35">
        <f t="shared" si="711"/>
        <v>32074.03</v>
      </c>
      <c r="BK246" s="2" t="b">
        <f>H246='2021'!BH246</f>
        <v>1</v>
      </c>
    </row>
    <row r="247" ht="15.75" customHeight="1" spans="1:63" x14ac:dyDescent="0.25">
      <c r="A247" s="2">
        <v>27</v>
      </c>
      <c r="B247" s="14"/>
      <c r="D247" s="14" t="s">
        <v>51</v>
      </c>
      <c r="E247" s="2" t="s">
        <v>39</v>
      </c>
      <c r="F247" s="41">
        <v>500</v>
      </c>
      <c r="G247" s="28"/>
      <c r="H247" s="180">
        <f>'2021'!BH247</f>
        <v>3308</v>
      </c>
      <c r="I247" s="13"/>
      <c r="J247" s="15"/>
      <c r="K247" s="15"/>
      <c r="L247" s="28"/>
      <c r="M247" s="13"/>
      <c r="N247" s="15"/>
      <c r="Q247" s="13"/>
      <c r="R247" s="15"/>
      <c r="S247" s="15"/>
      <c r="T247" s="28"/>
      <c r="U247" s="13"/>
      <c r="V247" s="15"/>
      <c r="Y247" s="13"/>
      <c r="Z247" s="2"/>
      <c r="AA247" s="15"/>
      <c r="AB247" s="28"/>
      <c r="AC247" s="348"/>
      <c r="AD247" s="15"/>
      <c r="AE247" s="180">
        <f>$F$13</f>
        <v>1000</v>
      </c>
      <c r="AG247" s="15"/>
      <c r="AH247" s="2"/>
      <c r="AI247" s="45"/>
      <c r="AJ247" s="15"/>
      <c r="AK247" s="15"/>
      <c r="AL247" s="15"/>
      <c r="AM247" s="45"/>
      <c r="AN247" s="15"/>
      <c r="AO247" s="13"/>
      <c r="AP247" s="15"/>
      <c r="AQ247" s="180"/>
      <c r="AR247" s="15"/>
      <c r="AS247" s="13"/>
      <c r="AT247" s="15"/>
      <c r="AU247" s="45"/>
      <c r="AV247" s="15"/>
      <c r="AW247" s="13"/>
      <c r="AX247" s="15"/>
      <c r="AY247" s="45"/>
      <c r="AZ247" s="28"/>
      <c r="BA247" s="13"/>
      <c r="BB247" s="15"/>
      <c r="BC247" s="45"/>
      <c r="BD247" s="28"/>
      <c r="BE247" s="14"/>
      <c r="BF247" s="41">
        <f t="shared" ref="BF247:BG247" si="721">K247+O247+S247+W247+AA247+AE247+AI247+AM247+AQ247+AU247+AY247+BC247</f>
        <v>1000</v>
      </c>
      <c r="BG247" s="34">
        <f t="shared" si="721"/>
        <v>0</v>
      </c>
      <c r="BH247" s="35">
        <f t="shared" si="711"/>
        <v>4308</v>
      </c>
      <c r="BK247" s="2" t="b">
        <f>H247='2021'!BH247</f>
        <v>1</v>
      </c>
    </row>
    <row r="248" ht="15.75" customHeight="1" spans="1:63" x14ac:dyDescent="0.25">
      <c r="A248" s="2">
        <v>27</v>
      </c>
      <c r="B248" s="14"/>
      <c r="D248" s="14" t="s">
        <v>51</v>
      </c>
      <c r="E248" s="2" t="s">
        <v>49</v>
      </c>
      <c r="F248" s="41">
        <v>500</v>
      </c>
      <c r="G248" s="28"/>
      <c r="H248" s="180">
        <f>'2021'!BH248</f>
        <v>2020</v>
      </c>
      <c r="I248" s="13"/>
      <c r="J248" s="15"/>
      <c r="K248" s="15"/>
      <c r="L248" s="28"/>
      <c r="M248" s="13"/>
      <c r="N248" s="15"/>
      <c r="Q248" s="13"/>
      <c r="R248" s="15"/>
      <c r="S248" s="15"/>
      <c r="T248" s="28"/>
      <c r="U248" s="13"/>
      <c r="V248" s="15"/>
      <c r="Y248" s="13"/>
      <c r="Z248" s="2"/>
      <c r="AA248" s="15"/>
      <c r="AB248" s="28"/>
      <c r="AC248" s="348"/>
      <c r="AD248" s="15"/>
      <c r="AE248" s="34"/>
      <c r="AG248" s="15"/>
      <c r="AH248" s="2"/>
      <c r="AI248" s="45"/>
      <c r="AJ248" s="15"/>
      <c r="AK248" s="15"/>
      <c r="AL248" s="15"/>
      <c r="AM248" s="45"/>
      <c r="AN248" s="15"/>
      <c r="AO248" s="13"/>
      <c r="AP248" s="15"/>
      <c r="AQ248" s="180">
        <f>B243*$F$14</f>
        <v>0</v>
      </c>
      <c r="AR248" s="15"/>
      <c r="AS248" s="13"/>
      <c r="AT248" s="15"/>
      <c r="AU248" s="45"/>
      <c r="AV248" s="15"/>
      <c r="AW248" s="13"/>
      <c r="AX248" s="15"/>
      <c r="AY248" s="45"/>
      <c r="AZ248" s="28"/>
      <c r="BA248" s="13"/>
      <c r="BB248" s="15"/>
      <c r="BC248" s="45"/>
      <c r="BD248" s="28"/>
      <c r="BE248" s="14"/>
      <c r="BF248" s="41">
        <f t="shared" ref="BF248:BG248" si="722">K248+O248+S248+W248+AA248+AE248+AI248+AM248+AQ248+AU248+AY248+BC248</f>
        <v>0</v>
      </c>
      <c r="BG248" s="34">
        <f t="shared" si="722"/>
        <v>0</v>
      </c>
      <c r="BH248" s="35">
        <f t="shared" si="711"/>
        <v>2020</v>
      </c>
      <c r="BK248" s="2" t="b">
        <f>H248='2021'!BH248</f>
        <v>1</v>
      </c>
    </row>
    <row r="249" ht="15.75" customHeight="1" spans="1:63" x14ac:dyDescent="0.25">
      <c r="A249" s="2">
        <v>27</v>
      </c>
      <c r="B249" s="14"/>
      <c r="D249" s="14" t="s">
        <v>52</v>
      </c>
      <c r="E249" s="2" t="s">
        <v>39</v>
      </c>
      <c r="F249" s="41">
        <v>500</v>
      </c>
      <c r="G249" s="28"/>
      <c r="H249" s="180">
        <f>'2021'!BH249</f>
        <v>2200</v>
      </c>
      <c r="I249" s="13"/>
      <c r="J249" s="15"/>
      <c r="K249" s="15"/>
      <c r="L249" s="28"/>
      <c r="M249" s="13"/>
      <c r="N249" s="15"/>
      <c r="Q249" s="13"/>
      <c r="R249" s="15"/>
      <c r="S249" s="15"/>
      <c r="T249" s="28"/>
      <c r="U249" s="13"/>
      <c r="V249" s="15"/>
      <c r="Y249" s="13"/>
      <c r="Z249" s="2"/>
      <c r="AA249" s="34">
        <f>$F$15</f>
      </c>
      <c r="AB249" s="28"/>
      <c r="AC249" s="348"/>
      <c r="AD249" s="15"/>
      <c r="AG249" s="15"/>
      <c r="AH249" s="2"/>
      <c r="AI249" s="45"/>
      <c r="AJ249" s="15"/>
      <c r="AK249" s="15"/>
      <c r="AL249" s="15"/>
      <c r="AM249" s="45"/>
      <c r="AN249" s="15"/>
      <c r="AO249" s="13"/>
      <c r="AP249" s="15"/>
      <c r="AQ249" s="45"/>
      <c r="AR249" s="15"/>
      <c r="AS249" s="13"/>
      <c r="AT249" s="15"/>
      <c r="AU249" s="45"/>
      <c r="AV249" s="15"/>
      <c r="AW249" s="13"/>
      <c r="AX249" s="15"/>
      <c r="AY249" s="45"/>
      <c r="AZ249" s="35"/>
      <c r="BA249" s="13"/>
      <c r="BB249" s="15"/>
      <c r="BC249" s="45"/>
      <c r="BD249" s="35"/>
      <c r="BE249" s="14"/>
      <c r="BF249" s="41">
        <f t="shared" ref="BF249:BG249" si="723">K249+O249+S249+W249+AA249+AE249+AI249+AM249+AQ249+AU249+AY249+BC249</f>
        <v>0</v>
      </c>
      <c r="BG249" s="34">
        <f t="shared" si="723"/>
        <v>0</v>
      </c>
      <c r="BH249" s="35">
        <f t="shared" si="711"/>
        <v>2200</v>
      </c>
      <c r="BK249" s="2" t="b">
        <f>H249='2021'!BH249</f>
        <v>1</v>
      </c>
    </row>
    <row r="250" ht="15.75" customHeight="1" spans="1:63" x14ac:dyDescent="0.25">
      <c r="A250" s="247">
        <v>27</v>
      </c>
      <c r="B250" s="21"/>
      <c r="C250" s="22" t="s">
        <v>53</v>
      </c>
      <c r="D250" s="21"/>
      <c r="E250" s="22"/>
      <c r="F250" s="20"/>
      <c r="G250" s="23"/>
      <c r="H250" s="51">
        <f>SUM(H242:H249)</f>
        <v>36046.89</v>
      </c>
      <c r="I250" s="52"/>
      <c r="J250" s="53"/>
      <c r="K250" s="51">
        <f t="shared" ref="K250:L250" si="724">SUM(K242:K249)</f>
        <v>0</v>
      </c>
      <c r="L250" s="68">
        <f t="shared" si="724"/>
        <v>0</v>
      </c>
      <c r="M250" s="52"/>
      <c r="N250" s="53"/>
      <c r="O250" s="51">
        <f t="shared" ref="O250:P250" si="725">SUM(O242:O249)</f>
        <v>0</v>
      </c>
      <c r="P250" s="51">
        <f t="shared" si="725"/>
        <v>0</v>
      </c>
      <c r="Q250" s="52"/>
      <c r="R250" s="53"/>
      <c r="S250" s="51">
        <f t="shared" ref="S250:T250" si="726">SUM(S242:S249)</f>
        <v>99.67</v>
      </c>
      <c r="T250" s="51">
        <f t="shared" si="726"/>
        <v>0</v>
      </c>
      <c r="U250" s="52"/>
      <c r="V250" s="53"/>
      <c r="W250" s="51">
        <f t="shared" ref="W250:X250" si="727">SUM(W242:W249)</f>
        <v>96.45</v>
      </c>
      <c r="X250" s="51">
        <f t="shared" si="727"/>
        <v>0</v>
      </c>
      <c r="Y250" s="52"/>
      <c r="Z250" s="301"/>
      <c r="AA250" s="51">
        <f t="shared" ref="AA250:AB250" si="728">SUM(AA242:AA249)</f>
        <v>99.67</v>
      </c>
      <c r="AB250" s="51">
        <f t="shared" si="728"/>
        <v>0</v>
      </c>
      <c r="AC250" s="367"/>
      <c r="AD250" s="53"/>
      <c r="AE250" s="51">
        <f t="shared" ref="AE250:AF250" si="729">SUM(AE242:AE249)</f>
        <v>6348.45</v>
      </c>
      <c r="AF250" s="51">
        <f t="shared" si="729"/>
        <v>0</v>
      </c>
      <c r="AG250" s="52"/>
      <c r="AH250" s="301"/>
      <c r="AI250" s="183">
        <f t="shared" ref="AI250:AJ250" si="730">SUM(AI242:AI249)</f>
        <v>99.67</v>
      </c>
      <c r="AJ250" s="51">
        <f t="shared" si="730"/>
        <v>0</v>
      </c>
      <c r="AK250" s="52"/>
      <c r="AL250" s="53"/>
      <c r="AM250" s="183">
        <f t="shared" ref="AM250:AN250" si="731">SUM(AM242:AM249)</f>
        <v>0</v>
      </c>
      <c r="AN250" s="51">
        <f t="shared" si="731"/>
        <v>0</v>
      </c>
      <c r="AO250" s="52"/>
      <c r="AP250" s="53"/>
      <c r="AQ250" s="183">
        <f t="shared" ref="AQ250:AR250" si="732">SUM(AQ242:AQ249)</f>
        <v>0</v>
      </c>
      <c r="AR250" s="51">
        <f t="shared" si="732"/>
        <v>0</v>
      </c>
      <c r="AS250" s="52"/>
      <c r="AT250" s="53"/>
      <c r="AU250" s="183">
        <f t="shared" ref="AU250:AV250" si="733">SUM(AU242:AU249)</f>
        <v>0</v>
      </c>
      <c r="AV250" s="68">
        <f t="shared" si="733"/>
        <v>0</v>
      </c>
      <c r="AW250" s="52"/>
      <c r="AX250" s="53"/>
      <c r="AY250" s="183">
        <f t="shared" ref="AY250:AZ250" si="734">SUM(AY242:AY249)</f>
        <v>0</v>
      </c>
      <c r="AZ250" s="68">
        <f t="shared" si="734"/>
        <v>0</v>
      </c>
      <c r="BA250" s="52"/>
      <c r="BB250" s="53"/>
      <c r="BC250" s="183">
        <f t="shared" ref="BC250:BD250" si="735">SUM(BC242:BC249)</f>
        <v>0</v>
      </c>
      <c r="BD250" s="68">
        <f t="shared" si="735"/>
        <v>0</v>
      </c>
      <c r="BE250" s="69"/>
      <c r="BF250" s="70">
        <f t="shared" ref="BF250:BH250" si="736">SUM(BF242:BF249)</f>
        <v>6743.91</v>
      </c>
      <c r="BG250" s="71">
        <f t="shared" si="736"/>
        <v>0</v>
      </c>
      <c r="BH250" s="72">
        <f t="shared" si="736"/>
        <v>42790.8</v>
      </c>
      <c r="BI250" s="34">
        <f>H250+BF250-BG250</f>
        <v>42790.8</v>
      </c>
      <c r="BJ250" s="34">
        <f>BH250-BI250</f>
        <v>0</v>
      </c>
      <c r="BK250" s="2" t="b">
        <f>H250='2021'!BH250</f>
        <v>1</v>
      </c>
    </row>
    <row r="251" ht="15.75" customHeight="1" spans="1:63" x14ac:dyDescent="0.25">
      <c r="A251" s="89">
        <v>28</v>
      </c>
      <c r="B251" s="14"/>
      <c r="D251" s="43" t="s">
        <v>550</v>
      </c>
      <c r="F251" s="13"/>
      <c r="G251" s="28"/>
      <c r="H251" s="34">
        <f>'2021'!BH251</f>
        <v>0</v>
      </c>
      <c r="I251" s="13"/>
      <c r="J251" s="15"/>
      <c r="K251" s="15"/>
      <c r="L251" s="28"/>
      <c r="M251" s="13"/>
      <c r="N251" s="15"/>
      <c r="Q251" s="13"/>
      <c r="R251" s="15"/>
      <c r="S251" s="15"/>
      <c r="T251" s="28"/>
      <c r="U251" s="13"/>
      <c r="V251" s="15"/>
      <c r="W251" s="153"/>
      <c r="X251" s="34"/>
      <c r="Y251" s="13"/>
      <c r="Z251" s="2"/>
      <c r="AA251" s="154">
        <v>248.5</v>
      </c>
      <c r="AB251" s="28"/>
      <c r="AC251" s="348"/>
      <c r="AD251" s="15"/>
      <c r="AF251" s="317">
        <v>248.5</v>
      </c>
      <c r="AG251" s="15"/>
      <c r="AH251" s="2"/>
      <c r="AI251" s="45"/>
      <c r="AJ251" s="15"/>
      <c r="AK251" s="15"/>
      <c r="AM251" s="45"/>
      <c r="AO251" s="13"/>
      <c r="AQ251" s="45"/>
      <c r="AR251" s="1"/>
      <c r="AS251" s="13"/>
      <c r="AU251" s="45"/>
      <c r="AW251" s="13"/>
      <c r="AY251" s="45"/>
      <c r="AZ251" s="28"/>
      <c r="BA251" s="13"/>
      <c r="BB251" s="15"/>
      <c r="BC251" s="45"/>
      <c r="BD251" s="28"/>
      <c r="BE251" s="14"/>
      <c r="BF251" s="41">
        <f t="shared" ref="BF251:BG251" si="737">K251+O251+S251+W251+AA251+AE251+AI251+AM251+AQ251+AU251+AY251+BC251</f>
        <v>248.5</v>
      </c>
      <c r="BG251" s="34">
        <f t="shared" si="737"/>
        <v>248.5</v>
      </c>
      <c r="BH251" s="35">
        <f t="shared" ref="BH251:BH258" si="738">H251+BF251-BG251</f>
        <v>0</v>
      </c>
      <c r="BK251" s="2" t="b">
        <f>H251='2021'!BH251</f>
        <v>1</v>
      </c>
    </row>
    <row r="252" ht="15.75" customHeight="1" spans="1:63" x14ac:dyDescent="0.25">
      <c r="A252" s="250">
        <v>28</v>
      </c>
      <c r="B252" s="14">
        <v>3.96</v>
      </c>
      <c r="C252" s="2" t="s">
        <v>140</v>
      </c>
      <c r="D252" s="14" t="s">
        <v>44</v>
      </c>
      <c r="E252" s="2" t="s">
        <v>45</v>
      </c>
      <c r="F252" s="41">
        <v>2.5</v>
      </c>
      <c r="G252" s="35">
        <v>2.6</v>
      </c>
      <c r="H252" s="180">
        <f>'2021'!BH252</f>
        <v>2003.4</v>
      </c>
      <c r="I252" s="13">
        <v>7502</v>
      </c>
      <c r="J252" s="15">
        <f>I252-'2021'!BA252</f>
        <v>931</v>
      </c>
      <c r="K252" s="34">
        <f>J252*$F$8</f>
        <v>2513.7</v>
      </c>
      <c r="L252" s="35">
        <v>2003.4</v>
      </c>
      <c r="M252" s="13">
        <v>8470</v>
      </c>
      <c r="N252" s="37">
        <f t="shared" ref="N252:N253" si="739">M252-I252</f>
        <v>968</v>
      </c>
      <c r="O252" s="34">
        <f>N252*$F$8</f>
        <v>2613.6</v>
      </c>
      <c r="P252" s="15">
        <v>1500</v>
      </c>
      <c r="Q252" s="13">
        <v>9159</v>
      </c>
      <c r="R252" s="15">
        <f t="shared" ref="R252:R253" si="740">Q252-M252</f>
        <v>689</v>
      </c>
      <c r="S252" s="34">
        <f>R252*$F$8</f>
        <v>1860.3</v>
      </c>
      <c r="T252" s="32">
        <f>1000+2627.3</f>
        <v>3627.3</v>
      </c>
      <c r="U252" s="13">
        <v>9624</v>
      </c>
      <c r="V252" s="15">
        <f t="shared" ref="V252:V253" si="741">U252-Q252</f>
        <v>465</v>
      </c>
      <c r="W252" s="34">
        <f>V252*$F$8</f>
        <v>1255.5</v>
      </c>
      <c r="X252" s="39">
        <v>1860.3</v>
      </c>
      <c r="Y252" s="13">
        <v>9807</v>
      </c>
      <c r="Z252" s="286">
        <f t="shared" ref="Z252:Z253" si="742">Y252-U252</f>
        <v>183</v>
      </c>
      <c r="AA252" s="34">
        <f>Z252*$F$8</f>
        <v>494.1</v>
      </c>
      <c r="AB252" s="38">
        <v>1255.5</v>
      </c>
      <c r="AC252" s="368">
        <v>9907</v>
      </c>
      <c r="AD252" s="37">
        <f t="shared" ref="AD252:AD253" si="743">AC252-Y252</f>
        <v>100</v>
      </c>
      <c r="AE252" s="180">
        <f>AD252*$F$8</f>
        <v>270</v>
      </c>
      <c r="AF252" s="1"/>
      <c r="AG252" s="37">
        <v>10009</v>
      </c>
      <c r="AH252" s="2">
        <f>(AG252-AC252)*AH5</f>
        <v>107.712</v>
      </c>
      <c r="AI252" s="45">
        <f>AH252*$G$8</f>
        <v>264.97152</v>
      </c>
      <c r="AJ252" s="248"/>
      <c r="AK252" s="37">
        <v>10098</v>
      </c>
      <c r="AL252" s="15">
        <f>(AK252-AG252)*AL5</f>
        <v>91.492</v>
      </c>
      <c r="AM252" s="45">
        <f>AL252*$G$8</f>
        <v>225.07032</v>
      </c>
      <c r="AN252" s="1">
        <f>264.97+764.1</f>
        <v>1029.07</v>
      </c>
      <c r="AO252" s="13">
        <v>10216</v>
      </c>
      <c r="AP252" s="15">
        <f>(AO252-AK252)*AP5</f>
        <v>121.894</v>
      </c>
      <c r="AQ252" s="45">
        <f>AP252*$G$8</f>
        <v>299.85924</v>
      </c>
      <c r="AR252" s="39">
        <v>225.07</v>
      </c>
      <c r="AS252" s="13">
        <v>10576</v>
      </c>
      <c r="AT252" s="15">
        <f>(AS252-AO252)*AT5</f>
        <v>378</v>
      </c>
      <c r="AU252" s="45">
        <f t="shared" ref="AU252:AU253" si="744">AT252*$G$8</f>
        <v>929.88</v>
      </c>
      <c r="AV252" s="39">
        <v>299.86</v>
      </c>
      <c r="AW252" s="13"/>
      <c r="AX252" s="15">
        <f>(AW252-AS252)*AX5</f>
        <v>0</v>
      </c>
      <c r="AY252" s="45">
        <f>AX252*$G$8</f>
        <v>0</v>
      </c>
      <c r="AZ252" s="242"/>
      <c r="BA252" s="13"/>
      <c r="BB252" s="15"/>
      <c r="BC252" s="45">
        <f>BB252*$G$8</f>
        <v>0</v>
      </c>
      <c r="BD252" s="246"/>
      <c r="BE252" s="40">
        <f t="shared" ref="BE252:BG252" si="745">J252+N252+R252+V252+Z252+AD252+AH252+AL252+AP252+AT252+AX252+BB252</f>
        <v>4035.098</v>
      </c>
      <c r="BF252" s="41">
        <f t="shared" si="745"/>
        <v>10726.98108</v>
      </c>
      <c r="BG252" s="34">
        <f t="shared" si="745"/>
        <v>11800.5</v>
      </c>
      <c r="BH252" s="35">
        <f t="shared" si="738"/>
        <v>929.88108</v>
      </c>
      <c r="BK252" s="2" t="b">
        <f>H252='2021'!BH252</f>
        <v>1</v>
      </c>
    </row>
    <row r="253" ht="15.75" customHeight="1" spans="1:63" x14ac:dyDescent="0.25">
      <c r="A253" s="89">
        <v>28</v>
      </c>
      <c r="B253" s="14"/>
      <c r="C253" s="2" t="s">
        <v>141</v>
      </c>
      <c r="D253" s="14" t="s">
        <v>47</v>
      </c>
      <c r="E253" s="2" t="s">
        <v>48</v>
      </c>
      <c r="F253" s="13">
        <v>18.56</v>
      </c>
      <c r="G253" s="35">
        <v>19.46</v>
      </c>
      <c r="H253" s="180">
        <f>'2021'!BH253</f>
        <v>0</v>
      </c>
      <c r="I253" s="13">
        <v>19</v>
      </c>
      <c r="J253" s="15"/>
      <c r="K253" s="15"/>
      <c r="L253" s="28"/>
      <c r="M253" s="13">
        <v>19</v>
      </c>
      <c r="N253" s="15">
        <f t="shared" si="739"/>
        <v>0</v>
      </c>
      <c r="Q253" s="13">
        <v>19</v>
      </c>
      <c r="R253" s="15">
        <f t="shared" si="740"/>
        <v>0</v>
      </c>
      <c r="S253" s="15"/>
      <c r="T253" s="28"/>
      <c r="U253" s="13">
        <v>19</v>
      </c>
      <c r="V253" s="15">
        <f t="shared" si="741"/>
        <v>0</v>
      </c>
      <c r="W253" s="34">
        <f>V253*$F$10</f>
        <v>0</v>
      </c>
      <c r="Y253" s="13">
        <v>21</v>
      </c>
      <c r="Z253" s="2">
        <f t="shared" si="742"/>
        <v>2</v>
      </c>
      <c r="AA253" s="34">
        <f>Z253*$F$10</f>
        <v>40.7</v>
      </c>
      <c r="AB253" s="28"/>
      <c r="AC253" s="350">
        <v>27</v>
      </c>
      <c r="AD253" s="15">
        <f t="shared" si="743"/>
        <v>6</v>
      </c>
      <c r="AE253" s="34">
        <f>AD253*$F$10</f>
        <v>122.1</v>
      </c>
      <c r="AF253" s="317">
        <v>40.7</v>
      </c>
      <c r="AG253" s="13">
        <v>32</v>
      </c>
      <c r="AH253" s="2">
        <f>AG253-AC253</f>
        <v>5</v>
      </c>
      <c r="AI253" s="45">
        <f>AH253*$G$10</f>
        <v>107</v>
      </c>
      <c r="AJ253" s="180"/>
      <c r="AK253" s="13">
        <v>35</v>
      </c>
      <c r="AL253" s="15">
        <f>AK253-AG253</f>
        <v>3</v>
      </c>
      <c r="AM253" s="45">
        <f>AL253*$G$10</f>
        <v>64.2</v>
      </c>
      <c r="AN253" s="1">
        <v>122.1</v>
      </c>
      <c r="AO253" s="13">
        <v>39</v>
      </c>
      <c r="AP253" s="15">
        <f>AO253-AK253</f>
        <v>4</v>
      </c>
      <c r="AQ253" s="45">
        <f>AP253*$G$10</f>
        <v>85.6</v>
      </c>
      <c r="AR253" s="1">
        <v>171.2</v>
      </c>
      <c r="AS253" s="13">
        <v>39</v>
      </c>
      <c r="AT253" s="15">
        <f>AS253-AO253</f>
        <v>0</v>
      </c>
      <c r="AU253" s="45">
        <f t="shared" si="744"/>
        <v>0</v>
      </c>
      <c r="AV253" s="15">
        <v>85.6</v>
      </c>
      <c r="AW253" s="13"/>
      <c r="AX253" s="15">
        <f>AW253-AS253</f>
        <v>-39</v>
      </c>
      <c r="AY253" s="45"/>
      <c r="AZ253" s="249"/>
      <c r="BA253" s="13"/>
      <c r="BB253" s="15"/>
      <c r="BC253" s="45"/>
      <c r="BD253" s="208"/>
      <c r="BE253" s="40">
        <f t="shared" ref="BE253:BG253" si="746">J253+N253+R253+V253+Z253+AD253+AH253+AL253+AP253+AT253+AX253+BB253</f>
        <v>-19</v>
      </c>
      <c r="BF253" s="41">
        <f t="shared" si="746"/>
        <v>419.6</v>
      </c>
      <c r="BG253" s="34">
        <f t="shared" si="746"/>
        <v>419.6</v>
      </c>
      <c r="BH253" s="35">
        <f t="shared" si="738"/>
        <v>0</v>
      </c>
      <c r="BK253" s="2" t="b">
        <f>H253='2021'!BH253</f>
        <v>1</v>
      </c>
    </row>
    <row r="254" ht="15.75" customHeight="1" spans="1:63" x14ac:dyDescent="0.25">
      <c r="A254" s="89">
        <v>28</v>
      </c>
      <c r="B254" s="14"/>
      <c r="C254" s="2" t="s">
        <v>142</v>
      </c>
      <c r="D254" s="14" t="s">
        <v>47</v>
      </c>
      <c r="E254" s="2" t="s">
        <v>49</v>
      </c>
      <c r="F254" s="41">
        <v>500</v>
      </c>
      <c r="G254" s="28"/>
      <c r="H254" s="180">
        <f>'2021'!BH254</f>
        <v>0</v>
      </c>
      <c r="I254" s="13"/>
      <c r="J254" s="15"/>
      <c r="K254" s="15"/>
      <c r="L254" s="28"/>
      <c r="M254" s="13"/>
      <c r="N254" s="15"/>
      <c r="Q254" s="13"/>
      <c r="R254" s="15"/>
      <c r="S254" s="15"/>
      <c r="T254" s="28"/>
      <c r="U254" s="13"/>
      <c r="V254" s="15"/>
      <c r="Y254" s="13"/>
      <c r="Z254" s="2"/>
      <c r="AA254" s="15"/>
      <c r="AB254" s="28"/>
      <c r="AC254" s="348"/>
      <c r="AD254" s="15"/>
      <c r="AG254" s="15"/>
      <c r="AH254" s="2"/>
      <c r="AI254" s="45"/>
      <c r="AJ254" s="15"/>
      <c r="AK254" s="15"/>
      <c r="AL254" s="15"/>
      <c r="AM254" s="45"/>
      <c r="AN254" s="15"/>
      <c r="AO254" s="13"/>
      <c r="AP254" s="15"/>
      <c r="AQ254" s="45"/>
      <c r="AR254" s="15"/>
      <c r="AS254" s="13"/>
      <c r="AT254" s="15"/>
      <c r="AU254" s="45"/>
      <c r="AV254" s="15"/>
      <c r="AW254" s="13"/>
      <c r="AX254" s="15"/>
      <c r="AY254" s="45"/>
      <c r="AZ254" s="28"/>
      <c r="BA254" s="13"/>
      <c r="BB254" s="15"/>
      <c r="BC254" s="45"/>
      <c r="BD254" s="28"/>
      <c r="BE254" s="14"/>
      <c r="BF254" s="41">
        <f t="shared" ref="BF254:BG254" si="747">K254+O254+S254+W254+AA254+AE254+AI254+AM254+AQ254+AU254+AY254+BC254</f>
        <v>0</v>
      </c>
      <c r="BG254" s="34">
        <f t="shared" si="747"/>
        <v>0</v>
      </c>
      <c r="BH254" s="35">
        <f t="shared" si="738"/>
        <v>0</v>
      </c>
      <c r="BK254" s="2" t="b">
        <f>H254='2021'!BH254</f>
        <v>1</v>
      </c>
    </row>
    <row r="255" ht="15.75" customHeight="1" spans="1:63" x14ac:dyDescent="0.25">
      <c r="A255" s="89">
        <v>28</v>
      </c>
      <c r="B255" s="14"/>
      <c r="C255" s="2" t="s">
        <v>143</v>
      </c>
      <c r="D255" s="14" t="s">
        <v>50</v>
      </c>
      <c r="E255" s="2" t="s">
        <v>49</v>
      </c>
      <c r="F255" s="41">
        <v>1100</v>
      </c>
      <c r="G255" s="28"/>
      <c r="H255" s="180">
        <f>'2021'!BH255</f>
        <v>0</v>
      </c>
      <c r="I255" s="13"/>
      <c r="J255" s="15"/>
      <c r="K255" s="15"/>
      <c r="L255" s="28"/>
      <c r="M255" s="13"/>
      <c r="N255" s="15"/>
      <c r="Q255" s="13"/>
      <c r="R255" s="15"/>
      <c r="S255" s="15"/>
      <c r="T255" s="28"/>
      <c r="U255" s="13"/>
      <c r="V255" s="15"/>
      <c r="Y255" s="13"/>
      <c r="Z255" s="2"/>
      <c r="AA255" s="15"/>
      <c r="AB255" s="28"/>
      <c r="AC255" s="348"/>
      <c r="AD255" s="15"/>
      <c r="AE255" s="34">
        <f>B252*$F$12</f>
        <v>5148</v>
      </c>
      <c r="AG255" s="15"/>
      <c r="AH255" s="2"/>
      <c r="AI255" s="45"/>
      <c r="AJ255" s="248">
        <v>2000</v>
      </c>
      <c r="AK255" s="15"/>
      <c r="AL255" s="15"/>
      <c r="AM255" s="45"/>
      <c r="AN255" s="1">
        <v>3148</v>
      </c>
      <c r="AO255" s="13"/>
      <c r="AP255" s="15"/>
      <c r="AQ255" s="45"/>
      <c r="AR255" s="15"/>
      <c r="AS255" s="13"/>
      <c r="AT255" s="15"/>
      <c r="AU255" s="45"/>
      <c r="AV255" s="15"/>
      <c r="AW255" s="13"/>
      <c r="AX255" s="15"/>
      <c r="AY255" s="45"/>
      <c r="AZ255" s="28"/>
      <c r="BA255" s="13"/>
      <c r="BB255" s="15"/>
      <c r="BC255" s="45"/>
      <c r="BD255" s="28"/>
      <c r="BE255" s="14"/>
      <c r="BF255" s="41">
        <f t="shared" ref="BF255:BG255" si="748">K255+O255+S255+W255+AA255+AE255+AI255+AM255+AQ255+AU255+AY255+BC255</f>
        <v>5148</v>
      </c>
      <c r="BG255" s="34">
        <f t="shared" si="748"/>
        <v>5148</v>
      </c>
      <c r="BH255" s="35">
        <f t="shared" si="738"/>
        <v>0</v>
      </c>
      <c r="BK255" s="2" t="b">
        <f>H255='2021'!BH255</f>
        <v>1</v>
      </c>
    </row>
    <row r="256" ht="15.75" customHeight="1" spans="1:63" x14ac:dyDescent="0.25">
      <c r="A256" s="89">
        <v>28</v>
      </c>
      <c r="B256" s="14"/>
      <c r="C256" s="2" t="s">
        <v>144</v>
      </c>
      <c r="D256" s="14" t="s">
        <v>51</v>
      </c>
      <c r="E256" s="2" t="s">
        <v>39</v>
      </c>
      <c r="F256" s="41">
        <v>500</v>
      </c>
      <c r="G256" s="28"/>
      <c r="H256" s="180">
        <f>'2021'!BH256</f>
        <v>0</v>
      </c>
      <c r="I256" s="13"/>
      <c r="J256" s="15"/>
      <c r="K256" s="15"/>
      <c r="L256" s="28"/>
      <c r="M256" s="13"/>
      <c r="N256" s="15"/>
      <c r="Q256" s="13"/>
      <c r="R256" s="15"/>
      <c r="S256" s="15"/>
      <c r="T256" s="28"/>
      <c r="U256" s="13"/>
      <c r="V256" s="15"/>
      <c r="X256" s="1"/>
      <c r="Y256" s="13"/>
      <c r="Z256" s="2"/>
      <c r="AA256" s="15"/>
      <c r="AB256" s="28"/>
      <c r="AC256" s="348"/>
      <c r="AD256" s="15"/>
      <c r="AE256" s="180">
        <f>$F$13</f>
        <v>1000</v>
      </c>
      <c r="AG256" s="15"/>
      <c r="AH256" s="2"/>
      <c r="AI256" s="45"/>
      <c r="AJ256" s="180"/>
      <c r="AK256" s="15"/>
      <c r="AL256" s="15"/>
      <c r="AM256" s="45"/>
      <c r="AN256" s="1">
        <v>1000</v>
      </c>
      <c r="AO256" s="13"/>
      <c r="AP256" s="15"/>
      <c r="AQ256" s="180"/>
      <c r="AR256" s="15"/>
      <c r="AS256" s="13"/>
      <c r="AT256" s="15"/>
      <c r="AU256" s="45"/>
      <c r="AV256" s="15"/>
      <c r="AW256" s="13"/>
      <c r="AX256" s="15"/>
      <c r="AY256" s="45"/>
      <c r="AZ256" s="28"/>
      <c r="BA256" s="13"/>
      <c r="BB256" s="15"/>
      <c r="BC256" s="45"/>
      <c r="BD256" s="28"/>
      <c r="BE256" s="14"/>
      <c r="BF256" s="41">
        <f t="shared" ref="BF256:BG256" si="749">K256+O256+S256+W256+AA256+AE256+AI256+AM256+AQ256+AU256+AY256+BC256</f>
        <v>1000</v>
      </c>
      <c r="BG256" s="34">
        <f t="shared" si="749"/>
        <v>1000</v>
      </c>
      <c r="BH256" s="35">
        <f t="shared" si="738"/>
        <v>0</v>
      </c>
      <c r="BK256" s="2" t="b">
        <f>H256='2021'!BH256</f>
        <v>1</v>
      </c>
    </row>
    <row r="257" ht="15.75" customHeight="1" spans="1:63" x14ac:dyDescent="0.25">
      <c r="A257" s="89">
        <v>28</v>
      </c>
      <c r="B257" s="14"/>
      <c r="C257" s="2" t="s">
        <v>145</v>
      </c>
      <c r="D257" s="14" t="s">
        <v>51</v>
      </c>
      <c r="E257" s="2" t="s">
        <v>49</v>
      </c>
      <c r="F257" s="41">
        <v>500</v>
      </c>
      <c r="G257" s="28"/>
      <c r="H257" s="180">
        <f>'2021'!BH257</f>
        <v>0</v>
      </c>
      <c r="I257" s="13"/>
      <c r="J257" s="15"/>
      <c r="K257" s="15"/>
      <c r="L257" s="28"/>
      <c r="M257" s="13"/>
      <c r="N257" s="15"/>
      <c r="Q257" s="13"/>
      <c r="R257" s="15"/>
      <c r="S257" s="15"/>
      <c r="T257" s="28"/>
      <c r="U257" s="13"/>
      <c r="V257" s="15"/>
      <c r="X257" s="1"/>
      <c r="Y257" s="13"/>
      <c r="Z257" s="2"/>
      <c r="AA257" s="15"/>
      <c r="AB257" s="28"/>
      <c r="AC257" s="348"/>
      <c r="AD257" s="15"/>
      <c r="AE257" s="34"/>
      <c r="AG257" s="15"/>
      <c r="AH257" s="2"/>
      <c r="AI257" s="45"/>
      <c r="AJ257" s="180"/>
      <c r="AK257" s="15"/>
      <c r="AL257" s="15"/>
      <c r="AM257" s="45"/>
      <c r="AN257" s="15"/>
      <c r="AO257" s="13"/>
      <c r="AP257" s="15"/>
      <c r="AQ257" s="180">
        <f>B252*$F$14</f>
        <v>0</v>
      </c>
      <c r="AR257" s="15"/>
      <c r="AS257" s="13"/>
      <c r="AT257" s="15"/>
      <c r="AU257" s="45"/>
      <c r="AV257" s="15"/>
      <c r="AW257" s="13"/>
      <c r="AX257" s="15"/>
      <c r="AY257" s="45"/>
      <c r="AZ257" s="28"/>
      <c r="BA257" s="13"/>
      <c r="BB257" s="15"/>
      <c r="BC257" s="45"/>
      <c r="BD257" s="28"/>
      <c r="BE257" s="14"/>
      <c r="BF257" s="41">
        <f t="shared" ref="BF257:BG257" si="750">K257+O257+S257+W257+AA257+AE257+AI257+AM257+AQ257+AU257+AY257+BC257</f>
        <v>0</v>
      </c>
      <c r="BG257" s="34">
        <f t="shared" si="750"/>
        <v>0</v>
      </c>
      <c r="BH257" s="35">
        <f t="shared" si="738"/>
        <v>0</v>
      </c>
      <c r="BK257" s="2" t="b">
        <f>H257='2021'!BH257</f>
        <v>1</v>
      </c>
    </row>
    <row r="258" ht="15.75" customHeight="1" spans="1:63" x14ac:dyDescent="0.25">
      <c r="A258" s="89">
        <v>28</v>
      </c>
      <c r="B258" s="14"/>
      <c r="D258" s="14" t="s">
        <v>52</v>
      </c>
      <c r="E258" s="2" t="s">
        <v>39</v>
      </c>
      <c r="F258" s="41">
        <v>500</v>
      </c>
      <c r="G258" s="28"/>
      <c r="H258" s="180">
        <f>'2021'!BH258</f>
        <v>0</v>
      </c>
      <c r="I258" s="13"/>
      <c r="J258" s="15"/>
      <c r="K258" s="15"/>
      <c r="L258" s="28"/>
      <c r="M258" s="13"/>
      <c r="N258" s="15"/>
      <c r="Q258" s="13"/>
      <c r="R258" s="15"/>
      <c r="S258" s="15"/>
      <c r="T258" s="28"/>
      <c r="U258" s="13"/>
      <c r="V258" s="15"/>
      <c r="Y258" s="13"/>
      <c r="Z258" s="2"/>
      <c r="AA258" s="84"/>
      <c r="AB258" s="28"/>
      <c r="AC258" s="348"/>
      <c r="AD258" s="15"/>
      <c r="AG258" s="15"/>
      <c r="AH258" s="2"/>
      <c r="AI258" s="45"/>
      <c r="AJ258" s="15"/>
      <c r="AK258" s="15"/>
      <c r="AL258" s="15"/>
      <c r="AM258" s="45"/>
      <c r="AN258" s="15"/>
      <c r="AO258" s="13"/>
      <c r="AP258" s="15"/>
      <c r="AQ258" s="45"/>
      <c r="AR258" s="15"/>
      <c r="AS258" s="13"/>
      <c r="AT258" s="15"/>
      <c r="AU258" s="45"/>
      <c r="AV258" s="15"/>
      <c r="AW258" s="13"/>
      <c r="AX258" s="15"/>
      <c r="AY258" s="45"/>
      <c r="AZ258" s="35"/>
      <c r="BA258" s="13"/>
      <c r="BB258" s="15"/>
      <c r="BC258" s="45"/>
      <c r="BD258" s="35"/>
      <c r="BE258" s="14"/>
      <c r="BF258" s="41">
        <f t="shared" ref="BF258:BG258" si="751">K258+O258+S258+W258+AA258+AE258+AI258+AM258+AQ258+AU258+AY258+BC258</f>
        <v>0</v>
      </c>
      <c r="BG258" s="34">
        <f t="shared" si="751"/>
        <v>0</v>
      </c>
      <c r="BH258" s="35">
        <f t="shared" si="738"/>
        <v>0</v>
      </c>
      <c r="BK258" s="2" t="b">
        <f>H258='2021'!BH258</f>
        <v>1</v>
      </c>
    </row>
    <row r="259" ht="15.75" customHeight="1" spans="1:63" x14ac:dyDescent="0.25">
      <c r="A259" s="243">
        <v>28</v>
      </c>
      <c r="B259" s="21"/>
      <c r="C259" s="22" t="s">
        <v>53</v>
      </c>
      <c r="D259" s="21"/>
      <c r="E259" s="22"/>
      <c r="F259" s="20"/>
      <c r="G259" s="23"/>
      <c r="H259" s="51">
        <f>SUM(H251:H258)</f>
        <v>2003.4</v>
      </c>
      <c r="I259" s="52"/>
      <c r="J259" s="53"/>
      <c r="K259" s="51">
        <f t="shared" ref="K259:L259" si="752">SUM(K251:K258)</f>
        <v>2513.7</v>
      </c>
      <c r="L259" s="68">
        <f t="shared" si="752"/>
        <v>2003.4</v>
      </c>
      <c r="M259" s="52"/>
      <c r="N259" s="53"/>
      <c r="O259" s="51">
        <f t="shared" ref="O259:P259" si="753">SUM(O251:O258)</f>
        <v>2613.6</v>
      </c>
      <c r="P259" s="51">
        <f t="shared" si="753"/>
        <v>1500</v>
      </c>
      <c r="Q259" s="52"/>
      <c r="R259" s="53"/>
      <c r="S259" s="51">
        <f t="shared" ref="S259:T259" si="754">SUM(S251:S258)</f>
        <v>1860.3</v>
      </c>
      <c r="T259" s="51">
        <f t="shared" si="754"/>
        <v>3627.3</v>
      </c>
      <c r="U259" s="52"/>
      <c r="V259" s="53"/>
      <c r="W259" s="51">
        <f t="shared" ref="W259:X259" si="755">SUM(W251:W258)</f>
        <v>1255.5</v>
      </c>
      <c r="X259" s="51">
        <f t="shared" si="755"/>
        <v>1860.3</v>
      </c>
      <c r="Y259" s="52"/>
      <c r="Z259" s="301"/>
      <c r="AA259" s="51">
        <f t="shared" ref="AA259:AB259" si="756">SUM(AA251:AA258)</f>
        <v>783.3</v>
      </c>
      <c r="AB259" s="51">
        <f t="shared" si="756"/>
        <v>1255.5</v>
      </c>
      <c r="AC259" s="367"/>
      <c r="AD259" s="53"/>
      <c r="AE259" s="51">
        <f t="shared" ref="AE259:AF259" si="757">SUM(AE251:AE258)</f>
        <v>6540.1</v>
      </c>
      <c r="AF259" s="51">
        <f t="shared" si="757"/>
        <v>289.2</v>
      </c>
      <c r="AG259" s="52"/>
      <c r="AH259" s="301"/>
      <c r="AI259" s="183">
        <f t="shared" ref="AI259:AJ259" si="758">SUM(AI251:AI258)</f>
        <v>371.97152</v>
      </c>
      <c r="AJ259" s="51">
        <f t="shared" si="758"/>
        <v>2000</v>
      </c>
      <c r="AK259" s="52"/>
      <c r="AL259" s="53"/>
      <c r="AM259" s="183">
        <f t="shared" ref="AM259:AN259" si="759">SUM(AM251:AM258)</f>
        <v>289.27032</v>
      </c>
      <c r="AN259" s="51">
        <f t="shared" si="759"/>
        <v>5299.17</v>
      </c>
      <c r="AO259" s="52"/>
      <c r="AP259" s="53"/>
      <c r="AQ259" s="183">
        <f t="shared" ref="AQ259:AR259" si="760">SUM(AQ251:AQ258)</f>
        <v>385.45924</v>
      </c>
      <c r="AR259" s="51">
        <f t="shared" si="760"/>
        <v>396.27</v>
      </c>
      <c r="AS259" s="52"/>
      <c r="AT259" s="53"/>
      <c r="AU259" s="183">
        <f t="shared" ref="AU259:AV259" si="761">SUM(AU251:AU258)</f>
        <v>929.88</v>
      </c>
      <c r="AV259" s="68">
        <f t="shared" si="761"/>
        <v>385.46</v>
      </c>
      <c r="AW259" s="52"/>
      <c r="AX259" s="53"/>
      <c r="AY259" s="183">
        <f t="shared" ref="AY259:AZ259" si="762">SUM(AY251:AY258)</f>
        <v>0</v>
      </c>
      <c r="AZ259" s="68">
        <f t="shared" si="762"/>
        <v>0</v>
      </c>
      <c r="BA259" s="52"/>
      <c r="BB259" s="53"/>
      <c r="BC259" s="183">
        <f t="shared" ref="BC259:BD259" si="763">SUM(BC251:BC258)</f>
        <v>0</v>
      </c>
      <c r="BD259" s="68">
        <f t="shared" si="763"/>
        <v>0</v>
      </c>
      <c r="BE259" s="69"/>
      <c r="BF259" s="70">
        <f t="shared" ref="BF259:BH259" si="764">SUM(BF251:BF258)</f>
        <v>17543.08108</v>
      </c>
      <c r="BG259" s="71">
        <f t="shared" si="764"/>
        <v>18616.6</v>
      </c>
      <c r="BH259" s="72">
        <f t="shared" si="764"/>
        <v>929.88108</v>
      </c>
      <c r="BI259" s="34">
        <f>H259+BF259-BG259</f>
        <v>929.88108</v>
      </c>
      <c r="BJ259" s="34">
        <f>BH259-BI259</f>
        <v>0</v>
      </c>
      <c r="BK259" s="2" t="b">
        <f>H259='2021'!BH259</f>
        <v>1</v>
      </c>
    </row>
    <row r="260" ht="15.75" customHeight="1" spans="1:63" x14ac:dyDescent="0.25">
      <c r="A260" s="89">
        <v>30</v>
      </c>
      <c r="B260" s="14"/>
      <c r="D260" s="14" t="s">
        <v>379</v>
      </c>
      <c r="F260" s="13"/>
      <c r="G260" s="28"/>
      <c r="H260" s="34">
        <f>'2021'!BH260</f>
        <v>0</v>
      </c>
      <c r="I260" s="13"/>
      <c r="J260" s="15"/>
      <c r="K260" s="15"/>
      <c r="L260" s="28"/>
      <c r="M260" s="13"/>
      <c r="N260" s="15"/>
      <c r="Q260" s="13"/>
      <c r="R260" s="15"/>
      <c r="S260" s="15"/>
      <c r="T260" s="28"/>
      <c r="U260" s="13"/>
      <c r="V260" s="15"/>
      <c r="Y260" s="13"/>
      <c r="Z260" s="2"/>
      <c r="AA260" s="15"/>
      <c r="AB260" s="28"/>
      <c r="AC260" s="348"/>
      <c r="AD260" s="15"/>
      <c r="AG260" s="15"/>
      <c r="AH260" s="2"/>
      <c r="AI260" s="45"/>
      <c r="AJ260" s="15"/>
      <c r="AK260" s="15"/>
      <c r="AM260" s="45"/>
      <c r="AO260" s="13"/>
      <c r="AQ260" s="45"/>
      <c r="AS260" s="13"/>
      <c r="AU260" s="45"/>
      <c r="AW260" s="13"/>
      <c r="AY260" s="45"/>
      <c r="AZ260" s="28"/>
      <c r="BA260" s="13"/>
      <c r="BB260" s="15"/>
      <c r="BC260" s="45"/>
      <c r="BD260" s="28"/>
      <c r="BE260" s="14"/>
      <c r="BF260" s="41">
        <f t="shared" ref="BF260:BG260" si="765">K260+O260+S260+W260+AA260+AE260+AI260+AM260+AQ260+AU260+AY260+BC260</f>
        <v>0</v>
      </c>
      <c r="BG260" s="34">
        <f t="shared" si="765"/>
        <v>0</v>
      </c>
      <c r="BH260" s="35">
        <f t="shared" ref="BH260:BH267" si="766">H260+BF260-BG260</f>
        <v>0</v>
      </c>
      <c r="BK260" s="2" t="b">
        <f>H260='2021'!BH260</f>
        <v>1</v>
      </c>
    </row>
    <row r="261" ht="15.75" customHeight="1" spans="1:63" x14ac:dyDescent="0.25">
      <c r="A261" s="89">
        <v>30</v>
      </c>
      <c r="B261" s="14">
        <v>4.05</v>
      </c>
      <c r="C261" s="2" t="s">
        <v>496</v>
      </c>
      <c r="D261" s="14" t="s">
        <v>44</v>
      </c>
      <c r="E261" s="2" t="s">
        <v>45</v>
      </c>
      <c r="F261" s="41">
        <v>2.5</v>
      </c>
      <c r="G261" s="35">
        <v>2.6</v>
      </c>
      <c r="H261" s="180">
        <f>'2021'!BH261</f>
        <v>0</v>
      </c>
      <c r="I261" s="13">
        <v>206</v>
      </c>
      <c r="J261" s="15">
        <f>I261-'2021'!BA261</f>
        <v>0</v>
      </c>
      <c r="K261" s="34">
        <f>J261*$F$8</f>
        <v>0</v>
      </c>
      <c r="L261" s="35"/>
      <c r="M261" s="13">
        <v>206</v>
      </c>
      <c r="N261" s="37">
        <f t="shared" ref="N261:N262" si="767">M261-I261</f>
        <v>0</v>
      </c>
      <c r="O261" s="34">
        <f>N261*$F$8</f>
        <v>0</v>
      </c>
      <c r="P261" s="38"/>
      <c r="Q261" s="13">
        <v>206</v>
      </c>
      <c r="R261" s="15">
        <f t="shared" ref="R261:R262" si="768">Q261-M261</f>
        <v>0</v>
      </c>
      <c r="S261" s="34">
        <f>R261*$F$8</f>
        <v>0</v>
      </c>
      <c r="T261" s="35"/>
      <c r="U261" s="13">
        <v>206</v>
      </c>
      <c r="V261" s="15">
        <f t="shared" ref="V261:V262" si="769">U261-Q261</f>
        <v>0</v>
      </c>
      <c r="W261" s="34">
        <f>V261*$F$8</f>
        <v>0</v>
      </c>
      <c r="X261" s="34"/>
      <c r="Y261" s="13">
        <v>226</v>
      </c>
      <c r="Z261" s="286">
        <f>Y261-U261</f>
        <v>20</v>
      </c>
      <c r="AA261" s="34">
        <f>Z261*$F$8</f>
        <v>54</v>
      </c>
      <c r="AB261" s="28">
        <v>54</v>
      </c>
      <c r="AC261" s="368">
        <v>315</v>
      </c>
      <c r="AD261" s="37">
        <f t="shared" ref="AD261:AD262" si="770">AC261-Y261</f>
        <v>89</v>
      </c>
      <c r="AE261" s="180">
        <f>AD261*$F$8</f>
        <v>240.3</v>
      </c>
      <c r="AF261" s="1"/>
      <c r="AG261" s="37">
        <v>355</v>
      </c>
      <c r="AH261" s="2">
        <f>(AG261-AC261)*AH5</f>
        <v>42.24</v>
      </c>
      <c r="AI261" s="45">
        <f>AH261*$G$8</f>
        <v>103.9104</v>
      </c>
      <c r="AJ261" s="248">
        <f>54+186.3</f>
        <v>240.3</v>
      </c>
      <c r="AK261" s="37">
        <v>401</v>
      </c>
      <c r="AL261" s="15">
        <f>(AK261-AG261)*AL5</f>
        <v>47.288</v>
      </c>
      <c r="AM261" s="45">
        <f>AL261*$G$8</f>
        <v>116.32848</v>
      </c>
      <c r="AN261" s="1">
        <f>103.91+116.33</f>
        <v>220.24</v>
      </c>
      <c r="AO261" s="13">
        <v>429</v>
      </c>
      <c r="AP261" s="15">
        <f>(AO261-AK261)*AP5</f>
        <v>28.924</v>
      </c>
      <c r="AQ261" s="45">
        <f>AP261*$G$8</f>
        <v>71.15304</v>
      </c>
      <c r="AR261" s="1">
        <v>71.15</v>
      </c>
      <c r="AS261" s="13">
        <v>432</v>
      </c>
      <c r="AT261" s="15">
        <f>(AS261-AO261)*AT5</f>
        <v>3.15</v>
      </c>
      <c r="AU261" s="45">
        <f t="shared" ref="AU261:AU262" si="771">AT261*$G$8</f>
        <v>7.749</v>
      </c>
      <c r="AV261" s="39"/>
      <c r="AW261" s="13"/>
      <c r="AX261" s="15">
        <f>(AW261-AS261)*AX5</f>
        <v>0</v>
      </c>
      <c r="AY261" s="45">
        <f>AX261*$G$8</f>
        <v>0</v>
      </c>
      <c r="AZ261" s="208"/>
      <c r="BA261" s="13"/>
      <c r="BB261" s="15"/>
      <c r="BC261" s="45">
        <f>BB261*$G$8</f>
        <v>0</v>
      </c>
      <c r="BD261" s="208"/>
      <c r="BE261" s="40">
        <f t="shared" ref="BE261:BG261" si="772">J261+N261+R261+V261+Z261+AD261+AH261+AL261+AP261+AT261+AX261+BB261</f>
        <v>230.602</v>
      </c>
      <c r="BF261" s="41">
        <f t="shared" si="772"/>
        <v>593.44092</v>
      </c>
      <c r="BG261" s="34">
        <f t="shared" si="772"/>
        <v>585.69</v>
      </c>
      <c r="BH261" s="35">
        <f t="shared" si="766"/>
        <v>7.75092</v>
      </c>
      <c r="BK261" s="2" t="b">
        <f>H261='2021'!BH261</f>
        <v>1</v>
      </c>
    </row>
    <row r="262" ht="15.75" customHeight="1" spans="1:63" x14ac:dyDescent="0.25">
      <c r="A262" s="89">
        <v>30</v>
      </c>
      <c r="B262" s="14"/>
      <c r="C262" s="2" t="s">
        <v>235</v>
      </c>
      <c r="D262" s="14" t="s">
        <v>47</v>
      </c>
      <c r="E262" s="2" t="s">
        <v>48</v>
      </c>
      <c r="F262" s="13">
        <v>18.56</v>
      </c>
      <c r="G262" s="35">
        <v>19.46</v>
      </c>
      <c r="H262" s="180">
        <f>'2021'!BH262</f>
        <v>0</v>
      </c>
      <c r="I262" s="13">
        <v>81</v>
      </c>
      <c r="J262" s="15"/>
      <c r="K262" s="15"/>
      <c r="L262" s="28"/>
      <c r="M262" s="13">
        <v>81</v>
      </c>
      <c r="N262" s="15">
        <f t="shared" si="767"/>
        <v>0</v>
      </c>
      <c r="P262" s="1"/>
      <c r="Q262" s="13">
        <v>81</v>
      </c>
      <c r="R262" s="15">
        <f t="shared" si="768"/>
        <v>0</v>
      </c>
      <c r="S262" s="15"/>
      <c r="T262" s="28"/>
      <c r="U262" s="13">
        <v>81</v>
      </c>
      <c r="V262" s="15">
        <f t="shared" si="769"/>
        <v>0</v>
      </c>
      <c r="W262" s="34">
        <f>V262*$F$10</f>
        <v>0</v>
      </c>
      <c r="Y262" s="13">
        <v>0</v>
      </c>
      <c r="Z262" s="2">
        <v>0</v>
      </c>
      <c r="AA262" s="34">
        <f>Z262*$F$10</f>
        <v>0</v>
      </c>
      <c r="AB262" s="28"/>
      <c r="AC262" s="350">
        <v>18</v>
      </c>
      <c r="AD262" s="15">
        <f t="shared" si="770"/>
        <v>18</v>
      </c>
      <c r="AE262" s="34">
        <f>AD262*$F$10</f>
        <v>366.3</v>
      </c>
      <c r="AF262" s="1"/>
      <c r="AG262" s="13">
        <v>36</v>
      </c>
      <c r="AH262" s="2">
        <f>AG262-AC262</f>
        <v>18</v>
      </c>
      <c r="AI262" s="45">
        <f>AH262*$G$10</f>
        <v>385.2</v>
      </c>
      <c r="AJ262" s="248">
        <v>366.3</v>
      </c>
      <c r="AK262" s="13">
        <v>46</v>
      </c>
      <c r="AL262" s="15">
        <f>AK262-AG262</f>
        <v>10</v>
      </c>
      <c r="AM262" s="45">
        <f>AL262*$G$10</f>
        <v>214</v>
      </c>
      <c r="AN262" s="1">
        <f>385.2+214</f>
        <v>599.2</v>
      </c>
      <c r="AO262" s="13">
        <v>56</v>
      </c>
      <c r="AP262" s="15">
        <f>AO262-AK262</f>
        <v>10</v>
      </c>
      <c r="AQ262" s="45">
        <f>AP262*$G$10</f>
        <v>214</v>
      </c>
      <c r="AR262" s="1"/>
      <c r="AS262" s="13">
        <v>56</v>
      </c>
      <c r="AT262" s="15">
        <f>AS262-AO262</f>
        <v>0</v>
      </c>
      <c r="AU262" s="45">
        <f t="shared" si="771"/>
        <v>0</v>
      </c>
      <c r="AV262" s="15">
        <v>214</v>
      </c>
      <c r="AW262" s="13"/>
      <c r="AX262" s="15">
        <f>AW262-AS262</f>
        <v>-56</v>
      </c>
      <c r="AY262" s="45"/>
      <c r="AZ262" s="208"/>
      <c r="BA262" s="13"/>
      <c r="BB262" s="15"/>
      <c r="BC262" s="45"/>
      <c r="BD262" s="208"/>
      <c r="BE262" s="40">
        <f t="shared" ref="BE262:BG262" si="773">J262+N262+R262+V262+Z262+AD262+AH262+AL262+AP262+AT262+AX262+BB262</f>
        <v>0</v>
      </c>
      <c r="BF262" s="41">
        <f t="shared" si="773"/>
        <v>1179.5</v>
      </c>
      <c r="BG262" s="34">
        <f t="shared" si="773"/>
        <v>1179.5</v>
      </c>
      <c r="BH262" s="35">
        <f t="shared" si="766"/>
        <v>0</v>
      </c>
      <c r="BK262" s="2" t="b">
        <f>H262='2021'!BH262</f>
        <v>1</v>
      </c>
    </row>
    <row r="263" ht="15.75" customHeight="1" spans="1:63" x14ac:dyDescent="0.25">
      <c r="A263" s="89">
        <v>30</v>
      </c>
      <c r="B263" s="14"/>
      <c r="C263" s="2" t="s">
        <v>497</v>
      </c>
      <c r="D263" s="14" t="s">
        <v>47</v>
      </c>
      <c r="E263" s="2" t="s">
        <v>49</v>
      </c>
      <c r="F263" s="41">
        <v>500</v>
      </c>
      <c r="G263" s="28"/>
      <c r="H263" s="180">
        <f>'2021'!BH263</f>
        <v>0</v>
      </c>
      <c r="I263" s="13"/>
      <c r="J263" s="15"/>
      <c r="K263" s="15"/>
      <c r="L263" s="28"/>
      <c r="M263" s="13"/>
      <c r="N263" s="15"/>
      <c r="P263" s="1"/>
      <c r="Q263" s="13"/>
      <c r="R263" s="15"/>
      <c r="S263" s="15"/>
      <c r="T263" s="28"/>
      <c r="U263" s="13"/>
      <c r="V263" s="15"/>
      <c r="Y263" s="13"/>
      <c r="Z263" s="2"/>
      <c r="AA263" s="15"/>
      <c r="AB263" s="28"/>
      <c r="AC263" s="348"/>
      <c r="AD263" s="15"/>
      <c r="AG263" s="15"/>
      <c r="AH263" s="2"/>
      <c r="AI263" s="45"/>
      <c r="AJ263" s="15"/>
      <c r="AK263" s="15"/>
      <c r="AL263" s="15"/>
      <c r="AM263" s="45"/>
      <c r="AN263" s="15"/>
      <c r="AO263" s="13"/>
      <c r="AP263" s="15"/>
      <c r="AQ263" s="45"/>
      <c r="AR263" s="1"/>
      <c r="AS263" s="13"/>
      <c r="AT263" s="15"/>
      <c r="AU263" s="45"/>
      <c r="AV263" s="15"/>
      <c r="AW263" s="13"/>
      <c r="AX263" s="15"/>
      <c r="AY263" s="45"/>
      <c r="AZ263" s="28"/>
      <c r="BA263" s="13"/>
      <c r="BB263" s="15"/>
      <c r="BC263" s="45"/>
      <c r="BD263" s="28"/>
      <c r="BE263" s="14"/>
      <c r="BF263" s="41">
        <f t="shared" ref="BF263:BG263" si="774">K263+O263+S263+W263+AA263+AE263+AI263+AM263+AQ263+AU263+AY263+BC263</f>
        <v>0</v>
      </c>
      <c r="BG263" s="34">
        <f t="shared" si="774"/>
        <v>0</v>
      </c>
      <c r="BH263" s="35">
        <f t="shared" si="766"/>
        <v>0</v>
      </c>
      <c r="BK263" s="2" t="b">
        <f>H263='2021'!BH263</f>
        <v>1</v>
      </c>
    </row>
    <row r="264" ht="15.75" customHeight="1" spans="1:63" x14ac:dyDescent="0.25">
      <c r="A264" s="89">
        <v>30</v>
      </c>
      <c r="B264" s="14"/>
      <c r="C264" s="2" t="s">
        <v>498</v>
      </c>
      <c r="D264" s="14" t="s">
        <v>50</v>
      </c>
      <c r="E264" s="2" t="s">
        <v>49</v>
      </c>
      <c r="F264" s="41">
        <v>1100</v>
      </c>
      <c r="G264" s="28"/>
      <c r="H264" s="180">
        <f>'2021'!BH264</f>
        <v>0</v>
      </c>
      <c r="I264" s="13"/>
      <c r="J264" s="15"/>
      <c r="K264" s="15"/>
      <c r="L264" s="28"/>
      <c r="M264" s="13"/>
      <c r="N264" s="15"/>
      <c r="P264" s="1"/>
      <c r="Q264" s="13"/>
      <c r="R264" s="15"/>
      <c r="S264" s="15"/>
      <c r="T264" s="28"/>
      <c r="U264" s="13"/>
      <c r="V264" s="15"/>
      <c r="Y264" s="13"/>
      <c r="Z264" s="2"/>
      <c r="AA264" s="15"/>
      <c r="AB264" s="28"/>
      <c r="AC264" s="348"/>
      <c r="AD264" s="15"/>
      <c r="AE264" s="34">
        <f>B261*$F$12</f>
        <v>5265</v>
      </c>
      <c r="AG264" s="15"/>
      <c r="AH264" s="2"/>
      <c r="AI264" s="45"/>
      <c r="AJ264" s="248">
        <f>265+1500</f>
        <v>1765</v>
      </c>
      <c r="AK264" s="15"/>
      <c r="AL264" s="15"/>
      <c r="AM264" s="45"/>
      <c r="AN264" s="39">
        <v>1500</v>
      </c>
      <c r="AO264" s="13"/>
      <c r="AP264" s="15"/>
      <c r="AQ264" s="45"/>
      <c r="AR264" s="1">
        <v>2000</v>
      </c>
      <c r="AS264" s="13"/>
      <c r="AT264" s="15"/>
      <c r="AU264" s="45"/>
      <c r="AV264" s="15"/>
      <c r="AW264" s="13"/>
      <c r="AX264" s="15"/>
      <c r="AY264" s="45"/>
      <c r="AZ264" s="28"/>
      <c r="BA264" s="13"/>
      <c r="BB264" s="15"/>
      <c r="BC264" s="45"/>
      <c r="BD264" s="28"/>
      <c r="BE264" s="14"/>
      <c r="BF264" s="41">
        <f t="shared" ref="BF264:BG264" si="775">K264+O264+S264+W264+AA264+AE264+AI264+AM264+AQ264+AU264+AY264+BC264</f>
        <v>5265</v>
      </c>
      <c r="BG264" s="34">
        <f t="shared" si="775"/>
        <v>5265</v>
      </c>
      <c r="BH264" s="35">
        <f t="shared" si="766"/>
        <v>0</v>
      </c>
      <c r="BK264" s="2" t="b">
        <f>H264='2021'!BH264</f>
        <v>1</v>
      </c>
    </row>
    <row r="265" ht="15.75" customHeight="1" spans="1:63" x14ac:dyDescent="0.25">
      <c r="A265" s="89">
        <v>30</v>
      </c>
      <c r="B265" s="14"/>
      <c r="D265" s="14" t="s">
        <v>51</v>
      </c>
      <c r="E265" s="2" t="s">
        <v>39</v>
      </c>
      <c r="F265" s="41">
        <v>500</v>
      </c>
      <c r="G265" s="28"/>
      <c r="H265" s="180">
        <f>'2021'!BH265</f>
        <v>0</v>
      </c>
      <c r="I265" s="13"/>
      <c r="J265" s="15"/>
      <c r="K265" s="15"/>
      <c r="L265" s="28"/>
      <c r="M265" s="13"/>
      <c r="N265" s="15"/>
      <c r="P265" s="1"/>
      <c r="Q265" s="13"/>
      <c r="R265" s="15"/>
      <c r="S265" s="15"/>
      <c r="T265" s="28"/>
      <c r="U265" s="13"/>
      <c r="V265" s="15"/>
      <c r="Y265" s="13"/>
      <c r="Z265" s="2"/>
      <c r="AA265" s="15"/>
      <c r="AB265" s="28"/>
      <c r="AC265" s="348"/>
      <c r="AD265" s="15"/>
      <c r="AE265" s="180">
        <f>$F$13</f>
        <v>1000</v>
      </c>
      <c r="AG265" s="15"/>
      <c r="AH265" s="2"/>
      <c r="AI265" s="45"/>
      <c r="AJ265" s="248">
        <v>1000</v>
      </c>
      <c r="AK265" s="15"/>
      <c r="AL265" s="15"/>
      <c r="AM265" s="45"/>
      <c r="AN265" s="15"/>
      <c r="AO265" s="13"/>
      <c r="AP265" s="15"/>
      <c r="AQ265" s="180"/>
      <c r="AR265" s="1"/>
      <c r="AS265" s="13"/>
      <c r="AT265" s="15"/>
      <c r="AU265" s="45"/>
      <c r="AV265" s="34"/>
      <c r="AW265" s="13"/>
      <c r="AX265" s="15"/>
      <c r="AY265" s="45"/>
      <c r="AZ265" s="28"/>
      <c r="BA265" s="13"/>
      <c r="BB265" s="15"/>
      <c r="BC265" s="45"/>
      <c r="BD265" s="28"/>
      <c r="BE265" s="14"/>
      <c r="BF265" s="41">
        <f t="shared" ref="BF265:BG265" si="776">K265+O265+S265+W265+AA265+AE265+AI265+AM265+AQ265+AU265+AY265+BC265</f>
        <v>1000</v>
      </c>
      <c r="BG265" s="34">
        <f t="shared" si="776"/>
        <v>1000</v>
      </c>
      <c r="BH265" s="35">
        <f t="shared" si="766"/>
        <v>0</v>
      </c>
      <c r="BK265" s="2" t="b">
        <f>H265='2021'!BH265</f>
        <v>1</v>
      </c>
    </row>
    <row r="266" ht="15.75" customHeight="1" spans="1:63" x14ac:dyDescent="0.25">
      <c r="A266" s="89">
        <v>30</v>
      </c>
      <c r="B266" s="14"/>
      <c r="D266" s="14" t="s">
        <v>51</v>
      </c>
      <c r="E266" s="2" t="s">
        <v>49</v>
      </c>
      <c r="F266" s="41">
        <v>500</v>
      </c>
      <c r="G266" s="28"/>
      <c r="H266" s="180">
        <f>'2021'!BH266</f>
        <v>0</v>
      </c>
      <c r="I266" s="13"/>
      <c r="J266" s="15"/>
      <c r="K266" s="15"/>
      <c r="L266" s="28"/>
      <c r="M266" s="13"/>
      <c r="N266" s="15"/>
      <c r="P266" s="1"/>
      <c r="Q266" s="13"/>
      <c r="R266" s="15"/>
      <c r="S266" s="15"/>
      <c r="T266" s="28"/>
      <c r="U266" s="13"/>
      <c r="V266" s="15"/>
      <c r="Y266" s="13"/>
      <c r="Z266" s="2"/>
      <c r="AA266" s="15"/>
      <c r="AB266" s="28"/>
      <c r="AC266" s="348"/>
      <c r="AD266" s="15"/>
      <c r="AE266" s="34"/>
      <c r="AG266" s="15"/>
      <c r="AH266" s="2"/>
      <c r="AI266" s="45"/>
      <c r="AJ266" s="180"/>
      <c r="AK266" s="15"/>
      <c r="AL266" s="15"/>
      <c r="AM266" s="45"/>
      <c r="AN266" s="15"/>
      <c r="AO266" s="13"/>
      <c r="AP266" s="15"/>
      <c r="AQ266" s="180">
        <f>B261*$F$14</f>
        <v>0</v>
      </c>
      <c r="AR266" s="15"/>
      <c r="AS266" s="13"/>
      <c r="AT266" s="15"/>
      <c r="AU266" s="45"/>
      <c r="AV266" s="15"/>
      <c r="AW266" s="13"/>
      <c r="AX266" s="15"/>
      <c r="AY266" s="45"/>
      <c r="AZ266" s="28"/>
      <c r="BA266" s="13"/>
      <c r="BB266" s="15"/>
      <c r="BC266" s="45"/>
      <c r="BD266" s="28"/>
      <c r="BE266" s="14"/>
      <c r="BF266" s="41">
        <f t="shared" ref="BF266:BG266" si="777">K266+O266+S266+W266+AA266+AE266+AI266+AM266+AQ266+AU266+AY266+BC266</f>
        <v>0</v>
      </c>
      <c r="BG266" s="34">
        <f t="shared" si="777"/>
        <v>0</v>
      </c>
      <c r="BH266" s="35">
        <f t="shared" si="766"/>
        <v>0</v>
      </c>
      <c r="BK266" s="2" t="b">
        <f>H266='2021'!BH266</f>
        <v>1</v>
      </c>
    </row>
    <row r="267" ht="15.75" customHeight="1" spans="1:63" x14ac:dyDescent="0.25">
      <c r="A267" s="89">
        <v>30</v>
      </c>
      <c r="B267" s="14"/>
      <c r="D267" s="14" t="s">
        <v>52</v>
      </c>
      <c r="E267" s="2" t="s">
        <v>39</v>
      </c>
      <c r="F267" s="41">
        <v>500</v>
      </c>
      <c r="G267" s="28"/>
      <c r="H267" s="180">
        <f>'2021'!BH267</f>
        <v>0</v>
      </c>
      <c r="I267" s="13"/>
      <c r="J267" s="15"/>
      <c r="K267" s="15"/>
      <c r="L267" s="28"/>
      <c r="M267" s="13"/>
      <c r="N267" s="15"/>
      <c r="Q267" s="13"/>
      <c r="R267" s="15"/>
      <c r="S267" s="15"/>
      <c r="T267" s="28"/>
      <c r="U267" s="13"/>
      <c r="V267" s="15"/>
      <c r="Y267" s="13"/>
      <c r="Z267" s="2"/>
      <c r="AA267" s="34">
        <f>$F$15</f>
      </c>
      <c r="AB267" s="28"/>
      <c r="AC267" s="348"/>
      <c r="AD267" s="15"/>
      <c r="AG267" s="15"/>
      <c r="AH267" s="2"/>
      <c r="AI267" s="45"/>
      <c r="AJ267" s="15"/>
      <c r="AK267" s="15"/>
      <c r="AL267" s="15"/>
      <c r="AM267" s="45"/>
      <c r="AN267" s="15"/>
      <c r="AO267" s="13"/>
      <c r="AP267" s="15"/>
      <c r="AQ267" s="45"/>
      <c r="AR267" s="15"/>
      <c r="AS267" s="13"/>
      <c r="AT267" s="15"/>
      <c r="AU267" s="45"/>
      <c r="AV267" s="15"/>
      <c r="AW267" s="13"/>
      <c r="AX267" s="15"/>
      <c r="AY267" s="45"/>
      <c r="AZ267" s="35"/>
      <c r="BA267" s="13"/>
      <c r="BB267" s="15"/>
      <c r="BC267" s="45"/>
      <c r="BD267" s="35"/>
      <c r="BE267" s="14"/>
      <c r="BF267" s="41">
        <f t="shared" ref="BF267:BG267" si="778">K267+O267+S267+W267+AA267+AE267+AI267+AM267+AQ267+AU267+AY267+BC267</f>
        <v>0</v>
      </c>
      <c r="BG267" s="34">
        <f t="shared" si="778"/>
        <v>0</v>
      </c>
      <c r="BH267" s="35">
        <f t="shared" si="766"/>
        <v>0</v>
      </c>
      <c r="BK267" s="2" t="b">
        <f>H267='2021'!BH267</f>
        <v>1</v>
      </c>
    </row>
    <row r="268" ht="15.75" customHeight="1" spans="1:63" x14ac:dyDescent="0.25">
      <c r="A268" s="243">
        <v>30</v>
      </c>
      <c r="B268" s="21"/>
      <c r="C268" s="22" t="s">
        <v>53</v>
      </c>
      <c r="D268" s="21"/>
      <c r="E268" s="22"/>
      <c r="F268" s="20"/>
      <c r="G268" s="23"/>
      <c r="H268" s="51">
        <f>SUM(H260:H267)</f>
        <v>0</v>
      </c>
      <c r="I268" s="52"/>
      <c r="J268" s="53"/>
      <c r="K268" s="51">
        <f t="shared" ref="K268:L268" si="779">SUM(K260:K267)</f>
        <v>0</v>
      </c>
      <c r="L268" s="68">
        <f t="shared" si="779"/>
        <v>0</v>
      </c>
      <c r="M268" s="52"/>
      <c r="N268" s="53"/>
      <c r="O268" s="51">
        <f t="shared" ref="O268:P268" si="780">SUM(O260:O267)</f>
        <v>0</v>
      </c>
      <c r="P268" s="51">
        <f t="shared" si="780"/>
        <v>0</v>
      </c>
      <c r="Q268" s="52"/>
      <c r="R268" s="53"/>
      <c r="S268" s="51">
        <f t="shared" ref="S268:T268" si="781">SUM(S260:S267)</f>
        <v>0</v>
      </c>
      <c r="T268" s="51">
        <f t="shared" si="781"/>
        <v>0</v>
      </c>
      <c r="U268" s="52"/>
      <c r="V268" s="53"/>
      <c r="W268" s="51">
        <f t="shared" ref="W268:X268" si="782">SUM(W260:W267)</f>
        <v>0</v>
      </c>
      <c r="X268" s="51">
        <f t="shared" si="782"/>
        <v>0</v>
      </c>
      <c r="Y268" s="52"/>
      <c r="Z268" s="301"/>
      <c r="AA268" s="51">
        <f t="shared" ref="AA268:AB268" si="783">SUM(AA260:AA267)</f>
        <v>54</v>
      </c>
      <c r="AB268" s="51">
        <f t="shared" si="783"/>
        <v>54</v>
      </c>
      <c r="AC268" s="367"/>
      <c r="AD268" s="53"/>
      <c r="AE268" s="51">
        <f t="shared" ref="AE268:AF268" si="784">SUM(AE260:AE267)</f>
        <v>6871.6</v>
      </c>
      <c r="AF268" s="51">
        <f t="shared" si="784"/>
        <v>0</v>
      </c>
      <c r="AG268" s="52"/>
      <c r="AH268" s="301"/>
      <c r="AI268" s="183">
        <f t="shared" ref="AI268:AJ268" si="785">SUM(AI260:AI267)</f>
        <v>489.1104</v>
      </c>
      <c r="AJ268" s="51">
        <f t="shared" si="785"/>
        <v>3371.6</v>
      </c>
      <c r="AK268" s="52"/>
      <c r="AL268" s="53"/>
      <c r="AM268" s="183">
        <f t="shared" ref="AM268:AN268" si="786">SUM(AM260:AM267)</f>
        <v>330.32848</v>
      </c>
      <c r="AN268" s="51">
        <f t="shared" si="786"/>
        <v>2319.44</v>
      </c>
      <c r="AO268" s="52"/>
      <c r="AP268" s="53"/>
      <c r="AQ268" s="183">
        <f t="shared" ref="AQ268:AR268" si="787">SUM(AQ260:AQ267)</f>
        <v>285.15304</v>
      </c>
      <c r="AR268" s="51">
        <f t="shared" si="787"/>
        <v>2071.15</v>
      </c>
      <c r="AS268" s="52"/>
      <c r="AT268" s="53"/>
      <c r="AU268" s="183">
        <f t="shared" ref="AU268:AV268" si="788">SUM(AU260:AU267)</f>
        <v>7.749</v>
      </c>
      <c r="AV268" s="68">
        <f t="shared" si="788"/>
        <v>214</v>
      </c>
      <c r="AW268" s="52"/>
      <c r="AX268" s="53"/>
      <c r="AY268" s="183">
        <f t="shared" ref="AY268:AZ268" si="789">SUM(AY260:AY267)</f>
        <v>0</v>
      </c>
      <c r="AZ268" s="68">
        <f t="shared" si="789"/>
        <v>0</v>
      </c>
      <c r="BA268" s="52"/>
      <c r="BB268" s="53"/>
      <c r="BC268" s="183">
        <f t="shared" ref="BC268:BD268" si="790">SUM(BC260:BC267)</f>
        <v>0</v>
      </c>
      <c r="BD268" s="68">
        <f t="shared" si="790"/>
        <v>0</v>
      </c>
      <c r="BE268" s="69"/>
      <c r="BF268" s="70">
        <f t="shared" ref="BF268:BH268" si="791">SUM(BF260:BF267)</f>
        <v>8037.94092</v>
      </c>
      <c r="BG268" s="71">
        <f t="shared" si="791"/>
        <v>8030.19</v>
      </c>
      <c r="BH268" s="72">
        <f t="shared" si="791"/>
        <v>7.75092</v>
      </c>
      <c r="BI268" s="34">
        <f>H268+BF268-BG268</f>
        <v>7.75092</v>
      </c>
      <c r="BJ268" s="34">
        <f>BH268-BI268</f>
        <v>0</v>
      </c>
      <c r="BK268" s="2" t="b">
        <f>H268='2021'!BH268</f>
        <v>1</v>
      </c>
    </row>
    <row r="269" ht="15.75" customHeight="1" spans="1:63" x14ac:dyDescent="0.25">
      <c r="A269" s="89">
        <v>29</v>
      </c>
      <c r="B269" s="14"/>
      <c r="C269" s="15"/>
      <c r="D269" s="14" t="s">
        <v>379</v>
      </c>
      <c r="E269" s="15"/>
      <c r="F269" s="13"/>
      <c r="G269" s="28"/>
      <c r="H269" s="34">
        <f>'2021'!BH269</f>
        <v>0</v>
      </c>
      <c r="I269" s="61"/>
      <c r="J269" s="60"/>
      <c r="K269" s="62"/>
      <c r="L269" s="63"/>
      <c r="M269" s="61"/>
      <c r="N269" s="60"/>
      <c r="O269" s="62"/>
      <c r="P269" s="62"/>
      <c r="Q269" s="61"/>
      <c r="R269" s="60"/>
      <c r="S269" s="62"/>
      <c r="T269" s="62"/>
      <c r="U269" s="61"/>
      <c r="V269" s="60"/>
      <c r="W269" s="62"/>
      <c r="X269" s="62"/>
      <c r="Y269" s="61"/>
      <c r="Z269" s="303"/>
      <c r="AA269" s="62"/>
      <c r="AB269" s="62"/>
      <c r="AC269" s="369"/>
      <c r="AD269" s="60"/>
      <c r="AE269" s="62"/>
      <c r="AF269" s="62"/>
      <c r="AG269" s="251"/>
      <c r="AH269" s="303"/>
      <c r="AI269" s="45"/>
      <c r="AJ269" s="62"/>
      <c r="AK269" s="251"/>
      <c r="AL269" s="60"/>
      <c r="AM269" s="45"/>
      <c r="AN269" s="62"/>
      <c r="AO269" s="61"/>
      <c r="AP269" s="60"/>
      <c r="AQ269" s="45"/>
      <c r="AR269" s="62"/>
      <c r="AS269" s="61"/>
      <c r="AT269" s="60"/>
      <c r="AU269" s="45"/>
      <c r="AV269" s="62"/>
      <c r="AW269" s="61"/>
      <c r="AX269" s="60"/>
      <c r="AY269" s="45"/>
      <c r="AZ269" s="28"/>
      <c r="BA269" s="61"/>
      <c r="BB269" s="15"/>
      <c r="BC269" s="45"/>
      <c r="BD269" s="28"/>
      <c r="BE269" s="65"/>
      <c r="BF269" s="41">
        <f t="shared" ref="BF269:BG269" si="792">K269+O269+S269+W269+AA269+AE269+AI269+AM269+AQ269+AU269+AY269+BC269</f>
        <v>0</v>
      </c>
      <c r="BG269" s="34">
        <f t="shared" si="792"/>
        <v>0</v>
      </c>
      <c r="BH269" s="35">
        <f t="shared" ref="BH269:BH276" si="793">H269+BF269-BG269</f>
        <v>0</v>
      </c>
      <c r="BI269" s="34"/>
      <c r="BJ269" s="34"/>
      <c r="BK269" s="2" t="b">
        <f>H269='2021'!BH269</f>
        <v>1</v>
      </c>
    </row>
    <row r="270" ht="15.75" customHeight="1" spans="1:63" x14ac:dyDescent="0.25">
      <c r="A270" s="2">
        <v>29</v>
      </c>
      <c r="B270" s="14">
        <v>4.02</v>
      </c>
      <c r="C270" s="2" t="s">
        <v>146</v>
      </c>
      <c r="D270" s="14" t="s">
        <v>44</v>
      </c>
      <c r="E270" s="2" t="s">
        <v>45</v>
      </c>
      <c r="F270" s="41">
        <v>2.5</v>
      </c>
      <c r="G270" s="35">
        <v>2.6</v>
      </c>
      <c r="H270" s="104">
        <f>'2021'!BH270</f>
        <v>0</v>
      </c>
      <c r="I270" s="13"/>
      <c r="J270" s="15"/>
      <c r="K270" s="34">
        <f>J270*$F$8</f>
        <v>0</v>
      </c>
      <c r="L270" s="28"/>
      <c r="M270" s="13"/>
      <c r="N270" s="15">
        <f t="shared" ref="N270:N271" si="794">M270-I270</f>
        <v>0</v>
      </c>
      <c r="O270" s="34">
        <f>N270*$F$8</f>
        <v>0</v>
      </c>
      <c r="Q270" s="13"/>
      <c r="R270" s="15">
        <f t="shared" ref="R270:R271" si="795">Q270-M270</f>
        <v>0</v>
      </c>
      <c r="S270" s="34">
        <f>R270*$F$8</f>
        <v>0</v>
      </c>
      <c r="T270" s="28"/>
      <c r="U270" s="13"/>
      <c r="V270" s="15">
        <f t="shared" ref="V270:V271" si="796">U270-Q270</f>
        <v>0</v>
      </c>
      <c r="W270" s="34">
        <f>V270*$F$8</f>
        <v>0</v>
      </c>
      <c r="Y270" s="13"/>
      <c r="Z270" s="2">
        <f t="shared" ref="Z270:Z271" si="797">Y270-U270</f>
        <v>0</v>
      </c>
      <c r="AA270" s="34">
        <f>Z270*$F$8</f>
        <v>0</v>
      </c>
      <c r="AB270" s="28"/>
      <c r="AC270" s="348"/>
      <c r="AD270" s="15">
        <f t="shared" ref="AD270:AD271" si="798">AC270-Y270</f>
        <v>0</v>
      </c>
      <c r="AE270" s="180">
        <f>AD270*$F$8</f>
        <v>0</v>
      </c>
      <c r="AG270" s="15"/>
      <c r="AH270" s="2">
        <f>(AG270-AC270)*AH5</f>
        <v>0</v>
      </c>
      <c r="AI270" s="45">
        <f>AH270*$G$8</f>
        <v>0</v>
      </c>
      <c r="AJ270" s="180"/>
      <c r="AK270" s="15"/>
      <c r="AL270" s="15">
        <f>(AK270-AG270)*AL5</f>
        <v>0</v>
      </c>
      <c r="AM270" s="45">
        <f>AL270*$G$8</f>
        <v>0</v>
      </c>
      <c r="AN270" s="15"/>
      <c r="AO270" s="13"/>
      <c r="AP270" s="15">
        <f>(AO270-AK270)*AP5</f>
        <v>0</v>
      </c>
      <c r="AQ270" s="45">
        <f>AP270*$G$8</f>
        <v>0</v>
      </c>
      <c r="AR270" s="15"/>
      <c r="AS270" s="13"/>
      <c r="AT270" s="15">
        <f>(AS270-AO270)*AT5</f>
        <v>0</v>
      </c>
      <c r="AU270" s="45">
        <f>AT270*$G$8</f>
        <v>0</v>
      </c>
      <c r="AV270" s="15"/>
      <c r="AW270" s="13"/>
      <c r="AX270" s="15">
        <f>(AW270-AS270)*AX5</f>
        <v>0</v>
      </c>
      <c r="AY270" s="45">
        <f>AX270*$G$8</f>
        <v>0</v>
      </c>
      <c r="AZ270" s="208"/>
      <c r="BA270" s="13"/>
      <c r="BB270" s="15"/>
      <c r="BC270" s="45">
        <f>BB270*$G$8</f>
        <v>0</v>
      </c>
      <c r="BD270" s="208"/>
      <c r="BE270" s="40">
        <f t="shared" ref="BE270:BG270" si="799">J270+N270+R270+V270+Z270+AD270+AH270+AL270+AP270+AT270+AX270+BB270</f>
        <v>0</v>
      </c>
      <c r="BF270" s="41">
        <f t="shared" si="799"/>
        <v>0</v>
      </c>
      <c r="BG270" s="34">
        <f t="shared" si="799"/>
        <v>0</v>
      </c>
      <c r="BH270" s="35">
        <f t="shared" si="793"/>
        <v>0</v>
      </c>
      <c r="BK270" s="2" t="b">
        <f>H270='2021'!BH270</f>
        <v>1</v>
      </c>
    </row>
    <row r="271" ht="15.75" customHeight="1" spans="1:63" x14ac:dyDescent="0.25">
      <c r="A271" s="2">
        <v>29</v>
      </c>
      <c r="B271" s="14"/>
      <c r="C271" s="2" t="s">
        <v>87</v>
      </c>
      <c r="D271" s="14" t="s">
        <v>47</v>
      </c>
      <c r="E271" s="2" t="s">
        <v>48</v>
      </c>
      <c r="F271" s="13">
        <v>18.56</v>
      </c>
      <c r="G271" s="35">
        <v>19.46</v>
      </c>
      <c r="H271" s="34">
        <f>'2021'!BH271</f>
        <v>-2.84</v>
      </c>
      <c r="I271" s="13">
        <v>25</v>
      </c>
      <c r="J271" s="15"/>
      <c r="K271" s="15"/>
      <c r="L271" s="28"/>
      <c r="M271" s="13">
        <v>25</v>
      </c>
      <c r="N271" s="15">
        <f t="shared" si="794"/>
        <v>0</v>
      </c>
      <c r="Q271" s="13">
        <v>25</v>
      </c>
      <c r="R271" s="15">
        <f t="shared" si="795"/>
        <v>0</v>
      </c>
      <c r="S271" s="15"/>
      <c r="T271" s="28"/>
      <c r="U271" s="13">
        <v>25</v>
      </c>
      <c r="V271" s="15">
        <f t="shared" si="796"/>
        <v>0</v>
      </c>
      <c r="W271" s="34">
        <f>V271*$F$10</f>
        <v>0</v>
      </c>
      <c r="Y271" s="13">
        <v>25</v>
      </c>
      <c r="Z271" s="2">
        <f t="shared" si="797"/>
        <v>0</v>
      </c>
      <c r="AA271" s="34">
        <f>Z271*$F$10</f>
        <v>0</v>
      </c>
      <c r="AB271" s="28"/>
      <c r="AC271" s="348">
        <v>25</v>
      </c>
      <c r="AD271" s="15">
        <f t="shared" si="798"/>
        <v>0</v>
      </c>
      <c r="AE271" s="34">
        <f>AD271*$F$10</f>
        <v>0</v>
      </c>
      <c r="AG271" s="15">
        <v>25</v>
      </c>
      <c r="AH271" s="2">
        <f>AG271-AC271</f>
        <v>0</v>
      </c>
      <c r="AI271" s="45">
        <f>AH271*$G$10</f>
        <v>0</v>
      </c>
      <c r="AJ271" s="180"/>
      <c r="AK271" s="15">
        <v>25</v>
      </c>
      <c r="AL271" s="15">
        <f>AK271-AG271</f>
        <v>0</v>
      </c>
      <c r="AM271" s="45">
        <f>AL271*$G$10</f>
        <v>0</v>
      </c>
      <c r="AN271" s="15"/>
      <c r="AO271" s="13">
        <v>26</v>
      </c>
      <c r="AP271" s="15">
        <f>AO271-AK271</f>
        <v>1</v>
      </c>
      <c r="AQ271" s="45">
        <f>AP271*$G$10</f>
        <v>21.4</v>
      </c>
      <c r="AR271" s="154">
        <v>18.56</v>
      </c>
      <c r="AS271" s="13">
        <v>26</v>
      </c>
      <c r="AT271" s="15">
        <f>AS271-AO271</f>
        <v>0</v>
      </c>
      <c r="AU271" s="45">
        <f>AT271*$G$10</f>
        <v>0</v>
      </c>
      <c r="AV271" s="15"/>
      <c r="AW271" s="13"/>
      <c r="AX271" s="15">
        <f>AW271-AS271</f>
        <v>-26</v>
      </c>
      <c r="AY271" s="45"/>
      <c r="AZ271" s="208"/>
      <c r="BA271" s="13"/>
      <c r="BB271" s="15"/>
      <c r="BC271" s="45"/>
      <c r="BD271" s="208"/>
      <c r="BE271" s="40">
        <f t="shared" ref="BE271:BG271" si="800">J271+N271+R271+V271+Z271+AD271+AH271+AL271+AP271+AT271+AX271+BB271</f>
        <v>-25</v>
      </c>
      <c r="BF271" s="41">
        <f t="shared" si="800"/>
        <v>21.4</v>
      </c>
      <c r="BG271" s="34">
        <f t="shared" si="800"/>
        <v>18.56</v>
      </c>
      <c r="BH271" s="35">
        <f t="shared" si="793"/>
        <v>0</v>
      </c>
      <c r="BK271" s="2" t="b">
        <f>H271='2021'!BH271</f>
        <v>1</v>
      </c>
    </row>
    <row r="272" ht="15.75" customHeight="1" spans="1:63" x14ac:dyDescent="0.25">
      <c r="A272" s="2">
        <v>29</v>
      </c>
      <c r="B272" s="14"/>
      <c r="C272" s="15" t="s">
        <v>147</v>
      </c>
      <c r="D272" s="14" t="s">
        <v>47</v>
      </c>
      <c r="E272" s="2" t="s">
        <v>49</v>
      </c>
      <c r="F272" s="41">
        <v>500</v>
      </c>
      <c r="G272" s="28"/>
      <c r="H272" s="34">
        <f>'2021'!BH272</f>
        <v>0</v>
      </c>
      <c r="I272" s="13"/>
      <c r="J272" s="15"/>
      <c r="K272" s="15"/>
      <c r="L272" s="28"/>
      <c r="M272" s="13"/>
      <c r="N272" s="15"/>
      <c r="Q272" s="13"/>
      <c r="R272" s="15"/>
      <c r="S272" s="15"/>
      <c r="T272" s="28"/>
      <c r="U272" s="13"/>
      <c r="V272" s="15"/>
      <c r="Y272" s="13"/>
      <c r="Z272" s="2"/>
      <c r="AA272" s="15"/>
      <c r="AB272" s="28"/>
      <c r="AC272" s="348"/>
      <c r="AD272" s="15"/>
      <c r="AG272" s="15"/>
      <c r="AH272" s="2"/>
      <c r="AI272" s="45"/>
      <c r="AJ272" s="15"/>
      <c r="AK272" s="15"/>
      <c r="AL272" s="15"/>
      <c r="AM272" s="45"/>
      <c r="AN272" s="15"/>
      <c r="AO272" s="13"/>
      <c r="AP272" s="15"/>
      <c r="AQ272" s="45"/>
      <c r="AR272" s="15"/>
      <c r="AS272" s="13"/>
      <c r="AT272" s="15"/>
      <c r="AU272" s="45"/>
      <c r="AV272" s="15"/>
      <c r="AW272" s="13"/>
      <c r="AX272" s="15"/>
      <c r="AY272" s="45"/>
      <c r="AZ272" s="28"/>
      <c r="BA272" s="13"/>
      <c r="BB272" s="15"/>
      <c r="BC272" s="45"/>
      <c r="BD272" s="28"/>
      <c r="BE272" s="14"/>
      <c r="BF272" s="41">
        <f t="shared" ref="BF272:BG272" si="801">K272+O272+S272+W272+AA272+AE272+AI272+AM272+AQ272+AU272+AY272+BC272</f>
        <v>0</v>
      </c>
      <c r="BG272" s="34">
        <f t="shared" si="801"/>
        <v>0</v>
      </c>
      <c r="BH272" s="35">
        <f t="shared" si="793"/>
        <v>0</v>
      </c>
      <c r="BK272" s="2" t="b">
        <f>H272='2021'!BH272</f>
        <v>1</v>
      </c>
    </row>
    <row r="273" ht="15.75" customHeight="1" spans="1:63" x14ac:dyDescent="0.25">
      <c r="A273" s="2">
        <v>29</v>
      </c>
      <c r="B273" s="14"/>
      <c r="C273" s="2" t="s">
        <v>148</v>
      </c>
      <c r="D273" s="14" t="s">
        <v>50</v>
      </c>
      <c r="E273" s="2" t="s">
        <v>49</v>
      </c>
      <c r="F273" s="41">
        <v>1100</v>
      </c>
      <c r="G273" s="28"/>
      <c r="H273" s="34">
        <f>'2021'!BH273</f>
        <v>0</v>
      </c>
      <c r="I273" s="13"/>
      <c r="J273" s="15"/>
      <c r="K273" s="15"/>
      <c r="L273" s="28"/>
      <c r="M273" s="13"/>
      <c r="N273" s="15"/>
      <c r="Q273" s="13"/>
      <c r="R273" s="15"/>
      <c r="S273" s="15"/>
      <c r="T273" s="28"/>
      <c r="U273" s="13"/>
      <c r="V273" s="15"/>
      <c r="Y273" s="13"/>
      <c r="Z273" s="2"/>
      <c r="AA273" s="15"/>
      <c r="AB273" s="28"/>
      <c r="AC273" s="348"/>
      <c r="AD273" s="15"/>
      <c r="AE273" s="34">
        <f>B270*$F$12</f>
        <v>5226</v>
      </c>
      <c r="AG273" s="15"/>
      <c r="AH273" s="2"/>
      <c r="AI273" s="45"/>
      <c r="AJ273" s="182"/>
      <c r="AK273" s="15"/>
      <c r="AL273" s="15"/>
      <c r="AM273" s="45"/>
      <c r="AN273" s="15"/>
      <c r="AO273" s="13"/>
      <c r="AP273" s="15"/>
      <c r="AQ273" s="45"/>
      <c r="AR273" s="154">
        <v>5226</v>
      </c>
      <c r="AS273" s="13"/>
      <c r="AT273" s="15"/>
      <c r="AU273" s="45"/>
      <c r="AV273" s="15"/>
      <c r="AW273" s="13"/>
      <c r="AX273" s="15"/>
      <c r="AY273" s="45"/>
      <c r="AZ273" s="28"/>
      <c r="BA273" s="13"/>
      <c r="BB273" s="15"/>
      <c r="BC273" s="45"/>
      <c r="BD273" s="28"/>
      <c r="BE273" s="14"/>
      <c r="BF273" s="41">
        <f t="shared" ref="BF273:BG273" si="802">K273+O273+S273+W273+AA273+AE273+AI273+AM273+AQ273+AU273+AY273+BC273</f>
        <v>5226</v>
      </c>
      <c r="BG273" s="34">
        <f t="shared" si="802"/>
        <v>5226</v>
      </c>
      <c r="BH273" s="35">
        <f t="shared" si="793"/>
        <v>0</v>
      </c>
      <c r="BK273" s="2" t="b">
        <f>H273='2021'!BH273</f>
        <v>1</v>
      </c>
    </row>
    <row r="274" ht="15.75" customHeight="1" spans="1:63" x14ac:dyDescent="0.25">
      <c r="A274" s="2">
        <v>29</v>
      </c>
      <c r="B274" s="14"/>
      <c r="D274" s="14" t="s">
        <v>51</v>
      </c>
      <c r="E274" s="2" t="s">
        <v>39</v>
      </c>
      <c r="F274" s="41">
        <v>500</v>
      </c>
      <c r="G274" s="28"/>
      <c r="H274" s="34">
        <f>'2021'!BH274</f>
        <v>0</v>
      </c>
      <c r="I274" s="13"/>
      <c r="J274" s="15"/>
      <c r="K274" s="15"/>
      <c r="L274" s="28"/>
      <c r="M274" s="13"/>
      <c r="N274" s="15"/>
      <c r="Q274" s="13"/>
      <c r="R274" s="15"/>
      <c r="S274" s="15"/>
      <c r="T274" s="28"/>
      <c r="U274" s="13"/>
      <c r="V274" s="15"/>
      <c r="Y274" s="13"/>
      <c r="Z274" s="2"/>
      <c r="AA274" s="15"/>
      <c r="AB274" s="28"/>
      <c r="AC274" s="348"/>
      <c r="AD274" s="15"/>
      <c r="AE274" s="180">
        <f>$F$13</f>
        <v>1000</v>
      </c>
      <c r="AG274" s="15"/>
      <c r="AH274" s="2"/>
      <c r="AI274" s="45"/>
      <c r="AJ274" s="182"/>
      <c r="AK274" s="15"/>
      <c r="AL274" s="15"/>
      <c r="AM274" s="45"/>
      <c r="AN274" s="15"/>
      <c r="AO274" s="13"/>
      <c r="AP274" s="15"/>
      <c r="AQ274" s="180"/>
      <c r="AR274" s="154">
        <v>1000</v>
      </c>
      <c r="AS274" s="13"/>
      <c r="AT274" s="15"/>
      <c r="AU274" s="45"/>
      <c r="AV274" s="15"/>
      <c r="AW274" s="13"/>
      <c r="AX274" s="15"/>
      <c r="AY274" s="45"/>
      <c r="AZ274" s="28"/>
      <c r="BA274" s="13"/>
      <c r="BB274" s="15"/>
      <c r="BC274" s="45"/>
      <c r="BD274" s="28"/>
      <c r="BE274" s="14"/>
      <c r="BF274" s="41">
        <f t="shared" ref="BF274:BG274" si="803">K274+O274+S274+W274+AA274+AE274+AI274+AM274+AQ274+AU274+AY274+BC274</f>
        <v>1000</v>
      </c>
      <c r="BG274" s="34">
        <f t="shared" si="803"/>
        <v>1000</v>
      </c>
      <c r="BH274" s="35">
        <f t="shared" si="793"/>
        <v>0</v>
      </c>
      <c r="BK274" s="2" t="b">
        <f>H274='2021'!BH274</f>
        <v>1</v>
      </c>
    </row>
    <row r="275" ht="15.75" customHeight="1" spans="1:63" x14ac:dyDescent="0.25">
      <c r="A275" s="2">
        <v>29</v>
      </c>
      <c r="B275" s="14"/>
      <c r="D275" s="14" t="s">
        <v>51</v>
      </c>
      <c r="E275" s="2" t="s">
        <v>49</v>
      </c>
      <c r="F275" s="41">
        <v>500</v>
      </c>
      <c r="G275" s="28"/>
      <c r="H275" s="34">
        <f>'2021'!BH275</f>
        <v>0</v>
      </c>
      <c r="I275" s="13"/>
      <c r="J275" s="15"/>
      <c r="K275" s="15"/>
      <c r="L275" s="28"/>
      <c r="M275" s="13"/>
      <c r="N275" s="15"/>
      <c r="Q275" s="13"/>
      <c r="R275" s="15"/>
      <c r="S275" s="15"/>
      <c r="T275" s="28"/>
      <c r="U275" s="13"/>
      <c r="V275" s="15"/>
      <c r="Y275" s="13"/>
      <c r="Z275" s="2"/>
      <c r="AA275" s="15"/>
      <c r="AB275" s="28"/>
      <c r="AC275" s="348"/>
      <c r="AD275" s="15"/>
      <c r="AE275" s="34"/>
      <c r="AG275" s="15"/>
      <c r="AH275" s="2"/>
      <c r="AI275" s="45"/>
      <c r="AJ275" s="182"/>
      <c r="AK275" s="15"/>
      <c r="AL275" s="15"/>
      <c r="AM275" s="45"/>
      <c r="AN275" s="15"/>
      <c r="AO275" s="13"/>
      <c r="AP275" s="15"/>
      <c r="AQ275" s="180">
        <f>B270*$F$14</f>
        <v>0</v>
      </c>
      <c r="AR275" s="15"/>
      <c r="AS275" s="13"/>
      <c r="AT275" s="15"/>
      <c r="AU275" s="45"/>
      <c r="AV275" s="15"/>
      <c r="AW275" s="13"/>
      <c r="AX275" s="15"/>
      <c r="AY275" s="45"/>
      <c r="AZ275" s="28"/>
      <c r="BA275" s="13"/>
      <c r="BB275" s="15"/>
      <c r="BC275" s="45"/>
      <c r="BD275" s="28"/>
      <c r="BE275" s="14"/>
      <c r="BF275" s="41">
        <f t="shared" ref="BF275:BG275" si="804">K275+O275+S275+W275+AA275+AE275+AI275+AM275+AQ275+AU275+AY275+BC275</f>
        <v>0</v>
      </c>
      <c r="BG275" s="34">
        <f t="shared" si="804"/>
        <v>0</v>
      </c>
      <c r="BH275" s="35">
        <f t="shared" si="793"/>
        <v>0</v>
      </c>
      <c r="BK275" s="2" t="b">
        <f>H275='2021'!BH275</f>
        <v>1</v>
      </c>
    </row>
    <row r="276" ht="15.75" customHeight="1" spans="1:63" x14ac:dyDescent="0.25">
      <c r="A276" s="2">
        <v>29</v>
      </c>
      <c r="B276" s="14"/>
      <c r="D276" s="14" t="s">
        <v>52</v>
      </c>
      <c r="E276" s="2" t="s">
        <v>39</v>
      </c>
      <c r="F276" s="41">
        <v>500</v>
      </c>
      <c r="G276" s="28"/>
      <c r="H276" s="34">
        <f>'2021'!BH276</f>
        <v>0</v>
      </c>
      <c r="I276" s="13"/>
      <c r="J276" s="15"/>
      <c r="K276" s="15"/>
      <c r="L276" s="28"/>
      <c r="M276" s="13"/>
      <c r="N276" s="15"/>
      <c r="Q276" s="13"/>
      <c r="R276" s="15"/>
      <c r="S276" s="15"/>
      <c r="T276" s="28"/>
      <c r="U276" s="13"/>
      <c r="V276" s="15"/>
      <c r="Y276" s="13"/>
      <c r="Z276" s="2"/>
      <c r="AA276" s="34">
        <f>$F$15</f>
      </c>
      <c r="AB276" s="28"/>
      <c r="AC276" s="348"/>
      <c r="AD276" s="15"/>
      <c r="AG276" s="15"/>
      <c r="AH276" s="2"/>
      <c r="AI276" s="45"/>
      <c r="AJ276" s="180"/>
      <c r="AK276" s="15"/>
      <c r="AL276" s="15"/>
      <c r="AM276" s="45"/>
      <c r="AN276" s="15"/>
      <c r="AO276" s="13"/>
      <c r="AP276" s="15"/>
      <c r="AQ276" s="45"/>
      <c r="AR276" s="15"/>
      <c r="AS276" s="13"/>
      <c r="AT276" s="15"/>
      <c r="AU276" s="45"/>
      <c r="AV276" s="15"/>
      <c r="AW276" s="13"/>
      <c r="AX276" s="15"/>
      <c r="AY276" s="45"/>
      <c r="AZ276" s="35"/>
      <c r="BA276" s="13"/>
      <c r="BB276" s="15"/>
      <c r="BC276" s="45"/>
      <c r="BD276" s="35"/>
      <c r="BE276" s="14"/>
      <c r="BF276" s="41">
        <f t="shared" ref="BF276:BG276" si="805">K276+O276+S276+W276+AA276+AE276+AI276+AM276+AQ276+AU276+AY276+BC276</f>
        <v>0</v>
      </c>
      <c r="BG276" s="34">
        <f t="shared" si="805"/>
        <v>0</v>
      </c>
      <c r="BH276" s="35">
        <f t="shared" si="793"/>
        <v>0</v>
      </c>
      <c r="BK276" s="2" t="b">
        <f>H276='2021'!BH276</f>
        <v>1</v>
      </c>
    </row>
    <row r="277" ht="15.75" customHeight="1" spans="1:63" x14ac:dyDescent="0.25">
      <c r="A277" s="247">
        <v>29</v>
      </c>
      <c r="B277" s="21"/>
      <c r="C277" s="22" t="s">
        <v>53</v>
      </c>
      <c r="D277" s="21"/>
      <c r="E277" s="22"/>
      <c r="F277" s="20"/>
      <c r="G277" s="23"/>
      <c r="H277" s="51">
        <f>SUM(H269:H276)</f>
        <v>-2.84</v>
      </c>
      <c r="I277" s="52"/>
      <c r="J277" s="53"/>
      <c r="K277" s="51">
        <f t="shared" ref="K277:L277" si="806">SUM(K269:K276)</f>
        <v>0</v>
      </c>
      <c r="L277" s="68">
        <f t="shared" si="806"/>
        <v>0</v>
      </c>
      <c r="M277" s="52"/>
      <c r="N277" s="53"/>
      <c r="O277" s="51">
        <f t="shared" ref="O277:P277" si="807">SUM(O269:O276)</f>
        <v>0</v>
      </c>
      <c r="P277" s="51">
        <f t="shared" si="807"/>
        <v>0</v>
      </c>
      <c r="Q277" s="52"/>
      <c r="R277" s="53"/>
      <c r="S277" s="51">
        <f t="shared" ref="S277:T277" si="808">SUM(S269:S276)</f>
        <v>0</v>
      </c>
      <c r="T277" s="51">
        <f t="shared" si="808"/>
        <v>0</v>
      </c>
      <c r="U277" s="52"/>
      <c r="V277" s="53"/>
      <c r="W277" s="51">
        <f t="shared" ref="W277:X277" si="809">SUM(W269:W276)</f>
        <v>0</v>
      </c>
      <c r="X277" s="51">
        <f t="shared" si="809"/>
        <v>0</v>
      </c>
      <c r="Y277" s="52"/>
      <c r="Z277" s="301"/>
      <c r="AA277" s="51">
        <f t="shared" ref="AA277:AB277" si="810">SUM(AA269:AA276)</f>
        <v>0</v>
      </c>
      <c r="AB277" s="51">
        <f t="shared" si="810"/>
        <v>0</v>
      </c>
      <c r="AC277" s="367"/>
      <c r="AD277" s="53"/>
      <c r="AE277" s="51">
        <f t="shared" ref="AE277:AF277" si="811">SUM(AE269:AE276)</f>
        <v>6226</v>
      </c>
      <c r="AF277" s="51">
        <f t="shared" si="811"/>
        <v>0</v>
      </c>
      <c r="AG277" s="52"/>
      <c r="AH277" s="301"/>
      <c r="AI277" s="183">
        <f t="shared" ref="AI277:AJ277" si="812">SUM(AI269:AI276)</f>
        <v>0</v>
      </c>
      <c r="AJ277" s="51">
        <f t="shared" si="812"/>
        <v>0</v>
      </c>
      <c r="AK277" s="52"/>
      <c r="AL277" s="53"/>
      <c r="AM277" s="183">
        <f t="shared" ref="AM277:AN277" si="813">SUM(AM269:AM276)</f>
        <v>0</v>
      </c>
      <c r="AN277" s="51">
        <f t="shared" si="813"/>
        <v>0</v>
      </c>
      <c r="AO277" s="52"/>
      <c r="AP277" s="53"/>
      <c r="AQ277" s="183">
        <f t="shared" ref="AQ277:AR277" si="814">SUM(AQ269:AQ276)</f>
        <v>21.4</v>
      </c>
      <c r="AR277" s="51">
        <f t="shared" si="814"/>
        <v>6244.56</v>
      </c>
      <c r="AS277" s="52"/>
      <c r="AT277" s="53"/>
      <c r="AU277" s="183">
        <f t="shared" ref="AU277:AV277" si="815">SUM(AU269:AU276)</f>
        <v>0</v>
      </c>
      <c r="AV277" s="68">
        <f t="shared" si="815"/>
        <v>0</v>
      </c>
      <c r="AW277" s="52"/>
      <c r="AX277" s="53"/>
      <c r="AY277" s="183">
        <f t="shared" ref="AY277:AZ277" si="816">SUM(AY269:AY276)</f>
        <v>0</v>
      </c>
      <c r="AZ277" s="68">
        <f t="shared" si="816"/>
        <v>0</v>
      </c>
      <c r="BA277" s="52"/>
      <c r="BB277" s="53"/>
      <c r="BC277" s="183">
        <f t="shared" ref="BC277:BD277" si="817">SUM(BC269:BC276)</f>
        <v>0</v>
      </c>
      <c r="BD277" s="68">
        <f t="shared" si="817"/>
        <v>0</v>
      </c>
      <c r="BE277" s="69"/>
      <c r="BF277" s="70">
        <f t="shared" ref="BF277:BH277" si="818">SUM(BF269:BF276)</f>
        <v>6247.4</v>
      </c>
      <c r="BG277" s="71">
        <f t="shared" si="818"/>
        <v>6244.56</v>
      </c>
      <c r="BH277" s="72">
        <f t="shared" si="818"/>
        <v>0</v>
      </c>
      <c r="BI277" s="34">
        <f>H277+BF277-BG277</f>
        <v>0</v>
      </c>
      <c r="BJ277" s="34">
        <f>BH277-BI277</f>
        <v>0</v>
      </c>
      <c r="BK277" s="2" t="b">
        <f>H277='2021'!BH277</f>
        <v>1</v>
      </c>
    </row>
    <row r="278" ht="15.75" customHeight="1" spans="1:63" x14ac:dyDescent="0.25">
      <c r="A278" s="2">
        <v>31</v>
      </c>
      <c r="B278" s="14"/>
      <c r="D278" s="14" t="s">
        <v>379</v>
      </c>
      <c r="F278" s="13"/>
      <c r="G278" s="28"/>
      <c r="H278" s="34">
        <f>'2021'!BH278</f>
        <v>0</v>
      </c>
      <c r="I278" s="13"/>
      <c r="J278" s="15"/>
      <c r="K278" s="15"/>
      <c r="L278" s="28"/>
      <c r="M278" s="13"/>
      <c r="N278" s="15"/>
      <c r="Q278" s="13"/>
      <c r="R278" s="15"/>
      <c r="S278" s="15"/>
      <c r="T278" s="28"/>
      <c r="U278" s="13"/>
      <c r="V278" s="15"/>
      <c r="Y278" s="13"/>
      <c r="Z278" s="2"/>
      <c r="AA278" s="15"/>
      <c r="AB278" s="28"/>
      <c r="AC278" s="348"/>
      <c r="AD278" s="15"/>
      <c r="AG278" s="15"/>
      <c r="AH278" s="2"/>
      <c r="AI278" s="45"/>
      <c r="AJ278" s="15"/>
      <c r="AK278" s="15"/>
      <c r="AM278" s="45"/>
      <c r="AO278" s="13"/>
      <c r="AQ278" s="45"/>
      <c r="AS278" s="13"/>
      <c r="AU278" s="45"/>
      <c r="AW278" s="13"/>
      <c r="AY278" s="45"/>
      <c r="AZ278" s="28"/>
      <c r="BA278" s="13"/>
      <c r="BB278" s="15"/>
      <c r="BC278" s="45"/>
      <c r="BD278" s="28"/>
      <c r="BE278" s="14"/>
      <c r="BF278" s="41">
        <f t="shared" ref="BF278:BG278" si="819">K278+O278+S278+W278+AA278+AE278+AI278+AM278+AQ278+AU278+AY278+BC278</f>
        <v>0</v>
      </c>
      <c r="BG278" s="34">
        <f t="shared" si="819"/>
        <v>0</v>
      </c>
      <c r="BH278" s="35">
        <f t="shared" ref="BH278:BH285" si="820">H278+BF278-BG278</f>
        <v>0</v>
      </c>
      <c r="BK278" s="2" t="b">
        <f>H278='2021'!BH278</f>
        <v>1</v>
      </c>
    </row>
    <row r="279" ht="15.75" customHeight="1" spans="1:63" x14ac:dyDescent="0.25">
      <c r="A279" s="2">
        <v>31</v>
      </c>
      <c r="B279" s="42">
        <v>4</v>
      </c>
      <c r="C279" s="2" t="s">
        <v>149</v>
      </c>
      <c r="D279" s="14" t="s">
        <v>44</v>
      </c>
      <c r="E279" s="2" t="s">
        <v>45</v>
      </c>
      <c r="F279" s="41">
        <v>2.5</v>
      </c>
      <c r="G279" s="35">
        <v>2.6</v>
      </c>
      <c r="H279" s="34">
        <f>'2021'!BH279</f>
        <v>0</v>
      </c>
      <c r="I279" s="13">
        <v>5</v>
      </c>
      <c r="J279" s="15">
        <f>I279-'2021'!BA279</f>
        <v>0</v>
      </c>
      <c r="K279" s="34">
        <f>J279*$F$8</f>
        <v>0</v>
      </c>
      <c r="L279" s="28"/>
      <c r="M279" s="13">
        <v>5</v>
      </c>
      <c r="N279" s="15">
        <f t="shared" ref="N279:N280" si="821">M279-I279</f>
        <v>0</v>
      </c>
      <c r="O279" s="34">
        <f>N279*$F$8</f>
        <v>0</v>
      </c>
      <c r="Q279" s="13">
        <v>5</v>
      </c>
      <c r="R279" s="15">
        <f t="shared" ref="R279:R280" si="822">Q279-M279</f>
        <v>0</v>
      </c>
      <c r="S279" s="34">
        <f>R279*$F$8</f>
        <v>0</v>
      </c>
      <c r="T279" s="28"/>
      <c r="U279" s="13">
        <v>5</v>
      </c>
      <c r="V279" s="15">
        <f t="shared" ref="V279:V280" si="823">U279-Q279</f>
        <v>0</v>
      </c>
      <c r="W279" s="34">
        <f>V279*$F$8</f>
        <v>0</v>
      </c>
      <c r="Y279" s="13">
        <v>5</v>
      </c>
      <c r="Z279" s="2">
        <f t="shared" ref="Z279:Z280" si="824">Y279-U279</f>
        <v>0</v>
      </c>
      <c r="AA279" s="34">
        <f>Z279*$F$8</f>
        <v>0</v>
      </c>
      <c r="AB279" s="35"/>
      <c r="AC279" s="348">
        <v>5</v>
      </c>
      <c r="AD279" s="15">
        <f t="shared" ref="AD279:AD280" si="825">AC279-Y279</f>
        <v>0</v>
      </c>
      <c r="AE279" s="180">
        <f>AD279*$F$8</f>
        <v>0</v>
      </c>
      <c r="AF279" s="246"/>
      <c r="AG279" s="15">
        <v>5</v>
      </c>
      <c r="AH279" s="2">
        <f>(AG279-AC279)*AH5</f>
        <v>0</v>
      </c>
      <c r="AI279" s="45">
        <f>AH279*$G$8</f>
        <v>0</v>
      </c>
      <c r="AJ279" s="15"/>
      <c r="AK279" s="15">
        <v>5</v>
      </c>
      <c r="AL279" s="15">
        <f>(AK279-AG279)*AL5</f>
        <v>0</v>
      </c>
      <c r="AM279" s="45">
        <f>AL279*$G$8</f>
        <v>0</v>
      </c>
      <c r="AN279" s="15"/>
      <c r="AO279" s="13">
        <v>5</v>
      </c>
      <c r="AP279" s="15">
        <f>(AO279-AK279)*AP5</f>
        <v>0</v>
      </c>
      <c r="AQ279" s="45">
        <f>AP279*$G$8</f>
        <v>0</v>
      </c>
      <c r="AR279" s="15"/>
      <c r="AS279" s="13">
        <v>5</v>
      </c>
      <c r="AT279" s="15">
        <f>(AS279-AO279)*AT5</f>
        <v>0</v>
      </c>
      <c r="AU279" s="45">
        <f>AT279*$G$8</f>
        <v>0</v>
      </c>
      <c r="AV279" s="15"/>
      <c r="AW279" s="13"/>
      <c r="AX279" s="15">
        <f>(AW279-AS279)*AX5</f>
        <v>0</v>
      </c>
      <c r="AY279" s="45">
        <f>AX279*$G$8</f>
        <v>0</v>
      </c>
      <c r="AZ279" s="208"/>
      <c r="BA279" s="13"/>
      <c r="BB279" s="15"/>
      <c r="BC279" s="45">
        <f>BB279*$G$8</f>
        <v>0</v>
      </c>
      <c r="BD279" s="208"/>
      <c r="BE279" s="40">
        <f t="shared" ref="BE279:BG279" si="826">J279+N279+R279+V279+Z279+AD279+AH279+AL279+AP279+AT279+AX279+BB279</f>
        <v>0</v>
      </c>
      <c r="BF279" s="41">
        <f t="shared" si="826"/>
        <v>0</v>
      </c>
      <c r="BG279" s="34">
        <f t="shared" si="826"/>
        <v>0</v>
      </c>
      <c r="BH279" s="35">
        <f t="shared" si="820"/>
        <v>0</v>
      </c>
      <c r="BK279" s="2" t="b">
        <f>H279='2021'!BH279</f>
        <v>1</v>
      </c>
    </row>
    <row r="280" ht="15.75" customHeight="1" spans="1:63" x14ac:dyDescent="0.25">
      <c r="A280" s="2">
        <v>31</v>
      </c>
      <c r="B280" s="14"/>
      <c r="C280" s="2" t="s">
        <v>150</v>
      </c>
      <c r="D280" s="14" t="s">
        <v>47</v>
      </c>
      <c r="E280" s="2" t="s">
        <v>48</v>
      </c>
      <c r="F280" s="13">
        <v>18.56</v>
      </c>
      <c r="G280" s="35">
        <v>19.46</v>
      </c>
      <c r="H280" s="34">
        <f>'2021'!BH280</f>
        <v>-8.48</v>
      </c>
      <c r="I280" s="13">
        <v>538</v>
      </c>
      <c r="J280" s="15"/>
      <c r="K280" s="15"/>
      <c r="L280" s="28"/>
      <c r="M280" s="13">
        <v>538</v>
      </c>
      <c r="N280" s="15">
        <f t="shared" si="821"/>
        <v>0</v>
      </c>
      <c r="Q280" s="13">
        <v>538</v>
      </c>
      <c r="R280" s="15">
        <f t="shared" si="822"/>
        <v>0</v>
      </c>
      <c r="S280" s="15"/>
      <c r="T280" s="28"/>
      <c r="U280" s="13">
        <v>538</v>
      </c>
      <c r="V280" s="15">
        <f t="shared" si="823"/>
        <v>0</v>
      </c>
      <c r="W280" s="34">
        <f>V280*$F$10</f>
        <v>0</v>
      </c>
      <c r="Y280" s="13">
        <v>543</v>
      </c>
      <c r="Z280" s="2">
        <f t="shared" si="824"/>
        <v>5</v>
      </c>
      <c r="AA280" s="34">
        <f>Z280*$F$10</f>
        <v>101.75</v>
      </c>
      <c r="AB280" s="35"/>
      <c r="AC280" s="348">
        <v>547</v>
      </c>
      <c r="AD280" s="15">
        <f t="shared" si="825"/>
        <v>4</v>
      </c>
      <c r="AE280" s="34">
        <f>AD280*$F$10</f>
        <v>81.4</v>
      </c>
      <c r="AF280" s="246">
        <v>94</v>
      </c>
      <c r="AG280" s="15">
        <v>549</v>
      </c>
      <c r="AH280" s="2">
        <f>AG280-AC280</f>
        <v>2</v>
      </c>
      <c r="AI280" s="45">
        <f>AH280*$G$10</f>
        <v>42.8</v>
      </c>
      <c r="AJ280" s="15"/>
      <c r="AK280" s="15">
        <v>555</v>
      </c>
      <c r="AL280" s="15">
        <f>AK280-AG280</f>
        <v>6</v>
      </c>
      <c r="AM280" s="45">
        <f>AL280*$G$10</f>
        <v>128.4</v>
      </c>
      <c r="AN280" s="39"/>
      <c r="AO280" s="13">
        <v>557</v>
      </c>
      <c r="AP280" s="15">
        <f>AO280-AK280</f>
        <v>2</v>
      </c>
      <c r="AQ280" s="45">
        <f>AP280*$G$10</f>
        <v>42.8</v>
      </c>
      <c r="AR280" s="154">
        <v>400</v>
      </c>
      <c r="AS280" s="13">
        <v>557</v>
      </c>
      <c r="AT280" s="15">
        <f>AS280-AO280</f>
        <v>0</v>
      </c>
      <c r="AU280" s="45">
        <f>AT280*$G$10</f>
        <v>0</v>
      </c>
      <c r="AV280" s="15"/>
      <c r="AW280" s="13"/>
      <c r="AX280" s="15">
        <f>AW280-AS280</f>
        <v>-557</v>
      </c>
      <c r="AY280" s="45"/>
      <c r="AZ280" s="208"/>
      <c r="BA280" s="13"/>
      <c r="BB280" s="15"/>
      <c r="BC280" s="45"/>
      <c r="BD280" s="208"/>
      <c r="BE280" s="40">
        <f t="shared" ref="BE280:BG280" si="827">J280+N280+R280+V280+Z280+AD280+AH280+AL280+AP280+AT280+AX280+BB280</f>
        <v>-538</v>
      </c>
      <c r="BF280" s="41">
        <f t="shared" si="827"/>
        <v>397.15</v>
      </c>
      <c r="BG280" s="34">
        <f t="shared" si="827"/>
        <v>494</v>
      </c>
      <c r="BH280" s="35">
        <f t="shared" si="820"/>
        <v>-105.33</v>
      </c>
      <c r="BK280" s="2" t="b">
        <f>H280='2021'!BH280</f>
        <v>1</v>
      </c>
    </row>
    <row r="281" ht="15.75" customHeight="1" spans="1:63" x14ac:dyDescent="0.25">
      <c r="A281" s="2">
        <v>31</v>
      </c>
      <c r="B281" s="14"/>
      <c r="C281" s="2" t="s">
        <v>151</v>
      </c>
      <c r="D281" s="14" t="s">
        <v>47</v>
      </c>
      <c r="E281" s="2" t="s">
        <v>49</v>
      </c>
      <c r="F281" s="41">
        <v>500</v>
      </c>
      <c r="G281" s="28"/>
      <c r="H281" s="34">
        <f>'2021'!BH281</f>
        <v>0</v>
      </c>
      <c r="I281" s="13"/>
      <c r="J281" s="15"/>
      <c r="K281" s="15"/>
      <c r="L281" s="28"/>
      <c r="M281" s="13"/>
      <c r="N281" s="15"/>
      <c r="Q281" s="13"/>
      <c r="R281" s="15"/>
      <c r="S281" s="15"/>
      <c r="T281" s="28"/>
      <c r="U281" s="13"/>
      <c r="V281" s="15"/>
      <c r="Y281" s="13"/>
      <c r="Z281" s="2"/>
      <c r="AA281" s="34"/>
      <c r="AB281" s="28"/>
      <c r="AC281" s="348"/>
      <c r="AD281" s="15"/>
      <c r="AF281" s="28"/>
      <c r="AG281" s="15"/>
      <c r="AH281" s="2"/>
      <c r="AI281" s="45"/>
      <c r="AJ281" s="180"/>
      <c r="AK281" s="15"/>
      <c r="AL281" s="15"/>
      <c r="AM281" s="45"/>
      <c r="AN281" s="15"/>
      <c r="AO281" s="13"/>
      <c r="AP281" s="15"/>
      <c r="AQ281" s="45"/>
      <c r="AR281" s="15"/>
      <c r="AS281" s="13"/>
      <c r="AT281" s="15"/>
      <c r="AU281" s="45"/>
      <c r="AV281" s="15"/>
      <c r="AW281" s="13"/>
      <c r="AX281" s="15"/>
      <c r="AY281" s="45"/>
      <c r="AZ281" s="28"/>
      <c r="BA281" s="13"/>
      <c r="BB281" s="15"/>
      <c r="BC281" s="45"/>
      <c r="BD281" s="28"/>
      <c r="BE281" s="14"/>
      <c r="BF281" s="41">
        <f t="shared" ref="BF281:BG281" si="828">K281+O281+S281+W281+AA281+AE281+AI281+AM281+AQ281+AU281+AY281+BC281</f>
        <v>0</v>
      </c>
      <c r="BG281" s="34">
        <f t="shared" si="828"/>
        <v>0</v>
      </c>
      <c r="BH281" s="35">
        <f t="shared" si="820"/>
        <v>0</v>
      </c>
      <c r="BK281" s="2" t="b">
        <f>H281='2021'!BH281</f>
        <v>1</v>
      </c>
    </row>
    <row r="282" ht="15.75" customHeight="1" spans="1:63" x14ac:dyDescent="0.25">
      <c r="A282" s="2">
        <v>31</v>
      </c>
      <c r="B282" s="14"/>
      <c r="C282" s="2" t="s">
        <v>396</v>
      </c>
      <c r="D282" s="14" t="s">
        <v>50</v>
      </c>
      <c r="E282" s="2" t="s">
        <v>49</v>
      </c>
      <c r="F282" s="41">
        <v>1100</v>
      </c>
      <c r="G282" s="28"/>
      <c r="H282" s="34">
        <f>'2021'!BH282</f>
        <v>0</v>
      </c>
      <c r="I282" s="13"/>
      <c r="J282" s="15"/>
      <c r="K282" s="15"/>
      <c r="L282" s="28"/>
      <c r="M282" s="13"/>
      <c r="N282" s="15"/>
      <c r="Q282" s="13"/>
      <c r="R282" s="15"/>
      <c r="S282" s="15"/>
      <c r="T282" s="28"/>
      <c r="U282" s="13"/>
      <c r="V282" s="15"/>
      <c r="Y282" s="13"/>
      <c r="Z282" s="2"/>
      <c r="AA282" s="15"/>
      <c r="AB282" s="35"/>
      <c r="AC282" s="348"/>
      <c r="AD282" s="15"/>
      <c r="AE282" s="34">
        <f>B279*$F$12</f>
        <v>5200</v>
      </c>
      <c r="AF282" s="246">
        <v>5200</v>
      </c>
      <c r="AG282" s="15"/>
      <c r="AH282" s="2"/>
      <c r="AI282" s="45"/>
      <c r="AJ282" s="180"/>
      <c r="AK282" s="15"/>
      <c r="AL282" s="15"/>
      <c r="AM282" s="45"/>
      <c r="AN282" s="1"/>
      <c r="AO282" s="13"/>
      <c r="AP282" s="15"/>
      <c r="AQ282" s="45"/>
      <c r="AR282" s="15"/>
      <c r="AS282" s="13"/>
      <c r="AT282" s="15"/>
      <c r="AU282" s="45"/>
      <c r="AV282" s="15"/>
      <c r="AW282" s="13"/>
      <c r="AX282" s="15"/>
      <c r="AY282" s="45"/>
      <c r="AZ282" s="28"/>
      <c r="BA282" s="13"/>
      <c r="BB282" s="15"/>
      <c r="BC282" s="45"/>
      <c r="BD282" s="28"/>
      <c r="BE282" s="14"/>
      <c r="BF282" s="41">
        <f t="shared" ref="BF282:BG282" si="829">K282+O282+S282+W282+AA282+AE282+AI282+AM282+AQ282+AU282+AY282+BC282</f>
        <v>5200</v>
      </c>
      <c r="BG282" s="34">
        <f t="shared" si="829"/>
        <v>5200</v>
      </c>
      <c r="BH282" s="35">
        <f t="shared" si="820"/>
        <v>0</v>
      </c>
      <c r="BK282" s="2" t="b">
        <f>H282='2021'!BH282</f>
        <v>1</v>
      </c>
    </row>
    <row r="283" ht="15.75" customHeight="1" spans="1:63" x14ac:dyDescent="0.25">
      <c r="A283" s="2">
        <v>31</v>
      </c>
      <c r="B283" s="14"/>
      <c r="D283" s="14" t="s">
        <v>51</v>
      </c>
      <c r="E283" s="2" t="s">
        <v>39</v>
      </c>
      <c r="F283" s="41">
        <v>500</v>
      </c>
      <c r="G283" s="28"/>
      <c r="H283" s="34">
        <f>'2021'!BH283</f>
        <v>0</v>
      </c>
      <c r="I283" s="13"/>
      <c r="J283" s="15"/>
      <c r="K283" s="15"/>
      <c r="L283" s="28"/>
      <c r="M283" s="13"/>
      <c r="N283" s="15"/>
      <c r="Q283" s="13"/>
      <c r="R283" s="15"/>
      <c r="S283" s="15"/>
      <c r="T283" s="28"/>
      <c r="U283" s="13"/>
      <c r="V283" s="15"/>
      <c r="Y283" s="13"/>
      <c r="Z283" s="2"/>
      <c r="AA283" s="15"/>
      <c r="AB283" s="28"/>
      <c r="AC283" s="348"/>
      <c r="AD283" s="15"/>
      <c r="AE283" s="180">
        <f>$F$13</f>
        <v>1000</v>
      </c>
      <c r="AF283" s="306">
        <v>1000</v>
      </c>
      <c r="AG283" s="15"/>
      <c r="AH283" s="2"/>
      <c r="AI283" s="45"/>
      <c r="AJ283" s="180"/>
      <c r="AK283" s="15"/>
      <c r="AL283" s="15"/>
      <c r="AM283" s="45"/>
      <c r="AN283" s="1"/>
      <c r="AO283" s="13"/>
      <c r="AP283" s="15"/>
      <c r="AQ283" s="180"/>
      <c r="AR283" s="15"/>
      <c r="AS283" s="13"/>
      <c r="AT283" s="15"/>
      <c r="AU283" s="45"/>
      <c r="AV283" s="15"/>
      <c r="AW283" s="13"/>
      <c r="AX283" s="15"/>
      <c r="AY283" s="45"/>
      <c r="AZ283" s="28"/>
      <c r="BA283" s="13"/>
      <c r="BB283" s="15"/>
      <c r="BC283" s="45"/>
      <c r="BD283" s="28"/>
      <c r="BE283" s="14"/>
      <c r="BF283" s="41">
        <f t="shared" ref="BF283:BG283" si="830">K283+O283+S283+W283+AA283+AE283+AI283+AM283+AQ283+AU283+AY283+BC283</f>
        <v>1000</v>
      </c>
      <c r="BG283" s="34">
        <f t="shared" si="830"/>
        <v>1000</v>
      </c>
      <c r="BH283" s="35">
        <f t="shared" si="820"/>
        <v>0</v>
      </c>
      <c r="BK283" s="2" t="b">
        <f>H283='2021'!BH283</f>
        <v>1</v>
      </c>
    </row>
    <row r="284" ht="15.75" customHeight="1" spans="1:63" x14ac:dyDescent="0.25">
      <c r="A284" s="2">
        <v>31</v>
      </c>
      <c r="B284" s="14"/>
      <c r="D284" s="14" t="s">
        <v>51</v>
      </c>
      <c r="E284" s="2" t="s">
        <v>49</v>
      </c>
      <c r="F284" s="41">
        <v>500</v>
      </c>
      <c r="G284" s="28"/>
      <c r="H284" s="34">
        <f>'2021'!BH284</f>
        <v>0</v>
      </c>
      <c r="I284" s="13"/>
      <c r="J284" s="15"/>
      <c r="K284" s="15"/>
      <c r="L284" s="28"/>
      <c r="M284" s="13"/>
      <c r="N284" s="15"/>
      <c r="Q284" s="13"/>
      <c r="R284" s="15"/>
      <c r="S284" s="15"/>
      <c r="T284" s="28"/>
      <c r="U284" s="13"/>
      <c r="V284" s="15"/>
      <c r="Y284" s="13"/>
      <c r="Z284" s="2"/>
      <c r="AA284" s="15"/>
      <c r="AB284" s="28"/>
      <c r="AC284" s="348"/>
      <c r="AD284" s="15"/>
      <c r="AE284" s="34"/>
      <c r="AG284" s="15"/>
      <c r="AH284" s="2"/>
      <c r="AI284" s="45"/>
      <c r="AJ284" s="180"/>
      <c r="AK284" s="15"/>
      <c r="AL284" s="15"/>
      <c r="AM284" s="45"/>
      <c r="AN284" s="1"/>
      <c r="AO284" s="13"/>
      <c r="AP284" s="15"/>
      <c r="AQ284" s="180">
        <f>B279*$F$14</f>
        <v>0</v>
      </c>
      <c r="AR284" s="15"/>
      <c r="AS284" s="13"/>
      <c r="AT284" s="15"/>
      <c r="AU284" s="45"/>
      <c r="AV284" s="15"/>
      <c r="AW284" s="13"/>
      <c r="AX284" s="15"/>
      <c r="AY284" s="45"/>
      <c r="AZ284" s="28"/>
      <c r="BA284" s="13"/>
      <c r="BB284" s="15"/>
      <c r="BC284" s="45"/>
      <c r="BD284" s="28"/>
      <c r="BE284" s="14"/>
      <c r="BF284" s="41">
        <f t="shared" ref="BF284:BG284" si="831">K284+O284+S284+W284+AA284+AE284+AI284+AM284+AQ284+AU284+AY284+BC284</f>
        <v>0</v>
      </c>
      <c r="BG284" s="34">
        <f t="shared" si="831"/>
        <v>0</v>
      </c>
      <c r="BH284" s="35">
        <f t="shared" si="820"/>
        <v>0</v>
      </c>
      <c r="BK284" s="2" t="b">
        <f>H284='2021'!BH284</f>
        <v>1</v>
      </c>
    </row>
    <row r="285" ht="15.75" customHeight="1" spans="1:63" x14ac:dyDescent="0.25">
      <c r="A285" s="2">
        <v>31</v>
      </c>
      <c r="B285" s="14"/>
      <c r="D285" s="14" t="s">
        <v>52</v>
      </c>
      <c r="E285" s="2" t="s">
        <v>39</v>
      </c>
      <c r="F285" s="41">
        <v>500</v>
      </c>
      <c r="G285" s="28"/>
      <c r="H285" s="34">
        <f>'2021'!BH285</f>
        <v>0</v>
      </c>
      <c r="I285" s="13"/>
      <c r="J285" s="15"/>
      <c r="K285" s="15"/>
      <c r="L285" s="28"/>
      <c r="M285" s="13"/>
      <c r="N285" s="15"/>
      <c r="Q285" s="13"/>
      <c r="R285" s="15"/>
      <c r="S285" s="15"/>
      <c r="T285" s="28"/>
      <c r="U285" s="13"/>
      <c r="V285" s="15"/>
      <c r="Y285" s="13"/>
      <c r="Z285" s="2"/>
      <c r="AA285" s="34">
        <f>$F$15</f>
      </c>
      <c r="AB285" s="35"/>
      <c r="AC285" s="348"/>
      <c r="AD285" s="15"/>
      <c r="AF285" s="246"/>
      <c r="AG285" s="15"/>
      <c r="AH285" s="2"/>
      <c r="AI285" s="45"/>
      <c r="AJ285" s="180"/>
      <c r="AK285" s="15"/>
      <c r="AL285" s="15"/>
      <c r="AM285" s="45"/>
      <c r="AN285" s="15"/>
      <c r="AO285" s="13"/>
      <c r="AP285" s="15"/>
      <c r="AQ285" s="45"/>
      <c r="AR285" s="15"/>
      <c r="AS285" s="13"/>
      <c r="AT285" s="15"/>
      <c r="AU285" s="45"/>
      <c r="AV285" s="15"/>
      <c r="AW285" s="13"/>
      <c r="AX285" s="15"/>
      <c r="AY285" s="45"/>
      <c r="AZ285" s="35"/>
      <c r="BA285" s="13"/>
      <c r="BB285" s="15"/>
      <c r="BC285" s="45"/>
      <c r="BD285" s="35"/>
      <c r="BE285" s="14"/>
      <c r="BF285" s="41">
        <f t="shared" ref="BF285:BG285" si="832">K285+O285+S285+W285+AA285+AE285+AI285+AM285+AQ285+AU285+AY285+BC285</f>
        <v>0</v>
      </c>
      <c r="BG285" s="34">
        <f t="shared" si="832"/>
        <v>0</v>
      </c>
      <c r="BH285" s="35">
        <f t="shared" si="820"/>
        <v>0</v>
      </c>
      <c r="BK285" s="2" t="b">
        <f>H285='2021'!BH285</f>
        <v>1</v>
      </c>
    </row>
    <row r="286" ht="15.75" customHeight="1" spans="1:63" x14ac:dyDescent="0.25">
      <c r="A286" s="247">
        <v>31</v>
      </c>
      <c r="B286" s="21"/>
      <c r="C286" s="22" t="s">
        <v>53</v>
      </c>
      <c r="D286" s="21"/>
      <c r="E286" s="22"/>
      <c r="F286" s="20"/>
      <c r="G286" s="23"/>
      <c r="H286" s="51">
        <f>SUM(H278:H285)</f>
        <v>-8.48</v>
      </c>
      <c r="I286" s="52"/>
      <c r="J286" s="53"/>
      <c r="K286" s="51">
        <f t="shared" ref="K286:L286" si="833">SUM(K278:K285)</f>
        <v>0</v>
      </c>
      <c r="L286" s="68">
        <f t="shared" si="833"/>
        <v>0</v>
      </c>
      <c r="M286" s="52"/>
      <c r="N286" s="53"/>
      <c r="O286" s="51">
        <f t="shared" ref="O286:P286" si="834">SUM(O278:O285)</f>
        <v>0</v>
      </c>
      <c r="P286" s="51">
        <f t="shared" si="834"/>
        <v>0</v>
      </c>
      <c r="Q286" s="52"/>
      <c r="R286" s="53"/>
      <c r="S286" s="51">
        <f t="shared" ref="S286:T286" si="835">SUM(S278:S285)</f>
        <v>0</v>
      </c>
      <c r="T286" s="51">
        <f t="shared" si="835"/>
        <v>0</v>
      </c>
      <c r="U286" s="52"/>
      <c r="V286" s="53"/>
      <c r="W286" s="51">
        <f t="shared" ref="W286:X286" si="836">SUM(W278:W285)</f>
        <v>0</v>
      </c>
      <c r="X286" s="51">
        <f t="shared" si="836"/>
        <v>0</v>
      </c>
      <c r="Y286" s="52"/>
      <c r="Z286" s="301"/>
      <c r="AA286" s="51">
        <f t="shared" ref="AA286:AB286" si="837">SUM(AA278:AA285)</f>
        <v>101.75</v>
      </c>
      <c r="AB286" s="51">
        <f t="shared" si="837"/>
        <v>0</v>
      </c>
      <c r="AC286" s="367"/>
      <c r="AD286" s="53"/>
      <c r="AE286" s="51">
        <f t="shared" ref="AE286:AF286" si="838">SUM(AE278:AE285)</f>
        <v>6281.4</v>
      </c>
      <c r="AF286" s="51">
        <f t="shared" si="838"/>
        <v>6294</v>
      </c>
      <c r="AG286" s="52"/>
      <c r="AH286" s="301"/>
      <c r="AI286" s="183">
        <f t="shared" ref="AI286:AJ286" si="839">SUM(AI278:AI285)</f>
        <v>42.8</v>
      </c>
      <c r="AJ286" s="51">
        <f t="shared" si="839"/>
        <v>0</v>
      </c>
      <c r="AK286" s="52"/>
      <c r="AL286" s="53"/>
      <c r="AM286" s="183">
        <f t="shared" ref="AM286:AN286" si="840">SUM(AM278:AM285)</f>
        <v>128.4</v>
      </c>
      <c r="AN286" s="51">
        <f t="shared" si="840"/>
        <v>0</v>
      </c>
      <c r="AO286" s="52"/>
      <c r="AP286" s="53"/>
      <c r="AQ286" s="183">
        <f t="shared" ref="AQ286:AR286" si="841">SUM(AQ278:AQ285)</f>
        <v>42.8</v>
      </c>
      <c r="AR286" s="51">
        <f t="shared" si="841"/>
        <v>400</v>
      </c>
      <c r="AS286" s="52"/>
      <c r="AT286" s="53"/>
      <c r="AU286" s="183">
        <f t="shared" ref="AU286:AV286" si="842">SUM(AU278:AU285)</f>
        <v>0</v>
      </c>
      <c r="AV286" s="68">
        <f t="shared" si="842"/>
        <v>0</v>
      </c>
      <c r="AW286" s="52"/>
      <c r="AX286" s="53"/>
      <c r="AY286" s="183">
        <f t="shared" ref="AY286:AZ286" si="843">SUM(AY278:AY285)</f>
        <v>0</v>
      </c>
      <c r="AZ286" s="68">
        <f t="shared" si="843"/>
        <v>0</v>
      </c>
      <c r="BA286" s="52"/>
      <c r="BB286" s="53"/>
      <c r="BC286" s="183">
        <f t="shared" ref="BC286:BD286" si="844">SUM(BC278:BC285)</f>
        <v>0</v>
      </c>
      <c r="BD286" s="68">
        <f t="shared" si="844"/>
        <v>0</v>
      </c>
      <c r="BE286" s="69"/>
      <c r="BF286" s="70">
        <f t="shared" ref="BF286:BH286" si="845">SUM(BF278:BF285)</f>
        <v>6597.15</v>
      </c>
      <c r="BG286" s="71">
        <f t="shared" si="845"/>
        <v>6694</v>
      </c>
      <c r="BH286" s="72">
        <f t="shared" si="845"/>
        <v>-105.33</v>
      </c>
      <c r="BI286" s="34">
        <f>H286+BF286-BG286</f>
        <v>-105.33</v>
      </c>
      <c r="BJ286" s="34">
        <f>BH286-BI286</f>
        <v>0</v>
      </c>
      <c r="BK286" s="2" t="b">
        <f>H286='2021'!BH286</f>
        <v>1</v>
      </c>
    </row>
    <row r="287" ht="15.75" customHeight="1" spans="1:63" x14ac:dyDescent="0.25">
      <c r="A287" s="2">
        <v>32</v>
      </c>
      <c r="B287" s="14"/>
      <c r="D287" s="14" t="s">
        <v>379</v>
      </c>
      <c r="F287" s="13"/>
      <c r="G287" s="28"/>
      <c r="H287" s="34">
        <f>'2021'!BH287</f>
        <v>0</v>
      </c>
      <c r="I287" s="13"/>
      <c r="J287" s="15"/>
      <c r="K287" s="15"/>
      <c r="L287" s="28"/>
      <c r="M287" s="13"/>
      <c r="N287" s="15"/>
      <c r="Q287" s="13"/>
      <c r="R287" s="15"/>
      <c r="S287" s="15"/>
      <c r="T287" s="28"/>
      <c r="U287" s="13"/>
      <c r="V287" s="15"/>
      <c r="Y287" s="13"/>
      <c r="Z287" s="2"/>
      <c r="AA287" s="15"/>
      <c r="AB287" s="28"/>
      <c r="AC287" s="348"/>
      <c r="AD287" s="15"/>
      <c r="AG287" s="15"/>
      <c r="AH287" s="2"/>
      <c r="AI287" s="45"/>
      <c r="AJ287" s="15"/>
      <c r="AK287" s="15"/>
      <c r="AM287" s="45"/>
      <c r="AN287" s="154"/>
      <c r="AO287" s="13"/>
      <c r="AQ287" s="45"/>
      <c r="AS287" s="13"/>
      <c r="AU287" s="45"/>
      <c r="AW287" s="13"/>
      <c r="AY287" s="45"/>
      <c r="AZ287" s="28"/>
      <c r="BA287" s="13"/>
      <c r="BB287" s="15"/>
      <c r="BC287" s="45"/>
      <c r="BD287" s="28"/>
      <c r="BE287" s="14"/>
      <c r="BF287" s="41">
        <f t="shared" ref="BF287:BG287" si="846">K287+O287+S287+W287+AA287+AE287+AI287+AM287+AQ287+AU287+AY287+BC287</f>
        <v>0</v>
      </c>
      <c r="BG287" s="34">
        <f t="shared" si="846"/>
        <v>0</v>
      </c>
      <c r="BH287" s="35">
        <f t="shared" ref="BH287:BH294" si="847">H287+BF287-BG287</f>
        <v>0</v>
      </c>
      <c r="BK287" s="2" t="b">
        <f>H287='2021'!BH287</f>
        <v>1</v>
      </c>
    </row>
    <row r="288" ht="15.75" customHeight="1" spans="1:63" x14ac:dyDescent="0.25">
      <c r="A288" s="2">
        <v>32</v>
      </c>
      <c r="B288" s="14">
        <v>3.96</v>
      </c>
      <c r="C288" s="2" t="s">
        <v>152</v>
      </c>
      <c r="D288" s="14" t="s">
        <v>44</v>
      </c>
      <c r="E288" s="2" t="s">
        <v>45</v>
      </c>
      <c r="F288" s="41">
        <v>2.5</v>
      </c>
      <c r="G288" s="35">
        <v>2.6</v>
      </c>
      <c r="H288" s="34">
        <f>'2021'!BH288</f>
        <v>310.5</v>
      </c>
      <c r="I288" s="13">
        <v>1282</v>
      </c>
      <c r="J288" s="15">
        <f>I288-'2021'!BA288</f>
        <v>0</v>
      </c>
      <c r="K288" s="34">
        <f>J288*$F$8</f>
        <v>0</v>
      </c>
      <c r="L288" s="28"/>
      <c r="M288" s="13">
        <v>1282</v>
      </c>
      <c r="N288" s="15">
        <f t="shared" ref="N288:N289" si="848">M288-I288</f>
        <v>0</v>
      </c>
      <c r="O288" s="34">
        <f>N288*$F$8</f>
        <v>0</v>
      </c>
      <c r="Q288" s="13">
        <v>1282</v>
      </c>
      <c r="R288" s="15">
        <f t="shared" ref="R288:R289" si="849">Q288-M288</f>
        <v>0</v>
      </c>
      <c r="S288" s="34">
        <f>R288*$F$8</f>
        <v>0</v>
      </c>
      <c r="T288" s="28"/>
      <c r="U288" s="13">
        <v>1282</v>
      </c>
      <c r="V288" s="15">
        <f t="shared" ref="V288:V289" si="850">U288-Q288</f>
        <v>0</v>
      </c>
      <c r="W288" s="34">
        <f>V288*$F$8</f>
        <v>0</v>
      </c>
      <c r="X288" s="39"/>
      <c r="Y288" s="13">
        <v>1328</v>
      </c>
      <c r="Z288" s="2">
        <f t="shared" ref="Z288:Z289" si="851">Y288-U288</f>
        <v>46</v>
      </c>
      <c r="AA288" s="34">
        <f>Z288*$F$8</f>
        <v>124.2</v>
      </c>
      <c r="AB288" s="28"/>
      <c r="AC288" s="348">
        <v>1382</v>
      </c>
      <c r="AD288" s="15">
        <f>AC288-Y288</f>
        <v>54</v>
      </c>
      <c r="AE288" s="180">
        <f>AD288*$F$8</f>
        <v>145.8</v>
      </c>
      <c r="AF288" s="180"/>
      <c r="AG288" s="15">
        <v>1438</v>
      </c>
      <c r="AH288" s="2">
        <f>(AG288-AC288)*AH5</f>
        <v>59.136</v>
      </c>
      <c r="AI288" s="45">
        <f>AH288*$G$8</f>
        <v>145.47456</v>
      </c>
      <c r="AJ288" s="154"/>
      <c r="AK288" s="15">
        <v>1500</v>
      </c>
      <c r="AL288" s="15">
        <f>(AK288-AG288)*AL5</f>
        <v>63.736</v>
      </c>
      <c r="AM288" s="45">
        <f>AL288*$G$8</f>
        <v>156.79056</v>
      </c>
      <c r="AN288" s="154">
        <v>725.97</v>
      </c>
      <c r="AO288" s="13">
        <v>1556</v>
      </c>
      <c r="AP288" s="15">
        <f>(AO288-AK288)*AP5</f>
        <v>57.848</v>
      </c>
      <c r="AQ288" s="45">
        <f>AP288*$G$8</f>
        <v>142.30608</v>
      </c>
      <c r="AR288" s="15"/>
      <c r="AS288" s="13">
        <v>1604</v>
      </c>
      <c r="AT288" s="15">
        <f>(AS288-AO288)*AT5</f>
        <v>50.4</v>
      </c>
      <c r="AU288" s="45">
        <f>AT288*$G$8</f>
        <v>123.984</v>
      </c>
      <c r="AV288" s="15"/>
      <c r="AW288" s="13"/>
      <c r="AX288" s="15">
        <f>(AW288-AS288)*AX5</f>
        <v>0</v>
      </c>
      <c r="AY288" s="45">
        <f>AX288*$G$8</f>
        <v>0</v>
      </c>
      <c r="AZ288" s="208"/>
      <c r="BA288" s="13"/>
      <c r="BB288" s="15"/>
      <c r="BC288" s="45">
        <f>BB288*$G$8</f>
        <v>0</v>
      </c>
      <c r="BD288" s="208"/>
      <c r="BE288" s="40">
        <f t="shared" ref="BE288:BG288" si="852">J288+N288+R288+V288+Z288+AD288+AH288+AL288+AP288+AT288+AX288+BB288</f>
        <v>331.12</v>
      </c>
      <c r="BF288" s="41">
        <f t="shared" si="852"/>
        <v>838.5552</v>
      </c>
      <c r="BG288" s="34">
        <f t="shared" si="852"/>
        <v>725.97</v>
      </c>
      <c r="BH288" s="35">
        <f t="shared" si="847"/>
        <v>423.0852</v>
      </c>
      <c r="BK288" s="2" t="b">
        <f>H288='2021'!BH288</f>
        <v>1</v>
      </c>
    </row>
    <row r="289" ht="15.75" customHeight="1" spans="1:63" x14ac:dyDescent="0.25">
      <c r="A289" s="2">
        <v>32</v>
      </c>
      <c r="B289" s="14"/>
      <c r="C289" s="2" t="s">
        <v>153</v>
      </c>
      <c r="D289" s="14" t="s">
        <v>47</v>
      </c>
      <c r="E289" s="2" t="s">
        <v>48</v>
      </c>
      <c r="F289" s="13">
        <v>18.56</v>
      </c>
      <c r="G289" s="35">
        <v>19.46</v>
      </c>
      <c r="H289" s="34">
        <f>'2021'!BH289</f>
        <v>0</v>
      </c>
      <c r="I289" s="13"/>
      <c r="J289" s="15"/>
      <c r="K289" s="15"/>
      <c r="L289" s="28"/>
      <c r="M289" s="13"/>
      <c r="N289" s="15">
        <f t="shared" si="848"/>
        <v>0</v>
      </c>
      <c r="Q289" s="13"/>
      <c r="R289" s="15">
        <f t="shared" si="849"/>
        <v>0</v>
      </c>
      <c r="S289" s="15"/>
      <c r="T289" s="28"/>
      <c r="U289" s="13"/>
      <c r="V289" s="15">
        <f t="shared" si="850"/>
        <v>0</v>
      </c>
      <c r="W289" s="34">
        <f>V289*$F$10</f>
        <v>0</v>
      </c>
      <c r="X289" s="1"/>
      <c r="Y289" s="13"/>
      <c r="Z289" s="2">
        <f t="shared" si="851"/>
        <v>0</v>
      </c>
      <c r="AA289" s="34">
        <f>Z289*$F$10</f>
        <v>0</v>
      </c>
      <c r="AB289" s="28"/>
      <c r="AC289" s="348"/>
      <c r="AD289" s="15">
        <v>9</v>
      </c>
      <c r="AE289" s="34">
        <f>AD289*$F$10</f>
        <v>183.15</v>
      </c>
      <c r="AG289" s="15"/>
      <c r="AH289" s="2">
        <v>9</v>
      </c>
      <c r="AI289" s="45">
        <f>AH289*$G$10</f>
        <v>192.6</v>
      </c>
      <c r="AJ289" s="154"/>
      <c r="AK289" s="15"/>
      <c r="AL289" s="15">
        <v>9</v>
      </c>
      <c r="AM289" s="45">
        <f>AL289*$G$10</f>
        <v>192.6</v>
      </c>
      <c r="AN289" s="154">
        <v>375.75</v>
      </c>
      <c r="AO289" s="13"/>
      <c r="AP289" s="15">
        <v>9</v>
      </c>
      <c r="AQ289" s="45">
        <f>AP289*$G$10</f>
        <v>192.6</v>
      </c>
      <c r="AR289" s="15"/>
      <c r="AS289" s="13"/>
      <c r="AT289" s="15">
        <v>9</v>
      </c>
      <c r="AU289" s="45">
        <f>AT289*$G$10</f>
        <v>192.6</v>
      </c>
      <c r="AV289" s="15"/>
      <c r="AW289" s="13"/>
      <c r="AX289" s="15">
        <v>9</v>
      </c>
      <c r="AY289" s="45"/>
      <c r="AZ289" s="208"/>
      <c r="BA289" s="13"/>
      <c r="BB289" s="15"/>
      <c r="BC289" s="45"/>
      <c r="BD289" s="208"/>
      <c r="BE289" s="40">
        <f t="shared" ref="BE289:BG289" si="853">J289+N289+R289+V289+Z289+AD289+AH289+AL289+AP289+AT289+AX289+BB289</f>
        <v>54</v>
      </c>
      <c r="BF289" s="41">
        <f t="shared" si="853"/>
        <v>953.55</v>
      </c>
      <c r="BG289" s="34">
        <f t="shared" si="853"/>
        <v>375.75</v>
      </c>
      <c r="BH289" s="35">
        <f t="shared" si="847"/>
        <v>577.8</v>
      </c>
      <c r="BK289" s="2" t="b">
        <f>H289='2021'!BH289</f>
        <v>1</v>
      </c>
    </row>
    <row r="290" ht="15.75" customHeight="1" spans="1:63" x14ac:dyDescent="0.25">
      <c r="A290" s="2">
        <v>32</v>
      </c>
      <c r="B290" s="14"/>
      <c r="C290" s="15" t="s">
        <v>122</v>
      </c>
      <c r="D290" s="14" t="s">
        <v>47</v>
      </c>
      <c r="E290" s="2" t="s">
        <v>49</v>
      </c>
      <c r="F290" s="41">
        <v>500</v>
      </c>
      <c r="G290" s="28"/>
      <c r="H290" s="77">
        <f>'2021'!BH290</f>
        <v>0</v>
      </c>
      <c r="I290" s="13"/>
      <c r="J290" s="15"/>
      <c r="K290" s="15"/>
      <c r="L290" s="28"/>
      <c r="M290" s="13"/>
      <c r="N290" s="15"/>
      <c r="Q290" s="13"/>
      <c r="R290" s="15"/>
      <c r="S290" s="15"/>
      <c r="T290" s="28"/>
      <c r="U290" s="13"/>
      <c r="V290" s="15"/>
      <c r="X290" s="1"/>
      <c r="Y290" s="13"/>
      <c r="Z290" s="2"/>
      <c r="AA290" s="34"/>
      <c r="AB290" s="28"/>
      <c r="AC290" s="348"/>
      <c r="AD290" s="15"/>
      <c r="AF290" s="180"/>
      <c r="AG290" s="15"/>
      <c r="AH290" s="2"/>
      <c r="AI290" s="45"/>
      <c r="AJ290" s="182"/>
      <c r="AK290" s="15"/>
      <c r="AL290" s="15"/>
      <c r="AM290" s="45"/>
      <c r="AN290" s="154"/>
      <c r="AO290" s="13"/>
      <c r="AP290" s="15"/>
      <c r="AQ290" s="45"/>
      <c r="AR290" s="15"/>
      <c r="AS290" s="13"/>
      <c r="AT290" s="15"/>
      <c r="AU290" s="45"/>
      <c r="AV290" s="15"/>
      <c r="AW290" s="13"/>
      <c r="AX290" s="15"/>
      <c r="AY290" s="45"/>
      <c r="AZ290" s="28"/>
      <c r="BA290" s="13"/>
      <c r="BB290" s="15"/>
      <c r="BC290" s="45"/>
      <c r="BD290" s="28"/>
      <c r="BE290" s="14"/>
      <c r="BF290" s="41"/>
      <c r="BG290" s="34">
        <f>L290+P290+T290+X290+AB290+AF290+AJ290+AN290+AR290+AV290+AZ290+BD290</f>
        <v>0</v>
      </c>
      <c r="BH290" s="35">
        <f t="shared" si="847"/>
        <v>0</v>
      </c>
      <c r="BK290" s="2" t="b">
        <f>H290='2021'!BH290</f>
        <v>1</v>
      </c>
    </row>
    <row r="291" ht="15.75" customHeight="1" spans="1:63" x14ac:dyDescent="0.25">
      <c r="A291" s="2">
        <v>32</v>
      </c>
      <c r="B291" s="14"/>
      <c r="C291" s="15" t="s">
        <v>397</v>
      </c>
      <c r="D291" s="14" t="s">
        <v>50</v>
      </c>
      <c r="E291" s="2" t="s">
        <v>49</v>
      </c>
      <c r="F291" s="41">
        <v>1100</v>
      </c>
      <c r="G291" s="28"/>
      <c r="H291" s="180">
        <f>'2021'!BH291</f>
        <v>0</v>
      </c>
      <c r="I291" s="13"/>
      <c r="J291" s="15"/>
      <c r="K291" s="15"/>
      <c r="L291" s="28"/>
      <c r="M291" s="13"/>
      <c r="N291" s="15"/>
      <c r="Q291" s="13"/>
      <c r="R291" s="15"/>
      <c r="S291" s="15"/>
      <c r="T291" s="28"/>
      <c r="U291" s="13"/>
      <c r="V291" s="15"/>
      <c r="X291" s="1"/>
      <c r="Y291" s="13"/>
      <c r="Z291" s="2"/>
      <c r="AA291" s="15"/>
      <c r="AB291" s="28"/>
      <c r="AC291" s="348"/>
      <c r="AD291" s="15"/>
      <c r="AE291" s="34">
        <f>B288*$F$12</f>
        <v>5148</v>
      </c>
      <c r="AF291" s="180"/>
      <c r="AG291" s="15"/>
      <c r="AH291" s="2"/>
      <c r="AI291" s="45"/>
      <c r="AJ291" s="182"/>
      <c r="AK291" s="15"/>
      <c r="AL291" s="15"/>
      <c r="AM291" s="45"/>
      <c r="AN291" s="154">
        <v>5148</v>
      </c>
      <c r="AO291" s="13"/>
      <c r="AP291" s="15"/>
      <c r="AQ291" s="45"/>
      <c r="AR291" s="15"/>
      <c r="AS291" s="13"/>
      <c r="AT291" s="15"/>
      <c r="AU291" s="45"/>
      <c r="AV291" s="15"/>
      <c r="AW291" s="13"/>
      <c r="AX291" s="15"/>
      <c r="AY291" s="45"/>
      <c r="AZ291" s="28"/>
      <c r="BA291" s="13"/>
      <c r="BB291" s="15"/>
      <c r="BC291" s="45"/>
      <c r="BD291" s="28"/>
      <c r="BE291" s="14"/>
      <c r="BF291" s="41">
        <f t="shared" ref="BF291:BG291" si="854">K291+O291+S291+W291+AA291+AE291+AI291+AM291+AQ291+AU291+AY291+BC291</f>
        <v>5148</v>
      </c>
      <c r="BG291" s="34">
        <f t="shared" si="854"/>
        <v>5148</v>
      </c>
      <c r="BH291" s="35">
        <f t="shared" si="847"/>
        <v>0</v>
      </c>
      <c r="BK291" s="2" t="b">
        <f>H291='2021'!BH291</f>
        <v>1</v>
      </c>
    </row>
    <row r="292" ht="15.75" customHeight="1" spans="1:63" x14ac:dyDescent="0.25">
      <c r="A292" s="2">
        <v>32</v>
      </c>
      <c r="B292" s="14"/>
      <c r="D292" s="14" t="s">
        <v>51</v>
      </c>
      <c r="E292" s="2" t="s">
        <v>39</v>
      </c>
      <c r="F292" s="41">
        <v>500</v>
      </c>
      <c r="G292" s="28"/>
      <c r="H292" s="180">
        <f>'2021'!BH292</f>
        <v>0</v>
      </c>
      <c r="I292" s="13"/>
      <c r="J292" s="15"/>
      <c r="K292" s="15"/>
      <c r="L292" s="28"/>
      <c r="M292" s="13"/>
      <c r="N292" s="15"/>
      <c r="Q292" s="13"/>
      <c r="R292" s="15"/>
      <c r="S292" s="15"/>
      <c r="T292" s="28"/>
      <c r="U292" s="13"/>
      <c r="V292" s="15"/>
      <c r="X292" s="1"/>
      <c r="Y292" s="13"/>
      <c r="Z292" s="2"/>
      <c r="AA292" s="15"/>
      <c r="AB292" s="28"/>
      <c r="AC292" s="348"/>
      <c r="AD292" s="15"/>
      <c r="AE292" s="180">
        <f>$F$13</f>
        <v>1000</v>
      </c>
      <c r="AG292" s="15"/>
      <c r="AH292" s="2"/>
      <c r="AI292" s="45"/>
      <c r="AJ292" s="15"/>
      <c r="AK292" s="15"/>
      <c r="AL292" s="15"/>
      <c r="AM292" s="45"/>
      <c r="AN292" s="154">
        <v>1000</v>
      </c>
      <c r="AO292" s="13"/>
      <c r="AP292" s="15"/>
      <c r="AQ292" s="180"/>
      <c r="AR292" s="15"/>
      <c r="AS292" s="13"/>
      <c r="AT292" s="15"/>
      <c r="AU292" s="45"/>
      <c r="AV292" s="15"/>
      <c r="AW292" s="13"/>
      <c r="AX292" s="15"/>
      <c r="AY292" s="45"/>
      <c r="AZ292" s="28"/>
      <c r="BA292" s="13"/>
      <c r="BB292" s="15"/>
      <c r="BC292" s="45"/>
      <c r="BD292" s="28"/>
      <c r="BE292" s="14"/>
      <c r="BF292" s="41">
        <f t="shared" ref="BF292:BG292" si="855">K292+O292+S292+W292+AA292+AE292+AI292+AM292+AQ292+AU292+AY292+BC292</f>
        <v>1000</v>
      </c>
      <c r="BG292" s="34">
        <f t="shared" si="855"/>
        <v>1000</v>
      </c>
      <c r="BH292" s="35">
        <f t="shared" si="847"/>
        <v>0</v>
      </c>
      <c r="BK292" s="2" t="b">
        <f>H292='2021'!BH292</f>
        <v>1</v>
      </c>
    </row>
    <row r="293" ht="15.75" customHeight="1" spans="1:63" x14ac:dyDescent="0.25">
      <c r="A293" s="2">
        <v>32</v>
      </c>
      <c r="B293" s="14"/>
      <c r="D293" s="14" t="s">
        <v>51</v>
      </c>
      <c r="E293" s="2" t="s">
        <v>49</v>
      </c>
      <c r="F293" s="41">
        <v>500</v>
      </c>
      <c r="G293" s="28"/>
      <c r="H293" s="180">
        <f>'2021'!BH293</f>
        <v>0</v>
      </c>
      <c r="I293" s="13"/>
      <c r="J293" s="15"/>
      <c r="K293" s="15"/>
      <c r="L293" s="28"/>
      <c r="M293" s="13"/>
      <c r="N293" s="15"/>
      <c r="Q293" s="13"/>
      <c r="R293" s="15"/>
      <c r="S293" s="15"/>
      <c r="T293" s="28"/>
      <c r="U293" s="13"/>
      <c r="V293" s="15"/>
      <c r="X293" s="1"/>
      <c r="Y293" s="13"/>
      <c r="Z293" s="2"/>
      <c r="AA293" s="15"/>
      <c r="AB293" s="28"/>
      <c r="AC293" s="348"/>
      <c r="AD293" s="15"/>
      <c r="AE293" s="34"/>
      <c r="AG293" s="15"/>
      <c r="AH293" s="2"/>
      <c r="AI293" s="45"/>
      <c r="AJ293" s="15"/>
      <c r="AK293" s="15"/>
      <c r="AL293" s="15"/>
      <c r="AM293" s="45"/>
      <c r="AN293" s="154"/>
      <c r="AO293" s="13"/>
      <c r="AP293" s="15"/>
      <c r="AQ293" s="180">
        <f>B288*$F$14</f>
        <v>0</v>
      </c>
      <c r="AR293" s="15"/>
      <c r="AS293" s="13"/>
      <c r="AT293" s="15"/>
      <c r="AU293" s="45"/>
      <c r="AV293" s="15"/>
      <c r="AW293" s="13"/>
      <c r="AX293" s="15"/>
      <c r="AY293" s="45"/>
      <c r="AZ293" s="28"/>
      <c r="BA293" s="13"/>
      <c r="BB293" s="15"/>
      <c r="BC293" s="45"/>
      <c r="BD293" s="28"/>
      <c r="BE293" s="14"/>
      <c r="BF293" s="41">
        <f t="shared" ref="BF293:BG293" si="856">K293+O293+S293+W293+AA293+AE293+AI293+AM293+AQ293+AU293+AY293+BC293</f>
        <v>0</v>
      </c>
      <c r="BG293" s="34">
        <f t="shared" si="856"/>
        <v>0</v>
      </c>
      <c r="BH293" s="35">
        <f t="shared" si="847"/>
        <v>0</v>
      </c>
      <c r="BK293" s="2" t="b">
        <f>H293='2021'!BH293</f>
        <v>1</v>
      </c>
    </row>
    <row r="294" ht="15.75" customHeight="1" spans="1:63" x14ac:dyDescent="0.25">
      <c r="A294" s="2">
        <v>32</v>
      </c>
      <c r="B294" s="14"/>
      <c r="D294" s="14" t="s">
        <v>52</v>
      </c>
      <c r="E294" s="2" t="s">
        <v>39</v>
      </c>
      <c r="F294" s="41">
        <v>500</v>
      </c>
      <c r="G294" s="28"/>
      <c r="H294" s="180">
        <f>'2021'!BH294</f>
        <v>0</v>
      </c>
      <c r="I294" s="13"/>
      <c r="J294" s="15"/>
      <c r="K294" s="15"/>
      <c r="L294" s="28"/>
      <c r="M294" s="13"/>
      <c r="N294" s="15"/>
      <c r="Q294" s="13"/>
      <c r="R294" s="15"/>
      <c r="S294" s="15"/>
      <c r="T294" s="28"/>
      <c r="U294" s="13"/>
      <c r="V294" s="15"/>
      <c r="Y294" s="13"/>
      <c r="Z294" s="2"/>
      <c r="AA294" s="34">
        <f>$F$15</f>
      </c>
      <c r="AB294" s="28"/>
      <c r="AC294" s="348"/>
      <c r="AD294" s="15"/>
      <c r="AG294" s="15"/>
      <c r="AH294" s="2"/>
      <c r="AI294" s="45"/>
      <c r="AJ294" s="15"/>
      <c r="AK294" s="15"/>
      <c r="AL294" s="15"/>
      <c r="AM294" s="45"/>
      <c r="AN294" s="15"/>
      <c r="AO294" s="13"/>
      <c r="AP294" s="15"/>
      <c r="AQ294" s="45"/>
      <c r="AR294" s="15"/>
      <c r="AS294" s="13"/>
      <c r="AT294" s="15"/>
      <c r="AU294" s="45"/>
      <c r="AV294" s="15"/>
      <c r="AW294" s="13"/>
      <c r="AX294" s="15"/>
      <c r="AY294" s="45"/>
      <c r="AZ294" s="35"/>
      <c r="BA294" s="13"/>
      <c r="BB294" s="15"/>
      <c r="BC294" s="45"/>
      <c r="BD294" s="35"/>
      <c r="BE294" s="14"/>
      <c r="BF294" s="41">
        <f t="shared" ref="BF294:BG294" si="857">K294+O294+S294+W294+AA294+AE294+AI294+AM294+AQ294+AU294+AY294+BC294</f>
        <v>0</v>
      </c>
      <c r="BG294" s="34">
        <f t="shared" si="857"/>
        <v>0</v>
      </c>
      <c r="BH294" s="35">
        <f t="shared" si="847"/>
        <v>0</v>
      </c>
      <c r="BK294" s="2" t="b">
        <f>H294='2021'!BH294</f>
        <v>1</v>
      </c>
    </row>
    <row r="295" ht="15.75" customHeight="1" spans="1:63" x14ac:dyDescent="0.25">
      <c r="A295" s="253">
        <v>32</v>
      </c>
      <c r="B295" s="21"/>
      <c r="C295" s="22" t="s">
        <v>53</v>
      </c>
      <c r="D295" s="21"/>
      <c r="E295" s="22"/>
      <c r="F295" s="20"/>
      <c r="G295" s="23"/>
      <c r="H295" s="51">
        <f>SUM(H287:H294)</f>
        <v>310.5</v>
      </c>
      <c r="I295" s="52"/>
      <c r="J295" s="53"/>
      <c r="K295" s="51">
        <f t="shared" ref="K295:L295" si="858">SUM(K287:K294)</f>
        <v>0</v>
      </c>
      <c r="L295" s="68">
        <f t="shared" si="858"/>
        <v>0</v>
      </c>
      <c r="M295" s="52"/>
      <c r="N295" s="53"/>
      <c r="O295" s="51">
        <f t="shared" ref="O295:P295" si="859">SUM(O287:O294)</f>
        <v>0</v>
      </c>
      <c r="P295" s="51">
        <f t="shared" si="859"/>
        <v>0</v>
      </c>
      <c r="Q295" s="52"/>
      <c r="R295" s="53"/>
      <c r="S295" s="51">
        <f t="shared" ref="S295:T295" si="860">SUM(S287:S294)</f>
        <v>0</v>
      </c>
      <c r="T295" s="51">
        <f t="shared" si="860"/>
        <v>0</v>
      </c>
      <c r="U295" s="52"/>
      <c r="V295" s="53"/>
      <c r="W295" s="51">
        <f t="shared" ref="W295:X295" si="861">SUM(W287:W294)</f>
        <v>0</v>
      </c>
      <c r="X295" s="51">
        <f t="shared" si="861"/>
        <v>0</v>
      </c>
      <c r="Y295" s="52"/>
      <c r="Z295" s="301"/>
      <c r="AA295" s="51">
        <f t="shared" ref="AA295:AB295" si="862">SUM(AA287:AA294)</f>
        <v>124.2</v>
      </c>
      <c r="AB295" s="51">
        <f t="shared" si="862"/>
        <v>0</v>
      </c>
      <c r="AC295" s="367"/>
      <c r="AD295" s="53"/>
      <c r="AE295" s="51">
        <f t="shared" ref="AE295:AF295" si="863">SUM(AE287:AE294)</f>
        <v>6476.95</v>
      </c>
      <c r="AF295" s="51">
        <f t="shared" si="863"/>
        <v>0</v>
      </c>
      <c r="AG295" s="52"/>
      <c r="AH295" s="301"/>
      <c r="AI295" s="183">
        <f t="shared" ref="AI295:AJ295" si="864">SUM(AI287:AI294)</f>
        <v>338.07456</v>
      </c>
      <c r="AJ295" s="51">
        <f t="shared" si="864"/>
        <v>0</v>
      </c>
      <c r="AK295" s="52"/>
      <c r="AL295" s="53"/>
      <c r="AM295" s="183">
        <f t="shared" ref="AM295:AN295" si="865">SUM(AM287:AM294)</f>
        <v>349.39056</v>
      </c>
      <c r="AN295" s="51">
        <f t="shared" si="865"/>
        <v>7249.72</v>
      </c>
      <c r="AO295" s="52"/>
      <c r="AP295" s="53"/>
      <c r="AQ295" s="183">
        <f t="shared" ref="AQ295:AR295" si="866">SUM(AQ287:AQ294)</f>
        <v>334.90608</v>
      </c>
      <c r="AR295" s="51">
        <f t="shared" si="866"/>
        <v>0</v>
      </c>
      <c r="AS295" s="52"/>
      <c r="AT295" s="53"/>
      <c r="AU295" s="183">
        <f t="shared" ref="AU295:AV295" si="867">SUM(AU287:AU294)</f>
        <v>316.584</v>
      </c>
      <c r="AV295" s="68">
        <f t="shared" si="867"/>
        <v>0</v>
      </c>
      <c r="AW295" s="52"/>
      <c r="AX295" s="53"/>
      <c r="AY295" s="183">
        <f t="shared" ref="AY295:AZ295" si="868">SUM(AY287:AY294)</f>
        <v>0</v>
      </c>
      <c r="AZ295" s="68">
        <f t="shared" si="868"/>
        <v>0</v>
      </c>
      <c r="BA295" s="52"/>
      <c r="BB295" s="53"/>
      <c r="BC295" s="183">
        <f t="shared" ref="BC295:BD295" si="869">SUM(BC287:BC294)</f>
        <v>0</v>
      </c>
      <c r="BD295" s="68">
        <f t="shared" si="869"/>
        <v>0</v>
      </c>
      <c r="BE295" s="69"/>
      <c r="BF295" s="70">
        <f t="shared" ref="BF295:BH295" si="870">SUM(BF287:BF294)</f>
        <v>7940.1052</v>
      </c>
      <c r="BG295" s="71">
        <f t="shared" si="870"/>
        <v>7249.72</v>
      </c>
      <c r="BH295" s="72">
        <f t="shared" si="870"/>
        <v>1000.8852</v>
      </c>
      <c r="BI295" s="34">
        <f>H295+BF295-BG295</f>
        <v>1000.8852</v>
      </c>
      <c r="BJ295" s="34">
        <f>BH295-BI295</f>
        <v>0</v>
      </c>
      <c r="BK295" s="2" t="b">
        <f>H295='2021'!BH295</f>
        <v>1</v>
      </c>
    </row>
    <row r="296" ht="15.75" customHeight="1" spans="1:63" x14ac:dyDescent="0.25">
      <c r="A296" s="2">
        <v>33</v>
      </c>
      <c r="B296" s="14"/>
      <c r="D296" s="14" t="s">
        <v>379</v>
      </c>
      <c r="F296" s="13"/>
      <c r="G296" s="28"/>
      <c r="H296" s="34">
        <f>'2021'!BH296</f>
        <v>81.46</v>
      </c>
      <c r="I296" s="13"/>
      <c r="J296" s="15"/>
      <c r="K296" s="34"/>
      <c r="L296" s="28"/>
      <c r="M296" s="13"/>
      <c r="N296" s="15"/>
      <c r="Q296" s="13"/>
      <c r="R296" s="15"/>
      <c r="S296" s="34">
        <v>13.67</v>
      </c>
      <c r="T296" s="32"/>
      <c r="U296" s="13"/>
      <c r="V296" s="15"/>
      <c r="W296" s="2">
        <v>13.23</v>
      </c>
      <c r="Y296" s="13"/>
      <c r="Z296" s="2"/>
      <c r="AA296" s="34">
        <v>13.67</v>
      </c>
      <c r="AB296" s="28"/>
      <c r="AC296" s="348"/>
      <c r="AD296" s="15"/>
      <c r="AE296" s="2">
        <v>13.23</v>
      </c>
      <c r="AG296" s="15"/>
      <c r="AH296" s="2"/>
      <c r="AI296" s="45">
        <v>13.67</v>
      </c>
      <c r="AJ296" s="15"/>
      <c r="AK296" s="15"/>
      <c r="AM296" s="45"/>
      <c r="AO296" s="13"/>
      <c r="AQ296" s="307"/>
      <c r="AS296" s="13"/>
      <c r="AU296" s="180"/>
      <c r="AW296" s="13"/>
      <c r="AY296" s="180"/>
      <c r="AZ296" s="28"/>
      <c r="BA296" s="13"/>
      <c r="BB296" s="15"/>
      <c r="BC296" s="180"/>
      <c r="BD296" s="28"/>
      <c r="BE296" s="14"/>
      <c r="BF296" s="41">
        <f t="shared" ref="BF296:BG296" si="871">K296+O296+S296+W296+AA296+AE296+AI296+AM296+AQ296+AU296+AY296+BC296</f>
        <v>67.47</v>
      </c>
      <c r="BG296" s="34">
        <f t="shared" si="871"/>
        <v>0</v>
      </c>
      <c r="BH296" s="35">
        <f t="shared" ref="BH296:BH303" si="872">H296+BF296-BG296</f>
        <v>148.93</v>
      </c>
      <c r="BK296" s="2" t="b">
        <f>H296='2021'!BH296</f>
        <v>1</v>
      </c>
    </row>
    <row r="297" ht="15.75" customHeight="1" spans="1:63" x14ac:dyDescent="0.25">
      <c r="A297" s="2">
        <v>33</v>
      </c>
      <c r="B297" s="14">
        <v>4.01</v>
      </c>
      <c r="C297" s="2" t="s">
        <v>154</v>
      </c>
      <c r="D297" s="14" t="s">
        <v>44</v>
      </c>
      <c r="E297" s="2" t="s">
        <v>45</v>
      </c>
      <c r="F297" s="41">
        <v>2.5</v>
      </c>
      <c r="G297" s="35">
        <v>2.6</v>
      </c>
      <c r="H297" s="34">
        <f>'2021'!BH297</f>
        <v>0.341</v>
      </c>
      <c r="I297" s="13">
        <v>33</v>
      </c>
      <c r="J297" s="15">
        <f>I297-'2021'!BA297</f>
        <v>0</v>
      </c>
      <c r="K297" s="34">
        <f>J297*$F$8</f>
        <v>0</v>
      </c>
      <c r="L297" s="28"/>
      <c r="M297" s="13">
        <v>33</v>
      </c>
      <c r="N297" s="15">
        <f t="shared" ref="N297:N298" si="873">M297-I297</f>
        <v>0</v>
      </c>
      <c r="O297" s="34">
        <f>N297*$F$8</f>
        <v>0</v>
      </c>
      <c r="Q297" s="13">
        <v>33</v>
      </c>
      <c r="R297" s="15">
        <f t="shared" ref="R297:R298" si="874">Q297-M297</f>
        <v>0</v>
      </c>
      <c r="S297" s="34">
        <f>R297*$F$8</f>
        <v>0</v>
      </c>
      <c r="T297" s="32"/>
      <c r="U297" s="13">
        <v>33</v>
      </c>
      <c r="V297" s="15">
        <f t="shared" ref="V297:V298" si="875">U297-Q297</f>
        <v>0</v>
      </c>
      <c r="W297" s="34">
        <f>V297*$F$8</f>
        <v>0</v>
      </c>
      <c r="Y297" s="13">
        <v>33</v>
      </c>
      <c r="Z297" s="2">
        <f t="shared" ref="Z297:Z298" si="876">Y297-U297</f>
        <v>0</v>
      </c>
      <c r="AA297" s="34">
        <f>Z297*$F$8</f>
        <v>0</v>
      </c>
      <c r="AB297" s="28"/>
      <c r="AC297" s="350">
        <v>33</v>
      </c>
      <c r="AD297" s="15">
        <f t="shared" ref="AD297:AD298" si="877">AC297-Y297</f>
        <v>0</v>
      </c>
      <c r="AE297" s="180">
        <f>AD297*$F$8</f>
        <v>0</v>
      </c>
      <c r="AG297" s="13">
        <v>33</v>
      </c>
      <c r="AH297" s="2">
        <f>(AG297-AC297)*AH5</f>
        <v>0</v>
      </c>
      <c r="AI297" s="45">
        <f>AH297*$G$8</f>
        <v>0</v>
      </c>
      <c r="AJ297" s="15"/>
      <c r="AK297" s="13">
        <v>33</v>
      </c>
      <c r="AL297" s="15">
        <f>(AK297-AG297)*AL5</f>
        <v>0</v>
      </c>
      <c r="AM297" s="45">
        <f>AL297*$G$8</f>
        <v>0</v>
      </c>
      <c r="AN297" s="15"/>
      <c r="AO297" s="13">
        <v>33</v>
      </c>
      <c r="AP297" s="15">
        <f>(AO297-AK297)*AP5</f>
        <v>0</v>
      </c>
      <c r="AQ297" s="45">
        <f>AP297*$G$8</f>
        <v>0</v>
      </c>
      <c r="AR297" s="15"/>
      <c r="AS297" s="13">
        <v>33</v>
      </c>
      <c r="AT297" s="15">
        <f>(AS297-AO297)*AT5</f>
        <v>0</v>
      </c>
      <c r="AU297" s="45">
        <f>AT297*$G$8</f>
        <v>0</v>
      </c>
      <c r="AV297" s="15"/>
      <c r="AW297" s="13"/>
      <c r="AX297" s="15">
        <f>(AW297-AS297)*AX5</f>
        <v>0</v>
      </c>
      <c r="AY297" s="45">
        <f>AX297*$G$8</f>
        <v>0</v>
      </c>
      <c r="AZ297" s="208"/>
      <c r="BA297" s="13"/>
      <c r="BB297" s="15"/>
      <c r="BC297" s="45">
        <f>BB297*$G$8</f>
        <v>0</v>
      </c>
      <c r="BD297" s="208"/>
      <c r="BE297" s="40">
        <f t="shared" ref="BE297:BG297" si="878">J297+N297+R297+V297+Z297+AD297+AH297+AL297+AP297+AT297+AX297+BB297</f>
        <v>0</v>
      </c>
      <c r="BF297" s="41">
        <f t="shared" si="878"/>
        <v>0</v>
      </c>
      <c r="BG297" s="34">
        <f t="shared" si="878"/>
        <v>0</v>
      </c>
      <c r="BH297" s="35">
        <f t="shared" si="872"/>
        <v>0.341</v>
      </c>
      <c r="BK297" s="2" t="b">
        <f>H297='2021'!BH297</f>
        <v>1</v>
      </c>
    </row>
    <row r="298" ht="15.75" customHeight="1" spans="1:63" x14ac:dyDescent="0.25">
      <c r="A298" s="2">
        <v>33</v>
      </c>
      <c r="B298" s="14"/>
      <c r="C298" s="2" t="s">
        <v>93</v>
      </c>
      <c r="D298" s="14" t="s">
        <v>47</v>
      </c>
      <c r="E298" s="2" t="s">
        <v>48</v>
      </c>
      <c r="F298" s="13">
        <v>18.56</v>
      </c>
      <c r="G298" s="35">
        <v>19.46</v>
      </c>
      <c r="H298" s="34">
        <f>'2021'!BH298</f>
        <v>0</v>
      </c>
      <c r="I298" s="13">
        <v>22</v>
      </c>
      <c r="J298" s="15"/>
      <c r="K298" s="15"/>
      <c r="L298" s="28"/>
      <c r="M298" s="13">
        <v>22</v>
      </c>
      <c r="N298" s="15">
        <f t="shared" si="873"/>
        <v>0</v>
      </c>
      <c r="Q298" s="13">
        <v>22</v>
      </c>
      <c r="R298" s="15">
        <f t="shared" si="874"/>
        <v>0</v>
      </c>
      <c r="S298" s="15"/>
      <c r="T298" s="32"/>
      <c r="U298" s="13">
        <v>22</v>
      </c>
      <c r="V298" s="15">
        <f t="shared" si="875"/>
        <v>0</v>
      </c>
      <c r="W298" s="34">
        <f>V298*$F$10</f>
        <v>0</v>
      </c>
      <c r="Y298" s="13">
        <v>22</v>
      </c>
      <c r="Z298" s="2">
        <f t="shared" si="876"/>
        <v>0</v>
      </c>
      <c r="AA298" s="34">
        <f>Z298*$F$10</f>
        <v>0</v>
      </c>
      <c r="AB298" s="28"/>
      <c r="AC298" s="350">
        <v>22</v>
      </c>
      <c r="AD298" s="15">
        <f t="shared" si="877"/>
        <v>0</v>
      </c>
      <c r="AE298" s="34">
        <f>AD298*$F$10</f>
        <v>0</v>
      </c>
      <c r="AG298" s="13">
        <v>22</v>
      </c>
      <c r="AH298" s="2">
        <f>AG298-AC298</f>
        <v>0</v>
      </c>
      <c r="AI298" s="45">
        <f>AH298*$G$10</f>
        <v>0</v>
      </c>
      <c r="AJ298" s="15"/>
      <c r="AK298" s="13">
        <v>22</v>
      </c>
      <c r="AL298" s="15">
        <f>AK298-AG298</f>
        <v>0</v>
      </c>
      <c r="AM298" s="45">
        <f>AL298*$G$10</f>
        <v>0</v>
      </c>
      <c r="AN298" s="15"/>
      <c r="AO298" s="13">
        <v>22</v>
      </c>
      <c r="AP298" s="15">
        <f>AO298-AK298</f>
        <v>0</v>
      </c>
      <c r="AQ298" s="45">
        <f>AP298*$G$10</f>
        <v>0</v>
      </c>
      <c r="AR298" s="15"/>
      <c r="AS298" s="13">
        <v>22</v>
      </c>
      <c r="AT298" s="15">
        <f>AS298-AO298</f>
        <v>0</v>
      </c>
      <c r="AU298" s="45">
        <f>AT298*$G$10</f>
        <v>0</v>
      </c>
      <c r="AV298" s="15"/>
      <c r="AW298" s="13"/>
      <c r="AX298" s="15">
        <f>AW298-AS298</f>
        <v>-22</v>
      </c>
      <c r="AY298" s="45"/>
      <c r="AZ298" s="208"/>
      <c r="BA298" s="13"/>
      <c r="BB298" s="15"/>
      <c r="BC298" s="45"/>
      <c r="BD298" s="208"/>
      <c r="BE298" s="40">
        <f t="shared" ref="BE298:BG298" si="879">J298+N298+R298+V298+Z298+AD298+AH298+AL298+AP298+AT298+AX298+BB298</f>
        <v>-22</v>
      </c>
      <c r="BF298" s="41">
        <f t="shared" si="879"/>
        <v>0</v>
      </c>
      <c r="BG298" s="34">
        <f t="shared" si="879"/>
        <v>0</v>
      </c>
      <c r="BH298" s="35">
        <f t="shared" si="872"/>
        <v>0</v>
      </c>
      <c r="BK298" s="2" t="b">
        <f>H298='2021'!BH298</f>
        <v>1</v>
      </c>
    </row>
    <row r="299" ht="15.75" customHeight="1" spans="1:63" x14ac:dyDescent="0.25">
      <c r="A299" s="2">
        <v>33</v>
      </c>
      <c r="B299" s="14"/>
      <c r="C299" s="2" t="s">
        <v>68</v>
      </c>
      <c r="D299" s="14" t="s">
        <v>47</v>
      </c>
      <c r="E299" s="2" t="s">
        <v>49</v>
      </c>
      <c r="F299" s="41">
        <v>500</v>
      </c>
      <c r="G299" s="28"/>
      <c r="H299" s="34">
        <f>'2021'!BH299</f>
        <v>0</v>
      </c>
      <c r="I299" s="13"/>
      <c r="J299" s="15"/>
      <c r="K299" s="15"/>
      <c r="L299" s="28"/>
      <c r="M299" s="13"/>
      <c r="N299" s="15"/>
      <c r="Q299" s="13"/>
      <c r="R299" s="15"/>
      <c r="S299" s="15"/>
      <c r="T299" s="32"/>
      <c r="U299" s="13"/>
      <c r="V299" s="15"/>
      <c r="Y299" s="13"/>
      <c r="Z299" s="2"/>
      <c r="AA299" s="34"/>
      <c r="AB299" s="28"/>
      <c r="AC299" s="348"/>
      <c r="AD299" s="15"/>
      <c r="AG299" s="15"/>
      <c r="AH299" s="2"/>
      <c r="AI299" s="45"/>
      <c r="AJ299" s="15"/>
      <c r="AK299" s="15"/>
      <c r="AL299" s="15"/>
      <c r="AM299" s="45"/>
      <c r="AN299" s="15"/>
      <c r="AO299" s="13"/>
      <c r="AP299" s="15"/>
      <c r="AQ299" s="45"/>
      <c r="AR299" s="15"/>
      <c r="AS299" s="13"/>
      <c r="AT299" s="15"/>
      <c r="AU299" s="45"/>
      <c r="AV299" s="15"/>
      <c r="AW299" s="13"/>
      <c r="AX299" s="15"/>
      <c r="AY299" s="45"/>
      <c r="AZ299" s="28"/>
      <c r="BA299" s="13"/>
      <c r="BB299" s="15"/>
      <c r="BC299" s="45"/>
      <c r="BD299" s="28"/>
      <c r="BE299" s="14"/>
      <c r="BF299" s="41">
        <f t="shared" ref="BF299:BG299" si="880">K299+O299+S299+W299+AA299+AE299+AI299+AM299+AQ299+AU299+AY299+BC299</f>
        <v>0</v>
      </c>
      <c r="BG299" s="34">
        <f t="shared" si="880"/>
        <v>0</v>
      </c>
      <c r="BH299" s="35">
        <f t="shared" si="872"/>
        <v>0</v>
      </c>
      <c r="BK299" s="2" t="b">
        <f>H299='2021'!BH299</f>
        <v>1</v>
      </c>
    </row>
    <row r="300" ht="15.75" customHeight="1" spans="1:63" x14ac:dyDescent="0.25">
      <c r="A300" s="2">
        <v>33</v>
      </c>
      <c r="B300" s="14"/>
      <c r="C300" s="73" t="s">
        <v>398</v>
      </c>
      <c r="D300" s="14" t="s">
        <v>50</v>
      </c>
      <c r="E300" s="2" t="s">
        <v>49</v>
      </c>
      <c r="F300" s="41">
        <v>1100</v>
      </c>
      <c r="G300" s="28"/>
      <c r="H300" s="34">
        <f>'2021'!BH300</f>
        <v>4411</v>
      </c>
      <c r="I300" s="13"/>
      <c r="J300" s="15"/>
      <c r="K300" s="15"/>
      <c r="L300" s="28"/>
      <c r="M300" s="13"/>
      <c r="N300" s="15"/>
      <c r="Q300" s="13"/>
      <c r="R300" s="15"/>
      <c r="S300" s="15"/>
      <c r="T300" s="32"/>
      <c r="U300" s="13"/>
      <c r="V300" s="15"/>
      <c r="Y300" s="13"/>
      <c r="Z300" s="2"/>
      <c r="AA300" s="15"/>
      <c r="AB300" s="28"/>
      <c r="AC300" s="348"/>
      <c r="AD300" s="15"/>
      <c r="AE300" s="34">
        <f>B297*$F$12</f>
        <v>5213</v>
      </c>
      <c r="AG300" s="15"/>
      <c r="AH300" s="2"/>
      <c r="AI300" s="45"/>
      <c r="AJ300" s="15"/>
      <c r="AK300" s="15"/>
      <c r="AL300" s="15"/>
      <c r="AM300" s="45"/>
      <c r="AN300" s="15"/>
      <c r="AO300" s="13"/>
      <c r="AP300" s="15"/>
      <c r="AQ300" s="45"/>
      <c r="AR300" s="15"/>
      <c r="AS300" s="13"/>
      <c r="AT300" s="15"/>
      <c r="AU300" s="45"/>
      <c r="AV300" s="15"/>
      <c r="AW300" s="13"/>
      <c r="AX300" s="15"/>
      <c r="AY300" s="45"/>
      <c r="AZ300" s="28"/>
      <c r="BA300" s="13"/>
      <c r="BB300" s="15"/>
      <c r="BC300" s="45"/>
      <c r="BD300" s="28"/>
      <c r="BE300" s="14"/>
      <c r="BF300" s="41">
        <f t="shared" ref="BF300:BG300" si="881">K300+O300+S300+W300+AA300+AE300+AI300+AM300+AQ300+AU300+AY300+BC300</f>
        <v>5213</v>
      </c>
      <c r="BG300" s="34">
        <f t="shared" si="881"/>
        <v>0</v>
      </c>
      <c r="BH300" s="35">
        <f t="shared" si="872"/>
        <v>9624</v>
      </c>
      <c r="BK300" s="2" t="b">
        <f>H300='2021'!BH300</f>
        <v>1</v>
      </c>
    </row>
    <row r="301" ht="15.75" customHeight="1" spans="1:63" x14ac:dyDescent="0.25">
      <c r="A301" s="2">
        <v>33</v>
      </c>
      <c r="B301" s="14"/>
      <c r="D301" s="14" t="s">
        <v>51</v>
      </c>
      <c r="E301" s="2" t="s">
        <v>39</v>
      </c>
      <c r="F301" s="41">
        <v>500</v>
      </c>
      <c r="G301" s="28"/>
      <c r="H301" s="34">
        <f>'2021'!BH301</f>
        <v>0</v>
      </c>
      <c r="I301" s="13"/>
      <c r="J301" s="15"/>
      <c r="K301" s="15"/>
      <c r="L301" s="28"/>
      <c r="M301" s="13"/>
      <c r="N301" s="15"/>
      <c r="Q301" s="13"/>
      <c r="R301" s="15"/>
      <c r="S301" s="15"/>
      <c r="T301" s="32"/>
      <c r="U301" s="13"/>
      <c r="V301" s="15"/>
      <c r="Y301" s="13"/>
      <c r="Z301" s="2"/>
      <c r="AA301" s="15"/>
      <c r="AB301" s="28"/>
      <c r="AC301" s="348"/>
      <c r="AD301" s="15"/>
      <c r="AE301" s="180">
        <f>$F$13</f>
        <v>1000</v>
      </c>
      <c r="AG301" s="15"/>
      <c r="AH301" s="2"/>
      <c r="AI301" s="45"/>
      <c r="AJ301" s="15"/>
      <c r="AK301" s="15"/>
      <c r="AL301" s="15"/>
      <c r="AM301" s="45"/>
      <c r="AN301" s="15"/>
      <c r="AO301" s="13"/>
      <c r="AP301" s="15"/>
      <c r="AQ301" s="180"/>
      <c r="AR301" s="15"/>
      <c r="AS301" s="13"/>
      <c r="AT301" s="15"/>
      <c r="AU301" s="45"/>
      <c r="AV301" s="15"/>
      <c r="AW301" s="13"/>
      <c r="AX301" s="15"/>
      <c r="AY301" s="45"/>
      <c r="AZ301" s="28"/>
      <c r="BA301" s="13"/>
      <c r="BB301" s="15"/>
      <c r="BC301" s="45"/>
      <c r="BD301" s="28"/>
      <c r="BE301" s="14"/>
      <c r="BF301" s="41">
        <f t="shared" ref="BF301:BG301" si="882">K301+O301+S301+W301+AA301+AE301+AI301+AM301+AQ301+AU301+AY301+BC301</f>
        <v>1000</v>
      </c>
      <c r="BG301" s="34">
        <f t="shared" si="882"/>
        <v>0</v>
      </c>
      <c r="BH301" s="35">
        <f t="shared" si="872"/>
        <v>1000</v>
      </c>
      <c r="BK301" s="2" t="b">
        <f>H301='2021'!BH301</f>
        <v>1</v>
      </c>
    </row>
    <row r="302" ht="15.75" customHeight="1" spans="1:63" x14ac:dyDescent="0.25">
      <c r="A302" s="2">
        <v>33</v>
      </c>
      <c r="B302" s="14"/>
      <c r="D302" s="14" t="s">
        <v>51</v>
      </c>
      <c r="E302" s="2" t="s">
        <v>49</v>
      </c>
      <c r="F302" s="41">
        <v>500</v>
      </c>
      <c r="G302" s="28"/>
      <c r="H302" s="34">
        <f>'2021'!BH302</f>
        <v>0</v>
      </c>
      <c r="I302" s="13"/>
      <c r="J302" s="15"/>
      <c r="K302" s="15"/>
      <c r="L302" s="28"/>
      <c r="M302" s="13"/>
      <c r="N302" s="15"/>
      <c r="Q302" s="13"/>
      <c r="R302" s="15"/>
      <c r="S302" s="15"/>
      <c r="T302" s="32"/>
      <c r="U302" s="13"/>
      <c r="V302" s="15"/>
      <c r="Y302" s="13"/>
      <c r="Z302" s="2"/>
      <c r="AA302" s="15"/>
      <c r="AB302" s="28"/>
      <c r="AC302" s="348"/>
      <c r="AD302" s="15"/>
      <c r="AE302" s="34"/>
      <c r="AG302" s="15"/>
      <c r="AH302" s="2"/>
      <c r="AI302" s="45"/>
      <c r="AJ302" s="15"/>
      <c r="AK302" s="15"/>
      <c r="AL302" s="15"/>
      <c r="AM302" s="45"/>
      <c r="AN302" s="15"/>
      <c r="AO302" s="13"/>
      <c r="AP302" s="15"/>
      <c r="AQ302" s="180">
        <f>B297*$F$14</f>
        <v>0</v>
      </c>
      <c r="AR302" s="15"/>
      <c r="AS302" s="13"/>
      <c r="AT302" s="15"/>
      <c r="AU302" s="45"/>
      <c r="AV302" s="15"/>
      <c r="AW302" s="13"/>
      <c r="AX302" s="15"/>
      <c r="AY302" s="45"/>
      <c r="AZ302" s="28"/>
      <c r="BA302" s="13"/>
      <c r="BB302" s="15"/>
      <c r="BC302" s="45"/>
      <c r="BD302" s="28"/>
      <c r="BE302" s="14"/>
      <c r="BF302" s="41">
        <f t="shared" ref="BF302:BG302" si="883">K302+O302+S302+W302+AA302+AE302+AI302+AM302+AQ302+AU302+AY302+BC302</f>
        <v>0</v>
      </c>
      <c r="BG302" s="34">
        <f t="shared" si="883"/>
        <v>0</v>
      </c>
      <c r="BH302" s="35">
        <f t="shared" si="872"/>
        <v>0</v>
      </c>
      <c r="BK302" s="2" t="b">
        <f>H302='2021'!BH302</f>
        <v>1</v>
      </c>
    </row>
    <row r="303" ht="15.75" customHeight="1" spans="1:63" x14ac:dyDescent="0.25">
      <c r="A303" s="2">
        <v>33</v>
      </c>
      <c r="B303" s="14"/>
      <c r="D303" s="14" t="s">
        <v>52</v>
      </c>
      <c r="E303" s="2" t="s">
        <v>39</v>
      </c>
      <c r="F303" s="41">
        <v>500</v>
      </c>
      <c r="G303" s="28"/>
      <c r="H303" s="34">
        <f>'2021'!BH303</f>
        <v>0</v>
      </c>
      <c r="I303" s="13"/>
      <c r="J303" s="15"/>
      <c r="K303" s="15"/>
      <c r="L303" s="28"/>
      <c r="M303" s="13"/>
      <c r="N303" s="15"/>
      <c r="Q303" s="13"/>
      <c r="R303" s="15"/>
      <c r="S303" s="15"/>
      <c r="T303" s="32"/>
      <c r="U303" s="13"/>
      <c r="V303" s="15"/>
      <c r="Y303" s="13"/>
      <c r="Z303" s="2"/>
      <c r="AA303" s="34">
        <f>$F$15</f>
      </c>
      <c r="AB303" s="28"/>
      <c r="AC303" s="348"/>
      <c r="AD303" s="15"/>
      <c r="AG303" s="15"/>
      <c r="AH303" s="2"/>
      <c r="AI303" s="45"/>
      <c r="AJ303" s="15"/>
      <c r="AK303" s="15"/>
      <c r="AL303" s="15"/>
      <c r="AM303" s="45"/>
      <c r="AN303" s="15"/>
      <c r="AO303" s="13"/>
      <c r="AP303" s="15"/>
      <c r="AQ303" s="45"/>
      <c r="AR303" s="15"/>
      <c r="AS303" s="13"/>
      <c r="AT303" s="15"/>
      <c r="AU303" s="45"/>
      <c r="AV303" s="15"/>
      <c r="AW303" s="13"/>
      <c r="AX303" s="15"/>
      <c r="AY303" s="45"/>
      <c r="AZ303" s="35"/>
      <c r="BA303" s="13"/>
      <c r="BB303" s="15"/>
      <c r="BC303" s="45"/>
      <c r="BD303" s="35"/>
      <c r="BE303" s="14"/>
      <c r="BF303" s="41">
        <f t="shared" ref="BF303:BG303" si="884">K303+O303+S303+W303+AA303+AE303+AI303+AM303+AQ303+AU303+AY303+BC303</f>
        <v>0</v>
      </c>
      <c r="BG303" s="34">
        <f t="shared" si="884"/>
        <v>0</v>
      </c>
      <c r="BH303" s="35">
        <f t="shared" si="872"/>
        <v>0</v>
      </c>
      <c r="BK303" s="2" t="b">
        <f>H303='2021'!BH303</f>
        <v>1</v>
      </c>
    </row>
    <row r="304" ht="15.75" customHeight="1" spans="1:63" x14ac:dyDescent="0.25">
      <c r="A304" s="247">
        <v>33</v>
      </c>
      <c r="B304" s="21"/>
      <c r="C304" s="22" t="s">
        <v>53</v>
      </c>
      <c r="D304" s="21"/>
      <c r="E304" s="22"/>
      <c r="F304" s="20"/>
      <c r="G304" s="23"/>
      <c r="H304" s="51">
        <f>SUM(H296:H303)</f>
        <v>4492.801</v>
      </c>
      <c r="I304" s="52"/>
      <c r="J304" s="53"/>
      <c r="K304" s="51">
        <f t="shared" ref="K304:L304" si="885">SUM(K296:K303)</f>
        <v>0</v>
      </c>
      <c r="L304" s="68">
        <f t="shared" si="885"/>
        <v>0</v>
      </c>
      <c r="M304" s="52"/>
      <c r="N304" s="53"/>
      <c r="O304" s="51">
        <f t="shared" ref="O304:P304" si="886">SUM(O296:O303)</f>
        <v>0</v>
      </c>
      <c r="P304" s="51">
        <f t="shared" si="886"/>
        <v>0</v>
      </c>
      <c r="Q304" s="52"/>
      <c r="R304" s="53"/>
      <c r="S304" s="51">
        <f t="shared" ref="S304:T304" si="887">SUM(S296:S303)</f>
        <v>13.67</v>
      </c>
      <c r="T304" s="51">
        <f t="shared" si="887"/>
        <v>0</v>
      </c>
      <c r="U304" s="52"/>
      <c r="V304" s="53"/>
      <c r="W304" s="51">
        <f t="shared" ref="W304:X304" si="888">SUM(W296:W303)</f>
        <v>13.23</v>
      </c>
      <c r="X304" s="51">
        <f t="shared" si="888"/>
        <v>0</v>
      </c>
      <c r="Y304" s="52"/>
      <c r="Z304" s="301"/>
      <c r="AA304" s="51">
        <f t="shared" ref="AA304:AB304" si="889">SUM(AA296:AA303)</f>
        <v>13.67</v>
      </c>
      <c r="AB304" s="51">
        <f t="shared" si="889"/>
        <v>0</v>
      </c>
      <c r="AC304" s="367"/>
      <c r="AD304" s="53"/>
      <c r="AE304" s="51">
        <f t="shared" ref="AE304:AF304" si="890">SUM(AE296:AE303)</f>
        <v>6226.23</v>
      </c>
      <c r="AF304" s="51">
        <f t="shared" si="890"/>
        <v>0</v>
      </c>
      <c r="AG304" s="52"/>
      <c r="AH304" s="301"/>
      <c r="AI304" s="183">
        <f t="shared" ref="AI304:AJ304" si="891">SUM(AI296:AI303)</f>
        <v>13.67</v>
      </c>
      <c r="AJ304" s="51">
        <f t="shared" si="891"/>
        <v>0</v>
      </c>
      <c r="AK304" s="52"/>
      <c r="AL304" s="53"/>
      <c r="AM304" s="183">
        <f t="shared" ref="AM304:AN304" si="892">SUM(AM296:AM303)</f>
        <v>0</v>
      </c>
      <c r="AN304" s="51">
        <f t="shared" si="892"/>
        <v>0</v>
      </c>
      <c r="AO304" s="52"/>
      <c r="AP304" s="53"/>
      <c r="AQ304" s="183">
        <f t="shared" ref="AQ304:AR304" si="893">SUM(AQ296:AQ303)</f>
        <v>0</v>
      </c>
      <c r="AR304" s="51">
        <f t="shared" si="893"/>
        <v>0</v>
      </c>
      <c r="AS304" s="52"/>
      <c r="AT304" s="53"/>
      <c r="AU304" s="183">
        <f t="shared" ref="AU304:AV304" si="894">SUM(AU296:AU303)</f>
        <v>0</v>
      </c>
      <c r="AV304" s="68">
        <f t="shared" si="894"/>
        <v>0</v>
      </c>
      <c r="AW304" s="52"/>
      <c r="AX304" s="53"/>
      <c r="AY304" s="183">
        <f t="shared" ref="AY304:AZ304" si="895">SUM(AY296:AY303)</f>
        <v>0</v>
      </c>
      <c r="AZ304" s="68">
        <f t="shared" si="895"/>
        <v>0</v>
      </c>
      <c r="BA304" s="52"/>
      <c r="BB304" s="53"/>
      <c r="BC304" s="183">
        <f t="shared" ref="BC304:BD304" si="896">SUM(BC296:BC303)</f>
        <v>0</v>
      </c>
      <c r="BD304" s="68">
        <f t="shared" si="896"/>
        <v>0</v>
      </c>
      <c r="BE304" s="69"/>
      <c r="BF304" s="70">
        <f t="shared" ref="BF304:BH304" si="897">SUM(BF296:BF303)</f>
        <v>6280.47</v>
      </c>
      <c r="BG304" s="71">
        <f t="shared" si="897"/>
        <v>0</v>
      </c>
      <c r="BH304" s="72">
        <f t="shared" si="897"/>
        <v>10773.271</v>
      </c>
      <c r="BI304" s="34">
        <f>H304+BF304-BG304</f>
        <v>10773.271</v>
      </c>
      <c r="BJ304" s="34">
        <f>BH304-BI304</f>
        <v>0</v>
      </c>
      <c r="BK304" s="2" t="b">
        <f>H304='2021'!BH304</f>
        <v>1</v>
      </c>
    </row>
    <row r="305" ht="15.75" customHeight="1" spans="1:63" x14ac:dyDescent="0.25">
      <c r="A305" s="2">
        <v>34</v>
      </c>
      <c r="B305" s="14"/>
      <c r="D305" s="178" t="s">
        <v>486</v>
      </c>
      <c r="F305" s="13"/>
      <c r="G305" s="28"/>
      <c r="H305" s="34">
        <f>'2021'!BH305</f>
        <v>221.4</v>
      </c>
      <c r="I305" s="13"/>
      <c r="J305" s="15"/>
      <c r="K305" s="15"/>
      <c r="L305" s="28"/>
      <c r="M305" s="13"/>
      <c r="N305" s="15"/>
      <c r="Q305" s="13"/>
      <c r="R305" s="15"/>
      <c r="S305" s="15">
        <v>28.91</v>
      </c>
      <c r="T305" s="28"/>
      <c r="U305" s="13"/>
      <c r="V305" s="15"/>
      <c r="W305" s="2">
        <v>25.11</v>
      </c>
      <c r="X305" s="1"/>
      <c r="Y305" s="13"/>
      <c r="Z305" s="2"/>
      <c r="AA305" s="15">
        <v>20.52</v>
      </c>
      <c r="AB305" s="32">
        <v>139.9</v>
      </c>
      <c r="AC305" s="348"/>
      <c r="AD305" s="15"/>
      <c r="AG305" s="15"/>
      <c r="AH305" s="2"/>
      <c r="AI305" s="45"/>
      <c r="AJ305" s="15">
        <f>156.04+71.48</f>
        <v>227.52</v>
      </c>
      <c r="AK305" s="15"/>
      <c r="AM305" s="45"/>
      <c r="AO305" s="13"/>
      <c r="AQ305" s="307"/>
      <c r="AS305" s="13"/>
      <c r="AU305" s="180"/>
      <c r="AW305" s="13"/>
      <c r="AY305" s="180"/>
      <c r="AZ305" s="28"/>
      <c r="BA305" s="13"/>
      <c r="BB305" s="15"/>
      <c r="BC305" s="180"/>
      <c r="BD305" s="28"/>
      <c r="BE305" s="14"/>
      <c r="BF305" s="41">
        <f t="shared" ref="BF305:BG305" si="898">K305+O305+S305+W305+AA305+AE305+AI305+AM305+AQ305+AU305+AY305+BC305</f>
        <v>74.54</v>
      </c>
      <c r="BG305" s="34">
        <f t="shared" si="898"/>
        <v>367.42</v>
      </c>
      <c r="BH305" s="35">
        <f t="shared" ref="BH305:BH312" si="899">H305+BF305-BG305</f>
        <v>-71.48</v>
      </c>
      <c r="BK305" s="2" t="b">
        <f>H305='2021'!BH305</f>
        <v>1</v>
      </c>
    </row>
    <row r="306" ht="15.75" customHeight="1" spans="1:63" x14ac:dyDescent="0.25">
      <c r="A306" s="2">
        <v>34</v>
      </c>
      <c r="B306" s="14">
        <v>4.01</v>
      </c>
      <c r="C306" s="15" t="s">
        <v>155</v>
      </c>
      <c r="D306" s="14" t="s">
        <v>44</v>
      </c>
      <c r="E306" s="2" t="s">
        <v>45</v>
      </c>
      <c r="F306" s="41">
        <v>2.5</v>
      </c>
      <c r="G306" s="35">
        <v>2.6</v>
      </c>
      <c r="H306" s="34">
        <f>'2021'!BH306</f>
        <v>3333.1</v>
      </c>
      <c r="I306" s="13">
        <v>5082</v>
      </c>
      <c r="J306" s="15">
        <f>I306-'2021'!BA306</f>
        <v>0</v>
      </c>
      <c r="K306" s="34">
        <f>J306*$F$8</f>
        <v>0</v>
      </c>
      <c r="L306" s="28"/>
      <c r="M306" s="13">
        <v>5082</v>
      </c>
      <c r="N306" s="15">
        <f t="shared" ref="N306:N307" si="900">M306-I306</f>
        <v>0</v>
      </c>
      <c r="O306" s="34">
        <f>N306*$F$8</f>
        <v>0</v>
      </c>
      <c r="Q306" s="13">
        <v>5082</v>
      </c>
      <c r="R306" s="15">
        <f t="shared" ref="R306:R307" si="901">Q306-M306</f>
        <v>0</v>
      </c>
      <c r="S306" s="34">
        <f>R306*$F$8</f>
        <v>0</v>
      </c>
      <c r="T306" s="28"/>
      <c r="U306" s="13">
        <v>5082</v>
      </c>
      <c r="V306" s="15">
        <f t="shared" ref="V306:V307" si="902">U306-Q306</f>
        <v>0</v>
      </c>
      <c r="W306" s="34">
        <f>V306*$F$8</f>
        <v>0</v>
      </c>
      <c r="X306" s="1">
        <v>3333.1</v>
      </c>
      <c r="Y306" s="13">
        <v>5127</v>
      </c>
      <c r="Z306" s="2">
        <f>Y306-U306</f>
        <v>45</v>
      </c>
      <c r="AA306" s="34">
        <f>Z306*$F$8</f>
        <v>121.5</v>
      </c>
      <c r="AB306" s="32">
        <v>300</v>
      </c>
      <c r="AC306" s="350">
        <v>5684</v>
      </c>
      <c r="AD306" s="15">
        <f t="shared" ref="AD306:AD307" si="903">AC306-Y306</f>
        <v>557</v>
      </c>
      <c r="AE306" s="180">
        <f>AD306*$F$8</f>
        <v>1503.9</v>
      </c>
      <c r="AG306" s="13">
        <v>6277</v>
      </c>
      <c r="AH306" s="2">
        <f>(AG306-AC306)*AH5</f>
        <v>626.208</v>
      </c>
      <c r="AI306" s="45">
        <f>AH306*$G$8</f>
        <v>1540.47168</v>
      </c>
      <c r="AJ306" s="180">
        <v>1325.4</v>
      </c>
      <c r="AK306" s="13">
        <v>6635</v>
      </c>
      <c r="AL306" s="15">
        <f>(AK306-AG306)*AL5</f>
        <v>368.024</v>
      </c>
      <c r="AM306" s="45">
        <f>AL306*$G$8</f>
        <v>905.33904</v>
      </c>
      <c r="AN306" s="15"/>
      <c r="AO306" s="13">
        <v>6642</v>
      </c>
      <c r="AP306" s="15">
        <f>(AO306-AK306)*AP5</f>
        <v>7.231</v>
      </c>
      <c r="AQ306" s="45">
        <f>AP306*$G$8</f>
        <v>17.78826</v>
      </c>
      <c r="AR306" s="15"/>
      <c r="AS306" s="13">
        <v>6642</v>
      </c>
      <c r="AT306" s="15">
        <f>(AS306-AO306)*AT5</f>
        <v>0</v>
      </c>
      <c r="AU306" s="45">
        <f>AT306*$G$8</f>
        <v>0</v>
      </c>
      <c r="AV306" s="15"/>
      <c r="AW306" s="13"/>
      <c r="AX306" s="15">
        <f>(AW306-AS306)*AX5</f>
        <v>0</v>
      </c>
      <c r="AY306" s="45">
        <f>AX306*$G$8</f>
        <v>0</v>
      </c>
      <c r="AZ306" s="208"/>
      <c r="BA306" s="13"/>
      <c r="BB306" s="15"/>
      <c r="BC306" s="45">
        <f>BB306*$G$8</f>
        <v>0</v>
      </c>
      <c r="BD306" s="208"/>
      <c r="BE306" s="40">
        <f t="shared" ref="BE306:BG306" si="904">J306+N306+R306+V306+Z306+AD306+AH306+AL306+AP306+AT306+AX306+BB306</f>
        <v>1603.463</v>
      </c>
      <c r="BF306" s="41">
        <f t="shared" si="904"/>
        <v>4088.99898</v>
      </c>
      <c r="BG306" s="34">
        <f t="shared" si="904"/>
        <v>4958.5</v>
      </c>
      <c r="BH306" s="35">
        <f t="shared" si="899"/>
        <v>2463.59898</v>
      </c>
      <c r="BK306" s="2" t="b">
        <f>H306='2021'!BH306</f>
        <v>1</v>
      </c>
    </row>
    <row r="307" ht="15.75" customHeight="1" spans="1:63" x14ac:dyDescent="0.25">
      <c r="A307" s="2">
        <v>34</v>
      </c>
      <c r="B307" s="14"/>
      <c r="C307" s="2" t="s">
        <v>114</v>
      </c>
      <c r="D307" s="14" t="s">
        <v>47</v>
      </c>
      <c r="E307" s="2" t="s">
        <v>48</v>
      </c>
      <c r="F307" s="13">
        <v>18.56</v>
      </c>
      <c r="G307" s="35">
        <v>19.46</v>
      </c>
      <c r="H307" s="34">
        <f>'2021'!BH307</f>
        <v>-169.42</v>
      </c>
      <c r="I307" s="13">
        <v>67</v>
      </c>
      <c r="J307" s="15"/>
      <c r="K307" s="15"/>
      <c r="L307" s="28"/>
      <c r="M307" s="13">
        <v>67</v>
      </c>
      <c r="N307" s="15">
        <f t="shared" si="900"/>
        <v>0</v>
      </c>
      <c r="Q307" s="13">
        <v>67</v>
      </c>
      <c r="R307" s="15">
        <f t="shared" si="901"/>
        <v>0</v>
      </c>
      <c r="S307" s="15"/>
      <c r="T307" s="28"/>
      <c r="U307" s="13">
        <v>67</v>
      </c>
      <c r="V307" s="15">
        <f t="shared" si="902"/>
        <v>0</v>
      </c>
      <c r="W307" s="34">
        <f>V307*$F$10</f>
        <v>0</v>
      </c>
      <c r="X307" s="39"/>
      <c r="Y307" s="13">
        <v>114</v>
      </c>
      <c r="Z307" s="2">
        <v>0</v>
      </c>
      <c r="AA307" s="34">
        <f>Z307*$F$10</f>
        <v>0</v>
      </c>
      <c r="AB307" s="32"/>
      <c r="AC307" s="348">
        <v>124</v>
      </c>
      <c r="AD307" s="15">
        <f t="shared" si="903"/>
        <v>10</v>
      </c>
      <c r="AE307" s="34">
        <f>AD307*$F$10</f>
        <v>203.5</v>
      </c>
      <c r="AG307" s="15">
        <v>139</v>
      </c>
      <c r="AH307" s="2">
        <f>AG307-AC307</f>
        <v>15</v>
      </c>
      <c r="AI307" s="45">
        <f>AH307*$G$10</f>
        <v>321</v>
      </c>
      <c r="AJ307" s="180">
        <v>34.08</v>
      </c>
      <c r="AK307" s="15">
        <v>139</v>
      </c>
      <c r="AL307" s="15">
        <f>AK307-AG307</f>
        <v>0</v>
      </c>
      <c r="AM307" s="45">
        <f>AL307*$G$10</f>
        <v>0</v>
      </c>
      <c r="AN307" s="15"/>
      <c r="AO307" s="13">
        <v>150</v>
      </c>
      <c r="AP307" s="15">
        <f>AO307-AK307</f>
        <v>11</v>
      </c>
      <c r="AQ307" s="45">
        <f>AP307*$G$10</f>
        <v>235.4</v>
      </c>
      <c r="AR307" s="15"/>
      <c r="AS307" s="13">
        <v>150</v>
      </c>
      <c r="AT307" s="15">
        <f>AS307-AO307</f>
        <v>0</v>
      </c>
      <c r="AU307" s="45">
        <f>AT307*$G$10</f>
        <v>0</v>
      </c>
      <c r="AV307" s="15"/>
      <c r="AW307" s="13"/>
      <c r="AX307" s="15">
        <f>AW307-AS307</f>
        <v>-150</v>
      </c>
      <c r="AY307" s="45"/>
      <c r="AZ307" s="208"/>
      <c r="BA307" s="13"/>
      <c r="BB307" s="15"/>
      <c r="BC307" s="45"/>
      <c r="BD307" s="208"/>
      <c r="BE307" s="40">
        <f t="shared" ref="BE307:BG307" si="905">J307+N307+R307+V307+Z307+AD307+AH307+AL307+AP307+AT307+AX307+BB307</f>
        <v>-114</v>
      </c>
      <c r="BF307" s="41">
        <f t="shared" si="905"/>
        <v>759.9</v>
      </c>
      <c r="BG307" s="34">
        <f t="shared" si="905"/>
        <v>34.08</v>
      </c>
      <c r="BH307" s="35">
        <f t="shared" si="899"/>
        <v>556.4</v>
      </c>
      <c r="BK307" s="2" t="b">
        <f>H307='2021'!BH307</f>
        <v>1</v>
      </c>
    </row>
    <row r="308" ht="15.75" customHeight="1" spans="1:63" x14ac:dyDescent="0.25">
      <c r="A308" s="2">
        <v>34</v>
      </c>
      <c r="B308" s="14"/>
      <c r="C308" s="2" t="s">
        <v>115</v>
      </c>
      <c r="D308" s="14" t="s">
        <v>47</v>
      </c>
      <c r="E308" s="2" t="s">
        <v>49</v>
      </c>
      <c r="F308" s="41">
        <v>500</v>
      </c>
      <c r="G308" s="28"/>
      <c r="H308" s="34">
        <f>'2021'!BH308</f>
        <v>0</v>
      </c>
      <c r="I308" s="13"/>
      <c r="J308" s="15"/>
      <c r="K308" s="15"/>
      <c r="L308" s="28"/>
      <c r="M308" s="13"/>
      <c r="N308" s="15"/>
      <c r="Q308" s="13"/>
      <c r="R308" s="15"/>
      <c r="S308" s="15"/>
      <c r="T308" s="28"/>
      <c r="U308" s="13"/>
      <c r="V308" s="15"/>
      <c r="X308" s="1"/>
      <c r="Y308" s="13"/>
      <c r="Z308" s="2"/>
      <c r="AA308" s="34"/>
      <c r="AB308" s="32"/>
      <c r="AC308" s="348"/>
      <c r="AD308" s="15"/>
      <c r="AG308" s="15"/>
      <c r="AH308" s="2"/>
      <c r="AI308" s="45"/>
      <c r="AJ308" s="15"/>
      <c r="AK308" s="15"/>
      <c r="AL308" s="15"/>
      <c r="AM308" s="45"/>
      <c r="AN308" s="15"/>
      <c r="AO308" s="13"/>
      <c r="AP308" s="15"/>
      <c r="AQ308" s="45"/>
      <c r="AR308" s="15"/>
      <c r="AS308" s="13"/>
      <c r="AT308" s="15"/>
      <c r="AU308" s="45"/>
      <c r="AV308" s="15"/>
      <c r="AW308" s="13"/>
      <c r="AX308" s="15"/>
      <c r="AY308" s="45"/>
      <c r="AZ308" s="28"/>
      <c r="BA308" s="13"/>
      <c r="BB308" s="15"/>
      <c r="BC308" s="45"/>
      <c r="BD308" s="28"/>
      <c r="BE308" s="14"/>
      <c r="BF308" s="41">
        <f t="shared" ref="BF308:BG308" si="906">K308+O308+S308+W308+AA308+AE308+AI308+AM308+AQ308+AU308+AY308+BC308</f>
        <v>0</v>
      </c>
      <c r="BG308" s="34">
        <f t="shared" si="906"/>
        <v>0</v>
      </c>
      <c r="BH308" s="35">
        <f t="shared" si="899"/>
        <v>0</v>
      </c>
      <c r="BK308" s="2" t="b">
        <f>H308='2021'!BH308</f>
        <v>1</v>
      </c>
    </row>
    <row r="309" ht="15.75" customHeight="1" spans="1:63" x14ac:dyDescent="0.25">
      <c r="A309" s="2">
        <v>34</v>
      </c>
      <c r="B309" s="14"/>
      <c r="C309" s="2" t="s">
        <v>156</v>
      </c>
      <c r="D309" s="14" t="s">
        <v>50</v>
      </c>
      <c r="E309" s="2" t="s">
        <v>49</v>
      </c>
      <c r="F309" s="41">
        <v>1100</v>
      </c>
      <c r="G309" s="28"/>
      <c r="H309" s="34">
        <f>'2021'!BH309</f>
        <v>6822</v>
      </c>
      <c r="I309" s="13"/>
      <c r="J309" s="15"/>
      <c r="K309" s="15"/>
      <c r="L309" s="28"/>
      <c r="M309" s="13"/>
      <c r="N309" s="15"/>
      <c r="Q309" s="13"/>
      <c r="R309" s="15"/>
      <c r="S309" s="15"/>
      <c r="T309" s="28"/>
      <c r="U309" s="13"/>
      <c r="V309" s="15"/>
      <c r="X309" s="39">
        <v>361.9</v>
      </c>
      <c r="Y309" s="13"/>
      <c r="Z309" s="2"/>
      <c r="AA309" s="15"/>
      <c r="AB309" s="32">
        <v>6460.1</v>
      </c>
      <c r="AC309" s="348"/>
      <c r="AD309" s="15"/>
      <c r="AE309" s="34">
        <f>B306*$F$12</f>
        <v>5213</v>
      </c>
      <c r="AG309" s="15"/>
      <c r="AH309" s="2"/>
      <c r="AI309" s="45"/>
      <c r="AJ309" s="15">
        <v>5213</v>
      </c>
      <c r="AK309" s="15"/>
      <c r="AL309" s="15"/>
      <c r="AM309" s="45"/>
      <c r="AN309" s="34"/>
      <c r="AO309" s="13"/>
      <c r="AP309" s="15"/>
      <c r="AQ309" s="45"/>
      <c r="AR309" s="15"/>
      <c r="AS309" s="13"/>
      <c r="AT309" s="15"/>
      <c r="AU309" s="45"/>
      <c r="AV309" s="15"/>
      <c r="AW309" s="13"/>
      <c r="AX309" s="15"/>
      <c r="AY309" s="45"/>
      <c r="AZ309" s="28"/>
      <c r="BA309" s="13"/>
      <c r="BB309" s="15"/>
      <c r="BC309" s="45"/>
      <c r="BD309" s="28"/>
      <c r="BE309" s="14"/>
      <c r="BF309" s="41">
        <f t="shared" ref="BF309:BG309" si="907">K309+O309+S309+W309+AA309+AE309+AI309+AM309+AQ309+AU309+AY309+BC309</f>
        <v>5213</v>
      </c>
      <c r="BG309" s="34">
        <f t="shared" si="907"/>
        <v>12035</v>
      </c>
      <c r="BH309" s="35">
        <f t="shared" si="899"/>
        <v>0</v>
      </c>
      <c r="BK309" s="2" t="b">
        <f>H309='2021'!BH309</f>
        <v>1</v>
      </c>
    </row>
    <row r="310" ht="15.75" customHeight="1" spans="1:63" x14ac:dyDescent="0.25">
      <c r="A310" s="2">
        <v>34</v>
      </c>
      <c r="B310" s="14"/>
      <c r="D310" s="14" t="s">
        <v>51</v>
      </c>
      <c r="E310" s="2" t="s">
        <v>39</v>
      </c>
      <c r="F310" s="41">
        <v>500</v>
      </c>
      <c r="G310" s="28"/>
      <c r="H310" s="34">
        <f>'2021'!BH310</f>
        <v>500</v>
      </c>
      <c r="I310" s="13"/>
      <c r="J310" s="15"/>
      <c r="K310" s="15"/>
      <c r="L310" s="28"/>
      <c r="M310" s="13"/>
      <c r="N310" s="15"/>
      <c r="Q310" s="13"/>
      <c r="R310" s="15"/>
      <c r="S310" s="15"/>
      <c r="T310" s="28"/>
      <c r="U310" s="13"/>
      <c r="V310" s="15"/>
      <c r="X310" s="39">
        <v>500</v>
      </c>
      <c r="Y310" s="13"/>
      <c r="Z310" s="2"/>
      <c r="AA310" s="15"/>
      <c r="AB310" s="32"/>
      <c r="AC310" s="348"/>
      <c r="AD310" s="15"/>
      <c r="AE310" s="180">
        <f>$F$13</f>
        <v>1000</v>
      </c>
      <c r="AG310" s="15"/>
      <c r="AH310" s="2"/>
      <c r="AI310" s="45"/>
      <c r="AJ310" s="15">
        <v>1000</v>
      </c>
      <c r="AK310" s="15"/>
      <c r="AL310" s="15"/>
      <c r="AM310" s="45"/>
      <c r="AN310" s="15"/>
      <c r="AO310" s="13"/>
      <c r="AP310" s="15"/>
      <c r="AQ310" s="180"/>
      <c r="AR310" s="15"/>
      <c r="AS310" s="13"/>
      <c r="AT310" s="15"/>
      <c r="AU310" s="45"/>
      <c r="AV310" s="15"/>
      <c r="AW310" s="13"/>
      <c r="AX310" s="15"/>
      <c r="AY310" s="45"/>
      <c r="AZ310" s="28"/>
      <c r="BA310" s="13"/>
      <c r="BB310" s="15"/>
      <c r="BC310" s="45"/>
      <c r="BD310" s="28"/>
      <c r="BE310" s="14"/>
      <c r="BF310" s="41">
        <f t="shared" ref="BF310:BG310" si="908">K310+O310+S310+W310+AA310+AE310+AI310+AM310+AQ310+AU310+AY310+BC310</f>
        <v>1000</v>
      </c>
      <c r="BG310" s="34">
        <f t="shared" si="908"/>
        <v>1500</v>
      </c>
      <c r="BH310" s="35">
        <f t="shared" si="899"/>
        <v>0</v>
      </c>
      <c r="BK310" s="2" t="b">
        <f>H310='2021'!BH310</f>
        <v>1</v>
      </c>
    </row>
    <row r="311" ht="15.75" customHeight="1" spans="1:63" x14ac:dyDescent="0.25">
      <c r="A311" s="2">
        <v>34</v>
      </c>
      <c r="B311" s="14"/>
      <c r="D311" s="14" t="s">
        <v>51</v>
      </c>
      <c r="E311" s="2" t="s">
        <v>49</v>
      </c>
      <c r="F311" s="41">
        <v>500</v>
      </c>
      <c r="G311" s="28"/>
      <c r="H311" s="34">
        <f>'2021'!BH311</f>
        <v>2005</v>
      </c>
      <c r="I311" s="13"/>
      <c r="J311" s="15"/>
      <c r="K311" s="15"/>
      <c r="L311" s="28"/>
      <c r="M311" s="13"/>
      <c r="N311" s="15"/>
      <c r="Q311" s="13"/>
      <c r="R311" s="15"/>
      <c r="S311" s="15"/>
      <c r="T311" s="28"/>
      <c r="U311" s="13"/>
      <c r="V311" s="15"/>
      <c r="X311" s="39">
        <v>2005</v>
      </c>
      <c r="Y311" s="13"/>
      <c r="Z311" s="2"/>
      <c r="AA311" s="15"/>
      <c r="AB311" s="28"/>
      <c r="AC311" s="348"/>
      <c r="AD311" s="15"/>
      <c r="AE311" s="34"/>
      <c r="AG311" s="15"/>
      <c r="AH311" s="2"/>
      <c r="AI311" s="45"/>
      <c r="AJ311" s="15"/>
      <c r="AK311" s="15"/>
      <c r="AL311" s="15"/>
      <c r="AM311" s="45"/>
      <c r="AN311" s="15"/>
      <c r="AO311" s="13"/>
      <c r="AP311" s="15"/>
      <c r="AQ311" s="180">
        <f>B306*$F$14</f>
        <v>0</v>
      </c>
      <c r="AR311" s="15"/>
      <c r="AS311" s="13"/>
      <c r="AT311" s="15"/>
      <c r="AU311" s="45"/>
      <c r="AV311" s="15"/>
      <c r="AW311" s="13"/>
      <c r="AX311" s="15"/>
      <c r="AY311" s="45"/>
      <c r="AZ311" s="28"/>
      <c r="BA311" s="13"/>
      <c r="BB311" s="15"/>
      <c r="BC311" s="45"/>
      <c r="BD311" s="28"/>
      <c r="BE311" s="14"/>
      <c r="BF311" s="41">
        <f t="shared" ref="BF311:BG311" si="909">K311+O311+S311+W311+AA311+AE311+AI311+AM311+AQ311+AU311+AY311+BC311</f>
        <v>0</v>
      </c>
      <c r="BG311" s="34">
        <f t="shared" si="909"/>
        <v>2005</v>
      </c>
      <c r="BH311" s="35">
        <f t="shared" si="899"/>
        <v>0</v>
      </c>
      <c r="BK311" s="2" t="b">
        <f>H311='2021'!BH311</f>
        <v>1</v>
      </c>
    </row>
    <row r="312" ht="15.75" customHeight="1" spans="1:63" x14ac:dyDescent="0.25">
      <c r="A312" s="2">
        <v>34</v>
      </c>
      <c r="B312" s="14"/>
      <c r="D312" s="14" t="s">
        <v>52</v>
      </c>
      <c r="E312" s="2" t="s">
        <v>39</v>
      </c>
      <c r="F312" s="41">
        <v>500</v>
      </c>
      <c r="G312" s="28"/>
      <c r="H312" s="34">
        <f>'2021'!BH312</f>
        <v>0</v>
      </c>
      <c r="I312" s="13"/>
      <c r="J312" s="15"/>
      <c r="K312" s="15"/>
      <c r="L312" s="28"/>
      <c r="M312" s="13"/>
      <c r="N312" s="15"/>
      <c r="Q312" s="13"/>
      <c r="R312" s="15"/>
      <c r="S312" s="15"/>
      <c r="T312" s="28"/>
      <c r="U312" s="13"/>
      <c r="V312" s="15"/>
      <c r="Y312" s="13"/>
      <c r="Z312" s="2"/>
      <c r="AA312" s="34">
        <f>$F$15</f>
      </c>
      <c r="AB312" s="28"/>
      <c r="AC312" s="348"/>
      <c r="AD312" s="15"/>
      <c r="AG312" s="15"/>
      <c r="AH312" s="2"/>
      <c r="AI312" s="45"/>
      <c r="AJ312" s="15"/>
      <c r="AK312" s="15"/>
      <c r="AL312" s="15"/>
      <c r="AM312" s="45"/>
      <c r="AN312" s="34"/>
      <c r="AO312" s="13"/>
      <c r="AP312" s="15"/>
      <c r="AQ312" s="45"/>
      <c r="AR312" s="15"/>
      <c r="AS312" s="13"/>
      <c r="AT312" s="15"/>
      <c r="AU312" s="45"/>
      <c r="AV312" s="15"/>
      <c r="AW312" s="13"/>
      <c r="AX312" s="15"/>
      <c r="AY312" s="45"/>
      <c r="AZ312" s="35"/>
      <c r="BA312" s="13"/>
      <c r="BB312" s="15"/>
      <c r="BC312" s="45"/>
      <c r="BD312" s="35"/>
      <c r="BE312" s="14"/>
      <c r="BF312" s="41">
        <f t="shared" ref="BF312:BG312" si="910">K312+O312+S312+W312+AA312+AE312+AI312+AM312+AQ312+AU312+AY312+BC312</f>
        <v>0</v>
      </c>
      <c r="BG312" s="34">
        <f t="shared" si="910"/>
        <v>0</v>
      </c>
      <c r="BH312" s="35">
        <f t="shared" si="899"/>
        <v>0</v>
      </c>
      <c r="BK312" s="2" t="b">
        <f>H312='2021'!BH312</f>
        <v>1</v>
      </c>
    </row>
    <row r="313" ht="15.75" customHeight="1" spans="1:63" x14ac:dyDescent="0.25">
      <c r="A313" s="247">
        <v>34</v>
      </c>
      <c r="B313" s="21"/>
      <c r="C313" s="22" t="s">
        <v>53</v>
      </c>
      <c r="D313" s="21"/>
      <c r="E313" s="22"/>
      <c r="F313" s="20"/>
      <c r="G313" s="23"/>
      <c r="H313" s="51">
        <f>SUM(H305:H312)</f>
        <v>12712.08</v>
      </c>
      <c r="I313" s="52"/>
      <c r="J313" s="53"/>
      <c r="K313" s="51">
        <f t="shared" ref="K313:L313" si="911">SUM(K305:K312)</f>
        <v>0</v>
      </c>
      <c r="L313" s="68">
        <f t="shared" si="911"/>
        <v>0</v>
      </c>
      <c r="M313" s="52"/>
      <c r="N313" s="53"/>
      <c r="O313" s="51">
        <f t="shared" ref="O313:P313" si="912">SUM(O305:O312)</f>
        <v>0</v>
      </c>
      <c r="P313" s="51">
        <f t="shared" si="912"/>
        <v>0</v>
      </c>
      <c r="Q313" s="52"/>
      <c r="R313" s="53"/>
      <c r="S313" s="51">
        <f t="shared" ref="S313:T313" si="913">SUM(S305:S312)</f>
        <v>28.91</v>
      </c>
      <c r="T313" s="51">
        <f t="shared" si="913"/>
        <v>0</v>
      </c>
      <c r="U313" s="52"/>
      <c r="V313" s="53"/>
      <c r="W313" s="51">
        <f t="shared" ref="W313:X313" si="914">SUM(W305:W312)</f>
        <v>25.11</v>
      </c>
      <c r="X313" s="51">
        <f t="shared" si="914"/>
        <v>6200</v>
      </c>
      <c r="Y313" s="52"/>
      <c r="Z313" s="301"/>
      <c r="AA313" s="51">
        <f t="shared" ref="AA313:AB313" si="915">SUM(AA305:AA312)</f>
        <v>142.02</v>
      </c>
      <c r="AB313" s="51">
        <f t="shared" si="915"/>
        <v>6900</v>
      </c>
      <c r="AC313" s="367"/>
      <c r="AD313" s="53"/>
      <c r="AE313" s="51">
        <f t="shared" ref="AE313:AF313" si="916">SUM(AE305:AE312)</f>
        <v>7920.4</v>
      </c>
      <c r="AF313" s="51">
        <f t="shared" si="916"/>
        <v>0</v>
      </c>
      <c r="AG313" s="52"/>
      <c r="AH313" s="301"/>
      <c r="AI313" s="183">
        <f t="shared" ref="AI313:AJ313" si="917">SUM(AI305:AI312)</f>
        <v>1861.47168</v>
      </c>
      <c r="AJ313" s="51">
        <f t="shared" si="917"/>
        <v>7800</v>
      </c>
      <c r="AK313" s="52"/>
      <c r="AL313" s="53"/>
      <c r="AM313" s="183">
        <f t="shared" ref="AM313:AN313" si="918">SUM(AM305:AM312)</f>
        <v>905.33904</v>
      </c>
      <c r="AN313" s="51">
        <f t="shared" si="918"/>
        <v>0</v>
      </c>
      <c r="AO313" s="52"/>
      <c r="AP313" s="53"/>
      <c r="AQ313" s="183">
        <f t="shared" ref="AQ313:AR313" si="919">SUM(AQ305:AQ312)</f>
        <v>253.18826</v>
      </c>
      <c r="AR313" s="51">
        <f t="shared" si="919"/>
        <v>0</v>
      </c>
      <c r="AS313" s="52"/>
      <c r="AT313" s="53"/>
      <c r="AU313" s="183">
        <f t="shared" ref="AU313:AV313" si="920">SUM(AU305:AU312)</f>
        <v>0</v>
      </c>
      <c r="AV313" s="68">
        <f t="shared" si="920"/>
        <v>0</v>
      </c>
      <c r="AW313" s="52"/>
      <c r="AX313" s="53"/>
      <c r="AY313" s="183">
        <f t="shared" ref="AY313:AZ313" si="921">SUM(AY305:AY312)</f>
        <v>0</v>
      </c>
      <c r="AZ313" s="68">
        <f t="shared" si="921"/>
        <v>0</v>
      </c>
      <c r="BA313" s="52"/>
      <c r="BB313" s="53"/>
      <c r="BC313" s="183">
        <f t="shared" ref="BC313:BD313" si="922">SUM(BC305:BC312)</f>
        <v>0</v>
      </c>
      <c r="BD313" s="68">
        <f t="shared" si="922"/>
        <v>0</v>
      </c>
      <c r="BE313" s="69"/>
      <c r="BF313" s="70">
        <f t="shared" ref="BF313:BH313" si="923">SUM(BF305:BF312)</f>
        <v>11136.43898</v>
      </c>
      <c r="BG313" s="71">
        <f t="shared" si="923"/>
        <v>20900</v>
      </c>
      <c r="BH313" s="72">
        <f t="shared" si="923"/>
        <v>2948.51898</v>
      </c>
      <c r="BI313" s="34">
        <f>H313+BF313-BG313</f>
        <v>2948.51898</v>
      </c>
      <c r="BJ313" s="34">
        <f>BH313-BI313</f>
        <v>0</v>
      </c>
      <c r="BK313" s="2" t="b">
        <f>H313='2021'!BH313</f>
        <v>1</v>
      </c>
    </row>
    <row r="314" ht="15.75" customHeight="1" spans="1:63" x14ac:dyDescent="0.25">
      <c r="A314" s="2">
        <v>35</v>
      </c>
      <c r="B314" s="14"/>
      <c r="D314" s="14" t="s">
        <v>379</v>
      </c>
      <c r="F314" s="13"/>
      <c r="G314" s="28"/>
      <c r="H314" s="34">
        <f>'2021'!BH314</f>
        <v>0</v>
      </c>
      <c r="I314" s="13"/>
      <c r="J314" s="15"/>
      <c r="K314" s="15"/>
      <c r="L314" s="28"/>
      <c r="M314" s="13"/>
      <c r="N314" s="15"/>
      <c r="Q314" s="13"/>
      <c r="R314" s="15"/>
      <c r="S314" s="15"/>
      <c r="T314" s="28"/>
      <c r="U314" s="13"/>
      <c r="V314" s="15"/>
      <c r="Y314" s="13"/>
      <c r="Z314" s="2"/>
      <c r="AA314" s="15"/>
      <c r="AB314" s="28"/>
      <c r="AC314" s="348"/>
      <c r="AD314" s="15"/>
      <c r="AG314" s="15"/>
      <c r="AH314" s="2"/>
      <c r="AI314" s="45"/>
      <c r="AJ314" s="15"/>
      <c r="AK314" s="15"/>
      <c r="AM314" s="45"/>
      <c r="AO314" s="13"/>
      <c r="AQ314" s="45"/>
      <c r="AS314" s="13"/>
      <c r="AU314" s="45"/>
      <c r="AW314" s="13"/>
      <c r="AY314" s="45"/>
      <c r="AZ314" s="28"/>
      <c r="BA314" s="13"/>
      <c r="BB314" s="15"/>
      <c r="BC314" s="45"/>
      <c r="BD314" s="28"/>
      <c r="BE314" s="14"/>
      <c r="BF314" s="41">
        <f t="shared" ref="BF314:BG314" si="924">K314+O314+S314+W314+AA314+AE314+AI314+AM314+AQ314+AU314+AY314+BC314</f>
        <v>0</v>
      </c>
      <c r="BG314" s="34">
        <f t="shared" si="924"/>
        <v>0</v>
      </c>
      <c r="BH314" s="35">
        <f t="shared" ref="BH314:BH321" si="925">H314+BF314-BG314</f>
        <v>0</v>
      </c>
      <c r="BK314" s="2" t="b">
        <f>H314='2021'!BH314</f>
        <v>1</v>
      </c>
    </row>
    <row r="315" ht="15.75" customHeight="1" spans="1:63" x14ac:dyDescent="0.25">
      <c r="A315" s="2">
        <v>35</v>
      </c>
      <c r="B315" s="14">
        <v>4.01</v>
      </c>
      <c r="C315" s="2" t="s">
        <v>157</v>
      </c>
      <c r="D315" s="14" t="s">
        <v>44</v>
      </c>
      <c r="E315" s="2" t="s">
        <v>45</v>
      </c>
      <c r="F315" s="41">
        <v>2.5</v>
      </c>
      <c r="G315" s="35">
        <v>2.6</v>
      </c>
      <c r="H315" s="34">
        <f>'2021'!BH315</f>
        <v>0</v>
      </c>
      <c r="I315" s="13">
        <v>33</v>
      </c>
      <c r="J315" s="15">
        <f>I315-'2021'!BA315</f>
        <v>0</v>
      </c>
      <c r="K315" s="34">
        <f>J315*$F$8</f>
        <v>0</v>
      </c>
      <c r="L315" s="28"/>
      <c r="M315" s="13">
        <v>33</v>
      </c>
      <c r="N315" s="15">
        <f t="shared" ref="N315:N316" si="926">M315-I315</f>
        <v>0</v>
      </c>
      <c r="O315" s="34">
        <f>N315*$F$8</f>
        <v>0</v>
      </c>
      <c r="Q315" s="13">
        <v>33</v>
      </c>
      <c r="R315" s="15">
        <f t="shared" ref="R315:R316" si="927">Q315-M315</f>
        <v>0</v>
      </c>
      <c r="S315" s="34">
        <f>R315*$F$8</f>
        <v>0</v>
      </c>
      <c r="T315" s="28"/>
      <c r="U315" s="13">
        <v>33</v>
      </c>
      <c r="V315" s="15">
        <f t="shared" ref="V315:V316" si="928">U315-Q315</f>
        <v>0</v>
      </c>
      <c r="W315" s="34">
        <f>V315*$F$8</f>
        <v>0</v>
      </c>
      <c r="Y315" s="13">
        <v>33</v>
      </c>
      <c r="Z315" s="2">
        <f t="shared" ref="Z315:Z316" si="929">Y315-U315</f>
        <v>0</v>
      </c>
      <c r="AA315" s="34">
        <f>Z315*$F$8</f>
        <v>0</v>
      </c>
      <c r="AB315" s="28"/>
      <c r="AC315" s="350">
        <v>33</v>
      </c>
      <c r="AD315" s="15">
        <f t="shared" ref="AD315:AD316" si="930">AC315-Y315</f>
        <v>0</v>
      </c>
      <c r="AE315" s="180">
        <f>AD315*$F$8</f>
        <v>0</v>
      </c>
      <c r="AG315" s="13">
        <v>33</v>
      </c>
      <c r="AH315" s="2">
        <f>(AG315-AC315)*AH5</f>
        <v>0</v>
      </c>
      <c r="AI315" s="45">
        <f>AH315*$G$8</f>
        <v>0</v>
      </c>
      <c r="AJ315" s="15"/>
      <c r="AK315" s="13">
        <v>33</v>
      </c>
      <c r="AL315" s="15">
        <f>(AK315-AG315)*AL5</f>
        <v>0</v>
      </c>
      <c r="AM315" s="45">
        <f>AL315*$G$8</f>
        <v>0</v>
      </c>
      <c r="AN315" s="15"/>
      <c r="AO315" s="13">
        <v>33</v>
      </c>
      <c r="AP315" s="15">
        <f>(AO315-AK315)*AP5</f>
        <v>0</v>
      </c>
      <c r="AQ315" s="45">
        <f>AP315*$G$8</f>
        <v>0</v>
      </c>
      <c r="AR315" s="15"/>
      <c r="AS315" s="13">
        <v>33</v>
      </c>
      <c r="AT315" s="15">
        <f>(AS315-AO315)*AT5</f>
        <v>0</v>
      </c>
      <c r="AU315" s="45">
        <f>AT315*$G$8</f>
        <v>0</v>
      </c>
      <c r="AV315" s="15"/>
      <c r="AW315" s="13"/>
      <c r="AX315" s="15">
        <f>(AW315-AS315)*AX5</f>
        <v>0</v>
      </c>
      <c r="AY315" s="45">
        <f>AX315*$G$8</f>
        <v>0</v>
      </c>
      <c r="AZ315" s="208"/>
      <c r="BA315" s="13"/>
      <c r="BB315" s="15"/>
      <c r="BC315" s="45">
        <f>BB315*$G$8</f>
        <v>0</v>
      </c>
      <c r="BD315" s="208"/>
      <c r="BE315" s="40">
        <f t="shared" ref="BE315:BG315" si="931">J315+N315+R315+V315+Z315+AD315+AH315+AL315+AP315+AT315+AX315+BB315</f>
        <v>0</v>
      </c>
      <c r="BF315" s="41">
        <f t="shared" si="931"/>
        <v>0</v>
      </c>
      <c r="BG315" s="34">
        <f t="shared" si="931"/>
        <v>0</v>
      </c>
      <c r="BH315" s="35">
        <f t="shared" si="925"/>
        <v>0</v>
      </c>
      <c r="BK315" s="2" t="b">
        <f>H315='2021'!BH315</f>
        <v>1</v>
      </c>
    </row>
    <row r="316" ht="15.75" customHeight="1" spans="1:63" x14ac:dyDescent="0.25">
      <c r="A316" s="2">
        <v>35</v>
      </c>
      <c r="B316" s="14"/>
      <c r="C316" s="2" t="s">
        <v>75</v>
      </c>
      <c r="D316" s="14" t="s">
        <v>47</v>
      </c>
      <c r="E316" s="2" t="s">
        <v>48</v>
      </c>
      <c r="F316" s="13">
        <v>18.56</v>
      </c>
      <c r="G316" s="35">
        <v>19.46</v>
      </c>
      <c r="H316" s="34">
        <f>'2021'!BH316</f>
        <v>-39.21</v>
      </c>
      <c r="I316" s="13">
        <v>177</v>
      </c>
      <c r="J316" s="15"/>
      <c r="K316" s="15"/>
      <c r="L316" s="28"/>
      <c r="M316" s="13">
        <v>177</v>
      </c>
      <c r="N316" s="15">
        <f t="shared" si="926"/>
        <v>0</v>
      </c>
      <c r="Q316" s="13">
        <v>177</v>
      </c>
      <c r="R316" s="15">
        <f t="shared" si="927"/>
        <v>0</v>
      </c>
      <c r="S316" s="15"/>
      <c r="T316" s="28"/>
      <c r="U316" s="13">
        <v>177</v>
      </c>
      <c r="V316" s="15">
        <f t="shared" si="928"/>
        <v>0</v>
      </c>
      <c r="W316" s="180">
        <f>V316*$F$10</f>
        <v>0</v>
      </c>
      <c r="Y316" s="13">
        <v>177</v>
      </c>
      <c r="Z316" s="2">
        <f t="shared" si="929"/>
        <v>0</v>
      </c>
      <c r="AA316" s="34">
        <f>Z316*$F$10</f>
        <v>0</v>
      </c>
      <c r="AB316" s="28"/>
      <c r="AC316" s="348">
        <v>184</v>
      </c>
      <c r="AD316" s="15">
        <f t="shared" si="930"/>
        <v>7</v>
      </c>
      <c r="AE316" s="34">
        <f>AD316*$F$10</f>
        <v>142.45</v>
      </c>
      <c r="AF316" s="355">
        <v>103.24</v>
      </c>
      <c r="AG316" s="15">
        <v>184</v>
      </c>
      <c r="AH316" s="2">
        <f>AG316-AC316</f>
        <v>0</v>
      </c>
      <c r="AI316" s="45">
        <f>AH316*$G$10</f>
        <v>0</v>
      </c>
      <c r="AJ316" s="182"/>
      <c r="AK316" s="15">
        <v>184</v>
      </c>
      <c r="AL316" s="15">
        <f>AK316-AG316</f>
        <v>0</v>
      </c>
      <c r="AM316" s="45">
        <f>AL316*$G$10</f>
        <v>0</v>
      </c>
      <c r="AN316" s="1"/>
      <c r="AO316" s="13">
        <v>192</v>
      </c>
      <c r="AP316" s="15">
        <f>AO316-AK316</f>
        <v>8</v>
      </c>
      <c r="AQ316" s="45">
        <f>AP316*$G$10</f>
        <v>171.2</v>
      </c>
      <c r="AR316" s="154">
        <v>171.2</v>
      </c>
      <c r="AS316" s="13">
        <v>192</v>
      </c>
      <c r="AT316" s="15">
        <f>AS316-AO316</f>
        <v>0</v>
      </c>
      <c r="AU316" s="45">
        <f>AT316*$G$10</f>
        <v>0</v>
      </c>
      <c r="AV316" s="15"/>
      <c r="AW316" s="13"/>
      <c r="AX316" s="15">
        <f>AW316-AS316</f>
        <v>-192</v>
      </c>
      <c r="AY316" s="45"/>
      <c r="AZ316" s="208"/>
      <c r="BA316" s="13"/>
      <c r="BB316" s="15"/>
      <c r="BC316" s="45"/>
      <c r="BD316" s="208"/>
      <c r="BE316" s="40">
        <f t="shared" ref="BE316:BG316" si="932">J316+N316+R316+V316+Z316+AD316+AH316+AL316+AP316+AT316+AX316+BB316</f>
        <v>-177</v>
      </c>
      <c r="BF316" s="41">
        <f t="shared" si="932"/>
        <v>313.65</v>
      </c>
      <c r="BG316" s="34">
        <f t="shared" si="932"/>
        <v>274.44</v>
      </c>
      <c r="BH316" s="35">
        <f t="shared" si="925"/>
        <v>0</v>
      </c>
      <c r="BK316" s="2" t="b">
        <f>H316='2021'!BH316</f>
        <v>1</v>
      </c>
    </row>
    <row r="317" ht="15.75" customHeight="1" spans="1:63" x14ac:dyDescent="0.25">
      <c r="A317" s="2">
        <v>35</v>
      </c>
      <c r="B317" s="14"/>
      <c r="C317" s="2" t="s">
        <v>158</v>
      </c>
      <c r="D317" s="14" t="s">
        <v>47</v>
      </c>
      <c r="E317" s="2" t="s">
        <v>49</v>
      </c>
      <c r="F317" s="41">
        <v>500</v>
      </c>
      <c r="G317" s="28"/>
      <c r="H317" s="34">
        <f>'2021'!BH317</f>
        <v>0</v>
      </c>
      <c r="I317" s="13"/>
      <c r="J317" s="15"/>
      <c r="K317" s="15"/>
      <c r="L317" s="28"/>
      <c r="M317" s="13"/>
      <c r="N317" s="15"/>
      <c r="Q317" s="13"/>
      <c r="R317" s="15"/>
      <c r="S317" s="15"/>
      <c r="T317" s="28"/>
      <c r="U317" s="13"/>
      <c r="V317" s="15"/>
      <c r="Y317" s="13"/>
      <c r="Z317" s="2"/>
      <c r="AA317" s="15"/>
      <c r="AB317" s="28"/>
      <c r="AC317" s="348"/>
      <c r="AD317" s="15"/>
      <c r="AG317" s="15"/>
      <c r="AH317" s="2"/>
      <c r="AI317" s="45"/>
      <c r="AJ317" s="154"/>
      <c r="AK317" s="15"/>
      <c r="AL317" s="15"/>
      <c r="AM317" s="45"/>
      <c r="AN317" s="15"/>
      <c r="AO317" s="13"/>
      <c r="AP317" s="15"/>
      <c r="AQ317" s="45"/>
      <c r="AR317" s="15"/>
      <c r="AS317" s="13"/>
      <c r="AT317" s="15"/>
      <c r="AU317" s="45"/>
      <c r="AV317" s="15"/>
      <c r="AW317" s="13"/>
      <c r="AX317" s="15"/>
      <c r="AY317" s="45"/>
      <c r="AZ317" s="28"/>
      <c r="BA317" s="13"/>
      <c r="BB317" s="15"/>
      <c r="BC317" s="45"/>
      <c r="BD317" s="28"/>
      <c r="BE317" s="14"/>
      <c r="BF317" s="41">
        <f t="shared" ref="BF317:BG317" si="933">K317+O317+S317+W317+AA317+AE317+AI317+AM317+AQ317+AU317+AY317+BC317</f>
        <v>0</v>
      </c>
      <c r="BG317" s="34">
        <f t="shared" si="933"/>
        <v>0</v>
      </c>
      <c r="BH317" s="35">
        <f t="shared" si="925"/>
        <v>0</v>
      </c>
      <c r="BK317" s="2" t="b">
        <f>H317='2021'!BH317</f>
        <v>1</v>
      </c>
    </row>
    <row r="318" ht="15.75" customHeight="1" spans="1:63" x14ac:dyDescent="0.25">
      <c r="A318" s="2">
        <v>35</v>
      </c>
      <c r="B318" s="14"/>
      <c r="C318" s="2" t="s">
        <v>159</v>
      </c>
      <c r="D318" s="14" t="s">
        <v>50</v>
      </c>
      <c r="E318" s="2" t="s">
        <v>49</v>
      </c>
      <c r="F318" s="41">
        <v>1100</v>
      </c>
      <c r="G318" s="28"/>
      <c r="H318" s="34">
        <f>'2021'!BH318</f>
        <v>0</v>
      </c>
      <c r="I318" s="13"/>
      <c r="J318" s="15"/>
      <c r="K318" s="15"/>
      <c r="L318" s="28"/>
      <c r="M318" s="13"/>
      <c r="N318" s="15"/>
      <c r="Q318" s="13"/>
      <c r="R318" s="15"/>
      <c r="S318" s="15"/>
      <c r="T318" s="28"/>
      <c r="U318" s="13"/>
      <c r="V318" s="15"/>
      <c r="Y318" s="13"/>
      <c r="Z318" s="2"/>
      <c r="AA318" s="15"/>
      <c r="AB318" s="28"/>
      <c r="AC318" s="348"/>
      <c r="AD318" s="15"/>
      <c r="AE318" s="34">
        <f>B315*$F$12</f>
        <v>5213</v>
      </c>
      <c r="AF318" s="355">
        <v>5213</v>
      </c>
      <c r="AG318" s="15"/>
      <c r="AH318" s="2"/>
      <c r="AI318" s="45"/>
      <c r="AJ318" s="154"/>
      <c r="AK318" s="15"/>
      <c r="AL318" s="15"/>
      <c r="AM318" s="45"/>
      <c r="AN318" s="15"/>
      <c r="AO318" s="13"/>
      <c r="AP318" s="15"/>
      <c r="AQ318" s="45"/>
      <c r="AR318" s="15"/>
      <c r="AS318" s="13"/>
      <c r="AT318" s="15"/>
      <c r="AU318" s="45"/>
      <c r="AV318" s="15"/>
      <c r="AW318" s="13"/>
      <c r="AX318" s="15"/>
      <c r="AY318" s="45"/>
      <c r="AZ318" s="28"/>
      <c r="BA318" s="13"/>
      <c r="BB318" s="15"/>
      <c r="BC318" s="45"/>
      <c r="BD318" s="28"/>
      <c r="BE318" s="14"/>
      <c r="BF318" s="41">
        <f t="shared" ref="BF318:BG318" si="934">K318+O318+S318+W318+AA318+AE318+AI318+AM318+AQ318+AU318+AY318+BC318</f>
        <v>5213</v>
      </c>
      <c r="BG318" s="34">
        <f t="shared" si="934"/>
        <v>5213</v>
      </c>
      <c r="BH318" s="35">
        <f t="shared" si="925"/>
        <v>0</v>
      </c>
      <c r="BK318" s="2" t="b">
        <f>H318='2021'!BH318</f>
        <v>1</v>
      </c>
    </row>
    <row r="319" ht="15.75" customHeight="1" spans="1:63" x14ac:dyDescent="0.25">
      <c r="A319" s="2">
        <v>35</v>
      </c>
      <c r="B319" s="14"/>
      <c r="D319" s="14" t="s">
        <v>51</v>
      </c>
      <c r="E319" s="2" t="s">
        <v>39</v>
      </c>
      <c r="F319" s="41">
        <v>500</v>
      </c>
      <c r="G319" s="28"/>
      <c r="H319" s="34">
        <f>'2021'!BH319</f>
        <v>0</v>
      </c>
      <c r="I319" s="13"/>
      <c r="J319" s="15"/>
      <c r="K319" s="15"/>
      <c r="L319" s="28"/>
      <c r="M319" s="13"/>
      <c r="N319" s="15"/>
      <c r="Q319" s="13"/>
      <c r="R319" s="15"/>
      <c r="S319" s="15"/>
      <c r="T319" s="28"/>
      <c r="U319" s="13"/>
      <c r="V319" s="15"/>
      <c r="Y319" s="13"/>
      <c r="Z319" s="2"/>
      <c r="AA319" s="15"/>
      <c r="AB319" s="28"/>
      <c r="AC319" s="348"/>
      <c r="AD319" s="15"/>
      <c r="AE319" s="180">
        <f>$F$13</f>
        <v>1000</v>
      </c>
      <c r="AF319" s="355">
        <v>1000</v>
      </c>
      <c r="AG319" s="15"/>
      <c r="AH319" s="2"/>
      <c r="AI319" s="45"/>
      <c r="AJ319" s="154"/>
      <c r="AK319" s="15"/>
      <c r="AL319" s="15"/>
      <c r="AM319" s="45"/>
      <c r="AN319" s="15"/>
      <c r="AO319" s="13"/>
      <c r="AP319" s="15"/>
      <c r="AQ319" s="180"/>
      <c r="AR319" s="15"/>
      <c r="AS319" s="13"/>
      <c r="AT319" s="15"/>
      <c r="AU319" s="45"/>
      <c r="AV319" s="15"/>
      <c r="AW319" s="13"/>
      <c r="AX319" s="15"/>
      <c r="AY319" s="45"/>
      <c r="AZ319" s="28"/>
      <c r="BA319" s="13"/>
      <c r="BB319" s="15"/>
      <c r="BC319" s="45"/>
      <c r="BD319" s="28"/>
      <c r="BE319" s="14"/>
      <c r="BF319" s="41">
        <f t="shared" ref="BF319:BG319" si="935">K319+O319+S319+W319+AA319+AE319+AI319+AM319+AQ319+AU319+AY319+BC319</f>
        <v>1000</v>
      </c>
      <c r="BG319" s="34">
        <f t="shared" si="935"/>
        <v>1000</v>
      </c>
      <c r="BH319" s="35">
        <f t="shared" si="925"/>
        <v>0</v>
      </c>
      <c r="BK319" s="2" t="b">
        <f>H319='2021'!BH319</f>
        <v>1</v>
      </c>
    </row>
    <row r="320" ht="15.75" customHeight="1" spans="1:63" x14ac:dyDescent="0.25">
      <c r="A320" s="2">
        <v>35</v>
      </c>
      <c r="B320" s="14"/>
      <c r="D320" s="14" t="s">
        <v>51</v>
      </c>
      <c r="E320" s="2" t="s">
        <v>49</v>
      </c>
      <c r="F320" s="41">
        <v>500</v>
      </c>
      <c r="G320" s="28"/>
      <c r="H320" s="34">
        <f>'2021'!BH320</f>
        <v>0</v>
      </c>
      <c r="I320" s="13"/>
      <c r="J320" s="15"/>
      <c r="K320" s="15"/>
      <c r="L320" s="28"/>
      <c r="M320" s="13"/>
      <c r="N320" s="15"/>
      <c r="Q320" s="13"/>
      <c r="R320" s="15"/>
      <c r="S320" s="15"/>
      <c r="T320" s="28"/>
      <c r="U320" s="13"/>
      <c r="V320" s="15"/>
      <c r="Y320" s="13"/>
      <c r="Z320" s="2"/>
      <c r="AA320" s="15"/>
      <c r="AB320" s="28"/>
      <c r="AC320" s="348"/>
      <c r="AD320" s="15"/>
      <c r="AE320" s="34"/>
      <c r="AF320" s="34"/>
      <c r="AG320" s="15"/>
      <c r="AH320" s="2"/>
      <c r="AI320" s="45"/>
      <c r="AJ320" s="154"/>
      <c r="AK320" s="15"/>
      <c r="AL320" s="15"/>
      <c r="AM320" s="45"/>
      <c r="AN320" s="15"/>
      <c r="AO320" s="13"/>
      <c r="AP320" s="15"/>
      <c r="AQ320" s="180">
        <f>B315*$F$14</f>
        <v>0</v>
      </c>
      <c r="AR320" s="15"/>
      <c r="AS320" s="13"/>
      <c r="AT320" s="15"/>
      <c r="AU320" s="45"/>
      <c r="AV320" s="15"/>
      <c r="AW320" s="13"/>
      <c r="AX320" s="15"/>
      <c r="AY320" s="45"/>
      <c r="AZ320" s="28"/>
      <c r="BA320" s="13"/>
      <c r="BB320" s="15"/>
      <c r="BC320" s="45"/>
      <c r="BD320" s="28"/>
      <c r="BE320" s="14"/>
      <c r="BF320" s="41">
        <f t="shared" ref="BF320:BG320" si="936">K320+O320+S320+W320+AA320+AE320+AI320+AM320+AQ320+AU320+AY320+BC320</f>
        <v>0</v>
      </c>
      <c r="BG320" s="34">
        <f t="shared" si="936"/>
        <v>0</v>
      </c>
      <c r="BH320" s="35">
        <f t="shared" si="925"/>
        <v>0</v>
      </c>
      <c r="BK320" s="2" t="b">
        <f>H320='2021'!BH320</f>
        <v>1</v>
      </c>
    </row>
    <row r="321" ht="15.75" customHeight="1" spans="1:63" x14ac:dyDescent="0.25">
      <c r="A321" s="2">
        <v>35</v>
      </c>
      <c r="B321" s="14"/>
      <c r="D321" s="14" t="s">
        <v>52</v>
      </c>
      <c r="E321" s="2" t="s">
        <v>39</v>
      </c>
      <c r="F321" s="41">
        <v>500</v>
      </c>
      <c r="G321" s="28"/>
      <c r="H321" s="34">
        <f>'2021'!BH321</f>
        <v>0</v>
      </c>
      <c r="I321" s="13"/>
      <c r="J321" s="15"/>
      <c r="K321" s="15"/>
      <c r="L321" s="28"/>
      <c r="M321" s="13"/>
      <c r="N321" s="15"/>
      <c r="Q321" s="13"/>
      <c r="R321" s="15"/>
      <c r="S321" s="15"/>
      <c r="T321" s="28"/>
      <c r="U321" s="13"/>
      <c r="V321" s="15"/>
      <c r="Y321" s="13"/>
      <c r="Z321" s="2"/>
      <c r="AA321" s="34">
        <f>$F$15</f>
      </c>
      <c r="AB321" s="28"/>
      <c r="AC321" s="348"/>
      <c r="AD321" s="15"/>
      <c r="AF321" s="180"/>
      <c r="AG321" s="15"/>
      <c r="AH321" s="2"/>
      <c r="AI321" s="45"/>
      <c r="AJ321" s="15"/>
      <c r="AK321" s="15"/>
      <c r="AL321" s="15"/>
      <c r="AM321" s="45"/>
      <c r="AN321" s="15"/>
      <c r="AO321" s="13"/>
      <c r="AP321" s="15"/>
      <c r="AQ321" s="45"/>
      <c r="AR321" s="15"/>
      <c r="AS321" s="13"/>
      <c r="AT321" s="15"/>
      <c r="AU321" s="45"/>
      <c r="AV321" s="15"/>
      <c r="AW321" s="13"/>
      <c r="AX321" s="15"/>
      <c r="AY321" s="45"/>
      <c r="AZ321" s="35"/>
      <c r="BA321" s="13"/>
      <c r="BB321" s="15"/>
      <c r="BC321" s="45"/>
      <c r="BD321" s="35"/>
      <c r="BE321" s="14"/>
      <c r="BF321" s="41">
        <f t="shared" ref="BF321:BG321" si="937">K321+O321+S321+W321+AA321+AE321+AI321+AM321+AQ321+AU321+AY321+BC321</f>
        <v>0</v>
      </c>
      <c r="BG321" s="34">
        <f t="shared" si="937"/>
        <v>0</v>
      </c>
      <c r="BH321" s="35">
        <f t="shared" si="925"/>
        <v>0</v>
      </c>
      <c r="BK321" s="2" t="b">
        <f>H321='2021'!BH321</f>
        <v>1</v>
      </c>
    </row>
    <row r="322" ht="15.75" customHeight="1" spans="1:63" x14ac:dyDescent="0.25">
      <c r="A322" s="247">
        <v>35</v>
      </c>
      <c r="B322" s="21"/>
      <c r="C322" s="22" t="s">
        <v>53</v>
      </c>
      <c r="D322" s="21"/>
      <c r="E322" s="22"/>
      <c r="F322" s="20"/>
      <c r="G322" s="23"/>
      <c r="H322" s="51">
        <f>SUM(H314:H321)</f>
        <v>-39.21</v>
      </c>
      <c r="I322" s="52"/>
      <c r="J322" s="53"/>
      <c r="K322" s="51">
        <f t="shared" ref="K322:L322" si="938">SUM(K314:K321)</f>
        <v>0</v>
      </c>
      <c r="L322" s="68">
        <f t="shared" si="938"/>
        <v>0</v>
      </c>
      <c r="M322" s="52"/>
      <c r="N322" s="53"/>
      <c r="O322" s="51">
        <f t="shared" ref="O322:P322" si="939">SUM(O314:O321)</f>
        <v>0</v>
      </c>
      <c r="P322" s="51">
        <f t="shared" si="939"/>
        <v>0</v>
      </c>
      <c r="Q322" s="52"/>
      <c r="R322" s="53"/>
      <c r="S322" s="51">
        <f t="shared" ref="S322:T322" si="940">SUM(S314:S321)</f>
        <v>0</v>
      </c>
      <c r="T322" s="51">
        <f t="shared" si="940"/>
        <v>0</v>
      </c>
      <c r="U322" s="52"/>
      <c r="V322" s="53"/>
      <c r="W322" s="51">
        <f t="shared" ref="W322:X322" si="941">SUM(W314:W321)</f>
        <v>0</v>
      </c>
      <c r="X322" s="51">
        <f t="shared" si="941"/>
        <v>0</v>
      </c>
      <c r="Y322" s="52"/>
      <c r="Z322" s="301"/>
      <c r="AA322" s="51">
        <f t="shared" ref="AA322:AB322" si="942">SUM(AA314:AA321)</f>
        <v>0</v>
      </c>
      <c r="AB322" s="51">
        <f t="shared" si="942"/>
        <v>0</v>
      </c>
      <c r="AC322" s="367"/>
      <c r="AD322" s="53"/>
      <c r="AE322" s="51">
        <f t="shared" ref="AE322:AF322" si="943">SUM(AE314:AE321)</f>
        <v>6355.45</v>
      </c>
      <c r="AF322" s="51">
        <f t="shared" si="943"/>
        <v>6316.24</v>
      </c>
      <c r="AG322" s="52"/>
      <c r="AH322" s="301"/>
      <c r="AI322" s="183">
        <f t="shared" ref="AI322:AJ322" si="944">SUM(AI314:AI321)</f>
        <v>0</v>
      </c>
      <c r="AJ322" s="51">
        <f t="shared" si="944"/>
        <v>0</v>
      </c>
      <c r="AK322" s="52"/>
      <c r="AL322" s="53"/>
      <c r="AM322" s="183">
        <f t="shared" ref="AM322:AN322" si="945">SUM(AM314:AM321)</f>
        <v>0</v>
      </c>
      <c r="AN322" s="51">
        <f t="shared" si="945"/>
        <v>0</v>
      </c>
      <c r="AO322" s="52"/>
      <c r="AP322" s="53"/>
      <c r="AQ322" s="183">
        <f t="shared" ref="AQ322:AR322" si="946">SUM(AQ314:AQ321)</f>
        <v>171.2</v>
      </c>
      <c r="AR322" s="51">
        <f t="shared" si="946"/>
        <v>171.2</v>
      </c>
      <c r="AS322" s="52"/>
      <c r="AT322" s="53"/>
      <c r="AU322" s="183">
        <f t="shared" ref="AU322:AV322" si="947">SUM(AU314:AU321)</f>
        <v>0</v>
      </c>
      <c r="AV322" s="68">
        <f t="shared" si="947"/>
        <v>0</v>
      </c>
      <c r="AW322" s="52"/>
      <c r="AX322" s="53"/>
      <c r="AY322" s="183">
        <f t="shared" ref="AY322:AZ322" si="948">SUM(AY314:AY321)</f>
        <v>0</v>
      </c>
      <c r="AZ322" s="68">
        <f t="shared" si="948"/>
        <v>0</v>
      </c>
      <c r="BA322" s="52"/>
      <c r="BB322" s="53"/>
      <c r="BC322" s="183">
        <f t="shared" ref="BC322:BD322" si="949">SUM(BC314:BC321)</f>
        <v>0</v>
      </c>
      <c r="BD322" s="68">
        <f t="shared" si="949"/>
        <v>0</v>
      </c>
      <c r="BE322" s="69"/>
      <c r="BF322" s="70">
        <f t="shared" ref="BF322:BH322" si="950">SUM(BF314:BF321)</f>
        <v>6526.65</v>
      </c>
      <c r="BG322" s="71">
        <f t="shared" si="950"/>
        <v>6487.44</v>
      </c>
      <c r="BH322" s="72">
        <f t="shared" si="950"/>
        <v>0</v>
      </c>
      <c r="BI322" s="34">
        <f>H322+BF322-BG322</f>
        <v>0</v>
      </c>
      <c r="BJ322" s="34">
        <f>BH322-BI322</f>
        <v>0</v>
      </c>
      <c r="BK322" s="2" t="b">
        <f>H322='2021'!BH322</f>
        <v>1</v>
      </c>
    </row>
    <row r="323" ht="15.75" customHeight="1" spans="1:63" x14ac:dyDescent="0.25">
      <c r="A323" s="2">
        <v>36</v>
      </c>
      <c r="B323" s="14"/>
      <c r="D323" s="14" t="s">
        <v>379</v>
      </c>
      <c r="F323" s="13"/>
      <c r="G323" s="28"/>
      <c r="H323" s="34">
        <f>'2021'!BH323</f>
        <v>7.55</v>
      </c>
      <c r="I323" s="13"/>
      <c r="J323" s="15"/>
      <c r="K323" s="15"/>
      <c r="L323" s="28"/>
      <c r="M323" s="13"/>
      <c r="N323" s="15"/>
      <c r="Q323" s="13"/>
      <c r="R323" s="15"/>
      <c r="S323" s="15">
        <v>7.8</v>
      </c>
      <c r="T323" s="28"/>
      <c r="U323" s="13"/>
      <c r="V323" s="15"/>
      <c r="W323" s="2">
        <v>7.55</v>
      </c>
      <c r="Y323" s="13"/>
      <c r="Z323" s="2"/>
      <c r="AA323" s="15">
        <v>7.8</v>
      </c>
      <c r="AB323" s="28"/>
      <c r="AC323" s="348"/>
      <c r="AD323" s="15"/>
      <c r="AE323" s="2">
        <v>7.55</v>
      </c>
      <c r="AG323" s="15"/>
      <c r="AH323" s="2"/>
      <c r="AI323" s="45">
        <v>7.8</v>
      </c>
      <c r="AJ323" s="15"/>
      <c r="AK323" s="15"/>
      <c r="AM323" s="45"/>
      <c r="AO323" s="13"/>
      <c r="AQ323" s="45"/>
      <c r="AS323" s="13"/>
      <c r="AU323" s="45"/>
      <c r="AW323" s="13"/>
      <c r="AY323" s="45"/>
      <c r="AZ323" s="28"/>
      <c r="BA323" s="13"/>
      <c r="BB323" s="15"/>
      <c r="BC323" s="45"/>
      <c r="BD323" s="28"/>
      <c r="BE323" s="14"/>
      <c r="BF323" s="41">
        <f t="shared" ref="BF323:BG323" si="951">K323+O323+S323+W323+AA323+AE323+AI323+AM323+AQ323+AU323+AY323+BC323</f>
        <v>38.5</v>
      </c>
      <c r="BG323" s="34">
        <f t="shared" si="951"/>
        <v>0</v>
      </c>
      <c r="BH323" s="35">
        <f t="shared" ref="BH323:BH330" si="952">H323+BF323-BG323</f>
        <v>46.05</v>
      </c>
      <c r="BK323" s="2" t="b">
        <f>H323='2021'!BH323</f>
        <v>1</v>
      </c>
    </row>
    <row r="324" ht="15.75" customHeight="1" spans="1:63" x14ac:dyDescent="0.25">
      <c r="A324" s="2">
        <v>36</v>
      </c>
      <c r="B324" s="14">
        <v>4.03</v>
      </c>
      <c r="C324" s="2" t="s">
        <v>160</v>
      </c>
      <c r="D324" s="14" t="s">
        <v>44</v>
      </c>
      <c r="E324" s="2" t="s">
        <v>45</v>
      </c>
      <c r="F324" s="41">
        <v>2.5</v>
      </c>
      <c r="G324" s="35">
        <v>2.6</v>
      </c>
      <c r="H324" s="34">
        <f>'2021'!BH324</f>
        <v>345.6</v>
      </c>
      <c r="I324" s="13">
        <v>622</v>
      </c>
      <c r="J324" s="15">
        <f>I324-'2021'!BA324</f>
        <v>0</v>
      </c>
      <c r="K324" s="34">
        <f>J324*$F$8</f>
        <v>0</v>
      </c>
      <c r="L324" s="28"/>
      <c r="M324" s="13">
        <v>622</v>
      </c>
      <c r="N324" s="15">
        <f t="shared" ref="N324:N325" si="953">M324-I324</f>
        <v>0</v>
      </c>
      <c r="O324" s="34">
        <f>N324*$F$8</f>
        <v>0</v>
      </c>
      <c r="Q324" s="13">
        <v>622</v>
      </c>
      <c r="R324" s="15">
        <f t="shared" ref="R324:R325" si="954">Q324-M324</f>
        <v>0</v>
      </c>
      <c r="S324" s="34">
        <f>R324*$F$8</f>
        <v>0</v>
      </c>
      <c r="T324" s="28"/>
      <c r="U324" s="13">
        <v>622</v>
      </c>
      <c r="V324" s="15">
        <f t="shared" ref="V324:V325" si="955">U324-Q324</f>
        <v>0</v>
      </c>
      <c r="W324" s="34">
        <f>V324*$F$8</f>
        <v>0</v>
      </c>
      <c r="X324" s="34"/>
      <c r="Y324" s="13">
        <v>631</v>
      </c>
      <c r="Z324" s="2">
        <f t="shared" ref="Z324:Z325" si="956">Y324-U324</f>
        <v>9</v>
      </c>
      <c r="AA324" s="34">
        <f>Z324*$F$8</f>
        <v>24.3</v>
      </c>
      <c r="AB324" s="32">
        <v>500</v>
      </c>
      <c r="AC324" s="348">
        <v>639</v>
      </c>
      <c r="AD324" s="15">
        <f t="shared" ref="AD324:AD325" si="957">AC324-Y324</f>
        <v>8</v>
      </c>
      <c r="AE324" s="180">
        <f>AD324*$F$8</f>
        <v>21.6</v>
      </c>
      <c r="AF324" s="2"/>
      <c r="AG324" s="15">
        <v>643</v>
      </c>
      <c r="AH324" s="2">
        <f>(AG324-AC324)*AH5</f>
        <v>4.224</v>
      </c>
      <c r="AI324" s="45">
        <f>AH324*$G$8</f>
        <v>10.39104</v>
      </c>
      <c r="AJ324" s="182"/>
      <c r="AK324" s="15">
        <v>645</v>
      </c>
      <c r="AL324" s="15">
        <f>(AK324-AG324)*AL5</f>
        <v>2.056</v>
      </c>
      <c r="AM324" s="45">
        <f>AL324*$G$8</f>
        <v>5.05776</v>
      </c>
      <c r="AN324" s="15"/>
      <c r="AO324" s="13">
        <v>646</v>
      </c>
      <c r="AP324" s="15">
        <f>(AO324-AK324)*AP5</f>
        <v>1.033</v>
      </c>
      <c r="AQ324" s="45">
        <f>AP324*$G$8</f>
        <v>2.54118</v>
      </c>
      <c r="AR324" s="15"/>
      <c r="AS324" s="13">
        <v>652</v>
      </c>
      <c r="AT324" s="15">
        <f>(AS324-AO324)*AT5</f>
        <v>6.3</v>
      </c>
      <c r="AU324" s="45">
        <f>AT324*$G$8</f>
        <v>15.498</v>
      </c>
      <c r="AV324" s="15"/>
      <c r="AW324" s="13"/>
      <c r="AX324" s="15">
        <f>(AW324-AS324)*AX5</f>
        <v>0</v>
      </c>
      <c r="AY324" s="45">
        <f>AX324*$G$8</f>
        <v>0</v>
      </c>
      <c r="AZ324" s="208"/>
      <c r="BA324" s="13"/>
      <c r="BB324" s="15"/>
      <c r="BC324" s="45">
        <f>BB324*$G$8</f>
        <v>0</v>
      </c>
      <c r="BD324" s="208"/>
      <c r="BE324" s="40">
        <f t="shared" ref="BE324:BG324" si="958">J324+N324+R324+V324+Z324+AD324+AH324+AL324+AP324+AT324+AX324+BB324</f>
        <v>30.613</v>
      </c>
      <c r="BF324" s="41">
        <f t="shared" si="958"/>
        <v>79.38798</v>
      </c>
      <c r="BG324" s="34">
        <f t="shared" si="958"/>
        <v>500</v>
      </c>
      <c r="BH324" s="35">
        <f t="shared" si="952"/>
        <v>-75.01202</v>
      </c>
      <c r="BK324" s="2" t="b">
        <f>H324='2021'!BH324</f>
        <v>1</v>
      </c>
    </row>
    <row r="325" ht="15.75" customHeight="1" spans="1:63" x14ac:dyDescent="0.25">
      <c r="A325" s="2">
        <v>36</v>
      </c>
      <c r="B325" s="14"/>
      <c r="C325" s="2" t="s">
        <v>161</v>
      </c>
      <c r="D325" s="14" t="s">
        <v>47</v>
      </c>
      <c r="E325" s="2" t="s">
        <v>48</v>
      </c>
      <c r="F325" s="13">
        <v>18.56</v>
      </c>
      <c r="G325" s="35">
        <v>19.46</v>
      </c>
      <c r="H325" s="34">
        <f>'2021'!BH325</f>
        <v>-100</v>
      </c>
      <c r="I325" s="13">
        <v>30</v>
      </c>
      <c r="J325" s="15"/>
      <c r="K325" s="15"/>
      <c r="L325" s="28"/>
      <c r="M325" s="13">
        <v>30</v>
      </c>
      <c r="N325" s="15">
        <f t="shared" si="953"/>
        <v>0</v>
      </c>
      <c r="Q325" s="13">
        <v>30</v>
      </c>
      <c r="R325" s="15">
        <f t="shared" si="954"/>
        <v>0</v>
      </c>
      <c r="S325" s="15"/>
      <c r="T325" s="28"/>
      <c r="U325" s="13">
        <v>30</v>
      </c>
      <c r="V325" s="15">
        <f t="shared" si="955"/>
        <v>0</v>
      </c>
      <c r="W325" s="34">
        <f>V325*$F$10</f>
        <v>0</v>
      </c>
      <c r="Y325" s="13">
        <v>30</v>
      </c>
      <c r="Z325" s="2">
        <f t="shared" si="956"/>
        <v>0</v>
      </c>
      <c r="AA325" s="34">
        <f>Z325*$F$10</f>
        <v>0</v>
      </c>
      <c r="AB325" s="32">
        <v>500</v>
      </c>
      <c r="AC325" s="348">
        <v>81</v>
      </c>
      <c r="AD325" s="15">
        <f t="shared" si="957"/>
        <v>51</v>
      </c>
      <c r="AE325" s="34">
        <f>AD325*$F$10</f>
        <v>1037.85</v>
      </c>
      <c r="AF325" s="180"/>
      <c r="AG325" s="15">
        <v>81</v>
      </c>
      <c r="AH325" s="2">
        <f>AG325-AC325</f>
        <v>0</v>
      </c>
      <c r="AI325" s="45">
        <f>AH325*$G$10</f>
        <v>0</v>
      </c>
      <c r="AJ325" s="182"/>
      <c r="AK325" s="15">
        <v>81</v>
      </c>
      <c r="AL325" s="15">
        <f>AK325-AG325</f>
        <v>0</v>
      </c>
      <c r="AM325" s="45">
        <f>AL325*$G$10</f>
        <v>0</v>
      </c>
      <c r="AN325" s="1"/>
      <c r="AO325" s="13">
        <v>81</v>
      </c>
      <c r="AP325" s="15">
        <f>AO325-AK325</f>
        <v>0</v>
      </c>
      <c r="AQ325" s="45">
        <f>AP325*$G$10</f>
        <v>0</v>
      </c>
      <c r="AR325" s="15"/>
      <c r="AS325" s="13">
        <v>81</v>
      </c>
      <c r="AT325" s="15">
        <f>AS325-AO325</f>
        <v>0</v>
      </c>
      <c r="AU325" s="45">
        <f>AT325*$G$10</f>
        <v>0</v>
      </c>
      <c r="AV325" s="15"/>
      <c r="AW325" s="13"/>
      <c r="AX325" s="15">
        <f>AW325-AS325</f>
        <v>-81</v>
      </c>
      <c r="AY325" s="45"/>
      <c r="AZ325" s="208"/>
      <c r="BA325" s="13"/>
      <c r="BB325" s="15"/>
      <c r="BC325" s="45"/>
      <c r="BD325" s="208"/>
      <c r="BE325" s="40">
        <f t="shared" ref="BE325:BG325" si="959">J325+N325+R325+V325+Z325+AD325+AH325+AL325+AP325+AT325+AX325+BB325</f>
        <v>-30</v>
      </c>
      <c r="BF325" s="41">
        <f t="shared" si="959"/>
        <v>1037.85</v>
      </c>
      <c r="BG325" s="34">
        <f t="shared" si="959"/>
        <v>500</v>
      </c>
      <c r="BH325" s="35">
        <f t="shared" si="952"/>
        <v>437.85</v>
      </c>
      <c r="BK325" s="2" t="b">
        <f>H325='2021'!BH325</f>
        <v>1</v>
      </c>
    </row>
    <row r="326" ht="15.75" customHeight="1" spans="1:63" x14ac:dyDescent="0.25">
      <c r="A326" s="2">
        <v>36</v>
      </c>
      <c r="B326" s="14"/>
      <c r="C326" s="2" t="s">
        <v>68</v>
      </c>
      <c r="D326" s="14" t="s">
        <v>47</v>
      </c>
      <c r="E326" s="2" t="s">
        <v>49</v>
      </c>
      <c r="F326" s="41">
        <v>500</v>
      </c>
      <c r="G326" s="28"/>
      <c r="H326" s="34">
        <f>'2021'!BH326</f>
        <v>0</v>
      </c>
      <c r="I326" s="13"/>
      <c r="J326" s="15"/>
      <c r="K326" s="15"/>
      <c r="L326" s="28"/>
      <c r="M326" s="13"/>
      <c r="N326" s="15"/>
      <c r="Q326" s="13"/>
      <c r="R326" s="15"/>
      <c r="S326" s="15"/>
      <c r="T326" s="28"/>
      <c r="U326" s="13"/>
      <c r="V326" s="15"/>
      <c r="Y326" s="13"/>
      <c r="Z326" s="2"/>
      <c r="AA326" s="15"/>
      <c r="AB326" s="28"/>
      <c r="AC326" s="348"/>
      <c r="AD326" s="15"/>
      <c r="AG326" s="15"/>
      <c r="AH326" s="2"/>
      <c r="AI326" s="45"/>
      <c r="AJ326" s="154"/>
      <c r="AK326" s="15"/>
      <c r="AL326" s="15"/>
      <c r="AM326" s="45"/>
      <c r="AN326" s="15"/>
      <c r="AO326" s="13"/>
      <c r="AP326" s="15"/>
      <c r="AQ326" s="45"/>
      <c r="AR326" s="15"/>
      <c r="AS326" s="13"/>
      <c r="AT326" s="15"/>
      <c r="AU326" s="45"/>
      <c r="AV326" s="15"/>
      <c r="AW326" s="13"/>
      <c r="AX326" s="15"/>
      <c r="AY326" s="45"/>
      <c r="AZ326" s="28"/>
      <c r="BA326" s="13"/>
      <c r="BB326" s="15"/>
      <c r="BC326" s="45"/>
      <c r="BD326" s="28"/>
      <c r="BE326" s="14"/>
      <c r="BF326" s="41">
        <f t="shared" ref="BF326:BG326" si="960">K326+O326+S326+W326+AA326+AE326+AI326+AM326+AQ326+AU326+AY326+BC326</f>
        <v>0</v>
      </c>
      <c r="BG326" s="34">
        <f t="shared" si="960"/>
        <v>0</v>
      </c>
      <c r="BH326" s="35">
        <f t="shared" si="952"/>
        <v>0</v>
      </c>
      <c r="BK326" s="2" t="b">
        <f>H326='2021'!BH326</f>
        <v>1</v>
      </c>
    </row>
    <row r="327" ht="15.75" customHeight="1" spans="1:63" x14ac:dyDescent="0.25">
      <c r="A327" s="2">
        <v>36</v>
      </c>
      <c r="B327" s="14"/>
      <c r="C327" s="2" t="s">
        <v>399</v>
      </c>
      <c r="D327" s="14" t="s">
        <v>50</v>
      </c>
      <c r="E327" s="2" t="s">
        <v>49</v>
      </c>
      <c r="F327" s="41">
        <v>1100</v>
      </c>
      <c r="G327" s="28"/>
      <c r="H327" s="34">
        <f>'2021'!BH327</f>
        <v>0</v>
      </c>
      <c r="I327" s="13"/>
      <c r="J327" s="15"/>
      <c r="K327" s="15"/>
      <c r="L327" s="28"/>
      <c r="M327" s="13"/>
      <c r="N327" s="15"/>
      <c r="Q327" s="13"/>
      <c r="R327" s="15"/>
      <c r="S327" s="15"/>
      <c r="T327" s="28"/>
      <c r="U327" s="13"/>
      <c r="V327" s="15"/>
      <c r="Y327" s="13"/>
      <c r="Z327" s="2"/>
      <c r="AA327" s="15"/>
      <c r="AB327" s="28"/>
      <c r="AC327" s="348"/>
      <c r="AD327" s="15"/>
      <c r="AE327" s="182">
        <f>B324*$F$12</f>
        <v>5239</v>
      </c>
      <c r="AG327" s="15"/>
      <c r="AH327" s="2"/>
      <c r="AI327" s="45"/>
      <c r="AJ327" s="182"/>
      <c r="AK327" s="15"/>
      <c r="AL327" s="15"/>
      <c r="AM327" s="45"/>
      <c r="AN327" s="15"/>
      <c r="AO327" s="13"/>
      <c r="AP327" s="15"/>
      <c r="AQ327" s="45"/>
      <c r="AR327" s="15"/>
      <c r="AS327" s="13"/>
      <c r="AT327" s="15"/>
      <c r="AU327" s="45"/>
      <c r="AV327" s="15"/>
      <c r="AW327" s="13"/>
      <c r="AX327" s="15"/>
      <c r="AY327" s="45"/>
      <c r="AZ327" s="28"/>
      <c r="BA327" s="13"/>
      <c r="BB327" s="15"/>
      <c r="BC327" s="45"/>
      <c r="BD327" s="28"/>
      <c r="BE327" s="14"/>
      <c r="BF327" s="41">
        <f t="shared" ref="BF327:BG327" si="961">K327+O327+S327+W327+AA327+AE327+AI327+AM327+AQ327+AU327+AY327+BC327</f>
        <v>5239</v>
      </c>
      <c r="BG327" s="34">
        <f t="shared" si="961"/>
        <v>0</v>
      </c>
      <c r="BH327" s="35">
        <f t="shared" si="952"/>
        <v>5239</v>
      </c>
      <c r="BK327" s="2" t="b">
        <f>H327='2021'!BH327</f>
        <v>1</v>
      </c>
    </row>
    <row r="328" ht="15.75" customHeight="1" spans="1:63" x14ac:dyDescent="0.25">
      <c r="A328" s="2">
        <v>36</v>
      </c>
      <c r="B328" s="14"/>
      <c r="D328" s="14" t="s">
        <v>51</v>
      </c>
      <c r="E328" s="2" t="s">
        <v>39</v>
      </c>
      <c r="F328" s="41">
        <v>500</v>
      </c>
      <c r="G328" s="28"/>
      <c r="H328" s="34">
        <f>'2021'!BH328</f>
        <v>500</v>
      </c>
      <c r="I328" s="13"/>
      <c r="J328" s="15"/>
      <c r="K328" s="15"/>
      <c r="L328" s="28"/>
      <c r="M328" s="13"/>
      <c r="N328" s="15"/>
      <c r="Q328" s="13"/>
      <c r="R328" s="15"/>
      <c r="S328" s="15"/>
      <c r="T328" s="28"/>
      <c r="U328" s="13"/>
      <c r="V328" s="15"/>
      <c r="Y328" s="13"/>
      <c r="Z328" s="2"/>
      <c r="AA328" s="15"/>
      <c r="AB328" s="28"/>
      <c r="AC328" s="348"/>
      <c r="AD328" s="15"/>
      <c r="AE328" s="180">
        <f>$F$13</f>
        <v>1000</v>
      </c>
      <c r="AG328" s="15"/>
      <c r="AH328" s="2"/>
      <c r="AI328" s="45"/>
      <c r="AJ328" s="180"/>
      <c r="AK328" s="15"/>
      <c r="AL328" s="15"/>
      <c r="AM328" s="45"/>
      <c r="AN328" s="15"/>
      <c r="AO328" s="13"/>
      <c r="AP328" s="15"/>
      <c r="AQ328" s="180"/>
      <c r="AR328" s="15"/>
      <c r="AS328" s="13"/>
      <c r="AT328" s="15"/>
      <c r="AU328" s="45"/>
      <c r="AV328" s="15"/>
      <c r="AW328" s="13"/>
      <c r="AX328" s="15"/>
      <c r="AY328" s="45"/>
      <c r="AZ328" s="28"/>
      <c r="BA328" s="13"/>
      <c r="BB328" s="15"/>
      <c r="BC328" s="45"/>
      <c r="BD328" s="28"/>
      <c r="BE328" s="14"/>
      <c r="BF328" s="41">
        <f t="shared" ref="BF328:BG328" si="962">K328+O328+S328+W328+AA328+AE328+AI328+AM328+AQ328+AU328+AY328+BC328</f>
        <v>1000</v>
      </c>
      <c r="BG328" s="34">
        <f t="shared" si="962"/>
        <v>0</v>
      </c>
      <c r="BH328" s="35">
        <f t="shared" si="952"/>
        <v>1500</v>
      </c>
      <c r="BK328" s="2" t="b">
        <f>H328='2021'!BH328</f>
        <v>1</v>
      </c>
    </row>
    <row r="329" ht="15.75" customHeight="1" spans="1:63" x14ac:dyDescent="0.25">
      <c r="A329" s="2">
        <v>36</v>
      </c>
      <c r="B329" s="14"/>
      <c r="D329" s="14" t="s">
        <v>51</v>
      </c>
      <c r="E329" s="2" t="s">
        <v>49</v>
      </c>
      <c r="F329" s="41">
        <v>500</v>
      </c>
      <c r="G329" s="28"/>
      <c r="H329" s="34">
        <f>'2021'!BH329</f>
        <v>2015</v>
      </c>
      <c r="I329" s="13"/>
      <c r="J329" s="15"/>
      <c r="K329" s="15"/>
      <c r="L329" s="28"/>
      <c r="M329" s="13"/>
      <c r="N329" s="15"/>
      <c r="Q329" s="13"/>
      <c r="R329" s="15"/>
      <c r="S329" s="15"/>
      <c r="T329" s="28"/>
      <c r="U329" s="13"/>
      <c r="V329" s="15"/>
      <c r="Y329" s="13"/>
      <c r="Z329" s="2"/>
      <c r="AA329" s="15"/>
      <c r="AB329" s="28"/>
      <c r="AC329" s="348"/>
      <c r="AD329" s="15"/>
      <c r="AE329" s="34"/>
      <c r="AG329" s="15"/>
      <c r="AH329" s="2"/>
      <c r="AI329" s="45"/>
      <c r="AJ329" s="180"/>
      <c r="AK329" s="15"/>
      <c r="AL329" s="15"/>
      <c r="AM329" s="45"/>
      <c r="AN329" s="15"/>
      <c r="AO329" s="13"/>
      <c r="AP329" s="15"/>
      <c r="AQ329" s="180">
        <f>B324*$F$14</f>
        <v>0</v>
      </c>
      <c r="AR329" s="15"/>
      <c r="AS329" s="13"/>
      <c r="AT329" s="15"/>
      <c r="AU329" s="45"/>
      <c r="AV329" s="15"/>
      <c r="AW329" s="13"/>
      <c r="AX329" s="15"/>
      <c r="AY329" s="45"/>
      <c r="AZ329" s="28"/>
      <c r="BA329" s="13"/>
      <c r="BB329" s="15"/>
      <c r="BC329" s="45"/>
      <c r="BD329" s="28"/>
      <c r="BE329" s="14"/>
      <c r="BF329" s="41">
        <f t="shared" ref="BF329:BG329" si="963">K329+O329+S329+W329+AA329+AE329+AI329+AM329+AQ329+AU329+AY329+BC329</f>
        <v>0</v>
      </c>
      <c r="BG329" s="34">
        <f t="shared" si="963"/>
        <v>0</v>
      </c>
      <c r="BH329" s="35">
        <f t="shared" si="952"/>
        <v>2015</v>
      </c>
      <c r="BK329" s="2" t="b">
        <f>H329='2021'!BH329</f>
        <v>1</v>
      </c>
    </row>
    <row r="330" ht="15.75" customHeight="1" spans="1:63" x14ac:dyDescent="0.25">
      <c r="A330" s="2">
        <v>36</v>
      </c>
      <c r="B330" s="14"/>
      <c r="D330" s="14" t="s">
        <v>52</v>
      </c>
      <c r="E330" s="2" t="s">
        <v>39</v>
      </c>
      <c r="F330" s="41">
        <v>500</v>
      </c>
      <c r="G330" s="28"/>
      <c r="H330" s="34">
        <f>'2021'!BH330</f>
        <v>0</v>
      </c>
      <c r="I330" s="13"/>
      <c r="J330" s="15"/>
      <c r="K330" s="15"/>
      <c r="L330" s="28"/>
      <c r="M330" s="13"/>
      <c r="N330" s="15"/>
      <c r="Q330" s="13"/>
      <c r="R330" s="15"/>
      <c r="S330" s="15"/>
      <c r="T330" s="28"/>
      <c r="U330" s="13"/>
      <c r="V330" s="15"/>
      <c r="Y330" s="13"/>
      <c r="Z330" s="2"/>
      <c r="AA330" s="34">
        <f>$F$15</f>
      </c>
      <c r="AB330" s="28"/>
      <c r="AC330" s="348"/>
      <c r="AD330" s="15"/>
      <c r="AF330" s="180"/>
      <c r="AG330" s="15"/>
      <c r="AH330" s="2"/>
      <c r="AI330" s="45"/>
      <c r="AJ330" s="180"/>
      <c r="AK330" s="15"/>
      <c r="AL330" s="15"/>
      <c r="AM330" s="45"/>
      <c r="AN330" s="15"/>
      <c r="AO330" s="13"/>
      <c r="AP330" s="15"/>
      <c r="AQ330" s="45"/>
      <c r="AR330" s="15"/>
      <c r="AS330" s="13"/>
      <c r="AT330" s="15"/>
      <c r="AU330" s="45"/>
      <c r="AV330" s="15"/>
      <c r="AW330" s="13"/>
      <c r="AX330" s="15"/>
      <c r="AY330" s="45"/>
      <c r="AZ330" s="35"/>
      <c r="BA330" s="13"/>
      <c r="BB330" s="15"/>
      <c r="BC330" s="45"/>
      <c r="BD330" s="35"/>
      <c r="BE330" s="14"/>
      <c r="BF330" s="41">
        <f t="shared" ref="BF330:BG330" si="964">K330+O330+S330+W330+AA330+AE330+AI330+AM330+AQ330+AU330+AY330+BC330</f>
        <v>0</v>
      </c>
      <c r="BG330" s="34">
        <f t="shared" si="964"/>
        <v>0</v>
      </c>
      <c r="BH330" s="35">
        <f t="shared" si="952"/>
        <v>0</v>
      </c>
      <c r="BK330" s="2" t="b">
        <f>H330='2021'!BH330</f>
        <v>1</v>
      </c>
    </row>
    <row r="331" ht="15.75" customHeight="1" spans="1:63" x14ac:dyDescent="0.25">
      <c r="A331" s="247">
        <v>36</v>
      </c>
      <c r="B331" s="21"/>
      <c r="C331" s="22" t="s">
        <v>53</v>
      </c>
      <c r="D331" s="21"/>
      <c r="E331" s="22"/>
      <c r="F331" s="20"/>
      <c r="G331" s="23"/>
      <c r="H331" s="51">
        <f>SUM(H323:H330)</f>
        <v>2768.15</v>
      </c>
      <c r="I331" s="52"/>
      <c r="J331" s="53"/>
      <c r="K331" s="51">
        <f t="shared" ref="K331:L331" si="965">SUM(K323:K330)</f>
        <v>0</v>
      </c>
      <c r="L331" s="68">
        <f t="shared" si="965"/>
        <v>0</v>
      </c>
      <c r="M331" s="52"/>
      <c r="N331" s="53"/>
      <c r="O331" s="51">
        <f t="shared" ref="O331:P331" si="966">SUM(O323:O330)</f>
        <v>0</v>
      </c>
      <c r="P331" s="51">
        <f t="shared" si="966"/>
        <v>0</v>
      </c>
      <c r="Q331" s="52"/>
      <c r="R331" s="53"/>
      <c r="S331" s="51">
        <f t="shared" ref="S331:T331" si="967">SUM(S323:S330)</f>
        <v>7.8</v>
      </c>
      <c r="T331" s="51">
        <f t="shared" si="967"/>
        <v>0</v>
      </c>
      <c r="U331" s="52"/>
      <c r="V331" s="53"/>
      <c r="W331" s="51">
        <f t="shared" ref="W331:X331" si="968">SUM(W323:W330)</f>
        <v>7.55</v>
      </c>
      <c r="X331" s="51">
        <f t="shared" si="968"/>
        <v>0</v>
      </c>
      <c r="Y331" s="52"/>
      <c r="Z331" s="301"/>
      <c r="AA331" s="51">
        <f t="shared" ref="AA331:AB331" si="969">SUM(AA323:AA330)</f>
        <v>32.1</v>
      </c>
      <c r="AB331" s="51">
        <f t="shared" si="969"/>
        <v>1000</v>
      </c>
      <c r="AC331" s="367"/>
      <c r="AD331" s="53"/>
      <c r="AE331" s="51">
        <f t="shared" ref="AE331:AF331" si="970">SUM(AE323:AE330)</f>
        <v>7306</v>
      </c>
      <c r="AF331" s="51">
        <f t="shared" si="970"/>
        <v>0</v>
      </c>
      <c r="AG331" s="52"/>
      <c r="AH331" s="301"/>
      <c r="AI331" s="183">
        <f t="shared" ref="AI331:AJ331" si="971">SUM(AI323:AI330)</f>
        <v>18.19104</v>
      </c>
      <c r="AJ331" s="51">
        <f t="shared" si="971"/>
        <v>0</v>
      </c>
      <c r="AK331" s="52"/>
      <c r="AL331" s="53"/>
      <c r="AM331" s="183">
        <f t="shared" ref="AM331:AN331" si="972">SUM(AM323:AM330)</f>
        <v>5.05776</v>
      </c>
      <c r="AN331" s="51">
        <f t="shared" si="972"/>
        <v>0</v>
      </c>
      <c r="AO331" s="52"/>
      <c r="AP331" s="53"/>
      <c r="AQ331" s="183">
        <f t="shared" ref="AQ331:AR331" si="973">SUM(AQ323:AQ330)</f>
        <v>2.54118</v>
      </c>
      <c r="AR331" s="51">
        <f t="shared" si="973"/>
        <v>0</v>
      </c>
      <c r="AS331" s="52"/>
      <c r="AT331" s="53"/>
      <c r="AU331" s="183">
        <f t="shared" ref="AU331:AV331" si="974">SUM(AU323:AU330)</f>
        <v>15.498</v>
      </c>
      <c r="AV331" s="68">
        <f t="shared" si="974"/>
        <v>0</v>
      </c>
      <c r="AW331" s="52"/>
      <c r="AX331" s="53"/>
      <c r="AY331" s="183">
        <f t="shared" ref="AY331:AZ331" si="975">SUM(AY323:AY330)</f>
        <v>0</v>
      </c>
      <c r="AZ331" s="68">
        <f t="shared" si="975"/>
        <v>0</v>
      </c>
      <c r="BA331" s="52"/>
      <c r="BB331" s="53"/>
      <c r="BC331" s="183">
        <f t="shared" ref="BC331:BD331" si="976">SUM(BC323:BC330)</f>
        <v>0</v>
      </c>
      <c r="BD331" s="68">
        <f t="shared" si="976"/>
        <v>0</v>
      </c>
      <c r="BE331" s="69"/>
      <c r="BF331" s="70">
        <f t="shared" ref="BF331:BH331" si="977">SUM(BF323:BF330)</f>
        <v>7394.73798</v>
      </c>
      <c r="BG331" s="71">
        <f t="shared" si="977"/>
        <v>1000</v>
      </c>
      <c r="BH331" s="72">
        <f t="shared" si="977"/>
        <v>9162.88798</v>
      </c>
      <c r="BI331" s="34">
        <f>H331+BF331-BG331</f>
        <v>9162.88798</v>
      </c>
      <c r="BJ331" s="34">
        <f>BH331-BI331</f>
        <v>0</v>
      </c>
      <c r="BK331" s="2" t="b">
        <f>H331='2021'!BH331</f>
        <v>1</v>
      </c>
    </row>
    <row r="332" ht="15.75" customHeight="1" spans="1:63" x14ac:dyDescent="0.25">
      <c r="A332" s="2">
        <v>37</v>
      </c>
      <c r="B332" s="14"/>
      <c r="D332" s="14" t="s">
        <v>379</v>
      </c>
      <c r="F332" s="13"/>
      <c r="G332" s="28"/>
      <c r="H332" s="34">
        <f>'2021'!BH332</f>
        <v>6.09</v>
      </c>
      <c r="I332" s="13"/>
      <c r="J332" s="15"/>
      <c r="K332" s="15"/>
      <c r="L332" s="28"/>
      <c r="M332" s="13"/>
      <c r="N332" s="15"/>
      <c r="Q332" s="13"/>
      <c r="R332" s="15"/>
      <c r="S332" s="15">
        <v>6.29</v>
      </c>
      <c r="T332" s="28"/>
      <c r="U332" s="13"/>
      <c r="V332" s="15"/>
      <c r="W332" s="2">
        <v>6.09</v>
      </c>
      <c r="Y332" s="13"/>
      <c r="Z332" s="2"/>
      <c r="AA332" s="15">
        <v>6.29</v>
      </c>
      <c r="AB332" s="28"/>
      <c r="AC332" s="348"/>
      <c r="AD332" s="15"/>
      <c r="AE332" s="2">
        <v>6.09</v>
      </c>
      <c r="AG332" s="15"/>
      <c r="AH332" s="2"/>
      <c r="AI332" s="45">
        <v>1.22</v>
      </c>
      <c r="AJ332" s="15">
        <v>30.85</v>
      </c>
      <c r="AK332" s="15"/>
      <c r="AM332" s="45"/>
      <c r="AO332" s="13"/>
      <c r="AQ332" s="45"/>
      <c r="AS332" s="13"/>
      <c r="AU332" s="45"/>
      <c r="AW332" s="13"/>
      <c r="AY332" s="45"/>
      <c r="AZ332" s="28"/>
      <c r="BA332" s="13"/>
      <c r="BB332" s="15"/>
      <c r="BC332" s="45"/>
      <c r="BD332" s="28"/>
      <c r="BE332" s="14"/>
      <c r="BF332" s="41">
        <f t="shared" ref="BF332:BG332" si="978">K332+O332+S332+W332+AA332+AE332+AI332+AM332+AQ332+AU332+AY332+BC332</f>
        <v>25.98</v>
      </c>
      <c r="BG332" s="34">
        <f t="shared" si="978"/>
        <v>30.85</v>
      </c>
      <c r="BH332" s="35">
        <f t="shared" ref="BH332:BH339" si="979">H332+BF332-BG332</f>
        <v>1.22</v>
      </c>
      <c r="BK332" s="2" t="b">
        <f>H332='2021'!BH332</f>
        <v>1</v>
      </c>
    </row>
    <row r="333" ht="15.75" customHeight="1" spans="1:63" x14ac:dyDescent="0.25">
      <c r="A333" s="2">
        <v>37</v>
      </c>
      <c r="B333" s="14">
        <v>4.06</v>
      </c>
      <c r="C333" s="2" t="s">
        <v>162</v>
      </c>
      <c r="D333" s="14" t="s">
        <v>44</v>
      </c>
      <c r="E333" s="2" t="s">
        <v>45</v>
      </c>
      <c r="F333" s="41">
        <v>2.5</v>
      </c>
      <c r="G333" s="35">
        <v>2.6</v>
      </c>
      <c r="H333" s="104">
        <f>'2021'!BH333</f>
        <v>0</v>
      </c>
      <c r="I333" s="13"/>
      <c r="J333" s="15">
        <f>I333-'2021'!BA333</f>
        <v>0</v>
      </c>
      <c r="K333" s="34">
        <f>J333*$F$8</f>
        <v>0</v>
      </c>
      <c r="L333" s="28"/>
      <c r="M333" s="13"/>
      <c r="N333" s="15">
        <f t="shared" ref="N333:N334" si="980">M333-I333</f>
        <v>0</v>
      </c>
      <c r="O333" s="34">
        <f>N333*$F$8</f>
        <v>0</v>
      </c>
      <c r="Q333" s="13"/>
      <c r="R333" s="15">
        <f t="shared" ref="R333:R334" si="981">Q333-M333</f>
        <v>0</v>
      </c>
      <c r="S333" s="34">
        <f>R333*$F$8</f>
        <v>0</v>
      </c>
      <c r="T333" s="28"/>
      <c r="U333" s="13"/>
      <c r="V333" s="15">
        <f t="shared" ref="V333:V334" si="982">U333-Q333</f>
        <v>0</v>
      </c>
      <c r="W333" s="34">
        <f>V333*$F$8</f>
        <v>0</v>
      </c>
      <c r="Y333" s="13"/>
      <c r="Z333" s="2">
        <f t="shared" ref="Z333:Z334" si="983">Y333-U333</f>
        <v>0</v>
      </c>
      <c r="AA333" s="34">
        <f>Z333*$F$8</f>
        <v>0</v>
      </c>
      <c r="AB333" s="28"/>
      <c r="AC333" s="348"/>
      <c r="AD333" s="15">
        <f t="shared" ref="AD333:AD334" si="984">AC333-Y333</f>
        <v>0</v>
      </c>
      <c r="AE333" s="180">
        <f>AD333*$F$8</f>
        <v>0</v>
      </c>
      <c r="AG333" s="15"/>
      <c r="AH333" s="2">
        <f>(AG333-AC333)*AH5</f>
        <v>0</v>
      </c>
      <c r="AI333" s="45">
        <f>AH333*$G$8</f>
        <v>0</v>
      </c>
      <c r="AJ333" s="15"/>
      <c r="AK333" s="15"/>
      <c r="AL333" s="15">
        <f>(AK333-AG333)*AL5</f>
        <v>0</v>
      </c>
      <c r="AM333" s="45">
        <f>AL333*$G$8</f>
        <v>0</v>
      </c>
      <c r="AN333" s="15"/>
      <c r="AO333" s="13"/>
      <c r="AP333" s="15">
        <f>(AO333-AK333)*AP5</f>
        <v>0</v>
      </c>
      <c r="AQ333" s="45">
        <f>AP333*$G$8</f>
        <v>0</v>
      </c>
      <c r="AR333" s="15"/>
      <c r="AS333" s="13"/>
      <c r="AT333" s="15">
        <f>(AS333-AO333)*AT5</f>
        <v>0</v>
      </c>
      <c r="AU333" s="45">
        <f>AT333*$G$8</f>
        <v>0</v>
      </c>
      <c r="AV333" s="15"/>
      <c r="AW333" s="13"/>
      <c r="AX333" s="15">
        <f>(AW333-AS333)*AX5</f>
        <v>0</v>
      </c>
      <c r="AY333" s="45">
        <f>AX333*$G$8</f>
        <v>0</v>
      </c>
      <c r="AZ333" s="208"/>
      <c r="BA333" s="13"/>
      <c r="BB333" s="15"/>
      <c r="BC333" s="45">
        <f>BB333*$G$8</f>
        <v>0</v>
      </c>
      <c r="BD333" s="208"/>
      <c r="BE333" s="40">
        <f t="shared" ref="BE333:BG333" si="985">J333+N333+R333+V333+Z333+AD333+AH333+AL333+AP333+AT333+AX333+BB333</f>
        <v>0</v>
      </c>
      <c r="BF333" s="41">
        <f t="shared" si="985"/>
        <v>0</v>
      </c>
      <c r="BG333" s="34">
        <f t="shared" si="985"/>
        <v>0</v>
      </c>
      <c r="BH333" s="35">
        <f t="shared" si="979"/>
        <v>0</v>
      </c>
      <c r="BK333" s="2" t="b">
        <f>H333='2021'!BH333</f>
        <v>1</v>
      </c>
    </row>
    <row r="334" ht="15.75" customHeight="1" spans="1:63" x14ac:dyDescent="0.25">
      <c r="A334" s="2">
        <v>37</v>
      </c>
      <c r="B334" s="14"/>
      <c r="C334" s="2" t="s">
        <v>163</v>
      </c>
      <c r="D334" s="14" t="s">
        <v>47</v>
      </c>
      <c r="E334" s="2" t="s">
        <v>48</v>
      </c>
      <c r="F334" s="13">
        <v>18.56</v>
      </c>
      <c r="G334" s="35">
        <v>19.46</v>
      </c>
      <c r="H334" s="34">
        <f>'2021'!BH334</f>
        <v>31.24</v>
      </c>
      <c r="I334" s="13">
        <v>18</v>
      </c>
      <c r="J334" s="15"/>
      <c r="K334" s="15"/>
      <c r="L334" s="28"/>
      <c r="M334" s="13">
        <v>18</v>
      </c>
      <c r="N334" s="15">
        <f t="shared" si="980"/>
        <v>0</v>
      </c>
      <c r="Q334" s="13">
        <v>18</v>
      </c>
      <c r="R334" s="15">
        <f t="shared" si="981"/>
        <v>0</v>
      </c>
      <c r="S334" s="15"/>
      <c r="T334" s="28"/>
      <c r="U334" s="13">
        <v>18</v>
      </c>
      <c r="V334" s="15">
        <f t="shared" si="982"/>
        <v>0</v>
      </c>
      <c r="W334" s="34">
        <f>V334*$F$10</f>
        <v>0</v>
      </c>
      <c r="Y334" s="13">
        <v>26</v>
      </c>
      <c r="Z334" s="2">
        <f t="shared" si="983"/>
        <v>8</v>
      </c>
      <c r="AA334" s="34">
        <f>Z334*$F$10</f>
        <v>162.8</v>
      </c>
      <c r="AB334" s="28"/>
      <c r="AC334" s="350">
        <v>36</v>
      </c>
      <c r="AD334" s="15">
        <f t="shared" si="984"/>
        <v>10</v>
      </c>
      <c r="AE334" s="34">
        <f>AD334*$F$10</f>
        <v>203.5</v>
      </c>
      <c r="AF334" s="34"/>
      <c r="AG334" s="13">
        <v>48</v>
      </c>
      <c r="AH334" s="2">
        <f>AG334-AC334</f>
        <v>12</v>
      </c>
      <c r="AI334" s="45">
        <f>AH334*$G$10</f>
        <v>256.8</v>
      </c>
      <c r="AJ334" s="180">
        <f>194.04+203.5</f>
        <v>397.54</v>
      </c>
      <c r="AK334" s="13">
        <v>48</v>
      </c>
      <c r="AL334" s="15">
        <f>AK334-AG334</f>
        <v>0</v>
      </c>
      <c r="AM334" s="45">
        <f>AL334*$G$10</f>
        <v>0</v>
      </c>
      <c r="AN334" s="154">
        <v>256.8</v>
      </c>
      <c r="AO334" s="13">
        <v>52</v>
      </c>
      <c r="AP334" s="15">
        <f>AO334-AK334</f>
        <v>4</v>
      </c>
      <c r="AQ334" s="45">
        <f>AP334*$G$10</f>
        <v>85.6</v>
      </c>
      <c r="AR334" s="154">
        <v>85.6</v>
      </c>
      <c r="AS334" s="13">
        <v>52</v>
      </c>
      <c r="AT334" s="15">
        <f>AS334-AO334</f>
        <v>0</v>
      </c>
      <c r="AU334" s="45">
        <f>AT334*$G$10</f>
        <v>0</v>
      </c>
      <c r="AV334" s="15"/>
      <c r="AW334" s="13"/>
      <c r="AX334" s="15">
        <f>AW334-AS334</f>
        <v>-52</v>
      </c>
      <c r="AY334" s="45"/>
      <c r="AZ334" s="208"/>
      <c r="BA334" s="13"/>
      <c r="BB334" s="15"/>
      <c r="BC334" s="45"/>
      <c r="BD334" s="208"/>
      <c r="BE334" s="40">
        <f t="shared" ref="BE334:BG334" si="986">J334+N334+R334+V334+Z334+AD334+AH334+AL334+AP334+AT334+AX334+BB334</f>
        <v>-18</v>
      </c>
      <c r="BF334" s="41">
        <f t="shared" si="986"/>
        <v>708.7</v>
      </c>
      <c r="BG334" s="34">
        <f t="shared" si="986"/>
        <v>739.94</v>
      </c>
      <c r="BH334" s="35">
        <f t="shared" si="979"/>
        <v>0</v>
      </c>
      <c r="BK334" s="2" t="b">
        <f>H334='2021'!BH334</f>
        <v>1</v>
      </c>
    </row>
    <row r="335" ht="15.75" customHeight="1" spans="1:63" x14ac:dyDescent="0.25">
      <c r="A335" s="2">
        <v>37</v>
      </c>
      <c r="B335" s="14"/>
      <c r="C335" s="2" t="s">
        <v>164</v>
      </c>
      <c r="D335" s="14" t="s">
        <v>47</v>
      </c>
      <c r="E335" s="2" t="s">
        <v>49</v>
      </c>
      <c r="F335" s="41">
        <v>500</v>
      </c>
      <c r="G335" s="28"/>
      <c r="H335" s="34">
        <f>'2021'!BH335</f>
        <v>0</v>
      </c>
      <c r="I335" s="13"/>
      <c r="J335" s="15"/>
      <c r="K335" s="15"/>
      <c r="L335" s="28"/>
      <c r="M335" s="13"/>
      <c r="N335" s="15"/>
      <c r="Q335" s="13"/>
      <c r="R335" s="15"/>
      <c r="S335" s="15"/>
      <c r="T335" s="28"/>
      <c r="U335" s="13"/>
      <c r="V335" s="15"/>
      <c r="Y335" s="13"/>
      <c r="Z335" s="2"/>
      <c r="AA335" s="15"/>
      <c r="AB335" s="28"/>
      <c r="AC335" s="348"/>
      <c r="AD335" s="15"/>
      <c r="AG335" s="15"/>
      <c r="AH335" s="2"/>
      <c r="AI335" s="45"/>
      <c r="AJ335" s="15"/>
      <c r="AK335" s="15"/>
      <c r="AL335" s="15"/>
      <c r="AM335" s="45"/>
      <c r="AN335" s="15"/>
      <c r="AO335" s="13"/>
      <c r="AP335" s="15"/>
      <c r="AQ335" s="45"/>
      <c r="AR335" s="15"/>
      <c r="AS335" s="13"/>
      <c r="AT335" s="15"/>
      <c r="AU335" s="45"/>
      <c r="AV335" s="15"/>
      <c r="AW335" s="13"/>
      <c r="AX335" s="15"/>
      <c r="AY335" s="45"/>
      <c r="AZ335" s="28"/>
      <c r="BA335" s="13"/>
      <c r="BB335" s="15"/>
      <c r="BC335" s="45"/>
      <c r="BD335" s="28"/>
      <c r="BE335" s="14"/>
      <c r="BF335" s="41">
        <f t="shared" ref="BF335:BG335" si="987">K335+O335+S335+W335+AA335+AE335+AI335+AM335+AQ335+AU335+AY335+BC335</f>
        <v>0</v>
      </c>
      <c r="BG335" s="34">
        <f t="shared" si="987"/>
        <v>0</v>
      </c>
      <c r="BH335" s="35">
        <f t="shared" si="979"/>
        <v>0</v>
      </c>
      <c r="BK335" s="2" t="b">
        <f>H335='2021'!BH335</f>
        <v>1</v>
      </c>
    </row>
    <row r="336" ht="15.75" customHeight="1" spans="1:63" x14ac:dyDescent="0.25">
      <c r="A336" s="2">
        <v>37</v>
      </c>
      <c r="B336" s="14"/>
      <c r="C336" s="15" t="s">
        <v>165</v>
      </c>
      <c r="D336" s="14" t="s">
        <v>50</v>
      </c>
      <c r="E336" s="2" t="s">
        <v>49</v>
      </c>
      <c r="F336" s="41">
        <v>1100</v>
      </c>
      <c r="G336" s="28"/>
      <c r="H336" s="34">
        <f>'2021'!BH336</f>
        <v>0</v>
      </c>
      <c r="I336" s="13"/>
      <c r="J336" s="15"/>
      <c r="K336" s="15"/>
      <c r="L336" s="28"/>
      <c r="M336" s="13"/>
      <c r="N336" s="15"/>
      <c r="Q336" s="13"/>
      <c r="R336" s="15"/>
      <c r="S336" s="15"/>
      <c r="T336" s="28"/>
      <c r="U336" s="13"/>
      <c r="V336" s="15"/>
      <c r="Y336" s="13"/>
      <c r="Z336" s="2"/>
      <c r="AA336" s="15"/>
      <c r="AB336" s="28"/>
      <c r="AC336" s="348"/>
      <c r="AD336" s="15"/>
      <c r="AE336" s="34">
        <f>B333*$F$12</f>
        <v>5278</v>
      </c>
      <c r="AF336" s="34"/>
      <c r="AG336" s="15"/>
      <c r="AH336" s="2"/>
      <c r="AI336" s="45"/>
      <c r="AJ336" s="180">
        <f>741.61+50</f>
        <v>791.61</v>
      </c>
      <c r="AK336" s="15"/>
      <c r="AL336" s="15"/>
      <c r="AM336" s="45"/>
      <c r="AN336" s="154">
        <v>4486.39</v>
      </c>
      <c r="AO336" s="13"/>
      <c r="AP336" s="15"/>
      <c r="AQ336" s="45"/>
      <c r="AR336" s="15"/>
      <c r="AS336" s="13"/>
      <c r="AT336" s="15"/>
      <c r="AU336" s="45"/>
      <c r="AV336" s="15"/>
      <c r="AW336" s="13"/>
      <c r="AX336" s="15"/>
      <c r="AY336" s="45"/>
      <c r="AZ336" s="28"/>
      <c r="BA336" s="13"/>
      <c r="BB336" s="15"/>
      <c r="BC336" s="45"/>
      <c r="BD336" s="28"/>
      <c r="BE336" s="14"/>
      <c r="BF336" s="41">
        <f t="shared" ref="BF336:BG336" si="988">K336+O336+S336+W336+AA336+AE336+AI336+AM336+AQ336+AU336+AY336+BC336</f>
        <v>5278</v>
      </c>
      <c r="BG336" s="34">
        <f t="shared" si="988"/>
        <v>5278</v>
      </c>
      <c r="BH336" s="35">
        <f t="shared" si="979"/>
        <v>0</v>
      </c>
      <c r="BK336" s="2" t="b">
        <f>H336='2021'!BH336</f>
        <v>1</v>
      </c>
    </row>
    <row r="337" ht="15.75" customHeight="1" spans="1:63" x14ac:dyDescent="0.25">
      <c r="A337" s="2">
        <v>37</v>
      </c>
      <c r="B337" s="14"/>
      <c r="C337" s="2" t="s">
        <v>166</v>
      </c>
      <c r="D337" s="14" t="s">
        <v>51</v>
      </c>
      <c r="E337" s="2" t="s">
        <v>39</v>
      </c>
      <c r="F337" s="41">
        <v>500</v>
      </c>
      <c r="G337" s="28"/>
      <c r="H337" s="34">
        <f>'2021'!BH337</f>
        <v>0</v>
      </c>
      <c r="I337" s="13"/>
      <c r="J337" s="15"/>
      <c r="K337" s="15"/>
      <c r="L337" s="28"/>
      <c r="M337" s="13"/>
      <c r="N337" s="15"/>
      <c r="Q337" s="13"/>
      <c r="R337" s="15"/>
      <c r="S337" s="15"/>
      <c r="T337" s="28"/>
      <c r="U337" s="13"/>
      <c r="V337" s="15"/>
      <c r="Y337" s="13"/>
      <c r="Z337" s="2"/>
      <c r="AA337" s="15"/>
      <c r="AB337" s="28"/>
      <c r="AC337" s="348"/>
      <c r="AD337" s="15"/>
      <c r="AE337" s="180">
        <f>$F$13</f>
        <v>1000</v>
      </c>
      <c r="AG337" s="15"/>
      <c r="AH337" s="2"/>
      <c r="AI337" s="45"/>
      <c r="AJ337" s="180"/>
      <c r="AK337" s="15"/>
      <c r="AL337" s="15"/>
      <c r="AM337" s="45"/>
      <c r="AN337" s="1"/>
      <c r="AO337" s="13"/>
      <c r="AP337" s="15"/>
      <c r="AQ337" s="180"/>
      <c r="AR337" s="154">
        <v>1000</v>
      </c>
      <c r="AS337" s="13"/>
      <c r="AT337" s="15"/>
      <c r="AU337" s="45"/>
      <c r="AV337" s="15"/>
      <c r="AW337" s="13"/>
      <c r="AX337" s="15"/>
      <c r="AY337" s="45"/>
      <c r="AZ337" s="28"/>
      <c r="BA337" s="13"/>
      <c r="BB337" s="15"/>
      <c r="BC337" s="45"/>
      <c r="BD337" s="28"/>
      <c r="BE337" s="14"/>
      <c r="BF337" s="41">
        <f t="shared" ref="BF337:BG337" si="989">K337+O337+S337+W337+AA337+AE337+AI337+AM337+AQ337+AU337+AY337+BC337</f>
        <v>1000</v>
      </c>
      <c r="BG337" s="34">
        <f t="shared" si="989"/>
        <v>1000</v>
      </c>
      <c r="BH337" s="35">
        <f t="shared" si="979"/>
        <v>0</v>
      </c>
      <c r="BK337" s="2" t="b">
        <f>H337='2021'!BH337</f>
        <v>1</v>
      </c>
    </row>
    <row r="338" ht="15.75" customHeight="1" spans="1:63" x14ac:dyDescent="0.25">
      <c r="A338" s="2">
        <v>37</v>
      </c>
      <c r="B338" s="14"/>
      <c r="D338" s="14" t="s">
        <v>51</v>
      </c>
      <c r="E338" s="2" t="s">
        <v>49</v>
      </c>
      <c r="F338" s="41">
        <v>500</v>
      </c>
      <c r="G338" s="28"/>
      <c r="H338" s="34">
        <f>'2021'!BH338</f>
        <v>2030</v>
      </c>
      <c r="I338" s="13"/>
      <c r="J338" s="15"/>
      <c r="K338" s="15"/>
      <c r="L338" s="28"/>
      <c r="M338" s="13"/>
      <c r="N338" s="15"/>
      <c r="Q338" s="13"/>
      <c r="R338" s="15"/>
      <c r="S338" s="15"/>
      <c r="T338" s="28"/>
      <c r="U338" s="13"/>
      <c r="V338" s="15"/>
      <c r="Y338" s="13"/>
      <c r="Z338" s="2"/>
      <c r="AA338" s="15"/>
      <c r="AB338" s="28"/>
      <c r="AC338" s="348"/>
      <c r="AD338" s="15"/>
      <c r="AE338" s="34"/>
      <c r="AG338" s="15"/>
      <c r="AH338" s="2"/>
      <c r="AI338" s="45"/>
      <c r="AJ338" s="180">
        <v>2030</v>
      </c>
      <c r="AK338" s="15"/>
      <c r="AL338" s="15"/>
      <c r="AM338" s="45"/>
      <c r="AN338" s="15"/>
      <c r="AO338" s="13"/>
      <c r="AP338" s="15"/>
      <c r="AQ338" s="180">
        <f>B333*$F$14</f>
        <v>0</v>
      </c>
      <c r="AR338" s="15"/>
      <c r="AS338" s="13"/>
      <c r="AT338" s="15"/>
      <c r="AU338" s="45"/>
      <c r="AV338" s="15"/>
      <c r="AW338" s="13"/>
      <c r="AX338" s="15"/>
      <c r="AY338" s="45"/>
      <c r="AZ338" s="28"/>
      <c r="BA338" s="13"/>
      <c r="BB338" s="15"/>
      <c r="BC338" s="45"/>
      <c r="BD338" s="28"/>
      <c r="BE338" s="14"/>
      <c r="BF338" s="41">
        <f t="shared" ref="BF338:BG338" si="990">K338+O338+S338+W338+AA338+AE338+AI338+AM338+AQ338+AU338+AY338+BC338</f>
        <v>0</v>
      </c>
      <c r="BG338" s="34">
        <f t="shared" si="990"/>
        <v>2030</v>
      </c>
      <c r="BH338" s="35">
        <f t="shared" si="979"/>
        <v>0</v>
      </c>
      <c r="BK338" s="2" t="b">
        <f>H338='2021'!BH338</f>
        <v>1</v>
      </c>
    </row>
    <row r="339" ht="15.75" customHeight="1" spans="1:63" x14ac:dyDescent="0.25">
      <c r="A339" s="2">
        <v>37</v>
      </c>
      <c r="B339" s="14"/>
      <c r="D339" s="14" t="s">
        <v>52</v>
      </c>
      <c r="E339" s="2" t="s">
        <v>39</v>
      </c>
      <c r="F339" s="41">
        <v>500</v>
      </c>
      <c r="G339" s="28"/>
      <c r="H339" s="34">
        <f>'2021'!BH339</f>
        <v>0</v>
      </c>
      <c r="I339" s="13"/>
      <c r="J339" s="15"/>
      <c r="K339" s="15"/>
      <c r="L339" s="28"/>
      <c r="M339" s="13"/>
      <c r="N339" s="15"/>
      <c r="Q339" s="13"/>
      <c r="R339" s="15"/>
      <c r="S339" s="15"/>
      <c r="T339" s="28"/>
      <c r="U339" s="13"/>
      <c r="V339" s="15"/>
      <c r="Y339" s="13"/>
      <c r="Z339" s="2"/>
      <c r="AA339" s="34">
        <f>$F$15</f>
      </c>
      <c r="AB339" s="35"/>
      <c r="AC339" s="348"/>
      <c r="AD339" s="15"/>
      <c r="AG339" s="15"/>
      <c r="AH339" s="2"/>
      <c r="AI339" s="45"/>
      <c r="AJ339" s="180"/>
      <c r="AK339" s="15"/>
      <c r="AL339" s="15"/>
      <c r="AM339" s="45"/>
      <c r="AN339" s="15"/>
      <c r="AO339" s="13"/>
      <c r="AP339" s="15"/>
      <c r="AQ339" s="45"/>
      <c r="AR339" s="15"/>
      <c r="AS339" s="13"/>
      <c r="AT339" s="15"/>
      <c r="AU339" s="45"/>
      <c r="AV339" s="15"/>
      <c r="AW339" s="13"/>
      <c r="AX339" s="15"/>
      <c r="AY339" s="45"/>
      <c r="AZ339" s="35"/>
      <c r="BA339" s="13"/>
      <c r="BB339" s="15"/>
      <c r="BC339" s="45"/>
      <c r="BD339" s="35"/>
      <c r="BE339" s="14"/>
      <c r="BF339" s="41">
        <f t="shared" ref="BF339:BG339" si="991">K339+O339+S339+W339+AA339+AE339+AI339+AM339+AQ339+AU339+AY339+BC339</f>
        <v>0</v>
      </c>
      <c r="BG339" s="34">
        <f t="shared" si="991"/>
        <v>0</v>
      </c>
      <c r="BH339" s="35">
        <f t="shared" si="979"/>
        <v>0</v>
      </c>
      <c r="BK339" s="2" t="b">
        <f>H339='2021'!BH339</f>
        <v>1</v>
      </c>
    </row>
    <row r="340" ht="15.75" customHeight="1" spans="1:63" x14ac:dyDescent="0.25">
      <c r="A340" s="247">
        <v>37</v>
      </c>
      <c r="B340" s="21"/>
      <c r="C340" s="22" t="s">
        <v>53</v>
      </c>
      <c r="D340" s="21"/>
      <c r="E340" s="22"/>
      <c r="F340" s="20"/>
      <c r="G340" s="23"/>
      <c r="H340" s="51">
        <f>SUM(H332:H339)</f>
        <v>2067.33</v>
      </c>
      <c r="I340" s="52"/>
      <c r="J340" s="53"/>
      <c r="K340" s="51">
        <f t="shared" ref="K340:L340" si="992">SUM(K332:K339)</f>
        <v>0</v>
      </c>
      <c r="L340" s="68">
        <f t="shared" si="992"/>
        <v>0</v>
      </c>
      <c r="M340" s="52"/>
      <c r="N340" s="53"/>
      <c r="O340" s="51">
        <f t="shared" ref="O340:P340" si="993">SUM(O332:O339)</f>
        <v>0</v>
      </c>
      <c r="P340" s="51">
        <f t="shared" si="993"/>
        <v>0</v>
      </c>
      <c r="Q340" s="52"/>
      <c r="R340" s="53"/>
      <c r="S340" s="51">
        <f t="shared" ref="S340:T340" si="994">SUM(S332:S339)</f>
        <v>6.29</v>
      </c>
      <c r="T340" s="51">
        <f t="shared" si="994"/>
        <v>0</v>
      </c>
      <c r="U340" s="52"/>
      <c r="V340" s="53"/>
      <c r="W340" s="51">
        <f t="shared" ref="W340:X340" si="995">SUM(W332:W339)</f>
        <v>6.09</v>
      </c>
      <c r="X340" s="51">
        <f t="shared" si="995"/>
        <v>0</v>
      </c>
      <c r="Y340" s="52"/>
      <c r="Z340" s="301"/>
      <c r="AA340" s="51">
        <f t="shared" ref="AA340:AB340" si="996">SUM(AA332:AA339)</f>
        <v>169.09</v>
      </c>
      <c r="AB340" s="51">
        <f t="shared" si="996"/>
        <v>0</v>
      </c>
      <c r="AC340" s="367"/>
      <c r="AD340" s="53"/>
      <c r="AE340" s="51">
        <f t="shared" ref="AE340:AF340" si="997">SUM(AE332:AE339)</f>
        <v>6487.59</v>
      </c>
      <c r="AF340" s="51">
        <f t="shared" si="997"/>
        <v>0</v>
      </c>
      <c r="AG340" s="52"/>
      <c r="AH340" s="301"/>
      <c r="AI340" s="183">
        <f t="shared" ref="AI340:AJ340" si="998">SUM(AI332:AI339)</f>
        <v>258.02</v>
      </c>
      <c r="AJ340" s="51">
        <f t="shared" si="998"/>
        <v>3250</v>
      </c>
      <c r="AK340" s="52"/>
      <c r="AL340" s="53"/>
      <c r="AM340" s="183">
        <f t="shared" ref="AM340:AN340" si="999">SUM(AM332:AM339)</f>
        <v>0</v>
      </c>
      <c r="AN340" s="51">
        <f t="shared" si="999"/>
        <v>4743.19</v>
      </c>
      <c r="AO340" s="52"/>
      <c r="AP340" s="53"/>
      <c r="AQ340" s="183">
        <f t="shared" ref="AQ340:AR340" si="1000">SUM(AQ332:AQ339)</f>
        <v>85.6</v>
      </c>
      <c r="AR340" s="51">
        <f t="shared" si="1000"/>
        <v>1085.6</v>
      </c>
      <c r="AS340" s="52"/>
      <c r="AT340" s="53"/>
      <c r="AU340" s="183">
        <f t="shared" ref="AU340:AV340" si="1001">SUM(AU332:AU339)</f>
        <v>0</v>
      </c>
      <c r="AV340" s="68">
        <f t="shared" si="1001"/>
        <v>0</v>
      </c>
      <c r="AW340" s="52"/>
      <c r="AX340" s="53"/>
      <c r="AY340" s="183">
        <f t="shared" ref="AY340:AZ340" si="1002">SUM(AY332:AY339)</f>
        <v>0</v>
      </c>
      <c r="AZ340" s="68">
        <f t="shared" si="1002"/>
        <v>0</v>
      </c>
      <c r="BA340" s="52"/>
      <c r="BB340" s="53"/>
      <c r="BC340" s="183">
        <f t="shared" ref="BC340:BD340" si="1003">SUM(BC332:BC339)</f>
        <v>0</v>
      </c>
      <c r="BD340" s="68">
        <f t="shared" si="1003"/>
        <v>0</v>
      </c>
      <c r="BE340" s="69"/>
      <c r="BF340" s="70">
        <f t="shared" ref="BF340:BH340" si="1004">SUM(BF332:BF339)</f>
        <v>7012.68</v>
      </c>
      <c r="BG340" s="71">
        <f t="shared" si="1004"/>
        <v>9078.79</v>
      </c>
      <c r="BH340" s="72">
        <f t="shared" si="1004"/>
        <v>1.22</v>
      </c>
      <c r="BI340" s="34">
        <f>H340+BF340-BG340</f>
        <v>1.22</v>
      </c>
      <c r="BJ340" s="34">
        <f>BH340-BI340</f>
        <v>0</v>
      </c>
      <c r="BK340" s="2" t="b">
        <f>H340='2021'!BH340</f>
        <v>1</v>
      </c>
    </row>
    <row r="341" ht="15.75" customHeight="1" spans="1:63" x14ac:dyDescent="0.25">
      <c r="A341" s="2">
        <v>38</v>
      </c>
      <c r="B341" s="14"/>
      <c r="D341" s="14" t="s">
        <v>379</v>
      </c>
      <c r="F341" s="13"/>
      <c r="G341" s="28"/>
      <c r="H341" s="34">
        <f>'2021'!BH341</f>
        <v>0</v>
      </c>
      <c r="I341" s="13"/>
      <c r="J341" s="15"/>
      <c r="K341" s="15"/>
      <c r="L341" s="28"/>
      <c r="M341" s="13"/>
      <c r="N341" s="15"/>
      <c r="Q341" s="13"/>
      <c r="R341" s="15"/>
      <c r="S341" s="15"/>
      <c r="T341" s="28"/>
      <c r="U341" s="13"/>
      <c r="V341" s="15"/>
      <c r="Y341" s="13"/>
      <c r="Z341" s="2"/>
      <c r="AA341" s="15"/>
      <c r="AB341" s="28"/>
      <c r="AC341" s="348"/>
      <c r="AD341" s="15"/>
      <c r="AG341" s="15"/>
      <c r="AH341" s="2"/>
      <c r="AI341" s="45"/>
      <c r="AJ341" s="154"/>
      <c r="AK341" s="15"/>
      <c r="AM341" s="45"/>
      <c r="AO341" s="13"/>
      <c r="AQ341" s="180"/>
      <c r="AS341" s="13"/>
      <c r="AU341" s="180"/>
      <c r="AW341" s="13"/>
      <c r="AY341" s="180"/>
      <c r="AZ341" s="28"/>
      <c r="BA341" s="13"/>
      <c r="BB341" s="15"/>
      <c r="BC341" s="180"/>
      <c r="BD341" s="28"/>
      <c r="BE341" s="14"/>
      <c r="BF341" s="41">
        <f t="shared" ref="BF341:BG341" si="1005">K341+O341+S341+W341+AA341+AE341+AI341+AM341+AQ341+AU341+AY341+BC341</f>
        <v>0</v>
      </c>
      <c r="BG341" s="34">
        <f t="shared" si="1005"/>
        <v>0</v>
      </c>
      <c r="BH341" s="35">
        <f t="shared" ref="BH341:BH348" si="1006">H341+BF341-BG341</f>
        <v>0</v>
      </c>
      <c r="BK341" s="2" t="b">
        <f>H341='2021'!BH341</f>
        <v>1</v>
      </c>
    </row>
    <row r="342" ht="15.75" customHeight="1" spans="1:63" x14ac:dyDescent="0.25">
      <c r="A342" s="2">
        <v>38</v>
      </c>
      <c r="B342" s="14">
        <v>4.34</v>
      </c>
      <c r="C342" s="2" t="s">
        <v>167</v>
      </c>
      <c r="D342" s="14" t="s">
        <v>44</v>
      </c>
      <c r="E342" s="2" t="s">
        <v>45</v>
      </c>
      <c r="F342" s="41">
        <v>2.5</v>
      </c>
      <c r="G342" s="35">
        <v>2.6</v>
      </c>
      <c r="H342" s="34">
        <f>'2021'!BH342</f>
        <v>0</v>
      </c>
      <c r="I342" s="13">
        <v>19</v>
      </c>
      <c r="J342" s="15">
        <f>I342-'2021'!BA342</f>
        <v>0</v>
      </c>
      <c r="K342" s="34">
        <f>J342*$F$8</f>
        <v>0</v>
      </c>
      <c r="L342" s="35"/>
      <c r="M342" s="13">
        <v>19</v>
      </c>
      <c r="N342" s="15">
        <f t="shared" ref="N342:N343" si="1007">M342-I342</f>
        <v>0</v>
      </c>
      <c r="O342" s="34">
        <f>N342*$F$8</f>
        <v>0</v>
      </c>
      <c r="Q342" s="13">
        <v>19</v>
      </c>
      <c r="R342" s="15">
        <f t="shared" ref="R342:R343" si="1008">Q342-M342</f>
        <v>0</v>
      </c>
      <c r="S342" s="34">
        <f>R342*$F$8</f>
        <v>0</v>
      </c>
      <c r="T342" s="28"/>
      <c r="U342" s="13">
        <v>19</v>
      </c>
      <c r="V342" s="15">
        <f t="shared" ref="V342:V343" si="1009">U342-Q342</f>
        <v>0</v>
      </c>
      <c r="W342" s="34">
        <f>V342*$F$8</f>
        <v>0</v>
      </c>
      <c r="Y342" s="13">
        <v>19</v>
      </c>
      <c r="Z342" s="2">
        <f t="shared" ref="Z342:Z343" si="1010">Y342-U342</f>
        <v>0</v>
      </c>
      <c r="AA342" s="34">
        <f>Z342*$F$8</f>
        <v>0</v>
      </c>
      <c r="AB342" s="28"/>
      <c r="AC342" s="348">
        <v>19</v>
      </c>
      <c r="AD342" s="15">
        <f t="shared" ref="AD342:AD343" si="1011">AC342-Y342</f>
        <v>0</v>
      </c>
      <c r="AE342" s="180">
        <f>AD342*$F$8</f>
        <v>0</v>
      </c>
      <c r="AG342" s="15">
        <v>19</v>
      </c>
      <c r="AH342" s="2">
        <f>(AG342-AC342)*AH5</f>
        <v>0</v>
      </c>
      <c r="AI342" s="45">
        <f>AH342*$G$8</f>
        <v>0</v>
      </c>
      <c r="AJ342" s="154"/>
      <c r="AK342" s="15">
        <v>19</v>
      </c>
      <c r="AL342" s="15">
        <f>(AK342-AG342)*AL5</f>
        <v>0</v>
      </c>
      <c r="AM342" s="45">
        <f>AL342*$G$8</f>
        <v>0</v>
      </c>
      <c r="AN342" s="15"/>
      <c r="AO342" s="13">
        <v>19</v>
      </c>
      <c r="AP342" s="15">
        <f>(AO342-AK342)*AP5</f>
        <v>0</v>
      </c>
      <c r="AQ342" s="45">
        <f>AP342*$G$8</f>
        <v>0</v>
      </c>
      <c r="AR342" s="15"/>
      <c r="AS342" s="13">
        <v>19</v>
      </c>
      <c r="AT342" s="15">
        <f>(AS342-AO342)*AT5</f>
        <v>0</v>
      </c>
      <c r="AU342" s="45">
        <f t="shared" ref="AU342:AU343" si="1012">AT342*$G$8</f>
        <v>0</v>
      </c>
      <c r="AV342" s="15"/>
      <c r="AW342" s="13"/>
      <c r="AX342" s="15">
        <f>(AW342-AS342)*AX5</f>
        <v>0</v>
      </c>
      <c r="AY342" s="45">
        <f>AX342*$G$8</f>
        <v>0</v>
      </c>
      <c r="AZ342" s="208"/>
      <c r="BA342" s="13"/>
      <c r="BB342" s="15"/>
      <c r="BC342" s="45">
        <f>BB342*$G$8</f>
        <v>0</v>
      </c>
      <c r="BD342" s="208"/>
      <c r="BE342" s="40">
        <f t="shared" ref="BE342:BG342" si="1013">J342+N342+R342+V342+Z342+AD342+AH342+AL342+AP342+AT342+AX342+BB342</f>
        <v>0</v>
      </c>
      <c r="BF342" s="41">
        <f t="shared" si="1013"/>
        <v>0</v>
      </c>
      <c r="BG342" s="34">
        <f t="shared" si="1013"/>
        <v>0</v>
      </c>
      <c r="BH342" s="35">
        <f t="shared" si="1006"/>
        <v>0</v>
      </c>
      <c r="BK342" s="2" t="b">
        <f>H342='2021'!BH342</f>
        <v>1</v>
      </c>
    </row>
    <row r="343" ht="15.75" customHeight="1" spans="1:63" x14ac:dyDescent="0.25">
      <c r="A343" s="2">
        <v>38</v>
      </c>
      <c r="B343" s="14"/>
      <c r="C343" s="2" t="s">
        <v>83</v>
      </c>
      <c r="D343" s="14" t="s">
        <v>47</v>
      </c>
      <c r="E343" s="2" t="s">
        <v>48</v>
      </c>
      <c r="F343" s="13">
        <v>18.56</v>
      </c>
      <c r="G343" s="35">
        <v>19.46</v>
      </c>
      <c r="H343" s="34">
        <f>'2021'!BH343</f>
        <v>0</v>
      </c>
      <c r="I343" s="13">
        <v>129</v>
      </c>
      <c r="J343" s="15"/>
      <c r="K343" s="15"/>
      <c r="L343" s="35"/>
      <c r="M343" s="13">
        <v>129</v>
      </c>
      <c r="N343" s="15">
        <f t="shared" si="1007"/>
        <v>0</v>
      </c>
      <c r="Q343" s="13">
        <v>129</v>
      </c>
      <c r="R343" s="15">
        <f t="shared" si="1008"/>
        <v>0</v>
      </c>
      <c r="S343" s="15"/>
      <c r="T343" s="28"/>
      <c r="U343" s="13">
        <v>129</v>
      </c>
      <c r="V343" s="15">
        <f t="shared" si="1009"/>
        <v>0</v>
      </c>
      <c r="W343" s="34">
        <f>V343*$F$10</f>
        <v>0</v>
      </c>
      <c r="Y343" s="13">
        <v>129</v>
      </c>
      <c r="Z343" s="2">
        <f t="shared" si="1010"/>
        <v>0</v>
      </c>
      <c r="AA343" s="34">
        <f>Z343*$F$10</f>
        <v>0</v>
      </c>
      <c r="AB343" s="28"/>
      <c r="AC343" s="348">
        <v>129</v>
      </c>
      <c r="AD343" s="15">
        <f t="shared" si="1011"/>
        <v>0</v>
      </c>
      <c r="AE343" s="34">
        <f>AD343*$F$10</f>
        <v>0</v>
      </c>
      <c r="AG343" s="15">
        <v>129</v>
      </c>
      <c r="AH343" s="2">
        <f>AG343-AC343</f>
        <v>0</v>
      </c>
      <c r="AI343" s="45">
        <f>AH343*$G$10</f>
        <v>0</v>
      </c>
      <c r="AJ343" s="154"/>
      <c r="AK343" s="15">
        <v>129</v>
      </c>
      <c r="AL343" s="15">
        <f>AK343-AG343</f>
        <v>0</v>
      </c>
      <c r="AM343" s="45">
        <f>AL343*$G$10</f>
        <v>0</v>
      </c>
      <c r="AN343" s="34"/>
      <c r="AO343" s="13">
        <v>129</v>
      </c>
      <c r="AP343" s="15">
        <f>AO343-AK343</f>
        <v>0</v>
      </c>
      <c r="AQ343" s="45">
        <f>AP343*$G$10</f>
        <v>0</v>
      </c>
      <c r="AR343" s="15"/>
      <c r="AS343" s="13">
        <v>129</v>
      </c>
      <c r="AT343" s="15">
        <f>AS343-AO343</f>
        <v>0</v>
      </c>
      <c r="AU343" s="45">
        <f t="shared" si="1012"/>
        <v>0</v>
      </c>
      <c r="AV343" s="15"/>
      <c r="AW343" s="13"/>
      <c r="AX343" s="15">
        <f>AW343-AS343</f>
        <v>-129</v>
      </c>
      <c r="AY343" s="45"/>
      <c r="AZ343" s="208"/>
      <c r="BA343" s="13"/>
      <c r="BB343" s="15"/>
      <c r="BC343" s="45"/>
      <c r="BD343" s="208"/>
      <c r="BE343" s="40">
        <f t="shared" ref="BE343:BG343" si="1014">J343+N343+R343+V343+Z343+AD343+AH343+AL343+AP343+AT343+AX343+BB343</f>
        <v>-129</v>
      </c>
      <c r="BF343" s="41">
        <f t="shared" si="1014"/>
        <v>0</v>
      </c>
      <c r="BG343" s="34">
        <f t="shared" si="1014"/>
        <v>0</v>
      </c>
      <c r="BH343" s="35">
        <f t="shared" si="1006"/>
        <v>0</v>
      </c>
      <c r="BK343" s="2" t="b">
        <f>H343='2021'!BH343</f>
        <v>1</v>
      </c>
    </row>
    <row r="344" ht="15.75" customHeight="1" spans="1:63" x14ac:dyDescent="0.25">
      <c r="A344" s="2">
        <v>38</v>
      </c>
      <c r="B344" s="14"/>
      <c r="C344" s="2" t="s">
        <v>168</v>
      </c>
      <c r="D344" s="14" t="s">
        <v>47</v>
      </c>
      <c r="E344" s="2" t="s">
        <v>49</v>
      </c>
      <c r="F344" s="41">
        <v>500</v>
      </c>
      <c r="G344" s="28"/>
      <c r="H344" s="34">
        <f>'2021'!BH344</f>
        <v>0</v>
      </c>
      <c r="I344" s="13"/>
      <c r="J344" s="15"/>
      <c r="K344" s="15"/>
      <c r="L344" s="28"/>
      <c r="M344" s="13"/>
      <c r="N344" s="15"/>
      <c r="Q344" s="13"/>
      <c r="R344" s="15"/>
      <c r="S344" s="15"/>
      <c r="T344" s="28"/>
      <c r="U344" s="13"/>
      <c r="V344" s="15"/>
      <c r="Y344" s="13"/>
      <c r="Z344" s="2"/>
      <c r="AA344" s="15"/>
      <c r="AB344" s="28"/>
      <c r="AC344" s="348"/>
      <c r="AD344" s="15"/>
      <c r="AG344" s="15"/>
      <c r="AH344" s="2"/>
      <c r="AI344" s="45"/>
      <c r="AJ344" s="154"/>
      <c r="AK344" s="15"/>
      <c r="AL344" s="15"/>
      <c r="AM344" s="45"/>
      <c r="AN344" s="15"/>
      <c r="AO344" s="13"/>
      <c r="AP344" s="15"/>
      <c r="AQ344" s="45"/>
      <c r="AR344" s="15"/>
      <c r="AS344" s="13"/>
      <c r="AT344" s="15"/>
      <c r="AU344" s="45"/>
      <c r="AV344" s="15"/>
      <c r="AW344" s="13"/>
      <c r="AX344" s="15"/>
      <c r="AY344" s="45"/>
      <c r="AZ344" s="28"/>
      <c r="BA344" s="13"/>
      <c r="BB344" s="15"/>
      <c r="BC344" s="45"/>
      <c r="BD344" s="28"/>
      <c r="BE344" s="14"/>
      <c r="BF344" s="41">
        <f t="shared" ref="BF344:BG344" si="1015">K344+O344+S344+W344+AA344+AE344+AI344+AM344+AQ344+AU344+AY344+BC344</f>
        <v>0</v>
      </c>
      <c r="BG344" s="34">
        <f t="shared" si="1015"/>
        <v>0</v>
      </c>
      <c r="BH344" s="35">
        <f t="shared" si="1006"/>
        <v>0</v>
      </c>
      <c r="BK344" s="2" t="b">
        <f>H344='2021'!BH344</f>
        <v>1</v>
      </c>
    </row>
    <row r="345" ht="15.75" customHeight="1" spans="1:63" x14ac:dyDescent="0.25">
      <c r="A345" s="2">
        <v>38</v>
      </c>
      <c r="B345" s="14"/>
      <c r="C345" s="73"/>
      <c r="D345" s="14" t="s">
        <v>50</v>
      </c>
      <c r="E345" s="2" t="s">
        <v>49</v>
      </c>
      <c r="F345" s="41">
        <v>1100</v>
      </c>
      <c r="G345" s="28"/>
      <c r="H345" s="34">
        <f>'2021'!BH345</f>
        <v>0</v>
      </c>
      <c r="I345" s="13"/>
      <c r="J345" s="15"/>
      <c r="K345" s="15"/>
      <c r="L345" s="28"/>
      <c r="M345" s="13"/>
      <c r="N345" s="15"/>
      <c r="Q345" s="13"/>
      <c r="R345" s="15"/>
      <c r="S345" s="15"/>
      <c r="T345" s="28"/>
      <c r="U345" s="13"/>
      <c r="V345" s="15"/>
      <c r="Y345" s="13"/>
      <c r="Z345" s="2"/>
      <c r="AA345" s="15"/>
      <c r="AB345" s="28"/>
      <c r="AC345" s="348"/>
      <c r="AD345" s="15"/>
      <c r="AE345" s="34">
        <f>B342*$F$12</f>
        <v>5642</v>
      </c>
      <c r="AF345" s="15"/>
      <c r="AG345" s="15"/>
      <c r="AH345" s="2"/>
      <c r="AI345" s="45"/>
      <c r="AJ345" s="182"/>
      <c r="AK345" s="15"/>
      <c r="AL345" s="15"/>
      <c r="AM345" s="45"/>
      <c r="AN345" s="34"/>
      <c r="AO345" s="13"/>
      <c r="AP345" s="15"/>
      <c r="AQ345" s="45"/>
      <c r="AR345" s="15"/>
      <c r="AS345" s="13"/>
      <c r="AT345" s="15"/>
      <c r="AU345" s="45"/>
      <c r="AV345" s="15"/>
      <c r="AW345" s="13"/>
      <c r="AX345" s="15"/>
      <c r="AY345" s="45"/>
      <c r="AZ345" s="28"/>
      <c r="BA345" s="13"/>
      <c r="BB345" s="15"/>
      <c r="BC345" s="45"/>
      <c r="BD345" s="28"/>
      <c r="BE345" s="14"/>
      <c r="BF345" s="41">
        <f t="shared" ref="BF345:BG345" si="1016">K345+O345+S345+W345+AA345+AE345+AI345+AM345+AQ345+AU345+AY345+BC345</f>
        <v>5642</v>
      </c>
      <c r="BG345" s="34">
        <f t="shared" si="1016"/>
        <v>0</v>
      </c>
      <c r="BH345" s="35">
        <f t="shared" si="1006"/>
        <v>5642</v>
      </c>
      <c r="BK345" s="2" t="b">
        <f>H345='2021'!BH345</f>
        <v>1</v>
      </c>
    </row>
    <row r="346" ht="15.75" customHeight="1" spans="1:63" x14ac:dyDescent="0.25">
      <c r="A346" s="2">
        <v>38</v>
      </c>
      <c r="B346" s="14"/>
      <c r="C346" s="2" t="s">
        <v>400</v>
      </c>
      <c r="D346" s="14" t="s">
        <v>51</v>
      </c>
      <c r="E346" s="2" t="s">
        <v>39</v>
      </c>
      <c r="F346" s="41">
        <v>500</v>
      </c>
      <c r="G346" s="28"/>
      <c r="H346" s="34">
        <f>'2021'!BH346</f>
        <v>0</v>
      </c>
      <c r="I346" s="13"/>
      <c r="J346" s="15"/>
      <c r="K346" s="15"/>
      <c r="L346" s="28"/>
      <c r="M346" s="13"/>
      <c r="N346" s="15"/>
      <c r="Q346" s="13"/>
      <c r="R346" s="15"/>
      <c r="S346" s="15"/>
      <c r="T346" s="28"/>
      <c r="U346" s="13"/>
      <c r="V346" s="15"/>
      <c r="Y346" s="13"/>
      <c r="Z346" s="2"/>
      <c r="AA346" s="15"/>
      <c r="AB346" s="28"/>
      <c r="AC346" s="348"/>
      <c r="AD346" s="15"/>
      <c r="AE346" s="180">
        <f>$F$13</f>
        <v>1000</v>
      </c>
      <c r="AG346" s="15"/>
      <c r="AH346" s="2"/>
      <c r="AI346" s="45"/>
      <c r="AJ346" s="182"/>
      <c r="AK346" s="15"/>
      <c r="AL346" s="15"/>
      <c r="AM346" s="45"/>
      <c r="AN346" s="15"/>
      <c r="AO346" s="13"/>
      <c r="AP346" s="15"/>
      <c r="AQ346" s="180"/>
      <c r="AR346" s="15"/>
      <c r="AS346" s="13"/>
      <c r="AT346" s="15"/>
      <c r="AU346" s="45"/>
      <c r="AV346" s="15"/>
      <c r="AW346" s="13"/>
      <c r="AX346" s="15"/>
      <c r="AY346" s="45"/>
      <c r="AZ346" s="28"/>
      <c r="BA346" s="13"/>
      <c r="BB346" s="15"/>
      <c r="BC346" s="45"/>
      <c r="BD346" s="28"/>
      <c r="BE346" s="14"/>
      <c r="BF346" s="41">
        <f t="shared" ref="BF346:BG346" si="1017">K346+O346+S346+W346+AA346+AE346+AI346+AM346+AQ346+AU346+AY346+BC346</f>
        <v>1000</v>
      </c>
      <c r="BG346" s="34">
        <f t="shared" si="1017"/>
        <v>0</v>
      </c>
      <c r="BH346" s="35">
        <f t="shared" si="1006"/>
        <v>1000</v>
      </c>
      <c r="BK346" s="2" t="b">
        <f>H346='2021'!BH346</f>
        <v>1</v>
      </c>
    </row>
    <row r="347" ht="15.75" customHeight="1" spans="1:63" x14ac:dyDescent="0.25">
      <c r="A347" s="2">
        <v>38</v>
      </c>
      <c r="B347" s="14"/>
      <c r="D347" s="14" t="s">
        <v>51</v>
      </c>
      <c r="E347" s="2" t="s">
        <v>49</v>
      </c>
      <c r="F347" s="41">
        <v>500</v>
      </c>
      <c r="G347" s="28"/>
      <c r="H347" s="34">
        <f>'2021'!BH347</f>
        <v>0</v>
      </c>
      <c r="I347" s="13"/>
      <c r="J347" s="15"/>
      <c r="K347" s="15"/>
      <c r="L347" s="28"/>
      <c r="M347" s="13"/>
      <c r="N347" s="15"/>
      <c r="Q347" s="13"/>
      <c r="R347" s="15"/>
      <c r="S347" s="15"/>
      <c r="T347" s="28"/>
      <c r="U347" s="13"/>
      <c r="V347" s="15"/>
      <c r="Y347" s="13"/>
      <c r="Z347" s="2"/>
      <c r="AA347" s="15"/>
      <c r="AB347" s="28"/>
      <c r="AC347" s="348"/>
      <c r="AD347" s="15"/>
      <c r="AE347" s="34"/>
      <c r="AG347" s="15"/>
      <c r="AH347" s="2"/>
      <c r="AI347" s="45"/>
      <c r="AJ347" s="182"/>
      <c r="AK347" s="15"/>
      <c r="AL347" s="15"/>
      <c r="AM347" s="45"/>
      <c r="AN347" s="15"/>
      <c r="AO347" s="13"/>
      <c r="AP347" s="15"/>
      <c r="AQ347" s="180">
        <f>B342*$F$14</f>
        <v>0</v>
      </c>
      <c r="AR347" s="15"/>
      <c r="AS347" s="13"/>
      <c r="AT347" s="15"/>
      <c r="AU347" s="45"/>
      <c r="AV347" s="15"/>
      <c r="AW347" s="13"/>
      <c r="AX347" s="15"/>
      <c r="AY347" s="45"/>
      <c r="AZ347" s="28"/>
      <c r="BA347" s="13"/>
      <c r="BB347" s="15"/>
      <c r="BC347" s="45"/>
      <c r="BD347" s="28"/>
      <c r="BE347" s="14"/>
      <c r="BF347" s="41">
        <f t="shared" ref="BF347:BG347" si="1018">K347+O347+S347+W347+AA347+AE347+AI347+AM347+AQ347+AU347+AY347+BC347</f>
        <v>0</v>
      </c>
      <c r="BG347" s="34">
        <f t="shared" si="1018"/>
        <v>0</v>
      </c>
      <c r="BH347" s="35">
        <f t="shared" si="1006"/>
        <v>0</v>
      </c>
      <c r="BK347" s="2" t="b">
        <f>H347='2021'!BH347</f>
        <v>1</v>
      </c>
    </row>
    <row r="348" ht="15.75" customHeight="1" spans="1:63" x14ac:dyDescent="0.25">
      <c r="A348" s="2">
        <v>38</v>
      </c>
      <c r="B348" s="14"/>
      <c r="C348" s="2" t="s">
        <v>401</v>
      </c>
      <c r="D348" s="14" t="s">
        <v>52</v>
      </c>
      <c r="E348" s="2" t="s">
        <v>39</v>
      </c>
      <c r="F348" s="41">
        <v>500</v>
      </c>
      <c r="G348" s="28"/>
      <c r="H348" s="34">
        <f>'2021'!BH348</f>
        <v>0</v>
      </c>
      <c r="I348" s="13"/>
      <c r="J348" s="15"/>
      <c r="K348" s="15"/>
      <c r="L348" s="28"/>
      <c r="M348" s="13"/>
      <c r="N348" s="15"/>
      <c r="Q348" s="13"/>
      <c r="R348" s="15"/>
      <c r="S348" s="15"/>
      <c r="T348" s="28"/>
      <c r="U348" s="13"/>
      <c r="V348" s="15"/>
      <c r="Y348" s="13"/>
      <c r="Z348" s="2"/>
      <c r="AA348" s="34">
        <f>$F$15</f>
      </c>
      <c r="AB348" s="35"/>
      <c r="AC348" s="348"/>
      <c r="AD348" s="15"/>
      <c r="AG348" s="15"/>
      <c r="AH348" s="2"/>
      <c r="AI348" s="45"/>
      <c r="AJ348" s="180"/>
      <c r="AK348" s="15"/>
      <c r="AL348" s="15"/>
      <c r="AM348" s="45"/>
      <c r="AN348" s="15"/>
      <c r="AO348" s="13"/>
      <c r="AP348" s="15"/>
      <c r="AQ348" s="45"/>
      <c r="AR348" s="15"/>
      <c r="AS348" s="13"/>
      <c r="AT348" s="15"/>
      <c r="AU348" s="45"/>
      <c r="AV348" s="15"/>
      <c r="AW348" s="13"/>
      <c r="AX348" s="15"/>
      <c r="AY348" s="45"/>
      <c r="AZ348" s="35"/>
      <c r="BA348" s="13"/>
      <c r="BB348" s="15"/>
      <c r="BC348" s="45"/>
      <c r="BD348" s="35"/>
      <c r="BE348" s="14"/>
      <c r="BF348" s="41">
        <f t="shared" ref="BF348:BG348" si="1019">K348+O348+S348+W348+AA348+AE348+AI348+AM348+AQ348+AU348+AY348+BC348</f>
        <v>0</v>
      </c>
      <c r="BG348" s="34">
        <f t="shared" si="1019"/>
        <v>0</v>
      </c>
      <c r="BH348" s="35">
        <f t="shared" si="1006"/>
        <v>0</v>
      </c>
      <c r="BK348" s="2" t="b">
        <f>H348='2021'!BH348</f>
        <v>1</v>
      </c>
    </row>
    <row r="349" ht="15.75" customHeight="1" spans="1:63" x14ac:dyDescent="0.25">
      <c r="A349" s="247">
        <v>38</v>
      </c>
      <c r="B349" s="21"/>
      <c r="C349" s="22" t="s">
        <v>53</v>
      </c>
      <c r="D349" s="21"/>
      <c r="E349" s="22"/>
      <c r="F349" s="20"/>
      <c r="G349" s="23"/>
      <c r="H349" s="51">
        <f>SUM(H341:H348)</f>
        <v>0</v>
      </c>
      <c r="I349" s="52"/>
      <c r="J349" s="53"/>
      <c r="K349" s="51">
        <f t="shared" ref="K349:L349" si="1020">SUM(K341:K348)</f>
        <v>0</v>
      </c>
      <c r="L349" s="68">
        <f t="shared" si="1020"/>
        <v>0</v>
      </c>
      <c r="M349" s="52"/>
      <c r="N349" s="53"/>
      <c r="O349" s="51">
        <f t="shared" ref="O349:P349" si="1021">SUM(O341:O348)</f>
        <v>0</v>
      </c>
      <c r="P349" s="51">
        <f t="shared" si="1021"/>
        <v>0</v>
      </c>
      <c r="Q349" s="52"/>
      <c r="R349" s="53"/>
      <c r="S349" s="51">
        <f t="shared" ref="S349:T349" si="1022">SUM(S341:S348)</f>
        <v>0</v>
      </c>
      <c r="T349" s="51">
        <f t="shared" si="1022"/>
        <v>0</v>
      </c>
      <c r="U349" s="52"/>
      <c r="V349" s="53"/>
      <c r="W349" s="51">
        <f t="shared" ref="W349:X349" si="1023">SUM(W341:W348)</f>
        <v>0</v>
      </c>
      <c r="X349" s="51">
        <f t="shared" si="1023"/>
        <v>0</v>
      </c>
      <c r="Y349" s="52"/>
      <c r="Z349" s="301"/>
      <c r="AA349" s="51">
        <f t="shared" ref="AA349:AB349" si="1024">SUM(AA341:AA348)</f>
        <v>0</v>
      </c>
      <c r="AB349" s="51">
        <f t="shared" si="1024"/>
        <v>0</v>
      </c>
      <c r="AC349" s="367"/>
      <c r="AD349" s="53"/>
      <c r="AE349" s="51">
        <f t="shared" ref="AE349:AF349" si="1025">SUM(AE341:AE348)</f>
        <v>6642</v>
      </c>
      <c r="AF349" s="51">
        <f t="shared" si="1025"/>
        <v>0</v>
      </c>
      <c r="AG349" s="52"/>
      <c r="AH349" s="301"/>
      <c r="AI349" s="183">
        <f t="shared" ref="AI349:AJ349" si="1026">SUM(AI341:AI348)</f>
        <v>0</v>
      </c>
      <c r="AJ349" s="51">
        <f t="shared" si="1026"/>
        <v>0</v>
      </c>
      <c r="AK349" s="52"/>
      <c r="AL349" s="53"/>
      <c r="AM349" s="183">
        <f t="shared" ref="AM349:AN349" si="1027">SUM(AM341:AM348)</f>
        <v>0</v>
      </c>
      <c r="AN349" s="51">
        <f t="shared" si="1027"/>
        <v>0</v>
      </c>
      <c r="AO349" s="52"/>
      <c r="AP349" s="53"/>
      <c r="AQ349" s="183">
        <f t="shared" ref="AQ349:AR349" si="1028">SUM(AQ341:AQ348)</f>
        <v>0</v>
      </c>
      <c r="AR349" s="51">
        <f t="shared" si="1028"/>
        <v>0</v>
      </c>
      <c r="AS349" s="52"/>
      <c r="AT349" s="53"/>
      <c r="AU349" s="183">
        <f t="shared" ref="AU349:AV349" si="1029">SUM(AU341:AU348)</f>
        <v>0</v>
      </c>
      <c r="AV349" s="68">
        <f t="shared" si="1029"/>
        <v>0</v>
      </c>
      <c r="AW349" s="52"/>
      <c r="AX349" s="53"/>
      <c r="AY349" s="183">
        <f t="shared" ref="AY349:AZ349" si="1030">SUM(AY341:AY348)</f>
        <v>0</v>
      </c>
      <c r="AZ349" s="68">
        <f t="shared" si="1030"/>
        <v>0</v>
      </c>
      <c r="BA349" s="52"/>
      <c r="BB349" s="53"/>
      <c r="BC349" s="183">
        <f t="shared" ref="BC349:BD349" si="1031">SUM(BC341:BC348)</f>
        <v>0</v>
      </c>
      <c r="BD349" s="68">
        <f t="shared" si="1031"/>
        <v>0</v>
      </c>
      <c r="BE349" s="69"/>
      <c r="BF349" s="70">
        <f t="shared" ref="BF349:BH349" si="1032">SUM(BF341:BF348)</f>
        <v>6642</v>
      </c>
      <c r="BG349" s="71">
        <f t="shared" si="1032"/>
        <v>0</v>
      </c>
      <c r="BH349" s="72">
        <f t="shared" si="1032"/>
        <v>6642</v>
      </c>
      <c r="BI349" s="34">
        <f>H349+BF349-BG349</f>
        <v>6642</v>
      </c>
      <c r="BJ349" s="34">
        <f>BH349-BI349</f>
        <v>0</v>
      </c>
      <c r="BK349" s="2" t="b">
        <f>H349='2021'!BH349</f>
        <v>1</v>
      </c>
    </row>
    <row r="350" ht="15.75" customHeight="1" spans="1:63" x14ac:dyDescent="0.25">
      <c r="A350" s="2">
        <v>39</v>
      </c>
      <c r="B350" s="14"/>
      <c r="D350" s="14" t="s">
        <v>551</v>
      </c>
      <c r="F350" s="13"/>
      <c r="G350" s="28"/>
      <c r="H350" s="34">
        <f>'2021'!BH350</f>
        <v>0</v>
      </c>
      <c r="I350" s="13"/>
      <c r="J350" s="15"/>
      <c r="K350" s="15"/>
      <c r="L350" s="28"/>
      <c r="M350" s="13"/>
      <c r="N350" s="15"/>
      <c r="Q350" s="13"/>
      <c r="R350" s="15"/>
      <c r="S350" s="15"/>
      <c r="T350" s="28"/>
      <c r="U350" s="13"/>
      <c r="V350" s="15"/>
      <c r="Y350" s="13"/>
      <c r="Z350" s="2"/>
      <c r="AA350" s="154">
        <v>248.5</v>
      </c>
      <c r="AB350" s="32"/>
      <c r="AC350" s="348"/>
      <c r="AD350" s="15"/>
      <c r="AG350" s="15"/>
      <c r="AH350" s="2"/>
      <c r="AI350" s="45"/>
      <c r="AJ350" s="15"/>
      <c r="AK350" s="15"/>
      <c r="AM350" s="45"/>
      <c r="AO350" s="13"/>
      <c r="AQ350" s="45"/>
      <c r="AS350" s="13"/>
      <c r="AU350" s="45"/>
      <c r="AW350" s="13"/>
      <c r="AY350" s="45"/>
      <c r="AZ350" s="28"/>
      <c r="BA350" s="13"/>
      <c r="BB350" s="15"/>
      <c r="BC350" s="45"/>
      <c r="BD350" s="28"/>
      <c r="BE350" s="14"/>
      <c r="BF350" s="41">
        <f t="shared" ref="BF350:BG350" si="1033">K350+O350+S350+W350+AA350+AE350+AI350+AM350+AQ350+AU350+AY350+BC350</f>
        <v>248.5</v>
      </c>
      <c r="BG350" s="34">
        <f t="shared" si="1033"/>
        <v>0</v>
      </c>
      <c r="BH350" s="35">
        <f t="shared" ref="BH350:BH357" si="1034">H350+BF350-BG350</f>
        <v>248.5</v>
      </c>
      <c r="BK350" s="2" t="b">
        <f>H350='2021'!BH350</f>
        <v>1</v>
      </c>
    </row>
    <row r="351" ht="15.75" customHeight="1" spans="1:63" x14ac:dyDescent="0.25">
      <c r="A351" s="2">
        <v>39</v>
      </c>
      <c r="B351" s="42">
        <v>4</v>
      </c>
      <c r="C351" s="2" t="s">
        <v>402</v>
      </c>
      <c r="D351" s="14" t="s">
        <v>44</v>
      </c>
      <c r="E351" s="2" t="s">
        <v>45</v>
      </c>
      <c r="F351" s="41">
        <v>2.5</v>
      </c>
      <c r="G351" s="35">
        <v>2.6</v>
      </c>
      <c r="H351" s="34">
        <f>'2021'!BH351</f>
        <v>-10640.2</v>
      </c>
      <c r="I351" s="13">
        <v>1170</v>
      </c>
      <c r="J351" s="15">
        <f>I351-'2021'!BA351</f>
        <v>77</v>
      </c>
      <c r="K351" s="34">
        <f>J351*$F$8</f>
        <v>207.9</v>
      </c>
      <c r="L351" s="28"/>
      <c r="M351" s="13">
        <v>1170</v>
      </c>
      <c r="N351" s="15">
        <f t="shared" ref="N351:N352" si="1035">M351-I351</f>
        <v>0</v>
      </c>
      <c r="O351" s="34">
        <f>N351*$F$8</f>
        <v>0</v>
      </c>
      <c r="Q351" s="13">
        <v>1170</v>
      </c>
      <c r="R351" s="15">
        <f t="shared" ref="R351:R352" si="1036">Q351-M351</f>
        <v>0</v>
      </c>
      <c r="S351" s="34">
        <f>R351*$F$8</f>
        <v>0</v>
      </c>
      <c r="T351" s="28"/>
      <c r="U351" s="13">
        <v>1170</v>
      </c>
      <c r="V351" s="15">
        <f t="shared" ref="V351:V352" si="1037">U351-Q351</f>
        <v>0</v>
      </c>
      <c r="W351" s="34">
        <f>V351*$F$8</f>
        <v>0</v>
      </c>
      <c r="X351" s="34"/>
      <c r="Y351" s="13">
        <v>1838</v>
      </c>
      <c r="Z351" s="2">
        <f>Y351-U351</f>
        <v>668</v>
      </c>
      <c r="AA351" s="34">
        <f>Z351*$F$8</f>
        <v>1803.6</v>
      </c>
      <c r="AB351" s="32"/>
      <c r="AC351" s="348">
        <v>2640</v>
      </c>
      <c r="AD351" s="15">
        <f t="shared" ref="AD351:AD352" si="1038">AC351-Y351</f>
        <v>802</v>
      </c>
      <c r="AE351" s="180">
        <f>AD351*$F$8</f>
        <v>2165.4</v>
      </c>
      <c r="AG351" s="15">
        <v>3391</v>
      </c>
      <c r="AH351" s="15">
        <f>(AG351-AC351)*AH5</f>
        <v>793.056</v>
      </c>
      <c r="AI351" s="45">
        <f>AH351*$G$8</f>
        <v>1950.91776</v>
      </c>
      <c r="AJ351" s="15"/>
      <c r="AK351" s="15">
        <v>4330</v>
      </c>
      <c r="AL351" s="15">
        <f>(AK351-AG351)*AL5</f>
        <v>965.292</v>
      </c>
      <c r="AM351" s="45">
        <f>AL351*$G$8</f>
        <v>2374.61832</v>
      </c>
      <c r="AN351" s="1">
        <v>5400</v>
      </c>
      <c r="AO351" s="13">
        <v>5544</v>
      </c>
      <c r="AP351" s="15">
        <f>(AO351-AK351)*AP5</f>
        <v>1254.062</v>
      </c>
      <c r="AQ351" s="45">
        <f>AP351*$F$8</f>
        <v>3385.9674</v>
      </c>
      <c r="AR351" s="1"/>
      <c r="AS351" s="13">
        <v>5718</v>
      </c>
      <c r="AT351" s="15">
        <f>(AS351-AO351)*AT5</f>
        <v>182.7</v>
      </c>
      <c r="AU351" s="45">
        <f>AT351*$G$8</f>
        <v>449.442</v>
      </c>
      <c r="AV351" s="15"/>
      <c r="AW351" s="13"/>
      <c r="AX351" s="15">
        <f>(AW351-AS351)*AX5</f>
        <v>0</v>
      </c>
      <c r="AY351" s="45">
        <f>AX351*$G$8</f>
        <v>0</v>
      </c>
      <c r="AZ351" s="208"/>
      <c r="BA351" s="13"/>
      <c r="BB351" s="15"/>
      <c r="BC351" s="45">
        <f>BB351*$G$8</f>
        <v>0</v>
      </c>
      <c r="BD351" s="208"/>
      <c r="BE351" s="40">
        <f t="shared" ref="BE351:BG351" si="1039">J351+N351+R351+V351+Z351+AD351+AH351+AL351+AP351+AT351+AX351+BB351</f>
        <v>4742.11</v>
      </c>
      <c r="BF351" s="41">
        <f t="shared" si="1039"/>
        <v>12337.84548</v>
      </c>
      <c r="BG351" s="34">
        <f t="shared" si="1039"/>
        <v>5400</v>
      </c>
      <c r="BH351" s="35">
        <f t="shared" si="1034"/>
        <v>-3702.35452</v>
      </c>
      <c r="BK351" s="2" t="b">
        <f>H351='2021'!BH351</f>
        <v>1</v>
      </c>
    </row>
    <row r="352" ht="15.75" customHeight="1" spans="1:63" x14ac:dyDescent="0.25">
      <c r="A352" s="2">
        <v>39</v>
      </c>
      <c r="B352" s="14"/>
      <c r="C352" s="2" t="s">
        <v>499</v>
      </c>
      <c r="D352" s="14" t="s">
        <v>47</v>
      </c>
      <c r="E352" s="2" t="s">
        <v>48</v>
      </c>
      <c r="F352" s="13">
        <v>18.56</v>
      </c>
      <c r="G352" s="35">
        <v>19.46</v>
      </c>
      <c r="H352" s="34">
        <f>'2021'!BH352</f>
        <v>0</v>
      </c>
      <c r="I352" s="13">
        <v>97</v>
      </c>
      <c r="J352" s="15"/>
      <c r="K352" s="15"/>
      <c r="L352" s="28"/>
      <c r="M352" s="13">
        <v>97</v>
      </c>
      <c r="N352" s="15">
        <f t="shared" si="1035"/>
        <v>0</v>
      </c>
      <c r="Q352" s="13">
        <v>97</v>
      </c>
      <c r="R352" s="15">
        <f t="shared" si="1036"/>
        <v>0</v>
      </c>
      <c r="S352" s="15"/>
      <c r="T352" s="28"/>
      <c r="U352" s="13">
        <v>97</v>
      </c>
      <c r="V352" s="15">
        <f t="shared" si="1037"/>
        <v>0</v>
      </c>
      <c r="W352" s="180">
        <f>V352*$F$10</f>
        <v>0</v>
      </c>
      <c r="Y352" s="13">
        <v>0</v>
      </c>
      <c r="Z352" s="2">
        <v>0</v>
      </c>
      <c r="AA352" s="34">
        <f>Z352*$F$10</f>
        <v>0</v>
      </c>
      <c r="AB352" s="32"/>
      <c r="AC352" s="348">
        <v>18</v>
      </c>
      <c r="AD352" s="15">
        <f t="shared" si="1038"/>
        <v>18</v>
      </c>
      <c r="AE352" s="34">
        <f>AD352*$F$10</f>
        <v>366.3</v>
      </c>
      <c r="AF352" s="180"/>
      <c r="AG352" s="15">
        <v>37</v>
      </c>
      <c r="AH352" s="2">
        <f>AG352-AC352</f>
        <v>19</v>
      </c>
      <c r="AI352" s="45">
        <f>AH352*$G$10</f>
        <v>406.6</v>
      </c>
      <c r="AJ352" s="15"/>
      <c r="AK352" s="15">
        <v>57</v>
      </c>
      <c r="AL352" s="15">
        <f>AK352-AG352</f>
        <v>20</v>
      </c>
      <c r="AM352" s="45">
        <f>AL352*$G$10</f>
        <v>428</v>
      </c>
      <c r="AN352" s="1">
        <v>1000</v>
      </c>
      <c r="AO352" s="13">
        <v>68</v>
      </c>
      <c r="AP352" s="15">
        <f>AO352-AK352</f>
        <v>11</v>
      </c>
      <c r="AQ352" s="45">
        <f>AP352*$G$10</f>
        <v>235.4</v>
      </c>
      <c r="AR352" s="1"/>
      <c r="AS352" s="13">
        <v>68</v>
      </c>
      <c r="AT352" s="15">
        <f>AS352-AO352</f>
        <v>0</v>
      </c>
      <c r="AU352" s="45">
        <f>AT352*$G$10</f>
        <v>0</v>
      </c>
      <c r="AV352" s="15"/>
      <c r="AW352" s="13"/>
      <c r="AX352" s="15">
        <f>AW352-AS352</f>
        <v>-68</v>
      </c>
      <c r="AY352" s="45"/>
      <c r="AZ352" s="208"/>
      <c r="BA352" s="13"/>
      <c r="BB352" s="15"/>
      <c r="BC352" s="45"/>
      <c r="BD352" s="208"/>
      <c r="BE352" s="40">
        <f t="shared" ref="BE352:BG352" si="1040">J352+N352+R352+V352+Z352+AD352+AH352+AL352+AP352+AT352+AX352+BB352</f>
        <v>0</v>
      </c>
      <c r="BF352" s="41">
        <f t="shared" si="1040"/>
        <v>1436.3</v>
      </c>
      <c r="BG352" s="34">
        <f t="shared" si="1040"/>
        <v>1000</v>
      </c>
      <c r="BH352" s="35">
        <f t="shared" si="1034"/>
        <v>436.3</v>
      </c>
      <c r="BK352" s="2" t="b">
        <f>H352='2021'!BH352</f>
        <v>1</v>
      </c>
    </row>
    <row r="353" ht="15.75" customHeight="1" spans="1:63" x14ac:dyDescent="0.25">
      <c r="A353" s="2">
        <v>39</v>
      </c>
      <c r="B353" s="14"/>
      <c r="C353" s="2" t="s">
        <v>500</v>
      </c>
      <c r="D353" s="14" t="s">
        <v>47</v>
      </c>
      <c r="E353" s="2" t="s">
        <v>49</v>
      </c>
      <c r="F353" s="41">
        <v>500</v>
      </c>
      <c r="G353" s="28"/>
      <c r="H353" s="34">
        <f>'2021'!BH353</f>
        <v>0</v>
      </c>
      <c r="I353" s="13"/>
      <c r="J353" s="15"/>
      <c r="K353" s="15"/>
      <c r="L353" s="28"/>
      <c r="M353" s="13"/>
      <c r="N353" s="15"/>
      <c r="Q353" s="13"/>
      <c r="R353" s="15"/>
      <c r="S353" s="15"/>
      <c r="T353" s="28"/>
      <c r="U353" s="13"/>
      <c r="V353" s="15"/>
      <c r="Y353" s="13"/>
      <c r="Z353" s="2"/>
      <c r="AA353" s="34"/>
      <c r="AB353" s="32"/>
      <c r="AC353" s="348"/>
      <c r="AD353" s="15"/>
      <c r="AG353" s="15"/>
      <c r="AH353" s="2"/>
      <c r="AI353" s="45"/>
      <c r="AJ353" s="15"/>
      <c r="AK353" s="15"/>
      <c r="AL353" s="15"/>
      <c r="AM353" s="45"/>
      <c r="AN353" s="1"/>
      <c r="AO353" s="13"/>
      <c r="AP353" s="15"/>
      <c r="AQ353" s="45"/>
      <c r="AR353" s="1"/>
      <c r="AS353" s="13"/>
      <c r="AT353" s="15"/>
      <c r="AU353" s="45"/>
      <c r="AV353" s="15"/>
      <c r="AW353" s="13"/>
      <c r="AX353" s="15"/>
      <c r="AY353" s="45"/>
      <c r="AZ353" s="28"/>
      <c r="BA353" s="13"/>
      <c r="BB353" s="15"/>
      <c r="BC353" s="45"/>
      <c r="BD353" s="28"/>
      <c r="BE353" s="14"/>
      <c r="BF353" s="41">
        <f t="shared" ref="BF353:BG353" si="1041">K353+O353+S353+W353+AA353+AE353+AI353+AM353+AQ353+AU353+AY353+BC353</f>
        <v>0</v>
      </c>
      <c r="BG353" s="34">
        <f t="shared" si="1041"/>
        <v>0</v>
      </c>
      <c r="BH353" s="35">
        <f t="shared" si="1034"/>
        <v>0</v>
      </c>
      <c r="BK353" s="2" t="b">
        <f>H353='2021'!BH353</f>
        <v>1</v>
      </c>
    </row>
    <row r="354" ht="15.75" customHeight="1" spans="1:63" x14ac:dyDescent="0.25">
      <c r="A354" s="2">
        <v>39</v>
      </c>
      <c r="B354" s="14"/>
      <c r="C354" s="15" t="s">
        <v>403</v>
      </c>
      <c r="D354" s="14" t="s">
        <v>50</v>
      </c>
      <c r="E354" s="2" t="s">
        <v>49</v>
      </c>
      <c r="F354" s="41">
        <v>1100</v>
      </c>
      <c r="G354" s="28"/>
      <c r="H354" s="34">
        <f>'2021'!BH354</f>
        <v>-4600</v>
      </c>
      <c r="I354" s="13"/>
      <c r="J354" s="15"/>
      <c r="K354" s="15"/>
      <c r="L354" s="28"/>
      <c r="M354" s="13"/>
      <c r="N354" s="15"/>
      <c r="Q354" s="13"/>
      <c r="R354" s="15"/>
      <c r="S354" s="15"/>
      <c r="T354" s="28"/>
      <c r="U354" s="13"/>
      <c r="V354" s="15"/>
      <c r="Y354" s="13"/>
      <c r="Z354" s="2"/>
      <c r="AA354" s="15"/>
      <c r="AB354" s="32"/>
      <c r="AC354" s="348"/>
      <c r="AD354" s="15"/>
      <c r="AE354" s="34">
        <f>B351*$F$12</f>
        <v>5200</v>
      </c>
      <c r="AF354" s="180"/>
      <c r="AG354" s="15"/>
      <c r="AH354" s="2"/>
      <c r="AI354" s="45"/>
      <c r="AJ354" s="15"/>
      <c r="AK354" s="15"/>
      <c r="AL354" s="15"/>
      <c r="AM354" s="45"/>
      <c r="AN354" s="1">
        <v>600</v>
      </c>
      <c r="AO354" s="13"/>
      <c r="AP354" s="15"/>
      <c r="AQ354" s="45"/>
      <c r="AR354" s="1"/>
      <c r="AS354" s="13"/>
      <c r="AT354" s="15"/>
      <c r="AU354" s="45"/>
      <c r="AV354" s="15"/>
      <c r="AW354" s="13"/>
      <c r="AX354" s="15"/>
      <c r="AY354" s="45"/>
      <c r="AZ354" s="28"/>
      <c r="BA354" s="13"/>
      <c r="BB354" s="15"/>
      <c r="BC354" s="45"/>
      <c r="BD354" s="28"/>
      <c r="BE354" s="14"/>
      <c r="BF354" s="41">
        <f t="shared" ref="BF354:BG354" si="1042">K354+O354+S354+W354+AA354+AE354+AI354+AM354+AQ354+AU354+AY354+BC354</f>
        <v>5200</v>
      </c>
      <c r="BG354" s="34">
        <f t="shared" si="1042"/>
        <v>600</v>
      </c>
      <c r="BH354" s="35">
        <f t="shared" si="1034"/>
        <v>0</v>
      </c>
      <c r="BK354" s="2" t="b">
        <f>H354='2021'!BH354</f>
        <v>1</v>
      </c>
    </row>
    <row r="355" ht="15.75" customHeight="1" spans="1:63" x14ac:dyDescent="0.25">
      <c r="A355" s="2">
        <v>39</v>
      </c>
      <c r="B355" s="14"/>
      <c r="D355" s="14" t="s">
        <v>51</v>
      </c>
      <c r="E355" s="2" t="s">
        <v>39</v>
      </c>
      <c r="F355" s="41">
        <v>500</v>
      </c>
      <c r="G355" s="28"/>
      <c r="H355" s="34">
        <f>'2021'!BH355</f>
        <v>0</v>
      </c>
      <c r="I355" s="13"/>
      <c r="J355" s="15"/>
      <c r="K355" s="15"/>
      <c r="L355" s="28"/>
      <c r="M355" s="13"/>
      <c r="N355" s="15"/>
      <c r="Q355" s="13"/>
      <c r="R355" s="15"/>
      <c r="S355" s="15"/>
      <c r="T355" s="28"/>
      <c r="U355" s="13"/>
      <c r="V355" s="15"/>
      <c r="Y355" s="13"/>
      <c r="Z355" s="2"/>
      <c r="AA355" s="15"/>
      <c r="AB355" s="32"/>
      <c r="AC355" s="348"/>
      <c r="AD355" s="15"/>
      <c r="AE355" s="180">
        <f>$F$13</f>
        <v>1000</v>
      </c>
      <c r="AG355" s="15"/>
      <c r="AH355" s="2"/>
      <c r="AI355" s="45"/>
      <c r="AJ355" s="15"/>
      <c r="AK355" s="15"/>
      <c r="AL355" s="15"/>
      <c r="AM355" s="45"/>
      <c r="AN355" s="1">
        <v>1000</v>
      </c>
      <c r="AO355" s="13"/>
      <c r="AP355" s="15"/>
      <c r="AQ355" s="180"/>
      <c r="AR355" s="1"/>
      <c r="AS355" s="13"/>
      <c r="AT355" s="15"/>
      <c r="AU355" s="45"/>
      <c r="AV355" s="15"/>
      <c r="AW355" s="13"/>
      <c r="AX355" s="15"/>
      <c r="AY355" s="45"/>
      <c r="AZ355" s="28"/>
      <c r="BA355" s="13"/>
      <c r="BB355" s="15"/>
      <c r="BC355" s="45"/>
      <c r="BD355" s="28"/>
      <c r="BE355" s="14"/>
      <c r="BF355" s="41">
        <f t="shared" ref="BF355:BG355" si="1043">K355+O355+S355+W355+AA355+AE355+AI355+AM355+AQ355+AU355+AY355+BC355</f>
        <v>1000</v>
      </c>
      <c r="BG355" s="34">
        <f t="shared" si="1043"/>
        <v>1000</v>
      </c>
      <c r="BH355" s="35">
        <f t="shared" si="1034"/>
        <v>0</v>
      </c>
      <c r="BK355" s="2" t="b">
        <f>H355='2021'!BH355</f>
        <v>1</v>
      </c>
    </row>
    <row r="356" ht="15.75" customHeight="1" spans="1:63" x14ac:dyDescent="0.25">
      <c r="A356" s="2">
        <v>39</v>
      </c>
      <c r="B356" s="14"/>
      <c r="D356" s="14" t="s">
        <v>51</v>
      </c>
      <c r="E356" s="2" t="s">
        <v>49</v>
      </c>
      <c r="F356" s="41">
        <v>500</v>
      </c>
      <c r="G356" s="28"/>
      <c r="H356" s="34">
        <f>'2021'!BH356</f>
        <v>0</v>
      </c>
      <c r="I356" s="13"/>
      <c r="J356" s="15"/>
      <c r="K356" s="15"/>
      <c r="L356" s="28"/>
      <c r="M356" s="13"/>
      <c r="N356" s="15"/>
      <c r="Q356" s="13"/>
      <c r="R356" s="15"/>
      <c r="S356" s="15"/>
      <c r="T356" s="28"/>
      <c r="U356" s="13"/>
      <c r="V356" s="15"/>
      <c r="Y356" s="13"/>
      <c r="Z356" s="2"/>
      <c r="AA356" s="15"/>
      <c r="AB356" s="32"/>
      <c r="AC356" s="348"/>
      <c r="AD356" s="15"/>
      <c r="AE356" s="34"/>
      <c r="AG356" s="15"/>
      <c r="AH356" s="2"/>
      <c r="AI356" s="45"/>
      <c r="AJ356" s="15"/>
      <c r="AK356" s="15"/>
      <c r="AL356" s="15"/>
      <c r="AM356" s="45"/>
      <c r="AN356" s="1"/>
      <c r="AO356" s="13"/>
      <c r="AP356" s="15"/>
      <c r="AQ356" s="180">
        <f>B351*$F$14</f>
        <v>0</v>
      </c>
      <c r="AR356" s="39"/>
      <c r="AS356" s="13"/>
      <c r="AT356" s="15"/>
      <c r="AU356" s="45"/>
      <c r="AV356" s="15"/>
      <c r="AW356" s="13"/>
      <c r="AX356" s="15"/>
      <c r="AY356" s="45"/>
      <c r="AZ356" s="28"/>
      <c r="BA356" s="13"/>
      <c r="BB356" s="15"/>
      <c r="BC356" s="45"/>
      <c r="BD356" s="28"/>
      <c r="BE356" s="14"/>
      <c r="BF356" s="41">
        <f t="shared" ref="BF356:BG356" si="1044">K356+O356+S356+W356+AA356+AE356+AI356+AM356+AQ356+AU356+AY356+BC356</f>
        <v>0</v>
      </c>
      <c r="BG356" s="34">
        <f t="shared" si="1044"/>
        <v>0</v>
      </c>
      <c r="BH356" s="35">
        <f t="shared" si="1034"/>
        <v>0</v>
      </c>
      <c r="BK356" s="2" t="b">
        <f>H356='2021'!BH356</f>
        <v>1</v>
      </c>
    </row>
    <row r="357" ht="15.75" customHeight="1" spans="1:63" x14ac:dyDescent="0.25">
      <c r="A357" s="2">
        <v>39</v>
      </c>
      <c r="B357" s="14"/>
      <c r="C357" s="15"/>
      <c r="D357" s="14" t="s">
        <v>52</v>
      </c>
      <c r="E357" s="2" t="s">
        <v>39</v>
      </c>
      <c r="F357" s="41">
        <v>500</v>
      </c>
      <c r="G357" s="28"/>
      <c r="H357" s="34">
        <f>'2021'!BH357</f>
        <v>-500</v>
      </c>
      <c r="I357" s="13"/>
      <c r="J357" s="15"/>
      <c r="K357" s="15"/>
      <c r="L357" s="28"/>
      <c r="M357" s="13"/>
      <c r="N357" s="15"/>
      <c r="Q357" s="13"/>
      <c r="R357" s="15"/>
      <c r="S357" s="15"/>
      <c r="T357" s="28"/>
      <c r="U357" s="13"/>
      <c r="V357" s="15"/>
      <c r="Y357" s="13"/>
      <c r="Z357" s="2"/>
      <c r="AA357" s="34">
        <f>$F$15</f>
      </c>
      <c r="AB357" s="32"/>
      <c r="AC357" s="348"/>
      <c r="AD357" s="15"/>
      <c r="AG357" s="15"/>
      <c r="AH357" s="2"/>
      <c r="AI357" s="45"/>
      <c r="AJ357" s="15"/>
      <c r="AK357" s="15"/>
      <c r="AL357" s="15"/>
      <c r="AM357" s="45"/>
      <c r="AN357" s="15"/>
      <c r="AO357" s="13"/>
      <c r="AP357" s="15"/>
      <c r="AQ357" s="45"/>
      <c r="AR357" s="1"/>
      <c r="AS357" s="13"/>
      <c r="AT357" s="15"/>
      <c r="AU357" s="45"/>
      <c r="AV357" s="15"/>
      <c r="AW357" s="13"/>
      <c r="AX357" s="15"/>
      <c r="AY357" s="45"/>
      <c r="AZ357" s="35"/>
      <c r="BA357" s="13"/>
      <c r="BB357" s="15"/>
      <c r="BC357" s="45"/>
      <c r="BD357" s="35"/>
      <c r="BE357" s="14"/>
      <c r="BF357" s="41">
        <f t="shared" ref="BF357:BG357" si="1045">K357+O357+S357+W357+AA357+AE357+AI357+AM357+AQ357+AU357+AY357+BC357</f>
        <v>0</v>
      </c>
      <c r="BG357" s="34">
        <f t="shared" si="1045"/>
        <v>0</v>
      </c>
      <c r="BH357" s="35">
        <f t="shared" si="1034"/>
        <v>-500</v>
      </c>
      <c r="BK357" s="2" t="b">
        <f>H357='2021'!BH357</f>
        <v>1</v>
      </c>
    </row>
    <row r="358" ht="15.75" customHeight="1" spans="1:63" x14ac:dyDescent="0.25">
      <c r="A358" s="244" t="s">
        <v>173</v>
      </c>
      <c r="B358" s="21"/>
      <c r="C358" s="22" t="s">
        <v>53</v>
      </c>
      <c r="D358" s="21"/>
      <c r="E358" s="22"/>
      <c r="F358" s="20"/>
      <c r="G358" s="23"/>
      <c r="H358" s="51">
        <f>SUM(H350:H357)</f>
        <v>-15740.2</v>
      </c>
      <c r="I358" s="52"/>
      <c r="J358" s="53"/>
      <c r="K358" s="51">
        <f t="shared" ref="K358:L358" si="1046">SUM(K350:K357)</f>
        <v>207.9</v>
      </c>
      <c r="L358" s="68">
        <f t="shared" si="1046"/>
        <v>0</v>
      </c>
      <c r="M358" s="52"/>
      <c r="N358" s="53"/>
      <c r="O358" s="51">
        <f t="shared" ref="O358:P358" si="1047">SUM(O350:O357)</f>
        <v>0</v>
      </c>
      <c r="P358" s="51">
        <f t="shared" si="1047"/>
        <v>0</v>
      </c>
      <c r="Q358" s="52"/>
      <c r="R358" s="53"/>
      <c r="S358" s="51">
        <f t="shared" ref="S358:T358" si="1048">SUM(S350:S357)</f>
        <v>0</v>
      </c>
      <c r="T358" s="51">
        <f t="shared" si="1048"/>
        <v>0</v>
      </c>
      <c r="U358" s="52"/>
      <c r="V358" s="53"/>
      <c r="W358" s="51">
        <f t="shared" ref="W358:X358" si="1049">SUM(W350:W357)</f>
        <v>0</v>
      </c>
      <c r="X358" s="51">
        <f t="shared" si="1049"/>
        <v>0</v>
      </c>
      <c r="Y358" s="52"/>
      <c r="Z358" s="301"/>
      <c r="AA358" s="51">
        <f t="shared" ref="AA358:AB358" si="1050">SUM(AA350:AA357)</f>
        <v>2052.1</v>
      </c>
      <c r="AB358" s="51">
        <f t="shared" si="1050"/>
        <v>0</v>
      </c>
      <c r="AC358" s="367"/>
      <c r="AD358" s="53"/>
      <c r="AE358" s="51">
        <f t="shared" ref="AE358:AF358" si="1051">SUM(AE350:AE357)</f>
        <v>8731.7</v>
      </c>
      <c r="AF358" s="51">
        <f t="shared" si="1051"/>
        <v>0</v>
      </c>
      <c r="AG358" s="52"/>
      <c r="AH358" s="301"/>
      <c r="AI358" s="183">
        <f t="shared" ref="AI358:AJ358" si="1052">SUM(AI350:AI357)</f>
        <v>2357.51776</v>
      </c>
      <c r="AJ358" s="51">
        <f t="shared" si="1052"/>
        <v>0</v>
      </c>
      <c r="AK358" s="52"/>
      <c r="AL358" s="53"/>
      <c r="AM358" s="183">
        <f t="shared" ref="AM358:AN358" si="1053">SUM(AM350:AM357)</f>
        <v>2802.61832</v>
      </c>
      <c r="AN358" s="51">
        <f t="shared" si="1053"/>
        <v>8000</v>
      </c>
      <c r="AO358" s="52"/>
      <c r="AP358" s="53"/>
      <c r="AQ358" s="183">
        <f t="shared" ref="AQ358:AR358" si="1054">SUM(AQ350:AQ357)</f>
        <v>3621.3674</v>
      </c>
      <c r="AR358" s="329">
        <f t="shared" si="1054"/>
        <v>0</v>
      </c>
      <c r="AS358" s="52"/>
      <c r="AT358" s="53"/>
      <c r="AU358" s="183">
        <f t="shared" ref="AU358:AV358" si="1055">SUM(AU350:AU357)</f>
        <v>449.442</v>
      </c>
      <c r="AV358" s="68">
        <f t="shared" si="1055"/>
        <v>0</v>
      </c>
      <c r="AW358" s="52"/>
      <c r="AX358" s="53"/>
      <c r="AY358" s="183">
        <f t="shared" ref="AY358:AZ358" si="1056">SUM(AY350:AY357)</f>
        <v>0</v>
      </c>
      <c r="AZ358" s="68">
        <f t="shared" si="1056"/>
        <v>0</v>
      </c>
      <c r="BA358" s="52"/>
      <c r="BB358" s="53"/>
      <c r="BC358" s="183">
        <f t="shared" ref="BC358:BD358" si="1057">SUM(BC350:BC357)</f>
        <v>0</v>
      </c>
      <c r="BD358" s="68">
        <f t="shared" si="1057"/>
        <v>0</v>
      </c>
      <c r="BE358" s="69"/>
      <c r="BF358" s="70">
        <f t="shared" ref="BF358:BH358" si="1058">SUM(BF350:BF357)</f>
        <v>20222.64548</v>
      </c>
      <c r="BG358" s="71">
        <f t="shared" si="1058"/>
        <v>8000</v>
      </c>
      <c r="BH358" s="72">
        <f t="shared" si="1058"/>
        <v>-3517.55452</v>
      </c>
      <c r="BI358" s="34">
        <f>H358+BF358-BG358</f>
        <v>-3517.55452</v>
      </c>
      <c r="BJ358" s="34">
        <f>BH358-BI358</f>
        <v>0</v>
      </c>
      <c r="BK358" s="2" t="b">
        <f>H358='2021'!BH358</f>
        <v>1</v>
      </c>
    </row>
    <row r="359" ht="15.75" customHeight="1" spans="1:63" x14ac:dyDescent="0.25">
      <c r="A359" s="2">
        <v>40</v>
      </c>
      <c r="B359" s="14"/>
      <c r="D359" s="176" t="s">
        <v>544</v>
      </c>
      <c r="F359" s="13"/>
      <c r="G359" s="28"/>
      <c r="H359" s="34">
        <f>'2021'!BH359</f>
        <v>13.24</v>
      </c>
      <c r="I359" s="13"/>
      <c r="J359" s="15"/>
      <c r="K359" s="15"/>
      <c r="L359" s="28"/>
      <c r="M359" s="13"/>
      <c r="N359" s="15"/>
      <c r="Q359" s="13"/>
      <c r="R359" s="15"/>
      <c r="S359" s="15"/>
      <c r="T359" s="28"/>
      <c r="U359" s="13"/>
      <c r="V359" s="15"/>
      <c r="W359" s="153"/>
      <c r="Y359" s="13"/>
      <c r="Z359" s="2"/>
      <c r="AA359" s="154">
        <v>248.5</v>
      </c>
      <c r="AB359" s="35"/>
      <c r="AC359" s="348"/>
      <c r="AD359" s="15"/>
      <c r="AG359" s="15"/>
      <c r="AH359" s="2"/>
      <c r="AI359" s="45"/>
      <c r="AJ359" s="1">
        <v>262</v>
      </c>
      <c r="AK359" s="15"/>
      <c r="AM359" s="45"/>
      <c r="AN359" s="317"/>
      <c r="AO359" s="13"/>
      <c r="AQ359" s="45"/>
      <c r="AS359" s="13"/>
      <c r="AU359" s="45"/>
      <c r="AW359" s="13"/>
      <c r="AY359" s="45"/>
      <c r="AZ359" s="28"/>
      <c r="BA359" s="13"/>
      <c r="BB359" s="15"/>
      <c r="BC359" s="45"/>
      <c r="BD359" s="28"/>
      <c r="BE359" s="14"/>
      <c r="BF359" s="41">
        <f t="shared" ref="BF359:BG359" si="1059">K359+O359+S359+W359+AA359+AE359+AI359+AM359+AQ359+AU359+AY359+BC359</f>
        <v>248.5</v>
      </c>
      <c r="BG359" s="34">
        <f t="shared" si="1059"/>
        <v>262</v>
      </c>
      <c r="BH359" s="35">
        <f t="shared" ref="BH359:BH366" si="1060">H359+BF359-BG359</f>
        <v>-0.26</v>
      </c>
      <c r="BK359" s="2" t="b">
        <f>H359='2021'!BH359</f>
        <v>1</v>
      </c>
    </row>
    <row r="360" ht="15.75" customHeight="1" spans="1:63" x14ac:dyDescent="0.25">
      <c r="A360" s="2">
        <v>40</v>
      </c>
      <c r="B360" s="14">
        <v>4.92</v>
      </c>
      <c r="C360" s="2" t="s">
        <v>174</v>
      </c>
      <c r="D360" s="14" t="s">
        <v>44</v>
      </c>
      <c r="E360" s="2" t="s">
        <v>45</v>
      </c>
      <c r="F360" s="41">
        <v>2.5</v>
      </c>
      <c r="G360" s="35">
        <v>2.6</v>
      </c>
      <c r="H360" s="34">
        <f>'2021'!BH360</f>
        <v>3501.33</v>
      </c>
      <c r="I360" s="13">
        <v>42357</v>
      </c>
      <c r="J360" s="15">
        <f>I360-'2021'!BA360</f>
        <v>1520</v>
      </c>
      <c r="K360" s="34">
        <f>J360*$F$8</f>
        <v>4104</v>
      </c>
      <c r="L360" s="35">
        <v>4000</v>
      </c>
      <c r="M360" s="13">
        <v>44356</v>
      </c>
      <c r="N360" s="15">
        <f t="shared" ref="N360:N361" si="1061">M360-I360</f>
        <v>1999</v>
      </c>
      <c r="O360" s="34">
        <f>N360*$F$8</f>
        <v>5397.3</v>
      </c>
      <c r="P360" s="15">
        <v>3000</v>
      </c>
      <c r="Q360" s="13">
        <v>45731</v>
      </c>
      <c r="R360" s="15">
        <f t="shared" ref="R360:R361" si="1062">Q360-M360</f>
        <v>1375</v>
      </c>
      <c r="S360" s="34">
        <f>R360*$F$8</f>
        <v>3712.5</v>
      </c>
      <c r="T360" s="32">
        <v>6000</v>
      </c>
      <c r="U360" s="13">
        <v>47122</v>
      </c>
      <c r="V360" s="15">
        <f t="shared" ref="V360:V361" si="1063">U360-Q360</f>
        <v>1391</v>
      </c>
      <c r="W360" s="34">
        <f>V360*$F$8</f>
        <v>3755.7</v>
      </c>
      <c r="X360" s="39">
        <v>2000</v>
      </c>
      <c r="Y360" s="13">
        <v>47681</v>
      </c>
      <c r="Z360" s="2">
        <f t="shared" ref="Z360:Z361" si="1064">Y360-U360</f>
        <v>559</v>
      </c>
      <c r="AA360" s="34">
        <f>Z360*$F$8</f>
        <v>1509.3</v>
      </c>
      <c r="AB360" s="38">
        <v>3000</v>
      </c>
      <c r="AC360" s="348">
        <v>48011</v>
      </c>
      <c r="AD360" s="15">
        <f t="shared" ref="AD360:AD361" si="1065">AC360-Y360</f>
        <v>330</v>
      </c>
      <c r="AE360" s="180">
        <f>AD360*$F$8</f>
        <v>891</v>
      </c>
      <c r="AF360" s="248">
        <f>1000+1000</f>
        <v>2000</v>
      </c>
      <c r="AG360" s="15">
        <v>48205</v>
      </c>
      <c r="AH360" s="2">
        <f>(AG360-AC360)*AH5</f>
        <v>204.864</v>
      </c>
      <c r="AI360" s="45">
        <f>AH360*$G$8</f>
        <v>503.96544</v>
      </c>
      <c r="AJ360" s="248">
        <v>2872</v>
      </c>
      <c r="AK360" s="15">
        <v>48531</v>
      </c>
      <c r="AL360" s="15">
        <f>(AK360-AG360)*AL5</f>
        <v>335.128</v>
      </c>
      <c r="AM360" s="45">
        <f>AL360*$G$8</f>
        <v>824.41488</v>
      </c>
      <c r="AN360" s="1">
        <v>500</v>
      </c>
      <c r="AO360" s="13">
        <v>48912</v>
      </c>
      <c r="AP360" s="15">
        <f>(AO360-AK360)*AP5</f>
        <v>393.573</v>
      </c>
      <c r="AQ360" s="45">
        <f>AP360*$G$8</f>
        <v>968.18958</v>
      </c>
      <c r="AR360" s="1">
        <v>830</v>
      </c>
      <c r="AS360" s="13">
        <v>49469</v>
      </c>
      <c r="AT360" s="15">
        <f>(AS360-AO360)*AT5</f>
        <v>584.85</v>
      </c>
      <c r="AU360" s="45">
        <f>AT360*$G$8</f>
        <v>1438.731</v>
      </c>
      <c r="AV360" s="34">
        <v>1000</v>
      </c>
      <c r="AW360" s="13"/>
      <c r="AX360" s="15">
        <f>(AW360-AS360)*AX5</f>
        <v>0</v>
      </c>
      <c r="AY360" s="45">
        <f>AX360*$G$8</f>
        <v>0</v>
      </c>
      <c r="AZ360" s="242"/>
      <c r="BA360" s="13"/>
      <c r="BB360" s="15"/>
      <c r="BC360" s="45">
        <f>BB360*$G$8</f>
        <v>0</v>
      </c>
      <c r="BD360" s="246"/>
      <c r="BE360" s="40">
        <f t="shared" ref="BE360:BG360" si="1066">J360+N360+R360+V360+Z360+AD360+AH360+AL360+AP360+AT360+AX360+BB360</f>
        <v>8692.415</v>
      </c>
      <c r="BF360" s="41">
        <f t="shared" si="1066"/>
        <v>23105.1009</v>
      </c>
      <c r="BG360" s="34">
        <f t="shared" si="1066"/>
        <v>25202</v>
      </c>
      <c r="BH360" s="35">
        <f t="shared" si="1060"/>
        <v>1404.4309</v>
      </c>
      <c r="BK360" s="2" t="b">
        <f>H360='2021'!BH360</f>
        <v>1</v>
      </c>
    </row>
    <row r="361" ht="15.75" customHeight="1" spans="1:63" x14ac:dyDescent="0.25">
      <c r="A361" s="2">
        <v>40</v>
      </c>
      <c r="B361" s="14"/>
      <c r="C361" s="15" t="s">
        <v>175</v>
      </c>
      <c r="D361" s="14" t="s">
        <v>47</v>
      </c>
      <c r="E361" s="2" t="s">
        <v>48</v>
      </c>
      <c r="F361" s="13">
        <v>18.56</v>
      </c>
      <c r="G361" s="35">
        <v>19.46</v>
      </c>
      <c r="H361" s="34">
        <f>'2021'!BH361</f>
        <v>1.32</v>
      </c>
      <c r="I361" s="13">
        <v>166</v>
      </c>
      <c r="J361" s="15"/>
      <c r="K361" s="15"/>
      <c r="L361" s="28"/>
      <c r="M361" s="13">
        <v>166</v>
      </c>
      <c r="N361" s="15">
        <f t="shared" si="1061"/>
        <v>0</v>
      </c>
      <c r="Q361" s="13">
        <v>166</v>
      </c>
      <c r="R361" s="15">
        <f t="shared" si="1062"/>
        <v>0</v>
      </c>
      <c r="S361" s="15"/>
      <c r="T361" s="28"/>
      <c r="U361" s="13">
        <v>166</v>
      </c>
      <c r="V361" s="15">
        <f t="shared" si="1063"/>
        <v>0</v>
      </c>
      <c r="W361" s="180">
        <f>V361*$F$10</f>
        <v>0</v>
      </c>
      <c r="Y361" s="13">
        <v>168</v>
      </c>
      <c r="Z361" s="2">
        <f t="shared" si="1064"/>
        <v>2</v>
      </c>
      <c r="AA361" s="34">
        <f>Z361*$F$10</f>
        <v>40.7</v>
      </c>
      <c r="AB361" s="32"/>
      <c r="AC361" s="348">
        <v>176</v>
      </c>
      <c r="AD361" s="15">
        <f t="shared" si="1065"/>
        <v>8</v>
      </c>
      <c r="AE361" s="34">
        <f>AD361*$F$10</f>
        <v>162.8</v>
      </c>
      <c r="AF361" s="1"/>
      <c r="AG361" s="15">
        <v>185</v>
      </c>
      <c r="AH361" s="2">
        <f>AG361-AC361</f>
        <v>9</v>
      </c>
      <c r="AI361" s="45">
        <f>AH361*$G$10</f>
        <v>192.6</v>
      </c>
      <c r="AJ361" s="1">
        <v>206</v>
      </c>
      <c r="AK361" s="15">
        <v>191</v>
      </c>
      <c r="AL361" s="15">
        <f>AK361-AG361</f>
        <v>6</v>
      </c>
      <c r="AM361" s="45">
        <f>AL361*$G$10</f>
        <v>128.4</v>
      </c>
      <c r="AN361" s="1">
        <v>200</v>
      </c>
      <c r="AO361" s="13">
        <v>192</v>
      </c>
      <c r="AP361" s="15">
        <f>AO361-AK361</f>
        <v>1</v>
      </c>
      <c r="AQ361" s="45">
        <f>AP361*$G$10</f>
        <v>21.4</v>
      </c>
      <c r="AR361" s="1">
        <v>120</v>
      </c>
      <c r="AS361" s="13">
        <v>192</v>
      </c>
      <c r="AT361" s="15">
        <f>AS361-AO361</f>
        <v>0</v>
      </c>
      <c r="AU361" s="45">
        <f>AT361*$G$10</f>
        <v>0</v>
      </c>
      <c r="AV361" s="15">
        <v>22</v>
      </c>
      <c r="AW361" s="13"/>
      <c r="AX361" s="15">
        <f>AW361-AS361</f>
        <v>-192</v>
      </c>
      <c r="AY361" s="45"/>
      <c r="AZ361" s="208"/>
      <c r="BA361" s="13"/>
      <c r="BB361" s="15"/>
      <c r="BC361" s="45"/>
      <c r="BD361" s="208"/>
      <c r="BE361" s="40">
        <f t="shared" ref="BE361:BG361" si="1067">J361+N361+R361+V361+Z361+AD361+AH361+AL361+AP361+AT361+AX361+BB361</f>
        <v>-166</v>
      </c>
      <c r="BF361" s="41">
        <f t="shared" si="1067"/>
        <v>545.9</v>
      </c>
      <c r="BG361" s="34">
        <f t="shared" si="1067"/>
        <v>548</v>
      </c>
      <c r="BH361" s="35">
        <f t="shared" si="1060"/>
        <v>-0.78</v>
      </c>
      <c r="BK361" s="2" t="b">
        <f>H361='2021'!BH361</f>
        <v>1</v>
      </c>
    </row>
    <row r="362" ht="15.75" customHeight="1" spans="1:63" x14ac:dyDescent="0.25">
      <c r="A362" s="2">
        <v>40</v>
      </c>
      <c r="B362" s="14"/>
      <c r="C362" s="15" t="s">
        <v>176</v>
      </c>
      <c r="D362" s="14" t="s">
        <v>47</v>
      </c>
      <c r="E362" s="2" t="s">
        <v>49</v>
      </c>
      <c r="F362" s="41">
        <v>500</v>
      </c>
      <c r="G362" s="28"/>
      <c r="H362" s="34">
        <f>'2021'!BH362</f>
        <v>0</v>
      </c>
      <c r="I362" s="13"/>
      <c r="J362" s="15"/>
      <c r="K362" s="15"/>
      <c r="L362" s="28"/>
      <c r="M362" s="13"/>
      <c r="N362" s="15"/>
      <c r="Q362" s="13"/>
      <c r="R362" s="15"/>
      <c r="S362" s="15"/>
      <c r="T362" s="28"/>
      <c r="U362" s="13"/>
      <c r="V362" s="15"/>
      <c r="Y362" s="13"/>
      <c r="Z362" s="2"/>
      <c r="AA362" s="15"/>
      <c r="AB362" s="28"/>
      <c r="AC362" s="348"/>
      <c r="AD362" s="15"/>
      <c r="AG362" s="15"/>
      <c r="AH362" s="2"/>
      <c r="AI362" s="45"/>
      <c r="AJ362" s="1"/>
      <c r="AK362" s="15"/>
      <c r="AL362" s="15"/>
      <c r="AM362" s="45"/>
      <c r="AN362" s="1"/>
      <c r="AO362" s="13"/>
      <c r="AP362" s="15"/>
      <c r="AQ362" s="45"/>
      <c r="AR362" s="1"/>
      <c r="AS362" s="13"/>
      <c r="AT362" s="15"/>
      <c r="AU362" s="45"/>
      <c r="AV362" s="15"/>
      <c r="AW362" s="13"/>
      <c r="AX362" s="15"/>
      <c r="AY362" s="45"/>
      <c r="AZ362" s="28"/>
      <c r="BA362" s="13"/>
      <c r="BB362" s="15"/>
      <c r="BC362" s="45"/>
      <c r="BD362" s="28"/>
      <c r="BE362" s="14"/>
      <c r="BF362" s="41">
        <f t="shared" ref="BF362:BG362" si="1068">K362+O362+S362+W362+AA362+AE362+AI362+AM362+AQ362+AU362+AY362+BC362</f>
        <v>0</v>
      </c>
      <c r="BG362" s="34">
        <f t="shared" si="1068"/>
        <v>0</v>
      </c>
      <c r="BH362" s="35">
        <f t="shared" si="1060"/>
        <v>0</v>
      </c>
      <c r="BK362" s="2" t="b">
        <f>H362='2021'!BH362</f>
        <v>1</v>
      </c>
    </row>
    <row r="363" ht="15.75" customHeight="1" spans="1:63" x14ac:dyDescent="0.25">
      <c r="A363" s="2">
        <v>40</v>
      </c>
      <c r="B363" s="14"/>
      <c r="C363" s="15" t="s">
        <v>404</v>
      </c>
      <c r="D363" s="14" t="s">
        <v>50</v>
      </c>
      <c r="E363" s="2" t="s">
        <v>49</v>
      </c>
      <c r="F363" s="41">
        <v>1100</v>
      </c>
      <c r="G363" s="28"/>
      <c r="H363" s="34">
        <f>'2021'!BH363</f>
        <v>-18</v>
      </c>
      <c r="I363" s="13"/>
      <c r="J363" s="15"/>
      <c r="K363" s="15"/>
      <c r="L363" s="28"/>
      <c r="M363" s="13"/>
      <c r="N363" s="15"/>
      <c r="Q363" s="13"/>
      <c r="R363" s="15"/>
      <c r="S363" s="15"/>
      <c r="T363" s="28"/>
      <c r="U363" s="13"/>
      <c r="V363" s="15"/>
      <c r="Y363" s="13"/>
      <c r="Z363" s="2"/>
      <c r="AA363" s="15"/>
      <c r="AB363" s="28"/>
      <c r="AC363" s="348"/>
      <c r="AD363" s="15"/>
      <c r="AE363" s="34">
        <f>B360*$F$12</f>
        <v>6396</v>
      </c>
      <c r="AF363" s="180"/>
      <c r="AG363" s="15"/>
      <c r="AH363" s="2"/>
      <c r="AI363" s="45"/>
      <c r="AJ363" s="248"/>
      <c r="AK363" s="15"/>
      <c r="AL363" s="15"/>
      <c r="AM363" s="45"/>
      <c r="AN363" s="1">
        <v>3500</v>
      </c>
      <c r="AO363" s="13"/>
      <c r="AP363" s="15"/>
      <c r="AQ363" s="45"/>
      <c r="AR363" s="1">
        <v>1000</v>
      </c>
      <c r="AS363" s="13"/>
      <c r="AT363" s="15"/>
      <c r="AU363" s="45"/>
      <c r="AV363" s="15">
        <v>1878</v>
      </c>
      <c r="AW363" s="13"/>
      <c r="AX363" s="15"/>
      <c r="AY363" s="45"/>
      <c r="AZ363" s="32"/>
      <c r="BA363" s="13"/>
      <c r="BB363" s="15"/>
      <c r="BC363" s="45"/>
      <c r="BD363" s="28"/>
      <c r="BE363" s="14"/>
      <c r="BF363" s="41">
        <f t="shared" ref="BF363:BG363" si="1069">K363+O363+S363+W363+AA363+AE363+AI363+AM363+AQ363+AU363+AY363+BC363</f>
        <v>6396</v>
      </c>
      <c r="BG363" s="34">
        <f t="shared" si="1069"/>
        <v>6378</v>
      </c>
      <c r="BH363" s="35">
        <f t="shared" si="1060"/>
        <v>0</v>
      </c>
      <c r="BK363" s="2" t="b">
        <f>H363='2021'!BH363</f>
        <v>1</v>
      </c>
    </row>
    <row r="364" ht="15.75" customHeight="1" spans="1:63" x14ac:dyDescent="0.25">
      <c r="A364" s="2">
        <v>40</v>
      </c>
      <c r="B364" s="14"/>
      <c r="C364" s="15" t="s">
        <v>405</v>
      </c>
      <c r="D364" s="14" t="s">
        <v>51</v>
      </c>
      <c r="E364" s="2" t="s">
        <v>39</v>
      </c>
      <c r="F364" s="41">
        <v>500</v>
      </c>
      <c r="G364" s="28"/>
      <c r="H364" s="34">
        <f>'2021'!BH364</f>
        <v>0</v>
      </c>
      <c r="I364" s="13"/>
      <c r="J364" s="15"/>
      <c r="K364" s="15"/>
      <c r="L364" s="28"/>
      <c r="M364" s="13"/>
      <c r="N364" s="15"/>
      <c r="Q364" s="13"/>
      <c r="R364" s="15"/>
      <c r="S364" s="15"/>
      <c r="T364" s="28"/>
      <c r="U364" s="13"/>
      <c r="V364" s="15"/>
      <c r="Y364" s="13"/>
      <c r="Z364" s="2"/>
      <c r="AA364" s="15"/>
      <c r="AB364" s="28"/>
      <c r="AC364" s="348"/>
      <c r="AD364" s="15"/>
      <c r="AE364" s="180">
        <f>$F$13</f>
        <v>1000</v>
      </c>
      <c r="AG364" s="15"/>
      <c r="AH364" s="2"/>
      <c r="AI364" s="45"/>
      <c r="AJ364" s="248"/>
      <c r="AK364" s="15"/>
      <c r="AL364" s="15"/>
      <c r="AM364" s="45"/>
      <c r="AN364" s="1"/>
      <c r="AO364" s="13"/>
      <c r="AP364" s="15"/>
      <c r="AQ364" s="180"/>
      <c r="AR364" s="1"/>
      <c r="AS364" s="13"/>
      <c r="AT364" s="15"/>
      <c r="AU364" s="45"/>
      <c r="AV364" s="15">
        <v>1000</v>
      </c>
      <c r="AW364" s="13"/>
      <c r="AX364" s="15"/>
      <c r="AY364" s="45"/>
      <c r="AZ364" s="28"/>
      <c r="BA364" s="13"/>
      <c r="BB364" s="15"/>
      <c r="BC364" s="45"/>
      <c r="BD364" s="28"/>
      <c r="BE364" s="14"/>
      <c r="BF364" s="41">
        <f t="shared" ref="BF364:BG364" si="1070">K364+O364+S364+W364+AA364+AE364+AI364+AM364+AQ364+AU364+AY364+BC364</f>
        <v>1000</v>
      </c>
      <c r="BG364" s="34">
        <f t="shared" si="1070"/>
        <v>1000</v>
      </c>
      <c r="BH364" s="35">
        <f t="shared" si="1060"/>
        <v>0</v>
      </c>
      <c r="BK364" s="2" t="b">
        <f>H364='2021'!BH364</f>
        <v>1</v>
      </c>
    </row>
    <row r="365" ht="15.75" customHeight="1" spans="1:63" x14ac:dyDescent="0.25">
      <c r="A365" s="2">
        <v>40</v>
      </c>
      <c r="B365" s="14"/>
      <c r="C365" s="15"/>
      <c r="D365" s="14" t="s">
        <v>51</v>
      </c>
      <c r="E365" s="2" t="s">
        <v>49</v>
      </c>
      <c r="F365" s="41">
        <v>500</v>
      </c>
      <c r="G365" s="28"/>
      <c r="H365" s="34">
        <f>'2021'!BH365</f>
        <v>0</v>
      </c>
      <c r="I365" s="13"/>
      <c r="J365" s="15"/>
      <c r="K365" s="15"/>
      <c r="L365" s="28"/>
      <c r="M365" s="13"/>
      <c r="N365" s="15"/>
      <c r="Q365" s="13"/>
      <c r="R365" s="15"/>
      <c r="S365" s="15"/>
      <c r="T365" s="28"/>
      <c r="U365" s="13"/>
      <c r="V365" s="15"/>
      <c r="Y365" s="13"/>
      <c r="Z365" s="2"/>
      <c r="AA365" s="15"/>
      <c r="AB365" s="32"/>
      <c r="AC365" s="348"/>
      <c r="AD365" s="15"/>
      <c r="AE365" s="34"/>
      <c r="AG365" s="15"/>
      <c r="AH365" s="2"/>
      <c r="AI365" s="45"/>
      <c r="AJ365" s="248"/>
      <c r="AK365" s="15"/>
      <c r="AL365" s="15"/>
      <c r="AM365" s="45"/>
      <c r="AN365" s="15"/>
      <c r="AO365" s="13"/>
      <c r="AP365" s="15"/>
      <c r="AQ365" s="180">
        <f>B360*$F$14</f>
        <v>0</v>
      </c>
      <c r="AR365" s="1"/>
      <c r="AS365" s="13"/>
      <c r="AT365" s="15"/>
      <c r="AU365" s="45"/>
      <c r="AV365" s="15"/>
      <c r="AW365" s="13"/>
      <c r="AX365" s="15"/>
      <c r="AY365" s="45"/>
      <c r="AZ365" s="28"/>
      <c r="BA365" s="13"/>
      <c r="BB365" s="15"/>
      <c r="BC365" s="45"/>
      <c r="BD365" s="28"/>
      <c r="BE365" s="14"/>
      <c r="BF365" s="41">
        <f t="shared" ref="BF365:BG365" si="1071">K365+O365+S365+W365+AA365+AE365+AI365+AM365+AQ365+AU365+AY365+BC365</f>
        <v>0</v>
      </c>
      <c r="BG365" s="34">
        <f t="shared" si="1071"/>
        <v>0</v>
      </c>
      <c r="BH365" s="35">
        <f t="shared" si="1060"/>
        <v>0</v>
      </c>
      <c r="BK365" s="2" t="b">
        <f>H365='2021'!BH365</f>
        <v>1</v>
      </c>
    </row>
    <row r="366" ht="15.75" customHeight="1" spans="1:63" x14ac:dyDescent="0.25">
      <c r="A366" s="2">
        <v>40</v>
      </c>
      <c r="B366" s="14"/>
      <c r="C366" s="73" t="s">
        <v>406</v>
      </c>
      <c r="D366" s="14" t="s">
        <v>52</v>
      </c>
      <c r="E366" s="2" t="s">
        <v>39</v>
      </c>
      <c r="F366" s="41">
        <v>500</v>
      </c>
      <c r="G366" s="28"/>
      <c r="H366" s="34">
        <f>'2021'!BH366</f>
        <v>0</v>
      </c>
      <c r="I366" s="13"/>
      <c r="J366" s="15"/>
      <c r="K366" s="15"/>
      <c r="L366" s="28"/>
      <c r="M366" s="13"/>
      <c r="N366" s="15"/>
      <c r="Q366" s="13"/>
      <c r="R366" s="15"/>
      <c r="S366" s="15"/>
      <c r="T366" s="28"/>
      <c r="U366" s="13"/>
      <c r="V366" s="15"/>
      <c r="Y366" s="13"/>
      <c r="Z366" s="2"/>
      <c r="AA366" s="34">
        <f>$F$15</f>
      </c>
      <c r="AB366" s="35"/>
      <c r="AC366" s="348"/>
      <c r="AD366" s="15"/>
      <c r="AG366" s="15"/>
      <c r="AH366" s="2"/>
      <c r="AI366" s="45"/>
      <c r="AJ366" s="180"/>
      <c r="AK366" s="15"/>
      <c r="AL366" s="15"/>
      <c r="AM366" s="45"/>
      <c r="AN366" s="15"/>
      <c r="AO366" s="13"/>
      <c r="AP366" s="15"/>
      <c r="AQ366" s="45"/>
      <c r="AR366" s="1"/>
      <c r="AS366" s="13"/>
      <c r="AT366" s="15"/>
      <c r="AU366" s="45"/>
      <c r="AV366" s="15"/>
      <c r="AW366" s="13"/>
      <c r="AX366" s="15"/>
      <c r="AY366" s="45"/>
      <c r="AZ366" s="35"/>
      <c r="BA366" s="13"/>
      <c r="BB366" s="15"/>
      <c r="BC366" s="45"/>
      <c r="BD366" s="35"/>
      <c r="BE366" s="14"/>
      <c r="BF366" s="41">
        <f t="shared" ref="BF366:BG366" si="1072">K366+O366+S366+W366+AA366+AE366+AI366+AM366+AQ366+AU366+AY366+BC366</f>
        <v>0</v>
      </c>
      <c r="BG366" s="34">
        <f t="shared" si="1072"/>
        <v>0</v>
      </c>
      <c r="BH366" s="35">
        <f t="shared" si="1060"/>
        <v>0</v>
      </c>
      <c r="BK366" s="2" t="b">
        <f>H366='2021'!BH366</f>
        <v>1</v>
      </c>
    </row>
    <row r="367" ht="15.75" customHeight="1" spans="1:63" x14ac:dyDescent="0.25">
      <c r="A367" s="247">
        <v>40</v>
      </c>
      <c r="B367" s="21"/>
      <c r="C367" s="22" t="s">
        <v>53</v>
      </c>
      <c r="D367" s="21"/>
      <c r="E367" s="22"/>
      <c r="F367" s="20"/>
      <c r="G367" s="23"/>
      <c r="H367" s="51">
        <f>SUM(H359:H366)</f>
        <v>3497.89</v>
      </c>
      <c r="I367" s="52"/>
      <c r="J367" s="53"/>
      <c r="K367" s="51">
        <f t="shared" ref="K367:L367" si="1073">SUM(K359:K366)</f>
        <v>4104</v>
      </c>
      <c r="L367" s="68">
        <f t="shared" si="1073"/>
        <v>4000</v>
      </c>
      <c r="M367" s="52"/>
      <c r="N367" s="53"/>
      <c r="O367" s="51">
        <f t="shared" ref="O367:P367" si="1074">SUM(O359:O366)</f>
        <v>5397.3</v>
      </c>
      <c r="P367" s="51">
        <f t="shared" si="1074"/>
        <v>3000</v>
      </c>
      <c r="Q367" s="52"/>
      <c r="R367" s="53"/>
      <c r="S367" s="51">
        <f t="shared" ref="S367:T367" si="1075">SUM(S359:S366)</f>
        <v>3712.5</v>
      </c>
      <c r="T367" s="51">
        <f t="shared" si="1075"/>
        <v>6000</v>
      </c>
      <c r="U367" s="52"/>
      <c r="V367" s="53"/>
      <c r="W367" s="51">
        <f t="shared" ref="W367:X367" si="1076">SUM(W359:W366)</f>
        <v>3755.7</v>
      </c>
      <c r="X367" s="51">
        <f t="shared" si="1076"/>
        <v>2000</v>
      </c>
      <c r="Y367" s="52"/>
      <c r="Z367" s="301"/>
      <c r="AA367" s="51">
        <f t="shared" ref="AA367:AB367" si="1077">SUM(AA359:AA366)</f>
        <v>1798.5</v>
      </c>
      <c r="AB367" s="51">
        <f t="shared" si="1077"/>
        <v>3000</v>
      </c>
      <c r="AC367" s="367"/>
      <c r="AD367" s="53"/>
      <c r="AE367" s="51">
        <f t="shared" ref="AE367:AF367" si="1078">SUM(AE359:AE366)</f>
        <v>8449.8</v>
      </c>
      <c r="AF367" s="51">
        <f t="shared" si="1078"/>
        <v>2000</v>
      </c>
      <c r="AG367" s="52"/>
      <c r="AH367" s="301"/>
      <c r="AI367" s="183">
        <f t="shared" ref="AI367:AJ367" si="1079">SUM(AI359:AI366)</f>
        <v>696.56544</v>
      </c>
      <c r="AJ367" s="51">
        <f t="shared" si="1079"/>
        <v>3340</v>
      </c>
      <c r="AK367" s="52"/>
      <c r="AL367" s="53"/>
      <c r="AM367" s="183">
        <f t="shared" ref="AM367:AN367" si="1080">SUM(AM359:AM366)</f>
        <v>952.81488</v>
      </c>
      <c r="AN367" s="51">
        <f t="shared" si="1080"/>
        <v>4200</v>
      </c>
      <c r="AO367" s="52"/>
      <c r="AP367" s="53"/>
      <c r="AQ367" s="183">
        <f t="shared" ref="AQ367:AR367" si="1081">SUM(AQ359:AQ366)</f>
        <v>989.58958</v>
      </c>
      <c r="AR367" s="51">
        <f t="shared" si="1081"/>
        <v>1950</v>
      </c>
      <c r="AS367" s="52"/>
      <c r="AT367" s="53"/>
      <c r="AU367" s="183">
        <f t="shared" ref="AU367:AV367" si="1082">SUM(AU359:AU366)</f>
        <v>1438.731</v>
      </c>
      <c r="AV367" s="68">
        <f t="shared" si="1082"/>
        <v>3900</v>
      </c>
      <c r="AW367" s="52"/>
      <c r="AX367" s="53"/>
      <c r="AY367" s="183">
        <f t="shared" ref="AY367:AZ367" si="1083">SUM(AY359:AY366)</f>
        <v>0</v>
      </c>
      <c r="AZ367" s="68">
        <f t="shared" si="1083"/>
        <v>0</v>
      </c>
      <c r="BA367" s="52"/>
      <c r="BB367" s="53"/>
      <c r="BC367" s="183">
        <f t="shared" ref="BC367:BD367" si="1084">SUM(BC359:BC366)</f>
        <v>0</v>
      </c>
      <c r="BD367" s="68">
        <f t="shared" si="1084"/>
        <v>0</v>
      </c>
      <c r="BE367" s="69"/>
      <c r="BF367" s="70">
        <f t="shared" ref="BF367:BH367" si="1085">SUM(BF359:BF366)</f>
        <v>31295.5009</v>
      </c>
      <c r="BG367" s="71">
        <f t="shared" si="1085"/>
        <v>33390</v>
      </c>
      <c r="BH367" s="72">
        <f t="shared" si="1085"/>
        <v>1403.3909</v>
      </c>
      <c r="BI367" s="34">
        <f>H367+BF367-BG367</f>
        <v>1403.3909</v>
      </c>
      <c r="BJ367" s="34">
        <f>BH367-BI367</f>
        <v>0</v>
      </c>
      <c r="BK367" s="2" t="b">
        <f>H367='2021'!BH367</f>
        <v>1</v>
      </c>
    </row>
    <row r="368" ht="15.75" customHeight="1" spans="1:63" x14ac:dyDescent="0.25">
      <c r="A368" s="2">
        <v>41</v>
      </c>
      <c r="B368" s="14"/>
      <c r="D368" s="14" t="s">
        <v>379</v>
      </c>
      <c r="F368" s="13"/>
      <c r="G368" s="28"/>
      <c r="H368" s="34">
        <f>'2021'!BH368</f>
        <v>246.56</v>
      </c>
      <c r="I368" s="13"/>
      <c r="J368" s="15"/>
      <c r="K368" s="15"/>
      <c r="L368" s="28"/>
      <c r="M368" s="13"/>
      <c r="N368" s="15"/>
      <c r="Q368" s="13"/>
      <c r="R368" s="15"/>
      <c r="S368" s="15">
        <v>42.31</v>
      </c>
      <c r="T368" s="28"/>
      <c r="U368" s="13"/>
      <c r="V368" s="15"/>
      <c r="W368" s="2">
        <v>40.95</v>
      </c>
      <c r="Y368" s="13"/>
      <c r="Z368" s="2"/>
      <c r="AA368" s="15">
        <v>42.31</v>
      </c>
      <c r="AB368" s="28"/>
      <c r="AC368" s="348"/>
      <c r="AD368" s="15"/>
      <c r="AE368" s="2">
        <v>40.95</v>
      </c>
      <c r="AG368" s="15"/>
      <c r="AH368" s="2"/>
      <c r="AI368" s="45">
        <v>42.31</v>
      </c>
      <c r="AJ368" s="15"/>
      <c r="AK368" s="15"/>
      <c r="AM368" s="45"/>
      <c r="AN368" s="154">
        <v>455.39</v>
      </c>
      <c r="AO368" s="13"/>
      <c r="AQ368" s="307"/>
      <c r="AS368" s="13"/>
      <c r="AU368" s="180"/>
      <c r="AW368" s="13"/>
      <c r="AY368" s="180"/>
      <c r="AZ368" s="28"/>
      <c r="BA368" s="13"/>
      <c r="BB368" s="15"/>
      <c r="BC368" s="180"/>
      <c r="BD368" s="28"/>
      <c r="BE368" s="14"/>
      <c r="BF368" s="41">
        <f t="shared" ref="BF368:BG368" si="1086">K368+O368+S368+W368+AA368+AE368+AI368+AM368+AQ368+AU368+AY368+BC368</f>
        <v>208.83</v>
      </c>
      <c r="BG368" s="34">
        <f t="shared" si="1086"/>
        <v>455.39</v>
      </c>
      <c r="BH368" s="35">
        <f t="shared" ref="BH368:BH375" si="1087">H368+BF368-BG368</f>
        <v>0</v>
      </c>
      <c r="BK368" s="2" t="b">
        <f>H368='2021'!BH368</f>
        <v>1</v>
      </c>
    </row>
    <row r="369" ht="15.75" customHeight="1" spans="1:63" x14ac:dyDescent="0.25">
      <c r="A369" s="2">
        <v>41</v>
      </c>
      <c r="B369" s="14">
        <v>4.87</v>
      </c>
      <c r="C369" s="2" t="s">
        <v>177</v>
      </c>
      <c r="D369" s="14" t="s">
        <v>44</v>
      </c>
      <c r="E369" s="2" t="s">
        <v>45</v>
      </c>
      <c r="F369" s="41">
        <v>2.5</v>
      </c>
      <c r="G369" s="35">
        <v>2.6</v>
      </c>
      <c r="H369" s="34">
        <f>'2021'!BH369</f>
        <v>-20</v>
      </c>
      <c r="I369" s="13">
        <v>300</v>
      </c>
      <c r="J369" s="15">
        <f>I369-'2021'!BA369</f>
        <v>0</v>
      </c>
      <c r="K369" s="34">
        <f>J369*$F$8</f>
        <v>0</v>
      </c>
      <c r="L369" s="28"/>
      <c r="M369" s="13">
        <v>300</v>
      </c>
      <c r="N369" s="15">
        <f t="shared" ref="N369:N370" si="1088">M369-I369</f>
        <v>0</v>
      </c>
      <c r="O369" s="34">
        <f>N369*$F$8</f>
        <v>0</v>
      </c>
      <c r="Q369" s="13">
        <v>300</v>
      </c>
      <c r="R369" s="15">
        <f t="shared" ref="R369:R370" si="1089">Q369-M369</f>
        <v>0</v>
      </c>
      <c r="S369" s="34">
        <f>R369*$F$8</f>
        <v>0</v>
      </c>
      <c r="T369" s="28"/>
      <c r="U369" s="13">
        <v>300</v>
      </c>
      <c r="V369" s="15">
        <f t="shared" ref="V369:V370" si="1090">U369-Q369</f>
        <v>0</v>
      </c>
      <c r="W369" s="34">
        <f>V369*$F$8</f>
        <v>0</v>
      </c>
      <c r="Y369" s="13">
        <v>300</v>
      </c>
      <c r="Z369" s="2">
        <f t="shared" ref="Z369:Z370" si="1091">Y369-U369</f>
        <v>0</v>
      </c>
      <c r="AA369" s="34">
        <f>Z369*$F$8</f>
        <v>0</v>
      </c>
      <c r="AB369" s="28"/>
      <c r="AC369" s="348">
        <v>300</v>
      </c>
      <c r="AD369" s="15">
        <f>AC369-Y369</f>
        <v>0</v>
      </c>
      <c r="AE369" s="180">
        <f>AD369*$F$8</f>
        <v>0</v>
      </c>
      <c r="AG369" s="15">
        <v>300</v>
      </c>
      <c r="AH369" s="2">
        <f>(AG369-AC369)*AH5</f>
        <v>0</v>
      </c>
      <c r="AI369" s="45">
        <f>AH369*$G$8</f>
        <v>0</v>
      </c>
      <c r="AJ369" s="2"/>
      <c r="AK369" s="15">
        <v>300</v>
      </c>
      <c r="AL369" s="15">
        <f>(AK369-AG369)*AL5</f>
        <v>0</v>
      </c>
      <c r="AM369" s="45">
        <f>AL369*$G$8</f>
        <v>0</v>
      </c>
      <c r="AN369" s="15"/>
      <c r="AO369" s="13">
        <v>300</v>
      </c>
      <c r="AP369" s="15">
        <f>(AO369-AK369)*AP5</f>
        <v>0</v>
      </c>
      <c r="AQ369" s="45">
        <f>AP369*$G$8</f>
        <v>0</v>
      </c>
      <c r="AR369" s="15"/>
      <c r="AS369" s="13">
        <v>300</v>
      </c>
      <c r="AT369" s="15">
        <f>(AS369-AO369)*AT5</f>
        <v>0</v>
      </c>
      <c r="AU369" s="45">
        <f>AT369*$G$8</f>
        <v>0</v>
      </c>
      <c r="AV369" s="15"/>
      <c r="AW369" s="13"/>
      <c r="AX369" s="15">
        <f>(AW369-AS369)*AX5</f>
        <v>0</v>
      </c>
      <c r="AY369" s="45">
        <f>AX369*$G$8</f>
        <v>0</v>
      </c>
      <c r="AZ369" s="208"/>
      <c r="BA369" s="13"/>
      <c r="BB369" s="15"/>
      <c r="BC369" s="45">
        <f>BB369*$G$8</f>
        <v>0</v>
      </c>
      <c r="BD369" s="208"/>
      <c r="BE369" s="40">
        <f t="shared" ref="BE369:BG369" si="1092">J369+N369+R369+V369+Z369+AD369+AH369+AL369+AP369+AT369+AX369+BB369</f>
        <v>0</v>
      </c>
      <c r="BF369" s="41">
        <f t="shared" si="1092"/>
        <v>0</v>
      </c>
      <c r="BG369" s="34">
        <f t="shared" si="1092"/>
        <v>0</v>
      </c>
      <c r="BH369" s="35">
        <f t="shared" si="1087"/>
        <v>-20</v>
      </c>
      <c r="BK369" s="2" t="b">
        <f>H369='2021'!BH369</f>
        <v>1</v>
      </c>
    </row>
    <row r="370" ht="15.75" customHeight="1" spans="1:63" x14ac:dyDescent="0.25">
      <c r="A370" s="2">
        <v>41</v>
      </c>
      <c r="B370" s="14"/>
      <c r="C370" s="2" t="s">
        <v>75</v>
      </c>
      <c r="D370" s="14" t="s">
        <v>47</v>
      </c>
      <c r="E370" s="2" t="s">
        <v>48</v>
      </c>
      <c r="F370" s="13">
        <v>18.56</v>
      </c>
      <c r="G370" s="35">
        <v>19.46</v>
      </c>
      <c r="H370" s="34">
        <f>'2021'!BH370</f>
        <v>55.68</v>
      </c>
      <c r="I370" s="13">
        <v>38</v>
      </c>
      <c r="J370" s="15"/>
      <c r="K370" s="15"/>
      <c r="L370" s="28"/>
      <c r="M370" s="13">
        <v>38</v>
      </c>
      <c r="N370" s="15">
        <f t="shared" si="1088"/>
        <v>0</v>
      </c>
      <c r="Q370" s="13">
        <v>38</v>
      </c>
      <c r="R370" s="15">
        <f t="shared" si="1089"/>
        <v>0</v>
      </c>
      <c r="S370" s="15"/>
      <c r="T370" s="28"/>
      <c r="U370" s="13">
        <v>38</v>
      </c>
      <c r="V370" s="15">
        <f t="shared" si="1090"/>
        <v>0</v>
      </c>
      <c r="W370" s="180">
        <f>V370*$F$10</f>
        <v>0</v>
      </c>
      <c r="Y370" s="13">
        <v>41</v>
      </c>
      <c r="Z370" s="2">
        <f t="shared" si="1091"/>
        <v>3</v>
      </c>
      <c r="AA370" s="34">
        <f>Z370*$F$10</f>
        <v>61.05</v>
      </c>
      <c r="AB370" s="28"/>
      <c r="AC370" s="348">
        <v>0</v>
      </c>
      <c r="AD370" s="15">
        <v>0</v>
      </c>
      <c r="AE370" s="34">
        <f>AD370*$F$10</f>
        <v>0</v>
      </c>
      <c r="AG370" s="15">
        <v>0</v>
      </c>
      <c r="AH370" s="2">
        <v>0</v>
      </c>
      <c r="AI370" s="45">
        <f>AH370*$G$10</f>
        <v>0</v>
      </c>
      <c r="AJ370" s="2"/>
      <c r="AK370" s="15">
        <v>0</v>
      </c>
      <c r="AL370" s="15">
        <v>0</v>
      </c>
      <c r="AM370" s="45">
        <f>AL370*$G$10</f>
        <v>0</v>
      </c>
      <c r="AN370" s="154">
        <v>116.73</v>
      </c>
      <c r="AO370" s="13">
        <v>0</v>
      </c>
      <c r="AP370" s="15">
        <v>0</v>
      </c>
      <c r="AQ370" s="45">
        <f>AP370*$G$10</f>
        <v>0</v>
      </c>
      <c r="AR370" s="15"/>
      <c r="AS370" s="13">
        <v>0</v>
      </c>
      <c r="AT370" s="15">
        <v>0</v>
      </c>
      <c r="AU370" s="45">
        <f>AT370*$G$10</f>
        <v>0</v>
      </c>
      <c r="AV370" s="15"/>
      <c r="AW370" s="13"/>
      <c r="AX370" s="15">
        <v>0</v>
      </c>
      <c r="AY370" s="45"/>
      <c r="AZ370" s="208"/>
      <c r="BA370" s="13"/>
      <c r="BB370" s="15"/>
      <c r="BC370" s="45"/>
      <c r="BD370" s="208"/>
      <c r="BE370" s="40">
        <f t="shared" ref="BE370:BG370" si="1093">J370+N370+R370+V370+Z370+AD370+AH370+AL370+AP370+AT370+AX370+BB370</f>
        <v>3</v>
      </c>
      <c r="BF370" s="41">
        <f t="shared" si="1093"/>
        <v>61.05</v>
      </c>
      <c r="BG370" s="34">
        <f t="shared" si="1093"/>
        <v>116.73</v>
      </c>
      <c r="BH370" s="35">
        <f t="shared" si="1087"/>
        <v>0</v>
      </c>
      <c r="BK370" s="2" t="b">
        <f>H370='2021'!BH370</f>
        <v>1</v>
      </c>
    </row>
    <row r="371" ht="15.75" customHeight="1" spans="1:63" x14ac:dyDescent="0.25">
      <c r="A371" s="2">
        <v>41</v>
      </c>
      <c r="B371" s="14"/>
      <c r="C371" s="2" t="s">
        <v>178</v>
      </c>
      <c r="D371" s="14" t="s">
        <v>47</v>
      </c>
      <c r="E371" s="2" t="s">
        <v>49</v>
      </c>
      <c r="F371" s="41">
        <v>500</v>
      </c>
      <c r="G371" s="28"/>
      <c r="H371" s="34">
        <f>'2021'!BH371</f>
        <v>0</v>
      </c>
      <c r="I371" s="13"/>
      <c r="J371" s="15"/>
      <c r="K371" s="15"/>
      <c r="L371" s="28"/>
      <c r="M371" s="13"/>
      <c r="N371" s="15"/>
      <c r="Q371" s="13"/>
      <c r="R371" s="15"/>
      <c r="S371" s="15"/>
      <c r="T371" s="28"/>
      <c r="U371" s="13"/>
      <c r="V371" s="15"/>
      <c r="Y371" s="13"/>
      <c r="Z371" s="2"/>
      <c r="AA371" s="15"/>
      <c r="AB371" s="28"/>
      <c r="AC371" s="348"/>
      <c r="AD371" s="15"/>
      <c r="AG371" s="15"/>
      <c r="AH371" s="2"/>
      <c r="AI371" s="45"/>
      <c r="AJ371" s="15"/>
      <c r="AK371" s="15"/>
      <c r="AL371" s="15"/>
      <c r="AM371" s="45"/>
      <c r="AN371" s="15"/>
      <c r="AO371" s="13"/>
      <c r="AP371" s="15"/>
      <c r="AQ371" s="45"/>
      <c r="AR371" s="15"/>
      <c r="AS371" s="13"/>
      <c r="AT371" s="15"/>
      <c r="AU371" s="45"/>
      <c r="AV371" s="15"/>
      <c r="AW371" s="13"/>
      <c r="AX371" s="15"/>
      <c r="AY371" s="45"/>
      <c r="AZ371" s="28"/>
      <c r="BA371" s="13"/>
      <c r="BB371" s="15"/>
      <c r="BC371" s="45"/>
      <c r="BD371" s="28"/>
      <c r="BE371" s="14"/>
      <c r="BF371" s="41">
        <f t="shared" ref="BF371:BG371" si="1094">K371+O371+S371+W371+AA371+AE371+AI371+AM371+AQ371+AU371+AY371+BC371</f>
        <v>0</v>
      </c>
      <c r="BG371" s="34">
        <f t="shared" si="1094"/>
        <v>0</v>
      </c>
      <c r="BH371" s="35">
        <f t="shared" si="1087"/>
        <v>0</v>
      </c>
      <c r="BK371" s="2" t="b">
        <f>H371='2021'!BH371</f>
        <v>1</v>
      </c>
    </row>
    <row r="372" ht="15.75" customHeight="1" spans="1:63" x14ac:dyDescent="0.25">
      <c r="A372" s="2">
        <v>41</v>
      </c>
      <c r="B372" s="14"/>
      <c r="C372" s="2" t="s">
        <v>407</v>
      </c>
      <c r="D372" s="14" t="s">
        <v>50</v>
      </c>
      <c r="E372" s="2" t="s">
        <v>49</v>
      </c>
      <c r="F372" s="41">
        <v>1100</v>
      </c>
      <c r="G372" s="28"/>
      <c r="H372" s="34">
        <f>'2021'!BH372</f>
        <v>10714</v>
      </c>
      <c r="I372" s="13"/>
      <c r="J372" s="15"/>
      <c r="K372" s="15"/>
      <c r="L372" s="28"/>
      <c r="M372" s="13"/>
      <c r="N372" s="15"/>
      <c r="Q372" s="13"/>
      <c r="R372" s="15"/>
      <c r="S372" s="15"/>
      <c r="T372" s="28"/>
      <c r="U372" s="13"/>
      <c r="V372" s="15"/>
      <c r="Y372" s="13"/>
      <c r="Z372" s="2"/>
      <c r="AA372" s="15"/>
      <c r="AB372" s="28"/>
      <c r="AC372" s="348"/>
      <c r="AD372" s="15"/>
      <c r="AE372" s="34">
        <f>B369*$F$12</f>
        <v>6331</v>
      </c>
      <c r="AG372" s="15"/>
      <c r="AH372" s="2"/>
      <c r="AI372" s="45"/>
      <c r="AJ372" s="2"/>
      <c r="AK372" s="15"/>
      <c r="AL372" s="15"/>
      <c r="AM372" s="45"/>
      <c r="AN372" s="154">
        <v>17045</v>
      </c>
      <c r="AO372" s="13"/>
      <c r="AP372" s="15"/>
      <c r="AQ372" s="45"/>
      <c r="AR372" s="15"/>
      <c r="AS372" s="13"/>
      <c r="AT372" s="15"/>
      <c r="AU372" s="45"/>
      <c r="AV372" s="15"/>
      <c r="AW372" s="13"/>
      <c r="AX372" s="15"/>
      <c r="AY372" s="45"/>
      <c r="AZ372" s="28"/>
      <c r="BA372" s="13"/>
      <c r="BB372" s="15"/>
      <c r="BC372" s="45"/>
      <c r="BD372" s="28"/>
      <c r="BE372" s="14"/>
      <c r="BF372" s="41">
        <f t="shared" ref="BF372:BG372" si="1095">K372+O372+S372+W372+AA372+AE372+AI372+AM372+AQ372+AU372+AY372+BC372</f>
        <v>6331</v>
      </c>
      <c r="BG372" s="34">
        <f t="shared" si="1095"/>
        <v>17045</v>
      </c>
      <c r="BH372" s="35">
        <f t="shared" si="1087"/>
        <v>0</v>
      </c>
      <c r="BK372" s="2" t="b">
        <f>H372='2021'!BH372</f>
        <v>1</v>
      </c>
    </row>
    <row r="373" ht="15.75" customHeight="1" spans="1:63" x14ac:dyDescent="0.25">
      <c r="A373" s="2">
        <v>41</v>
      </c>
      <c r="B373" s="14"/>
      <c r="C373" s="2" t="s">
        <v>180</v>
      </c>
      <c r="D373" s="14" t="s">
        <v>51</v>
      </c>
      <c r="E373" s="2" t="s">
        <v>39</v>
      </c>
      <c r="F373" s="41">
        <v>500</v>
      </c>
      <c r="G373" s="28"/>
      <c r="H373" s="34">
        <f>'2021'!BH373</f>
        <v>500</v>
      </c>
      <c r="I373" s="13"/>
      <c r="J373" s="15"/>
      <c r="K373" s="15"/>
      <c r="L373" s="28"/>
      <c r="M373" s="13"/>
      <c r="N373" s="15"/>
      <c r="Q373" s="13"/>
      <c r="R373" s="15"/>
      <c r="S373" s="15"/>
      <c r="T373" s="28"/>
      <c r="U373" s="13"/>
      <c r="V373" s="15"/>
      <c r="Y373" s="13"/>
      <c r="Z373" s="2"/>
      <c r="AA373" s="15"/>
      <c r="AB373" s="28"/>
      <c r="AC373" s="348"/>
      <c r="AD373" s="15"/>
      <c r="AE373" s="180">
        <f>$F$13</f>
        <v>1000</v>
      </c>
      <c r="AG373" s="15"/>
      <c r="AH373" s="2"/>
      <c r="AI373" s="45"/>
      <c r="AJ373" s="15"/>
      <c r="AK373" s="15"/>
      <c r="AL373" s="15"/>
      <c r="AM373" s="45"/>
      <c r="AN373" s="154">
        <v>1500</v>
      </c>
      <c r="AO373" s="13"/>
      <c r="AP373" s="15"/>
      <c r="AQ373" s="180"/>
      <c r="AR373" s="15"/>
      <c r="AS373" s="13"/>
      <c r="AT373" s="15"/>
      <c r="AU373" s="45"/>
      <c r="AV373" s="15"/>
      <c r="AW373" s="13"/>
      <c r="AX373" s="15"/>
      <c r="AY373" s="45"/>
      <c r="AZ373" s="28"/>
      <c r="BA373" s="13"/>
      <c r="BB373" s="15"/>
      <c r="BC373" s="45"/>
      <c r="BD373" s="28"/>
      <c r="BE373" s="14"/>
      <c r="BF373" s="41">
        <f t="shared" ref="BF373:BG373" si="1096">K373+O373+S373+W373+AA373+AE373+AI373+AM373+AQ373+AU373+AY373+BC373</f>
        <v>1000</v>
      </c>
      <c r="BG373" s="34">
        <f t="shared" si="1096"/>
        <v>1500</v>
      </c>
      <c r="BH373" s="35">
        <f t="shared" si="1087"/>
        <v>0</v>
      </c>
      <c r="BK373" s="2" t="b">
        <f>H373='2021'!BH373</f>
        <v>1</v>
      </c>
    </row>
    <row r="374" ht="15.75" customHeight="1" spans="1:63" x14ac:dyDescent="0.25">
      <c r="A374" s="2">
        <v>41</v>
      </c>
      <c r="B374" s="14"/>
      <c r="D374" s="14" t="s">
        <v>51</v>
      </c>
      <c r="E374" s="2" t="s">
        <v>49</v>
      </c>
      <c r="F374" s="41">
        <v>500</v>
      </c>
      <c r="G374" s="28"/>
      <c r="H374" s="34">
        <f>'2021'!BH374</f>
        <v>2435</v>
      </c>
      <c r="I374" s="13"/>
      <c r="J374" s="15"/>
      <c r="K374" s="15"/>
      <c r="L374" s="28"/>
      <c r="M374" s="13"/>
      <c r="N374" s="15"/>
      <c r="Q374" s="13"/>
      <c r="R374" s="15"/>
      <c r="S374" s="15"/>
      <c r="T374" s="28"/>
      <c r="U374" s="13"/>
      <c r="V374" s="15"/>
      <c r="Y374" s="13"/>
      <c r="Z374" s="2"/>
      <c r="AA374" s="15"/>
      <c r="AB374" s="28"/>
      <c r="AC374" s="348"/>
      <c r="AD374" s="15"/>
      <c r="AE374" s="34"/>
      <c r="AG374" s="15"/>
      <c r="AH374" s="2"/>
      <c r="AI374" s="45"/>
      <c r="AJ374" s="15"/>
      <c r="AK374" s="15"/>
      <c r="AL374" s="15"/>
      <c r="AM374" s="45"/>
      <c r="AN374" s="154">
        <v>2435</v>
      </c>
      <c r="AO374" s="13"/>
      <c r="AP374" s="15"/>
      <c r="AQ374" s="180">
        <f>B369*$F$14</f>
        <v>0</v>
      </c>
      <c r="AR374" s="15"/>
      <c r="AS374" s="13"/>
      <c r="AT374" s="15"/>
      <c r="AU374" s="45"/>
      <c r="AV374" s="15"/>
      <c r="AW374" s="13"/>
      <c r="AX374" s="15"/>
      <c r="AY374" s="45"/>
      <c r="AZ374" s="28"/>
      <c r="BA374" s="13"/>
      <c r="BB374" s="15"/>
      <c r="BC374" s="45"/>
      <c r="BD374" s="28"/>
      <c r="BE374" s="14"/>
      <c r="BF374" s="41">
        <f t="shared" ref="BF374:BG374" si="1097">K374+O374+S374+W374+AA374+AE374+AI374+AM374+AQ374+AU374+AY374+BC374</f>
        <v>0</v>
      </c>
      <c r="BG374" s="34">
        <f t="shared" si="1097"/>
        <v>2435</v>
      </c>
      <c r="BH374" s="35">
        <f t="shared" si="1087"/>
        <v>0</v>
      </c>
      <c r="BK374" s="2" t="b">
        <f>H374='2021'!BH374</f>
        <v>1</v>
      </c>
    </row>
    <row r="375" ht="15.75" customHeight="1" spans="1:63" x14ac:dyDescent="0.25">
      <c r="A375" s="2">
        <v>41</v>
      </c>
      <c r="B375" s="14"/>
      <c r="D375" s="14" t="s">
        <v>52</v>
      </c>
      <c r="E375" s="2" t="s">
        <v>39</v>
      </c>
      <c r="F375" s="41">
        <v>500</v>
      </c>
      <c r="G375" s="28"/>
      <c r="H375" s="34">
        <f>'2021'!BH375</f>
        <v>500</v>
      </c>
      <c r="I375" s="13"/>
      <c r="J375" s="15"/>
      <c r="K375" s="15"/>
      <c r="L375" s="28"/>
      <c r="M375" s="13"/>
      <c r="N375" s="15"/>
      <c r="Q375" s="13"/>
      <c r="R375" s="15"/>
      <c r="S375" s="15"/>
      <c r="T375" s="28"/>
      <c r="U375" s="13"/>
      <c r="V375" s="15"/>
      <c r="Y375" s="13"/>
      <c r="Z375" s="2"/>
      <c r="AA375" s="34">
        <f>$F$15</f>
      </c>
      <c r="AB375" s="28"/>
      <c r="AC375" s="348"/>
      <c r="AD375" s="15"/>
      <c r="AG375" s="15"/>
      <c r="AH375" s="2"/>
      <c r="AI375" s="45"/>
      <c r="AJ375" s="15"/>
      <c r="AK375" s="15"/>
      <c r="AL375" s="15"/>
      <c r="AM375" s="45"/>
      <c r="AN375" s="154">
        <v>500</v>
      </c>
      <c r="AO375" s="13"/>
      <c r="AP375" s="15"/>
      <c r="AQ375" s="45"/>
      <c r="AR375" s="15"/>
      <c r="AS375" s="13"/>
      <c r="AT375" s="15"/>
      <c r="AU375" s="45"/>
      <c r="AV375" s="15"/>
      <c r="AW375" s="13"/>
      <c r="AX375" s="15"/>
      <c r="AY375" s="45"/>
      <c r="AZ375" s="35"/>
      <c r="BA375" s="13"/>
      <c r="BB375" s="15"/>
      <c r="BC375" s="45"/>
      <c r="BD375" s="35"/>
      <c r="BE375" s="14"/>
      <c r="BF375" s="41">
        <f t="shared" ref="BF375:BG375" si="1098">K375+O375+S375+W375+AA375+AE375+AI375+AM375+AQ375+AU375+AY375+BC375</f>
        <v>0</v>
      </c>
      <c r="BG375" s="34">
        <f t="shared" si="1098"/>
        <v>500</v>
      </c>
      <c r="BH375" s="35">
        <f t="shared" si="1087"/>
        <v>0</v>
      </c>
      <c r="BK375" s="2" t="b">
        <f>H375='2021'!BH375</f>
        <v>1</v>
      </c>
    </row>
    <row r="376" ht="15.75" customHeight="1" spans="1:63" x14ac:dyDescent="0.25">
      <c r="A376" s="247">
        <v>41</v>
      </c>
      <c r="B376" s="21"/>
      <c r="C376" s="22" t="s">
        <v>53</v>
      </c>
      <c r="D376" s="21"/>
      <c r="E376" s="22"/>
      <c r="F376" s="20"/>
      <c r="G376" s="23"/>
      <c r="H376" s="51">
        <f>SUM(H368:H375)</f>
        <v>14431.24</v>
      </c>
      <c r="I376" s="52"/>
      <c r="J376" s="53"/>
      <c r="K376" s="51">
        <f t="shared" ref="K376:L376" si="1099">SUM(K368:K375)</f>
        <v>0</v>
      </c>
      <c r="L376" s="68">
        <f t="shared" si="1099"/>
        <v>0</v>
      </c>
      <c r="M376" s="52"/>
      <c r="N376" s="53"/>
      <c r="O376" s="51">
        <f t="shared" ref="O376:P376" si="1100">SUM(O368:O375)</f>
        <v>0</v>
      </c>
      <c r="P376" s="51">
        <f t="shared" si="1100"/>
        <v>0</v>
      </c>
      <c r="Q376" s="52"/>
      <c r="R376" s="53"/>
      <c r="S376" s="51">
        <f t="shared" ref="S376:T376" si="1101">SUM(S368:S375)</f>
        <v>42.31</v>
      </c>
      <c r="T376" s="51">
        <f t="shared" si="1101"/>
        <v>0</v>
      </c>
      <c r="U376" s="52"/>
      <c r="V376" s="53"/>
      <c r="W376" s="51">
        <f t="shared" ref="W376:X376" si="1102">SUM(W368:W375)</f>
        <v>40.95</v>
      </c>
      <c r="X376" s="51">
        <f t="shared" si="1102"/>
        <v>0</v>
      </c>
      <c r="Y376" s="52"/>
      <c r="Z376" s="301"/>
      <c r="AA376" s="51">
        <f t="shared" ref="AA376:AB376" si="1103">SUM(AA368:AA375)</f>
        <v>103.36</v>
      </c>
      <c r="AB376" s="51">
        <f t="shared" si="1103"/>
        <v>0</v>
      </c>
      <c r="AC376" s="367"/>
      <c r="AD376" s="53"/>
      <c r="AE376" s="51">
        <f t="shared" ref="AE376:AF376" si="1104">SUM(AE368:AE375)</f>
        <v>7371.95</v>
      </c>
      <c r="AF376" s="51">
        <f t="shared" si="1104"/>
        <v>0</v>
      </c>
      <c r="AG376" s="52"/>
      <c r="AH376" s="301"/>
      <c r="AI376" s="183">
        <f t="shared" ref="AI376:AJ376" si="1105">SUM(AI368:AI375)</f>
        <v>42.31</v>
      </c>
      <c r="AJ376" s="51">
        <f t="shared" si="1105"/>
        <v>0</v>
      </c>
      <c r="AK376" s="52"/>
      <c r="AL376" s="53"/>
      <c r="AM376" s="183">
        <f t="shared" ref="AM376:AN376" si="1106">SUM(AM368:AM375)</f>
        <v>0</v>
      </c>
      <c r="AN376" s="51">
        <f t="shared" si="1106"/>
        <v>22052.12</v>
      </c>
      <c r="AO376" s="52"/>
      <c r="AP376" s="53"/>
      <c r="AQ376" s="183">
        <f t="shared" ref="AQ376:AR376" si="1107">SUM(AQ368:AQ375)</f>
        <v>0</v>
      </c>
      <c r="AR376" s="51">
        <f t="shared" si="1107"/>
        <v>0</v>
      </c>
      <c r="AS376" s="52"/>
      <c r="AT376" s="53"/>
      <c r="AU376" s="183">
        <f t="shared" ref="AU376:AV376" si="1108">SUM(AU368:AU375)</f>
        <v>0</v>
      </c>
      <c r="AV376" s="68">
        <f t="shared" si="1108"/>
        <v>0</v>
      </c>
      <c r="AW376" s="52"/>
      <c r="AX376" s="53"/>
      <c r="AY376" s="183">
        <f t="shared" ref="AY376:AZ376" si="1109">SUM(AY368:AY375)</f>
        <v>0</v>
      </c>
      <c r="AZ376" s="68">
        <f t="shared" si="1109"/>
        <v>0</v>
      </c>
      <c r="BA376" s="52"/>
      <c r="BB376" s="53"/>
      <c r="BC376" s="183">
        <f t="shared" ref="BC376:BD376" si="1110">SUM(BC368:BC375)</f>
        <v>0</v>
      </c>
      <c r="BD376" s="68">
        <f t="shared" si="1110"/>
        <v>0</v>
      </c>
      <c r="BE376" s="69"/>
      <c r="BF376" s="70">
        <f t="shared" ref="BF376:BH376" si="1111">SUM(BF368:BF375)</f>
        <v>7600.88</v>
      </c>
      <c r="BG376" s="71">
        <f t="shared" si="1111"/>
        <v>22052.12</v>
      </c>
      <c r="BH376" s="72">
        <f t="shared" si="1111"/>
        <v>-20</v>
      </c>
      <c r="BI376" s="34">
        <f>H376+BF376-BG376</f>
        <v>-20</v>
      </c>
      <c r="BJ376" s="34">
        <f>BH376-BI376</f>
        <v>0</v>
      </c>
      <c r="BK376" s="2" t="b">
        <f>H376='2021'!BH376</f>
        <v>1</v>
      </c>
    </row>
    <row r="377" ht="15.75" customHeight="1" spans="1:63" x14ac:dyDescent="0.25">
      <c r="A377" s="2">
        <v>42</v>
      </c>
      <c r="B377" s="14"/>
      <c r="D377" s="14" t="s">
        <v>552</v>
      </c>
      <c r="F377" s="41"/>
      <c r="G377" s="28"/>
      <c r="H377" s="34">
        <f>'2021'!BH377</f>
        <v>23.18</v>
      </c>
      <c r="I377" s="13"/>
      <c r="J377" s="15"/>
      <c r="K377" s="34"/>
      <c r="L377" s="28"/>
      <c r="M377" s="13"/>
      <c r="N377" s="15"/>
      <c r="Q377" s="13"/>
      <c r="R377" s="15"/>
      <c r="S377" s="15">
        <v>16.71</v>
      </c>
      <c r="T377" s="28"/>
      <c r="U377" s="13"/>
      <c r="V377" s="15"/>
      <c r="W377" s="2">
        <v>16.17</v>
      </c>
      <c r="Y377" s="13"/>
      <c r="Z377" s="2"/>
      <c r="AA377" s="154">
        <f>248.5+16.71</f>
        <v>265.21</v>
      </c>
      <c r="AB377" s="28"/>
      <c r="AC377" s="348"/>
      <c r="AD377" s="15"/>
      <c r="AE377" s="34">
        <v>16.17</v>
      </c>
      <c r="AF377" s="2"/>
      <c r="AG377" s="15"/>
      <c r="AH377" s="2"/>
      <c r="AI377" s="45">
        <v>16.71</v>
      </c>
      <c r="AJ377" s="15"/>
      <c r="AK377" s="15"/>
      <c r="AM377" s="45"/>
      <c r="AO377" s="13"/>
      <c r="AQ377" s="307"/>
      <c r="AR377" s="34"/>
      <c r="AS377" s="13"/>
      <c r="AU377" s="45"/>
      <c r="AW377" s="13"/>
      <c r="AY377" s="45"/>
      <c r="AZ377" s="28"/>
      <c r="BA377" s="13"/>
      <c r="BB377" s="15"/>
      <c r="BC377" s="45"/>
      <c r="BD377" s="28"/>
      <c r="BE377" s="14"/>
      <c r="BF377" s="41">
        <f t="shared" ref="BF377:BG377" si="1112">K377+O377+S377+W377+AA377+AE377+AI377+AM377+AQ377+AU377+AY377+BC377</f>
        <v>330.97</v>
      </c>
      <c r="BG377" s="34">
        <f t="shared" si="1112"/>
        <v>0</v>
      </c>
      <c r="BH377" s="35">
        <f t="shared" ref="BH377:BH384" si="1113">H377+BF377-BG377</f>
        <v>354.15</v>
      </c>
      <c r="BK377" s="2" t="b">
        <f>H377='2021'!BH377</f>
        <v>1</v>
      </c>
    </row>
    <row r="378" ht="15.75" customHeight="1" spans="1:63" x14ac:dyDescent="0.25">
      <c r="A378" s="2">
        <v>42</v>
      </c>
      <c r="B378" s="42">
        <v>4.9</v>
      </c>
      <c r="C378" s="15" t="s">
        <v>181</v>
      </c>
      <c r="D378" s="14" t="s">
        <v>44</v>
      </c>
      <c r="E378" s="2" t="s">
        <v>45</v>
      </c>
      <c r="F378" s="41">
        <v>2.5</v>
      </c>
      <c r="G378" s="35">
        <v>2.6</v>
      </c>
      <c r="H378" s="34">
        <f>'2021'!BH378</f>
        <v>10504.54</v>
      </c>
      <c r="I378" s="13">
        <v>26347</v>
      </c>
      <c r="J378" s="15">
        <f>I378-'2021'!BA378</f>
        <v>2652</v>
      </c>
      <c r="K378" s="34">
        <f>J378*$F$8</f>
        <v>7160.4</v>
      </c>
      <c r="L378" s="32"/>
      <c r="M378" s="13">
        <v>28992</v>
      </c>
      <c r="N378" s="15">
        <f t="shared" ref="N378:N379" si="1114">M378-I378</f>
        <v>2645</v>
      </c>
      <c r="O378" s="34">
        <f>N378*$F$8</f>
        <v>7141.5</v>
      </c>
      <c r="P378" s="1"/>
      <c r="Q378" s="13">
        <v>30863</v>
      </c>
      <c r="R378" s="15">
        <f t="shared" ref="R378:R379" si="1115">Q378-M378</f>
        <v>1871</v>
      </c>
      <c r="S378" s="34">
        <f>R378*$F$8</f>
        <v>5051.7</v>
      </c>
      <c r="T378" s="32">
        <f>8500+9000</f>
        <v>17500</v>
      </c>
      <c r="U378" s="13">
        <v>32194</v>
      </c>
      <c r="V378" s="15">
        <f t="shared" ref="V378:V379" si="1116">U378-Q378</f>
        <v>1331</v>
      </c>
      <c r="W378" s="34">
        <f>V378*$F$8</f>
        <v>3593.7</v>
      </c>
      <c r="X378" s="1"/>
      <c r="Y378" s="13">
        <v>32548</v>
      </c>
      <c r="Z378" s="2">
        <f t="shared" ref="Z378:Z379" si="1117">Y378-U378</f>
        <v>354</v>
      </c>
      <c r="AA378" s="34">
        <f>Z378*$F$8</f>
        <v>955.8</v>
      </c>
      <c r="AB378" s="32">
        <v>10000</v>
      </c>
      <c r="AC378" s="348">
        <v>32743</v>
      </c>
      <c r="AD378" s="15">
        <f t="shared" ref="AD378:AD379" si="1118">AC378-Y378</f>
        <v>195</v>
      </c>
      <c r="AE378" s="180">
        <f>AD378*$F$8</f>
        <v>526.5</v>
      </c>
      <c r="AF378" s="317">
        <v>7000</v>
      </c>
      <c r="AG378" s="15">
        <v>32882</v>
      </c>
      <c r="AH378" s="2">
        <f>(AG378-AC378)*AH5</f>
        <v>146.784</v>
      </c>
      <c r="AI378" s="45">
        <f>AH378*$G$8</f>
        <v>361.08864</v>
      </c>
      <c r="AJ378" s="15"/>
      <c r="AK378" s="15">
        <v>33048</v>
      </c>
      <c r="AL378" s="15">
        <f>(AK378-AG378)*AL5</f>
        <v>170.648</v>
      </c>
      <c r="AM378" s="45">
        <f>AL378*$G$8</f>
        <v>419.79408</v>
      </c>
      <c r="AN378" s="1">
        <v>800</v>
      </c>
      <c r="AO378" s="13">
        <v>33279</v>
      </c>
      <c r="AP378" s="15">
        <f>(AO378-AK378)*AP5</f>
        <v>238.623</v>
      </c>
      <c r="AQ378" s="45">
        <f>AP378*$G$8</f>
        <v>587.01258</v>
      </c>
      <c r="AR378" s="1">
        <v>420</v>
      </c>
      <c r="AS378" s="13">
        <v>34473</v>
      </c>
      <c r="AT378" s="15">
        <f>(AS378-AO378)*AT5</f>
        <v>1253.7</v>
      </c>
      <c r="AU378" s="45">
        <f>AT378*$G$8</f>
        <v>3084.102</v>
      </c>
      <c r="AV378" s="34"/>
      <c r="AW378" s="13"/>
      <c r="AX378" s="15">
        <f>(AW378-AS378)*AX5</f>
        <v>0</v>
      </c>
      <c r="AY378" s="45">
        <f>AX378*$G$8</f>
        <v>0</v>
      </c>
      <c r="AZ378" s="246"/>
      <c r="BA378" s="13"/>
      <c r="BB378" s="15"/>
      <c r="BC378" s="45">
        <f>BB378*$G$8</f>
        <v>0</v>
      </c>
      <c r="BD378" s="246"/>
      <c r="BE378" s="40">
        <f t="shared" ref="BE378:BG378" si="1119">J378+N378+R378+V378+Z378+AD378+AH378+AL378+AP378+AT378+AX378+BB378</f>
        <v>10857.755</v>
      </c>
      <c r="BF378" s="41">
        <f t="shared" si="1119"/>
        <v>28881.5973</v>
      </c>
      <c r="BG378" s="34">
        <f t="shared" si="1119"/>
        <v>35720</v>
      </c>
      <c r="BH378" s="35">
        <f t="shared" si="1113"/>
        <v>3666.1373</v>
      </c>
      <c r="BK378" s="2" t="b">
        <f>H378='2021'!BH378</f>
        <v>1</v>
      </c>
    </row>
    <row r="379" ht="15.75" customHeight="1" spans="1:63" x14ac:dyDescent="0.25">
      <c r="A379" s="2">
        <v>42</v>
      </c>
      <c r="B379" s="14"/>
      <c r="C379" s="15" t="s">
        <v>182</v>
      </c>
      <c r="D379" s="14" t="s">
        <v>47</v>
      </c>
      <c r="E379" s="2" t="s">
        <v>48</v>
      </c>
      <c r="F379" s="13">
        <v>18.56</v>
      </c>
      <c r="G379" s="35">
        <v>19.46</v>
      </c>
      <c r="H379" s="34">
        <f>'2021'!BH379</f>
        <v>359.18</v>
      </c>
      <c r="I379" s="13">
        <v>25</v>
      </c>
      <c r="J379" s="15"/>
      <c r="K379" s="15"/>
      <c r="L379" s="28"/>
      <c r="M379" s="13">
        <v>25</v>
      </c>
      <c r="N379" s="15">
        <f t="shared" si="1114"/>
        <v>0</v>
      </c>
      <c r="Q379" s="13">
        <v>25</v>
      </c>
      <c r="R379" s="15">
        <f t="shared" si="1115"/>
        <v>0</v>
      </c>
      <c r="S379" s="15"/>
      <c r="T379" s="28"/>
      <c r="U379" s="13">
        <v>25</v>
      </c>
      <c r="V379" s="15">
        <f t="shared" si="1116"/>
        <v>0</v>
      </c>
      <c r="W379" s="34">
        <f>V379*$F$10</f>
        <v>0</v>
      </c>
      <c r="Y379" s="13">
        <v>30</v>
      </c>
      <c r="Z379" s="2">
        <f t="shared" si="1117"/>
        <v>5</v>
      </c>
      <c r="AA379" s="34">
        <f>Z379*$F$10</f>
        <v>101.75</v>
      </c>
      <c r="AB379" s="28"/>
      <c r="AC379" s="348">
        <v>34</v>
      </c>
      <c r="AD379" s="15">
        <f t="shared" si="1118"/>
        <v>4</v>
      </c>
      <c r="AE379" s="34">
        <f>AD379*$F$10</f>
        <v>81.4</v>
      </c>
      <c r="AF379" s="2"/>
      <c r="AG379" s="154">
        <v>36</v>
      </c>
      <c r="AH379" s="2">
        <f>AG379-AC379</f>
        <v>2</v>
      </c>
      <c r="AI379" s="45">
        <f>AH379*$G$10</f>
        <v>42.8</v>
      </c>
      <c r="AJ379" s="15"/>
      <c r="AK379" s="154">
        <v>38</v>
      </c>
      <c r="AL379" s="15">
        <f>AK379-AG379</f>
        <v>2</v>
      </c>
      <c r="AM379" s="45">
        <f>AL379*$G$10</f>
        <v>42.8</v>
      </c>
      <c r="AN379" s="1">
        <v>600</v>
      </c>
      <c r="AO379" s="13">
        <v>40</v>
      </c>
      <c r="AP379" s="15">
        <f>AO379-AK379</f>
        <v>2</v>
      </c>
      <c r="AQ379" s="45">
        <f>AP379*$G$10</f>
        <v>42.8</v>
      </c>
      <c r="AR379" s="1"/>
      <c r="AS379" s="13">
        <v>40</v>
      </c>
      <c r="AT379" s="15">
        <f>AS379-AO379</f>
        <v>0</v>
      </c>
      <c r="AU379" s="45">
        <f>AT379*$G$10</f>
        <v>0</v>
      </c>
      <c r="AV379" s="15"/>
      <c r="AW379" s="13"/>
      <c r="AX379" s="15">
        <f>AW379-AS379</f>
        <v>-40</v>
      </c>
      <c r="AY379" s="45"/>
      <c r="AZ379" s="208"/>
      <c r="BA379" s="13"/>
      <c r="BB379" s="15"/>
      <c r="BC379" s="45"/>
      <c r="BD379" s="208"/>
      <c r="BE379" s="40">
        <f t="shared" ref="BE379:BG379" si="1120">J379+N379+R379+V379+Z379+AD379+AH379+AL379+AP379+AT379+AX379+BB379</f>
        <v>-25</v>
      </c>
      <c r="BF379" s="41">
        <f t="shared" si="1120"/>
        <v>311.55</v>
      </c>
      <c r="BG379" s="34">
        <f t="shared" si="1120"/>
        <v>600</v>
      </c>
      <c r="BH379" s="35">
        <f t="shared" si="1113"/>
        <v>70.73</v>
      </c>
      <c r="BK379" s="2" t="b">
        <f>H379='2021'!BH379</f>
        <v>1</v>
      </c>
    </row>
    <row r="380" ht="15.75" customHeight="1" spans="1:63" x14ac:dyDescent="0.25">
      <c r="A380" s="2">
        <v>42</v>
      </c>
      <c r="B380" s="14"/>
      <c r="C380" s="15" t="s">
        <v>183</v>
      </c>
      <c r="D380" s="14" t="s">
        <v>47</v>
      </c>
      <c r="E380" s="2" t="s">
        <v>49</v>
      </c>
      <c r="F380" s="41">
        <v>500</v>
      </c>
      <c r="G380" s="28"/>
      <c r="H380" s="34">
        <f>'2021'!BH380</f>
        <v>0</v>
      </c>
      <c r="I380" s="13"/>
      <c r="J380" s="15"/>
      <c r="K380" s="15"/>
      <c r="L380" s="28"/>
      <c r="M380" s="13"/>
      <c r="N380" s="15"/>
      <c r="Q380" s="13"/>
      <c r="R380" s="15"/>
      <c r="S380" s="15"/>
      <c r="T380" s="28"/>
      <c r="U380" s="13"/>
      <c r="V380" s="15"/>
      <c r="Y380" s="13"/>
      <c r="Z380" s="2"/>
      <c r="AA380" s="34"/>
      <c r="AB380" s="28"/>
      <c r="AC380" s="348"/>
      <c r="AD380" s="15"/>
      <c r="AF380" s="1"/>
      <c r="AG380" s="15"/>
      <c r="AH380" s="2"/>
      <c r="AI380" s="45"/>
      <c r="AJ380" s="15"/>
      <c r="AK380" s="15"/>
      <c r="AL380" s="15"/>
      <c r="AM380" s="45"/>
      <c r="AN380" s="15"/>
      <c r="AO380" s="13"/>
      <c r="AP380" s="15"/>
      <c r="AQ380" s="45"/>
      <c r="AR380" s="1"/>
      <c r="AS380" s="13"/>
      <c r="AT380" s="15"/>
      <c r="AU380" s="45"/>
      <c r="AV380" s="15"/>
      <c r="AW380" s="13"/>
      <c r="AX380" s="15"/>
      <c r="AY380" s="45"/>
      <c r="AZ380" s="28"/>
      <c r="BA380" s="13"/>
      <c r="BB380" s="15"/>
      <c r="BC380" s="45"/>
      <c r="BD380" s="28"/>
      <c r="BE380" s="40">
        <f t="shared" ref="BE380:BG380" si="1121">J380+N380+R380+V380+Z380+AD380+AH380+AL380+AP380+AT380+AX380+BB380</f>
        <v>0</v>
      </c>
      <c r="BF380" s="41">
        <f t="shared" si="1121"/>
        <v>0</v>
      </c>
      <c r="BG380" s="34">
        <f t="shared" si="1121"/>
        <v>0</v>
      </c>
      <c r="BH380" s="35">
        <f t="shared" si="1113"/>
        <v>0</v>
      </c>
      <c r="BK380" s="2" t="b">
        <f>H380='2021'!BH380</f>
        <v>1</v>
      </c>
    </row>
    <row r="381" ht="15.75" customHeight="1" spans="1:63" x14ac:dyDescent="0.25">
      <c r="A381" s="2">
        <v>42</v>
      </c>
      <c r="B381" s="14"/>
      <c r="C381" s="15" t="s">
        <v>184</v>
      </c>
      <c r="D381" s="14" t="s">
        <v>50</v>
      </c>
      <c r="E381" s="2" t="s">
        <v>49</v>
      </c>
      <c r="F381" s="41">
        <v>1100</v>
      </c>
      <c r="G381" s="28"/>
      <c r="H381" s="180">
        <f>'2021'!BH381</f>
        <v>5390</v>
      </c>
      <c r="I381" s="13"/>
      <c r="J381" s="15"/>
      <c r="K381" s="15"/>
      <c r="L381" s="28"/>
      <c r="M381" s="13"/>
      <c r="N381" s="15"/>
      <c r="Q381" s="13"/>
      <c r="R381" s="15"/>
      <c r="S381" s="15"/>
      <c r="T381" s="28"/>
      <c r="U381" s="13"/>
      <c r="V381" s="15"/>
      <c r="Y381" s="13"/>
      <c r="Z381" s="2"/>
      <c r="AA381" s="15"/>
      <c r="AB381" s="28"/>
      <c r="AC381" s="348"/>
      <c r="AD381" s="15"/>
      <c r="AE381" s="34">
        <f>B378*$F$12</f>
        <v>6370</v>
      </c>
      <c r="AF381" s="180"/>
      <c r="AG381" s="15"/>
      <c r="AH381" s="2"/>
      <c r="AI381" s="45"/>
      <c r="AJ381" s="15"/>
      <c r="AK381" s="15"/>
      <c r="AL381" s="15"/>
      <c r="AM381" s="45"/>
      <c r="AN381" s="15"/>
      <c r="AO381" s="13"/>
      <c r="AP381" s="15"/>
      <c r="AQ381" s="45"/>
      <c r="AR381" s="34"/>
      <c r="AS381" s="13"/>
      <c r="AT381" s="15"/>
      <c r="AU381" s="45"/>
      <c r="AV381" s="15"/>
      <c r="AW381" s="13"/>
      <c r="AX381" s="15"/>
      <c r="AY381" s="45"/>
      <c r="AZ381" s="28"/>
      <c r="BA381" s="13"/>
      <c r="BB381" s="15"/>
      <c r="BC381" s="45"/>
      <c r="BD381" s="28"/>
      <c r="BE381" s="14"/>
      <c r="BF381" s="41">
        <f t="shared" ref="BF381:BG381" si="1122">K381+O381+S381+W381+AA381+AE381+AI381+AM381+AQ381+AU381+AY381+BC381</f>
        <v>6370</v>
      </c>
      <c r="BG381" s="34">
        <f t="shared" si="1122"/>
        <v>0</v>
      </c>
      <c r="BH381" s="35">
        <f t="shared" si="1113"/>
        <v>11760</v>
      </c>
      <c r="BK381" s="2" t="b">
        <f>H381='2021'!BH381</f>
        <v>1</v>
      </c>
    </row>
    <row r="382" ht="15.75" customHeight="1" spans="1:63" x14ac:dyDescent="0.25">
      <c r="A382" s="2">
        <v>42</v>
      </c>
      <c r="B382" s="14"/>
      <c r="C382" s="73" t="s">
        <v>408</v>
      </c>
      <c r="D382" s="14" t="s">
        <v>51</v>
      </c>
      <c r="E382" s="2" t="s">
        <v>39</v>
      </c>
      <c r="F382" s="41">
        <v>500</v>
      </c>
      <c r="G382" s="28"/>
      <c r="H382" s="180">
        <f>'2021'!BH382</f>
        <v>0</v>
      </c>
      <c r="I382" s="13"/>
      <c r="J382" s="15"/>
      <c r="K382" s="15"/>
      <c r="L382" s="28"/>
      <c r="M382" s="13"/>
      <c r="N382" s="15"/>
      <c r="Q382" s="13"/>
      <c r="R382" s="15"/>
      <c r="S382" s="15"/>
      <c r="T382" s="28"/>
      <c r="U382" s="13"/>
      <c r="V382" s="15"/>
      <c r="Y382" s="13"/>
      <c r="Z382" s="2"/>
      <c r="AA382" s="15"/>
      <c r="AB382" s="28"/>
      <c r="AC382" s="348"/>
      <c r="AD382" s="15"/>
      <c r="AE382" s="180">
        <f>$F$13</f>
        <v>1000</v>
      </c>
      <c r="AF382" s="180"/>
      <c r="AG382" s="15"/>
      <c r="AH382" s="2"/>
      <c r="AI382" s="45"/>
      <c r="AJ382" s="15"/>
      <c r="AK382" s="15"/>
      <c r="AL382" s="15"/>
      <c r="AM382" s="45"/>
      <c r="AN382" s="15"/>
      <c r="AO382" s="13"/>
      <c r="AP382" s="15"/>
      <c r="AQ382" s="180"/>
      <c r="AR382" s="34"/>
      <c r="AS382" s="13"/>
      <c r="AT382" s="15"/>
      <c r="AU382" s="45"/>
      <c r="AV382" s="15"/>
      <c r="AW382" s="13"/>
      <c r="AX382" s="15"/>
      <c r="AY382" s="45"/>
      <c r="AZ382" s="28"/>
      <c r="BA382" s="13"/>
      <c r="BB382" s="15"/>
      <c r="BC382" s="45"/>
      <c r="BD382" s="28"/>
      <c r="BE382" s="14"/>
      <c r="BF382" s="41">
        <f t="shared" ref="BF382:BG382" si="1123">K382+O382+S382+W382+AA382+AE382+AI382+AM382+AQ382+AU382+AY382+BC382</f>
        <v>1000</v>
      </c>
      <c r="BG382" s="34">
        <f t="shared" si="1123"/>
        <v>0</v>
      </c>
      <c r="BH382" s="35">
        <f t="shared" si="1113"/>
        <v>1000</v>
      </c>
      <c r="BK382" s="2" t="b">
        <f>H382='2021'!BH382</f>
        <v>1</v>
      </c>
    </row>
    <row r="383" ht="15.75" customHeight="1" spans="1:63" x14ac:dyDescent="0.25">
      <c r="A383" s="2">
        <v>42</v>
      </c>
      <c r="B383" s="14"/>
      <c r="C383" s="15"/>
      <c r="D383" s="14" t="s">
        <v>51</v>
      </c>
      <c r="E383" s="2" t="s">
        <v>49</v>
      </c>
      <c r="F383" s="41">
        <v>500</v>
      </c>
      <c r="G383" s="28"/>
      <c r="H383" s="180">
        <f>'2021'!BH383</f>
        <v>0.5</v>
      </c>
      <c r="I383" s="13"/>
      <c r="J383" s="15"/>
      <c r="K383" s="15"/>
      <c r="L383" s="28"/>
      <c r="M383" s="13"/>
      <c r="N383" s="15"/>
      <c r="Q383" s="13"/>
      <c r="R383" s="15"/>
      <c r="S383" s="15"/>
      <c r="T383" s="28"/>
      <c r="U383" s="13"/>
      <c r="V383" s="15"/>
      <c r="Y383" s="13"/>
      <c r="Z383" s="2"/>
      <c r="AA383" s="15"/>
      <c r="AB383" s="32"/>
      <c r="AC383" s="348"/>
      <c r="AD383" s="15"/>
      <c r="AE383" s="34"/>
      <c r="AF383" s="39"/>
      <c r="AG383" s="15"/>
      <c r="AH383" s="2"/>
      <c r="AI383" s="45"/>
      <c r="AJ383" s="15"/>
      <c r="AK383" s="15"/>
      <c r="AL383" s="15"/>
      <c r="AM383" s="45"/>
      <c r="AN383" s="15"/>
      <c r="AO383" s="13"/>
      <c r="AP383" s="15"/>
      <c r="AQ383" s="180">
        <f>B378*$F$14</f>
        <v>0</v>
      </c>
      <c r="AR383" s="34"/>
      <c r="AS383" s="13"/>
      <c r="AT383" s="15"/>
      <c r="AU383" s="45"/>
      <c r="AV383" s="15"/>
      <c r="AW383" s="13"/>
      <c r="AX383" s="15"/>
      <c r="AY383" s="45"/>
      <c r="AZ383" s="28"/>
      <c r="BA383" s="13"/>
      <c r="BB383" s="15"/>
      <c r="BC383" s="45"/>
      <c r="BD383" s="28"/>
      <c r="BE383" s="14"/>
      <c r="BF383" s="41">
        <f t="shared" ref="BF383:BG383" si="1124">K383+O383+S383+W383+AA383+AE383+AI383+AM383+AQ383+AU383+AY383+BC383</f>
        <v>0</v>
      </c>
      <c r="BG383" s="34">
        <f t="shared" si="1124"/>
        <v>0</v>
      </c>
      <c r="BH383" s="35">
        <f t="shared" si="1113"/>
        <v>0.5</v>
      </c>
      <c r="BK383" s="2" t="b">
        <f>H383='2021'!BH383</f>
        <v>1</v>
      </c>
    </row>
    <row r="384" ht="15.75" customHeight="1" spans="1:63" x14ac:dyDescent="0.25">
      <c r="A384" s="2">
        <v>42</v>
      </c>
      <c r="B384" s="14"/>
      <c r="C384" s="15" t="s">
        <v>409</v>
      </c>
      <c r="D384" s="14" t="s">
        <v>52</v>
      </c>
      <c r="E384" s="2" t="s">
        <v>39</v>
      </c>
      <c r="F384" s="41">
        <v>500</v>
      </c>
      <c r="G384" s="28"/>
      <c r="H384" s="180">
        <f>'2021'!BH384</f>
        <v>0</v>
      </c>
      <c r="I384" s="13"/>
      <c r="J384" s="15"/>
      <c r="K384" s="15"/>
      <c r="L384" s="28"/>
      <c r="M384" s="13"/>
      <c r="N384" s="15"/>
      <c r="Q384" s="13"/>
      <c r="R384" s="15"/>
      <c r="S384" s="15"/>
      <c r="T384" s="28"/>
      <c r="U384" s="13"/>
      <c r="V384" s="15"/>
      <c r="Y384" s="13"/>
      <c r="Z384" s="2"/>
      <c r="AA384" s="34">
        <f>$F$15</f>
      </c>
      <c r="AB384" s="28"/>
      <c r="AC384" s="348"/>
      <c r="AD384" s="15"/>
      <c r="AF384" s="180"/>
      <c r="AG384" s="15"/>
      <c r="AH384" s="2"/>
      <c r="AI384" s="45"/>
      <c r="AJ384" s="15"/>
      <c r="AK384" s="15"/>
      <c r="AL384" s="15"/>
      <c r="AM384" s="45"/>
      <c r="AN384" s="15"/>
      <c r="AO384" s="13"/>
      <c r="AP384" s="15"/>
      <c r="AQ384" s="45"/>
      <c r="AR384" s="34"/>
      <c r="AS384" s="13"/>
      <c r="AT384" s="15"/>
      <c r="AU384" s="45"/>
      <c r="AV384" s="15"/>
      <c r="AW384" s="13"/>
      <c r="AX384" s="15"/>
      <c r="AY384" s="45"/>
      <c r="AZ384" s="35"/>
      <c r="BA384" s="13"/>
      <c r="BB384" s="15"/>
      <c r="BC384" s="45"/>
      <c r="BD384" s="35"/>
      <c r="BE384" s="14"/>
      <c r="BF384" s="41">
        <f t="shared" ref="BF384:BG384" si="1125">K384+O384+S384+W384+AA384+AE384+AI384+AM384+AQ384+AU384+AY384+BC384</f>
        <v>0</v>
      </c>
      <c r="BG384" s="34">
        <f t="shared" si="1125"/>
        <v>0</v>
      </c>
      <c r="BH384" s="35">
        <f t="shared" si="1113"/>
        <v>0</v>
      </c>
      <c r="BK384" s="2" t="b">
        <f>H384='2021'!BH384</f>
        <v>1</v>
      </c>
    </row>
    <row r="385" ht="15.75" customHeight="1" spans="1:63" x14ac:dyDescent="0.25">
      <c r="A385" s="247">
        <v>42</v>
      </c>
      <c r="B385" s="21"/>
      <c r="C385" s="22" t="s">
        <v>53</v>
      </c>
      <c r="D385" s="21"/>
      <c r="E385" s="22"/>
      <c r="F385" s="20"/>
      <c r="G385" s="23"/>
      <c r="H385" s="51">
        <f>SUM(H377:H384)</f>
        <v>16277.4</v>
      </c>
      <c r="I385" s="52"/>
      <c r="J385" s="53"/>
      <c r="K385" s="51">
        <f t="shared" ref="K385:L385" si="1126">SUM(K377:K384)</f>
        <v>7160.4</v>
      </c>
      <c r="L385" s="68">
        <f t="shared" si="1126"/>
        <v>0</v>
      </c>
      <c r="M385" s="52"/>
      <c r="N385" s="53"/>
      <c r="O385" s="51">
        <f t="shared" ref="O385:P385" si="1127">SUM(O377:O384)</f>
        <v>7141.5</v>
      </c>
      <c r="P385" s="51">
        <f t="shared" si="1127"/>
        <v>0</v>
      </c>
      <c r="Q385" s="52"/>
      <c r="R385" s="53"/>
      <c r="S385" s="51">
        <f t="shared" ref="S385:T385" si="1128">SUM(S377:S384)</f>
        <v>5068.41</v>
      </c>
      <c r="T385" s="51">
        <f t="shared" si="1128"/>
        <v>17500</v>
      </c>
      <c r="U385" s="52"/>
      <c r="V385" s="53"/>
      <c r="W385" s="51">
        <f t="shared" ref="W385:X385" si="1129">SUM(W377:W384)</f>
        <v>3609.87</v>
      </c>
      <c r="X385" s="51">
        <f t="shared" si="1129"/>
        <v>0</v>
      </c>
      <c r="Y385" s="52"/>
      <c r="Z385" s="301"/>
      <c r="AA385" s="51">
        <f t="shared" ref="AA385:AB385" si="1130">SUM(AA377:AA384)</f>
        <v>1322.76</v>
      </c>
      <c r="AB385" s="51">
        <f t="shared" si="1130"/>
        <v>10000</v>
      </c>
      <c r="AC385" s="367"/>
      <c r="AD385" s="53"/>
      <c r="AE385" s="51">
        <f t="shared" ref="AE385:AF385" si="1131">SUM(AE377:AE384)</f>
        <v>7994.07</v>
      </c>
      <c r="AF385" s="51">
        <f t="shared" si="1131"/>
        <v>7000</v>
      </c>
      <c r="AG385" s="52"/>
      <c r="AH385" s="301"/>
      <c r="AI385" s="183">
        <f t="shared" ref="AI385:AJ385" si="1132">SUM(AI377:AI384)</f>
        <v>420.59864</v>
      </c>
      <c r="AJ385" s="51">
        <f t="shared" si="1132"/>
        <v>0</v>
      </c>
      <c r="AK385" s="52"/>
      <c r="AL385" s="53"/>
      <c r="AM385" s="183">
        <f t="shared" ref="AM385:AN385" si="1133">SUM(AM377:AM384)</f>
        <v>462.59408</v>
      </c>
      <c r="AN385" s="51">
        <f t="shared" si="1133"/>
        <v>1400</v>
      </c>
      <c r="AO385" s="52"/>
      <c r="AP385" s="53"/>
      <c r="AQ385" s="183">
        <f t="shared" ref="AQ385:AR385" si="1134">SUM(AQ377:AQ384)</f>
        <v>629.81258</v>
      </c>
      <c r="AR385" s="51">
        <f t="shared" si="1134"/>
        <v>420</v>
      </c>
      <c r="AS385" s="52"/>
      <c r="AT385" s="53"/>
      <c r="AU385" s="183">
        <f t="shared" ref="AU385:AV385" si="1135">SUM(AU377:AU384)</f>
        <v>3084.102</v>
      </c>
      <c r="AV385" s="68">
        <f t="shared" si="1135"/>
        <v>0</v>
      </c>
      <c r="AW385" s="52"/>
      <c r="AX385" s="53"/>
      <c r="AY385" s="183">
        <f t="shared" ref="AY385:AZ385" si="1136">SUM(AY377:AY384)</f>
        <v>0</v>
      </c>
      <c r="AZ385" s="68">
        <f t="shared" si="1136"/>
        <v>0</v>
      </c>
      <c r="BA385" s="52"/>
      <c r="BB385" s="53"/>
      <c r="BC385" s="183">
        <f t="shared" ref="BC385:BD385" si="1137">SUM(BC377:BC384)</f>
        <v>0</v>
      </c>
      <c r="BD385" s="68">
        <f t="shared" si="1137"/>
        <v>0</v>
      </c>
      <c r="BE385" s="69"/>
      <c r="BF385" s="70">
        <f t="shared" ref="BF385:BH385" si="1138">SUM(BF377:BF384)</f>
        <v>36894.1173</v>
      </c>
      <c r="BG385" s="71">
        <f t="shared" si="1138"/>
        <v>36320</v>
      </c>
      <c r="BH385" s="72">
        <f t="shared" si="1138"/>
        <v>16851.5173</v>
      </c>
      <c r="BI385" s="34">
        <f>H385+BF385-BG385</f>
        <v>16851.5173</v>
      </c>
      <c r="BJ385" s="34">
        <f>BH385-BI385</f>
        <v>0</v>
      </c>
      <c r="BK385" s="2" t="b">
        <f>H385='2021'!BH385</f>
        <v>1</v>
      </c>
    </row>
    <row r="386" ht="15.75" customHeight="1" spans="1:63" x14ac:dyDescent="0.25">
      <c r="A386" s="2">
        <v>43</v>
      </c>
      <c r="B386" s="14"/>
      <c r="D386" s="14" t="s">
        <v>552</v>
      </c>
      <c r="F386" s="13"/>
      <c r="G386" s="28"/>
      <c r="H386" s="34">
        <f>'2021'!BH386</f>
        <v>-193.06</v>
      </c>
      <c r="I386" s="13"/>
      <c r="J386" s="15"/>
      <c r="K386" s="15"/>
      <c r="L386" s="28"/>
      <c r="M386" s="13"/>
      <c r="N386" s="15"/>
      <c r="Q386" s="13"/>
      <c r="R386" s="15"/>
      <c r="S386" s="15">
        <v>1.33</v>
      </c>
      <c r="T386" s="32"/>
      <c r="U386" s="13"/>
      <c r="V386" s="15"/>
      <c r="W386" s="2">
        <v>1.29</v>
      </c>
      <c r="Y386" s="13"/>
      <c r="Z386" s="2"/>
      <c r="AA386" s="154">
        <f>248.5+1.33</f>
        <v>249.83</v>
      </c>
      <c r="AB386" s="28"/>
      <c r="AC386" s="348"/>
      <c r="AD386" s="15"/>
      <c r="AE386" s="2">
        <v>1.29</v>
      </c>
      <c r="AF386" s="364">
        <v>59.39</v>
      </c>
      <c r="AG386" s="15"/>
      <c r="AH386" s="2"/>
      <c r="AI386" s="45"/>
      <c r="AJ386" s="15"/>
      <c r="AK386" s="15"/>
      <c r="AM386" s="45"/>
      <c r="AO386" s="13"/>
      <c r="AQ386" s="307"/>
      <c r="AS386" s="13"/>
      <c r="AU386" s="45"/>
      <c r="AW386" s="13"/>
      <c r="AY386" s="45"/>
      <c r="AZ386" s="28"/>
      <c r="BA386" s="13"/>
      <c r="BB386" s="15"/>
      <c r="BC386" s="45"/>
      <c r="BD386" s="28"/>
      <c r="BE386" s="14"/>
      <c r="BF386" s="41">
        <f t="shared" ref="BF386:BG386" si="1139">K386+O386+S386+W386+AA386+AE386+AI386+AM386+AQ386+AU386+AY386+BC386</f>
        <v>253.74</v>
      </c>
      <c r="BG386" s="34">
        <f t="shared" si="1139"/>
        <v>59.39</v>
      </c>
      <c r="BH386" s="35">
        <f t="shared" ref="BH386:BH393" si="1140">H386+BF386-BG386</f>
        <v>1.29</v>
      </c>
      <c r="BK386" s="2" t="b">
        <f>H386='2021'!BH386</f>
        <v>1</v>
      </c>
    </row>
    <row r="387" ht="15.75" customHeight="1" spans="1:63" x14ac:dyDescent="0.25">
      <c r="A387" s="2">
        <v>43</v>
      </c>
      <c r="B387" s="14">
        <v>4.96</v>
      </c>
      <c r="C387" s="2" t="s">
        <v>185</v>
      </c>
      <c r="D387" s="14" t="s">
        <v>44</v>
      </c>
      <c r="E387" s="2" t="s">
        <v>45</v>
      </c>
      <c r="F387" s="41">
        <v>2.5</v>
      </c>
      <c r="G387" s="35">
        <v>2.6</v>
      </c>
      <c r="H387" s="34">
        <f>'2021'!BH387</f>
        <v>390.09</v>
      </c>
      <c r="I387" s="13">
        <v>2170</v>
      </c>
      <c r="J387" s="15">
        <f>I387-'2021'!BA387</f>
        <v>1811</v>
      </c>
      <c r="K387" s="34">
        <f>J387*$F$8</f>
        <v>4889.7</v>
      </c>
      <c r="L387" s="28">
        <v>500</v>
      </c>
      <c r="M387" s="13">
        <v>4199</v>
      </c>
      <c r="N387" s="15">
        <f t="shared" ref="N387:N388" si="1141">M387-I387</f>
        <v>2029</v>
      </c>
      <c r="O387" s="34">
        <f>N387*$F$8</f>
        <v>5478.3</v>
      </c>
      <c r="Q387" s="13">
        <v>5252</v>
      </c>
      <c r="R387" s="15">
        <f t="shared" ref="R387:R388" si="1142">Q387-M387</f>
        <v>1053</v>
      </c>
      <c r="S387" s="34">
        <f>R387*$F$8</f>
        <v>2843.1</v>
      </c>
      <c r="T387" s="32">
        <v>11000</v>
      </c>
      <c r="U387" s="13">
        <v>6252</v>
      </c>
      <c r="V387" s="15">
        <f t="shared" ref="V387:V388" si="1143">U387-Q387</f>
        <v>1000</v>
      </c>
      <c r="W387" s="34">
        <f>V387*$F$8</f>
        <v>2700</v>
      </c>
      <c r="Y387" s="13">
        <v>6719</v>
      </c>
      <c r="Z387" s="2">
        <f>Y387-U387</f>
        <v>467</v>
      </c>
      <c r="AA387" s="34">
        <f>Z387*$F$8</f>
        <v>1260.9</v>
      </c>
      <c r="AB387" s="32">
        <v>4800</v>
      </c>
      <c r="AC387" s="348">
        <v>7052</v>
      </c>
      <c r="AD387" s="15">
        <f t="shared" ref="AD387:AD388" si="1144">AC387-Y387</f>
        <v>333</v>
      </c>
      <c r="AE387" s="180">
        <f>AD387*$F$8</f>
        <v>899.1</v>
      </c>
      <c r="AF387" s="364">
        <v>1262.09</v>
      </c>
      <c r="AG387" s="15">
        <v>7330</v>
      </c>
      <c r="AH387" s="2">
        <f>(AG387-AC387)*AH5</f>
        <v>293.568</v>
      </c>
      <c r="AI387" s="45">
        <f>AH387*$G$8</f>
        <v>722.17728</v>
      </c>
      <c r="AJ387" s="136">
        <v>899.1</v>
      </c>
      <c r="AK387" s="15">
        <v>7540</v>
      </c>
      <c r="AL387" s="15">
        <f>(AK387-AG387)*AL5</f>
        <v>215.88</v>
      </c>
      <c r="AM387" s="45">
        <f>AL387*$G$8</f>
        <v>531.0648</v>
      </c>
      <c r="AN387" s="15"/>
      <c r="AO387" s="13">
        <v>7648</v>
      </c>
      <c r="AP387" s="15">
        <f>(AO387-AK387)*AP5</f>
        <v>111.564</v>
      </c>
      <c r="AQ387" s="45">
        <f>AP387*$G$8</f>
        <v>274.44744</v>
      </c>
      <c r="AR387" s="39">
        <v>1695</v>
      </c>
      <c r="AS387" s="13">
        <v>8217</v>
      </c>
      <c r="AT387" s="15">
        <f>(AS387-AO387)*AT5</f>
        <v>597.45</v>
      </c>
      <c r="AU387" s="45">
        <f t="shared" ref="AU387:AU388" si="1145">AT387*$G$8</f>
        <v>1469.727</v>
      </c>
      <c r="AV387" s="15"/>
      <c r="AW387" s="13"/>
      <c r="AX387" s="15">
        <f>(AW387-AS387)*AX5</f>
        <v>0</v>
      </c>
      <c r="AY387" s="45">
        <f>AX387*$G$8</f>
        <v>0</v>
      </c>
      <c r="AZ387" s="208"/>
      <c r="BA387" s="13"/>
      <c r="BB387" s="15"/>
      <c r="BC387" s="45">
        <f>BB387*$G$8</f>
        <v>0</v>
      </c>
      <c r="BD387" s="246"/>
      <c r="BE387" s="40">
        <f t="shared" ref="BE387:BG387" si="1146">J387+N387+R387+V387+Z387+AD387+AH387+AL387+AP387+AT387+AX387+BB387</f>
        <v>7911.462</v>
      </c>
      <c r="BF387" s="41">
        <f t="shared" si="1146"/>
        <v>21068.51652</v>
      </c>
      <c r="BG387" s="34">
        <f t="shared" si="1146"/>
        <v>20156.19</v>
      </c>
      <c r="BH387" s="35">
        <f t="shared" si="1140"/>
        <v>1302.41652</v>
      </c>
      <c r="BK387" s="2" t="b">
        <f>H387='2021'!BH387</f>
        <v>1</v>
      </c>
    </row>
    <row r="388" ht="15.75" customHeight="1" spans="1:63" x14ac:dyDescent="0.25">
      <c r="A388" s="2">
        <v>43</v>
      </c>
      <c r="B388" s="14"/>
      <c r="C388" s="2" t="s">
        <v>186</v>
      </c>
      <c r="D388" s="14" t="s">
        <v>47</v>
      </c>
      <c r="E388" s="2" t="s">
        <v>48</v>
      </c>
      <c r="F388" s="13">
        <v>18.56</v>
      </c>
      <c r="G388" s="35">
        <v>19.46</v>
      </c>
      <c r="H388" s="34">
        <f>'2021'!BH388</f>
        <v>51.91</v>
      </c>
      <c r="I388" s="13">
        <v>34</v>
      </c>
      <c r="J388" s="15"/>
      <c r="K388" s="15"/>
      <c r="L388" s="28"/>
      <c r="M388" s="13">
        <v>34</v>
      </c>
      <c r="N388" s="15">
        <f t="shared" si="1141"/>
        <v>0</v>
      </c>
      <c r="Q388" s="13">
        <v>34</v>
      </c>
      <c r="R388" s="15">
        <f t="shared" si="1142"/>
        <v>0</v>
      </c>
      <c r="S388" s="15"/>
      <c r="T388" s="32"/>
      <c r="U388" s="13">
        <v>34</v>
      </c>
      <c r="V388" s="15">
        <f t="shared" si="1143"/>
        <v>0</v>
      </c>
      <c r="W388" s="180">
        <f>V388*$F$10</f>
        <v>0</v>
      </c>
      <c r="Y388" s="13">
        <v>0</v>
      </c>
      <c r="Z388" s="2">
        <v>0</v>
      </c>
      <c r="AA388" s="34">
        <f>Z388*$F$10</f>
        <v>0</v>
      </c>
      <c r="AB388" s="32">
        <v>200</v>
      </c>
      <c r="AC388" s="348">
        <v>12</v>
      </c>
      <c r="AD388" s="15">
        <f t="shared" si="1144"/>
        <v>12</v>
      </c>
      <c r="AE388" s="34">
        <f>AD388*$F$10</f>
        <v>244.2</v>
      </c>
      <c r="AG388" s="15">
        <v>20</v>
      </c>
      <c r="AH388" s="2">
        <f>AG388-AC388</f>
        <v>8</v>
      </c>
      <c r="AI388" s="45">
        <f>AH388*$G$10</f>
        <v>171.2</v>
      </c>
      <c r="AJ388" s="136">
        <v>91.11</v>
      </c>
      <c r="AK388" s="15">
        <v>26</v>
      </c>
      <c r="AL388" s="15">
        <f>AK388-AG388</f>
        <v>6</v>
      </c>
      <c r="AM388" s="45">
        <f>AL388*$G$10</f>
        <v>128.4</v>
      </c>
      <c r="AN388" s="15"/>
      <c r="AO388" s="13">
        <v>29</v>
      </c>
      <c r="AP388" s="15">
        <f>AO388-AK388</f>
        <v>3</v>
      </c>
      <c r="AQ388" s="45">
        <f>AP388*$G$10</f>
        <v>64.2</v>
      </c>
      <c r="AR388" s="39">
        <v>305</v>
      </c>
      <c r="AS388" s="13">
        <v>29</v>
      </c>
      <c r="AT388" s="15">
        <f>AS388-AO388</f>
        <v>0</v>
      </c>
      <c r="AU388" s="45">
        <f t="shared" si="1145"/>
        <v>0</v>
      </c>
      <c r="AV388" s="15"/>
      <c r="AW388" s="13"/>
      <c r="AX388" s="15">
        <f>AW388-AS388</f>
        <v>-29</v>
      </c>
      <c r="AY388" s="45"/>
      <c r="AZ388" s="208"/>
      <c r="BA388" s="13"/>
      <c r="BB388" s="15"/>
      <c r="BC388" s="45"/>
      <c r="BD388" s="208"/>
      <c r="BE388" s="40">
        <f t="shared" ref="BE388:BG388" si="1147">J388+N388+R388+V388+Z388+AD388+AH388+AL388+AP388+AT388+AX388+BB388</f>
        <v>0</v>
      </c>
      <c r="BF388" s="41">
        <f t="shared" si="1147"/>
        <v>608</v>
      </c>
      <c r="BG388" s="34">
        <f t="shared" si="1147"/>
        <v>596.11</v>
      </c>
      <c r="BH388" s="35">
        <f t="shared" si="1140"/>
        <v>63.8</v>
      </c>
      <c r="BK388" s="2" t="b">
        <f>H388='2021'!BH388</f>
        <v>1</v>
      </c>
    </row>
    <row r="389" ht="15.75" customHeight="1" spans="1:63" x14ac:dyDescent="0.25">
      <c r="A389" s="2">
        <v>43</v>
      </c>
      <c r="B389" s="14"/>
      <c r="C389" s="2" t="s">
        <v>187</v>
      </c>
      <c r="D389" s="14" t="s">
        <v>47</v>
      </c>
      <c r="E389" s="2" t="s">
        <v>49</v>
      </c>
      <c r="F389" s="41">
        <v>500</v>
      </c>
      <c r="G389" s="28"/>
      <c r="H389" s="34">
        <f>'2021'!BH389</f>
        <v>0</v>
      </c>
      <c r="I389" s="13"/>
      <c r="J389" s="15"/>
      <c r="K389" s="15"/>
      <c r="L389" s="28"/>
      <c r="M389" s="13"/>
      <c r="N389" s="15"/>
      <c r="Q389" s="13"/>
      <c r="R389" s="15"/>
      <c r="S389" s="15"/>
      <c r="T389" s="32"/>
      <c r="U389" s="13"/>
      <c r="V389" s="15"/>
      <c r="Y389" s="13"/>
      <c r="Z389" s="2"/>
      <c r="AA389" s="15"/>
      <c r="AB389" s="28"/>
      <c r="AC389" s="348"/>
      <c r="AD389" s="15"/>
      <c r="AG389" s="15"/>
      <c r="AH389" s="2"/>
      <c r="AI389" s="45"/>
      <c r="AJ389" s="39"/>
      <c r="AK389" s="15"/>
      <c r="AL389" s="15"/>
      <c r="AM389" s="45"/>
      <c r="AN389" s="15"/>
      <c r="AO389" s="13"/>
      <c r="AP389" s="15"/>
      <c r="AQ389" s="45"/>
      <c r="AR389" s="1"/>
      <c r="AS389" s="13"/>
      <c r="AT389" s="15"/>
      <c r="AU389" s="45"/>
      <c r="AV389" s="15"/>
      <c r="AW389" s="13"/>
      <c r="AX389" s="15"/>
      <c r="AY389" s="45"/>
      <c r="AZ389" s="28"/>
      <c r="BA389" s="13"/>
      <c r="BB389" s="15"/>
      <c r="BC389" s="45"/>
      <c r="BD389" s="28"/>
      <c r="BE389" s="14"/>
      <c r="BF389" s="41">
        <f t="shared" ref="BF389:BG389" si="1148">K389+O389+S389+W389+AA389+AE389+AI389+AM389+AQ389+AU389+AY389+BC389</f>
        <v>0</v>
      </c>
      <c r="BG389" s="34">
        <f t="shared" si="1148"/>
        <v>0</v>
      </c>
      <c r="BH389" s="35">
        <f t="shared" si="1140"/>
        <v>0</v>
      </c>
      <c r="BK389" s="2" t="b">
        <f>H389='2021'!BH389</f>
        <v>1</v>
      </c>
    </row>
    <row r="390" ht="15.75" customHeight="1" spans="1:63" x14ac:dyDescent="0.25">
      <c r="A390" s="2">
        <v>43</v>
      </c>
      <c r="B390" s="14"/>
      <c r="C390" s="2" t="s">
        <v>410</v>
      </c>
      <c r="D390" s="14" t="s">
        <v>50</v>
      </c>
      <c r="E390" s="2" t="s">
        <v>49</v>
      </c>
      <c r="F390" s="41">
        <v>1100</v>
      </c>
      <c r="G390" s="28"/>
      <c r="H390" s="34">
        <f>'2021'!BH390</f>
        <v>456</v>
      </c>
      <c r="I390" s="13"/>
      <c r="M390" s="13"/>
      <c r="N390" s="15"/>
      <c r="Q390" s="13"/>
      <c r="R390" s="15"/>
      <c r="S390" s="15"/>
      <c r="T390" s="32"/>
      <c r="U390" s="13"/>
      <c r="V390" s="15"/>
      <c r="Y390" s="13"/>
      <c r="Z390" s="2"/>
      <c r="AA390" s="15"/>
      <c r="AB390" s="28"/>
      <c r="AC390" s="348"/>
      <c r="AD390" s="15"/>
      <c r="AE390" s="34">
        <f>B387*$F$12</f>
        <v>6448</v>
      </c>
      <c r="AF390" s="364">
        <v>2678.52</v>
      </c>
      <c r="AG390" s="15"/>
      <c r="AH390" s="2"/>
      <c r="AI390" s="45"/>
      <c r="AJ390" s="136">
        <v>2225.48</v>
      </c>
      <c r="AK390" s="15"/>
      <c r="AL390" s="15"/>
      <c r="AM390" s="45"/>
      <c r="AN390" s="1"/>
      <c r="AO390" s="13"/>
      <c r="AP390" s="15"/>
      <c r="AQ390" s="45"/>
      <c r="AR390" s="1">
        <v>2000</v>
      </c>
      <c r="AS390" s="13"/>
      <c r="AT390" s="15"/>
      <c r="AU390" s="45"/>
      <c r="AV390" s="15"/>
      <c r="AW390" s="13"/>
      <c r="AX390" s="15"/>
      <c r="AY390" s="45"/>
      <c r="AZ390" s="28"/>
      <c r="BA390" s="13"/>
      <c r="BB390" s="15"/>
      <c r="BC390" s="45"/>
      <c r="BD390" s="28"/>
      <c r="BE390" s="14"/>
      <c r="BF390" s="41">
        <f t="shared" ref="BF390:BG390" si="1149">K390+O390+S390+W390+AA390+AE390+AI390+AM390+AQ390+AU390+AY390+BC390</f>
        <v>6448</v>
      </c>
      <c r="BG390" s="34">
        <f t="shared" si="1149"/>
        <v>6904</v>
      </c>
      <c r="BH390" s="35">
        <f t="shared" si="1140"/>
        <v>0</v>
      </c>
      <c r="BK390" s="2" t="b">
        <f>H390='2021'!BH390</f>
        <v>1</v>
      </c>
    </row>
    <row r="391" ht="15.75" customHeight="1" spans="1:63" x14ac:dyDescent="0.25">
      <c r="A391" s="2">
        <v>43</v>
      </c>
      <c r="B391" s="14"/>
      <c r="D391" s="14" t="s">
        <v>51</v>
      </c>
      <c r="E391" s="2" t="s">
        <v>39</v>
      </c>
      <c r="F391" s="41">
        <v>500</v>
      </c>
      <c r="G391" s="28"/>
      <c r="H391" s="182">
        <f>'2021'!BH391</f>
        <v>0</v>
      </c>
      <c r="I391" s="13"/>
      <c r="J391" s="15"/>
      <c r="K391" s="15"/>
      <c r="L391" s="28"/>
      <c r="M391" s="13"/>
      <c r="N391" s="15"/>
      <c r="Q391" s="13"/>
      <c r="R391" s="15"/>
      <c r="S391" s="15"/>
      <c r="T391" s="32"/>
      <c r="U391" s="13"/>
      <c r="V391" s="15"/>
      <c r="Y391" s="13"/>
      <c r="Z391" s="2"/>
      <c r="AA391" s="15"/>
      <c r="AB391" s="28"/>
      <c r="AC391" s="348"/>
      <c r="AD391" s="15"/>
      <c r="AE391" s="180">
        <f>$F$13</f>
        <v>1000</v>
      </c>
      <c r="AG391" s="15"/>
      <c r="AH391" s="2"/>
      <c r="AI391" s="45"/>
      <c r="AJ391" s="248"/>
      <c r="AK391" s="15"/>
      <c r="AL391" s="15"/>
      <c r="AM391" s="45"/>
      <c r="AN391" s="15"/>
      <c r="AO391" s="13"/>
      <c r="AP391" s="15"/>
      <c r="AQ391" s="180"/>
      <c r="AR391" s="39">
        <v>1000</v>
      </c>
      <c r="AS391" s="13"/>
      <c r="AT391" s="15"/>
      <c r="AU391" s="45"/>
      <c r="AV391" s="15"/>
      <c r="AW391" s="13"/>
      <c r="AX391" s="15"/>
      <c r="AY391" s="45"/>
      <c r="AZ391" s="28"/>
      <c r="BA391" s="13"/>
      <c r="BB391" s="15"/>
      <c r="BC391" s="45"/>
      <c r="BD391" s="28"/>
      <c r="BE391" s="14"/>
      <c r="BF391" s="41">
        <f t="shared" ref="BF391:BG391" si="1150">K391+O391+S391+W391+AA391+AE391+AI391+AM391+AQ391+AU391+AY391+BC391</f>
        <v>1000</v>
      </c>
      <c r="BG391" s="34">
        <f t="shared" si="1150"/>
        <v>1000</v>
      </c>
      <c r="BH391" s="35">
        <f t="shared" si="1140"/>
        <v>0</v>
      </c>
      <c r="BK391" s="2" t="b">
        <f>H391='2021'!BH391</f>
        <v>1</v>
      </c>
    </row>
    <row r="392" ht="15.75" customHeight="1" spans="1:63" x14ac:dyDescent="0.25">
      <c r="A392" s="2">
        <v>43</v>
      </c>
      <c r="B392" s="14"/>
      <c r="D392" s="14" t="s">
        <v>51</v>
      </c>
      <c r="E392" s="2" t="s">
        <v>49</v>
      </c>
      <c r="F392" s="41">
        <v>500</v>
      </c>
      <c r="G392" s="28"/>
      <c r="H392" s="182">
        <f>'2021'!BH392</f>
        <v>-27</v>
      </c>
      <c r="I392" s="13"/>
      <c r="J392" s="15"/>
      <c r="K392" s="15"/>
      <c r="L392" s="28"/>
      <c r="M392" s="13"/>
      <c r="N392" s="15"/>
      <c r="Q392" s="13"/>
      <c r="R392" s="15"/>
      <c r="S392" s="15"/>
      <c r="T392" s="32"/>
      <c r="U392" s="13"/>
      <c r="V392" s="15"/>
      <c r="Y392" s="13"/>
      <c r="Z392" s="2"/>
      <c r="AA392" s="15"/>
      <c r="AB392" s="28"/>
      <c r="AC392" s="348"/>
      <c r="AD392" s="15"/>
      <c r="AE392" s="34"/>
      <c r="AG392" s="15"/>
      <c r="AH392" s="2"/>
      <c r="AI392" s="45"/>
      <c r="AJ392" s="248"/>
      <c r="AK392" s="15"/>
      <c r="AL392" s="15"/>
      <c r="AM392" s="45"/>
      <c r="AN392" s="15"/>
      <c r="AO392" s="13"/>
      <c r="AP392" s="15"/>
      <c r="AQ392" s="180">
        <f>B387*$F$14</f>
        <v>0</v>
      </c>
      <c r="AR392" s="15"/>
      <c r="AS392" s="13"/>
      <c r="AT392" s="15"/>
      <c r="AU392" s="45"/>
      <c r="AV392" s="15"/>
      <c r="AW392" s="13"/>
      <c r="AX392" s="15"/>
      <c r="AY392" s="45"/>
      <c r="AZ392" s="28"/>
      <c r="BA392" s="13"/>
      <c r="BB392" s="15"/>
      <c r="BC392" s="45"/>
      <c r="BD392" s="28"/>
      <c r="BE392" s="14"/>
      <c r="BF392" s="41">
        <f t="shared" ref="BF392:BG392" si="1151">K392+O392+S392+W392+AA392+AE392+AI392+AM392+AQ392+AU392+AY392+BC392</f>
        <v>0</v>
      </c>
      <c r="BG392" s="34">
        <f t="shared" si="1151"/>
        <v>0</v>
      </c>
      <c r="BH392" s="35">
        <f t="shared" si="1140"/>
        <v>-27</v>
      </c>
      <c r="BK392" s="2" t="b">
        <f>H392='2021'!BH392</f>
        <v>1</v>
      </c>
    </row>
    <row r="393" ht="15.75" customHeight="1" spans="1:63" x14ac:dyDescent="0.25">
      <c r="A393" s="2">
        <v>43</v>
      </c>
      <c r="B393" s="14"/>
      <c r="D393" s="14" t="s">
        <v>52</v>
      </c>
      <c r="E393" s="2" t="s">
        <v>39</v>
      </c>
      <c r="F393" s="41">
        <v>500</v>
      </c>
      <c r="G393" s="28"/>
      <c r="H393" s="34">
        <f>'2021'!BH393</f>
        <v>0</v>
      </c>
      <c r="I393" s="13"/>
      <c r="J393" s="15"/>
      <c r="K393" s="15"/>
      <c r="L393" s="28"/>
      <c r="M393" s="13"/>
      <c r="N393" s="15"/>
      <c r="Q393" s="13"/>
      <c r="R393" s="15"/>
      <c r="S393" s="15"/>
      <c r="T393" s="32"/>
      <c r="U393" s="13"/>
      <c r="V393" s="15"/>
      <c r="Y393" s="13"/>
      <c r="Z393" s="2"/>
      <c r="AA393" s="34">
        <f>$F$15</f>
      </c>
      <c r="AB393" s="35"/>
      <c r="AC393" s="348"/>
      <c r="AD393" s="15"/>
      <c r="AG393" s="15"/>
      <c r="AH393" s="2"/>
      <c r="AI393" s="45"/>
      <c r="AJ393" s="180"/>
      <c r="AK393" s="15"/>
      <c r="AL393" s="15"/>
      <c r="AM393" s="45"/>
      <c r="AN393" s="15"/>
      <c r="AO393" s="13"/>
      <c r="AP393" s="15"/>
      <c r="AQ393" s="45"/>
      <c r="AR393" s="15"/>
      <c r="AS393" s="13"/>
      <c r="AT393" s="15"/>
      <c r="AU393" s="45"/>
      <c r="AV393" s="15"/>
      <c r="AW393" s="13"/>
      <c r="AX393" s="15"/>
      <c r="AY393" s="45"/>
      <c r="AZ393" s="35"/>
      <c r="BA393" s="13"/>
      <c r="BB393" s="15"/>
      <c r="BC393" s="45"/>
      <c r="BD393" s="35"/>
      <c r="BE393" s="14"/>
      <c r="BF393" s="41">
        <f t="shared" ref="BF393:BG393" si="1152">K393+O393+S393+W393+AA393+AE393+AI393+AM393+AQ393+AU393+AY393+BC393</f>
        <v>0</v>
      </c>
      <c r="BG393" s="34">
        <f t="shared" si="1152"/>
        <v>0</v>
      </c>
      <c r="BH393" s="35">
        <f t="shared" si="1140"/>
        <v>0</v>
      </c>
      <c r="BK393" s="2" t="b">
        <f>H393='2021'!BH393</f>
        <v>1</v>
      </c>
    </row>
    <row r="394" ht="15.75" customHeight="1" spans="1:63" x14ac:dyDescent="0.25">
      <c r="A394" s="247">
        <v>43</v>
      </c>
      <c r="B394" s="21"/>
      <c r="C394" s="22" t="s">
        <v>53</v>
      </c>
      <c r="D394" s="21"/>
      <c r="E394" s="22"/>
      <c r="F394" s="20"/>
      <c r="G394" s="23"/>
      <c r="H394" s="51">
        <f>SUM(H386:H393)</f>
        <v>677.94</v>
      </c>
      <c r="I394" s="52"/>
      <c r="J394" s="53"/>
      <c r="K394" s="51">
        <f t="shared" ref="K394:L394" si="1153">SUM(K386:K393)</f>
        <v>4889.7</v>
      </c>
      <c r="L394" s="68">
        <f t="shared" si="1153"/>
        <v>500</v>
      </c>
      <c r="M394" s="52"/>
      <c r="N394" s="53"/>
      <c r="O394" s="51">
        <f t="shared" ref="O394:P394" si="1154">SUM(O386:O393)</f>
        <v>5478.3</v>
      </c>
      <c r="P394" s="51">
        <f t="shared" si="1154"/>
        <v>0</v>
      </c>
      <c r="Q394" s="52"/>
      <c r="R394" s="53"/>
      <c r="S394" s="51">
        <f t="shared" ref="S394:T394" si="1155">SUM(S386:S393)</f>
        <v>2844.43</v>
      </c>
      <c r="T394" s="51">
        <f t="shared" si="1155"/>
        <v>11000</v>
      </c>
      <c r="U394" s="52"/>
      <c r="V394" s="53"/>
      <c r="W394" s="51">
        <f t="shared" ref="W394:X394" si="1156">SUM(W386:W393)</f>
        <v>2701.29</v>
      </c>
      <c r="X394" s="51">
        <f t="shared" si="1156"/>
        <v>0</v>
      </c>
      <c r="Y394" s="52"/>
      <c r="Z394" s="301"/>
      <c r="AA394" s="51">
        <f t="shared" ref="AA394:AB394" si="1157">SUM(AA386:AA393)</f>
        <v>1510.73</v>
      </c>
      <c r="AB394" s="51">
        <f t="shared" si="1157"/>
        <v>5000</v>
      </c>
      <c r="AC394" s="367"/>
      <c r="AD394" s="53"/>
      <c r="AE394" s="51">
        <f t="shared" ref="AE394:AF394" si="1158">SUM(AE386:AE393)</f>
        <v>8592.59</v>
      </c>
      <c r="AF394" s="51">
        <f t="shared" si="1158"/>
        <v>4000</v>
      </c>
      <c r="AG394" s="52"/>
      <c r="AH394" s="301"/>
      <c r="AI394" s="183">
        <f t="shared" ref="AI394:AJ394" si="1159">SUM(AI386:AI393)</f>
        <v>893.37728</v>
      </c>
      <c r="AJ394" s="51">
        <f t="shared" si="1159"/>
        <v>3215.69</v>
      </c>
      <c r="AK394" s="52"/>
      <c r="AL394" s="53"/>
      <c r="AM394" s="183">
        <f t="shared" ref="AM394:AN394" si="1160">SUM(AM386:AM393)</f>
        <v>659.4648</v>
      </c>
      <c r="AN394" s="51">
        <f t="shared" si="1160"/>
        <v>0</v>
      </c>
      <c r="AO394" s="52"/>
      <c r="AP394" s="53"/>
      <c r="AQ394" s="183">
        <f t="shared" ref="AQ394:AR394" si="1161">SUM(AQ386:AQ393)</f>
        <v>338.64744</v>
      </c>
      <c r="AR394" s="51">
        <f t="shared" si="1161"/>
        <v>5000</v>
      </c>
      <c r="AS394" s="52"/>
      <c r="AT394" s="53"/>
      <c r="AU394" s="183">
        <f t="shared" ref="AU394:AV394" si="1162">SUM(AU386:AU393)</f>
        <v>1469.727</v>
      </c>
      <c r="AV394" s="68">
        <f t="shared" si="1162"/>
        <v>0</v>
      </c>
      <c r="AW394" s="52"/>
      <c r="AX394" s="53"/>
      <c r="AY394" s="183">
        <f t="shared" ref="AY394:AZ394" si="1163">SUM(AY386:AY393)</f>
        <v>0</v>
      </c>
      <c r="AZ394" s="68">
        <f t="shared" si="1163"/>
        <v>0</v>
      </c>
      <c r="BA394" s="52"/>
      <c r="BB394" s="53"/>
      <c r="BC394" s="183">
        <f t="shared" ref="BC394:BD394" si="1164">SUM(BC386:BC393)</f>
        <v>0</v>
      </c>
      <c r="BD394" s="68">
        <f t="shared" si="1164"/>
        <v>0</v>
      </c>
      <c r="BE394" s="69"/>
      <c r="BF394" s="70">
        <f t="shared" ref="BF394:BH394" si="1165">SUM(BF386:BF393)</f>
        <v>29378.25652</v>
      </c>
      <c r="BG394" s="71">
        <f t="shared" si="1165"/>
        <v>28715.69</v>
      </c>
      <c r="BH394" s="72">
        <f t="shared" si="1165"/>
        <v>1340.50652</v>
      </c>
      <c r="BI394" s="34">
        <f>H394+BF394-BG394</f>
        <v>1340.50652</v>
      </c>
      <c r="BJ394" s="34">
        <f>BH394-BI394</f>
        <v>0</v>
      </c>
      <c r="BK394" s="2" t="b">
        <f>H394='2021'!BH394</f>
        <v>1</v>
      </c>
    </row>
    <row r="395" ht="15.75" customHeight="1" spans="1:63" x14ac:dyDescent="0.25">
      <c r="A395" s="2">
        <v>44</v>
      </c>
      <c r="B395" s="14"/>
      <c r="D395" s="14" t="s">
        <v>411</v>
      </c>
      <c r="E395" s="2" t="s">
        <v>39</v>
      </c>
      <c r="F395" s="41"/>
      <c r="G395" s="28"/>
      <c r="H395" s="34">
        <f>'2021'!BH395</f>
        <v>189.99</v>
      </c>
      <c r="I395" s="13"/>
      <c r="J395" s="15"/>
      <c r="K395" s="34"/>
      <c r="L395" s="28"/>
      <c r="M395" s="13"/>
      <c r="N395" s="15"/>
      <c r="Q395" s="13"/>
      <c r="R395" s="15"/>
      <c r="S395" s="15">
        <v>35.11</v>
      </c>
      <c r="T395" s="28"/>
      <c r="U395" s="13"/>
      <c r="V395" s="15"/>
      <c r="W395" s="2">
        <v>33.98</v>
      </c>
      <c r="X395" s="34"/>
      <c r="Y395" s="13"/>
      <c r="Z395" s="2"/>
      <c r="AA395" s="15">
        <v>35.11</v>
      </c>
      <c r="AB395" s="28"/>
      <c r="AC395" s="348"/>
      <c r="AD395" s="15"/>
      <c r="AE395" s="2">
        <v>3.4</v>
      </c>
      <c r="AF395" s="306">
        <v>294.19</v>
      </c>
      <c r="AG395" s="15"/>
      <c r="AH395" s="2"/>
      <c r="AI395" s="45"/>
      <c r="AJ395" s="15"/>
      <c r="AK395" s="15"/>
      <c r="AM395" s="45"/>
      <c r="AO395" s="13"/>
      <c r="AQ395" s="307"/>
      <c r="AS395" s="13"/>
      <c r="AU395" s="180"/>
      <c r="AW395" s="13"/>
      <c r="AY395" s="180"/>
      <c r="AZ395" s="28"/>
      <c r="BA395" s="13"/>
      <c r="BB395" s="15"/>
      <c r="BC395" s="180"/>
      <c r="BD395" s="28"/>
      <c r="BE395" s="14"/>
      <c r="BF395" s="41">
        <f t="shared" ref="BF395:BG395" si="1166">K395+O395+S395+W395+AA395+AE395+AI395+AM395+AQ395+AU395+AY395+BC395</f>
        <v>107.6</v>
      </c>
      <c r="BG395" s="34">
        <f t="shared" si="1166"/>
        <v>294.19</v>
      </c>
      <c r="BH395" s="35">
        <f t="shared" ref="BH395:BH402" si="1167">H395+BF395-BG395</f>
        <v>3.4</v>
      </c>
      <c r="BK395" s="2" t="b">
        <f>H395='2021'!BH395</f>
        <v>1</v>
      </c>
    </row>
    <row r="396" ht="15.75" customHeight="1" spans="1:63" x14ac:dyDescent="0.25">
      <c r="A396" s="2">
        <v>44</v>
      </c>
      <c r="B396" s="14">
        <v>4.01</v>
      </c>
      <c r="C396" s="15" t="s">
        <v>412</v>
      </c>
      <c r="D396" s="14" t="s">
        <v>44</v>
      </c>
      <c r="E396" s="2" t="s">
        <v>45</v>
      </c>
      <c r="F396" s="41">
        <v>2.5</v>
      </c>
      <c r="G396" s="35">
        <v>2.6</v>
      </c>
      <c r="H396" s="34">
        <f>'2021'!BH396</f>
        <v>87.2</v>
      </c>
      <c r="I396" s="13">
        <v>34</v>
      </c>
      <c r="J396" s="15">
        <f>I396-'2021'!BA396</f>
        <v>0</v>
      </c>
      <c r="K396" s="34">
        <f>J396*$F$8</f>
        <v>0</v>
      </c>
      <c r="L396" s="28"/>
      <c r="M396" s="13">
        <v>34</v>
      </c>
      <c r="N396" s="15">
        <f t="shared" ref="N396:N397" si="1168">M396-I396</f>
        <v>0</v>
      </c>
      <c r="O396" s="34">
        <f>N396*$F$8</f>
        <v>0</v>
      </c>
      <c r="Q396" s="13">
        <v>34</v>
      </c>
      <c r="R396" s="15">
        <f t="shared" ref="R396:R397" si="1169">Q396-M396</f>
        <v>0</v>
      </c>
      <c r="S396" s="34">
        <f>R396*$F$8</f>
        <v>0</v>
      </c>
      <c r="T396" s="28"/>
      <c r="U396" s="13">
        <v>34</v>
      </c>
      <c r="V396" s="15">
        <f t="shared" ref="V396:V397" si="1170">U396-Q396</f>
        <v>0</v>
      </c>
      <c r="W396" s="34">
        <f>V396*$F$8</f>
        <v>0</v>
      </c>
      <c r="Y396" s="13">
        <v>36</v>
      </c>
      <c r="Z396" s="2">
        <f t="shared" ref="Z396:Z397" si="1171">Y396-U396</f>
        <v>2</v>
      </c>
      <c r="AA396" s="34">
        <f>Z396*$F$8</f>
        <v>5.4</v>
      </c>
      <c r="AB396" s="28"/>
      <c r="AC396" s="348">
        <v>43</v>
      </c>
      <c r="AD396" s="15">
        <f>AC396-Y396</f>
        <v>7</v>
      </c>
      <c r="AE396" s="180">
        <f>AD396*$F$8</f>
        <v>18.9</v>
      </c>
      <c r="AF396" s="306">
        <v>92.6</v>
      </c>
      <c r="AG396" s="15">
        <v>43</v>
      </c>
      <c r="AH396" s="2">
        <f>(AG396-AC396)*AH5</f>
        <v>0</v>
      </c>
      <c r="AI396" s="45">
        <f>AH396*$G$8</f>
        <v>0</v>
      </c>
      <c r="AJ396" s="15"/>
      <c r="AK396" s="15">
        <v>44</v>
      </c>
      <c r="AL396" s="15">
        <f>(AK396-AG396)*AL5</f>
        <v>1.028</v>
      </c>
      <c r="AM396" s="45">
        <f>AL396*$G$8</f>
        <v>2.52888</v>
      </c>
      <c r="AN396" s="15"/>
      <c r="AO396" s="13">
        <v>45</v>
      </c>
      <c r="AP396" s="15">
        <f>(AO396-AK396)*AP5</f>
        <v>1.033</v>
      </c>
      <c r="AQ396" s="45">
        <f>AP396*$G$8</f>
        <v>2.54118</v>
      </c>
      <c r="AR396" s="15"/>
      <c r="AS396" s="13">
        <v>47</v>
      </c>
      <c r="AT396" s="15">
        <f>(AS396-AO396)*AT5</f>
        <v>2.1</v>
      </c>
      <c r="AU396" s="45">
        <f>AT396*$G$8</f>
        <v>5.166</v>
      </c>
      <c r="AV396" s="15"/>
      <c r="AW396" s="13"/>
      <c r="AX396" s="15">
        <f>(AW396-AS396)*AX5</f>
        <v>0</v>
      </c>
      <c r="AY396" s="45">
        <f>AX396*$G$8</f>
        <v>0</v>
      </c>
      <c r="AZ396" s="208"/>
      <c r="BA396" s="13"/>
      <c r="BB396" s="15"/>
      <c r="BC396" s="45">
        <f>BB396*$G$8</f>
        <v>0</v>
      </c>
      <c r="BD396" s="208"/>
      <c r="BE396" s="40">
        <f t="shared" ref="BE396:BG396" si="1172">J396+N396+R396+V396+Z396+AD396+AH396+AL396+AP396+AT396+AX396+BB396</f>
        <v>13.161</v>
      </c>
      <c r="BF396" s="41">
        <f t="shared" si="1172"/>
        <v>34.53606</v>
      </c>
      <c r="BG396" s="34">
        <f t="shared" si="1172"/>
        <v>92.6</v>
      </c>
      <c r="BH396" s="35">
        <f t="shared" si="1167"/>
        <v>29.13606</v>
      </c>
      <c r="BK396" s="2" t="b">
        <f>H396='2021'!BH396</f>
        <v>1</v>
      </c>
    </row>
    <row r="397" ht="15.75" customHeight="1" spans="1:63" x14ac:dyDescent="0.25">
      <c r="A397" s="2">
        <v>44</v>
      </c>
      <c r="B397" s="14"/>
      <c r="C397" s="15" t="s">
        <v>170</v>
      </c>
      <c r="D397" s="14" t="s">
        <v>47</v>
      </c>
      <c r="E397" s="2" t="s">
        <v>48</v>
      </c>
      <c r="F397" s="13">
        <v>18.56</v>
      </c>
      <c r="G397" s="35">
        <v>19.46</v>
      </c>
      <c r="H397" s="34">
        <f>'2021'!BH397</f>
        <v>272.32</v>
      </c>
      <c r="I397" s="13">
        <v>14</v>
      </c>
      <c r="J397" s="15"/>
      <c r="K397" s="15"/>
      <c r="L397" s="28"/>
      <c r="M397" s="13">
        <v>14</v>
      </c>
      <c r="N397" s="15">
        <f t="shared" si="1168"/>
        <v>0</v>
      </c>
      <c r="Q397" s="13">
        <v>14</v>
      </c>
      <c r="R397" s="15">
        <f t="shared" si="1169"/>
        <v>0</v>
      </c>
      <c r="S397" s="15"/>
      <c r="T397" s="28"/>
      <c r="U397" s="13">
        <v>17</v>
      </c>
      <c r="V397" s="15">
        <f t="shared" si="1170"/>
        <v>3</v>
      </c>
      <c r="W397" s="34">
        <f>V397*$F$10</f>
        <v>61.05</v>
      </c>
      <c r="Y397" s="13">
        <v>17</v>
      </c>
      <c r="Z397" s="2">
        <f t="shared" si="1171"/>
        <v>0</v>
      </c>
      <c r="AA397" s="34">
        <f>Z397*$F$10</f>
        <v>0</v>
      </c>
      <c r="AB397" s="28"/>
      <c r="AC397" s="348">
        <v>2</v>
      </c>
      <c r="AD397" s="15">
        <v>2</v>
      </c>
      <c r="AE397" s="34">
        <f>AD397*$F$10</f>
        <v>40.7</v>
      </c>
      <c r="AF397" s="306">
        <v>333.37</v>
      </c>
      <c r="AG397" s="15">
        <v>2</v>
      </c>
      <c r="AH397" s="2">
        <f>AG397-AC397</f>
        <v>0</v>
      </c>
      <c r="AI397" s="45">
        <f>AH397*$G$10</f>
        <v>0</v>
      </c>
      <c r="AJ397" s="15"/>
      <c r="AK397" s="15">
        <v>2</v>
      </c>
      <c r="AL397" s="15">
        <f>AK397-AG397</f>
        <v>0</v>
      </c>
      <c r="AM397" s="45">
        <f>AL397*$G$10</f>
        <v>0</v>
      </c>
      <c r="AN397" s="15"/>
      <c r="AO397" s="13">
        <v>6</v>
      </c>
      <c r="AP397" s="15">
        <f>AO397-AK397</f>
        <v>4</v>
      </c>
      <c r="AQ397" s="45">
        <f>AP397*$G$10</f>
        <v>85.6</v>
      </c>
      <c r="AR397" s="15"/>
      <c r="AS397" s="13">
        <v>6</v>
      </c>
      <c r="AT397" s="15">
        <f>AS397-AO397</f>
        <v>0</v>
      </c>
      <c r="AU397" s="45">
        <f>AT397*$G$10</f>
        <v>0</v>
      </c>
      <c r="AV397" s="15"/>
      <c r="AW397" s="13"/>
      <c r="AX397" s="15">
        <f>AW397-AS397</f>
        <v>-6</v>
      </c>
      <c r="AY397" s="45"/>
      <c r="AZ397" s="208"/>
      <c r="BA397" s="13"/>
      <c r="BB397" s="15"/>
      <c r="BC397" s="45"/>
      <c r="BD397" s="208"/>
      <c r="BE397" s="40">
        <f t="shared" ref="BE397:BG397" si="1173">J397+N397+R397+V397+Z397+AD397+AH397+AL397+AP397+AT397+AX397+BB397</f>
        <v>3</v>
      </c>
      <c r="BF397" s="41">
        <f t="shared" si="1173"/>
        <v>187.35</v>
      </c>
      <c r="BG397" s="34">
        <f t="shared" si="1173"/>
        <v>333.37</v>
      </c>
      <c r="BH397" s="35">
        <f t="shared" si="1167"/>
        <v>126.3</v>
      </c>
      <c r="BK397" s="2" t="b">
        <f>H397='2021'!BH397</f>
        <v>1</v>
      </c>
    </row>
    <row r="398" ht="15.75" customHeight="1" spans="1:63" x14ac:dyDescent="0.25">
      <c r="A398" s="2">
        <v>44</v>
      </c>
      <c r="B398" s="14"/>
      <c r="C398" s="15" t="s">
        <v>413</v>
      </c>
      <c r="D398" s="14" t="s">
        <v>47</v>
      </c>
      <c r="E398" s="2" t="s">
        <v>49</v>
      </c>
      <c r="F398" s="41">
        <v>500</v>
      </c>
      <c r="G398" s="28"/>
      <c r="H398" s="34">
        <f>'2021'!BH398</f>
        <v>0</v>
      </c>
      <c r="I398" s="13"/>
      <c r="J398" s="15"/>
      <c r="K398" s="15"/>
      <c r="L398" s="28"/>
      <c r="M398" s="13"/>
      <c r="N398" s="15"/>
      <c r="Q398" s="13"/>
      <c r="R398" s="15"/>
      <c r="S398" s="15"/>
      <c r="T398" s="28"/>
      <c r="U398" s="13"/>
      <c r="V398" s="15"/>
      <c r="Y398" s="13"/>
      <c r="Z398" s="2"/>
      <c r="AA398" s="15"/>
      <c r="AB398" s="28"/>
      <c r="AC398" s="348"/>
      <c r="AD398" s="15"/>
      <c r="AG398" s="15"/>
      <c r="AH398" s="2"/>
      <c r="AI398" s="45"/>
      <c r="AJ398" s="15"/>
      <c r="AK398" s="15"/>
      <c r="AL398" s="15"/>
      <c r="AM398" s="45"/>
      <c r="AN398" s="15"/>
      <c r="AO398" s="13"/>
      <c r="AP398" s="15"/>
      <c r="AQ398" s="45"/>
      <c r="AR398" s="15"/>
      <c r="AS398" s="13"/>
      <c r="AT398" s="15"/>
      <c r="AU398" s="45"/>
      <c r="AV398" s="15"/>
      <c r="AW398" s="13"/>
      <c r="AX398" s="15"/>
      <c r="AY398" s="45"/>
      <c r="AZ398" s="28"/>
      <c r="BA398" s="13"/>
      <c r="BB398" s="15"/>
      <c r="BC398" s="45"/>
      <c r="BD398" s="28"/>
      <c r="BE398" s="14"/>
      <c r="BF398" s="41">
        <f t="shared" ref="BF398:BG398" si="1174">K398+O398+S398+W398+AA398+AE398+AI398+AM398+AQ398+AU398+AY398+BC398</f>
        <v>0</v>
      </c>
      <c r="BG398" s="34">
        <f t="shared" si="1174"/>
        <v>0</v>
      </c>
      <c r="BH398" s="35">
        <f t="shared" si="1167"/>
        <v>0</v>
      </c>
      <c r="BK398" s="2" t="b">
        <f>H398='2021'!BH398</f>
        <v>1</v>
      </c>
    </row>
    <row r="399" ht="15.75" customHeight="1" spans="1:63" x14ac:dyDescent="0.25">
      <c r="A399" s="2">
        <v>44</v>
      </c>
      <c r="B399" s="14"/>
      <c r="C399" s="15" t="s">
        <v>414</v>
      </c>
      <c r="D399" s="14" t="s">
        <v>50</v>
      </c>
      <c r="E399" s="2" t="s">
        <v>49</v>
      </c>
      <c r="F399" s="41">
        <v>1100</v>
      </c>
      <c r="G399" s="28"/>
      <c r="H399" s="34">
        <f>'2021'!BH399</f>
        <v>8822</v>
      </c>
      <c r="I399" s="13"/>
      <c r="J399" s="15"/>
      <c r="K399" s="15"/>
      <c r="L399" s="28"/>
      <c r="M399" s="13"/>
      <c r="N399" s="15"/>
      <c r="Q399" s="13"/>
      <c r="R399" s="15"/>
      <c r="S399" s="15"/>
      <c r="T399" s="28"/>
      <c r="U399" s="13"/>
      <c r="V399" s="15"/>
      <c r="Y399" s="13"/>
      <c r="Z399" s="2"/>
      <c r="AA399" s="15"/>
      <c r="AB399" s="28"/>
      <c r="AC399" s="348"/>
      <c r="AD399" s="15"/>
      <c r="AE399" s="34">
        <f>B396*$F$12</f>
        <v>5213</v>
      </c>
      <c r="AF399" s="306">
        <v>8822</v>
      </c>
      <c r="AG399" s="15"/>
      <c r="AH399" s="2"/>
      <c r="AI399" s="45"/>
      <c r="AJ399" s="15"/>
      <c r="AK399" s="15"/>
      <c r="AL399" s="15"/>
      <c r="AM399" s="45"/>
      <c r="AN399" s="15"/>
      <c r="AO399" s="13"/>
      <c r="AP399" s="15"/>
      <c r="AQ399" s="45"/>
      <c r="AR399" s="15"/>
      <c r="AS399" s="13"/>
      <c r="AT399" s="15"/>
      <c r="AU399" s="45"/>
      <c r="AV399" s="15"/>
      <c r="AW399" s="13"/>
      <c r="AX399" s="15"/>
      <c r="AY399" s="45"/>
      <c r="AZ399" s="28"/>
      <c r="BA399" s="13"/>
      <c r="BB399" s="15"/>
      <c r="BC399" s="45"/>
      <c r="BD399" s="28"/>
      <c r="BE399" s="14"/>
      <c r="BF399" s="41">
        <f t="shared" ref="BF399:BG399" si="1175">K399+O399+S399+W399+AA399+AE399+AI399+AM399+AQ399+AU399+AY399+BC399</f>
        <v>5213</v>
      </c>
      <c r="BG399" s="34">
        <f t="shared" si="1175"/>
        <v>8822</v>
      </c>
      <c r="BH399" s="35">
        <f t="shared" si="1167"/>
        <v>5213</v>
      </c>
      <c r="BK399" s="2" t="b">
        <f>H399='2021'!BH399</f>
        <v>1</v>
      </c>
    </row>
    <row r="400" ht="15.75" customHeight="1" spans="1:63" x14ac:dyDescent="0.25">
      <c r="A400" s="2">
        <v>44</v>
      </c>
      <c r="B400" s="14"/>
      <c r="C400" s="73" t="s">
        <v>415</v>
      </c>
      <c r="D400" s="14" t="s">
        <v>51</v>
      </c>
      <c r="E400" s="2" t="s">
        <v>39</v>
      </c>
      <c r="F400" s="41">
        <v>500</v>
      </c>
      <c r="G400" s="28"/>
      <c r="H400" s="34">
        <f>'2021'!BH400</f>
        <v>500</v>
      </c>
      <c r="I400" s="13"/>
      <c r="J400" s="15"/>
      <c r="K400" s="15"/>
      <c r="L400" s="28"/>
      <c r="M400" s="13"/>
      <c r="N400" s="15"/>
      <c r="Q400" s="13"/>
      <c r="R400" s="15"/>
      <c r="S400" s="15"/>
      <c r="T400" s="28"/>
      <c r="U400" s="13"/>
      <c r="V400" s="15"/>
      <c r="Y400" s="13"/>
      <c r="Z400" s="2"/>
      <c r="AA400" s="15"/>
      <c r="AB400" s="28"/>
      <c r="AC400" s="348"/>
      <c r="AD400" s="15"/>
      <c r="AE400" s="180">
        <f>$F$13</f>
        <v>1000</v>
      </c>
      <c r="AF400" s="306">
        <v>500</v>
      </c>
      <c r="AG400" s="15"/>
      <c r="AH400" s="2"/>
      <c r="AI400" s="45"/>
      <c r="AJ400" s="15"/>
      <c r="AK400" s="15"/>
      <c r="AL400" s="15"/>
      <c r="AM400" s="45"/>
      <c r="AN400" s="15"/>
      <c r="AO400" s="13"/>
      <c r="AP400" s="15"/>
      <c r="AQ400" s="180"/>
      <c r="AR400" s="15"/>
      <c r="AS400" s="13"/>
      <c r="AT400" s="15"/>
      <c r="AU400" s="45"/>
      <c r="AV400" s="15"/>
      <c r="AW400" s="13"/>
      <c r="AX400" s="15"/>
      <c r="AY400" s="45"/>
      <c r="AZ400" s="28"/>
      <c r="BA400" s="13"/>
      <c r="BB400" s="15"/>
      <c r="BC400" s="45"/>
      <c r="BD400" s="28"/>
      <c r="BE400" s="14"/>
      <c r="BF400" s="41">
        <f t="shared" ref="BF400:BG400" si="1176">K400+O400+S400+W400+AA400+AE400+AI400+AM400+AQ400+AU400+AY400+BC400</f>
        <v>1000</v>
      </c>
      <c r="BG400" s="34">
        <f t="shared" si="1176"/>
        <v>500</v>
      </c>
      <c r="BH400" s="35">
        <f t="shared" si="1167"/>
        <v>1000</v>
      </c>
      <c r="BK400" s="2" t="b">
        <f>H400='2021'!BH400</f>
        <v>1</v>
      </c>
    </row>
    <row r="401" ht="15.75" customHeight="1" spans="1:63" x14ac:dyDescent="0.25">
      <c r="A401" s="2">
        <v>44</v>
      </c>
      <c r="B401" s="14"/>
      <c r="C401" s="15"/>
      <c r="D401" s="14" t="s">
        <v>51</v>
      </c>
      <c r="E401" s="2" t="s">
        <v>49</v>
      </c>
      <c r="F401" s="41">
        <v>500</v>
      </c>
      <c r="G401" s="28"/>
      <c r="H401" s="34">
        <f>'2021'!BH401</f>
        <v>2005</v>
      </c>
      <c r="I401" s="13"/>
      <c r="J401" s="15"/>
      <c r="K401" s="15"/>
      <c r="L401" s="28"/>
      <c r="M401" s="13"/>
      <c r="N401" s="15"/>
      <c r="Q401" s="13"/>
      <c r="R401" s="15"/>
      <c r="S401" s="15"/>
      <c r="T401" s="28"/>
      <c r="U401" s="13"/>
      <c r="V401" s="15"/>
      <c r="Y401" s="13"/>
      <c r="Z401" s="2"/>
      <c r="AA401" s="15"/>
      <c r="AB401" s="28"/>
      <c r="AC401" s="348"/>
      <c r="AD401" s="15"/>
      <c r="AE401" s="34"/>
      <c r="AF401" s="306">
        <v>2005</v>
      </c>
      <c r="AG401" s="15"/>
      <c r="AH401" s="2"/>
      <c r="AI401" s="45"/>
      <c r="AJ401" s="15"/>
      <c r="AK401" s="15"/>
      <c r="AL401" s="15"/>
      <c r="AM401" s="45"/>
      <c r="AN401" s="15"/>
      <c r="AO401" s="13"/>
      <c r="AP401" s="15"/>
      <c r="AQ401" s="180">
        <f>B396*$F$14</f>
        <v>0</v>
      </c>
      <c r="AR401" s="15"/>
      <c r="AS401" s="13"/>
      <c r="AT401" s="15"/>
      <c r="AU401" s="45"/>
      <c r="AV401" s="15"/>
      <c r="AW401" s="13"/>
      <c r="AX401" s="15"/>
      <c r="AY401" s="45"/>
      <c r="AZ401" s="28"/>
      <c r="BA401" s="13"/>
      <c r="BB401" s="15"/>
      <c r="BC401" s="45"/>
      <c r="BD401" s="28"/>
      <c r="BE401" s="14"/>
      <c r="BF401" s="41">
        <f t="shared" ref="BF401:BG401" si="1177">K401+O401+S401+W401+AA401+AE401+AI401+AM401+AQ401+AU401+AY401+BC401</f>
        <v>0</v>
      </c>
      <c r="BG401" s="34">
        <f t="shared" si="1177"/>
        <v>2005</v>
      </c>
      <c r="BH401" s="35">
        <f t="shared" si="1167"/>
        <v>0</v>
      </c>
      <c r="BK401" s="2" t="b">
        <f>H401='2021'!BH401</f>
        <v>1</v>
      </c>
    </row>
    <row r="402" ht="15.75" customHeight="1" spans="1:63" x14ac:dyDescent="0.25">
      <c r="A402" s="2">
        <v>44</v>
      </c>
      <c r="B402" s="14"/>
      <c r="D402" s="14" t="s">
        <v>52</v>
      </c>
      <c r="E402" s="2" t="s">
        <v>39</v>
      </c>
      <c r="F402" s="41">
        <v>500</v>
      </c>
      <c r="G402" s="28"/>
      <c r="H402" s="34">
        <f>'2021'!BH402</f>
        <v>500</v>
      </c>
      <c r="I402" s="13"/>
      <c r="J402" s="15"/>
      <c r="K402" s="15"/>
      <c r="L402" s="28"/>
      <c r="M402" s="13"/>
      <c r="N402" s="15"/>
      <c r="Q402" s="13"/>
      <c r="R402" s="15"/>
      <c r="S402" s="15"/>
      <c r="T402" s="28"/>
      <c r="U402" s="13"/>
      <c r="V402" s="15"/>
      <c r="X402" s="62"/>
      <c r="Y402" s="13"/>
      <c r="Z402" s="2"/>
      <c r="AA402" s="34">
        <f>$F$15</f>
      </c>
      <c r="AB402" s="28"/>
      <c r="AC402" s="348"/>
      <c r="AD402" s="15"/>
      <c r="AF402" s="306">
        <v>500</v>
      </c>
      <c r="AG402" s="15"/>
      <c r="AH402" s="2"/>
      <c r="AI402" s="45"/>
      <c r="AJ402" s="15"/>
      <c r="AK402" s="15"/>
      <c r="AL402" s="15"/>
      <c r="AM402" s="45"/>
      <c r="AN402" s="15"/>
      <c r="AO402" s="13"/>
      <c r="AP402" s="15"/>
      <c r="AQ402" s="45"/>
      <c r="AR402" s="15"/>
      <c r="AS402" s="13"/>
      <c r="AT402" s="15"/>
      <c r="AU402" s="45"/>
      <c r="AV402" s="15"/>
      <c r="AW402" s="13"/>
      <c r="AX402" s="15"/>
      <c r="AY402" s="45"/>
      <c r="AZ402" s="35"/>
      <c r="BA402" s="13"/>
      <c r="BB402" s="15"/>
      <c r="BC402" s="45"/>
      <c r="BD402" s="35"/>
      <c r="BE402" s="14"/>
      <c r="BF402" s="41">
        <f t="shared" ref="BF402:BG402" si="1178">K402+O402+S402+W402+AA402+AE402+AI402+AM402+AQ402+AU402+AY402+BC402</f>
        <v>0</v>
      </c>
      <c r="BG402" s="34">
        <f t="shared" si="1178"/>
        <v>500</v>
      </c>
      <c r="BH402" s="35">
        <f t="shared" si="1167"/>
        <v>0</v>
      </c>
      <c r="BK402" s="2" t="b">
        <f>H402='2021'!BH402</f>
        <v>1</v>
      </c>
    </row>
    <row r="403" ht="15.75" customHeight="1" spans="1:63" x14ac:dyDescent="0.25">
      <c r="A403" s="247">
        <v>44</v>
      </c>
      <c r="B403" s="21"/>
      <c r="C403" s="22" t="s">
        <v>53</v>
      </c>
      <c r="D403" s="21"/>
      <c r="E403" s="22"/>
      <c r="F403" s="20"/>
      <c r="G403" s="23"/>
      <c r="H403" s="51">
        <f>SUM(H395:H402)</f>
        <v>12376.51</v>
      </c>
      <c r="I403" s="52"/>
      <c r="J403" s="53"/>
      <c r="K403" s="51">
        <f t="shared" ref="K403:L403" si="1179">SUM(K395:K402)</f>
        <v>0</v>
      </c>
      <c r="L403" s="68">
        <f t="shared" si="1179"/>
        <v>0</v>
      </c>
      <c r="M403" s="52"/>
      <c r="N403" s="53"/>
      <c r="O403" s="51">
        <f t="shared" ref="O403:P403" si="1180">SUM(O395:O402)</f>
        <v>0</v>
      </c>
      <c r="P403" s="51">
        <f t="shared" si="1180"/>
        <v>0</v>
      </c>
      <c r="Q403" s="52"/>
      <c r="R403" s="53"/>
      <c r="S403" s="51">
        <f t="shared" ref="S403:T403" si="1181">SUM(S395:S402)</f>
        <v>35.11</v>
      </c>
      <c r="T403" s="51">
        <f t="shared" si="1181"/>
        <v>0</v>
      </c>
      <c r="U403" s="52"/>
      <c r="V403" s="53"/>
      <c r="W403" s="51">
        <f t="shared" ref="W403:X403" si="1182">SUM(W395:W402)</f>
        <v>95.03</v>
      </c>
      <c r="X403" s="51">
        <f t="shared" si="1182"/>
        <v>0</v>
      </c>
      <c r="Y403" s="52"/>
      <c r="Z403" s="301"/>
      <c r="AA403" s="51">
        <f t="shared" ref="AA403:AB403" si="1183">SUM(AA395:AA402)</f>
        <v>40.51</v>
      </c>
      <c r="AB403" s="51">
        <f t="shared" si="1183"/>
        <v>0</v>
      </c>
      <c r="AC403" s="367"/>
      <c r="AD403" s="53"/>
      <c r="AE403" s="51">
        <f t="shared" ref="AE403:AF403" si="1184">SUM(AE395:AE402)</f>
        <v>6276</v>
      </c>
      <c r="AF403" s="51">
        <f t="shared" si="1184"/>
        <v>12547.16</v>
      </c>
      <c r="AG403" s="52"/>
      <c r="AH403" s="301"/>
      <c r="AI403" s="183">
        <f t="shared" ref="AI403:AJ403" si="1185">SUM(AI395:AI402)</f>
        <v>0</v>
      </c>
      <c r="AJ403" s="51">
        <f t="shared" si="1185"/>
        <v>0</v>
      </c>
      <c r="AK403" s="52"/>
      <c r="AL403" s="53"/>
      <c r="AM403" s="183">
        <f t="shared" ref="AM403:AN403" si="1186">SUM(AM395:AM402)</f>
        <v>2.52888</v>
      </c>
      <c r="AN403" s="51">
        <f t="shared" si="1186"/>
        <v>0</v>
      </c>
      <c r="AO403" s="52"/>
      <c r="AP403" s="53"/>
      <c r="AQ403" s="183">
        <f t="shared" ref="AQ403:AR403" si="1187">SUM(AQ395:AQ402)</f>
        <v>88.14118</v>
      </c>
      <c r="AR403" s="51">
        <f t="shared" si="1187"/>
        <v>0</v>
      </c>
      <c r="AS403" s="52"/>
      <c r="AT403" s="53"/>
      <c r="AU403" s="183">
        <f t="shared" ref="AU403:AV403" si="1188">SUM(AU395:AU402)</f>
        <v>5.166</v>
      </c>
      <c r="AV403" s="68">
        <f t="shared" si="1188"/>
        <v>0</v>
      </c>
      <c r="AW403" s="52"/>
      <c r="AX403" s="53"/>
      <c r="AY403" s="183">
        <f t="shared" ref="AY403:AZ403" si="1189">SUM(AY395:AY402)</f>
        <v>0</v>
      </c>
      <c r="AZ403" s="68">
        <f t="shared" si="1189"/>
        <v>0</v>
      </c>
      <c r="BA403" s="52"/>
      <c r="BB403" s="53"/>
      <c r="BC403" s="183">
        <f t="shared" ref="BC403:BD403" si="1190">SUM(BC395:BC402)</f>
        <v>0</v>
      </c>
      <c r="BD403" s="68">
        <f t="shared" si="1190"/>
        <v>0</v>
      </c>
      <c r="BE403" s="69"/>
      <c r="BF403" s="70">
        <f t="shared" ref="BF403:BH403" si="1191">SUM(BF395:BF402)</f>
        <v>6542.48606</v>
      </c>
      <c r="BG403" s="71">
        <f t="shared" si="1191"/>
        <v>12547.16</v>
      </c>
      <c r="BH403" s="72">
        <f t="shared" si="1191"/>
        <v>6371.83606</v>
      </c>
      <c r="BI403" s="34">
        <f>H403+BF403-BG403</f>
        <v>6371.83606</v>
      </c>
      <c r="BJ403" s="34">
        <f>BH403-BI403</f>
        <v>0</v>
      </c>
      <c r="BK403" s="2" t="b">
        <f>H403='2021'!BH403</f>
        <v>1</v>
      </c>
    </row>
    <row r="404" ht="15.75" customHeight="1" spans="1:63" x14ac:dyDescent="0.25">
      <c r="A404" s="2">
        <v>45</v>
      </c>
      <c r="B404" s="14"/>
      <c r="D404" s="14" t="s">
        <v>379</v>
      </c>
      <c r="F404" s="13"/>
      <c r="G404" s="28"/>
      <c r="H404" s="34">
        <f>'2021'!BH404</f>
        <v>0</v>
      </c>
      <c r="I404" s="13"/>
      <c r="J404" s="15"/>
      <c r="K404" s="15"/>
      <c r="L404" s="28"/>
      <c r="M404" s="13"/>
      <c r="N404" s="15"/>
      <c r="Q404" s="13"/>
      <c r="R404" s="15"/>
      <c r="S404" s="15"/>
      <c r="T404" s="28"/>
      <c r="U404" s="13"/>
      <c r="V404" s="15"/>
      <c r="Y404" s="13"/>
      <c r="Z404" s="2"/>
      <c r="AA404" s="15"/>
      <c r="AB404" s="28"/>
      <c r="AC404" s="348"/>
      <c r="AD404" s="15"/>
      <c r="AG404" s="15"/>
      <c r="AH404" s="2"/>
      <c r="AI404" s="45"/>
      <c r="AJ404" s="15"/>
      <c r="AK404" s="15"/>
      <c r="AM404" s="45"/>
      <c r="AO404" s="13"/>
      <c r="AQ404" s="45"/>
      <c r="AS404" s="13"/>
      <c r="AU404" s="45"/>
      <c r="AW404" s="13"/>
      <c r="AY404" s="45"/>
      <c r="AZ404" s="28"/>
      <c r="BA404" s="13"/>
      <c r="BB404" s="15"/>
      <c r="BC404" s="45"/>
      <c r="BD404" s="28"/>
      <c r="BE404" s="14"/>
      <c r="BF404" s="41">
        <f t="shared" ref="BF404:BG404" si="1192">K404+O404+S404+W404+AA404+AE404+AI404+AM404+AQ404+AU404+AY404+BC404</f>
        <v>0</v>
      </c>
      <c r="BG404" s="34">
        <f t="shared" si="1192"/>
        <v>0</v>
      </c>
      <c r="BH404" s="35">
        <f t="shared" ref="BH404:BH411" si="1193">H404+BF404-BG404</f>
        <v>0</v>
      </c>
      <c r="BK404" s="2" t="b">
        <f>H404='2021'!BH404</f>
        <v>1</v>
      </c>
    </row>
    <row r="405" ht="15.75" customHeight="1" spans="1:63" x14ac:dyDescent="0.25">
      <c r="A405" s="2">
        <v>45</v>
      </c>
      <c r="B405" s="14">
        <v>5.04</v>
      </c>
      <c r="C405" s="2" t="s">
        <v>189</v>
      </c>
      <c r="D405" s="14" t="s">
        <v>44</v>
      </c>
      <c r="E405" s="2" t="s">
        <v>45</v>
      </c>
      <c r="F405" s="41">
        <v>2.5</v>
      </c>
      <c r="G405" s="35">
        <v>2.6</v>
      </c>
      <c r="H405" s="34">
        <f>'2021'!BH405</f>
        <v>0</v>
      </c>
      <c r="I405" s="13">
        <v>13</v>
      </c>
      <c r="J405" s="15">
        <f>I405-'2021'!BA405</f>
        <v>0</v>
      </c>
      <c r="K405" s="34">
        <f>J405*$F$8</f>
        <v>0</v>
      </c>
      <c r="L405" s="28"/>
      <c r="M405" s="13">
        <v>13</v>
      </c>
      <c r="N405" s="15">
        <f t="shared" ref="N405:N406" si="1194">M405-I405</f>
        <v>0</v>
      </c>
      <c r="O405" s="34">
        <f>N405*$F$8</f>
        <v>0</v>
      </c>
      <c r="Q405" s="13">
        <v>13</v>
      </c>
      <c r="R405" s="15">
        <f t="shared" ref="R405:R406" si="1195">Q405-M405</f>
        <v>0</v>
      </c>
      <c r="S405" s="34">
        <f>R405*$F$8</f>
        <v>0</v>
      </c>
      <c r="T405" s="28"/>
      <c r="U405" s="13">
        <v>13</v>
      </c>
      <c r="V405" s="15">
        <f t="shared" ref="V405:V406" si="1196">U405-Q405</f>
        <v>0</v>
      </c>
      <c r="W405" s="34">
        <f>V405*$F$8</f>
        <v>0</v>
      </c>
      <c r="Y405" s="13">
        <v>13</v>
      </c>
      <c r="Z405" s="2">
        <f t="shared" ref="Z405:Z406" si="1197">Y405-U405</f>
        <v>0</v>
      </c>
      <c r="AA405" s="34">
        <f>Z405*$F$8</f>
        <v>0</v>
      </c>
      <c r="AB405" s="28"/>
      <c r="AC405" s="348">
        <v>13</v>
      </c>
      <c r="AD405" s="15">
        <f t="shared" ref="AD405:AD406" si="1198">AC405-Y405</f>
        <v>0</v>
      </c>
      <c r="AE405" s="180">
        <f>AD405*$F$8</f>
        <v>0</v>
      </c>
      <c r="AG405" s="15">
        <v>13</v>
      </c>
      <c r="AH405" s="2">
        <f>(AG405-AC405)*AH5</f>
        <v>0</v>
      </c>
      <c r="AI405" s="45">
        <f>AH405*$G$8</f>
        <v>0</v>
      </c>
      <c r="AJ405" s="180"/>
      <c r="AK405" s="15">
        <v>13</v>
      </c>
      <c r="AL405" s="15">
        <f>(AK405-AG405)*AL5</f>
        <v>0</v>
      </c>
      <c r="AM405" s="45">
        <f>AL405*$G$8</f>
        <v>0</v>
      </c>
      <c r="AN405" s="15"/>
      <c r="AO405" s="13">
        <v>13</v>
      </c>
      <c r="AP405" s="15">
        <f>(AO405-AK405)*AP5</f>
        <v>0</v>
      </c>
      <c r="AQ405" s="45">
        <f>AP405*$G$8</f>
        <v>0</v>
      </c>
      <c r="AR405" s="15"/>
      <c r="AS405" s="13">
        <v>13</v>
      </c>
      <c r="AT405" s="15">
        <f>(AS405-AO405)*AT5</f>
        <v>0</v>
      </c>
      <c r="AU405" s="45">
        <f>AT405*$G$8</f>
        <v>0</v>
      </c>
      <c r="AV405" s="15"/>
      <c r="AW405" s="13"/>
      <c r="AX405" s="15">
        <f>(AW405-AS405)*AX5</f>
        <v>0</v>
      </c>
      <c r="AY405" s="45">
        <f>AX405*$G$8</f>
        <v>0</v>
      </c>
      <c r="AZ405" s="208"/>
      <c r="BA405" s="13"/>
      <c r="BB405" s="15"/>
      <c r="BC405" s="45">
        <f>BB405*$G$8</f>
        <v>0</v>
      </c>
      <c r="BD405" s="208"/>
      <c r="BE405" s="40">
        <f t="shared" ref="BE405:BG405" si="1199">J405+N405+R405+V405+Z405+AD405+AH405+AL405+AP405+AT405+AX405+BB405</f>
        <v>0</v>
      </c>
      <c r="BF405" s="41">
        <f t="shared" si="1199"/>
        <v>0</v>
      </c>
      <c r="BG405" s="34">
        <f t="shared" si="1199"/>
        <v>0</v>
      </c>
      <c r="BH405" s="35">
        <f t="shared" si="1193"/>
        <v>0</v>
      </c>
      <c r="BK405" s="2" t="b">
        <f>H405='2021'!BH405</f>
        <v>1</v>
      </c>
    </row>
    <row r="406" ht="15.75" customHeight="1" spans="1:63" x14ac:dyDescent="0.25">
      <c r="A406" s="2">
        <v>45</v>
      </c>
      <c r="B406" s="14"/>
      <c r="C406" s="2" t="s">
        <v>114</v>
      </c>
      <c r="D406" s="14" t="s">
        <v>47</v>
      </c>
      <c r="E406" s="2" t="s">
        <v>48</v>
      </c>
      <c r="F406" s="13">
        <v>18.56</v>
      </c>
      <c r="G406" s="35">
        <v>19.46</v>
      </c>
      <c r="H406" s="34">
        <f>'2021'!BH406</f>
        <v>0</v>
      </c>
      <c r="I406" s="13">
        <v>2</v>
      </c>
      <c r="J406" s="15"/>
      <c r="K406" s="15"/>
      <c r="L406" s="28"/>
      <c r="M406" s="13">
        <v>2</v>
      </c>
      <c r="N406" s="15">
        <f t="shared" si="1194"/>
        <v>0</v>
      </c>
      <c r="Q406" s="13">
        <v>2</v>
      </c>
      <c r="R406" s="15">
        <f t="shared" si="1195"/>
        <v>0</v>
      </c>
      <c r="S406" s="15"/>
      <c r="T406" s="28"/>
      <c r="U406" s="13">
        <v>2</v>
      </c>
      <c r="V406" s="15">
        <f t="shared" si="1196"/>
        <v>0</v>
      </c>
      <c r="W406" s="34">
        <f>V406*$F$10</f>
        <v>0</v>
      </c>
      <c r="Y406" s="13">
        <v>2</v>
      </c>
      <c r="Z406" s="2">
        <f t="shared" si="1197"/>
        <v>0</v>
      </c>
      <c r="AA406" s="34">
        <f>Z406*$F$10</f>
        <v>0</v>
      </c>
      <c r="AB406" s="28"/>
      <c r="AC406" s="348">
        <v>2</v>
      </c>
      <c r="AD406" s="15">
        <f t="shared" si="1198"/>
        <v>0</v>
      </c>
      <c r="AE406" s="34">
        <f>AD406*$F$10</f>
        <v>0</v>
      </c>
      <c r="AF406" s="15"/>
      <c r="AG406" s="15">
        <v>2</v>
      </c>
      <c r="AH406" s="2">
        <f>AG406-AC406</f>
        <v>0</v>
      </c>
      <c r="AI406" s="45">
        <f>AH406*$G$10</f>
        <v>0</v>
      </c>
      <c r="AJ406" s="180"/>
      <c r="AK406" s="15">
        <v>2</v>
      </c>
      <c r="AL406" s="15">
        <f>AK406-AG406</f>
        <v>0</v>
      </c>
      <c r="AM406" s="45">
        <f>AL406*$G$10</f>
        <v>0</v>
      </c>
      <c r="AN406" s="15"/>
      <c r="AO406" s="13">
        <v>2</v>
      </c>
      <c r="AP406" s="15">
        <f>AO406-AK406</f>
        <v>0</v>
      </c>
      <c r="AQ406" s="45">
        <f>AP406*$G$10</f>
        <v>0</v>
      </c>
      <c r="AR406" s="15"/>
      <c r="AS406" s="13">
        <v>2</v>
      </c>
      <c r="AT406" s="15">
        <f>AS406-AO406</f>
        <v>0</v>
      </c>
      <c r="AU406" s="45">
        <f>AT406*$G$10</f>
        <v>0</v>
      </c>
      <c r="AV406" s="15"/>
      <c r="AW406" s="13"/>
      <c r="AX406" s="15">
        <f>AW406-AS406</f>
        <v>-2</v>
      </c>
      <c r="AY406" s="45"/>
      <c r="AZ406" s="208"/>
      <c r="BA406" s="13"/>
      <c r="BB406" s="15"/>
      <c r="BC406" s="45"/>
      <c r="BD406" s="208"/>
      <c r="BE406" s="40">
        <f t="shared" ref="BE406:BG406" si="1200">J406+N406+R406+V406+Z406+AD406+AH406+AL406+AP406+AT406+AX406+BB406</f>
        <v>-2</v>
      </c>
      <c r="BF406" s="41">
        <f t="shared" si="1200"/>
        <v>0</v>
      </c>
      <c r="BG406" s="34">
        <f t="shared" si="1200"/>
        <v>0</v>
      </c>
      <c r="BH406" s="35">
        <f t="shared" si="1193"/>
        <v>0</v>
      </c>
      <c r="BK406" s="2" t="b">
        <f>H406='2021'!BH406</f>
        <v>1</v>
      </c>
    </row>
    <row r="407" ht="15.75" customHeight="1" spans="1:63" x14ac:dyDescent="0.25">
      <c r="A407" s="2">
        <v>45</v>
      </c>
      <c r="B407" s="14"/>
      <c r="C407" s="2" t="s">
        <v>115</v>
      </c>
      <c r="D407" s="14" t="s">
        <v>47</v>
      </c>
      <c r="E407" s="2" t="s">
        <v>49</v>
      </c>
      <c r="F407" s="41">
        <v>500</v>
      </c>
      <c r="G407" s="28"/>
      <c r="H407" s="34">
        <f>'2021'!BH407</f>
        <v>0</v>
      </c>
      <c r="I407" s="13"/>
      <c r="J407" s="15"/>
      <c r="K407" s="15"/>
      <c r="L407" s="28"/>
      <c r="M407" s="13"/>
      <c r="N407" s="15"/>
      <c r="Q407" s="13"/>
      <c r="R407" s="15"/>
      <c r="S407" s="15"/>
      <c r="T407" s="28"/>
      <c r="U407" s="13"/>
      <c r="V407" s="15"/>
      <c r="Y407" s="13"/>
      <c r="Z407" s="2"/>
      <c r="AA407" s="15"/>
      <c r="AB407" s="28"/>
      <c r="AC407" s="348"/>
      <c r="AD407" s="15"/>
      <c r="AG407" s="15"/>
      <c r="AH407" s="2"/>
      <c r="AI407" s="45"/>
      <c r="AJ407" s="15"/>
      <c r="AK407" s="15"/>
      <c r="AL407" s="15"/>
      <c r="AM407" s="45"/>
      <c r="AN407" s="15"/>
      <c r="AO407" s="13"/>
      <c r="AP407" s="15"/>
      <c r="AQ407" s="45"/>
      <c r="AR407" s="15"/>
      <c r="AS407" s="13"/>
      <c r="AT407" s="15"/>
      <c r="AU407" s="45"/>
      <c r="AV407" s="15"/>
      <c r="AW407" s="13"/>
      <c r="AX407" s="15"/>
      <c r="AY407" s="45"/>
      <c r="AZ407" s="28"/>
      <c r="BA407" s="13"/>
      <c r="BB407" s="15"/>
      <c r="BC407" s="45"/>
      <c r="BD407" s="28"/>
      <c r="BE407" s="14"/>
      <c r="BF407" s="41">
        <f t="shared" ref="BF407:BG407" si="1201">K407+O407+S407+W407+AA407+AE407+AI407+AM407+AQ407+AU407+AY407+BC407</f>
        <v>0</v>
      </c>
      <c r="BG407" s="34">
        <f t="shared" si="1201"/>
        <v>0</v>
      </c>
      <c r="BH407" s="35">
        <f t="shared" si="1193"/>
        <v>0</v>
      </c>
      <c r="BK407" s="2" t="b">
        <f>H407='2021'!BH407</f>
        <v>1</v>
      </c>
    </row>
    <row r="408" ht="15.75" customHeight="1" spans="1:63" x14ac:dyDescent="0.25">
      <c r="A408" s="2">
        <v>45</v>
      </c>
      <c r="B408" s="14"/>
      <c r="C408" s="2" t="s">
        <v>416</v>
      </c>
      <c r="D408" s="14" t="s">
        <v>50</v>
      </c>
      <c r="E408" s="2" t="s">
        <v>49</v>
      </c>
      <c r="F408" s="41">
        <v>1100</v>
      </c>
      <c r="G408" s="28"/>
      <c r="H408" s="34">
        <f>'2021'!BH408</f>
        <v>0</v>
      </c>
      <c r="I408" s="13"/>
      <c r="J408" s="15"/>
      <c r="K408" s="15"/>
      <c r="L408" s="28"/>
      <c r="M408" s="13"/>
      <c r="N408" s="15"/>
      <c r="Q408" s="13"/>
      <c r="R408" s="15"/>
      <c r="S408" s="15"/>
      <c r="T408" s="28"/>
      <c r="U408" s="13"/>
      <c r="V408" s="15"/>
      <c r="Y408" s="13"/>
      <c r="Z408" s="2"/>
      <c r="AA408" s="15"/>
      <c r="AB408" s="28"/>
      <c r="AC408" s="348"/>
      <c r="AD408" s="15"/>
      <c r="AE408" s="34">
        <f>B405*$F$12</f>
        <v>6552</v>
      </c>
      <c r="AF408" s="15"/>
      <c r="AG408" s="15"/>
      <c r="AH408" s="2"/>
      <c r="AI408" s="45"/>
      <c r="AJ408" s="248"/>
      <c r="AK408" s="15"/>
      <c r="AL408" s="15"/>
      <c r="AM408" s="45"/>
      <c r="AN408" s="15"/>
      <c r="AO408" s="13"/>
      <c r="AP408" s="15"/>
      <c r="AQ408" s="45"/>
      <c r="AR408" s="15"/>
      <c r="AS408" s="13"/>
      <c r="AT408" s="15"/>
      <c r="AU408" s="45"/>
      <c r="AV408" s="15"/>
      <c r="AW408" s="13"/>
      <c r="AX408" s="15"/>
      <c r="AY408" s="45"/>
      <c r="AZ408" s="28"/>
      <c r="BA408" s="13"/>
      <c r="BB408" s="15"/>
      <c r="BC408" s="45"/>
      <c r="BD408" s="28"/>
      <c r="BE408" s="14"/>
      <c r="BF408" s="41">
        <f t="shared" ref="BF408:BG408" si="1202">K408+O408+S408+W408+AA408+AE408+AI408+AM408+AQ408+AU408+AY408+BC408</f>
        <v>6552</v>
      </c>
      <c r="BG408" s="34">
        <f t="shared" si="1202"/>
        <v>0</v>
      </c>
      <c r="BH408" s="35">
        <f t="shared" si="1193"/>
        <v>6552</v>
      </c>
      <c r="BK408" s="2" t="b">
        <f>H408='2021'!BH408</f>
        <v>1</v>
      </c>
    </row>
    <row r="409" ht="15.75" customHeight="1" spans="1:63" x14ac:dyDescent="0.25">
      <c r="A409" s="2">
        <v>45</v>
      </c>
      <c r="B409" s="14"/>
      <c r="D409" s="14" t="s">
        <v>51</v>
      </c>
      <c r="E409" s="2" t="s">
        <v>39</v>
      </c>
      <c r="F409" s="41">
        <v>500</v>
      </c>
      <c r="G409" s="28"/>
      <c r="H409" s="34">
        <f>'2021'!BH409</f>
        <v>0</v>
      </c>
      <c r="I409" s="13"/>
      <c r="J409" s="15"/>
      <c r="K409" s="15"/>
      <c r="L409" s="28"/>
      <c r="M409" s="13"/>
      <c r="N409" s="15"/>
      <c r="Q409" s="13"/>
      <c r="R409" s="15"/>
      <c r="S409" s="15"/>
      <c r="T409" s="28"/>
      <c r="U409" s="13"/>
      <c r="V409" s="15"/>
      <c r="Y409" s="13"/>
      <c r="Z409" s="2"/>
      <c r="AA409" s="15"/>
      <c r="AB409" s="28"/>
      <c r="AC409" s="348"/>
      <c r="AD409" s="15"/>
      <c r="AE409" s="180">
        <f>$F$13</f>
        <v>1000</v>
      </c>
      <c r="AG409" s="15"/>
      <c r="AH409" s="2"/>
      <c r="AI409" s="45"/>
      <c r="AJ409" s="15"/>
      <c r="AK409" s="15"/>
      <c r="AL409" s="15"/>
      <c r="AM409" s="45"/>
      <c r="AN409" s="15"/>
      <c r="AO409" s="13"/>
      <c r="AP409" s="15"/>
      <c r="AQ409" s="180"/>
      <c r="AR409" s="15"/>
      <c r="AS409" s="13"/>
      <c r="AT409" s="15"/>
      <c r="AU409" s="45"/>
      <c r="AV409" s="15"/>
      <c r="AW409" s="13"/>
      <c r="AX409" s="15"/>
      <c r="AY409" s="45"/>
      <c r="AZ409" s="35"/>
      <c r="BA409" s="13"/>
      <c r="BB409" s="15"/>
      <c r="BC409" s="45"/>
      <c r="BD409" s="28"/>
      <c r="BE409" s="14"/>
      <c r="BF409" s="41">
        <f t="shared" ref="BF409:BG409" si="1203">K409+O409+S409+W409+AA409+AE409+AI409+AM409+AQ409+AU409+AY409+BC409</f>
        <v>1000</v>
      </c>
      <c r="BG409" s="34">
        <f t="shared" si="1203"/>
        <v>0</v>
      </c>
      <c r="BH409" s="35">
        <f t="shared" si="1193"/>
        <v>1000</v>
      </c>
      <c r="BK409" s="2" t="b">
        <f>H409='2021'!BH409</f>
        <v>1</v>
      </c>
    </row>
    <row r="410" ht="15.75" customHeight="1" spans="1:63" x14ac:dyDescent="0.25">
      <c r="A410" s="2">
        <v>45</v>
      </c>
      <c r="B410" s="14"/>
      <c r="D410" s="14" t="s">
        <v>51</v>
      </c>
      <c r="E410" s="2" t="s">
        <v>49</v>
      </c>
      <c r="F410" s="41">
        <v>500</v>
      </c>
      <c r="G410" s="28"/>
      <c r="H410" s="34">
        <f>'2021'!BH410</f>
        <v>0</v>
      </c>
      <c r="I410" s="13"/>
      <c r="J410" s="15"/>
      <c r="K410" s="15"/>
      <c r="L410" s="28"/>
      <c r="M410" s="13"/>
      <c r="N410" s="15"/>
      <c r="Q410" s="13"/>
      <c r="R410" s="15"/>
      <c r="S410" s="15"/>
      <c r="T410" s="28"/>
      <c r="U410" s="13"/>
      <c r="V410" s="15"/>
      <c r="Y410" s="13"/>
      <c r="Z410" s="2"/>
      <c r="AA410" s="15"/>
      <c r="AB410" s="28"/>
      <c r="AC410" s="348"/>
      <c r="AD410" s="15"/>
      <c r="AE410" s="34"/>
      <c r="AG410" s="15"/>
      <c r="AH410" s="2"/>
      <c r="AI410" s="45"/>
      <c r="AJ410" s="15"/>
      <c r="AK410" s="15"/>
      <c r="AL410" s="15"/>
      <c r="AM410" s="45"/>
      <c r="AN410" s="15"/>
      <c r="AO410" s="13"/>
      <c r="AP410" s="15"/>
      <c r="AQ410" s="180">
        <f>B405*$F$14</f>
        <v>0</v>
      </c>
      <c r="AR410" s="15"/>
      <c r="AS410" s="13"/>
      <c r="AT410" s="15"/>
      <c r="AU410" s="45"/>
      <c r="AV410" s="15"/>
      <c r="AW410" s="13"/>
      <c r="AX410" s="15"/>
      <c r="AY410" s="45"/>
      <c r="AZ410" s="35"/>
      <c r="BA410" s="13"/>
      <c r="BB410" s="15"/>
      <c r="BC410" s="45"/>
      <c r="BD410" s="28"/>
      <c r="BE410" s="14"/>
      <c r="BF410" s="41">
        <f t="shared" ref="BF410:BG410" si="1204">K410+O410+S410+W410+AA410+AE410+AI410+AM410+AQ410+AU410+AY410+BC410</f>
        <v>0</v>
      </c>
      <c r="BG410" s="34">
        <f t="shared" si="1204"/>
        <v>0</v>
      </c>
      <c r="BH410" s="35">
        <f t="shared" si="1193"/>
        <v>0</v>
      </c>
      <c r="BK410" s="2" t="b">
        <f>H410='2021'!BH410</f>
        <v>1</v>
      </c>
    </row>
    <row r="411" ht="15.75" customHeight="1" spans="1:63" x14ac:dyDescent="0.25">
      <c r="A411" s="2">
        <v>45</v>
      </c>
      <c r="B411" s="14"/>
      <c r="D411" s="14" t="s">
        <v>52</v>
      </c>
      <c r="E411" s="2" t="s">
        <v>39</v>
      </c>
      <c r="F411" s="41">
        <v>500</v>
      </c>
      <c r="G411" s="28"/>
      <c r="H411" s="34">
        <f>'2021'!BH411</f>
        <v>0</v>
      </c>
      <c r="I411" s="13"/>
      <c r="J411" s="15"/>
      <c r="K411" s="15"/>
      <c r="L411" s="28"/>
      <c r="M411" s="13"/>
      <c r="N411" s="15"/>
      <c r="Q411" s="13"/>
      <c r="R411" s="15"/>
      <c r="S411" s="15"/>
      <c r="T411" s="28"/>
      <c r="U411" s="13"/>
      <c r="V411" s="15"/>
      <c r="Y411" s="13"/>
      <c r="Z411" s="2"/>
      <c r="AA411" s="34">
        <f>$F$15</f>
      </c>
      <c r="AB411" s="35"/>
      <c r="AC411" s="348"/>
      <c r="AD411" s="15"/>
      <c r="AG411" s="15"/>
      <c r="AH411" s="2"/>
      <c r="AI411" s="45"/>
      <c r="AJ411" s="180"/>
      <c r="AK411" s="15"/>
      <c r="AL411" s="15"/>
      <c r="AM411" s="45"/>
      <c r="AN411" s="15"/>
      <c r="AO411" s="13"/>
      <c r="AP411" s="15"/>
      <c r="AQ411" s="45"/>
      <c r="AR411" s="15"/>
      <c r="AS411" s="13"/>
      <c r="AT411" s="15"/>
      <c r="AU411" s="45"/>
      <c r="AV411" s="15"/>
      <c r="AW411" s="13"/>
      <c r="AX411" s="15"/>
      <c r="AY411" s="45"/>
      <c r="AZ411" s="35"/>
      <c r="BA411" s="13"/>
      <c r="BB411" s="15"/>
      <c r="BC411" s="45"/>
      <c r="BD411" s="35"/>
      <c r="BE411" s="14"/>
      <c r="BF411" s="41">
        <f t="shared" ref="BF411:BG411" si="1205">K411+O411+S411+W411+AA411+AE411+AI411+AM411+AQ411+AU411+AY411+BC411</f>
        <v>0</v>
      </c>
      <c r="BG411" s="34">
        <f t="shared" si="1205"/>
        <v>0</v>
      </c>
      <c r="BH411" s="35">
        <f t="shared" si="1193"/>
        <v>0</v>
      </c>
      <c r="BK411" s="2" t="b">
        <f>H411='2021'!BH411</f>
        <v>1</v>
      </c>
    </row>
    <row r="412" ht="15.75" customHeight="1" spans="1:63" x14ac:dyDescent="0.25">
      <c r="A412" s="247">
        <v>45</v>
      </c>
      <c r="B412" s="21"/>
      <c r="C412" s="22" t="s">
        <v>53</v>
      </c>
      <c r="D412" s="21"/>
      <c r="E412" s="22"/>
      <c r="F412" s="20"/>
      <c r="G412" s="23"/>
      <c r="H412" s="51">
        <f>SUM(H404:H411)</f>
        <v>0</v>
      </c>
      <c r="I412" s="52"/>
      <c r="J412" s="53"/>
      <c r="K412" s="51">
        <f t="shared" ref="K412:L412" si="1206">SUM(K404:K411)</f>
        <v>0</v>
      </c>
      <c r="L412" s="68">
        <f t="shared" si="1206"/>
        <v>0</v>
      </c>
      <c r="M412" s="52"/>
      <c r="N412" s="53"/>
      <c r="O412" s="51">
        <f t="shared" ref="O412:P412" si="1207">SUM(O404:O411)</f>
        <v>0</v>
      </c>
      <c r="P412" s="51">
        <f t="shared" si="1207"/>
        <v>0</v>
      </c>
      <c r="Q412" s="52"/>
      <c r="R412" s="53"/>
      <c r="S412" s="51">
        <f t="shared" ref="S412:T412" si="1208">SUM(S404:S411)</f>
        <v>0</v>
      </c>
      <c r="T412" s="51">
        <f t="shared" si="1208"/>
        <v>0</v>
      </c>
      <c r="U412" s="52"/>
      <c r="V412" s="53"/>
      <c r="W412" s="51">
        <f t="shared" ref="W412:X412" si="1209">SUM(W404:W411)</f>
        <v>0</v>
      </c>
      <c r="X412" s="51">
        <f t="shared" si="1209"/>
        <v>0</v>
      </c>
      <c r="Y412" s="52"/>
      <c r="Z412" s="301"/>
      <c r="AA412" s="51">
        <f t="shared" ref="AA412:AB412" si="1210">SUM(AA404:AA411)</f>
        <v>0</v>
      </c>
      <c r="AB412" s="51">
        <f t="shared" si="1210"/>
        <v>0</v>
      </c>
      <c r="AC412" s="367"/>
      <c r="AD412" s="53"/>
      <c r="AE412" s="51">
        <f t="shared" ref="AE412:AF412" si="1211">SUM(AE404:AE411)</f>
        <v>7552</v>
      </c>
      <c r="AF412" s="51">
        <f t="shared" si="1211"/>
        <v>0</v>
      </c>
      <c r="AG412" s="52"/>
      <c r="AH412" s="301"/>
      <c r="AI412" s="183">
        <f t="shared" ref="AI412:AJ412" si="1212">SUM(AI404:AI411)</f>
        <v>0</v>
      </c>
      <c r="AJ412" s="51">
        <f t="shared" si="1212"/>
        <v>0</v>
      </c>
      <c r="AK412" s="52"/>
      <c r="AL412" s="53"/>
      <c r="AM412" s="183">
        <f t="shared" ref="AM412:AN412" si="1213">SUM(AM404:AM411)</f>
        <v>0</v>
      </c>
      <c r="AN412" s="51">
        <f t="shared" si="1213"/>
        <v>0</v>
      </c>
      <c r="AO412" s="52"/>
      <c r="AP412" s="53"/>
      <c r="AQ412" s="183">
        <f t="shared" ref="AQ412:AR412" si="1214">SUM(AQ404:AQ411)</f>
        <v>0</v>
      </c>
      <c r="AR412" s="51">
        <f t="shared" si="1214"/>
        <v>0</v>
      </c>
      <c r="AS412" s="52"/>
      <c r="AT412" s="53"/>
      <c r="AU412" s="183">
        <f t="shared" ref="AU412:AV412" si="1215">SUM(AU404:AU411)</f>
        <v>0</v>
      </c>
      <c r="AV412" s="68">
        <f t="shared" si="1215"/>
        <v>0</v>
      </c>
      <c r="AW412" s="52"/>
      <c r="AX412" s="53"/>
      <c r="AY412" s="183">
        <f t="shared" ref="AY412:AZ412" si="1216">SUM(AY404:AY411)</f>
        <v>0</v>
      </c>
      <c r="AZ412" s="68">
        <f t="shared" si="1216"/>
        <v>0</v>
      </c>
      <c r="BA412" s="52"/>
      <c r="BB412" s="53"/>
      <c r="BC412" s="183">
        <f t="shared" ref="BC412:BD412" si="1217">SUM(BC404:BC411)</f>
        <v>0</v>
      </c>
      <c r="BD412" s="68">
        <f t="shared" si="1217"/>
        <v>0</v>
      </c>
      <c r="BE412" s="69"/>
      <c r="BF412" s="70">
        <f t="shared" ref="BF412:BH412" si="1218">SUM(BF404:BF411)</f>
        <v>7552</v>
      </c>
      <c r="BG412" s="71">
        <f t="shared" si="1218"/>
        <v>0</v>
      </c>
      <c r="BH412" s="72">
        <f t="shared" si="1218"/>
        <v>7552</v>
      </c>
      <c r="BI412" s="34">
        <f>H412+BF412-BG412</f>
        <v>7552</v>
      </c>
      <c r="BJ412" s="34">
        <f>BH412-BI412</f>
        <v>0</v>
      </c>
      <c r="BK412" s="2" t="b">
        <f>H412='2021'!BH412</f>
        <v>1</v>
      </c>
    </row>
    <row r="413" ht="15.75" customHeight="1" spans="1:63" x14ac:dyDescent="0.25">
      <c r="A413" s="2">
        <v>46</v>
      </c>
      <c r="B413" s="14"/>
      <c r="D413" s="14" t="s">
        <v>379</v>
      </c>
      <c r="F413" s="13"/>
      <c r="G413" s="28"/>
      <c r="H413" s="34">
        <f>'2021'!BH413</f>
        <v>0</v>
      </c>
      <c r="I413" s="13"/>
      <c r="J413" s="15"/>
      <c r="K413" s="15"/>
      <c r="L413" s="28"/>
      <c r="M413" s="13"/>
      <c r="N413" s="15"/>
      <c r="Q413" s="13"/>
      <c r="R413" s="15"/>
      <c r="S413" s="15"/>
      <c r="T413" s="28"/>
      <c r="U413" s="13"/>
      <c r="V413" s="15"/>
      <c r="Y413" s="13"/>
      <c r="Z413" s="2"/>
      <c r="AA413" s="15"/>
      <c r="AB413" s="28"/>
      <c r="AC413" s="348"/>
      <c r="AD413" s="15"/>
      <c r="AG413" s="15"/>
      <c r="AH413" s="2"/>
      <c r="AI413" s="45"/>
      <c r="AJ413" s="15"/>
      <c r="AK413" s="15"/>
      <c r="AM413" s="45"/>
      <c r="AO413" s="13"/>
      <c r="AQ413" s="45"/>
      <c r="AS413" s="13"/>
      <c r="AU413" s="45"/>
      <c r="AW413" s="13"/>
      <c r="AY413" s="45"/>
      <c r="AZ413" s="28"/>
      <c r="BA413" s="13"/>
      <c r="BB413" s="15"/>
      <c r="BC413" s="45"/>
      <c r="BD413" s="28"/>
      <c r="BE413" s="14"/>
      <c r="BF413" s="41">
        <f t="shared" ref="BF413:BG413" si="1219">K413+O413+S413+W413+AA413+AE413+AI413+AM413+AQ413+AU413+AY413+BC413</f>
        <v>0</v>
      </c>
      <c r="BG413" s="34">
        <f t="shared" si="1219"/>
        <v>0</v>
      </c>
      <c r="BH413" s="35">
        <f t="shared" ref="BH413:BH420" si="1220">H413+BF413-BG413</f>
        <v>0</v>
      </c>
      <c r="BK413" s="2" t="b">
        <f>H413='2021'!BH413</f>
        <v>1</v>
      </c>
    </row>
    <row r="414" ht="15.75" customHeight="1" spans="1:63" x14ac:dyDescent="0.25">
      <c r="A414" s="2">
        <v>46</v>
      </c>
      <c r="B414" s="42">
        <v>4</v>
      </c>
      <c r="C414" s="2" t="s">
        <v>188</v>
      </c>
      <c r="D414" s="14" t="s">
        <v>44</v>
      </c>
      <c r="E414" s="2" t="s">
        <v>45</v>
      </c>
      <c r="F414" s="41">
        <v>2.5</v>
      </c>
      <c r="G414" s="35">
        <v>2.6</v>
      </c>
      <c r="H414" s="34">
        <f>'2021'!BH414</f>
        <v>202.5</v>
      </c>
      <c r="I414" s="13">
        <v>4198</v>
      </c>
      <c r="J414" s="15">
        <f>I414-'2021'!BA414</f>
        <v>0</v>
      </c>
      <c r="K414" s="34">
        <f>J414*$F$8</f>
        <v>0</v>
      </c>
      <c r="L414" s="28"/>
      <c r="M414" s="13">
        <v>4198</v>
      </c>
      <c r="N414" s="15">
        <f t="shared" ref="N414:N415" si="1221">M414-I414</f>
        <v>0</v>
      </c>
      <c r="O414" s="34">
        <f>N414*$F$8</f>
        <v>0</v>
      </c>
      <c r="Q414" s="13">
        <v>4198</v>
      </c>
      <c r="R414" s="15">
        <f t="shared" ref="R414:R415" si="1222">Q414-M414</f>
        <v>0</v>
      </c>
      <c r="S414" s="34">
        <f>R414*$F$8</f>
        <v>0</v>
      </c>
      <c r="T414" s="28"/>
      <c r="U414" s="13">
        <v>4198</v>
      </c>
      <c r="V414" s="15">
        <f t="shared" ref="V414:V415" si="1223">U414-Q414</f>
        <v>0</v>
      </c>
      <c r="W414" s="34">
        <f>V414*$F$8</f>
        <v>0</v>
      </c>
      <c r="X414" s="34"/>
      <c r="Y414" s="13">
        <v>4336</v>
      </c>
      <c r="Z414" s="2">
        <f t="shared" ref="Z414:Z415" si="1224">Y414-U414</f>
        <v>138</v>
      </c>
      <c r="AA414" s="34">
        <f>Z414*$F$8</f>
        <v>372.6</v>
      </c>
      <c r="AB414" s="28"/>
      <c r="AC414" s="348">
        <v>4454</v>
      </c>
      <c r="AD414" s="15">
        <f t="shared" ref="AD414:AD415" si="1225">AC414-Y414</f>
        <v>118</v>
      </c>
      <c r="AE414" s="180">
        <f>AD414*$F$8</f>
        <v>318.6</v>
      </c>
      <c r="AF414" s="306">
        <v>575.1</v>
      </c>
      <c r="AG414" s="15">
        <v>4563</v>
      </c>
      <c r="AH414" s="2">
        <f>(AG414-AC414)*AH5</f>
        <v>115.104</v>
      </c>
      <c r="AI414" s="45">
        <f>AH414*$G$8</f>
        <v>283.15584</v>
      </c>
      <c r="AJ414" s="182">
        <v>318.6</v>
      </c>
      <c r="AK414" s="15">
        <v>4680</v>
      </c>
      <c r="AL414" s="15">
        <f>(AK414-AG414)*AL5</f>
        <v>120.276</v>
      </c>
      <c r="AM414" s="45">
        <f>AL414*$G$8</f>
        <v>295.87896</v>
      </c>
      <c r="AN414" s="154">
        <v>283.16</v>
      </c>
      <c r="AO414" s="13">
        <v>4785</v>
      </c>
      <c r="AP414" s="15">
        <f>(AO414-AK414)*AP5</f>
        <v>108.465</v>
      </c>
      <c r="AQ414" s="45">
        <f>AP414*$G$8</f>
        <v>266.8239</v>
      </c>
      <c r="AR414" s="154">
        <v>295.87</v>
      </c>
      <c r="AS414" s="13">
        <v>4854</v>
      </c>
      <c r="AT414" s="15">
        <f>(AS414-AO414)*AT5</f>
        <v>72.45</v>
      </c>
      <c r="AU414" s="45">
        <f>AT414*$G$8</f>
        <v>178.227</v>
      </c>
      <c r="AV414" s="15"/>
      <c r="AW414" s="13"/>
      <c r="AX414" s="15">
        <f>(AW414-AS414)*AX5</f>
        <v>0</v>
      </c>
      <c r="AY414" s="45">
        <f>AX414*$G$8</f>
        <v>0</v>
      </c>
      <c r="AZ414" s="208"/>
      <c r="BA414" s="13"/>
      <c r="BB414" s="15"/>
      <c r="BC414" s="45">
        <f>BB414*$G$8</f>
        <v>0</v>
      </c>
      <c r="BD414" s="208"/>
      <c r="BE414" s="40">
        <f t="shared" ref="BE414:BG414" si="1226">J414+N414+R414+V414+Z414+AD414+AH414+AL414+AP414+AT414+AX414+BB414</f>
        <v>672.295</v>
      </c>
      <c r="BF414" s="41">
        <f t="shared" si="1226"/>
        <v>1715.2857</v>
      </c>
      <c r="BG414" s="34">
        <f t="shared" si="1226"/>
        <v>1472.73</v>
      </c>
      <c r="BH414" s="35">
        <f t="shared" si="1220"/>
        <v>445.0557</v>
      </c>
      <c r="BK414" s="2" t="b">
        <f>H414='2021'!BH414</f>
        <v>1</v>
      </c>
    </row>
    <row r="415" ht="15.75" customHeight="1" spans="1:63" x14ac:dyDescent="0.25">
      <c r="A415" s="2">
        <v>46</v>
      </c>
      <c r="B415" s="14"/>
      <c r="C415" s="2" t="s">
        <v>98</v>
      </c>
      <c r="D415" s="14" t="s">
        <v>47</v>
      </c>
      <c r="E415" s="2" t="s">
        <v>48</v>
      </c>
      <c r="F415" s="13">
        <v>18.56</v>
      </c>
      <c r="G415" s="35">
        <v>19.46</v>
      </c>
      <c r="H415" s="34">
        <f>'2021'!BH415</f>
        <v>0</v>
      </c>
      <c r="I415" s="13">
        <v>171</v>
      </c>
      <c r="J415" s="15"/>
      <c r="K415" s="15"/>
      <c r="L415" s="28"/>
      <c r="M415" s="13">
        <v>171</v>
      </c>
      <c r="N415" s="15">
        <f t="shared" si="1221"/>
        <v>0</v>
      </c>
      <c r="Q415" s="13">
        <v>171</v>
      </c>
      <c r="R415" s="15">
        <f t="shared" si="1222"/>
        <v>0</v>
      </c>
      <c r="S415" s="15"/>
      <c r="T415" s="28"/>
      <c r="U415" s="13">
        <v>171</v>
      </c>
      <c r="V415" s="15">
        <f t="shared" si="1223"/>
        <v>0</v>
      </c>
      <c r="W415" s="34">
        <f>V415*$F$10</f>
        <v>0</v>
      </c>
      <c r="Y415" s="13">
        <v>171</v>
      </c>
      <c r="Z415" s="2">
        <f t="shared" si="1224"/>
        <v>0</v>
      </c>
      <c r="AA415" s="34">
        <f>Z415*$F$10</f>
        <v>0</v>
      </c>
      <c r="AB415" s="28"/>
      <c r="AC415" s="348">
        <v>174</v>
      </c>
      <c r="AD415" s="15">
        <f t="shared" si="1225"/>
        <v>3</v>
      </c>
      <c r="AE415" s="34">
        <f>AD415*$F$10</f>
        <v>61.05</v>
      </c>
      <c r="AF415" s="154"/>
      <c r="AG415" s="15">
        <v>178</v>
      </c>
      <c r="AH415" s="2">
        <f>AG415-AC415</f>
        <v>4</v>
      </c>
      <c r="AI415" s="45">
        <f>AH415*$G$10</f>
        <v>85.6</v>
      </c>
      <c r="AJ415" s="182">
        <v>61.05</v>
      </c>
      <c r="AK415" s="15">
        <v>182</v>
      </c>
      <c r="AL415" s="15">
        <f>AK415-AG415</f>
        <v>4</v>
      </c>
      <c r="AM415" s="45">
        <f>AL415*$G$10</f>
        <v>85.6</v>
      </c>
      <c r="AN415" s="154">
        <f>85.6+31.24</f>
        <v>116.84</v>
      </c>
      <c r="AO415" s="13">
        <v>182</v>
      </c>
      <c r="AP415" s="15">
        <f>AO415-AK415</f>
        <v>0</v>
      </c>
      <c r="AQ415" s="45">
        <f>AP415*$G$10</f>
        <v>0</v>
      </c>
      <c r="AR415" s="154">
        <v>54.36</v>
      </c>
      <c r="AS415" s="13">
        <v>182</v>
      </c>
      <c r="AT415" s="15">
        <f>AS415-AO415</f>
        <v>0</v>
      </c>
      <c r="AU415" s="45">
        <f>AT415*$G$10</f>
        <v>0</v>
      </c>
      <c r="AV415" s="15"/>
      <c r="AW415" s="13"/>
      <c r="AX415" s="15">
        <f>AW415-AS415</f>
        <v>-182</v>
      </c>
      <c r="AY415" s="45"/>
      <c r="AZ415" s="208"/>
      <c r="BA415" s="13"/>
      <c r="BB415" s="15"/>
      <c r="BC415" s="45"/>
      <c r="BD415" s="208"/>
      <c r="BE415" s="40">
        <f t="shared" ref="BE415:BG415" si="1227">J415+N415+R415+V415+Z415+AD415+AH415+AL415+AP415+AT415+AX415+BB415</f>
        <v>-171</v>
      </c>
      <c r="BF415" s="41">
        <f t="shared" si="1227"/>
        <v>232.25</v>
      </c>
      <c r="BG415" s="34">
        <f t="shared" si="1227"/>
        <v>232.25</v>
      </c>
      <c r="BH415" s="35">
        <f t="shared" si="1220"/>
        <v>0</v>
      </c>
      <c r="BK415" s="2" t="b">
        <f>H415='2021'!BH415</f>
        <v>1</v>
      </c>
    </row>
    <row r="416" ht="15.75" customHeight="1" spans="1:63" x14ac:dyDescent="0.25">
      <c r="A416" s="2">
        <v>46</v>
      </c>
      <c r="B416" s="14"/>
      <c r="C416" s="2" t="s">
        <v>190</v>
      </c>
      <c r="D416" s="14" t="s">
        <v>47</v>
      </c>
      <c r="E416" s="2" t="s">
        <v>49</v>
      </c>
      <c r="F416" s="41">
        <v>500</v>
      </c>
      <c r="G416" s="28"/>
      <c r="H416" s="34">
        <f>'2021'!BH416</f>
        <v>0</v>
      </c>
      <c r="I416" s="13"/>
      <c r="J416" s="15"/>
      <c r="K416" s="15"/>
      <c r="L416" s="28"/>
      <c r="M416" s="13"/>
      <c r="N416" s="15"/>
      <c r="Q416" s="13"/>
      <c r="R416" s="15"/>
      <c r="S416" s="15"/>
      <c r="T416" s="28"/>
      <c r="U416" s="13"/>
      <c r="V416" s="15"/>
      <c r="Y416" s="13"/>
      <c r="Z416" s="2"/>
      <c r="AA416" s="15"/>
      <c r="AB416" s="28"/>
      <c r="AC416" s="348"/>
      <c r="AD416" s="15"/>
      <c r="AF416" s="154"/>
      <c r="AG416" s="15"/>
      <c r="AH416" s="2"/>
      <c r="AI416" s="45"/>
      <c r="AJ416" s="182"/>
      <c r="AK416" s="15"/>
      <c r="AL416" s="15"/>
      <c r="AM416" s="45"/>
      <c r="AN416" s="15"/>
      <c r="AO416" s="13"/>
      <c r="AP416" s="15"/>
      <c r="AQ416" s="45"/>
      <c r="AR416" s="15"/>
      <c r="AS416" s="13"/>
      <c r="AT416" s="15"/>
      <c r="AU416" s="45"/>
      <c r="AV416" s="15"/>
      <c r="AW416" s="13"/>
      <c r="AX416" s="15"/>
      <c r="AY416" s="45"/>
      <c r="AZ416" s="28"/>
      <c r="BA416" s="13"/>
      <c r="BB416" s="15"/>
      <c r="BC416" s="45"/>
      <c r="BD416" s="28"/>
      <c r="BE416" s="14"/>
      <c r="BF416" s="41">
        <f t="shared" ref="BF416:BG416" si="1228">K416+O416+S416+W416+AA416+AE416+AI416+AM416+AQ416+AU416+AY416+BC416</f>
        <v>0</v>
      </c>
      <c r="BG416" s="34">
        <f t="shared" si="1228"/>
        <v>0</v>
      </c>
      <c r="BH416" s="35">
        <f t="shared" si="1220"/>
        <v>0</v>
      </c>
      <c r="BK416" s="2" t="b">
        <f>H416='2021'!BH416</f>
        <v>1</v>
      </c>
    </row>
    <row r="417" ht="15.75" customHeight="1" spans="1:63" x14ac:dyDescent="0.25">
      <c r="A417" s="2">
        <v>46</v>
      </c>
      <c r="B417" s="14"/>
      <c r="C417" s="2" t="s">
        <v>191</v>
      </c>
      <c r="D417" s="14" t="s">
        <v>50</v>
      </c>
      <c r="E417" s="2" t="s">
        <v>49</v>
      </c>
      <c r="F417" s="41">
        <v>1100</v>
      </c>
      <c r="G417" s="28"/>
      <c r="H417" s="34">
        <f>'2021'!BH417</f>
        <v>0</v>
      </c>
      <c r="I417" s="13"/>
      <c r="J417" s="15"/>
      <c r="K417" s="15"/>
      <c r="L417" s="28"/>
      <c r="M417" s="13"/>
      <c r="N417" s="15"/>
      <c r="Q417" s="13"/>
      <c r="R417" s="15"/>
      <c r="S417" s="15"/>
      <c r="T417" s="28"/>
      <c r="U417" s="13"/>
      <c r="V417" s="15"/>
      <c r="Y417" s="13"/>
      <c r="Z417" s="2"/>
      <c r="AA417" s="15"/>
      <c r="AB417" s="28"/>
      <c r="AC417" s="348"/>
      <c r="AD417" s="15"/>
      <c r="AE417" s="34">
        <f>B414*$F$12</f>
        <v>5200</v>
      </c>
      <c r="AF417" s="326">
        <v>424.9</v>
      </c>
      <c r="AG417" s="15"/>
      <c r="AH417" s="2"/>
      <c r="AI417" s="45"/>
      <c r="AJ417" s="182">
        <v>4775.1</v>
      </c>
      <c r="AK417" s="15"/>
      <c r="AL417" s="15"/>
      <c r="AM417" s="45"/>
      <c r="AN417" s="15"/>
      <c r="AO417" s="13"/>
      <c r="AP417" s="15"/>
      <c r="AQ417" s="45"/>
      <c r="AR417" s="15"/>
      <c r="AS417" s="13"/>
      <c r="AT417" s="15"/>
      <c r="AU417" s="45"/>
      <c r="AV417" s="15"/>
      <c r="AW417" s="13"/>
      <c r="AX417" s="15"/>
      <c r="AY417" s="45"/>
      <c r="AZ417" s="28"/>
      <c r="BA417" s="13"/>
      <c r="BB417" s="15"/>
      <c r="BC417" s="45"/>
      <c r="BD417" s="28"/>
      <c r="BE417" s="14"/>
      <c r="BF417" s="41">
        <f t="shared" ref="BF417:BG417" si="1229">K417+O417+S417+W417+AA417+AE417+AI417+AM417+AQ417+AU417+AY417+BC417</f>
        <v>5200</v>
      </c>
      <c r="BG417" s="34">
        <f t="shared" si="1229"/>
        <v>5200</v>
      </c>
      <c r="BH417" s="35">
        <f t="shared" si="1220"/>
        <v>0</v>
      </c>
      <c r="BK417" s="2" t="b">
        <f>H417='2021'!BH417</f>
        <v>1</v>
      </c>
    </row>
    <row r="418" ht="15.75" customHeight="1" spans="1:63" x14ac:dyDescent="0.25">
      <c r="A418" s="2">
        <v>46</v>
      </c>
      <c r="B418" s="14"/>
      <c r="D418" s="14" t="s">
        <v>51</v>
      </c>
      <c r="E418" s="2" t="s">
        <v>39</v>
      </c>
      <c r="F418" s="41">
        <v>500</v>
      </c>
      <c r="G418" s="28"/>
      <c r="H418" s="34">
        <f>'2021'!BH418</f>
        <v>0</v>
      </c>
      <c r="I418" s="13"/>
      <c r="J418" s="15"/>
      <c r="K418" s="15"/>
      <c r="L418" s="28"/>
      <c r="M418" s="13"/>
      <c r="N418" s="15"/>
      <c r="Q418" s="13"/>
      <c r="R418" s="15"/>
      <c r="S418" s="15"/>
      <c r="T418" s="28"/>
      <c r="U418" s="13"/>
      <c r="V418" s="15"/>
      <c r="Y418" s="13"/>
      <c r="Z418" s="2"/>
      <c r="AA418" s="15"/>
      <c r="AB418" s="28"/>
      <c r="AC418" s="348"/>
      <c r="AD418" s="15"/>
      <c r="AE418" s="180">
        <f>$F$13</f>
        <v>1000</v>
      </c>
      <c r="AF418" s="306">
        <v>1000</v>
      </c>
      <c r="AG418" s="15"/>
      <c r="AH418" s="2"/>
      <c r="AI418" s="45"/>
      <c r="AJ418" s="2"/>
      <c r="AK418" s="15"/>
      <c r="AL418" s="15"/>
      <c r="AM418" s="45"/>
      <c r="AN418" s="15"/>
      <c r="AO418" s="13"/>
      <c r="AP418" s="15"/>
      <c r="AQ418" s="180"/>
      <c r="AR418" s="15"/>
      <c r="AS418" s="13"/>
      <c r="AT418" s="15"/>
      <c r="AU418" s="45"/>
      <c r="AV418" s="15"/>
      <c r="AW418" s="13"/>
      <c r="AX418" s="15"/>
      <c r="AY418" s="45"/>
      <c r="AZ418" s="28"/>
      <c r="BA418" s="13"/>
      <c r="BB418" s="15"/>
      <c r="BC418" s="45"/>
      <c r="BD418" s="28"/>
      <c r="BE418" s="14"/>
      <c r="BF418" s="41">
        <f t="shared" ref="BF418:BG418" si="1230">K418+O418+S418+W418+AA418+AE418+AI418+AM418+AQ418+AU418+AY418+BC418</f>
        <v>1000</v>
      </c>
      <c r="BG418" s="34">
        <f t="shared" si="1230"/>
        <v>1000</v>
      </c>
      <c r="BH418" s="35">
        <f t="shared" si="1220"/>
        <v>0</v>
      </c>
      <c r="BK418" s="2" t="b">
        <f>H418='2021'!BH418</f>
        <v>1</v>
      </c>
    </row>
    <row r="419" ht="15.75" customHeight="1" spans="1:63" x14ac:dyDescent="0.25">
      <c r="A419" s="2">
        <v>46</v>
      </c>
      <c r="B419" s="14"/>
      <c r="D419" s="14" t="s">
        <v>51</v>
      </c>
      <c r="E419" s="2" t="s">
        <v>49</v>
      </c>
      <c r="F419" s="41">
        <v>500</v>
      </c>
      <c r="G419" s="28"/>
      <c r="H419" s="34">
        <f>'2021'!BH419</f>
        <v>0</v>
      </c>
      <c r="I419" s="13"/>
      <c r="J419" s="15"/>
      <c r="K419" s="15"/>
      <c r="L419" s="28"/>
      <c r="M419" s="13"/>
      <c r="N419" s="15"/>
      <c r="Q419" s="13"/>
      <c r="R419" s="15"/>
      <c r="S419" s="15"/>
      <c r="T419" s="28"/>
      <c r="U419" s="13"/>
      <c r="V419" s="15"/>
      <c r="Y419" s="13"/>
      <c r="Z419" s="2"/>
      <c r="AA419" s="15"/>
      <c r="AB419" s="28"/>
      <c r="AC419" s="348"/>
      <c r="AD419" s="15"/>
      <c r="AE419" s="34"/>
      <c r="AF419" s="154"/>
      <c r="AG419" s="15"/>
      <c r="AH419" s="2"/>
      <c r="AI419" s="45"/>
      <c r="AJ419" s="2"/>
      <c r="AK419" s="15"/>
      <c r="AL419" s="15"/>
      <c r="AM419" s="45"/>
      <c r="AN419" s="15"/>
      <c r="AO419" s="13"/>
      <c r="AP419" s="15"/>
      <c r="AQ419" s="180">
        <f>B414*$F$14</f>
        <v>0</v>
      </c>
      <c r="AR419" s="15"/>
      <c r="AS419" s="13"/>
      <c r="AT419" s="15"/>
      <c r="AU419" s="45"/>
      <c r="AV419" s="15"/>
      <c r="AW419" s="13"/>
      <c r="AX419" s="15"/>
      <c r="AY419" s="45"/>
      <c r="AZ419" s="28"/>
      <c r="BA419" s="13"/>
      <c r="BB419" s="15"/>
      <c r="BC419" s="45"/>
      <c r="BD419" s="28"/>
      <c r="BE419" s="14"/>
      <c r="BF419" s="41">
        <f t="shared" ref="BF419:BG419" si="1231">K419+O419+S419+W419+AA419+AE419+AI419+AM419+AQ419+AU419+AY419+BC419</f>
        <v>0</v>
      </c>
      <c r="BG419" s="34">
        <f t="shared" si="1231"/>
        <v>0</v>
      </c>
      <c r="BH419" s="35">
        <f t="shared" si="1220"/>
        <v>0</v>
      </c>
      <c r="BK419" s="2" t="b">
        <f>H419='2021'!BH419</f>
        <v>1</v>
      </c>
    </row>
    <row r="420" ht="15.75" customHeight="1" spans="1:63" x14ac:dyDescent="0.25">
      <c r="A420" s="2">
        <v>46</v>
      </c>
      <c r="B420" s="14"/>
      <c r="D420" s="14" t="s">
        <v>52</v>
      </c>
      <c r="E420" s="2" t="s">
        <v>39</v>
      </c>
      <c r="F420" s="41">
        <v>500</v>
      </c>
      <c r="G420" s="28"/>
      <c r="H420" s="34">
        <f>'2021'!BH420</f>
        <v>0</v>
      </c>
      <c r="I420" s="13"/>
      <c r="J420" s="15"/>
      <c r="K420" s="15"/>
      <c r="L420" s="28"/>
      <c r="M420" s="13"/>
      <c r="N420" s="15"/>
      <c r="Q420" s="13"/>
      <c r="R420" s="15"/>
      <c r="S420" s="15"/>
      <c r="T420" s="28"/>
      <c r="U420" s="13"/>
      <c r="V420" s="15"/>
      <c r="Y420" s="13"/>
      <c r="Z420" s="2"/>
      <c r="AA420" s="34">
        <f>$F$15</f>
      </c>
      <c r="AB420" s="28"/>
      <c r="AC420" s="348"/>
      <c r="AD420" s="15"/>
      <c r="AG420" s="15"/>
      <c r="AH420" s="2"/>
      <c r="AI420" s="45"/>
      <c r="AJ420" s="180"/>
      <c r="AK420" s="15"/>
      <c r="AL420" s="15"/>
      <c r="AM420" s="45"/>
      <c r="AN420" s="15"/>
      <c r="AO420" s="13"/>
      <c r="AP420" s="15"/>
      <c r="AQ420" s="45"/>
      <c r="AR420" s="15"/>
      <c r="AS420" s="13"/>
      <c r="AT420" s="15"/>
      <c r="AU420" s="45"/>
      <c r="AV420" s="15"/>
      <c r="AW420" s="13"/>
      <c r="AX420" s="15"/>
      <c r="AY420" s="45"/>
      <c r="AZ420" s="35"/>
      <c r="BA420" s="13"/>
      <c r="BB420" s="15"/>
      <c r="BC420" s="45"/>
      <c r="BD420" s="35"/>
      <c r="BE420" s="14"/>
      <c r="BF420" s="41">
        <f t="shared" ref="BF420:BG420" si="1232">K420+O420+S420+W420+AA420+AE420+AI420+AM420+AQ420+AU420+AY420+BC420</f>
        <v>0</v>
      </c>
      <c r="BG420" s="34">
        <f t="shared" si="1232"/>
        <v>0</v>
      </c>
      <c r="BH420" s="35">
        <f t="shared" si="1220"/>
        <v>0</v>
      </c>
      <c r="BK420" s="2" t="b">
        <f>H420='2021'!BH420</f>
        <v>1</v>
      </c>
    </row>
    <row r="421" ht="15.75" customHeight="1" spans="1:63" x14ac:dyDescent="0.25">
      <c r="A421" s="247">
        <v>46</v>
      </c>
      <c r="B421" s="21"/>
      <c r="C421" s="22" t="s">
        <v>53</v>
      </c>
      <c r="D421" s="21"/>
      <c r="E421" s="22"/>
      <c r="F421" s="20"/>
      <c r="G421" s="23"/>
      <c r="H421" s="51">
        <f>SUM(H413:H420)</f>
        <v>202.5</v>
      </c>
      <c r="I421" s="52"/>
      <c r="J421" s="53"/>
      <c r="K421" s="51">
        <f t="shared" ref="K421:L421" si="1233">SUM(K413:K420)</f>
        <v>0</v>
      </c>
      <c r="L421" s="68">
        <f t="shared" si="1233"/>
        <v>0</v>
      </c>
      <c r="M421" s="52"/>
      <c r="N421" s="53"/>
      <c r="O421" s="51">
        <f t="shared" ref="O421:P421" si="1234">SUM(O413:O420)</f>
        <v>0</v>
      </c>
      <c r="P421" s="51">
        <f t="shared" si="1234"/>
        <v>0</v>
      </c>
      <c r="Q421" s="52"/>
      <c r="R421" s="53"/>
      <c r="S421" s="51">
        <f t="shared" ref="S421:T421" si="1235">SUM(S413:S420)</f>
        <v>0</v>
      </c>
      <c r="T421" s="51">
        <f t="shared" si="1235"/>
        <v>0</v>
      </c>
      <c r="U421" s="52"/>
      <c r="V421" s="53"/>
      <c r="W421" s="51">
        <f t="shared" ref="W421:X421" si="1236">SUM(W413:W420)</f>
        <v>0</v>
      </c>
      <c r="X421" s="51">
        <f t="shared" si="1236"/>
        <v>0</v>
      </c>
      <c r="Y421" s="52"/>
      <c r="Z421" s="301"/>
      <c r="AA421" s="51">
        <f t="shared" ref="AA421:AB421" si="1237">SUM(AA413:AA420)</f>
        <v>372.6</v>
      </c>
      <c r="AB421" s="51">
        <f t="shared" si="1237"/>
        <v>0</v>
      </c>
      <c r="AC421" s="367"/>
      <c r="AD421" s="53"/>
      <c r="AE421" s="51">
        <f t="shared" ref="AE421:AF421" si="1238">SUM(AE413:AE420)</f>
        <v>6579.65</v>
      </c>
      <c r="AF421" s="51">
        <f t="shared" si="1238"/>
        <v>2000</v>
      </c>
      <c r="AG421" s="52"/>
      <c r="AH421" s="301"/>
      <c r="AI421" s="183">
        <f t="shared" ref="AI421:AJ421" si="1239">SUM(AI413:AI420)</f>
        <v>368.75584</v>
      </c>
      <c r="AJ421" s="51">
        <f t="shared" si="1239"/>
        <v>5154.75</v>
      </c>
      <c r="AK421" s="52"/>
      <c r="AL421" s="53"/>
      <c r="AM421" s="183">
        <f t="shared" ref="AM421:AN421" si="1240">SUM(AM413:AM420)</f>
        <v>381.47896</v>
      </c>
      <c r="AN421" s="51">
        <f t="shared" si="1240"/>
        <v>400</v>
      </c>
      <c r="AO421" s="52"/>
      <c r="AP421" s="53"/>
      <c r="AQ421" s="183">
        <f t="shared" ref="AQ421:AR421" si="1241">SUM(AQ413:AQ420)</f>
        <v>266.8239</v>
      </c>
      <c r="AR421" s="51">
        <f t="shared" si="1241"/>
        <v>350.23</v>
      </c>
      <c r="AS421" s="52"/>
      <c r="AT421" s="53"/>
      <c r="AU421" s="183">
        <f t="shared" ref="AU421:AV421" si="1242">SUM(AU413:AU420)</f>
        <v>178.227</v>
      </c>
      <c r="AV421" s="68">
        <f t="shared" si="1242"/>
        <v>0</v>
      </c>
      <c r="AW421" s="52"/>
      <c r="AX421" s="53"/>
      <c r="AY421" s="183">
        <f t="shared" ref="AY421:AZ421" si="1243">SUM(AY413:AY420)</f>
        <v>0</v>
      </c>
      <c r="AZ421" s="68">
        <f t="shared" si="1243"/>
        <v>0</v>
      </c>
      <c r="BA421" s="52"/>
      <c r="BB421" s="53"/>
      <c r="BC421" s="183">
        <f t="shared" ref="BC421:BD421" si="1244">SUM(BC413:BC420)</f>
        <v>0</v>
      </c>
      <c r="BD421" s="68">
        <f t="shared" si="1244"/>
        <v>0</v>
      </c>
      <c r="BE421" s="69"/>
      <c r="BF421" s="70">
        <f t="shared" ref="BF421:BH421" si="1245">SUM(BF413:BF420)</f>
        <v>8147.5357</v>
      </c>
      <c r="BG421" s="71">
        <f t="shared" si="1245"/>
        <v>7904.98</v>
      </c>
      <c r="BH421" s="72">
        <f t="shared" si="1245"/>
        <v>445.0557</v>
      </c>
      <c r="BI421" s="34">
        <f>H421+BF421-BG421</f>
        <v>445.0557</v>
      </c>
      <c r="BJ421" s="34">
        <f>BH421-BI421</f>
        <v>0</v>
      </c>
      <c r="BK421" s="2" t="b">
        <f>H421='2021'!BH421</f>
        <v>1</v>
      </c>
    </row>
    <row r="422" ht="15.75" customHeight="1" spans="1:63" x14ac:dyDescent="0.25">
      <c r="A422" s="2">
        <v>47</v>
      </c>
      <c r="B422" s="14"/>
      <c r="D422" s="14" t="s">
        <v>379</v>
      </c>
      <c r="F422" s="13"/>
      <c r="G422" s="28"/>
      <c r="H422" s="34">
        <f>'2021'!BH422</f>
        <v>1.75</v>
      </c>
      <c r="I422" s="13"/>
      <c r="J422" s="15"/>
      <c r="K422" s="15"/>
      <c r="L422" s="28"/>
      <c r="M422" s="13"/>
      <c r="N422" s="15"/>
      <c r="Q422" s="13"/>
      <c r="R422" s="15"/>
      <c r="S422" s="15">
        <v>1.81</v>
      </c>
      <c r="T422" s="28"/>
      <c r="U422" s="13"/>
      <c r="V422" s="15"/>
      <c r="W422" s="2">
        <v>1.75</v>
      </c>
      <c r="Y422" s="13"/>
      <c r="Z422" s="2"/>
      <c r="AA422" s="15">
        <v>1.81</v>
      </c>
      <c r="AB422" s="28"/>
      <c r="AC422" s="348"/>
      <c r="AD422" s="15"/>
      <c r="AE422" s="2">
        <v>1.75</v>
      </c>
      <c r="AG422" s="15"/>
      <c r="AH422" s="2"/>
      <c r="AI422" s="45">
        <v>1.81</v>
      </c>
      <c r="AJ422" s="1"/>
      <c r="AK422" s="15"/>
      <c r="AM422" s="45"/>
      <c r="AO422" s="13"/>
      <c r="AQ422" s="180"/>
      <c r="AS422" s="13"/>
      <c r="AU422" s="180"/>
      <c r="AW422" s="13"/>
      <c r="AY422" s="45"/>
      <c r="AZ422" s="28"/>
      <c r="BA422" s="13"/>
      <c r="BB422" s="15"/>
      <c r="BC422" s="45"/>
      <c r="BD422" s="28"/>
      <c r="BE422" s="14"/>
      <c r="BF422" s="41">
        <f t="shared" ref="BF422:BG422" si="1246">K422+O422+S422+W422+AA422+AE422+AI422+AM422+AQ422+AU422+AY422+BC422</f>
        <v>8.93</v>
      </c>
      <c r="BG422" s="34">
        <f t="shared" si="1246"/>
        <v>0</v>
      </c>
      <c r="BH422" s="35">
        <f t="shared" ref="BH422:BH429" si="1247">H422+BF422-BG422</f>
        <v>10.68</v>
      </c>
      <c r="BK422" s="2" t="b">
        <f>H422='2021'!BH422</f>
        <v>1</v>
      </c>
    </row>
    <row r="423" ht="15.75" customHeight="1" spans="1:63" x14ac:dyDescent="0.25">
      <c r="A423" s="2">
        <v>47</v>
      </c>
      <c r="B423" s="42">
        <v>5</v>
      </c>
      <c r="C423" s="2" t="s">
        <v>192</v>
      </c>
      <c r="D423" s="14" t="s">
        <v>44</v>
      </c>
      <c r="E423" s="2" t="s">
        <v>45</v>
      </c>
      <c r="F423" s="41">
        <v>2.5</v>
      </c>
      <c r="G423" s="35">
        <v>2.6</v>
      </c>
      <c r="H423" s="34">
        <f>'2021'!BH423</f>
        <v>0</v>
      </c>
      <c r="I423" s="13">
        <v>165</v>
      </c>
      <c r="J423" s="15">
        <f>I423-'2021'!BA423</f>
        <v>0</v>
      </c>
      <c r="K423" s="34">
        <f>J423*$F$8</f>
        <v>0</v>
      </c>
      <c r="L423" s="28"/>
      <c r="M423" s="13">
        <v>165</v>
      </c>
      <c r="N423" s="15">
        <f t="shared" ref="N423:N424" si="1248">M423-I423</f>
        <v>0</v>
      </c>
      <c r="O423" s="34">
        <f>N423*$F$8</f>
        <v>0</v>
      </c>
      <c r="Q423" s="13">
        <v>165</v>
      </c>
      <c r="R423" s="15">
        <f t="shared" ref="R423:R424" si="1249">Q423-M423</f>
        <v>0</v>
      </c>
      <c r="S423" s="34">
        <f>R423*$F$8</f>
        <v>0</v>
      </c>
      <c r="T423" s="28"/>
      <c r="U423" s="13">
        <v>165</v>
      </c>
      <c r="V423" s="15">
        <f t="shared" ref="V423:V424" si="1250">U423-Q423</f>
        <v>0</v>
      </c>
      <c r="W423" s="34">
        <f>V423*$F$8</f>
        <v>0</v>
      </c>
      <c r="X423" s="15"/>
      <c r="Y423" s="13">
        <v>165</v>
      </c>
      <c r="Z423" s="2">
        <f t="shared" ref="Z423:Z424" si="1251">Y423-U423</f>
        <v>0</v>
      </c>
      <c r="AA423" s="34">
        <f>Z423*$F$8</f>
        <v>0</v>
      </c>
      <c r="AB423" s="28"/>
      <c r="AC423" s="348">
        <v>165</v>
      </c>
      <c r="AD423" s="15">
        <f t="shared" ref="AD423:AD424" si="1252">AC423-Y423</f>
        <v>0</v>
      </c>
      <c r="AE423" s="180">
        <f>AD423*$F$8</f>
        <v>0</v>
      </c>
      <c r="AG423" s="15">
        <v>165</v>
      </c>
      <c r="AH423" s="2">
        <f>(AG423-AC423)*AH5</f>
        <v>0</v>
      </c>
      <c r="AI423" s="45">
        <f>AH423*$G$8</f>
        <v>0</v>
      </c>
      <c r="AJ423" s="1"/>
      <c r="AK423" s="15">
        <v>165</v>
      </c>
      <c r="AL423" s="15">
        <f>(AK423-AG423)*AL5</f>
        <v>0</v>
      </c>
      <c r="AM423" s="45">
        <f>AL423*$G$8</f>
        <v>0</v>
      </c>
      <c r="AN423" s="15"/>
      <c r="AO423" s="13">
        <v>165</v>
      </c>
      <c r="AP423" s="15">
        <f>(AO423-AK423)*AP5</f>
        <v>0</v>
      </c>
      <c r="AQ423" s="45">
        <f>AP423*$G$8</f>
        <v>0</v>
      </c>
      <c r="AR423" s="154"/>
      <c r="AS423" s="13">
        <v>165</v>
      </c>
      <c r="AT423" s="15">
        <f>(AS423-AO423)*AT5</f>
        <v>0</v>
      </c>
      <c r="AU423" s="45">
        <f>AT423*$G$8</f>
        <v>0</v>
      </c>
      <c r="AV423" s="15"/>
      <c r="AW423" s="13"/>
      <c r="AX423" s="15">
        <f>(AW423-AS423)*AX5</f>
        <v>0</v>
      </c>
      <c r="AY423" s="45">
        <f>AX423*$G$8</f>
        <v>0</v>
      </c>
      <c r="AZ423" s="208"/>
      <c r="BA423" s="13"/>
      <c r="BB423" s="15"/>
      <c r="BC423" s="45">
        <f>BB423*$G$8</f>
        <v>0</v>
      </c>
      <c r="BD423" s="208"/>
      <c r="BE423" s="40">
        <f t="shared" ref="BE423:BG423" si="1253">J423+N423+R423+V423+Z423+AD423+AH423+AL423+AP423+AT423+AX423+BB423</f>
        <v>0</v>
      </c>
      <c r="BF423" s="41">
        <f t="shared" si="1253"/>
        <v>0</v>
      </c>
      <c r="BG423" s="34">
        <f t="shared" si="1253"/>
        <v>0</v>
      </c>
      <c r="BH423" s="35">
        <f t="shared" si="1247"/>
        <v>0</v>
      </c>
      <c r="BK423" s="2" t="b">
        <f>H423='2021'!BH423</f>
        <v>1</v>
      </c>
    </row>
    <row r="424" ht="15.75" customHeight="1" spans="1:63" x14ac:dyDescent="0.25">
      <c r="A424" s="2">
        <v>47</v>
      </c>
      <c r="B424" s="14"/>
      <c r="C424" s="2" t="s">
        <v>193</v>
      </c>
      <c r="D424" s="14" t="s">
        <v>47</v>
      </c>
      <c r="E424" s="2" t="s">
        <v>48</v>
      </c>
      <c r="F424" s="13">
        <v>18.56</v>
      </c>
      <c r="G424" s="35">
        <v>19.46</v>
      </c>
      <c r="H424" s="34">
        <f>'2021'!BH424</f>
        <v>-0.02</v>
      </c>
      <c r="I424" s="13">
        <v>30</v>
      </c>
      <c r="J424" s="15"/>
      <c r="K424" s="15"/>
      <c r="L424" s="28"/>
      <c r="M424" s="13">
        <v>30</v>
      </c>
      <c r="N424" s="15">
        <f t="shared" si="1248"/>
        <v>0</v>
      </c>
      <c r="Q424" s="13">
        <v>30</v>
      </c>
      <c r="R424" s="15">
        <f t="shared" si="1249"/>
        <v>0</v>
      </c>
      <c r="S424" s="15"/>
      <c r="T424" s="28"/>
      <c r="U424" s="13">
        <v>30</v>
      </c>
      <c r="V424" s="15">
        <f t="shared" si="1250"/>
        <v>0</v>
      </c>
      <c r="W424" s="180">
        <f>V424*$F$10</f>
        <v>0</v>
      </c>
      <c r="Y424" s="13">
        <v>30</v>
      </c>
      <c r="Z424" s="2">
        <f t="shared" si="1251"/>
        <v>0</v>
      </c>
      <c r="AA424" s="34">
        <f>Z424*$F$10</f>
        <v>0</v>
      </c>
      <c r="AB424" s="28"/>
      <c r="AC424" s="348">
        <v>30</v>
      </c>
      <c r="AD424" s="15">
        <f t="shared" si="1252"/>
        <v>0</v>
      </c>
      <c r="AE424" s="34">
        <f>AD424*$F$10</f>
        <v>0</v>
      </c>
      <c r="AG424" s="15">
        <v>30</v>
      </c>
      <c r="AH424" s="2">
        <f>AG424-AC424</f>
        <v>0</v>
      </c>
      <c r="AI424" s="45">
        <f>AH424*$G$10</f>
        <v>0</v>
      </c>
      <c r="AJ424" s="1"/>
      <c r="AK424" s="15">
        <v>30</v>
      </c>
      <c r="AL424" s="15">
        <f>AK424-AG424</f>
        <v>0</v>
      </c>
      <c r="AM424" s="45">
        <f>AL424*$G$10</f>
        <v>0</v>
      </c>
      <c r="AN424" s="15"/>
      <c r="AO424" s="13">
        <v>30</v>
      </c>
      <c r="AP424" s="15">
        <f>AO424-AK424</f>
        <v>0</v>
      </c>
      <c r="AQ424" s="45">
        <f>AP424*$G$10</f>
        <v>0</v>
      </c>
      <c r="AR424" s="15"/>
      <c r="AS424" s="13">
        <v>30</v>
      </c>
      <c r="AT424" s="15">
        <f>AS424-AO424</f>
        <v>0</v>
      </c>
      <c r="AU424" s="45">
        <f>AT424*$G$10</f>
        <v>0</v>
      </c>
      <c r="AV424" s="34"/>
      <c r="AW424" s="13"/>
      <c r="AX424" s="15">
        <f>AW424-AS424</f>
        <v>-30</v>
      </c>
      <c r="AY424" s="45"/>
      <c r="AZ424" s="208"/>
      <c r="BA424" s="13"/>
      <c r="BB424" s="15"/>
      <c r="BC424" s="45"/>
      <c r="BD424" s="208"/>
      <c r="BE424" s="40">
        <f t="shared" ref="BE424:BG424" si="1254">J424+N424+R424+V424+Z424+AD424+AH424+AL424+AP424+AT424+AX424+BB424</f>
        <v>-30</v>
      </c>
      <c r="BF424" s="41">
        <f t="shared" si="1254"/>
        <v>0</v>
      </c>
      <c r="BG424" s="34">
        <f t="shared" si="1254"/>
        <v>0</v>
      </c>
      <c r="BH424" s="35">
        <f t="shared" si="1247"/>
        <v>-0.02</v>
      </c>
      <c r="BK424" s="2" t="b">
        <f>H424='2021'!BH424</f>
        <v>1</v>
      </c>
    </row>
    <row r="425" ht="15.75" customHeight="1" spans="1:63" x14ac:dyDescent="0.25">
      <c r="A425" s="2">
        <v>47</v>
      </c>
      <c r="B425" s="14"/>
      <c r="C425" s="2" t="s">
        <v>194</v>
      </c>
      <c r="D425" s="14" t="s">
        <v>47</v>
      </c>
      <c r="E425" s="2" t="s">
        <v>49</v>
      </c>
      <c r="F425" s="41">
        <v>500</v>
      </c>
      <c r="G425" s="28"/>
      <c r="H425" s="34">
        <f>'2021'!BH425</f>
        <v>0</v>
      </c>
      <c r="I425" s="13"/>
      <c r="J425" s="15"/>
      <c r="K425" s="15"/>
      <c r="L425" s="28"/>
      <c r="M425" s="13"/>
      <c r="N425" s="15"/>
      <c r="Q425" s="13"/>
      <c r="R425" s="15"/>
      <c r="S425" s="15"/>
      <c r="T425" s="28"/>
      <c r="U425" s="13"/>
      <c r="V425" s="15"/>
      <c r="Y425" s="13"/>
      <c r="Z425" s="2"/>
      <c r="AA425" s="15"/>
      <c r="AB425" s="28"/>
      <c r="AC425" s="348"/>
      <c r="AD425" s="15"/>
      <c r="AG425" s="15"/>
      <c r="AH425" s="2"/>
      <c r="AI425" s="45"/>
      <c r="AJ425" s="1"/>
      <c r="AK425" s="15"/>
      <c r="AL425" s="15"/>
      <c r="AM425" s="45"/>
      <c r="AN425" s="15"/>
      <c r="AO425" s="13"/>
      <c r="AP425" s="15"/>
      <c r="AQ425" s="45"/>
      <c r="AR425" s="15"/>
      <c r="AS425" s="13"/>
      <c r="AT425" s="15"/>
      <c r="AU425" s="45"/>
      <c r="AV425" s="1"/>
      <c r="AW425" s="13"/>
      <c r="AX425" s="15"/>
      <c r="AY425" s="45"/>
      <c r="AZ425" s="28"/>
      <c r="BA425" s="13"/>
      <c r="BB425" s="15"/>
      <c r="BC425" s="45"/>
      <c r="BD425" s="28"/>
      <c r="BE425" s="14"/>
      <c r="BF425" s="41">
        <f t="shared" ref="BF425:BG425" si="1255">K425+O425+S425+W425+AA425+AE425+AI425+AM425+AQ425+AU425+AY425+BC425</f>
        <v>0</v>
      </c>
      <c r="BG425" s="34">
        <f t="shared" si="1255"/>
        <v>0</v>
      </c>
      <c r="BH425" s="35">
        <f t="shared" si="1247"/>
        <v>0</v>
      </c>
      <c r="BK425" s="2" t="b">
        <f>H425='2021'!BH425</f>
        <v>1</v>
      </c>
    </row>
    <row r="426" ht="15.75" customHeight="1" spans="1:63" x14ac:dyDescent="0.25">
      <c r="A426" s="2">
        <v>47</v>
      </c>
      <c r="B426" s="14"/>
      <c r="C426" s="2" t="s">
        <v>195</v>
      </c>
      <c r="D426" s="14" t="s">
        <v>50</v>
      </c>
      <c r="E426" s="2" t="s">
        <v>49</v>
      </c>
      <c r="F426" s="41">
        <v>1100</v>
      </c>
      <c r="G426" s="28"/>
      <c r="H426" s="34">
        <f>'2021'!BH426</f>
        <v>583.82</v>
      </c>
      <c r="I426" s="13"/>
      <c r="J426" s="15"/>
      <c r="K426" s="15"/>
      <c r="L426" s="28"/>
      <c r="M426" s="13"/>
      <c r="N426" s="15"/>
      <c r="Q426" s="13"/>
      <c r="R426" s="15"/>
      <c r="S426" s="15"/>
      <c r="T426" s="28"/>
      <c r="U426" s="13"/>
      <c r="V426" s="15"/>
      <c r="Y426" s="13"/>
      <c r="Z426" s="2"/>
      <c r="AA426" s="15"/>
      <c r="AB426" s="28"/>
      <c r="AC426" s="348"/>
      <c r="AD426" s="15"/>
      <c r="AE426" s="34">
        <f>B423*$F$12</f>
        <v>6500</v>
      </c>
      <c r="AF426" s="34"/>
      <c r="AG426" s="15"/>
      <c r="AH426" s="2"/>
      <c r="AI426" s="45"/>
      <c r="AJ426" s="248"/>
      <c r="AK426" s="15"/>
      <c r="AL426" s="15"/>
      <c r="AM426" s="45"/>
      <c r="AN426" s="15"/>
      <c r="AO426" s="13"/>
      <c r="AP426" s="15"/>
      <c r="AQ426" s="45"/>
      <c r="AR426" s="15"/>
      <c r="AS426" s="13"/>
      <c r="AT426" s="15"/>
      <c r="AU426" s="45"/>
      <c r="AV426" s="34"/>
      <c r="AW426" s="13"/>
      <c r="AX426" s="15"/>
      <c r="AY426" s="45"/>
      <c r="AZ426" s="28"/>
      <c r="BA426" s="13"/>
      <c r="BB426" s="15"/>
      <c r="BC426" s="45"/>
      <c r="BD426" s="28"/>
      <c r="BE426" s="14"/>
      <c r="BF426" s="41">
        <f t="shared" ref="BF426:BG426" si="1256">K426+O426+S426+W426+AA426+AE426+AI426+AM426+AQ426+AU426+AY426+BC426</f>
        <v>6500</v>
      </c>
      <c r="BG426" s="34">
        <f t="shared" si="1256"/>
        <v>0</v>
      </c>
      <c r="BH426" s="35">
        <f t="shared" si="1247"/>
        <v>7083.82</v>
      </c>
      <c r="BK426" s="2" t="b">
        <f>H426='2021'!BH426</f>
        <v>1</v>
      </c>
    </row>
    <row r="427" ht="15.75" customHeight="1" spans="1:63" x14ac:dyDescent="0.25">
      <c r="A427" s="2">
        <v>47</v>
      </c>
      <c r="B427" s="14"/>
      <c r="C427" s="2" t="s">
        <v>417</v>
      </c>
      <c r="D427" s="14" t="s">
        <v>51</v>
      </c>
      <c r="E427" s="2" t="s">
        <v>39</v>
      </c>
      <c r="F427" s="41">
        <v>500</v>
      </c>
      <c r="G427" s="28"/>
      <c r="H427" s="34">
        <f>'2021'!BH427</f>
        <v>0</v>
      </c>
      <c r="I427" s="13"/>
      <c r="J427" s="15"/>
      <c r="K427" s="15"/>
      <c r="L427" s="28"/>
      <c r="M427" s="13"/>
      <c r="N427" s="15"/>
      <c r="Q427" s="13"/>
      <c r="R427" s="15"/>
      <c r="S427" s="15"/>
      <c r="T427" s="28"/>
      <c r="U427" s="13"/>
      <c r="V427" s="15"/>
      <c r="Y427" s="13"/>
      <c r="Z427" s="2"/>
      <c r="AA427" s="15"/>
      <c r="AB427" s="28"/>
      <c r="AC427" s="348"/>
      <c r="AD427" s="15"/>
      <c r="AE427" s="180">
        <f>$F$13</f>
        <v>1000</v>
      </c>
      <c r="AG427" s="15"/>
      <c r="AH427" s="2"/>
      <c r="AI427" s="45"/>
      <c r="AJ427" s="248"/>
      <c r="AK427" s="15"/>
      <c r="AL427" s="15"/>
      <c r="AM427" s="45"/>
      <c r="AN427" s="15"/>
      <c r="AO427" s="13"/>
      <c r="AP427" s="15"/>
      <c r="AQ427" s="180"/>
      <c r="AR427" s="15"/>
      <c r="AS427" s="13"/>
      <c r="AT427" s="15"/>
      <c r="AU427" s="45"/>
      <c r="AV427" s="34"/>
      <c r="AW427" s="13"/>
      <c r="AX427" s="15"/>
      <c r="AY427" s="45"/>
      <c r="AZ427" s="28"/>
      <c r="BA427" s="13"/>
      <c r="BB427" s="15"/>
      <c r="BC427" s="45"/>
      <c r="BD427" s="28"/>
      <c r="BE427" s="14"/>
      <c r="BF427" s="41">
        <f t="shared" ref="BF427:BG427" si="1257">K427+O427+S427+W427+AA427+AE427+AI427+AM427+AQ427+AU427+AY427+BC427</f>
        <v>1000</v>
      </c>
      <c r="BG427" s="34">
        <f t="shared" si="1257"/>
        <v>0</v>
      </c>
      <c r="BH427" s="35">
        <f t="shared" si="1247"/>
        <v>1000</v>
      </c>
      <c r="BK427" s="2" t="b">
        <f>H427='2021'!BH427</f>
        <v>1</v>
      </c>
    </row>
    <row r="428" ht="15.75" customHeight="1" spans="1:63" x14ac:dyDescent="0.25">
      <c r="A428" s="2">
        <v>47</v>
      </c>
      <c r="B428" s="14"/>
      <c r="D428" s="14" t="s">
        <v>51</v>
      </c>
      <c r="E428" s="2" t="s">
        <v>49</v>
      </c>
      <c r="F428" s="41">
        <v>500</v>
      </c>
      <c r="G428" s="28"/>
      <c r="H428" s="34">
        <f>'2021'!BH428</f>
        <v>0</v>
      </c>
      <c r="I428" s="13"/>
      <c r="J428" s="15"/>
      <c r="K428" s="15"/>
      <c r="L428" s="28"/>
      <c r="M428" s="13"/>
      <c r="N428" s="15"/>
      <c r="Q428" s="13"/>
      <c r="R428" s="15"/>
      <c r="S428" s="15"/>
      <c r="T428" s="28"/>
      <c r="U428" s="13"/>
      <c r="V428" s="15"/>
      <c r="Y428" s="13"/>
      <c r="Z428" s="2"/>
      <c r="AA428" s="15"/>
      <c r="AB428" s="28"/>
      <c r="AC428" s="348"/>
      <c r="AD428" s="15"/>
      <c r="AE428" s="34"/>
      <c r="AG428" s="15"/>
      <c r="AH428" s="2"/>
      <c r="AI428" s="45"/>
      <c r="AJ428" s="248"/>
      <c r="AK428" s="15"/>
      <c r="AL428" s="15"/>
      <c r="AM428" s="45"/>
      <c r="AN428" s="15"/>
      <c r="AO428" s="13"/>
      <c r="AP428" s="15"/>
      <c r="AQ428" s="180">
        <f>B423*$F$14</f>
        <v>0</v>
      </c>
      <c r="AR428" s="15"/>
      <c r="AS428" s="13"/>
      <c r="AT428" s="15"/>
      <c r="AU428" s="45"/>
      <c r="AV428" s="1"/>
      <c r="AW428" s="13"/>
      <c r="AX428" s="15"/>
      <c r="AY428" s="45"/>
      <c r="AZ428" s="28"/>
      <c r="BA428" s="13"/>
      <c r="BB428" s="15"/>
      <c r="BC428" s="45"/>
      <c r="BD428" s="28"/>
      <c r="BE428" s="14"/>
      <c r="BF428" s="41">
        <f t="shared" ref="BF428:BG428" si="1258">K428+O428+S428+W428+AA428+AE428+AI428+AM428+AQ428+AU428+AY428+BC428</f>
        <v>0</v>
      </c>
      <c r="BG428" s="34">
        <f t="shared" si="1258"/>
        <v>0</v>
      </c>
      <c r="BH428" s="35">
        <f t="shared" si="1247"/>
        <v>0</v>
      </c>
      <c r="BK428" s="2" t="b">
        <f>H428='2021'!BH428</f>
        <v>1</v>
      </c>
    </row>
    <row r="429" ht="15.75" customHeight="1" spans="1:63" x14ac:dyDescent="0.25">
      <c r="A429" s="2">
        <v>47</v>
      </c>
      <c r="B429" s="14"/>
      <c r="C429" s="2" t="s">
        <v>418</v>
      </c>
      <c r="D429" s="14" t="s">
        <v>52</v>
      </c>
      <c r="E429" s="2" t="s">
        <v>39</v>
      </c>
      <c r="F429" s="41">
        <v>500</v>
      </c>
      <c r="G429" s="28"/>
      <c r="H429" s="34">
        <f>'2021'!BH429</f>
        <v>0</v>
      </c>
      <c r="I429" s="13"/>
      <c r="J429" s="15"/>
      <c r="K429" s="15"/>
      <c r="L429" s="28"/>
      <c r="M429" s="13"/>
      <c r="N429" s="15"/>
      <c r="Q429" s="13"/>
      <c r="R429" s="15"/>
      <c r="S429" s="15"/>
      <c r="T429" s="28"/>
      <c r="U429" s="13"/>
      <c r="V429" s="15"/>
      <c r="Y429" s="13"/>
      <c r="Z429" s="2"/>
      <c r="AA429" s="34">
        <f>$F$15</f>
      </c>
      <c r="AB429" s="35"/>
      <c r="AC429" s="348"/>
      <c r="AD429" s="15"/>
      <c r="AG429" s="15"/>
      <c r="AH429" s="2"/>
      <c r="AI429" s="45"/>
      <c r="AJ429" s="180"/>
      <c r="AK429" s="15"/>
      <c r="AL429" s="15"/>
      <c r="AM429" s="45"/>
      <c r="AN429" s="15"/>
      <c r="AO429" s="13"/>
      <c r="AP429" s="15"/>
      <c r="AQ429" s="45"/>
      <c r="AR429" s="15"/>
      <c r="AS429" s="13"/>
      <c r="AT429" s="15"/>
      <c r="AU429" s="45"/>
      <c r="AV429" s="34"/>
      <c r="AW429" s="13"/>
      <c r="AX429" s="15"/>
      <c r="AY429" s="45"/>
      <c r="AZ429" s="35"/>
      <c r="BA429" s="13"/>
      <c r="BB429" s="15"/>
      <c r="BC429" s="45"/>
      <c r="BD429" s="35"/>
      <c r="BE429" s="14"/>
      <c r="BF429" s="41">
        <f t="shared" ref="BF429:BG429" si="1259">K429+O429+S429+W429+AA429+AE429+AI429+AM429+AQ429+AU429+AY429+BC429</f>
        <v>0</v>
      </c>
      <c r="BG429" s="34">
        <f t="shared" si="1259"/>
        <v>0</v>
      </c>
      <c r="BH429" s="35">
        <f t="shared" si="1247"/>
        <v>0</v>
      </c>
      <c r="BK429" s="2" t="b">
        <f>H429='2021'!BH429</f>
        <v>1</v>
      </c>
    </row>
    <row r="430" ht="15.75" customHeight="1" spans="1:63" x14ac:dyDescent="0.25">
      <c r="A430" s="247">
        <v>47</v>
      </c>
      <c r="B430" s="21"/>
      <c r="C430" s="22" t="s">
        <v>53</v>
      </c>
      <c r="D430" s="21"/>
      <c r="E430" s="22"/>
      <c r="F430" s="20"/>
      <c r="G430" s="23"/>
      <c r="H430" s="51">
        <f>SUM(H422:H429)</f>
        <v>585.55</v>
      </c>
      <c r="I430" s="52"/>
      <c r="J430" s="53"/>
      <c r="K430" s="51">
        <f t="shared" ref="K430:L430" si="1260">SUM(K422:K429)</f>
        <v>0</v>
      </c>
      <c r="L430" s="68">
        <f t="shared" si="1260"/>
        <v>0</v>
      </c>
      <c r="M430" s="52"/>
      <c r="N430" s="53"/>
      <c r="O430" s="51">
        <f t="shared" ref="O430:P430" si="1261">SUM(O422:O429)</f>
        <v>0</v>
      </c>
      <c r="P430" s="51">
        <f t="shared" si="1261"/>
        <v>0</v>
      </c>
      <c r="Q430" s="52"/>
      <c r="R430" s="53"/>
      <c r="S430" s="51">
        <f t="shared" ref="S430:T430" si="1262">SUM(S422:S429)</f>
        <v>1.81</v>
      </c>
      <c r="T430" s="51">
        <f t="shared" si="1262"/>
        <v>0</v>
      </c>
      <c r="U430" s="52"/>
      <c r="V430" s="53"/>
      <c r="W430" s="51">
        <f t="shared" ref="W430:X430" si="1263">SUM(W422:W429)</f>
        <v>1.75</v>
      </c>
      <c r="X430" s="51">
        <f t="shared" si="1263"/>
        <v>0</v>
      </c>
      <c r="Y430" s="52"/>
      <c r="Z430" s="301"/>
      <c r="AA430" s="51">
        <f t="shared" ref="AA430:AB430" si="1264">SUM(AA422:AA429)</f>
        <v>1.81</v>
      </c>
      <c r="AB430" s="51">
        <f t="shared" si="1264"/>
        <v>0</v>
      </c>
      <c r="AC430" s="367"/>
      <c r="AD430" s="53"/>
      <c r="AE430" s="51">
        <f t="shared" ref="AE430:AF430" si="1265">SUM(AE422:AE429)</f>
        <v>7501.75</v>
      </c>
      <c r="AF430" s="51">
        <f t="shared" si="1265"/>
        <v>0</v>
      </c>
      <c r="AG430" s="52"/>
      <c r="AH430" s="301"/>
      <c r="AI430" s="183">
        <f t="shared" ref="AI430:AJ430" si="1266">SUM(AI422:AI429)</f>
        <v>1.81</v>
      </c>
      <c r="AJ430" s="51">
        <f t="shared" si="1266"/>
        <v>0</v>
      </c>
      <c r="AK430" s="52"/>
      <c r="AL430" s="53"/>
      <c r="AM430" s="183">
        <f t="shared" ref="AM430:AN430" si="1267">SUM(AM422:AM429)</f>
        <v>0</v>
      </c>
      <c r="AN430" s="51">
        <f t="shared" si="1267"/>
        <v>0</v>
      </c>
      <c r="AO430" s="52"/>
      <c r="AP430" s="53"/>
      <c r="AQ430" s="183">
        <f t="shared" ref="AQ430:AR430" si="1268">SUM(AQ422:AQ429)</f>
        <v>0</v>
      </c>
      <c r="AR430" s="51">
        <f t="shared" si="1268"/>
        <v>0</v>
      </c>
      <c r="AS430" s="52"/>
      <c r="AT430" s="53"/>
      <c r="AU430" s="183">
        <f t="shared" ref="AU430:AV430" si="1269">SUM(AU422:AU429)</f>
        <v>0</v>
      </c>
      <c r="AV430" s="68">
        <f t="shared" si="1269"/>
        <v>0</v>
      </c>
      <c r="AW430" s="52"/>
      <c r="AX430" s="53"/>
      <c r="AY430" s="183">
        <f t="shared" ref="AY430:AZ430" si="1270">SUM(AY422:AY429)</f>
        <v>0</v>
      </c>
      <c r="AZ430" s="68">
        <f t="shared" si="1270"/>
        <v>0</v>
      </c>
      <c r="BA430" s="52"/>
      <c r="BB430" s="53"/>
      <c r="BC430" s="183">
        <f t="shared" ref="BC430:BD430" si="1271">SUM(BC422:BC429)</f>
        <v>0</v>
      </c>
      <c r="BD430" s="68">
        <f t="shared" si="1271"/>
        <v>0</v>
      </c>
      <c r="BE430" s="69"/>
      <c r="BF430" s="70">
        <f t="shared" ref="BF430:BH430" si="1272">SUM(BF422:BF429)</f>
        <v>7508.93</v>
      </c>
      <c r="BG430" s="71">
        <f t="shared" si="1272"/>
        <v>0</v>
      </c>
      <c r="BH430" s="72">
        <f t="shared" si="1272"/>
        <v>8094.48</v>
      </c>
      <c r="BI430" s="34">
        <f>H430+BF430-BG430</f>
        <v>8094.48</v>
      </c>
      <c r="BJ430" s="34">
        <f>BH430-BI430</f>
        <v>0</v>
      </c>
      <c r="BK430" s="2" t="b">
        <f>H430='2021'!BH430</f>
        <v>1</v>
      </c>
    </row>
    <row r="431" ht="15.75" customHeight="1" spans="1:63" x14ac:dyDescent="0.25">
      <c r="A431" s="2">
        <v>48</v>
      </c>
      <c r="B431" s="14"/>
      <c r="D431" s="14" t="s">
        <v>379</v>
      </c>
      <c r="F431" s="13"/>
      <c r="G431" s="28"/>
      <c r="H431" s="34">
        <f>'2021'!BH431</f>
        <v>0</v>
      </c>
      <c r="I431" s="13"/>
      <c r="J431" s="15"/>
      <c r="K431" s="15"/>
      <c r="L431" s="28"/>
      <c r="M431" s="13"/>
      <c r="N431" s="15"/>
      <c r="Q431" s="13"/>
      <c r="R431" s="15"/>
      <c r="S431" s="15"/>
      <c r="T431" s="28"/>
      <c r="U431" s="13"/>
      <c r="V431" s="15"/>
      <c r="Y431" s="13"/>
      <c r="Z431" s="2"/>
      <c r="AA431" s="15"/>
      <c r="AB431" s="28"/>
      <c r="AC431" s="348"/>
      <c r="AD431" s="15"/>
      <c r="AF431" s="154"/>
      <c r="AG431" s="15"/>
      <c r="AH431" s="2"/>
      <c r="AI431" s="45"/>
      <c r="AJ431" s="15"/>
      <c r="AK431" s="15"/>
      <c r="AM431" s="45"/>
      <c r="AN431" s="15"/>
      <c r="AO431" s="13"/>
      <c r="AQ431" s="45"/>
      <c r="AS431" s="13"/>
      <c r="AU431" s="45"/>
      <c r="AW431" s="13"/>
      <c r="AY431" s="45"/>
      <c r="AZ431" s="28"/>
      <c r="BA431" s="13"/>
      <c r="BB431" s="15"/>
      <c r="BC431" s="45"/>
      <c r="BD431" s="28"/>
      <c r="BE431" s="14"/>
      <c r="BF431" s="41">
        <f t="shared" ref="BF431:BG431" si="1273">K431+O431+S431+W431+AA431+AE431+AI431+AM431+AQ431+AU431+AY431+BC431</f>
        <v>0</v>
      </c>
      <c r="BG431" s="34">
        <f t="shared" si="1273"/>
        <v>0</v>
      </c>
      <c r="BH431" s="35">
        <f t="shared" ref="BH431:BH438" si="1274">H431+BF431-BG431</f>
        <v>0</v>
      </c>
      <c r="BK431" s="2" t="b">
        <f>H431='2021'!BH431</f>
        <v>1</v>
      </c>
    </row>
    <row r="432" ht="15.75" customHeight="1" spans="1:63" x14ac:dyDescent="0.25">
      <c r="A432" s="2">
        <v>48</v>
      </c>
      <c r="B432" s="14">
        <v>5.93</v>
      </c>
      <c r="C432" s="73" t="s">
        <v>553</v>
      </c>
      <c r="D432" s="14" t="s">
        <v>44</v>
      </c>
      <c r="E432" s="2" t="s">
        <v>45</v>
      </c>
      <c r="F432" s="41">
        <v>2.5</v>
      </c>
      <c r="G432" s="35">
        <v>2.6</v>
      </c>
      <c r="H432" s="104">
        <f>'2021'!BH432</f>
        <v>0</v>
      </c>
      <c r="I432" s="13"/>
      <c r="J432" s="15">
        <f>I432-'2021'!BA432</f>
        <v>0</v>
      </c>
      <c r="K432" s="34">
        <f>J432*$F$8</f>
        <v>0</v>
      </c>
      <c r="L432" s="28"/>
      <c r="M432" s="13"/>
      <c r="N432" s="15">
        <f t="shared" ref="N432:N433" si="1275">M432-I432</f>
        <v>0</v>
      </c>
      <c r="O432" s="34">
        <f>N432*$F$8</f>
        <v>0</v>
      </c>
      <c r="Q432" s="13"/>
      <c r="R432" s="15">
        <f t="shared" ref="R432:R433" si="1276">Q432-M432</f>
        <v>0</v>
      </c>
      <c r="S432" s="34">
        <f>R432*$F$8</f>
        <v>0</v>
      </c>
      <c r="T432" s="28"/>
      <c r="U432" s="13"/>
      <c r="V432" s="15">
        <f t="shared" ref="V432:V433" si="1277">U432-Q432</f>
        <v>0</v>
      </c>
      <c r="W432" s="34">
        <f>V432*$F$8</f>
        <v>0</v>
      </c>
      <c r="Y432" s="13"/>
      <c r="Z432" s="2">
        <f t="shared" ref="Z432:Z433" si="1278">Y432-U432</f>
        <v>0</v>
      </c>
      <c r="AA432" s="34">
        <f>Z432*$F$8</f>
        <v>0</v>
      </c>
      <c r="AB432" s="28"/>
      <c r="AC432" s="348"/>
      <c r="AD432" s="15">
        <f t="shared" ref="AD432:AD433" si="1279">AC432-Y432</f>
        <v>0</v>
      </c>
      <c r="AE432" s="180">
        <f>AD432*$F$8</f>
        <v>0</v>
      </c>
      <c r="AF432" s="154"/>
      <c r="AG432" s="15"/>
      <c r="AH432" s="2">
        <f>(AG432-AC432)*AH5</f>
        <v>0</v>
      </c>
      <c r="AI432" s="45">
        <f>AH432*$G$8</f>
        <v>0</v>
      </c>
      <c r="AJ432" s="154"/>
      <c r="AK432" s="15"/>
      <c r="AL432" s="15">
        <f>(AK432-AG432)*AL5</f>
        <v>0</v>
      </c>
      <c r="AM432" s="45">
        <f>AL432*$G$8</f>
        <v>0</v>
      </c>
      <c r="AN432" s="15"/>
      <c r="AO432" s="13"/>
      <c r="AP432" s="15">
        <f>(AO432-AK432)*AP5</f>
        <v>0</v>
      </c>
      <c r="AQ432" s="45">
        <f>AP432*$G$8</f>
        <v>0</v>
      </c>
      <c r="AR432" s="15"/>
      <c r="AS432" s="13"/>
      <c r="AT432" s="15">
        <f>(AS432-AO432)*AT5</f>
        <v>0</v>
      </c>
      <c r="AU432" s="45">
        <f t="shared" ref="AU432:AU433" si="1280">AT432*$G$8</f>
        <v>0</v>
      </c>
      <c r="AV432" s="15"/>
      <c r="AW432" s="13"/>
      <c r="AX432" s="15">
        <f>(AW432-AS432)*AX5</f>
        <v>0</v>
      </c>
      <c r="AY432" s="45">
        <f>AX432*$G$8</f>
        <v>0</v>
      </c>
      <c r="AZ432" s="208"/>
      <c r="BA432" s="13"/>
      <c r="BB432" s="15"/>
      <c r="BC432" s="45">
        <f>BB432*$G$8</f>
        <v>0</v>
      </c>
      <c r="BD432" s="208"/>
      <c r="BE432" s="40">
        <f t="shared" ref="BE432:BG432" si="1281">J432+N432+R432+V432+Z432+AD432+AH432+AL432+AP432+AT432+AX432+BB432</f>
        <v>0</v>
      </c>
      <c r="BF432" s="41">
        <f t="shared" si="1281"/>
        <v>0</v>
      </c>
      <c r="BG432" s="34">
        <f t="shared" si="1281"/>
        <v>0</v>
      </c>
      <c r="BH432" s="35">
        <f t="shared" si="1274"/>
        <v>0</v>
      </c>
      <c r="BK432" s="2" t="b">
        <f>H432='2021'!BH432</f>
        <v>1</v>
      </c>
    </row>
    <row r="433" ht="15.75" customHeight="1" spans="1:63" x14ac:dyDescent="0.25">
      <c r="A433" s="2">
        <v>48</v>
      </c>
      <c r="B433" s="14"/>
      <c r="C433" s="2" t="s">
        <v>93</v>
      </c>
      <c r="D433" s="14" t="s">
        <v>47</v>
      </c>
      <c r="E433" s="2" t="s">
        <v>48</v>
      </c>
      <c r="F433" s="13">
        <v>18.56</v>
      </c>
      <c r="G433" s="35">
        <v>19.46</v>
      </c>
      <c r="H433" s="90">
        <f>'2021'!BH433</f>
        <v>-56.15</v>
      </c>
      <c r="I433" s="13">
        <f>145+12</f>
        <v>157</v>
      </c>
      <c r="J433" s="15"/>
      <c r="K433" s="15"/>
      <c r="L433" s="28"/>
      <c r="M433" s="13">
        <f>145+12</f>
        <v>157</v>
      </c>
      <c r="N433" s="15">
        <f t="shared" si="1275"/>
        <v>0</v>
      </c>
      <c r="Q433" s="13">
        <f>145+12</f>
        <v>157</v>
      </c>
      <c r="R433" s="15">
        <f t="shared" si="1276"/>
        <v>0</v>
      </c>
      <c r="S433" s="15"/>
      <c r="T433" s="28"/>
      <c r="U433" s="13">
        <f>145+12</f>
        <v>157</v>
      </c>
      <c r="V433" s="15">
        <f t="shared" si="1277"/>
        <v>0</v>
      </c>
      <c r="W433" s="180">
        <f>V433*$F$10</f>
        <v>0</v>
      </c>
      <c r="Y433" s="13">
        <f>153+14</f>
        <v>167</v>
      </c>
      <c r="Z433" s="2">
        <f t="shared" si="1278"/>
        <v>10</v>
      </c>
      <c r="AA433" s="34">
        <f>Z433*$F$10</f>
        <v>203.5</v>
      </c>
      <c r="AB433" s="28"/>
      <c r="AC433" s="350">
        <f>162+19</f>
        <v>181</v>
      </c>
      <c r="AD433" s="15">
        <f t="shared" si="1279"/>
        <v>14</v>
      </c>
      <c r="AE433" s="34">
        <f>AD433*$F$10</f>
        <v>284.9</v>
      </c>
      <c r="AF433" s="306">
        <v>147.35</v>
      </c>
      <c r="AG433" s="350">
        <f>162+30</f>
        <v>192</v>
      </c>
      <c r="AH433" s="2">
        <f>AG433-AC433</f>
        <v>11</v>
      </c>
      <c r="AI433" s="45">
        <f>AH433*$G$10</f>
        <v>235.4</v>
      </c>
      <c r="AJ433" s="154">
        <v>284.9</v>
      </c>
      <c r="AK433" s="350">
        <f>162+57</f>
        <v>219</v>
      </c>
      <c r="AL433" s="15">
        <f>AK433-AG433</f>
        <v>27</v>
      </c>
      <c r="AM433" s="45">
        <f>AL433*$G$10</f>
        <v>577.8</v>
      </c>
      <c r="AN433" s="154">
        <f>235.4+4.6</f>
        <v>240</v>
      </c>
      <c r="AO433" s="13">
        <f>162+79</f>
        <v>241</v>
      </c>
      <c r="AP433" s="15">
        <f>AO433-AK433</f>
        <v>22</v>
      </c>
      <c r="AQ433" s="45">
        <f>AP433*$G$10</f>
        <v>470.8</v>
      </c>
      <c r="AR433" s="15"/>
      <c r="AS433" s="13">
        <v>241</v>
      </c>
      <c r="AT433" s="15">
        <f>AS433-AO433</f>
        <v>0</v>
      </c>
      <c r="AU433" s="45">
        <f t="shared" si="1280"/>
        <v>0</v>
      </c>
      <c r="AV433" s="15">
        <v>800</v>
      </c>
      <c r="AW433" s="13"/>
      <c r="AX433" s="15">
        <f>AW433-AS433</f>
        <v>-241</v>
      </c>
      <c r="AY433" s="45"/>
      <c r="AZ433" s="208"/>
      <c r="BA433" s="13"/>
      <c r="BB433" s="15"/>
      <c r="BC433" s="45"/>
      <c r="BD433" s="208"/>
      <c r="BE433" s="40">
        <f t="shared" ref="BE433:BG433" si="1282">J433+N433+R433+V433+Z433+AD433+AH433+AL433+AP433+AT433+AX433+BB433</f>
        <v>-157</v>
      </c>
      <c r="BF433" s="41">
        <f t="shared" si="1282"/>
        <v>1772.4</v>
      </c>
      <c r="BG433" s="34">
        <f t="shared" si="1282"/>
        <v>1472.25</v>
      </c>
      <c r="BH433" s="35">
        <f t="shared" si="1274"/>
        <v>244</v>
      </c>
      <c r="BK433" s="2" t="b">
        <f>H433='2021'!BH433</f>
        <v>1</v>
      </c>
    </row>
    <row r="434" ht="15.75" customHeight="1" spans="1:63" x14ac:dyDescent="0.25">
      <c r="A434" s="2">
        <v>48</v>
      </c>
      <c r="B434" s="14"/>
      <c r="C434" s="2" t="s">
        <v>107</v>
      </c>
      <c r="D434" s="14" t="s">
        <v>47</v>
      </c>
      <c r="E434" s="2" t="s">
        <v>49</v>
      </c>
      <c r="F434" s="41">
        <v>500</v>
      </c>
      <c r="G434" s="28"/>
      <c r="H434" s="34">
        <f>'2021'!BH434</f>
        <v>0</v>
      </c>
      <c r="I434" s="13"/>
      <c r="J434" s="15"/>
      <c r="K434" s="15"/>
      <c r="L434" s="28"/>
      <c r="M434" s="13"/>
      <c r="N434" s="15"/>
      <c r="Q434" s="13"/>
      <c r="R434" s="15"/>
      <c r="S434" s="15"/>
      <c r="T434" s="28"/>
      <c r="U434" s="13"/>
      <c r="V434" s="15"/>
      <c r="Y434" s="13"/>
      <c r="Z434" s="2"/>
      <c r="AA434" s="15"/>
      <c r="AB434" s="28"/>
      <c r="AC434" s="348"/>
      <c r="AD434" s="15"/>
      <c r="AF434" s="154"/>
      <c r="AG434" s="15"/>
      <c r="AH434" s="2"/>
      <c r="AI434" s="45"/>
      <c r="AJ434" s="154"/>
      <c r="AK434" s="15"/>
      <c r="AL434" s="15"/>
      <c r="AM434" s="45"/>
      <c r="AN434" s="15"/>
      <c r="AO434" s="13"/>
      <c r="AP434" s="15"/>
      <c r="AQ434" s="45"/>
      <c r="AR434" s="15"/>
      <c r="AS434" s="13"/>
      <c r="AT434" s="15"/>
      <c r="AU434" s="45"/>
      <c r="AV434" s="15"/>
      <c r="AW434" s="13"/>
      <c r="AX434" s="15"/>
      <c r="AY434" s="45"/>
      <c r="AZ434" s="28"/>
      <c r="BA434" s="13"/>
      <c r="BB434" s="15"/>
      <c r="BC434" s="45"/>
      <c r="BD434" s="28"/>
      <c r="BE434" s="14"/>
      <c r="BF434" s="41">
        <f t="shared" ref="BF434:BG434" si="1283">K434+O434+S434+W434+AA434+AE434+AI434+AM434+AQ434+AU434+AY434+BC434</f>
        <v>0</v>
      </c>
      <c r="BG434" s="34">
        <f t="shared" si="1283"/>
        <v>0</v>
      </c>
      <c r="BH434" s="35">
        <f t="shared" si="1274"/>
        <v>0</v>
      </c>
      <c r="BK434" s="2" t="b">
        <f>H434='2021'!BH434</f>
        <v>1</v>
      </c>
    </row>
    <row r="435" ht="15.75" customHeight="1" spans="1:63" x14ac:dyDescent="0.25">
      <c r="A435" s="2">
        <v>48</v>
      </c>
      <c r="B435" s="14"/>
      <c r="C435" s="2" t="s">
        <v>554</v>
      </c>
      <c r="D435" s="14" t="s">
        <v>50</v>
      </c>
      <c r="E435" s="2" t="s">
        <v>49</v>
      </c>
      <c r="F435" s="41">
        <v>1100</v>
      </c>
      <c r="G435" s="28"/>
      <c r="H435" s="34">
        <f>'2021'!BH435</f>
        <v>0</v>
      </c>
      <c r="I435" s="13"/>
      <c r="J435" s="15"/>
      <c r="K435" s="15"/>
      <c r="L435" s="28"/>
      <c r="M435" s="13"/>
      <c r="N435" s="15"/>
      <c r="Q435" s="13"/>
      <c r="R435" s="15"/>
      <c r="S435" s="15"/>
      <c r="T435" s="28"/>
      <c r="U435" s="13"/>
      <c r="V435" s="15"/>
      <c r="Y435" s="13"/>
      <c r="Z435" s="2"/>
      <c r="AA435" s="15"/>
      <c r="AB435" s="28"/>
      <c r="AC435" s="348"/>
      <c r="AD435" s="15"/>
      <c r="AE435" s="34">
        <f>B432*$F$12</f>
        <v>7709</v>
      </c>
      <c r="AF435" s="154"/>
      <c r="AG435" s="15"/>
      <c r="AH435" s="2"/>
      <c r="AI435" s="45"/>
      <c r="AJ435" s="154"/>
      <c r="AK435" s="15"/>
      <c r="AL435" s="15"/>
      <c r="AM435" s="45"/>
      <c r="AN435" s="34"/>
      <c r="AO435" s="13"/>
      <c r="AP435" s="15"/>
      <c r="AQ435" s="45"/>
      <c r="AR435" s="15"/>
      <c r="AS435" s="13"/>
      <c r="AT435" s="15"/>
      <c r="AU435" s="45"/>
      <c r="AV435" s="15"/>
      <c r="AW435" s="13"/>
      <c r="AX435" s="15"/>
      <c r="AY435" s="45"/>
      <c r="AZ435" s="28"/>
      <c r="BA435" s="13"/>
      <c r="BB435" s="15"/>
      <c r="BC435" s="45"/>
      <c r="BD435" s="28"/>
      <c r="BE435" s="14"/>
      <c r="BF435" s="41">
        <f t="shared" ref="BF435:BG435" si="1284">K435+O435+S435+W435+AA435+AE435+AI435+AM435+AQ435+AU435+AY435+BC435</f>
        <v>7709</v>
      </c>
      <c r="BG435" s="34">
        <f t="shared" si="1284"/>
        <v>0</v>
      </c>
      <c r="BH435" s="35">
        <f t="shared" si="1274"/>
        <v>7709</v>
      </c>
      <c r="BK435" s="2" t="b">
        <f>H435='2021'!BH435</f>
        <v>1</v>
      </c>
    </row>
    <row r="436" ht="15.75" customHeight="1" spans="1:63" x14ac:dyDescent="0.25">
      <c r="A436" s="2">
        <v>48</v>
      </c>
      <c r="B436" s="14"/>
      <c r="D436" s="14" t="s">
        <v>51</v>
      </c>
      <c r="E436" s="2" t="s">
        <v>39</v>
      </c>
      <c r="F436" s="41">
        <v>500</v>
      </c>
      <c r="G436" s="28"/>
      <c r="H436" s="34">
        <f>'2021'!BH436</f>
        <v>0</v>
      </c>
      <c r="I436" s="13"/>
      <c r="J436" s="15"/>
      <c r="K436" s="15"/>
      <c r="L436" s="28"/>
      <c r="M436" s="13"/>
      <c r="N436" s="15"/>
      <c r="Q436" s="13"/>
      <c r="R436" s="15"/>
      <c r="S436" s="15"/>
      <c r="T436" s="28"/>
      <c r="U436" s="13"/>
      <c r="V436" s="15"/>
      <c r="Y436" s="13"/>
      <c r="Z436" s="2"/>
      <c r="AA436" s="15"/>
      <c r="AB436" s="28"/>
      <c r="AC436" s="348"/>
      <c r="AD436" s="15"/>
      <c r="AE436" s="180">
        <f>$F$13</f>
        <v>1000</v>
      </c>
      <c r="AF436" s="154"/>
      <c r="AG436" s="15"/>
      <c r="AH436" s="2"/>
      <c r="AI436" s="45"/>
      <c r="AJ436" s="154">
        <v>1000</v>
      </c>
      <c r="AK436" s="15"/>
      <c r="AL436" s="15"/>
      <c r="AM436" s="45"/>
      <c r="AN436" s="1"/>
      <c r="AO436" s="13"/>
      <c r="AP436" s="15"/>
      <c r="AQ436" s="180"/>
      <c r="AR436" s="15"/>
      <c r="AS436" s="13"/>
      <c r="AT436" s="15"/>
      <c r="AU436" s="45"/>
      <c r="AV436" s="15"/>
      <c r="AW436" s="13"/>
      <c r="AX436" s="15"/>
      <c r="AY436" s="45"/>
      <c r="AZ436" s="28"/>
      <c r="BA436" s="13"/>
      <c r="BB436" s="15"/>
      <c r="BC436" s="45"/>
      <c r="BD436" s="28"/>
      <c r="BE436" s="14"/>
      <c r="BF436" s="41">
        <f t="shared" ref="BF436:BG436" si="1285">K436+O436+S436+W436+AA436+AE436+AI436+AM436+AQ436+AU436+AY436+BC436</f>
        <v>1000</v>
      </c>
      <c r="BG436" s="34">
        <f t="shared" si="1285"/>
        <v>1000</v>
      </c>
      <c r="BH436" s="35">
        <f t="shared" si="1274"/>
        <v>0</v>
      </c>
      <c r="BK436" s="2" t="b">
        <f>H436='2021'!BH436</f>
        <v>1</v>
      </c>
    </row>
    <row r="437" ht="15.75" customHeight="1" spans="1:63" x14ac:dyDescent="0.25">
      <c r="A437" s="2">
        <v>48</v>
      </c>
      <c r="B437" s="14"/>
      <c r="D437" s="14" t="s">
        <v>51</v>
      </c>
      <c r="E437" s="2" t="s">
        <v>49</v>
      </c>
      <c r="F437" s="41">
        <v>500</v>
      </c>
      <c r="G437" s="28"/>
      <c r="H437" s="34">
        <f>'2021'!BH437</f>
        <v>0</v>
      </c>
      <c r="I437" s="13"/>
      <c r="J437" s="15"/>
      <c r="K437" s="15"/>
      <c r="L437" s="28"/>
      <c r="M437" s="13"/>
      <c r="N437" s="15"/>
      <c r="Q437" s="13"/>
      <c r="R437" s="15"/>
      <c r="S437" s="15"/>
      <c r="T437" s="28"/>
      <c r="U437" s="13"/>
      <c r="V437" s="15"/>
      <c r="Y437" s="13"/>
      <c r="Z437" s="2"/>
      <c r="AA437" s="15"/>
      <c r="AB437" s="28"/>
      <c r="AC437" s="348"/>
      <c r="AD437" s="15"/>
      <c r="AE437" s="34"/>
      <c r="AF437" s="154"/>
      <c r="AG437" s="15"/>
      <c r="AH437" s="2"/>
      <c r="AI437" s="45"/>
      <c r="AJ437" s="154"/>
      <c r="AK437" s="15"/>
      <c r="AL437" s="15"/>
      <c r="AM437" s="45"/>
      <c r="AN437" s="15"/>
      <c r="AO437" s="13"/>
      <c r="AP437" s="15"/>
      <c r="AQ437" s="180">
        <f>B432*$F$14</f>
        <v>0</v>
      </c>
      <c r="AR437" s="15"/>
      <c r="AS437" s="13"/>
      <c r="AT437" s="15"/>
      <c r="AU437" s="45"/>
      <c r="AV437" s="15"/>
      <c r="AW437" s="13"/>
      <c r="AX437" s="15"/>
      <c r="AY437" s="45"/>
      <c r="AZ437" s="28"/>
      <c r="BA437" s="13"/>
      <c r="BB437" s="15"/>
      <c r="BC437" s="45"/>
      <c r="BD437" s="28"/>
      <c r="BE437" s="14"/>
      <c r="BF437" s="41">
        <f t="shared" ref="BF437:BG437" si="1286">K437+O437+S437+W437+AA437+AE437+AI437+AM437+AQ437+AU437+AY437+BC437</f>
        <v>0</v>
      </c>
      <c r="BG437" s="34">
        <f t="shared" si="1286"/>
        <v>0</v>
      </c>
      <c r="BH437" s="35">
        <f t="shared" si="1274"/>
        <v>0</v>
      </c>
      <c r="BK437" s="2" t="b">
        <f>H437='2021'!BH437</f>
        <v>1</v>
      </c>
    </row>
    <row r="438" ht="15.75" customHeight="1" spans="1:63" x14ac:dyDescent="0.25">
      <c r="A438" s="2">
        <v>48</v>
      </c>
      <c r="B438" s="14"/>
      <c r="D438" s="14" t="s">
        <v>52</v>
      </c>
      <c r="E438" s="2" t="s">
        <v>39</v>
      </c>
      <c r="F438" s="41">
        <v>500</v>
      </c>
      <c r="G438" s="28"/>
      <c r="H438" s="34">
        <f>'2021'!BH438</f>
        <v>0</v>
      </c>
      <c r="I438" s="13"/>
      <c r="J438" s="15"/>
      <c r="K438" s="15"/>
      <c r="L438" s="28"/>
      <c r="M438" s="13"/>
      <c r="N438" s="15"/>
      <c r="Q438" s="13"/>
      <c r="R438" s="15"/>
      <c r="S438" s="15"/>
      <c r="T438" s="28"/>
      <c r="U438" s="13"/>
      <c r="V438" s="15"/>
      <c r="Y438" s="13"/>
      <c r="Z438" s="2"/>
      <c r="AA438" s="34">
        <f>$F$15</f>
      </c>
      <c r="AB438" s="28"/>
      <c r="AC438" s="348"/>
      <c r="AD438" s="15"/>
      <c r="AF438" s="154"/>
      <c r="AG438" s="15"/>
      <c r="AH438" s="2"/>
      <c r="AI438" s="45"/>
      <c r="AJ438" s="15"/>
      <c r="AK438" s="15"/>
      <c r="AL438" s="15"/>
      <c r="AM438" s="45"/>
      <c r="AN438" s="34"/>
      <c r="AO438" s="13"/>
      <c r="AP438" s="15"/>
      <c r="AQ438" s="45"/>
      <c r="AR438" s="15"/>
      <c r="AS438" s="13"/>
      <c r="AT438" s="15"/>
      <c r="AU438" s="45"/>
      <c r="AV438" s="15"/>
      <c r="AW438" s="13"/>
      <c r="AX438" s="15"/>
      <c r="AY438" s="45"/>
      <c r="AZ438" s="35"/>
      <c r="BA438" s="13"/>
      <c r="BB438" s="15"/>
      <c r="BC438" s="45"/>
      <c r="BD438" s="35"/>
      <c r="BE438" s="14"/>
      <c r="BF438" s="41">
        <f t="shared" ref="BF438:BG438" si="1287">K438+O438+S438+W438+AA438+AE438+AI438+AM438+AQ438+AU438+AY438+BC438</f>
        <v>0</v>
      </c>
      <c r="BG438" s="34">
        <f t="shared" si="1287"/>
        <v>0</v>
      </c>
      <c r="BH438" s="35">
        <f t="shared" si="1274"/>
        <v>0</v>
      </c>
      <c r="BK438" s="2" t="b">
        <f>H438='2021'!BH438</f>
        <v>1</v>
      </c>
    </row>
    <row r="439" ht="15.75" customHeight="1" spans="1:63" x14ac:dyDescent="0.25">
      <c r="A439" s="247">
        <v>48</v>
      </c>
      <c r="B439" s="21"/>
      <c r="C439" s="22" t="s">
        <v>53</v>
      </c>
      <c r="D439" s="21"/>
      <c r="E439" s="22"/>
      <c r="F439" s="20"/>
      <c r="G439" s="23"/>
      <c r="H439" s="51">
        <f>SUM(H431:H438)</f>
        <v>-56.15</v>
      </c>
      <c r="I439" s="52"/>
      <c r="J439" s="53"/>
      <c r="K439" s="51">
        <f t="shared" ref="K439:L439" si="1288">SUM(K431:K438)</f>
        <v>0</v>
      </c>
      <c r="L439" s="68">
        <f t="shared" si="1288"/>
        <v>0</v>
      </c>
      <c r="M439" s="52"/>
      <c r="N439" s="53"/>
      <c r="O439" s="51">
        <f t="shared" ref="O439:P439" si="1289">SUM(O431:O438)</f>
        <v>0</v>
      </c>
      <c r="P439" s="51">
        <f t="shared" si="1289"/>
        <v>0</v>
      </c>
      <c r="Q439" s="52"/>
      <c r="R439" s="53"/>
      <c r="S439" s="51">
        <f t="shared" ref="S439:T439" si="1290">SUM(S431:S438)</f>
        <v>0</v>
      </c>
      <c r="T439" s="51">
        <f t="shared" si="1290"/>
        <v>0</v>
      </c>
      <c r="U439" s="52"/>
      <c r="V439" s="53"/>
      <c r="W439" s="51">
        <f t="shared" ref="W439:X439" si="1291">SUM(W431:W438)</f>
        <v>0</v>
      </c>
      <c r="X439" s="51">
        <f t="shared" si="1291"/>
        <v>0</v>
      </c>
      <c r="Y439" s="52"/>
      <c r="Z439" s="301"/>
      <c r="AA439" s="51">
        <f t="shared" ref="AA439:AB439" si="1292">SUM(AA431:AA438)</f>
        <v>203.5</v>
      </c>
      <c r="AB439" s="51">
        <f t="shared" si="1292"/>
        <v>0</v>
      </c>
      <c r="AC439" s="367"/>
      <c r="AD439" s="53"/>
      <c r="AE439" s="51">
        <f t="shared" ref="AE439:AF439" si="1293">SUM(AE431:AE438)</f>
        <v>8993.9</v>
      </c>
      <c r="AF439" s="51">
        <f t="shared" si="1293"/>
        <v>147.35</v>
      </c>
      <c r="AG439" s="52"/>
      <c r="AH439" s="301"/>
      <c r="AI439" s="183">
        <f t="shared" ref="AI439:AJ439" si="1294">SUM(AI431:AI438)</f>
        <v>235.4</v>
      </c>
      <c r="AJ439" s="51">
        <f t="shared" si="1294"/>
        <v>1284.9</v>
      </c>
      <c r="AK439" s="52"/>
      <c r="AL439" s="53"/>
      <c r="AM439" s="183">
        <f t="shared" ref="AM439:AN439" si="1295">SUM(AM431:AM438)</f>
        <v>577.8</v>
      </c>
      <c r="AN439" s="51">
        <f t="shared" si="1295"/>
        <v>240</v>
      </c>
      <c r="AO439" s="52"/>
      <c r="AP439" s="53"/>
      <c r="AQ439" s="183">
        <f t="shared" ref="AQ439:AR439" si="1296">SUM(AQ431:AQ438)</f>
        <v>470.8</v>
      </c>
      <c r="AR439" s="51">
        <f t="shared" si="1296"/>
        <v>0</v>
      </c>
      <c r="AS439" s="52"/>
      <c r="AT439" s="53"/>
      <c r="AU439" s="183">
        <f t="shared" ref="AU439:AV439" si="1297">SUM(AU431:AU438)</f>
        <v>0</v>
      </c>
      <c r="AV439" s="68">
        <f t="shared" si="1297"/>
        <v>800</v>
      </c>
      <c r="AW439" s="52"/>
      <c r="AX439" s="53"/>
      <c r="AY439" s="183">
        <f t="shared" ref="AY439:AZ439" si="1298">SUM(AY431:AY438)</f>
        <v>0</v>
      </c>
      <c r="AZ439" s="68">
        <f t="shared" si="1298"/>
        <v>0</v>
      </c>
      <c r="BA439" s="52"/>
      <c r="BB439" s="53"/>
      <c r="BC439" s="183">
        <f t="shared" ref="BC439:BD439" si="1299">SUM(BC431:BC438)</f>
        <v>0</v>
      </c>
      <c r="BD439" s="68">
        <f t="shared" si="1299"/>
        <v>0</v>
      </c>
      <c r="BE439" s="69"/>
      <c r="BF439" s="70">
        <f t="shared" ref="BF439:BH439" si="1300">SUM(BF431:BF438)</f>
        <v>10481.4</v>
      </c>
      <c r="BG439" s="71">
        <f t="shared" si="1300"/>
        <v>2472.25</v>
      </c>
      <c r="BH439" s="72">
        <f t="shared" si="1300"/>
        <v>7953</v>
      </c>
      <c r="BI439" s="34">
        <f>H439+BF439-BG439</f>
        <v>7953</v>
      </c>
      <c r="BJ439" s="34">
        <f>BH439-BI439</f>
        <v>0</v>
      </c>
      <c r="BK439" s="2" t="b">
        <f>H439='2021'!BH439</f>
        <v>1</v>
      </c>
    </row>
    <row r="440" ht="15.75" customHeight="1" spans="1:63" x14ac:dyDescent="0.25">
      <c r="A440" s="2">
        <v>49</v>
      </c>
      <c r="B440" s="14"/>
      <c r="D440" s="14" t="s">
        <v>379</v>
      </c>
      <c r="F440" s="13"/>
      <c r="G440" s="28"/>
      <c r="H440" s="34">
        <f>'2021'!BH440</f>
        <v>0</v>
      </c>
      <c r="I440" s="13"/>
      <c r="J440" s="15"/>
      <c r="K440" s="15"/>
      <c r="L440" s="28"/>
      <c r="M440" s="13"/>
      <c r="N440" s="15"/>
      <c r="Q440" s="13"/>
      <c r="R440" s="15"/>
      <c r="S440" s="15"/>
      <c r="T440" s="28"/>
      <c r="U440" s="13"/>
      <c r="V440" s="15"/>
      <c r="Y440" s="13"/>
      <c r="Z440" s="2"/>
      <c r="AA440" s="15"/>
      <c r="AB440" s="28"/>
      <c r="AC440" s="348"/>
      <c r="AD440" s="15"/>
      <c r="AG440" s="15"/>
      <c r="AH440" s="2"/>
      <c r="AI440" s="45"/>
      <c r="AJ440" s="15"/>
      <c r="AK440" s="15"/>
      <c r="AM440" s="45"/>
      <c r="AO440" s="13"/>
      <c r="AQ440" s="45"/>
      <c r="AS440" s="13"/>
      <c r="AU440" s="45"/>
      <c r="AW440" s="13"/>
      <c r="AY440" s="45"/>
      <c r="AZ440" s="28"/>
      <c r="BA440" s="13"/>
      <c r="BB440" s="15"/>
      <c r="BC440" s="45"/>
      <c r="BD440" s="28"/>
      <c r="BE440" s="14"/>
      <c r="BF440" s="41">
        <f t="shared" ref="BF440:BG440" si="1301">K440+O440+S440+W440+AA440+AE440+AI440+AM440+AQ440+AU440+AY440+BC440</f>
        <v>0</v>
      </c>
      <c r="BG440" s="34">
        <f t="shared" si="1301"/>
        <v>0</v>
      </c>
      <c r="BH440" s="35">
        <f t="shared" ref="BH440:BH447" si="1302">H440+BF440-BG440</f>
        <v>0</v>
      </c>
      <c r="BK440" s="2" t="b">
        <f>H440='2021'!BH440</f>
        <v>1</v>
      </c>
    </row>
    <row r="441" ht="15.75" customHeight="1" spans="1:63" x14ac:dyDescent="0.25">
      <c r="A441" s="2">
        <v>49</v>
      </c>
      <c r="B441" s="14">
        <v>5.03</v>
      </c>
      <c r="C441" s="2" t="s">
        <v>197</v>
      </c>
      <c r="D441" s="14" t="s">
        <v>44</v>
      </c>
      <c r="E441" s="2" t="s">
        <v>45</v>
      </c>
      <c r="F441" s="41">
        <v>2.5</v>
      </c>
      <c r="G441" s="35">
        <v>2.6</v>
      </c>
      <c r="H441" s="104">
        <f>'2021'!BH441</f>
        <v>0</v>
      </c>
      <c r="I441" s="13"/>
      <c r="J441" s="15">
        <f>I441-'2021'!BA441</f>
        <v>0</v>
      </c>
      <c r="K441" s="34">
        <f>J441*$F$8</f>
        <v>0</v>
      </c>
      <c r="L441" s="28"/>
      <c r="M441" s="13"/>
      <c r="N441" s="15">
        <f t="shared" ref="N441:N442" si="1303">M441-I441</f>
        <v>0</v>
      </c>
      <c r="O441" s="34">
        <f>N441*$F$8</f>
        <v>0</v>
      </c>
      <c r="Q441" s="13"/>
      <c r="R441" s="15">
        <f t="shared" ref="R441:R442" si="1304">Q441-M441</f>
        <v>0</v>
      </c>
      <c r="S441" s="34">
        <f>R441*$F$8</f>
        <v>0</v>
      </c>
      <c r="T441" s="28"/>
      <c r="U441" s="13"/>
      <c r="V441" s="15">
        <f t="shared" ref="V441:V442" si="1305">U441-Q441</f>
        <v>0</v>
      </c>
      <c r="W441" s="34">
        <f>V441*$F$8</f>
        <v>0</v>
      </c>
      <c r="Y441" s="13"/>
      <c r="Z441" s="2">
        <f t="shared" ref="Z441:Z442" si="1306">Y441-U441</f>
        <v>0</v>
      </c>
      <c r="AA441" s="34">
        <f>Z441*$F$8</f>
        <v>0</v>
      </c>
      <c r="AB441" s="28"/>
      <c r="AC441" s="348"/>
      <c r="AD441" s="15">
        <f t="shared" ref="AD441:AD442" si="1307">AC441-Y441</f>
        <v>0</v>
      </c>
      <c r="AE441" s="180">
        <f>AD441*$F$8</f>
        <v>0</v>
      </c>
      <c r="AG441" s="15"/>
      <c r="AH441" s="2">
        <f>(AG441-AC441)*AH5</f>
        <v>0</v>
      </c>
      <c r="AI441" s="45">
        <f>AH441*$G$8</f>
        <v>0</v>
      </c>
      <c r="AJ441" s="15"/>
      <c r="AK441" s="15"/>
      <c r="AL441" s="15">
        <f>(AK441-AG441)*AL5</f>
        <v>0</v>
      </c>
      <c r="AM441" s="45">
        <f>AL441*$G$8</f>
        <v>0</v>
      </c>
      <c r="AN441" s="15"/>
      <c r="AO441" s="13"/>
      <c r="AP441" s="15">
        <f>(AO441-AK441)*AP5</f>
        <v>0</v>
      </c>
      <c r="AQ441" s="45">
        <f>AP441*$G$8</f>
        <v>0</v>
      </c>
      <c r="AR441" s="154"/>
      <c r="AS441" s="13"/>
      <c r="AT441" s="15">
        <f>(AS441-AO441)*AT5</f>
        <v>0</v>
      </c>
      <c r="AU441" s="45">
        <f>AT441*$G$8</f>
        <v>0</v>
      </c>
      <c r="AV441" s="15"/>
      <c r="AW441" s="13"/>
      <c r="AX441" s="15">
        <f>(AW441-AS441)*AX5</f>
        <v>0</v>
      </c>
      <c r="AY441" s="45">
        <f>AX441*$G$8</f>
        <v>0</v>
      </c>
      <c r="AZ441" s="208"/>
      <c r="BA441" s="13"/>
      <c r="BB441" s="15"/>
      <c r="BC441" s="45">
        <f>BB441*$G$8</f>
        <v>0</v>
      </c>
      <c r="BD441" s="208"/>
      <c r="BE441" s="40">
        <f t="shared" ref="BE441:BG441" si="1308">J441+N441+R441+V441+Z441+AD441+AH441+AL441+AP441+AT441+AX441+BB441</f>
        <v>0</v>
      </c>
      <c r="BF441" s="41">
        <f t="shared" si="1308"/>
        <v>0</v>
      </c>
      <c r="BG441" s="34">
        <f t="shared" si="1308"/>
        <v>0</v>
      </c>
      <c r="BH441" s="35">
        <f t="shared" si="1302"/>
        <v>0</v>
      </c>
      <c r="BK441" s="2" t="b">
        <f>H441='2021'!BH441</f>
        <v>1</v>
      </c>
    </row>
    <row r="442" ht="15.75" customHeight="1" spans="1:63" x14ac:dyDescent="0.25">
      <c r="A442" s="2">
        <v>49</v>
      </c>
      <c r="B442" s="14"/>
      <c r="C442" s="2" t="s">
        <v>198</v>
      </c>
      <c r="D442" s="14" t="s">
        <v>47</v>
      </c>
      <c r="E442" s="2" t="s">
        <v>48</v>
      </c>
      <c r="F442" s="13">
        <v>18.56</v>
      </c>
      <c r="G442" s="35">
        <v>19.46</v>
      </c>
      <c r="H442" s="34">
        <f>'2021'!BH442</f>
        <v>0</v>
      </c>
      <c r="I442" s="13">
        <v>243</v>
      </c>
      <c r="J442" s="15"/>
      <c r="K442" s="15"/>
      <c r="L442" s="28"/>
      <c r="M442" s="13">
        <v>243</v>
      </c>
      <c r="N442" s="15">
        <f t="shared" si="1303"/>
        <v>0</v>
      </c>
      <c r="Q442" s="13">
        <v>243</v>
      </c>
      <c r="R442" s="15">
        <f t="shared" si="1304"/>
        <v>0</v>
      </c>
      <c r="S442" s="15"/>
      <c r="T442" s="28"/>
      <c r="U442" s="13">
        <v>243</v>
      </c>
      <c r="V442" s="15">
        <f t="shared" si="1305"/>
        <v>0</v>
      </c>
      <c r="W442" s="180">
        <f>V442*$F$10</f>
        <v>0</v>
      </c>
      <c r="Y442" s="13">
        <v>244</v>
      </c>
      <c r="Z442" s="2">
        <f t="shared" si="1306"/>
        <v>1</v>
      </c>
      <c r="AA442" s="34">
        <f>Z442*$F$10</f>
        <v>20.35</v>
      </c>
      <c r="AB442" s="28"/>
      <c r="AC442" s="348">
        <v>257</v>
      </c>
      <c r="AD442" s="15">
        <f t="shared" si="1307"/>
        <v>13</v>
      </c>
      <c r="AE442" s="34">
        <f>AD442*$F$10</f>
        <v>264.55</v>
      </c>
      <c r="AF442" s="370">
        <v>20.35</v>
      </c>
      <c r="AG442" s="15">
        <v>266</v>
      </c>
      <c r="AH442" s="2">
        <f>AG442-AC442</f>
        <v>9</v>
      </c>
      <c r="AI442" s="45">
        <f>AH442*$G$10</f>
        <v>192.6</v>
      </c>
      <c r="AJ442" s="136">
        <f>264.55+192.6</f>
        <v>457.15</v>
      </c>
      <c r="AK442" s="15">
        <v>274</v>
      </c>
      <c r="AL442" s="15">
        <f>AK442-AG442</f>
        <v>8</v>
      </c>
      <c r="AM442" s="45">
        <f>AL442*$G$10</f>
        <v>171.2</v>
      </c>
      <c r="AN442" s="34"/>
      <c r="AO442" s="13">
        <v>284</v>
      </c>
      <c r="AP442" s="15">
        <f>AO442-AK442</f>
        <v>10</v>
      </c>
      <c r="AQ442" s="45">
        <f>AP442*$G$10</f>
        <v>214</v>
      </c>
      <c r="AR442" s="154">
        <f>64.2+321</f>
        <v>385.2</v>
      </c>
      <c r="AS442" s="13">
        <v>284</v>
      </c>
      <c r="AT442" s="15">
        <f>AS442-AO442</f>
        <v>0</v>
      </c>
      <c r="AU442" s="45">
        <f>AT442*$G$10</f>
        <v>0</v>
      </c>
      <c r="AV442" s="15"/>
      <c r="AW442" s="13"/>
      <c r="AX442" s="15">
        <f>AW442-AS442</f>
        <v>-284</v>
      </c>
      <c r="AY442" s="45"/>
      <c r="AZ442" s="208"/>
      <c r="BA442" s="13"/>
      <c r="BB442" s="15"/>
      <c r="BC442" s="45"/>
      <c r="BD442" s="208"/>
      <c r="BE442" s="40">
        <f t="shared" ref="BE442:BG442" si="1309">J442+N442+R442+V442+Z442+AD442+AH442+AL442+AP442+AT442+AX442+BB442</f>
        <v>-243</v>
      </c>
      <c r="BF442" s="41">
        <f t="shared" si="1309"/>
        <v>862.7</v>
      </c>
      <c r="BG442" s="34">
        <f t="shared" si="1309"/>
        <v>862.7</v>
      </c>
      <c r="BH442" s="35">
        <f t="shared" si="1302"/>
        <v>0</v>
      </c>
      <c r="BK442" s="2" t="b">
        <f>H442='2021'!BH442</f>
        <v>1</v>
      </c>
    </row>
    <row r="443" ht="15.75" customHeight="1" spans="1:63" x14ac:dyDescent="0.25">
      <c r="A443" s="2">
        <v>49</v>
      </c>
      <c r="B443" s="14"/>
      <c r="C443" s="2" t="s">
        <v>164</v>
      </c>
      <c r="D443" s="14" t="s">
        <v>47</v>
      </c>
      <c r="E443" s="2" t="s">
        <v>49</v>
      </c>
      <c r="F443" s="41">
        <v>500</v>
      </c>
      <c r="G443" s="28"/>
      <c r="H443" s="34">
        <f>'2021'!BH443</f>
        <v>0</v>
      </c>
      <c r="I443" s="13"/>
      <c r="J443" s="15"/>
      <c r="K443" s="15"/>
      <c r="L443" s="28"/>
      <c r="M443" s="13"/>
      <c r="N443" s="15"/>
      <c r="Q443" s="13"/>
      <c r="R443" s="15"/>
      <c r="S443" s="15"/>
      <c r="T443" s="28"/>
      <c r="U443" s="13"/>
      <c r="V443" s="15"/>
      <c r="Y443" s="13"/>
      <c r="Z443" s="2"/>
      <c r="AA443" s="15"/>
      <c r="AB443" s="28"/>
      <c r="AC443" s="348"/>
      <c r="AD443" s="15"/>
      <c r="AG443" s="15"/>
      <c r="AH443" s="2"/>
      <c r="AI443" s="45"/>
      <c r="AJ443" s="15"/>
      <c r="AK443" s="15"/>
      <c r="AL443" s="15"/>
      <c r="AM443" s="45"/>
      <c r="AN443" s="15"/>
      <c r="AO443" s="13"/>
      <c r="AP443" s="15"/>
      <c r="AQ443" s="45"/>
      <c r="AR443" s="15"/>
      <c r="AS443" s="13"/>
      <c r="AT443" s="15"/>
      <c r="AU443" s="45"/>
      <c r="AV443" s="15"/>
      <c r="AW443" s="13"/>
      <c r="AX443" s="15"/>
      <c r="AY443" s="45"/>
      <c r="AZ443" s="28"/>
      <c r="BA443" s="13"/>
      <c r="BB443" s="15"/>
      <c r="BC443" s="45"/>
      <c r="BD443" s="28"/>
      <c r="BE443" s="14"/>
      <c r="BF443" s="41">
        <f t="shared" ref="BF443:BG443" si="1310">K443+O443+S443+W443+AA443+AE443+AI443+AM443+AQ443+AU443+AY443+BC443</f>
        <v>0</v>
      </c>
      <c r="BG443" s="34">
        <f t="shared" si="1310"/>
        <v>0</v>
      </c>
      <c r="BH443" s="35">
        <f t="shared" si="1302"/>
        <v>0</v>
      </c>
      <c r="BK443" s="2" t="b">
        <f>H443='2021'!BH443</f>
        <v>1</v>
      </c>
    </row>
    <row r="444" ht="15.75" customHeight="1" spans="1:63" x14ac:dyDescent="0.25">
      <c r="A444" s="2">
        <v>49</v>
      </c>
      <c r="B444" s="14"/>
      <c r="C444" s="2" t="s">
        <v>199</v>
      </c>
      <c r="D444" s="14" t="s">
        <v>50</v>
      </c>
      <c r="E444" s="2" t="s">
        <v>49</v>
      </c>
      <c r="F444" s="41">
        <v>1100</v>
      </c>
      <c r="G444" s="28"/>
      <c r="H444" s="34">
        <f>'2021'!BH444</f>
        <v>0</v>
      </c>
      <c r="I444" s="13"/>
      <c r="J444" s="15"/>
      <c r="K444" s="15"/>
      <c r="L444" s="28"/>
      <c r="M444" s="13"/>
      <c r="N444" s="15"/>
      <c r="Q444" s="13"/>
      <c r="R444" s="15"/>
      <c r="S444" s="15"/>
      <c r="T444" s="28"/>
      <c r="U444" s="13"/>
      <c r="V444" s="15"/>
      <c r="Y444" s="13"/>
      <c r="Z444" s="2"/>
      <c r="AA444" s="15"/>
      <c r="AB444" s="28"/>
      <c r="AC444" s="348"/>
      <c r="AD444" s="15"/>
      <c r="AE444" s="34">
        <f>B441*$F$12</f>
        <v>6539</v>
      </c>
      <c r="AF444" s="370">
        <v>2979.65</v>
      </c>
      <c r="AG444" s="15"/>
      <c r="AH444" s="2"/>
      <c r="AI444" s="45"/>
      <c r="AJ444" s="154">
        <v>3559.35</v>
      </c>
      <c r="AK444" s="15"/>
      <c r="AL444" s="15"/>
      <c r="AM444" s="45"/>
      <c r="AN444" s="15"/>
      <c r="AO444" s="13"/>
      <c r="AP444" s="15"/>
      <c r="AQ444" s="45"/>
      <c r="AR444" s="15"/>
      <c r="AS444" s="13"/>
      <c r="AT444" s="15"/>
      <c r="AU444" s="45"/>
      <c r="AV444" s="15"/>
      <c r="AW444" s="13"/>
      <c r="AX444" s="15"/>
      <c r="AY444" s="45"/>
      <c r="AZ444" s="28"/>
      <c r="BA444" s="13"/>
      <c r="BB444" s="15"/>
      <c r="BC444" s="45"/>
      <c r="BD444" s="28"/>
      <c r="BE444" s="14"/>
      <c r="BF444" s="41">
        <f t="shared" ref="BF444:BG444" si="1311">K444+O444+S444+W444+AA444+AE444+AI444+AM444+AQ444+AU444+AY444+BC444</f>
        <v>6539</v>
      </c>
      <c r="BG444" s="34">
        <f t="shared" si="1311"/>
        <v>6539</v>
      </c>
      <c r="BH444" s="35">
        <f t="shared" si="1302"/>
        <v>0</v>
      </c>
      <c r="BK444" s="2" t="b">
        <f>H444='2021'!BH444</f>
        <v>1</v>
      </c>
    </row>
    <row r="445" ht="15.75" customHeight="1" spans="1:63" x14ac:dyDescent="0.25">
      <c r="A445" s="2">
        <v>49</v>
      </c>
      <c r="B445" s="14"/>
      <c r="D445" s="14" t="s">
        <v>51</v>
      </c>
      <c r="E445" s="2" t="s">
        <v>39</v>
      </c>
      <c r="F445" s="41">
        <v>500</v>
      </c>
      <c r="G445" s="28"/>
      <c r="H445" s="34">
        <f>'2021'!BH445</f>
        <v>0</v>
      </c>
      <c r="I445" s="13"/>
      <c r="J445" s="15"/>
      <c r="K445" s="15"/>
      <c r="L445" s="28"/>
      <c r="M445" s="13"/>
      <c r="N445" s="15"/>
      <c r="Q445" s="13"/>
      <c r="R445" s="15"/>
      <c r="S445" s="15"/>
      <c r="T445" s="28"/>
      <c r="U445" s="13"/>
      <c r="V445" s="15"/>
      <c r="X445" s="1"/>
      <c r="Y445" s="13"/>
      <c r="Z445" s="2"/>
      <c r="AA445" s="15"/>
      <c r="AB445" s="28"/>
      <c r="AC445" s="348"/>
      <c r="AD445" s="15"/>
      <c r="AE445" s="180">
        <f>$F$13</f>
        <v>1000</v>
      </c>
      <c r="AF445" s="370">
        <v>1000</v>
      </c>
      <c r="AG445" s="15"/>
      <c r="AH445" s="2"/>
      <c r="AI445" s="45"/>
      <c r="AJ445" s="15"/>
      <c r="AK445" s="15"/>
      <c r="AL445" s="15"/>
      <c r="AM445" s="45"/>
      <c r="AN445" s="15"/>
      <c r="AO445" s="13"/>
      <c r="AP445" s="15"/>
      <c r="AQ445" s="180"/>
      <c r="AR445" s="15"/>
      <c r="AS445" s="13"/>
      <c r="AT445" s="15"/>
      <c r="AU445" s="45"/>
      <c r="AV445" s="15"/>
      <c r="AW445" s="13"/>
      <c r="AX445" s="15"/>
      <c r="AY445" s="45"/>
      <c r="AZ445" s="28"/>
      <c r="BA445" s="13"/>
      <c r="BB445" s="15"/>
      <c r="BC445" s="45"/>
      <c r="BD445" s="28"/>
      <c r="BE445" s="14"/>
      <c r="BF445" s="41">
        <f t="shared" ref="BF445:BG445" si="1312">K445+O445+S445+W445+AA445+AE445+AI445+AM445+AQ445+AU445+AY445+BC445</f>
        <v>1000</v>
      </c>
      <c r="BG445" s="34">
        <f t="shared" si="1312"/>
        <v>1000</v>
      </c>
      <c r="BH445" s="35">
        <f t="shared" si="1302"/>
        <v>0</v>
      </c>
      <c r="BK445" s="2" t="b">
        <f>H445='2021'!BH445</f>
        <v>1</v>
      </c>
    </row>
    <row r="446" ht="15.75" customHeight="1" spans="1:63" x14ac:dyDescent="0.25">
      <c r="A446" s="2">
        <v>49</v>
      </c>
      <c r="B446" s="14"/>
      <c r="D446" s="14" t="s">
        <v>51</v>
      </c>
      <c r="E446" s="2" t="s">
        <v>49</v>
      </c>
      <c r="F446" s="41">
        <v>500</v>
      </c>
      <c r="G446" s="28"/>
      <c r="H446" s="34">
        <f>'2021'!BH446</f>
        <v>0</v>
      </c>
      <c r="I446" s="13"/>
      <c r="J446" s="15"/>
      <c r="K446" s="15"/>
      <c r="L446" s="28"/>
      <c r="M446" s="13"/>
      <c r="N446" s="15"/>
      <c r="Q446" s="13"/>
      <c r="R446" s="15"/>
      <c r="S446" s="15"/>
      <c r="T446" s="28"/>
      <c r="U446" s="13"/>
      <c r="V446" s="15"/>
      <c r="X446" s="1"/>
      <c r="Y446" s="13"/>
      <c r="Z446" s="2"/>
      <c r="AA446" s="15"/>
      <c r="AB446" s="28"/>
      <c r="AC446" s="348"/>
      <c r="AD446" s="15"/>
      <c r="AE446" s="34"/>
      <c r="AF446" s="34"/>
      <c r="AG446" s="15"/>
      <c r="AH446" s="2"/>
      <c r="AI446" s="45"/>
      <c r="AJ446" s="15"/>
      <c r="AK446" s="15"/>
      <c r="AL446" s="15"/>
      <c r="AM446" s="45"/>
      <c r="AN446" s="15"/>
      <c r="AO446" s="13"/>
      <c r="AP446" s="15"/>
      <c r="AQ446" s="180">
        <f>B441*$F$14</f>
        <v>0</v>
      </c>
      <c r="AR446" s="15"/>
      <c r="AS446" s="13"/>
      <c r="AT446" s="15"/>
      <c r="AU446" s="45"/>
      <c r="AV446" s="15"/>
      <c r="AW446" s="13"/>
      <c r="AX446" s="15"/>
      <c r="AY446" s="45"/>
      <c r="AZ446" s="28"/>
      <c r="BA446" s="13"/>
      <c r="BB446" s="15"/>
      <c r="BC446" s="45"/>
      <c r="BD446" s="28"/>
      <c r="BE446" s="14"/>
      <c r="BF446" s="41">
        <f t="shared" ref="BF446:BG446" si="1313">K446+O446+S446+W446+AA446+AE446+AI446+AM446+AQ446+AU446+AY446+BC446</f>
        <v>0</v>
      </c>
      <c r="BG446" s="34">
        <f t="shared" si="1313"/>
        <v>0</v>
      </c>
      <c r="BH446" s="35">
        <f t="shared" si="1302"/>
        <v>0</v>
      </c>
      <c r="BK446" s="2" t="b">
        <f>H446='2021'!BH446</f>
        <v>1</v>
      </c>
    </row>
    <row r="447" ht="15.75" customHeight="1" spans="1:63" x14ac:dyDescent="0.25">
      <c r="A447" s="2">
        <v>49</v>
      </c>
      <c r="B447" s="14"/>
      <c r="D447" s="14" t="s">
        <v>52</v>
      </c>
      <c r="E447" s="2" t="s">
        <v>39</v>
      </c>
      <c r="F447" s="41">
        <v>500</v>
      </c>
      <c r="G447" s="28"/>
      <c r="H447" s="34">
        <f>'2021'!BH447</f>
        <v>0</v>
      </c>
      <c r="I447" s="13"/>
      <c r="J447" s="15"/>
      <c r="K447" s="15"/>
      <c r="L447" s="28"/>
      <c r="M447" s="13"/>
      <c r="N447" s="15"/>
      <c r="Q447" s="13"/>
      <c r="R447" s="15"/>
      <c r="S447" s="15"/>
      <c r="T447" s="28"/>
      <c r="U447" s="13"/>
      <c r="V447" s="15"/>
      <c r="Y447" s="13"/>
      <c r="Z447" s="2"/>
      <c r="AA447" s="34">
        <f>$F$15</f>
      </c>
      <c r="AB447" s="35"/>
      <c r="AC447" s="348"/>
      <c r="AD447" s="15"/>
      <c r="AF447" s="180"/>
      <c r="AG447" s="15"/>
      <c r="AH447" s="2"/>
      <c r="AI447" s="45"/>
      <c r="AJ447" s="15"/>
      <c r="AK447" s="15"/>
      <c r="AL447" s="15"/>
      <c r="AM447" s="45"/>
      <c r="AN447" s="15"/>
      <c r="AO447" s="13"/>
      <c r="AP447" s="15"/>
      <c r="AQ447" s="45"/>
      <c r="AR447" s="15"/>
      <c r="AS447" s="13"/>
      <c r="AT447" s="15"/>
      <c r="AU447" s="45"/>
      <c r="AV447" s="15"/>
      <c r="AW447" s="13"/>
      <c r="AX447" s="15"/>
      <c r="AY447" s="45"/>
      <c r="AZ447" s="35"/>
      <c r="BA447" s="13"/>
      <c r="BB447" s="15"/>
      <c r="BC447" s="45"/>
      <c r="BD447" s="35"/>
      <c r="BE447" s="14"/>
      <c r="BF447" s="41">
        <f t="shared" ref="BF447:BG447" si="1314">K447+O447+S447+W447+AA447+AE447+AI447+AM447+AQ447+AU447+AY447+BC447</f>
        <v>0</v>
      </c>
      <c r="BG447" s="34">
        <f t="shared" si="1314"/>
        <v>0</v>
      </c>
      <c r="BH447" s="35">
        <f t="shared" si="1302"/>
        <v>0</v>
      </c>
      <c r="BK447" s="2" t="b">
        <f>H447='2021'!BH447</f>
        <v>1</v>
      </c>
    </row>
    <row r="448" ht="15.75" customHeight="1" spans="1:63" x14ac:dyDescent="0.25">
      <c r="A448" s="247">
        <v>49</v>
      </c>
      <c r="B448" s="21"/>
      <c r="C448" s="22" t="s">
        <v>53</v>
      </c>
      <c r="D448" s="21"/>
      <c r="E448" s="22"/>
      <c r="F448" s="20"/>
      <c r="G448" s="23"/>
      <c r="H448" s="51">
        <f>SUM(H440:H447)</f>
        <v>0</v>
      </c>
      <c r="I448" s="52"/>
      <c r="J448" s="53"/>
      <c r="K448" s="51">
        <f t="shared" ref="K448:L448" si="1315">SUM(K440:K447)</f>
        <v>0</v>
      </c>
      <c r="L448" s="68">
        <f t="shared" si="1315"/>
        <v>0</v>
      </c>
      <c r="M448" s="52"/>
      <c r="N448" s="53"/>
      <c r="O448" s="51">
        <f t="shared" ref="O448:P448" si="1316">SUM(O440:O447)</f>
        <v>0</v>
      </c>
      <c r="P448" s="51">
        <f t="shared" si="1316"/>
        <v>0</v>
      </c>
      <c r="Q448" s="52"/>
      <c r="R448" s="53"/>
      <c r="S448" s="51">
        <f t="shared" ref="S448:T448" si="1317">SUM(S440:S447)</f>
        <v>0</v>
      </c>
      <c r="T448" s="51">
        <f t="shared" si="1317"/>
        <v>0</v>
      </c>
      <c r="U448" s="52"/>
      <c r="V448" s="53"/>
      <c r="W448" s="51">
        <f t="shared" ref="W448:X448" si="1318">SUM(W440:W447)</f>
        <v>0</v>
      </c>
      <c r="X448" s="51">
        <f t="shared" si="1318"/>
        <v>0</v>
      </c>
      <c r="Y448" s="52"/>
      <c r="Z448" s="301"/>
      <c r="AA448" s="51">
        <f t="shared" ref="AA448:AB448" si="1319">SUM(AA440:AA447)</f>
        <v>20.35</v>
      </c>
      <c r="AB448" s="51">
        <f t="shared" si="1319"/>
        <v>0</v>
      </c>
      <c r="AC448" s="367"/>
      <c r="AD448" s="53"/>
      <c r="AE448" s="51">
        <f t="shared" ref="AE448:AF448" si="1320">SUM(AE440:AE447)</f>
        <v>7803.55</v>
      </c>
      <c r="AF448" s="51">
        <f t="shared" si="1320"/>
        <v>4000</v>
      </c>
      <c r="AG448" s="52"/>
      <c r="AH448" s="301"/>
      <c r="AI448" s="183">
        <f t="shared" ref="AI448:AJ448" si="1321">SUM(AI440:AI447)</f>
        <v>192.6</v>
      </c>
      <c r="AJ448" s="51">
        <f t="shared" si="1321"/>
        <v>4016.5</v>
      </c>
      <c r="AK448" s="52"/>
      <c r="AL448" s="53"/>
      <c r="AM448" s="183">
        <f t="shared" ref="AM448:AN448" si="1322">SUM(AM440:AM447)</f>
        <v>171.2</v>
      </c>
      <c r="AN448" s="51">
        <f t="shared" si="1322"/>
        <v>0</v>
      </c>
      <c r="AO448" s="52"/>
      <c r="AP448" s="53"/>
      <c r="AQ448" s="183">
        <f t="shared" ref="AQ448:AR448" si="1323">SUM(AQ440:AQ447)</f>
        <v>214</v>
      </c>
      <c r="AR448" s="51">
        <f t="shared" si="1323"/>
        <v>385.2</v>
      </c>
      <c r="AS448" s="52"/>
      <c r="AT448" s="53"/>
      <c r="AU448" s="183">
        <f t="shared" ref="AU448:AV448" si="1324">SUM(AU440:AU447)</f>
        <v>0</v>
      </c>
      <c r="AV448" s="68">
        <f t="shared" si="1324"/>
        <v>0</v>
      </c>
      <c r="AW448" s="52"/>
      <c r="AX448" s="53"/>
      <c r="AY448" s="183">
        <f t="shared" ref="AY448:AZ448" si="1325">SUM(AY440:AY447)</f>
        <v>0</v>
      </c>
      <c r="AZ448" s="68">
        <f t="shared" si="1325"/>
        <v>0</v>
      </c>
      <c r="BA448" s="52"/>
      <c r="BB448" s="53"/>
      <c r="BC448" s="183">
        <f t="shared" ref="BC448:BD448" si="1326">SUM(BC440:BC447)</f>
        <v>0</v>
      </c>
      <c r="BD448" s="68">
        <f t="shared" si="1326"/>
        <v>0</v>
      </c>
      <c r="BE448" s="69"/>
      <c r="BF448" s="70">
        <f t="shared" ref="BF448:BH448" si="1327">SUM(BF440:BF447)</f>
        <v>8401.7</v>
      </c>
      <c r="BG448" s="71">
        <f t="shared" si="1327"/>
        <v>8401.7</v>
      </c>
      <c r="BH448" s="72">
        <f t="shared" si="1327"/>
        <v>0</v>
      </c>
      <c r="BI448" s="34">
        <f>H448+BF448-BG448</f>
        <v>0</v>
      </c>
      <c r="BJ448" s="34">
        <f>BH448-BI448</f>
        <v>0</v>
      </c>
      <c r="BK448" s="2" t="b">
        <f>H448='2021'!BH448</f>
        <v>1</v>
      </c>
    </row>
    <row r="449" ht="15.75" customHeight="1" spans="1:63" x14ac:dyDescent="0.25">
      <c r="A449" s="2">
        <v>50</v>
      </c>
      <c r="B449" s="14"/>
      <c r="D449" s="176" t="s">
        <v>544</v>
      </c>
      <c r="F449" s="13"/>
      <c r="G449" s="28"/>
      <c r="H449" s="34">
        <f>'2021'!BH449</f>
        <v>-0.48</v>
      </c>
      <c r="I449" s="13"/>
      <c r="J449" s="15"/>
      <c r="K449" s="15"/>
      <c r="L449" s="28"/>
      <c r="M449" s="13"/>
      <c r="N449" s="15"/>
      <c r="Q449" s="13"/>
      <c r="R449" s="15"/>
      <c r="S449" s="15"/>
      <c r="T449" s="28"/>
      <c r="U449" s="13"/>
      <c r="V449" s="15"/>
      <c r="W449" s="153"/>
      <c r="Y449" s="13"/>
      <c r="Z449" s="2"/>
      <c r="AA449" s="154">
        <v>248.5</v>
      </c>
      <c r="AB449" s="35"/>
      <c r="AC449" s="348"/>
      <c r="AD449" s="15"/>
      <c r="AG449" s="15"/>
      <c r="AH449" s="2"/>
      <c r="AI449" s="45"/>
      <c r="AJ449" s="15"/>
      <c r="AK449" s="15"/>
      <c r="AM449" s="45"/>
      <c r="AN449" s="15"/>
      <c r="AO449" s="13"/>
      <c r="AQ449" s="45"/>
      <c r="AR449" s="15"/>
      <c r="AS449" s="13"/>
      <c r="AU449" s="45"/>
      <c r="AV449" s="15"/>
      <c r="AW449" s="13"/>
      <c r="AY449" s="45"/>
      <c r="AZ449" s="28"/>
      <c r="BA449" s="13"/>
      <c r="BB449" s="15"/>
      <c r="BC449" s="45"/>
      <c r="BD449" s="28"/>
      <c r="BE449" s="14"/>
      <c r="BF449" s="41">
        <f t="shared" ref="BF449:BG449" si="1328">K449+O449+S449+W449+AA449+AE449+AI449+AM449+AQ449+AU449+AY449+BC449</f>
        <v>248.5</v>
      </c>
      <c r="BG449" s="34">
        <f t="shared" si="1328"/>
        <v>0</v>
      </c>
      <c r="BH449" s="35">
        <f t="shared" ref="BH449:BH456" si="1329">H449+BF449-BG449</f>
        <v>248.02</v>
      </c>
      <c r="BK449" s="2" t="b">
        <f>H449='2021'!BH449</f>
        <v>1</v>
      </c>
    </row>
    <row r="450" ht="15.75" customHeight="1" spans="1:63" x14ac:dyDescent="0.25">
      <c r="A450" s="2">
        <v>50</v>
      </c>
      <c r="B450" s="14">
        <v>6.05</v>
      </c>
      <c r="C450" s="15" t="s">
        <v>200</v>
      </c>
      <c r="D450" s="14" t="s">
        <v>44</v>
      </c>
      <c r="E450" s="2" t="s">
        <v>45</v>
      </c>
      <c r="F450" s="41">
        <v>2.5</v>
      </c>
      <c r="G450" s="35">
        <v>2.6</v>
      </c>
      <c r="H450" s="34">
        <f>'2021'!BH450</f>
        <v>2441.8</v>
      </c>
      <c r="I450" s="13">
        <v>10471</v>
      </c>
      <c r="J450" s="15">
        <f>I450-'2021'!BA450</f>
        <v>563</v>
      </c>
      <c r="K450" s="34">
        <f>J450*$F$8</f>
        <v>1520.1</v>
      </c>
      <c r="L450" s="28"/>
      <c r="M450" s="13">
        <v>10937</v>
      </c>
      <c r="N450" s="15">
        <f t="shared" ref="N450:N451" si="1330">M450-I450</f>
        <v>466</v>
      </c>
      <c r="O450" s="34">
        <f>N450*$F$8</f>
        <v>1258.2</v>
      </c>
      <c r="P450" s="1"/>
      <c r="Q450" s="13">
        <v>11401</v>
      </c>
      <c r="R450" s="15">
        <f t="shared" ref="R450:R451" si="1331">Q450-M450</f>
        <v>464</v>
      </c>
      <c r="S450" s="34">
        <f>R450*$F$8</f>
        <v>1252.8</v>
      </c>
      <c r="T450" s="28">
        <v>3000</v>
      </c>
      <c r="U450" s="13">
        <v>11870</v>
      </c>
      <c r="V450" s="15">
        <f t="shared" ref="V450:V451" si="1332">U450-Q450</f>
        <v>469</v>
      </c>
      <c r="W450" s="34">
        <f>V450*$F$8</f>
        <v>1266.3</v>
      </c>
      <c r="X450" s="1">
        <v>3473</v>
      </c>
      <c r="Y450" s="13">
        <v>12263</v>
      </c>
      <c r="Z450" s="2">
        <f t="shared" ref="Z450:Z451" si="1333">Y450-U450</f>
        <v>393</v>
      </c>
      <c r="AA450" s="34">
        <f>Z450*$F$8</f>
        <v>1061.1</v>
      </c>
      <c r="AB450" s="35"/>
      <c r="AC450" s="348">
        <v>12733</v>
      </c>
      <c r="AD450" s="15">
        <f t="shared" ref="AD450:AD451" si="1334">AC450-Y450</f>
        <v>470</v>
      </c>
      <c r="AE450" s="180">
        <f>AD450*$F$8</f>
        <v>1269</v>
      </c>
      <c r="AF450" s="248"/>
      <c r="AG450" s="15">
        <v>13123</v>
      </c>
      <c r="AH450" s="2">
        <f>(AG450-AC450)*AH5</f>
        <v>411.84</v>
      </c>
      <c r="AI450" s="45">
        <f>AH450*$G$8</f>
        <v>1013.1264</v>
      </c>
      <c r="AJ450" s="248">
        <v>3000</v>
      </c>
      <c r="AK450" s="15">
        <v>13531</v>
      </c>
      <c r="AL450" s="15">
        <f>(AK450-AG450)*AL5</f>
        <v>419.424</v>
      </c>
      <c r="AM450" s="45">
        <f>AL450*$G$8</f>
        <v>1031.78304</v>
      </c>
      <c r="AN450" s="39">
        <v>1609.43</v>
      </c>
      <c r="AO450" s="13">
        <v>13965</v>
      </c>
      <c r="AP450" s="15">
        <f>(AO450-AK450)*AP5</f>
        <v>448.322</v>
      </c>
      <c r="AQ450" s="45">
        <f>AP450*$G$8</f>
        <v>1102.87212</v>
      </c>
      <c r="AR450" s="1">
        <v>1031.78</v>
      </c>
      <c r="AS450" s="13">
        <v>14504</v>
      </c>
      <c r="AT450" s="15">
        <f>(AS450-AO450)*AT5</f>
        <v>565.95</v>
      </c>
      <c r="AU450" s="45">
        <f>AT450*$G$8</f>
        <v>1392.237</v>
      </c>
      <c r="AV450" s="15">
        <v>1102.87</v>
      </c>
      <c r="AW450" s="13"/>
      <c r="AX450" s="15">
        <f>(AW450-AS450)*AX5</f>
        <v>0</v>
      </c>
      <c r="AY450" s="45">
        <f>AX450*$G$8</f>
        <v>0</v>
      </c>
      <c r="AZ450" s="246"/>
      <c r="BA450" s="13"/>
      <c r="BB450" s="15"/>
      <c r="BC450" s="45">
        <f>BB450*$G$8</f>
        <v>0</v>
      </c>
      <c r="BD450" s="208"/>
      <c r="BE450" s="40">
        <f t="shared" ref="BE450:BG450" si="1335">J450+N450+R450+V450+Z450+AD450+AH450+AL450+AP450+AT450+AX450+BB450</f>
        <v>4670.536</v>
      </c>
      <c r="BF450" s="41">
        <f t="shared" si="1335"/>
        <v>12167.51856</v>
      </c>
      <c r="BG450" s="34">
        <f t="shared" si="1335"/>
        <v>13217.08</v>
      </c>
      <c r="BH450" s="35">
        <f t="shared" si="1329"/>
        <v>1392.23856</v>
      </c>
      <c r="BK450" s="2" t="b">
        <f>H450='2021'!BH450</f>
        <v>1</v>
      </c>
    </row>
    <row r="451" ht="15.75" customHeight="1" spans="1:63" x14ac:dyDescent="0.25">
      <c r="A451" s="2">
        <v>50</v>
      </c>
      <c r="B451" s="14"/>
      <c r="C451" s="15" t="s">
        <v>201</v>
      </c>
      <c r="D451" s="14" t="s">
        <v>47</v>
      </c>
      <c r="E451" s="2" t="s">
        <v>48</v>
      </c>
      <c r="F451" s="13">
        <v>18.56</v>
      </c>
      <c r="G451" s="35">
        <v>19.46</v>
      </c>
      <c r="H451" s="34">
        <f>'2021'!BH451</f>
        <v>39.85</v>
      </c>
      <c r="I451" s="13">
        <v>274</v>
      </c>
      <c r="J451" s="15"/>
      <c r="K451" s="15"/>
      <c r="L451" s="28"/>
      <c r="M451" s="13">
        <v>274</v>
      </c>
      <c r="N451" s="15">
        <f t="shared" si="1330"/>
        <v>0</v>
      </c>
      <c r="Q451" s="13">
        <v>274</v>
      </c>
      <c r="R451" s="15">
        <f t="shared" si="1331"/>
        <v>0</v>
      </c>
      <c r="S451" s="15"/>
      <c r="T451" s="28"/>
      <c r="U451" s="13">
        <v>274</v>
      </c>
      <c r="V451" s="15">
        <f t="shared" si="1332"/>
        <v>0</v>
      </c>
      <c r="W451" s="180">
        <f>V451*$F$10</f>
        <v>0</v>
      </c>
      <c r="Y451" s="13">
        <v>274</v>
      </c>
      <c r="Z451" s="2">
        <f t="shared" si="1333"/>
        <v>0</v>
      </c>
      <c r="AA451" s="34">
        <f>Z451*$F$10</f>
        <v>0</v>
      </c>
      <c r="AB451" s="28"/>
      <c r="AC451" s="348">
        <v>276</v>
      </c>
      <c r="AD451" s="15">
        <f t="shared" si="1334"/>
        <v>2</v>
      </c>
      <c r="AE451" s="34">
        <f>AD451*$F$10</f>
        <v>40.7</v>
      </c>
      <c r="AF451" s="180"/>
      <c r="AG451" s="15">
        <v>280</v>
      </c>
      <c r="AH451" s="2">
        <f>AG451-AC451</f>
        <v>4</v>
      </c>
      <c r="AI451" s="45">
        <f>AH451*$G$10</f>
        <v>85.6</v>
      </c>
      <c r="AJ451" s="248">
        <v>80.55</v>
      </c>
      <c r="AK451" s="15">
        <v>287</v>
      </c>
      <c r="AL451" s="15">
        <f>AK451-AG451</f>
        <v>7</v>
      </c>
      <c r="AM451" s="45">
        <f>AL451*$G$10</f>
        <v>149.8</v>
      </c>
      <c r="AN451" s="39">
        <v>85.6</v>
      </c>
      <c r="AO451" s="13">
        <v>292</v>
      </c>
      <c r="AP451" s="15">
        <f>AO451-AK451</f>
        <v>5</v>
      </c>
      <c r="AQ451" s="45">
        <f>AP451*$G$10</f>
        <v>107</v>
      </c>
      <c r="AR451" s="1">
        <v>149.8</v>
      </c>
      <c r="AS451" s="13">
        <v>292</v>
      </c>
      <c r="AT451" s="15">
        <f>AS451-AO451</f>
        <v>0</v>
      </c>
      <c r="AU451" s="45">
        <f>AT451*$G$10</f>
        <v>0</v>
      </c>
      <c r="AV451" s="15">
        <v>107</v>
      </c>
      <c r="AW451" s="13"/>
      <c r="AX451" s="15">
        <f>AW451-AS451</f>
        <v>-292</v>
      </c>
      <c r="AY451" s="45"/>
      <c r="AZ451" s="246"/>
      <c r="BA451" s="13"/>
      <c r="BB451" s="15"/>
      <c r="BC451" s="45"/>
      <c r="BD451" s="208"/>
      <c r="BE451" s="40">
        <f t="shared" ref="BE451:BG451" si="1336">J451+N451+R451+V451+Z451+AD451+AH451+AL451+AP451+AT451+AX451+BB451</f>
        <v>-274</v>
      </c>
      <c r="BF451" s="41">
        <f t="shared" si="1336"/>
        <v>383.1</v>
      </c>
      <c r="BG451" s="34">
        <f t="shared" si="1336"/>
        <v>422.95</v>
      </c>
      <c r="BH451" s="35">
        <f t="shared" si="1329"/>
        <v>0</v>
      </c>
      <c r="BK451" s="2" t="b">
        <f>H451='2021'!BH451</f>
        <v>1</v>
      </c>
    </row>
    <row r="452" ht="15.75" customHeight="1" spans="1:63" x14ac:dyDescent="0.25">
      <c r="A452" s="2">
        <v>50</v>
      </c>
      <c r="B452" s="14"/>
      <c r="C452" s="15" t="s">
        <v>115</v>
      </c>
      <c r="D452" s="14" t="s">
        <v>47</v>
      </c>
      <c r="E452" s="2" t="s">
        <v>49</v>
      </c>
      <c r="F452" s="41">
        <v>500</v>
      </c>
      <c r="G452" s="28"/>
      <c r="H452" s="34">
        <f>'2021'!BH452</f>
        <v>0</v>
      </c>
      <c r="I452" s="13"/>
      <c r="J452" s="15"/>
      <c r="K452" s="15"/>
      <c r="L452" s="28"/>
      <c r="M452" s="13"/>
      <c r="N452" s="15"/>
      <c r="Q452" s="13"/>
      <c r="R452" s="15"/>
      <c r="S452" s="15"/>
      <c r="T452" s="28"/>
      <c r="U452" s="13"/>
      <c r="V452" s="15"/>
      <c r="Y452" s="13"/>
      <c r="Z452" s="2"/>
      <c r="AA452" s="15"/>
      <c r="AB452" s="28"/>
      <c r="AC452" s="348"/>
      <c r="AD452" s="15"/>
      <c r="AG452" s="15"/>
      <c r="AH452" s="2"/>
      <c r="AI452" s="45"/>
      <c r="AJ452" s="1"/>
      <c r="AK452" s="15"/>
      <c r="AL452" s="15"/>
      <c r="AM452" s="45"/>
      <c r="AN452" s="15"/>
      <c r="AO452" s="13"/>
      <c r="AP452" s="15"/>
      <c r="AQ452" s="45"/>
      <c r="AR452" s="1"/>
      <c r="AS452" s="13"/>
      <c r="AT452" s="15"/>
      <c r="AU452" s="45"/>
      <c r="AV452" s="15"/>
      <c r="AW452" s="13"/>
      <c r="AX452" s="15"/>
      <c r="AY452" s="45"/>
      <c r="AZ452" s="32"/>
      <c r="BA452" s="13"/>
      <c r="BB452" s="15"/>
      <c r="BC452" s="45"/>
      <c r="BD452" s="28"/>
      <c r="BE452" s="14"/>
      <c r="BF452" s="41">
        <f t="shared" ref="BF452:BG452" si="1337">K452+O452+S452+W452+AA452+AE452+AI452+AM452+AQ452+AU452+AY452+BC452</f>
        <v>0</v>
      </c>
      <c r="BG452" s="34">
        <f t="shared" si="1337"/>
        <v>0</v>
      </c>
      <c r="BH452" s="35">
        <f t="shared" si="1329"/>
        <v>0</v>
      </c>
      <c r="BK452" s="2" t="b">
        <f>H452='2021'!BH452</f>
        <v>1</v>
      </c>
    </row>
    <row r="453" ht="15.75" customHeight="1" spans="1:63" x14ac:dyDescent="0.25">
      <c r="A453" s="2">
        <v>50</v>
      </c>
      <c r="B453" s="14"/>
      <c r="C453" s="15" t="s">
        <v>202</v>
      </c>
      <c r="D453" s="14" t="s">
        <v>50</v>
      </c>
      <c r="E453" s="2" t="s">
        <v>49</v>
      </c>
      <c r="F453" s="41">
        <v>1100</v>
      </c>
      <c r="G453" s="28"/>
      <c r="H453" s="34">
        <f>'2021'!BH453</f>
        <v>0</v>
      </c>
      <c r="I453" s="13"/>
      <c r="J453" s="15"/>
      <c r="K453" s="15"/>
      <c r="L453" s="28"/>
      <c r="M453" s="13"/>
      <c r="N453" s="15"/>
      <c r="Q453" s="13"/>
      <c r="R453" s="15"/>
      <c r="S453" s="15"/>
      <c r="T453" s="28"/>
      <c r="U453" s="13"/>
      <c r="V453" s="15"/>
      <c r="Y453" s="13"/>
      <c r="Z453" s="2"/>
      <c r="AA453" s="15"/>
      <c r="AB453" s="28"/>
      <c r="AC453" s="348"/>
      <c r="AD453" s="15"/>
      <c r="AE453" s="34">
        <f>B450*$F$12</f>
        <v>7865</v>
      </c>
      <c r="AF453" s="180"/>
      <c r="AG453" s="15"/>
      <c r="AH453" s="2"/>
      <c r="AI453" s="45"/>
      <c r="AJ453" s="248"/>
      <c r="AK453" s="15"/>
      <c r="AL453" s="15"/>
      <c r="AM453" s="45"/>
      <c r="AN453" s="39">
        <v>1000</v>
      </c>
      <c r="AO453" s="13"/>
      <c r="AP453" s="15"/>
      <c r="AQ453" s="45"/>
      <c r="AR453" s="1">
        <v>1865</v>
      </c>
      <c r="AS453" s="13"/>
      <c r="AT453" s="15"/>
      <c r="AU453" s="45"/>
      <c r="AV453" s="15">
        <v>2500</v>
      </c>
      <c r="AW453" s="13"/>
      <c r="AX453" s="15"/>
      <c r="AY453" s="45"/>
      <c r="AZ453" s="32"/>
      <c r="BA453" s="13"/>
      <c r="BB453" s="15"/>
      <c r="BC453" s="45"/>
      <c r="BD453" s="28"/>
      <c r="BE453" s="14"/>
      <c r="BF453" s="41">
        <f t="shared" ref="BF453:BG453" si="1338">K453+O453+S453+W453+AA453+AE453+AI453+AM453+AQ453+AU453+AY453+BC453</f>
        <v>7865</v>
      </c>
      <c r="BG453" s="34">
        <f t="shared" si="1338"/>
        <v>5365</v>
      </c>
      <c r="BH453" s="35">
        <f t="shared" si="1329"/>
        <v>2500</v>
      </c>
      <c r="BK453" s="2" t="b">
        <f>H453='2021'!BH453</f>
        <v>1</v>
      </c>
    </row>
    <row r="454" ht="15.75" customHeight="1" spans="1:63" x14ac:dyDescent="0.25">
      <c r="A454" s="2">
        <v>50</v>
      </c>
      <c r="B454" s="14"/>
      <c r="C454" s="15" t="s">
        <v>203</v>
      </c>
      <c r="D454" s="14" t="s">
        <v>51</v>
      </c>
      <c r="E454" s="2" t="s">
        <v>39</v>
      </c>
      <c r="F454" s="41">
        <v>500</v>
      </c>
      <c r="G454" s="28"/>
      <c r="H454" s="34">
        <f>'2021'!BH454</f>
        <v>0</v>
      </c>
      <c r="I454" s="13"/>
      <c r="J454" s="15"/>
      <c r="K454" s="15"/>
      <c r="L454" s="28"/>
      <c r="M454" s="13"/>
      <c r="N454" s="15"/>
      <c r="P454" s="1"/>
      <c r="Q454" s="13"/>
      <c r="R454" s="15"/>
      <c r="S454" s="15"/>
      <c r="T454" s="28"/>
      <c r="U454" s="13"/>
      <c r="V454" s="15"/>
      <c r="Y454" s="13"/>
      <c r="Z454" s="2"/>
      <c r="AA454" s="15"/>
      <c r="AB454" s="28"/>
      <c r="AC454" s="348"/>
      <c r="AD454" s="15"/>
      <c r="AE454" s="180">
        <f>$F$13</f>
        <v>1000</v>
      </c>
      <c r="AG454" s="15"/>
      <c r="AH454" s="2"/>
      <c r="AI454" s="45"/>
      <c r="AJ454" s="1">
        <v>1000</v>
      </c>
      <c r="AK454" s="15"/>
      <c r="AL454" s="15"/>
      <c r="AM454" s="45"/>
      <c r="AN454" s="15"/>
      <c r="AO454" s="13"/>
      <c r="AP454" s="15"/>
      <c r="AQ454" s="180"/>
      <c r="AR454" s="15"/>
      <c r="AS454" s="13"/>
      <c r="AT454" s="15"/>
      <c r="AU454" s="45"/>
      <c r="AV454" s="15"/>
      <c r="AW454" s="13"/>
      <c r="AX454" s="15"/>
      <c r="AY454" s="45"/>
      <c r="AZ454" s="32"/>
      <c r="BA454" s="13"/>
      <c r="BB454" s="15"/>
      <c r="BC454" s="45"/>
      <c r="BD454" s="28"/>
      <c r="BE454" s="14"/>
      <c r="BF454" s="41">
        <f t="shared" ref="BF454:BG454" si="1339">K454+O454+S454+W454+AA454+AE454+AI454+AM454+AQ454+AU454+AY454+BC454</f>
        <v>1000</v>
      </c>
      <c r="BG454" s="34">
        <f t="shared" si="1339"/>
        <v>1000</v>
      </c>
      <c r="BH454" s="35">
        <f t="shared" si="1329"/>
        <v>0</v>
      </c>
      <c r="BK454" s="2" t="b">
        <f>H454='2021'!BH454</f>
        <v>1</v>
      </c>
    </row>
    <row r="455" ht="15.75" customHeight="1" spans="1:63" x14ac:dyDescent="0.25">
      <c r="A455" s="2">
        <v>50</v>
      </c>
      <c r="B455" s="14"/>
      <c r="C455" s="15"/>
      <c r="D455" s="14" t="s">
        <v>51</v>
      </c>
      <c r="E455" s="2" t="s">
        <v>49</v>
      </c>
      <c r="F455" s="41">
        <v>500</v>
      </c>
      <c r="G455" s="28"/>
      <c r="H455" s="34">
        <f>'2021'!BH455</f>
        <v>0</v>
      </c>
      <c r="I455" s="13"/>
      <c r="J455" s="15"/>
      <c r="K455" s="15"/>
      <c r="L455" s="28"/>
      <c r="M455" s="13"/>
      <c r="N455" s="15"/>
      <c r="P455" s="1"/>
      <c r="Q455" s="13"/>
      <c r="R455" s="15"/>
      <c r="S455" s="15"/>
      <c r="T455" s="28"/>
      <c r="U455" s="13"/>
      <c r="V455" s="15"/>
      <c r="Y455" s="13"/>
      <c r="Z455" s="2"/>
      <c r="AA455" s="15"/>
      <c r="AB455" s="32"/>
      <c r="AC455" s="348"/>
      <c r="AD455" s="15"/>
      <c r="AE455" s="34"/>
      <c r="AG455" s="15"/>
      <c r="AH455" s="2"/>
      <c r="AI455" s="45"/>
      <c r="AJ455" s="15"/>
      <c r="AK455" s="15"/>
      <c r="AL455" s="15"/>
      <c r="AM455" s="45"/>
      <c r="AN455" s="15"/>
      <c r="AO455" s="13"/>
      <c r="AP455" s="15"/>
      <c r="AQ455" s="180">
        <f>B450*$F$14</f>
        <v>0</v>
      </c>
      <c r="AR455" s="15"/>
      <c r="AS455" s="13"/>
      <c r="AT455" s="15"/>
      <c r="AU455" s="45"/>
      <c r="AV455" s="15"/>
      <c r="AW455" s="13"/>
      <c r="AX455" s="15"/>
      <c r="AY455" s="45"/>
      <c r="AZ455" s="32"/>
      <c r="BA455" s="13"/>
      <c r="BB455" s="15"/>
      <c r="BC455" s="45"/>
      <c r="BD455" s="28"/>
      <c r="BE455" s="14"/>
      <c r="BF455" s="41">
        <f t="shared" ref="BF455:BG455" si="1340">K455+O455+S455+W455+AA455+AE455+AI455+AM455+AQ455+AU455+AY455+BC455</f>
        <v>0</v>
      </c>
      <c r="BG455" s="34">
        <f t="shared" si="1340"/>
        <v>0</v>
      </c>
      <c r="BH455" s="35">
        <f t="shared" si="1329"/>
        <v>0</v>
      </c>
      <c r="BK455" s="2" t="b">
        <f>H455='2021'!BH455</f>
        <v>1</v>
      </c>
    </row>
    <row r="456" ht="15.75" customHeight="1" spans="1:63" x14ac:dyDescent="0.25">
      <c r="A456" s="2">
        <v>50</v>
      </c>
      <c r="B456" s="14"/>
      <c r="D456" s="14" t="s">
        <v>52</v>
      </c>
      <c r="E456" s="2" t="s">
        <v>39</v>
      </c>
      <c r="F456" s="41">
        <v>500</v>
      </c>
      <c r="G456" s="28"/>
      <c r="H456" s="34">
        <f>'2021'!BH456</f>
        <v>0</v>
      </c>
      <c r="I456" s="13"/>
      <c r="J456" s="15"/>
      <c r="K456" s="15"/>
      <c r="L456" s="28"/>
      <c r="M456" s="13"/>
      <c r="N456" s="15"/>
      <c r="Q456" s="13"/>
      <c r="R456" s="15"/>
      <c r="S456" s="15"/>
      <c r="T456" s="28"/>
      <c r="U456" s="13"/>
      <c r="V456" s="15"/>
      <c r="Y456" s="13"/>
      <c r="Z456" s="2"/>
      <c r="AA456" s="34">
        <f>$F$15</f>
      </c>
      <c r="AB456" s="35"/>
      <c r="AC456" s="348"/>
      <c r="AD456" s="15"/>
      <c r="AG456" s="15"/>
      <c r="AH456" s="2"/>
      <c r="AI456" s="45"/>
      <c r="AJ456" s="15"/>
      <c r="AK456" s="15"/>
      <c r="AL456" s="15"/>
      <c r="AM456" s="45"/>
      <c r="AN456" s="15"/>
      <c r="AO456" s="13"/>
      <c r="AP456" s="15"/>
      <c r="AQ456" s="45"/>
      <c r="AR456" s="15"/>
      <c r="AS456" s="13"/>
      <c r="AT456" s="15"/>
      <c r="AU456" s="45"/>
      <c r="AV456" s="15"/>
      <c r="AW456" s="13"/>
      <c r="AX456" s="15"/>
      <c r="AY456" s="45"/>
      <c r="AZ456" s="35"/>
      <c r="BA456" s="13"/>
      <c r="BB456" s="15"/>
      <c r="BC456" s="45"/>
      <c r="BD456" s="35"/>
      <c r="BE456" s="14"/>
      <c r="BF456" s="41">
        <f t="shared" ref="BF456:BG456" si="1341">K456+O456+S456+W456+AA456+AE456+AI456+AM456+AQ456+AU456+AY456+BC456</f>
        <v>0</v>
      </c>
      <c r="BG456" s="34">
        <f t="shared" si="1341"/>
        <v>0</v>
      </c>
      <c r="BH456" s="35">
        <f t="shared" si="1329"/>
        <v>0</v>
      </c>
      <c r="BK456" s="2" t="b">
        <f>H456='2021'!BH456</f>
        <v>1</v>
      </c>
    </row>
    <row r="457" ht="15.75" customHeight="1" spans="1:63" x14ac:dyDescent="0.25">
      <c r="A457" s="247">
        <v>50</v>
      </c>
      <c r="B457" s="21"/>
      <c r="C457" s="22" t="s">
        <v>53</v>
      </c>
      <c r="D457" s="21"/>
      <c r="E457" s="22"/>
      <c r="F457" s="20"/>
      <c r="G457" s="23"/>
      <c r="H457" s="51">
        <f>SUM(H449:H456)</f>
        <v>2481.17</v>
      </c>
      <c r="I457" s="52"/>
      <c r="J457" s="53"/>
      <c r="K457" s="51">
        <f t="shared" ref="K457:L457" si="1342">SUM(K449:K456)</f>
        <v>1520.1</v>
      </c>
      <c r="L457" s="68">
        <f t="shared" si="1342"/>
        <v>0</v>
      </c>
      <c r="M457" s="52"/>
      <c r="N457" s="53"/>
      <c r="O457" s="51">
        <f t="shared" ref="O457:P457" si="1343">SUM(O449:O456)</f>
        <v>1258.2</v>
      </c>
      <c r="P457" s="51">
        <f t="shared" si="1343"/>
        <v>0</v>
      </c>
      <c r="Q457" s="52"/>
      <c r="R457" s="53"/>
      <c r="S457" s="51">
        <f t="shared" ref="S457:T457" si="1344">SUM(S449:S456)</f>
        <v>1252.8</v>
      </c>
      <c r="T457" s="51">
        <f t="shared" si="1344"/>
        <v>3000</v>
      </c>
      <c r="U457" s="52"/>
      <c r="V457" s="53"/>
      <c r="W457" s="51">
        <f t="shared" ref="W457:X457" si="1345">SUM(W449:W456)</f>
        <v>1266.3</v>
      </c>
      <c r="X457" s="51">
        <f t="shared" si="1345"/>
        <v>3473</v>
      </c>
      <c r="Y457" s="52"/>
      <c r="Z457" s="301"/>
      <c r="AA457" s="51">
        <f t="shared" ref="AA457:AB457" si="1346">SUM(AA449:AA456)</f>
        <v>1309.6</v>
      </c>
      <c r="AB457" s="51">
        <f t="shared" si="1346"/>
        <v>0</v>
      </c>
      <c r="AC457" s="367"/>
      <c r="AD457" s="53"/>
      <c r="AE457" s="51">
        <f t="shared" ref="AE457:AF457" si="1347">SUM(AE449:AE456)</f>
        <v>10174.7</v>
      </c>
      <c r="AF457" s="51">
        <f t="shared" si="1347"/>
        <v>0</v>
      </c>
      <c r="AG457" s="52"/>
      <c r="AH457" s="301"/>
      <c r="AI457" s="183">
        <f t="shared" ref="AI457:AJ457" si="1348">SUM(AI449:AI456)</f>
        <v>1098.7264</v>
      </c>
      <c r="AJ457" s="51">
        <f t="shared" si="1348"/>
        <v>4080.55</v>
      </c>
      <c r="AK457" s="52"/>
      <c r="AL457" s="53"/>
      <c r="AM457" s="183">
        <f t="shared" ref="AM457:AN457" si="1349">SUM(AM449:AM456)</f>
        <v>1181.58304</v>
      </c>
      <c r="AN457" s="51">
        <f t="shared" si="1349"/>
        <v>2695.03</v>
      </c>
      <c r="AO457" s="52"/>
      <c r="AP457" s="53"/>
      <c r="AQ457" s="183">
        <f t="shared" ref="AQ457:AR457" si="1350">SUM(AQ449:AQ456)</f>
        <v>1209.87212</v>
      </c>
      <c r="AR457" s="51">
        <f t="shared" si="1350"/>
        <v>3046.58</v>
      </c>
      <c r="AS457" s="52"/>
      <c r="AT457" s="53"/>
      <c r="AU457" s="183">
        <f t="shared" ref="AU457:AV457" si="1351">SUM(AU449:AU456)</f>
        <v>1392.237</v>
      </c>
      <c r="AV457" s="68">
        <f t="shared" si="1351"/>
        <v>3709.87</v>
      </c>
      <c r="AW457" s="52"/>
      <c r="AX457" s="53"/>
      <c r="AY457" s="183">
        <f t="shared" ref="AY457:AZ457" si="1352">SUM(AY449:AY456)</f>
        <v>0</v>
      </c>
      <c r="AZ457" s="68">
        <f t="shared" si="1352"/>
        <v>0</v>
      </c>
      <c r="BA457" s="52"/>
      <c r="BB457" s="53"/>
      <c r="BC457" s="183">
        <f t="shared" ref="BC457:BD457" si="1353">SUM(BC449:BC456)</f>
        <v>0</v>
      </c>
      <c r="BD457" s="68">
        <f t="shared" si="1353"/>
        <v>0</v>
      </c>
      <c r="BE457" s="69"/>
      <c r="BF457" s="70">
        <f t="shared" ref="BF457:BH457" si="1354">SUM(BF449:BF456)</f>
        <v>21664.11856</v>
      </c>
      <c r="BG457" s="71">
        <f t="shared" si="1354"/>
        <v>20005.03</v>
      </c>
      <c r="BH457" s="72">
        <f t="shared" si="1354"/>
        <v>4140.25856</v>
      </c>
      <c r="BI457" s="34">
        <f>H457+BF457-BG457</f>
        <v>4140.25856</v>
      </c>
      <c r="BJ457" s="34">
        <f>BH457-BI457</f>
        <v>0</v>
      </c>
      <c r="BK457" s="2" t="b">
        <f>H457='2021'!BH457</f>
        <v>1</v>
      </c>
    </row>
    <row r="458" ht="15.75" customHeight="1" spans="1:63" x14ac:dyDescent="0.25">
      <c r="A458" s="2">
        <v>51</v>
      </c>
      <c r="B458" s="14"/>
      <c r="D458" s="14" t="s">
        <v>552</v>
      </c>
      <c r="F458" s="13"/>
      <c r="G458" s="28"/>
      <c r="H458" s="34">
        <f>'2021'!BH458</f>
        <v>-15.33</v>
      </c>
      <c r="I458" s="13"/>
      <c r="J458" s="15"/>
      <c r="K458" s="15"/>
      <c r="L458" s="28"/>
      <c r="M458" s="13"/>
      <c r="N458" s="15"/>
      <c r="Q458" s="13"/>
      <c r="R458" s="15"/>
      <c r="S458" s="15"/>
      <c r="T458" s="28"/>
      <c r="U458" s="13"/>
      <c r="V458" s="15"/>
      <c r="Y458" s="13"/>
      <c r="Z458" s="2"/>
      <c r="AA458" s="154">
        <v>248.5</v>
      </c>
      <c r="AB458" s="28"/>
      <c r="AC458" s="348"/>
      <c r="AD458" s="15"/>
      <c r="AG458" s="15"/>
      <c r="AH458" s="2"/>
      <c r="AI458" s="45"/>
      <c r="AJ458" s="15"/>
      <c r="AK458" s="15"/>
      <c r="AM458" s="45"/>
      <c r="AO458" s="13"/>
      <c r="AQ458" s="45"/>
      <c r="AR458" s="317">
        <v>233.17</v>
      </c>
      <c r="AS458" s="13"/>
      <c r="AU458" s="45"/>
      <c r="AW458" s="13"/>
      <c r="AY458" s="45"/>
      <c r="AZ458" s="35"/>
      <c r="BA458" s="13"/>
      <c r="BB458" s="15"/>
      <c r="BC458" s="45"/>
      <c r="BD458" s="28"/>
      <c r="BE458" s="14"/>
      <c r="BF458" s="41">
        <f t="shared" ref="BF458:BG458" si="1355">K458+O458+S458+W458+AA458+AE458+AI458+AM458+AQ458+AU458+AY458+BC458</f>
        <v>248.5</v>
      </c>
      <c r="BG458" s="34">
        <f t="shared" si="1355"/>
        <v>233.17</v>
      </c>
      <c r="BH458" s="35">
        <f t="shared" ref="BH458:BH465" si="1356">H458+BF458-BG458</f>
        <v>0</v>
      </c>
      <c r="BK458" s="2" t="b">
        <f>H458='2021'!BH458</f>
        <v>1</v>
      </c>
    </row>
    <row r="459" ht="15.75" customHeight="1" spans="1:63" x14ac:dyDescent="0.25">
      <c r="A459" s="2">
        <v>51</v>
      </c>
      <c r="B459" s="14">
        <v>4.95</v>
      </c>
      <c r="C459" s="15" t="s">
        <v>204</v>
      </c>
      <c r="D459" s="14" t="s">
        <v>44</v>
      </c>
      <c r="E459" s="2" t="s">
        <v>45</v>
      </c>
      <c r="F459" s="41">
        <v>2.5</v>
      </c>
      <c r="G459" s="35">
        <v>2.6</v>
      </c>
      <c r="H459" s="34">
        <f>'2021'!BH459</f>
        <v>-1414</v>
      </c>
      <c r="I459" s="13">
        <v>1968</v>
      </c>
      <c r="J459" s="15">
        <f>I459-'2021'!BA459</f>
        <v>0</v>
      </c>
      <c r="K459" s="34">
        <f>J459*$F$8</f>
        <v>0</v>
      </c>
      <c r="L459" s="28"/>
      <c r="M459" s="13">
        <v>1968</v>
      </c>
      <c r="N459" s="15">
        <f t="shared" ref="N459:N460" si="1357">M459-I459</f>
        <v>0</v>
      </c>
      <c r="O459" s="34">
        <f>N459*$F$8</f>
        <v>0</v>
      </c>
      <c r="Q459" s="13">
        <v>1968</v>
      </c>
      <c r="R459" s="15">
        <f t="shared" ref="R459:R460" si="1358">Q459-M459</f>
        <v>0</v>
      </c>
      <c r="S459" s="34">
        <f>R459*$F$8</f>
        <v>0</v>
      </c>
      <c r="T459" s="28"/>
      <c r="U459" s="13">
        <v>2053</v>
      </c>
      <c r="V459" s="15">
        <f t="shared" ref="V459:V460" si="1359">U459-Q459</f>
        <v>85</v>
      </c>
      <c r="W459" s="34">
        <f>V459*$F$8</f>
        <v>229.5</v>
      </c>
      <c r="Y459" s="13">
        <v>2217</v>
      </c>
      <c r="Z459" s="2">
        <f t="shared" ref="Z459:Z460" si="1360">Y459-U459</f>
        <v>164</v>
      </c>
      <c r="AA459" s="34">
        <f>Z459*$F$8</f>
        <v>442.8</v>
      </c>
      <c r="AB459" s="28"/>
      <c r="AC459" s="348">
        <v>2864</v>
      </c>
      <c r="AD459" s="15">
        <f t="shared" ref="AD459:AD460" si="1361">AC459-Y459</f>
        <v>647</v>
      </c>
      <c r="AE459" s="180">
        <f>AD459*$F$8</f>
        <v>1746.9</v>
      </c>
      <c r="AF459" s="1"/>
      <c r="AG459" s="15">
        <v>3120</v>
      </c>
      <c r="AH459" s="2">
        <f>(AG459-AC459)*AH5</f>
        <v>270.336</v>
      </c>
      <c r="AI459" s="45">
        <f>AH459*$G$8</f>
        <v>665.02656</v>
      </c>
      <c r="AJ459" s="15"/>
      <c r="AK459" s="15">
        <v>3690</v>
      </c>
      <c r="AL459" s="15">
        <f>(AK459-AG459)*AL5</f>
        <v>585.96</v>
      </c>
      <c r="AM459" s="45">
        <f>AL459*$G$8</f>
        <v>1441.4616</v>
      </c>
      <c r="AN459" s="34"/>
      <c r="AO459" s="13">
        <v>4145</v>
      </c>
      <c r="AP459" s="15">
        <f>(AO459-AK459)*AP5</f>
        <v>470.015</v>
      </c>
      <c r="AQ459" s="45">
        <f>AP459*$G$8</f>
        <v>1156.2369</v>
      </c>
      <c r="AR459" s="1">
        <v>3111.69</v>
      </c>
      <c r="AS459" s="13">
        <v>4215</v>
      </c>
      <c r="AT459" s="15">
        <f>(AS459-AO459)*AT5</f>
        <v>73.5</v>
      </c>
      <c r="AU459" s="45">
        <f>AT459*$G$8</f>
        <v>180.81</v>
      </c>
      <c r="AV459" s="15"/>
      <c r="AW459" s="13"/>
      <c r="AX459" s="15">
        <f>(AW459-AS459)*AX5</f>
        <v>0</v>
      </c>
      <c r="AY459" s="45">
        <f>AX459*$G$8</f>
        <v>0</v>
      </c>
      <c r="AZ459" s="246"/>
      <c r="BA459" s="13"/>
      <c r="BB459" s="15"/>
      <c r="BC459" s="45">
        <f>BB459*$G$8</f>
        <v>0</v>
      </c>
      <c r="BD459" s="208"/>
      <c r="BE459" s="40">
        <f t="shared" ref="BE459:BG459" si="1362">J459+N459+R459+V459+Z459+AD459+AH459+AL459+AP459+AT459+AX459+BB459</f>
        <v>2295.811</v>
      </c>
      <c r="BF459" s="41">
        <f t="shared" si="1362"/>
        <v>5862.73506</v>
      </c>
      <c r="BG459" s="34">
        <f t="shared" si="1362"/>
        <v>3111.69</v>
      </c>
      <c r="BH459" s="35">
        <f t="shared" si="1356"/>
        <v>1337.04506</v>
      </c>
      <c r="BK459" s="2" t="b">
        <f>H459='2021'!BH459</f>
        <v>1</v>
      </c>
    </row>
    <row r="460" ht="15.75" customHeight="1" spans="1:63" x14ac:dyDescent="0.25">
      <c r="A460" s="2">
        <v>51</v>
      </c>
      <c r="B460" s="14"/>
      <c r="C460" s="15" t="s">
        <v>121</v>
      </c>
      <c r="D460" s="14" t="s">
        <v>47</v>
      </c>
      <c r="E460" s="2" t="s">
        <v>48</v>
      </c>
      <c r="F460" s="13">
        <v>18.56</v>
      </c>
      <c r="G460" s="35">
        <v>19.46</v>
      </c>
      <c r="H460" s="34">
        <f>'2021'!BH460</f>
        <v>-209.47</v>
      </c>
      <c r="I460" s="13">
        <v>67</v>
      </c>
      <c r="J460" s="15"/>
      <c r="K460" s="15"/>
      <c r="L460" s="28"/>
      <c r="M460" s="13">
        <v>67</v>
      </c>
      <c r="N460" s="15">
        <f t="shared" si="1357"/>
        <v>0</v>
      </c>
      <c r="Q460" s="13">
        <v>67</v>
      </c>
      <c r="R460" s="15">
        <f t="shared" si="1358"/>
        <v>0</v>
      </c>
      <c r="S460" s="15"/>
      <c r="T460" s="28"/>
      <c r="U460" s="13">
        <v>67</v>
      </c>
      <c r="V460" s="15">
        <f t="shared" si="1359"/>
        <v>0</v>
      </c>
      <c r="W460" s="34">
        <f>V460*$F$10</f>
        <v>0</v>
      </c>
      <c r="Y460" s="13">
        <v>67</v>
      </c>
      <c r="Z460" s="2">
        <f t="shared" si="1360"/>
        <v>0</v>
      </c>
      <c r="AA460" s="34">
        <f>Z460*$F$10</f>
        <v>0</v>
      </c>
      <c r="AB460" s="28"/>
      <c r="AC460" s="348">
        <v>77</v>
      </c>
      <c r="AD460" s="15">
        <f t="shared" si="1361"/>
        <v>10</v>
      </c>
      <c r="AE460" s="34">
        <f>AD460*$F$10</f>
        <v>203.5</v>
      </c>
      <c r="AF460" s="1"/>
      <c r="AG460" s="15">
        <v>79</v>
      </c>
      <c r="AH460" s="2">
        <f>AG460-AC460</f>
        <v>2</v>
      </c>
      <c r="AI460" s="45">
        <f>AH460*$G$10</f>
        <v>42.8</v>
      </c>
      <c r="AJ460" s="15"/>
      <c r="AK460" s="15">
        <v>84</v>
      </c>
      <c r="AL460" s="15">
        <f>AK460-AG460</f>
        <v>5</v>
      </c>
      <c r="AM460" s="45">
        <f>AL460*$G$10</f>
        <v>107</v>
      </c>
      <c r="AN460" s="34"/>
      <c r="AO460" s="13">
        <v>84</v>
      </c>
      <c r="AP460" s="15">
        <f>AO460-AK460</f>
        <v>0</v>
      </c>
      <c r="AQ460" s="45">
        <f>AP460*$G$10</f>
        <v>0</v>
      </c>
      <c r="AR460" s="1">
        <v>143.83</v>
      </c>
      <c r="AS460" s="13">
        <v>84</v>
      </c>
      <c r="AT460" s="15">
        <f>AS460-AO460</f>
        <v>0</v>
      </c>
      <c r="AU460" s="45">
        <f>AT460*$G$10</f>
        <v>0</v>
      </c>
      <c r="AV460" s="15"/>
      <c r="AW460" s="13"/>
      <c r="AX460" s="15">
        <f>AW460-AS460</f>
        <v>-84</v>
      </c>
      <c r="AY460" s="45"/>
      <c r="AZ460" s="249"/>
      <c r="BA460" s="13"/>
      <c r="BB460" s="15"/>
      <c r="BC460" s="45"/>
      <c r="BD460" s="208"/>
      <c r="BE460" s="40">
        <f t="shared" ref="BE460:BG460" si="1363">J460+N460+R460+V460+Z460+AD460+AH460+AL460+AP460+AT460+AX460+BB460</f>
        <v>-67</v>
      </c>
      <c r="BF460" s="41">
        <f t="shared" si="1363"/>
        <v>353.3</v>
      </c>
      <c r="BG460" s="34">
        <f t="shared" si="1363"/>
        <v>143.83</v>
      </c>
      <c r="BH460" s="35">
        <f t="shared" si="1356"/>
        <v>0</v>
      </c>
      <c r="BK460" s="2" t="b">
        <f>H460='2021'!BH460</f>
        <v>1</v>
      </c>
    </row>
    <row r="461" ht="15.75" customHeight="1" spans="1:63" x14ac:dyDescent="0.25">
      <c r="A461" s="2">
        <v>51</v>
      </c>
      <c r="B461" s="14"/>
      <c r="C461" s="15" t="s">
        <v>58</v>
      </c>
      <c r="D461" s="14" t="s">
        <v>47</v>
      </c>
      <c r="E461" s="2" t="s">
        <v>49</v>
      </c>
      <c r="F461" s="41">
        <v>500</v>
      </c>
      <c r="G461" s="28"/>
      <c r="H461" s="34">
        <f>'2021'!BH461</f>
        <v>0</v>
      </c>
      <c r="I461" s="13"/>
      <c r="J461" s="15"/>
      <c r="K461" s="15"/>
      <c r="L461" s="28"/>
      <c r="M461" s="13"/>
      <c r="N461" s="15"/>
      <c r="Q461" s="13"/>
      <c r="R461" s="15"/>
      <c r="S461" s="15"/>
      <c r="T461" s="28"/>
      <c r="U461" s="13"/>
      <c r="V461" s="15"/>
      <c r="Y461" s="13"/>
      <c r="Z461" s="2"/>
      <c r="AA461" s="15"/>
      <c r="AB461" s="28"/>
      <c r="AC461" s="348"/>
      <c r="AD461" s="15"/>
      <c r="AG461" s="15"/>
      <c r="AH461" s="2"/>
      <c r="AI461" s="45"/>
      <c r="AJ461" s="15"/>
      <c r="AK461" s="15"/>
      <c r="AL461" s="15"/>
      <c r="AM461" s="45"/>
      <c r="AN461" s="15"/>
      <c r="AO461" s="13"/>
      <c r="AP461" s="15"/>
      <c r="AQ461" s="45"/>
      <c r="AR461" s="1"/>
      <c r="AS461" s="13"/>
      <c r="AT461" s="15"/>
      <c r="AU461" s="45"/>
      <c r="AV461" s="15"/>
      <c r="AW461" s="13"/>
      <c r="AX461" s="15"/>
      <c r="AY461" s="45"/>
      <c r="AZ461" s="32"/>
      <c r="BA461" s="13"/>
      <c r="BB461" s="15"/>
      <c r="BC461" s="45"/>
      <c r="BD461" s="28"/>
      <c r="BE461" s="14"/>
      <c r="BF461" s="41">
        <f t="shared" ref="BF461:BG461" si="1364">K461+O461+S461+W461+AA461+AE461+AI461+AM461+AQ461+AU461+AY461+BC461</f>
        <v>0</v>
      </c>
      <c r="BG461" s="34">
        <f t="shared" si="1364"/>
        <v>0</v>
      </c>
      <c r="BH461" s="35">
        <f t="shared" si="1356"/>
        <v>0</v>
      </c>
      <c r="BK461" s="2" t="b">
        <f>H461='2021'!BH461</f>
        <v>1</v>
      </c>
    </row>
    <row r="462" ht="15.75" customHeight="1" spans="1:63" x14ac:dyDescent="0.25">
      <c r="A462" s="2">
        <v>51</v>
      </c>
      <c r="B462" s="14"/>
      <c r="C462" s="73" t="s">
        <v>419</v>
      </c>
      <c r="D462" s="14" t="s">
        <v>50</v>
      </c>
      <c r="E462" s="2" t="s">
        <v>49</v>
      </c>
      <c r="F462" s="41">
        <v>1100</v>
      </c>
      <c r="G462" s="28"/>
      <c r="H462" s="34">
        <f>'2021'!BH462</f>
        <v>0</v>
      </c>
      <c r="I462" s="13"/>
      <c r="J462" s="15"/>
      <c r="K462" s="15"/>
      <c r="L462" s="28"/>
      <c r="M462" s="13"/>
      <c r="N462" s="15"/>
      <c r="Q462" s="13"/>
      <c r="R462" s="15"/>
      <c r="S462" s="15"/>
      <c r="T462" s="28"/>
      <c r="U462" s="13"/>
      <c r="V462" s="15"/>
      <c r="Y462" s="13"/>
      <c r="Z462" s="2"/>
      <c r="AA462" s="15"/>
      <c r="AB462" s="28"/>
      <c r="AC462" s="348"/>
      <c r="AD462" s="15"/>
      <c r="AE462" s="34">
        <f>B459*$F$12</f>
        <v>6435</v>
      </c>
      <c r="AF462" s="34"/>
      <c r="AG462" s="15"/>
      <c r="AH462" s="2"/>
      <c r="AI462" s="45"/>
      <c r="AJ462" s="15"/>
      <c r="AK462" s="15"/>
      <c r="AL462" s="15"/>
      <c r="AM462" s="45"/>
      <c r="AN462" s="34"/>
      <c r="AO462" s="13"/>
      <c r="AP462" s="15"/>
      <c r="AQ462" s="45"/>
      <c r="AR462" s="1">
        <v>6435</v>
      </c>
      <c r="AS462" s="13"/>
      <c r="AT462" s="15"/>
      <c r="AU462" s="45"/>
      <c r="AV462" s="15"/>
      <c r="AW462" s="13"/>
      <c r="AX462" s="15"/>
      <c r="AY462" s="45"/>
      <c r="AZ462" s="32"/>
      <c r="BA462" s="13"/>
      <c r="BB462" s="15"/>
      <c r="BC462" s="45"/>
      <c r="BD462" s="28"/>
      <c r="BE462" s="14"/>
      <c r="BF462" s="41">
        <f t="shared" ref="BF462:BG462" si="1365">K462+O462+S462+W462+AA462+AE462+AI462+AM462+AQ462+AU462+AY462+BC462</f>
        <v>6435</v>
      </c>
      <c r="BG462" s="34">
        <f t="shared" si="1365"/>
        <v>6435</v>
      </c>
      <c r="BH462" s="35">
        <f t="shared" si="1356"/>
        <v>0</v>
      </c>
      <c r="BK462" s="2" t="b">
        <f>H462='2021'!BH462</f>
        <v>1</v>
      </c>
    </row>
    <row r="463" ht="15.75" customHeight="1" spans="1:63" x14ac:dyDescent="0.25">
      <c r="A463" s="2">
        <v>51</v>
      </c>
      <c r="B463" s="14"/>
      <c r="C463" s="73" t="s">
        <v>205</v>
      </c>
      <c r="D463" s="14" t="s">
        <v>51</v>
      </c>
      <c r="E463" s="2" t="s">
        <v>39</v>
      </c>
      <c r="F463" s="41">
        <v>500</v>
      </c>
      <c r="G463" s="28"/>
      <c r="H463" s="34">
        <f>'2021'!BH463</f>
        <v>0</v>
      </c>
      <c r="I463" s="13"/>
      <c r="J463" s="15"/>
      <c r="K463" s="15"/>
      <c r="L463" s="28"/>
      <c r="M463" s="13"/>
      <c r="N463" s="15"/>
      <c r="Q463" s="13"/>
      <c r="R463" s="15"/>
      <c r="S463" s="15"/>
      <c r="T463" s="28"/>
      <c r="U463" s="13"/>
      <c r="V463" s="15"/>
      <c r="Y463" s="13"/>
      <c r="Z463" s="2"/>
      <c r="AA463" s="15"/>
      <c r="AB463" s="28"/>
      <c r="AC463" s="348"/>
      <c r="AD463" s="15"/>
      <c r="AE463" s="180">
        <f>$F$13</f>
        <v>1000</v>
      </c>
      <c r="AG463" s="15"/>
      <c r="AH463" s="2"/>
      <c r="AI463" s="45"/>
      <c r="AJ463" s="15"/>
      <c r="AK463" s="15"/>
      <c r="AL463" s="15"/>
      <c r="AM463" s="45"/>
      <c r="AN463" s="15"/>
      <c r="AO463" s="13"/>
      <c r="AP463" s="15"/>
      <c r="AQ463" s="180"/>
      <c r="AR463" s="1">
        <v>1000</v>
      </c>
      <c r="AS463" s="13"/>
      <c r="AT463" s="15"/>
      <c r="AU463" s="45"/>
      <c r="AV463" s="15"/>
      <c r="AW463" s="13"/>
      <c r="AX463" s="15"/>
      <c r="AY463" s="45"/>
      <c r="AZ463" s="35"/>
      <c r="BA463" s="13"/>
      <c r="BB463" s="15"/>
      <c r="BC463" s="45"/>
      <c r="BD463" s="28"/>
      <c r="BE463" s="14"/>
      <c r="BF463" s="41">
        <f t="shared" ref="BF463:BG463" si="1366">K463+O463+S463+W463+AA463+AE463+AI463+AM463+AQ463+AU463+AY463+BC463</f>
        <v>1000</v>
      </c>
      <c r="BG463" s="34">
        <f t="shared" si="1366"/>
        <v>1000</v>
      </c>
      <c r="BH463" s="35">
        <f t="shared" si="1356"/>
        <v>0</v>
      </c>
      <c r="BK463" s="2" t="b">
        <f>H463='2021'!BH463</f>
        <v>1</v>
      </c>
    </row>
    <row r="464" ht="15.75" customHeight="1" spans="1:63" x14ac:dyDescent="0.25">
      <c r="A464" s="2">
        <v>51</v>
      </c>
      <c r="B464" s="14"/>
      <c r="C464" s="73" t="s">
        <v>420</v>
      </c>
      <c r="D464" s="14" t="s">
        <v>51</v>
      </c>
      <c r="E464" s="2" t="s">
        <v>49</v>
      </c>
      <c r="F464" s="41">
        <v>500</v>
      </c>
      <c r="G464" s="28"/>
      <c r="H464" s="34">
        <f>'2021'!BH464</f>
        <v>0</v>
      </c>
      <c r="I464" s="13"/>
      <c r="J464" s="15"/>
      <c r="K464" s="15"/>
      <c r="L464" s="28"/>
      <c r="M464" s="13"/>
      <c r="N464" s="15"/>
      <c r="Q464" s="13"/>
      <c r="R464" s="15"/>
      <c r="S464" s="15"/>
      <c r="T464" s="28"/>
      <c r="U464" s="13"/>
      <c r="V464" s="15"/>
      <c r="Y464" s="13"/>
      <c r="Z464" s="2"/>
      <c r="AA464" s="15"/>
      <c r="AB464" s="28"/>
      <c r="AC464" s="348"/>
      <c r="AD464" s="15"/>
      <c r="AE464" s="34"/>
      <c r="AG464" s="15"/>
      <c r="AH464" s="2"/>
      <c r="AI464" s="45"/>
      <c r="AJ464" s="15"/>
      <c r="AK464" s="15"/>
      <c r="AL464" s="15"/>
      <c r="AM464" s="45"/>
      <c r="AN464" s="15"/>
      <c r="AO464" s="13"/>
      <c r="AP464" s="15"/>
      <c r="AQ464" s="180">
        <f>B459*$F$14</f>
        <v>0</v>
      </c>
      <c r="AR464" s="1"/>
      <c r="AS464" s="13"/>
      <c r="AT464" s="15"/>
      <c r="AU464" s="45"/>
      <c r="AV464" s="15"/>
      <c r="AW464" s="13"/>
      <c r="AX464" s="15"/>
      <c r="AY464" s="45"/>
      <c r="AZ464" s="35"/>
      <c r="BA464" s="13"/>
      <c r="BB464" s="15"/>
      <c r="BC464" s="45"/>
      <c r="BD464" s="28"/>
      <c r="BE464" s="14"/>
      <c r="BF464" s="41">
        <f t="shared" ref="BF464:BG464" si="1367">K464+O464+S464+W464+AA464+AE464+AI464+AM464+AQ464+AU464+AY464+BC464</f>
        <v>0</v>
      </c>
      <c r="BG464" s="34">
        <f t="shared" si="1367"/>
        <v>0</v>
      </c>
      <c r="BH464" s="35">
        <f t="shared" si="1356"/>
        <v>0</v>
      </c>
      <c r="BK464" s="2" t="b">
        <f>H464='2021'!BH464</f>
        <v>1</v>
      </c>
    </row>
    <row r="465" ht="15.75" customHeight="1" spans="1:63" x14ac:dyDescent="0.25">
      <c r="A465" s="2">
        <v>51</v>
      </c>
      <c r="B465" s="14"/>
      <c r="C465" s="15"/>
      <c r="D465" s="14" t="s">
        <v>52</v>
      </c>
      <c r="E465" s="2" t="s">
        <v>39</v>
      </c>
      <c r="F465" s="41">
        <v>500</v>
      </c>
      <c r="G465" s="28"/>
      <c r="H465" s="34">
        <f>'2021'!BH465</f>
        <v>0</v>
      </c>
      <c r="I465" s="13"/>
      <c r="J465" s="15"/>
      <c r="K465" s="15"/>
      <c r="L465" s="28"/>
      <c r="M465" s="13"/>
      <c r="N465" s="15"/>
      <c r="Q465" s="13"/>
      <c r="R465" s="15"/>
      <c r="S465" s="15"/>
      <c r="T465" s="28"/>
      <c r="U465" s="13"/>
      <c r="V465" s="15"/>
      <c r="Y465" s="13"/>
      <c r="Z465" s="2"/>
      <c r="AA465" s="34">
        <f>$F$15</f>
      </c>
      <c r="AB465" s="28"/>
      <c r="AC465" s="348"/>
      <c r="AD465" s="15"/>
      <c r="AG465" s="15"/>
      <c r="AH465" s="2"/>
      <c r="AI465" s="45"/>
      <c r="AJ465" s="15"/>
      <c r="AK465" s="15"/>
      <c r="AL465" s="15"/>
      <c r="AM465" s="45"/>
      <c r="AN465" s="34"/>
      <c r="AO465" s="13"/>
      <c r="AP465" s="15"/>
      <c r="AQ465" s="45"/>
      <c r="AR465" s="15"/>
      <c r="AS465" s="13"/>
      <c r="AT465" s="15"/>
      <c r="AU465" s="45"/>
      <c r="AV465" s="15"/>
      <c r="AW465" s="13"/>
      <c r="AX465" s="15"/>
      <c r="AY465" s="45"/>
      <c r="AZ465" s="35"/>
      <c r="BA465" s="13"/>
      <c r="BB465" s="15"/>
      <c r="BC465" s="45"/>
      <c r="BD465" s="35"/>
      <c r="BE465" s="14"/>
      <c r="BF465" s="41">
        <f t="shared" ref="BF465:BG465" si="1368">K465+O465+S465+W465+AA465+AE465+AI465+AM465+AQ465+AU465+AY465+BC465</f>
        <v>0</v>
      </c>
      <c r="BG465" s="34">
        <f t="shared" si="1368"/>
        <v>0</v>
      </c>
      <c r="BH465" s="35">
        <f t="shared" si="1356"/>
        <v>0</v>
      </c>
      <c r="BK465" s="2" t="b">
        <f>H465='2021'!BH465</f>
        <v>1</v>
      </c>
    </row>
    <row r="466" ht="15.75" customHeight="1" spans="1:63" x14ac:dyDescent="0.25">
      <c r="A466" s="247">
        <v>51</v>
      </c>
      <c r="B466" s="21"/>
      <c r="C466" s="22" t="s">
        <v>53</v>
      </c>
      <c r="D466" s="21"/>
      <c r="E466" s="22"/>
      <c r="F466" s="20"/>
      <c r="G466" s="23"/>
      <c r="H466" s="51">
        <f>SUM(H458:H465)</f>
        <v>-1638.8</v>
      </c>
      <c r="I466" s="52"/>
      <c r="J466" s="53"/>
      <c r="K466" s="51">
        <f t="shared" ref="K466:L466" si="1369">SUM(K458:K465)</f>
        <v>0</v>
      </c>
      <c r="L466" s="68">
        <f t="shared" si="1369"/>
        <v>0</v>
      </c>
      <c r="M466" s="52"/>
      <c r="N466" s="53"/>
      <c r="O466" s="51">
        <f t="shared" ref="O466:P466" si="1370">SUM(O458:O465)</f>
        <v>0</v>
      </c>
      <c r="P466" s="51">
        <f t="shared" si="1370"/>
        <v>0</v>
      </c>
      <c r="Q466" s="52"/>
      <c r="R466" s="53"/>
      <c r="S466" s="51">
        <f t="shared" ref="S466:T466" si="1371">SUM(S458:S465)</f>
        <v>0</v>
      </c>
      <c r="T466" s="51">
        <f t="shared" si="1371"/>
        <v>0</v>
      </c>
      <c r="U466" s="52"/>
      <c r="V466" s="53"/>
      <c r="W466" s="51">
        <f t="shared" ref="W466:X466" si="1372">SUM(W458:W465)</f>
        <v>229.5</v>
      </c>
      <c r="X466" s="51">
        <f t="shared" si="1372"/>
        <v>0</v>
      </c>
      <c r="Y466" s="52"/>
      <c r="Z466" s="301"/>
      <c r="AA466" s="51">
        <f t="shared" ref="AA466:AB466" si="1373">SUM(AA458:AA465)</f>
        <v>691.3</v>
      </c>
      <c r="AB466" s="51">
        <f t="shared" si="1373"/>
        <v>0</v>
      </c>
      <c r="AC466" s="367"/>
      <c r="AD466" s="53"/>
      <c r="AE466" s="51">
        <f t="shared" ref="AE466:AF466" si="1374">SUM(AE458:AE465)</f>
        <v>9385.4</v>
      </c>
      <c r="AF466" s="51">
        <f t="shared" si="1374"/>
        <v>0</v>
      </c>
      <c r="AG466" s="52"/>
      <c r="AH466" s="301"/>
      <c r="AI466" s="183">
        <f t="shared" ref="AI466:AJ466" si="1375">SUM(AI458:AI465)</f>
        <v>707.82656</v>
      </c>
      <c r="AJ466" s="51">
        <f t="shared" si="1375"/>
        <v>0</v>
      </c>
      <c r="AK466" s="52"/>
      <c r="AL466" s="53"/>
      <c r="AM466" s="183">
        <f t="shared" ref="AM466:AN466" si="1376">SUM(AM458:AM465)</f>
        <v>1548.4616</v>
      </c>
      <c r="AN466" s="51">
        <f t="shared" si="1376"/>
        <v>0</v>
      </c>
      <c r="AO466" s="52"/>
      <c r="AP466" s="53"/>
      <c r="AQ466" s="183">
        <f t="shared" ref="AQ466:AR466" si="1377">SUM(AQ458:AQ465)</f>
        <v>1156.2369</v>
      </c>
      <c r="AR466" s="51">
        <f t="shared" si="1377"/>
        <v>10923.69</v>
      </c>
      <c r="AS466" s="52"/>
      <c r="AT466" s="53"/>
      <c r="AU466" s="183">
        <f t="shared" ref="AU466:AV466" si="1378">SUM(AU458:AU465)</f>
        <v>180.81</v>
      </c>
      <c r="AV466" s="68">
        <f t="shared" si="1378"/>
        <v>0</v>
      </c>
      <c r="AW466" s="52"/>
      <c r="AX466" s="53"/>
      <c r="AY466" s="183">
        <f t="shared" ref="AY466:AZ466" si="1379">SUM(AY458:AY465)</f>
        <v>0</v>
      </c>
      <c r="AZ466" s="68">
        <f t="shared" si="1379"/>
        <v>0</v>
      </c>
      <c r="BA466" s="52"/>
      <c r="BB466" s="53"/>
      <c r="BC466" s="183">
        <f t="shared" ref="BC466:BD466" si="1380">SUM(BC458:BC465)</f>
        <v>0</v>
      </c>
      <c r="BD466" s="68">
        <f t="shared" si="1380"/>
        <v>0</v>
      </c>
      <c r="BE466" s="69"/>
      <c r="BF466" s="70">
        <f t="shared" ref="BF466:BH466" si="1381">SUM(BF458:BF465)</f>
        <v>13899.53506</v>
      </c>
      <c r="BG466" s="71">
        <f t="shared" si="1381"/>
        <v>10923.69</v>
      </c>
      <c r="BH466" s="72">
        <f t="shared" si="1381"/>
        <v>1337.04506</v>
      </c>
      <c r="BI466" s="34">
        <f>H466+BF466-BG466</f>
        <v>1337.04506</v>
      </c>
      <c r="BJ466" s="34">
        <f>BH466-BI466</f>
        <v>0</v>
      </c>
      <c r="BK466" s="2" t="b">
        <f>H466='2021'!BH466</f>
        <v>1</v>
      </c>
    </row>
    <row r="467" ht="15.75" customHeight="1" spans="1:63" x14ac:dyDescent="0.25">
      <c r="A467" s="2">
        <v>52</v>
      </c>
      <c r="B467" s="14"/>
      <c r="D467" s="14" t="s">
        <v>379</v>
      </c>
      <c r="F467" s="13"/>
      <c r="G467" s="28"/>
      <c r="H467" s="34">
        <f>'2021'!BH467</f>
        <v>0</v>
      </c>
      <c r="I467" s="13"/>
      <c r="J467" s="15"/>
      <c r="K467" s="15"/>
      <c r="L467" s="28"/>
      <c r="M467" s="13"/>
      <c r="N467" s="15"/>
      <c r="Q467" s="13"/>
      <c r="R467" s="15"/>
      <c r="S467" s="15"/>
      <c r="T467" s="28"/>
      <c r="U467" s="13"/>
      <c r="V467" s="15"/>
      <c r="Y467" s="13"/>
      <c r="Z467" s="2"/>
      <c r="AA467" s="15"/>
      <c r="AB467" s="28"/>
      <c r="AC467" s="348"/>
      <c r="AD467" s="15"/>
      <c r="AG467" s="15"/>
      <c r="AH467" s="2"/>
      <c r="AI467" s="45"/>
      <c r="AJ467" s="15"/>
      <c r="AK467" s="15"/>
      <c r="AM467" s="45"/>
      <c r="AO467" s="13"/>
      <c r="AQ467" s="45"/>
      <c r="AS467" s="13"/>
      <c r="AU467" s="45"/>
      <c r="AW467" s="13"/>
      <c r="AY467" s="45"/>
      <c r="AZ467" s="28"/>
      <c r="BA467" s="13"/>
      <c r="BB467" s="15"/>
      <c r="BC467" s="45"/>
      <c r="BD467" s="28"/>
      <c r="BE467" s="14"/>
      <c r="BF467" s="41">
        <f t="shared" ref="BF467:BG467" si="1382">K467+O467+S467+W467+AA467+AE467+AI467+AM467+AQ467+AU467+AY467+BC467</f>
        <v>0</v>
      </c>
      <c r="BG467" s="34">
        <f t="shared" si="1382"/>
        <v>0</v>
      </c>
      <c r="BH467" s="35">
        <f t="shared" ref="BH467:BH474" si="1383">H467+BF467-BG467</f>
        <v>0</v>
      </c>
      <c r="BK467" s="2" t="b">
        <f>H467='2021'!BH467</f>
        <v>1</v>
      </c>
    </row>
    <row r="468" ht="15.75" customHeight="1" spans="1:63" x14ac:dyDescent="0.25">
      <c r="A468" s="2">
        <v>52</v>
      </c>
      <c r="B468" s="42">
        <v>5</v>
      </c>
      <c r="C468" s="15" t="s">
        <v>206</v>
      </c>
      <c r="D468" s="14" t="s">
        <v>44</v>
      </c>
      <c r="E468" s="2" t="s">
        <v>45</v>
      </c>
      <c r="F468" s="41">
        <v>2.5</v>
      </c>
      <c r="G468" s="35">
        <v>2.6</v>
      </c>
      <c r="H468" s="34">
        <f>'2021'!BH468</f>
        <v>-111.34</v>
      </c>
      <c r="I468" s="13">
        <v>180</v>
      </c>
      <c r="J468" s="15">
        <f>I468-'2021'!BA468</f>
        <v>0</v>
      </c>
      <c r="K468" s="34">
        <f>J468*$F$8</f>
        <v>0</v>
      </c>
      <c r="L468" s="28"/>
      <c r="M468" s="13">
        <v>180</v>
      </c>
      <c r="N468" s="15">
        <f t="shared" ref="N468:N469" si="1384">M468-I468</f>
        <v>0</v>
      </c>
      <c r="O468" s="34">
        <f>N468*$F$8</f>
        <v>0</v>
      </c>
      <c r="Q468" s="13">
        <v>180</v>
      </c>
      <c r="R468" s="15">
        <f t="shared" ref="R468:R469" si="1385">Q468-M468</f>
        <v>0</v>
      </c>
      <c r="S468" s="34">
        <f>R468*$F$8</f>
        <v>0</v>
      </c>
      <c r="T468" s="28"/>
      <c r="U468" s="13">
        <v>180</v>
      </c>
      <c r="V468" s="15">
        <f t="shared" ref="V468:V469" si="1386">U468-Q468</f>
        <v>0</v>
      </c>
      <c r="W468" s="34">
        <f>V468*$F$8</f>
        <v>0</v>
      </c>
      <c r="X468" s="15"/>
      <c r="Y468" s="13">
        <v>189</v>
      </c>
      <c r="Z468" s="2">
        <f>Y468-U468</f>
        <v>9</v>
      </c>
      <c r="AA468" s="34">
        <f>Z468*$F$8</f>
        <v>24.3</v>
      </c>
      <c r="AB468" s="28"/>
      <c r="AC468" s="348">
        <v>198</v>
      </c>
      <c r="AD468" s="15">
        <f>AC468-Y468</f>
        <v>9</v>
      </c>
      <c r="AE468" s="180">
        <f>AD468*$F$8</f>
        <v>24.3</v>
      </c>
      <c r="AF468" s="364">
        <v>200</v>
      </c>
      <c r="AG468" s="15">
        <v>205</v>
      </c>
      <c r="AH468" s="2">
        <f>(AG468-AC468)*AH5</f>
        <v>7.392</v>
      </c>
      <c r="AI468" s="45">
        <f>AH468*$G$8</f>
        <v>18.18432</v>
      </c>
      <c r="AJ468" s="1"/>
      <c r="AK468" s="15">
        <v>211</v>
      </c>
      <c r="AL468" s="15">
        <f>(AK468-AG468)*AL5</f>
        <v>6.168</v>
      </c>
      <c r="AM468" s="45">
        <f>AL468*$G$8</f>
        <v>15.17328</v>
      </c>
      <c r="AN468" s="15"/>
      <c r="AO468" s="13">
        <v>217</v>
      </c>
      <c r="AP468" s="15">
        <f>(AO468-AK468)*AP5</f>
        <v>6.198</v>
      </c>
      <c r="AQ468" s="45">
        <f>AP468*$G$8</f>
        <v>15.24708</v>
      </c>
      <c r="AR468" s="15"/>
      <c r="AS468" s="13">
        <v>221</v>
      </c>
      <c r="AT468" s="15">
        <f>(AS468-AO468)*AT5</f>
        <v>4.2</v>
      </c>
      <c r="AU468" s="45">
        <f>AT468*$G$8</f>
        <v>10.332</v>
      </c>
      <c r="AV468" s="15"/>
      <c r="AW468" s="13"/>
      <c r="AX468" s="15">
        <f>(AW468-AS468)*AX5</f>
        <v>0</v>
      </c>
      <c r="AY468" s="45">
        <f>AX468*$G$8</f>
        <v>0</v>
      </c>
      <c r="AZ468" s="208"/>
      <c r="BA468" s="13"/>
      <c r="BB468" s="15"/>
      <c r="BC468" s="45">
        <f>BB468*$G$8</f>
        <v>0</v>
      </c>
      <c r="BD468" s="208"/>
      <c r="BE468" s="40">
        <f t="shared" ref="BE468:BG468" si="1387">J468+N468+R468+V468+Z468+AD468+AH468+AL468+AP468+AT468+AX468+BB468</f>
        <v>41.958</v>
      </c>
      <c r="BF468" s="41">
        <f t="shared" si="1387"/>
        <v>107.53668</v>
      </c>
      <c r="BG468" s="34">
        <f t="shared" si="1387"/>
        <v>200</v>
      </c>
      <c r="BH468" s="35">
        <f t="shared" si="1383"/>
        <v>-203.80332</v>
      </c>
      <c r="BK468" s="2" t="b">
        <f>H468='2021'!BH468</f>
        <v>1</v>
      </c>
    </row>
    <row r="469" ht="15.75" customHeight="1" spans="1:63" x14ac:dyDescent="0.25">
      <c r="A469" s="2">
        <v>52</v>
      </c>
      <c r="B469" s="14"/>
      <c r="C469" s="2" t="s">
        <v>104</v>
      </c>
      <c r="D469" s="14" t="s">
        <v>47</v>
      </c>
      <c r="E469" s="2" t="s">
        <v>48</v>
      </c>
      <c r="F469" s="13">
        <v>18.56</v>
      </c>
      <c r="G469" s="35">
        <v>19.46</v>
      </c>
      <c r="H469" s="90">
        <f>'2021'!BH469</f>
        <v>-61.14</v>
      </c>
      <c r="I469" s="13">
        <f>66+161</f>
        <v>227</v>
      </c>
      <c r="J469" s="15"/>
      <c r="K469" s="15"/>
      <c r="L469" s="28"/>
      <c r="M469" s="13">
        <f>66+161</f>
        <v>227</v>
      </c>
      <c r="N469" s="15">
        <f t="shared" si="1384"/>
        <v>0</v>
      </c>
      <c r="Q469" s="13">
        <f>66+161</f>
        <v>227</v>
      </c>
      <c r="R469" s="15">
        <f t="shared" si="1385"/>
        <v>0</v>
      </c>
      <c r="S469" s="15"/>
      <c r="T469" s="28"/>
      <c r="U469" s="13">
        <f>66+167</f>
        <v>233</v>
      </c>
      <c r="V469" s="15">
        <f t="shared" si="1386"/>
        <v>6</v>
      </c>
      <c r="W469" s="34">
        <f>V469*$F$10</f>
        <v>122.1</v>
      </c>
      <c r="Y469" s="13">
        <f>66+94</f>
        <v>160</v>
      </c>
      <c r="Z469" s="2">
        <v>0</v>
      </c>
      <c r="AA469" s="34">
        <f>Z469*$F$10</f>
        <v>0</v>
      </c>
      <c r="AB469" s="28"/>
      <c r="AC469" s="371">
        <v>160</v>
      </c>
      <c r="AD469" s="15">
        <v>0</v>
      </c>
      <c r="AE469" s="34">
        <f>AD469*$F$10</f>
        <v>0</v>
      </c>
      <c r="AF469" s="354">
        <v>300</v>
      </c>
      <c r="AG469" s="186">
        <v>160</v>
      </c>
      <c r="AH469" s="2">
        <v>0</v>
      </c>
      <c r="AI469" s="45">
        <f>AH469*$G$10</f>
        <v>0</v>
      </c>
      <c r="AJ469" s="1"/>
      <c r="AK469" s="186">
        <v>160</v>
      </c>
      <c r="AL469" s="15">
        <v>0</v>
      </c>
      <c r="AM469" s="45">
        <f>AL469*$G$10</f>
        <v>0</v>
      </c>
      <c r="AN469" s="15"/>
      <c r="AO469" s="13">
        <f>68+104</f>
        <v>172</v>
      </c>
      <c r="AP469" s="15">
        <v>12</v>
      </c>
      <c r="AQ469" s="45">
        <f>AP469*$G$10</f>
        <v>256.8</v>
      </c>
      <c r="AR469" s="154">
        <v>17.76</v>
      </c>
      <c r="AS469" s="13">
        <v>172</v>
      </c>
      <c r="AT469" s="15">
        <v>12</v>
      </c>
      <c r="AU469" s="45">
        <f>AT469*$G$10</f>
        <v>256.8</v>
      </c>
      <c r="AV469" s="15"/>
      <c r="AW469" s="13"/>
      <c r="AX469" s="15">
        <v>12</v>
      </c>
      <c r="AY469" s="45"/>
      <c r="AZ469" s="208"/>
      <c r="BA469" s="13"/>
      <c r="BB469" s="15"/>
      <c r="BC469" s="45"/>
      <c r="BD469" s="208"/>
      <c r="BE469" s="40">
        <f t="shared" ref="BE469:BG469" si="1388">J469+N469+R469+V469+Z469+AD469+AH469+AL469+AP469+AT469+AX469+BB469</f>
        <v>42</v>
      </c>
      <c r="BF469" s="41">
        <f t="shared" si="1388"/>
        <v>635.7</v>
      </c>
      <c r="BG469" s="34">
        <f t="shared" si="1388"/>
        <v>317.76</v>
      </c>
      <c r="BH469" s="35">
        <f t="shared" si="1383"/>
        <v>256.8</v>
      </c>
      <c r="BI469" s="34"/>
      <c r="BK469" s="2" t="b">
        <f>H469='2021'!BH469</f>
        <v>1</v>
      </c>
    </row>
    <row r="470" ht="15.75" customHeight="1" spans="1:63" x14ac:dyDescent="0.25">
      <c r="A470" s="2">
        <v>52</v>
      </c>
      <c r="B470" s="14"/>
      <c r="C470" s="2" t="s">
        <v>208</v>
      </c>
      <c r="D470" s="14" t="s">
        <v>47</v>
      </c>
      <c r="E470" s="2" t="s">
        <v>49</v>
      </c>
      <c r="F470" s="41">
        <v>500</v>
      </c>
      <c r="G470" s="28"/>
      <c r="H470" s="34">
        <f>'2021'!BH470</f>
        <v>0</v>
      </c>
      <c r="I470" s="13"/>
      <c r="J470" s="15"/>
      <c r="K470" s="15"/>
      <c r="L470" s="28"/>
      <c r="M470" s="13"/>
      <c r="N470" s="15"/>
      <c r="Q470" s="13"/>
      <c r="R470" s="15"/>
      <c r="S470" s="15"/>
      <c r="T470" s="28"/>
      <c r="U470" s="13"/>
      <c r="V470" s="15"/>
      <c r="Y470" s="13"/>
      <c r="Z470" s="2"/>
      <c r="AA470" s="15"/>
      <c r="AB470" s="28"/>
      <c r="AC470" s="348"/>
      <c r="AD470" s="15"/>
      <c r="AF470" s="154"/>
      <c r="AG470" s="15"/>
      <c r="AH470" s="2"/>
      <c r="AI470" s="45"/>
      <c r="AJ470" s="15"/>
      <c r="AK470" s="15"/>
      <c r="AL470" s="15"/>
      <c r="AM470" s="45"/>
      <c r="AN470" s="15"/>
      <c r="AO470" s="13"/>
      <c r="AP470" s="15"/>
      <c r="AQ470" s="45"/>
      <c r="AR470" s="15"/>
      <c r="AS470" s="13"/>
      <c r="AT470" s="15"/>
      <c r="AU470" s="45"/>
      <c r="AV470" s="15"/>
      <c r="AW470" s="13"/>
      <c r="AX470" s="15"/>
      <c r="AY470" s="45"/>
      <c r="AZ470" s="28"/>
      <c r="BA470" s="13"/>
      <c r="BB470" s="15"/>
      <c r="BC470" s="45"/>
      <c r="BD470" s="28"/>
      <c r="BE470" s="14"/>
      <c r="BF470" s="41">
        <f t="shared" ref="BF470:BG470" si="1389">K470+O470+S470+W470+AA470+AE470+AI470+AM470+AQ470+AU470+AY470+BC470</f>
        <v>0</v>
      </c>
      <c r="BG470" s="34">
        <f t="shared" si="1389"/>
        <v>0</v>
      </c>
      <c r="BH470" s="35">
        <f t="shared" si="1383"/>
        <v>0</v>
      </c>
      <c r="BK470" s="2" t="b">
        <f>H470='2021'!BH470</f>
        <v>1</v>
      </c>
    </row>
    <row r="471" ht="15.75" customHeight="1" spans="1:63" x14ac:dyDescent="0.25">
      <c r="A471" s="2">
        <v>52</v>
      </c>
      <c r="B471" s="14"/>
      <c r="C471" s="2" t="s">
        <v>209</v>
      </c>
      <c r="D471" s="14" t="s">
        <v>50</v>
      </c>
      <c r="E471" s="2" t="s">
        <v>49</v>
      </c>
      <c r="F471" s="41">
        <v>1100</v>
      </c>
      <c r="G471" s="28"/>
      <c r="H471" s="34">
        <f>'2021'!BH471</f>
        <v>0</v>
      </c>
      <c r="I471" s="13"/>
      <c r="J471" s="15"/>
      <c r="K471" s="15"/>
      <c r="L471" s="28"/>
      <c r="M471" s="13"/>
      <c r="N471" s="15"/>
      <c r="Q471" s="13"/>
      <c r="R471" s="15"/>
      <c r="S471" s="15"/>
      <c r="T471" s="28"/>
      <c r="U471" s="13"/>
      <c r="V471" s="15"/>
      <c r="Y471" s="13"/>
      <c r="Z471" s="2"/>
      <c r="AA471" s="15"/>
      <c r="AB471" s="28"/>
      <c r="AC471" s="348"/>
      <c r="AD471" s="15"/>
      <c r="AE471" s="182">
        <f>B468*$F$12</f>
        <v>6500</v>
      </c>
      <c r="AF471" s="354">
        <v>6500</v>
      </c>
      <c r="AG471" s="15"/>
      <c r="AH471" s="2"/>
      <c r="AI471" s="45"/>
      <c r="AJ471" s="39"/>
      <c r="AK471" s="15"/>
      <c r="AL471" s="15"/>
      <c r="AM471" s="45"/>
      <c r="AN471" s="34"/>
      <c r="AO471" s="13"/>
      <c r="AP471" s="15"/>
      <c r="AQ471" s="45"/>
      <c r="AR471" s="15"/>
      <c r="AS471" s="13"/>
      <c r="AT471" s="15"/>
      <c r="AU471" s="45"/>
      <c r="AV471" s="15"/>
      <c r="AW471" s="13"/>
      <c r="AX471" s="15"/>
      <c r="AY471" s="45"/>
      <c r="AZ471" s="28"/>
      <c r="BA471" s="13"/>
      <c r="BB471" s="15"/>
      <c r="BC471" s="45"/>
      <c r="BD471" s="28"/>
      <c r="BE471" s="14"/>
      <c r="BF471" s="41">
        <f t="shared" ref="BF471:BG471" si="1390">K471+O471+S471+W471+AA471+AE471+AI471+AM471+AQ471+AU471+AY471+BC471</f>
        <v>6500</v>
      </c>
      <c r="BG471" s="34">
        <f t="shared" si="1390"/>
        <v>6500</v>
      </c>
      <c r="BH471" s="35">
        <f t="shared" si="1383"/>
        <v>0</v>
      </c>
      <c r="BK471" s="2" t="b">
        <f>H471='2021'!BH471</f>
        <v>1</v>
      </c>
    </row>
    <row r="472" ht="15.75" customHeight="1" spans="1:63" x14ac:dyDescent="0.25">
      <c r="A472" s="2">
        <v>52</v>
      </c>
      <c r="B472" s="14"/>
      <c r="D472" s="14" t="s">
        <v>51</v>
      </c>
      <c r="E472" s="2" t="s">
        <v>39</v>
      </c>
      <c r="F472" s="41">
        <v>500</v>
      </c>
      <c r="G472" s="28"/>
      <c r="H472" s="34">
        <f>'2021'!BH472</f>
        <v>0</v>
      </c>
      <c r="I472" s="13"/>
      <c r="J472" s="15"/>
      <c r="K472" s="15"/>
      <c r="L472" s="28"/>
      <c r="M472" s="13"/>
      <c r="N472" s="15"/>
      <c r="Q472" s="13"/>
      <c r="R472" s="15"/>
      <c r="S472" s="15"/>
      <c r="T472" s="28"/>
      <c r="U472" s="13"/>
      <c r="V472" s="15"/>
      <c r="Y472" s="13"/>
      <c r="Z472" s="2"/>
      <c r="AA472" s="15"/>
      <c r="AB472" s="28"/>
      <c r="AC472" s="348"/>
      <c r="AD472" s="15"/>
      <c r="AE472" s="180">
        <f>$F$13</f>
        <v>1000</v>
      </c>
      <c r="AF472" s="354">
        <v>1000</v>
      </c>
      <c r="AG472" s="15"/>
      <c r="AH472" s="2"/>
      <c r="AI472" s="45"/>
      <c r="AJ472" s="15"/>
      <c r="AK472" s="15"/>
      <c r="AL472" s="15"/>
      <c r="AM472" s="45"/>
      <c r="AN472" s="15"/>
      <c r="AO472" s="13"/>
      <c r="AP472" s="15"/>
      <c r="AQ472" s="180"/>
      <c r="AR472" s="15"/>
      <c r="AS472" s="13"/>
      <c r="AT472" s="15"/>
      <c r="AU472" s="45"/>
      <c r="AV472" s="15"/>
      <c r="AW472" s="13"/>
      <c r="AX472" s="15"/>
      <c r="AY472" s="45"/>
      <c r="AZ472" s="28"/>
      <c r="BA472" s="13"/>
      <c r="BB472" s="15"/>
      <c r="BC472" s="45"/>
      <c r="BD472" s="28"/>
      <c r="BE472" s="14"/>
      <c r="BF472" s="41">
        <f t="shared" ref="BF472:BG472" si="1391">K472+O472+S472+W472+AA472+AE472+AI472+AM472+AQ472+AU472+AY472+BC472</f>
        <v>1000</v>
      </c>
      <c r="BG472" s="34">
        <f t="shared" si="1391"/>
        <v>1000</v>
      </c>
      <c r="BH472" s="35">
        <f t="shared" si="1383"/>
        <v>0</v>
      </c>
      <c r="BK472" s="2" t="b">
        <f>H472='2021'!BH472</f>
        <v>1</v>
      </c>
    </row>
    <row r="473" ht="15.75" customHeight="1" spans="1:63" x14ac:dyDescent="0.25">
      <c r="A473" s="2">
        <v>52</v>
      </c>
      <c r="B473" s="14"/>
      <c r="D473" s="14" t="s">
        <v>51</v>
      </c>
      <c r="E473" s="2" t="s">
        <v>49</v>
      </c>
      <c r="F473" s="41">
        <v>500</v>
      </c>
      <c r="G473" s="28"/>
      <c r="H473" s="34">
        <f>'2021'!BH473</f>
        <v>0</v>
      </c>
      <c r="I473" s="13"/>
      <c r="J473" s="15"/>
      <c r="K473" s="15"/>
      <c r="L473" s="28"/>
      <c r="M473" s="13"/>
      <c r="N473" s="15"/>
      <c r="Q473" s="13"/>
      <c r="R473" s="15"/>
      <c r="S473" s="15"/>
      <c r="T473" s="28"/>
      <c r="U473" s="13"/>
      <c r="V473" s="15"/>
      <c r="Y473" s="13"/>
      <c r="Z473" s="2"/>
      <c r="AA473" s="15"/>
      <c r="AB473" s="28"/>
      <c r="AC473" s="348"/>
      <c r="AD473" s="15"/>
      <c r="AE473" s="34"/>
      <c r="AF473" s="182"/>
      <c r="AG473" s="15"/>
      <c r="AH473" s="2"/>
      <c r="AI473" s="45"/>
      <c r="AJ473" s="15"/>
      <c r="AK473" s="15"/>
      <c r="AL473" s="15"/>
      <c r="AM473" s="45"/>
      <c r="AN473" s="15"/>
      <c r="AO473" s="13"/>
      <c r="AP473" s="15"/>
      <c r="AQ473" s="180">
        <f>B468*$F$14</f>
        <v>0</v>
      </c>
      <c r="AR473" s="15"/>
      <c r="AS473" s="13"/>
      <c r="AT473" s="15"/>
      <c r="AU473" s="45"/>
      <c r="AV473" s="15"/>
      <c r="AW473" s="13"/>
      <c r="AX473" s="15"/>
      <c r="AY473" s="45"/>
      <c r="AZ473" s="28"/>
      <c r="BA473" s="13"/>
      <c r="BB473" s="15"/>
      <c r="BC473" s="45"/>
      <c r="BD473" s="28"/>
      <c r="BE473" s="14"/>
      <c r="BF473" s="41">
        <f t="shared" ref="BF473:BG473" si="1392">K473+O473+S473+W473+AA473+AE473+AI473+AM473+AQ473+AU473+AY473+BC473</f>
        <v>0</v>
      </c>
      <c r="BG473" s="34">
        <f t="shared" si="1392"/>
        <v>0</v>
      </c>
      <c r="BH473" s="35">
        <f t="shared" si="1383"/>
        <v>0</v>
      </c>
      <c r="BK473" s="2" t="b">
        <f>H473='2021'!BH473</f>
        <v>1</v>
      </c>
    </row>
    <row r="474" ht="15.75" customHeight="1" spans="1:63" x14ac:dyDescent="0.25">
      <c r="A474" s="2">
        <v>52</v>
      </c>
      <c r="B474" s="14"/>
      <c r="D474" s="14" t="s">
        <v>52</v>
      </c>
      <c r="E474" s="2" t="s">
        <v>39</v>
      </c>
      <c r="F474" s="41">
        <v>500</v>
      </c>
      <c r="G474" s="28"/>
      <c r="H474" s="34">
        <f>'2021'!BH474</f>
        <v>0</v>
      </c>
      <c r="I474" s="13"/>
      <c r="J474" s="15"/>
      <c r="K474" s="15"/>
      <c r="L474" s="28"/>
      <c r="M474" s="13"/>
      <c r="N474" s="15"/>
      <c r="Q474" s="13"/>
      <c r="R474" s="15"/>
      <c r="S474" s="15"/>
      <c r="T474" s="28"/>
      <c r="U474" s="13"/>
      <c r="V474" s="15"/>
      <c r="Y474" s="13"/>
      <c r="Z474" s="2"/>
      <c r="AA474" s="34">
        <f>$F$15</f>
      </c>
      <c r="AB474" s="35"/>
      <c r="AC474" s="348"/>
      <c r="AD474" s="15"/>
      <c r="AF474" s="34"/>
      <c r="AG474" s="15"/>
      <c r="AH474" s="2"/>
      <c r="AI474" s="45"/>
      <c r="AJ474" s="15"/>
      <c r="AK474" s="15"/>
      <c r="AL474" s="15"/>
      <c r="AM474" s="45"/>
      <c r="AN474" s="34"/>
      <c r="AO474" s="13"/>
      <c r="AP474" s="15"/>
      <c r="AQ474" s="45"/>
      <c r="AR474" s="15"/>
      <c r="AS474" s="13"/>
      <c r="AT474" s="15"/>
      <c r="AU474" s="45"/>
      <c r="AV474" s="15"/>
      <c r="AW474" s="13"/>
      <c r="AX474" s="15"/>
      <c r="AY474" s="45"/>
      <c r="AZ474" s="35"/>
      <c r="BA474" s="13"/>
      <c r="BB474" s="15"/>
      <c r="BC474" s="45"/>
      <c r="BD474" s="35"/>
      <c r="BE474" s="14"/>
      <c r="BF474" s="41">
        <f t="shared" ref="BF474:BG474" si="1393">K474+O474+S474+W474+AA474+AE474+AI474+AM474+AQ474+AU474+AY474+BC474</f>
        <v>0</v>
      </c>
      <c r="BG474" s="34">
        <f t="shared" si="1393"/>
        <v>0</v>
      </c>
      <c r="BH474" s="35">
        <f t="shared" si="1383"/>
        <v>0</v>
      </c>
      <c r="BK474" s="2" t="b">
        <f>H474='2021'!BH474</f>
        <v>1</v>
      </c>
    </row>
    <row r="475" ht="15.75" customHeight="1" spans="1:63" x14ac:dyDescent="0.25">
      <c r="A475" s="247">
        <v>52</v>
      </c>
      <c r="B475" s="21"/>
      <c r="C475" s="22" t="s">
        <v>53</v>
      </c>
      <c r="D475" s="21"/>
      <c r="E475" s="22"/>
      <c r="F475" s="20"/>
      <c r="G475" s="23"/>
      <c r="H475" s="51">
        <f>SUM(H467:H474)</f>
        <v>-172.48</v>
      </c>
      <c r="I475" s="52"/>
      <c r="J475" s="53"/>
      <c r="K475" s="51">
        <f t="shared" ref="K475:L475" si="1394">SUM(K467:K474)</f>
        <v>0</v>
      </c>
      <c r="L475" s="68">
        <f t="shared" si="1394"/>
        <v>0</v>
      </c>
      <c r="M475" s="52"/>
      <c r="N475" s="53"/>
      <c r="O475" s="51">
        <f t="shared" ref="O475:P475" si="1395">SUM(O467:O474)</f>
        <v>0</v>
      </c>
      <c r="P475" s="51">
        <f t="shared" si="1395"/>
        <v>0</v>
      </c>
      <c r="Q475" s="52"/>
      <c r="R475" s="53"/>
      <c r="S475" s="51">
        <f t="shared" ref="S475:T475" si="1396">SUM(S467:S474)</f>
        <v>0</v>
      </c>
      <c r="T475" s="51">
        <f t="shared" si="1396"/>
        <v>0</v>
      </c>
      <c r="U475" s="52"/>
      <c r="V475" s="53"/>
      <c r="W475" s="51">
        <f t="shared" ref="W475:X475" si="1397">SUM(W467:W474)</f>
        <v>122.1</v>
      </c>
      <c r="X475" s="51">
        <f t="shared" si="1397"/>
        <v>0</v>
      </c>
      <c r="Y475" s="52"/>
      <c r="Z475" s="301"/>
      <c r="AA475" s="51">
        <f t="shared" ref="AA475:AB475" si="1398">SUM(AA467:AA474)</f>
        <v>24.3</v>
      </c>
      <c r="AB475" s="51">
        <f t="shared" si="1398"/>
        <v>0</v>
      </c>
      <c r="AC475" s="367"/>
      <c r="AD475" s="53"/>
      <c r="AE475" s="51">
        <f t="shared" ref="AE475:AF475" si="1399">SUM(AE467:AE474)</f>
        <v>7524.3</v>
      </c>
      <c r="AF475" s="51">
        <f t="shared" si="1399"/>
        <v>8000</v>
      </c>
      <c r="AG475" s="52"/>
      <c r="AH475" s="301"/>
      <c r="AI475" s="183">
        <f t="shared" ref="AI475:AJ475" si="1400">SUM(AI467:AI474)</f>
        <v>18.18432</v>
      </c>
      <c r="AJ475" s="51">
        <f t="shared" si="1400"/>
        <v>0</v>
      </c>
      <c r="AK475" s="52"/>
      <c r="AL475" s="53"/>
      <c r="AM475" s="183">
        <f t="shared" ref="AM475:AN475" si="1401">SUM(AM467:AM474)</f>
        <v>15.17328</v>
      </c>
      <c r="AN475" s="51">
        <f t="shared" si="1401"/>
        <v>0</v>
      </c>
      <c r="AO475" s="52"/>
      <c r="AP475" s="53"/>
      <c r="AQ475" s="183">
        <f t="shared" ref="AQ475:AR475" si="1402">SUM(AQ467:AQ474)</f>
        <v>272.04708</v>
      </c>
      <c r="AR475" s="51">
        <f t="shared" si="1402"/>
        <v>17.76</v>
      </c>
      <c r="AS475" s="52"/>
      <c r="AT475" s="53"/>
      <c r="AU475" s="183">
        <f t="shared" ref="AU475:AV475" si="1403">SUM(AU467:AU474)</f>
        <v>267.132</v>
      </c>
      <c r="AV475" s="68">
        <f t="shared" si="1403"/>
        <v>0</v>
      </c>
      <c r="AW475" s="52"/>
      <c r="AX475" s="53"/>
      <c r="AY475" s="183">
        <f t="shared" ref="AY475:AZ475" si="1404">SUM(AY467:AY474)</f>
        <v>0</v>
      </c>
      <c r="AZ475" s="68">
        <f t="shared" si="1404"/>
        <v>0</v>
      </c>
      <c r="BA475" s="52"/>
      <c r="BB475" s="53"/>
      <c r="BC475" s="183">
        <f t="shared" ref="BC475:BD475" si="1405">SUM(BC467:BC474)</f>
        <v>0</v>
      </c>
      <c r="BD475" s="68">
        <f t="shared" si="1405"/>
        <v>0</v>
      </c>
      <c r="BE475" s="69"/>
      <c r="BF475" s="70">
        <f t="shared" ref="BF475:BH475" si="1406">SUM(BF467:BF474)</f>
        <v>8243.23668</v>
      </c>
      <c r="BG475" s="71">
        <f t="shared" si="1406"/>
        <v>8017.76</v>
      </c>
      <c r="BH475" s="72">
        <f t="shared" si="1406"/>
        <v>52.99668</v>
      </c>
      <c r="BI475" s="34">
        <f>H475+BF475-BG475</f>
        <v>52.99668</v>
      </c>
      <c r="BJ475" s="34">
        <f>BH475-BI475</f>
        <v>0</v>
      </c>
      <c r="BK475" s="2" t="b">
        <f>H475='2021'!BH475</f>
        <v>1</v>
      </c>
    </row>
    <row r="476" ht="15.75" customHeight="1" spans="1:63" x14ac:dyDescent="0.25">
      <c r="A476" s="2">
        <v>53</v>
      </c>
      <c r="B476" s="14"/>
      <c r="D476" s="176" t="s">
        <v>544</v>
      </c>
      <c r="F476" s="13"/>
      <c r="G476" s="28"/>
      <c r="H476" s="34">
        <f>'2021'!BH476</f>
        <v>0.5</v>
      </c>
      <c r="I476" s="13"/>
      <c r="J476" s="15"/>
      <c r="K476" s="15"/>
      <c r="L476" s="28"/>
      <c r="M476" s="13"/>
      <c r="N476" s="15"/>
      <c r="Q476" s="13"/>
      <c r="R476" s="15"/>
      <c r="S476" s="15"/>
      <c r="T476" s="28"/>
      <c r="U476" s="13"/>
      <c r="V476" s="15"/>
      <c r="W476" s="153"/>
      <c r="X476" s="34"/>
      <c r="Y476" s="13"/>
      <c r="Z476" s="2"/>
      <c r="AA476" s="154">
        <v>248.5</v>
      </c>
      <c r="AB476" s="28"/>
      <c r="AC476" s="348"/>
      <c r="AD476" s="15"/>
      <c r="AG476" s="15"/>
      <c r="AH476" s="2"/>
      <c r="AI476" s="45"/>
      <c r="AJ476" s="15"/>
      <c r="AK476" s="15"/>
      <c r="AM476" s="45"/>
      <c r="AN476" s="2">
        <v>249</v>
      </c>
      <c r="AO476" s="13"/>
      <c r="AQ476" s="45"/>
      <c r="AS476" s="13"/>
      <c r="AU476" s="45"/>
      <c r="AW476" s="13"/>
      <c r="AY476" s="45"/>
      <c r="AZ476" s="28"/>
      <c r="BA476" s="13"/>
      <c r="BB476" s="15"/>
      <c r="BC476" s="45"/>
      <c r="BD476" s="28"/>
      <c r="BE476" s="14"/>
      <c r="BF476" s="41">
        <f t="shared" ref="BF476:BG476" si="1407">K476+O476+S476+W476+AA476+AE476+AI476+AM476+AQ476+AU476+AY476+BC476</f>
        <v>248.5</v>
      </c>
      <c r="BG476" s="34">
        <f t="shared" si="1407"/>
        <v>249</v>
      </c>
      <c r="BH476" s="35">
        <f t="shared" ref="BH476:BH483" si="1408">H476+BF476-BG476</f>
        <v>0</v>
      </c>
      <c r="BK476" s="2" t="b">
        <f>H476='2021'!BH476</f>
        <v>1</v>
      </c>
    </row>
    <row r="477" ht="15.75" customHeight="1" spans="1:63" x14ac:dyDescent="0.25">
      <c r="A477" s="2">
        <v>53</v>
      </c>
      <c r="B477" s="14">
        <v>5.05</v>
      </c>
      <c r="C477" s="2" t="s">
        <v>210</v>
      </c>
      <c r="D477" s="14" t="s">
        <v>44</v>
      </c>
      <c r="E477" s="2" t="s">
        <v>45</v>
      </c>
      <c r="F477" s="41">
        <v>2.5</v>
      </c>
      <c r="G477" s="35">
        <v>2.6</v>
      </c>
      <c r="H477" s="180">
        <f>'2021'!BH477</f>
        <v>1730.53</v>
      </c>
      <c r="I477" s="13">
        <v>27202</v>
      </c>
      <c r="J477" s="15">
        <f>I477-'2021'!BA477</f>
        <v>3345</v>
      </c>
      <c r="K477" s="34">
        <f>J477*$F$8</f>
        <v>9031.5</v>
      </c>
      <c r="L477" s="32"/>
      <c r="M477" s="13">
        <v>2250</v>
      </c>
      <c r="N477" s="15">
        <v>2250</v>
      </c>
      <c r="O477" s="34">
        <f>N477*$F$8</f>
        <v>6075</v>
      </c>
      <c r="P477" s="2">
        <v>5000</v>
      </c>
      <c r="Q477" s="13">
        <v>4895</v>
      </c>
      <c r="R477" s="15">
        <f t="shared" ref="R477:R478" si="1409">Q477-M477</f>
        <v>2645</v>
      </c>
      <c r="S477" s="34">
        <f>R477*$F$8</f>
        <v>7141.5</v>
      </c>
      <c r="T477" s="38">
        <v>12000</v>
      </c>
      <c r="U477" s="13">
        <v>6809</v>
      </c>
      <c r="V477" s="15">
        <f t="shared" ref="V477:V478" si="1410">U477-Q477</f>
        <v>1914</v>
      </c>
      <c r="W477" s="34">
        <f>V477*$F$8</f>
        <v>5167.8</v>
      </c>
      <c r="X477" s="39">
        <v>5000</v>
      </c>
      <c r="Y477" s="13">
        <v>7826</v>
      </c>
      <c r="Z477" s="2">
        <f t="shared" ref="Z477:Z478" si="1411">Y477-U477</f>
        <v>1017</v>
      </c>
      <c r="AA477" s="34">
        <f>Z477*$F$8</f>
        <v>2745.9</v>
      </c>
      <c r="AB477" s="32">
        <v>4000</v>
      </c>
      <c r="AC477" s="348">
        <v>8381</v>
      </c>
      <c r="AD477" s="15">
        <f t="shared" ref="AD477:AD478" si="1412">AC477-Y477</f>
        <v>555</v>
      </c>
      <c r="AE477" s="180">
        <f>AD477*$F$8</f>
        <v>1498.5</v>
      </c>
      <c r="AF477" s="248">
        <v>3000</v>
      </c>
      <c r="AG477" s="15">
        <v>8874</v>
      </c>
      <c r="AH477" s="2">
        <f>(AG477-AC477)*AH5</f>
        <v>520.608</v>
      </c>
      <c r="AI477" s="45">
        <f>AH477*$G$8</f>
        <v>1280.69568</v>
      </c>
      <c r="AJ477" s="248">
        <v>5000</v>
      </c>
      <c r="AK477" s="15">
        <v>9534</v>
      </c>
      <c r="AL477" s="15">
        <f>(AK477-AG477)*AL5</f>
        <v>678.48</v>
      </c>
      <c r="AM477" s="45">
        <f>AL477*$G$8</f>
        <v>1669.0608</v>
      </c>
      <c r="AN477" s="34">
        <v>666.43</v>
      </c>
      <c r="AO477" s="13">
        <v>10475</v>
      </c>
      <c r="AP477" s="15">
        <f>(AO477-AK477)*AP5</f>
        <v>972.053</v>
      </c>
      <c r="AQ477" s="45">
        <f>AP477*$G$8</f>
        <v>2391.25038</v>
      </c>
      <c r="AR477" s="1">
        <v>1700</v>
      </c>
      <c r="AS477" s="13">
        <v>12624</v>
      </c>
      <c r="AT477" s="15">
        <f>(AS477-AO477)*AT5</f>
        <v>2256.45</v>
      </c>
      <c r="AU477" s="45">
        <f>AT477*$G$8</f>
        <v>5550.867</v>
      </c>
      <c r="AV477" s="1">
        <v>3000</v>
      </c>
      <c r="AW477" s="13"/>
      <c r="AX477" s="15">
        <f>(AW477-AS477)*AX5</f>
        <v>0</v>
      </c>
      <c r="AY477" s="45">
        <f>AX477*$G$8</f>
        <v>0</v>
      </c>
      <c r="AZ477" s="246"/>
      <c r="BA477" s="13"/>
      <c r="BB477" s="15"/>
      <c r="BC477" s="45">
        <f>BB477*$G$8</f>
        <v>0</v>
      </c>
      <c r="BD477" s="208"/>
      <c r="BE477" s="40">
        <f t="shared" ref="BE477:BG477" si="1413">J477+N477+R477+V477+Z477+AD477+AH477+AL477+AP477+AT477+AX477+BB477</f>
        <v>16153.591</v>
      </c>
      <c r="BF477" s="41">
        <f t="shared" si="1413"/>
        <v>42552.07386</v>
      </c>
      <c r="BG477" s="34">
        <f t="shared" si="1413"/>
        <v>39366.43</v>
      </c>
      <c r="BH477" s="35">
        <f t="shared" si="1408"/>
        <v>4916.17386</v>
      </c>
      <c r="BK477" s="2" t="b">
        <f>H477='2021'!BH477</f>
        <v>1</v>
      </c>
    </row>
    <row r="478" ht="15.75" customHeight="1" spans="1:63" x14ac:dyDescent="0.25">
      <c r="A478" s="2">
        <v>53</v>
      </c>
      <c r="B478" s="14"/>
      <c r="C478" s="2" t="s">
        <v>153</v>
      </c>
      <c r="D478" s="14" t="s">
        <v>47</v>
      </c>
      <c r="E478" s="2" t="s">
        <v>48</v>
      </c>
      <c r="F478" s="13">
        <v>18.56</v>
      </c>
      <c r="G478" s="35">
        <v>19.46</v>
      </c>
      <c r="H478" s="180">
        <f>'2021'!BH478</f>
        <v>-282.43</v>
      </c>
      <c r="I478" s="13">
        <v>132</v>
      </c>
      <c r="J478" s="15"/>
      <c r="K478" s="15"/>
      <c r="L478" s="28"/>
      <c r="M478" s="13">
        <v>132</v>
      </c>
      <c r="N478" s="15">
        <f>M478-I478</f>
        <v>0</v>
      </c>
      <c r="Q478" s="13">
        <v>132</v>
      </c>
      <c r="R478" s="15">
        <f t="shared" si="1409"/>
        <v>0</v>
      </c>
      <c r="S478" s="15"/>
      <c r="T478" s="28"/>
      <c r="U478" s="13">
        <v>132</v>
      </c>
      <c r="V478" s="15">
        <f t="shared" si="1410"/>
        <v>0</v>
      </c>
      <c r="W478" s="180">
        <f>V478*$F$10</f>
        <v>0</v>
      </c>
      <c r="Y478" s="13">
        <v>138</v>
      </c>
      <c r="Z478" s="2">
        <f t="shared" si="1411"/>
        <v>6</v>
      </c>
      <c r="AA478" s="34">
        <f>Z478*$F$10</f>
        <v>122.1</v>
      </c>
      <c r="AB478" s="28"/>
      <c r="AC478" s="348">
        <v>148</v>
      </c>
      <c r="AD478" s="15">
        <f t="shared" si="1412"/>
        <v>10</v>
      </c>
      <c r="AE478" s="34">
        <f>AD478*$F$10</f>
        <v>203.5</v>
      </c>
      <c r="AF478" s="180"/>
      <c r="AG478" s="15">
        <v>149</v>
      </c>
      <c r="AH478" s="2">
        <f>AG478-AC478</f>
        <v>1</v>
      </c>
      <c r="AI478" s="45">
        <f>AH478*$G$10</f>
        <v>21.4</v>
      </c>
      <c r="AJ478" s="248"/>
      <c r="AK478" s="15">
        <v>151</v>
      </c>
      <c r="AL478" s="15">
        <f>AK478-AG478</f>
        <v>2</v>
      </c>
      <c r="AM478" s="45">
        <f>AL478*$G$10</f>
        <v>42.8</v>
      </c>
      <c r="AN478" s="15">
        <v>64.57</v>
      </c>
      <c r="AO478" s="13">
        <v>152</v>
      </c>
      <c r="AP478" s="15">
        <f>AO478-AK478</f>
        <v>1</v>
      </c>
      <c r="AQ478" s="45">
        <f>AP478*$G$10</f>
        <v>21.4</v>
      </c>
      <c r="AR478" s="15"/>
      <c r="AS478" s="13">
        <v>152</v>
      </c>
      <c r="AT478" s="15">
        <f>AS478-AO478</f>
        <v>0</v>
      </c>
      <c r="AU478" s="45">
        <f>AT478*$G$10</f>
        <v>0</v>
      </c>
      <c r="AV478" s="15"/>
      <c r="AW478" s="13"/>
      <c r="AX478" s="15">
        <f>AW478-AS478</f>
        <v>-152</v>
      </c>
      <c r="AY478" s="45"/>
      <c r="AZ478" s="208"/>
      <c r="BA478" s="13"/>
      <c r="BB478" s="15"/>
      <c r="BC478" s="45"/>
      <c r="BD478" s="208"/>
      <c r="BE478" s="40">
        <f t="shared" ref="BE478:BG478" si="1414">J478+N478+R478+V478+Z478+AD478+AH478+AL478+AP478+AT478+AX478+BB478</f>
        <v>-132</v>
      </c>
      <c r="BF478" s="41">
        <f t="shared" si="1414"/>
        <v>411.2</v>
      </c>
      <c r="BG478" s="34">
        <f t="shared" si="1414"/>
        <v>64.57</v>
      </c>
      <c r="BH478" s="35">
        <f t="shared" si="1408"/>
        <v>64.2</v>
      </c>
      <c r="BK478" s="2" t="b">
        <f>H478='2021'!BH478</f>
        <v>1</v>
      </c>
    </row>
    <row r="479" ht="15.75" customHeight="1" spans="1:63" x14ac:dyDescent="0.25">
      <c r="A479" s="2">
        <v>53</v>
      </c>
      <c r="B479" s="14"/>
      <c r="C479" s="2" t="s">
        <v>58</v>
      </c>
      <c r="D479" s="14" t="s">
        <v>47</v>
      </c>
      <c r="E479" s="2" t="s">
        <v>49</v>
      </c>
      <c r="F479" s="41">
        <v>500</v>
      </c>
      <c r="G479" s="28"/>
      <c r="H479" s="180">
        <f>'2021'!BH479</f>
        <v>0</v>
      </c>
      <c r="I479" s="13"/>
      <c r="J479" s="15"/>
      <c r="K479" s="15"/>
      <c r="L479" s="28"/>
      <c r="M479" s="13"/>
      <c r="N479" s="15"/>
      <c r="Q479" s="13"/>
      <c r="R479" s="15"/>
      <c r="S479" s="15"/>
      <c r="T479" s="28"/>
      <c r="U479" s="13"/>
      <c r="V479" s="15"/>
      <c r="Y479" s="13"/>
      <c r="Z479" s="2"/>
      <c r="AA479" s="15"/>
      <c r="AB479" s="28"/>
      <c r="AC479" s="348"/>
      <c r="AD479" s="15"/>
      <c r="AF479" s="34"/>
      <c r="AG479" s="15"/>
      <c r="AH479" s="2"/>
      <c r="AI479" s="45"/>
      <c r="AJ479" s="15"/>
      <c r="AK479" s="15"/>
      <c r="AL479" s="15"/>
      <c r="AM479" s="45"/>
      <c r="AN479" s="15"/>
      <c r="AO479" s="13"/>
      <c r="AP479" s="15"/>
      <c r="AQ479" s="45"/>
      <c r="AR479" s="15"/>
      <c r="AS479" s="13"/>
      <c r="AT479" s="15"/>
      <c r="AU479" s="45"/>
      <c r="AV479" s="15"/>
      <c r="AW479" s="13"/>
      <c r="AX479" s="15"/>
      <c r="AY479" s="45"/>
      <c r="AZ479" s="28"/>
      <c r="BA479" s="13"/>
      <c r="BB479" s="15"/>
      <c r="BC479" s="45"/>
      <c r="BD479" s="28"/>
      <c r="BE479" s="14"/>
      <c r="BF479" s="41">
        <f t="shared" ref="BF479:BG479" si="1415">K479+O479+S479+W479+AA479+AE479+AI479+AM479+AQ479+AU479+AY479+BC479</f>
        <v>0</v>
      </c>
      <c r="BG479" s="34">
        <f t="shared" si="1415"/>
        <v>0</v>
      </c>
      <c r="BH479" s="35">
        <f t="shared" si="1408"/>
        <v>0</v>
      </c>
      <c r="BK479" s="2" t="b">
        <f>H479='2021'!BH479</f>
        <v>1</v>
      </c>
    </row>
    <row r="480" ht="15.75" customHeight="1" spans="1:63" x14ac:dyDescent="0.25">
      <c r="A480" s="2">
        <v>53</v>
      </c>
      <c r="B480" s="14"/>
      <c r="C480" s="73" t="s">
        <v>501</v>
      </c>
      <c r="D480" s="14" t="s">
        <v>50</v>
      </c>
      <c r="E480" s="2" t="s">
        <v>49</v>
      </c>
      <c r="F480" s="41">
        <v>1100</v>
      </c>
      <c r="G480" s="28"/>
      <c r="H480" s="180">
        <f>'2021'!BH480</f>
        <v>0</v>
      </c>
      <c r="I480" s="13"/>
      <c r="J480" s="15"/>
      <c r="K480" s="15"/>
      <c r="L480" s="28"/>
      <c r="M480" s="13"/>
      <c r="N480" s="15"/>
      <c r="Q480" s="13"/>
      <c r="R480" s="15"/>
      <c r="S480" s="15"/>
      <c r="T480" s="28"/>
      <c r="U480" s="13"/>
      <c r="V480" s="15"/>
      <c r="Y480" s="13"/>
      <c r="Z480" s="2"/>
      <c r="AA480" s="15"/>
      <c r="AB480" s="28"/>
      <c r="AC480" s="348"/>
      <c r="AD480" s="15"/>
      <c r="AE480" s="34">
        <f>B477*$F$12</f>
        <v>6565</v>
      </c>
      <c r="AF480" s="34"/>
      <c r="AG480" s="15"/>
      <c r="AH480" s="2"/>
      <c r="AI480" s="45"/>
      <c r="AJ480" s="180"/>
      <c r="AK480" s="15"/>
      <c r="AL480" s="15"/>
      <c r="AM480" s="45"/>
      <c r="AN480" s="39">
        <v>6565</v>
      </c>
      <c r="AO480" s="13"/>
      <c r="AP480" s="15"/>
      <c r="AQ480" s="45"/>
      <c r="AR480" s="15"/>
      <c r="AS480" s="13"/>
      <c r="AT480" s="15"/>
      <c r="AU480" s="45"/>
      <c r="AV480" s="15"/>
      <c r="AW480" s="13"/>
      <c r="AX480" s="15"/>
      <c r="AY480" s="45"/>
      <c r="AZ480" s="28"/>
      <c r="BA480" s="13"/>
      <c r="BB480" s="15"/>
      <c r="BC480" s="45"/>
      <c r="BD480" s="28"/>
      <c r="BE480" s="14"/>
      <c r="BF480" s="41">
        <f t="shared" ref="BF480:BG480" si="1416">K480+O480+S480+W480+AA480+AE480+AI480+AM480+AQ480+AU480+AY480+BC480</f>
        <v>6565</v>
      </c>
      <c r="BG480" s="34">
        <f t="shared" si="1416"/>
        <v>6565</v>
      </c>
      <c r="BH480" s="35">
        <f t="shared" si="1408"/>
        <v>0</v>
      </c>
      <c r="BK480" s="2" t="b">
        <f>H480='2021'!BH480</f>
        <v>1</v>
      </c>
    </row>
    <row r="481" ht="15.75" customHeight="1" spans="1:63" x14ac:dyDescent="0.25">
      <c r="A481" s="2">
        <v>53</v>
      </c>
      <c r="B481" s="14"/>
      <c r="C481" s="2" t="s">
        <v>193</v>
      </c>
      <c r="D481" s="14" t="s">
        <v>51</v>
      </c>
      <c r="E481" s="2" t="s">
        <v>39</v>
      </c>
      <c r="F481" s="41">
        <v>500</v>
      </c>
      <c r="G481" s="28"/>
      <c r="H481" s="180">
        <f>'2021'!BH481</f>
        <v>0</v>
      </c>
      <c r="I481" s="13"/>
      <c r="J481" s="15"/>
      <c r="K481" s="15"/>
      <c r="L481" s="28"/>
      <c r="M481" s="13"/>
      <c r="N481" s="15"/>
      <c r="Q481" s="13"/>
      <c r="R481" s="15"/>
      <c r="S481" s="15"/>
      <c r="T481" s="28"/>
      <c r="U481" s="13"/>
      <c r="V481" s="15"/>
      <c r="Y481" s="13"/>
      <c r="Z481" s="2"/>
      <c r="AA481" s="15"/>
      <c r="AB481" s="28"/>
      <c r="AC481" s="348"/>
      <c r="AD481" s="15"/>
      <c r="AE481" s="180">
        <f>$F$13</f>
        <v>1000</v>
      </c>
      <c r="AG481" s="15"/>
      <c r="AH481" s="2"/>
      <c r="AI481" s="45"/>
      <c r="AJ481" s="180"/>
      <c r="AK481" s="15"/>
      <c r="AL481" s="15"/>
      <c r="AM481" s="45"/>
      <c r="AN481" s="1">
        <v>1000</v>
      </c>
      <c r="AO481" s="13"/>
      <c r="AP481" s="15"/>
      <c r="AQ481" s="180"/>
      <c r="AR481" s="15"/>
      <c r="AS481" s="13"/>
      <c r="AT481" s="15"/>
      <c r="AU481" s="45"/>
      <c r="AV481" s="15"/>
      <c r="AW481" s="13"/>
      <c r="AX481" s="15"/>
      <c r="AY481" s="45"/>
      <c r="AZ481" s="28"/>
      <c r="BA481" s="13"/>
      <c r="BB481" s="15"/>
      <c r="BC481" s="45"/>
      <c r="BD481" s="28"/>
      <c r="BE481" s="14"/>
      <c r="BF481" s="41">
        <f t="shared" ref="BF481:BG481" si="1417">K481+O481+S481+W481+AA481+AE481+AI481+AM481+AQ481+AU481+AY481+BC481</f>
        <v>1000</v>
      </c>
      <c r="BG481" s="34">
        <f t="shared" si="1417"/>
        <v>1000</v>
      </c>
      <c r="BH481" s="35">
        <f t="shared" si="1408"/>
        <v>0</v>
      </c>
      <c r="BK481" s="2" t="b">
        <f>H481='2021'!BH481</f>
        <v>1</v>
      </c>
    </row>
    <row r="482" ht="15.75" customHeight="1" spans="1:63" x14ac:dyDescent="0.25">
      <c r="A482" s="2">
        <v>53</v>
      </c>
      <c r="B482" s="14"/>
      <c r="C482" s="2" t="s">
        <v>211</v>
      </c>
      <c r="D482" s="14" t="s">
        <v>51</v>
      </c>
      <c r="E482" s="2" t="s">
        <v>49</v>
      </c>
      <c r="F482" s="41">
        <v>500</v>
      </c>
      <c r="G482" s="28"/>
      <c r="H482" s="180">
        <f>'2021'!BH482</f>
        <v>0</v>
      </c>
      <c r="I482" s="13"/>
      <c r="J482" s="15"/>
      <c r="K482" s="15"/>
      <c r="L482" s="28"/>
      <c r="M482" s="13"/>
      <c r="N482" s="15"/>
      <c r="Q482" s="13"/>
      <c r="R482" s="15"/>
      <c r="S482" s="15"/>
      <c r="T482" s="28"/>
      <c r="U482" s="13"/>
      <c r="V482" s="15"/>
      <c r="Y482" s="13"/>
      <c r="Z482" s="2"/>
      <c r="AA482" s="15"/>
      <c r="AB482" s="28"/>
      <c r="AC482" s="348"/>
      <c r="AD482" s="15"/>
      <c r="AE482" s="34"/>
      <c r="AG482" s="15"/>
      <c r="AH482" s="2"/>
      <c r="AI482" s="45"/>
      <c r="AJ482" s="180"/>
      <c r="AK482" s="15"/>
      <c r="AL482" s="15"/>
      <c r="AM482" s="45"/>
      <c r="AN482" s="1"/>
      <c r="AO482" s="13"/>
      <c r="AP482" s="15"/>
      <c r="AQ482" s="180">
        <f>B477*$F$14</f>
        <v>0</v>
      </c>
      <c r="AR482" s="15"/>
      <c r="AS482" s="13"/>
      <c r="AT482" s="15"/>
      <c r="AU482" s="45"/>
      <c r="AV482" s="15"/>
      <c r="AW482" s="13"/>
      <c r="AX482" s="15"/>
      <c r="AY482" s="45"/>
      <c r="AZ482" s="28"/>
      <c r="BA482" s="13"/>
      <c r="BB482" s="15"/>
      <c r="BC482" s="45"/>
      <c r="BD482" s="28"/>
      <c r="BE482" s="14"/>
      <c r="BF482" s="41">
        <f t="shared" ref="BF482:BG482" si="1418">K482+O482+S482+W482+AA482+AE482+AI482+AM482+AQ482+AU482+AY482+BC482</f>
        <v>0</v>
      </c>
      <c r="BG482" s="34">
        <f t="shared" si="1418"/>
        <v>0</v>
      </c>
      <c r="BH482" s="35">
        <f t="shared" si="1408"/>
        <v>0</v>
      </c>
      <c r="BK482" s="2" t="b">
        <f>H482='2021'!BH482</f>
        <v>1</v>
      </c>
    </row>
    <row r="483" ht="15.75" customHeight="1" spans="1:63" x14ac:dyDescent="0.25">
      <c r="A483" s="2">
        <v>53</v>
      </c>
      <c r="B483" s="14"/>
      <c r="D483" s="14" t="s">
        <v>52</v>
      </c>
      <c r="E483" s="2" t="s">
        <v>39</v>
      </c>
      <c r="F483" s="41">
        <v>500</v>
      </c>
      <c r="G483" s="28"/>
      <c r="H483" s="180">
        <f>'2021'!BH483</f>
        <v>0</v>
      </c>
      <c r="I483" s="13"/>
      <c r="J483" s="15"/>
      <c r="K483" s="15"/>
      <c r="L483" s="28"/>
      <c r="M483" s="13"/>
      <c r="N483" s="15"/>
      <c r="Q483" s="13"/>
      <c r="R483" s="15"/>
      <c r="S483" s="15"/>
      <c r="T483" s="28"/>
      <c r="U483" s="13"/>
      <c r="V483" s="15"/>
      <c r="Y483" s="13"/>
      <c r="Z483" s="2"/>
      <c r="AA483" s="34">
        <f>$F$15</f>
      </c>
      <c r="AB483" s="28"/>
      <c r="AC483" s="348"/>
      <c r="AD483" s="15"/>
      <c r="AG483" s="15"/>
      <c r="AH483" s="2"/>
      <c r="AI483" s="45"/>
      <c r="AJ483" s="180"/>
      <c r="AK483" s="15"/>
      <c r="AL483" s="15"/>
      <c r="AM483" s="45"/>
      <c r="AN483" s="15"/>
      <c r="AO483" s="13"/>
      <c r="AP483" s="15"/>
      <c r="AQ483" s="45"/>
      <c r="AR483" s="15"/>
      <c r="AS483" s="13"/>
      <c r="AT483" s="15"/>
      <c r="AU483" s="45"/>
      <c r="AV483" s="15"/>
      <c r="AW483" s="13"/>
      <c r="AX483" s="15"/>
      <c r="AY483" s="45"/>
      <c r="AZ483" s="35"/>
      <c r="BA483" s="13"/>
      <c r="BB483" s="15"/>
      <c r="BC483" s="45"/>
      <c r="BD483" s="35"/>
      <c r="BE483" s="14"/>
      <c r="BF483" s="41">
        <f t="shared" ref="BF483:BG483" si="1419">K483+O483+S483+W483+AA483+AE483+AI483+AM483+AQ483+AU483+AY483+BC483</f>
        <v>0</v>
      </c>
      <c r="BG483" s="34">
        <f t="shared" si="1419"/>
        <v>0</v>
      </c>
      <c r="BH483" s="35">
        <f t="shared" si="1408"/>
        <v>0</v>
      </c>
      <c r="BK483" s="2" t="b">
        <f>H483='2021'!BH483</f>
        <v>1</v>
      </c>
    </row>
    <row r="484" ht="15.75" customHeight="1" spans="1:63" x14ac:dyDescent="0.25">
      <c r="A484" s="247">
        <v>53</v>
      </c>
      <c r="B484" s="21"/>
      <c r="C484" s="22" t="s">
        <v>53</v>
      </c>
      <c r="D484" s="21"/>
      <c r="E484" s="22"/>
      <c r="F484" s="20"/>
      <c r="G484" s="23"/>
      <c r="H484" s="51">
        <f>SUM(H476:H483)</f>
        <v>1448.6</v>
      </c>
      <c r="I484" s="52"/>
      <c r="J484" s="53"/>
      <c r="K484" s="51">
        <f t="shared" ref="K484:L484" si="1420">SUM(K476:K483)</f>
        <v>9031.5</v>
      </c>
      <c r="L484" s="68">
        <f t="shared" si="1420"/>
        <v>0</v>
      </c>
      <c r="M484" s="52"/>
      <c r="N484" s="53"/>
      <c r="O484" s="51">
        <f t="shared" ref="O484:P484" si="1421">SUM(O476:O483)</f>
        <v>6075</v>
      </c>
      <c r="P484" s="51">
        <f t="shared" si="1421"/>
        <v>5000</v>
      </c>
      <c r="Q484" s="52"/>
      <c r="R484" s="53"/>
      <c r="S484" s="51">
        <f t="shared" ref="S484:T484" si="1422">SUM(S476:S483)</f>
        <v>7141.5</v>
      </c>
      <c r="T484" s="51">
        <f t="shared" si="1422"/>
        <v>12000</v>
      </c>
      <c r="U484" s="52"/>
      <c r="V484" s="53"/>
      <c r="W484" s="51">
        <f t="shared" ref="W484:X484" si="1423">SUM(W476:W483)</f>
        <v>5167.8</v>
      </c>
      <c r="X484" s="51">
        <f t="shared" si="1423"/>
        <v>5000</v>
      </c>
      <c r="Y484" s="52"/>
      <c r="Z484" s="301"/>
      <c r="AA484" s="51">
        <f t="shared" ref="AA484:AB484" si="1424">SUM(AA476:AA483)</f>
        <v>3116.5</v>
      </c>
      <c r="AB484" s="51">
        <f t="shared" si="1424"/>
        <v>4000</v>
      </c>
      <c r="AC484" s="367"/>
      <c r="AD484" s="53"/>
      <c r="AE484" s="51">
        <f t="shared" ref="AE484:AF484" si="1425">SUM(AE476:AE483)</f>
        <v>9267</v>
      </c>
      <c r="AF484" s="51">
        <f t="shared" si="1425"/>
        <v>3000</v>
      </c>
      <c r="AG484" s="52"/>
      <c r="AH484" s="301"/>
      <c r="AI484" s="183">
        <f t="shared" ref="AI484:AJ484" si="1426">SUM(AI476:AI483)</f>
        <v>1302.09568</v>
      </c>
      <c r="AJ484" s="51">
        <f t="shared" si="1426"/>
        <v>5000</v>
      </c>
      <c r="AK484" s="52"/>
      <c r="AL484" s="53"/>
      <c r="AM484" s="183">
        <f t="shared" ref="AM484:AN484" si="1427">SUM(AM476:AM483)</f>
        <v>1711.8608</v>
      </c>
      <c r="AN484" s="51">
        <f t="shared" si="1427"/>
        <v>8545</v>
      </c>
      <c r="AO484" s="52"/>
      <c r="AP484" s="53"/>
      <c r="AQ484" s="183">
        <f t="shared" ref="AQ484:AR484" si="1428">SUM(AQ476:AQ483)</f>
        <v>2412.65038</v>
      </c>
      <c r="AR484" s="51">
        <f t="shared" si="1428"/>
        <v>1700</v>
      </c>
      <c r="AS484" s="52"/>
      <c r="AT484" s="53"/>
      <c r="AU484" s="183">
        <f t="shared" ref="AU484:AV484" si="1429">SUM(AU476:AU483)</f>
        <v>5550.867</v>
      </c>
      <c r="AV484" s="68">
        <f t="shared" si="1429"/>
        <v>3000</v>
      </c>
      <c r="AW484" s="52"/>
      <c r="AX484" s="53"/>
      <c r="AY484" s="183">
        <f t="shared" ref="AY484:AZ484" si="1430">SUM(AY476:AY483)</f>
        <v>0</v>
      </c>
      <c r="AZ484" s="68">
        <f t="shared" si="1430"/>
        <v>0</v>
      </c>
      <c r="BA484" s="52"/>
      <c r="BB484" s="53"/>
      <c r="BC484" s="183">
        <f t="shared" ref="BC484:BD484" si="1431">SUM(BC476:BC483)</f>
        <v>0</v>
      </c>
      <c r="BD484" s="68">
        <f t="shared" si="1431"/>
        <v>0</v>
      </c>
      <c r="BE484" s="69"/>
      <c r="BF484" s="70">
        <f t="shared" ref="BF484:BH484" si="1432">SUM(BF476:BF483)</f>
        <v>50776.77386</v>
      </c>
      <c r="BG484" s="71">
        <f t="shared" si="1432"/>
        <v>47245</v>
      </c>
      <c r="BH484" s="72">
        <f t="shared" si="1432"/>
        <v>4980.37386</v>
      </c>
      <c r="BI484" s="34">
        <f>H484+BF484-BG484</f>
        <v>4980.37386</v>
      </c>
      <c r="BJ484" s="34">
        <f>BH484-BI484</f>
        <v>0</v>
      </c>
      <c r="BK484" s="2" t="b">
        <f>H484='2021'!BH484</f>
        <v>1</v>
      </c>
    </row>
    <row r="485" ht="15.75" customHeight="1" spans="1:63" x14ac:dyDescent="0.25">
      <c r="A485" s="2">
        <v>54</v>
      </c>
      <c r="B485" s="14"/>
      <c r="D485" s="14" t="s">
        <v>552</v>
      </c>
      <c r="F485" s="13"/>
      <c r="G485" s="28"/>
      <c r="H485" s="34">
        <f>'2021'!BH485</f>
        <v>0</v>
      </c>
      <c r="I485" s="13"/>
      <c r="J485" s="15"/>
      <c r="K485" s="15"/>
      <c r="L485" s="28"/>
      <c r="M485" s="13"/>
      <c r="N485" s="15"/>
      <c r="Q485" s="13"/>
      <c r="R485" s="15"/>
      <c r="S485" s="15"/>
      <c r="T485" s="28"/>
      <c r="U485" s="13"/>
      <c r="V485" s="15"/>
      <c r="Y485" s="13"/>
      <c r="Z485" s="2"/>
      <c r="AA485" s="154">
        <v>248.5</v>
      </c>
      <c r="AB485" s="28"/>
      <c r="AC485" s="348"/>
      <c r="AD485" s="15"/>
      <c r="AG485" s="15"/>
      <c r="AH485" s="2"/>
      <c r="AI485" s="45"/>
      <c r="AJ485" s="182">
        <v>248.5</v>
      </c>
      <c r="AK485" s="15"/>
      <c r="AM485" s="45"/>
      <c r="AO485" s="13"/>
      <c r="AQ485" s="45"/>
      <c r="AS485" s="13"/>
      <c r="AU485" s="45"/>
      <c r="AW485" s="13"/>
      <c r="AY485" s="45"/>
      <c r="AZ485" s="28"/>
      <c r="BA485" s="13"/>
      <c r="BB485" s="15"/>
      <c r="BC485" s="45"/>
      <c r="BD485" s="28"/>
      <c r="BE485" s="14"/>
      <c r="BF485" s="41">
        <f t="shared" ref="BF485:BG485" si="1433">K485+O485+S485+W485+AA485+AE485+AI485+AM485+AQ485+AU485+AY485+BC485</f>
        <v>248.5</v>
      </c>
      <c r="BG485" s="34">
        <f t="shared" si="1433"/>
        <v>248.5</v>
      </c>
      <c r="BH485" s="35">
        <f t="shared" ref="BH485:BH492" si="1434">H485+BF485-BG485</f>
        <v>0</v>
      </c>
      <c r="BK485" s="2" t="b">
        <f>H485='2021'!BH485</f>
        <v>1</v>
      </c>
    </row>
    <row r="486" ht="15.75" customHeight="1" spans="1:63" x14ac:dyDescent="0.25">
      <c r="A486" s="2">
        <v>54</v>
      </c>
      <c r="B486" s="14">
        <v>5.54</v>
      </c>
      <c r="C486" s="2" t="s">
        <v>212</v>
      </c>
      <c r="D486" s="14" t="s">
        <v>44</v>
      </c>
      <c r="E486" s="2" t="s">
        <v>45</v>
      </c>
      <c r="F486" s="41">
        <v>2.5</v>
      </c>
      <c r="G486" s="35">
        <v>2.6</v>
      </c>
      <c r="H486" s="34">
        <f>'2021'!BH486</f>
        <v>210.6</v>
      </c>
      <c r="I486" s="13">
        <v>502</v>
      </c>
      <c r="J486" s="15">
        <f>I486-'2021'!BA486</f>
        <v>15</v>
      </c>
      <c r="K486" s="34">
        <f>J486*$F$8</f>
        <v>40.5</v>
      </c>
      <c r="L486" s="28"/>
      <c r="M486" s="13">
        <v>509</v>
      </c>
      <c r="N486" s="15">
        <f t="shared" ref="N486:N487" si="1435">M486-I486</f>
        <v>7</v>
      </c>
      <c r="O486" s="34">
        <f>N486*$F$8</f>
        <v>18.9</v>
      </c>
      <c r="Q486" s="13">
        <v>509</v>
      </c>
      <c r="R486" s="15">
        <f t="shared" ref="R486:R487" si="1436">Q486-M486</f>
        <v>0</v>
      </c>
      <c r="S486" s="34">
        <f>R486*$F$8</f>
        <v>0</v>
      </c>
      <c r="T486" s="28">
        <v>500</v>
      </c>
      <c r="U486" s="13">
        <v>509</v>
      </c>
      <c r="V486" s="15">
        <f t="shared" ref="V486:V487" si="1437">U486-Q486</f>
        <v>0</v>
      </c>
      <c r="W486" s="34">
        <f>V486*$F$8</f>
        <v>0</v>
      </c>
      <c r="X486" s="34"/>
      <c r="Y486" s="13">
        <v>533</v>
      </c>
      <c r="Z486" s="2">
        <f t="shared" ref="Z486:Z487" si="1438">Y486-U486</f>
        <v>24</v>
      </c>
      <c r="AA486" s="34">
        <f>Z486*$F$8</f>
        <v>64.8</v>
      </c>
      <c r="AB486" s="28"/>
      <c r="AC486" s="348">
        <v>542</v>
      </c>
      <c r="AD486" s="15">
        <f t="shared" ref="AD486:AD487" si="1439">AC486-Y486</f>
        <v>9</v>
      </c>
      <c r="AE486" s="180">
        <f>AD486*$F$8</f>
        <v>24.3</v>
      </c>
      <c r="AF486" s="182"/>
      <c r="AG486" s="15">
        <v>550</v>
      </c>
      <c r="AH486" s="2">
        <f>(AG486-AC486)*AH5</f>
        <v>8.448</v>
      </c>
      <c r="AI486" s="45">
        <f>AH486*$G$8</f>
        <v>20.78208</v>
      </c>
      <c r="AJ486" s="180"/>
      <c r="AK486" s="15">
        <v>554</v>
      </c>
      <c r="AL486" s="15">
        <f>(AK486-AG486)*AL5</f>
        <v>4.112</v>
      </c>
      <c r="AM486" s="45">
        <f>AL486*$G$8</f>
        <v>10.11552</v>
      </c>
      <c r="AN486" s="15"/>
      <c r="AO486" s="13">
        <v>557</v>
      </c>
      <c r="AP486" s="15">
        <f>(AO486-AK486)*AP5</f>
        <v>3.099</v>
      </c>
      <c r="AQ486" s="45">
        <f>AP486*$G$8</f>
        <v>7.62354</v>
      </c>
      <c r="AR486" s="15"/>
      <c r="AS486" s="13">
        <v>561</v>
      </c>
      <c r="AT486" s="15">
        <f>(AS486-AO486)*AT5</f>
        <v>4.2</v>
      </c>
      <c r="AU486" s="45">
        <f>AT486*$G$8</f>
        <v>10.332</v>
      </c>
      <c r="AV486" s="15"/>
      <c r="AW486" s="13"/>
      <c r="AX486" s="15">
        <f>(AW486-AS486)*AX5</f>
        <v>0</v>
      </c>
      <c r="AY486" s="45">
        <f>AX486*$G$8</f>
        <v>0</v>
      </c>
      <c r="AZ486" s="208"/>
      <c r="BA486" s="13"/>
      <c r="BB486" s="15"/>
      <c r="BC486" s="45">
        <f>BB486*$G$8</f>
        <v>0</v>
      </c>
      <c r="BD486" s="208"/>
      <c r="BE486" s="40">
        <f t="shared" ref="BE486:BG486" si="1440">J486+N486+R486+V486+Z486+AD486+AH486+AL486+AP486+AT486+AX486+BB486</f>
        <v>74.859</v>
      </c>
      <c r="BF486" s="41">
        <f t="shared" si="1440"/>
        <v>197.35314</v>
      </c>
      <c r="BG486" s="34">
        <f t="shared" si="1440"/>
        <v>500</v>
      </c>
      <c r="BH486" s="35">
        <f t="shared" si="1434"/>
        <v>-92.04686</v>
      </c>
      <c r="BK486" s="2" t="b">
        <f>H486='2021'!BH486</f>
        <v>1</v>
      </c>
    </row>
    <row r="487" ht="15.75" customHeight="1" spans="1:63" x14ac:dyDescent="0.25">
      <c r="A487" s="2">
        <v>54</v>
      </c>
      <c r="B487" s="14"/>
      <c r="C487" s="2" t="s">
        <v>87</v>
      </c>
      <c r="D487" s="14" t="s">
        <v>47</v>
      </c>
      <c r="E487" s="2" t="s">
        <v>48</v>
      </c>
      <c r="F487" s="13">
        <v>18.56</v>
      </c>
      <c r="G487" s="35">
        <v>19.46</v>
      </c>
      <c r="H487" s="34">
        <f>'2021'!BH487</f>
        <v>0</v>
      </c>
      <c r="I487" s="13">
        <v>150</v>
      </c>
      <c r="J487" s="15"/>
      <c r="K487" s="15"/>
      <c r="L487" s="28"/>
      <c r="M487" s="13">
        <v>150</v>
      </c>
      <c r="N487" s="15">
        <f t="shared" si="1435"/>
        <v>0</v>
      </c>
      <c r="Q487" s="13">
        <v>150</v>
      </c>
      <c r="R487" s="15">
        <f t="shared" si="1436"/>
        <v>0</v>
      </c>
      <c r="S487" s="15"/>
      <c r="T487" s="28"/>
      <c r="U487" s="13">
        <v>150</v>
      </c>
      <c r="V487" s="15">
        <f t="shared" si="1437"/>
        <v>0</v>
      </c>
      <c r="W487" s="34">
        <f>V487*$F$10</f>
        <v>0</v>
      </c>
      <c r="Y487" s="13">
        <v>160</v>
      </c>
      <c r="Z487" s="2">
        <f t="shared" si="1438"/>
        <v>10</v>
      </c>
      <c r="AA487" s="34">
        <f>Z487*$F$10</f>
        <v>203.5</v>
      </c>
      <c r="AB487" s="28"/>
      <c r="AC487" s="348">
        <v>169</v>
      </c>
      <c r="AD487" s="15">
        <f t="shared" si="1439"/>
        <v>9</v>
      </c>
      <c r="AE487" s="34">
        <f>AD487*$F$10</f>
        <v>183.15</v>
      </c>
      <c r="AF487" s="154"/>
      <c r="AG487" s="15">
        <v>174</v>
      </c>
      <c r="AH487" s="2">
        <f>AG487-AC487</f>
        <v>5</v>
      </c>
      <c r="AI487" s="45">
        <f>AH487*$G$10</f>
        <v>107</v>
      </c>
      <c r="AJ487" s="182">
        <v>386.65</v>
      </c>
      <c r="AK487" s="15">
        <v>176</v>
      </c>
      <c r="AL487" s="15">
        <f>AK487-AG487</f>
        <v>2</v>
      </c>
      <c r="AM487" s="45">
        <f>AL487*$G$10</f>
        <v>42.8</v>
      </c>
      <c r="AN487" s="15"/>
      <c r="AO487" s="13">
        <v>177</v>
      </c>
      <c r="AP487" s="15">
        <f>AO487-AK487</f>
        <v>1</v>
      </c>
      <c r="AQ487" s="45">
        <f>AP487*$G$10</f>
        <v>21.4</v>
      </c>
      <c r="AR487" s="15"/>
      <c r="AS487" s="13">
        <v>177</v>
      </c>
      <c r="AT487" s="15">
        <f>AS487-AO487</f>
        <v>0</v>
      </c>
      <c r="AU487" s="45">
        <f>AT487*$G$10</f>
        <v>0</v>
      </c>
      <c r="AV487" s="15"/>
      <c r="AW487" s="13"/>
      <c r="AX487" s="15">
        <f>AW487-AS487</f>
        <v>-177</v>
      </c>
      <c r="AY487" s="45"/>
      <c r="AZ487" s="208"/>
      <c r="BA487" s="13"/>
      <c r="BB487" s="15"/>
      <c r="BC487" s="45"/>
      <c r="BD487" s="208"/>
      <c r="BE487" s="40">
        <f t="shared" ref="BE487:BG487" si="1441">J487+N487+R487+V487+Z487+AD487+AH487+AL487+AP487+AT487+AX487+BB487</f>
        <v>-150</v>
      </c>
      <c r="BF487" s="41">
        <f t="shared" si="1441"/>
        <v>557.85</v>
      </c>
      <c r="BG487" s="34">
        <f t="shared" si="1441"/>
        <v>386.65</v>
      </c>
      <c r="BH487" s="35">
        <f t="shared" si="1434"/>
        <v>171.2</v>
      </c>
      <c r="BK487" s="2" t="b">
        <f>H487='2021'!BH487</f>
        <v>1</v>
      </c>
    </row>
    <row r="488" ht="15.75" customHeight="1" spans="1:63" x14ac:dyDescent="0.25">
      <c r="A488" s="2">
        <v>54</v>
      </c>
      <c r="B488" s="14"/>
      <c r="C488" s="15" t="s">
        <v>421</v>
      </c>
      <c r="D488" s="14" t="s">
        <v>47</v>
      </c>
      <c r="E488" s="2" t="s">
        <v>49</v>
      </c>
      <c r="F488" s="41">
        <v>500</v>
      </c>
      <c r="G488" s="28"/>
      <c r="H488" s="34">
        <f>'2021'!BH488</f>
        <v>0</v>
      </c>
      <c r="I488" s="13"/>
      <c r="J488" s="15"/>
      <c r="K488" s="15"/>
      <c r="L488" s="28"/>
      <c r="M488" s="13"/>
      <c r="N488" s="15"/>
      <c r="Q488" s="13"/>
      <c r="R488" s="15"/>
      <c r="S488" s="15"/>
      <c r="T488" s="28"/>
      <c r="U488" s="13"/>
      <c r="V488" s="15"/>
      <c r="Y488" s="13"/>
      <c r="Z488" s="2"/>
      <c r="AA488" s="15"/>
      <c r="AB488" s="28"/>
      <c r="AC488" s="348"/>
      <c r="AD488" s="15"/>
      <c r="AF488" s="154"/>
      <c r="AG488" s="15"/>
      <c r="AH488" s="2"/>
      <c r="AI488" s="45"/>
      <c r="AJ488" s="15"/>
      <c r="AK488" s="15"/>
      <c r="AL488" s="15"/>
      <c r="AM488" s="45"/>
      <c r="AN488" s="15"/>
      <c r="AO488" s="13"/>
      <c r="AP488" s="15"/>
      <c r="AQ488" s="45"/>
      <c r="AR488" s="15"/>
      <c r="AS488" s="13"/>
      <c r="AT488" s="15"/>
      <c r="AU488" s="45"/>
      <c r="AV488" s="15"/>
      <c r="AW488" s="13"/>
      <c r="AX488" s="15"/>
      <c r="AY488" s="45"/>
      <c r="AZ488" s="28"/>
      <c r="BA488" s="13"/>
      <c r="BB488" s="15"/>
      <c r="BC488" s="45"/>
      <c r="BD488" s="28"/>
      <c r="BE488" s="14"/>
      <c r="BF488" s="41">
        <f t="shared" ref="BF488:BG488" si="1442">K488+O488+S488+W488+AA488+AE488+AI488+AM488+AQ488+AU488+AY488+BC488</f>
        <v>0</v>
      </c>
      <c r="BG488" s="34">
        <f t="shared" si="1442"/>
        <v>0</v>
      </c>
      <c r="BH488" s="35">
        <f t="shared" si="1434"/>
        <v>0</v>
      </c>
      <c r="BK488" s="2" t="b">
        <f>H488='2021'!BH488</f>
        <v>1</v>
      </c>
    </row>
    <row r="489" ht="15.75" customHeight="1" spans="1:63" x14ac:dyDescent="0.25">
      <c r="A489" s="2">
        <v>54</v>
      </c>
      <c r="B489" s="14"/>
      <c r="C489" s="2" t="s">
        <v>137</v>
      </c>
      <c r="D489" s="14" t="s">
        <v>50</v>
      </c>
      <c r="E489" s="2" t="s">
        <v>49</v>
      </c>
      <c r="F489" s="41">
        <v>1100</v>
      </c>
      <c r="G489" s="28"/>
      <c r="H489" s="34">
        <f>'2021'!BH489</f>
        <v>0</v>
      </c>
      <c r="I489" s="13"/>
      <c r="J489" s="15"/>
      <c r="K489" s="15"/>
      <c r="L489" s="28"/>
      <c r="M489" s="13"/>
      <c r="N489" s="15"/>
      <c r="Q489" s="13"/>
      <c r="R489" s="15"/>
      <c r="S489" s="15"/>
      <c r="T489" s="28"/>
      <c r="U489" s="13"/>
      <c r="V489" s="15"/>
      <c r="Y489" s="13"/>
      <c r="Z489" s="2"/>
      <c r="AA489" s="15"/>
      <c r="AB489" s="28"/>
      <c r="AC489" s="348"/>
      <c r="AD489" s="15"/>
      <c r="AE489" s="34">
        <f>B486*$F$12</f>
        <v>7202</v>
      </c>
      <c r="AF489" s="182"/>
      <c r="AG489" s="15"/>
      <c r="AH489" s="2"/>
      <c r="AI489" s="45"/>
      <c r="AJ489" s="182">
        <v>7202</v>
      </c>
      <c r="AK489" s="15"/>
      <c r="AL489" s="15"/>
      <c r="AM489" s="45"/>
      <c r="AN489" s="15"/>
      <c r="AO489" s="13"/>
      <c r="AP489" s="15"/>
      <c r="AQ489" s="45"/>
      <c r="AR489" s="15"/>
      <c r="AS489" s="13"/>
      <c r="AT489" s="15"/>
      <c r="AU489" s="45"/>
      <c r="AV489" s="15"/>
      <c r="AW489" s="13"/>
      <c r="AX489" s="15"/>
      <c r="AY489" s="45"/>
      <c r="AZ489" s="28"/>
      <c r="BA489" s="13"/>
      <c r="BB489" s="15"/>
      <c r="BC489" s="45"/>
      <c r="BD489" s="28"/>
      <c r="BE489" s="14"/>
      <c r="BF489" s="41">
        <f t="shared" ref="BF489:BG489" si="1443">K489+O489+S489+W489+AA489+AE489+AI489+AM489+AQ489+AU489+AY489+BC489</f>
        <v>7202</v>
      </c>
      <c r="BG489" s="34">
        <f t="shared" si="1443"/>
        <v>7202</v>
      </c>
      <c r="BH489" s="35">
        <f t="shared" si="1434"/>
        <v>0</v>
      </c>
      <c r="BK489" s="2" t="b">
        <f>H489='2021'!BH489</f>
        <v>1</v>
      </c>
    </row>
    <row r="490" ht="15.75" customHeight="1" spans="1:63" x14ac:dyDescent="0.25">
      <c r="A490" s="2">
        <v>54</v>
      </c>
      <c r="B490" s="14"/>
      <c r="C490" s="2" t="s">
        <v>422</v>
      </c>
      <c r="D490" s="14" t="s">
        <v>51</v>
      </c>
      <c r="E490" s="2" t="s">
        <v>39</v>
      </c>
      <c r="F490" s="41">
        <v>500</v>
      </c>
      <c r="G490" s="28"/>
      <c r="H490" s="34">
        <f>'2021'!BH490</f>
        <v>0</v>
      </c>
      <c r="I490" s="13"/>
      <c r="J490" s="15"/>
      <c r="K490" s="15"/>
      <c r="L490" s="28"/>
      <c r="M490" s="13"/>
      <c r="N490" s="15"/>
      <c r="Q490" s="13"/>
      <c r="R490" s="15"/>
      <c r="S490" s="15"/>
      <c r="T490" s="28"/>
      <c r="U490" s="13"/>
      <c r="V490" s="15"/>
      <c r="Y490" s="13"/>
      <c r="Z490" s="2"/>
      <c r="AA490" s="15"/>
      <c r="AB490" s="28"/>
      <c r="AC490" s="348"/>
      <c r="AD490" s="15"/>
      <c r="AE490" s="180">
        <f>$F$13</f>
        <v>1000</v>
      </c>
      <c r="AF490" s="182"/>
      <c r="AG490" s="15"/>
      <c r="AH490" s="2"/>
      <c r="AI490" s="45"/>
      <c r="AJ490" s="154">
        <v>1000</v>
      </c>
      <c r="AK490" s="15"/>
      <c r="AL490" s="15"/>
      <c r="AM490" s="45"/>
      <c r="AN490" s="15"/>
      <c r="AO490" s="13"/>
      <c r="AP490" s="15"/>
      <c r="AQ490" s="180"/>
      <c r="AR490" s="15"/>
      <c r="AS490" s="13"/>
      <c r="AT490" s="15"/>
      <c r="AU490" s="45"/>
      <c r="AV490" s="15"/>
      <c r="AW490" s="13"/>
      <c r="AX490" s="15"/>
      <c r="AY490" s="45"/>
      <c r="AZ490" s="28"/>
      <c r="BA490" s="13"/>
      <c r="BB490" s="15"/>
      <c r="BC490" s="45"/>
      <c r="BD490" s="28"/>
      <c r="BE490" s="14"/>
      <c r="BF490" s="41">
        <f t="shared" ref="BF490:BG490" si="1444">K490+O490+S490+W490+AA490+AE490+AI490+AM490+AQ490+AU490+AY490+BC490</f>
        <v>1000</v>
      </c>
      <c r="BG490" s="34">
        <f t="shared" si="1444"/>
        <v>1000</v>
      </c>
      <c r="BH490" s="35">
        <f t="shared" si="1434"/>
        <v>0</v>
      </c>
      <c r="BK490" s="2" t="b">
        <f>H490='2021'!BH490</f>
        <v>1</v>
      </c>
    </row>
    <row r="491" ht="15.75" customHeight="1" spans="1:63" x14ac:dyDescent="0.25">
      <c r="A491" s="2">
        <v>54</v>
      </c>
      <c r="B491" s="14"/>
      <c r="D491" s="14" t="s">
        <v>51</v>
      </c>
      <c r="E491" s="2" t="s">
        <v>49</v>
      </c>
      <c r="F491" s="41">
        <v>500</v>
      </c>
      <c r="G491" s="28"/>
      <c r="H491" s="34">
        <f>'2021'!BH491</f>
        <v>0</v>
      </c>
      <c r="I491" s="13"/>
      <c r="J491" s="15"/>
      <c r="K491" s="15"/>
      <c r="L491" s="28"/>
      <c r="M491" s="13"/>
      <c r="N491" s="15"/>
      <c r="Q491" s="13"/>
      <c r="R491" s="15"/>
      <c r="S491" s="15"/>
      <c r="T491" s="28"/>
      <c r="U491" s="13"/>
      <c r="V491" s="15"/>
      <c r="Y491" s="13"/>
      <c r="Z491" s="2"/>
      <c r="AA491" s="15"/>
      <c r="AB491" s="28"/>
      <c r="AC491" s="348"/>
      <c r="AD491" s="15"/>
      <c r="AE491" s="34"/>
      <c r="AF491" s="182"/>
      <c r="AG491" s="15"/>
      <c r="AH491" s="2"/>
      <c r="AI491" s="45"/>
      <c r="AJ491" s="15"/>
      <c r="AK491" s="15"/>
      <c r="AL491" s="15"/>
      <c r="AM491" s="45"/>
      <c r="AN491" s="15"/>
      <c r="AO491" s="13"/>
      <c r="AP491" s="15"/>
      <c r="AQ491" s="180">
        <f>B486*$F$14</f>
        <v>0</v>
      </c>
      <c r="AR491" s="15"/>
      <c r="AS491" s="13"/>
      <c r="AT491" s="15"/>
      <c r="AU491" s="45"/>
      <c r="AV491" s="15"/>
      <c r="AW491" s="13"/>
      <c r="AX491" s="15"/>
      <c r="AY491" s="45"/>
      <c r="AZ491" s="28"/>
      <c r="BA491" s="13"/>
      <c r="BB491" s="15"/>
      <c r="BC491" s="45"/>
      <c r="BD491" s="28"/>
      <c r="BE491" s="14"/>
      <c r="BF491" s="41">
        <f t="shared" ref="BF491:BG491" si="1445">K491+O491+S491+W491+AA491+AE491+AI491+AM491+AQ491+AU491+AY491+BC491</f>
        <v>0</v>
      </c>
      <c r="BG491" s="34">
        <f t="shared" si="1445"/>
        <v>0</v>
      </c>
      <c r="BH491" s="35">
        <f t="shared" si="1434"/>
        <v>0</v>
      </c>
      <c r="BK491" s="2" t="b">
        <f>H491='2021'!BH491</f>
        <v>1</v>
      </c>
    </row>
    <row r="492" ht="15.75" customHeight="1" spans="1:63" x14ac:dyDescent="0.25">
      <c r="A492" s="2">
        <v>54</v>
      </c>
      <c r="B492" s="14"/>
      <c r="D492" s="14" t="s">
        <v>52</v>
      </c>
      <c r="E492" s="2" t="s">
        <v>39</v>
      </c>
      <c r="F492" s="41">
        <v>500</v>
      </c>
      <c r="G492" s="28"/>
      <c r="H492" s="34">
        <f>'2021'!BH492</f>
        <v>0</v>
      </c>
      <c r="I492" s="13"/>
      <c r="J492" s="15"/>
      <c r="K492" s="15"/>
      <c r="L492" s="28"/>
      <c r="M492" s="13"/>
      <c r="N492" s="15"/>
      <c r="Q492" s="13"/>
      <c r="R492" s="15"/>
      <c r="S492" s="15"/>
      <c r="T492" s="28"/>
      <c r="U492" s="13"/>
      <c r="V492" s="15"/>
      <c r="Y492" s="13"/>
      <c r="Z492" s="2"/>
      <c r="AA492" s="34">
        <f>$F$15</f>
      </c>
      <c r="AB492" s="28"/>
      <c r="AC492" s="348"/>
      <c r="AD492" s="15"/>
      <c r="AF492" s="34"/>
      <c r="AG492" s="15"/>
      <c r="AH492" s="2"/>
      <c r="AI492" s="45"/>
      <c r="AJ492" s="15"/>
      <c r="AK492" s="15"/>
      <c r="AL492" s="15"/>
      <c r="AM492" s="45"/>
      <c r="AN492" s="15"/>
      <c r="AO492" s="13"/>
      <c r="AP492" s="15"/>
      <c r="AQ492" s="45"/>
      <c r="AR492" s="15"/>
      <c r="AS492" s="13"/>
      <c r="AT492" s="15"/>
      <c r="AU492" s="45"/>
      <c r="AV492" s="15"/>
      <c r="AW492" s="13"/>
      <c r="AX492" s="15"/>
      <c r="AY492" s="45"/>
      <c r="AZ492" s="35"/>
      <c r="BA492" s="13"/>
      <c r="BB492" s="15"/>
      <c r="BC492" s="45"/>
      <c r="BD492" s="35"/>
      <c r="BE492" s="14"/>
      <c r="BF492" s="41">
        <f t="shared" ref="BF492:BG492" si="1446">K492+O492+S492+W492+AA492+AE492+AI492+AM492+AQ492+AU492+AY492+BC492</f>
        <v>0</v>
      </c>
      <c r="BG492" s="34">
        <f t="shared" si="1446"/>
        <v>0</v>
      </c>
      <c r="BH492" s="35">
        <f t="shared" si="1434"/>
        <v>0</v>
      </c>
      <c r="BK492" s="2" t="b">
        <f>H492='2021'!BH492</f>
        <v>1</v>
      </c>
    </row>
    <row r="493" ht="15.75" customHeight="1" spans="1:63" x14ac:dyDescent="0.25">
      <c r="A493" s="247">
        <v>54</v>
      </c>
      <c r="B493" s="21"/>
      <c r="C493" s="22" t="s">
        <v>53</v>
      </c>
      <c r="D493" s="21"/>
      <c r="E493" s="22"/>
      <c r="F493" s="20"/>
      <c r="G493" s="23"/>
      <c r="H493" s="51">
        <f>SUM(H485:H492)</f>
        <v>210.6</v>
      </c>
      <c r="I493" s="52"/>
      <c r="J493" s="53"/>
      <c r="K493" s="51">
        <f t="shared" ref="K493:L493" si="1447">SUM(K485:K492)</f>
        <v>40.5</v>
      </c>
      <c r="L493" s="68">
        <f t="shared" si="1447"/>
        <v>0</v>
      </c>
      <c r="M493" s="52"/>
      <c r="N493" s="53"/>
      <c r="O493" s="51">
        <f t="shared" ref="O493:P493" si="1448">SUM(O485:O492)</f>
        <v>18.9</v>
      </c>
      <c r="P493" s="51">
        <f t="shared" si="1448"/>
        <v>0</v>
      </c>
      <c r="Q493" s="52"/>
      <c r="R493" s="53"/>
      <c r="S493" s="51">
        <f t="shared" ref="S493:T493" si="1449">SUM(S485:S492)</f>
        <v>0</v>
      </c>
      <c r="T493" s="51">
        <f t="shared" si="1449"/>
        <v>500</v>
      </c>
      <c r="U493" s="52"/>
      <c r="V493" s="53"/>
      <c r="W493" s="51">
        <f t="shared" ref="W493:X493" si="1450">SUM(W485:W492)</f>
        <v>0</v>
      </c>
      <c r="X493" s="51">
        <f t="shared" si="1450"/>
        <v>0</v>
      </c>
      <c r="Y493" s="52"/>
      <c r="Z493" s="301"/>
      <c r="AA493" s="51">
        <f t="shared" ref="AA493:AB493" si="1451">SUM(AA485:AA492)</f>
        <v>516.8</v>
      </c>
      <c r="AB493" s="51">
        <f t="shared" si="1451"/>
        <v>0</v>
      </c>
      <c r="AC493" s="367"/>
      <c r="AD493" s="53"/>
      <c r="AE493" s="51">
        <f t="shared" ref="AE493:AF493" si="1452">SUM(AE485:AE492)</f>
        <v>8409.45</v>
      </c>
      <c r="AF493" s="51">
        <f t="shared" si="1452"/>
        <v>0</v>
      </c>
      <c r="AG493" s="52"/>
      <c r="AH493" s="301"/>
      <c r="AI493" s="183">
        <f t="shared" ref="AI493:AJ493" si="1453">SUM(AI485:AI492)</f>
        <v>127.78208</v>
      </c>
      <c r="AJ493" s="51">
        <f t="shared" si="1453"/>
        <v>8837.15</v>
      </c>
      <c r="AK493" s="52"/>
      <c r="AL493" s="53"/>
      <c r="AM493" s="183">
        <f t="shared" ref="AM493:AN493" si="1454">SUM(AM485:AM492)</f>
        <v>52.91552</v>
      </c>
      <c r="AN493" s="51">
        <f t="shared" si="1454"/>
        <v>0</v>
      </c>
      <c r="AO493" s="52"/>
      <c r="AP493" s="53"/>
      <c r="AQ493" s="183">
        <f t="shared" ref="AQ493:AR493" si="1455">SUM(AQ485:AQ492)</f>
        <v>29.02354</v>
      </c>
      <c r="AR493" s="51">
        <f t="shared" si="1455"/>
        <v>0</v>
      </c>
      <c r="AS493" s="52"/>
      <c r="AT493" s="53"/>
      <c r="AU493" s="183">
        <f t="shared" ref="AU493:AV493" si="1456">SUM(AU485:AU492)</f>
        <v>10.332</v>
      </c>
      <c r="AV493" s="68">
        <f t="shared" si="1456"/>
        <v>0</v>
      </c>
      <c r="AW493" s="52"/>
      <c r="AX493" s="53"/>
      <c r="AY493" s="183">
        <f t="shared" ref="AY493:AZ493" si="1457">SUM(AY485:AY492)</f>
        <v>0</v>
      </c>
      <c r="AZ493" s="68">
        <f t="shared" si="1457"/>
        <v>0</v>
      </c>
      <c r="BA493" s="52"/>
      <c r="BB493" s="53"/>
      <c r="BC493" s="183">
        <f t="shared" ref="BC493:BD493" si="1458">SUM(BC485:BC492)</f>
        <v>0</v>
      </c>
      <c r="BD493" s="68">
        <f t="shared" si="1458"/>
        <v>0</v>
      </c>
      <c r="BE493" s="69"/>
      <c r="BF493" s="70">
        <f t="shared" ref="BF493:BH493" si="1459">SUM(BF485:BF492)</f>
        <v>9205.70314</v>
      </c>
      <c r="BG493" s="71">
        <f t="shared" si="1459"/>
        <v>9337.15</v>
      </c>
      <c r="BH493" s="72">
        <f t="shared" si="1459"/>
        <v>79.15314</v>
      </c>
      <c r="BI493" s="34">
        <f>H493+BF493-BG493</f>
        <v>79.15314</v>
      </c>
      <c r="BJ493" s="34">
        <f>BH493-BI493</f>
        <v>0</v>
      </c>
      <c r="BK493" s="2" t="b">
        <f>H493='2021'!BH493</f>
        <v>1</v>
      </c>
    </row>
    <row r="494" ht="15.75" customHeight="1" spans="1:63" x14ac:dyDescent="0.25">
      <c r="A494" s="2">
        <v>55</v>
      </c>
      <c r="B494" s="14"/>
      <c r="D494" s="14" t="s">
        <v>379</v>
      </c>
      <c r="F494" s="13"/>
      <c r="G494" s="28"/>
      <c r="H494" s="34">
        <f>'2021'!BH494</f>
        <v>14.34</v>
      </c>
      <c r="I494" s="13"/>
      <c r="J494" s="15"/>
      <c r="K494" s="15"/>
      <c r="L494" s="28"/>
      <c r="M494" s="13"/>
      <c r="N494" s="15"/>
      <c r="Q494" s="13"/>
      <c r="R494" s="15"/>
      <c r="S494" s="15">
        <v>14.81</v>
      </c>
      <c r="T494" s="28"/>
      <c r="U494" s="13"/>
      <c r="V494" s="15"/>
      <c r="W494" s="2">
        <v>14.34</v>
      </c>
      <c r="Y494" s="13"/>
      <c r="Z494" s="2"/>
      <c r="AA494" s="15">
        <v>5.26</v>
      </c>
      <c r="AB494" s="28">
        <v>48.75</v>
      </c>
      <c r="AC494" s="348"/>
      <c r="AD494" s="15"/>
      <c r="AG494" s="15"/>
      <c r="AH494" s="2"/>
      <c r="AI494" s="45"/>
      <c r="AJ494" s="15"/>
      <c r="AK494" s="15"/>
      <c r="AM494" s="45"/>
      <c r="AO494" s="13"/>
      <c r="AQ494" s="45"/>
      <c r="AS494" s="13"/>
      <c r="AU494" s="45"/>
      <c r="AW494" s="13"/>
      <c r="AY494" s="45"/>
      <c r="AZ494" s="28"/>
      <c r="BA494" s="13"/>
      <c r="BB494" s="15"/>
      <c r="BC494" s="45"/>
      <c r="BD494" s="28"/>
      <c r="BE494" s="14"/>
      <c r="BF494" s="41">
        <f t="shared" ref="BF494:BG494" si="1460">K494+O494+S494+W494+AA494+AE494+AI494+AM494+AQ494+AU494+AY494+BC494</f>
        <v>34.41</v>
      </c>
      <c r="BG494" s="34">
        <f t="shared" si="1460"/>
        <v>48.75</v>
      </c>
      <c r="BH494" s="35">
        <f t="shared" ref="BH494:BH501" si="1461">H494+BF494-BG494</f>
        <v>0</v>
      </c>
      <c r="BK494" s="2" t="b">
        <f>H494='2021'!BH494</f>
        <v>1</v>
      </c>
    </row>
    <row r="495" ht="15.75" customHeight="1" spans="1:63" x14ac:dyDescent="0.25">
      <c r="A495" s="2">
        <v>55</v>
      </c>
      <c r="B495" s="42">
        <v>5.5</v>
      </c>
      <c r="C495" s="15" t="s">
        <v>555</v>
      </c>
      <c r="D495" s="14" t="s">
        <v>44</v>
      </c>
      <c r="E495" s="2" t="s">
        <v>45</v>
      </c>
      <c r="F495" s="41">
        <v>2.5</v>
      </c>
      <c r="G495" s="35">
        <v>2.6</v>
      </c>
      <c r="H495" s="34">
        <f>'2021'!BH495</f>
        <v>2.7</v>
      </c>
      <c r="I495" s="13">
        <v>617</v>
      </c>
      <c r="J495" s="15">
        <f>I495-'2021'!BA495</f>
        <v>0</v>
      </c>
      <c r="K495" s="34">
        <f>J495*$F$8</f>
        <v>0</v>
      </c>
      <c r="L495" s="28"/>
      <c r="M495" s="13">
        <v>617</v>
      </c>
      <c r="N495" s="15">
        <f t="shared" ref="N495:N496" si="1462">M495-I495</f>
        <v>0</v>
      </c>
      <c r="O495" s="34">
        <f>N495*$F$8</f>
        <v>0</v>
      </c>
      <c r="Q495" s="13">
        <v>617</v>
      </c>
      <c r="R495" s="15">
        <f t="shared" ref="R495:R496" si="1463">Q495-M495</f>
        <v>0</v>
      </c>
      <c r="S495" s="34">
        <f>R495*$F$8</f>
        <v>0</v>
      </c>
      <c r="T495" s="28"/>
      <c r="U495" s="13">
        <v>617</v>
      </c>
      <c r="V495" s="15">
        <f t="shared" ref="V495:V496" si="1464">U495-Q495</f>
        <v>0</v>
      </c>
      <c r="W495" s="34">
        <f>V495*$F$8</f>
        <v>0</v>
      </c>
      <c r="X495" s="15"/>
      <c r="Y495" s="13">
        <v>617</v>
      </c>
      <c r="Z495" s="2">
        <f t="shared" ref="Z495:Z496" si="1465">Y495-U495</f>
        <v>0</v>
      </c>
      <c r="AA495" s="34">
        <f>Z495*$F$8</f>
        <v>0</v>
      </c>
      <c r="AB495" s="28">
        <v>2.7</v>
      </c>
      <c r="AC495" s="348">
        <v>617</v>
      </c>
      <c r="AD495" s="15">
        <f t="shared" ref="AD495:AD496" si="1466">AC495-Y495</f>
        <v>0</v>
      </c>
      <c r="AE495" s="180">
        <f>AD495*$F$8</f>
        <v>0</v>
      </c>
      <c r="AF495" s="182"/>
      <c r="AG495" s="15">
        <v>617</v>
      </c>
      <c r="AH495" s="2">
        <f>(AG495-AC495)*AH5</f>
        <v>0</v>
      </c>
      <c r="AI495" s="45">
        <f>AH495*$G$8</f>
        <v>0</v>
      </c>
      <c r="AJ495" s="182"/>
      <c r="AK495" s="15">
        <v>617</v>
      </c>
      <c r="AL495" s="15">
        <f>(AK495-AG495)*AL5</f>
        <v>0</v>
      </c>
      <c r="AM495" s="45">
        <f>AL495*$G$8</f>
        <v>0</v>
      </c>
      <c r="AN495" s="1"/>
      <c r="AO495" s="13">
        <v>617</v>
      </c>
      <c r="AP495" s="15">
        <f>(AO495-AK495)*AP5</f>
        <v>0</v>
      </c>
      <c r="AQ495" s="45">
        <f>AP495*$G$8</f>
        <v>0</v>
      </c>
      <c r="AR495" s="15"/>
      <c r="AS495" s="13">
        <v>617</v>
      </c>
      <c r="AT495" s="15">
        <f>(AS495-AO495)*AT5</f>
        <v>0</v>
      </c>
      <c r="AU495" s="45">
        <f>AT495*$G$8</f>
        <v>0</v>
      </c>
      <c r="AV495" s="15"/>
      <c r="AW495" s="13"/>
      <c r="AX495" s="15">
        <f>(AW495-AS495)*AX5</f>
        <v>0</v>
      </c>
      <c r="AY495" s="45">
        <f>AX495*$G$8</f>
        <v>0</v>
      </c>
      <c r="AZ495" s="208"/>
      <c r="BA495" s="13"/>
      <c r="BB495" s="15"/>
      <c r="BC495" s="45">
        <f>BB495*$G$8</f>
        <v>0</v>
      </c>
      <c r="BD495" s="208"/>
      <c r="BE495" s="40">
        <f t="shared" ref="BE495:BG495" si="1467">J495+N495+R495+V495+Z495+AD495+AH495+AL495+AP495+AT495+AX495+BB495</f>
        <v>0</v>
      </c>
      <c r="BF495" s="41">
        <f t="shared" si="1467"/>
        <v>0</v>
      </c>
      <c r="BG495" s="34">
        <f t="shared" si="1467"/>
        <v>2.7</v>
      </c>
      <c r="BH495" s="35">
        <f t="shared" si="1461"/>
        <v>0</v>
      </c>
      <c r="BK495" s="2" t="b">
        <f>H495='2021'!BH495</f>
        <v>1</v>
      </c>
    </row>
    <row r="496" ht="15.75" customHeight="1" spans="1:63" x14ac:dyDescent="0.25">
      <c r="A496" s="2">
        <v>55</v>
      </c>
      <c r="B496" s="14"/>
      <c r="C496" s="15" t="s">
        <v>121</v>
      </c>
      <c r="D496" s="14" t="s">
        <v>47</v>
      </c>
      <c r="E496" s="2" t="s">
        <v>48</v>
      </c>
      <c r="F496" s="13">
        <v>18.56</v>
      </c>
      <c r="G496" s="35">
        <v>19.46</v>
      </c>
      <c r="H496" s="34">
        <f>'2021'!BH496</f>
        <v>0</v>
      </c>
      <c r="I496" s="13">
        <v>32</v>
      </c>
      <c r="J496" s="15"/>
      <c r="K496" s="15"/>
      <c r="L496" s="28"/>
      <c r="M496" s="13">
        <v>32</v>
      </c>
      <c r="N496" s="15">
        <f t="shared" si="1462"/>
        <v>0</v>
      </c>
      <c r="Q496" s="13">
        <v>32</v>
      </c>
      <c r="R496" s="15">
        <f t="shared" si="1463"/>
        <v>0</v>
      </c>
      <c r="S496" s="15"/>
      <c r="T496" s="28"/>
      <c r="U496" s="13">
        <v>32</v>
      </c>
      <c r="V496" s="15">
        <f t="shared" si="1464"/>
        <v>0</v>
      </c>
      <c r="W496" s="34">
        <f>V496*$F$10</f>
        <v>0</v>
      </c>
      <c r="Y496" s="13">
        <v>33</v>
      </c>
      <c r="Z496" s="2">
        <f t="shared" si="1465"/>
        <v>1</v>
      </c>
      <c r="AA496" s="34">
        <f>Z496*$F$10</f>
        <v>20.35</v>
      </c>
      <c r="AB496" s="28">
        <v>49.593</v>
      </c>
      <c r="AC496" s="348">
        <v>33</v>
      </c>
      <c r="AD496" s="15">
        <f t="shared" si="1466"/>
        <v>0</v>
      </c>
      <c r="AE496" s="34">
        <f>AD496*$F$10</f>
        <v>0</v>
      </c>
      <c r="AF496" s="182"/>
      <c r="AG496" s="15">
        <v>34</v>
      </c>
      <c r="AH496" s="2">
        <f>AG496-AC496</f>
        <v>1</v>
      </c>
      <c r="AI496" s="45">
        <f>AH496*$G$10</f>
        <v>21.4</v>
      </c>
      <c r="AJ496" s="154"/>
      <c r="AK496" s="15">
        <v>35</v>
      </c>
      <c r="AL496" s="15">
        <f>AK496-AG496</f>
        <v>1</v>
      </c>
      <c r="AM496" s="45">
        <f>AL496*$G$10</f>
        <v>21.4</v>
      </c>
      <c r="AN496" s="15"/>
      <c r="AO496" s="13">
        <v>35</v>
      </c>
      <c r="AP496" s="15">
        <f>AO496-AK496</f>
        <v>0</v>
      </c>
      <c r="AQ496" s="45">
        <f>AP496*$G$10</f>
        <v>0</v>
      </c>
      <c r="AR496" s="154">
        <v>13.56</v>
      </c>
      <c r="AS496" s="13">
        <v>35</v>
      </c>
      <c r="AT496" s="15">
        <f>AS496-AO496</f>
        <v>0</v>
      </c>
      <c r="AU496" s="45">
        <f>AT496*$G$10</f>
        <v>0</v>
      </c>
      <c r="AV496" s="15"/>
      <c r="AW496" s="13"/>
      <c r="AX496" s="15">
        <f>AW496-AS496</f>
        <v>-35</v>
      </c>
      <c r="AY496" s="45"/>
      <c r="AZ496" s="208"/>
      <c r="BA496" s="13"/>
      <c r="BB496" s="15"/>
      <c r="BC496" s="45"/>
      <c r="BD496" s="208"/>
      <c r="BE496" s="40">
        <f t="shared" ref="BE496:BG496" si="1468">J496+N496+R496+V496+Z496+AD496+AH496+AL496+AP496+AT496+AX496+BB496</f>
        <v>-32</v>
      </c>
      <c r="BF496" s="41">
        <f t="shared" si="1468"/>
        <v>63.15</v>
      </c>
      <c r="BG496" s="34">
        <f t="shared" si="1468"/>
        <v>63.153</v>
      </c>
      <c r="BH496" s="35">
        <f t="shared" si="1461"/>
        <v>-0.003</v>
      </c>
      <c r="BK496" s="2" t="b">
        <f>H496='2021'!BH496</f>
        <v>1</v>
      </c>
    </row>
    <row r="497" ht="15.75" customHeight="1" spans="1:63" x14ac:dyDescent="0.25">
      <c r="A497" s="2">
        <v>55</v>
      </c>
      <c r="B497" s="14"/>
      <c r="C497" s="2" t="s">
        <v>178</v>
      </c>
      <c r="D497" s="14" t="s">
        <v>47</v>
      </c>
      <c r="E497" s="2" t="s">
        <v>49</v>
      </c>
      <c r="F497" s="41">
        <v>500</v>
      </c>
      <c r="G497" s="28"/>
      <c r="H497" s="34">
        <f>'2021'!BH497</f>
        <v>0</v>
      </c>
      <c r="I497" s="13"/>
      <c r="J497" s="15"/>
      <c r="K497" s="15"/>
      <c r="L497" s="28"/>
      <c r="M497" s="13"/>
      <c r="N497" s="15"/>
      <c r="Q497" s="13"/>
      <c r="R497" s="15"/>
      <c r="S497" s="15"/>
      <c r="T497" s="28"/>
      <c r="U497" s="13"/>
      <c r="V497" s="15"/>
      <c r="Y497" s="13"/>
      <c r="Z497" s="2"/>
      <c r="AA497" s="15"/>
      <c r="AB497" s="28"/>
      <c r="AC497" s="348"/>
      <c r="AD497" s="15"/>
      <c r="AF497" s="154"/>
      <c r="AG497" s="15"/>
      <c r="AH497" s="2"/>
      <c r="AI497" s="45"/>
      <c r="AJ497" s="154"/>
      <c r="AK497" s="15"/>
      <c r="AL497" s="15"/>
      <c r="AM497" s="45"/>
      <c r="AN497" s="15"/>
      <c r="AO497" s="13"/>
      <c r="AP497" s="15"/>
      <c r="AQ497" s="45"/>
      <c r="AR497" s="15"/>
      <c r="AS497" s="13"/>
      <c r="AT497" s="15"/>
      <c r="AU497" s="45"/>
      <c r="AV497" s="15"/>
      <c r="AW497" s="13"/>
      <c r="AX497" s="15"/>
      <c r="AY497" s="45"/>
      <c r="AZ497" s="28"/>
      <c r="BA497" s="13"/>
      <c r="BB497" s="15"/>
      <c r="BC497" s="45"/>
      <c r="BD497" s="28"/>
      <c r="BE497" s="14"/>
      <c r="BF497" s="41">
        <f t="shared" ref="BF497:BG497" si="1469">K497+O497+S497+W497+AA497+AE497+AI497+AM497+AQ497+AU497+AY497+BC497</f>
        <v>0</v>
      </c>
      <c r="BG497" s="34">
        <f t="shared" si="1469"/>
        <v>0</v>
      </c>
      <c r="BH497" s="35">
        <f t="shared" si="1461"/>
        <v>0</v>
      </c>
      <c r="BK497" s="2" t="b">
        <f>H497='2021'!BH497</f>
        <v>1</v>
      </c>
    </row>
    <row r="498" ht="15.75" customHeight="1" spans="1:63" x14ac:dyDescent="0.25">
      <c r="A498" s="2">
        <v>55</v>
      </c>
      <c r="B498" s="14"/>
      <c r="C498" s="2" t="s">
        <v>125</v>
      </c>
      <c r="D498" s="14" t="s">
        <v>50</v>
      </c>
      <c r="E498" s="2" t="s">
        <v>49</v>
      </c>
      <c r="F498" s="41">
        <v>1100</v>
      </c>
      <c r="G498" s="28"/>
      <c r="H498" s="34">
        <f>'2021'!BH498</f>
        <v>4778.64</v>
      </c>
      <c r="I498" s="13"/>
      <c r="J498" s="15"/>
      <c r="K498" s="15"/>
      <c r="L498" s="28"/>
      <c r="M498" s="13"/>
      <c r="N498" s="15"/>
      <c r="Q498" s="13"/>
      <c r="R498" s="15"/>
      <c r="S498" s="15"/>
      <c r="T498" s="28"/>
      <c r="U498" s="13"/>
      <c r="V498" s="15"/>
      <c r="Y498" s="13"/>
      <c r="Z498" s="2"/>
      <c r="AA498" s="15"/>
      <c r="AB498" s="28">
        <v>4778.64</v>
      </c>
      <c r="AC498" s="348"/>
      <c r="AD498" s="15"/>
      <c r="AE498" s="182">
        <f>B495*$F$12</f>
        <v>7150</v>
      </c>
      <c r="AF498" s="182"/>
      <c r="AG498" s="15"/>
      <c r="AH498" s="2"/>
      <c r="AI498" s="45"/>
      <c r="AJ498" s="182"/>
      <c r="AK498" s="15"/>
      <c r="AL498" s="15"/>
      <c r="AM498" s="45"/>
      <c r="AN498" s="34"/>
      <c r="AO498" s="13"/>
      <c r="AP498" s="15"/>
      <c r="AQ498" s="45"/>
      <c r="AR498" s="154">
        <v>7150</v>
      </c>
      <c r="AS498" s="13"/>
      <c r="AT498" s="15"/>
      <c r="AU498" s="45"/>
      <c r="AV498" s="15"/>
      <c r="AW498" s="13"/>
      <c r="AX498" s="15"/>
      <c r="AY498" s="45"/>
      <c r="AZ498" s="28"/>
      <c r="BA498" s="13"/>
      <c r="BB498" s="15"/>
      <c r="BC498" s="45"/>
      <c r="BD498" s="28"/>
      <c r="BE498" s="14"/>
      <c r="BF498" s="41">
        <f t="shared" ref="BF498:BG498" si="1470">K498+O498+S498+W498+AA498+AE498+AI498+AM498+AQ498+AU498+AY498+BC498</f>
        <v>7150</v>
      </c>
      <c r="BG498" s="34">
        <f t="shared" si="1470"/>
        <v>11928.64</v>
      </c>
      <c r="BH498" s="35">
        <f t="shared" si="1461"/>
        <v>0</v>
      </c>
      <c r="BK498" s="2" t="b">
        <f>H498='2021'!BH498</f>
        <v>1</v>
      </c>
    </row>
    <row r="499" ht="15.75" customHeight="1" spans="1:63" x14ac:dyDescent="0.25">
      <c r="A499" s="2">
        <v>55</v>
      </c>
      <c r="B499" s="14"/>
      <c r="C499" s="15" t="s">
        <v>556</v>
      </c>
      <c r="D499" s="14" t="s">
        <v>51</v>
      </c>
      <c r="E499" s="2" t="s">
        <v>39</v>
      </c>
      <c r="F499" s="41">
        <v>500</v>
      </c>
      <c r="G499" s="28"/>
      <c r="H499" s="34">
        <f>'2021'!BH499</f>
        <v>0</v>
      </c>
      <c r="I499" s="13"/>
      <c r="J499" s="15"/>
      <c r="K499" s="15"/>
      <c r="L499" s="28"/>
      <c r="M499" s="13"/>
      <c r="N499" s="15"/>
      <c r="Q499" s="13"/>
      <c r="R499" s="15"/>
      <c r="S499" s="15"/>
      <c r="T499" s="28"/>
      <c r="U499" s="13"/>
      <c r="V499" s="15"/>
      <c r="Y499" s="13"/>
      <c r="Z499" s="2"/>
      <c r="AA499" s="15"/>
      <c r="AB499" s="28"/>
      <c r="AC499" s="348"/>
      <c r="AD499" s="15"/>
      <c r="AE499" s="180">
        <f>$F$13</f>
        <v>1000</v>
      </c>
      <c r="AF499" s="182"/>
      <c r="AG499" s="15"/>
      <c r="AH499" s="2"/>
      <c r="AI499" s="45"/>
      <c r="AJ499" s="154"/>
      <c r="AK499" s="15"/>
      <c r="AL499" s="15"/>
      <c r="AM499" s="45"/>
      <c r="AN499" s="15"/>
      <c r="AO499" s="13"/>
      <c r="AP499" s="15"/>
      <c r="AQ499" s="180"/>
      <c r="AR499" s="154">
        <v>1000</v>
      </c>
      <c r="AS499" s="13"/>
      <c r="AT499" s="15"/>
      <c r="AU499" s="45"/>
      <c r="AV499" s="15"/>
      <c r="AW499" s="13"/>
      <c r="AX499" s="15"/>
      <c r="AY499" s="45"/>
      <c r="AZ499" s="28"/>
      <c r="BA499" s="13"/>
      <c r="BB499" s="15"/>
      <c r="BC499" s="45"/>
      <c r="BD499" s="28"/>
      <c r="BE499" s="14"/>
      <c r="BF499" s="41">
        <f t="shared" ref="BF499:BG499" si="1471">K499+O499+S499+W499+AA499+AE499+AI499+AM499+AQ499+AU499+AY499+BC499</f>
        <v>1000</v>
      </c>
      <c r="BG499" s="34">
        <f t="shared" si="1471"/>
        <v>1000</v>
      </c>
      <c r="BH499" s="35">
        <f t="shared" si="1461"/>
        <v>0</v>
      </c>
      <c r="BK499" s="2" t="b">
        <f>H499='2021'!BH499</f>
        <v>1</v>
      </c>
    </row>
    <row r="500" ht="15.75" customHeight="1" spans="1:63" x14ac:dyDescent="0.25">
      <c r="A500" s="2">
        <v>55</v>
      </c>
      <c r="B500" s="14"/>
      <c r="D500" s="14" t="s">
        <v>51</v>
      </c>
      <c r="E500" s="2" t="s">
        <v>49</v>
      </c>
      <c r="F500" s="41">
        <v>500</v>
      </c>
      <c r="G500" s="28"/>
      <c r="H500" s="34">
        <f>'2021'!BH500</f>
        <v>0</v>
      </c>
      <c r="I500" s="13"/>
      <c r="J500" s="15"/>
      <c r="K500" s="15"/>
      <c r="L500" s="28"/>
      <c r="M500" s="13"/>
      <c r="N500" s="15"/>
      <c r="Q500" s="13"/>
      <c r="R500" s="15"/>
      <c r="S500" s="15"/>
      <c r="T500" s="28"/>
      <c r="U500" s="13"/>
      <c r="V500" s="15"/>
      <c r="Y500" s="13"/>
      <c r="Z500" s="2"/>
      <c r="AA500" s="15"/>
      <c r="AB500" s="28"/>
      <c r="AC500" s="348"/>
      <c r="AD500" s="15"/>
      <c r="AE500" s="34"/>
      <c r="AF500" s="182"/>
      <c r="AG500" s="15"/>
      <c r="AH500" s="2"/>
      <c r="AI500" s="45"/>
      <c r="AJ500" s="154"/>
      <c r="AK500" s="15"/>
      <c r="AL500" s="15"/>
      <c r="AM500" s="45"/>
      <c r="AN500" s="15"/>
      <c r="AO500" s="13"/>
      <c r="AP500" s="15"/>
      <c r="AQ500" s="180">
        <f>B495*$F$14</f>
        <v>0</v>
      </c>
      <c r="AR500" s="15"/>
      <c r="AS500" s="13"/>
      <c r="AT500" s="15"/>
      <c r="AU500" s="45"/>
      <c r="AV500" s="15"/>
      <c r="AW500" s="13"/>
      <c r="AX500" s="15"/>
      <c r="AY500" s="45"/>
      <c r="AZ500" s="28"/>
      <c r="BA500" s="13"/>
      <c r="BB500" s="15"/>
      <c r="BC500" s="45"/>
      <c r="BD500" s="28"/>
      <c r="BE500" s="14"/>
      <c r="BF500" s="41">
        <f t="shared" ref="BF500:BG500" si="1472">K500+O500+S500+W500+AA500+AE500+AI500+AM500+AQ500+AU500+AY500+BC500</f>
        <v>0</v>
      </c>
      <c r="BG500" s="34">
        <f t="shared" si="1472"/>
        <v>0</v>
      </c>
      <c r="BH500" s="35">
        <f t="shared" si="1461"/>
        <v>0</v>
      </c>
      <c r="BK500" s="2" t="b">
        <f>H500='2021'!BH500</f>
        <v>1</v>
      </c>
    </row>
    <row r="501" ht="15.75" customHeight="1" spans="1:63" x14ac:dyDescent="0.25">
      <c r="A501" s="2">
        <v>55</v>
      </c>
      <c r="B501" s="14"/>
      <c r="D501" s="14" t="s">
        <v>52</v>
      </c>
      <c r="E501" s="2" t="s">
        <v>39</v>
      </c>
      <c r="F501" s="41">
        <v>500</v>
      </c>
      <c r="G501" s="28"/>
      <c r="H501" s="34">
        <f>'2021'!BH501</f>
        <v>0</v>
      </c>
      <c r="I501" s="13"/>
      <c r="J501" s="15"/>
      <c r="K501" s="15"/>
      <c r="L501" s="28"/>
      <c r="M501" s="13"/>
      <c r="N501" s="15"/>
      <c r="Q501" s="13"/>
      <c r="R501" s="15"/>
      <c r="S501" s="15"/>
      <c r="T501" s="28"/>
      <c r="U501" s="13"/>
      <c r="V501" s="15"/>
      <c r="Y501" s="13"/>
      <c r="Z501" s="2"/>
      <c r="AA501" s="34">
        <f>$F$15</f>
      </c>
      <c r="AB501" s="28"/>
      <c r="AC501" s="348"/>
      <c r="AD501" s="15"/>
      <c r="AG501" s="15"/>
      <c r="AH501" s="2"/>
      <c r="AI501" s="45"/>
      <c r="AJ501" s="15"/>
      <c r="AK501" s="15"/>
      <c r="AL501" s="15"/>
      <c r="AM501" s="45"/>
      <c r="AN501" s="15"/>
      <c r="AO501" s="13"/>
      <c r="AP501" s="15"/>
      <c r="AQ501" s="45"/>
      <c r="AR501" s="15"/>
      <c r="AS501" s="13"/>
      <c r="AT501" s="15"/>
      <c r="AU501" s="45"/>
      <c r="AV501" s="15"/>
      <c r="AW501" s="13"/>
      <c r="AX501" s="15"/>
      <c r="AY501" s="45"/>
      <c r="AZ501" s="35"/>
      <c r="BA501" s="13"/>
      <c r="BB501" s="15"/>
      <c r="BC501" s="45"/>
      <c r="BD501" s="35"/>
      <c r="BE501" s="14"/>
      <c r="BF501" s="41">
        <f t="shared" ref="BF501:BG501" si="1473">K501+O501+S501+W501+AA501+AE501+AI501+AM501+AQ501+AU501+AY501+BC501</f>
        <v>0</v>
      </c>
      <c r="BG501" s="34">
        <f t="shared" si="1473"/>
        <v>0</v>
      </c>
      <c r="BH501" s="35">
        <f t="shared" si="1461"/>
        <v>0</v>
      </c>
      <c r="BK501" s="2" t="b">
        <f>H501='2021'!BH501</f>
        <v>1</v>
      </c>
    </row>
    <row r="502" ht="15.75" customHeight="1" spans="1:63" x14ac:dyDescent="0.25">
      <c r="A502" s="253">
        <v>55</v>
      </c>
      <c r="B502" s="21"/>
      <c r="C502" s="22" t="s">
        <v>53</v>
      </c>
      <c r="D502" s="21"/>
      <c r="E502" s="22"/>
      <c r="F502" s="20"/>
      <c r="G502" s="23"/>
      <c r="H502" s="51">
        <f>SUM(H494:H501)</f>
        <v>4795.68</v>
      </c>
      <c r="I502" s="52"/>
      <c r="J502" s="53"/>
      <c r="K502" s="51">
        <f t="shared" ref="K502:L502" si="1474">SUM(K494:K501)</f>
        <v>0</v>
      </c>
      <c r="L502" s="68">
        <f t="shared" si="1474"/>
        <v>0</v>
      </c>
      <c r="M502" s="52"/>
      <c r="N502" s="53"/>
      <c r="O502" s="51">
        <f t="shared" ref="O502:P502" si="1475">SUM(O494:O501)</f>
        <v>0</v>
      </c>
      <c r="P502" s="51">
        <f t="shared" si="1475"/>
        <v>0</v>
      </c>
      <c r="Q502" s="52"/>
      <c r="R502" s="53"/>
      <c r="S502" s="51">
        <f t="shared" ref="S502:T502" si="1476">SUM(S494:S501)</f>
        <v>14.81</v>
      </c>
      <c r="T502" s="51">
        <f t="shared" si="1476"/>
        <v>0</v>
      </c>
      <c r="U502" s="52"/>
      <c r="V502" s="53"/>
      <c r="W502" s="51">
        <f t="shared" ref="W502:X502" si="1477">SUM(W494:W501)</f>
        <v>14.34</v>
      </c>
      <c r="X502" s="51">
        <f t="shared" si="1477"/>
        <v>0</v>
      </c>
      <c r="Y502" s="52"/>
      <c r="Z502" s="301"/>
      <c r="AA502" s="51">
        <f t="shared" ref="AA502:AB502" si="1478">SUM(AA494:AA501)</f>
        <v>25.61</v>
      </c>
      <c r="AB502" s="51">
        <f t="shared" si="1478"/>
        <v>4879.683</v>
      </c>
      <c r="AC502" s="367"/>
      <c r="AD502" s="53"/>
      <c r="AE502" s="51">
        <f t="shared" ref="AE502:AF502" si="1479">SUM(AE494:AE501)</f>
        <v>8150</v>
      </c>
      <c r="AF502" s="51">
        <f t="shared" si="1479"/>
        <v>0</v>
      </c>
      <c r="AG502" s="52"/>
      <c r="AH502" s="301"/>
      <c r="AI502" s="183">
        <f t="shared" ref="AI502:AJ502" si="1480">SUM(AI494:AI501)</f>
        <v>21.4</v>
      </c>
      <c r="AJ502" s="51">
        <f t="shared" si="1480"/>
        <v>0</v>
      </c>
      <c r="AK502" s="52"/>
      <c r="AL502" s="53"/>
      <c r="AM502" s="183">
        <f t="shared" ref="AM502:AN502" si="1481">SUM(AM494:AM501)</f>
        <v>21.4</v>
      </c>
      <c r="AN502" s="51">
        <f t="shared" si="1481"/>
        <v>0</v>
      </c>
      <c r="AO502" s="52"/>
      <c r="AP502" s="53"/>
      <c r="AQ502" s="183">
        <f t="shared" ref="AQ502:AR502" si="1482">SUM(AQ494:AQ501)</f>
        <v>0</v>
      </c>
      <c r="AR502" s="51">
        <f t="shared" si="1482"/>
        <v>8163.56</v>
      </c>
      <c r="AS502" s="52"/>
      <c r="AT502" s="53"/>
      <c r="AU502" s="183">
        <f t="shared" ref="AU502:AV502" si="1483">SUM(AU494:AU501)</f>
        <v>0</v>
      </c>
      <c r="AV502" s="68">
        <f t="shared" si="1483"/>
        <v>0</v>
      </c>
      <c r="AW502" s="52"/>
      <c r="AX502" s="53"/>
      <c r="AY502" s="183">
        <f t="shared" ref="AY502:AZ502" si="1484">SUM(AY494:AY501)</f>
        <v>0</v>
      </c>
      <c r="AZ502" s="68">
        <f t="shared" si="1484"/>
        <v>0</v>
      </c>
      <c r="BA502" s="52"/>
      <c r="BB502" s="53"/>
      <c r="BC502" s="183">
        <f t="shared" ref="BC502:BD502" si="1485">SUM(BC494:BC501)</f>
        <v>0</v>
      </c>
      <c r="BD502" s="68">
        <f t="shared" si="1485"/>
        <v>0</v>
      </c>
      <c r="BE502" s="69"/>
      <c r="BF502" s="70">
        <f t="shared" ref="BF502:BH502" si="1486">SUM(BF494:BF501)</f>
        <v>8247.56</v>
      </c>
      <c r="BG502" s="71">
        <f t="shared" si="1486"/>
        <v>13043.243</v>
      </c>
      <c r="BH502" s="72">
        <f t="shared" si="1486"/>
        <v>-0.003</v>
      </c>
      <c r="BI502" s="34">
        <f>H502+BF502-BG502</f>
        <v>-0.002999999997</v>
      </c>
      <c r="BJ502" s="34">
        <f>BH502-BI502</f>
        <v>0</v>
      </c>
      <c r="BK502" s="2" t="b">
        <f>H502='2021'!BH502</f>
        <v>1</v>
      </c>
    </row>
    <row r="503" ht="15.75" customHeight="1" spans="1:63" x14ac:dyDescent="0.25">
      <c r="A503" s="255" t="s">
        <v>217</v>
      </c>
      <c r="B503" s="14"/>
      <c r="D503" s="176" t="s">
        <v>544</v>
      </c>
      <c r="F503" s="13"/>
      <c r="G503" s="28"/>
      <c r="H503" s="34">
        <f>'2021'!BH503</f>
        <v>0</v>
      </c>
      <c r="I503" s="13"/>
      <c r="J503" s="15"/>
      <c r="K503" s="15"/>
      <c r="L503" s="28"/>
      <c r="M503" s="13"/>
      <c r="N503" s="15"/>
      <c r="Q503" s="13"/>
      <c r="R503" s="15"/>
      <c r="S503" s="15"/>
      <c r="T503" s="28"/>
      <c r="U503" s="13"/>
      <c r="V503" s="15"/>
      <c r="W503" s="153"/>
      <c r="X503" s="34"/>
      <c r="Y503" s="13"/>
      <c r="Z503" s="2"/>
      <c r="AA503" s="154">
        <v>248.5</v>
      </c>
      <c r="AB503" s="28"/>
      <c r="AC503" s="348"/>
      <c r="AD503" s="15"/>
      <c r="AG503" s="15"/>
      <c r="AH503" s="2"/>
      <c r="AI503" s="45"/>
      <c r="AJ503" s="292">
        <v>248.5</v>
      </c>
      <c r="AK503" s="15"/>
      <c r="AM503" s="45"/>
      <c r="AN503" s="15"/>
      <c r="AO503" s="13"/>
      <c r="AQ503" s="45"/>
      <c r="AR503" s="1"/>
      <c r="AS503" s="13"/>
      <c r="AU503" s="45"/>
      <c r="AW503" s="13"/>
      <c r="AY503" s="45"/>
      <c r="AZ503" s="28"/>
      <c r="BA503" s="13"/>
      <c r="BB503" s="15"/>
      <c r="BC503" s="45"/>
      <c r="BD503" s="28"/>
      <c r="BE503" s="14"/>
      <c r="BF503" s="41">
        <f t="shared" ref="BF503:BG503" si="1487">K503+O503+S503+W503+AA503+AE503+AI503+AM503+AQ503+AU503+AY503+BC503</f>
        <v>248.5</v>
      </c>
      <c r="BG503" s="34">
        <f t="shared" si="1487"/>
        <v>248.5</v>
      </c>
      <c r="BH503" s="35">
        <f t="shared" ref="BH503:BH510" si="1488">H503+BF503-BG503</f>
        <v>0</v>
      </c>
      <c r="BK503" s="2" t="b">
        <f>H503='2021'!BH503</f>
        <v>1</v>
      </c>
    </row>
    <row r="504" ht="15.75" customHeight="1" spans="1:63" x14ac:dyDescent="0.25">
      <c r="A504" s="2">
        <v>56</v>
      </c>
      <c r="B504" s="14">
        <v>6.23</v>
      </c>
      <c r="C504" s="15" t="s">
        <v>423</v>
      </c>
      <c r="D504" s="14" t="s">
        <v>44</v>
      </c>
      <c r="E504" s="2" t="s">
        <v>45</v>
      </c>
      <c r="F504" s="41">
        <v>2.5</v>
      </c>
      <c r="G504" s="35">
        <v>2.6</v>
      </c>
      <c r="H504" s="34">
        <f>'2021'!BH504</f>
        <v>0</v>
      </c>
      <c r="I504" s="13">
        <v>29454</v>
      </c>
      <c r="J504" s="15">
        <f>I504-'2021'!BA504</f>
        <v>857</v>
      </c>
      <c r="K504" s="34">
        <f>J504*$F$8</f>
        <v>2313.9</v>
      </c>
      <c r="L504" s="28"/>
      <c r="M504" s="13">
        <v>29720</v>
      </c>
      <c r="N504" s="15">
        <f t="shared" ref="N504:N505" si="1489">M504-I504</f>
        <v>266</v>
      </c>
      <c r="O504" s="34">
        <f>N504*$F$8</f>
        <v>718.2</v>
      </c>
      <c r="P504" s="2">
        <v>2313.9</v>
      </c>
      <c r="Q504" s="13">
        <v>30222</v>
      </c>
      <c r="R504" s="15">
        <f t="shared" ref="R504:R505" si="1490">Q504-M504</f>
        <v>502</v>
      </c>
      <c r="S504" s="34">
        <f>R504*$F$8</f>
        <v>1355.4</v>
      </c>
      <c r="T504" s="32">
        <v>2073.6</v>
      </c>
      <c r="U504" s="13">
        <v>30777</v>
      </c>
      <c r="V504" s="15">
        <f t="shared" ref="V504:V505" si="1491">U504-Q504</f>
        <v>555</v>
      </c>
      <c r="W504" s="34">
        <f>V504*$F$8</f>
        <v>1498.5</v>
      </c>
      <c r="X504" s="34"/>
      <c r="Y504" s="13">
        <v>31328</v>
      </c>
      <c r="Z504" s="2">
        <f t="shared" ref="Z504:Z505" si="1492">Y504-U504</f>
        <v>551</v>
      </c>
      <c r="AA504" s="34">
        <f>Z504*$F$8</f>
        <v>1487.7</v>
      </c>
      <c r="AB504" s="242">
        <v>1498.5</v>
      </c>
      <c r="AC504" s="348">
        <v>31905</v>
      </c>
      <c r="AD504" s="15">
        <f t="shared" ref="AD504:AD505" si="1493">AC504-Y504</f>
        <v>577</v>
      </c>
      <c r="AE504" s="180">
        <f>AD504*$F$8</f>
        <v>1557.9</v>
      </c>
      <c r="AF504" s="34"/>
      <c r="AG504" s="15">
        <v>32422</v>
      </c>
      <c r="AH504" s="2">
        <f>(AG504-AC504)*AH5</f>
        <v>545.952</v>
      </c>
      <c r="AI504" s="45">
        <f>AH504*$G$8</f>
        <v>1343.04192</v>
      </c>
      <c r="AJ504" s="136">
        <v>3045.6</v>
      </c>
      <c r="AK504" s="15">
        <v>32943</v>
      </c>
      <c r="AL504" s="15">
        <f>(AK504-AG504)*AL5</f>
        <v>535.588</v>
      </c>
      <c r="AM504" s="45">
        <f>AL504*$G$8</f>
        <v>1317.54648</v>
      </c>
      <c r="AN504" s="182">
        <v>2184.7</v>
      </c>
      <c r="AO504" s="13">
        <v>33592</v>
      </c>
      <c r="AP504" s="15">
        <f>(AO504-AK504)*AP5</f>
        <v>670.417</v>
      </c>
      <c r="AQ504" s="45">
        <f>AP504*$G$8</f>
        <v>1649.22582</v>
      </c>
      <c r="AR504" s="1"/>
      <c r="AS504" s="13">
        <v>34737</v>
      </c>
      <c r="AT504" s="15">
        <f>(AS504-AO504)*AT5</f>
        <v>1202.25</v>
      </c>
      <c r="AU504" s="45">
        <f>AT504*$G$8</f>
        <v>2957.535</v>
      </c>
      <c r="AV504" s="15">
        <v>2125.11</v>
      </c>
      <c r="AW504" s="13"/>
      <c r="AX504" s="15">
        <f>(AW504-AS504)*AX5</f>
        <v>0</v>
      </c>
      <c r="AY504" s="45">
        <f>AX504*$G$8</f>
        <v>0</v>
      </c>
      <c r="AZ504" s="330"/>
      <c r="BA504" s="13"/>
      <c r="BB504" s="15"/>
      <c r="BC504" s="45">
        <f>BB504*$G$8</f>
        <v>0</v>
      </c>
      <c r="BD504" s="246"/>
      <c r="BE504" s="40">
        <f t="shared" ref="BE504:BG504" si="1494">J504+N504+R504+V504+Z504+AD504+AH504+AL504+AP504+AT504+AX504+BB504</f>
        <v>6262.207</v>
      </c>
      <c r="BF504" s="41">
        <f t="shared" si="1494"/>
        <v>16198.94922</v>
      </c>
      <c r="BG504" s="34">
        <f t="shared" si="1494"/>
        <v>13241.41</v>
      </c>
      <c r="BH504" s="35">
        <f t="shared" si="1488"/>
        <v>2957.53922</v>
      </c>
      <c r="BK504" s="2" t="b">
        <f>H504='2021'!BH504</f>
        <v>1</v>
      </c>
    </row>
    <row r="505" ht="15.75" customHeight="1" spans="1:63" x14ac:dyDescent="0.25">
      <c r="A505" s="2">
        <v>56</v>
      </c>
      <c r="B505" s="14"/>
      <c r="C505" s="15" t="s">
        <v>121</v>
      </c>
      <c r="D505" s="14" t="s">
        <v>47</v>
      </c>
      <c r="E505" s="2" t="s">
        <v>48</v>
      </c>
      <c r="F505" s="13">
        <v>18.56</v>
      </c>
      <c r="G505" s="35">
        <v>19.46</v>
      </c>
      <c r="H505" s="34">
        <f>'2021'!BH505</f>
        <v>-21.3</v>
      </c>
      <c r="I505" s="13">
        <v>36</v>
      </c>
      <c r="J505" s="15"/>
      <c r="K505" s="15"/>
      <c r="L505" s="28"/>
      <c r="M505" s="13">
        <v>36</v>
      </c>
      <c r="N505" s="15">
        <f t="shared" si="1489"/>
        <v>0</v>
      </c>
      <c r="P505" s="1"/>
      <c r="Q505" s="13">
        <v>36</v>
      </c>
      <c r="R505" s="15">
        <f t="shared" si="1490"/>
        <v>0</v>
      </c>
      <c r="S505" s="15"/>
      <c r="T505" s="32"/>
      <c r="U505" s="13">
        <v>36</v>
      </c>
      <c r="V505" s="15">
        <f t="shared" si="1491"/>
        <v>0</v>
      </c>
      <c r="W505" s="180">
        <f>V505*$F$10</f>
        <v>0</v>
      </c>
      <c r="Y505" s="13">
        <v>37</v>
      </c>
      <c r="Z505" s="2">
        <f t="shared" si="1492"/>
        <v>1</v>
      </c>
      <c r="AA505" s="34">
        <f>Z505*$F$10</f>
        <v>20.35</v>
      </c>
      <c r="AB505" s="28"/>
      <c r="AC505" s="348">
        <v>42</v>
      </c>
      <c r="AD505" s="15">
        <f t="shared" si="1493"/>
        <v>5</v>
      </c>
      <c r="AE505" s="34">
        <f>AD505*$F$10</f>
        <v>101.75</v>
      </c>
      <c r="AG505" s="15">
        <v>43</v>
      </c>
      <c r="AH505" s="2">
        <f>AG505-AC505</f>
        <v>1</v>
      </c>
      <c r="AI505" s="45">
        <f>AH505*$G$10</f>
        <v>21.4</v>
      </c>
      <c r="AJ505" s="136">
        <v>100.8</v>
      </c>
      <c r="AK505" s="15">
        <v>43</v>
      </c>
      <c r="AL505" s="15">
        <f>AK505-AG505</f>
        <v>0</v>
      </c>
      <c r="AM505" s="45">
        <f>AL505*$G$10</f>
        <v>0</v>
      </c>
      <c r="AN505" s="154">
        <v>21.4</v>
      </c>
      <c r="AO505" s="13">
        <v>43</v>
      </c>
      <c r="AP505" s="15">
        <f>AO505-AK505</f>
        <v>0</v>
      </c>
      <c r="AQ505" s="45">
        <f>AP505*$G$10</f>
        <v>0</v>
      </c>
      <c r="AR505" s="15"/>
      <c r="AS505" s="13">
        <v>43</v>
      </c>
      <c r="AT505" s="15">
        <f>AS505-AO505</f>
        <v>0</v>
      </c>
      <c r="AU505" s="45">
        <f>AT505*$G$10</f>
        <v>0</v>
      </c>
      <c r="AV505" s="15"/>
      <c r="AW505" s="13"/>
      <c r="AX505" s="15">
        <f>AW505-AS505</f>
        <v>-43</v>
      </c>
      <c r="AY505" s="45"/>
      <c r="AZ505" s="208"/>
      <c r="BA505" s="13"/>
      <c r="BB505" s="15"/>
      <c r="BC505" s="45"/>
      <c r="BD505" s="208"/>
      <c r="BE505" s="40">
        <f t="shared" ref="BE505:BG505" si="1495">J505+N505+R505+V505+Z505+AD505+AH505+AL505+AP505+AT505+AX505+BB505</f>
        <v>-36</v>
      </c>
      <c r="BF505" s="41">
        <f t="shared" si="1495"/>
        <v>143.5</v>
      </c>
      <c r="BG505" s="34">
        <f t="shared" si="1495"/>
        <v>122.2</v>
      </c>
      <c r="BH505" s="35">
        <f t="shared" si="1488"/>
        <v>0</v>
      </c>
      <c r="BK505" s="2" t="b">
        <f>H505='2021'!BH505</f>
        <v>1</v>
      </c>
    </row>
    <row r="506" ht="15.75" customHeight="1" spans="1:63" x14ac:dyDescent="0.25">
      <c r="A506" s="2">
        <v>56</v>
      </c>
      <c r="B506" s="14"/>
      <c r="C506" s="15" t="s">
        <v>115</v>
      </c>
      <c r="D506" s="14" t="s">
        <v>47</v>
      </c>
      <c r="E506" s="2" t="s">
        <v>49</v>
      </c>
      <c r="F506" s="41">
        <v>500</v>
      </c>
      <c r="G506" s="28"/>
      <c r="H506" s="34">
        <f>'2021'!BH506</f>
        <v>0</v>
      </c>
      <c r="I506" s="13"/>
      <c r="J506" s="15"/>
      <c r="K506" s="15"/>
      <c r="L506" s="28"/>
      <c r="M506" s="13"/>
      <c r="N506" s="15"/>
      <c r="P506" s="1"/>
      <c r="Q506" s="13"/>
      <c r="R506" s="15"/>
      <c r="S506" s="15"/>
      <c r="T506" s="32"/>
      <c r="U506" s="13"/>
      <c r="V506" s="15"/>
      <c r="X506" s="34"/>
      <c r="Y506" s="13"/>
      <c r="Z506" s="2"/>
      <c r="AA506" s="34"/>
      <c r="AB506" s="28"/>
      <c r="AC506" s="348"/>
      <c r="AD506" s="15"/>
      <c r="AG506" s="15"/>
      <c r="AH506" s="2"/>
      <c r="AI506" s="45"/>
      <c r="AJ506" s="292"/>
      <c r="AK506" s="15"/>
      <c r="AL506" s="15"/>
      <c r="AM506" s="45"/>
      <c r="AN506" s="15"/>
      <c r="AO506" s="13"/>
      <c r="AP506" s="15"/>
      <c r="AQ506" s="45"/>
      <c r="AR506" s="1"/>
      <c r="AS506" s="13"/>
      <c r="AT506" s="15"/>
      <c r="AU506" s="45"/>
      <c r="AV506" s="15"/>
      <c r="AW506" s="13"/>
      <c r="AX506" s="15"/>
      <c r="AY506" s="45"/>
      <c r="AZ506" s="28"/>
      <c r="BA506" s="13"/>
      <c r="BB506" s="15"/>
      <c r="BC506" s="45"/>
      <c r="BD506" s="28"/>
      <c r="BE506" s="14"/>
      <c r="BF506" s="41">
        <f t="shared" ref="BF506:BG506" si="1496">K506+O506+S506+W506+AA506+AE506+AI506+AM506+AQ506+AU506+AY506+BC506</f>
        <v>0</v>
      </c>
      <c r="BG506" s="34">
        <f t="shared" si="1496"/>
        <v>0</v>
      </c>
      <c r="BH506" s="35">
        <f t="shared" si="1488"/>
        <v>0</v>
      </c>
      <c r="BK506" s="2" t="b">
        <f>H506='2021'!BH506</f>
        <v>1</v>
      </c>
    </row>
    <row r="507" ht="15.75" customHeight="1" spans="1:63" x14ac:dyDescent="0.25">
      <c r="A507" s="2">
        <v>56</v>
      </c>
      <c r="B507" s="14"/>
      <c r="C507" s="15" t="s">
        <v>424</v>
      </c>
      <c r="D507" s="14" t="s">
        <v>50</v>
      </c>
      <c r="E507" s="2" t="s">
        <v>49</v>
      </c>
      <c r="F507" s="41">
        <v>1100</v>
      </c>
      <c r="G507" s="28"/>
      <c r="H507" s="34">
        <f>'2021'!BH507</f>
        <v>0</v>
      </c>
      <c r="I507" s="13"/>
      <c r="J507" s="15"/>
      <c r="K507" s="15"/>
      <c r="L507" s="28"/>
      <c r="M507" s="13"/>
      <c r="N507" s="15"/>
      <c r="P507" s="1"/>
      <c r="Q507" s="13"/>
      <c r="R507" s="15"/>
      <c r="S507" s="15"/>
      <c r="T507" s="32"/>
      <c r="U507" s="13"/>
      <c r="V507" s="15"/>
      <c r="Y507" s="13"/>
      <c r="Z507" s="2"/>
      <c r="AA507" s="15"/>
      <c r="AB507" s="28"/>
      <c r="AC507" s="348"/>
      <c r="AD507" s="15"/>
      <c r="AE507" s="34">
        <f>B504*$F$12</f>
        <v>8099</v>
      </c>
      <c r="AG507" s="15"/>
      <c r="AH507" s="2"/>
      <c r="AI507" s="45"/>
      <c r="AJ507" s="292">
        <v>1605.1</v>
      </c>
      <c r="AK507" s="15"/>
      <c r="AL507" s="15"/>
      <c r="AM507" s="45"/>
      <c r="AN507" s="182">
        <v>6493.9</v>
      </c>
      <c r="AO507" s="13"/>
      <c r="AP507" s="15"/>
      <c r="AQ507" s="45"/>
      <c r="AR507" s="15"/>
      <c r="AS507" s="13"/>
      <c r="AT507" s="15"/>
      <c r="AU507" s="45"/>
      <c r="AV507" s="15"/>
      <c r="AW507" s="13"/>
      <c r="AX507" s="15"/>
      <c r="AY507" s="45"/>
      <c r="AZ507" s="28"/>
      <c r="BA507" s="13"/>
      <c r="BB507" s="15"/>
      <c r="BC507" s="45"/>
      <c r="BD507" s="28"/>
      <c r="BE507" s="14"/>
      <c r="BF507" s="41">
        <f t="shared" ref="BF507:BG507" si="1497">K507+O507+S507+W507+AA507+AE507+AI507+AM507+AQ507+AU507+AY507+BC507</f>
        <v>8099</v>
      </c>
      <c r="BG507" s="34">
        <f t="shared" si="1497"/>
        <v>8099</v>
      </c>
      <c r="BH507" s="35">
        <f t="shared" si="1488"/>
        <v>0</v>
      </c>
      <c r="BK507" s="2" t="b">
        <f>H507='2021'!BH507</f>
        <v>1</v>
      </c>
    </row>
    <row r="508" ht="15.75" customHeight="1" spans="1:63" x14ac:dyDescent="0.25">
      <c r="A508" s="2">
        <v>56</v>
      </c>
      <c r="B508" s="14"/>
      <c r="C508" s="15"/>
      <c r="D508" s="14" t="s">
        <v>51</v>
      </c>
      <c r="E508" s="2" t="s">
        <v>39</v>
      </c>
      <c r="F508" s="41">
        <v>500</v>
      </c>
      <c r="G508" s="28"/>
      <c r="H508" s="34">
        <f>'2021'!BH508</f>
        <v>0</v>
      </c>
      <c r="I508" s="13"/>
      <c r="J508" s="15"/>
      <c r="K508" s="15"/>
      <c r="L508" s="28"/>
      <c r="M508" s="13"/>
      <c r="N508" s="15"/>
      <c r="P508" s="1"/>
      <c r="Q508" s="13"/>
      <c r="R508" s="15"/>
      <c r="S508" s="15"/>
      <c r="T508" s="32"/>
      <c r="U508" s="13"/>
      <c r="V508" s="15"/>
      <c r="Y508" s="13"/>
      <c r="Z508" s="2"/>
      <c r="AA508" s="15"/>
      <c r="AB508" s="28"/>
      <c r="AC508" s="348"/>
      <c r="AD508" s="15"/>
      <c r="AE508" s="180">
        <f>$F$13</f>
        <v>1000</v>
      </c>
      <c r="AG508" s="15"/>
      <c r="AH508" s="2"/>
      <c r="AI508" s="45"/>
      <c r="AJ508" s="15"/>
      <c r="AK508" s="15"/>
      <c r="AL508" s="15"/>
      <c r="AM508" s="45"/>
      <c r="AN508" s="154">
        <v>1000</v>
      </c>
      <c r="AO508" s="13"/>
      <c r="AP508" s="15"/>
      <c r="AQ508" s="180"/>
      <c r="AR508" s="15"/>
      <c r="AS508" s="13"/>
      <c r="AT508" s="15"/>
      <c r="AU508" s="45"/>
      <c r="AV508" s="15"/>
      <c r="AW508" s="13"/>
      <c r="AX508" s="15"/>
      <c r="AY508" s="45"/>
      <c r="AZ508" s="28"/>
      <c r="BA508" s="13"/>
      <c r="BB508" s="15"/>
      <c r="BC508" s="45"/>
      <c r="BD508" s="28"/>
      <c r="BE508" s="14"/>
      <c r="BF508" s="41">
        <f t="shared" ref="BF508:BG508" si="1498">K508+O508+S508+W508+AA508+AE508+AI508+AM508+AQ508+AU508+AY508+BC508</f>
        <v>1000</v>
      </c>
      <c r="BG508" s="34">
        <f t="shared" si="1498"/>
        <v>1000</v>
      </c>
      <c r="BH508" s="35">
        <f t="shared" si="1488"/>
        <v>0</v>
      </c>
      <c r="BK508" s="2" t="b">
        <f>H508='2021'!BH508</f>
        <v>1</v>
      </c>
    </row>
    <row r="509" ht="15.75" customHeight="1" spans="1:63" x14ac:dyDescent="0.25">
      <c r="A509" s="2">
        <v>56</v>
      </c>
      <c r="B509" s="14"/>
      <c r="C509" s="15"/>
      <c r="D509" s="14" t="s">
        <v>51</v>
      </c>
      <c r="E509" s="2" t="s">
        <v>49</v>
      </c>
      <c r="F509" s="41">
        <v>500</v>
      </c>
      <c r="G509" s="28"/>
      <c r="H509" s="34">
        <f>'2021'!BH509</f>
        <v>0</v>
      </c>
      <c r="I509" s="13"/>
      <c r="J509" s="15"/>
      <c r="K509" s="15"/>
      <c r="L509" s="28"/>
      <c r="M509" s="13"/>
      <c r="N509" s="15"/>
      <c r="P509" s="1"/>
      <c r="Q509" s="13"/>
      <c r="R509" s="15"/>
      <c r="S509" s="15"/>
      <c r="T509" s="32"/>
      <c r="U509" s="13"/>
      <c r="V509" s="15"/>
      <c r="Y509" s="13"/>
      <c r="Z509" s="2"/>
      <c r="AA509" s="15"/>
      <c r="AB509" s="28"/>
      <c r="AC509" s="348"/>
      <c r="AD509" s="15"/>
      <c r="AE509" s="34"/>
      <c r="AG509" s="15"/>
      <c r="AH509" s="2"/>
      <c r="AI509" s="45"/>
      <c r="AJ509" s="15"/>
      <c r="AK509" s="15"/>
      <c r="AL509" s="15"/>
      <c r="AM509" s="45"/>
      <c r="AN509" s="15"/>
      <c r="AO509" s="13"/>
      <c r="AP509" s="15"/>
      <c r="AQ509" s="180">
        <f>B504*$F$14</f>
        <v>0</v>
      </c>
      <c r="AR509" s="15"/>
      <c r="AS509" s="13"/>
      <c r="AT509" s="15"/>
      <c r="AU509" s="45"/>
      <c r="AV509" s="15"/>
      <c r="AW509" s="13"/>
      <c r="AX509" s="15"/>
      <c r="AY509" s="45"/>
      <c r="AZ509" s="28"/>
      <c r="BA509" s="13"/>
      <c r="BB509" s="15"/>
      <c r="BC509" s="45"/>
      <c r="BD509" s="28"/>
      <c r="BE509" s="14"/>
      <c r="BF509" s="41">
        <f t="shared" ref="BF509:BG509" si="1499">K509+O509+S509+W509+AA509+AE509+AI509+AM509+AQ509+AU509+AY509+BC509</f>
        <v>0</v>
      </c>
      <c r="BG509" s="34">
        <f t="shared" si="1499"/>
        <v>0</v>
      </c>
      <c r="BH509" s="35">
        <f t="shared" si="1488"/>
        <v>0</v>
      </c>
      <c r="BK509" s="2" t="b">
        <f>H509='2021'!BH509</f>
        <v>1</v>
      </c>
    </row>
    <row r="510" ht="15.75" customHeight="1" spans="1:63" x14ac:dyDescent="0.25">
      <c r="A510" s="2">
        <v>56</v>
      </c>
      <c r="B510" s="14"/>
      <c r="C510" s="15"/>
      <c r="D510" s="14" t="s">
        <v>52</v>
      </c>
      <c r="E510" s="2" t="s">
        <v>39</v>
      </c>
      <c r="F510" s="41">
        <v>500</v>
      </c>
      <c r="G510" s="28"/>
      <c r="H510" s="34">
        <f>'2021'!BH510</f>
        <v>0</v>
      </c>
      <c r="I510" s="13"/>
      <c r="J510" s="15"/>
      <c r="K510" s="15"/>
      <c r="L510" s="28"/>
      <c r="M510" s="13"/>
      <c r="N510" s="15"/>
      <c r="P510" s="1"/>
      <c r="Q510" s="13"/>
      <c r="R510" s="15"/>
      <c r="S510" s="15"/>
      <c r="T510" s="28"/>
      <c r="U510" s="13"/>
      <c r="V510" s="15"/>
      <c r="Y510" s="13"/>
      <c r="Z510" s="2"/>
      <c r="AA510" s="34">
        <f>$F$15</f>
      </c>
      <c r="AB510" s="28"/>
      <c r="AC510" s="348"/>
      <c r="AD510" s="15"/>
      <c r="AG510" s="15"/>
      <c r="AH510" s="2"/>
      <c r="AI510" s="45"/>
      <c r="AJ510" s="15"/>
      <c r="AK510" s="15"/>
      <c r="AL510" s="15"/>
      <c r="AM510" s="45"/>
      <c r="AN510" s="304"/>
      <c r="AO510" s="13"/>
      <c r="AP510" s="15"/>
      <c r="AQ510" s="45"/>
      <c r="AR510" s="15"/>
      <c r="AS510" s="13"/>
      <c r="AT510" s="15"/>
      <c r="AU510" s="45"/>
      <c r="AV510" s="15"/>
      <c r="AW510" s="13"/>
      <c r="AX510" s="15"/>
      <c r="AY510" s="45"/>
      <c r="AZ510" s="35"/>
      <c r="BA510" s="13"/>
      <c r="BB510" s="15"/>
      <c r="BC510" s="45"/>
      <c r="BD510" s="35"/>
      <c r="BE510" s="14"/>
      <c r="BF510" s="41">
        <f t="shared" ref="BF510:BG510" si="1500">K510+O510+S510+W510+AA510+AE510+AI510+AM510+AQ510+AU510+AY510+BC510</f>
        <v>0</v>
      </c>
      <c r="BG510" s="34">
        <f t="shared" si="1500"/>
        <v>0</v>
      </c>
      <c r="BH510" s="35">
        <f t="shared" si="1488"/>
        <v>0</v>
      </c>
      <c r="BK510" s="2" t="b">
        <f>H510='2021'!BH510</f>
        <v>1</v>
      </c>
    </row>
    <row r="511" ht="15.75" customHeight="1" spans="1:63" x14ac:dyDescent="0.25">
      <c r="A511" s="247">
        <v>56</v>
      </c>
      <c r="B511" s="21"/>
      <c r="C511" s="22" t="s">
        <v>53</v>
      </c>
      <c r="D511" s="21"/>
      <c r="E511" s="22"/>
      <c r="F511" s="20"/>
      <c r="G511" s="23"/>
      <c r="H511" s="51">
        <f>SUM(H503:H510)</f>
        <v>-21.3</v>
      </c>
      <c r="I511" s="52"/>
      <c r="J511" s="53"/>
      <c r="K511" s="51">
        <f t="shared" ref="K511:L511" si="1501">SUM(K503:K510)</f>
        <v>2313.9</v>
      </c>
      <c r="L511" s="68">
        <f t="shared" si="1501"/>
        <v>0</v>
      </c>
      <c r="M511" s="52"/>
      <c r="N511" s="53"/>
      <c r="O511" s="51">
        <f t="shared" ref="O511:P511" si="1502">SUM(O503:O510)</f>
        <v>718.2</v>
      </c>
      <c r="P511" s="51">
        <f t="shared" si="1502"/>
        <v>2313.9</v>
      </c>
      <c r="Q511" s="52"/>
      <c r="R511" s="53"/>
      <c r="S511" s="51">
        <f t="shared" ref="S511:T511" si="1503">SUM(S503:S510)</f>
        <v>1355.4</v>
      </c>
      <c r="T511" s="51">
        <f t="shared" si="1503"/>
        <v>2073.6</v>
      </c>
      <c r="U511" s="52"/>
      <c r="V511" s="53"/>
      <c r="W511" s="51">
        <f t="shared" ref="W511:X511" si="1504">SUM(W503:W510)</f>
        <v>1498.5</v>
      </c>
      <c r="X511" s="51">
        <f t="shared" si="1504"/>
        <v>0</v>
      </c>
      <c r="Y511" s="52"/>
      <c r="Z511" s="301"/>
      <c r="AA511" s="51">
        <f t="shared" ref="AA511:AB511" si="1505">SUM(AA503:AA510)</f>
        <v>1756.55</v>
      </c>
      <c r="AB511" s="51">
        <f t="shared" si="1505"/>
        <v>1498.5</v>
      </c>
      <c r="AC511" s="367"/>
      <c r="AD511" s="53"/>
      <c r="AE511" s="51">
        <f t="shared" ref="AE511:AF511" si="1506">SUM(AE503:AE510)</f>
        <v>10758.65</v>
      </c>
      <c r="AF511" s="51">
        <f t="shared" si="1506"/>
        <v>0</v>
      </c>
      <c r="AG511" s="52"/>
      <c r="AH511" s="301"/>
      <c r="AI511" s="183">
        <f t="shared" ref="AI511:AJ511" si="1507">SUM(AI503:AI510)</f>
        <v>1364.44192</v>
      </c>
      <c r="AJ511" s="51">
        <f t="shared" si="1507"/>
        <v>5000</v>
      </c>
      <c r="AK511" s="52"/>
      <c r="AL511" s="53"/>
      <c r="AM511" s="183">
        <f t="shared" ref="AM511:AN511" si="1508">SUM(AM503:AM510)</f>
        <v>1317.54648</v>
      </c>
      <c r="AN511" s="51">
        <f t="shared" si="1508"/>
        <v>9700</v>
      </c>
      <c r="AO511" s="52"/>
      <c r="AP511" s="53"/>
      <c r="AQ511" s="183">
        <f t="shared" ref="AQ511:AR511" si="1509">SUM(AQ503:AQ510)</f>
        <v>1649.22582</v>
      </c>
      <c r="AR511" s="51">
        <f t="shared" si="1509"/>
        <v>0</v>
      </c>
      <c r="AS511" s="52"/>
      <c r="AT511" s="53"/>
      <c r="AU511" s="183">
        <f t="shared" ref="AU511:AV511" si="1510">SUM(AU503:AU510)</f>
        <v>2957.535</v>
      </c>
      <c r="AV511" s="68">
        <f t="shared" si="1510"/>
        <v>2125.11</v>
      </c>
      <c r="AW511" s="52"/>
      <c r="AX511" s="53"/>
      <c r="AY511" s="183">
        <f t="shared" ref="AY511:AZ511" si="1511">SUM(AY503:AY510)</f>
        <v>0</v>
      </c>
      <c r="AZ511" s="68">
        <f t="shared" si="1511"/>
        <v>0</v>
      </c>
      <c r="BA511" s="52"/>
      <c r="BB511" s="53"/>
      <c r="BC511" s="183">
        <f t="shared" ref="BC511:BD511" si="1512">SUM(BC503:BC510)</f>
        <v>0</v>
      </c>
      <c r="BD511" s="68">
        <f t="shared" si="1512"/>
        <v>0</v>
      </c>
      <c r="BE511" s="69"/>
      <c r="BF511" s="70">
        <f t="shared" ref="BF511:BH511" si="1513">SUM(BF503:BF510)</f>
        <v>25689.94922</v>
      </c>
      <c r="BG511" s="71">
        <f t="shared" si="1513"/>
        <v>22711.11</v>
      </c>
      <c r="BH511" s="72">
        <f t="shared" si="1513"/>
        <v>2957.53922</v>
      </c>
      <c r="BI511" s="34">
        <f>H511+BF511-BG511</f>
        <v>2957.53922</v>
      </c>
      <c r="BJ511" s="34">
        <f>BH511-BI511</f>
        <v>0</v>
      </c>
      <c r="BK511" s="2" t="b">
        <f>H511='2021'!BH511</f>
        <v>1</v>
      </c>
    </row>
    <row r="512" ht="15.75" customHeight="1" spans="1:63" x14ac:dyDescent="0.25">
      <c r="A512" s="2">
        <v>57</v>
      </c>
      <c r="B512" s="14"/>
      <c r="D512" s="14" t="s">
        <v>552</v>
      </c>
      <c r="F512" s="13"/>
      <c r="G512" s="28"/>
      <c r="H512" s="34">
        <f>'2021'!BH512</f>
        <v>0</v>
      </c>
      <c r="I512" s="13"/>
      <c r="J512" s="15"/>
      <c r="K512" s="15"/>
      <c r="L512" s="28"/>
      <c r="M512" s="13"/>
      <c r="N512" s="15"/>
      <c r="Q512" s="13"/>
      <c r="R512" s="15"/>
      <c r="S512" s="15"/>
      <c r="T512" s="28"/>
      <c r="U512" s="13"/>
      <c r="V512" s="15"/>
      <c r="W512" s="2"/>
      <c r="Y512" s="13"/>
      <c r="Z512" s="2"/>
      <c r="AA512" s="154">
        <v>248.5</v>
      </c>
      <c r="AB512" s="32"/>
      <c r="AC512" s="348"/>
      <c r="AD512" s="15"/>
      <c r="AG512" s="15"/>
      <c r="AH512" s="2"/>
      <c r="AI512" s="45"/>
      <c r="AJ512" s="15"/>
      <c r="AK512" s="15"/>
      <c r="AM512" s="45"/>
      <c r="AO512" s="13"/>
      <c r="AQ512" s="307"/>
      <c r="AR512" s="15"/>
      <c r="AS512" s="13"/>
      <c r="AU512" s="45"/>
      <c r="AV512" s="372">
        <v>248</v>
      </c>
      <c r="AW512" s="13"/>
      <c r="AY512" s="45"/>
      <c r="AZ512" s="32"/>
      <c r="BA512" s="13"/>
      <c r="BB512" s="15"/>
      <c r="BC512" s="45"/>
      <c r="BD512" s="32"/>
      <c r="BE512" s="14"/>
      <c r="BF512" s="41">
        <f t="shared" ref="BF512:BG512" si="1514">K512+O512+S512+W512+AA512+AE512+AI512+AM512+AQ512+AU512+AY512+BC512</f>
        <v>248.5</v>
      </c>
      <c r="BG512" s="34">
        <f t="shared" si="1514"/>
        <v>248</v>
      </c>
      <c r="BH512" s="35">
        <f t="shared" ref="BH512:BH519" si="1515">H512+BF512-BG512</f>
        <v>0.5</v>
      </c>
      <c r="BK512" s="2" t="b">
        <f>H512='2021'!BH512</f>
        <v>1</v>
      </c>
    </row>
    <row r="513" ht="15.75" customHeight="1" spans="1:63" x14ac:dyDescent="0.25">
      <c r="A513" s="2">
        <v>57</v>
      </c>
      <c r="B513" s="30">
        <v>3.82</v>
      </c>
      <c r="C513" s="2" t="s">
        <v>502</v>
      </c>
      <c r="D513" s="14" t="s">
        <v>44</v>
      </c>
      <c r="E513" s="2" t="s">
        <v>45</v>
      </c>
      <c r="F513" s="41">
        <v>2.5</v>
      </c>
      <c r="G513" s="35">
        <v>2.6</v>
      </c>
      <c r="H513" s="34">
        <f>'2021'!BH513</f>
        <v>29.7</v>
      </c>
      <c r="I513" s="13">
        <v>720</v>
      </c>
      <c r="J513" s="15">
        <f>I513-'2021'!BA513</f>
        <v>2</v>
      </c>
      <c r="K513" s="34">
        <f>J513*$F$8</f>
        <v>5.4</v>
      </c>
      <c r="L513" s="28"/>
      <c r="M513" s="13">
        <v>720</v>
      </c>
      <c r="N513" s="15">
        <f t="shared" ref="N513:N514" si="1516">M513-I513</f>
        <v>0</v>
      </c>
      <c r="O513" s="34">
        <f>N513*$F$8</f>
        <v>0</v>
      </c>
      <c r="P513" s="1">
        <v>200</v>
      </c>
      <c r="Q513" s="13">
        <v>720</v>
      </c>
      <c r="R513" s="15">
        <f t="shared" ref="R513:R514" si="1517">Q513-M513</f>
        <v>0</v>
      </c>
      <c r="S513" s="34">
        <f>R513*$F$8</f>
        <v>0</v>
      </c>
      <c r="T513" s="28"/>
      <c r="U513" s="13">
        <v>720</v>
      </c>
      <c r="V513" s="15">
        <f t="shared" ref="V513:V514" si="1518">U513-Q513</f>
        <v>0</v>
      </c>
      <c r="W513" s="34">
        <f>V513*$F$8</f>
        <v>0</v>
      </c>
      <c r="Y513" s="13">
        <v>748</v>
      </c>
      <c r="Z513" s="2">
        <f t="shared" ref="Z513:Z514" si="1519">Y513-U513</f>
        <v>28</v>
      </c>
      <c r="AA513" s="34">
        <f>Z513*$F$8</f>
        <v>75.6</v>
      </c>
      <c r="AB513" s="32"/>
      <c r="AC513" s="350">
        <v>773</v>
      </c>
      <c r="AD513" s="15">
        <f t="shared" ref="AD513:AD514" si="1520">AC513-Y513</f>
        <v>25</v>
      </c>
      <c r="AE513" s="180">
        <f>AD513*$F$8</f>
        <v>67.5</v>
      </c>
      <c r="AG513" s="13">
        <v>803</v>
      </c>
      <c r="AH513" s="2">
        <f>(AG513-AC513)*AH5</f>
        <v>31.68</v>
      </c>
      <c r="AI513" s="45">
        <f>AH513*$G$8</f>
        <v>77.9328</v>
      </c>
      <c r="AJ513" s="15"/>
      <c r="AK513" s="13">
        <v>842</v>
      </c>
      <c r="AL513" s="15">
        <f>(AK513-AG513)*AL5</f>
        <v>40.092</v>
      </c>
      <c r="AM513" s="45">
        <f>AL513*$G$8</f>
        <v>98.62632</v>
      </c>
      <c r="AN513" s="15"/>
      <c r="AO513" s="13">
        <v>878</v>
      </c>
      <c r="AP513" s="15">
        <f>(AO513-AK513)*AP5</f>
        <v>37.188</v>
      </c>
      <c r="AQ513" s="45">
        <f>AP513*$G$8</f>
        <v>91.48248</v>
      </c>
      <c r="AR513" s="15"/>
      <c r="AS513" s="13">
        <v>919</v>
      </c>
      <c r="AT513" s="15">
        <f>(AS513-AO513)*AT5</f>
        <v>43.05</v>
      </c>
      <c r="AU513" s="45">
        <f>AT513*$G$8</f>
        <v>105.903</v>
      </c>
      <c r="AV513" s="15">
        <v>246.89</v>
      </c>
      <c r="AW513" s="13"/>
      <c r="AX513" s="15">
        <f>(AW513-AS513)*AX5</f>
        <v>0</v>
      </c>
      <c r="AY513" s="45">
        <f>AX513*$G$8</f>
        <v>0</v>
      </c>
      <c r="AZ513" s="249"/>
      <c r="BA513" s="13"/>
      <c r="BB513" s="15"/>
      <c r="BC513" s="45">
        <f>BB513*$G$8</f>
        <v>0</v>
      </c>
      <c r="BD513" s="249"/>
      <c r="BE513" s="40">
        <f t="shared" ref="BE513:BG513" si="1521">J513+N513+R513+V513+Z513+AD513+AH513+AL513+AP513+AT513+AX513+BB513</f>
        <v>207.01</v>
      </c>
      <c r="BF513" s="41">
        <f t="shared" si="1521"/>
        <v>522.4446</v>
      </c>
      <c r="BG513" s="34">
        <f t="shared" si="1521"/>
        <v>446.89</v>
      </c>
      <c r="BH513" s="35">
        <f t="shared" si="1515"/>
        <v>105.2546</v>
      </c>
      <c r="BK513" s="2" t="b">
        <f>H513='2021'!BH513</f>
        <v>1</v>
      </c>
    </row>
    <row r="514" ht="15.75" customHeight="1" spans="1:63" x14ac:dyDescent="0.25">
      <c r="A514" s="2">
        <v>57</v>
      </c>
      <c r="B514" s="14"/>
      <c r="C514" s="15" t="s">
        <v>128</v>
      </c>
      <c r="D514" s="14" t="s">
        <v>47</v>
      </c>
      <c r="E514" s="2" t="s">
        <v>48</v>
      </c>
      <c r="F514" s="13">
        <v>18.56</v>
      </c>
      <c r="G514" s="35">
        <v>19.46</v>
      </c>
      <c r="H514" s="34">
        <f>'2021'!BH514</f>
        <v>0</v>
      </c>
      <c r="I514" s="13">
        <v>12</v>
      </c>
      <c r="J514" s="15"/>
      <c r="K514" s="15"/>
      <c r="L514" s="28"/>
      <c r="M514" s="13">
        <v>12</v>
      </c>
      <c r="N514" s="15">
        <f t="shared" si="1516"/>
        <v>0</v>
      </c>
      <c r="Q514" s="13">
        <v>12</v>
      </c>
      <c r="R514" s="15">
        <f t="shared" si="1517"/>
        <v>0</v>
      </c>
      <c r="S514" s="15"/>
      <c r="T514" s="28"/>
      <c r="U514" s="13">
        <v>12</v>
      </c>
      <c r="V514" s="15">
        <f t="shared" si="1518"/>
        <v>0</v>
      </c>
      <c r="W514" s="34">
        <f>V514*$F$10</f>
        <v>0</v>
      </c>
      <c r="Y514" s="13">
        <v>13</v>
      </c>
      <c r="Z514" s="2">
        <f t="shared" si="1519"/>
        <v>1</v>
      </c>
      <c r="AA514" s="34">
        <f>Z514*$F$10</f>
        <v>20.35</v>
      </c>
      <c r="AB514" s="32"/>
      <c r="AC514" s="350">
        <v>21</v>
      </c>
      <c r="AD514" s="15">
        <f t="shared" si="1520"/>
        <v>8</v>
      </c>
      <c r="AE514" s="34">
        <f>AD514*$F$10</f>
        <v>162.8</v>
      </c>
      <c r="AG514" s="13">
        <v>26</v>
      </c>
      <c r="AH514" s="2">
        <f>AG514-AC514</f>
        <v>5</v>
      </c>
      <c r="AI514" s="45">
        <f>AH514*$G$10</f>
        <v>107</v>
      </c>
      <c r="AJ514" s="15"/>
      <c r="AK514" s="13">
        <v>30</v>
      </c>
      <c r="AL514" s="15">
        <f>AK514-AG514</f>
        <v>4</v>
      </c>
      <c r="AM514" s="45">
        <f>AL514*$G$10</f>
        <v>85.6</v>
      </c>
      <c r="AN514" s="15"/>
      <c r="AO514" s="13">
        <v>36</v>
      </c>
      <c r="AP514" s="15">
        <f>AO514-AK514</f>
        <v>6</v>
      </c>
      <c r="AQ514" s="45">
        <f>AP514*$G$10</f>
        <v>128.4</v>
      </c>
      <c r="AR514" s="15"/>
      <c r="AS514" s="13">
        <v>36</v>
      </c>
      <c r="AT514" s="15">
        <f>AS514-AO514</f>
        <v>0</v>
      </c>
      <c r="AU514" s="45">
        <f>AT514*$G$10</f>
        <v>0</v>
      </c>
      <c r="AV514" s="15">
        <v>504</v>
      </c>
      <c r="AW514" s="13"/>
      <c r="AX514" s="15">
        <f>AW514-AS514</f>
        <v>-36</v>
      </c>
      <c r="AY514" s="45"/>
      <c r="AZ514" s="249"/>
      <c r="BA514" s="13"/>
      <c r="BB514" s="15"/>
      <c r="BC514" s="45"/>
      <c r="BD514" s="249"/>
      <c r="BE514" s="40">
        <f t="shared" ref="BE514:BG514" si="1522">J514+N514+R514+V514+Z514+AD514+AH514+AL514+AP514+AT514+AX514+BB514</f>
        <v>-12</v>
      </c>
      <c r="BF514" s="41">
        <f t="shared" si="1522"/>
        <v>504.15</v>
      </c>
      <c r="BG514" s="34">
        <f t="shared" si="1522"/>
        <v>504</v>
      </c>
      <c r="BH514" s="35">
        <f t="shared" si="1515"/>
        <v>0.15</v>
      </c>
      <c r="BK514" s="2" t="b">
        <f>H514='2021'!BH514</f>
        <v>1</v>
      </c>
    </row>
    <row r="515" ht="15.75" customHeight="1" spans="1:63" x14ac:dyDescent="0.25">
      <c r="A515" s="2">
        <v>57</v>
      </c>
      <c r="B515" s="14"/>
      <c r="C515" s="15" t="s">
        <v>503</v>
      </c>
      <c r="D515" s="14" t="s">
        <v>47</v>
      </c>
      <c r="E515" s="2" t="s">
        <v>49</v>
      </c>
      <c r="F515" s="41">
        <v>500</v>
      </c>
      <c r="G515" s="28"/>
      <c r="H515" s="144">
        <f>'2021'!BH515</f>
        <v>0</v>
      </c>
      <c r="I515" s="13"/>
      <c r="J515" s="15"/>
      <c r="K515" s="15"/>
      <c r="L515" s="28"/>
      <c r="M515" s="13"/>
      <c r="N515" s="15"/>
      <c r="Q515" s="13"/>
      <c r="R515" s="15"/>
      <c r="S515" s="15"/>
      <c r="T515" s="28"/>
      <c r="U515" s="13"/>
      <c r="V515" s="15"/>
      <c r="Y515" s="13"/>
      <c r="Z515" s="2"/>
      <c r="AA515" s="34"/>
      <c r="AB515" s="32"/>
      <c r="AC515" s="348"/>
      <c r="AD515" s="15"/>
      <c r="AG515" s="15"/>
      <c r="AH515" s="2"/>
      <c r="AI515" s="45"/>
      <c r="AJ515" s="15"/>
      <c r="AK515" s="15"/>
      <c r="AL515" s="15"/>
      <c r="AM515" s="45"/>
      <c r="AN515" s="15"/>
      <c r="AO515" s="13"/>
      <c r="AP515" s="15"/>
      <c r="AQ515" s="45"/>
      <c r="AR515" s="34"/>
      <c r="AS515" s="13"/>
      <c r="AT515" s="15"/>
      <c r="AU515" s="45"/>
      <c r="AV515" s="15"/>
      <c r="AW515" s="13"/>
      <c r="AX515" s="15"/>
      <c r="AY515" s="45"/>
      <c r="AZ515" s="32"/>
      <c r="BA515" s="13"/>
      <c r="BB515" s="15"/>
      <c r="BC515" s="45"/>
      <c r="BD515" s="32"/>
      <c r="BE515" s="14"/>
      <c r="BF515" s="41">
        <f t="shared" ref="BF515:BG515" si="1523">K515+O515+S515+W515+AA515+AE515+AI515+AM515+AQ515+AU515+AY515+BC515</f>
        <v>0</v>
      </c>
      <c r="BG515" s="34">
        <f t="shared" si="1523"/>
        <v>0</v>
      </c>
      <c r="BH515" s="35">
        <f t="shared" si="1515"/>
        <v>0</v>
      </c>
      <c r="BK515" s="2" t="b">
        <f>H515='2021'!BH515</f>
        <v>1</v>
      </c>
    </row>
    <row r="516" ht="15.75" customHeight="1" spans="1:63" x14ac:dyDescent="0.25">
      <c r="A516" s="2">
        <v>57</v>
      </c>
      <c r="B516" s="14"/>
      <c r="C516" s="15" t="s">
        <v>504</v>
      </c>
      <c r="D516" s="14" t="s">
        <v>50</v>
      </c>
      <c r="E516" s="2" t="s">
        <v>49</v>
      </c>
      <c r="F516" s="41">
        <v>1100</v>
      </c>
      <c r="G516" s="28"/>
      <c r="H516" s="34">
        <f>'2021'!BH516</f>
        <v>0</v>
      </c>
      <c r="I516" s="13"/>
      <c r="J516" s="15"/>
      <c r="K516" s="15"/>
      <c r="L516" s="28"/>
      <c r="M516" s="13"/>
      <c r="N516" s="15"/>
      <c r="Q516" s="13"/>
      <c r="R516" s="15"/>
      <c r="S516" s="15"/>
      <c r="T516" s="28"/>
      <c r="U516" s="13"/>
      <c r="V516" s="15"/>
      <c r="Y516" s="13"/>
      <c r="Z516" s="2"/>
      <c r="AA516" s="15"/>
      <c r="AB516" s="32"/>
      <c r="AC516" s="348"/>
      <c r="AD516" s="15"/>
      <c r="AE516" s="34">
        <f>B513*$F$12</f>
        <v>4966</v>
      </c>
      <c r="AF516" s="34"/>
      <c r="AG516" s="15"/>
      <c r="AH516" s="2"/>
      <c r="AI516" s="45"/>
      <c r="AJ516" s="15"/>
      <c r="AK516" s="15"/>
      <c r="AL516" s="15"/>
      <c r="AM516" s="45"/>
      <c r="AN516" s="15"/>
      <c r="AO516" s="13"/>
      <c r="AP516" s="15"/>
      <c r="AQ516" s="45"/>
      <c r="AR516" s="34"/>
      <c r="AS516" s="13"/>
      <c r="AT516" s="15"/>
      <c r="AU516" s="45"/>
      <c r="AV516" s="15">
        <v>4966</v>
      </c>
      <c r="AW516" s="13"/>
      <c r="AX516" s="15"/>
      <c r="AY516" s="45"/>
      <c r="AZ516" s="32"/>
      <c r="BA516" s="13"/>
      <c r="BB516" s="15"/>
      <c r="BC516" s="45"/>
      <c r="BD516" s="32"/>
      <c r="BE516" s="14"/>
      <c r="BF516" s="41">
        <f t="shared" ref="BF516:BG516" si="1524">K516+O516+S516+W516+AA516+AE516+AI516+AM516+AQ516+AU516+AY516+BC516</f>
        <v>4966</v>
      </c>
      <c r="BG516" s="34">
        <f t="shared" si="1524"/>
        <v>4966</v>
      </c>
      <c r="BH516" s="35">
        <f t="shared" si="1515"/>
        <v>0</v>
      </c>
      <c r="BK516" s="2" t="b">
        <f>H516='2021'!BH516</f>
        <v>1</v>
      </c>
    </row>
    <row r="517" ht="15.75" customHeight="1" spans="1:63" x14ac:dyDescent="0.25">
      <c r="A517" s="2">
        <v>57</v>
      </c>
      <c r="B517" s="14"/>
      <c r="C517" s="15"/>
      <c r="D517" s="14" t="s">
        <v>51</v>
      </c>
      <c r="E517" s="2" t="s">
        <v>39</v>
      </c>
      <c r="F517" s="41">
        <v>500</v>
      </c>
      <c r="G517" s="28"/>
      <c r="H517" s="34">
        <f>'2021'!BH517</f>
        <v>0</v>
      </c>
      <c r="I517" s="13"/>
      <c r="J517" s="15"/>
      <c r="K517" s="15"/>
      <c r="L517" s="28"/>
      <c r="M517" s="13"/>
      <c r="N517" s="15"/>
      <c r="Q517" s="13"/>
      <c r="R517" s="15"/>
      <c r="S517" s="15"/>
      <c r="T517" s="28"/>
      <c r="U517" s="13"/>
      <c r="V517" s="15"/>
      <c r="Y517" s="13"/>
      <c r="Z517" s="2"/>
      <c r="AA517" s="15"/>
      <c r="AB517" s="32"/>
      <c r="AC517" s="348"/>
      <c r="AD517" s="15"/>
      <c r="AE517" s="180">
        <f>$F$13</f>
        <v>1000</v>
      </c>
      <c r="AG517" s="15"/>
      <c r="AH517" s="2"/>
      <c r="AI517" s="45"/>
      <c r="AJ517" s="15"/>
      <c r="AK517" s="15"/>
      <c r="AL517" s="15"/>
      <c r="AM517" s="45"/>
      <c r="AN517" s="15"/>
      <c r="AO517" s="13"/>
      <c r="AP517" s="15"/>
      <c r="AQ517" s="180"/>
      <c r="AR517" s="34"/>
      <c r="AS517" s="13"/>
      <c r="AT517" s="15"/>
      <c r="AU517" s="45"/>
      <c r="AV517" s="15">
        <v>1000</v>
      </c>
      <c r="AW517" s="13"/>
      <c r="AX517" s="15"/>
      <c r="AY517" s="45"/>
      <c r="AZ517" s="28"/>
      <c r="BA517" s="13"/>
      <c r="BB517" s="15"/>
      <c r="BC517" s="45"/>
      <c r="BD517" s="28"/>
      <c r="BE517" s="14"/>
      <c r="BF517" s="41">
        <f t="shared" ref="BF517:BG517" si="1525">K517+O517+S517+W517+AA517+AE517+AI517+AM517+AQ517+AU517+AY517+BC517</f>
        <v>1000</v>
      </c>
      <c r="BG517" s="34">
        <f t="shared" si="1525"/>
        <v>1000</v>
      </c>
      <c r="BH517" s="35">
        <f t="shared" si="1515"/>
        <v>0</v>
      </c>
      <c r="BK517" s="2" t="b">
        <f>H517='2021'!BH517</f>
        <v>1</v>
      </c>
    </row>
    <row r="518" ht="15.75" customHeight="1" spans="1:63" x14ac:dyDescent="0.25">
      <c r="A518" s="2">
        <v>57</v>
      </c>
      <c r="B518" s="14"/>
      <c r="C518" s="15"/>
      <c r="D518" s="14" t="s">
        <v>51</v>
      </c>
      <c r="E518" s="2" t="s">
        <v>49</v>
      </c>
      <c r="F518" s="41">
        <v>500</v>
      </c>
      <c r="G518" s="28"/>
      <c r="H518" s="34">
        <f>'2021'!BH518</f>
        <v>0</v>
      </c>
      <c r="I518" s="13"/>
      <c r="J518" s="15"/>
      <c r="K518" s="15"/>
      <c r="L518" s="28"/>
      <c r="M518" s="13"/>
      <c r="N518" s="15"/>
      <c r="Q518" s="13"/>
      <c r="R518" s="15"/>
      <c r="S518" s="15"/>
      <c r="T518" s="28"/>
      <c r="U518" s="13"/>
      <c r="V518" s="15"/>
      <c r="Y518" s="13"/>
      <c r="Z518" s="2"/>
      <c r="AA518" s="15"/>
      <c r="AB518" s="32"/>
      <c r="AC518" s="348"/>
      <c r="AD518" s="15"/>
      <c r="AE518" s="34"/>
      <c r="AG518" s="15"/>
      <c r="AH518" s="2"/>
      <c r="AI518" s="45"/>
      <c r="AJ518" s="15"/>
      <c r="AK518" s="15"/>
      <c r="AL518" s="15"/>
      <c r="AM518" s="45"/>
      <c r="AN518" s="15"/>
      <c r="AO518" s="13"/>
      <c r="AP518" s="15"/>
      <c r="AQ518" s="180">
        <f>B513*$F$14</f>
        <v>0</v>
      </c>
      <c r="AR518" s="15"/>
      <c r="AS518" s="13"/>
      <c r="AT518" s="15"/>
      <c r="AU518" s="45"/>
      <c r="AV518" s="15"/>
      <c r="AW518" s="13"/>
      <c r="AX518" s="15"/>
      <c r="AY518" s="45"/>
      <c r="AZ518" s="28"/>
      <c r="BA518" s="13"/>
      <c r="BB518" s="15"/>
      <c r="BC518" s="45"/>
      <c r="BD518" s="28"/>
      <c r="BE518" s="14"/>
      <c r="BF518" s="41">
        <f t="shared" ref="BF518:BG518" si="1526">K518+O518+S518+W518+AA518+AE518+AI518+AM518+AQ518+AU518+AY518+BC518</f>
        <v>0</v>
      </c>
      <c r="BG518" s="34">
        <f t="shared" si="1526"/>
        <v>0</v>
      </c>
      <c r="BH518" s="35">
        <f t="shared" si="1515"/>
        <v>0</v>
      </c>
      <c r="BK518" s="2" t="b">
        <f>H518='2021'!BH518</f>
        <v>1</v>
      </c>
    </row>
    <row r="519" ht="15.75" customHeight="1" spans="1:63" x14ac:dyDescent="0.25">
      <c r="A519" s="2">
        <v>57</v>
      </c>
      <c r="B519" s="14"/>
      <c r="D519" s="14" t="s">
        <v>52</v>
      </c>
      <c r="E519" s="2" t="s">
        <v>39</v>
      </c>
      <c r="F519" s="41">
        <v>500</v>
      </c>
      <c r="G519" s="28"/>
      <c r="H519" s="34">
        <f>'2021'!BH519</f>
        <v>0</v>
      </c>
      <c r="I519" s="13"/>
      <c r="J519" s="15"/>
      <c r="K519" s="15"/>
      <c r="L519" s="28"/>
      <c r="M519" s="13"/>
      <c r="N519" s="15"/>
      <c r="Q519" s="13"/>
      <c r="R519" s="15"/>
      <c r="S519" s="15"/>
      <c r="T519" s="28"/>
      <c r="U519" s="13"/>
      <c r="V519" s="15"/>
      <c r="Y519" s="13"/>
      <c r="Z519" s="2"/>
      <c r="AA519" s="34">
        <f>$F$15</f>
      </c>
      <c r="AB519" s="28"/>
      <c r="AC519" s="348"/>
      <c r="AD519" s="15"/>
      <c r="AG519" s="15"/>
      <c r="AH519" s="2"/>
      <c r="AI519" s="45"/>
      <c r="AJ519" s="15"/>
      <c r="AK519" s="15"/>
      <c r="AL519" s="15"/>
      <c r="AM519" s="45"/>
      <c r="AN519" s="15"/>
      <c r="AO519" s="13"/>
      <c r="AP519" s="15"/>
      <c r="AQ519" s="45"/>
      <c r="AR519" s="34"/>
      <c r="AS519" s="13"/>
      <c r="AT519" s="15"/>
      <c r="AU519" s="45"/>
      <c r="AV519" s="15"/>
      <c r="AW519" s="13"/>
      <c r="AX519" s="15"/>
      <c r="AY519" s="45"/>
      <c r="AZ519" s="35"/>
      <c r="BA519" s="13"/>
      <c r="BB519" s="15"/>
      <c r="BC519" s="45"/>
      <c r="BD519" s="35"/>
      <c r="BE519" s="14"/>
      <c r="BF519" s="41">
        <f t="shared" ref="BF519:BG519" si="1527">K519+O519+S519+W519+AA519+AE519+AI519+AM519+AQ519+AU519+AY519+BC519</f>
        <v>0</v>
      </c>
      <c r="BG519" s="34">
        <f t="shared" si="1527"/>
        <v>0</v>
      </c>
      <c r="BH519" s="35">
        <f t="shared" si="1515"/>
        <v>0</v>
      </c>
      <c r="BK519" s="2" t="b">
        <f>H519='2021'!BH519</f>
        <v>1</v>
      </c>
    </row>
    <row r="520" ht="15.75" customHeight="1" spans="1:63" x14ac:dyDescent="0.25">
      <c r="A520" s="247">
        <v>57</v>
      </c>
      <c r="B520" s="21"/>
      <c r="C520" s="22" t="s">
        <v>53</v>
      </c>
      <c r="D520" s="21"/>
      <c r="E520" s="22"/>
      <c r="F520" s="20"/>
      <c r="G520" s="23"/>
      <c r="H520" s="51">
        <f>SUM(H512:H519)</f>
        <v>29.7</v>
      </c>
      <c r="I520" s="52"/>
      <c r="J520" s="53"/>
      <c r="K520" s="51">
        <f t="shared" ref="K520:L520" si="1528">SUM(K512:K519)</f>
        <v>5.4</v>
      </c>
      <c r="L520" s="68">
        <f t="shared" si="1528"/>
        <v>0</v>
      </c>
      <c r="M520" s="52"/>
      <c r="N520" s="53"/>
      <c r="O520" s="51">
        <f t="shared" ref="O520:P520" si="1529">SUM(O512:O519)</f>
        <v>0</v>
      </c>
      <c r="P520" s="51">
        <f t="shared" si="1529"/>
        <v>200</v>
      </c>
      <c r="Q520" s="52"/>
      <c r="R520" s="53"/>
      <c r="S520" s="51">
        <f t="shared" ref="S520:T520" si="1530">SUM(S512:S519)</f>
        <v>0</v>
      </c>
      <c r="T520" s="51">
        <f t="shared" si="1530"/>
        <v>0</v>
      </c>
      <c r="U520" s="52"/>
      <c r="V520" s="53"/>
      <c r="W520" s="51">
        <f t="shared" ref="W520:X520" si="1531">SUM(W512:W519)</f>
        <v>0</v>
      </c>
      <c r="X520" s="51">
        <f t="shared" si="1531"/>
        <v>0</v>
      </c>
      <c r="Y520" s="52"/>
      <c r="Z520" s="301"/>
      <c r="AA520" s="51">
        <f t="shared" ref="AA520:AB520" si="1532">SUM(AA512:AA519)</f>
        <v>344.45</v>
      </c>
      <c r="AB520" s="51">
        <f t="shared" si="1532"/>
        <v>0</v>
      </c>
      <c r="AC520" s="367"/>
      <c r="AD520" s="53"/>
      <c r="AE520" s="51">
        <f t="shared" ref="AE520:AF520" si="1533">SUM(AE512:AE519)</f>
        <v>6196.3</v>
      </c>
      <c r="AF520" s="51">
        <f t="shared" si="1533"/>
        <v>0</v>
      </c>
      <c r="AG520" s="52"/>
      <c r="AH520" s="301"/>
      <c r="AI520" s="183">
        <f t="shared" ref="AI520:AJ520" si="1534">SUM(AI512:AI519)</f>
        <v>184.9328</v>
      </c>
      <c r="AJ520" s="51">
        <f t="shared" si="1534"/>
        <v>0</v>
      </c>
      <c r="AK520" s="52"/>
      <c r="AL520" s="53"/>
      <c r="AM520" s="183">
        <f t="shared" ref="AM520:AN520" si="1535">SUM(AM512:AM519)</f>
        <v>184.22632</v>
      </c>
      <c r="AN520" s="51">
        <f t="shared" si="1535"/>
        <v>0</v>
      </c>
      <c r="AO520" s="52"/>
      <c r="AP520" s="53"/>
      <c r="AQ520" s="183">
        <f t="shared" ref="AQ520:AR520" si="1536">SUM(AQ512:AQ519)</f>
        <v>219.88248</v>
      </c>
      <c r="AR520" s="51">
        <f t="shared" si="1536"/>
        <v>0</v>
      </c>
      <c r="AS520" s="52"/>
      <c r="AT520" s="53"/>
      <c r="AU520" s="183">
        <f t="shared" ref="AU520:AV520" si="1537">SUM(AU512:AU519)</f>
        <v>105.903</v>
      </c>
      <c r="AV520" s="68">
        <f t="shared" si="1537"/>
        <v>6964.89</v>
      </c>
      <c r="AW520" s="52"/>
      <c r="AX520" s="53"/>
      <c r="AY520" s="183">
        <f t="shared" ref="AY520:AZ520" si="1538">SUM(AY512:AY519)</f>
        <v>0</v>
      </c>
      <c r="AZ520" s="68">
        <f t="shared" si="1538"/>
        <v>0</v>
      </c>
      <c r="BA520" s="52"/>
      <c r="BB520" s="53"/>
      <c r="BC520" s="183">
        <f t="shared" ref="BC520:BD520" si="1539">SUM(BC512:BC519)</f>
        <v>0</v>
      </c>
      <c r="BD520" s="68">
        <f t="shared" si="1539"/>
        <v>0</v>
      </c>
      <c r="BE520" s="69"/>
      <c r="BF520" s="70">
        <f t="shared" ref="BF520:BH520" si="1540">SUM(BF512:BF519)</f>
        <v>7241.0946</v>
      </c>
      <c r="BG520" s="71">
        <f t="shared" si="1540"/>
        <v>7164.89</v>
      </c>
      <c r="BH520" s="72">
        <f t="shared" si="1540"/>
        <v>105.9046</v>
      </c>
      <c r="BI520" s="34">
        <f>H520+BF520-BG520</f>
        <v>105.9046</v>
      </c>
      <c r="BJ520" s="34">
        <f>BH520-BI520</f>
        <v>0</v>
      </c>
      <c r="BK520" s="2" t="b">
        <f>H520='2021'!BH520</f>
        <v>1</v>
      </c>
    </row>
    <row r="521" ht="15.75" customHeight="1" spans="1:63" x14ac:dyDescent="0.25">
      <c r="A521" s="2">
        <v>59</v>
      </c>
      <c r="B521" s="14"/>
      <c r="D521" s="99" t="s">
        <v>132</v>
      </c>
      <c r="F521" s="13"/>
      <c r="G521" s="28"/>
      <c r="H521" s="34">
        <f>'2021'!BH521</f>
        <v>83.13</v>
      </c>
      <c r="I521" s="13"/>
      <c r="J521" s="15"/>
      <c r="K521" s="15"/>
      <c r="L521" s="28"/>
      <c r="M521" s="13"/>
      <c r="N521" s="15"/>
      <c r="Q521" s="13"/>
      <c r="R521" s="15"/>
      <c r="S521" s="15">
        <v>13.64</v>
      </c>
      <c r="T521" s="28"/>
      <c r="U521" s="13"/>
      <c r="V521" s="15"/>
      <c r="W521" s="2">
        <v>13.2</v>
      </c>
      <c r="Y521" s="13"/>
      <c r="Z521" s="2"/>
      <c r="AA521" s="15">
        <v>13.64</v>
      </c>
      <c r="AB521" s="28"/>
      <c r="AC521" s="348"/>
      <c r="AD521" s="15"/>
      <c r="AE521" s="2">
        <v>13.2</v>
      </c>
      <c r="AG521" s="15"/>
      <c r="AH521" s="2"/>
      <c r="AI521" s="45">
        <v>13.64</v>
      </c>
      <c r="AJ521" s="15"/>
      <c r="AK521" s="15"/>
      <c r="AM521" s="45"/>
      <c r="AO521" s="13"/>
      <c r="AQ521" s="180"/>
      <c r="AS521" s="13"/>
      <c r="AU521" s="180"/>
      <c r="AW521" s="13"/>
      <c r="AY521" s="180"/>
      <c r="AZ521" s="28"/>
      <c r="BA521" s="13"/>
      <c r="BB521" s="15"/>
      <c r="BC521" s="45"/>
      <c r="BD521" s="28"/>
      <c r="BE521" s="14"/>
      <c r="BF521" s="41">
        <f t="shared" ref="BF521:BG521" si="1541">K521+O521+S521+W521+AA521+AE521+AI521+AM521+AQ521+AU521+AY521+BC521</f>
        <v>67.32</v>
      </c>
      <c r="BG521" s="34">
        <f t="shared" si="1541"/>
        <v>0</v>
      </c>
      <c r="BH521" s="35">
        <f t="shared" ref="BH521:BH528" si="1542">H521+BF521-BG521</f>
        <v>150.45</v>
      </c>
      <c r="BK521" s="2" t="b">
        <f>H521='2021'!BH521</f>
        <v>1</v>
      </c>
    </row>
    <row r="522" ht="15.75" customHeight="1" spans="1:63" x14ac:dyDescent="0.25">
      <c r="A522" s="2">
        <v>59</v>
      </c>
      <c r="B522" s="30">
        <v>4</v>
      </c>
      <c r="C522" s="2" t="s">
        <v>557</v>
      </c>
      <c r="D522" s="14" t="s">
        <v>44</v>
      </c>
      <c r="E522" s="2" t="s">
        <v>45</v>
      </c>
      <c r="F522" s="41">
        <v>2.5</v>
      </c>
      <c r="G522" s="35">
        <v>2.6</v>
      </c>
      <c r="H522" s="104">
        <f>'2021'!BH522</f>
        <v>6498.9</v>
      </c>
      <c r="I522" s="13">
        <v>2407</v>
      </c>
      <c r="J522" s="15">
        <f>I522-'2021'!BA522</f>
        <v>0</v>
      </c>
      <c r="K522" s="34">
        <f>J522*$F$8</f>
        <v>0</v>
      </c>
      <c r="L522" s="28"/>
      <c r="M522" s="13">
        <v>2407</v>
      </c>
      <c r="N522" s="15">
        <f t="shared" ref="N522:N523" si="1543">M522-I522</f>
        <v>0</v>
      </c>
      <c r="O522" s="34">
        <f>N522*$F$8</f>
        <v>0</v>
      </c>
      <c r="Q522" s="13">
        <v>2407</v>
      </c>
      <c r="R522" s="15">
        <f t="shared" ref="R522:R523" si="1544">Q522-M522</f>
        <v>0</v>
      </c>
      <c r="S522" s="34">
        <f>R522*$F$8</f>
        <v>0</v>
      </c>
      <c r="T522" s="28"/>
      <c r="U522" s="13">
        <v>2407</v>
      </c>
      <c r="V522" s="15">
        <f t="shared" ref="V522:V523" si="1545">U522-Q522</f>
        <v>0</v>
      </c>
      <c r="W522" s="34">
        <f>V522*$F$8</f>
        <v>0</v>
      </c>
      <c r="Y522" s="13">
        <v>2412</v>
      </c>
      <c r="Z522" s="2">
        <f>Y522-U522</f>
        <v>5</v>
      </c>
      <c r="AA522" s="34">
        <f>Z522*$F$8</f>
        <v>13.5</v>
      </c>
      <c r="AB522" s="32">
        <v>6000</v>
      </c>
      <c r="AC522" s="348">
        <v>2415</v>
      </c>
      <c r="AD522" s="15">
        <f t="shared" ref="AD522:AD523" si="1546">AC522-Y522</f>
        <v>3</v>
      </c>
      <c r="AE522" s="180">
        <f>AD522*$F$8</f>
        <v>8.1</v>
      </c>
      <c r="AG522" s="15">
        <v>2416</v>
      </c>
      <c r="AH522" s="2">
        <f>(AG522-AC522)*AH5</f>
        <v>1.056</v>
      </c>
      <c r="AI522" s="45">
        <f>AH522*$G$8</f>
        <v>2.59776</v>
      </c>
      <c r="AJ522" s="15"/>
      <c r="AK522" s="15">
        <v>2422</v>
      </c>
      <c r="AL522" s="15">
        <f>(AK522-AG522)*AL5</f>
        <v>6.168</v>
      </c>
      <c r="AM522" s="45">
        <f>AL522*$G$8</f>
        <v>15.17328</v>
      </c>
      <c r="AN522" s="15"/>
      <c r="AO522" s="13">
        <v>2430</v>
      </c>
      <c r="AP522" s="15">
        <f>(AO522-AK522)*AP5</f>
        <v>8.264</v>
      </c>
      <c r="AQ522" s="45">
        <f>AP522*$G$8</f>
        <v>20.32944</v>
      </c>
      <c r="AR522" s="15"/>
      <c r="AS522" s="13">
        <v>3241</v>
      </c>
      <c r="AT522" s="15">
        <f>(AS522-AO522)*AT5</f>
        <v>851.55</v>
      </c>
      <c r="AU522" s="45">
        <f>AT522*$G$8</f>
        <v>2094.813</v>
      </c>
      <c r="AV522" s="15"/>
      <c r="AW522" s="13"/>
      <c r="AX522" s="15">
        <f>(AW522-AS522)*AX5</f>
        <v>0</v>
      </c>
      <c r="AY522" s="45">
        <f>AX522*$G$8</f>
        <v>0</v>
      </c>
      <c r="AZ522" s="249"/>
      <c r="BA522" s="13"/>
      <c r="BB522" s="15"/>
      <c r="BC522" s="45">
        <f>BB522*$G$8</f>
        <v>0</v>
      </c>
      <c r="BD522" s="208"/>
      <c r="BE522" s="40">
        <f t="shared" ref="BE522:BG522" si="1547">J522+N522+R522+V522+Z522+AD522+AH522+AL522+AP522+AT522+AX522+BB522</f>
        <v>875.038</v>
      </c>
      <c r="BF522" s="41">
        <f t="shared" si="1547"/>
        <v>2154.51348</v>
      </c>
      <c r="BG522" s="34">
        <f t="shared" si="1547"/>
        <v>6000</v>
      </c>
      <c r="BH522" s="35">
        <f t="shared" si="1542"/>
        <v>2653.41348</v>
      </c>
      <c r="BK522" s="2" t="b">
        <f>H522='2021'!BH522</f>
        <v>1</v>
      </c>
    </row>
    <row r="523" ht="15.75" customHeight="1" spans="1:63" x14ac:dyDescent="0.25">
      <c r="A523" s="2">
        <v>59</v>
      </c>
      <c r="B523" s="14"/>
      <c r="C523" s="73" t="s">
        <v>558</v>
      </c>
      <c r="D523" s="14" t="s">
        <v>47</v>
      </c>
      <c r="E523" s="2" t="s">
        <v>48</v>
      </c>
      <c r="F523" s="13">
        <v>18.56</v>
      </c>
      <c r="G523" s="35">
        <v>19.46</v>
      </c>
      <c r="H523" s="34">
        <f>'2021'!BH523</f>
        <v>0</v>
      </c>
      <c r="I523" s="13"/>
      <c r="J523" s="15"/>
      <c r="K523" s="15"/>
      <c r="L523" s="28"/>
      <c r="M523" s="13"/>
      <c r="N523" s="15">
        <f t="shared" si="1543"/>
        <v>0</v>
      </c>
      <c r="Q523" s="13"/>
      <c r="R523" s="15">
        <f t="shared" si="1544"/>
        <v>0</v>
      </c>
      <c r="S523" s="15"/>
      <c r="T523" s="28"/>
      <c r="U523" s="13"/>
      <c r="V523" s="15">
        <f t="shared" si="1545"/>
        <v>0</v>
      </c>
      <c r="W523" s="34">
        <f>V523*$F$10</f>
        <v>0</v>
      </c>
      <c r="Y523" s="13">
        <v>62</v>
      </c>
      <c r="Z523" s="2">
        <v>0</v>
      </c>
      <c r="AA523" s="34">
        <f>Z523*$F$10</f>
        <v>0</v>
      </c>
      <c r="AB523" s="28"/>
      <c r="AC523" s="348">
        <v>62</v>
      </c>
      <c r="AD523" s="15">
        <f t="shared" si="1546"/>
        <v>0</v>
      </c>
      <c r="AE523" s="34">
        <f>AD523*$F$10</f>
        <v>0</v>
      </c>
      <c r="AG523" s="15">
        <v>64</v>
      </c>
      <c r="AH523" s="2">
        <f>AG523-AC523</f>
        <v>2</v>
      </c>
      <c r="AI523" s="45">
        <f>AH523*$G$10</f>
        <v>42.8</v>
      </c>
      <c r="AJ523" s="15"/>
      <c r="AK523" s="15">
        <v>64</v>
      </c>
      <c r="AL523" s="15">
        <f>AK523-AG523</f>
        <v>0</v>
      </c>
      <c r="AM523" s="45">
        <f>AL523*$G$10</f>
        <v>0</v>
      </c>
      <c r="AN523" s="15"/>
      <c r="AO523" s="13">
        <v>65</v>
      </c>
      <c r="AP523" s="15">
        <f>AO523-AK523</f>
        <v>1</v>
      </c>
      <c r="AQ523" s="45">
        <f>AP523*$G$10</f>
        <v>21.4</v>
      </c>
      <c r="AR523" s="15"/>
      <c r="AS523" s="13">
        <v>65</v>
      </c>
      <c r="AT523" s="15">
        <f>AS523-AO523</f>
        <v>0</v>
      </c>
      <c r="AU523" s="45">
        <f>AT523*$G$10</f>
        <v>0</v>
      </c>
      <c r="AV523" s="15"/>
      <c r="AW523" s="13"/>
      <c r="AX523" s="15">
        <f>AW523-AS523</f>
        <v>-65</v>
      </c>
      <c r="AY523" s="45"/>
      <c r="AZ523" s="249"/>
      <c r="BA523" s="13"/>
      <c r="BB523" s="15"/>
      <c r="BC523" s="45"/>
      <c r="BD523" s="208"/>
      <c r="BE523" s="40">
        <f t="shared" ref="BE523:BG523" si="1548">J523+N523+R523+V523+Z523+AD523+AH523+AL523+AP523+AT523+AX523+BB523</f>
        <v>-62</v>
      </c>
      <c r="BF523" s="41">
        <f t="shared" si="1548"/>
        <v>64.2</v>
      </c>
      <c r="BG523" s="34">
        <f t="shared" si="1548"/>
        <v>0</v>
      </c>
      <c r="BH523" s="35">
        <f t="shared" si="1542"/>
        <v>64.2</v>
      </c>
      <c r="BK523" s="2" t="b">
        <f>H523='2021'!BH523</f>
        <v>1</v>
      </c>
    </row>
    <row r="524" ht="15.75" customHeight="1" spans="1:63" x14ac:dyDescent="0.25">
      <c r="A524" s="2">
        <v>59</v>
      </c>
      <c r="B524" s="14"/>
      <c r="C524" s="73" t="s">
        <v>559</v>
      </c>
      <c r="D524" s="14" t="s">
        <v>47</v>
      </c>
      <c r="E524" s="2" t="s">
        <v>49</v>
      </c>
      <c r="F524" s="41">
        <v>500</v>
      </c>
      <c r="G524" s="28"/>
      <c r="H524" s="144">
        <f>'2021'!BH524</f>
        <v>0</v>
      </c>
      <c r="I524" s="13"/>
      <c r="J524" s="15"/>
      <c r="K524" s="15"/>
      <c r="L524" s="28"/>
      <c r="M524" s="13"/>
      <c r="N524" s="15"/>
      <c r="Q524" s="13"/>
      <c r="R524" s="15"/>
      <c r="S524" s="15"/>
      <c r="T524" s="28"/>
      <c r="U524" s="13"/>
      <c r="V524" s="15"/>
      <c r="Y524" s="13"/>
      <c r="Z524" s="2"/>
      <c r="AA524" s="34"/>
      <c r="AB524" s="28"/>
      <c r="AC524" s="348"/>
      <c r="AD524" s="15"/>
      <c r="AG524" s="15"/>
      <c r="AH524" s="2"/>
      <c r="AI524" s="45"/>
      <c r="AJ524" s="15"/>
      <c r="AK524" s="15"/>
      <c r="AL524" s="15"/>
      <c r="AM524" s="45"/>
      <c r="AN524" s="15"/>
      <c r="AO524" s="13"/>
      <c r="AP524" s="15"/>
      <c r="AQ524" s="45"/>
      <c r="AR524" s="15"/>
      <c r="AS524" s="13"/>
      <c r="AT524" s="15"/>
      <c r="AU524" s="45"/>
      <c r="AV524" s="15"/>
      <c r="AW524" s="13"/>
      <c r="AX524" s="15"/>
      <c r="AY524" s="45"/>
      <c r="AZ524" s="32"/>
      <c r="BA524" s="13"/>
      <c r="BB524" s="15"/>
      <c r="BC524" s="45"/>
      <c r="BD524" s="28"/>
      <c r="BE524" s="40">
        <f t="shared" ref="BE524:BG524" si="1549">J524+N524+R524+V524+Z524+AD524+AH524+AL524+AP524+AT524+AX524+BB524</f>
        <v>0</v>
      </c>
      <c r="BF524" s="41">
        <f t="shared" si="1549"/>
        <v>0</v>
      </c>
      <c r="BG524" s="34">
        <f t="shared" si="1549"/>
        <v>0</v>
      </c>
      <c r="BH524" s="35">
        <f t="shared" si="1542"/>
        <v>0</v>
      </c>
      <c r="BK524" s="2" t="b">
        <f>H524='2021'!BH524</f>
        <v>1</v>
      </c>
    </row>
    <row r="525" ht="15.75" customHeight="1" spans="1:63" x14ac:dyDescent="0.25">
      <c r="A525" s="2">
        <v>59</v>
      </c>
      <c r="B525" s="14"/>
      <c r="C525" s="73" t="s">
        <v>560</v>
      </c>
      <c r="D525" s="14" t="s">
        <v>50</v>
      </c>
      <c r="E525" s="2" t="s">
        <v>49</v>
      </c>
      <c r="F525" s="41">
        <v>1100</v>
      </c>
      <c r="G525" s="28"/>
      <c r="H525" s="34">
        <f>'2021'!BH525</f>
        <v>4400</v>
      </c>
      <c r="I525" s="13"/>
      <c r="J525" s="15"/>
      <c r="K525" s="15"/>
      <c r="L525" s="28"/>
      <c r="M525" s="13"/>
      <c r="N525" s="15"/>
      <c r="Q525" s="13"/>
      <c r="R525" s="15"/>
      <c r="S525" s="15"/>
      <c r="T525" s="28"/>
      <c r="U525" s="13"/>
      <c r="V525" s="15"/>
      <c r="Y525" s="13"/>
      <c r="Z525" s="2"/>
      <c r="AA525" s="15"/>
      <c r="AB525" s="28"/>
      <c r="AC525" s="348"/>
      <c r="AD525" s="15"/>
      <c r="AE525" s="34">
        <f>B522*$F$12</f>
        <v>5200</v>
      </c>
      <c r="AG525" s="15"/>
      <c r="AH525" s="2"/>
      <c r="AI525" s="45"/>
      <c r="AJ525" s="15"/>
      <c r="AK525" s="15"/>
      <c r="AL525" s="15"/>
      <c r="AM525" s="45"/>
      <c r="AN525" s="15"/>
      <c r="AO525" s="13"/>
      <c r="AP525" s="15"/>
      <c r="AQ525" s="45"/>
      <c r="AR525" s="15"/>
      <c r="AS525" s="13"/>
      <c r="AT525" s="15"/>
      <c r="AU525" s="45"/>
      <c r="AV525" s="15"/>
      <c r="AW525" s="13"/>
      <c r="AX525" s="15"/>
      <c r="AY525" s="45"/>
      <c r="AZ525" s="28"/>
      <c r="BA525" s="13"/>
      <c r="BB525" s="15"/>
      <c r="BC525" s="45"/>
      <c r="BD525" s="28"/>
      <c r="BE525" s="14"/>
      <c r="BF525" s="41">
        <f t="shared" ref="BF525:BG525" si="1550">K525+O525+S525+W525+AA525+AE525+AI525+AM525+AQ525+AU525+AY525+BC525</f>
        <v>5200</v>
      </c>
      <c r="BG525" s="34">
        <f t="shared" si="1550"/>
        <v>0</v>
      </c>
      <c r="BH525" s="35">
        <f t="shared" si="1542"/>
        <v>9600</v>
      </c>
      <c r="BK525" s="2" t="b">
        <f>H525='2021'!BH525</f>
        <v>1</v>
      </c>
    </row>
    <row r="526" ht="15.75" customHeight="1" spans="1:63" x14ac:dyDescent="0.25">
      <c r="A526" s="2">
        <v>59</v>
      </c>
      <c r="B526" s="14"/>
      <c r="C526" s="73"/>
      <c r="D526" s="14" t="s">
        <v>51</v>
      </c>
      <c r="E526" s="2" t="s">
        <v>39</v>
      </c>
      <c r="F526" s="41">
        <v>500</v>
      </c>
      <c r="G526" s="28"/>
      <c r="H526" s="34">
        <f>'2021'!BH526</f>
        <v>0</v>
      </c>
      <c r="I526" s="13"/>
      <c r="J526" s="15"/>
      <c r="K526" s="15"/>
      <c r="L526" s="28"/>
      <c r="M526" s="13"/>
      <c r="N526" s="15"/>
      <c r="Q526" s="13"/>
      <c r="R526" s="15"/>
      <c r="S526" s="15"/>
      <c r="T526" s="28"/>
      <c r="U526" s="13"/>
      <c r="V526" s="15"/>
      <c r="Y526" s="13"/>
      <c r="Z526" s="2"/>
      <c r="AA526" s="15"/>
      <c r="AB526" s="28"/>
      <c r="AC526" s="348"/>
      <c r="AD526" s="15"/>
      <c r="AE526" s="180">
        <f>$F$13</f>
        <v>1000</v>
      </c>
      <c r="AG526" s="15"/>
      <c r="AH526" s="2"/>
      <c r="AI526" s="45"/>
      <c r="AJ526" s="15"/>
      <c r="AK526" s="15"/>
      <c r="AL526" s="15"/>
      <c r="AM526" s="45"/>
      <c r="AN526" s="15"/>
      <c r="AO526" s="13"/>
      <c r="AP526" s="15"/>
      <c r="AQ526" s="180"/>
      <c r="AR526" s="15"/>
      <c r="AS526" s="13"/>
      <c r="AT526" s="15"/>
      <c r="AU526" s="45"/>
      <c r="AV526" s="15"/>
      <c r="AW526" s="13"/>
      <c r="AX526" s="15"/>
      <c r="AY526" s="45"/>
      <c r="AZ526" s="35"/>
      <c r="BA526" s="13"/>
      <c r="BB526" s="15"/>
      <c r="BC526" s="45"/>
      <c r="BD526" s="28"/>
      <c r="BE526" s="14"/>
      <c r="BF526" s="41">
        <f t="shared" ref="BF526:BG526" si="1551">K526+O526+S526+W526+AA526+AE526+AI526+AM526+AQ526+AU526+AY526+BC526</f>
        <v>1000</v>
      </c>
      <c r="BG526" s="34">
        <f t="shared" si="1551"/>
        <v>0</v>
      </c>
      <c r="BH526" s="35">
        <f t="shared" si="1542"/>
        <v>1000</v>
      </c>
      <c r="BK526" s="2" t="b">
        <f>H526='2021'!BH526</f>
        <v>1</v>
      </c>
    </row>
    <row r="527" ht="15.75" customHeight="1" spans="1:63" x14ac:dyDescent="0.25">
      <c r="A527" s="2">
        <v>59</v>
      </c>
      <c r="B527" s="14"/>
      <c r="C527" s="15"/>
      <c r="D527" s="14" t="s">
        <v>51</v>
      </c>
      <c r="E527" s="2" t="s">
        <v>49</v>
      </c>
      <c r="F527" s="41">
        <v>500</v>
      </c>
      <c r="G527" s="28"/>
      <c r="H527" s="34">
        <f>'2021'!BH527</f>
        <v>0</v>
      </c>
      <c r="I527" s="13"/>
      <c r="J527" s="15"/>
      <c r="K527" s="15"/>
      <c r="L527" s="28"/>
      <c r="M527" s="13"/>
      <c r="N527" s="15"/>
      <c r="Q527" s="13"/>
      <c r="R527" s="15"/>
      <c r="S527" s="15"/>
      <c r="T527" s="28"/>
      <c r="U527" s="13"/>
      <c r="V527" s="15"/>
      <c r="Y527" s="13"/>
      <c r="Z527" s="2"/>
      <c r="AA527" s="15"/>
      <c r="AB527" s="28"/>
      <c r="AC527" s="348"/>
      <c r="AD527" s="15"/>
      <c r="AE527" s="34"/>
      <c r="AG527" s="15"/>
      <c r="AH527" s="2"/>
      <c r="AI527" s="45"/>
      <c r="AJ527" s="15"/>
      <c r="AK527" s="15"/>
      <c r="AL527" s="15"/>
      <c r="AM527" s="45"/>
      <c r="AN527" s="15"/>
      <c r="AO527" s="13"/>
      <c r="AP527" s="15"/>
      <c r="AQ527" s="180">
        <f>B522*$F$14</f>
        <v>0</v>
      </c>
      <c r="AR527" s="15"/>
      <c r="AS527" s="13"/>
      <c r="AT527" s="15"/>
      <c r="AU527" s="45"/>
      <c r="AV527" s="15"/>
      <c r="AW527" s="13"/>
      <c r="AX527" s="15"/>
      <c r="AY527" s="45"/>
      <c r="AZ527" s="35"/>
      <c r="BA527" s="13"/>
      <c r="BB527" s="15"/>
      <c r="BC527" s="45"/>
      <c r="BD527" s="28"/>
      <c r="BE527" s="14"/>
      <c r="BF527" s="41">
        <f t="shared" ref="BF527:BG527" si="1552">K527+O527+S527+W527+AA527+AE527+AI527+AM527+AQ527+AU527+AY527+BC527</f>
        <v>0</v>
      </c>
      <c r="BG527" s="34">
        <f t="shared" si="1552"/>
        <v>0</v>
      </c>
      <c r="BH527" s="35">
        <f t="shared" si="1542"/>
        <v>0</v>
      </c>
      <c r="BK527" s="2" t="b">
        <f>H527='2021'!BH527</f>
        <v>1</v>
      </c>
    </row>
    <row r="528" ht="15.75" customHeight="1" spans="1:63" x14ac:dyDescent="0.25">
      <c r="A528" s="2">
        <v>59</v>
      </c>
      <c r="B528" s="14"/>
      <c r="D528" s="14" t="s">
        <v>52</v>
      </c>
      <c r="E528" s="2" t="s">
        <v>39</v>
      </c>
      <c r="F528" s="41">
        <v>500</v>
      </c>
      <c r="G528" s="28"/>
      <c r="H528" s="34">
        <f>'2021'!BH528</f>
        <v>0</v>
      </c>
      <c r="I528" s="13"/>
      <c r="J528" s="15"/>
      <c r="K528" s="15"/>
      <c r="L528" s="28"/>
      <c r="M528" s="13"/>
      <c r="N528" s="15"/>
      <c r="Q528" s="13"/>
      <c r="R528" s="15"/>
      <c r="S528" s="15"/>
      <c r="T528" s="28"/>
      <c r="U528" s="13"/>
      <c r="V528" s="15"/>
      <c r="Y528" s="13"/>
      <c r="Z528" s="2"/>
      <c r="AA528" s="34">
        <f>$F$15</f>
      </c>
      <c r="AB528" s="28"/>
      <c r="AC528" s="348"/>
      <c r="AD528" s="15"/>
      <c r="AG528" s="15"/>
      <c r="AH528" s="2"/>
      <c r="AI528" s="45"/>
      <c r="AJ528" s="15"/>
      <c r="AK528" s="15"/>
      <c r="AL528" s="15"/>
      <c r="AM528" s="45"/>
      <c r="AN528" s="15"/>
      <c r="AO528" s="13"/>
      <c r="AP528" s="15"/>
      <c r="AQ528" s="45"/>
      <c r="AR528" s="15"/>
      <c r="AS528" s="13"/>
      <c r="AT528" s="15"/>
      <c r="AU528" s="45"/>
      <c r="AV528" s="15"/>
      <c r="AW528" s="13"/>
      <c r="AX528" s="15"/>
      <c r="AY528" s="45"/>
      <c r="AZ528" s="35"/>
      <c r="BA528" s="13"/>
      <c r="BB528" s="15"/>
      <c r="BC528" s="45"/>
      <c r="BD528" s="35"/>
      <c r="BE528" s="14"/>
      <c r="BF528" s="41">
        <f t="shared" ref="BF528:BG528" si="1553">K528+O528+S528+W528+AA528+AE528+AI528+AM528+AQ528+AU528+AY528+BC528</f>
        <v>0</v>
      </c>
      <c r="BG528" s="34">
        <f t="shared" si="1553"/>
        <v>0</v>
      </c>
      <c r="BH528" s="35">
        <f t="shared" si="1542"/>
        <v>0</v>
      </c>
      <c r="BK528" s="2" t="b">
        <f>H528='2021'!BH528</f>
        <v>1</v>
      </c>
    </row>
    <row r="529" ht="15.75" customHeight="1" spans="1:63" x14ac:dyDescent="0.25">
      <c r="A529" s="247">
        <v>59</v>
      </c>
      <c r="B529" s="21"/>
      <c r="C529" s="22" t="s">
        <v>53</v>
      </c>
      <c r="D529" s="21"/>
      <c r="E529" s="22"/>
      <c r="F529" s="20"/>
      <c r="G529" s="23"/>
      <c r="H529" s="51">
        <f>SUM(H521:H528)</f>
        <v>10982.03</v>
      </c>
      <c r="I529" s="52"/>
      <c r="J529" s="53"/>
      <c r="K529" s="51">
        <f t="shared" ref="K529:L529" si="1554">SUM(K521:K528)</f>
        <v>0</v>
      </c>
      <c r="L529" s="68">
        <f t="shared" si="1554"/>
        <v>0</v>
      </c>
      <c r="M529" s="52"/>
      <c r="N529" s="53"/>
      <c r="O529" s="51">
        <f t="shared" ref="O529:P529" si="1555">SUM(O521:O528)</f>
        <v>0</v>
      </c>
      <c r="P529" s="51">
        <f t="shared" si="1555"/>
        <v>0</v>
      </c>
      <c r="Q529" s="52"/>
      <c r="R529" s="53"/>
      <c r="S529" s="51">
        <f t="shared" ref="S529:T529" si="1556">SUM(S521:S528)</f>
        <v>13.64</v>
      </c>
      <c r="T529" s="51">
        <f t="shared" si="1556"/>
        <v>0</v>
      </c>
      <c r="U529" s="52"/>
      <c r="V529" s="53"/>
      <c r="W529" s="51">
        <f t="shared" ref="W529:X529" si="1557">SUM(W521:W528)</f>
        <v>13.2</v>
      </c>
      <c r="X529" s="51">
        <f t="shared" si="1557"/>
        <v>0</v>
      </c>
      <c r="Y529" s="52"/>
      <c r="Z529" s="301"/>
      <c r="AA529" s="51">
        <f t="shared" ref="AA529:AB529" si="1558">SUM(AA521:AA528)</f>
        <v>27.14</v>
      </c>
      <c r="AB529" s="51">
        <f t="shared" si="1558"/>
        <v>6000</v>
      </c>
      <c r="AC529" s="367"/>
      <c r="AD529" s="53"/>
      <c r="AE529" s="51">
        <f t="shared" ref="AE529:AF529" si="1559">SUM(AE521:AE528)</f>
        <v>6221.3</v>
      </c>
      <c r="AF529" s="51">
        <f t="shared" si="1559"/>
        <v>0</v>
      </c>
      <c r="AG529" s="52"/>
      <c r="AH529" s="301"/>
      <c r="AI529" s="183">
        <f t="shared" ref="AI529:AJ529" si="1560">SUM(AI521:AI528)</f>
        <v>59.03776</v>
      </c>
      <c r="AJ529" s="51">
        <f t="shared" si="1560"/>
        <v>0</v>
      </c>
      <c r="AK529" s="52"/>
      <c r="AL529" s="53"/>
      <c r="AM529" s="183">
        <f t="shared" ref="AM529:AN529" si="1561">SUM(AM521:AM528)</f>
        <v>15.17328</v>
      </c>
      <c r="AN529" s="51">
        <f t="shared" si="1561"/>
        <v>0</v>
      </c>
      <c r="AO529" s="52"/>
      <c r="AP529" s="53"/>
      <c r="AQ529" s="183">
        <f t="shared" ref="AQ529:AR529" si="1562">SUM(AQ521:AQ528)</f>
        <v>41.72944</v>
      </c>
      <c r="AR529" s="51">
        <f t="shared" si="1562"/>
        <v>0</v>
      </c>
      <c r="AS529" s="52"/>
      <c r="AT529" s="53"/>
      <c r="AU529" s="183">
        <f t="shared" ref="AU529:AV529" si="1563">SUM(AU521:AU528)</f>
        <v>2094.813</v>
      </c>
      <c r="AV529" s="68">
        <f t="shared" si="1563"/>
        <v>0</v>
      </c>
      <c r="AW529" s="52"/>
      <c r="AX529" s="53"/>
      <c r="AY529" s="183">
        <f t="shared" ref="AY529:AZ529" si="1564">SUM(AY521:AY528)</f>
        <v>0</v>
      </c>
      <c r="AZ529" s="68">
        <f t="shared" si="1564"/>
        <v>0</v>
      </c>
      <c r="BA529" s="52"/>
      <c r="BB529" s="53"/>
      <c r="BC529" s="183">
        <f t="shared" ref="BC529:BD529" si="1565">SUM(BC521:BC528)</f>
        <v>0</v>
      </c>
      <c r="BD529" s="68">
        <f t="shared" si="1565"/>
        <v>0</v>
      </c>
      <c r="BE529" s="69"/>
      <c r="BF529" s="70">
        <f t="shared" ref="BF529:BH529" si="1566">SUM(BF521:BF528)</f>
        <v>8486.03348</v>
      </c>
      <c r="BG529" s="71">
        <f t="shared" si="1566"/>
        <v>6000</v>
      </c>
      <c r="BH529" s="72">
        <f t="shared" si="1566"/>
        <v>13468.06348</v>
      </c>
      <c r="BI529" s="34">
        <f>H529+BF529-BG529</f>
        <v>13468.06348</v>
      </c>
      <c r="BJ529" s="34">
        <f>BH529-BI529</f>
        <v>0</v>
      </c>
      <c r="BK529" s="2" t="b">
        <f>H529='2021'!BH529</f>
        <v>1</v>
      </c>
    </row>
    <row r="530" ht="15.75" customHeight="1" spans="1:63" x14ac:dyDescent="0.25">
      <c r="A530" s="2">
        <v>58</v>
      </c>
      <c r="B530" s="14"/>
      <c r="D530" s="176" t="s">
        <v>544</v>
      </c>
      <c r="F530" s="13"/>
      <c r="G530" s="28"/>
      <c r="H530" s="34">
        <f>'2021'!BH530</f>
        <v>0</v>
      </c>
      <c r="I530" s="13"/>
      <c r="J530" s="15"/>
      <c r="K530" s="15"/>
      <c r="L530" s="28"/>
      <c r="M530" s="13"/>
      <c r="N530" s="15"/>
      <c r="Q530" s="13"/>
      <c r="R530" s="15"/>
      <c r="S530" s="15"/>
      <c r="T530" s="28"/>
      <c r="U530" s="13"/>
      <c r="V530" s="15"/>
      <c r="W530" s="153"/>
      <c r="Y530" s="13"/>
      <c r="Z530" s="2"/>
      <c r="AA530" s="154">
        <v>248.5</v>
      </c>
      <c r="AB530" s="28"/>
      <c r="AC530" s="348"/>
      <c r="AD530" s="15"/>
      <c r="AF530" s="364">
        <v>248.5</v>
      </c>
      <c r="AG530" s="15"/>
      <c r="AH530" s="2"/>
      <c r="AI530" s="45"/>
      <c r="AJ530" s="15"/>
      <c r="AK530" s="15"/>
      <c r="AM530" s="45"/>
      <c r="AO530" s="13"/>
      <c r="AQ530" s="45"/>
      <c r="AS530" s="13"/>
      <c r="AU530" s="45"/>
      <c r="AW530" s="13"/>
      <c r="AY530" s="45"/>
      <c r="AZ530" s="28"/>
      <c r="BA530" s="13"/>
      <c r="BB530" s="15"/>
      <c r="BC530" s="45"/>
      <c r="BD530" s="28"/>
      <c r="BE530" s="14"/>
      <c r="BF530" s="41">
        <f t="shared" ref="BF530:BG530" si="1567">K530+O530+S530+W530+AA530+AE530+AI530+AM530+AQ530+AU530+AY530+BC530</f>
        <v>248.5</v>
      </c>
      <c r="BG530" s="34">
        <f t="shared" si="1567"/>
        <v>248.5</v>
      </c>
      <c r="BH530" s="35">
        <f t="shared" ref="BH530:BH537" si="1568">H530+BF530-BG530</f>
        <v>0</v>
      </c>
      <c r="BK530" s="2" t="b">
        <f>H530='2021'!BH530</f>
        <v>1</v>
      </c>
    </row>
    <row r="531" ht="15.75" customHeight="1" spans="1:63" x14ac:dyDescent="0.25">
      <c r="A531" s="2">
        <v>58</v>
      </c>
      <c r="B531" s="14">
        <v>5.08</v>
      </c>
      <c r="C531" s="2" t="s">
        <v>223</v>
      </c>
      <c r="D531" s="14" t="s">
        <v>44</v>
      </c>
      <c r="E531" s="2" t="s">
        <v>45</v>
      </c>
      <c r="F531" s="41">
        <v>2.5</v>
      </c>
      <c r="G531" s="35">
        <v>2.6</v>
      </c>
      <c r="H531" s="180">
        <f>'2021'!BH531</f>
        <v>-474.54</v>
      </c>
      <c r="I531" s="13">
        <v>2097</v>
      </c>
      <c r="J531" s="15">
        <f>I531-'2021'!BA531</f>
        <v>42</v>
      </c>
      <c r="K531" s="34">
        <f>J531*$F$8</f>
        <v>113.4</v>
      </c>
      <c r="L531" s="28"/>
      <c r="M531" s="13">
        <v>2138</v>
      </c>
      <c r="N531" s="15">
        <f t="shared" ref="N531:N532" si="1569">M531-I531</f>
        <v>41</v>
      </c>
      <c r="O531" s="34">
        <f>N531*$F$8</f>
        <v>110.7</v>
      </c>
      <c r="Q531" s="13">
        <v>2182</v>
      </c>
      <c r="R531" s="15">
        <f t="shared" ref="R531:R532" si="1570">Q531-M531</f>
        <v>44</v>
      </c>
      <c r="S531" s="34">
        <f>R531*$F$8</f>
        <v>118.8</v>
      </c>
      <c r="T531" s="28"/>
      <c r="U531" s="13">
        <v>2414</v>
      </c>
      <c r="V531" s="15">
        <f t="shared" ref="V531:V532" si="1571">U531-Q531</f>
        <v>232</v>
      </c>
      <c r="W531" s="34">
        <f>V531*$F$8</f>
        <v>626.4</v>
      </c>
      <c r="X531" s="1"/>
      <c r="Y531" s="13">
        <v>2708</v>
      </c>
      <c r="Z531" s="2">
        <f>Y531-U531</f>
        <v>294</v>
      </c>
      <c r="AA531" s="34">
        <f>Z531*$F$8</f>
        <v>793.8</v>
      </c>
      <c r="AB531" s="28"/>
      <c r="AC531" s="348">
        <v>2820</v>
      </c>
      <c r="AD531" s="15">
        <f t="shared" ref="AD531:AD532" si="1572">AC531-Y531</f>
        <v>112</v>
      </c>
      <c r="AE531" s="180">
        <f>AD531*$F$8</f>
        <v>302.4</v>
      </c>
      <c r="AF531" s="354">
        <v>1288.56</v>
      </c>
      <c r="AG531" s="15">
        <v>2866</v>
      </c>
      <c r="AH531" s="2">
        <f>(AG531-AC531)*AH5</f>
        <v>48.576</v>
      </c>
      <c r="AI531" s="45">
        <f>AH531*$G$8</f>
        <v>119.49696</v>
      </c>
      <c r="AJ531" s="180"/>
      <c r="AK531" s="15">
        <v>2979</v>
      </c>
      <c r="AL531" s="15">
        <f>(AK531-AG531)*AL5</f>
        <v>116.164</v>
      </c>
      <c r="AM531" s="45">
        <f>AL531*$G$8</f>
        <v>285.76344</v>
      </c>
      <c r="AN531" s="15"/>
      <c r="AO531" s="13">
        <v>3174</v>
      </c>
      <c r="AP531" s="15">
        <f>(AO531-AK531)*AP5</f>
        <v>201.435</v>
      </c>
      <c r="AQ531" s="45">
        <f>AP531*$G$8</f>
        <v>495.5301</v>
      </c>
      <c r="AR531" s="154">
        <v>2200</v>
      </c>
      <c r="AS531" s="13">
        <v>3965</v>
      </c>
      <c r="AT531" s="15">
        <f>(AS531-AO531)*AT5</f>
        <v>830.55</v>
      </c>
      <c r="AU531" s="45">
        <f>AT531*$G$8</f>
        <v>2043.153</v>
      </c>
      <c r="AV531" s="15"/>
      <c r="AW531" s="13"/>
      <c r="AX531" s="15">
        <f>(AW531-AS531)*AX5</f>
        <v>0</v>
      </c>
      <c r="AY531" s="45">
        <f>AX531*$G$8</f>
        <v>0</v>
      </c>
      <c r="AZ531" s="208"/>
      <c r="BA531" s="13"/>
      <c r="BB531" s="15"/>
      <c r="BC531" s="45">
        <f>BB531*$G$8</f>
        <v>0</v>
      </c>
      <c r="BD531" s="208"/>
      <c r="BE531" s="40">
        <f t="shared" ref="BE531:BG531" si="1573">J531+N531+R531+V531+Z531+AD531+AH531+AL531+AP531+AT531+AX531+BB531</f>
        <v>1961.725</v>
      </c>
      <c r="BF531" s="41">
        <f t="shared" si="1573"/>
        <v>5009.4435</v>
      </c>
      <c r="BG531" s="34">
        <f t="shared" si="1573"/>
        <v>3488.56</v>
      </c>
      <c r="BH531" s="35">
        <f t="shared" si="1568"/>
        <v>1046.3435</v>
      </c>
      <c r="BJ531" s="34"/>
      <c r="BK531" s="2" t="b">
        <f>H531='2021'!BH531</f>
        <v>1</v>
      </c>
    </row>
    <row r="532" ht="15.75" customHeight="1" spans="1:63" x14ac:dyDescent="0.25">
      <c r="A532" s="2">
        <v>58</v>
      </c>
      <c r="B532" s="14"/>
      <c r="C532" s="2" t="s">
        <v>71</v>
      </c>
      <c r="D532" s="14" t="s">
        <v>47</v>
      </c>
      <c r="E532" s="2" t="s">
        <v>48</v>
      </c>
      <c r="F532" s="13">
        <v>18.56</v>
      </c>
      <c r="G532" s="35">
        <v>19.46</v>
      </c>
      <c r="H532" s="180">
        <f>'2021'!BH532</f>
        <v>0</v>
      </c>
      <c r="I532" s="13">
        <v>540</v>
      </c>
      <c r="J532" s="15"/>
      <c r="K532" s="15"/>
      <c r="L532" s="28"/>
      <c r="M532" s="13">
        <v>540</v>
      </c>
      <c r="N532" s="15">
        <f t="shared" si="1569"/>
        <v>0</v>
      </c>
      <c r="Q532" s="13">
        <v>540</v>
      </c>
      <c r="R532" s="15">
        <f t="shared" si="1570"/>
        <v>0</v>
      </c>
      <c r="S532" s="15"/>
      <c r="T532" s="28"/>
      <c r="U532" s="13">
        <v>540</v>
      </c>
      <c r="V532" s="15">
        <f t="shared" si="1571"/>
        <v>0</v>
      </c>
      <c r="W532" s="34">
        <f>V532*$F$10</f>
        <v>0</v>
      </c>
      <c r="X532" s="1"/>
      <c r="Y532" s="13">
        <v>1507</v>
      </c>
      <c r="Z532" s="2">
        <v>0</v>
      </c>
      <c r="AA532" s="34">
        <f>Z532*$F$10</f>
        <v>0</v>
      </c>
      <c r="AB532" s="28"/>
      <c r="AC532" s="348">
        <v>1518</v>
      </c>
      <c r="AD532" s="15">
        <f t="shared" si="1572"/>
        <v>11</v>
      </c>
      <c r="AE532" s="34">
        <f>AD532*$F$10</f>
        <v>223.85</v>
      </c>
      <c r="AF532" s="180"/>
      <c r="AG532" s="15">
        <v>1526</v>
      </c>
      <c r="AH532" s="2">
        <f>AG532-AC532</f>
        <v>8</v>
      </c>
      <c r="AI532" s="45">
        <f>AH532*$G$10</f>
        <v>171.2</v>
      </c>
      <c r="AJ532" s="180"/>
      <c r="AK532" s="15">
        <v>1532</v>
      </c>
      <c r="AL532" s="15">
        <f>AK532-AG532</f>
        <v>6</v>
      </c>
      <c r="AM532" s="45">
        <f>AL532*$G$10</f>
        <v>128.4</v>
      </c>
      <c r="AN532" s="15"/>
      <c r="AO532" s="13">
        <v>1537</v>
      </c>
      <c r="AP532" s="15">
        <f>AO532-AK532</f>
        <v>5</v>
      </c>
      <c r="AQ532" s="45">
        <f>AP532*$G$10</f>
        <v>107</v>
      </c>
      <c r="AR532" s="154">
        <v>800</v>
      </c>
      <c r="AS532" s="13">
        <v>1537</v>
      </c>
      <c r="AT532" s="15">
        <f>AS532-AO532</f>
        <v>0</v>
      </c>
      <c r="AU532" s="45">
        <f>AT532*$G$10</f>
        <v>0</v>
      </c>
      <c r="AV532" s="15"/>
      <c r="AW532" s="13"/>
      <c r="AX532" s="15">
        <f>AW532-AS532</f>
        <v>-1537</v>
      </c>
      <c r="AY532" s="45"/>
      <c r="AZ532" s="208"/>
      <c r="BA532" s="13"/>
      <c r="BB532" s="15"/>
      <c r="BC532" s="45"/>
      <c r="BD532" s="208"/>
      <c r="BE532" s="40">
        <f t="shared" ref="BE532:BG532" si="1574">J532+N532+R532+V532+Z532+AD532+AH532+AL532+AP532+AT532+AX532+BB532</f>
        <v>-1507</v>
      </c>
      <c r="BF532" s="41">
        <f t="shared" si="1574"/>
        <v>630.45</v>
      </c>
      <c r="BG532" s="34">
        <f t="shared" si="1574"/>
        <v>800</v>
      </c>
      <c r="BH532" s="35">
        <f t="shared" si="1568"/>
        <v>-169.55</v>
      </c>
      <c r="BK532" s="2" t="b">
        <f>H532='2021'!BH532</f>
        <v>1</v>
      </c>
    </row>
    <row r="533" ht="15.75" customHeight="1" spans="1:63" x14ac:dyDescent="0.25">
      <c r="A533" s="2">
        <v>58</v>
      </c>
      <c r="B533" s="14"/>
      <c r="C533" s="15" t="s">
        <v>168</v>
      </c>
      <c r="D533" s="14" t="s">
        <v>47</v>
      </c>
      <c r="E533" s="2" t="s">
        <v>49</v>
      </c>
      <c r="F533" s="41">
        <v>500</v>
      </c>
      <c r="G533" s="28"/>
      <c r="H533" s="180">
        <f>'2021'!BH533</f>
        <v>0</v>
      </c>
      <c r="I533" s="13"/>
      <c r="J533" s="15"/>
      <c r="K533" s="15"/>
      <c r="L533" s="28"/>
      <c r="M533" s="13"/>
      <c r="N533" s="15"/>
      <c r="Q533" s="13"/>
      <c r="R533" s="15"/>
      <c r="S533" s="15"/>
      <c r="T533" s="28"/>
      <c r="U533" s="13"/>
      <c r="V533" s="15"/>
      <c r="X533" s="1"/>
      <c r="Y533" s="13"/>
      <c r="Z533" s="2"/>
      <c r="AA533" s="15"/>
      <c r="AB533" s="28"/>
      <c r="AC533" s="348"/>
      <c r="AD533" s="15"/>
      <c r="AG533" s="15"/>
      <c r="AH533" s="2"/>
      <c r="AI533" s="45"/>
      <c r="AJ533" s="34"/>
      <c r="AK533" s="15"/>
      <c r="AL533" s="15"/>
      <c r="AM533" s="45"/>
      <c r="AN533" s="15"/>
      <c r="AO533" s="13"/>
      <c r="AP533" s="15"/>
      <c r="AQ533" s="45"/>
      <c r="AR533" s="15"/>
      <c r="AS533" s="13"/>
      <c r="AT533" s="15"/>
      <c r="AU533" s="45"/>
      <c r="AV533" s="15"/>
      <c r="AW533" s="13"/>
      <c r="AX533" s="15"/>
      <c r="AY533" s="45"/>
      <c r="AZ533" s="28"/>
      <c r="BA533" s="13"/>
      <c r="BB533" s="15"/>
      <c r="BC533" s="45"/>
      <c r="BD533" s="28"/>
      <c r="BE533" s="14"/>
      <c r="BF533" s="41">
        <f t="shared" ref="BF533:BG533" si="1575">K533+O533+S533+W533+AA533+AE533+AI533+AM533+AQ533+AU533+AY533+BC533</f>
        <v>0</v>
      </c>
      <c r="BG533" s="34">
        <f t="shared" si="1575"/>
        <v>0</v>
      </c>
      <c r="BH533" s="35">
        <f t="shared" si="1568"/>
        <v>0</v>
      </c>
      <c r="BK533" s="2" t="b">
        <f>H533='2021'!BH533</f>
        <v>1</v>
      </c>
    </row>
    <row r="534" ht="15.75" customHeight="1" spans="1:63" x14ac:dyDescent="0.25">
      <c r="A534" s="2">
        <v>58</v>
      </c>
      <c r="B534" s="14"/>
      <c r="C534" s="2" t="s">
        <v>224</v>
      </c>
      <c r="D534" s="14" t="s">
        <v>50</v>
      </c>
      <c r="E534" s="2" t="s">
        <v>49</v>
      </c>
      <c r="F534" s="41">
        <v>1100</v>
      </c>
      <c r="G534" s="28"/>
      <c r="H534" s="180">
        <f>'2021'!BH534</f>
        <v>0</v>
      </c>
      <c r="I534" s="13"/>
      <c r="J534" s="15"/>
      <c r="K534" s="15"/>
      <c r="L534" s="28"/>
      <c r="M534" s="13"/>
      <c r="N534" s="15"/>
      <c r="Q534" s="13"/>
      <c r="R534" s="15"/>
      <c r="S534" s="15"/>
      <c r="T534" s="28"/>
      <c r="U534" s="13"/>
      <c r="V534" s="15"/>
      <c r="X534" s="1"/>
      <c r="Y534" s="13"/>
      <c r="Z534" s="2"/>
      <c r="AA534" s="15"/>
      <c r="AB534" s="28"/>
      <c r="AC534" s="348"/>
      <c r="AD534" s="15"/>
      <c r="AE534" s="34">
        <f>B531*$F$12</f>
        <v>6604</v>
      </c>
      <c r="AF534" s="370">
        <v>6604</v>
      </c>
      <c r="AG534" s="15"/>
      <c r="AH534" s="2"/>
      <c r="AI534" s="45"/>
      <c r="AJ534" s="180"/>
      <c r="AK534" s="15"/>
      <c r="AL534" s="15"/>
      <c r="AM534" s="45"/>
      <c r="AN534" s="15"/>
      <c r="AO534" s="13"/>
      <c r="AP534" s="15"/>
      <c r="AQ534" s="45"/>
      <c r="AR534" s="15"/>
      <c r="AS534" s="13"/>
      <c r="AT534" s="15"/>
      <c r="AU534" s="45"/>
      <c r="AV534" s="15"/>
      <c r="AW534" s="13"/>
      <c r="AX534" s="15"/>
      <c r="AY534" s="45"/>
      <c r="AZ534" s="28"/>
      <c r="BA534" s="13"/>
      <c r="BB534" s="15"/>
      <c r="BC534" s="45"/>
      <c r="BD534" s="28"/>
      <c r="BE534" s="14"/>
      <c r="BF534" s="41">
        <f t="shared" ref="BF534:BG534" si="1576">K534+O534+S534+W534+AA534+AE534+AI534+AM534+AQ534+AU534+AY534+BC534</f>
        <v>6604</v>
      </c>
      <c r="BG534" s="34">
        <f t="shared" si="1576"/>
        <v>6604</v>
      </c>
      <c r="BH534" s="35">
        <f t="shared" si="1568"/>
        <v>0</v>
      </c>
      <c r="BK534" s="2" t="b">
        <f>H534='2021'!BH534</f>
        <v>1</v>
      </c>
    </row>
    <row r="535" ht="15.75" customHeight="1" spans="1:63" x14ac:dyDescent="0.25">
      <c r="A535" s="2">
        <v>58</v>
      </c>
      <c r="B535" s="14"/>
      <c r="C535" s="2" t="s">
        <v>225</v>
      </c>
      <c r="D535" s="14" t="s">
        <v>51</v>
      </c>
      <c r="E535" s="2" t="s">
        <v>39</v>
      </c>
      <c r="F535" s="41">
        <v>500</v>
      </c>
      <c r="G535" s="28"/>
      <c r="H535" s="180">
        <f>'2021'!BH535</f>
        <v>0</v>
      </c>
      <c r="I535" s="13"/>
      <c r="J535" s="15"/>
      <c r="K535" s="15"/>
      <c r="L535" s="28"/>
      <c r="M535" s="13"/>
      <c r="N535" s="15"/>
      <c r="Q535" s="13"/>
      <c r="R535" s="15"/>
      <c r="S535" s="15"/>
      <c r="T535" s="28"/>
      <c r="U535" s="13"/>
      <c r="V535" s="15"/>
      <c r="X535" s="1"/>
      <c r="Y535" s="13"/>
      <c r="Z535" s="2"/>
      <c r="AA535" s="15"/>
      <c r="AB535" s="28"/>
      <c r="AC535" s="348"/>
      <c r="AD535" s="15"/>
      <c r="AE535" s="180">
        <f>$F$13</f>
        <v>1000</v>
      </c>
      <c r="AF535" s="354">
        <v>1000</v>
      </c>
      <c r="AG535" s="15"/>
      <c r="AH535" s="2"/>
      <c r="AI535" s="45"/>
      <c r="AJ535" s="34"/>
      <c r="AK535" s="15"/>
      <c r="AL535" s="15"/>
      <c r="AM535" s="45"/>
      <c r="AN535" s="1"/>
      <c r="AO535" s="13"/>
      <c r="AP535" s="15"/>
      <c r="AQ535" s="180"/>
      <c r="AR535" s="15"/>
      <c r="AS535" s="13"/>
      <c r="AT535" s="15"/>
      <c r="AU535" s="45"/>
      <c r="AV535" s="15"/>
      <c r="AW535" s="13"/>
      <c r="AX535" s="15"/>
      <c r="AY535" s="45"/>
      <c r="AZ535" s="28"/>
      <c r="BA535" s="13"/>
      <c r="BB535" s="15"/>
      <c r="BC535" s="45"/>
      <c r="BD535" s="28"/>
      <c r="BE535" s="14"/>
      <c r="BF535" s="41">
        <f t="shared" ref="BF535:BG535" si="1577">K535+O535+S535+W535+AA535+AE535+AI535+AM535+AQ535+AU535+AY535+BC535</f>
        <v>1000</v>
      </c>
      <c r="BG535" s="34">
        <f t="shared" si="1577"/>
        <v>1000</v>
      </c>
      <c r="BH535" s="35">
        <f t="shared" si="1568"/>
        <v>0</v>
      </c>
      <c r="BK535" s="2" t="b">
        <f>H535='2021'!BH535</f>
        <v>1</v>
      </c>
    </row>
    <row r="536" ht="15.75" customHeight="1" spans="1:63" x14ac:dyDescent="0.25">
      <c r="A536" s="2">
        <v>58</v>
      </c>
      <c r="B536" s="14"/>
      <c r="D536" s="14" t="s">
        <v>51</v>
      </c>
      <c r="E536" s="2" t="s">
        <v>49</v>
      </c>
      <c r="F536" s="41">
        <v>500</v>
      </c>
      <c r="G536" s="28"/>
      <c r="H536" s="180">
        <f>'2021'!BH536</f>
        <v>0</v>
      </c>
      <c r="I536" s="13"/>
      <c r="J536" s="15"/>
      <c r="K536" s="15"/>
      <c r="L536" s="28"/>
      <c r="M536" s="13"/>
      <c r="N536" s="15"/>
      <c r="Q536" s="13"/>
      <c r="R536" s="15"/>
      <c r="S536" s="15"/>
      <c r="T536" s="28"/>
      <c r="U536" s="13"/>
      <c r="V536" s="15"/>
      <c r="X536" s="1"/>
      <c r="Y536" s="13"/>
      <c r="Z536" s="2"/>
      <c r="AA536" s="15"/>
      <c r="AB536" s="28"/>
      <c r="AC536" s="348"/>
      <c r="AD536" s="15"/>
      <c r="AE536" s="34"/>
      <c r="AF536" s="34"/>
      <c r="AG536" s="15"/>
      <c r="AH536" s="2"/>
      <c r="AI536" s="45"/>
      <c r="AJ536" s="34"/>
      <c r="AK536" s="15"/>
      <c r="AL536" s="15"/>
      <c r="AM536" s="45"/>
      <c r="AN536" s="15"/>
      <c r="AO536" s="13"/>
      <c r="AP536" s="15"/>
      <c r="AQ536" s="180">
        <f>B531*$F$14</f>
        <v>0</v>
      </c>
      <c r="AR536" s="15"/>
      <c r="AS536" s="13"/>
      <c r="AT536" s="15"/>
      <c r="AU536" s="45"/>
      <c r="AV536" s="15"/>
      <c r="AW536" s="13"/>
      <c r="AX536" s="15"/>
      <c r="AY536" s="45"/>
      <c r="AZ536" s="28"/>
      <c r="BA536" s="13"/>
      <c r="BB536" s="15"/>
      <c r="BC536" s="45"/>
      <c r="BD536" s="28"/>
      <c r="BE536" s="14"/>
      <c r="BF536" s="41">
        <f t="shared" ref="BF536:BG536" si="1578">K536+O536+S536+W536+AA536+AE536+AI536+AM536+AQ536+AU536+AY536+BC536</f>
        <v>0</v>
      </c>
      <c r="BG536" s="34">
        <f t="shared" si="1578"/>
        <v>0</v>
      </c>
      <c r="BH536" s="35">
        <f t="shared" si="1568"/>
        <v>0</v>
      </c>
      <c r="BK536" s="2" t="b">
        <f>H536='2021'!BH536</f>
        <v>1</v>
      </c>
    </row>
    <row r="537" ht="15.75" customHeight="1" spans="1:63" x14ac:dyDescent="0.25">
      <c r="A537" s="2">
        <v>58</v>
      </c>
      <c r="B537" s="14"/>
      <c r="C537" s="2" t="s">
        <v>226</v>
      </c>
      <c r="D537" s="14" t="s">
        <v>52</v>
      </c>
      <c r="E537" s="2" t="s">
        <v>39</v>
      </c>
      <c r="F537" s="41">
        <v>500</v>
      </c>
      <c r="G537" s="28"/>
      <c r="H537" s="180">
        <f>'2021'!BH537</f>
        <v>0</v>
      </c>
      <c r="I537" s="13"/>
      <c r="J537" s="15"/>
      <c r="K537" s="15"/>
      <c r="L537" s="28"/>
      <c r="M537" s="13"/>
      <c r="N537" s="15"/>
      <c r="Q537" s="13"/>
      <c r="R537" s="15"/>
      <c r="S537" s="15"/>
      <c r="T537" s="28"/>
      <c r="U537" s="13"/>
      <c r="V537" s="15"/>
      <c r="Y537" s="13"/>
      <c r="Z537" s="2"/>
      <c r="AA537" s="34">
        <f>$F$15</f>
      </c>
      <c r="AB537" s="35"/>
      <c r="AC537" s="348"/>
      <c r="AD537" s="15"/>
      <c r="AF537" s="180"/>
      <c r="AG537" s="15"/>
      <c r="AH537" s="2"/>
      <c r="AI537" s="45"/>
      <c r="AJ537" s="180"/>
      <c r="AK537" s="15"/>
      <c r="AL537" s="15"/>
      <c r="AM537" s="45"/>
      <c r="AN537" s="15"/>
      <c r="AO537" s="13"/>
      <c r="AP537" s="15"/>
      <c r="AQ537" s="45"/>
      <c r="AR537" s="15"/>
      <c r="AS537" s="13"/>
      <c r="AT537" s="15"/>
      <c r="AU537" s="45"/>
      <c r="AV537" s="15"/>
      <c r="AW537" s="13"/>
      <c r="AX537" s="15"/>
      <c r="AY537" s="45"/>
      <c r="AZ537" s="35"/>
      <c r="BA537" s="13"/>
      <c r="BB537" s="15"/>
      <c r="BC537" s="45"/>
      <c r="BD537" s="35"/>
      <c r="BE537" s="14"/>
      <c r="BF537" s="41">
        <f t="shared" ref="BF537:BG537" si="1579">K537+O537+S537+W537+AA537+AE537+AI537+AM537+AQ537+AU537+AY537+BC537</f>
        <v>0</v>
      </c>
      <c r="BG537" s="34">
        <f t="shared" si="1579"/>
        <v>0</v>
      </c>
      <c r="BH537" s="35">
        <f t="shared" si="1568"/>
        <v>0</v>
      </c>
      <c r="BK537" s="2" t="b">
        <f>H537='2021'!BH537</f>
        <v>1</v>
      </c>
    </row>
    <row r="538" ht="15.75" customHeight="1" spans="1:63" x14ac:dyDescent="0.25">
      <c r="A538" s="247">
        <v>58</v>
      </c>
      <c r="B538" s="21"/>
      <c r="C538" s="22" t="s">
        <v>53</v>
      </c>
      <c r="D538" s="21"/>
      <c r="E538" s="22"/>
      <c r="F538" s="20"/>
      <c r="G538" s="23"/>
      <c r="H538" s="51">
        <f>SUM(H530:H537)</f>
        <v>-474.54</v>
      </c>
      <c r="I538" s="52"/>
      <c r="J538" s="53"/>
      <c r="K538" s="51">
        <f t="shared" ref="K538:L538" si="1580">SUM(K530:K537)</f>
        <v>113.4</v>
      </c>
      <c r="L538" s="68">
        <f t="shared" si="1580"/>
        <v>0</v>
      </c>
      <c r="M538" s="52"/>
      <c r="N538" s="53"/>
      <c r="O538" s="51">
        <f t="shared" ref="O538:P538" si="1581">SUM(O530:O537)</f>
        <v>110.7</v>
      </c>
      <c r="P538" s="51">
        <f t="shared" si="1581"/>
        <v>0</v>
      </c>
      <c r="Q538" s="52"/>
      <c r="R538" s="53"/>
      <c r="S538" s="51">
        <f t="shared" ref="S538:T538" si="1582">SUM(S530:S537)</f>
        <v>118.8</v>
      </c>
      <c r="T538" s="51">
        <f t="shared" si="1582"/>
        <v>0</v>
      </c>
      <c r="U538" s="52"/>
      <c r="V538" s="53"/>
      <c r="W538" s="51">
        <f t="shared" ref="W538:X538" si="1583">SUM(W530:W537)</f>
        <v>626.4</v>
      </c>
      <c r="X538" s="51">
        <f t="shared" si="1583"/>
        <v>0</v>
      </c>
      <c r="Y538" s="52"/>
      <c r="Z538" s="301"/>
      <c r="AA538" s="51">
        <f t="shared" ref="AA538:AB538" si="1584">SUM(AA530:AA537)</f>
        <v>1042.3</v>
      </c>
      <c r="AB538" s="51">
        <f t="shared" si="1584"/>
        <v>0</v>
      </c>
      <c r="AC538" s="367"/>
      <c r="AD538" s="53"/>
      <c r="AE538" s="51">
        <f t="shared" ref="AE538:AF538" si="1585">SUM(AE530:AE537)</f>
        <v>8130.25</v>
      </c>
      <c r="AF538" s="51">
        <f t="shared" si="1585"/>
        <v>9141.06</v>
      </c>
      <c r="AG538" s="52"/>
      <c r="AH538" s="301"/>
      <c r="AI538" s="183">
        <f t="shared" ref="AI538:AJ538" si="1586">SUM(AI530:AI537)</f>
        <v>290.69696</v>
      </c>
      <c r="AJ538" s="51">
        <f t="shared" si="1586"/>
        <v>0</v>
      </c>
      <c r="AK538" s="52"/>
      <c r="AL538" s="53"/>
      <c r="AM538" s="183">
        <f t="shared" ref="AM538:AN538" si="1587">SUM(AM530:AM537)</f>
        <v>414.16344</v>
      </c>
      <c r="AN538" s="51">
        <f t="shared" si="1587"/>
        <v>0</v>
      </c>
      <c r="AO538" s="52"/>
      <c r="AP538" s="53"/>
      <c r="AQ538" s="183">
        <f t="shared" ref="AQ538:AR538" si="1588">SUM(AQ530:AQ537)</f>
        <v>602.5301</v>
      </c>
      <c r="AR538" s="51">
        <f t="shared" si="1588"/>
        <v>3000</v>
      </c>
      <c r="AS538" s="52"/>
      <c r="AT538" s="53"/>
      <c r="AU538" s="183">
        <f t="shared" ref="AU538:AV538" si="1589">SUM(AU530:AU537)</f>
        <v>2043.153</v>
      </c>
      <c r="AV538" s="68">
        <f t="shared" si="1589"/>
        <v>0</v>
      </c>
      <c r="AW538" s="52"/>
      <c r="AX538" s="53"/>
      <c r="AY538" s="183">
        <f t="shared" ref="AY538:AZ538" si="1590">SUM(AY530:AY537)</f>
        <v>0</v>
      </c>
      <c r="AZ538" s="68">
        <f t="shared" si="1590"/>
        <v>0</v>
      </c>
      <c r="BA538" s="52"/>
      <c r="BB538" s="53"/>
      <c r="BC538" s="183">
        <f t="shared" ref="BC538:BD538" si="1591">SUM(BC530:BC537)</f>
        <v>0</v>
      </c>
      <c r="BD538" s="68">
        <f t="shared" si="1591"/>
        <v>0</v>
      </c>
      <c r="BE538" s="69"/>
      <c r="BF538" s="70">
        <f t="shared" ref="BF538:BH538" si="1592">SUM(BF530:BF537)</f>
        <v>13492.3935</v>
      </c>
      <c r="BG538" s="71">
        <f t="shared" si="1592"/>
        <v>12141.06</v>
      </c>
      <c r="BH538" s="72">
        <f t="shared" si="1592"/>
        <v>876.7935</v>
      </c>
      <c r="BI538" s="34">
        <f>H538+BF538-BG538</f>
        <v>876.7935</v>
      </c>
      <c r="BJ538" s="34">
        <f>BH538-BI538</f>
        <v>0</v>
      </c>
      <c r="BK538" s="2" t="b">
        <f>H538='2021'!BH538</f>
        <v>1</v>
      </c>
    </row>
    <row r="539" ht="15.75" customHeight="1" spans="1:63" x14ac:dyDescent="0.25">
      <c r="A539" s="2">
        <v>60</v>
      </c>
      <c r="B539" s="14"/>
      <c r="D539" s="176" t="s">
        <v>544</v>
      </c>
      <c r="F539" s="13"/>
      <c r="G539" s="28"/>
      <c r="H539" s="34">
        <f>'2021'!BH539</f>
        <v>0</v>
      </c>
      <c r="I539" s="13"/>
      <c r="J539" s="15"/>
      <c r="K539" s="15"/>
      <c r="L539" s="28"/>
      <c r="M539" s="13"/>
      <c r="N539" s="15"/>
      <c r="Q539" s="13"/>
      <c r="R539" s="15"/>
      <c r="S539" s="15"/>
      <c r="T539" s="28"/>
      <c r="U539" s="13"/>
      <c r="V539" s="15"/>
      <c r="W539" s="153"/>
      <c r="Y539" s="13"/>
      <c r="Z539" s="2"/>
      <c r="AA539" s="154">
        <v>248.5</v>
      </c>
      <c r="AB539" s="28"/>
      <c r="AC539" s="348"/>
      <c r="AD539" s="15"/>
      <c r="AF539" s="155">
        <f>160+88.5</f>
        <v>248.5</v>
      </c>
      <c r="AG539" s="15"/>
      <c r="AH539" s="2"/>
      <c r="AI539" s="45"/>
      <c r="AJ539" s="180"/>
      <c r="AK539" s="15"/>
      <c r="AM539" s="45"/>
      <c r="AO539" s="13"/>
      <c r="AQ539" s="45"/>
      <c r="AS539" s="13"/>
      <c r="AU539" s="45"/>
      <c r="AW539" s="13"/>
      <c r="AY539" s="45"/>
      <c r="AZ539" s="28"/>
      <c r="BA539" s="13"/>
      <c r="BB539" s="15"/>
      <c r="BC539" s="45"/>
      <c r="BD539" s="28"/>
      <c r="BE539" s="14"/>
      <c r="BF539" s="41">
        <f t="shared" ref="BF539:BG539" si="1593">K539+O539+S539+W539+AA539+AE539+AI539+AM539+AQ539+AU539+AY539+BC539</f>
        <v>248.5</v>
      </c>
      <c r="BG539" s="34">
        <f t="shared" si="1593"/>
        <v>248.5</v>
      </c>
      <c r="BH539" s="35">
        <f t="shared" ref="BH539:BH546" si="1594">H539+BF539-BG539</f>
        <v>0</v>
      </c>
      <c r="BK539" s="2" t="b">
        <f>H539='2021'!BH539</f>
        <v>1</v>
      </c>
    </row>
    <row r="540" ht="15.75" customHeight="1" spans="1:63" x14ac:dyDescent="0.25">
      <c r="A540" s="2">
        <v>60</v>
      </c>
      <c r="B540" s="42">
        <v>4.4</v>
      </c>
      <c r="C540" s="2" t="s">
        <v>227</v>
      </c>
      <c r="D540" s="14" t="s">
        <v>44</v>
      </c>
      <c r="E540" s="2" t="s">
        <v>45</v>
      </c>
      <c r="F540" s="41">
        <v>2.5</v>
      </c>
      <c r="G540" s="35">
        <v>2.6</v>
      </c>
      <c r="H540" s="180">
        <f>'2021'!BH540</f>
        <v>-237</v>
      </c>
      <c r="I540" s="13">
        <v>10566</v>
      </c>
      <c r="J540" s="15">
        <f>I540-'2021'!BA540</f>
        <v>1596</v>
      </c>
      <c r="K540" s="34">
        <f>J540*$F$8</f>
        <v>4309.2</v>
      </c>
      <c r="L540" s="28">
        <v>2800</v>
      </c>
      <c r="M540" s="13">
        <v>11040</v>
      </c>
      <c r="N540" s="15">
        <f t="shared" ref="N540:N541" si="1595">M540-I540</f>
        <v>474</v>
      </c>
      <c r="O540" s="34">
        <f>N540*$F$8</f>
        <v>1279.8</v>
      </c>
      <c r="P540" s="15">
        <v>2800</v>
      </c>
      <c r="Q540" s="13">
        <v>11770</v>
      </c>
      <c r="R540" s="15">
        <f t="shared" ref="R540:R541" si="1596">Q540-M540</f>
        <v>730</v>
      </c>
      <c r="S540" s="34">
        <f>R540*$F$8</f>
        <v>1971</v>
      </c>
      <c r="T540" s="32">
        <v>2000</v>
      </c>
      <c r="U540" s="13">
        <v>12160</v>
      </c>
      <c r="V540" s="15">
        <f t="shared" ref="V540:V541" si="1597">U540-Q540</f>
        <v>390</v>
      </c>
      <c r="W540" s="34">
        <f>V540*$F$8</f>
        <v>1053</v>
      </c>
      <c r="X540" s="2">
        <v>850</v>
      </c>
      <c r="Y540" s="13">
        <v>12290</v>
      </c>
      <c r="Z540" s="2">
        <f t="shared" ref="Z540:Z541" si="1598">Y540-U540</f>
        <v>130</v>
      </c>
      <c r="AA540" s="34">
        <f>Z540*$F$8</f>
        <v>351</v>
      </c>
      <c r="AB540" s="32">
        <v>300</v>
      </c>
      <c r="AC540" s="348">
        <v>12372</v>
      </c>
      <c r="AD540" s="15">
        <f t="shared" ref="AD540:AD541" si="1599">AC540-Y540</f>
        <v>82</v>
      </c>
      <c r="AE540" s="180">
        <f>AD540*$F$8</f>
        <v>221.4</v>
      </c>
      <c r="AF540" s="365">
        <v>260</v>
      </c>
      <c r="AG540" s="15">
        <v>12422</v>
      </c>
      <c r="AH540" s="2">
        <f>(AG540-AC540)*AH5</f>
        <v>52.8</v>
      </c>
      <c r="AI540" s="45">
        <f>AH540*$G$8</f>
        <v>129.888</v>
      </c>
      <c r="AJ540" s="182">
        <v>70</v>
      </c>
      <c r="AK540" s="15">
        <v>12518</v>
      </c>
      <c r="AL540" s="15">
        <f>(AK540-AG540)*AL5</f>
        <v>98.688</v>
      </c>
      <c r="AM540" s="45">
        <f>AL540*$G$8</f>
        <v>242.77248</v>
      </c>
      <c r="AN540" s="154">
        <v>339.04</v>
      </c>
      <c r="AO540" s="13">
        <v>12670</v>
      </c>
      <c r="AP540" s="15">
        <f>(AO540-AK540)*AP5</f>
        <v>157.016</v>
      </c>
      <c r="AQ540" s="45">
        <f>AP540*$G$8</f>
        <v>386.25936</v>
      </c>
      <c r="AR540" s="154">
        <v>288.28</v>
      </c>
      <c r="AS540" s="13">
        <v>13214</v>
      </c>
      <c r="AT540" s="15">
        <f>(AS540-AO540)*AT5</f>
        <v>571.2</v>
      </c>
      <c r="AU540" s="45">
        <f>AT540*$G$8</f>
        <v>1405.152</v>
      </c>
      <c r="AV540" s="1">
        <v>1350</v>
      </c>
      <c r="AW540" s="13"/>
      <c r="AX540" s="15">
        <f>(AW540-AS540)*AX5</f>
        <v>0</v>
      </c>
      <c r="AY540" s="45">
        <f>AX540*$G$8</f>
        <v>0</v>
      </c>
      <c r="AZ540" s="242"/>
      <c r="BA540" s="13"/>
      <c r="BB540" s="15"/>
      <c r="BC540" s="45">
        <f>BB540*$G$8</f>
        <v>0</v>
      </c>
      <c r="BD540" s="246"/>
      <c r="BE540" s="40">
        <f t="shared" ref="BE540:BG540" si="1600">J540+N540+R540+V540+Z540+AD540+AH540+AL540+AP540+AT540+AX540+BB540</f>
        <v>4281.704</v>
      </c>
      <c r="BF540" s="41">
        <f t="shared" si="1600"/>
        <v>11349.47184</v>
      </c>
      <c r="BG540" s="34">
        <f t="shared" si="1600"/>
        <v>11057.32</v>
      </c>
      <c r="BH540" s="35">
        <f t="shared" si="1594"/>
        <v>55.15184</v>
      </c>
      <c r="BI540" s="34"/>
      <c r="BJ540" s="34"/>
      <c r="BK540" s="2" t="b">
        <f>H540='2021'!BH540</f>
        <v>1</v>
      </c>
    </row>
    <row r="541" ht="15.75" customHeight="1" spans="1:63" x14ac:dyDescent="0.25">
      <c r="A541" s="2">
        <v>60</v>
      </c>
      <c r="B541" s="14"/>
      <c r="C541" s="2" t="s">
        <v>228</v>
      </c>
      <c r="D541" s="14" t="s">
        <v>47</v>
      </c>
      <c r="E541" s="2" t="s">
        <v>48</v>
      </c>
      <c r="F541" s="13">
        <v>18.56</v>
      </c>
      <c r="G541" s="35">
        <v>19.46</v>
      </c>
      <c r="H541" s="180">
        <f>'2021'!BH541</f>
        <v>-65.14</v>
      </c>
      <c r="I541" s="13">
        <v>162</v>
      </c>
      <c r="J541" s="15"/>
      <c r="K541" s="15"/>
      <c r="L541" s="28"/>
      <c r="M541" s="13">
        <v>162</v>
      </c>
      <c r="N541" s="15">
        <f t="shared" si="1595"/>
        <v>0</v>
      </c>
      <c r="Q541" s="13">
        <v>162</v>
      </c>
      <c r="R541" s="15">
        <f t="shared" si="1596"/>
        <v>0</v>
      </c>
      <c r="S541" s="15"/>
      <c r="T541" s="28"/>
      <c r="U541" s="13">
        <v>162</v>
      </c>
      <c r="V541" s="15">
        <f t="shared" si="1597"/>
        <v>0</v>
      </c>
      <c r="W541" s="180">
        <f>V541*$F$10</f>
        <v>0</v>
      </c>
      <c r="Y541" s="13">
        <v>162</v>
      </c>
      <c r="Z541" s="2">
        <f t="shared" si="1598"/>
        <v>0</v>
      </c>
      <c r="AA541" s="34">
        <f>Z541*$F$10</f>
        <v>0</v>
      </c>
      <c r="AB541" s="32"/>
      <c r="AC541" s="348">
        <v>172</v>
      </c>
      <c r="AD541" s="15">
        <f t="shared" si="1599"/>
        <v>10</v>
      </c>
      <c r="AE541" s="34">
        <f>AD541*$F$10</f>
        <v>203.5</v>
      </c>
      <c r="AF541" s="355">
        <v>140</v>
      </c>
      <c r="AG541" s="15">
        <v>177</v>
      </c>
      <c r="AH541" s="2">
        <f>AG541-AC541</f>
        <v>5</v>
      </c>
      <c r="AI541" s="45">
        <f>AH541*$G$10</f>
        <v>107</v>
      </c>
      <c r="AJ541" s="182">
        <v>130</v>
      </c>
      <c r="AK541" s="15">
        <v>181</v>
      </c>
      <c r="AL541" s="15">
        <f>AK541-AG541</f>
        <v>4</v>
      </c>
      <c r="AM541" s="45">
        <f>AL541*$G$10</f>
        <v>85.6</v>
      </c>
      <c r="AN541" s="154">
        <v>60.96</v>
      </c>
      <c r="AO541" s="13">
        <v>183</v>
      </c>
      <c r="AP541" s="15">
        <f>AO541-AK541</f>
        <v>2</v>
      </c>
      <c r="AQ541" s="45">
        <f>AP541*$G$10</f>
        <v>42.8</v>
      </c>
      <c r="AR541" s="154">
        <v>42.8</v>
      </c>
      <c r="AS541" s="13">
        <v>183</v>
      </c>
      <c r="AT541" s="15">
        <f>AS541-AO541</f>
        <v>0</v>
      </c>
      <c r="AU541" s="45">
        <f>AT541*$G$10</f>
        <v>0</v>
      </c>
      <c r="AV541" s="1"/>
      <c r="AW541" s="13"/>
      <c r="AX541" s="15">
        <f>AW541-AS541</f>
        <v>-183</v>
      </c>
      <c r="AY541" s="45"/>
      <c r="AZ541" s="208"/>
      <c r="BA541" s="13"/>
      <c r="BB541" s="15"/>
      <c r="BC541" s="45"/>
      <c r="BD541" s="208"/>
      <c r="BE541" s="40">
        <f t="shared" ref="BE541:BG541" si="1601">J541+N541+R541+V541+Z541+AD541+AH541+AL541+AP541+AT541+AX541+BB541</f>
        <v>-162</v>
      </c>
      <c r="BF541" s="41">
        <f t="shared" si="1601"/>
        <v>438.9</v>
      </c>
      <c r="BG541" s="34">
        <f t="shared" si="1601"/>
        <v>373.76</v>
      </c>
      <c r="BH541" s="35">
        <f t="shared" si="1594"/>
        <v>0</v>
      </c>
      <c r="BK541" s="2" t="b">
        <f>H541='2021'!BH541</f>
        <v>1</v>
      </c>
    </row>
    <row r="542" ht="15.75" customHeight="1" spans="1:63" x14ac:dyDescent="0.25">
      <c r="A542" s="2">
        <v>60</v>
      </c>
      <c r="B542" s="14"/>
      <c r="C542" s="15" t="s">
        <v>229</v>
      </c>
      <c r="D542" s="14" t="s">
        <v>47</v>
      </c>
      <c r="E542" s="2" t="s">
        <v>49</v>
      </c>
      <c r="F542" s="41">
        <v>500</v>
      </c>
      <c r="G542" s="28"/>
      <c r="H542" s="180">
        <f>'2021'!BH542</f>
        <v>0</v>
      </c>
      <c r="I542" s="13"/>
      <c r="J542" s="15"/>
      <c r="K542" s="15"/>
      <c r="L542" s="28"/>
      <c r="M542" s="13"/>
      <c r="N542" s="15"/>
      <c r="Q542" s="13"/>
      <c r="R542" s="15"/>
      <c r="S542" s="15"/>
      <c r="T542" s="28"/>
      <c r="U542" s="13"/>
      <c r="V542" s="15"/>
      <c r="Y542" s="13"/>
      <c r="Z542" s="2"/>
      <c r="AA542" s="34"/>
      <c r="AB542" s="28"/>
      <c r="AC542" s="348"/>
      <c r="AD542" s="15"/>
      <c r="AG542" s="15"/>
      <c r="AH542" s="2"/>
      <c r="AI542" s="45"/>
      <c r="AJ542" s="154"/>
      <c r="AK542" s="15"/>
      <c r="AL542" s="15"/>
      <c r="AM542" s="45"/>
      <c r="AN542" s="15"/>
      <c r="AO542" s="13"/>
      <c r="AP542" s="15"/>
      <c r="AQ542" s="45"/>
      <c r="AR542" s="15"/>
      <c r="AS542" s="13"/>
      <c r="AT542" s="15"/>
      <c r="AU542" s="45"/>
      <c r="AV542" s="15"/>
      <c r="AW542" s="13"/>
      <c r="AX542" s="15"/>
      <c r="AY542" s="45"/>
      <c r="AZ542" s="28"/>
      <c r="BA542" s="13"/>
      <c r="BB542" s="15"/>
      <c r="BC542" s="45"/>
      <c r="BD542" s="28"/>
      <c r="BE542" s="14"/>
      <c r="BF542" s="41">
        <f t="shared" ref="BF542:BG542" si="1602">K542+O542+S542+W542+AA542+AE542+AI542+AM542+AQ542+AU542+AY542+BC542</f>
        <v>0</v>
      </c>
      <c r="BG542" s="34">
        <f t="shared" si="1602"/>
        <v>0</v>
      </c>
      <c r="BH542" s="35">
        <f t="shared" si="1594"/>
        <v>0</v>
      </c>
      <c r="BK542" s="2" t="b">
        <f>H542='2021'!BH542</f>
        <v>1</v>
      </c>
    </row>
    <row r="543" ht="15.75" customHeight="1" spans="1:63" x14ac:dyDescent="0.25">
      <c r="A543" s="2">
        <v>60</v>
      </c>
      <c r="B543" s="14"/>
      <c r="C543" s="2" t="s">
        <v>230</v>
      </c>
      <c r="D543" s="14" t="s">
        <v>50</v>
      </c>
      <c r="E543" s="2" t="s">
        <v>49</v>
      </c>
      <c r="F543" s="41">
        <v>1100</v>
      </c>
      <c r="G543" s="28"/>
      <c r="H543" s="180">
        <f>'2021'!BH543</f>
        <v>0</v>
      </c>
      <c r="I543" s="13"/>
      <c r="J543" s="15"/>
      <c r="K543" s="15"/>
      <c r="L543" s="28"/>
      <c r="M543" s="13"/>
      <c r="N543" s="15"/>
      <c r="Q543" s="13"/>
      <c r="R543" s="15"/>
      <c r="S543" s="15"/>
      <c r="T543" s="28"/>
      <c r="U543" s="13"/>
      <c r="V543" s="15"/>
      <c r="Y543" s="13"/>
      <c r="Z543" s="2"/>
      <c r="AA543" s="15"/>
      <c r="AB543" s="28"/>
      <c r="AC543" s="348"/>
      <c r="AD543" s="15"/>
      <c r="AE543" s="34">
        <f>B540*$F$12</f>
        <v>5720</v>
      </c>
      <c r="AF543" s="370">
        <v>5720</v>
      </c>
      <c r="AG543" s="15"/>
      <c r="AH543" s="2"/>
      <c r="AI543" s="45"/>
      <c r="AJ543" s="154"/>
      <c r="AK543" s="15"/>
      <c r="AL543" s="15"/>
      <c r="AM543" s="45"/>
      <c r="AN543" s="15"/>
      <c r="AO543" s="13"/>
      <c r="AP543" s="15"/>
      <c r="AQ543" s="45"/>
      <c r="AR543" s="15"/>
      <c r="AS543" s="13"/>
      <c r="AT543" s="15"/>
      <c r="AU543" s="45"/>
      <c r="AV543" s="15"/>
      <c r="AW543" s="13"/>
      <c r="AX543" s="15"/>
      <c r="AY543" s="45"/>
      <c r="AZ543" s="28"/>
      <c r="BA543" s="13"/>
      <c r="BB543" s="15"/>
      <c r="BC543" s="45"/>
      <c r="BD543" s="28"/>
      <c r="BE543" s="14"/>
      <c r="BF543" s="41">
        <f t="shared" ref="BF543:BG543" si="1603">K543+O543+S543+W543+AA543+AE543+AI543+AM543+AQ543+AU543+AY543+BC543</f>
        <v>5720</v>
      </c>
      <c r="BG543" s="34">
        <f t="shared" si="1603"/>
        <v>5720</v>
      </c>
      <c r="BH543" s="35">
        <f t="shared" si="1594"/>
        <v>0</v>
      </c>
      <c r="BK543" s="2" t="b">
        <f>H543='2021'!BH543</f>
        <v>1</v>
      </c>
    </row>
    <row r="544" ht="15.75" customHeight="1" spans="1:63" x14ac:dyDescent="0.25">
      <c r="A544" s="2">
        <v>60</v>
      </c>
      <c r="B544" s="14"/>
      <c r="D544" s="14" t="s">
        <v>51</v>
      </c>
      <c r="E544" s="2" t="s">
        <v>39</v>
      </c>
      <c r="F544" s="41">
        <v>500</v>
      </c>
      <c r="G544" s="28"/>
      <c r="H544" s="180">
        <f>'2021'!BH544</f>
        <v>0</v>
      </c>
      <c r="I544" s="13"/>
      <c r="J544" s="15"/>
      <c r="K544" s="15"/>
      <c r="L544" s="28"/>
      <c r="M544" s="13"/>
      <c r="N544" s="15"/>
      <c r="Q544" s="13"/>
      <c r="R544" s="15"/>
      <c r="S544" s="15"/>
      <c r="T544" s="28"/>
      <c r="U544" s="13"/>
      <c r="V544" s="15"/>
      <c r="Y544" s="13"/>
      <c r="Z544" s="2"/>
      <c r="AA544" s="15"/>
      <c r="AB544" s="28"/>
      <c r="AC544" s="348"/>
      <c r="AD544" s="15"/>
      <c r="AE544" s="180">
        <f>$F$13</f>
        <v>1000</v>
      </c>
      <c r="AF544" s="370">
        <v>1000</v>
      </c>
      <c r="AG544" s="15"/>
      <c r="AH544" s="2"/>
      <c r="AI544" s="45"/>
      <c r="AJ544" s="154"/>
      <c r="AK544" s="15"/>
      <c r="AL544" s="15"/>
      <c r="AM544" s="45"/>
      <c r="AN544" s="15"/>
      <c r="AO544" s="13"/>
      <c r="AP544" s="15"/>
      <c r="AQ544" s="180"/>
      <c r="AR544" s="15"/>
      <c r="AS544" s="13"/>
      <c r="AT544" s="15"/>
      <c r="AU544" s="45"/>
      <c r="AV544" s="15"/>
      <c r="AW544" s="13"/>
      <c r="AX544" s="15"/>
      <c r="AY544" s="45"/>
      <c r="AZ544" s="28"/>
      <c r="BA544" s="13"/>
      <c r="BB544" s="15"/>
      <c r="BC544" s="45"/>
      <c r="BD544" s="28"/>
      <c r="BE544" s="14"/>
      <c r="BF544" s="41">
        <f t="shared" ref="BF544:BG544" si="1604">K544+O544+S544+W544+AA544+AE544+AI544+AM544+AQ544+AU544+AY544+BC544</f>
        <v>1000</v>
      </c>
      <c r="BG544" s="34">
        <f t="shared" si="1604"/>
        <v>1000</v>
      </c>
      <c r="BH544" s="35">
        <f t="shared" si="1594"/>
        <v>0</v>
      </c>
      <c r="BK544" s="2" t="b">
        <f>H544='2021'!BH544</f>
        <v>1</v>
      </c>
    </row>
    <row r="545" ht="15.75" customHeight="1" spans="1:63" x14ac:dyDescent="0.25">
      <c r="A545" s="2">
        <v>60</v>
      </c>
      <c r="B545" s="14"/>
      <c r="D545" s="14" t="s">
        <v>51</v>
      </c>
      <c r="E545" s="2" t="s">
        <v>49</v>
      </c>
      <c r="F545" s="41">
        <v>500</v>
      </c>
      <c r="G545" s="28"/>
      <c r="H545" s="180">
        <f>'2021'!BH545</f>
        <v>0</v>
      </c>
      <c r="I545" s="13"/>
      <c r="J545" s="15"/>
      <c r="K545" s="15"/>
      <c r="L545" s="28"/>
      <c r="M545" s="13"/>
      <c r="N545" s="15"/>
      <c r="Q545" s="13"/>
      <c r="R545" s="15"/>
      <c r="S545" s="15"/>
      <c r="T545" s="28"/>
      <c r="U545" s="13"/>
      <c r="V545" s="15"/>
      <c r="X545" s="1"/>
      <c r="Y545" s="13"/>
      <c r="Z545" s="2"/>
      <c r="AA545" s="34"/>
      <c r="AB545" s="28"/>
      <c r="AC545" s="348"/>
      <c r="AD545" s="15"/>
      <c r="AE545" s="34"/>
      <c r="AG545" s="15"/>
      <c r="AH545" s="2"/>
      <c r="AI545" s="45"/>
      <c r="AJ545" s="154"/>
      <c r="AK545" s="15"/>
      <c r="AL545" s="15"/>
      <c r="AM545" s="45"/>
      <c r="AN545" s="15"/>
      <c r="AO545" s="13"/>
      <c r="AP545" s="15"/>
      <c r="AQ545" s="180">
        <f>B540*$F$14</f>
        <v>0</v>
      </c>
      <c r="AR545" s="15"/>
      <c r="AS545" s="13"/>
      <c r="AT545" s="15"/>
      <c r="AU545" s="45"/>
      <c r="AV545" s="15"/>
      <c r="AW545" s="13"/>
      <c r="AX545" s="15"/>
      <c r="AY545" s="45"/>
      <c r="AZ545" s="28"/>
      <c r="BA545" s="13"/>
      <c r="BB545" s="15"/>
      <c r="BC545" s="45"/>
      <c r="BD545" s="28"/>
      <c r="BE545" s="14"/>
      <c r="BF545" s="41">
        <f t="shared" ref="BF545:BF546" si="1605">K545+O545+S545+W545+AA545+AE545+AI545+AM545+AQ545+AU545+AY545+BC545</f>
        <v>0</v>
      </c>
      <c r="BG545" s="34">
        <f>L545+P545+T545+X545+AB545+AA545+AJ545+AN545+AR545+AV545+AZ545+BD545</f>
        <v>0</v>
      </c>
      <c r="BH545" s="35">
        <f t="shared" si="1594"/>
        <v>0</v>
      </c>
      <c r="BK545" s="2" t="b">
        <f>H545='2021'!BH545</f>
        <v>1</v>
      </c>
    </row>
    <row r="546" ht="15.75" customHeight="1" spans="1:63" x14ac:dyDescent="0.25">
      <c r="A546" s="2">
        <v>60</v>
      </c>
      <c r="B546" s="14"/>
      <c r="D546" s="14" t="s">
        <v>52</v>
      </c>
      <c r="E546" s="2" t="s">
        <v>39</v>
      </c>
      <c r="F546" s="41">
        <v>500</v>
      </c>
      <c r="G546" s="28"/>
      <c r="H546" s="180">
        <f>'2021'!BH546</f>
        <v>0</v>
      </c>
      <c r="I546" s="13"/>
      <c r="J546" s="15"/>
      <c r="K546" s="15"/>
      <c r="L546" s="28"/>
      <c r="M546" s="13"/>
      <c r="N546" s="15"/>
      <c r="Q546" s="13"/>
      <c r="R546" s="15"/>
      <c r="S546" s="15"/>
      <c r="T546" s="28"/>
      <c r="U546" s="13"/>
      <c r="V546" s="15"/>
      <c r="Y546" s="13"/>
      <c r="Z546" s="2"/>
      <c r="AA546" s="34">
        <f>$F$15</f>
      </c>
      <c r="AB546" s="35"/>
      <c r="AC546" s="348"/>
      <c r="AD546" s="15"/>
      <c r="AF546" s="180"/>
      <c r="AG546" s="15"/>
      <c r="AH546" s="2"/>
      <c r="AI546" s="45"/>
      <c r="AJ546" s="15"/>
      <c r="AK546" s="15"/>
      <c r="AL546" s="15"/>
      <c r="AM546" s="45"/>
      <c r="AN546" s="15"/>
      <c r="AO546" s="13"/>
      <c r="AP546" s="15"/>
      <c r="AQ546" s="45"/>
      <c r="AR546" s="15"/>
      <c r="AS546" s="13"/>
      <c r="AT546" s="15"/>
      <c r="AU546" s="45"/>
      <c r="AV546" s="15"/>
      <c r="AW546" s="13"/>
      <c r="AX546" s="15"/>
      <c r="AY546" s="45"/>
      <c r="AZ546" s="35"/>
      <c r="BA546" s="13"/>
      <c r="BB546" s="15"/>
      <c r="BC546" s="45"/>
      <c r="BD546" s="35"/>
      <c r="BE546" s="14"/>
      <c r="BF546" s="41">
        <f t="shared" si="1605"/>
        <v>0</v>
      </c>
      <c r="BG546" s="34">
        <f>L546+P546+T546+X546+AB546+AF546+AJ546+AN546+AR546+AV546+AZ546+BD546</f>
        <v>0</v>
      </c>
      <c r="BH546" s="35">
        <f t="shared" si="1594"/>
        <v>0</v>
      </c>
      <c r="BK546" s="2" t="b">
        <f>H546='2021'!BH546</f>
        <v>1</v>
      </c>
    </row>
    <row r="547" ht="15.75" customHeight="1" spans="1:63" x14ac:dyDescent="0.25">
      <c r="A547" s="247">
        <v>60</v>
      </c>
      <c r="B547" s="21"/>
      <c r="C547" s="22" t="s">
        <v>53</v>
      </c>
      <c r="D547" s="21"/>
      <c r="E547" s="22"/>
      <c r="F547" s="20"/>
      <c r="G547" s="23"/>
      <c r="H547" s="51">
        <f>SUM(H539:H546)</f>
        <v>-302.14</v>
      </c>
      <c r="I547" s="52"/>
      <c r="J547" s="53"/>
      <c r="K547" s="51">
        <f t="shared" ref="K547:L547" si="1606">SUM(K539:K546)</f>
        <v>4309.2</v>
      </c>
      <c r="L547" s="68">
        <f t="shared" si="1606"/>
        <v>2800</v>
      </c>
      <c r="M547" s="52"/>
      <c r="N547" s="53"/>
      <c r="O547" s="51">
        <f t="shared" ref="O547:P547" si="1607">SUM(O539:O546)</f>
        <v>1279.8</v>
      </c>
      <c r="P547" s="51">
        <f t="shared" si="1607"/>
        <v>2800</v>
      </c>
      <c r="Q547" s="52"/>
      <c r="R547" s="53"/>
      <c r="S547" s="51">
        <f t="shared" ref="S547:T547" si="1608">SUM(S539:S546)</f>
        <v>1971</v>
      </c>
      <c r="T547" s="51">
        <f t="shared" si="1608"/>
        <v>2000</v>
      </c>
      <c r="U547" s="52"/>
      <c r="V547" s="53"/>
      <c r="W547" s="51">
        <f t="shared" ref="W547:X547" si="1609">SUM(W539:W546)</f>
        <v>1053</v>
      </c>
      <c r="X547" s="51">
        <f t="shared" si="1609"/>
        <v>850</v>
      </c>
      <c r="Y547" s="52"/>
      <c r="Z547" s="301"/>
      <c r="AA547" s="51">
        <f t="shared" ref="AA547:AB547" si="1610">SUM(AA539:AA546)</f>
        <v>599.5</v>
      </c>
      <c r="AB547" s="51">
        <f t="shared" si="1610"/>
        <v>300</v>
      </c>
      <c r="AC547" s="367"/>
      <c r="AD547" s="53"/>
      <c r="AE547" s="51">
        <f t="shared" ref="AE547:AF547" si="1611">SUM(AE539:AE546)</f>
        <v>7144.9</v>
      </c>
      <c r="AF547" s="51">
        <f t="shared" si="1611"/>
        <v>7368.5</v>
      </c>
      <c r="AG547" s="52"/>
      <c r="AH547" s="301"/>
      <c r="AI547" s="183">
        <f t="shared" ref="AI547:AJ547" si="1612">SUM(AI539:AI546)</f>
        <v>236.888</v>
      </c>
      <c r="AJ547" s="51">
        <f t="shared" si="1612"/>
        <v>200</v>
      </c>
      <c r="AK547" s="52"/>
      <c r="AL547" s="53"/>
      <c r="AM547" s="183">
        <f t="shared" ref="AM547:AN547" si="1613">SUM(AM539:AM546)</f>
        <v>328.37248</v>
      </c>
      <c r="AN547" s="51">
        <f t="shared" si="1613"/>
        <v>400</v>
      </c>
      <c r="AO547" s="52"/>
      <c r="AP547" s="53"/>
      <c r="AQ547" s="183">
        <f t="shared" ref="AQ547:AR547" si="1614">SUM(AQ539:AQ546)</f>
        <v>429.05936</v>
      </c>
      <c r="AR547" s="51">
        <f t="shared" si="1614"/>
        <v>331.08</v>
      </c>
      <c r="AS547" s="52"/>
      <c r="AT547" s="53"/>
      <c r="AU547" s="183">
        <f t="shared" ref="AU547:AV547" si="1615">SUM(AU539:AU546)</f>
        <v>1405.152</v>
      </c>
      <c r="AV547" s="68">
        <f t="shared" si="1615"/>
        <v>1350</v>
      </c>
      <c r="AW547" s="52"/>
      <c r="AX547" s="53"/>
      <c r="AY547" s="183">
        <f t="shared" ref="AY547:AZ547" si="1616">SUM(AY539:AY546)</f>
        <v>0</v>
      </c>
      <c r="AZ547" s="68">
        <f t="shared" si="1616"/>
        <v>0</v>
      </c>
      <c r="BA547" s="52"/>
      <c r="BB547" s="53"/>
      <c r="BC547" s="183">
        <f t="shared" ref="BC547:BD547" si="1617">SUM(BC539:BC546)</f>
        <v>0</v>
      </c>
      <c r="BD547" s="68">
        <f t="shared" si="1617"/>
        <v>0</v>
      </c>
      <c r="BE547" s="69"/>
      <c r="BF547" s="70">
        <f t="shared" ref="BF547:BH547" si="1618">SUM(BF539:BF546)</f>
        <v>18756.87184</v>
      </c>
      <c r="BG547" s="71">
        <f t="shared" si="1618"/>
        <v>18399.58</v>
      </c>
      <c r="BH547" s="72">
        <f t="shared" si="1618"/>
        <v>55.15184</v>
      </c>
      <c r="BI547" s="34">
        <f>H547+BF547-BG547</f>
        <v>55.15184</v>
      </c>
      <c r="BJ547" s="34">
        <f>BH547-BI547</f>
        <v>0</v>
      </c>
      <c r="BK547" s="2" t="b">
        <f>H547='2021'!BH547</f>
        <v>1</v>
      </c>
    </row>
    <row r="548" ht="15.75" customHeight="1" spans="1:63" x14ac:dyDescent="0.25">
      <c r="A548" s="2">
        <v>61</v>
      </c>
      <c r="B548" s="14"/>
      <c r="D548" s="14" t="s">
        <v>379</v>
      </c>
      <c r="F548" s="13"/>
      <c r="G548" s="28"/>
      <c r="H548" s="34">
        <f>'2021'!BH548</f>
        <v>0</v>
      </c>
      <c r="I548" s="13"/>
      <c r="J548" s="15"/>
      <c r="K548" s="15"/>
      <c r="L548" s="28"/>
      <c r="M548" s="13"/>
      <c r="N548" s="15"/>
      <c r="Q548" s="13"/>
      <c r="R548" s="15"/>
      <c r="S548" s="15"/>
      <c r="T548" s="28"/>
      <c r="U548" s="13"/>
      <c r="V548" s="15"/>
      <c r="Y548" s="13"/>
      <c r="Z548" s="2"/>
      <c r="AA548" s="15"/>
      <c r="AB548" s="28"/>
      <c r="AC548" s="348"/>
      <c r="AD548" s="15"/>
      <c r="AG548" s="15"/>
      <c r="AH548" s="2"/>
      <c r="AI548" s="45"/>
      <c r="AJ548" s="15"/>
      <c r="AK548" s="15"/>
      <c r="AM548" s="45"/>
      <c r="AO548" s="13"/>
      <c r="AQ548" s="45"/>
      <c r="AS548" s="13"/>
      <c r="AU548" s="45"/>
      <c r="AW548" s="13"/>
      <c r="AY548" s="45"/>
      <c r="AZ548" s="28"/>
      <c r="BA548" s="13"/>
      <c r="BB548" s="15"/>
      <c r="BC548" s="45"/>
      <c r="BD548" s="28"/>
      <c r="BE548" s="14"/>
      <c r="BF548" s="41">
        <f t="shared" ref="BF548:BG548" si="1619">K548+O548+S548+W548+AA548+AE548+AI548+AM548+AQ548+AU548+AY548+BC548</f>
        <v>0</v>
      </c>
      <c r="BG548" s="34">
        <f t="shared" si="1619"/>
        <v>0</v>
      </c>
      <c r="BH548" s="35">
        <f t="shared" ref="BH548:BH555" si="1620">H548+BF548-BG548</f>
        <v>0</v>
      </c>
      <c r="BK548" s="2" t="b">
        <f>H548='2021'!BH548</f>
        <v>1</v>
      </c>
    </row>
    <row r="549" ht="15.75" customHeight="1" spans="1:63" x14ac:dyDescent="0.25">
      <c r="A549" s="2">
        <v>61</v>
      </c>
      <c r="B549" s="14">
        <v>4.71</v>
      </c>
      <c r="C549" s="2" t="s">
        <v>231</v>
      </c>
      <c r="D549" s="14" t="s">
        <v>44</v>
      </c>
      <c r="E549" s="2" t="s">
        <v>45</v>
      </c>
      <c r="F549" s="41">
        <v>2.5</v>
      </c>
      <c r="G549" s="35">
        <v>2.6</v>
      </c>
      <c r="H549" s="34">
        <f>'2021'!BH549</f>
        <v>99.7</v>
      </c>
      <c r="I549" s="13">
        <v>641</v>
      </c>
      <c r="J549" s="15">
        <f>I549-'2021'!BA549</f>
        <v>0</v>
      </c>
      <c r="K549" s="34">
        <f>J549*$F$8</f>
        <v>0</v>
      </c>
      <c r="L549" s="28"/>
      <c r="M549" s="13">
        <v>641</v>
      </c>
      <c r="N549" s="15">
        <f t="shared" ref="N549:N550" si="1621">M549-I549</f>
        <v>0</v>
      </c>
      <c r="O549" s="34">
        <f>N549*$F$8</f>
        <v>0</v>
      </c>
      <c r="Q549" s="13">
        <v>641</v>
      </c>
      <c r="R549" s="15">
        <f t="shared" ref="R549:R550" si="1622">Q549-M549</f>
        <v>0</v>
      </c>
      <c r="S549" s="34">
        <f>R549*$F$8</f>
        <v>0</v>
      </c>
      <c r="T549" s="28"/>
      <c r="U549" s="13">
        <v>641</v>
      </c>
      <c r="V549" s="15">
        <f t="shared" ref="V549:V550" si="1623">U549-Q549</f>
        <v>0</v>
      </c>
      <c r="W549" s="34">
        <f>V549*$F$8</f>
        <v>0</v>
      </c>
      <c r="X549" s="15"/>
      <c r="Y549" s="13">
        <v>693</v>
      </c>
      <c r="Z549" s="2">
        <f t="shared" ref="Z549:Z550" si="1624">Y549-U549</f>
        <v>52</v>
      </c>
      <c r="AA549" s="34">
        <f>Z549*$F$8</f>
        <v>140.4</v>
      </c>
      <c r="AB549" s="28"/>
      <c r="AC549" s="348">
        <v>756</v>
      </c>
      <c r="AD549" s="15">
        <f t="shared" ref="AD549:AD550" si="1625">AC549-Y549</f>
        <v>63</v>
      </c>
      <c r="AE549" s="180">
        <f>AD549*$F$8</f>
        <v>170.1</v>
      </c>
      <c r="AF549" s="365">
        <v>240.1</v>
      </c>
      <c r="AG549" s="15">
        <v>805</v>
      </c>
      <c r="AH549" s="2">
        <f>(AG549-AC549)*AH5</f>
        <v>51.744</v>
      </c>
      <c r="AI549" s="45">
        <f>AH549*$G$8</f>
        <v>127.29024</v>
      </c>
      <c r="AJ549" s="154"/>
      <c r="AK549" s="15">
        <v>863</v>
      </c>
      <c r="AL549" s="15">
        <f>(AK549-AG549)*AL5</f>
        <v>59.624</v>
      </c>
      <c r="AM549" s="45">
        <f>AL549*$G$8</f>
        <v>146.67504</v>
      </c>
      <c r="AN549" s="154">
        <v>444.07</v>
      </c>
      <c r="AO549" s="13">
        <v>882</v>
      </c>
      <c r="AP549" s="15">
        <f>(AO549-AK549)*AP5</f>
        <v>19.627</v>
      </c>
      <c r="AQ549" s="45">
        <f>AP549*$G$8</f>
        <v>48.28242</v>
      </c>
      <c r="AR549" s="15"/>
      <c r="AS549" s="13">
        <v>890</v>
      </c>
      <c r="AT549" s="15">
        <f>(AS549-AO549)*AT5</f>
        <v>8.4</v>
      </c>
      <c r="AU549" s="45">
        <f>AT549*$G$8</f>
        <v>20.664</v>
      </c>
      <c r="AV549" s="15"/>
      <c r="AW549" s="13"/>
      <c r="AX549" s="15">
        <f>(AW549-AS549)*AX5</f>
        <v>0</v>
      </c>
      <c r="AY549" s="45">
        <f>AX549*$G$8</f>
        <v>0</v>
      </c>
      <c r="AZ549" s="208"/>
      <c r="BA549" s="13"/>
      <c r="BB549" s="15"/>
      <c r="BC549" s="45">
        <f>BB549*$G$8</f>
        <v>0</v>
      </c>
      <c r="BD549" s="208"/>
      <c r="BE549" s="40">
        <f t="shared" ref="BE549:BG549" si="1626">J549+N549+R549+V549+Z549+AD549+AH549+AL549+AP549+AT549+AX549+BB549</f>
        <v>254.395</v>
      </c>
      <c r="BF549" s="41">
        <f t="shared" si="1626"/>
        <v>653.4117</v>
      </c>
      <c r="BG549" s="34">
        <f t="shared" si="1626"/>
        <v>684.17</v>
      </c>
      <c r="BH549" s="35">
        <f t="shared" si="1620"/>
        <v>68.9417</v>
      </c>
      <c r="BK549" s="2" t="b">
        <f>H549='2021'!BH549</f>
        <v>1</v>
      </c>
    </row>
    <row r="550" ht="15.75" customHeight="1" spans="1:63" x14ac:dyDescent="0.25">
      <c r="A550" s="2">
        <v>61</v>
      </c>
      <c r="B550" s="14"/>
      <c r="C550" s="2" t="s">
        <v>75</v>
      </c>
      <c r="D550" s="14" t="s">
        <v>47</v>
      </c>
      <c r="E550" s="2" t="s">
        <v>48</v>
      </c>
      <c r="F550" s="13">
        <v>18.56</v>
      </c>
      <c r="G550" s="35">
        <v>19.46</v>
      </c>
      <c r="H550" s="90">
        <f>'2021'!BH550</f>
        <v>-57.55</v>
      </c>
      <c r="I550" s="13">
        <f>89+214</f>
        <v>303</v>
      </c>
      <c r="J550" s="15"/>
      <c r="K550" s="15"/>
      <c r="L550" s="28"/>
      <c r="M550" s="13">
        <f>89+214</f>
        <v>303</v>
      </c>
      <c r="N550" s="15">
        <f t="shared" si="1621"/>
        <v>0</v>
      </c>
      <c r="Q550" s="13">
        <f>89+214</f>
        <v>303</v>
      </c>
      <c r="R550" s="15">
        <f t="shared" si="1622"/>
        <v>0</v>
      </c>
      <c r="S550" s="15"/>
      <c r="T550" s="28"/>
      <c r="U550" s="13">
        <f>89+214</f>
        <v>303</v>
      </c>
      <c r="V550" s="15">
        <f t="shared" si="1623"/>
        <v>0</v>
      </c>
      <c r="W550" s="34">
        <f>V550*$F$10</f>
        <v>0</v>
      </c>
      <c r="Y550" s="13">
        <f>91+215</f>
        <v>306</v>
      </c>
      <c r="Z550" s="2">
        <f t="shared" si="1624"/>
        <v>3</v>
      </c>
      <c r="AA550" s="34">
        <f>Z550*$F$10</f>
        <v>61.05</v>
      </c>
      <c r="AB550" s="28"/>
      <c r="AC550" s="350">
        <f>220+97</f>
        <v>317</v>
      </c>
      <c r="AD550" s="15">
        <f t="shared" si="1625"/>
        <v>11</v>
      </c>
      <c r="AE550" s="34">
        <f>AD550*$F$10</f>
        <v>223.85</v>
      </c>
      <c r="AF550" s="365">
        <v>227.35</v>
      </c>
      <c r="AG550" s="13">
        <v>317</v>
      </c>
      <c r="AH550" s="2">
        <f>AG550-AC550</f>
        <v>0</v>
      </c>
      <c r="AI550" s="45">
        <f>AH550*$G$10</f>
        <v>0</v>
      </c>
      <c r="AJ550" s="154"/>
      <c r="AK550" s="13">
        <f>105+227</f>
        <v>332</v>
      </c>
      <c r="AL550" s="15">
        <f>AK550-AG550</f>
        <v>15</v>
      </c>
      <c r="AM550" s="45">
        <f>AL550*$G$10</f>
        <v>321</v>
      </c>
      <c r="AN550" s="154">
        <v>321</v>
      </c>
      <c r="AO550" s="13">
        <v>332</v>
      </c>
      <c r="AP550" s="15">
        <f>AO550-AK550</f>
        <v>0</v>
      </c>
      <c r="AQ550" s="45">
        <f>AP550*$G$10</f>
        <v>0</v>
      </c>
      <c r="AR550" s="15"/>
      <c r="AS550" s="13">
        <v>332</v>
      </c>
      <c r="AT550" s="15">
        <f>AS550-AO550</f>
        <v>0</v>
      </c>
      <c r="AU550" s="45">
        <f>AT550*$G$10</f>
        <v>0</v>
      </c>
      <c r="AV550" s="15"/>
      <c r="AW550" s="13"/>
      <c r="AX550" s="15">
        <f>AW550-AS550</f>
        <v>-332</v>
      </c>
      <c r="AY550" s="45"/>
      <c r="AZ550" s="208"/>
      <c r="BA550" s="13"/>
      <c r="BB550" s="15"/>
      <c r="BC550" s="45"/>
      <c r="BD550" s="208"/>
      <c r="BE550" s="40">
        <f t="shared" ref="BE550:BG550" si="1627">J550+N550+R550+V550+Z550+AD550+AH550+AL550+AP550+AT550+AX550+BB550</f>
        <v>-303</v>
      </c>
      <c r="BF550" s="41">
        <f t="shared" si="1627"/>
        <v>605.9</v>
      </c>
      <c r="BG550" s="34">
        <f t="shared" si="1627"/>
        <v>548.35</v>
      </c>
      <c r="BH550" s="35">
        <f t="shared" si="1620"/>
        <v>0</v>
      </c>
      <c r="BK550" s="2" t="b">
        <f>H550='2021'!BH550</f>
        <v>1</v>
      </c>
    </row>
    <row r="551" ht="15.75" customHeight="1" spans="1:63" x14ac:dyDescent="0.25">
      <c r="A551" s="2">
        <v>61</v>
      </c>
      <c r="B551" s="14"/>
      <c r="C551" s="2" t="s">
        <v>232</v>
      </c>
      <c r="D551" s="14" t="s">
        <v>47</v>
      </c>
      <c r="E551" s="2" t="s">
        <v>49</v>
      </c>
      <c r="F551" s="41">
        <v>500</v>
      </c>
      <c r="G551" s="28"/>
      <c r="H551" s="34">
        <f>'2021'!BH551</f>
        <v>0</v>
      </c>
      <c r="I551" s="13"/>
      <c r="J551" s="15"/>
      <c r="K551" s="15"/>
      <c r="L551" s="28"/>
      <c r="M551" s="13"/>
      <c r="N551" s="15"/>
      <c r="Q551" s="13"/>
      <c r="R551" s="15"/>
      <c r="S551" s="15"/>
      <c r="T551" s="28"/>
      <c r="U551" s="13"/>
      <c r="V551" s="15"/>
      <c r="Y551" s="13"/>
      <c r="Z551" s="2"/>
      <c r="AA551" s="15"/>
      <c r="AB551" s="28"/>
      <c r="AC551" s="348"/>
      <c r="AD551" s="15"/>
      <c r="AF551" s="154"/>
      <c r="AG551" s="15"/>
      <c r="AH551" s="2"/>
      <c r="AI551" s="45"/>
      <c r="AJ551" s="15"/>
      <c r="AK551" s="15"/>
      <c r="AL551" s="15"/>
      <c r="AM551" s="45"/>
      <c r="AN551" s="15"/>
      <c r="AO551" s="13"/>
      <c r="AP551" s="15"/>
      <c r="AQ551" s="45"/>
      <c r="AR551" s="15"/>
      <c r="AS551" s="13"/>
      <c r="AT551" s="15"/>
      <c r="AU551" s="45"/>
      <c r="AV551" s="15"/>
      <c r="AW551" s="13"/>
      <c r="AX551" s="15"/>
      <c r="AY551" s="45"/>
      <c r="AZ551" s="28"/>
      <c r="BA551" s="13"/>
      <c r="BB551" s="15"/>
      <c r="BC551" s="45"/>
      <c r="BD551" s="28"/>
      <c r="BE551" s="14"/>
      <c r="BF551" s="41">
        <f t="shared" ref="BF551:BG551" si="1628">K551+O551+S551+W551+AA551+AE551+AI551+AM551+AQ551+AU551+AY551+BC551</f>
        <v>0</v>
      </c>
      <c r="BG551" s="34">
        <f t="shared" si="1628"/>
        <v>0</v>
      </c>
      <c r="BH551" s="35">
        <f t="shared" si="1620"/>
        <v>0</v>
      </c>
      <c r="BK551" s="2" t="b">
        <f>H551='2021'!BH551</f>
        <v>1</v>
      </c>
    </row>
    <row r="552" ht="15.75" customHeight="1" spans="1:63" x14ac:dyDescent="0.25">
      <c r="A552" s="2">
        <v>61</v>
      </c>
      <c r="B552" s="14"/>
      <c r="C552" s="2" t="s">
        <v>233</v>
      </c>
      <c r="D552" s="14" t="s">
        <v>50</v>
      </c>
      <c r="E552" s="2" t="s">
        <v>49</v>
      </c>
      <c r="F552" s="41">
        <v>1100</v>
      </c>
      <c r="G552" s="28"/>
      <c r="H552" s="34">
        <f>'2021'!BH552</f>
        <v>0</v>
      </c>
      <c r="I552" s="13"/>
      <c r="J552" s="15"/>
      <c r="K552" s="15"/>
      <c r="L552" s="28"/>
      <c r="M552" s="13"/>
      <c r="N552" s="15"/>
      <c r="Q552" s="13"/>
      <c r="R552" s="15"/>
      <c r="S552" s="15"/>
      <c r="T552" s="28"/>
      <c r="U552" s="13"/>
      <c r="V552" s="15"/>
      <c r="Y552" s="13"/>
      <c r="Z552" s="2"/>
      <c r="AA552" s="15"/>
      <c r="AB552" s="28"/>
      <c r="AC552" s="348"/>
      <c r="AD552" s="15"/>
      <c r="AE552" s="34">
        <f>B549*$F$12</f>
        <v>6123</v>
      </c>
      <c r="AF552" s="355">
        <v>6123</v>
      </c>
      <c r="AG552" s="15"/>
      <c r="AH552" s="2"/>
      <c r="AI552" s="45"/>
      <c r="AJ552" s="2"/>
      <c r="AK552" s="15"/>
      <c r="AL552" s="15"/>
      <c r="AM552" s="45"/>
      <c r="AN552" s="15"/>
      <c r="AO552" s="13"/>
      <c r="AP552" s="15"/>
      <c r="AQ552" s="45"/>
      <c r="AR552" s="15"/>
      <c r="AS552" s="13"/>
      <c r="AT552" s="15"/>
      <c r="AU552" s="45"/>
      <c r="AV552" s="15"/>
      <c r="AW552" s="13"/>
      <c r="AX552" s="15"/>
      <c r="AY552" s="45"/>
      <c r="AZ552" s="28"/>
      <c r="BA552" s="13"/>
      <c r="BB552" s="15"/>
      <c r="BC552" s="45"/>
      <c r="BD552" s="28"/>
      <c r="BE552" s="14"/>
      <c r="BF552" s="41">
        <f t="shared" ref="BF552:BG552" si="1629">K552+O552+S552+W552+AA552+AE552+AI552+AM552+AQ552+AU552+AY552+BC552</f>
        <v>6123</v>
      </c>
      <c r="BG552" s="34">
        <f t="shared" si="1629"/>
        <v>6123</v>
      </c>
      <c r="BH552" s="35">
        <f t="shared" si="1620"/>
        <v>0</v>
      </c>
      <c r="BK552" s="2" t="b">
        <f>H552='2021'!BH552</f>
        <v>1</v>
      </c>
    </row>
    <row r="553" ht="15.75" customHeight="1" spans="1:63" x14ac:dyDescent="0.25">
      <c r="A553" s="2">
        <v>61</v>
      </c>
      <c r="B553" s="14"/>
      <c r="D553" s="14" t="s">
        <v>51</v>
      </c>
      <c r="E553" s="2" t="s">
        <v>39</v>
      </c>
      <c r="F553" s="41">
        <v>500</v>
      </c>
      <c r="G553" s="28"/>
      <c r="H553" s="34">
        <f>'2021'!BH553</f>
        <v>0</v>
      </c>
      <c r="I553" s="13"/>
      <c r="J553" s="15"/>
      <c r="K553" s="15"/>
      <c r="L553" s="28"/>
      <c r="M553" s="13"/>
      <c r="N553" s="15"/>
      <c r="Q553" s="13"/>
      <c r="R553" s="15"/>
      <c r="S553" s="15"/>
      <c r="T553" s="28"/>
      <c r="U553" s="13"/>
      <c r="V553" s="15"/>
      <c r="Y553" s="13"/>
      <c r="Z553" s="2"/>
      <c r="AA553" s="15"/>
      <c r="AB553" s="28"/>
      <c r="AC553" s="348"/>
      <c r="AD553" s="15"/>
      <c r="AE553" s="180">
        <f>$F$13</f>
        <v>1000</v>
      </c>
      <c r="AF553" s="365">
        <v>1000</v>
      </c>
      <c r="AG553" s="15"/>
      <c r="AH553" s="2"/>
      <c r="AI553" s="45"/>
      <c r="AJ553" s="180"/>
      <c r="AK553" s="15"/>
      <c r="AL553" s="15"/>
      <c r="AM553" s="45"/>
      <c r="AN553" s="15"/>
      <c r="AO553" s="13"/>
      <c r="AP553" s="15"/>
      <c r="AQ553" s="180"/>
      <c r="AR553" s="15"/>
      <c r="AS553" s="13"/>
      <c r="AT553" s="15"/>
      <c r="AU553" s="45"/>
      <c r="AV553" s="15"/>
      <c r="AW553" s="13"/>
      <c r="AX553" s="15"/>
      <c r="AY553" s="45"/>
      <c r="AZ553" s="28"/>
      <c r="BA553" s="13"/>
      <c r="BB553" s="15"/>
      <c r="BC553" s="45"/>
      <c r="BD553" s="28"/>
      <c r="BE553" s="14"/>
      <c r="BF553" s="41">
        <f t="shared" ref="BF553:BG553" si="1630">K553+O553+S553+W553+AA553+AE553+AI553+AM553+AQ553+AU553+AY553+BC553</f>
        <v>1000</v>
      </c>
      <c r="BG553" s="34">
        <f t="shared" si="1630"/>
        <v>1000</v>
      </c>
      <c r="BH553" s="35">
        <f t="shared" si="1620"/>
        <v>0</v>
      </c>
      <c r="BK553" s="2" t="b">
        <f>H553='2021'!BH553</f>
        <v>1</v>
      </c>
    </row>
    <row r="554" ht="15.75" customHeight="1" spans="1:63" x14ac:dyDescent="0.25">
      <c r="A554" s="2">
        <v>61</v>
      </c>
      <c r="B554" s="14"/>
      <c r="D554" s="14" t="s">
        <v>51</v>
      </c>
      <c r="E554" s="2" t="s">
        <v>49</v>
      </c>
      <c r="F554" s="41">
        <v>500</v>
      </c>
      <c r="G554" s="28"/>
      <c r="H554" s="34">
        <f>'2021'!BH554</f>
        <v>0</v>
      </c>
      <c r="I554" s="13"/>
      <c r="J554" s="15"/>
      <c r="K554" s="15"/>
      <c r="L554" s="28"/>
      <c r="M554" s="13"/>
      <c r="N554" s="15"/>
      <c r="Q554" s="13"/>
      <c r="R554" s="15"/>
      <c r="S554" s="15"/>
      <c r="T554" s="28"/>
      <c r="U554" s="13"/>
      <c r="V554" s="15"/>
      <c r="Y554" s="13"/>
      <c r="Z554" s="2"/>
      <c r="AA554" s="15"/>
      <c r="AB554" s="28"/>
      <c r="AC554" s="348"/>
      <c r="AD554" s="15"/>
      <c r="AE554" s="34"/>
      <c r="AF554" s="154"/>
      <c r="AG554" s="15"/>
      <c r="AH554" s="2"/>
      <c r="AI554" s="45"/>
      <c r="AJ554" s="180"/>
      <c r="AK554" s="15"/>
      <c r="AL554" s="15"/>
      <c r="AM554" s="45"/>
      <c r="AN554" s="15"/>
      <c r="AO554" s="13"/>
      <c r="AP554" s="15"/>
      <c r="AQ554" s="180">
        <f>B549*$F$14</f>
        <v>0</v>
      </c>
      <c r="AR554" s="15"/>
      <c r="AS554" s="13"/>
      <c r="AT554" s="15"/>
      <c r="AU554" s="45"/>
      <c r="AV554" s="15"/>
      <c r="AW554" s="13"/>
      <c r="AX554" s="15"/>
      <c r="AY554" s="45"/>
      <c r="AZ554" s="28"/>
      <c r="BA554" s="13"/>
      <c r="BB554" s="15"/>
      <c r="BC554" s="45"/>
      <c r="BD554" s="28"/>
      <c r="BE554" s="14"/>
      <c r="BF554" s="41">
        <f t="shared" ref="BF554:BG554" si="1631">K554+O554+S554+W554+AA554+AE554+AI554+AM554+AQ554+AU554+AY554+BC554</f>
        <v>0</v>
      </c>
      <c r="BG554" s="34">
        <f t="shared" si="1631"/>
        <v>0</v>
      </c>
      <c r="BH554" s="35">
        <f t="shared" si="1620"/>
        <v>0</v>
      </c>
      <c r="BK554" s="2" t="b">
        <f>H554='2021'!BH554</f>
        <v>1</v>
      </c>
    </row>
    <row r="555" ht="15.75" customHeight="1" spans="1:63" x14ac:dyDescent="0.25">
      <c r="A555" s="2">
        <v>61</v>
      </c>
      <c r="B555" s="14"/>
      <c r="D555" s="14" t="s">
        <v>52</v>
      </c>
      <c r="E555" s="2" t="s">
        <v>39</v>
      </c>
      <c r="F555" s="41">
        <v>500</v>
      </c>
      <c r="G555" s="28"/>
      <c r="H555" s="34">
        <f>'2021'!BH555</f>
        <v>0</v>
      </c>
      <c r="I555" s="13"/>
      <c r="J555" s="15"/>
      <c r="K555" s="15"/>
      <c r="L555" s="28"/>
      <c r="M555" s="13"/>
      <c r="N555" s="15"/>
      <c r="Q555" s="13"/>
      <c r="R555" s="15"/>
      <c r="S555" s="15"/>
      <c r="T555" s="28"/>
      <c r="U555" s="13"/>
      <c r="V555" s="15"/>
      <c r="Y555" s="13"/>
      <c r="Z555" s="2"/>
      <c r="AA555" s="34">
        <f>$F$15</f>
      </c>
      <c r="AB555" s="28"/>
      <c r="AC555" s="348"/>
      <c r="AD555" s="15"/>
      <c r="AF555" s="180"/>
      <c r="AG555" s="15"/>
      <c r="AH555" s="2"/>
      <c r="AI555" s="45"/>
      <c r="AJ555" s="180"/>
      <c r="AK555" s="15"/>
      <c r="AL555" s="15"/>
      <c r="AM555" s="45"/>
      <c r="AN555" s="15"/>
      <c r="AO555" s="13"/>
      <c r="AP555" s="15"/>
      <c r="AQ555" s="45"/>
      <c r="AR555" s="15"/>
      <c r="AS555" s="13"/>
      <c r="AT555" s="15"/>
      <c r="AU555" s="45"/>
      <c r="AV555" s="15"/>
      <c r="AW555" s="13"/>
      <c r="AX555" s="15"/>
      <c r="AY555" s="45"/>
      <c r="AZ555" s="35"/>
      <c r="BA555" s="13"/>
      <c r="BB555" s="15"/>
      <c r="BC555" s="45"/>
      <c r="BD555" s="35"/>
      <c r="BE555" s="14"/>
      <c r="BF555" s="41">
        <f t="shared" ref="BF555:BG555" si="1632">K555+O555+S555+W555+AA555+AE555+AI555+AM555+AQ555+AU555+AY555+BC555</f>
        <v>0</v>
      </c>
      <c r="BG555" s="34">
        <f t="shared" si="1632"/>
        <v>0</v>
      </c>
      <c r="BH555" s="35">
        <f t="shared" si="1620"/>
        <v>0</v>
      </c>
      <c r="BK555" s="2" t="b">
        <f>H555='2021'!BH555</f>
        <v>1</v>
      </c>
    </row>
    <row r="556" ht="15.75" customHeight="1" spans="1:63" x14ac:dyDescent="0.25">
      <c r="A556" s="247">
        <v>61</v>
      </c>
      <c r="B556" s="21"/>
      <c r="C556" s="22" t="s">
        <v>53</v>
      </c>
      <c r="D556" s="21"/>
      <c r="E556" s="22"/>
      <c r="F556" s="20"/>
      <c r="G556" s="23"/>
      <c r="H556" s="51">
        <f>SUM(H548:H555)</f>
        <v>42.15</v>
      </c>
      <c r="I556" s="52"/>
      <c r="J556" s="53"/>
      <c r="K556" s="51">
        <f t="shared" ref="K556:L556" si="1633">SUM(K548:K555)</f>
        <v>0</v>
      </c>
      <c r="L556" s="68">
        <f t="shared" si="1633"/>
        <v>0</v>
      </c>
      <c r="M556" s="52"/>
      <c r="N556" s="53"/>
      <c r="O556" s="51">
        <f t="shared" ref="O556:P556" si="1634">SUM(O548:O555)</f>
        <v>0</v>
      </c>
      <c r="P556" s="51">
        <f t="shared" si="1634"/>
        <v>0</v>
      </c>
      <c r="Q556" s="52"/>
      <c r="R556" s="53"/>
      <c r="S556" s="51">
        <f t="shared" ref="S556:T556" si="1635">SUM(S548:S555)</f>
        <v>0</v>
      </c>
      <c r="T556" s="51">
        <f t="shared" si="1635"/>
        <v>0</v>
      </c>
      <c r="U556" s="52"/>
      <c r="V556" s="53"/>
      <c r="W556" s="51">
        <f t="shared" ref="W556:X556" si="1636">SUM(W548:W555)</f>
        <v>0</v>
      </c>
      <c r="X556" s="51">
        <f t="shared" si="1636"/>
        <v>0</v>
      </c>
      <c r="Y556" s="52"/>
      <c r="Z556" s="301"/>
      <c r="AA556" s="51">
        <f t="shared" ref="AA556:AB556" si="1637">SUM(AA548:AA555)</f>
        <v>201.45</v>
      </c>
      <c r="AB556" s="51">
        <f t="shared" si="1637"/>
        <v>0</v>
      </c>
      <c r="AC556" s="367"/>
      <c r="AD556" s="53"/>
      <c r="AE556" s="51">
        <f t="shared" ref="AE556:AF556" si="1638">SUM(AE548:AE555)</f>
        <v>7516.95</v>
      </c>
      <c r="AF556" s="51">
        <f t="shared" si="1638"/>
        <v>7590.45</v>
      </c>
      <c r="AG556" s="52"/>
      <c r="AH556" s="301"/>
      <c r="AI556" s="183">
        <f t="shared" ref="AI556:AJ556" si="1639">SUM(AI548:AI555)</f>
        <v>127.29024</v>
      </c>
      <c r="AJ556" s="51">
        <f t="shared" si="1639"/>
        <v>0</v>
      </c>
      <c r="AK556" s="52"/>
      <c r="AL556" s="53"/>
      <c r="AM556" s="183">
        <f t="shared" ref="AM556:AN556" si="1640">SUM(AM548:AM555)</f>
        <v>467.67504</v>
      </c>
      <c r="AN556" s="51">
        <f t="shared" si="1640"/>
        <v>765.07</v>
      </c>
      <c r="AO556" s="52"/>
      <c r="AP556" s="53"/>
      <c r="AQ556" s="183">
        <f t="shared" ref="AQ556:AR556" si="1641">SUM(AQ548:AQ555)</f>
        <v>48.28242</v>
      </c>
      <c r="AR556" s="51">
        <f t="shared" si="1641"/>
        <v>0</v>
      </c>
      <c r="AS556" s="52"/>
      <c r="AT556" s="53"/>
      <c r="AU556" s="183">
        <f t="shared" ref="AU556:AV556" si="1642">SUM(AU548:AU555)</f>
        <v>20.664</v>
      </c>
      <c r="AV556" s="68">
        <f t="shared" si="1642"/>
        <v>0</v>
      </c>
      <c r="AW556" s="52"/>
      <c r="AX556" s="53"/>
      <c r="AY556" s="183">
        <f t="shared" ref="AY556:AZ556" si="1643">SUM(AY548:AY555)</f>
        <v>0</v>
      </c>
      <c r="AZ556" s="68">
        <f t="shared" si="1643"/>
        <v>0</v>
      </c>
      <c r="BA556" s="52"/>
      <c r="BB556" s="53"/>
      <c r="BC556" s="183">
        <f t="shared" ref="BC556:BD556" si="1644">SUM(BC548:BC555)</f>
        <v>0</v>
      </c>
      <c r="BD556" s="68">
        <f t="shared" si="1644"/>
        <v>0</v>
      </c>
      <c r="BE556" s="69"/>
      <c r="BF556" s="70">
        <f t="shared" ref="BF556:BH556" si="1645">SUM(BF548:BF555)</f>
        <v>8382.3117</v>
      </c>
      <c r="BG556" s="71">
        <f t="shared" si="1645"/>
        <v>8355.52</v>
      </c>
      <c r="BH556" s="72">
        <f t="shared" si="1645"/>
        <v>68.9417</v>
      </c>
      <c r="BI556" s="34">
        <f>H556+BF556-BG556</f>
        <v>68.9417</v>
      </c>
      <c r="BJ556" s="34">
        <f>BH556-BI556</f>
        <v>0</v>
      </c>
      <c r="BK556" s="2" t="b">
        <f>H556='2021'!BH556</f>
        <v>1</v>
      </c>
    </row>
    <row r="557" ht="15.75" customHeight="1" spans="1:63" x14ac:dyDescent="0.25">
      <c r="A557" s="2">
        <v>62</v>
      </c>
      <c r="B557" s="14"/>
      <c r="D557" s="14" t="s">
        <v>379</v>
      </c>
      <c r="F557" s="13"/>
      <c r="G557" s="28"/>
      <c r="H557" s="34">
        <f>'2021'!BH557</f>
        <v>0</v>
      </c>
      <c r="I557" s="13"/>
      <c r="J557" s="15"/>
      <c r="K557" s="15"/>
      <c r="L557" s="28"/>
      <c r="M557" s="13"/>
      <c r="N557" s="15"/>
      <c r="Q557" s="13"/>
      <c r="R557" s="15"/>
      <c r="S557" s="15"/>
      <c r="T557" s="28"/>
      <c r="U557" s="13"/>
      <c r="V557" s="15"/>
      <c r="Y557" s="13"/>
      <c r="Z557" s="2"/>
      <c r="AA557" s="15"/>
      <c r="AB557" s="28"/>
      <c r="AC557" s="348"/>
      <c r="AD557" s="15"/>
      <c r="AG557" s="15"/>
      <c r="AH557" s="2"/>
      <c r="AI557" s="45"/>
      <c r="AJ557" s="15"/>
      <c r="AK557" s="15"/>
      <c r="AM557" s="45"/>
      <c r="AO557" s="13"/>
      <c r="AQ557" s="45"/>
      <c r="AS557" s="13"/>
      <c r="AU557" s="45"/>
      <c r="AW557" s="13"/>
      <c r="AY557" s="45"/>
      <c r="AZ557" s="28"/>
      <c r="BA557" s="13"/>
      <c r="BB557" s="15"/>
      <c r="BC557" s="45"/>
      <c r="BD557" s="28"/>
      <c r="BE557" s="14"/>
      <c r="BF557" s="41">
        <f t="shared" ref="BF557:BG557" si="1646">K557+O557+S557+W557+AA557+AE557+AI557+AM557+AQ557+AU557+AY557+BC557</f>
        <v>0</v>
      </c>
      <c r="BG557" s="34">
        <f t="shared" si="1646"/>
        <v>0</v>
      </c>
      <c r="BH557" s="35">
        <f t="shared" ref="BH557:BH564" si="1647">H557+BF557-BG557</f>
        <v>0</v>
      </c>
      <c r="BK557" s="2" t="b">
        <f>H557='2021'!BH557</f>
        <v>1</v>
      </c>
    </row>
    <row r="558" ht="15.75" customHeight="1" spans="1:63" x14ac:dyDescent="0.25">
      <c r="A558" s="2">
        <v>62</v>
      </c>
      <c r="B558" s="42">
        <v>4.6</v>
      </c>
      <c r="C558" s="15" t="s">
        <v>236</v>
      </c>
      <c r="D558" s="14" t="s">
        <v>44</v>
      </c>
      <c r="E558" s="2" t="s">
        <v>45</v>
      </c>
      <c r="F558" s="41">
        <v>2.5</v>
      </c>
      <c r="G558" s="35">
        <v>2.6</v>
      </c>
      <c r="H558" s="34">
        <f>'2021'!BH558</f>
        <v>-107.2</v>
      </c>
      <c r="I558" s="13">
        <v>479</v>
      </c>
      <c r="J558" s="15">
        <f>I558-'2021'!BA558</f>
        <v>0</v>
      </c>
      <c r="K558" s="34">
        <f>J558*$F$8</f>
        <v>0</v>
      </c>
      <c r="L558" s="28"/>
      <c r="M558" s="13">
        <v>479</v>
      </c>
      <c r="N558" s="15">
        <f t="shared" ref="N558:N559" si="1648">M558-I558</f>
        <v>0</v>
      </c>
      <c r="O558" s="34">
        <f>N558*$F$8</f>
        <v>0</v>
      </c>
      <c r="Q558" s="13">
        <v>479</v>
      </c>
      <c r="R558" s="15">
        <f t="shared" ref="R558:R559" si="1649">Q558-M558</f>
        <v>0</v>
      </c>
      <c r="S558" s="34">
        <f>R558*$F$8</f>
        <v>0</v>
      </c>
      <c r="T558" s="28"/>
      <c r="U558" s="13">
        <v>479</v>
      </c>
      <c r="V558" s="15">
        <f t="shared" ref="V558:V559" si="1650">U558-Q558</f>
        <v>0</v>
      </c>
      <c r="W558" s="34">
        <f>V558*$F$8</f>
        <v>0</v>
      </c>
      <c r="X558" s="15"/>
      <c r="Y558" s="13">
        <v>479</v>
      </c>
      <c r="Z558" s="2">
        <f t="shared" ref="Z558:Z559" si="1651">Y558-U558</f>
        <v>0</v>
      </c>
      <c r="AA558" s="34">
        <f>Z558*$F$8</f>
        <v>0</v>
      </c>
      <c r="AB558" s="28"/>
      <c r="AC558" s="348">
        <v>479</v>
      </c>
      <c r="AD558" s="15">
        <f t="shared" ref="AD558:AD559" si="1652">AC558-Y558</f>
        <v>0</v>
      </c>
      <c r="AE558" s="180">
        <f>AD558*$F$8</f>
        <v>0</v>
      </c>
      <c r="AF558" s="180"/>
      <c r="AG558" s="15">
        <v>479</v>
      </c>
      <c r="AH558" s="2">
        <f>(AG558-AC558)*AH5</f>
        <v>0</v>
      </c>
      <c r="AI558" s="45">
        <f>AH558*$G$8</f>
        <v>0</v>
      </c>
      <c r="AJ558" s="180"/>
      <c r="AK558" s="15">
        <v>2</v>
      </c>
      <c r="AL558" s="15">
        <f>2*AL5</f>
        <v>2.056</v>
      </c>
      <c r="AM558" s="45">
        <f>AL558*$G$8</f>
        <v>5.05776</v>
      </c>
      <c r="AN558" s="154"/>
      <c r="AO558" s="13">
        <v>4</v>
      </c>
      <c r="AP558" s="15">
        <f>2*AP5</f>
        <v>2.066</v>
      </c>
      <c r="AQ558" s="45">
        <f>AP558*$G$8</f>
        <v>5.08236</v>
      </c>
      <c r="AR558" s="15"/>
      <c r="AS558" s="13">
        <v>5</v>
      </c>
      <c r="AT558" s="15">
        <f>2*AT5</f>
        <v>2.1</v>
      </c>
      <c r="AU558" s="45">
        <f>AT558*$G$8</f>
        <v>5.166</v>
      </c>
      <c r="AV558" s="15"/>
      <c r="AW558" s="13"/>
      <c r="AX558" s="15">
        <f>2*AX5</f>
        <v>0</v>
      </c>
      <c r="AY558" s="45">
        <f>AX558*$G$8</f>
        <v>0</v>
      </c>
      <c r="AZ558" s="208"/>
      <c r="BA558" s="13"/>
      <c r="BB558" s="15"/>
      <c r="BC558" s="45">
        <f>BB558*$G$8</f>
        <v>0</v>
      </c>
      <c r="BD558" s="208"/>
      <c r="BE558" s="40">
        <f t="shared" ref="BE558:BG558" si="1653">J558+N558+R558+V558+Z558+AD558+AH558+AL558+AP558+AT558+AX558+BB558</f>
        <v>6.222</v>
      </c>
      <c r="BF558" s="41">
        <f t="shared" si="1653"/>
        <v>15.30612</v>
      </c>
      <c r="BG558" s="34">
        <f t="shared" si="1653"/>
        <v>0</v>
      </c>
      <c r="BH558" s="35">
        <f t="shared" si="1647"/>
        <v>-91.89388</v>
      </c>
      <c r="BK558" s="2" t="b">
        <f>H558='2021'!BH558</f>
        <v>1</v>
      </c>
    </row>
    <row r="559" ht="15.75" customHeight="1" spans="1:63" x14ac:dyDescent="0.25">
      <c r="A559" s="2">
        <v>62</v>
      </c>
      <c r="B559" s="14"/>
      <c r="C559" s="15" t="s">
        <v>79</v>
      </c>
      <c r="D559" s="14" t="s">
        <v>47</v>
      </c>
      <c r="E559" s="2" t="s">
        <v>48</v>
      </c>
      <c r="F559" s="13">
        <v>18.56</v>
      </c>
      <c r="G559" s="35">
        <v>19.46</v>
      </c>
      <c r="H559" s="34">
        <f>'2021'!BH559</f>
        <v>-5.7</v>
      </c>
      <c r="I559" s="13">
        <v>194</v>
      </c>
      <c r="J559" s="15"/>
      <c r="K559" s="15"/>
      <c r="L559" s="28"/>
      <c r="M559" s="13">
        <v>194</v>
      </c>
      <c r="N559" s="15">
        <f t="shared" si="1648"/>
        <v>0</v>
      </c>
      <c r="Q559" s="13">
        <v>194</v>
      </c>
      <c r="R559" s="15">
        <f t="shared" si="1649"/>
        <v>0</v>
      </c>
      <c r="S559" s="15"/>
      <c r="T559" s="28"/>
      <c r="U559" s="13">
        <v>194</v>
      </c>
      <c r="V559" s="15">
        <f t="shared" si="1650"/>
        <v>0</v>
      </c>
      <c r="W559" s="34">
        <f>V559*$F$10</f>
        <v>0</v>
      </c>
      <c r="Y559" s="13">
        <v>207</v>
      </c>
      <c r="Z559" s="2">
        <f t="shared" si="1651"/>
        <v>13</v>
      </c>
      <c r="AA559" s="34">
        <f>Z559*$F$10</f>
        <v>264.55</v>
      </c>
      <c r="AB559" s="28"/>
      <c r="AC559" s="348">
        <v>210</v>
      </c>
      <c r="AD559" s="15">
        <f t="shared" si="1652"/>
        <v>3</v>
      </c>
      <c r="AE559" s="34">
        <f>AD559*$F$10</f>
        <v>61.05</v>
      </c>
      <c r="AF559" s="2"/>
      <c r="AG559" s="15">
        <v>211</v>
      </c>
      <c r="AH559" s="2">
        <f>AG559-AC559</f>
        <v>1</v>
      </c>
      <c r="AI559" s="45">
        <f>AH559*$G$10</f>
        <v>21.4</v>
      </c>
      <c r="AJ559" s="180"/>
      <c r="AK559" s="15">
        <v>211</v>
      </c>
      <c r="AL559" s="15">
        <f>AK559-AG559</f>
        <v>0</v>
      </c>
      <c r="AM559" s="45">
        <f>AL559*$G$10</f>
        <v>0</v>
      </c>
      <c r="AN559" s="154">
        <v>500</v>
      </c>
      <c r="AO559" s="13">
        <v>220</v>
      </c>
      <c r="AP559" s="15">
        <f>AO559-AK559</f>
        <v>9</v>
      </c>
      <c r="AQ559" s="45">
        <f>AP559*$G$10</f>
        <v>192.6</v>
      </c>
      <c r="AR559" s="15"/>
      <c r="AS559" s="13">
        <v>220</v>
      </c>
      <c r="AT559" s="15">
        <f>AS559-AO559</f>
        <v>0</v>
      </c>
      <c r="AU559" s="45">
        <f>AT559*$G$10</f>
        <v>0</v>
      </c>
      <c r="AV559" s="15"/>
      <c r="AW559" s="13"/>
      <c r="AX559" s="15">
        <f>AW559-AS559</f>
        <v>-220</v>
      </c>
      <c r="AY559" s="45"/>
      <c r="AZ559" s="208"/>
      <c r="BA559" s="13"/>
      <c r="BB559" s="15"/>
      <c r="BC559" s="45"/>
      <c r="BD559" s="208"/>
      <c r="BE559" s="40">
        <f t="shared" ref="BE559:BG559" si="1654">J559+N559+R559+V559+Z559+AD559+AH559+AL559+AP559+AT559+AX559+BB559</f>
        <v>-194</v>
      </c>
      <c r="BF559" s="41">
        <f t="shared" si="1654"/>
        <v>539.6</v>
      </c>
      <c r="BG559" s="34">
        <f t="shared" si="1654"/>
        <v>500</v>
      </c>
      <c r="BH559" s="35">
        <f t="shared" si="1647"/>
        <v>33.9</v>
      </c>
      <c r="BK559" s="2" t="b">
        <f>H559='2021'!BH559</f>
        <v>1</v>
      </c>
    </row>
    <row r="560" ht="15.75" customHeight="1" spans="1:63" x14ac:dyDescent="0.25">
      <c r="A560" s="2">
        <v>62</v>
      </c>
      <c r="B560" s="14"/>
      <c r="C560" s="15" t="s">
        <v>84</v>
      </c>
      <c r="D560" s="14" t="s">
        <v>47</v>
      </c>
      <c r="E560" s="2" t="s">
        <v>49</v>
      </c>
      <c r="F560" s="41">
        <v>500</v>
      </c>
      <c r="G560" s="28"/>
      <c r="H560" s="34">
        <f>'2021'!BH560</f>
        <v>0</v>
      </c>
      <c r="I560" s="13"/>
      <c r="J560" s="15"/>
      <c r="K560" s="15"/>
      <c r="L560" s="28"/>
      <c r="M560" s="13"/>
      <c r="N560" s="15"/>
      <c r="Q560" s="13"/>
      <c r="R560" s="15"/>
      <c r="S560" s="15"/>
      <c r="T560" s="28"/>
      <c r="U560" s="13"/>
      <c r="V560" s="15"/>
      <c r="Y560" s="13"/>
      <c r="Z560" s="2"/>
      <c r="AA560" s="15"/>
      <c r="AB560" s="28"/>
      <c r="AC560" s="348"/>
      <c r="AD560" s="15"/>
      <c r="AG560" s="15"/>
      <c r="AH560" s="2"/>
      <c r="AI560" s="45"/>
      <c r="AJ560" s="15"/>
      <c r="AK560" s="15"/>
      <c r="AL560" s="15"/>
      <c r="AM560" s="45"/>
      <c r="AN560" s="154"/>
      <c r="AO560" s="13"/>
      <c r="AP560" s="15"/>
      <c r="AQ560" s="45"/>
      <c r="AR560" s="15"/>
      <c r="AS560" s="13"/>
      <c r="AT560" s="15"/>
      <c r="AU560" s="45"/>
      <c r="AV560" s="15"/>
      <c r="AW560" s="13"/>
      <c r="AX560" s="15"/>
      <c r="AY560" s="45"/>
      <c r="AZ560" s="28"/>
      <c r="BA560" s="13"/>
      <c r="BB560" s="15"/>
      <c r="BC560" s="45"/>
      <c r="BD560" s="28"/>
      <c r="BE560" s="14"/>
      <c r="BF560" s="41">
        <f t="shared" ref="BF560:BG560" si="1655">K560+O560+S560+W560+AA560+AE560+AI560+AM560+AQ560+AU560+AY560+BC560</f>
        <v>0</v>
      </c>
      <c r="BG560" s="34">
        <f t="shared" si="1655"/>
        <v>0</v>
      </c>
      <c r="BH560" s="35">
        <f t="shared" si="1647"/>
        <v>0</v>
      </c>
      <c r="BK560" s="2" t="b">
        <f>H560='2021'!BH560</f>
        <v>1</v>
      </c>
    </row>
    <row r="561" ht="15.75" customHeight="1" spans="1:63" x14ac:dyDescent="0.25">
      <c r="A561" s="2">
        <v>62</v>
      </c>
      <c r="B561" s="14"/>
      <c r="C561" s="15" t="s">
        <v>428</v>
      </c>
      <c r="D561" s="14" t="s">
        <v>50</v>
      </c>
      <c r="E561" s="2" t="s">
        <v>49</v>
      </c>
      <c r="F561" s="41">
        <v>1100</v>
      </c>
      <c r="G561" s="28"/>
      <c r="H561" s="34">
        <f>'2021'!BH561</f>
        <v>0</v>
      </c>
      <c r="I561" s="13"/>
      <c r="J561" s="15"/>
      <c r="K561" s="15"/>
      <c r="L561" s="28"/>
      <c r="M561" s="13"/>
      <c r="N561" s="15"/>
      <c r="Q561" s="13"/>
      <c r="R561" s="15"/>
      <c r="S561" s="15"/>
      <c r="T561" s="28"/>
      <c r="U561" s="13"/>
      <c r="V561" s="15"/>
      <c r="Y561" s="13"/>
      <c r="Z561" s="2"/>
      <c r="AA561" s="15"/>
      <c r="AB561" s="28"/>
      <c r="AC561" s="348"/>
      <c r="AD561" s="15"/>
      <c r="AE561" s="34">
        <f>B558*$F$12</f>
        <v>5980</v>
      </c>
      <c r="AF561" s="180"/>
      <c r="AG561" s="15"/>
      <c r="AH561" s="2"/>
      <c r="AI561" s="45"/>
      <c r="AJ561" s="180"/>
      <c r="AK561" s="15"/>
      <c r="AL561" s="15"/>
      <c r="AM561" s="45"/>
      <c r="AN561" s="154">
        <v>5980</v>
      </c>
      <c r="AO561" s="13"/>
      <c r="AP561" s="15"/>
      <c r="AQ561" s="45"/>
      <c r="AR561" s="15"/>
      <c r="AS561" s="13"/>
      <c r="AT561" s="15"/>
      <c r="AU561" s="45"/>
      <c r="AV561" s="15"/>
      <c r="AW561" s="13"/>
      <c r="AX561" s="15"/>
      <c r="AY561" s="45"/>
      <c r="AZ561" s="28"/>
      <c r="BA561" s="13"/>
      <c r="BB561" s="15"/>
      <c r="BC561" s="45"/>
      <c r="BD561" s="28"/>
      <c r="BE561" s="14"/>
      <c r="BF561" s="41">
        <f t="shared" ref="BF561:BG561" si="1656">K561+O561+S561+W561+AA561+AE561+AI561+AM561+AQ561+AU561+AY561+BC561</f>
        <v>5980</v>
      </c>
      <c r="BG561" s="34">
        <f t="shared" si="1656"/>
        <v>5980</v>
      </c>
      <c r="BH561" s="35">
        <f t="shared" si="1647"/>
        <v>0</v>
      </c>
      <c r="BK561" s="2" t="b">
        <f>H561='2021'!BH561</f>
        <v>1</v>
      </c>
    </row>
    <row r="562" ht="15.75" customHeight="1" spans="1:63" x14ac:dyDescent="0.25">
      <c r="A562" s="2">
        <v>62</v>
      </c>
      <c r="B562" s="14"/>
      <c r="C562" s="15"/>
      <c r="D562" s="14" t="s">
        <v>51</v>
      </c>
      <c r="E562" s="2" t="s">
        <v>39</v>
      </c>
      <c r="F562" s="41">
        <v>500</v>
      </c>
      <c r="G562" s="28"/>
      <c r="H562" s="34">
        <f>'2021'!BH562</f>
        <v>0</v>
      </c>
      <c r="I562" s="13"/>
      <c r="J562" s="15"/>
      <c r="K562" s="15"/>
      <c r="L562" s="28"/>
      <c r="M562" s="13"/>
      <c r="N562" s="15"/>
      <c r="Q562" s="13"/>
      <c r="R562" s="15"/>
      <c r="S562" s="15"/>
      <c r="T562" s="28"/>
      <c r="U562" s="13"/>
      <c r="V562" s="15"/>
      <c r="Y562" s="13"/>
      <c r="Z562" s="2"/>
      <c r="AA562" s="15"/>
      <c r="AB562" s="28"/>
      <c r="AC562" s="348"/>
      <c r="AD562" s="15"/>
      <c r="AE562" s="180">
        <f>$F$13</f>
        <v>1000</v>
      </c>
      <c r="AF562" s="34"/>
      <c r="AG562" s="15"/>
      <c r="AH562" s="2"/>
      <c r="AI562" s="45"/>
      <c r="AJ562" s="15"/>
      <c r="AK562" s="15"/>
      <c r="AL562" s="15"/>
      <c r="AM562" s="45"/>
      <c r="AN562" s="154">
        <v>1000</v>
      </c>
      <c r="AO562" s="13"/>
      <c r="AP562" s="15"/>
      <c r="AQ562" s="180"/>
      <c r="AR562" s="15"/>
      <c r="AS562" s="13"/>
      <c r="AT562" s="15"/>
      <c r="AU562" s="45"/>
      <c r="AV562" s="15"/>
      <c r="AW562" s="13"/>
      <c r="AX562" s="15"/>
      <c r="AY562" s="45"/>
      <c r="AZ562" s="28"/>
      <c r="BA562" s="13"/>
      <c r="BB562" s="15"/>
      <c r="BC562" s="45"/>
      <c r="BD562" s="28"/>
      <c r="BE562" s="14"/>
      <c r="BF562" s="41">
        <f t="shared" ref="BF562:BG562" si="1657">K562+O562+S562+W562+AA562+AE562+AI562+AM562+AQ562+AU562+AY562+BC562</f>
        <v>1000</v>
      </c>
      <c r="BG562" s="34">
        <f t="shared" si="1657"/>
        <v>1000</v>
      </c>
      <c r="BH562" s="35">
        <f t="shared" si="1647"/>
        <v>0</v>
      </c>
      <c r="BK562" s="2" t="b">
        <f>H562='2021'!BH562</f>
        <v>1</v>
      </c>
    </row>
    <row r="563" ht="15.75" customHeight="1" spans="1:63" x14ac:dyDescent="0.25">
      <c r="A563" s="2">
        <v>62</v>
      </c>
      <c r="B563" s="14"/>
      <c r="C563" s="15"/>
      <c r="D563" s="14" t="s">
        <v>51</v>
      </c>
      <c r="E563" s="2" t="s">
        <v>49</v>
      </c>
      <c r="F563" s="41">
        <v>500</v>
      </c>
      <c r="G563" s="28"/>
      <c r="H563" s="34">
        <f>'2021'!BH563</f>
        <v>0</v>
      </c>
      <c r="I563" s="13"/>
      <c r="J563" s="15"/>
      <c r="K563" s="15"/>
      <c r="L563" s="28"/>
      <c r="M563" s="13"/>
      <c r="N563" s="15"/>
      <c r="Q563" s="13"/>
      <c r="R563" s="15"/>
      <c r="S563" s="15"/>
      <c r="T563" s="28"/>
      <c r="U563" s="13"/>
      <c r="V563" s="15"/>
      <c r="Y563" s="13"/>
      <c r="Z563" s="2"/>
      <c r="AA563" s="15"/>
      <c r="AB563" s="28"/>
      <c r="AC563" s="348"/>
      <c r="AD563" s="15"/>
      <c r="AE563" s="34"/>
      <c r="AF563" s="34"/>
      <c r="AG563" s="15"/>
      <c r="AH563" s="2"/>
      <c r="AI563" s="45"/>
      <c r="AJ563" s="15"/>
      <c r="AK563" s="15"/>
      <c r="AL563" s="15"/>
      <c r="AM563" s="45"/>
      <c r="AN563" s="154"/>
      <c r="AO563" s="13"/>
      <c r="AP563" s="15"/>
      <c r="AQ563" s="180">
        <f>B558*$F$14</f>
        <v>0</v>
      </c>
      <c r="AR563" s="15"/>
      <c r="AS563" s="13"/>
      <c r="AT563" s="15"/>
      <c r="AU563" s="45"/>
      <c r="AV563" s="15"/>
      <c r="AW563" s="13"/>
      <c r="AX563" s="15"/>
      <c r="AY563" s="45"/>
      <c r="AZ563" s="28"/>
      <c r="BA563" s="13"/>
      <c r="BB563" s="15"/>
      <c r="BC563" s="45"/>
      <c r="BD563" s="28"/>
      <c r="BE563" s="14"/>
      <c r="BF563" s="41">
        <f t="shared" ref="BF563:BG563" si="1658">K563+O563+S563+W563+AA563+AE563+AI563+AM563+AQ563+AU563+AY563+BC563</f>
        <v>0</v>
      </c>
      <c r="BG563" s="34">
        <f t="shared" si="1658"/>
        <v>0</v>
      </c>
      <c r="BH563" s="35">
        <f t="shared" si="1647"/>
        <v>0</v>
      </c>
      <c r="BK563" s="2" t="b">
        <f>H563='2021'!BH563</f>
        <v>1</v>
      </c>
    </row>
    <row r="564" ht="15.75" customHeight="1" spans="1:63" x14ac:dyDescent="0.25">
      <c r="A564" s="2">
        <v>62</v>
      </c>
      <c r="B564" s="14"/>
      <c r="C564" s="15"/>
      <c r="D564" s="14" t="s">
        <v>52</v>
      </c>
      <c r="E564" s="2" t="s">
        <v>39</v>
      </c>
      <c r="F564" s="41">
        <v>500</v>
      </c>
      <c r="G564" s="28"/>
      <c r="H564" s="34">
        <f>'2021'!BH564</f>
        <v>0</v>
      </c>
      <c r="I564" s="13"/>
      <c r="J564" s="15"/>
      <c r="K564" s="15"/>
      <c r="L564" s="28"/>
      <c r="M564" s="13"/>
      <c r="N564" s="15"/>
      <c r="Q564" s="13"/>
      <c r="R564" s="15"/>
      <c r="S564" s="15"/>
      <c r="T564" s="28"/>
      <c r="U564" s="13"/>
      <c r="V564" s="15"/>
      <c r="Y564" s="13"/>
      <c r="Z564" s="2"/>
      <c r="AA564" s="34">
        <f>$F$15</f>
      </c>
      <c r="AB564" s="35"/>
      <c r="AC564" s="348"/>
      <c r="AD564" s="15"/>
      <c r="AF564" s="34"/>
      <c r="AG564" s="15"/>
      <c r="AH564" s="2"/>
      <c r="AI564" s="45"/>
      <c r="AJ564" s="180"/>
      <c r="AK564" s="15"/>
      <c r="AL564" s="15"/>
      <c r="AM564" s="45"/>
      <c r="AN564" s="15"/>
      <c r="AO564" s="13"/>
      <c r="AP564" s="15"/>
      <c r="AQ564" s="45"/>
      <c r="AR564" s="15"/>
      <c r="AS564" s="13"/>
      <c r="AT564" s="15"/>
      <c r="AU564" s="45"/>
      <c r="AV564" s="15"/>
      <c r="AW564" s="13"/>
      <c r="AX564" s="15"/>
      <c r="AY564" s="45"/>
      <c r="AZ564" s="35"/>
      <c r="BA564" s="13"/>
      <c r="BB564" s="15"/>
      <c r="BC564" s="45"/>
      <c r="BD564" s="35"/>
      <c r="BE564" s="14"/>
      <c r="BF564" s="41">
        <f t="shared" ref="BF564:BG564" si="1659">K564+O564+S564+W564+AA564+AE564+AI564+AM564+AQ564+AU564+AY564+BC564</f>
        <v>0</v>
      </c>
      <c r="BG564" s="34">
        <f t="shared" si="1659"/>
        <v>0</v>
      </c>
      <c r="BH564" s="35">
        <f t="shared" si="1647"/>
        <v>0</v>
      </c>
      <c r="BK564" s="2" t="b">
        <f>H564='2021'!BH564</f>
        <v>1</v>
      </c>
    </row>
    <row r="565" ht="15.75" customHeight="1" spans="1:63" x14ac:dyDescent="0.25">
      <c r="A565" s="247">
        <v>62</v>
      </c>
      <c r="B565" s="21"/>
      <c r="C565" s="22" t="s">
        <v>53</v>
      </c>
      <c r="D565" s="21"/>
      <c r="E565" s="22"/>
      <c r="F565" s="20"/>
      <c r="G565" s="23"/>
      <c r="H565" s="51">
        <f>SUM(H557:H564)</f>
        <v>-112.9</v>
      </c>
      <c r="I565" s="52"/>
      <c r="J565" s="53"/>
      <c r="K565" s="51">
        <f t="shared" ref="K565:L565" si="1660">SUM(K557:K564)</f>
        <v>0</v>
      </c>
      <c r="L565" s="68">
        <f t="shared" si="1660"/>
        <v>0</v>
      </c>
      <c r="M565" s="52"/>
      <c r="N565" s="53"/>
      <c r="O565" s="51">
        <f t="shared" ref="O565:P565" si="1661">SUM(O557:O564)</f>
        <v>0</v>
      </c>
      <c r="P565" s="51">
        <f t="shared" si="1661"/>
        <v>0</v>
      </c>
      <c r="Q565" s="52"/>
      <c r="R565" s="53"/>
      <c r="S565" s="51">
        <f t="shared" ref="S565:T565" si="1662">SUM(S557:S564)</f>
        <v>0</v>
      </c>
      <c r="T565" s="51">
        <f t="shared" si="1662"/>
        <v>0</v>
      </c>
      <c r="U565" s="52"/>
      <c r="V565" s="53"/>
      <c r="W565" s="51">
        <f t="shared" ref="W565:X565" si="1663">SUM(W557:W564)</f>
        <v>0</v>
      </c>
      <c r="X565" s="51">
        <f t="shared" si="1663"/>
        <v>0</v>
      </c>
      <c r="Y565" s="52"/>
      <c r="Z565" s="301"/>
      <c r="AA565" s="51">
        <f t="shared" ref="AA565:AB565" si="1664">SUM(AA557:AA564)</f>
        <v>264.55</v>
      </c>
      <c r="AB565" s="51">
        <f t="shared" si="1664"/>
        <v>0</v>
      </c>
      <c r="AC565" s="367"/>
      <c r="AD565" s="53"/>
      <c r="AE565" s="51">
        <f t="shared" ref="AE565:AF565" si="1665">SUM(AE557:AE564)</f>
        <v>7041.05</v>
      </c>
      <c r="AF565" s="51">
        <f t="shared" si="1665"/>
        <v>0</v>
      </c>
      <c r="AG565" s="52"/>
      <c r="AH565" s="301"/>
      <c r="AI565" s="183">
        <f t="shared" ref="AI565:AJ565" si="1666">SUM(AI557:AI564)</f>
        <v>21.4</v>
      </c>
      <c r="AJ565" s="51">
        <f t="shared" si="1666"/>
        <v>0</v>
      </c>
      <c r="AK565" s="52"/>
      <c r="AL565" s="53"/>
      <c r="AM565" s="183">
        <f t="shared" ref="AM565:AN565" si="1667">SUM(AM557:AM564)</f>
        <v>5.05776</v>
      </c>
      <c r="AN565" s="51">
        <f t="shared" si="1667"/>
        <v>7480</v>
      </c>
      <c r="AO565" s="52"/>
      <c r="AP565" s="53"/>
      <c r="AQ565" s="183">
        <f t="shared" ref="AQ565:AR565" si="1668">SUM(AQ557:AQ564)</f>
        <v>197.68236</v>
      </c>
      <c r="AR565" s="51">
        <f t="shared" si="1668"/>
        <v>0</v>
      </c>
      <c r="AS565" s="52"/>
      <c r="AT565" s="53"/>
      <c r="AU565" s="183">
        <f t="shared" ref="AU565:AV565" si="1669">SUM(AU557:AU564)</f>
        <v>5.166</v>
      </c>
      <c r="AV565" s="68">
        <f t="shared" si="1669"/>
        <v>0</v>
      </c>
      <c r="AW565" s="52"/>
      <c r="AX565" s="53"/>
      <c r="AY565" s="183">
        <f t="shared" ref="AY565:AZ565" si="1670">SUM(AY557:AY564)</f>
        <v>0</v>
      </c>
      <c r="AZ565" s="68">
        <f t="shared" si="1670"/>
        <v>0</v>
      </c>
      <c r="BA565" s="52"/>
      <c r="BB565" s="53"/>
      <c r="BC565" s="183">
        <f t="shared" ref="BC565:BD565" si="1671">SUM(BC557:BC564)</f>
        <v>0</v>
      </c>
      <c r="BD565" s="68">
        <f t="shared" si="1671"/>
        <v>0</v>
      </c>
      <c r="BE565" s="69"/>
      <c r="BF565" s="70">
        <f t="shared" ref="BF565:BH565" si="1672">SUM(BF557:BF564)</f>
        <v>7534.90612</v>
      </c>
      <c r="BG565" s="71">
        <f t="shared" si="1672"/>
        <v>7480</v>
      </c>
      <c r="BH565" s="72">
        <f t="shared" si="1672"/>
        <v>-57.99388</v>
      </c>
      <c r="BI565" s="34">
        <f>H565+BF565-BG565</f>
        <v>-57.99388</v>
      </c>
      <c r="BJ565" s="34">
        <f>BH565-BI565</f>
        <v>0</v>
      </c>
      <c r="BK565" s="2" t="b">
        <f>H565='2021'!BH565</f>
        <v>1</v>
      </c>
    </row>
    <row r="566" ht="15.75" customHeight="1" spans="1:63" x14ac:dyDescent="0.25">
      <c r="A566" s="89" t="s">
        <v>237</v>
      </c>
      <c r="B566" s="14"/>
      <c r="D566" s="14" t="s">
        <v>379</v>
      </c>
      <c r="F566" s="13"/>
      <c r="G566" s="28"/>
      <c r="H566" s="34">
        <f>'2021'!BH566</f>
        <v>0</v>
      </c>
      <c r="I566" s="13"/>
      <c r="J566" s="15"/>
      <c r="K566" s="15"/>
      <c r="L566" s="28"/>
      <c r="M566" s="13"/>
      <c r="N566" s="15"/>
      <c r="Q566" s="13"/>
      <c r="R566" s="15"/>
      <c r="S566" s="15"/>
      <c r="T566" s="28"/>
      <c r="U566" s="13"/>
      <c r="V566" s="15"/>
      <c r="Y566" s="13"/>
      <c r="Z566" s="2"/>
      <c r="AA566" s="15"/>
      <c r="AB566" s="28"/>
      <c r="AC566" s="348"/>
      <c r="AD566" s="15"/>
      <c r="AG566" s="15"/>
      <c r="AH566" s="2"/>
      <c r="AI566" s="45"/>
      <c r="AJ566" s="80"/>
      <c r="AK566" s="15"/>
      <c r="AM566" s="45"/>
      <c r="AO566" s="13"/>
      <c r="AQ566" s="45"/>
      <c r="AS566" s="13"/>
      <c r="AU566" s="45"/>
      <c r="AW566" s="13"/>
      <c r="AY566" s="45"/>
      <c r="AZ566" s="28"/>
      <c r="BA566" s="13"/>
      <c r="BB566" s="15"/>
      <c r="BC566" s="45"/>
      <c r="BD566" s="28"/>
      <c r="BE566" s="14"/>
      <c r="BF566" s="41">
        <f t="shared" ref="BF566:BG566" si="1673">K566+O566+S566+W566+AA566+AE566+AI566+AM566+AQ566+AU566+AY566+BC566</f>
        <v>0</v>
      </c>
      <c r="BG566" s="34">
        <f t="shared" si="1673"/>
        <v>0</v>
      </c>
      <c r="BH566" s="35">
        <f t="shared" ref="BH566:BH573" si="1674">H566+BF566-BG566</f>
        <v>0</v>
      </c>
      <c r="BK566" s="2" t="b">
        <f>H566='2021'!BH566</f>
        <v>1</v>
      </c>
    </row>
    <row r="567" ht="15.75" customHeight="1" spans="1:63" x14ac:dyDescent="0.25">
      <c r="A567" s="89" t="s">
        <v>237</v>
      </c>
      <c r="B567" s="14">
        <v>4.01</v>
      </c>
      <c r="C567" s="15" t="s">
        <v>238</v>
      </c>
      <c r="D567" s="14" t="s">
        <v>44</v>
      </c>
      <c r="E567" s="2" t="s">
        <v>45</v>
      </c>
      <c r="F567" s="41">
        <v>2.5</v>
      </c>
      <c r="G567" s="35">
        <v>2.6</v>
      </c>
      <c r="H567" s="34">
        <f>'2021'!BH567</f>
        <v>25.5</v>
      </c>
      <c r="I567" s="13">
        <v>193</v>
      </c>
      <c r="J567" s="15">
        <f>I567-'2021'!BA567</f>
        <v>0</v>
      </c>
      <c r="K567" s="34">
        <f>J567*$F$8</f>
        <v>0</v>
      </c>
      <c r="L567" s="28"/>
      <c r="M567" s="13">
        <v>193</v>
      </c>
      <c r="N567" s="15">
        <f t="shared" ref="N567:N568" si="1675">M567-I567</f>
        <v>0</v>
      </c>
      <c r="O567" s="34">
        <f>N567*$F$8</f>
        <v>0</v>
      </c>
      <c r="Q567" s="13">
        <v>193</v>
      </c>
      <c r="R567" s="15">
        <f t="shared" ref="R567:R568" si="1676">Q567-M567</f>
        <v>0</v>
      </c>
      <c r="S567" s="34">
        <f>R567*$F$8</f>
        <v>0</v>
      </c>
      <c r="T567" s="28"/>
      <c r="U567" s="13">
        <v>193</v>
      </c>
      <c r="V567" s="15">
        <f t="shared" ref="V567:V568" si="1677">U567-Q567</f>
        <v>0</v>
      </c>
      <c r="W567" s="34">
        <f>V567*$F$8</f>
        <v>0</v>
      </c>
      <c r="Y567" s="13">
        <v>196</v>
      </c>
      <c r="Z567" s="2">
        <f t="shared" ref="Z567:Z568" si="1678">Y567-U567</f>
        <v>3</v>
      </c>
      <c r="AA567" s="34">
        <f>Z567*$F$8</f>
        <v>8.1</v>
      </c>
      <c r="AB567" s="28"/>
      <c r="AC567" s="348">
        <v>219</v>
      </c>
      <c r="AD567" s="2">
        <f t="shared" ref="AD567:AD568" si="1679">AC567-Y567</f>
        <v>23</v>
      </c>
      <c r="AE567" s="180">
        <f>AD567*$F$8</f>
        <v>62.1</v>
      </c>
      <c r="AF567" s="365">
        <v>50</v>
      </c>
      <c r="AG567" s="15">
        <v>255</v>
      </c>
      <c r="AH567" s="2">
        <f>(AG567-AC567)*AH5</f>
        <v>38.016</v>
      </c>
      <c r="AI567" s="45">
        <f>AH567*$G$8</f>
        <v>93.51936</v>
      </c>
      <c r="AJ567" s="373">
        <v>45.7</v>
      </c>
      <c r="AK567" s="15">
        <v>292</v>
      </c>
      <c r="AL567" s="15">
        <f>(AK567-AG567)*AL5</f>
        <v>38.036</v>
      </c>
      <c r="AM567" s="45">
        <f>AL567*$G$8</f>
        <v>93.56856</v>
      </c>
      <c r="AN567" s="154">
        <v>187.09</v>
      </c>
      <c r="AO567" s="13">
        <v>311</v>
      </c>
      <c r="AP567" s="15">
        <f>(AO567-AK567)*AP5</f>
        <v>19.627</v>
      </c>
      <c r="AQ567" s="45">
        <f>AP567*$G$8</f>
        <v>48.28242</v>
      </c>
      <c r="AR567" s="154">
        <v>50</v>
      </c>
      <c r="AS567" s="13">
        <v>311</v>
      </c>
      <c r="AT567" s="15">
        <f>(AS567-AO567)*AT5</f>
        <v>0</v>
      </c>
      <c r="AU567" s="45">
        <f>AT567*$G$8</f>
        <v>0</v>
      </c>
      <c r="AV567" s="15"/>
      <c r="AW567" s="13"/>
      <c r="AX567" s="15">
        <f>(AW567-AS567)*AX5</f>
        <v>0</v>
      </c>
      <c r="AY567" s="45">
        <f>AX567*$G$8</f>
        <v>0</v>
      </c>
      <c r="AZ567" s="208"/>
      <c r="BA567" s="13"/>
      <c r="BB567" s="15"/>
      <c r="BC567" s="45">
        <f>BB567*$G$8</f>
        <v>0</v>
      </c>
      <c r="BD567" s="208"/>
      <c r="BE567" s="40">
        <f t="shared" ref="BE567:BG567" si="1680">J567+N567+R567+V567+Z567+AD567+AH567+AL567+AP567+AT567+AX567+BB567</f>
        <v>121.679</v>
      </c>
      <c r="BF567" s="41">
        <f t="shared" si="1680"/>
        <v>305.57034</v>
      </c>
      <c r="BG567" s="34">
        <f t="shared" si="1680"/>
        <v>332.79</v>
      </c>
      <c r="BH567" s="35">
        <f t="shared" si="1674"/>
        <v>-1.71966</v>
      </c>
      <c r="BK567" s="2" t="b">
        <f>H567='2021'!BH567</f>
        <v>1</v>
      </c>
    </row>
    <row r="568" ht="15.75" customHeight="1" spans="1:63" x14ac:dyDescent="0.25">
      <c r="A568" s="89" t="s">
        <v>237</v>
      </c>
      <c r="B568" s="14"/>
      <c r="C568" s="15" t="s">
        <v>239</v>
      </c>
      <c r="D568" s="14" t="s">
        <v>47</v>
      </c>
      <c r="E568" s="2" t="s">
        <v>48</v>
      </c>
      <c r="F568" s="13">
        <v>18.56</v>
      </c>
      <c r="G568" s="35">
        <v>19.46</v>
      </c>
      <c r="H568" s="34">
        <f>'2021'!BH568</f>
        <v>1.75</v>
      </c>
      <c r="I568" s="13">
        <v>153</v>
      </c>
      <c r="J568" s="15"/>
      <c r="K568" s="15"/>
      <c r="L568" s="28"/>
      <c r="M568" s="13">
        <v>153</v>
      </c>
      <c r="N568" s="15">
        <f t="shared" si="1675"/>
        <v>0</v>
      </c>
      <c r="Q568" s="13">
        <v>153</v>
      </c>
      <c r="R568" s="15">
        <f t="shared" si="1676"/>
        <v>0</v>
      </c>
      <c r="S568" s="15"/>
      <c r="T568" s="28"/>
      <c r="U568" s="13">
        <v>153</v>
      </c>
      <c r="V568" s="15">
        <f t="shared" si="1677"/>
        <v>0</v>
      </c>
      <c r="W568" s="34">
        <f>V568*$F$10</f>
        <v>0</v>
      </c>
      <c r="Y568" s="13">
        <v>153</v>
      </c>
      <c r="Z568" s="2">
        <f t="shared" si="1678"/>
        <v>0</v>
      </c>
      <c r="AA568" s="34">
        <f>Z568*$F$10</f>
        <v>0</v>
      </c>
      <c r="AB568" s="28"/>
      <c r="AC568" s="348">
        <v>159</v>
      </c>
      <c r="AD568" s="15">
        <f t="shared" si="1679"/>
        <v>6</v>
      </c>
      <c r="AE568" s="34">
        <f>AD568*$F$10</f>
        <v>122.1</v>
      </c>
      <c r="AF568" s="365">
        <v>30</v>
      </c>
      <c r="AG568" s="15">
        <v>164</v>
      </c>
      <c r="AH568" s="2">
        <f>AG568-AC568</f>
        <v>5</v>
      </c>
      <c r="AI568" s="45">
        <f>AH568*$G$10</f>
        <v>107</v>
      </c>
      <c r="AJ568" s="374">
        <v>93.85</v>
      </c>
      <c r="AK568" s="15">
        <v>170</v>
      </c>
      <c r="AL568" s="15">
        <f>AK568-AG568</f>
        <v>6</v>
      </c>
      <c r="AM568" s="45">
        <f>AL568*$G$10</f>
        <v>128.4</v>
      </c>
      <c r="AN568" s="154">
        <v>235.4</v>
      </c>
      <c r="AO568" s="13">
        <v>176</v>
      </c>
      <c r="AP568" s="15">
        <f>AO568-AK568</f>
        <v>6</v>
      </c>
      <c r="AQ568" s="45">
        <f>AP568*$G$10</f>
        <v>128.4</v>
      </c>
      <c r="AR568" s="154">
        <v>128.4</v>
      </c>
      <c r="AS568" s="13">
        <v>176</v>
      </c>
      <c r="AT568" s="15">
        <f>AS568-AO568</f>
        <v>0</v>
      </c>
      <c r="AU568" s="45">
        <f>AT568*$G$10</f>
        <v>0</v>
      </c>
      <c r="AV568" s="15"/>
      <c r="AW568" s="13"/>
      <c r="AX568" s="15">
        <f>AW568-AS568</f>
        <v>-176</v>
      </c>
      <c r="AY568" s="45"/>
      <c r="AZ568" s="208"/>
      <c r="BA568" s="13"/>
      <c r="BB568" s="15"/>
      <c r="BC568" s="45"/>
      <c r="BD568" s="208"/>
      <c r="BE568" s="40">
        <f t="shared" ref="BE568:BG568" si="1681">J568+N568+R568+V568+Z568+AD568+AH568+AL568+AP568+AT568+AX568+BB568</f>
        <v>-153</v>
      </c>
      <c r="BF568" s="41">
        <f t="shared" si="1681"/>
        <v>485.9</v>
      </c>
      <c r="BG568" s="34">
        <f t="shared" si="1681"/>
        <v>487.65</v>
      </c>
      <c r="BH568" s="35">
        <f t="shared" si="1674"/>
        <v>0</v>
      </c>
      <c r="BK568" s="2" t="b">
        <f>H568='2021'!BH568</f>
        <v>1</v>
      </c>
    </row>
    <row r="569" ht="15.75" customHeight="1" spans="1:63" x14ac:dyDescent="0.25">
      <c r="A569" s="89" t="s">
        <v>237</v>
      </c>
      <c r="B569" s="14"/>
      <c r="C569" s="15" t="s">
        <v>68</v>
      </c>
      <c r="D569" s="14" t="s">
        <v>47</v>
      </c>
      <c r="E569" s="2" t="s">
        <v>49</v>
      </c>
      <c r="F569" s="41">
        <v>500</v>
      </c>
      <c r="G569" s="28"/>
      <c r="H569" s="34">
        <f>'2021'!BH569</f>
        <v>0</v>
      </c>
      <c r="I569" s="13"/>
      <c r="J569" s="15"/>
      <c r="K569" s="15"/>
      <c r="L569" s="28"/>
      <c r="M569" s="13"/>
      <c r="N569" s="15"/>
      <c r="Q569" s="13"/>
      <c r="R569" s="15"/>
      <c r="S569" s="15"/>
      <c r="T569" s="28"/>
      <c r="U569" s="13"/>
      <c r="V569" s="15"/>
      <c r="Y569" s="13"/>
      <c r="Z569" s="2"/>
      <c r="AA569" s="15"/>
      <c r="AB569" s="28"/>
      <c r="AC569" s="348"/>
      <c r="AD569" s="15"/>
      <c r="AF569" s="154"/>
      <c r="AG569" s="15"/>
      <c r="AH569" s="2"/>
      <c r="AI569" s="45"/>
      <c r="AJ569" s="374"/>
      <c r="AK569" s="15"/>
      <c r="AL569" s="15"/>
      <c r="AM569" s="45"/>
      <c r="AN569" s="15"/>
      <c r="AO569" s="13"/>
      <c r="AP569" s="15"/>
      <c r="AQ569" s="45"/>
      <c r="AR569" s="15"/>
      <c r="AS569" s="13"/>
      <c r="AT569" s="15"/>
      <c r="AU569" s="45"/>
      <c r="AV569" s="15"/>
      <c r="AW569" s="13"/>
      <c r="AX569" s="15"/>
      <c r="AY569" s="45"/>
      <c r="AZ569" s="28"/>
      <c r="BA569" s="13"/>
      <c r="BB569" s="15"/>
      <c r="BC569" s="45"/>
      <c r="BD569" s="28"/>
      <c r="BE569" s="14"/>
      <c r="BF569" s="41">
        <f t="shared" ref="BF569:BG569" si="1682">K569+O569+S569+W569+AA569+AE569+AI569+AM569+AQ569+AU569+AY569+BC569</f>
        <v>0</v>
      </c>
      <c r="BG569" s="34">
        <f t="shared" si="1682"/>
        <v>0</v>
      </c>
      <c r="BH569" s="35">
        <f t="shared" si="1674"/>
        <v>0</v>
      </c>
      <c r="BK569" s="2" t="b">
        <f>H569='2021'!BH569</f>
        <v>1</v>
      </c>
    </row>
    <row r="570" ht="15.75" customHeight="1" spans="1:63" x14ac:dyDescent="0.25">
      <c r="A570" s="89" t="s">
        <v>237</v>
      </c>
      <c r="B570" s="14"/>
      <c r="C570" s="15" t="s">
        <v>240</v>
      </c>
      <c r="D570" s="14" t="s">
        <v>50</v>
      </c>
      <c r="E570" s="2" t="s">
        <v>49</v>
      </c>
      <c r="F570" s="41">
        <v>1100</v>
      </c>
      <c r="G570" s="28"/>
      <c r="H570" s="34">
        <f>'2021'!BH570</f>
        <v>0</v>
      </c>
      <c r="I570" s="13"/>
      <c r="J570" s="15"/>
      <c r="K570" s="15"/>
      <c r="L570" s="28"/>
      <c r="M570" s="13"/>
      <c r="N570" s="15"/>
      <c r="Q570" s="13"/>
      <c r="R570" s="15"/>
      <c r="S570" s="15"/>
      <c r="T570" s="28"/>
      <c r="U570" s="13"/>
      <c r="V570" s="15"/>
      <c r="Y570" s="13"/>
      <c r="Z570" s="2"/>
      <c r="AA570" s="15"/>
      <c r="AB570" s="28"/>
      <c r="AC570" s="348"/>
      <c r="AD570" s="15"/>
      <c r="AE570" s="34">
        <f>B567*$F$12</f>
        <v>5213</v>
      </c>
      <c r="AF570" s="365">
        <v>3920</v>
      </c>
      <c r="AG570" s="15"/>
      <c r="AH570" s="2"/>
      <c r="AI570" s="45"/>
      <c r="AJ570" s="373">
        <v>1293</v>
      </c>
      <c r="AK570" s="15"/>
      <c r="AL570" s="15"/>
      <c r="AM570" s="45"/>
      <c r="AN570" s="15"/>
      <c r="AO570" s="13"/>
      <c r="AP570" s="15"/>
      <c r="AQ570" s="45"/>
      <c r="AR570" s="15"/>
      <c r="AS570" s="13"/>
      <c r="AT570" s="15"/>
      <c r="AU570" s="45"/>
      <c r="AV570" s="15"/>
      <c r="AW570" s="13"/>
      <c r="AX570" s="15"/>
      <c r="AY570" s="45"/>
      <c r="AZ570" s="28"/>
      <c r="BA570" s="13"/>
      <c r="BB570" s="15"/>
      <c r="BC570" s="45"/>
      <c r="BD570" s="28"/>
      <c r="BE570" s="14"/>
      <c r="BF570" s="41">
        <f t="shared" ref="BF570:BG570" si="1683">K570+O570+S570+W570+AA570+AE570+AI570+AM570+AQ570+AU570+AY570+BC570</f>
        <v>5213</v>
      </c>
      <c r="BG570" s="34">
        <f t="shared" si="1683"/>
        <v>5213</v>
      </c>
      <c r="BH570" s="35">
        <f t="shared" si="1674"/>
        <v>0</v>
      </c>
      <c r="BK570" s="2" t="b">
        <f>H570='2021'!BH570</f>
        <v>1</v>
      </c>
    </row>
    <row r="571" ht="15.75" customHeight="1" spans="1:63" x14ac:dyDescent="0.25">
      <c r="A571" s="89" t="s">
        <v>237</v>
      </c>
      <c r="B571" s="14"/>
      <c r="D571" s="14" t="s">
        <v>51</v>
      </c>
      <c r="E571" s="2" t="s">
        <v>39</v>
      </c>
      <c r="F571" s="41">
        <v>500</v>
      </c>
      <c r="G571" s="28"/>
      <c r="H571" s="34">
        <f>'2021'!BH571</f>
        <v>0</v>
      </c>
      <c r="I571" s="13"/>
      <c r="J571" s="15"/>
      <c r="K571" s="15"/>
      <c r="L571" s="28"/>
      <c r="M571" s="13"/>
      <c r="N571" s="15"/>
      <c r="Q571" s="13"/>
      <c r="R571" s="15"/>
      <c r="S571" s="15"/>
      <c r="T571" s="28"/>
      <c r="U571" s="13"/>
      <c r="V571" s="15"/>
      <c r="Y571" s="13"/>
      <c r="Z571" s="2"/>
      <c r="AA571" s="15"/>
      <c r="AB571" s="28"/>
      <c r="AC571" s="348"/>
      <c r="AD571" s="15"/>
      <c r="AE571" s="180">
        <f>$F$13</f>
        <v>1000</v>
      </c>
      <c r="AF571" s="365">
        <v>1000</v>
      </c>
      <c r="AG571" s="15"/>
      <c r="AH571" s="2"/>
      <c r="AI571" s="45"/>
      <c r="AJ571" s="375"/>
      <c r="AK571" s="15"/>
      <c r="AL571" s="15"/>
      <c r="AM571" s="45"/>
      <c r="AN571" s="15"/>
      <c r="AO571" s="13"/>
      <c r="AP571" s="15"/>
      <c r="AQ571" s="180"/>
      <c r="AR571" s="15"/>
      <c r="AS571" s="13"/>
      <c r="AT571" s="15"/>
      <c r="AU571" s="45"/>
      <c r="AV571" s="15"/>
      <c r="AW571" s="13"/>
      <c r="AX571" s="15"/>
      <c r="AY571" s="45"/>
      <c r="AZ571" s="28"/>
      <c r="BA571" s="13"/>
      <c r="BB571" s="15"/>
      <c r="BC571" s="45"/>
      <c r="BD571" s="28"/>
      <c r="BE571" s="14"/>
      <c r="BF571" s="41">
        <f t="shared" ref="BF571:BG571" si="1684">K571+O571+S571+W571+AA571+AE571+AI571+AM571+AQ571+AU571+AY571+BC571</f>
        <v>1000</v>
      </c>
      <c r="BG571" s="34">
        <f t="shared" si="1684"/>
        <v>1000</v>
      </c>
      <c r="BH571" s="35">
        <f t="shared" si="1674"/>
        <v>0</v>
      </c>
      <c r="BK571" s="2" t="b">
        <f>H571='2021'!BH571</f>
        <v>1</v>
      </c>
    </row>
    <row r="572" ht="15.75" customHeight="1" spans="1:63" x14ac:dyDescent="0.25">
      <c r="A572" s="89" t="s">
        <v>237</v>
      </c>
      <c r="B572" s="14"/>
      <c r="D572" s="14" t="s">
        <v>51</v>
      </c>
      <c r="E572" s="2" t="s">
        <v>49</v>
      </c>
      <c r="F572" s="41">
        <v>500</v>
      </c>
      <c r="G572" s="28"/>
      <c r="H572" s="34">
        <f>'2021'!BH572</f>
        <v>0</v>
      </c>
      <c r="I572" s="13"/>
      <c r="J572" s="15"/>
      <c r="K572" s="15"/>
      <c r="L572" s="28"/>
      <c r="M572" s="13"/>
      <c r="N572" s="15"/>
      <c r="Q572" s="13"/>
      <c r="R572" s="15"/>
      <c r="S572" s="15"/>
      <c r="T572" s="28"/>
      <c r="U572" s="13"/>
      <c r="V572" s="15"/>
      <c r="Y572" s="13"/>
      <c r="Z572" s="2"/>
      <c r="AA572" s="15"/>
      <c r="AB572" s="28"/>
      <c r="AC572" s="348"/>
      <c r="AD572" s="15"/>
      <c r="AE572" s="34"/>
      <c r="AF572" s="154"/>
      <c r="AG572" s="15"/>
      <c r="AH572" s="2"/>
      <c r="AI572" s="45"/>
      <c r="AJ572" s="375"/>
      <c r="AK572" s="15"/>
      <c r="AL572" s="15"/>
      <c r="AM572" s="45"/>
      <c r="AN572" s="15"/>
      <c r="AO572" s="13"/>
      <c r="AP572" s="15"/>
      <c r="AQ572" s="180">
        <f>B567*$F$14</f>
        <v>0</v>
      </c>
      <c r="AR572" s="15"/>
      <c r="AS572" s="13"/>
      <c r="AT572" s="15"/>
      <c r="AU572" s="45"/>
      <c r="AV572" s="15"/>
      <c r="AW572" s="13"/>
      <c r="AX572" s="15"/>
      <c r="AY572" s="45"/>
      <c r="AZ572" s="28"/>
      <c r="BA572" s="13"/>
      <c r="BB572" s="15"/>
      <c r="BC572" s="45"/>
      <c r="BD572" s="28"/>
      <c r="BE572" s="14"/>
      <c r="BF572" s="41">
        <f t="shared" ref="BF572:BG572" si="1685">K572+O572+S572+W572+AA572+AE572+AI572+AM572+AQ572+AU572+AY572+BC572</f>
        <v>0</v>
      </c>
      <c r="BG572" s="34">
        <f t="shared" si="1685"/>
        <v>0</v>
      </c>
      <c r="BH572" s="35">
        <f t="shared" si="1674"/>
        <v>0</v>
      </c>
      <c r="BK572" s="2" t="b">
        <f>H572='2021'!BH572</f>
        <v>1</v>
      </c>
    </row>
    <row r="573" ht="15.75" customHeight="1" spans="1:63" x14ac:dyDescent="0.25">
      <c r="A573" s="89" t="s">
        <v>237</v>
      </c>
      <c r="B573" s="14"/>
      <c r="D573" s="14" t="s">
        <v>52</v>
      </c>
      <c r="E573" s="2" t="s">
        <v>39</v>
      </c>
      <c r="F573" s="41">
        <v>500</v>
      </c>
      <c r="G573" s="28"/>
      <c r="H573" s="34">
        <f>'2021'!BH573</f>
        <v>0</v>
      </c>
      <c r="I573" s="13"/>
      <c r="J573" s="15"/>
      <c r="K573" s="15"/>
      <c r="L573" s="28"/>
      <c r="M573" s="13"/>
      <c r="N573" s="15"/>
      <c r="Q573" s="13"/>
      <c r="R573" s="15"/>
      <c r="S573" s="15"/>
      <c r="T573" s="28"/>
      <c r="U573" s="13"/>
      <c r="V573" s="15"/>
      <c r="Y573" s="13"/>
      <c r="Z573" s="2"/>
      <c r="AA573" s="34">
        <f>$F$15</f>
      </c>
      <c r="AB573" s="28"/>
      <c r="AC573" s="348"/>
      <c r="AD573" s="15"/>
      <c r="AG573" s="15"/>
      <c r="AH573" s="2"/>
      <c r="AI573" s="45"/>
      <c r="AJ573" s="375"/>
      <c r="AK573" s="15"/>
      <c r="AL573" s="15"/>
      <c r="AM573" s="45"/>
      <c r="AN573" s="15"/>
      <c r="AO573" s="13"/>
      <c r="AP573" s="15"/>
      <c r="AQ573" s="45"/>
      <c r="AR573" s="15"/>
      <c r="AS573" s="13"/>
      <c r="AT573" s="15"/>
      <c r="AU573" s="45"/>
      <c r="AV573" s="15"/>
      <c r="AW573" s="13"/>
      <c r="AX573" s="15"/>
      <c r="AY573" s="45"/>
      <c r="AZ573" s="35"/>
      <c r="BA573" s="13"/>
      <c r="BB573" s="15"/>
      <c r="BC573" s="45"/>
      <c r="BD573" s="35"/>
      <c r="BE573" s="14"/>
      <c r="BF573" s="41">
        <f t="shared" ref="BF573:BG573" si="1686">K573+O573+S573+W573+AA573+AE573+AI573+AM573+AQ573+AU573+AY573+BC573</f>
        <v>0</v>
      </c>
      <c r="BG573" s="34">
        <f t="shared" si="1686"/>
        <v>0</v>
      </c>
      <c r="BH573" s="35">
        <f t="shared" si="1674"/>
        <v>0</v>
      </c>
      <c r="BK573" s="2" t="b">
        <f>H573='2021'!BH573</f>
        <v>1</v>
      </c>
    </row>
    <row r="574" ht="15.75" customHeight="1" spans="1:63" x14ac:dyDescent="0.25">
      <c r="A574" s="243" t="s">
        <v>237</v>
      </c>
      <c r="B574" s="21"/>
      <c r="C574" s="22" t="s">
        <v>53</v>
      </c>
      <c r="D574" s="21"/>
      <c r="E574" s="22"/>
      <c r="F574" s="20"/>
      <c r="G574" s="23"/>
      <c r="H574" s="51">
        <f>SUM(H566:H573)</f>
        <v>27.25</v>
      </c>
      <c r="I574" s="52"/>
      <c r="J574" s="53"/>
      <c r="K574" s="51">
        <f t="shared" ref="K574:L574" si="1687">SUM(K566:K573)</f>
        <v>0</v>
      </c>
      <c r="L574" s="68">
        <f t="shared" si="1687"/>
        <v>0</v>
      </c>
      <c r="M574" s="52"/>
      <c r="N574" s="53"/>
      <c r="O574" s="51">
        <f t="shared" ref="O574:P574" si="1688">SUM(O566:O573)</f>
        <v>0</v>
      </c>
      <c r="P574" s="51">
        <f t="shared" si="1688"/>
        <v>0</v>
      </c>
      <c r="Q574" s="52"/>
      <c r="R574" s="53"/>
      <c r="S574" s="51">
        <f t="shared" ref="S574:T574" si="1689">SUM(S566:S573)</f>
        <v>0</v>
      </c>
      <c r="T574" s="51">
        <f t="shared" si="1689"/>
        <v>0</v>
      </c>
      <c r="U574" s="52"/>
      <c r="V574" s="53"/>
      <c r="W574" s="51">
        <f t="shared" ref="W574:X574" si="1690">SUM(W566:W573)</f>
        <v>0</v>
      </c>
      <c r="X574" s="51">
        <f t="shared" si="1690"/>
        <v>0</v>
      </c>
      <c r="Y574" s="52"/>
      <c r="Z574" s="301"/>
      <c r="AA574" s="51">
        <f t="shared" ref="AA574:AB574" si="1691">SUM(AA566:AA573)</f>
        <v>8.1</v>
      </c>
      <c r="AB574" s="51">
        <f t="shared" si="1691"/>
        <v>0</v>
      </c>
      <c r="AC574" s="367"/>
      <c r="AD574" s="53"/>
      <c r="AE574" s="51">
        <f t="shared" ref="AE574:AF574" si="1692">SUM(AE566:AE573)</f>
        <v>6397.2</v>
      </c>
      <c r="AF574" s="51">
        <f t="shared" si="1692"/>
        <v>5000</v>
      </c>
      <c r="AG574" s="52"/>
      <c r="AH574" s="301"/>
      <c r="AI574" s="183">
        <f t="shared" ref="AI574:AJ574" si="1693">SUM(AI566:AI573)</f>
        <v>200.51936</v>
      </c>
      <c r="AJ574" s="376">
        <f t="shared" si="1693"/>
        <v>1432.55</v>
      </c>
      <c r="AK574" s="52"/>
      <c r="AL574" s="53"/>
      <c r="AM574" s="183">
        <f t="shared" ref="AM574:AN574" si="1694">SUM(AM566:AM573)</f>
        <v>221.96856</v>
      </c>
      <c r="AN574" s="51">
        <f t="shared" si="1694"/>
        <v>422.49</v>
      </c>
      <c r="AO574" s="52"/>
      <c r="AP574" s="53"/>
      <c r="AQ574" s="183">
        <f t="shared" ref="AQ574:AR574" si="1695">SUM(AQ566:AQ573)</f>
        <v>176.68242</v>
      </c>
      <c r="AR574" s="51">
        <f t="shared" si="1695"/>
        <v>178.4</v>
      </c>
      <c r="AS574" s="52"/>
      <c r="AT574" s="53"/>
      <c r="AU574" s="183">
        <f t="shared" ref="AU574:AV574" si="1696">SUM(AU566:AU573)</f>
        <v>0</v>
      </c>
      <c r="AV574" s="68">
        <f t="shared" si="1696"/>
        <v>0</v>
      </c>
      <c r="AW574" s="52"/>
      <c r="AX574" s="53"/>
      <c r="AY574" s="183">
        <f t="shared" ref="AY574:AZ574" si="1697">SUM(AY566:AY573)</f>
        <v>0</v>
      </c>
      <c r="AZ574" s="68">
        <f t="shared" si="1697"/>
        <v>0</v>
      </c>
      <c r="BA574" s="52"/>
      <c r="BB574" s="53"/>
      <c r="BC574" s="183">
        <f t="shared" ref="BC574:BD574" si="1698">SUM(BC566:BC573)</f>
        <v>0</v>
      </c>
      <c r="BD574" s="68">
        <f t="shared" si="1698"/>
        <v>0</v>
      </c>
      <c r="BE574" s="69"/>
      <c r="BF574" s="70">
        <f t="shared" ref="BF574:BH574" si="1699">SUM(BF566:BF573)</f>
        <v>7004.47034</v>
      </c>
      <c r="BG574" s="71">
        <f t="shared" si="1699"/>
        <v>7033.44</v>
      </c>
      <c r="BH574" s="72">
        <f t="shared" si="1699"/>
        <v>-1.71966</v>
      </c>
      <c r="BI574" s="34">
        <f>H574+BF574-BG574</f>
        <v>-1.71966</v>
      </c>
      <c r="BJ574" s="34">
        <f>BH574-BI574</f>
        <v>0</v>
      </c>
      <c r="BK574" s="2" t="b">
        <f>H574='2021'!BH574</f>
        <v>1</v>
      </c>
    </row>
    <row r="575" ht="15.75" customHeight="1" spans="1:63" x14ac:dyDescent="0.25">
      <c r="A575" s="89" t="s">
        <v>237</v>
      </c>
      <c r="B575" s="14"/>
      <c r="D575" s="14" t="s">
        <v>379</v>
      </c>
      <c r="F575" s="13"/>
      <c r="G575" s="28"/>
      <c r="H575" s="34">
        <f>'2021'!BH575</f>
        <v>3.53</v>
      </c>
      <c r="I575" s="13"/>
      <c r="J575" s="15"/>
      <c r="K575" s="15"/>
      <c r="L575" s="28"/>
      <c r="M575" s="13"/>
      <c r="N575" s="15"/>
      <c r="Q575" s="13"/>
      <c r="R575" s="15"/>
      <c r="S575" s="15"/>
      <c r="T575" s="28"/>
      <c r="U575" s="13"/>
      <c r="V575" s="15"/>
      <c r="Y575" s="13"/>
      <c r="Z575" s="2"/>
      <c r="AA575" s="15"/>
      <c r="AB575" s="28"/>
      <c r="AC575" s="348"/>
      <c r="AD575" s="15"/>
      <c r="AF575" s="154"/>
      <c r="AG575" s="15"/>
      <c r="AH575" s="2"/>
      <c r="AI575" s="45"/>
      <c r="AJ575" s="80"/>
      <c r="AK575" s="15"/>
      <c r="AM575" s="45"/>
      <c r="AO575" s="13"/>
      <c r="AQ575" s="180"/>
      <c r="AS575" s="13"/>
      <c r="AU575" s="180"/>
      <c r="AW575" s="13"/>
      <c r="AY575" s="180"/>
      <c r="AZ575" s="28"/>
      <c r="BA575" s="13"/>
      <c r="BB575" s="15"/>
      <c r="BC575" s="180"/>
      <c r="BD575" s="28"/>
      <c r="BE575" s="14"/>
      <c r="BF575" s="41">
        <f t="shared" ref="BF575:BG575" si="1700">K575+O575+S575+W575+AA575+AE575+AI575+AM575+AQ575+AU575+AY575+BC575</f>
        <v>0</v>
      </c>
      <c r="BG575" s="34">
        <f t="shared" si="1700"/>
        <v>0</v>
      </c>
      <c r="BH575" s="35">
        <f t="shared" ref="BH575:BH582" si="1701">H575+BF575-BG575</f>
        <v>3.53</v>
      </c>
      <c r="BK575" s="2" t="b">
        <f>H575='2021'!BH575</f>
        <v>1</v>
      </c>
    </row>
    <row r="576" ht="15.75" customHeight="1" spans="1:63" x14ac:dyDescent="0.25">
      <c r="A576" s="89" t="s">
        <v>237</v>
      </c>
      <c r="B576" s="14">
        <v>4.01</v>
      </c>
      <c r="C576" s="15" t="s">
        <v>238</v>
      </c>
      <c r="D576" s="14" t="s">
        <v>44</v>
      </c>
      <c r="E576" s="2" t="s">
        <v>45</v>
      </c>
      <c r="F576" s="41">
        <v>2.5</v>
      </c>
      <c r="G576" s="35">
        <v>2.6</v>
      </c>
      <c r="H576" s="34">
        <f>'2021'!BH576</f>
        <v>0</v>
      </c>
      <c r="I576" s="13"/>
      <c r="J576" s="15">
        <f>I576-'2021'!BA576</f>
        <v>0</v>
      </c>
      <c r="K576" s="34">
        <f>J576*$F$8</f>
        <v>0</v>
      </c>
      <c r="L576" s="28"/>
      <c r="M576" s="13"/>
      <c r="N576" s="15">
        <f t="shared" ref="N576:N577" si="1702">M576-I576</f>
        <v>0</v>
      </c>
      <c r="O576" s="34">
        <f>N576*$F$8</f>
        <v>0</v>
      </c>
      <c r="Q576" s="13"/>
      <c r="R576" s="15">
        <f t="shared" ref="R576:R577" si="1703">Q576-M576</f>
        <v>0</v>
      </c>
      <c r="S576" s="34">
        <f>R576*$F$8</f>
        <v>0</v>
      </c>
      <c r="T576" s="28"/>
      <c r="U576" s="13"/>
      <c r="V576" s="15">
        <f t="shared" ref="V576:V577" si="1704">U576-Q576</f>
        <v>0</v>
      </c>
      <c r="W576" s="34">
        <f>V576*$F$8</f>
        <v>0</v>
      </c>
      <c r="Y576" s="13"/>
      <c r="Z576" s="2">
        <f t="shared" ref="Z576:Z577" si="1705">Y576-U576</f>
        <v>0</v>
      </c>
      <c r="AA576" s="34">
        <f>Z576*$F$8</f>
        <v>0</v>
      </c>
      <c r="AB576" s="28"/>
      <c r="AC576" s="348"/>
      <c r="AD576" s="15">
        <f t="shared" ref="AD576:AD577" si="1706">AC576-Y576</f>
        <v>0</v>
      </c>
      <c r="AE576" s="180">
        <f>AD576*$F$8</f>
        <v>0</v>
      </c>
      <c r="AF576" s="154"/>
      <c r="AG576" s="15"/>
      <c r="AH576" s="2">
        <f>(AG576-AC576)*AH5</f>
        <v>0</v>
      </c>
      <c r="AI576" s="45">
        <f>AH576*$G$8</f>
        <v>0</v>
      </c>
      <c r="AJ576" s="89"/>
      <c r="AK576" s="15"/>
      <c r="AL576" s="15">
        <f>(AK576-AG576)*AL5</f>
        <v>0</v>
      </c>
      <c r="AM576" s="45">
        <f>AL576*$G$8</f>
        <v>0</v>
      </c>
      <c r="AN576" s="15"/>
      <c r="AO576" s="13"/>
      <c r="AP576" s="15">
        <f>(AO576-AK576)*AP5</f>
        <v>0</v>
      </c>
      <c r="AQ576" s="45">
        <f>AP576*$G$8</f>
        <v>0</v>
      </c>
      <c r="AR576" s="15"/>
      <c r="AS576" s="13"/>
      <c r="AT576" s="15">
        <f>(AS576-AO576)*AT5</f>
        <v>0</v>
      </c>
      <c r="AU576" s="45">
        <f>AT576*$G$8</f>
        <v>0</v>
      </c>
      <c r="AV576" s="15"/>
      <c r="AW576" s="13"/>
      <c r="AX576" s="15">
        <f>(AW576-AS576)*AX5</f>
        <v>0</v>
      </c>
      <c r="AY576" s="45">
        <f>AX576*$G$8</f>
        <v>0</v>
      </c>
      <c r="AZ576" s="208"/>
      <c r="BA576" s="13"/>
      <c r="BB576" s="15"/>
      <c r="BC576" s="45">
        <f>BB576*$G$8</f>
        <v>0</v>
      </c>
      <c r="BD576" s="208"/>
      <c r="BE576" s="40">
        <f t="shared" ref="BE576:BG576" si="1707">J576+N576+R576+V576+Z576+AD576+AH576+AL576+AP576+AT576+AX576+BB576</f>
        <v>0</v>
      </c>
      <c r="BF576" s="41">
        <f t="shared" si="1707"/>
        <v>0</v>
      </c>
      <c r="BG576" s="34">
        <f t="shared" si="1707"/>
        <v>0</v>
      </c>
      <c r="BH576" s="35">
        <f t="shared" si="1701"/>
        <v>0</v>
      </c>
      <c r="BK576" s="2" t="b">
        <f>H576='2021'!BH576</f>
        <v>1</v>
      </c>
    </row>
    <row r="577" ht="15.75" customHeight="1" spans="1:63" x14ac:dyDescent="0.25">
      <c r="A577" s="89" t="s">
        <v>237</v>
      </c>
      <c r="B577" s="14"/>
      <c r="C577" s="15" t="s">
        <v>239</v>
      </c>
      <c r="D577" s="14" t="s">
        <v>47</v>
      </c>
      <c r="E577" s="2" t="s">
        <v>48</v>
      </c>
      <c r="F577" s="13">
        <v>18.56</v>
      </c>
      <c r="G577" s="35">
        <v>19.46</v>
      </c>
      <c r="H577" s="34">
        <f>'2021'!BH577</f>
        <v>0</v>
      </c>
      <c r="I577" s="13">
        <v>197</v>
      </c>
      <c r="J577" s="15"/>
      <c r="K577" s="15"/>
      <c r="L577" s="28"/>
      <c r="M577" s="13">
        <v>197</v>
      </c>
      <c r="N577" s="15">
        <f t="shared" si="1702"/>
        <v>0</v>
      </c>
      <c r="Q577" s="13">
        <v>197</v>
      </c>
      <c r="R577" s="15">
        <f t="shared" si="1703"/>
        <v>0</v>
      </c>
      <c r="S577" s="15"/>
      <c r="T577" s="28"/>
      <c r="U577" s="13">
        <v>197</v>
      </c>
      <c r="V577" s="15">
        <f t="shared" si="1704"/>
        <v>0</v>
      </c>
      <c r="W577" s="34">
        <f>V577*$F$10</f>
        <v>0</v>
      </c>
      <c r="Y577" s="13">
        <v>197</v>
      </c>
      <c r="Z577" s="2">
        <f t="shared" si="1705"/>
        <v>0</v>
      </c>
      <c r="AA577" s="34">
        <f>Z577*$F$10</f>
        <v>0</v>
      </c>
      <c r="AB577" s="28"/>
      <c r="AC577" s="348">
        <v>197</v>
      </c>
      <c r="AD577" s="15">
        <f t="shared" si="1706"/>
        <v>0</v>
      </c>
      <c r="AE577" s="34">
        <f>AD577*$F$10</f>
        <v>0</v>
      </c>
      <c r="AF577" s="154"/>
      <c r="AG577" s="15">
        <v>197</v>
      </c>
      <c r="AH577" s="2">
        <f>AG577-AC577</f>
        <v>0</v>
      </c>
      <c r="AI577" s="45">
        <f>AH577*$G$10</f>
        <v>0</v>
      </c>
      <c r="AJ577" s="89"/>
      <c r="AK577" s="15">
        <v>197</v>
      </c>
      <c r="AL577" s="15">
        <f>AK577-AG577</f>
        <v>0</v>
      </c>
      <c r="AM577" s="45">
        <f>AL577*$G$10</f>
        <v>0</v>
      </c>
      <c r="AN577" s="15"/>
      <c r="AO577" s="13">
        <v>197</v>
      </c>
      <c r="AP577" s="15">
        <f>AO577-AK577</f>
        <v>0</v>
      </c>
      <c r="AQ577" s="45">
        <f>AP577*$G$10</f>
        <v>0</v>
      </c>
      <c r="AR577" s="15"/>
      <c r="AS577" s="13">
        <v>197</v>
      </c>
      <c r="AT577" s="15">
        <f>AS577-AO577</f>
        <v>0</v>
      </c>
      <c r="AU577" s="45">
        <f>AT577*$G$10</f>
        <v>0</v>
      </c>
      <c r="AV577" s="15"/>
      <c r="AW577" s="13"/>
      <c r="AX577" s="15">
        <f>AW577-AS577</f>
        <v>-197</v>
      </c>
      <c r="AY577" s="45"/>
      <c r="AZ577" s="208"/>
      <c r="BA577" s="13"/>
      <c r="BB577" s="15"/>
      <c r="BC577" s="45"/>
      <c r="BD577" s="208"/>
      <c r="BE577" s="40">
        <f t="shared" ref="BE577:BG577" si="1708">J577+N577+R577+V577+Z577+AD577+AH577+AL577+AP577+AT577+AX577+BB577</f>
        <v>-197</v>
      </c>
      <c r="BF577" s="41">
        <f t="shared" si="1708"/>
        <v>0</v>
      </c>
      <c r="BG577" s="34">
        <f t="shared" si="1708"/>
        <v>0</v>
      </c>
      <c r="BH577" s="35">
        <f t="shared" si="1701"/>
        <v>0</v>
      </c>
      <c r="BK577" s="2" t="b">
        <f>H577='2021'!BH577</f>
        <v>1</v>
      </c>
    </row>
    <row r="578" ht="15.75" customHeight="1" spans="1:63" x14ac:dyDescent="0.25">
      <c r="A578" s="89" t="s">
        <v>237</v>
      </c>
      <c r="B578" s="14"/>
      <c r="C578" s="15" t="s">
        <v>68</v>
      </c>
      <c r="D578" s="14" t="s">
        <v>47</v>
      </c>
      <c r="E578" s="2" t="s">
        <v>49</v>
      </c>
      <c r="F578" s="41">
        <v>500</v>
      </c>
      <c r="G578" s="28"/>
      <c r="H578" s="34">
        <f>'2021'!BH578</f>
        <v>0</v>
      </c>
      <c r="I578" s="13"/>
      <c r="J578" s="15"/>
      <c r="K578" s="15"/>
      <c r="L578" s="28"/>
      <c r="M578" s="13"/>
      <c r="N578" s="15"/>
      <c r="Q578" s="13"/>
      <c r="R578" s="15"/>
      <c r="S578" s="15"/>
      <c r="T578" s="28"/>
      <c r="U578" s="13"/>
      <c r="V578" s="15"/>
      <c r="Y578" s="13"/>
      <c r="Z578" s="2"/>
      <c r="AA578" s="15"/>
      <c r="AB578" s="28"/>
      <c r="AC578" s="348"/>
      <c r="AD578" s="15"/>
      <c r="AF578" s="154"/>
      <c r="AG578" s="15"/>
      <c r="AH578" s="2"/>
      <c r="AI578" s="45"/>
      <c r="AJ578" s="80"/>
      <c r="AK578" s="15"/>
      <c r="AL578" s="15"/>
      <c r="AM578" s="45"/>
      <c r="AN578" s="15"/>
      <c r="AO578" s="13"/>
      <c r="AP578" s="15"/>
      <c r="AQ578" s="45"/>
      <c r="AR578" s="15"/>
      <c r="AS578" s="13"/>
      <c r="AT578" s="15"/>
      <c r="AU578" s="45"/>
      <c r="AV578" s="15"/>
      <c r="AW578" s="13"/>
      <c r="AX578" s="15"/>
      <c r="AY578" s="45"/>
      <c r="AZ578" s="28"/>
      <c r="BA578" s="13"/>
      <c r="BB578" s="15"/>
      <c r="BC578" s="45"/>
      <c r="BD578" s="28"/>
      <c r="BE578" s="14"/>
      <c r="BF578" s="41">
        <f t="shared" ref="BF578:BG578" si="1709">K578+O578+S578+W578+AA578+AE578+AI578+AM578+AQ578+AU578+AY578+BC578</f>
        <v>0</v>
      </c>
      <c r="BG578" s="34">
        <f t="shared" si="1709"/>
        <v>0</v>
      </c>
      <c r="BH578" s="35">
        <f t="shared" si="1701"/>
        <v>0</v>
      </c>
      <c r="BK578" s="2" t="b">
        <f>H578='2021'!BH578</f>
        <v>1</v>
      </c>
    </row>
    <row r="579" ht="15.75" customHeight="1" spans="1:63" x14ac:dyDescent="0.25">
      <c r="A579" s="89" t="s">
        <v>237</v>
      </c>
      <c r="B579" s="14"/>
      <c r="C579" s="15" t="s">
        <v>240</v>
      </c>
      <c r="D579" s="14" t="s">
        <v>50</v>
      </c>
      <c r="E579" s="2" t="s">
        <v>49</v>
      </c>
      <c r="F579" s="41">
        <v>1100</v>
      </c>
      <c r="G579" s="28"/>
      <c r="H579" s="34">
        <f>'2021'!BH579</f>
        <v>0</v>
      </c>
      <c r="I579" s="13"/>
      <c r="J579" s="15"/>
      <c r="K579" s="15"/>
      <c r="L579" s="28"/>
      <c r="M579" s="13"/>
      <c r="N579" s="15"/>
      <c r="Q579" s="13"/>
      <c r="R579" s="15"/>
      <c r="S579" s="15"/>
      <c r="T579" s="28"/>
      <c r="U579" s="13"/>
      <c r="V579" s="15"/>
      <c r="Y579" s="13"/>
      <c r="Z579" s="2"/>
      <c r="AA579" s="15"/>
      <c r="AB579" s="28"/>
      <c r="AC579" s="348"/>
      <c r="AD579" s="15"/>
      <c r="AE579" s="34">
        <f>B576*$F$12</f>
        <v>5213</v>
      </c>
      <c r="AF579" s="154"/>
      <c r="AG579" s="15"/>
      <c r="AH579" s="2"/>
      <c r="AI579" s="45"/>
      <c r="AJ579" s="373">
        <v>5213</v>
      </c>
      <c r="AK579" s="15"/>
      <c r="AL579" s="15"/>
      <c r="AM579" s="45"/>
      <c r="AN579" s="15"/>
      <c r="AO579" s="13"/>
      <c r="AP579" s="15"/>
      <c r="AQ579" s="45"/>
      <c r="AR579" s="15"/>
      <c r="AS579" s="13"/>
      <c r="AT579" s="15"/>
      <c r="AU579" s="45"/>
      <c r="AV579" s="15"/>
      <c r="AW579" s="13"/>
      <c r="AX579" s="15"/>
      <c r="AY579" s="45"/>
      <c r="AZ579" s="28"/>
      <c r="BA579" s="13"/>
      <c r="BB579" s="15"/>
      <c r="BC579" s="45"/>
      <c r="BD579" s="28"/>
      <c r="BE579" s="14"/>
      <c r="BF579" s="41">
        <f t="shared" ref="BF579:BG579" si="1710">K579+O579+S579+W579+AA579+AE579+AI579+AM579+AQ579+AU579+AY579+BC579</f>
        <v>5213</v>
      </c>
      <c r="BG579" s="34">
        <f t="shared" si="1710"/>
        <v>5213</v>
      </c>
      <c r="BH579" s="35">
        <f t="shared" si="1701"/>
        <v>0</v>
      </c>
      <c r="BK579" s="2" t="b">
        <f>H579='2021'!BH579</f>
        <v>1</v>
      </c>
    </row>
    <row r="580" ht="15.75" customHeight="1" spans="1:63" x14ac:dyDescent="0.25">
      <c r="A580" s="89" t="s">
        <v>237</v>
      </c>
      <c r="B580" s="14"/>
      <c r="D580" s="14" t="s">
        <v>51</v>
      </c>
      <c r="E580" s="2" t="s">
        <v>39</v>
      </c>
      <c r="F580" s="41">
        <v>500</v>
      </c>
      <c r="G580" s="28"/>
      <c r="H580" s="34">
        <f>'2021'!BH580</f>
        <v>0</v>
      </c>
      <c r="I580" s="13"/>
      <c r="J580" s="15"/>
      <c r="K580" s="15"/>
      <c r="L580" s="28"/>
      <c r="M580" s="13"/>
      <c r="N580" s="15"/>
      <c r="Q580" s="13"/>
      <c r="R580" s="15"/>
      <c r="S580" s="15"/>
      <c r="T580" s="28"/>
      <c r="U580" s="13"/>
      <c r="V580" s="15"/>
      <c r="Y580" s="13"/>
      <c r="Z580" s="2"/>
      <c r="AA580" s="15"/>
      <c r="AB580" s="28"/>
      <c r="AC580" s="348"/>
      <c r="AD580" s="15"/>
      <c r="AE580" s="180">
        <f>$F$13</f>
        <v>1000</v>
      </c>
      <c r="AF580" s="154"/>
      <c r="AG580" s="15"/>
      <c r="AH580" s="2"/>
      <c r="AI580" s="45"/>
      <c r="AJ580" s="375"/>
      <c r="AK580" s="15"/>
      <c r="AL580" s="15"/>
      <c r="AM580" s="45"/>
      <c r="AN580" s="15"/>
      <c r="AO580" s="13"/>
      <c r="AP580" s="15"/>
      <c r="AQ580" s="180"/>
      <c r="AR580" s="154">
        <v>1000</v>
      </c>
      <c r="AS580" s="13"/>
      <c r="AT580" s="15"/>
      <c r="AU580" s="45"/>
      <c r="AV580" s="15"/>
      <c r="AW580" s="13"/>
      <c r="AX580" s="15"/>
      <c r="AY580" s="45"/>
      <c r="AZ580" s="28"/>
      <c r="BA580" s="13"/>
      <c r="BB580" s="15"/>
      <c r="BC580" s="45"/>
      <c r="BD580" s="28"/>
      <c r="BE580" s="14"/>
      <c r="BF580" s="41">
        <f t="shared" ref="BF580:BG580" si="1711">K580+O580+S580+W580+AA580+AE580+AI580+AM580+AQ580+AU580+AY580+BC580</f>
        <v>1000</v>
      </c>
      <c r="BG580" s="34">
        <f t="shared" si="1711"/>
        <v>1000</v>
      </c>
      <c r="BH580" s="35">
        <f t="shared" si="1701"/>
        <v>0</v>
      </c>
      <c r="BK580" s="2" t="b">
        <f>H580='2021'!BH580</f>
        <v>1</v>
      </c>
    </row>
    <row r="581" ht="15.75" customHeight="1" spans="1:63" x14ac:dyDescent="0.25">
      <c r="A581" s="89" t="s">
        <v>237</v>
      </c>
      <c r="B581" s="14"/>
      <c r="D581" s="14" t="s">
        <v>51</v>
      </c>
      <c r="E581" s="2" t="s">
        <v>49</v>
      </c>
      <c r="F581" s="41">
        <v>500</v>
      </c>
      <c r="G581" s="28"/>
      <c r="H581" s="34">
        <f>'2021'!BH581</f>
        <v>0</v>
      </c>
      <c r="I581" s="13"/>
      <c r="J581" s="15"/>
      <c r="K581" s="15"/>
      <c r="L581" s="28"/>
      <c r="M581" s="13"/>
      <c r="N581" s="15"/>
      <c r="Q581" s="13"/>
      <c r="R581" s="15"/>
      <c r="S581" s="15"/>
      <c r="T581" s="28"/>
      <c r="U581" s="13"/>
      <c r="V581" s="15"/>
      <c r="Y581" s="13"/>
      <c r="Z581" s="2"/>
      <c r="AA581" s="15"/>
      <c r="AB581" s="28"/>
      <c r="AC581" s="348"/>
      <c r="AD581" s="15"/>
      <c r="AE581" s="34"/>
      <c r="AF581" s="154"/>
      <c r="AG581" s="15"/>
      <c r="AH581" s="2"/>
      <c r="AI581" s="45"/>
      <c r="AJ581" s="375"/>
      <c r="AK581" s="15"/>
      <c r="AL581" s="15"/>
      <c r="AM581" s="45"/>
      <c r="AN581" s="15"/>
      <c r="AO581" s="13"/>
      <c r="AP581" s="15"/>
      <c r="AQ581" s="180">
        <f>B576*$F$14</f>
        <v>0</v>
      </c>
      <c r="AR581" s="15"/>
      <c r="AS581" s="13"/>
      <c r="AT581" s="15"/>
      <c r="AU581" s="45"/>
      <c r="AV581" s="15"/>
      <c r="AW581" s="13"/>
      <c r="AX581" s="15"/>
      <c r="AY581" s="45"/>
      <c r="AZ581" s="28"/>
      <c r="BA581" s="13"/>
      <c r="BB581" s="15"/>
      <c r="BC581" s="45"/>
      <c r="BD581" s="28"/>
      <c r="BE581" s="14"/>
      <c r="BF581" s="41">
        <f t="shared" ref="BF581:BG581" si="1712">K581+O581+S581+W581+AA581+AE581+AI581+AM581+AQ581+AU581+AY581+BC581</f>
        <v>0</v>
      </c>
      <c r="BG581" s="34">
        <f t="shared" si="1712"/>
        <v>0</v>
      </c>
      <c r="BH581" s="35">
        <f t="shared" si="1701"/>
        <v>0</v>
      </c>
      <c r="BK581" s="2" t="b">
        <f>H581='2021'!BH581</f>
        <v>1</v>
      </c>
    </row>
    <row r="582" ht="15.75" customHeight="1" spans="1:63" x14ac:dyDescent="0.25">
      <c r="A582" s="89" t="s">
        <v>237</v>
      </c>
      <c r="B582" s="14"/>
      <c r="D582" s="14" t="s">
        <v>52</v>
      </c>
      <c r="E582" s="2" t="s">
        <v>39</v>
      </c>
      <c r="F582" s="41">
        <v>500</v>
      </c>
      <c r="G582" s="28"/>
      <c r="H582" s="34">
        <f>'2021'!BH582</f>
        <v>0</v>
      </c>
      <c r="I582" s="13"/>
      <c r="J582" s="15"/>
      <c r="K582" s="15"/>
      <c r="L582" s="28"/>
      <c r="M582" s="13"/>
      <c r="N582" s="15"/>
      <c r="Q582" s="13"/>
      <c r="R582" s="15"/>
      <c r="S582" s="15"/>
      <c r="T582" s="28"/>
      <c r="U582" s="13"/>
      <c r="V582" s="15"/>
      <c r="Y582" s="13"/>
      <c r="Z582" s="2"/>
      <c r="AA582" s="34">
        <f>$F$15</f>
      </c>
      <c r="AB582" s="28"/>
      <c r="AC582" s="348"/>
      <c r="AD582" s="15"/>
      <c r="AF582" s="154"/>
      <c r="AG582" s="15"/>
      <c r="AH582" s="2"/>
      <c r="AI582" s="45"/>
      <c r="AJ582" s="375"/>
      <c r="AK582" s="15"/>
      <c r="AL582" s="15"/>
      <c r="AM582" s="45"/>
      <c r="AN582" s="15"/>
      <c r="AO582" s="13"/>
      <c r="AP582" s="15"/>
      <c r="AQ582" s="45"/>
      <c r="AR582" s="15"/>
      <c r="AS582" s="13"/>
      <c r="AT582" s="15"/>
      <c r="AU582" s="45"/>
      <c r="AV582" s="15"/>
      <c r="AW582" s="13"/>
      <c r="AX582" s="15"/>
      <c r="AY582" s="45"/>
      <c r="AZ582" s="35"/>
      <c r="BA582" s="13"/>
      <c r="BB582" s="15"/>
      <c r="BC582" s="45"/>
      <c r="BD582" s="35"/>
      <c r="BE582" s="14"/>
      <c r="BF582" s="41">
        <f t="shared" ref="BF582:BG582" si="1713">K582+O582+S582+W582+AA582+AE582+AI582+AM582+AQ582+AU582+AY582+BC582</f>
        <v>0</v>
      </c>
      <c r="BG582" s="34">
        <f t="shared" si="1713"/>
        <v>0</v>
      </c>
      <c r="BH582" s="35">
        <f t="shared" si="1701"/>
        <v>0</v>
      </c>
      <c r="BK582" s="2" t="b">
        <f>H582='2021'!BH582</f>
        <v>1</v>
      </c>
    </row>
    <row r="583" ht="15.75" customHeight="1" spans="1:63" x14ac:dyDescent="0.25">
      <c r="A583" s="243" t="s">
        <v>237</v>
      </c>
      <c r="B583" s="21"/>
      <c r="C583" s="22" t="s">
        <v>53</v>
      </c>
      <c r="D583" s="21"/>
      <c r="E583" s="22"/>
      <c r="F583" s="20"/>
      <c r="G583" s="23"/>
      <c r="H583" s="51">
        <f>SUM(H575:H582)</f>
        <v>3.53</v>
      </c>
      <c r="I583" s="52"/>
      <c r="J583" s="53"/>
      <c r="K583" s="51">
        <f t="shared" ref="K583:L583" si="1714">SUM(K575:K582)</f>
        <v>0</v>
      </c>
      <c r="L583" s="68">
        <f t="shared" si="1714"/>
        <v>0</v>
      </c>
      <c r="M583" s="52"/>
      <c r="N583" s="53"/>
      <c r="O583" s="51">
        <f t="shared" ref="O583:P583" si="1715">SUM(O575:O582)</f>
        <v>0</v>
      </c>
      <c r="P583" s="51">
        <f t="shared" si="1715"/>
        <v>0</v>
      </c>
      <c r="Q583" s="52"/>
      <c r="R583" s="53"/>
      <c r="S583" s="51">
        <f t="shared" ref="S583:T583" si="1716">SUM(S575:S582)</f>
        <v>0</v>
      </c>
      <c r="T583" s="51">
        <f t="shared" si="1716"/>
        <v>0</v>
      </c>
      <c r="U583" s="52"/>
      <c r="V583" s="53"/>
      <c r="W583" s="51">
        <f t="shared" ref="W583:X583" si="1717">SUM(W575:W582)</f>
        <v>0</v>
      </c>
      <c r="X583" s="51">
        <f t="shared" si="1717"/>
        <v>0</v>
      </c>
      <c r="Y583" s="52"/>
      <c r="Z583" s="301"/>
      <c r="AA583" s="51">
        <f t="shared" ref="AA583:AB583" si="1718">SUM(AA575:AA582)</f>
        <v>0</v>
      </c>
      <c r="AB583" s="51">
        <f t="shared" si="1718"/>
        <v>0</v>
      </c>
      <c r="AC583" s="367"/>
      <c r="AD583" s="53"/>
      <c r="AE583" s="51">
        <f t="shared" ref="AE583:AF583" si="1719">SUM(AE575:AE582)</f>
        <v>6213</v>
      </c>
      <c r="AF583" s="51">
        <f t="shared" si="1719"/>
        <v>0</v>
      </c>
      <c r="AG583" s="52"/>
      <c r="AH583" s="301"/>
      <c r="AI583" s="183">
        <f t="shared" ref="AI583:AJ583" si="1720">SUM(AI575:AI582)</f>
        <v>0</v>
      </c>
      <c r="AJ583" s="376">
        <f t="shared" si="1720"/>
        <v>5213</v>
      </c>
      <c r="AK583" s="52"/>
      <c r="AL583" s="53"/>
      <c r="AM583" s="183">
        <f t="shared" ref="AM583:AN583" si="1721">SUM(AM575:AM582)</f>
        <v>0</v>
      </c>
      <c r="AN583" s="51">
        <f t="shared" si="1721"/>
        <v>0</v>
      </c>
      <c r="AO583" s="52"/>
      <c r="AP583" s="53"/>
      <c r="AQ583" s="183">
        <f t="shared" ref="AQ583:AR583" si="1722">SUM(AQ575:AQ582)</f>
        <v>0</v>
      </c>
      <c r="AR583" s="51">
        <f t="shared" si="1722"/>
        <v>1000</v>
      </c>
      <c r="AS583" s="52"/>
      <c r="AT583" s="53"/>
      <c r="AU583" s="183">
        <f t="shared" ref="AU583:AV583" si="1723">SUM(AU575:AU582)</f>
        <v>0</v>
      </c>
      <c r="AV583" s="68">
        <f t="shared" si="1723"/>
        <v>0</v>
      </c>
      <c r="AW583" s="52"/>
      <c r="AX583" s="53"/>
      <c r="AY583" s="183">
        <f t="shared" ref="AY583:AZ583" si="1724">SUM(AY575:AY582)</f>
        <v>0</v>
      </c>
      <c r="AZ583" s="68">
        <f t="shared" si="1724"/>
        <v>0</v>
      </c>
      <c r="BA583" s="52"/>
      <c r="BB583" s="53"/>
      <c r="BC583" s="183">
        <f t="shared" ref="BC583:BD583" si="1725">SUM(BC575:BC582)</f>
        <v>0</v>
      </c>
      <c r="BD583" s="68">
        <f t="shared" si="1725"/>
        <v>0</v>
      </c>
      <c r="BE583" s="69"/>
      <c r="BF583" s="70">
        <f t="shared" ref="BF583:BH583" si="1726">SUM(BF575:BF582)</f>
        <v>6213</v>
      </c>
      <c r="BG583" s="71">
        <f t="shared" si="1726"/>
        <v>6213</v>
      </c>
      <c r="BH583" s="72">
        <f t="shared" si="1726"/>
        <v>3.53</v>
      </c>
      <c r="BI583" s="34">
        <f>H583+BF583-BG583</f>
        <v>3.53</v>
      </c>
      <c r="BJ583" s="34">
        <f>BH583-BI583</f>
        <v>0</v>
      </c>
      <c r="BK583" s="2" t="b">
        <f>H583='2021'!BH583</f>
        <v>1</v>
      </c>
    </row>
    <row r="584" ht="15.75" customHeight="1" spans="1:63" x14ac:dyDescent="0.25">
      <c r="A584" s="2">
        <v>64</v>
      </c>
      <c r="B584" s="14"/>
      <c r="D584" s="14" t="s">
        <v>379</v>
      </c>
      <c r="F584" s="13"/>
      <c r="G584" s="28"/>
      <c r="H584" s="34">
        <f>'2021'!BH584</f>
        <v>0</v>
      </c>
      <c r="I584" s="13"/>
      <c r="J584" s="15"/>
      <c r="K584" s="15"/>
      <c r="L584" s="28"/>
      <c r="M584" s="13"/>
      <c r="N584" s="15"/>
      <c r="Q584" s="13"/>
      <c r="R584" s="15"/>
      <c r="S584" s="15"/>
      <c r="T584" s="28"/>
      <c r="U584" s="13"/>
      <c r="V584" s="15"/>
      <c r="Y584" s="13"/>
      <c r="Z584" s="2"/>
      <c r="AA584" s="15"/>
      <c r="AB584" s="28"/>
      <c r="AC584" s="348"/>
      <c r="AD584" s="15"/>
      <c r="AG584" s="15"/>
      <c r="AH584" s="2"/>
      <c r="AI584" s="45"/>
      <c r="AJ584" s="15"/>
      <c r="AK584" s="15"/>
      <c r="AM584" s="45"/>
      <c r="AO584" s="13"/>
      <c r="AQ584" s="45"/>
      <c r="AS584" s="13"/>
      <c r="AU584" s="45"/>
      <c r="AW584" s="13"/>
      <c r="AY584" s="45"/>
      <c r="AZ584" s="28"/>
      <c r="BA584" s="13"/>
      <c r="BB584" s="15"/>
      <c r="BC584" s="45"/>
      <c r="BD584" s="28"/>
      <c r="BE584" s="14"/>
      <c r="BF584" s="41">
        <f t="shared" ref="BF584:BG584" si="1727">K584+O584+S584+W584+AA584+AE584+AI584+AM584+AQ584+AU584+AY584+BC584</f>
        <v>0</v>
      </c>
      <c r="BG584" s="34">
        <f t="shared" si="1727"/>
        <v>0</v>
      </c>
      <c r="BH584" s="35">
        <f t="shared" ref="BH584:BH591" si="1728">H584+BF584-BG584</f>
        <v>0</v>
      </c>
      <c r="BK584" s="2" t="b">
        <f>H584='2021'!BH584</f>
        <v>1</v>
      </c>
    </row>
    <row r="585" ht="15.75" customHeight="1" spans="1:63" x14ac:dyDescent="0.25">
      <c r="A585" s="2">
        <v>64</v>
      </c>
      <c r="B585" s="14">
        <v>4.24</v>
      </c>
      <c r="C585" s="2" t="s">
        <v>241</v>
      </c>
      <c r="D585" s="14" t="s">
        <v>44</v>
      </c>
      <c r="E585" s="2" t="s">
        <v>45</v>
      </c>
      <c r="F585" s="41">
        <v>2.5</v>
      </c>
      <c r="G585" s="35">
        <v>2.6</v>
      </c>
      <c r="H585" s="34">
        <f>'2021'!BH585</f>
        <v>-40.09</v>
      </c>
      <c r="I585" s="13">
        <v>467</v>
      </c>
      <c r="J585" s="15">
        <f>I585-'2021'!BA585</f>
        <v>0</v>
      </c>
      <c r="K585" s="34">
        <f>J585*$F$8</f>
        <v>0</v>
      </c>
      <c r="L585" s="28"/>
      <c r="M585" s="13">
        <v>467</v>
      </c>
      <c r="N585" s="15">
        <f t="shared" ref="N585:N586" si="1729">M585-I585</f>
        <v>0</v>
      </c>
      <c r="O585" s="34">
        <f>N585*$F$8</f>
        <v>0</v>
      </c>
      <c r="Q585" s="13">
        <v>467</v>
      </c>
      <c r="R585" s="15">
        <f t="shared" ref="R585:R586" si="1730">Q585-M585</f>
        <v>0</v>
      </c>
      <c r="S585" s="34">
        <f>R585*$F$8</f>
        <v>0</v>
      </c>
      <c r="T585" s="28"/>
      <c r="U585" s="13">
        <v>467</v>
      </c>
      <c r="V585" s="15">
        <f t="shared" ref="V585:V586" si="1731">U585-Q585</f>
        <v>0</v>
      </c>
      <c r="W585" s="34">
        <f>V585*$F$8</f>
        <v>0</v>
      </c>
      <c r="Y585" s="13">
        <v>481</v>
      </c>
      <c r="Z585" s="2">
        <f t="shared" ref="Z585:Z586" si="1732">Y585-U585</f>
        <v>14</v>
      </c>
      <c r="AA585" s="34">
        <f>Z585*$F$8</f>
        <v>37.8</v>
      </c>
      <c r="AB585" s="28"/>
      <c r="AC585" s="348">
        <v>498</v>
      </c>
      <c r="AD585" s="15">
        <f t="shared" ref="AD585:AD586" si="1733">AC585-Y585</f>
        <v>17</v>
      </c>
      <c r="AE585" s="180">
        <f>AD585*$F$8</f>
        <v>45.9</v>
      </c>
      <c r="AF585" s="326">
        <v>300</v>
      </c>
      <c r="AG585" s="15">
        <v>512</v>
      </c>
      <c r="AH585" s="2">
        <f>(AG585-AC585)*AH5</f>
        <v>14.784</v>
      </c>
      <c r="AI585" s="45">
        <f>AH585*$G$8</f>
        <v>36.36864</v>
      </c>
      <c r="AJ585" s="180"/>
      <c r="AK585" s="15">
        <v>528</v>
      </c>
      <c r="AL585" s="15">
        <f>(AK585-AG585)*AL5</f>
        <v>16.448</v>
      </c>
      <c r="AM585" s="45">
        <f>AL585*$G$8</f>
        <v>40.46208</v>
      </c>
      <c r="AN585" s="39"/>
      <c r="AO585" s="13">
        <v>537</v>
      </c>
      <c r="AP585" s="15">
        <f>(AO585-AK585)*AP5</f>
        <v>9.297</v>
      </c>
      <c r="AQ585" s="45">
        <f>AP585*$G$8</f>
        <v>22.87062</v>
      </c>
      <c r="AR585" s="15"/>
      <c r="AS585" s="13">
        <v>538</v>
      </c>
      <c r="AT585" s="15">
        <f>(AS585-AO585)*AT5</f>
        <v>1.05</v>
      </c>
      <c r="AU585" s="45">
        <f>AT585*$G$8</f>
        <v>2.583</v>
      </c>
      <c r="AV585" s="15"/>
      <c r="AW585" s="13"/>
      <c r="AX585" s="15">
        <f>(AW585-AS585)*AX5</f>
        <v>0</v>
      </c>
      <c r="AY585" s="45">
        <f>AX585*$G$8</f>
        <v>0</v>
      </c>
      <c r="AZ585" s="208"/>
      <c r="BA585" s="13"/>
      <c r="BB585" s="15"/>
      <c r="BC585" s="45">
        <f>BB585*$G$8</f>
        <v>0</v>
      </c>
      <c r="BD585" s="208"/>
      <c r="BE585" s="40">
        <f t="shared" ref="BE585:BG585" si="1734">J585+N585+R585+V585+Z585+AD585+AH585+AL585+AP585+AT585+AX585+BB585</f>
        <v>72.579</v>
      </c>
      <c r="BF585" s="41">
        <f t="shared" si="1734"/>
        <v>185.98434</v>
      </c>
      <c r="BG585" s="34">
        <f t="shared" si="1734"/>
        <v>300</v>
      </c>
      <c r="BH585" s="35">
        <f t="shared" si="1728"/>
        <v>-154.10566</v>
      </c>
      <c r="BK585" s="2" t="b">
        <f>H585='2021'!BH585</f>
        <v>1</v>
      </c>
    </row>
    <row r="586" ht="15.75" customHeight="1" spans="1:63" x14ac:dyDescent="0.25">
      <c r="A586" s="2">
        <v>64</v>
      </c>
      <c r="B586" s="14"/>
      <c r="C586" s="2" t="s">
        <v>153</v>
      </c>
      <c r="D586" s="14" t="s">
        <v>47</v>
      </c>
      <c r="E586" s="2" t="s">
        <v>48</v>
      </c>
      <c r="F586" s="13">
        <v>18.56</v>
      </c>
      <c r="G586" s="35">
        <v>19.46</v>
      </c>
      <c r="H586" s="34">
        <f>'2021'!BH586</f>
        <v>145.48</v>
      </c>
      <c r="I586" s="13">
        <v>74</v>
      </c>
      <c r="J586" s="15"/>
      <c r="K586" s="15"/>
      <c r="L586" s="28"/>
      <c r="M586" s="13">
        <v>74</v>
      </c>
      <c r="N586" s="15">
        <f t="shared" si="1729"/>
        <v>0</v>
      </c>
      <c r="Q586" s="13">
        <v>74</v>
      </c>
      <c r="R586" s="15">
        <f t="shared" si="1730"/>
        <v>0</v>
      </c>
      <c r="S586" s="15"/>
      <c r="T586" s="28"/>
      <c r="U586" s="13">
        <v>74</v>
      </c>
      <c r="V586" s="15">
        <f t="shared" si="1731"/>
        <v>0</v>
      </c>
      <c r="W586" s="180">
        <f>V586*$F$10</f>
        <v>0</v>
      </c>
      <c r="Y586" s="13">
        <v>74</v>
      </c>
      <c r="Z586" s="2">
        <f t="shared" si="1732"/>
        <v>0</v>
      </c>
      <c r="AA586" s="34">
        <f>Z586*$F$10</f>
        <v>0</v>
      </c>
      <c r="AB586" s="35"/>
      <c r="AC586" s="348">
        <v>88</v>
      </c>
      <c r="AD586" s="15">
        <f t="shared" si="1733"/>
        <v>14</v>
      </c>
      <c r="AE586" s="34">
        <f>AD586*$F$10</f>
        <v>284.9</v>
      </c>
      <c r="AF586" s="326">
        <v>700</v>
      </c>
      <c r="AG586" s="15">
        <v>93</v>
      </c>
      <c r="AH586" s="2">
        <f>AG586-AC586</f>
        <v>5</v>
      </c>
      <c r="AI586" s="45">
        <f>AH586*$G$10</f>
        <v>107</v>
      </c>
      <c r="AJ586" s="180"/>
      <c r="AK586" s="15">
        <v>99</v>
      </c>
      <c r="AL586" s="15">
        <f>AK586-AG586</f>
        <v>6</v>
      </c>
      <c r="AM586" s="45">
        <f>AL586*$G$10</f>
        <v>128.4</v>
      </c>
      <c r="AN586" s="39"/>
      <c r="AO586" s="13">
        <v>102</v>
      </c>
      <c r="AP586" s="15">
        <f>AO586-AK586</f>
        <v>3</v>
      </c>
      <c r="AQ586" s="45">
        <f>AP586*$G$10</f>
        <v>64.2</v>
      </c>
      <c r="AR586" s="15"/>
      <c r="AS586" s="13">
        <v>102</v>
      </c>
      <c r="AT586" s="15">
        <f>AS586-AO586</f>
        <v>0</v>
      </c>
      <c r="AU586" s="45">
        <f>AT586*$G$10</f>
        <v>0</v>
      </c>
      <c r="AV586" s="15"/>
      <c r="AW586" s="13"/>
      <c r="AX586" s="15">
        <f>AW586-AS586</f>
        <v>-102</v>
      </c>
      <c r="AY586" s="45"/>
      <c r="AZ586" s="208"/>
      <c r="BA586" s="13"/>
      <c r="BB586" s="15"/>
      <c r="BC586" s="45"/>
      <c r="BD586" s="208"/>
      <c r="BE586" s="40">
        <f t="shared" ref="BE586:BG586" si="1735">J586+N586+R586+V586+Z586+AD586+AH586+AL586+AP586+AT586+AX586+BB586</f>
        <v>-74</v>
      </c>
      <c r="BF586" s="41">
        <f t="shared" si="1735"/>
        <v>584.5</v>
      </c>
      <c r="BG586" s="34">
        <f t="shared" si="1735"/>
        <v>700</v>
      </c>
      <c r="BH586" s="35">
        <f t="shared" si="1728"/>
        <v>29.98</v>
      </c>
      <c r="BK586" s="2" t="b">
        <f>H586='2021'!BH586</f>
        <v>1</v>
      </c>
    </row>
    <row r="587" ht="15.75" customHeight="1" spans="1:63" x14ac:dyDescent="0.25">
      <c r="A587" s="2">
        <v>64</v>
      </c>
      <c r="B587" s="14"/>
      <c r="C587" s="2" t="s">
        <v>242</v>
      </c>
      <c r="D587" s="14" t="s">
        <v>47</v>
      </c>
      <c r="E587" s="2" t="s">
        <v>49</v>
      </c>
      <c r="F587" s="41">
        <v>500</v>
      </c>
      <c r="G587" s="28"/>
      <c r="H587" s="34">
        <f>'2021'!BH587</f>
        <v>0</v>
      </c>
      <c r="I587" s="13"/>
      <c r="J587" s="15"/>
      <c r="K587" s="15"/>
      <c r="L587" s="28"/>
      <c r="M587" s="13"/>
      <c r="N587" s="15"/>
      <c r="Q587" s="13"/>
      <c r="R587" s="15"/>
      <c r="S587" s="15"/>
      <c r="T587" s="28"/>
      <c r="U587" s="13"/>
      <c r="V587" s="15"/>
      <c r="Y587" s="13"/>
      <c r="Z587" s="2"/>
      <c r="AA587" s="15"/>
      <c r="AB587" s="28"/>
      <c r="AC587" s="348"/>
      <c r="AD587" s="15"/>
      <c r="AG587" s="15"/>
      <c r="AH587" s="2"/>
      <c r="AI587" s="45"/>
      <c r="AJ587" s="15"/>
      <c r="AK587" s="15"/>
      <c r="AL587" s="15"/>
      <c r="AM587" s="45"/>
      <c r="AN587" s="15"/>
      <c r="AO587" s="13"/>
      <c r="AP587" s="15"/>
      <c r="AQ587" s="45"/>
      <c r="AR587" s="15"/>
      <c r="AS587" s="13"/>
      <c r="AT587" s="15"/>
      <c r="AU587" s="45"/>
      <c r="AV587" s="15"/>
      <c r="AW587" s="13"/>
      <c r="AX587" s="15"/>
      <c r="AY587" s="45"/>
      <c r="AZ587" s="28"/>
      <c r="BA587" s="13"/>
      <c r="BB587" s="15"/>
      <c r="BC587" s="45"/>
      <c r="BD587" s="28"/>
      <c r="BE587" s="14"/>
      <c r="BF587" s="41">
        <f t="shared" ref="BF587:BG587" si="1736">K587+O587+S587+W587+AA587+AE587+AI587+AM587+AQ587+AU587+AY587+BC587</f>
        <v>0</v>
      </c>
      <c r="BG587" s="34">
        <f t="shared" si="1736"/>
        <v>0</v>
      </c>
      <c r="BH587" s="35">
        <f t="shared" si="1728"/>
        <v>0</v>
      </c>
      <c r="BK587" s="2" t="b">
        <f>H587='2021'!BH587</f>
        <v>1</v>
      </c>
    </row>
    <row r="588" ht="15.75" customHeight="1" spans="1:63" x14ac:dyDescent="0.25">
      <c r="A588" s="2">
        <v>64</v>
      </c>
      <c r="B588" s="14"/>
      <c r="C588" s="2" t="s">
        <v>243</v>
      </c>
      <c r="D588" s="14" t="s">
        <v>50</v>
      </c>
      <c r="E588" s="2" t="s">
        <v>49</v>
      </c>
      <c r="F588" s="41">
        <v>1100</v>
      </c>
      <c r="G588" s="28"/>
      <c r="H588" s="34">
        <f>'2021'!BH588</f>
        <v>0</v>
      </c>
      <c r="I588" s="13"/>
      <c r="J588" s="15"/>
      <c r="K588" s="15"/>
      <c r="L588" s="28"/>
      <c r="M588" s="13"/>
      <c r="N588" s="15"/>
      <c r="Q588" s="13"/>
      <c r="R588" s="15"/>
      <c r="S588" s="15"/>
      <c r="T588" s="28"/>
      <c r="U588" s="13"/>
      <c r="V588" s="15"/>
      <c r="Y588" s="13"/>
      <c r="Z588" s="2"/>
      <c r="AA588" s="15"/>
      <c r="AB588" s="28"/>
      <c r="AC588" s="348"/>
      <c r="AD588" s="15"/>
      <c r="AE588" s="34">
        <f>B585*$F$12</f>
        <v>5512</v>
      </c>
      <c r="AF588" s="180"/>
      <c r="AG588" s="15"/>
      <c r="AH588" s="2"/>
      <c r="AI588" s="45"/>
      <c r="AJ588" s="136">
        <v>2550</v>
      </c>
      <c r="AK588" s="15"/>
      <c r="AL588" s="15"/>
      <c r="AM588" s="45"/>
      <c r="AN588" s="182">
        <v>2962</v>
      </c>
      <c r="AO588" s="13"/>
      <c r="AP588" s="15"/>
      <c r="AQ588" s="45"/>
      <c r="AR588" s="15"/>
      <c r="AS588" s="13"/>
      <c r="AT588" s="15"/>
      <c r="AU588" s="45"/>
      <c r="AV588" s="15"/>
      <c r="AW588" s="13"/>
      <c r="AX588" s="15"/>
      <c r="AY588" s="45"/>
      <c r="AZ588" s="28"/>
      <c r="BA588" s="13"/>
      <c r="BB588" s="15"/>
      <c r="BC588" s="45"/>
      <c r="BD588" s="28"/>
      <c r="BE588" s="14"/>
      <c r="BF588" s="41">
        <f t="shared" ref="BF588:BG588" si="1737">K588+O588+S588+W588+AA588+AE588+AI588+AM588+AQ588+AU588+AY588+BC588</f>
        <v>5512</v>
      </c>
      <c r="BG588" s="34">
        <f t="shared" si="1737"/>
        <v>5512</v>
      </c>
      <c r="BH588" s="35">
        <f t="shared" si="1728"/>
        <v>0</v>
      </c>
      <c r="BK588" s="2" t="b">
        <f>H588='2021'!BH588</f>
        <v>1</v>
      </c>
    </row>
    <row r="589" ht="15.75" customHeight="1" spans="1:63" x14ac:dyDescent="0.25">
      <c r="A589" s="2">
        <v>64</v>
      </c>
      <c r="B589" s="14"/>
      <c r="D589" s="14" t="s">
        <v>51</v>
      </c>
      <c r="E589" s="2" t="s">
        <v>39</v>
      </c>
      <c r="F589" s="41">
        <v>500</v>
      </c>
      <c r="G589" s="28"/>
      <c r="H589" s="34">
        <f>'2021'!BH589</f>
        <v>0</v>
      </c>
      <c r="I589" s="13"/>
      <c r="J589" s="15"/>
      <c r="K589" s="15"/>
      <c r="L589" s="28"/>
      <c r="M589" s="13"/>
      <c r="N589" s="15"/>
      <c r="Q589" s="13"/>
      <c r="R589" s="15"/>
      <c r="S589" s="15"/>
      <c r="T589" s="28"/>
      <c r="U589" s="13"/>
      <c r="V589" s="15"/>
      <c r="Y589" s="13"/>
      <c r="Z589" s="2"/>
      <c r="AA589" s="15"/>
      <c r="AB589" s="28"/>
      <c r="AC589" s="348"/>
      <c r="AD589" s="15"/>
      <c r="AE589" s="180">
        <f>$F$13</f>
        <v>1000</v>
      </c>
      <c r="AF589" s="306">
        <v>1000</v>
      </c>
      <c r="AG589" s="15"/>
      <c r="AH589" s="2"/>
      <c r="AI589" s="45"/>
      <c r="AJ589" s="180"/>
      <c r="AK589" s="15"/>
      <c r="AL589" s="15"/>
      <c r="AM589" s="45"/>
      <c r="AN589" s="1"/>
      <c r="AO589" s="13"/>
      <c r="AP589" s="15"/>
      <c r="AQ589" s="180"/>
      <c r="AR589" s="15"/>
      <c r="AS589" s="13"/>
      <c r="AT589" s="15"/>
      <c r="AU589" s="45"/>
      <c r="AV589" s="15"/>
      <c r="AW589" s="13"/>
      <c r="AX589" s="15"/>
      <c r="AY589" s="45"/>
      <c r="AZ589" s="28"/>
      <c r="BA589" s="13"/>
      <c r="BB589" s="15"/>
      <c r="BC589" s="45"/>
      <c r="BD589" s="28"/>
      <c r="BE589" s="14"/>
      <c r="BF589" s="41">
        <f t="shared" ref="BF589:BG589" si="1738">K589+O589+S589+W589+AA589+AE589+AI589+AM589+AQ589+AU589+AY589+BC589</f>
        <v>1000</v>
      </c>
      <c r="BG589" s="34">
        <f t="shared" si="1738"/>
        <v>1000</v>
      </c>
      <c r="BH589" s="35">
        <f t="shared" si="1728"/>
        <v>0</v>
      </c>
      <c r="BK589" s="2" t="b">
        <f>H589='2021'!BH589</f>
        <v>1</v>
      </c>
    </row>
    <row r="590" ht="15.75" customHeight="1" spans="1:63" x14ac:dyDescent="0.25">
      <c r="A590" s="2">
        <v>64</v>
      </c>
      <c r="B590" s="14"/>
      <c r="D590" s="14" t="s">
        <v>51</v>
      </c>
      <c r="E590" s="2" t="s">
        <v>49</v>
      </c>
      <c r="F590" s="41">
        <v>500</v>
      </c>
      <c r="G590" s="28"/>
      <c r="H590" s="34">
        <f>'2021'!BH590</f>
        <v>0</v>
      </c>
      <c r="I590" s="13"/>
      <c r="J590" s="15"/>
      <c r="K590" s="15"/>
      <c r="L590" s="28"/>
      <c r="M590" s="13"/>
      <c r="N590" s="15"/>
      <c r="Q590" s="13"/>
      <c r="R590" s="15"/>
      <c r="S590" s="15"/>
      <c r="T590" s="28"/>
      <c r="U590" s="13"/>
      <c r="V590" s="15"/>
      <c r="Y590" s="13"/>
      <c r="Z590" s="2"/>
      <c r="AA590" s="15"/>
      <c r="AB590" s="32"/>
      <c r="AC590" s="348"/>
      <c r="AD590" s="15"/>
      <c r="AE590" s="34"/>
      <c r="AG590" s="15"/>
      <c r="AH590" s="2"/>
      <c r="AI590" s="45"/>
      <c r="AJ590" s="180"/>
      <c r="AK590" s="15"/>
      <c r="AL590" s="15"/>
      <c r="AM590" s="45"/>
      <c r="AN590" s="15"/>
      <c r="AO590" s="13"/>
      <c r="AP590" s="15"/>
      <c r="AQ590" s="180">
        <f>B585*$F$14</f>
        <v>0</v>
      </c>
      <c r="AR590" s="15"/>
      <c r="AS590" s="13"/>
      <c r="AT590" s="15"/>
      <c r="AU590" s="45"/>
      <c r="AV590" s="15"/>
      <c r="AW590" s="13"/>
      <c r="AX590" s="15"/>
      <c r="AY590" s="45"/>
      <c r="AZ590" s="28"/>
      <c r="BA590" s="13"/>
      <c r="BB590" s="15"/>
      <c r="BC590" s="45"/>
      <c r="BD590" s="28"/>
      <c r="BE590" s="14"/>
      <c r="BF590" s="41">
        <f t="shared" ref="BF590:BG590" si="1739">K590+O590+S590+W590+AA590+AE590+AI590+AM590+AQ590+AU590+AY590+BC590</f>
        <v>0</v>
      </c>
      <c r="BG590" s="34">
        <f t="shared" si="1739"/>
        <v>0</v>
      </c>
      <c r="BH590" s="35">
        <f t="shared" si="1728"/>
        <v>0</v>
      </c>
      <c r="BK590" s="2" t="b">
        <f>H590='2021'!BH590</f>
        <v>1</v>
      </c>
    </row>
    <row r="591" ht="15.75" customHeight="1" spans="1:63" x14ac:dyDescent="0.25">
      <c r="A591" s="2">
        <v>64</v>
      </c>
      <c r="B591" s="14"/>
      <c r="D591" s="14" t="s">
        <v>52</v>
      </c>
      <c r="E591" s="2" t="s">
        <v>39</v>
      </c>
      <c r="F591" s="41">
        <v>500</v>
      </c>
      <c r="G591" s="28"/>
      <c r="H591" s="34">
        <f>'2021'!BH591</f>
        <v>0</v>
      </c>
      <c r="I591" s="13"/>
      <c r="J591" s="15"/>
      <c r="K591" s="15"/>
      <c r="L591" s="28"/>
      <c r="M591" s="13"/>
      <c r="N591" s="15"/>
      <c r="Q591" s="13"/>
      <c r="R591" s="15"/>
      <c r="S591" s="15"/>
      <c r="T591" s="28"/>
      <c r="U591" s="13"/>
      <c r="V591" s="15"/>
      <c r="Y591" s="13"/>
      <c r="Z591" s="2"/>
      <c r="AA591" s="34">
        <f>$F$15</f>
      </c>
      <c r="AB591" s="28"/>
      <c r="AC591" s="348"/>
      <c r="AD591" s="15"/>
      <c r="AF591" s="180"/>
      <c r="AG591" s="15"/>
      <c r="AH591" s="2"/>
      <c r="AI591" s="45"/>
      <c r="AJ591" s="15"/>
      <c r="AK591" s="15"/>
      <c r="AL591" s="15"/>
      <c r="AM591" s="45"/>
      <c r="AN591" s="34"/>
      <c r="AO591" s="13"/>
      <c r="AP591" s="15"/>
      <c r="AQ591" s="45"/>
      <c r="AR591" s="15"/>
      <c r="AS591" s="13"/>
      <c r="AT591" s="15"/>
      <c r="AU591" s="45"/>
      <c r="AV591" s="15"/>
      <c r="AW591" s="13"/>
      <c r="AX591" s="15"/>
      <c r="AY591" s="45"/>
      <c r="AZ591" s="35"/>
      <c r="BA591" s="13"/>
      <c r="BB591" s="15"/>
      <c r="BC591" s="45"/>
      <c r="BD591" s="35"/>
      <c r="BE591" s="14"/>
      <c r="BF591" s="41">
        <f t="shared" ref="BF591:BG591" si="1740">K591+O591+S591+W591+AA591+AE591+AI591+AM591+AQ591+AU591+AY591+BC591</f>
        <v>0</v>
      </c>
      <c r="BG591" s="34">
        <f t="shared" si="1740"/>
        <v>0</v>
      </c>
      <c r="BH591" s="35">
        <f t="shared" si="1728"/>
        <v>0</v>
      </c>
      <c r="BK591" s="2" t="b">
        <f>H591='2021'!BH591</f>
        <v>1</v>
      </c>
    </row>
    <row r="592" ht="15.75" customHeight="1" spans="1:63" x14ac:dyDescent="0.25">
      <c r="A592" s="247">
        <v>64</v>
      </c>
      <c r="B592" s="21"/>
      <c r="C592" s="22" t="s">
        <v>53</v>
      </c>
      <c r="D592" s="21"/>
      <c r="E592" s="22"/>
      <c r="F592" s="20"/>
      <c r="G592" s="23"/>
      <c r="H592" s="51">
        <f>SUM(H584:H591)</f>
        <v>105.39</v>
      </c>
      <c r="I592" s="52"/>
      <c r="J592" s="53"/>
      <c r="K592" s="51">
        <f t="shared" ref="K592:L592" si="1741">SUM(K584:K591)</f>
        <v>0</v>
      </c>
      <c r="L592" s="68">
        <f t="shared" si="1741"/>
        <v>0</v>
      </c>
      <c r="M592" s="52"/>
      <c r="N592" s="53"/>
      <c r="O592" s="51">
        <f t="shared" ref="O592:P592" si="1742">SUM(O584:O591)</f>
        <v>0</v>
      </c>
      <c r="P592" s="51">
        <f t="shared" si="1742"/>
        <v>0</v>
      </c>
      <c r="Q592" s="52"/>
      <c r="R592" s="53"/>
      <c r="S592" s="51">
        <f t="shared" ref="S592:T592" si="1743">SUM(S584:S591)</f>
        <v>0</v>
      </c>
      <c r="T592" s="51">
        <f t="shared" si="1743"/>
        <v>0</v>
      </c>
      <c r="U592" s="52"/>
      <c r="V592" s="53"/>
      <c r="W592" s="51">
        <f t="shared" ref="W592:X592" si="1744">SUM(W584:W591)</f>
        <v>0</v>
      </c>
      <c r="X592" s="51">
        <f t="shared" si="1744"/>
        <v>0</v>
      </c>
      <c r="Y592" s="52"/>
      <c r="Z592" s="301"/>
      <c r="AA592" s="51">
        <f t="shared" ref="AA592:AB592" si="1745">SUM(AA584:AA591)</f>
        <v>37.8</v>
      </c>
      <c r="AB592" s="51">
        <f t="shared" si="1745"/>
        <v>0</v>
      </c>
      <c r="AC592" s="367"/>
      <c r="AD592" s="53"/>
      <c r="AE592" s="51">
        <f t="shared" ref="AE592:AF592" si="1746">SUM(AE584:AE591)</f>
        <v>6842.8</v>
      </c>
      <c r="AF592" s="51">
        <f t="shared" si="1746"/>
        <v>2000</v>
      </c>
      <c r="AG592" s="52"/>
      <c r="AH592" s="301"/>
      <c r="AI592" s="183">
        <f t="shared" ref="AI592:AJ592" si="1747">SUM(AI584:AI591)</f>
        <v>143.36864</v>
      </c>
      <c r="AJ592" s="51">
        <f t="shared" si="1747"/>
        <v>2550</v>
      </c>
      <c r="AK592" s="52"/>
      <c r="AL592" s="53"/>
      <c r="AM592" s="183">
        <f t="shared" ref="AM592:AN592" si="1748">SUM(AM584:AM591)</f>
        <v>168.86208</v>
      </c>
      <c r="AN592" s="51">
        <f t="shared" si="1748"/>
        <v>2962</v>
      </c>
      <c r="AO592" s="52"/>
      <c r="AP592" s="53"/>
      <c r="AQ592" s="183">
        <f t="shared" ref="AQ592:AR592" si="1749">SUM(AQ584:AQ591)</f>
        <v>87.07062</v>
      </c>
      <c r="AR592" s="51">
        <f t="shared" si="1749"/>
        <v>0</v>
      </c>
      <c r="AS592" s="52"/>
      <c r="AT592" s="53"/>
      <c r="AU592" s="183">
        <f t="shared" ref="AU592:AV592" si="1750">SUM(AU584:AU591)</f>
        <v>2.583</v>
      </c>
      <c r="AV592" s="68">
        <f t="shared" si="1750"/>
        <v>0</v>
      </c>
      <c r="AW592" s="52"/>
      <c r="AX592" s="53"/>
      <c r="AY592" s="183">
        <f t="shared" ref="AY592:AZ592" si="1751">SUM(AY584:AY591)</f>
        <v>0</v>
      </c>
      <c r="AZ592" s="68">
        <f t="shared" si="1751"/>
        <v>0</v>
      </c>
      <c r="BA592" s="52"/>
      <c r="BB592" s="53"/>
      <c r="BC592" s="183">
        <f t="shared" ref="BC592:BD592" si="1752">SUM(BC584:BC591)</f>
        <v>0</v>
      </c>
      <c r="BD592" s="68">
        <f t="shared" si="1752"/>
        <v>0</v>
      </c>
      <c r="BE592" s="69"/>
      <c r="BF592" s="70">
        <f t="shared" ref="BF592:BH592" si="1753">SUM(BF584:BF591)</f>
        <v>7282.48434</v>
      </c>
      <c r="BG592" s="71">
        <f t="shared" si="1753"/>
        <v>7512</v>
      </c>
      <c r="BH592" s="72">
        <f t="shared" si="1753"/>
        <v>-124.12566</v>
      </c>
      <c r="BI592" s="34">
        <f>H592+BF592-BG592</f>
        <v>-124.12566</v>
      </c>
      <c r="BJ592" s="34">
        <f>BH592-BI592</f>
        <v>0</v>
      </c>
      <c r="BK592" s="2" t="b">
        <f>H592='2021'!BH592</f>
        <v>1</v>
      </c>
    </row>
    <row r="593" ht="15.75" customHeight="1" spans="1:63" x14ac:dyDescent="0.25">
      <c r="A593" s="2">
        <v>66</v>
      </c>
      <c r="B593" s="14"/>
      <c r="D593" s="14" t="s">
        <v>379</v>
      </c>
      <c r="F593" s="13"/>
      <c r="G593" s="28"/>
      <c r="H593" s="34">
        <f>'2021'!BH593</f>
        <v>0</v>
      </c>
      <c r="I593" s="13"/>
      <c r="J593" s="15"/>
      <c r="K593" s="15"/>
      <c r="L593" s="28"/>
      <c r="M593" s="13"/>
      <c r="N593" s="15"/>
      <c r="Q593" s="13"/>
      <c r="R593" s="15"/>
      <c r="S593" s="15"/>
      <c r="T593" s="28"/>
      <c r="U593" s="13"/>
      <c r="V593" s="15"/>
      <c r="W593" s="2"/>
      <c r="Y593" s="13"/>
      <c r="Z593" s="2"/>
      <c r="AA593" s="15"/>
      <c r="AB593" s="28"/>
      <c r="AC593" s="348"/>
      <c r="AD593" s="15"/>
      <c r="AG593" s="15"/>
      <c r="AH593" s="2"/>
      <c r="AI593" s="45"/>
      <c r="AJ593" s="154"/>
      <c r="AK593" s="15"/>
      <c r="AM593" s="45"/>
      <c r="AO593" s="13"/>
      <c r="AQ593" s="180"/>
      <c r="AS593" s="13"/>
      <c r="AU593" s="180"/>
      <c r="AW593" s="13"/>
      <c r="AY593" s="180"/>
      <c r="AZ593" s="28"/>
      <c r="BA593" s="13"/>
      <c r="BB593" s="15"/>
      <c r="BC593" s="180"/>
      <c r="BD593" s="28"/>
      <c r="BE593" s="14"/>
      <c r="BF593" s="41">
        <f t="shared" ref="BF593:BG593" si="1754">K593+O593+S593+W593+AA593+AE593+AI593+AM593+AQ593+AU593+AY593+BC593</f>
        <v>0</v>
      </c>
      <c r="BG593" s="34">
        <f t="shared" si="1754"/>
        <v>0</v>
      </c>
      <c r="BH593" s="35">
        <f t="shared" ref="BH593:BH600" si="1755">H593+BF593-BG593</f>
        <v>0</v>
      </c>
      <c r="BK593" s="2" t="b">
        <f>H593='2021'!BH593</f>
        <v>1</v>
      </c>
    </row>
    <row r="594" ht="15.75" customHeight="1" spans="1:63" x14ac:dyDescent="0.25">
      <c r="A594" s="2">
        <v>66</v>
      </c>
      <c r="B594" s="14">
        <v>4.66</v>
      </c>
      <c r="C594" s="2" t="s">
        <v>244</v>
      </c>
      <c r="D594" s="14" t="s">
        <v>44</v>
      </c>
      <c r="E594" s="2" t="s">
        <v>45</v>
      </c>
      <c r="F594" s="41">
        <v>2.5</v>
      </c>
      <c r="G594" s="35">
        <v>2.6</v>
      </c>
      <c r="H594" s="34">
        <f>'2021'!BH594</f>
        <v>2.7</v>
      </c>
      <c r="I594" s="13">
        <v>2</v>
      </c>
      <c r="J594" s="15">
        <f>I594-'2021'!BA594</f>
        <v>0</v>
      </c>
      <c r="K594" s="34">
        <f>J594*$F$8</f>
        <v>0</v>
      </c>
      <c r="L594" s="28"/>
      <c r="M594" s="13">
        <v>2</v>
      </c>
      <c r="N594" s="15">
        <f t="shared" ref="N594:N595" si="1756">M594-I594</f>
        <v>0</v>
      </c>
      <c r="O594" s="34">
        <f>N594*$F$8</f>
        <v>0</v>
      </c>
      <c r="Q594" s="13">
        <v>2</v>
      </c>
      <c r="R594" s="15">
        <f t="shared" ref="R594:R595" si="1757">Q594-M594</f>
        <v>0</v>
      </c>
      <c r="S594" s="34">
        <f>R594*$F$8</f>
        <v>0</v>
      </c>
      <c r="T594" s="28"/>
      <c r="U594" s="13">
        <v>2</v>
      </c>
      <c r="V594" s="15">
        <f t="shared" ref="V594:V595" si="1758">U594-Q594</f>
        <v>0</v>
      </c>
      <c r="W594" s="34">
        <f>V594*$F$8</f>
        <v>0</v>
      </c>
      <c r="Y594" s="13">
        <v>2</v>
      </c>
      <c r="Z594" s="2">
        <f t="shared" ref="Z594:Z595" si="1759">Y594-U594</f>
        <v>0</v>
      </c>
      <c r="AA594" s="34">
        <f>Z594*$F$8</f>
        <v>0</v>
      </c>
      <c r="AB594" s="28"/>
      <c r="AC594" s="348">
        <v>2</v>
      </c>
      <c r="AD594" s="15">
        <f t="shared" ref="AD594:AD595" si="1760">AC594-Y594</f>
        <v>0</v>
      </c>
      <c r="AE594" s="180">
        <f>AD594*$F$8</f>
        <v>0</v>
      </c>
      <c r="AG594" s="15">
        <v>2</v>
      </c>
      <c r="AH594" s="2">
        <f>(AG594-AC594)*AH5</f>
        <v>0</v>
      </c>
      <c r="AI594" s="45">
        <f>AH594*$G$8</f>
        <v>0</v>
      </c>
      <c r="AJ594" s="154"/>
      <c r="AK594" s="15">
        <v>2</v>
      </c>
      <c r="AL594" s="15">
        <f>(AK594-AG594)*AL5</f>
        <v>0</v>
      </c>
      <c r="AM594" s="45">
        <f>AL594*$G$8</f>
        <v>0</v>
      </c>
      <c r="AN594" s="15"/>
      <c r="AO594" s="13">
        <v>2</v>
      </c>
      <c r="AP594" s="15">
        <f>(AO594-AK594)*AP5</f>
        <v>0</v>
      </c>
      <c r="AQ594" s="45">
        <f>AP594*$G$8</f>
        <v>0</v>
      </c>
      <c r="AR594" s="15"/>
      <c r="AS594" s="13">
        <v>2</v>
      </c>
      <c r="AT594" s="15">
        <f>(AS594-AO594)*AT5</f>
        <v>0</v>
      </c>
      <c r="AU594" s="45">
        <f>AT594*$G$8</f>
        <v>0</v>
      </c>
      <c r="AV594" s="15"/>
      <c r="AW594" s="13"/>
      <c r="AX594" s="15">
        <f>(AW594-AS594)*AX5</f>
        <v>0</v>
      </c>
      <c r="AY594" s="45">
        <f>AX594*$G$8</f>
        <v>0</v>
      </c>
      <c r="AZ594" s="208"/>
      <c r="BA594" s="13"/>
      <c r="BB594" s="15"/>
      <c r="BC594" s="45">
        <f>BB594*$G$8</f>
        <v>0</v>
      </c>
      <c r="BD594" s="208"/>
      <c r="BE594" s="40">
        <f t="shared" ref="BE594:BG594" si="1761">J594+N594+R594+V594+Z594+AD594+AH594+AL594+AP594+AT594+AX594+BB594</f>
        <v>0</v>
      </c>
      <c r="BF594" s="41">
        <f t="shared" si="1761"/>
        <v>0</v>
      </c>
      <c r="BG594" s="34">
        <f t="shared" si="1761"/>
        <v>0</v>
      </c>
      <c r="BH594" s="35">
        <f t="shared" si="1755"/>
        <v>2.7</v>
      </c>
      <c r="BK594" s="2" t="b">
        <f>H594='2021'!BH594</f>
        <v>1</v>
      </c>
    </row>
    <row r="595" ht="15.75" customHeight="1" spans="1:63" x14ac:dyDescent="0.25">
      <c r="A595" s="2">
        <v>66</v>
      </c>
      <c r="B595" s="14"/>
      <c r="C595" s="2" t="s">
        <v>87</v>
      </c>
      <c r="D595" s="14" t="s">
        <v>47</v>
      </c>
      <c r="E595" s="2" t="s">
        <v>48</v>
      </c>
      <c r="F595" s="13">
        <v>18.56</v>
      </c>
      <c r="G595" s="35">
        <v>19.46</v>
      </c>
      <c r="H595" s="90">
        <f>'2021'!BH595</f>
        <v>0</v>
      </c>
      <c r="I595" s="13">
        <v>41</v>
      </c>
      <c r="J595" s="15"/>
      <c r="K595" s="15"/>
      <c r="L595" s="28"/>
      <c r="M595" s="13">
        <v>41</v>
      </c>
      <c r="N595" s="15">
        <f t="shared" si="1756"/>
        <v>0</v>
      </c>
      <c r="Q595" s="13">
        <v>41</v>
      </c>
      <c r="R595" s="15">
        <f t="shared" si="1757"/>
        <v>0</v>
      </c>
      <c r="S595" s="15"/>
      <c r="T595" s="28"/>
      <c r="U595" s="13">
        <v>41</v>
      </c>
      <c r="V595" s="15">
        <f t="shared" si="1758"/>
        <v>0</v>
      </c>
      <c r="W595" s="180">
        <f>V595*$F$10</f>
        <v>0</v>
      </c>
      <c r="Y595" s="13">
        <f>40+4</f>
        <v>44</v>
      </c>
      <c r="Z595" s="2">
        <f t="shared" si="1759"/>
        <v>3</v>
      </c>
      <c r="AA595" s="34">
        <f>Z595*$F$10</f>
        <v>61.05</v>
      </c>
      <c r="AB595" s="28"/>
      <c r="AC595" s="350">
        <v>46</v>
      </c>
      <c r="AD595" s="15">
        <f t="shared" si="1760"/>
        <v>2</v>
      </c>
      <c r="AE595" s="34">
        <f>AD595*$F$10</f>
        <v>40.7</v>
      </c>
      <c r="AG595" s="13">
        <f>4+47</f>
        <v>51</v>
      </c>
      <c r="AH595" s="2">
        <f>AG595-AC595</f>
        <v>5</v>
      </c>
      <c r="AI595" s="45">
        <f>AH595*$G$10</f>
        <v>107</v>
      </c>
      <c r="AJ595" s="154"/>
      <c r="AK595" s="13">
        <f>4+47</f>
        <v>51</v>
      </c>
      <c r="AL595" s="15">
        <f>AK595-AG595</f>
        <v>0</v>
      </c>
      <c r="AM595" s="45">
        <f>AL595*$G$10</f>
        <v>0</v>
      </c>
      <c r="AN595" s="15"/>
      <c r="AO595" s="13">
        <v>51</v>
      </c>
      <c r="AP595" s="15">
        <f>AO595-AK595</f>
        <v>0</v>
      </c>
      <c r="AQ595" s="45">
        <f>AP595*$G$10</f>
        <v>0</v>
      </c>
      <c r="AR595" s="15"/>
      <c r="AS595" s="13">
        <v>51</v>
      </c>
      <c r="AT595" s="15">
        <f>AS595-AO595</f>
        <v>0</v>
      </c>
      <c r="AU595" s="45">
        <f>AT595*$G$10</f>
        <v>0</v>
      </c>
      <c r="AV595" s="15"/>
      <c r="AW595" s="13"/>
      <c r="AX595" s="15">
        <f>AW595-AS595</f>
        <v>-51</v>
      </c>
      <c r="AY595" s="45"/>
      <c r="AZ595" s="208"/>
      <c r="BA595" s="13"/>
      <c r="BB595" s="15"/>
      <c r="BC595" s="45"/>
      <c r="BD595" s="208"/>
      <c r="BE595" s="40">
        <f t="shared" ref="BE595:BG595" si="1762">J595+N595+R595+V595+Z595+AD595+AH595+AL595+AP595+AT595+AX595+BB595</f>
        <v>-41</v>
      </c>
      <c r="BF595" s="41">
        <f t="shared" si="1762"/>
        <v>208.75</v>
      </c>
      <c r="BG595" s="34">
        <f t="shared" si="1762"/>
        <v>0</v>
      </c>
      <c r="BH595" s="35">
        <f t="shared" si="1755"/>
        <v>208.75</v>
      </c>
      <c r="BK595" s="2" t="b">
        <f>H595='2021'!BH595</f>
        <v>1</v>
      </c>
    </row>
    <row r="596" ht="15.75" customHeight="1" spans="1:63" x14ac:dyDescent="0.25">
      <c r="A596" s="2">
        <v>66</v>
      </c>
      <c r="B596" s="14"/>
      <c r="C596" s="2" t="s">
        <v>158</v>
      </c>
      <c r="D596" s="14" t="s">
        <v>47</v>
      </c>
      <c r="E596" s="2" t="s">
        <v>49</v>
      </c>
      <c r="F596" s="41">
        <v>500</v>
      </c>
      <c r="G596" s="28"/>
      <c r="H596" s="34">
        <f>'2021'!BH596</f>
        <v>0</v>
      </c>
      <c r="I596" s="13"/>
      <c r="J596" s="15"/>
      <c r="K596" s="15"/>
      <c r="L596" s="28"/>
      <c r="M596" s="13"/>
      <c r="N596" s="15"/>
      <c r="Q596" s="13"/>
      <c r="R596" s="15"/>
      <c r="S596" s="15"/>
      <c r="T596" s="28"/>
      <c r="U596" s="13"/>
      <c r="V596" s="15"/>
      <c r="Y596" s="13"/>
      <c r="Z596" s="2"/>
      <c r="AA596" s="15"/>
      <c r="AB596" s="28"/>
      <c r="AC596" s="348"/>
      <c r="AD596" s="15"/>
      <c r="AG596" s="15"/>
      <c r="AH596" s="2"/>
      <c r="AI596" s="45"/>
      <c r="AJ596" s="154"/>
      <c r="AK596" s="15"/>
      <c r="AL596" s="15"/>
      <c r="AM596" s="45"/>
      <c r="AN596" s="15"/>
      <c r="AO596" s="13"/>
      <c r="AP596" s="15"/>
      <c r="AQ596" s="45"/>
      <c r="AR596" s="15"/>
      <c r="AS596" s="13"/>
      <c r="AT596" s="15"/>
      <c r="AU596" s="45"/>
      <c r="AV596" s="15"/>
      <c r="AW596" s="13"/>
      <c r="AX596" s="15"/>
      <c r="AY596" s="45"/>
      <c r="AZ596" s="28"/>
      <c r="BA596" s="13"/>
      <c r="BB596" s="15"/>
      <c r="BC596" s="45"/>
      <c r="BD596" s="28"/>
      <c r="BE596" s="14"/>
      <c r="BF596" s="41">
        <f t="shared" ref="BF596:BG596" si="1763">K596+O596+S596+W596+AA596+AE596+AI596+AM596+AQ596+AU596+AY596+BC596</f>
        <v>0</v>
      </c>
      <c r="BG596" s="34">
        <f t="shared" si="1763"/>
        <v>0</v>
      </c>
      <c r="BH596" s="35">
        <f t="shared" si="1755"/>
        <v>0</v>
      </c>
      <c r="BK596" s="2" t="b">
        <f>H596='2021'!BH596</f>
        <v>1</v>
      </c>
    </row>
    <row r="597" ht="15.75" customHeight="1" spans="1:63" x14ac:dyDescent="0.25">
      <c r="A597" s="2">
        <v>66</v>
      </c>
      <c r="B597" s="14"/>
      <c r="D597" s="14" t="s">
        <v>50</v>
      </c>
      <c r="E597" s="2" t="s">
        <v>49</v>
      </c>
      <c r="F597" s="41">
        <v>1100</v>
      </c>
      <c r="G597" s="28"/>
      <c r="H597" s="34">
        <f>'2021'!BH597</f>
        <v>0</v>
      </c>
      <c r="I597" s="13"/>
      <c r="J597" s="15"/>
      <c r="K597" s="15"/>
      <c r="L597" s="28"/>
      <c r="M597" s="13"/>
      <c r="N597" s="15"/>
      <c r="Q597" s="13"/>
      <c r="R597" s="15"/>
      <c r="S597" s="15"/>
      <c r="T597" s="28"/>
      <c r="U597" s="13"/>
      <c r="V597" s="15"/>
      <c r="Y597" s="13"/>
      <c r="Z597" s="2"/>
      <c r="AA597" s="15"/>
      <c r="AB597" s="35"/>
      <c r="AC597" s="348"/>
      <c r="AD597" s="15"/>
      <c r="AE597" s="34">
        <f>B594*$F$12</f>
        <v>6058</v>
      </c>
      <c r="AG597" s="15"/>
      <c r="AH597" s="2"/>
      <c r="AI597" s="45"/>
      <c r="AJ597" s="182"/>
      <c r="AK597" s="15"/>
      <c r="AL597" s="15"/>
      <c r="AM597" s="45"/>
      <c r="AN597" s="15"/>
      <c r="AO597" s="13"/>
      <c r="AP597" s="15"/>
      <c r="AQ597" s="45"/>
      <c r="AR597" s="15"/>
      <c r="AS597" s="13"/>
      <c r="AT597" s="15"/>
      <c r="AU597" s="45"/>
      <c r="AV597" s="15"/>
      <c r="AW597" s="13"/>
      <c r="AX597" s="15"/>
      <c r="AY597" s="45"/>
      <c r="AZ597" s="28"/>
      <c r="BA597" s="13"/>
      <c r="BB597" s="15"/>
      <c r="BC597" s="45"/>
      <c r="BD597" s="28"/>
      <c r="BE597" s="14"/>
      <c r="BF597" s="41">
        <f t="shared" ref="BF597:BG597" si="1764">K597+O597+S597+W597+AA597+AE597+AI597+AM597+AQ597+AU597+AY597+BC597</f>
        <v>6058</v>
      </c>
      <c r="BG597" s="34">
        <f t="shared" si="1764"/>
        <v>0</v>
      </c>
      <c r="BH597" s="35">
        <f t="shared" si="1755"/>
        <v>6058</v>
      </c>
      <c r="BK597" s="2" t="b">
        <f>H597='2021'!BH597</f>
        <v>1</v>
      </c>
    </row>
    <row r="598" ht="15.75" customHeight="1" spans="1:63" x14ac:dyDescent="0.25">
      <c r="A598" s="2">
        <v>66</v>
      </c>
      <c r="B598" s="14"/>
      <c r="D598" s="14" t="s">
        <v>51</v>
      </c>
      <c r="E598" s="2" t="s">
        <v>39</v>
      </c>
      <c r="F598" s="41">
        <v>500</v>
      </c>
      <c r="G598" s="28"/>
      <c r="H598" s="34">
        <f>'2021'!BH598</f>
        <v>0</v>
      </c>
      <c r="I598" s="13"/>
      <c r="J598" s="15"/>
      <c r="K598" s="15"/>
      <c r="L598" s="28"/>
      <c r="M598" s="13"/>
      <c r="N598" s="15"/>
      <c r="Q598" s="13"/>
      <c r="R598" s="15"/>
      <c r="S598" s="15"/>
      <c r="T598" s="28"/>
      <c r="U598" s="13"/>
      <c r="V598" s="15"/>
      <c r="Y598" s="13"/>
      <c r="Z598" s="2"/>
      <c r="AA598" s="15"/>
      <c r="AB598" s="35"/>
      <c r="AC598" s="348"/>
      <c r="AD598" s="15"/>
      <c r="AE598" s="180">
        <f>$F$13</f>
        <v>1000</v>
      </c>
      <c r="AG598" s="15"/>
      <c r="AH598" s="2"/>
      <c r="AI598" s="45"/>
      <c r="AJ598" s="154"/>
      <c r="AK598" s="15"/>
      <c r="AL598" s="15"/>
      <c r="AM598" s="45"/>
      <c r="AN598" s="15"/>
      <c r="AO598" s="13"/>
      <c r="AP598" s="15"/>
      <c r="AQ598" s="180"/>
      <c r="AR598" s="15"/>
      <c r="AS598" s="13"/>
      <c r="AT598" s="15"/>
      <c r="AU598" s="45"/>
      <c r="AV598" s="15"/>
      <c r="AW598" s="13"/>
      <c r="AX598" s="15"/>
      <c r="AY598" s="45"/>
      <c r="AZ598" s="28"/>
      <c r="BA598" s="13"/>
      <c r="BB598" s="15"/>
      <c r="BC598" s="45"/>
      <c r="BD598" s="28"/>
      <c r="BE598" s="14"/>
      <c r="BF598" s="41">
        <f t="shared" ref="BF598:BG598" si="1765">K598+O598+S598+W598+AA598+AE598+AI598+AM598+AQ598+AU598+AY598+BC598</f>
        <v>1000</v>
      </c>
      <c r="BG598" s="34">
        <f t="shared" si="1765"/>
        <v>0</v>
      </c>
      <c r="BH598" s="35">
        <f t="shared" si="1755"/>
        <v>1000</v>
      </c>
      <c r="BK598" s="2" t="b">
        <f>H598='2021'!BH598</f>
        <v>1</v>
      </c>
    </row>
    <row r="599" ht="15.75" customHeight="1" spans="1:63" x14ac:dyDescent="0.25">
      <c r="A599" s="2">
        <v>66</v>
      </c>
      <c r="B599" s="14"/>
      <c r="D599" s="14" t="s">
        <v>51</v>
      </c>
      <c r="E599" s="2" t="s">
        <v>49</v>
      </c>
      <c r="F599" s="41">
        <v>500</v>
      </c>
      <c r="G599" s="28"/>
      <c r="H599" s="34">
        <f>'2021'!BH599</f>
        <v>0</v>
      </c>
      <c r="I599" s="13"/>
      <c r="J599" s="15"/>
      <c r="K599" s="15"/>
      <c r="L599" s="28"/>
      <c r="M599" s="13"/>
      <c r="N599" s="15"/>
      <c r="Q599" s="13"/>
      <c r="R599" s="15"/>
      <c r="S599" s="15"/>
      <c r="T599" s="28"/>
      <c r="U599" s="13"/>
      <c r="V599" s="15"/>
      <c r="Y599" s="13"/>
      <c r="Z599" s="2"/>
      <c r="AA599" s="15"/>
      <c r="AB599" s="38"/>
      <c r="AC599" s="348"/>
      <c r="AD599" s="15"/>
      <c r="AE599" s="34"/>
      <c r="AG599" s="15"/>
      <c r="AH599" s="2"/>
      <c r="AI599" s="45"/>
      <c r="AJ599" s="154"/>
      <c r="AK599" s="15"/>
      <c r="AL599" s="15"/>
      <c r="AM599" s="45"/>
      <c r="AN599" s="15"/>
      <c r="AO599" s="13"/>
      <c r="AP599" s="15"/>
      <c r="AQ599" s="180">
        <f>B594*$F$14</f>
        <v>0</v>
      </c>
      <c r="AR599" s="15"/>
      <c r="AS599" s="13"/>
      <c r="AT599" s="15"/>
      <c r="AU599" s="45"/>
      <c r="AV599" s="15"/>
      <c r="AW599" s="13"/>
      <c r="AX599" s="15"/>
      <c r="AY599" s="45"/>
      <c r="AZ599" s="28"/>
      <c r="BA599" s="13"/>
      <c r="BB599" s="15"/>
      <c r="BC599" s="45"/>
      <c r="BD599" s="28"/>
      <c r="BE599" s="14"/>
      <c r="BF599" s="41">
        <f t="shared" ref="BF599:BG599" si="1766">K599+O599+S599+W599+AA599+AE599+AI599+AM599+AQ599+AU599+AY599+BC599</f>
        <v>0</v>
      </c>
      <c r="BG599" s="34">
        <f t="shared" si="1766"/>
        <v>0</v>
      </c>
      <c r="BH599" s="35">
        <f t="shared" si="1755"/>
        <v>0</v>
      </c>
      <c r="BK599" s="2" t="b">
        <f>H599='2021'!BH599</f>
        <v>1</v>
      </c>
    </row>
    <row r="600" ht="15.75" customHeight="1" spans="1:63" x14ac:dyDescent="0.25">
      <c r="A600" s="2">
        <v>66</v>
      </c>
      <c r="B600" s="14"/>
      <c r="D600" s="14" t="s">
        <v>52</v>
      </c>
      <c r="E600" s="2" t="s">
        <v>39</v>
      </c>
      <c r="F600" s="41">
        <v>500</v>
      </c>
      <c r="G600" s="28"/>
      <c r="H600" s="34">
        <f>'2021'!BH600</f>
        <v>0</v>
      </c>
      <c r="I600" s="13"/>
      <c r="J600" s="15"/>
      <c r="K600" s="15"/>
      <c r="L600" s="28"/>
      <c r="M600" s="13"/>
      <c r="N600" s="15"/>
      <c r="Q600" s="13"/>
      <c r="R600" s="15"/>
      <c r="S600" s="15"/>
      <c r="T600" s="28"/>
      <c r="U600" s="13"/>
      <c r="V600" s="15"/>
      <c r="Y600" s="13"/>
      <c r="Z600" s="2"/>
      <c r="AA600" s="34">
        <f>$F$15</f>
      </c>
      <c r="AB600" s="35"/>
      <c r="AC600" s="348"/>
      <c r="AD600" s="15"/>
      <c r="AG600" s="15"/>
      <c r="AH600" s="2"/>
      <c r="AI600" s="45"/>
      <c r="AJ600" s="154"/>
      <c r="AK600" s="15"/>
      <c r="AL600" s="15"/>
      <c r="AM600" s="45"/>
      <c r="AN600" s="15"/>
      <c r="AO600" s="13"/>
      <c r="AP600" s="15"/>
      <c r="AQ600" s="45"/>
      <c r="AR600" s="15"/>
      <c r="AS600" s="13"/>
      <c r="AT600" s="15"/>
      <c r="AU600" s="45"/>
      <c r="AV600" s="15"/>
      <c r="AW600" s="13"/>
      <c r="AX600" s="15"/>
      <c r="AY600" s="45"/>
      <c r="AZ600" s="35"/>
      <c r="BA600" s="13"/>
      <c r="BB600" s="15"/>
      <c r="BC600" s="45"/>
      <c r="BD600" s="35"/>
      <c r="BE600" s="14"/>
      <c r="BF600" s="41">
        <f t="shared" ref="BF600:BG600" si="1767">K600+O600+S600+W600+AA600+AE600+AI600+AM600+AQ600+AU600+AY600+BC600</f>
        <v>0</v>
      </c>
      <c r="BG600" s="34">
        <f t="shared" si="1767"/>
        <v>0</v>
      </c>
      <c r="BH600" s="35">
        <f t="shared" si="1755"/>
        <v>0</v>
      </c>
      <c r="BK600" s="2" t="b">
        <f>H600='2021'!BH600</f>
        <v>1</v>
      </c>
    </row>
    <row r="601" ht="15.75" customHeight="1" spans="1:63" x14ac:dyDescent="0.25">
      <c r="A601" s="247">
        <v>66</v>
      </c>
      <c r="B601" s="21"/>
      <c r="C601" s="22" t="s">
        <v>53</v>
      </c>
      <c r="D601" s="21"/>
      <c r="E601" s="22"/>
      <c r="F601" s="20"/>
      <c r="G601" s="23"/>
      <c r="H601" s="51">
        <f>SUM(H593:H600)</f>
        <v>2.7</v>
      </c>
      <c r="I601" s="52"/>
      <c r="J601" s="53"/>
      <c r="K601" s="51">
        <f t="shared" ref="K601:L601" si="1768">SUM(K593:K600)</f>
        <v>0</v>
      </c>
      <c r="L601" s="68">
        <f t="shared" si="1768"/>
        <v>0</v>
      </c>
      <c r="M601" s="52"/>
      <c r="N601" s="53"/>
      <c r="O601" s="51">
        <f t="shared" ref="O601:P601" si="1769">SUM(O593:O600)</f>
        <v>0</v>
      </c>
      <c r="P601" s="51">
        <f t="shared" si="1769"/>
        <v>0</v>
      </c>
      <c r="Q601" s="52"/>
      <c r="R601" s="53"/>
      <c r="S601" s="51">
        <f t="shared" ref="S601:T601" si="1770">SUM(S593:S600)</f>
        <v>0</v>
      </c>
      <c r="T601" s="51">
        <f t="shared" si="1770"/>
        <v>0</v>
      </c>
      <c r="U601" s="52"/>
      <c r="V601" s="53"/>
      <c r="W601" s="51">
        <f t="shared" ref="W601:X601" si="1771">SUM(W593:W600)</f>
        <v>0</v>
      </c>
      <c r="X601" s="51">
        <f t="shared" si="1771"/>
        <v>0</v>
      </c>
      <c r="Y601" s="52"/>
      <c r="Z601" s="301"/>
      <c r="AA601" s="51">
        <f t="shared" ref="AA601:AB601" si="1772">SUM(AA593:AA600)</f>
        <v>61.05</v>
      </c>
      <c r="AB601" s="51">
        <f t="shared" si="1772"/>
        <v>0</v>
      </c>
      <c r="AC601" s="367"/>
      <c r="AD601" s="53"/>
      <c r="AE601" s="51">
        <f t="shared" ref="AE601:AF601" si="1773">SUM(AE593:AE600)</f>
        <v>7098.7</v>
      </c>
      <c r="AF601" s="51">
        <f t="shared" si="1773"/>
        <v>0</v>
      </c>
      <c r="AG601" s="52"/>
      <c r="AH601" s="301"/>
      <c r="AI601" s="183">
        <f t="shared" ref="AI601:AJ601" si="1774">SUM(AI593:AI600)</f>
        <v>107</v>
      </c>
      <c r="AJ601" s="51">
        <f t="shared" si="1774"/>
        <v>0</v>
      </c>
      <c r="AK601" s="52"/>
      <c r="AL601" s="53"/>
      <c r="AM601" s="183">
        <f t="shared" ref="AM601:AN601" si="1775">SUM(AM593:AM600)</f>
        <v>0</v>
      </c>
      <c r="AN601" s="51">
        <f t="shared" si="1775"/>
        <v>0</v>
      </c>
      <c r="AO601" s="52"/>
      <c r="AP601" s="53"/>
      <c r="AQ601" s="183">
        <f t="shared" ref="AQ601:AR601" si="1776">SUM(AQ593:AQ600)</f>
        <v>0</v>
      </c>
      <c r="AR601" s="51">
        <f t="shared" si="1776"/>
        <v>0</v>
      </c>
      <c r="AS601" s="52"/>
      <c r="AT601" s="53"/>
      <c r="AU601" s="183">
        <f t="shared" ref="AU601:AV601" si="1777">SUM(AU593:AU600)</f>
        <v>0</v>
      </c>
      <c r="AV601" s="68">
        <f t="shared" si="1777"/>
        <v>0</v>
      </c>
      <c r="AW601" s="52"/>
      <c r="AX601" s="53"/>
      <c r="AY601" s="183">
        <f t="shared" ref="AY601:AZ601" si="1778">SUM(AY593:AY600)</f>
        <v>0</v>
      </c>
      <c r="AZ601" s="68">
        <f t="shared" si="1778"/>
        <v>0</v>
      </c>
      <c r="BA601" s="52"/>
      <c r="BB601" s="53"/>
      <c r="BC601" s="183">
        <f t="shared" ref="BC601:BD601" si="1779">SUM(BC593:BC600)</f>
        <v>0</v>
      </c>
      <c r="BD601" s="68">
        <f t="shared" si="1779"/>
        <v>0</v>
      </c>
      <c r="BE601" s="69"/>
      <c r="BF601" s="70">
        <f t="shared" ref="BF601:BH601" si="1780">SUM(BF593:BF600)</f>
        <v>7266.75</v>
      </c>
      <c r="BG601" s="71">
        <f t="shared" si="1780"/>
        <v>0</v>
      </c>
      <c r="BH601" s="72">
        <f t="shared" si="1780"/>
        <v>7269.45</v>
      </c>
      <c r="BI601" s="34">
        <f>H601+BF601-BG601</f>
        <v>7269.45</v>
      </c>
      <c r="BJ601" s="34">
        <f>BH601-BI601</f>
        <v>0</v>
      </c>
      <c r="BK601" s="2" t="b">
        <f>H601='2021'!BH601</f>
        <v>1</v>
      </c>
    </row>
    <row r="602" ht="15.75" customHeight="1" spans="1:63" x14ac:dyDescent="0.25">
      <c r="A602" s="2">
        <v>67</v>
      </c>
      <c r="B602" s="14"/>
      <c r="D602" s="14" t="s">
        <v>379</v>
      </c>
      <c r="F602" s="13"/>
      <c r="G602" s="28"/>
      <c r="H602" s="34">
        <f>'2021'!BH602</f>
        <v>0</v>
      </c>
      <c r="I602" s="13"/>
      <c r="J602" s="15"/>
      <c r="K602" s="15"/>
      <c r="L602" s="28"/>
      <c r="M602" s="13"/>
      <c r="N602" s="15"/>
      <c r="Q602" s="13"/>
      <c r="R602" s="15"/>
      <c r="S602" s="15"/>
      <c r="T602" s="28"/>
      <c r="U602" s="13"/>
      <c r="V602" s="15"/>
      <c r="Y602" s="13"/>
      <c r="Z602" s="2"/>
      <c r="AA602" s="15"/>
      <c r="AB602" s="28"/>
      <c r="AC602" s="348"/>
      <c r="AD602" s="15"/>
      <c r="AG602" s="15"/>
      <c r="AH602" s="2"/>
      <c r="AI602" s="45"/>
      <c r="AJ602" s="15"/>
      <c r="AK602" s="15"/>
      <c r="AM602" s="45"/>
      <c r="AO602" s="13"/>
      <c r="AQ602" s="45"/>
      <c r="AS602" s="13"/>
      <c r="AU602" s="45"/>
      <c r="AW602" s="13"/>
      <c r="AY602" s="45"/>
      <c r="AZ602" s="28"/>
      <c r="BA602" s="13"/>
      <c r="BB602" s="15"/>
      <c r="BC602" s="45"/>
      <c r="BD602" s="28"/>
      <c r="BE602" s="14"/>
      <c r="BF602" s="41">
        <f t="shared" ref="BF602:BG602" si="1781">K602+O602+S602+W602+AA602+AE602+AI602+AM602+AQ602+AU602+AY602+BC602</f>
        <v>0</v>
      </c>
      <c r="BG602" s="34">
        <f t="shared" si="1781"/>
        <v>0</v>
      </c>
      <c r="BH602" s="35">
        <f t="shared" ref="BH602:BH609" si="1782">H602+BF602-BG602</f>
        <v>0</v>
      </c>
      <c r="BK602" s="2" t="b">
        <f>H602='2021'!BH602</f>
        <v>1</v>
      </c>
    </row>
    <row r="603" ht="15.75" customHeight="1" spans="1:63" x14ac:dyDescent="0.25">
      <c r="A603" s="147">
        <v>67</v>
      </c>
      <c r="B603" s="14">
        <v>6.08</v>
      </c>
      <c r="C603" s="2" t="s">
        <v>245</v>
      </c>
      <c r="D603" s="14" t="s">
        <v>44</v>
      </c>
      <c r="E603" s="2" t="s">
        <v>45</v>
      </c>
      <c r="F603" s="41">
        <v>2.5</v>
      </c>
      <c r="G603" s="35">
        <v>2.6</v>
      </c>
      <c r="H603" s="34">
        <f>'2021'!BH603</f>
        <v>18.5</v>
      </c>
      <c r="I603" s="13">
        <v>2734</v>
      </c>
      <c r="J603" s="15">
        <f>I603-'2021'!BA603</f>
        <v>0</v>
      </c>
      <c r="K603" s="34">
        <f>J603*$F$8</f>
        <v>0</v>
      </c>
      <c r="L603" s="28"/>
      <c r="M603" s="13">
        <v>2734</v>
      </c>
      <c r="N603" s="15">
        <f t="shared" ref="N603:N604" si="1783">M603-I603</f>
        <v>0</v>
      </c>
      <c r="O603" s="34">
        <f>N603*$F$8</f>
        <v>0</v>
      </c>
      <c r="P603" s="1"/>
      <c r="Q603" s="13">
        <v>2734</v>
      </c>
      <c r="R603" s="15">
        <f t="shared" ref="R603:R604" si="1784">Q603-M603</f>
        <v>0</v>
      </c>
      <c r="S603" s="34">
        <f>R603*$F$8</f>
        <v>0</v>
      </c>
      <c r="T603" s="28"/>
      <c r="U603" s="13">
        <v>2734</v>
      </c>
      <c r="V603" s="15">
        <f t="shared" ref="V603:V604" si="1785">U603-Q603</f>
        <v>0</v>
      </c>
      <c r="W603" s="34">
        <f>V603*$F$8</f>
        <v>0</v>
      </c>
      <c r="X603" s="15"/>
      <c r="Y603" s="13">
        <v>2802</v>
      </c>
      <c r="Z603" s="2">
        <f t="shared" ref="Z603:Z604" si="1786">Y603-U603</f>
        <v>68</v>
      </c>
      <c r="AA603" s="34">
        <f>Z603*$F$8</f>
        <v>183.6</v>
      </c>
      <c r="AB603" s="28"/>
      <c r="AC603" s="348">
        <v>2928</v>
      </c>
      <c r="AD603" s="15">
        <f t="shared" ref="AD603:AD604" si="1787">AC603-Y603</f>
        <v>126</v>
      </c>
      <c r="AE603" s="180">
        <f>AD603*$F$8</f>
        <v>340.2</v>
      </c>
      <c r="AF603" s="364">
        <v>350</v>
      </c>
      <c r="AG603" s="15">
        <v>3009</v>
      </c>
      <c r="AH603" s="2">
        <f>(AG603-AC603)*AH5</f>
        <v>85.536</v>
      </c>
      <c r="AI603" s="45">
        <f>AH603*$G$8</f>
        <v>210.41856</v>
      </c>
      <c r="AJ603" s="182">
        <v>192.3</v>
      </c>
      <c r="AK603" s="15">
        <v>3118</v>
      </c>
      <c r="AL603" s="15">
        <f>(AK603-AG603)*AL5</f>
        <v>112.052</v>
      </c>
      <c r="AM603" s="45">
        <f>AL603*$G$8</f>
        <v>275.64792</v>
      </c>
      <c r="AN603" s="154">
        <v>486.07</v>
      </c>
      <c r="AO603" s="13">
        <v>3208</v>
      </c>
      <c r="AP603" s="15">
        <f>(AO603-AK603)*AP5</f>
        <v>92.97</v>
      </c>
      <c r="AQ603" s="45">
        <f>AP603*$G$8</f>
        <v>228.7062</v>
      </c>
      <c r="AR603" s="154">
        <v>400</v>
      </c>
      <c r="AS603" s="13">
        <v>3262</v>
      </c>
      <c r="AT603" s="15">
        <f>(AS603-AO603)*AT5</f>
        <v>56.7</v>
      </c>
      <c r="AU603" s="45">
        <f t="shared" ref="AU603:AU604" si="1788">AT603*$G$8</f>
        <v>139.482</v>
      </c>
      <c r="AV603" s="15"/>
      <c r="AW603" s="13"/>
      <c r="AX603" s="15">
        <f>(AW603-AS603)*AX5</f>
        <v>0</v>
      </c>
      <c r="AY603" s="45">
        <f>AX603*$G$8</f>
        <v>0</v>
      </c>
      <c r="AZ603" s="208"/>
      <c r="BA603" s="13"/>
      <c r="BB603" s="15"/>
      <c r="BC603" s="45">
        <f>BB603*$G$8</f>
        <v>0</v>
      </c>
      <c r="BD603" s="208"/>
      <c r="BE603" s="40">
        <f t="shared" ref="BE603:BG603" si="1789">J603+N603+R603+V603+Z603+AD603+AH603+AL603+AP603+AT603+AX603+BB603</f>
        <v>541.258</v>
      </c>
      <c r="BF603" s="41">
        <f t="shared" si="1789"/>
        <v>1378.05468</v>
      </c>
      <c r="BG603" s="34">
        <f t="shared" si="1789"/>
        <v>1428.37</v>
      </c>
      <c r="BH603" s="35">
        <f t="shared" si="1782"/>
        <v>-31.81532</v>
      </c>
      <c r="BK603" s="2" t="b">
        <f>H603='2021'!BH603</f>
        <v>1</v>
      </c>
    </row>
    <row r="604" ht="15.75" customHeight="1" spans="1:63" x14ac:dyDescent="0.25">
      <c r="A604" s="2">
        <v>67</v>
      </c>
      <c r="B604" s="14"/>
      <c r="C604" s="2" t="s">
        <v>98</v>
      </c>
      <c r="D604" s="14" t="s">
        <v>47</v>
      </c>
      <c r="E604" s="2" t="s">
        <v>48</v>
      </c>
      <c r="F604" s="13">
        <v>18.56</v>
      </c>
      <c r="G604" s="35">
        <v>19.46</v>
      </c>
      <c r="H604" s="90">
        <f>'2021'!BH604</f>
        <v>-130.99</v>
      </c>
      <c r="I604" s="13">
        <f>58+143</f>
        <v>201</v>
      </c>
      <c r="J604" s="15"/>
      <c r="K604" s="15"/>
      <c r="L604" s="28"/>
      <c r="M604" s="13">
        <f>58+143</f>
        <v>201</v>
      </c>
      <c r="N604" s="15">
        <f t="shared" si="1783"/>
        <v>0</v>
      </c>
      <c r="P604" s="1"/>
      <c r="Q604" s="13">
        <f>58+143</f>
        <v>201</v>
      </c>
      <c r="R604" s="15">
        <f t="shared" si="1784"/>
        <v>0</v>
      </c>
      <c r="S604" s="15"/>
      <c r="T604" s="28"/>
      <c r="U604" s="13">
        <f>58+143</f>
        <v>201</v>
      </c>
      <c r="V604" s="15">
        <f t="shared" si="1785"/>
        <v>0</v>
      </c>
      <c r="W604" s="180">
        <f>V604*$F$10</f>
        <v>0</v>
      </c>
      <c r="Y604" s="13">
        <f>61+145</f>
        <v>206</v>
      </c>
      <c r="Z604" s="2">
        <f t="shared" si="1786"/>
        <v>5</v>
      </c>
      <c r="AA604" s="34">
        <f>Z604*$F$10</f>
        <v>101.75</v>
      </c>
      <c r="AB604" s="28"/>
      <c r="AC604" s="13">
        <f>61+145</f>
        <v>206</v>
      </c>
      <c r="AD604" s="15">
        <f t="shared" si="1787"/>
        <v>0</v>
      </c>
      <c r="AE604" s="34">
        <f>AD604*$F$10</f>
        <v>0</v>
      </c>
      <c r="AF604" s="354">
        <v>150</v>
      </c>
      <c r="AG604" s="13">
        <f>68+160</f>
        <v>228</v>
      </c>
      <c r="AH604" s="2">
        <f>AG604-AC604</f>
        <v>22</v>
      </c>
      <c r="AI604" s="45">
        <f>AH604*$G$10</f>
        <v>470.8</v>
      </c>
      <c r="AJ604" s="182"/>
      <c r="AK604" s="13">
        <f>73+172</f>
        <v>245</v>
      </c>
      <c r="AL604" s="15">
        <f>AK604-AG604</f>
        <v>17</v>
      </c>
      <c r="AM604" s="45">
        <f>AL604*$G$10</f>
        <v>363.8</v>
      </c>
      <c r="AN604" s="154">
        <v>655.36</v>
      </c>
      <c r="AO604" s="13">
        <f>72+176</f>
        <v>248</v>
      </c>
      <c r="AP604" s="15">
        <f>AO604-AK604</f>
        <v>3</v>
      </c>
      <c r="AQ604" s="45">
        <f>AP604*$G$10</f>
        <v>64.2</v>
      </c>
      <c r="AR604" s="154">
        <v>107</v>
      </c>
      <c r="AS604" s="13">
        <v>248</v>
      </c>
      <c r="AT604" s="15">
        <f>AS604-AO604</f>
        <v>0</v>
      </c>
      <c r="AU604" s="45">
        <f t="shared" si="1788"/>
        <v>0</v>
      </c>
      <c r="AV604" s="15"/>
      <c r="AW604" s="13"/>
      <c r="AX604" s="15">
        <f>AW604-AS604</f>
        <v>-248</v>
      </c>
      <c r="AY604" s="45"/>
      <c r="AZ604" s="208"/>
      <c r="BA604" s="13"/>
      <c r="BB604" s="15"/>
      <c r="BC604" s="45"/>
      <c r="BD604" s="208"/>
      <c r="BE604" s="40">
        <f t="shared" ref="BE604:BG604" si="1790">J604+N604+R604+V604+Z604+AD604+AH604+AL604+AP604+AT604+AX604+BB604</f>
        <v>-201</v>
      </c>
      <c r="BF604" s="41">
        <f t="shared" si="1790"/>
        <v>1000.55</v>
      </c>
      <c r="BG604" s="34">
        <f t="shared" si="1790"/>
        <v>912.36</v>
      </c>
      <c r="BH604" s="35">
        <f t="shared" si="1782"/>
        <v>-42.8</v>
      </c>
      <c r="BK604" s="2" t="b">
        <f>H604='2021'!BH604</f>
        <v>1</v>
      </c>
    </row>
    <row r="605" ht="15.75" customHeight="1" spans="1:63" x14ac:dyDescent="0.25">
      <c r="A605" s="2">
        <v>67</v>
      </c>
      <c r="B605" s="14"/>
      <c r="C605" s="2" t="s">
        <v>246</v>
      </c>
      <c r="D605" s="14" t="s">
        <v>47</v>
      </c>
      <c r="E605" s="2" t="s">
        <v>49</v>
      </c>
      <c r="F605" s="41">
        <v>500</v>
      </c>
      <c r="G605" s="28"/>
      <c r="H605" s="34">
        <f>'2021'!BH605</f>
        <v>0</v>
      </c>
      <c r="I605" s="13"/>
      <c r="J605" s="15"/>
      <c r="K605" s="15"/>
      <c r="L605" s="28"/>
      <c r="M605" s="13"/>
      <c r="N605" s="15"/>
      <c r="P605" s="1"/>
      <c r="Q605" s="13"/>
      <c r="R605" s="15"/>
      <c r="S605" s="15"/>
      <c r="T605" s="28"/>
      <c r="U605" s="13"/>
      <c r="V605" s="15"/>
      <c r="Y605" s="13"/>
      <c r="Z605" s="2"/>
      <c r="AA605" s="15"/>
      <c r="AB605" s="28"/>
      <c r="AC605" s="348"/>
      <c r="AD605" s="15"/>
      <c r="AG605" s="15"/>
      <c r="AH605" s="2"/>
      <c r="AI605" s="45"/>
      <c r="AJ605" s="154"/>
      <c r="AK605" s="15"/>
      <c r="AL605" s="15"/>
      <c r="AM605" s="45"/>
      <c r="AN605" s="15"/>
      <c r="AO605" s="13"/>
      <c r="AP605" s="15"/>
      <c r="AQ605" s="45"/>
      <c r="AR605" s="15"/>
      <c r="AS605" s="13"/>
      <c r="AT605" s="15"/>
      <c r="AU605" s="45"/>
      <c r="AV605" s="15"/>
      <c r="AW605" s="13"/>
      <c r="AX605" s="15"/>
      <c r="AY605" s="45"/>
      <c r="AZ605" s="28"/>
      <c r="BA605" s="13"/>
      <c r="BB605" s="15"/>
      <c r="BC605" s="45"/>
      <c r="BD605" s="28"/>
      <c r="BE605" s="14"/>
      <c r="BF605" s="41">
        <f t="shared" ref="BF605:BG605" si="1791">K605+O605+S605+W605+AA605+AE605+AI605+AM605+AQ605+AU605+AY605+BC605</f>
        <v>0</v>
      </c>
      <c r="BG605" s="34">
        <f t="shared" si="1791"/>
        <v>0</v>
      </c>
      <c r="BH605" s="35">
        <f t="shared" si="1782"/>
        <v>0</v>
      </c>
      <c r="BK605" s="2" t="b">
        <f>H605='2021'!BH605</f>
        <v>1</v>
      </c>
    </row>
    <row r="606" ht="15.75" customHeight="1" spans="1:63" x14ac:dyDescent="0.25">
      <c r="A606" s="2">
        <v>67</v>
      </c>
      <c r="B606" s="14"/>
      <c r="C606" s="2" t="s">
        <v>247</v>
      </c>
      <c r="D606" s="14" t="s">
        <v>50</v>
      </c>
      <c r="E606" s="2" t="s">
        <v>49</v>
      </c>
      <c r="F606" s="41">
        <v>1100</v>
      </c>
      <c r="G606" s="28"/>
      <c r="H606" s="34">
        <f>'2021'!BH606</f>
        <v>0</v>
      </c>
      <c r="I606" s="13"/>
      <c r="J606" s="15"/>
      <c r="K606" s="15"/>
      <c r="L606" s="28"/>
      <c r="M606" s="13"/>
      <c r="N606" s="15"/>
      <c r="P606" s="1"/>
      <c r="Q606" s="13"/>
      <c r="R606" s="15"/>
      <c r="S606" s="15"/>
      <c r="T606" s="28"/>
      <c r="U606" s="13"/>
      <c r="V606" s="15"/>
      <c r="Y606" s="13"/>
      <c r="Z606" s="2"/>
      <c r="AA606" s="15"/>
      <c r="AB606" s="28"/>
      <c r="AC606" s="348"/>
      <c r="AD606" s="15"/>
      <c r="AE606" s="182">
        <f>B603*$F$12</f>
        <v>7904</v>
      </c>
      <c r="AF606" s="180"/>
      <c r="AG606" s="15"/>
      <c r="AH606" s="2"/>
      <c r="AI606" s="45"/>
      <c r="AJ606" s="182">
        <v>7904</v>
      </c>
      <c r="AK606" s="15"/>
      <c r="AL606" s="15"/>
      <c r="AM606" s="45"/>
      <c r="AN606" s="1"/>
      <c r="AO606" s="13"/>
      <c r="AP606" s="15"/>
      <c r="AQ606" s="45"/>
      <c r="AR606" s="15"/>
      <c r="AS606" s="13"/>
      <c r="AT606" s="15"/>
      <c r="AU606" s="45"/>
      <c r="AV606" s="15"/>
      <c r="AW606" s="13"/>
      <c r="AX606" s="15"/>
      <c r="AY606" s="45"/>
      <c r="AZ606" s="28"/>
      <c r="BA606" s="13"/>
      <c r="BB606" s="15"/>
      <c r="BC606" s="45"/>
      <c r="BD606" s="28"/>
      <c r="BE606" s="14"/>
      <c r="BF606" s="41">
        <f t="shared" ref="BF606:BG606" si="1792">K606+O606+S606+W606+AA606+AE606+AI606+AM606+AQ606+AU606+AY606+BC606</f>
        <v>7904</v>
      </c>
      <c r="BG606" s="34">
        <f t="shared" si="1792"/>
        <v>7904</v>
      </c>
      <c r="BH606" s="35">
        <f t="shared" si="1782"/>
        <v>0</v>
      </c>
      <c r="BK606" s="2" t="b">
        <f>H606='2021'!BH606</f>
        <v>1</v>
      </c>
    </row>
    <row r="607" ht="15.75" customHeight="1" spans="1:63" x14ac:dyDescent="0.25">
      <c r="A607" s="2">
        <v>67</v>
      </c>
      <c r="B607" s="14"/>
      <c r="C607" s="2" t="s">
        <v>429</v>
      </c>
      <c r="D607" s="14" t="s">
        <v>51</v>
      </c>
      <c r="E607" s="2" t="s">
        <v>39</v>
      </c>
      <c r="F607" s="41">
        <v>500</v>
      </c>
      <c r="G607" s="28"/>
      <c r="H607" s="34">
        <f>'2021'!BH607</f>
        <v>0</v>
      </c>
      <c r="I607" s="13"/>
      <c r="J607" s="15"/>
      <c r="K607" s="15"/>
      <c r="L607" s="28"/>
      <c r="M607" s="13"/>
      <c r="N607" s="15"/>
      <c r="P607" s="1"/>
      <c r="Q607" s="13"/>
      <c r="R607" s="15"/>
      <c r="S607" s="15"/>
      <c r="T607" s="28"/>
      <c r="U607" s="13"/>
      <c r="V607" s="15"/>
      <c r="Y607" s="13"/>
      <c r="Z607" s="2"/>
      <c r="AA607" s="15"/>
      <c r="AB607" s="28"/>
      <c r="AC607" s="348"/>
      <c r="AD607" s="15"/>
      <c r="AE607" s="180">
        <f>$F$13</f>
        <v>1000</v>
      </c>
      <c r="AF607" s="364">
        <v>1000</v>
      </c>
      <c r="AG607" s="15"/>
      <c r="AH607" s="2"/>
      <c r="AI607" s="45"/>
      <c r="AJ607" s="180"/>
      <c r="AK607" s="15"/>
      <c r="AL607" s="15"/>
      <c r="AM607" s="45"/>
      <c r="AN607" s="15"/>
      <c r="AO607" s="13"/>
      <c r="AP607" s="15"/>
      <c r="AQ607" s="180"/>
      <c r="AR607" s="15"/>
      <c r="AS607" s="13"/>
      <c r="AT607" s="15"/>
      <c r="AU607" s="45"/>
      <c r="AV607" s="15"/>
      <c r="AW607" s="13"/>
      <c r="AX607" s="15"/>
      <c r="AY607" s="45"/>
      <c r="AZ607" s="28"/>
      <c r="BA607" s="13"/>
      <c r="BB607" s="15"/>
      <c r="BC607" s="45"/>
      <c r="BD607" s="28"/>
      <c r="BE607" s="14"/>
      <c r="BF607" s="41">
        <f t="shared" ref="BF607:BG607" si="1793">K607+O607+S607+W607+AA607+AE607+AI607+AM607+AQ607+AU607+AY607+BC607</f>
        <v>1000</v>
      </c>
      <c r="BG607" s="34">
        <f t="shared" si="1793"/>
        <v>1000</v>
      </c>
      <c r="BH607" s="35">
        <f t="shared" si="1782"/>
        <v>0</v>
      </c>
      <c r="BK607" s="2" t="b">
        <f>H607='2021'!BH607</f>
        <v>1</v>
      </c>
    </row>
    <row r="608" ht="15.75" customHeight="1" spans="1:63" x14ac:dyDescent="0.25">
      <c r="A608" s="2">
        <v>67</v>
      </c>
      <c r="B608" s="14"/>
      <c r="D608" s="14" t="s">
        <v>51</v>
      </c>
      <c r="E608" s="2" t="s">
        <v>49</v>
      </c>
      <c r="F608" s="41">
        <v>500</v>
      </c>
      <c r="G608" s="28"/>
      <c r="H608" s="34">
        <f>'2021'!BH608</f>
        <v>0</v>
      </c>
      <c r="I608" s="13"/>
      <c r="J608" s="15"/>
      <c r="K608" s="15"/>
      <c r="L608" s="28"/>
      <c r="M608" s="13"/>
      <c r="N608" s="15"/>
      <c r="P608" s="1"/>
      <c r="Q608" s="13"/>
      <c r="R608" s="15"/>
      <c r="S608" s="15"/>
      <c r="T608" s="28"/>
      <c r="U608" s="13"/>
      <c r="V608" s="15"/>
      <c r="Y608" s="13"/>
      <c r="Z608" s="2"/>
      <c r="AA608" s="15"/>
      <c r="AB608" s="28"/>
      <c r="AC608" s="348"/>
      <c r="AD608" s="15"/>
      <c r="AE608" s="34"/>
      <c r="AG608" s="15"/>
      <c r="AH608" s="2"/>
      <c r="AI608" s="45"/>
      <c r="AJ608" s="180"/>
      <c r="AK608" s="15"/>
      <c r="AL608" s="15"/>
      <c r="AM608" s="45"/>
      <c r="AN608" s="15"/>
      <c r="AO608" s="13"/>
      <c r="AP608" s="15"/>
      <c r="AQ608" s="180">
        <f>B603*$F$14</f>
        <v>0</v>
      </c>
      <c r="AR608" s="15"/>
      <c r="AS608" s="13"/>
      <c r="AT608" s="15"/>
      <c r="AU608" s="45"/>
      <c r="AV608" s="15"/>
      <c r="AW608" s="13"/>
      <c r="AX608" s="15"/>
      <c r="AY608" s="45"/>
      <c r="AZ608" s="28"/>
      <c r="BA608" s="13"/>
      <c r="BB608" s="15"/>
      <c r="BC608" s="45"/>
      <c r="BD608" s="28"/>
      <c r="BE608" s="14"/>
      <c r="BF608" s="41">
        <f t="shared" ref="BF608:BG608" si="1794">K608+O608+S608+W608+AA608+AE608+AI608+AM608+AQ608+AU608+AY608+BC608</f>
        <v>0</v>
      </c>
      <c r="BG608" s="34">
        <f t="shared" si="1794"/>
        <v>0</v>
      </c>
      <c r="BH608" s="35">
        <f t="shared" si="1782"/>
        <v>0</v>
      </c>
      <c r="BK608" s="2" t="b">
        <f>H608='2021'!BH608</f>
        <v>1</v>
      </c>
    </row>
    <row r="609" ht="15.75" customHeight="1" spans="1:63" x14ac:dyDescent="0.25">
      <c r="A609" s="2">
        <v>67</v>
      </c>
      <c r="B609" s="14"/>
      <c r="C609" s="15" t="s">
        <v>430</v>
      </c>
      <c r="D609" s="14" t="s">
        <v>52</v>
      </c>
      <c r="E609" s="2" t="s">
        <v>39</v>
      </c>
      <c r="F609" s="41">
        <v>500</v>
      </c>
      <c r="G609" s="28"/>
      <c r="H609" s="34">
        <f>'2021'!BH609</f>
        <v>0</v>
      </c>
      <c r="I609" s="13"/>
      <c r="J609" s="15"/>
      <c r="K609" s="15"/>
      <c r="L609" s="28"/>
      <c r="M609" s="13"/>
      <c r="N609" s="15"/>
      <c r="Q609" s="13"/>
      <c r="R609" s="15"/>
      <c r="S609" s="15"/>
      <c r="T609" s="28"/>
      <c r="U609" s="13"/>
      <c r="V609" s="15"/>
      <c r="Y609" s="13"/>
      <c r="Z609" s="2"/>
      <c r="AA609" s="84"/>
      <c r="AB609" s="28"/>
      <c r="AC609" s="348"/>
      <c r="AD609" s="15"/>
      <c r="AF609" s="34"/>
      <c r="AG609" s="15"/>
      <c r="AH609" s="2"/>
      <c r="AI609" s="45"/>
      <c r="AJ609" s="39"/>
      <c r="AK609" s="15"/>
      <c r="AL609" s="15"/>
      <c r="AM609" s="45"/>
      <c r="AN609" s="15"/>
      <c r="AO609" s="13"/>
      <c r="AP609" s="15"/>
      <c r="AQ609" s="45"/>
      <c r="AR609" s="15"/>
      <c r="AS609" s="13"/>
      <c r="AT609" s="15"/>
      <c r="AU609" s="45"/>
      <c r="AV609" s="15"/>
      <c r="AW609" s="13"/>
      <c r="AX609" s="15"/>
      <c r="AY609" s="45"/>
      <c r="AZ609" s="35"/>
      <c r="BA609" s="13"/>
      <c r="BB609" s="15"/>
      <c r="BC609" s="45"/>
      <c r="BD609" s="35"/>
      <c r="BE609" s="14"/>
      <c r="BF609" s="41">
        <f t="shared" ref="BF609:BG609" si="1795">K609+O609+S609+W609+AA609+AE609+AI609+AM609+AQ609+AU609+AY609+BC609</f>
        <v>0</v>
      </c>
      <c r="BG609" s="34">
        <f t="shared" si="1795"/>
        <v>0</v>
      </c>
      <c r="BH609" s="35">
        <f t="shared" si="1782"/>
        <v>0</v>
      </c>
      <c r="BK609" s="2" t="b">
        <f>H609='2021'!BH609</f>
        <v>1</v>
      </c>
    </row>
    <row r="610" ht="15.75" customHeight="1" spans="1:63" x14ac:dyDescent="0.25">
      <c r="A610" s="247">
        <v>67</v>
      </c>
      <c r="B610" s="21"/>
      <c r="C610" s="22" t="s">
        <v>53</v>
      </c>
      <c r="D610" s="21"/>
      <c r="E610" s="22"/>
      <c r="F610" s="20"/>
      <c r="G610" s="23"/>
      <c r="H610" s="51">
        <f>SUM(H602:H609)</f>
        <v>-112.49</v>
      </c>
      <c r="I610" s="52"/>
      <c r="J610" s="53"/>
      <c r="K610" s="51">
        <f t="shared" ref="K610:L610" si="1796">SUM(K602:K609)</f>
        <v>0</v>
      </c>
      <c r="L610" s="68">
        <f t="shared" si="1796"/>
        <v>0</v>
      </c>
      <c r="M610" s="52"/>
      <c r="N610" s="53"/>
      <c r="O610" s="51">
        <f t="shared" ref="O610:P610" si="1797">SUM(O602:O609)</f>
        <v>0</v>
      </c>
      <c r="P610" s="51">
        <f t="shared" si="1797"/>
        <v>0</v>
      </c>
      <c r="Q610" s="52"/>
      <c r="R610" s="53"/>
      <c r="S610" s="51">
        <f t="shared" ref="S610:T610" si="1798">SUM(S602:S609)</f>
        <v>0</v>
      </c>
      <c r="T610" s="51">
        <f t="shared" si="1798"/>
        <v>0</v>
      </c>
      <c r="U610" s="52"/>
      <c r="V610" s="53"/>
      <c r="W610" s="51">
        <f t="shared" ref="W610:X610" si="1799">SUM(W602:W609)</f>
        <v>0</v>
      </c>
      <c r="X610" s="51">
        <f t="shared" si="1799"/>
        <v>0</v>
      </c>
      <c r="Y610" s="52"/>
      <c r="Z610" s="301"/>
      <c r="AA610" s="51">
        <f t="shared" ref="AA610:AB610" si="1800">SUM(AA602:AA609)</f>
        <v>285.35</v>
      </c>
      <c r="AB610" s="51">
        <f t="shared" si="1800"/>
        <v>0</v>
      </c>
      <c r="AC610" s="367"/>
      <c r="AD610" s="53"/>
      <c r="AE610" s="51">
        <f t="shared" ref="AE610:AF610" si="1801">SUM(AE602:AE609)</f>
        <v>9244.2</v>
      </c>
      <c r="AF610" s="51">
        <f t="shared" si="1801"/>
        <v>1500</v>
      </c>
      <c r="AG610" s="52"/>
      <c r="AH610" s="301"/>
      <c r="AI610" s="183">
        <f t="shared" ref="AI610:AJ610" si="1802">SUM(AI602:AI609)</f>
        <v>681.21856</v>
      </c>
      <c r="AJ610" s="51">
        <f t="shared" si="1802"/>
        <v>8096.3</v>
      </c>
      <c r="AK610" s="52"/>
      <c r="AL610" s="53"/>
      <c r="AM610" s="183">
        <f t="shared" ref="AM610:AN610" si="1803">SUM(AM602:AM609)</f>
        <v>639.44792</v>
      </c>
      <c r="AN610" s="51">
        <f t="shared" si="1803"/>
        <v>1141.43</v>
      </c>
      <c r="AO610" s="52"/>
      <c r="AP610" s="53"/>
      <c r="AQ610" s="183">
        <f t="shared" ref="AQ610:AR610" si="1804">SUM(AQ602:AQ609)</f>
        <v>292.9062</v>
      </c>
      <c r="AR610" s="51">
        <f t="shared" si="1804"/>
        <v>507</v>
      </c>
      <c r="AS610" s="52"/>
      <c r="AT610" s="53"/>
      <c r="AU610" s="183">
        <f t="shared" ref="AU610:AV610" si="1805">SUM(AU602:AU609)</f>
        <v>139.482</v>
      </c>
      <c r="AV610" s="68">
        <f t="shared" si="1805"/>
        <v>0</v>
      </c>
      <c r="AW610" s="52"/>
      <c r="AX610" s="53"/>
      <c r="AY610" s="183">
        <f t="shared" ref="AY610:AZ610" si="1806">SUM(AY602:AY609)</f>
        <v>0</v>
      </c>
      <c r="AZ610" s="68">
        <f t="shared" si="1806"/>
        <v>0</v>
      </c>
      <c r="BA610" s="52"/>
      <c r="BB610" s="53"/>
      <c r="BC610" s="183">
        <f t="shared" ref="BC610:BD610" si="1807">SUM(BC602:BC609)</f>
        <v>0</v>
      </c>
      <c r="BD610" s="68">
        <f t="shared" si="1807"/>
        <v>0</v>
      </c>
      <c r="BE610" s="69"/>
      <c r="BF610" s="70">
        <f t="shared" ref="BF610:BH610" si="1808">SUM(BF602:BF609)</f>
        <v>11282.60468</v>
      </c>
      <c r="BG610" s="71">
        <f t="shared" si="1808"/>
        <v>11244.73</v>
      </c>
      <c r="BH610" s="72">
        <f t="shared" si="1808"/>
        <v>-74.61532</v>
      </c>
      <c r="BI610" s="34">
        <f>H610+BF610-BG610</f>
        <v>-74.61532</v>
      </c>
      <c r="BJ610" s="34">
        <f>BH610-BI610</f>
        <v>0</v>
      </c>
      <c r="BK610" s="2" t="b">
        <f>H610='2021'!BH610</f>
        <v>1</v>
      </c>
    </row>
    <row r="611" ht="15.75" customHeight="1" spans="1:63" x14ac:dyDescent="0.25">
      <c r="A611" s="89" t="s">
        <v>248</v>
      </c>
      <c r="B611" s="14"/>
      <c r="D611" s="14" t="s">
        <v>379</v>
      </c>
      <c r="F611" s="13"/>
      <c r="G611" s="28"/>
      <c r="H611" s="34">
        <f>'2021'!BH611</f>
        <v>0</v>
      </c>
      <c r="I611" s="13"/>
      <c r="J611" s="15"/>
      <c r="K611" s="15"/>
      <c r="L611" s="28"/>
      <c r="M611" s="13"/>
      <c r="N611" s="15"/>
      <c r="Q611" s="13"/>
      <c r="R611" s="15"/>
      <c r="S611" s="15"/>
      <c r="T611" s="28"/>
      <c r="U611" s="13"/>
      <c r="V611" s="15"/>
      <c r="Y611" s="13"/>
      <c r="Z611" s="2"/>
      <c r="AA611" s="15"/>
      <c r="AB611" s="28"/>
      <c r="AC611" s="348"/>
      <c r="AD611" s="15"/>
      <c r="AG611" s="15"/>
      <c r="AH611" s="2"/>
      <c r="AI611" s="45"/>
      <c r="AJ611" s="154"/>
      <c r="AK611" s="15"/>
      <c r="AM611" s="45"/>
      <c r="AO611" s="13"/>
      <c r="AQ611" s="180"/>
      <c r="AS611" s="13"/>
      <c r="AU611" s="180"/>
      <c r="AW611" s="13"/>
      <c r="AY611" s="180"/>
      <c r="AZ611" s="28"/>
      <c r="BA611" s="13"/>
      <c r="BB611" s="15"/>
      <c r="BC611" s="180"/>
      <c r="BD611" s="28"/>
      <c r="BE611" s="14"/>
      <c r="BF611" s="41">
        <f t="shared" ref="BF611:BG611" si="1809">K611+O611+S611+W611+AA611+AE611+AI611+AM611+AQ611+AU611+AY611+BC611</f>
        <v>0</v>
      </c>
      <c r="BG611" s="34">
        <f t="shared" si="1809"/>
        <v>0</v>
      </c>
      <c r="BH611" s="35">
        <f t="shared" ref="BH611:BH618" si="1810">H611+BF611-BG611</f>
        <v>0</v>
      </c>
      <c r="BK611" s="2" t="b">
        <f>H611='2021'!BH611</f>
        <v>1</v>
      </c>
    </row>
    <row r="612" ht="15.75" customHeight="1" spans="1:63" x14ac:dyDescent="0.25">
      <c r="A612" s="89" t="s">
        <v>248</v>
      </c>
      <c r="B612" s="14">
        <v>4.01</v>
      </c>
      <c r="C612" s="2" t="s">
        <v>505</v>
      </c>
      <c r="D612" s="14" t="s">
        <v>44</v>
      </c>
      <c r="E612" s="2" t="s">
        <v>45</v>
      </c>
      <c r="F612" s="41">
        <v>2.5</v>
      </c>
      <c r="G612" s="35">
        <v>2.6</v>
      </c>
      <c r="H612" s="34">
        <f>'2021'!BH612</f>
        <v>523.8</v>
      </c>
      <c r="I612" s="13">
        <v>4097</v>
      </c>
      <c r="J612" s="15">
        <f>I612-'2021'!BA612</f>
        <v>0</v>
      </c>
      <c r="K612" s="34">
        <f>J612*$F$8</f>
        <v>0</v>
      </c>
      <c r="L612" s="28"/>
      <c r="M612" s="13">
        <v>4097</v>
      </c>
      <c r="N612" s="15">
        <f t="shared" ref="N612:N613" si="1811">M612-I612</f>
        <v>0</v>
      </c>
      <c r="O612" s="34">
        <f>N612*$F$8</f>
        <v>0</v>
      </c>
      <c r="Q612" s="13">
        <v>4097</v>
      </c>
      <c r="R612" s="15">
        <f t="shared" ref="R612:R613" si="1812">Q612-M612</f>
        <v>0</v>
      </c>
      <c r="S612" s="34">
        <f>R612*$F$8</f>
        <v>0</v>
      </c>
      <c r="T612" s="32">
        <v>523.8</v>
      </c>
      <c r="U612" s="13">
        <v>4097</v>
      </c>
      <c r="V612" s="15">
        <f t="shared" ref="V612:V613" si="1813">U612-Q612</f>
        <v>0</v>
      </c>
      <c r="W612" s="34">
        <f>V612*$F$8</f>
        <v>0</v>
      </c>
      <c r="Y612" s="13">
        <v>4130</v>
      </c>
      <c r="Z612" s="2">
        <f t="shared" ref="Z612:Z613" si="1814">Y612-U612</f>
        <v>33</v>
      </c>
      <c r="AA612" s="34">
        <f>Z612*$F$8</f>
        <v>89.1</v>
      </c>
      <c r="AB612" s="28"/>
      <c r="AC612" s="348">
        <v>4418</v>
      </c>
      <c r="AD612" s="15">
        <f t="shared" ref="AD612:AD613" si="1815">AC612-Y612</f>
        <v>288</v>
      </c>
      <c r="AE612" s="180">
        <f>AD612*$F$8</f>
        <v>777.6</v>
      </c>
      <c r="AF612" s="39"/>
      <c r="AG612" s="15">
        <v>4534</v>
      </c>
      <c r="AH612" s="2">
        <f>(AG612-AC612)*AH5</f>
        <v>122.496</v>
      </c>
      <c r="AI612" s="45">
        <f>AH612*$G$8</f>
        <v>301.34016</v>
      </c>
      <c r="AJ612" s="182"/>
      <c r="AK612" s="15">
        <v>4726</v>
      </c>
      <c r="AL612" s="15">
        <f>(AK612-AG612)*AL5</f>
        <v>197.376</v>
      </c>
      <c r="AM612" s="45">
        <f>AL612*$G$8</f>
        <v>485.54496</v>
      </c>
      <c r="AN612" s="1">
        <v>1000</v>
      </c>
      <c r="AO612" s="13">
        <v>4914</v>
      </c>
      <c r="AP612" s="15">
        <f>(AO612-AK612)*AP5</f>
        <v>194.204</v>
      </c>
      <c r="AQ612" s="45">
        <f>AP612*$G$8</f>
        <v>477.74184</v>
      </c>
      <c r="AR612" s="39">
        <f>650+100</f>
        <v>750</v>
      </c>
      <c r="AS612" s="13">
        <v>4973</v>
      </c>
      <c r="AT612" s="15">
        <f>(AS612-AO612)*AT5</f>
        <v>61.95</v>
      </c>
      <c r="AU612" s="45">
        <f>AT612*$G$8</f>
        <v>152.397</v>
      </c>
      <c r="AV612" s="15"/>
      <c r="AW612" s="13"/>
      <c r="AX612" s="15">
        <f>(AW612-AS612)*AX5</f>
        <v>0</v>
      </c>
      <c r="AY612" s="45">
        <f>AX612*$G$8</f>
        <v>0</v>
      </c>
      <c r="AZ612" s="246"/>
      <c r="BA612" s="13"/>
      <c r="BB612" s="15"/>
      <c r="BC612" s="45">
        <f>BB612*$G$8</f>
        <v>0</v>
      </c>
      <c r="BD612" s="208"/>
      <c r="BE612" s="40">
        <f t="shared" ref="BE612:BG612" si="1816">J612+N612+R612+V612+Z612+AD612+AH612+AL612+AP612+AT612+AX612+BB612</f>
        <v>897.026</v>
      </c>
      <c r="BF612" s="41">
        <f t="shared" si="1816"/>
        <v>2283.72396</v>
      </c>
      <c r="BG612" s="34">
        <f t="shared" si="1816"/>
        <v>2273.8</v>
      </c>
      <c r="BH612" s="35">
        <f t="shared" si="1810"/>
        <v>533.72396</v>
      </c>
      <c r="BK612" s="2" t="b">
        <f>H612='2021'!BH612</f>
        <v>1</v>
      </c>
    </row>
    <row r="613" ht="15.75" customHeight="1" spans="1:63" x14ac:dyDescent="0.25">
      <c r="A613" s="89" t="s">
        <v>248</v>
      </c>
      <c r="B613" s="14"/>
      <c r="C613" s="2" t="s">
        <v>61</v>
      </c>
      <c r="D613" s="14" t="s">
        <v>47</v>
      </c>
      <c r="E613" s="2" t="s">
        <v>48</v>
      </c>
      <c r="F613" s="13">
        <v>18.56</v>
      </c>
      <c r="G613" s="35">
        <v>19.46</v>
      </c>
      <c r="H613" s="90">
        <f>'2021'!BH613</f>
        <v>142.45</v>
      </c>
      <c r="I613" s="13">
        <f>45+48+81</f>
        <v>174</v>
      </c>
      <c r="J613" s="15"/>
      <c r="K613" s="15"/>
      <c r="L613" s="28"/>
      <c r="M613" s="13">
        <f>45+48+81</f>
        <v>174</v>
      </c>
      <c r="N613" s="15">
        <f t="shared" si="1811"/>
        <v>0</v>
      </c>
      <c r="Q613" s="13">
        <f>45+48+81</f>
        <v>174</v>
      </c>
      <c r="R613" s="15">
        <f t="shared" si="1812"/>
        <v>0</v>
      </c>
      <c r="S613" s="15"/>
      <c r="T613" s="32">
        <v>142.45</v>
      </c>
      <c r="U613" s="13">
        <f>45+48+81</f>
        <v>174</v>
      </c>
      <c r="V613" s="15">
        <f t="shared" si="1813"/>
        <v>0</v>
      </c>
      <c r="W613" s="180">
        <f>V613*$F$10</f>
        <v>0</v>
      </c>
      <c r="Y613" s="13">
        <f>45+81+48</f>
        <v>174</v>
      </c>
      <c r="Z613" s="2">
        <f t="shared" si="1814"/>
        <v>0</v>
      </c>
      <c r="AA613" s="34">
        <f>Z613*$F$10</f>
        <v>0</v>
      </c>
      <c r="AB613" s="28"/>
      <c r="AC613" s="350">
        <f>90+56+45</f>
        <v>191</v>
      </c>
      <c r="AD613" s="15">
        <f t="shared" si="1815"/>
        <v>17</v>
      </c>
      <c r="AE613" s="34">
        <f>AD613*$F$10</f>
        <v>345.95</v>
      </c>
      <c r="AF613" s="34"/>
      <c r="AG613" s="13">
        <f>97+46+62</f>
        <v>205</v>
      </c>
      <c r="AH613" s="2">
        <f>AG613-AC613</f>
        <v>14</v>
      </c>
      <c r="AI613" s="45">
        <f>AH613*$G$10</f>
        <v>299.6</v>
      </c>
      <c r="AJ613" s="182"/>
      <c r="AK613" s="13">
        <f>103+46+68</f>
        <v>217</v>
      </c>
      <c r="AL613" s="15">
        <f>AK613-AG613</f>
        <v>12</v>
      </c>
      <c r="AM613" s="45">
        <f>AL613*$G$10</f>
        <v>256.8</v>
      </c>
      <c r="AN613" s="317">
        <v>650</v>
      </c>
      <c r="AO613" s="13">
        <f>47+72+107</f>
        <v>226</v>
      </c>
      <c r="AP613" s="15">
        <f>AO613-AK613</f>
        <v>9</v>
      </c>
      <c r="AQ613" s="45">
        <f>AP613*$G$10</f>
        <v>192.6</v>
      </c>
      <c r="AR613" s="1">
        <v>300</v>
      </c>
      <c r="AS613" s="13">
        <v>226</v>
      </c>
      <c r="AT613" s="15">
        <f>AS613-AO613</f>
        <v>0</v>
      </c>
      <c r="AU613" s="45">
        <f>AT613*$G$10</f>
        <v>0</v>
      </c>
      <c r="AV613" s="15"/>
      <c r="AW613" s="13"/>
      <c r="AX613" s="15">
        <f>AW613-AS613</f>
        <v>-226</v>
      </c>
      <c r="AY613" s="45"/>
      <c r="AZ613" s="208"/>
      <c r="BA613" s="13"/>
      <c r="BB613" s="15"/>
      <c r="BC613" s="45"/>
      <c r="BD613" s="208"/>
      <c r="BE613" s="40">
        <f t="shared" ref="BE613:BG613" si="1817">J613+N613+R613+V613+Z613+AD613+AH613+AL613+AP613+AT613+AX613+BB613</f>
        <v>-174</v>
      </c>
      <c r="BF613" s="41">
        <f t="shared" si="1817"/>
        <v>1094.95</v>
      </c>
      <c r="BG613" s="34">
        <f t="shared" si="1817"/>
        <v>1092.45</v>
      </c>
      <c r="BH613" s="35">
        <f t="shared" si="1810"/>
        <v>144.95</v>
      </c>
      <c r="BK613" s="2" t="b">
        <f>H613='2021'!BH613</f>
        <v>1</v>
      </c>
    </row>
    <row r="614" ht="15.75" customHeight="1" spans="1:63" x14ac:dyDescent="0.25">
      <c r="A614" s="89" t="s">
        <v>248</v>
      </c>
      <c r="B614" s="14"/>
      <c r="C614" s="2" t="s">
        <v>102</v>
      </c>
      <c r="D614" s="14" t="s">
        <v>47</v>
      </c>
      <c r="E614" s="2" t="s">
        <v>49</v>
      </c>
      <c r="F614" s="41">
        <v>500</v>
      </c>
      <c r="G614" s="28"/>
      <c r="H614" s="34">
        <f>'2021'!BH614</f>
        <v>0</v>
      </c>
      <c r="I614" s="13"/>
      <c r="J614" s="15"/>
      <c r="K614" s="15"/>
      <c r="L614" s="28"/>
      <c r="M614" s="13"/>
      <c r="N614" s="15"/>
      <c r="Q614" s="13"/>
      <c r="R614" s="15"/>
      <c r="S614" s="15"/>
      <c r="T614" s="28"/>
      <c r="U614" s="13"/>
      <c r="V614" s="15"/>
      <c r="W614" s="15"/>
      <c r="Y614" s="13"/>
      <c r="Z614" s="2"/>
      <c r="AA614" s="15"/>
      <c r="AB614" s="28"/>
      <c r="AC614" s="348"/>
      <c r="AD614" s="15"/>
      <c r="AG614" s="15"/>
      <c r="AH614" s="2"/>
      <c r="AI614" s="45"/>
      <c r="AJ614" s="154"/>
      <c r="AK614" s="15"/>
      <c r="AL614" s="15"/>
      <c r="AM614" s="45"/>
      <c r="AN614" s="15"/>
      <c r="AO614" s="13"/>
      <c r="AP614" s="15"/>
      <c r="AQ614" s="45"/>
      <c r="AR614" s="1"/>
      <c r="AS614" s="13"/>
      <c r="AT614" s="15"/>
      <c r="AU614" s="45"/>
      <c r="AV614" s="15"/>
      <c r="AW614" s="13"/>
      <c r="AX614" s="15"/>
      <c r="AY614" s="45"/>
      <c r="AZ614" s="28"/>
      <c r="BA614" s="13"/>
      <c r="BB614" s="15"/>
      <c r="BC614" s="45"/>
      <c r="BD614" s="28"/>
      <c r="BE614" s="14"/>
      <c r="BF614" s="41">
        <f t="shared" ref="BF614:BG614" si="1818">K614+O614+S614+W614+AA614+AE614+AI614+AM614+AQ614+AU614+AY614+BC614</f>
        <v>0</v>
      </c>
      <c r="BG614" s="34">
        <f t="shared" si="1818"/>
        <v>0</v>
      </c>
      <c r="BH614" s="35">
        <f t="shared" si="1810"/>
        <v>0</v>
      </c>
      <c r="BK614" s="2" t="b">
        <f>H614='2021'!BH614</f>
        <v>1</v>
      </c>
    </row>
    <row r="615" ht="15.75" customHeight="1" spans="1:63" x14ac:dyDescent="0.25">
      <c r="A615" s="89" t="s">
        <v>248</v>
      </c>
      <c r="B615" s="14"/>
      <c r="C615" s="2" t="s">
        <v>252</v>
      </c>
      <c r="D615" s="14" t="s">
        <v>50</v>
      </c>
      <c r="E615" s="2" t="s">
        <v>49</v>
      </c>
      <c r="F615" s="41">
        <v>1100</v>
      </c>
      <c r="G615" s="28"/>
      <c r="H615" s="34">
        <f>'2021'!BH615</f>
        <v>0</v>
      </c>
      <c r="I615" s="13"/>
      <c r="J615" s="15"/>
      <c r="K615" s="15"/>
      <c r="L615" s="28"/>
      <c r="M615" s="13"/>
      <c r="N615" s="15"/>
      <c r="Q615" s="13"/>
      <c r="R615" s="15"/>
      <c r="S615" s="15"/>
      <c r="T615" s="28"/>
      <c r="U615" s="13"/>
      <c r="V615" s="15"/>
      <c r="Y615" s="13"/>
      <c r="Z615" s="2"/>
      <c r="AA615" s="15"/>
      <c r="AB615" s="28"/>
      <c r="AC615" s="348"/>
      <c r="AD615" s="15"/>
      <c r="AE615" s="34">
        <f>B612*$F$12</f>
        <v>5213</v>
      </c>
      <c r="AF615" s="248"/>
      <c r="AG615" s="15"/>
      <c r="AH615" s="2"/>
      <c r="AI615" s="45"/>
      <c r="AJ615" s="182"/>
      <c r="AK615" s="15"/>
      <c r="AL615" s="15"/>
      <c r="AM615" s="45"/>
      <c r="AN615" s="1">
        <v>5213</v>
      </c>
      <c r="AO615" s="13"/>
      <c r="AP615" s="15"/>
      <c r="AQ615" s="45"/>
      <c r="AR615" s="15"/>
      <c r="AS615" s="13"/>
      <c r="AT615" s="15"/>
      <c r="AU615" s="45"/>
      <c r="AV615" s="15"/>
      <c r="AW615" s="13"/>
      <c r="AX615" s="15"/>
      <c r="AY615" s="45"/>
      <c r="AZ615" s="28"/>
      <c r="BA615" s="13"/>
      <c r="BB615" s="15"/>
      <c r="BC615" s="45"/>
      <c r="BD615" s="28"/>
      <c r="BE615" s="14"/>
      <c r="BF615" s="41">
        <f t="shared" ref="BF615:BG615" si="1819">K615+O615+S615+W615+AA615+AE615+AI615+AM615+AQ615+AU615+AY615+BC615</f>
        <v>5213</v>
      </c>
      <c r="BG615" s="34">
        <f t="shared" si="1819"/>
        <v>5213</v>
      </c>
      <c r="BH615" s="35">
        <f t="shared" si="1810"/>
        <v>0</v>
      </c>
      <c r="BK615" s="2" t="b">
        <f>H615='2021'!BH615</f>
        <v>1</v>
      </c>
    </row>
    <row r="616" ht="15.75" customHeight="1" spans="1:63" x14ac:dyDescent="0.25">
      <c r="A616" s="89" t="s">
        <v>248</v>
      </c>
      <c r="B616" s="14"/>
      <c r="D616" s="14" t="s">
        <v>51</v>
      </c>
      <c r="E616" s="2" t="s">
        <v>39</v>
      </c>
      <c r="F616" s="41">
        <v>500</v>
      </c>
      <c r="G616" s="28"/>
      <c r="H616" s="34">
        <f>'2021'!BH616</f>
        <v>0</v>
      </c>
      <c r="I616" s="13"/>
      <c r="J616" s="15"/>
      <c r="K616" s="15"/>
      <c r="L616" s="28"/>
      <c r="M616" s="13"/>
      <c r="N616" s="15"/>
      <c r="Q616" s="13"/>
      <c r="R616" s="15"/>
      <c r="S616" s="15"/>
      <c r="T616" s="28"/>
      <c r="U616" s="13"/>
      <c r="V616" s="15"/>
      <c r="Y616" s="13"/>
      <c r="Z616" s="2"/>
      <c r="AA616" s="15"/>
      <c r="AB616" s="28"/>
      <c r="AC616" s="348"/>
      <c r="AD616" s="15"/>
      <c r="AE616" s="180">
        <f>$F$13</f>
        <v>1000</v>
      </c>
      <c r="AF616" s="39"/>
      <c r="AG616" s="15"/>
      <c r="AH616" s="2"/>
      <c r="AI616" s="45"/>
      <c r="AJ616" s="154"/>
      <c r="AK616" s="15"/>
      <c r="AL616" s="15"/>
      <c r="AM616" s="45"/>
      <c r="AN616" s="1">
        <v>1000</v>
      </c>
      <c r="AO616" s="13"/>
      <c r="AP616" s="15"/>
      <c r="AQ616" s="180"/>
      <c r="AR616" s="15"/>
      <c r="AS616" s="13"/>
      <c r="AT616" s="15"/>
      <c r="AU616" s="45"/>
      <c r="AV616" s="15"/>
      <c r="AW616" s="13"/>
      <c r="AX616" s="15"/>
      <c r="AY616" s="45"/>
      <c r="AZ616" s="28"/>
      <c r="BA616" s="13"/>
      <c r="BB616" s="15"/>
      <c r="BC616" s="45"/>
      <c r="BD616" s="28"/>
      <c r="BE616" s="14"/>
      <c r="BF616" s="41">
        <f t="shared" ref="BF616:BG616" si="1820">K616+O616+S616+W616+AA616+AE616+AI616+AM616+AQ616+AU616+AY616+BC616</f>
        <v>1000</v>
      </c>
      <c r="BG616" s="34">
        <f t="shared" si="1820"/>
        <v>1000</v>
      </c>
      <c r="BH616" s="35">
        <f t="shared" si="1810"/>
        <v>0</v>
      </c>
      <c r="BK616" s="2" t="b">
        <f>H616='2021'!BH616</f>
        <v>1</v>
      </c>
    </row>
    <row r="617" ht="15.75" customHeight="1" spans="1:63" x14ac:dyDescent="0.25">
      <c r="A617" s="89" t="s">
        <v>248</v>
      </c>
      <c r="B617" s="14"/>
      <c r="D617" s="14" t="s">
        <v>51</v>
      </c>
      <c r="E617" s="2" t="s">
        <v>49</v>
      </c>
      <c r="F617" s="41">
        <v>500</v>
      </c>
      <c r="G617" s="28"/>
      <c r="H617" s="34">
        <f>'2021'!BH617</f>
        <v>0</v>
      </c>
      <c r="I617" s="13"/>
      <c r="J617" s="15"/>
      <c r="K617" s="15"/>
      <c r="L617" s="28"/>
      <c r="M617" s="13"/>
      <c r="N617" s="15"/>
      <c r="Q617" s="13"/>
      <c r="R617" s="15"/>
      <c r="S617" s="15"/>
      <c r="T617" s="28"/>
      <c r="U617" s="13"/>
      <c r="V617" s="15"/>
      <c r="Y617" s="13"/>
      <c r="Z617" s="2"/>
      <c r="AA617" s="15"/>
      <c r="AB617" s="28"/>
      <c r="AC617" s="348"/>
      <c r="AD617" s="15"/>
      <c r="AE617" s="34"/>
      <c r="AF617" s="39"/>
      <c r="AG617" s="15"/>
      <c r="AH617" s="2"/>
      <c r="AI617" s="45"/>
      <c r="AJ617" s="15"/>
      <c r="AK617" s="15"/>
      <c r="AL617" s="15"/>
      <c r="AM617" s="45"/>
      <c r="AN617" s="15"/>
      <c r="AO617" s="13"/>
      <c r="AP617" s="15"/>
      <c r="AQ617" s="180">
        <f>B612*$F$14</f>
        <v>0</v>
      </c>
      <c r="AR617" s="15"/>
      <c r="AS617" s="13"/>
      <c r="AT617" s="15"/>
      <c r="AU617" s="45"/>
      <c r="AV617" s="15"/>
      <c r="AW617" s="13"/>
      <c r="AX617" s="15"/>
      <c r="AY617" s="45"/>
      <c r="AZ617" s="28"/>
      <c r="BA617" s="13"/>
      <c r="BB617" s="15"/>
      <c r="BC617" s="45"/>
      <c r="BD617" s="28"/>
      <c r="BE617" s="14"/>
      <c r="BF617" s="41">
        <f t="shared" ref="BF617:BG617" si="1821">K617+O617+S617+W617+AA617+AE617+AI617+AM617+AQ617+AU617+AY617+BC617</f>
        <v>0</v>
      </c>
      <c r="BG617" s="34">
        <f t="shared" si="1821"/>
        <v>0</v>
      </c>
      <c r="BH617" s="35">
        <f t="shared" si="1810"/>
        <v>0</v>
      </c>
      <c r="BK617" s="2" t="b">
        <f>H617='2021'!BH617</f>
        <v>1</v>
      </c>
    </row>
    <row r="618" ht="15.75" customHeight="1" spans="1:63" x14ac:dyDescent="0.25">
      <c r="A618" s="89" t="s">
        <v>248</v>
      </c>
      <c r="B618" s="14"/>
      <c r="D618" s="14" t="s">
        <v>52</v>
      </c>
      <c r="E618" s="2" t="s">
        <v>39</v>
      </c>
      <c r="F618" s="41">
        <v>500</v>
      </c>
      <c r="G618" s="28"/>
      <c r="H618" s="34">
        <f>'2021'!BH618</f>
        <v>0</v>
      </c>
      <c r="I618" s="13"/>
      <c r="J618" s="15"/>
      <c r="K618" s="15"/>
      <c r="L618" s="28"/>
      <c r="M618" s="13"/>
      <c r="N618" s="15"/>
      <c r="Q618" s="13"/>
      <c r="R618" s="15"/>
      <c r="S618" s="15"/>
      <c r="T618" s="28"/>
      <c r="U618" s="13"/>
      <c r="V618" s="15"/>
      <c r="Y618" s="13"/>
      <c r="Z618" s="2"/>
      <c r="AA618" s="34">
        <f>$F$15</f>
      </c>
      <c r="AB618" s="28"/>
      <c r="AC618" s="348"/>
      <c r="AD618" s="15"/>
      <c r="AG618" s="15"/>
      <c r="AH618" s="2"/>
      <c r="AI618" s="45"/>
      <c r="AJ618" s="15"/>
      <c r="AK618" s="15"/>
      <c r="AL618" s="15"/>
      <c r="AM618" s="45"/>
      <c r="AN618" s="15"/>
      <c r="AO618" s="13"/>
      <c r="AP618" s="15"/>
      <c r="AQ618" s="45"/>
      <c r="AR618" s="15"/>
      <c r="AS618" s="13"/>
      <c r="AT618" s="15"/>
      <c r="AU618" s="45"/>
      <c r="AV618" s="15"/>
      <c r="AW618" s="13"/>
      <c r="AX618" s="15"/>
      <c r="AY618" s="45"/>
      <c r="AZ618" s="35"/>
      <c r="BA618" s="13"/>
      <c r="BB618" s="15"/>
      <c r="BC618" s="45"/>
      <c r="BD618" s="35"/>
      <c r="BE618" s="14"/>
      <c r="BF618" s="41">
        <f t="shared" ref="BF618:BG618" si="1822">K618+O618+S618+W618+AA618+AE618+AI618+AM618+AQ618+AU618+AY618+BC618</f>
        <v>0</v>
      </c>
      <c r="BG618" s="34">
        <f t="shared" si="1822"/>
        <v>0</v>
      </c>
      <c r="BH618" s="35">
        <f t="shared" si="1810"/>
        <v>0</v>
      </c>
      <c r="BK618" s="2" t="b">
        <f>H618='2021'!BH618</f>
        <v>1</v>
      </c>
    </row>
    <row r="619" ht="15.75" customHeight="1" spans="1:63" x14ac:dyDescent="0.25">
      <c r="A619" s="243" t="s">
        <v>248</v>
      </c>
      <c r="B619" s="21"/>
      <c r="C619" s="22" t="s">
        <v>53</v>
      </c>
      <c r="D619" s="21"/>
      <c r="E619" s="22"/>
      <c r="F619" s="20"/>
      <c r="G619" s="23"/>
      <c r="H619" s="51">
        <f>SUM(H611:H618)</f>
        <v>666.25</v>
      </c>
      <c r="I619" s="52"/>
      <c r="J619" s="53"/>
      <c r="K619" s="51">
        <f t="shared" ref="K619:L619" si="1823">SUM(K611:K618)</f>
        <v>0</v>
      </c>
      <c r="L619" s="68">
        <f t="shared" si="1823"/>
        <v>0</v>
      </c>
      <c r="M619" s="52"/>
      <c r="N619" s="53"/>
      <c r="O619" s="51">
        <f t="shared" ref="O619:P619" si="1824">SUM(O611:O618)</f>
        <v>0</v>
      </c>
      <c r="P619" s="51">
        <f t="shared" si="1824"/>
        <v>0</v>
      </c>
      <c r="Q619" s="52"/>
      <c r="R619" s="53"/>
      <c r="S619" s="51">
        <f t="shared" ref="S619:T619" si="1825">SUM(S611:S618)</f>
        <v>0</v>
      </c>
      <c r="T619" s="51">
        <f t="shared" si="1825"/>
        <v>666.25</v>
      </c>
      <c r="U619" s="52"/>
      <c r="V619" s="53"/>
      <c r="W619" s="51">
        <f t="shared" ref="W619:X619" si="1826">SUM(W611:W618)</f>
        <v>0</v>
      </c>
      <c r="X619" s="51">
        <f t="shared" si="1826"/>
        <v>0</v>
      </c>
      <c r="Y619" s="52"/>
      <c r="Z619" s="301"/>
      <c r="AA619" s="51">
        <f t="shared" ref="AA619:AB619" si="1827">SUM(AA611:AA618)</f>
        <v>89.1</v>
      </c>
      <c r="AB619" s="51">
        <f t="shared" si="1827"/>
        <v>0</v>
      </c>
      <c r="AC619" s="367"/>
      <c r="AD619" s="53"/>
      <c r="AE619" s="51">
        <f t="shared" ref="AE619:AF619" si="1828">SUM(AE611:AE618)</f>
        <v>7336.55</v>
      </c>
      <c r="AF619" s="51">
        <f t="shared" si="1828"/>
        <v>0</v>
      </c>
      <c r="AG619" s="52"/>
      <c r="AH619" s="301"/>
      <c r="AI619" s="183">
        <f t="shared" ref="AI619:AJ619" si="1829">SUM(AI611:AI618)</f>
        <v>600.94016</v>
      </c>
      <c r="AJ619" s="51">
        <f t="shared" si="1829"/>
        <v>0</v>
      </c>
      <c r="AK619" s="52"/>
      <c r="AL619" s="53"/>
      <c r="AM619" s="183">
        <f t="shared" ref="AM619:AN619" si="1830">SUM(AM611:AM618)</f>
        <v>742.34496</v>
      </c>
      <c r="AN619" s="51">
        <f t="shared" si="1830"/>
        <v>7863</v>
      </c>
      <c r="AO619" s="52"/>
      <c r="AP619" s="53"/>
      <c r="AQ619" s="183">
        <f t="shared" ref="AQ619:AR619" si="1831">SUM(AQ611:AQ618)</f>
        <v>670.34184</v>
      </c>
      <c r="AR619" s="51">
        <f t="shared" si="1831"/>
        <v>1050</v>
      </c>
      <c r="AS619" s="52"/>
      <c r="AT619" s="53"/>
      <c r="AU619" s="183">
        <f t="shared" ref="AU619:AV619" si="1832">SUM(AU611:AU618)</f>
        <v>152.397</v>
      </c>
      <c r="AV619" s="68">
        <f t="shared" si="1832"/>
        <v>0</v>
      </c>
      <c r="AW619" s="52"/>
      <c r="AX619" s="53"/>
      <c r="AY619" s="183">
        <f t="shared" ref="AY619:AZ619" si="1833">SUM(AY611:AY618)</f>
        <v>0</v>
      </c>
      <c r="AZ619" s="68">
        <f t="shared" si="1833"/>
        <v>0</v>
      </c>
      <c r="BA619" s="52"/>
      <c r="BB619" s="53"/>
      <c r="BC619" s="183">
        <f t="shared" ref="BC619:BD619" si="1834">SUM(BC611:BC618)</f>
        <v>0</v>
      </c>
      <c r="BD619" s="68">
        <f t="shared" si="1834"/>
        <v>0</v>
      </c>
      <c r="BE619" s="69"/>
      <c r="BF619" s="70">
        <f t="shared" ref="BF619:BH619" si="1835">SUM(BF611:BF618)</f>
        <v>9591.67396</v>
      </c>
      <c r="BG619" s="71">
        <f t="shared" si="1835"/>
        <v>9579.25</v>
      </c>
      <c r="BH619" s="72">
        <f t="shared" si="1835"/>
        <v>678.67396</v>
      </c>
      <c r="BI619" s="34">
        <f>H619+BF619-BG619</f>
        <v>678.67396</v>
      </c>
      <c r="BJ619" s="34">
        <f>BH619-BI619</f>
        <v>0</v>
      </c>
      <c r="BK619" s="2" t="b">
        <f>H619='2021'!BH619</f>
        <v>1</v>
      </c>
    </row>
    <row r="620" ht="15.75" customHeight="1" spans="1:63" x14ac:dyDescent="0.25">
      <c r="A620" s="89" t="s">
        <v>248</v>
      </c>
      <c r="B620" s="14"/>
      <c r="D620" s="14" t="s">
        <v>379</v>
      </c>
      <c r="F620" s="13"/>
      <c r="G620" s="28"/>
      <c r="H620" s="34">
        <f>'2021'!BH620</f>
        <v>46.88</v>
      </c>
      <c r="I620" s="13"/>
      <c r="J620" s="15"/>
      <c r="K620" s="15"/>
      <c r="L620" s="28"/>
      <c r="M620" s="13"/>
      <c r="N620" s="15"/>
      <c r="Q620" s="13"/>
      <c r="R620" s="15"/>
      <c r="S620" s="15">
        <v>13.71</v>
      </c>
      <c r="T620" s="28"/>
      <c r="U620" s="13"/>
      <c r="V620" s="15"/>
      <c r="W620" s="2">
        <v>13.27</v>
      </c>
      <c r="Y620" s="13"/>
      <c r="Z620" s="2"/>
      <c r="AA620" s="15">
        <v>11.06</v>
      </c>
      <c r="AB620" s="32">
        <v>73.86</v>
      </c>
      <c r="AC620" s="348"/>
      <c r="AD620" s="15"/>
      <c r="AG620" s="15"/>
      <c r="AH620" s="2"/>
      <c r="AI620" s="45"/>
      <c r="AJ620" s="15"/>
      <c r="AK620" s="15"/>
      <c r="AM620" s="45"/>
      <c r="AO620" s="13"/>
      <c r="AQ620" s="180"/>
      <c r="AS620" s="13"/>
      <c r="AU620" s="180"/>
      <c r="AW620" s="13"/>
      <c r="AY620" s="180"/>
      <c r="AZ620" s="28"/>
      <c r="BA620" s="13"/>
      <c r="BB620" s="15"/>
      <c r="BC620" s="45"/>
      <c r="BD620" s="28"/>
      <c r="BE620" s="14"/>
      <c r="BF620" s="41">
        <f t="shared" ref="BF620:BG620" si="1836">K620+O620+S620+W620+AA620+AE620+AI620+AM620+AQ620+AU620+AY620+BC620</f>
        <v>38.04</v>
      </c>
      <c r="BG620" s="34">
        <f t="shared" si="1836"/>
        <v>73.86</v>
      </c>
      <c r="BH620" s="35">
        <f t="shared" ref="BH620:BH627" si="1837">H620+BF620-BG620</f>
        <v>11.06</v>
      </c>
      <c r="BK620" s="2" t="b">
        <f>H620='2021'!BH620</f>
        <v>1</v>
      </c>
    </row>
    <row r="621" ht="15.75" customHeight="1" spans="1:63" x14ac:dyDescent="0.25">
      <c r="A621" s="89" t="s">
        <v>248</v>
      </c>
      <c r="B621" s="14">
        <v>4.02</v>
      </c>
      <c r="C621" s="2" t="s">
        <v>505</v>
      </c>
      <c r="D621" s="14" t="s">
        <v>44</v>
      </c>
      <c r="E621" s="2" t="s">
        <v>45</v>
      </c>
      <c r="F621" s="41">
        <v>2.5</v>
      </c>
      <c r="G621" s="35">
        <v>2.6</v>
      </c>
      <c r="H621" s="34">
        <f>'2021'!BH621</f>
        <v>0</v>
      </c>
      <c r="I621" s="13"/>
      <c r="J621" s="15">
        <f>I621-'2021'!BA621</f>
        <v>0</v>
      </c>
      <c r="K621" s="34">
        <f>J621*$F$8</f>
        <v>0</v>
      </c>
      <c r="L621" s="28"/>
      <c r="M621" s="13"/>
      <c r="N621" s="15">
        <f t="shared" ref="N621:N622" si="1838">M621-I621</f>
        <v>0</v>
      </c>
      <c r="O621" s="34">
        <f>N621*$F$8</f>
        <v>0</v>
      </c>
      <c r="Q621" s="13"/>
      <c r="R621" s="15">
        <f t="shared" ref="R621:R622" si="1839">Q621-M621</f>
        <v>0</v>
      </c>
      <c r="S621" s="34">
        <f>R621*$F$8</f>
        <v>0</v>
      </c>
      <c r="T621" s="28"/>
      <c r="U621" s="13"/>
      <c r="V621" s="15">
        <f t="shared" ref="V621:V622" si="1840">U621-Q621</f>
        <v>0</v>
      </c>
      <c r="W621" s="34">
        <f>V621*$F$8</f>
        <v>0</v>
      </c>
      <c r="Y621" s="13"/>
      <c r="Z621" s="2">
        <f t="shared" ref="Z621:Z622" si="1841">Y621-U621</f>
        <v>0</v>
      </c>
      <c r="AA621" s="34">
        <f>Z621*$F$8</f>
        <v>0</v>
      </c>
      <c r="AB621" s="28"/>
      <c r="AC621" s="348"/>
      <c r="AD621" s="15">
        <f t="shared" ref="AD621:AD622" si="1842">AC621-Y621</f>
        <v>0</v>
      </c>
      <c r="AE621" s="180">
        <f>AD621*$F$8</f>
        <v>0</v>
      </c>
      <c r="AF621" s="34"/>
      <c r="AG621" s="15"/>
      <c r="AH621" s="2">
        <f>(AG621-AC621)*AH5</f>
        <v>0</v>
      </c>
      <c r="AI621" s="45">
        <f>AH621*$G$8</f>
        <v>0</v>
      </c>
      <c r="AJ621" s="2"/>
      <c r="AK621" s="15"/>
      <c r="AL621" s="15">
        <f>(AK621-AG621)*AL5</f>
        <v>0</v>
      </c>
      <c r="AM621" s="45">
        <f>AL621*$G$8</f>
        <v>0</v>
      </c>
      <c r="AN621" s="15"/>
      <c r="AO621" s="13"/>
      <c r="AP621" s="15">
        <f>(AO621-AK621)*AP5</f>
        <v>0</v>
      </c>
      <c r="AQ621" s="45">
        <f>AP621*$G$8</f>
        <v>0</v>
      </c>
      <c r="AR621" s="15"/>
      <c r="AS621" s="13"/>
      <c r="AT621" s="15">
        <f>(AS621-AO621)*AT5</f>
        <v>0</v>
      </c>
      <c r="AU621" s="45">
        <f>AT621*$G$8</f>
        <v>0</v>
      </c>
      <c r="AV621" s="15"/>
      <c r="AW621" s="13"/>
      <c r="AX621" s="15">
        <f>(AW621-AS621)*AX5</f>
        <v>0</v>
      </c>
      <c r="AY621" s="45">
        <f>AX621*$G$8</f>
        <v>0</v>
      </c>
      <c r="AZ621" s="208"/>
      <c r="BA621" s="13"/>
      <c r="BB621" s="15"/>
      <c r="BC621" s="45">
        <f>BB621*$G$8</f>
        <v>0</v>
      </c>
      <c r="BD621" s="208"/>
      <c r="BE621" s="40">
        <f t="shared" ref="BE621:BG621" si="1843">J621+N621+R621+V621+Z621+AD621+AH621+AL621+AP621+AT621+AX621+BB621</f>
        <v>0</v>
      </c>
      <c r="BF621" s="41">
        <f t="shared" si="1843"/>
        <v>0</v>
      </c>
      <c r="BG621" s="34">
        <f t="shared" si="1843"/>
        <v>0</v>
      </c>
      <c r="BH621" s="35">
        <f t="shared" si="1837"/>
        <v>0</v>
      </c>
      <c r="BK621" s="2" t="b">
        <f>H621='2021'!BH621</f>
        <v>1</v>
      </c>
    </row>
    <row r="622" ht="15.75" customHeight="1" spans="1:63" x14ac:dyDescent="0.25">
      <c r="A622" s="89" t="s">
        <v>248</v>
      </c>
      <c r="B622" s="14"/>
      <c r="C622" s="2" t="s">
        <v>61</v>
      </c>
      <c r="D622" s="14" t="s">
        <v>47</v>
      </c>
      <c r="E622" s="2" t="s">
        <v>48</v>
      </c>
      <c r="F622" s="13">
        <v>18.56</v>
      </c>
      <c r="G622" s="35">
        <v>19.46</v>
      </c>
      <c r="H622" s="34">
        <f>'2021'!BH622</f>
        <v>0</v>
      </c>
      <c r="I622" s="13"/>
      <c r="J622" s="15"/>
      <c r="K622" s="15"/>
      <c r="L622" s="28"/>
      <c r="M622" s="13"/>
      <c r="N622" s="15">
        <f t="shared" si="1838"/>
        <v>0</v>
      </c>
      <c r="Q622" s="13"/>
      <c r="R622" s="15">
        <f t="shared" si="1839"/>
        <v>0</v>
      </c>
      <c r="S622" s="15"/>
      <c r="T622" s="28"/>
      <c r="U622" s="13"/>
      <c r="V622" s="15">
        <f t="shared" si="1840"/>
        <v>0</v>
      </c>
      <c r="W622" s="180">
        <f>V622*$F$10</f>
        <v>0</v>
      </c>
      <c r="Y622" s="13"/>
      <c r="Z622" s="2">
        <f t="shared" si="1841"/>
        <v>0</v>
      </c>
      <c r="AA622" s="34">
        <f>Z622*$F$10</f>
        <v>0</v>
      </c>
      <c r="AB622" s="28"/>
      <c r="AC622" s="350"/>
      <c r="AD622" s="15">
        <f t="shared" si="1842"/>
        <v>0</v>
      </c>
      <c r="AE622" s="34">
        <f>AD622*$F$10</f>
        <v>0</v>
      </c>
      <c r="AF622" s="34"/>
      <c r="AG622" s="13"/>
      <c r="AH622" s="2">
        <f>AG622-AC622</f>
        <v>0</v>
      </c>
      <c r="AI622" s="45">
        <f>AH622*$G$10</f>
        <v>0</v>
      </c>
      <c r="AJ622" s="248"/>
      <c r="AK622" s="13"/>
      <c r="AL622" s="15">
        <f>AK622-AG622</f>
        <v>0</v>
      </c>
      <c r="AM622" s="45">
        <f>AL622*$G$10</f>
        <v>0</v>
      </c>
      <c r="AN622" s="15"/>
      <c r="AO622" s="13"/>
      <c r="AP622" s="15">
        <f>AO622-AK622</f>
        <v>0</v>
      </c>
      <c r="AQ622" s="45">
        <f>AP622*$G$10</f>
        <v>0</v>
      </c>
      <c r="AR622" s="15"/>
      <c r="AS622" s="13"/>
      <c r="AT622" s="15">
        <f>AS622-AO622</f>
        <v>0</v>
      </c>
      <c r="AU622" s="45">
        <f>AT622*$G$10</f>
        <v>0</v>
      </c>
      <c r="AV622" s="15"/>
      <c r="AW622" s="13"/>
      <c r="AX622" s="15">
        <f>AW622-AS622</f>
        <v>0</v>
      </c>
      <c r="AY622" s="45"/>
      <c r="AZ622" s="208"/>
      <c r="BA622" s="13"/>
      <c r="BB622" s="15"/>
      <c r="BC622" s="45"/>
      <c r="BD622" s="208"/>
      <c r="BE622" s="40">
        <f t="shared" ref="BE622:BG622" si="1844">J622+N622+R622+V622+Z622+AD622+AH622+AL622+AP622+AT622+AX622+BB622</f>
        <v>0</v>
      </c>
      <c r="BF622" s="41">
        <f t="shared" si="1844"/>
        <v>0</v>
      </c>
      <c r="BG622" s="34">
        <f t="shared" si="1844"/>
        <v>0</v>
      </c>
      <c r="BH622" s="35">
        <f t="shared" si="1837"/>
        <v>0</v>
      </c>
      <c r="BK622" s="2" t="b">
        <f>H622='2021'!BH622</f>
        <v>1</v>
      </c>
    </row>
    <row r="623" ht="15.75" customHeight="1" spans="1:63" x14ac:dyDescent="0.25">
      <c r="A623" s="89" t="s">
        <v>248</v>
      </c>
      <c r="B623" s="14"/>
      <c r="C623" s="2" t="s">
        <v>102</v>
      </c>
      <c r="D623" s="14" t="s">
        <v>47</v>
      </c>
      <c r="E623" s="2" t="s">
        <v>49</v>
      </c>
      <c r="F623" s="41">
        <v>500</v>
      </c>
      <c r="G623" s="28"/>
      <c r="H623" s="34">
        <f>'2021'!BH623</f>
        <v>0</v>
      </c>
      <c r="I623" s="13"/>
      <c r="J623" s="15"/>
      <c r="K623" s="15"/>
      <c r="L623" s="28"/>
      <c r="M623" s="13"/>
      <c r="N623" s="15"/>
      <c r="Q623" s="13"/>
      <c r="R623" s="15"/>
      <c r="S623" s="15"/>
      <c r="T623" s="28"/>
      <c r="U623" s="13"/>
      <c r="V623" s="15"/>
      <c r="Y623" s="13"/>
      <c r="Z623" s="2"/>
      <c r="AA623" s="15"/>
      <c r="AB623" s="28"/>
      <c r="AC623" s="348"/>
      <c r="AD623" s="15"/>
      <c r="AF623" s="1"/>
      <c r="AG623" s="15"/>
      <c r="AH623" s="2"/>
      <c r="AI623" s="45"/>
      <c r="AJ623" s="15"/>
      <c r="AK623" s="15"/>
      <c r="AL623" s="15"/>
      <c r="AM623" s="45"/>
      <c r="AN623" s="15"/>
      <c r="AO623" s="13"/>
      <c r="AP623" s="15"/>
      <c r="AQ623" s="45"/>
      <c r="AR623" s="15"/>
      <c r="AS623" s="13"/>
      <c r="AT623" s="15"/>
      <c r="AU623" s="45"/>
      <c r="AV623" s="15"/>
      <c r="AW623" s="13"/>
      <c r="AX623" s="15"/>
      <c r="AY623" s="45"/>
      <c r="AZ623" s="28"/>
      <c r="BA623" s="13"/>
      <c r="BB623" s="15"/>
      <c r="BC623" s="45"/>
      <c r="BD623" s="28"/>
      <c r="BE623" s="14"/>
      <c r="BF623" s="41">
        <f t="shared" ref="BF623:BG623" si="1845">K623+O623+S623+W623+AA623+AE623+AI623+AM623+AQ623+AU623+AY623+BC623</f>
        <v>0</v>
      </c>
      <c r="BG623" s="34">
        <f t="shared" si="1845"/>
        <v>0</v>
      </c>
      <c r="BH623" s="35">
        <f t="shared" si="1837"/>
        <v>0</v>
      </c>
      <c r="BK623" s="2" t="b">
        <f>H623='2021'!BH623</f>
        <v>1</v>
      </c>
    </row>
    <row r="624" ht="15.75" customHeight="1" spans="1:63" x14ac:dyDescent="0.25">
      <c r="A624" s="89" t="s">
        <v>248</v>
      </c>
      <c r="B624" s="14"/>
      <c r="C624" s="2" t="s">
        <v>252</v>
      </c>
      <c r="D624" s="14" t="s">
        <v>50</v>
      </c>
      <c r="E624" s="2" t="s">
        <v>49</v>
      </c>
      <c r="F624" s="41">
        <v>1100</v>
      </c>
      <c r="G624" s="28"/>
      <c r="H624" s="34">
        <f>'2021'!BH624</f>
        <v>4422</v>
      </c>
      <c r="I624" s="13"/>
      <c r="J624" s="15"/>
      <c r="K624" s="15"/>
      <c r="L624" s="28"/>
      <c r="M624" s="13"/>
      <c r="N624" s="15"/>
      <c r="Q624" s="13"/>
      <c r="R624" s="15"/>
      <c r="S624" s="15"/>
      <c r="T624" s="28"/>
      <c r="U624" s="13"/>
      <c r="V624" s="15"/>
      <c r="Y624" s="13"/>
      <c r="Z624" s="2"/>
      <c r="AA624" s="15"/>
      <c r="AB624" s="32">
        <v>4422</v>
      </c>
      <c r="AC624" s="348"/>
      <c r="AD624" s="15"/>
      <c r="AE624" s="34">
        <f>B621*$F$12</f>
        <v>5226</v>
      </c>
      <c r="AF624" s="39"/>
      <c r="AG624" s="15"/>
      <c r="AH624" s="2"/>
      <c r="AI624" s="45"/>
      <c r="AJ624" s="180"/>
      <c r="AK624" s="15"/>
      <c r="AL624" s="15"/>
      <c r="AM624" s="45"/>
      <c r="AN624" s="15"/>
      <c r="AO624" s="13"/>
      <c r="AP624" s="15"/>
      <c r="AQ624" s="45"/>
      <c r="AR624" s="1">
        <v>5226</v>
      </c>
      <c r="AS624" s="13"/>
      <c r="AT624" s="15"/>
      <c r="AU624" s="45"/>
      <c r="AV624" s="15"/>
      <c r="AW624" s="13"/>
      <c r="AX624" s="15"/>
      <c r="AY624" s="45"/>
      <c r="AZ624" s="35"/>
      <c r="BA624" s="13"/>
      <c r="BB624" s="15"/>
      <c r="BC624" s="45"/>
      <c r="BD624" s="28"/>
      <c r="BE624" s="14"/>
      <c r="BF624" s="41">
        <f t="shared" ref="BF624:BG624" si="1846">K624+O624+S624+W624+AA624+AE624+AI624+AM624+AQ624+AU624+AY624+BC624</f>
        <v>5226</v>
      </c>
      <c r="BG624" s="34">
        <f t="shared" si="1846"/>
        <v>9648</v>
      </c>
      <c r="BH624" s="35">
        <f t="shared" si="1837"/>
        <v>0</v>
      </c>
      <c r="BK624" s="2" t="b">
        <f>H624='2021'!BH624</f>
        <v>1</v>
      </c>
    </row>
    <row r="625" ht="15.75" customHeight="1" spans="1:63" x14ac:dyDescent="0.25">
      <c r="A625" s="89" t="s">
        <v>248</v>
      </c>
      <c r="B625" s="14"/>
      <c r="D625" s="14" t="s">
        <v>51</v>
      </c>
      <c r="E625" s="2" t="s">
        <v>39</v>
      </c>
      <c r="F625" s="41">
        <v>500</v>
      </c>
      <c r="G625" s="28"/>
      <c r="H625" s="34">
        <f>'2021'!BH625</f>
        <v>0</v>
      </c>
      <c r="I625" s="13"/>
      <c r="J625" s="15"/>
      <c r="K625" s="15"/>
      <c r="L625" s="28"/>
      <c r="M625" s="13"/>
      <c r="N625" s="15"/>
      <c r="Q625" s="13"/>
      <c r="R625" s="15"/>
      <c r="S625" s="15"/>
      <c r="T625" s="28"/>
      <c r="U625" s="13"/>
      <c r="V625" s="15"/>
      <c r="Y625" s="13"/>
      <c r="Z625" s="2"/>
      <c r="AA625" s="15"/>
      <c r="AB625" s="28"/>
      <c r="AC625" s="348"/>
      <c r="AD625" s="15"/>
      <c r="AE625" s="180">
        <f>$F$13</f>
        <v>1000</v>
      </c>
      <c r="AF625" s="39"/>
      <c r="AG625" s="15"/>
      <c r="AH625" s="2"/>
      <c r="AI625" s="45"/>
      <c r="AJ625" s="15"/>
      <c r="AK625" s="15"/>
      <c r="AL625" s="15"/>
      <c r="AM625" s="45"/>
      <c r="AN625" s="15"/>
      <c r="AO625" s="13"/>
      <c r="AP625" s="15"/>
      <c r="AQ625" s="180"/>
      <c r="AR625" s="1">
        <v>1000</v>
      </c>
      <c r="AS625" s="13"/>
      <c r="AT625" s="15"/>
      <c r="AU625" s="45"/>
      <c r="AV625" s="15"/>
      <c r="AW625" s="13"/>
      <c r="AX625" s="15"/>
      <c r="AY625" s="45"/>
      <c r="AZ625" s="28"/>
      <c r="BA625" s="13"/>
      <c r="BB625" s="15"/>
      <c r="BC625" s="45"/>
      <c r="BD625" s="28"/>
      <c r="BE625" s="14"/>
      <c r="BF625" s="41">
        <f t="shared" ref="BF625:BG625" si="1847">K625+O625+S625+W625+AA625+AE625+AI625+AM625+AQ625+AU625+AY625+BC625</f>
        <v>1000</v>
      </c>
      <c r="BG625" s="34">
        <f t="shared" si="1847"/>
        <v>1000</v>
      </c>
      <c r="BH625" s="35">
        <f t="shared" si="1837"/>
        <v>0</v>
      </c>
      <c r="BK625" s="2" t="b">
        <f>H625='2021'!BH625</f>
        <v>1</v>
      </c>
    </row>
    <row r="626" ht="15.75" customHeight="1" spans="1:63" x14ac:dyDescent="0.25">
      <c r="A626" s="89" t="s">
        <v>248</v>
      </c>
      <c r="B626" s="14"/>
      <c r="D626" s="14" t="s">
        <v>51</v>
      </c>
      <c r="E626" s="2" t="s">
        <v>49</v>
      </c>
      <c r="F626" s="41">
        <v>500</v>
      </c>
      <c r="G626" s="28"/>
      <c r="H626" s="34">
        <f>'2021'!BH626</f>
        <v>0</v>
      </c>
      <c r="I626" s="13"/>
      <c r="J626" s="15"/>
      <c r="K626" s="15"/>
      <c r="L626" s="28"/>
      <c r="M626" s="13"/>
      <c r="N626" s="15"/>
      <c r="Q626" s="13"/>
      <c r="R626" s="15"/>
      <c r="S626" s="15"/>
      <c r="T626" s="28"/>
      <c r="U626" s="13"/>
      <c r="V626" s="15"/>
      <c r="Y626" s="13"/>
      <c r="Z626" s="2"/>
      <c r="AA626" s="15"/>
      <c r="AB626" s="28"/>
      <c r="AC626" s="348"/>
      <c r="AD626" s="15"/>
      <c r="AE626" s="34"/>
      <c r="AF626" s="39"/>
      <c r="AG626" s="15"/>
      <c r="AH626" s="2"/>
      <c r="AI626" s="45"/>
      <c r="AJ626" s="15"/>
      <c r="AK626" s="15"/>
      <c r="AL626" s="15"/>
      <c r="AM626" s="45"/>
      <c r="AN626" s="15"/>
      <c r="AO626" s="13"/>
      <c r="AP626" s="15"/>
      <c r="AQ626" s="180">
        <f>B621*$F$14</f>
        <v>0</v>
      </c>
      <c r="AR626" s="15"/>
      <c r="AS626" s="13"/>
      <c r="AT626" s="15"/>
      <c r="AU626" s="45"/>
      <c r="AV626" s="15"/>
      <c r="AW626" s="13"/>
      <c r="AX626" s="15"/>
      <c r="AY626" s="45"/>
      <c r="AZ626" s="28"/>
      <c r="BA626" s="13"/>
      <c r="BB626" s="15"/>
      <c r="BC626" s="45"/>
      <c r="BD626" s="28"/>
      <c r="BE626" s="14"/>
      <c r="BF626" s="41">
        <f t="shared" ref="BF626:BG626" si="1848">K626+O626+S626+W626+AA626+AE626+AI626+AM626+AQ626+AU626+AY626+BC626</f>
        <v>0</v>
      </c>
      <c r="BG626" s="34">
        <f t="shared" si="1848"/>
        <v>0</v>
      </c>
      <c r="BH626" s="35">
        <f t="shared" si="1837"/>
        <v>0</v>
      </c>
      <c r="BK626" s="2" t="b">
        <f>H626='2021'!BH626</f>
        <v>1</v>
      </c>
    </row>
    <row r="627" ht="15.75" customHeight="1" spans="1:63" x14ac:dyDescent="0.25">
      <c r="A627" s="89" t="s">
        <v>248</v>
      </c>
      <c r="B627" s="14"/>
      <c r="D627" s="14" t="s">
        <v>52</v>
      </c>
      <c r="E627" s="2" t="s">
        <v>39</v>
      </c>
      <c r="F627" s="41">
        <v>500</v>
      </c>
      <c r="G627" s="28"/>
      <c r="H627" s="34">
        <f>'2021'!BH627</f>
        <v>0</v>
      </c>
      <c r="I627" s="13"/>
      <c r="J627" s="15"/>
      <c r="K627" s="15"/>
      <c r="L627" s="28"/>
      <c r="M627" s="13"/>
      <c r="N627" s="15"/>
      <c r="Q627" s="13"/>
      <c r="R627" s="15"/>
      <c r="S627" s="15"/>
      <c r="T627" s="28"/>
      <c r="U627" s="13"/>
      <c r="V627" s="15"/>
      <c r="Y627" s="13"/>
      <c r="Z627" s="2"/>
      <c r="AA627" s="34">
        <f>$F$15</f>
      </c>
      <c r="AB627" s="28"/>
      <c r="AC627" s="348"/>
      <c r="AD627" s="15"/>
      <c r="AF627" s="1"/>
      <c r="AG627" s="15"/>
      <c r="AH627" s="2"/>
      <c r="AI627" s="45"/>
      <c r="AJ627" s="15"/>
      <c r="AK627" s="15"/>
      <c r="AL627" s="15"/>
      <c r="AM627" s="45"/>
      <c r="AN627" s="15"/>
      <c r="AO627" s="13"/>
      <c r="AP627" s="15"/>
      <c r="AQ627" s="45"/>
      <c r="AR627" s="15"/>
      <c r="AS627" s="13"/>
      <c r="AT627" s="15"/>
      <c r="AU627" s="45"/>
      <c r="AV627" s="15"/>
      <c r="AW627" s="13"/>
      <c r="AX627" s="15"/>
      <c r="AY627" s="45"/>
      <c r="AZ627" s="35"/>
      <c r="BA627" s="13"/>
      <c r="BB627" s="15"/>
      <c r="BC627" s="45"/>
      <c r="BD627" s="35"/>
      <c r="BE627" s="14"/>
      <c r="BF627" s="41">
        <f t="shared" ref="BF627:BG627" si="1849">K627+O627+S627+W627+AA627+AE627+AI627+AM627+AQ627+AU627+AY627+BC627</f>
        <v>0</v>
      </c>
      <c r="BG627" s="34">
        <f t="shared" si="1849"/>
        <v>0</v>
      </c>
      <c r="BH627" s="35">
        <f t="shared" si="1837"/>
        <v>0</v>
      </c>
      <c r="BK627" s="2" t="b">
        <f>H627='2021'!BH627</f>
        <v>1</v>
      </c>
    </row>
    <row r="628" ht="15.75" customHeight="1" spans="1:63" x14ac:dyDescent="0.25">
      <c r="A628" s="243" t="s">
        <v>248</v>
      </c>
      <c r="B628" s="21"/>
      <c r="C628" s="22" t="s">
        <v>53</v>
      </c>
      <c r="D628" s="21"/>
      <c r="E628" s="22"/>
      <c r="F628" s="20"/>
      <c r="G628" s="23"/>
      <c r="H628" s="51">
        <f>SUM(H620:H627)</f>
        <v>4468.88</v>
      </c>
      <c r="I628" s="52"/>
      <c r="J628" s="53"/>
      <c r="K628" s="51">
        <f t="shared" ref="K628:L628" si="1850">SUM(K620:K627)</f>
        <v>0</v>
      </c>
      <c r="L628" s="68">
        <f t="shared" si="1850"/>
        <v>0</v>
      </c>
      <c r="M628" s="52"/>
      <c r="N628" s="53"/>
      <c r="O628" s="51">
        <f t="shared" ref="O628:P628" si="1851">SUM(O620:O627)</f>
        <v>0</v>
      </c>
      <c r="P628" s="51">
        <f t="shared" si="1851"/>
        <v>0</v>
      </c>
      <c r="Q628" s="52"/>
      <c r="R628" s="53"/>
      <c r="S628" s="51">
        <f t="shared" ref="S628:T628" si="1852">SUM(S620:S627)</f>
        <v>13.71</v>
      </c>
      <c r="T628" s="51">
        <f t="shared" si="1852"/>
        <v>0</v>
      </c>
      <c r="U628" s="52"/>
      <c r="V628" s="53"/>
      <c r="W628" s="51">
        <f t="shared" ref="W628:X628" si="1853">SUM(W620:W627)</f>
        <v>13.27</v>
      </c>
      <c r="X628" s="51">
        <f t="shared" si="1853"/>
        <v>0</v>
      </c>
      <c r="Y628" s="52"/>
      <c r="Z628" s="301"/>
      <c r="AA628" s="51">
        <f t="shared" ref="AA628:AB628" si="1854">SUM(AA620:AA627)</f>
        <v>11.06</v>
      </c>
      <c r="AB628" s="51">
        <f t="shared" si="1854"/>
        <v>4495.86</v>
      </c>
      <c r="AC628" s="367"/>
      <c r="AD628" s="53"/>
      <c r="AE628" s="51">
        <f t="shared" ref="AE628:AF628" si="1855">SUM(AE620:AE627)</f>
        <v>6226</v>
      </c>
      <c r="AF628" s="51">
        <f t="shared" si="1855"/>
        <v>0</v>
      </c>
      <c r="AG628" s="52"/>
      <c r="AH628" s="301"/>
      <c r="AI628" s="183">
        <f t="shared" ref="AI628:AJ628" si="1856">SUM(AI620:AI627)</f>
        <v>0</v>
      </c>
      <c r="AJ628" s="51">
        <f t="shared" si="1856"/>
        <v>0</v>
      </c>
      <c r="AK628" s="52"/>
      <c r="AL628" s="53"/>
      <c r="AM628" s="183">
        <f t="shared" ref="AM628:AN628" si="1857">SUM(AM620:AM627)</f>
        <v>0</v>
      </c>
      <c r="AN628" s="51">
        <f t="shared" si="1857"/>
        <v>0</v>
      </c>
      <c r="AO628" s="52"/>
      <c r="AP628" s="53"/>
      <c r="AQ628" s="183">
        <f t="shared" ref="AQ628:AR628" si="1858">SUM(AQ620:AQ627)</f>
        <v>0</v>
      </c>
      <c r="AR628" s="51">
        <f t="shared" si="1858"/>
        <v>6226</v>
      </c>
      <c r="AS628" s="52"/>
      <c r="AT628" s="53"/>
      <c r="AU628" s="183">
        <f t="shared" ref="AU628:AV628" si="1859">SUM(AU620:AU627)</f>
        <v>0</v>
      </c>
      <c r="AV628" s="68">
        <f t="shared" si="1859"/>
        <v>0</v>
      </c>
      <c r="AW628" s="52"/>
      <c r="AX628" s="53"/>
      <c r="AY628" s="183">
        <f t="shared" ref="AY628:AZ628" si="1860">SUM(AY620:AY627)</f>
        <v>0</v>
      </c>
      <c r="AZ628" s="68">
        <f t="shared" si="1860"/>
        <v>0</v>
      </c>
      <c r="BA628" s="52"/>
      <c r="BB628" s="53"/>
      <c r="BC628" s="183">
        <f t="shared" ref="BC628:BD628" si="1861">SUM(BC620:BC627)</f>
        <v>0</v>
      </c>
      <c r="BD628" s="68">
        <f t="shared" si="1861"/>
        <v>0</v>
      </c>
      <c r="BE628" s="69"/>
      <c r="BF628" s="70">
        <f t="shared" ref="BF628:BH628" si="1862">SUM(BF620:BF627)</f>
        <v>6264.04</v>
      </c>
      <c r="BG628" s="71">
        <f t="shared" si="1862"/>
        <v>10721.86</v>
      </c>
      <c r="BH628" s="72">
        <f t="shared" si="1862"/>
        <v>11.06</v>
      </c>
      <c r="BI628" s="34">
        <f>H628+BF628-BG628</f>
        <v>11.06</v>
      </c>
      <c r="BJ628" s="34">
        <f>BH628-BI628</f>
        <v>0</v>
      </c>
      <c r="BK628" s="2" t="b">
        <f>H628='2021'!BH628</f>
        <v>1</v>
      </c>
    </row>
    <row r="629" ht="15.75" customHeight="1" spans="1:63" x14ac:dyDescent="0.25">
      <c r="A629" s="2">
        <v>69</v>
      </c>
      <c r="B629" s="14"/>
      <c r="D629" s="178" t="s">
        <v>561</v>
      </c>
      <c r="F629" s="13"/>
      <c r="G629" s="28"/>
      <c r="H629" s="34">
        <f>'2021'!BH629</f>
        <v>7.04</v>
      </c>
      <c r="I629" s="13"/>
      <c r="J629" s="15"/>
      <c r="K629" s="15"/>
      <c r="L629" s="28"/>
      <c r="M629" s="13"/>
      <c r="N629" s="15"/>
      <c r="Q629" s="13"/>
      <c r="R629" s="15"/>
      <c r="S629" s="15">
        <v>6.25</v>
      </c>
      <c r="T629" s="28"/>
      <c r="U629" s="13"/>
      <c r="V629" s="15"/>
      <c r="W629" s="153">
        <v>6.05</v>
      </c>
      <c r="X629" s="34"/>
      <c r="Y629" s="13"/>
      <c r="Z629" s="2"/>
      <c r="AA629" s="154">
        <f>248.5+6.25</f>
        <v>254.75</v>
      </c>
      <c r="AB629" s="28"/>
      <c r="AC629" s="348"/>
      <c r="AD629" s="15"/>
      <c r="AE629" s="2">
        <v>6.05</v>
      </c>
      <c r="AF629" s="317">
        <v>274.09</v>
      </c>
      <c r="AG629" s="15"/>
      <c r="AH629" s="2"/>
      <c r="AI629" s="45">
        <v>3.43</v>
      </c>
      <c r="AJ629" s="1">
        <v>9.48</v>
      </c>
      <c r="AK629" s="15"/>
      <c r="AM629" s="45"/>
      <c r="AO629" s="13"/>
      <c r="AQ629" s="180"/>
      <c r="AS629" s="13"/>
      <c r="AU629" s="180"/>
      <c r="AW629" s="13"/>
      <c r="AY629" s="180"/>
      <c r="AZ629" s="28"/>
      <c r="BA629" s="13"/>
      <c r="BB629" s="15"/>
      <c r="BC629" s="180"/>
      <c r="BD629" s="28"/>
      <c r="BE629" s="14"/>
      <c r="BF629" s="41">
        <f t="shared" ref="BF629:BG629" si="1863">K629+O629+S629+W629+AA629+AE629+AI629+AM629+AQ629+AU629+AY629+BC629</f>
        <v>276.53</v>
      </c>
      <c r="BG629" s="34">
        <f t="shared" si="1863"/>
        <v>283.57</v>
      </c>
      <c r="BH629" s="35">
        <f t="shared" ref="BH629:BH636" si="1864">H629+BF629-BG629</f>
        <v>0</v>
      </c>
      <c r="BK629" s="2" t="b">
        <f>H629='2021'!BH629</f>
        <v>1</v>
      </c>
    </row>
    <row r="630" ht="15.75" customHeight="1" spans="1:63" x14ac:dyDescent="0.25">
      <c r="A630" s="2">
        <v>69</v>
      </c>
      <c r="B630" s="14">
        <v>4.03</v>
      </c>
      <c r="C630" s="2" t="s">
        <v>253</v>
      </c>
      <c r="D630" s="14" t="s">
        <v>44</v>
      </c>
      <c r="E630" s="2" t="s">
        <v>45</v>
      </c>
      <c r="F630" s="41">
        <v>2.5</v>
      </c>
      <c r="G630" s="35">
        <v>2.6</v>
      </c>
      <c r="H630" s="180">
        <f>'2021'!BH630</f>
        <v>1015.2</v>
      </c>
      <c r="I630" s="13">
        <v>33219</v>
      </c>
      <c r="J630" s="15">
        <f>I630-'2021'!BA630</f>
        <v>668</v>
      </c>
      <c r="K630" s="34">
        <f>J630*$F$8</f>
        <v>1803.6</v>
      </c>
      <c r="L630" s="28">
        <v>1998</v>
      </c>
      <c r="M630" s="13">
        <v>33857</v>
      </c>
      <c r="N630" s="15">
        <f t="shared" ref="N630:N631" si="1865">M630-I630</f>
        <v>638</v>
      </c>
      <c r="O630" s="34">
        <f>N630*$F$8</f>
        <v>1722.6</v>
      </c>
      <c r="P630" s="15">
        <v>2700</v>
      </c>
      <c r="Q630" s="13">
        <v>34435</v>
      </c>
      <c r="R630" s="15">
        <f t="shared" ref="R630:R631" si="1866">Q630-M630</f>
        <v>578</v>
      </c>
      <c r="S630" s="34">
        <f>R630*$F$8</f>
        <v>1560.6</v>
      </c>
      <c r="T630" s="32">
        <v>1998</v>
      </c>
      <c r="U630" s="13">
        <v>34966</v>
      </c>
      <c r="V630" s="15">
        <f t="shared" ref="V630:V631" si="1867">U630-Q630</f>
        <v>531</v>
      </c>
      <c r="W630" s="34">
        <f>V630*$F$8</f>
        <v>1433.7</v>
      </c>
      <c r="X630" s="39"/>
      <c r="Y630" s="13">
        <v>35285</v>
      </c>
      <c r="Z630" s="2">
        <f t="shared" ref="Z630:Z631" si="1868">Y630-U630</f>
        <v>319</v>
      </c>
      <c r="AA630" s="34">
        <f>Z630*$F$8</f>
        <v>861.3</v>
      </c>
      <c r="AB630" s="28"/>
      <c r="AC630" s="348">
        <v>35600</v>
      </c>
      <c r="AD630" s="15">
        <f t="shared" ref="AD630:AD631" si="1869">AC630-Y630</f>
        <v>315</v>
      </c>
      <c r="AE630" s="180">
        <f>AD630*$F$8</f>
        <v>850.5</v>
      </c>
      <c r="AF630" s="39">
        <f>1998-274.09</f>
        <v>1723.91</v>
      </c>
      <c r="AG630" s="15">
        <v>35879</v>
      </c>
      <c r="AH630" s="2">
        <f>(AG630-AC630)*AH5</f>
        <v>294.624</v>
      </c>
      <c r="AI630" s="45">
        <f>AH630*$G$8</f>
        <v>724.77504</v>
      </c>
      <c r="AJ630" s="248">
        <v>1736.52</v>
      </c>
      <c r="AK630" s="15">
        <v>36191</v>
      </c>
      <c r="AL630" s="15">
        <f>(AK630-AG630)*AL5</f>
        <v>320.736</v>
      </c>
      <c r="AM630" s="45">
        <f>AL630*$G$8</f>
        <v>789.01056</v>
      </c>
      <c r="AN630" s="34"/>
      <c r="AO630" s="13">
        <v>36477</v>
      </c>
      <c r="AP630" s="15">
        <f>(AO630-AK630)*AP5</f>
        <v>295.438</v>
      </c>
      <c r="AQ630" s="45">
        <f>AP630*$G$8</f>
        <v>726.77748</v>
      </c>
      <c r="AR630" s="39">
        <v>2000</v>
      </c>
      <c r="AS630" s="13">
        <v>36931</v>
      </c>
      <c r="AT630" s="15">
        <f>(AS630-AO630)*AT5</f>
        <v>476.7</v>
      </c>
      <c r="AU630" s="45">
        <f>AT630*$G$8</f>
        <v>1172.682</v>
      </c>
      <c r="AV630" s="34">
        <v>2100</v>
      </c>
      <c r="AW630" s="13"/>
      <c r="AX630" s="15">
        <f>(AW630-AS630)*AX5</f>
        <v>0</v>
      </c>
      <c r="AY630" s="45">
        <f>AX630*$G$8</f>
        <v>0</v>
      </c>
      <c r="AZ630" s="242"/>
      <c r="BA630" s="13"/>
      <c r="BB630" s="15"/>
      <c r="BC630" s="45">
        <f>BB630*$G$8</f>
        <v>0</v>
      </c>
      <c r="BD630" s="208"/>
      <c r="BE630" s="40">
        <f t="shared" ref="BE630:BG630" si="1870">J630+N630+R630+V630+Z630+AD630+AH630+AL630+AP630+AT630+AX630+BB630</f>
        <v>4436.498</v>
      </c>
      <c r="BF630" s="41">
        <f t="shared" si="1870"/>
        <v>11645.54508</v>
      </c>
      <c r="BG630" s="34">
        <f t="shared" si="1870"/>
        <v>14256.43</v>
      </c>
      <c r="BH630" s="35">
        <f t="shared" si="1864"/>
        <v>-1595.68492</v>
      </c>
      <c r="BI630" s="34"/>
      <c r="BJ630" s="34"/>
      <c r="BK630" s="2" t="b">
        <f>H630='2021'!BH630</f>
        <v>1</v>
      </c>
    </row>
    <row r="631" ht="15.75" customHeight="1" spans="1:63" x14ac:dyDescent="0.25">
      <c r="A631" s="2">
        <v>69</v>
      </c>
      <c r="B631" s="14"/>
      <c r="C631" s="2" t="s">
        <v>87</v>
      </c>
      <c r="D631" s="14" t="s">
        <v>47</v>
      </c>
      <c r="E631" s="2" t="s">
        <v>48</v>
      </c>
      <c r="F631" s="13">
        <v>18.56</v>
      </c>
      <c r="G631" s="35">
        <v>19.46</v>
      </c>
      <c r="H631" s="34">
        <f>'2021'!BH631</f>
        <v>0</v>
      </c>
      <c r="I631" s="13">
        <v>15</v>
      </c>
      <c r="J631" s="15"/>
      <c r="K631" s="15"/>
      <c r="L631" s="28"/>
      <c r="M631" s="13">
        <v>15</v>
      </c>
      <c r="N631" s="15">
        <f t="shared" si="1865"/>
        <v>0</v>
      </c>
      <c r="Q631" s="13">
        <v>15</v>
      </c>
      <c r="R631" s="15">
        <f t="shared" si="1866"/>
        <v>0</v>
      </c>
      <c r="S631" s="15"/>
      <c r="T631" s="28"/>
      <c r="U631" s="13">
        <v>15</v>
      </c>
      <c r="V631" s="15">
        <f t="shared" si="1867"/>
        <v>0</v>
      </c>
      <c r="W631" s="34">
        <f>V631*$F$10</f>
        <v>0</v>
      </c>
      <c r="Y631" s="13">
        <v>15</v>
      </c>
      <c r="Z631" s="2">
        <f t="shared" si="1868"/>
        <v>0</v>
      </c>
      <c r="AA631" s="34">
        <f>Z631*$F$10</f>
        <v>0</v>
      </c>
      <c r="AB631" s="28"/>
      <c r="AC631" s="348">
        <v>15</v>
      </c>
      <c r="AD631" s="15">
        <f t="shared" si="1869"/>
        <v>0</v>
      </c>
      <c r="AE631" s="34">
        <f>AD631*$F$10</f>
        <v>0</v>
      </c>
      <c r="AF631" s="34"/>
      <c r="AG631" s="15">
        <v>15</v>
      </c>
      <c r="AH631" s="2">
        <f>AG631-AC631</f>
        <v>0</v>
      </c>
      <c r="AI631" s="45">
        <f>AH631*$G$10</f>
        <v>0</v>
      </c>
      <c r="AJ631" s="1"/>
      <c r="AK631" s="15">
        <v>15</v>
      </c>
      <c r="AL631" s="15">
        <f>AK631-AG631</f>
        <v>0</v>
      </c>
      <c r="AM631" s="45">
        <f>AL631*$G$10</f>
        <v>0</v>
      </c>
      <c r="AN631" s="15"/>
      <c r="AO631" s="13">
        <v>15</v>
      </c>
      <c r="AP631" s="15">
        <f>AO631-AK631</f>
        <v>0</v>
      </c>
      <c r="AQ631" s="45">
        <f>AP631*$G$10</f>
        <v>0</v>
      </c>
      <c r="AR631" s="15"/>
      <c r="AS631" s="13">
        <v>15</v>
      </c>
      <c r="AT631" s="15">
        <f>AS631-AO631</f>
        <v>0</v>
      </c>
      <c r="AU631" s="45">
        <f>AT631*$G$10</f>
        <v>0</v>
      </c>
      <c r="AV631" s="15"/>
      <c r="AW631" s="13"/>
      <c r="AX631" s="15">
        <f>AW631-AS631</f>
        <v>-15</v>
      </c>
      <c r="AY631" s="45"/>
      <c r="AZ631" s="208"/>
      <c r="BA631" s="13"/>
      <c r="BB631" s="15"/>
      <c r="BC631" s="45"/>
      <c r="BD631" s="208"/>
      <c r="BE631" s="40">
        <f t="shared" ref="BE631:BG631" si="1871">J631+N631+R631+V631+Z631+AD631+AH631+AL631+AP631+AT631+AX631+BB631</f>
        <v>-15</v>
      </c>
      <c r="BF631" s="41">
        <f t="shared" si="1871"/>
        <v>0</v>
      </c>
      <c r="BG631" s="34">
        <f t="shared" si="1871"/>
        <v>0</v>
      </c>
      <c r="BH631" s="35">
        <f t="shared" si="1864"/>
        <v>0</v>
      </c>
      <c r="BK631" s="2" t="b">
        <f>H631='2021'!BH631</f>
        <v>1</v>
      </c>
    </row>
    <row r="632" ht="15.75" customHeight="1" spans="1:63" x14ac:dyDescent="0.25">
      <c r="A632" s="2">
        <v>69</v>
      </c>
      <c r="B632" s="14"/>
      <c r="C632" s="2" t="s">
        <v>119</v>
      </c>
      <c r="D632" s="14" t="s">
        <v>47</v>
      </c>
      <c r="E632" s="2" t="s">
        <v>49</v>
      </c>
      <c r="F632" s="41">
        <v>500</v>
      </c>
      <c r="G632" s="28"/>
      <c r="H632" s="144">
        <f>'2021'!BH632</f>
        <v>0</v>
      </c>
      <c r="I632" s="13"/>
      <c r="J632" s="15"/>
      <c r="K632" s="15"/>
      <c r="L632" s="28"/>
      <c r="M632" s="13"/>
      <c r="N632" s="15"/>
      <c r="Q632" s="13"/>
      <c r="R632" s="15"/>
      <c r="S632" s="15"/>
      <c r="T632" s="28"/>
      <c r="U632" s="13"/>
      <c r="V632" s="15"/>
      <c r="Y632" s="13"/>
      <c r="Z632" s="2"/>
      <c r="AA632" s="15"/>
      <c r="AB632" s="28"/>
      <c r="AC632" s="348"/>
      <c r="AD632" s="15"/>
      <c r="AG632" s="15"/>
      <c r="AH632" s="2"/>
      <c r="AI632" s="45"/>
      <c r="AJ632" s="1"/>
      <c r="AK632" s="15"/>
      <c r="AL632" s="15"/>
      <c r="AM632" s="45"/>
      <c r="AN632" s="15"/>
      <c r="AO632" s="13"/>
      <c r="AP632" s="15"/>
      <c r="AQ632" s="45"/>
      <c r="AR632" s="15"/>
      <c r="AS632" s="13"/>
      <c r="AT632" s="15"/>
      <c r="AU632" s="45"/>
      <c r="AV632" s="15"/>
      <c r="AW632" s="13"/>
      <c r="AX632" s="15"/>
      <c r="AY632" s="45"/>
      <c r="AZ632" s="28"/>
      <c r="BA632" s="13"/>
      <c r="BB632" s="15"/>
      <c r="BC632" s="45"/>
      <c r="BD632" s="28"/>
      <c r="BE632" s="14"/>
      <c r="BF632" s="41">
        <f t="shared" ref="BF632:BG632" si="1872">K632+O632+S632+W632+AA632+AE632+AI632+AM632+AQ632+AU632+AY632+BC632</f>
        <v>0</v>
      </c>
      <c r="BG632" s="34">
        <f t="shared" si="1872"/>
        <v>0</v>
      </c>
      <c r="BH632" s="35">
        <f t="shared" si="1864"/>
        <v>0</v>
      </c>
      <c r="BK632" s="2" t="b">
        <f>H632='2021'!BH632</f>
        <v>1</v>
      </c>
    </row>
    <row r="633" ht="15.75" customHeight="1" spans="1:63" x14ac:dyDescent="0.25">
      <c r="A633" s="2">
        <v>69</v>
      </c>
      <c r="B633" s="14"/>
      <c r="C633" s="2" t="s">
        <v>432</v>
      </c>
      <c r="D633" s="14" t="s">
        <v>50</v>
      </c>
      <c r="E633" s="2" t="s">
        <v>49</v>
      </c>
      <c r="F633" s="41">
        <v>1100</v>
      </c>
      <c r="G633" s="28"/>
      <c r="H633" s="34">
        <f>'2021'!BH633</f>
        <v>0</v>
      </c>
      <c r="I633" s="13"/>
      <c r="J633" s="15"/>
      <c r="K633" s="15"/>
      <c r="L633" s="28"/>
      <c r="M633" s="13"/>
      <c r="N633" s="15"/>
      <c r="Q633" s="13"/>
      <c r="R633" s="15"/>
      <c r="S633" s="15"/>
      <c r="T633" s="28"/>
      <c r="U633" s="13"/>
      <c r="V633" s="15"/>
      <c r="Y633" s="13"/>
      <c r="Z633" s="2"/>
      <c r="AA633" s="15"/>
      <c r="AB633" s="28"/>
      <c r="AC633" s="348"/>
      <c r="AD633" s="15"/>
      <c r="AE633" s="34">
        <f>B630*$F$12</f>
        <v>5239</v>
      </c>
      <c r="AF633" s="34"/>
      <c r="AG633" s="15"/>
      <c r="AH633" s="2"/>
      <c r="AI633" s="45"/>
      <c r="AJ633" s="248">
        <v>5239</v>
      </c>
      <c r="AK633" s="15"/>
      <c r="AL633" s="15"/>
      <c r="AM633" s="45"/>
      <c r="AN633" s="15"/>
      <c r="AO633" s="13"/>
      <c r="AP633" s="15"/>
      <c r="AQ633" s="45"/>
      <c r="AR633" s="15"/>
      <c r="AS633" s="13"/>
      <c r="AT633" s="15"/>
      <c r="AU633" s="45"/>
      <c r="AV633" s="15"/>
      <c r="AW633" s="13"/>
      <c r="AX633" s="15"/>
      <c r="AY633" s="45"/>
      <c r="AZ633" s="28"/>
      <c r="BA633" s="13"/>
      <c r="BB633" s="15"/>
      <c r="BC633" s="45"/>
      <c r="BD633" s="28"/>
      <c r="BE633" s="14"/>
      <c r="BF633" s="41">
        <f t="shared" ref="BF633:BG633" si="1873">K633+O633+S633+W633+AA633+AE633+AI633+AM633+AQ633+AU633+AY633+BC633</f>
        <v>5239</v>
      </c>
      <c r="BG633" s="34">
        <f t="shared" si="1873"/>
        <v>5239</v>
      </c>
      <c r="BH633" s="35">
        <f t="shared" si="1864"/>
        <v>0</v>
      </c>
      <c r="BK633" s="2" t="b">
        <f>H633='2021'!BH633</f>
        <v>1</v>
      </c>
    </row>
    <row r="634" ht="15.75" customHeight="1" spans="1:63" x14ac:dyDescent="0.25">
      <c r="A634" s="2">
        <v>69</v>
      </c>
      <c r="B634" s="14"/>
      <c r="D634" s="14" t="s">
        <v>51</v>
      </c>
      <c r="E634" s="2" t="s">
        <v>39</v>
      </c>
      <c r="F634" s="41">
        <v>500</v>
      </c>
      <c r="G634" s="28"/>
      <c r="H634" s="34">
        <f>'2021'!BH634</f>
        <v>0</v>
      </c>
      <c r="I634" s="13"/>
      <c r="J634" s="15"/>
      <c r="K634" s="15"/>
      <c r="L634" s="28"/>
      <c r="M634" s="13"/>
      <c r="N634" s="15"/>
      <c r="Q634" s="13"/>
      <c r="R634" s="15"/>
      <c r="S634" s="15"/>
      <c r="T634" s="28"/>
      <c r="U634" s="13"/>
      <c r="V634" s="15"/>
      <c r="Y634" s="13"/>
      <c r="Z634" s="2"/>
      <c r="AA634" s="15"/>
      <c r="AB634" s="28"/>
      <c r="AC634" s="348"/>
      <c r="AD634" s="15"/>
      <c r="AE634" s="180">
        <f>$F$13</f>
        <v>1000</v>
      </c>
      <c r="AF634" s="1"/>
      <c r="AG634" s="15"/>
      <c r="AH634" s="2"/>
      <c r="AI634" s="45"/>
      <c r="AJ634" s="248">
        <v>1000</v>
      </c>
      <c r="AK634" s="15"/>
      <c r="AL634" s="15"/>
      <c r="AM634" s="45"/>
      <c r="AN634" s="15"/>
      <c r="AO634" s="13"/>
      <c r="AP634" s="15"/>
      <c r="AQ634" s="180"/>
      <c r="AR634" s="15"/>
      <c r="AS634" s="13"/>
      <c r="AT634" s="15"/>
      <c r="AU634" s="45"/>
      <c r="AV634" s="15"/>
      <c r="AW634" s="13"/>
      <c r="AX634" s="15"/>
      <c r="AY634" s="45"/>
      <c r="AZ634" s="28"/>
      <c r="BA634" s="13"/>
      <c r="BB634" s="15"/>
      <c r="BC634" s="45"/>
      <c r="BD634" s="28"/>
      <c r="BE634" s="14"/>
      <c r="BF634" s="41">
        <f t="shared" ref="BF634:BG634" si="1874">K634+O634+S634+W634+AA634+AE634+AI634+AM634+AQ634+AU634+AY634+BC634</f>
        <v>1000</v>
      </c>
      <c r="BG634" s="34">
        <f t="shared" si="1874"/>
        <v>1000</v>
      </c>
      <c r="BH634" s="35">
        <f t="shared" si="1864"/>
        <v>0</v>
      </c>
      <c r="BK634" s="2" t="b">
        <f>H634='2021'!BH634</f>
        <v>1</v>
      </c>
    </row>
    <row r="635" ht="15.75" customHeight="1" spans="1:63" x14ac:dyDescent="0.25">
      <c r="A635" s="2">
        <v>69</v>
      </c>
      <c r="B635" s="14"/>
      <c r="D635" s="14" t="s">
        <v>51</v>
      </c>
      <c r="E635" s="2" t="s">
        <v>49</v>
      </c>
      <c r="F635" s="41">
        <v>500</v>
      </c>
      <c r="G635" s="28"/>
      <c r="H635" s="34">
        <f>'2021'!BH635</f>
        <v>2015</v>
      </c>
      <c r="I635" s="13"/>
      <c r="J635" s="15"/>
      <c r="K635" s="15"/>
      <c r="L635" s="28"/>
      <c r="M635" s="13"/>
      <c r="N635" s="15"/>
      <c r="Q635" s="13"/>
      <c r="R635" s="15"/>
      <c r="S635" s="15"/>
      <c r="T635" s="28"/>
      <c r="U635" s="13"/>
      <c r="V635" s="15"/>
      <c r="Y635" s="13"/>
      <c r="Z635" s="2"/>
      <c r="AA635" s="15"/>
      <c r="AB635" s="28"/>
      <c r="AC635" s="348"/>
      <c r="AD635" s="15"/>
      <c r="AE635" s="34"/>
      <c r="AF635" s="1"/>
      <c r="AG635" s="15"/>
      <c r="AH635" s="2"/>
      <c r="AI635" s="45"/>
      <c r="AJ635" s="248">
        <v>2015</v>
      </c>
      <c r="AK635" s="15"/>
      <c r="AL635" s="15"/>
      <c r="AM635" s="45"/>
      <c r="AN635" s="15"/>
      <c r="AO635" s="13"/>
      <c r="AP635" s="15"/>
      <c r="AQ635" s="180">
        <f>B630*$F$14</f>
        <v>0</v>
      </c>
      <c r="AR635" s="15"/>
      <c r="AS635" s="13"/>
      <c r="AT635" s="15"/>
      <c r="AU635" s="45"/>
      <c r="AV635" s="15"/>
      <c r="AW635" s="13"/>
      <c r="AX635" s="15"/>
      <c r="AY635" s="45"/>
      <c r="AZ635" s="28"/>
      <c r="BA635" s="13"/>
      <c r="BB635" s="15"/>
      <c r="BC635" s="45"/>
      <c r="BD635" s="28"/>
      <c r="BE635" s="14"/>
      <c r="BF635" s="41">
        <f t="shared" ref="BF635:BG635" si="1875">K635+O635+S635+W635+AA635+AE635+AI635+AM635+AQ635+AU635+AY635+BC635</f>
        <v>0</v>
      </c>
      <c r="BG635" s="34">
        <f t="shared" si="1875"/>
        <v>2015</v>
      </c>
      <c r="BH635" s="35">
        <f t="shared" si="1864"/>
        <v>0</v>
      </c>
      <c r="BK635" s="2" t="b">
        <f>H635='2021'!BH635</f>
        <v>1</v>
      </c>
    </row>
    <row r="636" ht="15.75" customHeight="1" spans="1:63" x14ac:dyDescent="0.25">
      <c r="A636" s="2">
        <v>69</v>
      </c>
      <c r="B636" s="14"/>
      <c r="D636" s="14" t="s">
        <v>52</v>
      </c>
      <c r="E636" s="2" t="s">
        <v>39</v>
      </c>
      <c r="F636" s="41">
        <v>500</v>
      </c>
      <c r="G636" s="28"/>
      <c r="H636" s="34">
        <f>'2021'!BH636</f>
        <v>0</v>
      </c>
      <c r="I636" s="13"/>
      <c r="J636" s="15"/>
      <c r="K636" s="15"/>
      <c r="L636" s="28"/>
      <c r="M636" s="13"/>
      <c r="N636" s="15"/>
      <c r="Q636" s="13"/>
      <c r="R636" s="15"/>
      <c r="S636" s="15"/>
      <c r="T636" s="28"/>
      <c r="U636" s="13"/>
      <c r="V636" s="15"/>
      <c r="Y636" s="13"/>
      <c r="Z636" s="2"/>
      <c r="AA636" s="34">
        <f>$F$15</f>
      </c>
      <c r="AB636" s="28"/>
      <c r="AC636" s="348"/>
      <c r="AD636" s="15"/>
      <c r="AF636" s="34"/>
      <c r="AG636" s="15"/>
      <c r="AH636" s="2"/>
      <c r="AI636" s="45"/>
      <c r="AJ636" s="1"/>
      <c r="AK636" s="15"/>
      <c r="AL636" s="15"/>
      <c r="AM636" s="45"/>
      <c r="AN636" s="15"/>
      <c r="AO636" s="13"/>
      <c r="AP636" s="15"/>
      <c r="AQ636" s="45"/>
      <c r="AR636" s="15"/>
      <c r="AS636" s="13"/>
      <c r="AT636" s="15"/>
      <c r="AU636" s="45"/>
      <c r="AV636" s="15"/>
      <c r="AW636" s="13"/>
      <c r="AX636" s="15"/>
      <c r="AY636" s="45"/>
      <c r="AZ636" s="35"/>
      <c r="BA636" s="13"/>
      <c r="BB636" s="15"/>
      <c r="BC636" s="45"/>
      <c r="BD636" s="35"/>
      <c r="BE636" s="14"/>
      <c r="BF636" s="41">
        <f t="shared" ref="BF636:BG636" si="1876">K636+O636+S636+W636+AA636+AE636+AI636+AM636+AQ636+AU636+AY636+BC636</f>
        <v>0</v>
      </c>
      <c r="BG636" s="34">
        <f t="shared" si="1876"/>
        <v>0</v>
      </c>
      <c r="BH636" s="35">
        <f t="shared" si="1864"/>
        <v>0</v>
      </c>
      <c r="BK636" s="2" t="b">
        <f>H636='2021'!BH636</f>
        <v>1</v>
      </c>
    </row>
    <row r="637" ht="15.75" customHeight="1" spans="1:63" x14ac:dyDescent="0.25">
      <c r="A637" s="247">
        <v>69</v>
      </c>
      <c r="B637" s="21"/>
      <c r="C637" s="22" t="s">
        <v>53</v>
      </c>
      <c r="D637" s="21"/>
      <c r="E637" s="22"/>
      <c r="F637" s="20"/>
      <c r="G637" s="23"/>
      <c r="H637" s="51">
        <f>SUM(H629:H636)</f>
        <v>3037.24</v>
      </c>
      <c r="I637" s="52"/>
      <c r="J637" s="53"/>
      <c r="K637" s="51">
        <f t="shared" ref="K637:L637" si="1877">SUM(K629:K636)</f>
        <v>1803.6</v>
      </c>
      <c r="L637" s="68">
        <f t="shared" si="1877"/>
        <v>1998</v>
      </c>
      <c r="M637" s="52"/>
      <c r="N637" s="53"/>
      <c r="O637" s="51">
        <f t="shared" ref="O637:P637" si="1878">SUM(O629:O636)</f>
        <v>1722.6</v>
      </c>
      <c r="P637" s="51">
        <f t="shared" si="1878"/>
        <v>2700</v>
      </c>
      <c r="Q637" s="52"/>
      <c r="R637" s="53"/>
      <c r="S637" s="51">
        <f t="shared" ref="S637:T637" si="1879">SUM(S629:S636)</f>
        <v>1566.85</v>
      </c>
      <c r="T637" s="51">
        <f t="shared" si="1879"/>
        <v>1998</v>
      </c>
      <c r="U637" s="52"/>
      <c r="V637" s="53"/>
      <c r="W637" s="51">
        <f t="shared" ref="W637:X637" si="1880">SUM(W629:W636)</f>
        <v>1439.75</v>
      </c>
      <c r="X637" s="51">
        <f t="shared" si="1880"/>
        <v>0</v>
      </c>
      <c r="Y637" s="52"/>
      <c r="Z637" s="301"/>
      <c r="AA637" s="51">
        <f t="shared" ref="AA637:AB637" si="1881">SUM(AA629:AA636)</f>
        <v>1116.05</v>
      </c>
      <c r="AB637" s="51">
        <f t="shared" si="1881"/>
        <v>0</v>
      </c>
      <c r="AC637" s="367"/>
      <c r="AD637" s="53"/>
      <c r="AE637" s="51">
        <f t="shared" ref="AE637:AF637" si="1882">SUM(AE629:AE636)</f>
        <v>7095.55</v>
      </c>
      <c r="AF637" s="51">
        <f t="shared" si="1882"/>
        <v>1998</v>
      </c>
      <c r="AG637" s="52"/>
      <c r="AH637" s="301"/>
      <c r="AI637" s="183">
        <f t="shared" ref="AI637:AJ637" si="1883">SUM(AI629:AI636)</f>
        <v>728.20504</v>
      </c>
      <c r="AJ637" s="51">
        <f t="shared" si="1883"/>
        <v>10000</v>
      </c>
      <c r="AK637" s="52"/>
      <c r="AL637" s="53"/>
      <c r="AM637" s="183">
        <f t="shared" ref="AM637:AN637" si="1884">SUM(AM629:AM636)</f>
        <v>789.01056</v>
      </c>
      <c r="AN637" s="51">
        <f t="shared" si="1884"/>
        <v>0</v>
      </c>
      <c r="AO637" s="52"/>
      <c r="AP637" s="53"/>
      <c r="AQ637" s="183">
        <f t="shared" ref="AQ637:AR637" si="1885">SUM(AQ629:AQ636)</f>
        <v>726.77748</v>
      </c>
      <c r="AR637" s="51">
        <f t="shared" si="1885"/>
        <v>2000</v>
      </c>
      <c r="AS637" s="52"/>
      <c r="AT637" s="53"/>
      <c r="AU637" s="183">
        <f t="shared" ref="AU637:AV637" si="1886">SUM(AU629:AU636)</f>
        <v>1172.682</v>
      </c>
      <c r="AV637" s="68">
        <f t="shared" si="1886"/>
        <v>2100</v>
      </c>
      <c r="AW637" s="52"/>
      <c r="AX637" s="53"/>
      <c r="AY637" s="183">
        <f t="shared" ref="AY637:AZ637" si="1887">SUM(AY629:AY636)</f>
        <v>0</v>
      </c>
      <c r="AZ637" s="68">
        <f t="shared" si="1887"/>
        <v>0</v>
      </c>
      <c r="BA637" s="52"/>
      <c r="BB637" s="53"/>
      <c r="BC637" s="183">
        <f t="shared" ref="BC637:BD637" si="1888">SUM(BC629:BC636)</f>
        <v>0</v>
      </c>
      <c r="BD637" s="68">
        <f t="shared" si="1888"/>
        <v>0</v>
      </c>
      <c r="BE637" s="69"/>
      <c r="BF637" s="70">
        <f t="shared" ref="BF637:BH637" si="1889">SUM(BF629:BF636)</f>
        <v>18161.07508</v>
      </c>
      <c r="BG637" s="71">
        <f t="shared" si="1889"/>
        <v>22794</v>
      </c>
      <c r="BH637" s="72">
        <f t="shared" si="1889"/>
        <v>-1595.68492</v>
      </c>
      <c r="BI637" s="34">
        <f>H637+BF637-BG637</f>
        <v>-1595.68492</v>
      </c>
      <c r="BJ637" s="34">
        <f>BH637-BI637</f>
        <v>0</v>
      </c>
      <c r="BK637" s="2" t="b">
        <f>H637='2021'!BH637</f>
        <v>1</v>
      </c>
    </row>
    <row r="638" ht="15.75" customHeight="1" spans="1:63" x14ac:dyDescent="0.25">
      <c r="A638" s="2">
        <v>71</v>
      </c>
      <c r="B638" s="14"/>
      <c r="D638" s="14" t="s">
        <v>379</v>
      </c>
      <c r="F638" s="13"/>
      <c r="G638" s="28"/>
      <c r="H638" s="34">
        <f>'2021'!BH638</f>
        <v>0</v>
      </c>
      <c r="I638" s="13"/>
      <c r="J638" s="15"/>
      <c r="K638" s="15"/>
      <c r="L638" s="28"/>
      <c r="M638" s="13"/>
      <c r="N638" s="15"/>
      <c r="Q638" s="13"/>
      <c r="R638" s="15"/>
      <c r="S638" s="15"/>
      <c r="T638" s="28"/>
      <c r="U638" s="13"/>
      <c r="V638" s="15"/>
      <c r="Y638" s="13"/>
      <c r="Z638" s="2"/>
      <c r="AA638" s="15"/>
      <c r="AB638" s="28"/>
      <c r="AC638" s="348"/>
      <c r="AD638" s="15"/>
      <c r="AG638" s="15"/>
      <c r="AH638" s="2"/>
      <c r="AI638" s="45"/>
      <c r="AJ638" s="15"/>
      <c r="AK638" s="15"/>
      <c r="AM638" s="45"/>
      <c r="AO638" s="13"/>
      <c r="AQ638" s="45"/>
      <c r="AS638" s="13"/>
      <c r="AU638" s="45"/>
      <c r="AW638" s="13"/>
      <c r="AY638" s="45"/>
      <c r="AZ638" s="28"/>
      <c r="BA638" s="13"/>
      <c r="BB638" s="15"/>
      <c r="BC638" s="45"/>
      <c r="BD638" s="28"/>
      <c r="BE638" s="14"/>
      <c r="BF638" s="41">
        <f t="shared" ref="BF638:BG638" si="1890">K638+O638+S638+W638+AA638+AE638+AI638+AM638+AQ638+AU638+AY638+BC638</f>
        <v>0</v>
      </c>
      <c r="BG638" s="34">
        <f t="shared" si="1890"/>
        <v>0</v>
      </c>
      <c r="BH638" s="35">
        <f t="shared" ref="BH638:BH645" si="1891">H638+BF638-BG638</f>
        <v>0</v>
      </c>
      <c r="BK638" s="2" t="b">
        <f>H638='2021'!BH638</f>
        <v>1</v>
      </c>
    </row>
    <row r="639" ht="15.75" customHeight="1" spans="1:63" x14ac:dyDescent="0.25">
      <c r="A639" s="2">
        <v>71</v>
      </c>
      <c r="B639" s="14">
        <v>5.98</v>
      </c>
      <c r="C639" s="2" t="s">
        <v>255</v>
      </c>
      <c r="D639" s="14" t="s">
        <v>44</v>
      </c>
      <c r="E639" s="2" t="s">
        <v>45</v>
      </c>
      <c r="F639" s="41">
        <v>2.5</v>
      </c>
      <c r="G639" s="35">
        <v>2.6</v>
      </c>
      <c r="H639" s="34">
        <f>'2021'!BH639</f>
        <v>43.2</v>
      </c>
      <c r="I639" s="13">
        <v>174</v>
      </c>
      <c r="J639" s="15">
        <f>I639-'2021'!BA639</f>
        <v>0</v>
      </c>
      <c r="K639" s="34">
        <f>J639*$F$8</f>
        <v>0</v>
      </c>
      <c r="L639" s="28"/>
      <c r="M639" s="13">
        <v>174</v>
      </c>
      <c r="N639" s="15">
        <f t="shared" ref="N639:N640" si="1892">M639-I639</f>
        <v>0</v>
      </c>
      <c r="O639" s="34">
        <f>N639*$F$8</f>
        <v>0</v>
      </c>
      <c r="Q639" s="13">
        <v>174</v>
      </c>
      <c r="R639" s="15">
        <f t="shared" ref="R639:R640" si="1893">Q639-M639</f>
        <v>0</v>
      </c>
      <c r="S639" s="34">
        <f>R639*$F$8</f>
        <v>0</v>
      </c>
      <c r="T639" s="28"/>
      <c r="U639" s="13">
        <v>174</v>
      </c>
      <c r="V639" s="15">
        <f t="shared" ref="V639:V640" si="1894">U639-Q639</f>
        <v>0</v>
      </c>
      <c r="W639" s="34">
        <f>V639*$F$8</f>
        <v>0</v>
      </c>
      <c r="X639" s="15"/>
      <c r="Y639" s="13">
        <v>176</v>
      </c>
      <c r="Z639" s="2">
        <f t="shared" ref="Z639:Z640" si="1895">Y639-U639</f>
        <v>2</v>
      </c>
      <c r="AA639" s="34">
        <f>Z639*$F$8</f>
        <v>5.4</v>
      </c>
      <c r="AB639" s="28"/>
      <c r="AC639" s="348">
        <v>177</v>
      </c>
      <c r="AD639" s="15">
        <f t="shared" ref="AD639:AD640" si="1896">AC639-Y639</f>
        <v>1</v>
      </c>
      <c r="AE639" s="180">
        <f>AD639*$F$8</f>
        <v>2.7</v>
      </c>
      <c r="AF639" s="326">
        <v>48.6</v>
      </c>
      <c r="AG639" s="15">
        <v>178</v>
      </c>
      <c r="AH639" s="2">
        <f>(AG639-AC639)*AH5</f>
        <v>1.056</v>
      </c>
      <c r="AI639" s="45">
        <f>AH639*$G$8</f>
        <v>2.59776</v>
      </c>
      <c r="AJ639" s="182"/>
      <c r="AK639" s="15">
        <v>179</v>
      </c>
      <c r="AL639" s="15">
        <f>(AK639-AG639)*AL5</f>
        <v>1.028</v>
      </c>
      <c r="AM639" s="45">
        <f>AL639*$G$8</f>
        <v>2.52888</v>
      </c>
      <c r="AN639" s="154">
        <v>7.83</v>
      </c>
      <c r="AO639" s="13">
        <v>181</v>
      </c>
      <c r="AP639" s="15">
        <f>(AO639-AK639)*AP5</f>
        <v>2.066</v>
      </c>
      <c r="AQ639" s="45">
        <f>AP639*$G$8</f>
        <v>5.08236</v>
      </c>
      <c r="AR639" s="15"/>
      <c r="AS639" s="13">
        <v>204</v>
      </c>
      <c r="AT639" s="15">
        <f>(AS639-AO639)*AT5</f>
        <v>24.15</v>
      </c>
      <c r="AU639" s="45">
        <f>AT639*$G$8</f>
        <v>59.409</v>
      </c>
      <c r="AV639" s="15"/>
      <c r="AW639" s="13"/>
      <c r="AX639" s="15">
        <f>(AW639-AS639)*AX5</f>
        <v>0</v>
      </c>
      <c r="AY639" s="45">
        <f>AX639*$G$8</f>
        <v>0</v>
      </c>
      <c r="AZ639" s="208"/>
      <c r="BA639" s="13"/>
      <c r="BB639" s="15"/>
      <c r="BC639" s="45">
        <f>BB639*$G$8</f>
        <v>0</v>
      </c>
      <c r="BD639" s="208"/>
      <c r="BE639" s="40">
        <f t="shared" ref="BE639:BG639" si="1897">J639+N639+R639+V639+Z639+AD639+AH639+AL639+AP639+AT639+AX639+BB639</f>
        <v>31.3</v>
      </c>
      <c r="BF639" s="41">
        <f t="shared" si="1897"/>
        <v>77.718</v>
      </c>
      <c r="BG639" s="34">
        <f t="shared" si="1897"/>
        <v>56.43</v>
      </c>
      <c r="BH639" s="35">
        <f t="shared" si="1891"/>
        <v>64.488</v>
      </c>
      <c r="BK639" s="2" t="b">
        <f>H639='2021'!BH639</f>
        <v>1</v>
      </c>
    </row>
    <row r="640" ht="15.75" customHeight="1" spans="1:63" x14ac:dyDescent="0.25">
      <c r="A640" s="2">
        <v>71</v>
      </c>
      <c r="B640" s="14"/>
      <c r="C640" s="2" t="s">
        <v>75</v>
      </c>
      <c r="D640" s="14" t="s">
        <v>47</v>
      </c>
      <c r="E640" s="2" t="s">
        <v>48</v>
      </c>
      <c r="F640" s="13">
        <v>18.56</v>
      </c>
      <c r="G640" s="35">
        <v>19.46</v>
      </c>
      <c r="H640" s="34">
        <f>'2021'!BH640</f>
        <v>0</v>
      </c>
      <c r="I640" s="13">
        <v>272</v>
      </c>
      <c r="J640" s="15"/>
      <c r="K640" s="15"/>
      <c r="L640" s="28"/>
      <c r="M640" s="13">
        <v>272</v>
      </c>
      <c r="N640" s="15">
        <f t="shared" si="1892"/>
        <v>0</v>
      </c>
      <c r="Q640" s="13">
        <v>272</v>
      </c>
      <c r="R640" s="15">
        <f t="shared" si="1893"/>
        <v>0</v>
      </c>
      <c r="S640" s="15"/>
      <c r="T640" s="28"/>
      <c r="U640" s="13">
        <v>272</v>
      </c>
      <c r="V640" s="15">
        <f t="shared" si="1894"/>
        <v>0</v>
      </c>
      <c r="W640" s="180">
        <f>V640*$F$10</f>
        <v>0</v>
      </c>
      <c r="Y640" s="13">
        <v>277</v>
      </c>
      <c r="Z640" s="2">
        <f t="shared" si="1895"/>
        <v>5</v>
      </c>
      <c r="AA640" s="34">
        <f>Z640*$F$10</f>
        <v>101.75</v>
      </c>
      <c r="AB640" s="28"/>
      <c r="AC640" s="348">
        <v>277</v>
      </c>
      <c r="AD640" s="15">
        <f t="shared" si="1896"/>
        <v>0</v>
      </c>
      <c r="AE640" s="34">
        <f>AD640*$F$10</f>
        <v>0</v>
      </c>
      <c r="AF640" s="326">
        <v>101.75</v>
      </c>
      <c r="AG640" s="15">
        <v>293</v>
      </c>
      <c r="AH640" s="2">
        <f>AG640-AC640</f>
        <v>16</v>
      </c>
      <c r="AI640" s="45">
        <f>AH640*$G$10</f>
        <v>342.4</v>
      </c>
      <c r="AJ640" s="182">
        <v>342.4</v>
      </c>
      <c r="AK640" s="15">
        <v>297</v>
      </c>
      <c r="AL640" s="15">
        <f>AK640-AG640</f>
        <v>4</v>
      </c>
      <c r="AM640" s="45">
        <f>AL640*$G$10</f>
        <v>85.6</v>
      </c>
      <c r="AN640" s="154">
        <v>85.6</v>
      </c>
      <c r="AO640" s="13">
        <v>297</v>
      </c>
      <c r="AP640" s="15">
        <f>AO640-AK640</f>
        <v>0</v>
      </c>
      <c r="AQ640" s="45">
        <f>AP640*$G$10</f>
        <v>0</v>
      </c>
      <c r="AR640" s="15"/>
      <c r="AS640" s="13">
        <v>297</v>
      </c>
      <c r="AT640" s="15">
        <f>AS640-AO640</f>
        <v>0</v>
      </c>
      <c r="AU640" s="45">
        <f>AT640*$G$10</f>
        <v>0</v>
      </c>
      <c r="AV640" s="15"/>
      <c r="AW640" s="13"/>
      <c r="AX640" s="15">
        <f>AW640-AS640</f>
        <v>-297</v>
      </c>
      <c r="AY640" s="45"/>
      <c r="AZ640" s="208"/>
      <c r="BA640" s="13"/>
      <c r="BB640" s="15"/>
      <c r="BC640" s="45"/>
      <c r="BD640" s="208"/>
      <c r="BE640" s="40">
        <f t="shared" ref="BE640:BG640" si="1898">J640+N640+R640+V640+Z640+AD640+AH640+AL640+AP640+AT640+AX640+BB640</f>
        <v>-272</v>
      </c>
      <c r="BF640" s="41">
        <f t="shared" si="1898"/>
        <v>529.75</v>
      </c>
      <c r="BG640" s="34">
        <f t="shared" si="1898"/>
        <v>529.75</v>
      </c>
      <c r="BH640" s="35">
        <f t="shared" si="1891"/>
        <v>0</v>
      </c>
      <c r="BK640" s="2" t="b">
        <f>H640='2021'!BH640</f>
        <v>1</v>
      </c>
    </row>
    <row r="641" ht="15.75" customHeight="1" spans="1:63" x14ac:dyDescent="0.25">
      <c r="A641" s="2">
        <v>71</v>
      </c>
      <c r="B641" s="14"/>
      <c r="C641" s="15" t="s">
        <v>151</v>
      </c>
      <c r="D641" s="14" t="s">
        <v>47</v>
      </c>
      <c r="E641" s="2" t="s">
        <v>49</v>
      </c>
      <c r="F641" s="41">
        <v>500</v>
      </c>
      <c r="G641" s="28"/>
      <c r="H641" s="34">
        <f>'2021'!BH641</f>
        <v>0</v>
      </c>
      <c r="I641" s="13"/>
      <c r="J641" s="15"/>
      <c r="K641" s="15"/>
      <c r="L641" s="28"/>
      <c r="M641" s="13"/>
      <c r="N641" s="15"/>
      <c r="Q641" s="13"/>
      <c r="R641" s="15"/>
      <c r="S641" s="15"/>
      <c r="T641" s="28"/>
      <c r="U641" s="13"/>
      <c r="V641" s="15"/>
      <c r="Y641" s="13"/>
      <c r="Z641" s="2"/>
      <c r="AA641" s="15"/>
      <c r="AB641" s="28"/>
      <c r="AC641" s="348"/>
      <c r="AD641" s="15"/>
      <c r="AF641" s="154"/>
      <c r="AG641" s="15"/>
      <c r="AH641" s="2"/>
      <c r="AI641" s="45"/>
      <c r="AJ641" s="15"/>
      <c r="AK641" s="15"/>
      <c r="AL641" s="15"/>
      <c r="AM641" s="45"/>
      <c r="AN641" s="15"/>
      <c r="AO641" s="13"/>
      <c r="AP641" s="15"/>
      <c r="AQ641" s="45"/>
      <c r="AR641" s="15"/>
      <c r="AS641" s="13"/>
      <c r="AT641" s="15"/>
      <c r="AU641" s="45"/>
      <c r="AV641" s="15"/>
      <c r="AW641" s="13"/>
      <c r="AX641" s="15"/>
      <c r="AY641" s="45"/>
      <c r="AZ641" s="28"/>
      <c r="BA641" s="13"/>
      <c r="BB641" s="15"/>
      <c r="BC641" s="45"/>
      <c r="BD641" s="28"/>
      <c r="BE641" s="14"/>
      <c r="BF641" s="41">
        <f t="shared" ref="BF641:BG641" si="1899">K641+O641+S641+W641+AA641+AE641+AI641+AM641+AQ641+AU641+AY641+BC641</f>
        <v>0</v>
      </c>
      <c r="BG641" s="34">
        <f t="shared" si="1899"/>
        <v>0</v>
      </c>
      <c r="BH641" s="35">
        <f t="shared" si="1891"/>
        <v>0</v>
      </c>
      <c r="BK641" s="2" t="b">
        <f>H641='2021'!BH641</f>
        <v>1</v>
      </c>
    </row>
    <row r="642" ht="15.75" customHeight="1" spans="1:63" x14ac:dyDescent="0.25">
      <c r="A642" s="2">
        <v>71</v>
      </c>
      <c r="B642" s="14"/>
      <c r="C642" s="15" t="s">
        <v>256</v>
      </c>
      <c r="D642" s="14" t="s">
        <v>50</v>
      </c>
      <c r="E642" s="2" t="s">
        <v>49</v>
      </c>
      <c r="F642" s="41">
        <v>1100</v>
      </c>
      <c r="G642" s="28"/>
      <c r="H642" s="34">
        <f>'2021'!BH642</f>
        <v>0</v>
      </c>
      <c r="I642" s="13"/>
      <c r="J642" s="15"/>
      <c r="K642" s="15"/>
      <c r="L642" s="28"/>
      <c r="M642" s="13"/>
      <c r="N642" s="15"/>
      <c r="Q642" s="13"/>
      <c r="R642" s="15"/>
      <c r="S642" s="15"/>
      <c r="T642" s="28"/>
      <c r="U642" s="13"/>
      <c r="V642" s="15"/>
      <c r="Y642" s="13"/>
      <c r="Z642" s="2"/>
      <c r="AA642" s="15"/>
      <c r="AB642" s="28"/>
      <c r="AC642" s="348"/>
      <c r="AD642" s="15"/>
      <c r="AE642" s="34">
        <f>B639*$F$12</f>
        <v>7774</v>
      </c>
      <c r="AF642" s="326">
        <v>7774</v>
      </c>
      <c r="AG642" s="15"/>
      <c r="AH642" s="2"/>
      <c r="AI642" s="45"/>
      <c r="AJ642" s="34"/>
      <c r="AK642" s="15"/>
      <c r="AL642" s="15"/>
      <c r="AM642" s="45"/>
      <c r="AN642" s="15"/>
      <c r="AO642" s="13"/>
      <c r="AP642" s="15"/>
      <c r="AQ642" s="45"/>
      <c r="AR642" s="15"/>
      <c r="AS642" s="13"/>
      <c r="AT642" s="15"/>
      <c r="AU642" s="45"/>
      <c r="AV642" s="15"/>
      <c r="AW642" s="13"/>
      <c r="AX642" s="15"/>
      <c r="AY642" s="45"/>
      <c r="AZ642" s="28"/>
      <c r="BA642" s="13"/>
      <c r="BB642" s="15"/>
      <c r="BC642" s="45"/>
      <c r="BD642" s="28"/>
      <c r="BE642" s="14"/>
      <c r="BF642" s="41">
        <f t="shared" ref="BF642:BG642" si="1900">K642+O642+S642+W642+AA642+AE642+AI642+AM642+AQ642+AU642+AY642+BC642</f>
        <v>7774</v>
      </c>
      <c r="BG642" s="34">
        <f t="shared" si="1900"/>
        <v>7774</v>
      </c>
      <c r="BH642" s="35">
        <f t="shared" si="1891"/>
        <v>0</v>
      </c>
      <c r="BK642" s="2" t="b">
        <f>H642='2021'!BH642</f>
        <v>1</v>
      </c>
    </row>
    <row r="643" ht="15.75" customHeight="1" spans="1:63" x14ac:dyDescent="0.25">
      <c r="A643" s="2">
        <v>71</v>
      </c>
      <c r="B643" s="14"/>
      <c r="D643" s="14" t="s">
        <v>51</v>
      </c>
      <c r="E643" s="2" t="s">
        <v>39</v>
      </c>
      <c r="F643" s="41">
        <v>500</v>
      </c>
      <c r="G643" s="28"/>
      <c r="H643" s="34">
        <f>'2021'!BH643</f>
        <v>0</v>
      </c>
      <c r="I643" s="13"/>
      <c r="J643" s="15"/>
      <c r="K643" s="15"/>
      <c r="L643" s="28"/>
      <c r="M643" s="13"/>
      <c r="N643" s="15"/>
      <c r="Q643" s="13"/>
      <c r="R643" s="15"/>
      <c r="S643" s="15"/>
      <c r="T643" s="28"/>
      <c r="U643" s="13"/>
      <c r="V643" s="15"/>
      <c r="Y643" s="13"/>
      <c r="Z643" s="2"/>
      <c r="AA643" s="15"/>
      <c r="AB643" s="28"/>
      <c r="AC643" s="348"/>
      <c r="AD643" s="15"/>
      <c r="AE643" s="180">
        <f>$F$13</f>
        <v>1000</v>
      </c>
      <c r="AF643" s="326">
        <v>1000</v>
      </c>
      <c r="AG643" s="15"/>
      <c r="AH643" s="2"/>
      <c r="AI643" s="45"/>
      <c r="AJ643" s="15"/>
      <c r="AK643" s="15"/>
      <c r="AL643" s="15"/>
      <c r="AM643" s="45"/>
      <c r="AN643" s="15"/>
      <c r="AO643" s="13"/>
      <c r="AP643" s="15"/>
      <c r="AQ643" s="180"/>
      <c r="AR643" s="15"/>
      <c r="AS643" s="13"/>
      <c r="AT643" s="15"/>
      <c r="AU643" s="45"/>
      <c r="AV643" s="15"/>
      <c r="AW643" s="13"/>
      <c r="AX643" s="15"/>
      <c r="AY643" s="45"/>
      <c r="AZ643" s="28"/>
      <c r="BA643" s="13"/>
      <c r="BB643" s="15"/>
      <c r="BC643" s="45"/>
      <c r="BD643" s="28"/>
      <c r="BE643" s="14"/>
      <c r="BF643" s="41">
        <f t="shared" ref="BF643:BG643" si="1901">K643+O643+S643+W643+AA643+AE643+AI643+AM643+AQ643+AU643+AY643+BC643</f>
        <v>1000</v>
      </c>
      <c r="BG643" s="34">
        <f t="shared" si="1901"/>
        <v>1000</v>
      </c>
      <c r="BH643" s="35">
        <f t="shared" si="1891"/>
        <v>0</v>
      </c>
      <c r="BK643" s="2" t="b">
        <f>H643='2021'!BH643</f>
        <v>1</v>
      </c>
    </row>
    <row r="644" ht="15.75" customHeight="1" spans="1:63" x14ac:dyDescent="0.25">
      <c r="A644" s="2">
        <v>71</v>
      </c>
      <c r="B644" s="14"/>
      <c r="D644" s="14" t="s">
        <v>51</v>
      </c>
      <c r="E644" s="2" t="s">
        <v>49</v>
      </c>
      <c r="F644" s="41">
        <v>500</v>
      </c>
      <c r="G644" s="28"/>
      <c r="H644" s="34">
        <f>'2021'!BH644</f>
        <v>0</v>
      </c>
      <c r="I644" s="13"/>
      <c r="J644" s="15"/>
      <c r="K644" s="15"/>
      <c r="L644" s="28"/>
      <c r="M644" s="13"/>
      <c r="N644" s="15"/>
      <c r="Q644" s="13"/>
      <c r="R644" s="15"/>
      <c r="S644" s="15"/>
      <c r="T644" s="28"/>
      <c r="U644" s="13"/>
      <c r="V644" s="15"/>
      <c r="Y644" s="13"/>
      <c r="Z644" s="2"/>
      <c r="AA644" s="15"/>
      <c r="AB644" s="28"/>
      <c r="AC644" s="348"/>
      <c r="AD644" s="15"/>
      <c r="AE644" s="34"/>
      <c r="AF644" s="182"/>
      <c r="AG644" s="15"/>
      <c r="AH644" s="2"/>
      <c r="AI644" s="45"/>
      <c r="AJ644" s="15"/>
      <c r="AK644" s="15"/>
      <c r="AL644" s="15"/>
      <c r="AM644" s="45"/>
      <c r="AN644" s="15"/>
      <c r="AO644" s="13"/>
      <c r="AP644" s="15"/>
      <c r="AQ644" s="180">
        <f>B639*$F$14</f>
        <v>0</v>
      </c>
      <c r="AR644" s="15"/>
      <c r="AS644" s="13"/>
      <c r="AT644" s="15"/>
      <c r="AU644" s="45"/>
      <c r="AV644" s="15"/>
      <c r="AW644" s="13"/>
      <c r="AX644" s="15"/>
      <c r="AY644" s="45"/>
      <c r="AZ644" s="28"/>
      <c r="BA644" s="13"/>
      <c r="BB644" s="15"/>
      <c r="BC644" s="45"/>
      <c r="BD644" s="28"/>
      <c r="BE644" s="14"/>
      <c r="BF644" s="41">
        <f t="shared" ref="BF644:BG644" si="1902">K644+O644+S644+W644+AA644+AE644+AI644+AM644+AQ644+AU644+AY644+BC644</f>
        <v>0</v>
      </c>
      <c r="BG644" s="34">
        <f t="shared" si="1902"/>
        <v>0</v>
      </c>
      <c r="BH644" s="35">
        <f t="shared" si="1891"/>
        <v>0</v>
      </c>
      <c r="BK644" s="2" t="b">
        <f>H644='2021'!BH644</f>
        <v>1</v>
      </c>
    </row>
    <row r="645" ht="15.75" customHeight="1" spans="1:63" x14ac:dyDescent="0.25">
      <c r="A645" s="2">
        <v>71</v>
      </c>
      <c r="B645" s="14"/>
      <c r="D645" s="14" t="s">
        <v>52</v>
      </c>
      <c r="E645" s="2" t="s">
        <v>39</v>
      </c>
      <c r="F645" s="41">
        <v>500</v>
      </c>
      <c r="G645" s="28"/>
      <c r="H645" s="34">
        <f>'2021'!BH645</f>
        <v>0</v>
      </c>
      <c r="I645" s="13"/>
      <c r="J645" s="15"/>
      <c r="K645" s="15"/>
      <c r="L645" s="28"/>
      <c r="M645" s="13"/>
      <c r="N645" s="15"/>
      <c r="Q645" s="13"/>
      <c r="R645" s="15"/>
      <c r="S645" s="15"/>
      <c r="T645" s="28"/>
      <c r="U645" s="13"/>
      <c r="V645" s="15"/>
      <c r="Y645" s="13"/>
      <c r="Z645" s="2"/>
      <c r="AA645" s="34">
        <f>$F$15</f>
      </c>
      <c r="AB645" s="35"/>
      <c r="AC645" s="348"/>
      <c r="AD645" s="15"/>
      <c r="AF645" s="180"/>
      <c r="AG645" s="15"/>
      <c r="AH645" s="2"/>
      <c r="AI645" s="45"/>
      <c r="AJ645" s="15"/>
      <c r="AK645" s="15"/>
      <c r="AL645" s="15"/>
      <c r="AM645" s="45"/>
      <c r="AN645" s="15"/>
      <c r="AO645" s="13"/>
      <c r="AP645" s="15"/>
      <c r="AQ645" s="45"/>
      <c r="AR645" s="15"/>
      <c r="AS645" s="13"/>
      <c r="AT645" s="15"/>
      <c r="AU645" s="45"/>
      <c r="AV645" s="15"/>
      <c r="AW645" s="13"/>
      <c r="AX645" s="15"/>
      <c r="AY645" s="45"/>
      <c r="AZ645" s="35"/>
      <c r="BA645" s="13"/>
      <c r="BB645" s="15"/>
      <c r="BC645" s="45"/>
      <c r="BD645" s="35"/>
      <c r="BE645" s="14"/>
      <c r="BF645" s="41">
        <f t="shared" ref="BF645:BG645" si="1903">K645+O645+S645+W645+AA645+AE645+AI645+AM645+AQ645+AU645+AY645+BC645</f>
        <v>0</v>
      </c>
      <c r="BG645" s="34">
        <f t="shared" si="1903"/>
        <v>0</v>
      </c>
      <c r="BH645" s="35">
        <f t="shared" si="1891"/>
        <v>0</v>
      </c>
      <c r="BK645" s="2" t="b">
        <f>H645='2021'!BH645</f>
        <v>1</v>
      </c>
    </row>
    <row r="646" ht="15.75" customHeight="1" spans="1:63" x14ac:dyDescent="0.25">
      <c r="A646" s="247">
        <v>71</v>
      </c>
      <c r="B646" s="21"/>
      <c r="C646" s="22" t="s">
        <v>53</v>
      </c>
      <c r="D646" s="21"/>
      <c r="E646" s="22"/>
      <c r="F646" s="20"/>
      <c r="G646" s="23"/>
      <c r="H646" s="51">
        <f>SUM(H638:H645)</f>
        <v>43.2</v>
      </c>
      <c r="I646" s="52"/>
      <c r="J646" s="53"/>
      <c r="K646" s="51">
        <f t="shared" ref="K646:L646" si="1904">SUM(K638:K645)</f>
        <v>0</v>
      </c>
      <c r="L646" s="68">
        <f t="shared" si="1904"/>
        <v>0</v>
      </c>
      <c r="M646" s="52"/>
      <c r="N646" s="53"/>
      <c r="O646" s="51">
        <f t="shared" ref="O646:P646" si="1905">SUM(O638:O645)</f>
        <v>0</v>
      </c>
      <c r="P646" s="51">
        <f t="shared" si="1905"/>
        <v>0</v>
      </c>
      <c r="Q646" s="52"/>
      <c r="R646" s="53"/>
      <c r="S646" s="51">
        <f t="shared" ref="S646:T646" si="1906">SUM(S638:S645)</f>
        <v>0</v>
      </c>
      <c r="T646" s="51">
        <f t="shared" si="1906"/>
        <v>0</v>
      </c>
      <c r="U646" s="52"/>
      <c r="V646" s="53"/>
      <c r="W646" s="51">
        <f t="shared" ref="W646:X646" si="1907">SUM(W638:W645)</f>
        <v>0</v>
      </c>
      <c r="X646" s="51">
        <f t="shared" si="1907"/>
        <v>0</v>
      </c>
      <c r="Y646" s="52"/>
      <c r="Z646" s="301"/>
      <c r="AA646" s="51">
        <f t="shared" ref="AA646:AB646" si="1908">SUM(AA638:AA645)</f>
        <v>107.15</v>
      </c>
      <c r="AB646" s="51">
        <f t="shared" si="1908"/>
        <v>0</v>
      </c>
      <c r="AC646" s="367"/>
      <c r="AD646" s="53"/>
      <c r="AE646" s="51">
        <f t="shared" ref="AE646:AF646" si="1909">SUM(AE638:AE645)</f>
        <v>8776.7</v>
      </c>
      <c r="AF646" s="51">
        <f t="shared" si="1909"/>
        <v>8924.35</v>
      </c>
      <c r="AG646" s="52"/>
      <c r="AH646" s="301"/>
      <c r="AI646" s="183">
        <f t="shared" ref="AI646:AJ646" si="1910">SUM(AI638:AI645)</f>
        <v>344.99776</v>
      </c>
      <c r="AJ646" s="51">
        <f t="shared" si="1910"/>
        <v>342.4</v>
      </c>
      <c r="AK646" s="52"/>
      <c r="AL646" s="53"/>
      <c r="AM646" s="183">
        <f t="shared" ref="AM646:AN646" si="1911">SUM(AM638:AM645)</f>
        <v>88.12888</v>
      </c>
      <c r="AN646" s="51">
        <f t="shared" si="1911"/>
        <v>93.43</v>
      </c>
      <c r="AO646" s="52"/>
      <c r="AP646" s="53"/>
      <c r="AQ646" s="183">
        <f t="shared" ref="AQ646:AR646" si="1912">SUM(AQ638:AQ645)</f>
        <v>5.08236</v>
      </c>
      <c r="AR646" s="51">
        <f t="shared" si="1912"/>
        <v>0</v>
      </c>
      <c r="AS646" s="52"/>
      <c r="AT646" s="53"/>
      <c r="AU646" s="183">
        <f t="shared" ref="AU646:AV646" si="1913">SUM(AU638:AU645)</f>
        <v>59.409</v>
      </c>
      <c r="AV646" s="68">
        <f t="shared" si="1913"/>
        <v>0</v>
      </c>
      <c r="AW646" s="52"/>
      <c r="AX646" s="53"/>
      <c r="AY646" s="183">
        <f t="shared" ref="AY646:AZ646" si="1914">SUM(AY638:AY645)</f>
        <v>0</v>
      </c>
      <c r="AZ646" s="68">
        <f t="shared" si="1914"/>
        <v>0</v>
      </c>
      <c r="BA646" s="52"/>
      <c r="BB646" s="53"/>
      <c r="BC646" s="183">
        <f t="shared" ref="BC646:BD646" si="1915">SUM(BC638:BC645)</f>
        <v>0</v>
      </c>
      <c r="BD646" s="68">
        <f t="shared" si="1915"/>
        <v>0</v>
      </c>
      <c r="BE646" s="69"/>
      <c r="BF646" s="70">
        <f t="shared" ref="BF646:BH646" si="1916">SUM(BF638:BF645)</f>
        <v>9381.468</v>
      </c>
      <c r="BG646" s="71">
        <f t="shared" si="1916"/>
        <v>9360.18</v>
      </c>
      <c r="BH646" s="72">
        <f t="shared" si="1916"/>
        <v>64.488</v>
      </c>
      <c r="BI646" s="34">
        <f>H646+BF646-BG646</f>
        <v>64.488</v>
      </c>
      <c r="BJ646" s="34">
        <f>BH646-BI646</f>
        <v>0</v>
      </c>
      <c r="BK646" s="2" t="b">
        <f>H646='2021'!BH646</f>
        <v>1</v>
      </c>
    </row>
    <row r="647" ht="15.75" customHeight="1" spans="1:63" x14ac:dyDescent="0.25">
      <c r="A647" s="2">
        <v>72</v>
      </c>
      <c r="B647" s="14"/>
      <c r="D647" s="14" t="s">
        <v>552</v>
      </c>
      <c r="F647" s="13"/>
      <c r="G647" s="28"/>
      <c r="H647" s="34">
        <f>'2021'!BH647</f>
        <v>7.55</v>
      </c>
      <c r="I647" s="13"/>
      <c r="J647" s="15"/>
      <c r="K647" s="15"/>
      <c r="L647" s="28"/>
      <c r="M647" s="13"/>
      <c r="N647" s="15"/>
      <c r="Q647" s="13"/>
      <c r="R647" s="15"/>
      <c r="S647" s="15">
        <v>7.8</v>
      </c>
      <c r="T647" s="28"/>
      <c r="U647" s="13"/>
      <c r="V647" s="15"/>
      <c r="W647" s="2">
        <v>7.55</v>
      </c>
      <c r="Y647" s="13"/>
      <c r="Z647" s="2"/>
      <c r="AA647" s="154">
        <f>248.5+7.8</f>
        <v>256.3</v>
      </c>
      <c r="AB647" s="28"/>
      <c r="AC647" s="348"/>
      <c r="AD647" s="15"/>
      <c r="AE647" s="2">
        <v>7.55</v>
      </c>
      <c r="AG647" s="15"/>
      <c r="AH647" s="2"/>
      <c r="AI647" s="45">
        <v>7.8</v>
      </c>
      <c r="AJ647" s="15"/>
      <c r="AK647" s="15"/>
      <c r="AM647" s="45"/>
      <c r="AO647" s="13"/>
      <c r="AQ647" s="45"/>
      <c r="AS647" s="13"/>
      <c r="AU647" s="45"/>
      <c r="AW647" s="13"/>
      <c r="AY647" s="45"/>
      <c r="AZ647" s="28"/>
      <c r="BA647" s="13"/>
      <c r="BB647" s="15"/>
      <c r="BC647" s="45"/>
      <c r="BD647" s="28"/>
      <c r="BE647" s="14"/>
      <c r="BF647" s="41">
        <f t="shared" ref="BF647:BG647" si="1917">K647+O647+S647+W647+AA647+AE647+AI647+AM647+AQ647+AU647+AY647+BC647</f>
        <v>287</v>
      </c>
      <c r="BG647" s="34">
        <f t="shared" si="1917"/>
        <v>0</v>
      </c>
      <c r="BH647" s="35">
        <f t="shared" ref="BH647:BH654" si="1918">H647+BF647-BG647</f>
        <v>294.55</v>
      </c>
      <c r="BK647" s="2" t="b">
        <f>H647='2021'!BH647</f>
        <v>1</v>
      </c>
    </row>
    <row r="648" ht="15.75" customHeight="1" spans="1:63" x14ac:dyDescent="0.25">
      <c r="A648" s="2">
        <v>72</v>
      </c>
      <c r="B648" s="14">
        <v>4.03</v>
      </c>
      <c r="C648" s="2" t="s">
        <v>506</v>
      </c>
      <c r="D648" s="14" t="s">
        <v>44</v>
      </c>
      <c r="E648" s="2" t="s">
        <v>45</v>
      </c>
      <c r="F648" s="41">
        <v>2.5</v>
      </c>
      <c r="G648" s="35">
        <v>2.6</v>
      </c>
      <c r="H648" s="34">
        <f>'2021'!BH648</f>
        <v>9128.7</v>
      </c>
      <c r="I648" s="13">
        <v>6520</v>
      </c>
      <c r="J648" s="15">
        <f>I648-'2021'!BA648</f>
        <v>1042</v>
      </c>
      <c r="K648" s="34">
        <f>J648*$F$8</f>
        <v>2813.4</v>
      </c>
      <c r="L648" s="28"/>
      <c r="M648" s="13">
        <v>7010</v>
      </c>
      <c r="N648" s="15">
        <f t="shared" ref="N648:N649" si="1919">M648-I648</f>
        <v>490</v>
      </c>
      <c r="O648" s="34">
        <f>N648*$F$8</f>
        <v>1323</v>
      </c>
      <c r="Q648" s="13">
        <v>7338</v>
      </c>
      <c r="R648" s="15">
        <f t="shared" ref="R648:R649" si="1920">Q648-M648</f>
        <v>328</v>
      </c>
      <c r="S648" s="34">
        <f>R648*$F$8</f>
        <v>885.6</v>
      </c>
      <c r="T648" s="28"/>
      <c r="U648" s="13">
        <v>7831</v>
      </c>
      <c r="V648" s="15">
        <f t="shared" ref="V648:V649" si="1921">U648-Q648</f>
        <v>493</v>
      </c>
      <c r="W648" s="34">
        <f>V648*$F$8</f>
        <v>1331.1</v>
      </c>
      <c r="Y648" s="13">
        <v>8082</v>
      </c>
      <c r="Z648" s="2">
        <f t="shared" ref="Z648:Z649" si="1922">Y648-U648</f>
        <v>251</v>
      </c>
      <c r="AA648" s="34">
        <f>Z648*$F$8</f>
        <v>677.7</v>
      </c>
      <c r="AB648" s="28"/>
      <c r="AC648" s="348">
        <v>8331</v>
      </c>
      <c r="AD648" s="15">
        <f>AC648-Y648</f>
        <v>249</v>
      </c>
      <c r="AE648" s="180">
        <f>AD648*$F$8</f>
        <v>672.3</v>
      </c>
      <c r="AF648" s="154"/>
      <c r="AG648" s="15">
        <v>8576</v>
      </c>
      <c r="AH648" s="2">
        <f>(AG648-AC648)*AH5</f>
        <v>258.72</v>
      </c>
      <c r="AI648" s="45">
        <f>AH648*$G$8</f>
        <v>636.4512</v>
      </c>
      <c r="AJ648" s="180"/>
      <c r="AK648" s="15">
        <v>8768</v>
      </c>
      <c r="AL648" s="15">
        <f>(AK648-AG648)*AL5</f>
        <v>197.376</v>
      </c>
      <c r="AM648" s="45">
        <f>AL648*$G$8</f>
        <v>485.54496</v>
      </c>
      <c r="AN648" s="1">
        <v>7500</v>
      </c>
      <c r="AO648" s="13">
        <v>9127</v>
      </c>
      <c r="AP648" s="15">
        <f>(AO648-AK648)*AP5</f>
        <v>370.847</v>
      </c>
      <c r="AQ648" s="45">
        <f>AP648*$G$8</f>
        <v>912.28362</v>
      </c>
      <c r="AR648" s="154">
        <v>5000</v>
      </c>
      <c r="AS648" s="13">
        <v>9658</v>
      </c>
      <c r="AT648" s="15">
        <f>(AS648-AO648)*AT5</f>
        <v>557.55</v>
      </c>
      <c r="AU648" s="45">
        <f>AT648*$G$8</f>
        <v>1371.573</v>
      </c>
      <c r="AV648" s="15"/>
      <c r="AW648" s="13"/>
      <c r="AX648" s="15">
        <f>(AW648-AS648)*AX5</f>
        <v>0</v>
      </c>
      <c r="AY648" s="45">
        <f>AX648*$G$8</f>
        <v>0</v>
      </c>
      <c r="AZ648" s="208"/>
      <c r="BA648" s="13"/>
      <c r="BB648" s="15"/>
      <c r="BC648" s="45">
        <f>BB648*$G$8</f>
        <v>0</v>
      </c>
      <c r="BD648" s="208"/>
      <c r="BE648" s="40">
        <f t="shared" ref="BE648:BG648" si="1923">J648+N648+R648+V648+Z648+AD648+AH648+AL648+AP648+AT648+AX648+BB648</f>
        <v>4237.493</v>
      </c>
      <c r="BF648" s="41">
        <f t="shared" si="1923"/>
        <v>11108.95278</v>
      </c>
      <c r="BG648" s="34">
        <f t="shared" si="1923"/>
        <v>12500</v>
      </c>
      <c r="BH648" s="35">
        <f t="shared" si="1918"/>
        <v>7737.65278</v>
      </c>
      <c r="BK648" s="2" t="b">
        <f>H648='2021'!BH648</f>
        <v>1</v>
      </c>
    </row>
    <row r="649" ht="15.75" customHeight="1" spans="1:63" x14ac:dyDescent="0.25">
      <c r="A649" s="2">
        <v>72</v>
      </c>
      <c r="B649" s="14"/>
      <c r="C649" s="2" t="s">
        <v>507</v>
      </c>
      <c r="D649" s="14" t="s">
        <v>47</v>
      </c>
      <c r="E649" s="2" t="s">
        <v>48</v>
      </c>
      <c r="F649" s="13">
        <v>18.56</v>
      </c>
      <c r="G649" s="35">
        <v>19.46</v>
      </c>
      <c r="H649" s="34">
        <f>'2021'!BH649</f>
        <v>-123.24</v>
      </c>
      <c r="I649" s="13">
        <v>45</v>
      </c>
      <c r="J649" s="15"/>
      <c r="K649" s="15"/>
      <c r="L649" s="28"/>
      <c r="M649" s="13">
        <v>45</v>
      </c>
      <c r="N649" s="15">
        <f t="shared" si="1919"/>
        <v>0</v>
      </c>
      <c r="Q649" s="13">
        <v>45</v>
      </c>
      <c r="R649" s="15">
        <f t="shared" si="1920"/>
        <v>0</v>
      </c>
      <c r="S649" s="15"/>
      <c r="T649" s="28"/>
      <c r="U649" s="13">
        <v>45</v>
      </c>
      <c r="V649" s="15">
        <f t="shared" si="1921"/>
        <v>0</v>
      </c>
      <c r="W649" s="34">
        <f>V649*$F$10</f>
        <v>0</v>
      </c>
      <c r="Y649" s="13">
        <v>45</v>
      </c>
      <c r="Z649" s="2">
        <f t="shared" si="1922"/>
        <v>0</v>
      </c>
      <c r="AA649" s="34">
        <f>Z649*$F$10</f>
        <v>0</v>
      </c>
      <c r="AB649" s="28"/>
      <c r="AC649" s="348">
        <v>45</v>
      </c>
      <c r="AD649" s="15">
        <v>9</v>
      </c>
      <c r="AE649" s="34">
        <f>AD649*$F$10</f>
        <v>183.15</v>
      </c>
      <c r="AF649" s="154"/>
      <c r="AG649" s="15">
        <v>45</v>
      </c>
      <c r="AH649" s="2">
        <v>9</v>
      </c>
      <c r="AI649" s="45">
        <f>AH649*$G$10</f>
        <v>192.6</v>
      </c>
      <c r="AJ649" s="15"/>
      <c r="AK649" s="15">
        <v>45</v>
      </c>
      <c r="AL649" s="15">
        <v>9</v>
      </c>
      <c r="AM649" s="45">
        <f>AL649*$G$10</f>
        <v>192.6</v>
      </c>
      <c r="AN649" s="15"/>
      <c r="AO649" s="13">
        <v>45</v>
      </c>
      <c r="AP649" s="15">
        <v>9</v>
      </c>
      <c r="AQ649" s="45">
        <f>AP649*$G$10</f>
        <v>192.6</v>
      </c>
      <c r="AR649" s="15"/>
      <c r="AS649" s="13">
        <v>45</v>
      </c>
      <c r="AT649" s="15">
        <v>9</v>
      </c>
      <c r="AU649" s="45">
        <f>AT649*$G$10</f>
        <v>192.6</v>
      </c>
      <c r="AV649" s="15"/>
      <c r="AW649" s="13"/>
      <c r="AX649" s="15">
        <v>9</v>
      </c>
      <c r="AY649" s="45"/>
      <c r="AZ649" s="208"/>
      <c r="BA649" s="13"/>
      <c r="BB649" s="15"/>
      <c r="BC649" s="45"/>
      <c r="BD649" s="208"/>
      <c r="BE649" s="40">
        <f t="shared" ref="BE649:BG649" si="1924">J649+N649+R649+V649+Z649+AD649+AH649+AL649+AP649+AT649+AX649+BB649</f>
        <v>54</v>
      </c>
      <c r="BF649" s="41">
        <f t="shared" si="1924"/>
        <v>953.55</v>
      </c>
      <c r="BG649" s="34">
        <f t="shared" si="1924"/>
        <v>0</v>
      </c>
      <c r="BH649" s="35">
        <f t="shared" si="1918"/>
        <v>830.31</v>
      </c>
      <c r="BK649" s="2" t="b">
        <f>H649='2021'!BH649</f>
        <v>1</v>
      </c>
    </row>
    <row r="650" ht="15.75" customHeight="1" spans="1:63" x14ac:dyDescent="0.25">
      <c r="A650" s="2">
        <v>72</v>
      </c>
      <c r="B650" s="14"/>
      <c r="C650" s="15" t="s">
        <v>158</v>
      </c>
      <c r="D650" s="14" t="s">
        <v>47</v>
      </c>
      <c r="E650" s="2" t="s">
        <v>49</v>
      </c>
      <c r="F650" s="41">
        <v>500</v>
      </c>
      <c r="G650" s="28"/>
      <c r="H650" s="34">
        <f>'2021'!BH650</f>
        <v>0</v>
      </c>
      <c r="I650" s="13"/>
      <c r="J650" s="15"/>
      <c r="K650" s="15"/>
      <c r="L650" s="28"/>
      <c r="M650" s="13"/>
      <c r="N650" s="15"/>
      <c r="Q650" s="13"/>
      <c r="R650" s="15"/>
      <c r="S650" s="15"/>
      <c r="T650" s="28"/>
      <c r="U650" s="13"/>
      <c r="V650" s="15"/>
      <c r="Y650" s="13"/>
      <c r="Z650" s="2"/>
      <c r="AA650" s="15"/>
      <c r="AB650" s="28"/>
      <c r="AC650" s="348"/>
      <c r="AD650" s="15"/>
      <c r="AF650" s="154"/>
      <c r="AG650" s="15"/>
      <c r="AH650" s="2"/>
      <c r="AI650" s="45"/>
      <c r="AJ650" s="15"/>
      <c r="AK650" s="15"/>
      <c r="AL650" s="15"/>
      <c r="AM650" s="45"/>
      <c r="AN650" s="15"/>
      <c r="AO650" s="13"/>
      <c r="AP650" s="15"/>
      <c r="AQ650" s="45"/>
      <c r="AR650" s="15"/>
      <c r="AS650" s="13"/>
      <c r="AT650" s="15"/>
      <c r="AU650" s="45"/>
      <c r="AV650" s="15"/>
      <c r="AW650" s="13"/>
      <c r="AX650" s="15"/>
      <c r="AY650" s="45"/>
      <c r="AZ650" s="28"/>
      <c r="BA650" s="13"/>
      <c r="BB650" s="15"/>
      <c r="BC650" s="45"/>
      <c r="BD650" s="28"/>
      <c r="BE650" s="14"/>
      <c r="BF650" s="41">
        <f t="shared" ref="BF650:BG650" si="1925">K650+O650+S650+W650+AA650+AE650+AI650+AM650+AQ650+AU650+AY650+BC650</f>
        <v>0</v>
      </c>
      <c r="BG650" s="34">
        <f t="shared" si="1925"/>
        <v>0</v>
      </c>
      <c r="BH650" s="35">
        <f t="shared" si="1918"/>
        <v>0</v>
      </c>
      <c r="BK650" s="2" t="b">
        <f>H650='2021'!BH650</f>
        <v>1</v>
      </c>
    </row>
    <row r="651" ht="15.75" customHeight="1" spans="1:63" x14ac:dyDescent="0.25">
      <c r="A651" s="2">
        <v>72</v>
      </c>
      <c r="B651" s="14"/>
      <c r="C651" s="15" t="s">
        <v>433</v>
      </c>
      <c r="D651" s="14" t="s">
        <v>50</v>
      </c>
      <c r="E651" s="2" t="s">
        <v>49</v>
      </c>
      <c r="F651" s="41">
        <v>1100</v>
      </c>
      <c r="G651" s="28"/>
      <c r="H651" s="34">
        <f>'2021'!BH651</f>
        <v>0</v>
      </c>
      <c r="I651" s="13"/>
      <c r="J651" s="15"/>
      <c r="K651" s="15"/>
      <c r="L651" s="28"/>
      <c r="M651" s="13"/>
      <c r="N651" s="15"/>
      <c r="Q651" s="13"/>
      <c r="R651" s="15"/>
      <c r="S651" s="15"/>
      <c r="T651" s="28"/>
      <c r="U651" s="13"/>
      <c r="V651" s="15"/>
      <c r="Y651" s="13"/>
      <c r="Z651" s="2"/>
      <c r="AA651" s="15"/>
      <c r="AB651" s="28"/>
      <c r="AC651" s="348"/>
      <c r="AD651" s="15"/>
      <c r="AE651" s="34">
        <f>B648*$F$12</f>
        <v>5239</v>
      </c>
      <c r="AF651" s="182"/>
      <c r="AG651" s="15"/>
      <c r="AH651" s="2"/>
      <c r="AI651" s="45"/>
      <c r="AJ651" s="180"/>
      <c r="AK651" s="15"/>
      <c r="AL651" s="15"/>
      <c r="AM651" s="45"/>
      <c r="AN651" s="15"/>
      <c r="AO651" s="13"/>
      <c r="AP651" s="15"/>
      <c r="AQ651" s="45"/>
      <c r="AR651" s="15"/>
      <c r="AS651" s="13"/>
      <c r="AT651" s="15"/>
      <c r="AU651" s="45"/>
      <c r="AV651" s="15"/>
      <c r="AW651" s="13"/>
      <c r="AX651" s="15"/>
      <c r="AY651" s="45"/>
      <c r="AZ651" s="28"/>
      <c r="BA651" s="13"/>
      <c r="BB651" s="15"/>
      <c r="BC651" s="45"/>
      <c r="BD651" s="28"/>
      <c r="BE651" s="14"/>
      <c r="BF651" s="41">
        <f t="shared" ref="BF651:BG651" si="1926">K651+O651+S651+W651+AA651+AE651+AI651+AM651+AQ651+AU651+AY651+BC651</f>
        <v>5239</v>
      </c>
      <c r="BG651" s="34">
        <f t="shared" si="1926"/>
        <v>0</v>
      </c>
      <c r="BH651" s="35">
        <f t="shared" si="1918"/>
        <v>5239</v>
      </c>
      <c r="BK651" s="2" t="b">
        <f>H651='2021'!BH651</f>
        <v>1</v>
      </c>
    </row>
    <row r="652" ht="15.75" customHeight="1" spans="1:63" x14ac:dyDescent="0.25">
      <c r="A652" s="2">
        <v>72</v>
      </c>
      <c r="B652" s="14"/>
      <c r="D652" s="14" t="s">
        <v>51</v>
      </c>
      <c r="E652" s="2" t="s">
        <v>39</v>
      </c>
      <c r="F652" s="41">
        <v>500</v>
      </c>
      <c r="G652" s="28"/>
      <c r="H652" s="34">
        <f>'2021'!BH652</f>
        <v>500</v>
      </c>
      <c r="I652" s="13"/>
      <c r="J652" s="15"/>
      <c r="K652" s="15"/>
      <c r="L652" s="28"/>
      <c r="M652" s="13"/>
      <c r="N652" s="15"/>
      <c r="Q652" s="13"/>
      <c r="R652" s="15"/>
      <c r="S652" s="15"/>
      <c r="T652" s="28"/>
      <c r="U652" s="13"/>
      <c r="V652" s="15"/>
      <c r="Y652" s="13"/>
      <c r="Z652" s="2"/>
      <c r="AA652" s="15"/>
      <c r="AB652" s="28"/>
      <c r="AC652" s="348"/>
      <c r="AD652" s="15"/>
      <c r="AE652" s="34">
        <f>$F$13</f>
        <v>1000</v>
      </c>
      <c r="AG652" s="15"/>
      <c r="AH652" s="2"/>
      <c r="AI652" s="45"/>
      <c r="AJ652" s="15"/>
      <c r="AK652" s="15"/>
      <c r="AL652" s="15"/>
      <c r="AM652" s="45"/>
      <c r="AN652" s="15"/>
      <c r="AO652" s="13"/>
      <c r="AP652" s="15"/>
      <c r="AQ652" s="180"/>
      <c r="AR652" s="15"/>
      <c r="AS652" s="13"/>
      <c r="AT652" s="15"/>
      <c r="AU652" s="45"/>
      <c r="AV652" s="15"/>
      <c r="AW652" s="13"/>
      <c r="AX652" s="15"/>
      <c r="AY652" s="45"/>
      <c r="AZ652" s="28"/>
      <c r="BA652" s="13"/>
      <c r="BB652" s="15"/>
      <c r="BC652" s="45"/>
      <c r="BD652" s="28"/>
      <c r="BE652" s="14"/>
      <c r="BF652" s="41">
        <f t="shared" ref="BF652:BG652" si="1927">K652+O652+S652+W652+AA652+AE652+AI652+AM652+AQ652+AU652+AY652+BC652</f>
        <v>1000</v>
      </c>
      <c r="BG652" s="34">
        <f t="shared" si="1927"/>
        <v>0</v>
      </c>
      <c r="BH652" s="35">
        <f t="shared" si="1918"/>
        <v>1500</v>
      </c>
      <c r="BK652" s="2" t="b">
        <f>H652='2021'!BH652</f>
        <v>1</v>
      </c>
    </row>
    <row r="653" ht="15.75" customHeight="1" spans="1:63" x14ac:dyDescent="0.25">
      <c r="A653" s="2">
        <v>72</v>
      </c>
      <c r="B653" s="14"/>
      <c r="D653" s="14" t="s">
        <v>51</v>
      </c>
      <c r="E653" s="2" t="s">
        <v>49</v>
      </c>
      <c r="F653" s="41">
        <v>500</v>
      </c>
      <c r="G653" s="28"/>
      <c r="H653" s="34">
        <f>'2021'!BH653</f>
        <v>2015</v>
      </c>
      <c r="I653" s="13"/>
      <c r="J653" s="15"/>
      <c r="K653" s="15"/>
      <c r="L653" s="28"/>
      <c r="M653" s="13"/>
      <c r="N653" s="15"/>
      <c r="Q653" s="13"/>
      <c r="R653" s="15"/>
      <c r="S653" s="15"/>
      <c r="T653" s="28"/>
      <c r="U653" s="13"/>
      <c r="V653" s="15"/>
      <c r="Y653" s="13"/>
      <c r="Z653" s="2"/>
      <c r="AA653" s="15"/>
      <c r="AB653" s="28"/>
      <c r="AC653" s="348"/>
      <c r="AD653" s="15"/>
      <c r="AE653" s="34"/>
      <c r="AG653" s="15"/>
      <c r="AH653" s="2"/>
      <c r="AI653" s="45"/>
      <c r="AJ653" s="15"/>
      <c r="AK653" s="15"/>
      <c r="AL653" s="15"/>
      <c r="AM653" s="45"/>
      <c r="AN653" s="15"/>
      <c r="AO653" s="13"/>
      <c r="AP653" s="15"/>
      <c r="AQ653" s="180">
        <f>B648*$F$14</f>
        <v>0</v>
      </c>
      <c r="AR653" s="15"/>
      <c r="AS653" s="13"/>
      <c r="AT653" s="15"/>
      <c r="AU653" s="45"/>
      <c r="AV653" s="15"/>
      <c r="AW653" s="13"/>
      <c r="AX653" s="15"/>
      <c r="AY653" s="45"/>
      <c r="AZ653" s="28"/>
      <c r="BA653" s="13"/>
      <c r="BB653" s="15"/>
      <c r="BC653" s="45"/>
      <c r="BD653" s="28"/>
      <c r="BE653" s="14"/>
      <c r="BF653" s="41">
        <f t="shared" ref="BF653:BG653" si="1928">K653+O653+S653+W653+AA653+AE653+AI653+AM653+AQ653+AU653+AY653+BC653</f>
        <v>0</v>
      </c>
      <c r="BG653" s="34">
        <f t="shared" si="1928"/>
        <v>0</v>
      </c>
      <c r="BH653" s="35">
        <f t="shared" si="1918"/>
        <v>2015</v>
      </c>
      <c r="BK653" s="2" t="b">
        <f>H653='2021'!BH653</f>
        <v>1</v>
      </c>
    </row>
    <row r="654" ht="15.75" customHeight="1" spans="1:63" x14ac:dyDescent="0.25">
      <c r="A654" s="2">
        <v>72</v>
      </c>
      <c r="B654" s="14"/>
      <c r="D654" s="14" t="s">
        <v>52</v>
      </c>
      <c r="E654" s="2" t="s">
        <v>39</v>
      </c>
      <c r="F654" s="41">
        <v>500</v>
      </c>
      <c r="G654" s="28"/>
      <c r="H654" s="34">
        <f>'2021'!BH654</f>
        <v>0</v>
      </c>
      <c r="I654" s="13"/>
      <c r="J654" s="15"/>
      <c r="K654" s="15"/>
      <c r="L654" s="28"/>
      <c r="M654" s="13"/>
      <c r="N654" s="15"/>
      <c r="Q654" s="13"/>
      <c r="R654" s="15"/>
      <c r="S654" s="15"/>
      <c r="T654" s="28"/>
      <c r="U654" s="13"/>
      <c r="V654" s="15"/>
      <c r="Y654" s="13"/>
      <c r="Z654" s="2"/>
      <c r="AA654" s="34">
        <f>$F$15</f>
      </c>
      <c r="AB654" s="28"/>
      <c r="AC654" s="348"/>
      <c r="AD654" s="15"/>
      <c r="AE654" s="15"/>
      <c r="AG654" s="15"/>
      <c r="AH654" s="2"/>
      <c r="AI654" s="45"/>
      <c r="AJ654" s="180"/>
      <c r="AK654" s="15"/>
      <c r="AL654" s="15"/>
      <c r="AM654" s="45"/>
      <c r="AN654" s="15"/>
      <c r="AO654" s="13"/>
      <c r="AP654" s="15"/>
      <c r="AQ654" s="45"/>
      <c r="AR654" s="15"/>
      <c r="AS654" s="13"/>
      <c r="AT654" s="15"/>
      <c r="AU654" s="45"/>
      <c r="AV654" s="15"/>
      <c r="AW654" s="13"/>
      <c r="AX654" s="15"/>
      <c r="AY654" s="45"/>
      <c r="AZ654" s="35"/>
      <c r="BA654" s="13"/>
      <c r="BB654" s="15"/>
      <c r="BC654" s="45"/>
      <c r="BD654" s="35"/>
      <c r="BE654" s="14"/>
      <c r="BF654" s="41">
        <f t="shared" ref="BF654:BG654" si="1929">K654+O654+S654+W654+AA654+AE654+AI654+AM654+AQ654+AU654+AY654+BC654</f>
        <v>0</v>
      </c>
      <c r="BG654" s="34">
        <f t="shared" si="1929"/>
        <v>0</v>
      </c>
      <c r="BH654" s="35">
        <f t="shared" si="1918"/>
        <v>0</v>
      </c>
      <c r="BK654" s="2" t="b">
        <f>H654='2021'!BH654</f>
        <v>1</v>
      </c>
    </row>
    <row r="655" ht="15.75" customHeight="1" spans="1:63" x14ac:dyDescent="0.25">
      <c r="A655" s="247">
        <v>72</v>
      </c>
      <c r="B655" s="21"/>
      <c r="C655" s="22" t="s">
        <v>53</v>
      </c>
      <c r="D655" s="21"/>
      <c r="E655" s="22"/>
      <c r="F655" s="20"/>
      <c r="G655" s="23"/>
      <c r="H655" s="51">
        <f>SUM(H647:H654)</f>
        <v>11528.01</v>
      </c>
      <c r="I655" s="52"/>
      <c r="J655" s="53"/>
      <c r="K655" s="51">
        <f t="shared" ref="K655:L655" si="1930">SUM(K647:K654)</f>
        <v>2813.4</v>
      </c>
      <c r="L655" s="68">
        <f t="shared" si="1930"/>
        <v>0</v>
      </c>
      <c r="M655" s="52"/>
      <c r="N655" s="53"/>
      <c r="O655" s="51">
        <f t="shared" ref="O655:P655" si="1931">SUM(O647:O654)</f>
        <v>1323</v>
      </c>
      <c r="P655" s="51">
        <f t="shared" si="1931"/>
        <v>0</v>
      </c>
      <c r="Q655" s="52"/>
      <c r="R655" s="53"/>
      <c r="S655" s="51">
        <f t="shared" ref="S655:T655" si="1932">SUM(S647:S654)</f>
        <v>893.4</v>
      </c>
      <c r="T655" s="51">
        <f t="shared" si="1932"/>
        <v>0</v>
      </c>
      <c r="U655" s="52"/>
      <c r="V655" s="53"/>
      <c r="W655" s="51">
        <f t="shared" ref="W655:X655" si="1933">SUM(W647:W654)</f>
        <v>1338.65</v>
      </c>
      <c r="X655" s="51">
        <f t="shared" si="1933"/>
        <v>0</v>
      </c>
      <c r="Y655" s="52"/>
      <c r="Z655" s="301"/>
      <c r="AA655" s="51">
        <f t="shared" ref="AA655:AB655" si="1934">SUM(AA647:AA654)</f>
        <v>934</v>
      </c>
      <c r="AB655" s="51">
        <f t="shared" si="1934"/>
        <v>0</v>
      </c>
      <c r="AC655" s="367"/>
      <c r="AD655" s="53"/>
      <c r="AE655" s="51">
        <f t="shared" ref="AE655:AF655" si="1935">SUM(AE647:AE654)</f>
        <v>7102</v>
      </c>
      <c r="AF655" s="51">
        <f t="shared" si="1935"/>
        <v>0</v>
      </c>
      <c r="AG655" s="52"/>
      <c r="AH655" s="301"/>
      <c r="AI655" s="183">
        <f t="shared" ref="AI655:AJ655" si="1936">SUM(AI647:AI654)</f>
        <v>836.8512</v>
      </c>
      <c r="AJ655" s="51">
        <f t="shared" si="1936"/>
        <v>0</v>
      </c>
      <c r="AK655" s="52"/>
      <c r="AL655" s="53"/>
      <c r="AM655" s="183">
        <f t="shared" ref="AM655:AN655" si="1937">SUM(AM647:AM654)</f>
        <v>678.14496</v>
      </c>
      <c r="AN655" s="51">
        <f t="shared" si="1937"/>
        <v>7500</v>
      </c>
      <c r="AO655" s="52"/>
      <c r="AP655" s="53"/>
      <c r="AQ655" s="183">
        <f t="shared" ref="AQ655:AR655" si="1938">SUM(AQ647:AQ654)</f>
        <v>1104.88362</v>
      </c>
      <c r="AR655" s="51">
        <f t="shared" si="1938"/>
        <v>5000</v>
      </c>
      <c r="AS655" s="52"/>
      <c r="AT655" s="53"/>
      <c r="AU655" s="183">
        <f t="shared" ref="AU655:AV655" si="1939">SUM(AU647:AU654)</f>
        <v>1564.173</v>
      </c>
      <c r="AV655" s="68">
        <f t="shared" si="1939"/>
        <v>0</v>
      </c>
      <c r="AW655" s="52"/>
      <c r="AX655" s="53"/>
      <c r="AY655" s="183">
        <f t="shared" ref="AY655:AZ655" si="1940">SUM(AY647:AY654)</f>
        <v>0</v>
      </c>
      <c r="AZ655" s="68">
        <f t="shared" si="1940"/>
        <v>0</v>
      </c>
      <c r="BA655" s="52"/>
      <c r="BB655" s="53"/>
      <c r="BC655" s="183">
        <f t="shared" ref="BC655:BD655" si="1941">SUM(BC647:BC654)</f>
        <v>0</v>
      </c>
      <c r="BD655" s="68">
        <f t="shared" si="1941"/>
        <v>0</v>
      </c>
      <c r="BE655" s="69"/>
      <c r="BF655" s="70">
        <f t="shared" ref="BF655:BH655" si="1942">SUM(BF647:BF654)</f>
        <v>18588.50278</v>
      </c>
      <c r="BG655" s="71">
        <f t="shared" si="1942"/>
        <v>12500</v>
      </c>
      <c r="BH655" s="72">
        <f t="shared" si="1942"/>
        <v>17616.51278</v>
      </c>
      <c r="BI655" s="34">
        <f>H655+BF655-BG655</f>
        <v>17616.51278</v>
      </c>
      <c r="BJ655" s="34">
        <f>BH655-BI655</f>
        <v>0</v>
      </c>
      <c r="BK655" s="2" t="b">
        <f>H655='2021'!BH655</f>
        <v>1</v>
      </c>
    </row>
    <row r="656" ht="15.75" customHeight="1" spans="1:63" x14ac:dyDescent="0.25">
      <c r="A656" s="2">
        <v>73</v>
      </c>
      <c r="B656" s="14"/>
      <c r="D656" s="14" t="s">
        <v>379</v>
      </c>
      <c r="F656" s="13"/>
      <c r="G656" s="28"/>
      <c r="H656" s="34">
        <f>'2021'!BH656</f>
        <v>0</v>
      </c>
      <c r="I656" s="13"/>
      <c r="J656" s="15"/>
      <c r="K656" s="15"/>
      <c r="L656" s="28"/>
      <c r="M656" s="13"/>
      <c r="N656" s="15"/>
      <c r="Q656" s="13"/>
      <c r="R656" s="15"/>
      <c r="S656" s="15"/>
      <c r="T656" s="28"/>
      <c r="U656" s="13"/>
      <c r="V656" s="15"/>
      <c r="Y656" s="13"/>
      <c r="Z656" s="2"/>
      <c r="AA656" s="15"/>
      <c r="AB656" s="28"/>
      <c r="AC656" s="348"/>
      <c r="AD656" s="15"/>
      <c r="AE656" s="15"/>
      <c r="AG656" s="15"/>
      <c r="AH656" s="2"/>
      <c r="AI656" s="45"/>
      <c r="AJ656" s="15"/>
      <c r="AK656" s="15"/>
      <c r="AM656" s="45"/>
      <c r="AN656" s="15"/>
      <c r="AO656" s="13"/>
      <c r="AQ656" s="45"/>
      <c r="AS656" s="13"/>
      <c r="AU656" s="45"/>
      <c r="AW656" s="13"/>
      <c r="AY656" s="45"/>
      <c r="AZ656" s="28"/>
      <c r="BA656" s="13"/>
      <c r="BB656" s="15"/>
      <c r="BC656" s="45"/>
      <c r="BD656" s="28"/>
      <c r="BE656" s="14"/>
      <c r="BF656" s="41">
        <f t="shared" ref="BF656:BG656" si="1943">K656+O656+S656+W656+AA656+AE656+AI656+AM656+AQ656+AU656+AY656+BC656</f>
        <v>0</v>
      </c>
      <c r="BG656" s="34">
        <f t="shared" si="1943"/>
        <v>0</v>
      </c>
      <c r="BH656" s="35">
        <f t="shared" ref="BH656:BH663" si="1944">H656+BF656-BG656</f>
        <v>0</v>
      </c>
      <c r="BK656" s="2" t="b">
        <f>H656='2021'!BH656</f>
        <v>1</v>
      </c>
    </row>
    <row r="657" ht="15.75" customHeight="1" spans="1:63" x14ac:dyDescent="0.25">
      <c r="A657" s="2">
        <v>73</v>
      </c>
      <c r="B657" s="14">
        <v>4.02</v>
      </c>
      <c r="C657" s="2" t="s">
        <v>259</v>
      </c>
      <c r="D657" s="14" t="s">
        <v>44</v>
      </c>
      <c r="E657" s="2" t="s">
        <v>45</v>
      </c>
      <c r="F657" s="41">
        <v>2.5</v>
      </c>
      <c r="G657" s="35">
        <v>2.6</v>
      </c>
      <c r="H657" s="104">
        <f>'2021'!BH657</f>
        <v>0</v>
      </c>
      <c r="I657" s="13"/>
      <c r="J657" s="15">
        <f>I657-'2021'!BA657</f>
        <v>0</v>
      </c>
      <c r="K657" s="34">
        <f>J657*$F$8</f>
        <v>0</v>
      </c>
      <c r="L657" s="28"/>
      <c r="M657" s="13"/>
      <c r="N657" s="15">
        <f t="shared" ref="N657:N658" si="1945">M657-I657</f>
        <v>0</v>
      </c>
      <c r="O657" s="34">
        <f>N657*$F$8</f>
        <v>0</v>
      </c>
      <c r="Q657" s="13"/>
      <c r="R657" s="15">
        <f t="shared" ref="R657:R658" si="1946">Q657-M657</f>
        <v>0</v>
      </c>
      <c r="S657" s="34">
        <f>R657*$F$8</f>
        <v>0</v>
      </c>
      <c r="T657" s="28"/>
      <c r="U657" s="13"/>
      <c r="V657" s="15">
        <f t="shared" ref="V657:V658" si="1947">U657-Q657</f>
        <v>0</v>
      </c>
      <c r="W657" s="34">
        <f>V657*$F$8</f>
        <v>0</v>
      </c>
      <c r="Y657" s="13"/>
      <c r="Z657" s="2">
        <f t="shared" ref="Z657:Z658" si="1948">Y657-U657</f>
        <v>0</v>
      </c>
      <c r="AA657" s="34">
        <f>Z657*$F$8</f>
        <v>0</v>
      </c>
      <c r="AB657" s="28"/>
      <c r="AC657" s="348"/>
      <c r="AD657" s="15">
        <f t="shared" ref="AD657:AD658" si="1949">AC657-Y657</f>
        <v>0</v>
      </c>
      <c r="AE657" s="34">
        <f>AD657*$F$8</f>
        <v>0</v>
      </c>
      <c r="AF657" s="154"/>
      <c r="AG657" s="15"/>
      <c r="AH657" s="2">
        <f>(AG657-AC657)*AH5</f>
        <v>0</v>
      </c>
      <c r="AI657" s="45">
        <f>AH657*$G$8</f>
        <v>0</v>
      </c>
      <c r="AJ657" s="15"/>
      <c r="AK657" s="15"/>
      <c r="AL657" s="15">
        <f>(AK657-AG657)*AL5</f>
        <v>0</v>
      </c>
      <c r="AM657" s="45">
        <f>AL657*$G$8</f>
        <v>0</v>
      </c>
      <c r="AN657" s="15"/>
      <c r="AO657" s="13"/>
      <c r="AP657" s="15">
        <f>(AO657-AK657)*AP5</f>
        <v>0</v>
      </c>
      <c r="AQ657" s="45">
        <f>AP657*$G$8</f>
        <v>0</v>
      </c>
      <c r="AR657" s="15"/>
      <c r="AS657" s="13"/>
      <c r="AT657" s="15">
        <f>(AS657-AO657)*AT5</f>
        <v>0</v>
      </c>
      <c r="AU657" s="45">
        <f>AT657*$G$8</f>
        <v>0</v>
      </c>
      <c r="AV657" s="15"/>
      <c r="AW657" s="13"/>
      <c r="AX657" s="15">
        <f>(AW657-AS657)*AX5</f>
        <v>0</v>
      </c>
      <c r="AY657" s="45">
        <f>AX657*$G$8</f>
        <v>0</v>
      </c>
      <c r="AZ657" s="208"/>
      <c r="BA657" s="13"/>
      <c r="BB657" s="15"/>
      <c r="BC657" s="45">
        <f>BB657*$G$8</f>
        <v>0</v>
      </c>
      <c r="BD657" s="208"/>
      <c r="BE657" s="40">
        <f t="shared" ref="BE657:BG657" si="1950">J657+N657+R657+V657+Z657+AD657+AH657+AL657+AP657+AT657+AX657+BB657</f>
        <v>0</v>
      </c>
      <c r="BF657" s="41">
        <f t="shared" si="1950"/>
        <v>0</v>
      </c>
      <c r="BG657" s="34">
        <f t="shared" si="1950"/>
        <v>0</v>
      </c>
      <c r="BH657" s="35">
        <f t="shared" si="1944"/>
        <v>0</v>
      </c>
      <c r="BK657" s="2" t="b">
        <f>H657='2021'!BH657</f>
        <v>1</v>
      </c>
    </row>
    <row r="658" ht="15.75" customHeight="1" spans="1:63" x14ac:dyDescent="0.25">
      <c r="A658" s="2">
        <v>73</v>
      </c>
      <c r="B658" s="14"/>
      <c r="C658" s="2" t="s">
        <v>260</v>
      </c>
      <c r="D658" s="14" t="s">
        <v>47</v>
      </c>
      <c r="E658" s="2" t="s">
        <v>48</v>
      </c>
      <c r="F658" s="13">
        <v>18.56</v>
      </c>
      <c r="G658" s="35">
        <v>19.46</v>
      </c>
      <c r="H658" s="34">
        <f>'2021'!BH658</f>
        <v>0</v>
      </c>
      <c r="I658" s="13">
        <v>103</v>
      </c>
      <c r="J658" s="15"/>
      <c r="K658" s="15"/>
      <c r="L658" s="28"/>
      <c r="M658" s="13">
        <v>103</v>
      </c>
      <c r="N658" s="15">
        <f t="shared" si="1945"/>
        <v>0</v>
      </c>
      <c r="Q658" s="13">
        <v>103</v>
      </c>
      <c r="R658" s="15">
        <f t="shared" si="1946"/>
        <v>0</v>
      </c>
      <c r="S658" s="15"/>
      <c r="T658" s="28"/>
      <c r="U658" s="13">
        <v>103</v>
      </c>
      <c r="V658" s="15">
        <f t="shared" si="1947"/>
        <v>0</v>
      </c>
      <c r="W658" s="180">
        <f>V658*$F$10</f>
        <v>0</v>
      </c>
      <c r="Y658" s="13">
        <v>103</v>
      </c>
      <c r="Z658" s="2">
        <f t="shared" si="1948"/>
        <v>0</v>
      </c>
      <c r="AA658" s="34">
        <f>Z658*$F$10</f>
        <v>0</v>
      </c>
      <c r="AB658" s="28"/>
      <c r="AC658" s="348">
        <v>103</v>
      </c>
      <c r="AD658" s="15">
        <f t="shared" si="1949"/>
        <v>0</v>
      </c>
      <c r="AE658" s="34">
        <f>AD658*$F$10</f>
        <v>0</v>
      </c>
      <c r="AF658" s="355">
        <v>101.75</v>
      </c>
      <c r="AG658" s="15">
        <v>111</v>
      </c>
      <c r="AH658" s="2">
        <f>AG658-AC658</f>
        <v>8</v>
      </c>
      <c r="AI658" s="45">
        <f>AH658*$G$10</f>
        <v>171.2</v>
      </c>
      <c r="AJ658" s="182">
        <v>69.45</v>
      </c>
      <c r="AK658" s="15">
        <v>114</v>
      </c>
      <c r="AL658" s="15">
        <f>AK658-AG658</f>
        <v>3</v>
      </c>
      <c r="AM658" s="45">
        <f>AL658*$G$10</f>
        <v>64.2</v>
      </c>
      <c r="AN658" s="154">
        <v>64.2</v>
      </c>
      <c r="AO658" s="13">
        <v>116</v>
      </c>
      <c r="AP658" s="15">
        <f>AO658-AK658</f>
        <v>2</v>
      </c>
      <c r="AQ658" s="45">
        <f>AP658*$G$10</f>
        <v>42.8</v>
      </c>
      <c r="AR658" s="154">
        <v>42.8</v>
      </c>
      <c r="AS658" s="13">
        <v>116</v>
      </c>
      <c r="AT658" s="15">
        <f>AS658-AO658</f>
        <v>0</v>
      </c>
      <c r="AU658" s="45">
        <f>AT658*$G$10</f>
        <v>0</v>
      </c>
      <c r="AV658" s="15"/>
      <c r="AW658" s="13"/>
      <c r="AX658" s="15">
        <f>AW658-AS658</f>
        <v>-116</v>
      </c>
      <c r="AY658" s="45"/>
      <c r="AZ658" s="208"/>
      <c r="BA658" s="13"/>
      <c r="BB658" s="15"/>
      <c r="BC658" s="45"/>
      <c r="BD658" s="208"/>
      <c r="BE658" s="40">
        <f t="shared" ref="BE658:BG658" si="1951">J658+N658+R658+V658+Z658+AD658+AH658+AL658+AP658+AT658+AX658+BB658</f>
        <v>-103</v>
      </c>
      <c r="BF658" s="41">
        <f t="shared" si="1951"/>
        <v>278.2</v>
      </c>
      <c r="BG658" s="34">
        <f t="shared" si="1951"/>
        <v>278.2</v>
      </c>
      <c r="BH658" s="35">
        <f t="shared" si="1944"/>
        <v>0</v>
      </c>
      <c r="BK658" s="2" t="b">
        <f>H658='2021'!BH658</f>
        <v>1</v>
      </c>
    </row>
    <row r="659" ht="15.75" customHeight="1" spans="1:63" x14ac:dyDescent="0.25">
      <c r="A659" s="2">
        <v>73</v>
      </c>
      <c r="B659" s="14"/>
      <c r="C659" s="15" t="s">
        <v>84</v>
      </c>
      <c r="D659" s="14" t="s">
        <v>47</v>
      </c>
      <c r="E659" s="2" t="s">
        <v>49</v>
      </c>
      <c r="F659" s="41">
        <v>500</v>
      </c>
      <c r="G659" s="28"/>
      <c r="H659" s="34">
        <f>'2021'!BH659</f>
        <v>0</v>
      </c>
      <c r="I659" s="13"/>
      <c r="J659" s="15"/>
      <c r="K659" s="15"/>
      <c r="L659" s="28"/>
      <c r="M659" s="13"/>
      <c r="N659" s="15"/>
      <c r="Q659" s="13"/>
      <c r="R659" s="15"/>
      <c r="S659" s="15"/>
      <c r="T659" s="28"/>
      <c r="U659" s="13"/>
      <c r="V659" s="15"/>
      <c r="Y659" s="13"/>
      <c r="Z659" s="2"/>
      <c r="AA659" s="15"/>
      <c r="AB659" s="28"/>
      <c r="AC659" s="348"/>
      <c r="AD659" s="15"/>
      <c r="AE659" s="15"/>
      <c r="AF659" s="154"/>
      <c r="AG659" s="15"/>
      <c r="AH659" s="2"/>
      <c r="AI659" s="45"/>
      <c r="AJ659" s="15"/>
      <c r="AK659" s="15"/>
      <c r="AL659" s="15"/>
      <c r="AM659" s="45"/>
      <c r="AN659" s="15"/>
      <c r="AO659" s="13"/>
      <c r="AP659" s="15"/>
      <c r="AQ659" s="45"/>
      <c r="AR659" s="15"/>
      <c r="AS659" s="13"/>
      <c r="AT659" s="15"/>
      <c r="AU659" s="45"/>
      <c r="AV659" s="15"/>
      <c r="AW659" s="13"/>
      <c r="AX659" s="15"/>
      <c r="AY659" s="45"/>
      <c r="AZ659" s="28"/>
      <c r="BA659" s="13"/>
      <c r="BB659" s="15"/>
      <c r="BC659" s="45"/>
      <c r="BD659" s="28"/>
      <c r="BE659" s="14"/>
      <c r="BF659" s="41">
        <f t="shared" ref="BF659:BG659" si="1952">K659+O659+S659+W659+AA659+AE659+AI659+AM659+AQ659+AU659+AY659+BC659</f>
        <v>0</v>
      </c>
      <c r="BG659" s="34">
        <f t="shared" si="1952"/>
        <v>0</v>
      </c>
      <c r="BH659" s="35">
        <f t="shared" si="1944"/>
        <v>0</v>
      </c>
      <c r="BK659" s="2" t="b">
        <f>H659='2021'!BH659</f>
        <v>1</v>
      </c>
    </row>
    <row r="660" ht="15.75" customHeight="1" spans="1:63" x14ac:dyDescent="0.25">
      <c r="A660" s="2">
        <v>73</v>
      </c>
      <c r="B660" s="14"/>
      <c r="C660" s="73" t="s">
        <v>261</v>
      </c>
      <c r="D660" s="14" t="s">
        <v>50</v>
      </c>
      <c r="E660" s="2" t="s">
        <v>49</v>
      </c>
      <c r="F660" s="41">
        <v>1100</v>
      </c>
      <c r="G660" s="28"/>
      <c r="H660" s="34">
        <f>'2021'!BH660</f>
        <v>0</v>
      </c>
      <c r="I660" s="13"/>
      <c r="J660" s="15"/>
      <c r="K660" s="15"/>
      <c r="L660" s="28"/>
      <c r="M660" s="13"/>
      <c r="N660" s="15"/>
      <c r="Q660" s="13"/>
      <c r="R660" s="15"/>
      <c r="S660" s="15"/>
      <c r="T660" s="28"/>
      <c r="U660" s="13"/>
      <c r="V660" s="15"/>
      <c r="Y660" s="13"/>
      <c r="Z660" s="2"/>
      <c r="AA660" s="15"/>
      <c r="AB660" s="28"/>
      <c r="AC660" s="348"/>
      <c r="AD660" s="15"/>
      <c r="AE660" s="34">
        <f>B657*$F$12</f>
        <v>5226</v>
      </c>
      <c r="AF660" s="182"/>
      <c r="AG660" s="15"/>
      <c r="AH660" s="2"/>
      <c r="AI660" s="45"/>
      <c r="AJ660" s="34"/>
      <c r="AK660" s="15"/>
      <c r="AL660" s="15"/>
      <c r="AM660" s="45"/>
      <c r="AN660" s="154">
        <v>5226</v>
      </c>
      <c r="AO660" s="13"/>
      <c r="AP660" s="15"/>
      <c r="AQ660" s="45"/>
      <c r="AR660" s="15"/>
      <c r="AS660" s="13"/>
      <c r="AT660" s="15"/>
      <c r="AU660" s="45"/>
      <c r="AV660" s="15"/>
      <c r="AW660" s="13"/>
      <c r="AX660" s="15"/>
      <c r="AY660" s="45"/>
      <c r="AZ660" s="28"/>
      <c r="BA660" s="13"/>
      <c r="BB660" s="15"/>
      <c r="BC660" s="45"/>
      <c r="BD660" s="28"/>
      <c r="BE660" s="14"/>
      <c r="BF660" s="41">
        <f t="shared" ref="BF660:BG660" si="1953">K660+O660+S660+W660+AA660+AE660+AI660+AM660+AQ660+AU660+AY660+BC660</f>
        <v>5226</v>
      </c>
      <c r="BG660" s="34">
        <f t="shared" si="1953"/>
        <v>5226</v>
      </c>
      <c r="BH660" s="35">
        <f t="shared" si="1944"/>
        <v>0</v>
      </c>
      <c r="BK660" s="2" t="b">
        <f>H660='2021'!BH660</f>
        <v>1</v>
      </c>
    </row>
    <row r="661" ht="15.75" customHeight="1" spans="1:63" x14ac:dyDescent="0.25">
      <c r="A661" s="2">
        <v>73</v>
      </c>
      <c r="B661" s="14"/>
      <c r="D661" s="14" t="s">
        <v>51</v>
      </c>
      <c r="E661" s="2" t="s">
        <v>39</v>
      </c>
      <c r="F661" s="41">
        <v>500</v>
      </c>
      <c r="G661" s="28"/>
      <c r="H661" s="34">
        <f>'2021'!BH661</f>
        <v>0</v>
      </c>
      <c r="I661" s="13"/>
      <c r="J661" s="15"/>
      <c r="K661" s="15"/>
      <c r="L661" s="28"/>
      <c r="M661" s="13"/>
      <c r="N661" s="15"/>
      <c r="Q661" s="13"/>
      <c r="R661" s="15"/>
      <c r="S661" s="15"/>
      <c r="T661" s="28"/>
      <c r="U661" s="13"/>
      <c r="V661" s="15"/>
      <c r="Y661" s="13"/>
      <c r="Z661" s="2"/>
      <c r="AA661" s="15"/>
      <c r="AB661" s="28"/>
      <c r="AC661" s="348"/>
      <c r="AD661" s="15"/>
      <c r="AE661" s="34">
        <f>$F$13</f>
        <v>1000</v>
      </c>
      <c r="AF661" s="154"/>
      <c r="AG661" s="15"/>
      <c r="AH661" s="2"/>
      <c r="AI661" s="45"/>
      <c r="AJ661" s="15"/>
      <c r="AK661" s="15"/>
      <c r="AL661" s="15"/>
      <c r="AM661" s="45"/>
      <c r="AN661" s="154">
        <v>1000</v>
      </c>
      <c r="AO661" s="13"/>
      <c r="AP661" s="15"/>
      <c r="AQ661" s="180"/>
      <c r="AR661" s="15"/>
      <c r="AS661" s="13"/>
      <c r="AT661" s="15"/>
      <c r="AU661" s="45"/>
      <c r="AV661" s="15"/>
      <c r="AW661" s="13"/>
      <c r="AX661" s="15"/>
      <c r="AY661" s="45"/>
      <c r="AZ661" s="28"/>
      <c r="BA661" s="13"/>
      <c r="BB661" s="15"/>
      <c r="BC661" s="45"/>
      <c r="BD661" s="28"/>
      <c r="BE661" s="14"/>
      <c r="BF661" s="41">
        <f t="shared" ref="BF661:BG661" si="1954">K661+O661+S661+W661+AA661+AE661+AI661+AM661+AQ661+AU661+AY661+BC661</f>
        <v>1000</v>
      </c>
      <c r="BG661" s="34">
        <f t="shared" si="1954"/>
        <v>1000</v>
      </c>
      <c r="BH661" s="35">
        <f t="shared" si="1944"/>
        <v>0</v>
      </c>
      <c r="BK661" s="2" t="b">
        <f>H661='2021'!BH661</f>
        <v>1</v>
      </c>
    </row>
    <row r="662" ht="15.75" customHeight="1" spans="1:63" x14ac:dyDescent="0.25">
      <c r="A662" s="2">
        <v>73</v>
      </c>
      <c r="B662" s="14"/>
      <c r="D662" s="14" t="s">
        <v>51</v>
      </c>
      <c r="E662" s="2" t="s">
        <v>49</v>
      </c>
      <c r="F662" s="41">
        <v>500</v>
      </c>
      <c r="G662" s="28"/>
      <c r="H662" s="34">
        <f>'2021'!BH662</f>
        <v>0</v>
      </c>
      <c r="I662" s="13"/>
      <c r="J662" s="15"/>
      <c r="K662" s="15"/>
      <c r="L662" s="28"/>
      <c r="M662" s="13"/>
      <c r="N662" s="15"/>
      <c r="Q662" s="13"/>
      <c r="R662" s="15"/>
      <c r="S662" s="15"/>
      <c r="T662" s="28"/>
      <c r="U662" s="13"/>
      <c r="V662" s="15"/>
      <c r="Y662" s="13"/>
      <c r="Z662" s="2"/>
      <c r="AA662" s="15"/>
      <c r="AB662" s="28"/>
      <c r="AC662" s="348"/>
      <c r="AD662" s="15"/>
      <c r="AE662" s="34"/>
      <c r="AF662" s="154"/>
      <c r="AG662" s="15"/>
      <c r="AH662" s="2"/>
      <c r="AI662" s="45"/>
      <c r="AJ662" s="15"/>
      <c r="AK662" s="15"/>
      <c r="AL662" s="15"/>
      <c r="AM662" s="45"/>
      <c r="AN662" s="15"/>
      <c r="AO662" s="13"/>
      <c r="AP662" s="15"/>
      <c r="AQ662" s="180">
        <f>B657*$F$14</f>
        <v>0</v>
      </c>
      <c r="AR662" s="15"/>
      <c r="AS662" s="13"/>
      <c r="AT662" s="15"/>
      <c r="AU662" s="45"/>
      <c r="AV662" s="15"/>
      <c r="AW662" s="13"/>
      <c r="AX662" s="15"/>
      <c r="AY662" s="45"/>
      <c r="AZ662" s="28"/>
      <c r="BA662" s="13"/>
      <c r="BB662" s="15"/>
      <c r="BC662" s="45"/>
      <c r="BD662" s="28"/>
      <c r="BE662" s="14"/>
      <c r="BF662" s="41">
        <f t="shared" ref="BF662:BG662" si="1955">K662+O662+S662+W662+AA662+AE662+AI662+AM662+AQ662+AU662+AY662+BC662</f>
        <v>0</v>
      </c>
      <c r="BG662" s="34">
        <f t="shared" si="1955"/>
        <v>0</v>
      </c>
      <c r="BH662" s="35">
        <f t="shared" si="1944"/>
        <v>0</v>
      </c>
      <c r="BK662" s="2" t="b">
        <f>H662='2021'!BH662</f>
        <v>1</v>
      </c>
    </row>
    <row r="663" ht="15.75" customHeight="1" spans="1:63" x14ac:dyDescent="0.25">
      <c r="A663" s="2">
        <v>73</v>
      </c>
      <c r="B663" s="14"/>
      <c r="D663" s="14" t="s">
        <v>52</v>
      </c>
      <c r="E663" s="2" t="s">
        <v>39</v>
      </c>
      <c r="F663" s="41">
        <v>500</v>
      </c>
      <c r="G663" s="28"/>
      <c r="H663" s="34">
        <f>'2021'!BH663</f>
        <v>0</v>
      </c>
      <c r="I663" s="13"/>
      <c r="J663" s="15"/>
      <c r="K663" s="15"/>
      <c r="L663" s="28"/>
      <c r="M663" s="13"/>
      <c r="N663" s="15"/>
      <c r="Q663" s="13"/>
      <c r="R663" s="15"/>
      <c r="S663" s="15"/>
      <c r="T663" s="28"/>
      <c r="U663" s="13"/>
      <c r="V663" s="15"/>
      <c r="Y663" s="13"/>
      <c r="Z663" s="2"/>
      <c r="AA663" s="34">
        <f>$F$15</f>
      </c>
      <c r="AB663" s="28"/>
      <c r="AC663" s="348"/>
      <c r="AD663" s="15"/>
      <c r="AF663" s="180"/>
      <c r="AG663" s="15"/>
      <c r="AH663" s="2"/>
      <c r="AI663" s="45"/>
      <c r="AJ663" s="15"/>
      <c r="AK663" s="15"/>
      <c r="AL663" s="15"/>
      <c r="AM663" s="45"/>
      <c r="AN663" s="15"/>
      <c r="AO663" s="13"/>
      <c r="AP663" s="15"/>
      <c r="AQ663" s="45"/>
      <c r="AR663" s="15"/>
      <c r="AS663" s="13"/>
      <c r="AT663" s="15"/>
      <c r="AU663" s="45"/>
      <c r="AV663" s="15"/>
      <c r="AW663" s="13"/>
      <c r="AX663" s="15"/>
      <c r="AY663" s="45"/>
      <c r="AZ663" s="35"/>
      <c r="BA663" s="13"/>
      <c r="BB663" s="15"/>
      <c r="BC663" s="45"/>
      <c r="BD663" s="35"/>
      <c r="BE663" s="14"/>
      <c r="BF663" s="41">
        <f t="shared" ref="BF663:BG663" si="1956">K663+O663+S663+W663+AA663+AE663+AI663+AM663+AQ663+AU663+AY663+BC663</f>
        <v>0</v>
      </c>
      <c r="BG663" s="34">
        <f t="shared" si="1956"/>
        <v>0</v>
      </c>
      <c r="BH663" s="35">
        <f t="shared" si="1944"/>
        <v>0</v>
      </c>
      <c r="BK663" s="2" t="b">
        <f>H663='2021'!BH663</f>
        <v>1</v>
      </c>
    </row>
    <row r="664" ht="15.75" customHeight="1" spans="1:63" x14ac:dyDescent="0.25">
      <c r="A664" s="247">
        <v>73</v>
      </c>
      <c r="B664" s="21"/>
      <c r="C664" s="22" t="s">
        <v>53</v>
      </c>
      <c r="D664" s="21"/>
      <c r="E664" s="22"/>
      <c r="F664" s="20"/>
      <c r="G664" s="23"/>
      <c r="H664" s="51">
        <f>SUM(H656:H663)</f>
        <v>0</v>
      </c>
      <c r="I664" s="52"/>
      <c r="J664" s="53"/>
      <c r="K664" s="51">
        <f t="shared" ref="K664:L664" si="1957">SUM(K656:K663)</f>
        <v>0</v>
      </c>
      <c r="L664" s="68">
        <f t="shared" si="1957"/>
        <v>0</v>
      </c>
      <c r="M664" s="52"/>
      <c r="N664" s="53"/>
      <c r="O664" s="51">
        <f t="shared" ref="O664:P664" si="1958">SUM(O656:O663)</f>
        <v>0</v>
      </c>
      <c r="P664" s="51">
        <f t="shared" si="1958"/>
        <v>0</v>
      </c>
      <c r="Q664" s="52"/>
      <c r="R664" s="53"/>
      <c r="S664" s="51">
        <f t="shared" ref="S664:T664" si="1959">SUM(S656:S663)</f>
        <v>0</v>
      </c>
      <c r="T664" s="51">
        <f t="shared" si="1959"/>
        <v>0</v>
      </c>
      <c r="U664" s="52"/>
      <c r="V664" s="53"/>
      <c r="W664" s="51">
        <f t="shared" ref="W664:X664" si="1960">SUM(W656:W663)</f>
        <v>0</v>
      </c>
      <c r="X664" s="51">
        <f t="shared" si="1960"/>
        <v>0</v>
      </c>
      <c r="Y664" s="52"/>
      <c r="Z664" s="301"/>
      <c r="AA664" s="51">
        <f t="shared" ref="AA664:AB664" si="1961">SUM(AA656:AA663)</f>
        <v>0</v>
      </c>
      <c r="AB664" s="51">
        <f t="shared" si="1961"/>
        <v>0</v>
      </c>
      <c r="AC664" s="367"/>
      <c r="AD664" s="53"/>
      <c r="AE664" s="51">
        <f t="shared" ref="AE664:AF664" si="1962">SUM(AE656:AE663)</f>
        <v>6226</v>
      </c>
      <c r="AF664" s="51">
        <f t="shared" si="1962"/>
        <v>101.75</v>
      </c>
      <c r="AG664" s="52"/>
      <c r="AH664" s="301"/>
      <c r="AI664" s="183">
        <f t="shared" ref="AI664:AJ664" si="1963">SUM(AI656:AI663)</f>
        <v>171.2</v>
      </c>
      <c r="AJ664" s="51">
        <f t="shared" si="1963"/>
        <v>69.45</v>
      </c>
      <c r="AK664" s="52"/>
      <c r="AL664" s="53"/>
      <c r="AM664" s="183">
        <f t="shared" ref="AM664:AN664" si="1964">SUM(AM656:AM663)</f>
        <v>64.2</v>
      </c>
      <c r="AN664" s="51">
        <f t="shared" si="1964"/>
        <v>6290.2</v>
      </c>
      <c r="AO664" s="52"/>
      <c r="AP664" s="53"/>
      <c r="AQ664" s="183">
        <f t="shared" ref="AQ664:AR664" si="1965">SUM(AQ656:AQ663)</f>
        <v>42.8</v>
      </c>
      <c r="AR664" s="51">
        <f t="shared" si="1965"/>
        <v>42.8</v>
      </c>
      <c r="AS664" s="52"/>
      <c r="AT664" s="53"/>
      <c r="AU664" s="183">
        <f t="shared" ref="AU664:AV664" si="1966">SUM(AU656:AU663)</f>
        <v>0</v>
      </c>
      <c r="AV664" s="68">
        <f t="shared" si="1966"/>
        <v>0</v>
      </c>
      <c r="AW664" s="52"/>
      <c r="AX664" s="53"/>
      <c r="AY664" s="183">
        <f t="shared" ref="AY664:AZ664" si="1967">SUM(AY656:AY663)</f>
        <v>0</v>
      </c>
      <c r="AZ664" s="68">
        <f t="shared" si="1967"/>
        <v>0</v>
      </c>
      <c r="BA664" s="52"/>
      <c r="BB664" s="53"/>
      <c r="BC664" s="183">
        <f t="shared" ref="BC664:BD664" si="1968">SUM(BC656:BC663)</f>
        <v>0</v>
      </c>
      <c r="BD664" s="68">
        <f t="shared" si="1968"/>
        <v>0</v>
      </c>
      <c r="BE664" s="69"/>
      <c r="BF664" s="70">
        <f t="shared" ref="BF664:BH664" si="1969">SUM(BF656:BF663)</f>
        <v>6504.2</v>
      </c>
      <c r="BG664" s="71">
        <f t="shared" si="1969"/>
        <v>6504.2</v>
      </c>
      <c r="BH664" s="72">
        <f t="shared" si="1969"/>
        <v>0</v>
      </c>
      <c r="BI664" s="34">
        <f>H664+BF664-BG664</f>
        <v>0</v>
      </c>
      <c r="BJ664" s="34">
        <f>BH664-BI664</f>
        <v>0</v>
      </c>
      <c r="BK664" s="2" t="b">
        <f>H664='2021'!BH664</f>
        <v>1</v>
      </c>
    </row>
    <row r="665" ht="15.75" customHeight="1" spans="1:63" x14ac:dyDescent="0.25">
      <c r="A665" s="2">
        <v>74</v>
      </c>
      <c r="B665" s="14"/>
      <c r="D665" s="14" t="s">
        <v>379</v>
      </c>
      <c r="F665" s="13"/>
      <c r="G665" s="28"/>
      <c r="H665" s="34">
        <f>'2021'!BH665</f>
        <v>0</v>
      </c>
      <c r="I665" s="13"/>
      <c r="J665" s="15"/>
      <c r="K665" s="15"/>
      <c r="L665" s="28"/>
      <c r="M665" s="13"/>
      <c r="N665" s="15"/>
      <c r="Q665" s="13"/>
      <c r="R665" s="15"/>
      <c r="S665" s="15"/>
      <c r="T665" s="28"/>
      <c r="U665" s="13"/>
      <c r="V665" s="15"/>
      <c r="Y665" s="13"/>
      <c r="Z665" s="2"/>
      <c r="AA665" s="15"/>
      <c r="AB665" s="28"/>
      <c r="AC665" s="348"/>
      <c r="AD665" s="15"/>
      <c r="AG665" s="15"/>
      <c r="AH665" s="2"/>
      <c r="AI665" s="45"/>
      <c r="AJ665" s="15"/>
      <c r="AK665" s="15"/>
      <c r="AM665" s="45"/>
      <c r="AO665" s="13"/>
      <c r="AQ665" s="45"/>
      <c r="AS665" s="13"/>
      <c r="AU665" s="45"/>
      <c r="AW665" s="13"/>
      <c r="AY665" s="45"/>
      <c r="AZ665" s="28"/>
      <c r="BA665" s="13"/>
      <c r="BB665" s="15"/>
      <c r="BC665" s="45"/>
      <c r="BD665" s="28"/>
      <c r="BE665" s="14"/>
      <c r="BF665" s="41">
        <f t="shared" ref="BF665:BG665" si="1970">K665+O665+S665+W665+AA665+AE665+AI665+AM665+AQ665+AU665+AY665+BC665</f>
        <v>0</v>
      </c>
      <c r="BG665" s="34">
        <f t="shared" si="1970"/>
        <v>0</v>
      </c>
      <c r="BH665" s="35">
        <f t="shared" ref="BH665:BH672" si="1971">H665+BF665-BG665</f>
        <v>0</v>
      </c>
      <c r="BK665" s="2" t="b">
        <f>H665='2021'!BH665</f>
        <v>1</v>
      </c>
    </row>
    <row r="666" ht="15.75" customHeight="1" spans="1:63" x14ac:dyDescent="0.25">
      <c r="A666" s="2">
        <v>74</v>
      </c>
      <c r="B666" s="14">
        <v>4.97</v>
      </c>
      <c r="C666" s="2" t="s">
        <v>262</v>
      </c>
      <c r="D666" s="14" t="s">
        <v>44</v>
      </c>
      <c r="E666" s="2" t="s">
        <v>45</v>
      </c>
      <c r="F666" s="41">
        <v>2.5</v>
      </c>
      <c r="G666" s="35">
        <v>2.6</v>
      </c>
      <c r="H666" s="104">
        <f>'2021'!BH666</f>
        <v>0</v>
      </c>
      <c r="I666" s="13"/>
      <c r="J666" s="15">
        <f>I666-'2021'!BA666</f>
        <v>0</v>
      </c>
      <c r="K666" s="34">
        <f>J666*$F$8</f>
        <v>0</v>
      </c>
      <c r="L666" s="28"/>
      <c r="M666" s="13"/>
      <c r="N666" s="15">
        <f t="shared" ref="N666:N667" si="1972">M666-I666</f>
        <v>0</v>
      </c>
      <c r="O666" s="34">
        <f>N666*$F$8</f>
        <v>0</v>
      </c>
      <c r="Q666" s="13"/>
      <c r="R666" s="15">
        <f t="shared" ref="R666:R667" si="1973">Q666-M666</f>
        <v>0</v>
      </c>
      <c r="S666" s="34">
        <f>R666*$F$8</f>
        <v>0</v>
      </c>
      <c r="T666" s="28"/>
      <c r="U666" s="13"/>
      <c r="V666" s="15">
        <f t="shared" ref="V666:V667" si="1974">U666-Q666</f>
        <v>0</v>
      </c>
      <c r="W666" s="34">
        <f>V666*$F$8</f>
        <v>0</v>
      </c>
      <c r="Y666" s="13"/>
      <c r="Z666" s="2">
        <f t="shared" ref="Z666:Z667" si="1975">Y666-U666</f>
        <v>0</v>
      </c>
      <c r="AA666" s="34">
        <f>Z666*$F$8</f>
        <v>0</v>
      </c>
      <c r="AB666" s="28"/>
      <c r="AC666" s="348"/>
      <c r="AD666" s="15">
        <f t="shared" ref="AD666:AD667" si="1976">AC666-Y666</f>
        <v>0</v>
      </c>
      <c r="AE666" s="180">
        <f>AD666*$F$8</f>
        <v>0</v>
      </c>
      <c r="AG666" s="15"/>
      <c r="AH666" s="2">
        <f>(AG666-AC666)*AH5</f>
        <v>0</v>
      </c>
      <c r="AI666" s="45">
        <f>AH666*$G$8</f>
        <v>0</v>
      </c>
      <c r="AJ666" s="15"/>
      <c r="AK666" s="15"/>
      <c r="AL666" s="15">
        <f>(AK666-AG666)*AL5</f>
        <v>0</v>
      </c>
      <c r="AM666" s="45">
        <f>AL666*$G$8</f>
        <v>0</v>
      </c>
      <c r="AN666" s="15"/>
      <c r="AO666" s="13"/>
      <c r="AP666" s="15">
        <f>(AO666-AK666)*AP5</f>
        <v>0</v>
      </c>
      <c r="AQ666" s="45">
        <f>AP666*$G$8</f>
        <v>0</v>
      </c>
      <c r="AR666" s="15"/>
      <c r="AS666" s="13"/>
      <c r="AT666" s="15">
        <f>(AS666-AO666)*AT5</f>
        <v>0</v>
      </c>
      <c r="AU666" s="45">
        <f>AT666*$G$8</f>
        <v>0</v>
      </c>
      <c r="AV666" s="15"/>
      <c r="AW666" s="13"/>
      <c r="AX666" s="15">
        <f>(AW666-AS666)*AX5</f>
        <v>0</v>
      </c>
      <c r="AY666" s="45">
        <f>AX666*$G$8</f>
        <v>0</v>
      </c>
      <c r="AZ666" s="208"/>
      <c r="BA666" s="13"/>
      <c r="BB666" s="15"/>
      <c r="BC666" s="45">
        <f>BB666*$G$8</f>
        <v>0</v>
      </c>
      <c r="BD666" s="208"/>
      <c r="BE666" s="40">
        <f t="shared" ref="BE666:BG666" si="1977">J666+N666+R666+V666+Z666+AD666+AH666+AL666+AP666+AT666+AX666+BB666</f>
        <v>0</v>
      </c>
      <c r="BF666" s="41">
        <f t="shared" si="1977"/>
        <v>0</v>
      </c>
      <c r="BG666" s="34">
        <f t="shared" si="1977"/>
        <v>0</v>
      </c>
      <c r="BH666" s="35">
        <f t="shared" si="1971"/>
        <v>0</v>
      </c>
      <c r="BK666" s="2" t="b">
        <f>H666='2021'!BH666</f>
        <v>1</v>
      </c>
    </row>
    <row r="667" ht="15.75" customHeight="1" spans="1:63" x14ac:dyDescent="0.25">
      <c r="A667" s="2">
        <v>74</v>
      </c>
      <c r="B667" s="14"/>
      <c r="C667" s="2" t="s">
        <v>161</v>
      </c>
      <c r="D667" s="14" t="s">
        <v>47</v>
      </c>
      <c r="E667" s="2" t="s">
        <v>48</v>
      </c>
      <c r="F667" s="13">
        <v>18.56</v>
      </c>
      <c r="G667" s="35">
        <v>19.46</v>
      </c>
      <c r="H667" s="34">
        <f>'2021'!BH667</f>
        <v>-173.16</v>
      </c>
      <c r="I667" s="13">
        <v>20</v>
      </c>
      <c r="J667" s="15"/>
      <c r="K667" s="15"/>
      <c r="L667" s="28"/>
      <c r="M667" s="13">
        <v>20</v>
      </c>
      <c r="N667" s="15">
        <f t="shared" si="1972"/>
        <v>0</v>
      </c>
      <c r="Q667" s="13">
        <v>20</v>
      </c>
      <c r="R667" s="15">
        <f t="shared" si="1973"/>
        <v>0</v>
      </c>
      <c r="S667" s="15"/>
      <c r="T667" s="28"/>
      <c r="U667" s="13">
        <v>20</v>
      </c>
      <c r="V667" s="15">
        <f t="shared" si="1974"/>
        <v>0</v>
      </c>
      <c r="W667" s="180">
        <f>V667*$F$10</f>
        <v>0</v>
      </c>
      <c r="Y667" s="13">
        <v>20</v>
      </c>
      <c r="Z667" s="2">
        <f t="shared" si="1975"/>
        <v>0</v>
      </c>
      <c r="AA667" s="34">
        <f>Z667*$F$10</f>
        <v>0</v>
      </c>
      <c r="AB667" s="28"/>
      <c r="AC667" s="348">
        <v>28</v>
      </c>
      <c r="AD667" s="15">
        <f t="shared" si="1976"/>
        <v>8</v>
      </c>
      <c r="AE667" s="34">
        <f>AD667*$F$10</f>
        <v>162.8</v>
      </c>
      <c r="AF667" s="182"/>
      <c r="AG667" s="15">
        <v>33</v>
      </c>
      <c r="AH667" s="2">
        <f>AG667-AC667</f>
        <v>5</v>
      </c>
      <c r="AI667" s="45">
        <f>AH667*$G$10</f>
        <v>107</v>
      </c>
      <c r="AJ667" s="182">
        <v>96.64</v>
      </c>
      <c r="AK667" s="15">
        <v>36</v>
      </c>
      <c r="AL667" s="15">
        <f>AK667-AG667</f>
        <v>3</v>
      </c>
      <c r="AM667" s="45">
        <f>AL667*$G$10</f>
        <v>64.2</v>
      </c>
      <c r="AN667" s="182">
        <v>64.2</v>
      </c>
      <c r="AO667" s="13">
        <v>36</v>
      </c>
      <c r="AP667" s="15">
        <f>AO667-AK667</f>
        <v>0</v>
      </c>
      <c r="AQ667" s="45">
        <f>AP667*$G$10</f>
        <v>0</v>
      </c>
      <c r="AR667" s="15"/>
      <c r="AS667" s="13">
        <v>36</v>
      </c>
      <c r="AT667" s="15">
        <f>AS667-AO667</f>
        <v>0</v>
      </c>
      <c r="AU667" s="45">
        <f>AT667*$G$10</f>
        <v>0</v>
      </c>
      <c r="AV667" s="15"/>
      <c r="AW667" s="13"/>
      <c r="AX667" s="15">
        <f>AW667-AS667</f>
        <v>-36</v>
      </c>
      <c r="AY667" s="45"/>
      <c r="AZ667" s="208"/>
      <c r="BA667" s="13"/>
      <c r="BB667" s="15"/>
      <c r="BC667" s="45"/>
      <c r="BD667" s="208"/>
      <c r="BE667" s="40">
        <f t="shared" ref="BE667:BG667" si="1978">J667+N667+R667+V667+Z667+AD667+AH667+AL667+AP667+AT667+AX667+BB667</f>
        <v>-20</v>
      </c>
      <c r="BF667" s="41">
        <f t="shared" si="1978"/>
        <v>334</v>
      </c>
      <c r="BG667" s="34">
        <f t="shared" si="1978"/>
        <v>160.84</v>
      </c>
      <c r="BH667" s="35">
        <f t="shared" si="1971"/>
        <v>0</v>
      </c>
      <c r="BK667" s="2" t="b">
        <f>H667='2021'!BH667</f>
        <v>1</v>
      </c>
    </row>
    <row r="668" ht="15.75" customHeight="1" spans="1:63" x14ac:dyDescent="0.25">
      <c r="A668" s="2">
        <v>74</v>
      </c>
      <c r="B668" s="14"/>
      <c r="C668" s="2" t="s">
        <v>107</v>
      </c>
      <c r="D668" s="14" t="s">
        <v>47</v>
      </c>
      <c r="E668" s="2" t="s">
        <v>49</v>
      </c>
      <c r="F668" s="41">
        <v>500</v>
      </c>
      <c r="G668" s="28"/>
      <c r="H668" s="34">
        <f>'2021'!BH668</f>
        <v>0</v>
      </c>
      <c r="I668" s="13"/>
      <c r="J668" s="15"/>
      <c r="K668" s="15"/>
      <c r="L668" s="28"/>
      <c r="M668" s="13"/>
      <c r="N668" s="15"/>
      <c r="Q668" s="13"/>
      <c r="R668" s="15"/>
      <c r="S668" s="15"/>
      <c r="T668" s="28"/>
      <c r="U668" s="13"/>
      <c r="V668" s="15"/>
      <c r="Y668" s="13"/>
      <c r="Z668" s="2"/>
      <c r="AA668" s="15"/>
      <c r="AB668" s="28"/>
      <c r="AC668" s="348"/>
      <c r="AD668" s="15"/>
      <c r="AF668" s="154"/>
      <c r="AG668" s="15"/>
      <c r="AH668" s="2"/>
      <c r="AI668" s="45"/>
      <c r="AJ668" s="15"/>
      <c r="AK668" s="15"/>
      <c r="AL668" s="15"/>
      <c r="AM668" s="45"/>
      <c r="AN668" s="15"/>
      <c r="AO668" s="13"/>
      <c r="AP668" s="15"/>
      <c r="AQ668" s="45"/>
      <c r="AR668" s="15"/>
      <c r="AS668" s="13"/>
      <c r="AT668" s="15"/>
      <c r="AU668" s="45"/>
      <c r="AV668" s="15"/>
      <c r="AW668" s="13"/>
      <c r="AX668" s="15"/>
      <c r="AY668" s="45"/>
      <c r="AZ668" s="28"/>
      <c r="BA668" s="13"/>
      <c r="BB668" s="15"/>
      <c r="BC668" s="45"/>
      <c r="BD668" s="28"/>
      <c r="BE668" s="14"/>
      <c r="BF668" s="41">
        <f t="shared" ref="BF668:BG668" si="1979">K668+O668+S668+W668+AA668+AE668+AI668+AM668+AQ668+AU668+AY668+BC668</f>
        <v>0</v>
      </c>
      <c r="BG668" s="34">
        <f t="shared" si="1979"/>
        <v>0</v>
      </c>
      <c r="BH668" s="35">
        <f t="shared" si="1971"/>
        <v>0</v>
      </c>
      <c r="BK668" s="2" t="b">
        <f>H668='2021'!BH668</f>
        <v>1</v>
      </c>
    </row>
    <row r="669" ht="15.75" customHeight="1" spans="1:63" x14ac:dyDescent="0.25">
      <c r="A669" s="2">
        <v>74</v>
      </c>
      <c r="B669" s="14"/>
      <c r="C669" s="2" t="s">
        <v>263</v>
      </c>
      <c r="D669" s="14" t="s">
        <v>50</v>
      </c>
      <c r="E669" s="2" t="s">
        <v>49</v>
      </c>
      <c r="F669" s="41">
        <v>1100</v>
      </c>
      <c r="G669" s="28"/>
      <c r="H669" s="34">
        <f>'2021'!BH669</f>
        <v>0</v>
      </c>
      <c r="I669" s="13"/>
      <c r="J669" s="15"/>
      <c r="K669" s="15"/>
      <c r="L669" s="28"/>
      <c r="M669" s="13"/>
      <c r="N669" s="15"/>
      <c r="Q669" s="13"/>
      <c r="R669" s="15"/>
      <c r="S669" s="15"/>
      <c r="T669" s="28"/>
      <c r="U669" s="13"/>
      <c r="V669" s="15"/>
      <c r="Y669" s="13"/>
      <c r="Z669" s="2"/>
      <c r="AA669" s="15"/>
      <c r="AB669" s="28"/>
      <c r="AC669" s="348"/>
      <c r="AD669" s="15"/>
      <c r="AE669" s="34">
        <f>B666*$F$12</f>
        <v>6461</v>
      </c>
      <c r="AF669" s="355">
        <v>6461</v>
      </c>
      <c r="AG669" s="15"/>
      <c r="AH669" s="2"/>
      <c r="AI669" s="45"/>
      <c r="AJ669" s="39"/>
      <c r="AK669" s="15"/>
      <c r="AL669" s="15"/>
      <c r="AM669" s="45"/>
      <c r="AN669" s="15"/>
      <c r="AO669" s="13"/>
      <c r="AP669" s="15"/>
      <c r="AQ669" s="45"/>
      <c r="AR669" s="15"/>
      <c r="AS669" s="13"/>
      <c r="AT669" s="15"/>
      <c r="AU669" s="45"/>
      <c r="AV669" s="15"/>
      <c r="AW669" s="13"/>
      <c r="AX669" s="15"/>
      <c r="AY669" s="45"/>
      <c r="AZ669" s="28"/>
      <c r="BA669" s="13"/>
      <c r="BB669" s="15"/>
      <c r="BC669" s="45"/>
      <c r="BD669" s="28"/>
      <c r="BE669" s="14"/>
      <c r="BF669" s="41">
        <f t="shared" ref="BF669:BG669" si="1980">K669+O669+S669+W669+AA669+AE669+AI669+AM669+AQ669+AU669+AY669+BC669</f>
        <v>6461</v>
      </c>
      <c r="BG669" s="34">
        <f t="shared" si="1980"/>
        <v>6461</v>
      </c>
      <c r="BH669" s="35">
        <f t="shared" si="1971"/>
        <v>0</v>
      </c>
      <c r="BK669" s="2" t="b">
        <f>H669='2021'!BH669</f>
        <v>1</v>
      </c>
    </row>
    <row r="670" ht="15.75" customHeight="1" spans="1:63" x14ac:dyDescent="0.25">
      <c r="A670" s="2">
        <v>74</v>
      </c>
      <c r="B670" s="14"/>
      <c r="D670" s="14" t="s">
        <v>51</v>
      </c>
      <c r="E670" s="2" t="s">
        <v>39</v>
      </c>
      <c r="F670" s="41">
        <v>500</v>
      </c>
      <c r="G670" s="28"/>
      <c r="H670" s="34">
        <f>'2021'!BH670</f>
        <v>0</v>
      </c>
      <c r="I670" s="13"/>
      <c r="J670" s="15"/>
      <c r="K670" s="15"/>
      <c r="L670" s="28"/>
      <c r="M670" s="13"/>
      <c r="N670" s="15"/>
      <c r="Q670" s="13"/>
      <c r="R670" s="15"/>
      <c r="S670" s="15"/>
      <c r="T670" s="28"/>
      <c r="U670" s="13"/>
      <c r="V670" s="15"/>
      <c r="Y670" s="13"/>
      <c r="Z670" s="2"/>
      <c r="AA670" s="15"/>
      <c r="AB670" s="28"/>
      <c r="AC670" s="348"/>
      <c r="AD670" s="15"/>
      <c r="AE670" s="34">
        <f>$F$13</f>
        <v>1000</v>
      </c>
      <c r="AF670" s="355">
        <v>1000</v>
      </c>
      <c r="AG670" s="15"/>
      <c r="AH670" s="2"/>
      <c r="AI670" s="45"/>
      <c r="AJ670" s="15"/>
      <c r="AK670" s="15"/>
      <c r="AL670" s="15"/>
      <c r="AM670" s="45"/>
      <c r="AN670" s="15"/>
      <c r="AO670" s="13"/>
      <c r="AP670" s="15"/>
      <c r="AQ670" s="180"/>
      <c r="AR670" s="15"/>
      <c r="AS670" s="13"/>
      <c r="AT670" s="15"/>
      <c r="AU670" s="45"/>
      <c r="AV670" s="15"/>
      <c r="AW670" s="13"/>
      <c r="AX670" s="15"/>
      <c r="AY670" s="45"/>
      <c r="AZ670" s="28"/>
      <c r="BA670" s="13"/>
      <c r="BB670" s="15"/>
      <c r="BC670" s="45"/>
      <c r="BD670" s="28"/>
      <c r="BE670" s="14"/>
      <c r="BF670" s="41">
        <f t="shared" ref="BF670:BG670" si="1981">K670+O670+S670+W670+AA670+AE670+AI670+AM670+AQ670+AU670+AY670+BC670</f>
        <v>1000</v>
      </c>
      <c r="BG670" s="34">
        <f t="shared" si="1981"/>
        <v>1000</v>
      </c>
      <c r="BH670" s="35">
        <f t="shared" si="1971"/>
        <v>0</v>
      </c>
      <c r="BK670" s="2" t="b">
        <f>H670='2021'!BH670</f>
        <v>1</v>
      </c>
    </row>
    <row r="671" ht="15.75" customHeight="1" spans="1:63" x14ac:dyDescent="0.25">
      <c r="A671" s="2">
        <v>74</v>
      </c>
      <c r="B671" s="14"/>
      <c r="D671" s="14" t="s">
        <v>51</v>
      </c>
      <c r="E671" s="2" t="s">
        <v>49</v>
      </c>
      <c r="F671" s="41">
        <v>500</v>
      </c>
      <c r="G671" s="28"/>
      <c r="H671" s="34">
        <f>'2021'!BH671</f>
        <v>0</v>
      </c>
      <c r="I671" s="13"/>
      <c r="J671" s="15"/>
      <c r="K671" s="15"/>
      <c r="L671" s="28"/>
      <c r="M671" s="13"/>
      <c r="N671" s="15"/>
      <c r="Q671" s="13"/>
      <c r="R671" s="15"/>
      <c r="S671" s="15"/>
      <c r="T671" s="28"/>
      <c r="U671" s="13"/>
      <c r="V671" s="15"/>
      <c r="Y671" s="13"/>
      <c r="Z671" s="2"/>
      <c r="AA671" s="15"/>
      <c r="AB671" s="28"/>
      <c r="AC671" s="348"/>
      <c r="AD671" s="15"/>
      <c r="AE671" s="34"/>
      <c r="AF671" s="182"/>
      <c r="AG671" s="15"/>
      <c r="AH671" s="2"/>
      <c r="AI671" s="45"/>
      <c r="AJ671" s="15"/>
      <c r="AK671" s="15"/>
      <c r="AL671" s="15"/>
      <c r="AM671" s="45"/>
      <c r="AN671" s="15"/>
      <c r="AO671" s="13"/>
      <c r="AP671" s="15"/>
      <c r="AQ671" s="180">
        <f>B666*$F$14</f>
        <v>0</v>
      </c>
      <c r="AR671" s="15"/>
      <c r="AS671" s="13"/>
      <c r="AT671" s="15"/>
      <c r="AU671" s="45"/>
      <c r="AV671" s="15"/>
      <c r="AW671" s="13"/>
      <c r="AX671" s="15"/>
      <c r="AY671" s="45"/>
      <c r="AZ671" s="28"/>
      <c r="BA671" s="13"/>
      <c r="BB671" s="15"/>
      <c r="BC671" s="45"/>
      <c r="BD671" s="28"/>
      <c r="BE671" s="14"/>
      <c r="BF671" s="41">
        <f t="shared" ref="BF671:BG671" si="1982">K671+O671+S671+W671+AA671+AE671+AI671+AM671+AQ671+AU671+AY671+BC671</f>
        <v>0</v>
      </c>
      <c r="BG671" s="34">
        <f t="shared" si="1982"/>
        <v>0</v>
      </c>
      <c r="BH671" s="35">
        <f t="shared" si="1971"/>
        <v>0</v>
      </c>
      <c r="BK671" s="2" t="b">
        <f>H671='2021'!BH671</f>
        <v>1</v>
      </c>
    </row>
    <row r="672" ht="15.75" customHeight="1" spans="1:63" x14ac:dyDescent="0.25">
      <c r="A672" s="2">
        <v>74</v>
      </c>
      <c r="B672" s="14"/>
      <c r="D672" s="14" t="s">
        <v>52</v>
      </c>
      <c r="E672" s="2" t="s">
        <v>39</v>
      </c>
      <c r="F672" s="41">
        <v>500</v>
      </c>
      <c r="G672" s="28"/>
      <c r="H672" s="34">
        <f>'2021'!BH672</f>
        <v>0</v>
      </c>
      <c r="I672" s="13"/>
      <c r="J672" s="15"/>
      <c r="K672" s="15"/>
      <c r="L672" s="28"/>
      <c r="M672" s="13"/>
      <c r="N672" s="15"/>
      <c r="Q672" s="13"/>
      <c r="R672" s="15"/>
      <c r="S672" s="15"/>
      <c r="T672" s="28"/>
      <c r="U672" s="13"/>
      <c r="V672" s="15"/>
      <c r="Y672" s="13"/>
      <c r="Z672" s="2"/>
      <c r="AA672" s="34">
        <f>$F$15</f>
      </c>
      <c r="AB672" s="28"/>
      <c r="AC672" s="348"/>
      <c r="AD672" s="15"/>
      <c r="AE672" s="15"/>
      <c r="AF672" s="180"/>
      <c r="AG672" s="15"/>
      <c r="AH672" s="2"/>
      <c r="AI672" s="45"/>
      <c r="AJ672" s="39"/>
      <c r="AK672" s="15"/>
      <c r="AL672" s="15"/>
      <c r="AM672" s="45"/>
      <c r="AN672" s="15"/>
      <c r="AO672" s="13"/>
      <c r="AP672" s="15"/>
      <c r="AQ672" s="45"/>
      <c r="AR672" s="15"/>
      <c r="AS672" s="13"/>
      <c r="AT672" s="15"/>
      <c r="AU672" s="45"/>
      <c r="AV672" s="15"/>
      <c r="AW672" s="13"/>
      <c r="AX672" s="15"/>
      <c r="AY672" s="45"/>
      <c r="AZ672" s="35"/>
      <c r="BA672" s="13"/>
      <c r="BB672" s="15"/>
      <c r="BC672" s="45"/>
      <c r="BD672" s="35"/>
      <c r="BE672" s="14"/>
      <c r="BF672" s="41">
        <f t="shared" ref="BF672:BG672" si="1983">K672+O672+S672+W672+AA672+AE672+AI672+AM672+AQ672+AU672+AY672+BC672</f>
        <v>0</v>
      </c>
      <c r="BG672" s="34">
        <f t="shared" si="1983"/>
        <v>0</v>
      </c>
      <c r="BH672" s="35">
        <f t="shared" si="1971"/>
        <v>0</v>
      </c>
      <c r="BK672" s="2" t="b">
        <f>H672='2021'!BH672</f>
        <v>1</v>
      </c>
    </row>
    <row r="673" ht="15.75" customHeight="1" spans="1:63" x14ac:dyDescent="0.25">
      <c r="A673" s="244" t="s">
        <v>264</v>
      </c>
      <c r="B673" s="21"/>
      <c r="C673" s="22" t="s">
        <v>53</v>
      </c>
      <c r="D673" s="21"/>
      <c r="E673" s="22"/>
      <c r="F673" s="20"/>
      <c r="G673" s="23"/>
      <c r="H673" s="51">
        <f>SUM(H665:H672)</f>
        <v>-173.16</v>
      </c>
      <c r="I673" s="52"/>
      <c r="J673" s="53"/>
      <c r="K673" s="51">
        <f t="shared" ref="K673:L673" si="1984">SUM(K665:K672)</f>
        <v>0</v>
      </c>
      <c r="L673" s="68">
        <f t="shared" si="1984"/>
        <v>0</v>
      </c>
      <c r="M673" s="52"/>
      <c r="N673" s="53"/>
      <c r="O673" s="51">
        <f t="shared" ref="O673:P673" si="1985">SUM(O665:O672)</f>
        <v>0</v>
      </c>
      <c r="P673" s="51">
        <f t="shared" si="1985"/>
        <v>0</v>
      </c>
      <c r="Q673" s="52"/>
      <c r="R673" s="53"/>
      <c r="S673" s="51">
        <f t="shared" ref="S673:T673" si="1986">SUM(S665:S672)</f>
        <v>0</v>
      </c>
      <c r="T673" s="51">
        <f t="shared" si="1986"/>
        <v>0</v>
      </c>
      <c r="U673" s="52"/>
      <c r="V673" s="53"/>
      <c r="W673" s="51">
        <f t="shared" ref="W673:X673" si="1987">SUM(W665:W672)</f>
        <v>0</v>
      </c>
      <c r="X673" s="51">
        <f t="shared" si="1987"/>
        <v>0</v>
      </c>
      <c r="Y673" s="52"/>
      <c r="Z673" s="301"/>
      <c r="AA673" s="51">
        <f t="shared" ref="AA673:AB673" si="1988">SUM(AA665:AA672)</f>
        <v>0</v>
      </c>
      <c r="AB673" s="51">
        <f t="shared" si="1988"/>
        <v>0</v>
      </c>
      <c r="AC673" s="367"/>
      <c r="AD673" s="53"/>
      <c r="AE673" s="51">
        <f t="shared" ref="AE673:AF673" si="1989">SUM(AE665:AE672)</f>
        <v>7623.8</v>
      </c>
      <c r="AF673" s="51">
        <f t="shared" si="1989"/>
        <v>7461</v>
      </c>
      <c r="AG673" s="52"/>
      <c r="AH673" s="301"/>
      <c r="AI673" s="183">
        <f t="shared" ref="AI673:AJ673" si="1990">SUM(AI665:AI672)</f>
        <v>107</v>
      </c>
      <c r="AJ673" s="51">
        <f t="shared" si="1990"/>
        <v>96.64</v>
      </c>
      <c r="AK673" s="52"/>
      <c r="AL673" s="53"/>
      <c r="AM673" s="183">
        <f t="shared" ref="AM673:AN673" si="1991">SUM(AM665:AM672)</f>
        <v>64.2</v>
      </c>
      <c r="AN673" s="51">
        <f t="shared" si="1991"/>
        <v>64.2</v>
      </c>
      <c r="AO673" s="52"/>
      <c r="AP673" s="53"/>
      <c r="AQ673" s="183">
        <f t="shared" ref="AQ673:AR673" si="1992">SUM(AQ665:AQ672)</f>
        <v>0</v>
      </c>
      <c r="AR673" s="51">
        <f t="shared" si="1992"/>
        <v>0</v>
      </c>
      <c r="AS673" s="52"/>
      <c r="AT673" s="53"/>
      <c r="AU673" s="183">
        <f t="shared" ref="AU673:AV673" si="1993">SUM(AU665:AU672)</f>
        <v>0</v>
      </c>
      <c r="AV673" s="68">
        <f t="shared" si="1993"/>
        <v>0</v>
      </c>
      <c r="AW673" s="52"/>
      <c r="AX673" s="53"/>
      <c r="AY673" s="183">
        <f t="shared" ref="AY673:AZ673" si="1994">SUM(AY665:AY672)</f>
        <v>0</v>
      </c>
      <c r="AZ673" s="68">
        <f t="shared" si="1994"/>
        <v>0</v>
      </c>
      <c r="BA673" s="52"/>
      <c r="BB673" s="53"/>
      <c r="BC673" s="183">
        <f t="shared" ref="BC673:BD673" si="1995">SUM(BC665:BC672)</f>
        <v>0</v>
      </c>
      <c r="BD673" s="68">
        <f t="shared" si="1995"/>
        <v>0</v>
      </c>
      <c r="BE673" s="69"/>
      <c r="BF673" s="70">
        <f t="shared" ref="BF673:BH673" si="1996">SUM(BF665:BF672)</f>
        <v>7795</v>
      </c>
      <c r="BG673" s="71">
        <f t="shared" si="1996"/>
        <v>7621.84</v>
      </c>
      <c r="BH673" s="72">
        <f t="shared" si="1996"/>
        <v>0</v>
      </c>
      <c r="BI673" s="34">
        <f>H673+BF673-BG673</f>
        <v>0</v>
      </c>
      <c r="BJ673" s="34">
        <f>BH673-BI673</f>
        <v>0</v>
      </c>
      <c r="BK673" s="2" t="b">
        <f>H673='2021'!BH673</f>
        <v>1</v>
      </c>
    </row>
    <row r="674" ht="15.75" customHeight="1" spans="1:63" x14ac:dyDescent="0.25">
      <c r="A674" s="2">
        <v>75</v>
      </c>
      <c r="B674" s="14"/>
      <c r="D674" s="14" t="s">
        <v>379</v>
      </c>
      <c r="F674" s="13"/>
      <c r="G674" s="28"/>
      <c r="H674" s="34">
        <f>'2021'!BH674</f>
        <v>0</v>
      </c>
      <c r="I674" s="13"/>
      <c r="J674" s="15"/>
      <c r="K674" s="15"/>
      <c r="L674" s="28"/>
      <c r="M674" s="13"/>
      <c r="N674" s="15"/>
      <c r="Q674" s="13"/>
      <c r="R674" s="15"/>
      <c r="S674" s="15"/>
      <c r="T674" s="28"/>
      <c r="U674" s="13"/>
      <c r="V674" s="15"/>
      <c r="Y674" s="13"/>
      <c r="Z674" s="2"/>
      <c r="AA674" s="15"/>
      <c r="AB674" s="28"/>
      <c r="AC674" s="348"/>
      <c r="AD674" s="15"/>
      <c r="AE674" s="15"/>
      <c r="AG674" s="15"/>
      <c r="AH674" s="2"/>
      <c r="AI674" s="45"/>
      <c r="AJ674" s="15"/>
      <c r="AK674" s="15"/>
      <c r="AM674" s="45"/>
      <c r="AO674" s="13"/>
      <c r="AQ674" s="45"/>
      <c r="AS674" s="13"/>
      <c r="AU674" s="45"/>
      <c r="AW674" s="13"/>
      <c r="AY674" s="45"/>
      <c r="AZ674" s="28"/>
      <c r="BA674" s="13"/>
      <c r="BB674" s="15"/>
      <c r="BC674" s="45"/>
      <c r="BD674" s="28"/>
      <c r="BE674" s="14"/>
      <c r="BF674" s="41">
        <f t="shared" ref="BF674:BG674" si="1997">K674+O674+S674+W674+AA674+AE674+AI674+AM674+AQ674+AU674+AY674+BC674</f>
        <v>0</v>
      </c>
      <c r="BG674" s="34">
        <f t="shared" si="1997"/>
        <v>0</v>
      </c>
      <c r="BH674" s="35">
        <f t="shared" ref="BH674:BH681" si="1998">H674+BF674-BG674</f>
        <v>0</v>
      </c>
      <c r="BK674" s="2" t="b">
        <f>H674='2021'!BH674</f>
        <v>1</v>
      </c>
    </row>
    <row r="675" ht="15.75" customHeight="1" spans="1:63" x14ac:dyDescent="0.25">
      <c r="A675" s="2">
        <v>75</v>
      </c>
      <c r="B675" s="14">
        <v>4.15</v>
      </c>
      <c r="C675" s="2" t="s">
        <v>265</v>
      </c>
      <c r="D675" s="14" t="s">
        <v>44</v>
      </c>
      <c r="E675" s="2" t="s">
        <v>45</v>
      </c>
      <c r="F675" s="41">
        <v>2.5</v>
      </c>
      <c r="G675" s="35">
        <v>2.6</v>
      </c>
      <c r="H675" s="104">
        <f>'2021'!BH675</f>
        <v>0</v>
      </c>
      <c r="I675" s="13"/>
      <c r="J675" s="15">
        <f>I675-'2021'!BA675</f>
        <v>0</v>
      </c>
      <c r="K675" s="34">
        <f>J675*$F$8</f>
        <v>0</v>
      </c>
      <c r="L675" s="28"/>
      <c r="M675" s="13"/>
      <c r="N675" s="15">
        <f t="shared" ref="N675:N676" si="1999">M675-I675</f>
        <v>0</v>
      </c>
      <c r="O675" s="34">
        <f>N675*$F$8</f>
        <v>0</v>
      </c>
      <c r="Q675" s="13"/>
      <c r="R675" s="15">
        <f t="shared" ref="R675:R676" si="2000">Q675-M675</f>
        <v>0</v>
      </c>
      <c r="S675" s="34">
        <f>R675*$F$8</f>
        <v>0</v>
      </c>
      <c r="T675" s="28"/>
      <c r="U675" s="13"/>
      <c r="V675" s="15">
        <f t="shared" ref="V675:V676" si="2001">U675-Q675</f>
        <v>0</v>
      </c>
      <c r="W675" s="34">
        <f>V675*$F$8</f>
        <v>0</v>
      </c>
      <c r="Y675" s="13"/>
      <c r="Z675" s="2">
        <f t="shared" ref="Z675:Z676" si="2002">Y675-U675</f>
        <v>0</v>
      </c>
      <c r="AA675" s="34">
        <f>Z675*$F$8</f>
        <v>0</v>
      </c>
      <c r="AB675" s="28"/>
      <c r="AC675" s="348"/>
      <c r="AD675" s="15">
        <f t="shared" ref="AD675:AD676" si="2003">AC675-Y675</f>
        <v>0</v>
      </c>
      <c r="AE675" s="34">
        <f>AD675*$F$8</f>
        <v>0</v>
      </c>
      <c r="AG675" s="15"/>
      <c r="AH675" s="2">
        <f>(AG675-AC675)*AH5</f>
        <v>0</v>
      </c>
      <c r="AI675" s="45">
        <f>AH675*$G$8</f>
        <v>0</v>
      </c>
      <c r="AJ675" s="15"/>
      <c r="AK675" s="15"/>
      <c r="AL675" s="15">
        <f>(AK675-AG675)*AL5</f>
        <v>0</v>
      </c>
      <c r="AM675" s="45">
        <f>AL675*$G$8</f>
        <v>0</v>
      </c>
      <c r="AN675" s="15"/>
      <c r="AO675" s="13"/>
      <c r="AP675" s="15">
        <f>(AO675-AK675)*AP5</f>
        <v>0</v>
      </c>
      <c r="AQ675" s="45">
        <f>AP675*$G$8</f>
        <v>0</v>
      </c>
      <c r="AR675" s="15"/>
      <c r="AS675" s="13"/>
      <c r="AT675" s="15">
        <f>(AS675-AO675)*AT5</f>
        <v>0</v>
      </c>
      <c r="AU675" s="45">
        <f>AT675*$G$8</f>
        <v>0</v>
      </c>
      <c r="AV675" s="15"/>
      <c r="AW675" s="13"/>
      <c r="AX675" s="15">
        <f>(AW675-AS675)*AX5</f>
        <v>0</v>
      </c>
      <c r="AY675" s="45">
        <f>AX675*$G$8</f>
        <v>0</v>
      </c>
      <c r="AZ675" s="208"/>
      <c r="BA675" s="13"/>
      <c r="BB675" s="15"/>
      <c r="BC675" s="45">
        <f>BB675*$G$8</f>
        <v>0</v>
      </c>
      <c r="BD675" s="208"/>
      <c r="BE675" s="40">
        <f t="shared" ref="BE675:BG675" si="2004">J675+N675+R675+V675+Z675+AD675+AH675+AL675+AP675+AT675+AX675+BB675</f>
        <v>0</v>
      </c>
      <c r="BF675" s="41">
        <f t="shared" si="2004"/>
        <v>0</v>
      </c>
      <c r="BG675" s="34">
        <f t="shared" si="2004"/>
        <v>0</v>
      </c>
      <c r="BH675" s="35">
        <f t="shared" si="1998"/>
        <v>0</v>
      </c>
      <c r="BK675" s="2" t="b">
        <f>H675='2021'!BH675</f>
        <v>1</v>
      </c>
    </row>
    <row r="676" ht="15.75" customHeight="1" spans="1:63" x14ac:dyDescent="0.25">
      <c r="A676" s="2">
        <v>75</v>
      </c>
      <c r="B676" s="14"/>
      <c r="C676" s="2" t="s">
        <v>533</v>
      </c>
      <c r="D676" s="14" t="s">
        <v>47</v>
      </c>
      <c r="E676" s="2" t="s">
        <v>48</v>
      </c>
      <c r="F676" s="13">
        <v>18.56</v>
      </c>
      <c r="G676" s="35">
        <v>19.46</v>
      </c>
      <c r="H676" s="34">
        <f>'2021'!BH676</f>
        <v>0</v>
      </c>
      <c r="I676" s="13">
        <v>97</v>
      </c>
      <c r="J676" s="15"/>
      <c r="K676" s="15"/>
      <c r="L676" s="28"/>
      <c r="M676" s="13">
        <v>97</v>
      </c>
      <c r="N676" s="15">
        <f t="shared" si="1999"/>
        <v>0</v>
      </c>
      <c r="Q676" s="13">
        <v>97</v>
      </c>
      <c r="R676" s="15">
        <f t="shared" si="2000"/>
        <v>0</v>
      </c>
      <c r="S676" s="15"/>
      <c r="T676" s="28"/>
      <c r="U676" s="13">
        <v>97</v>
      </c>
      <c r="V676" s="15">
        <f t="shared" si="2001"/>
        <v>0</v>
      </c>
      <c r="W676" s="34">
        <f>V676*$F$10</f>
        <v>0</v>
      </c>
      <c r="Y676" s="13">
        <v>100</v>
      </c>
      <c r="Z676" s="331">
        <f t="shared" si="2002"/>
        <v>3</v>
      </c>
      <c r="AA676" s="34">
        <f>Z676*$F$10</f>
        <v>61.05</v>
      </c>
      <c r="AB676" s="28"/>
      <c r="AC676" s="348">
        <v>107</v>
      </c>
      <c r="AD676" s="15">
        <f t="shared" si="2003"/>
        <v>7</v>
      </c>
      <c r="AE676" s="34">
        <f>AD676*$F$10</f>
        <v>142.45</v>
      </c>
      <c r="AF676" s="365">
        <v>300</v>
      </c>
      <c r="AG676" s="15">
        <v>110</v>
      </c>
      <c r="AH676" s="2">
        <f>AG676-AC676</f>
        <v>3</v>
      </c>
      <c r="AI676" s="45">
        <f>AH676*$G$10</f>
        <v>64.2</v>
      </c>
      <c r="AJ676" s="180"/>
      <c r="AK676" s="15">
        <v>110</v>
      </c>
      <c r="AL676" s="15">
        <f>AK676-AG676</f>
        <v>0</v>
      </c>
      <c r="AM676" s="45">
        <f>AL676*$G$10</f>
        <v>0</v>
      </c>
      <c r="AN676" s="15"/>
      <c r="AO676" s="13">
        <v>112</v>
      </c>
      <c r="AP676" s="15">
        <f>AO676-AK676</f>
        <v>2</v>
      </c>
      <c r="AQ676" s="45">
        <f>AP676*$G$10</f>
        <v>42.8</v>
      </c>
      <c r="AR676" s="154">
        <v>10.5</v>
      </c>
      <c r="AS676" s="13">
        <v>112</v>
      </c>
      <c r="AT676" s="15">
        <f>AS676-AO676</f>
        <v>0</v>
      </c>
      <c r="AU676" s="45">
        <f>AT676*$G$10</f>
        <v>0</v>
      </c>
      <c r="AV676" s="15"/>
      <c r="AW676" s="13"/>
      <c r="AX676" s="15">
        <f>AW676-AS676</f>
        <v>-112</v>
      </c>
      <c r="AY676" s="45"/>
      <c r="AZ676" s="208"/>
      <c r="BA676" s="13"/>
      <c r="BB676" s="15"/>
      <c r="BC676" s="45"/>
      <c r="BD676" s="208"/>
      <c r="BE676" s="40">
        <f t="shared" ref="BE676:BG676" si="2005">J676+N676+R676+V676+Z676+AD676+AH676+AL676+AP676+AT676+AX676+BB676</f>
        <v>-97</v>
      </c>
      <c r="BF676" s="41">
        <f t="shared" si="2005"/>
        <v>310.5</v>
      </c>
      <c r="BG676" s="34">
        <f t="shared" si="2005"/>
        <v>310.5</v>
      </c>
      <c r="BH676" s="35">
        <f t="shared" si="1998"/>
        <v>0</v>
      </c>
      <c r="BK676" s="2" t="b">
        <f>H676='2021'!BH676</f>
        <v>1</v>
      </c>
    </row>
    <row r="677" ht="15.75" customHeight="1" spans="1:63" x14ac:dyDescent="0.25">
      <c r="A677" s="2">
        <v>75</v>
      </c>
      <c r="B677" s="14"/>
      <c r="C677" s="2" t="s">
        <v>190</v>
      </c>
      <c r="D677" s="14" t="s">
        <v>47</v>
      </c>
      <c r="E677" s="2" t="s">
        <v>49</v>
      </c>
      <c r="F677" s="41">
        <v>500</v>
      </c>
      <c r="G677" s="28"/>
      <c r="H677" s="34">
        <f>'2021'!BH677</f>
        <v>0</v>
      </c>
      <c r="I677" s="13"/>
      <c r="J677" s="15"/>
      <c r="K677" s="15"/>
      <c r="L677" s="28"/>
      <c r="M677" s="13"/>
      <c r="N677" s="15"/>
      <c r="Q677" s="13"/>
      <c r="R677" s="15"/>
      <c r="S677" s="15"/>
      <c r="T677" s="28"/>
      <c r="U677" s="13"/>
      <c r="V677" s="15"/>
      <c r="Y677" s="13"/>
      <c r="Z677" s="2"/>
      <c r="AA677" s="15"/>
      <c r="AB677" s="28"/>
      <c r="AC677" s="348"/>
      <c r="AD677" s="15"/>
      <c r="AE677" s="15"/>
      <c r="AF677" s="154"/>
      <c r="AG677" s="15"/>
      <c r="AH677" s="2"/>
      <c r="AI677" s="45"/>
      <c r="AJ677" s="15"/>
      <c r="AK677" s="15"/>
      <c r="AL677" s="15"/>
      <c r="AM677" s="45"/>
      <c r="AN677" s="15"/>
      <c r="AO677" s="13"/>
      <c r="AP677" s="15"/>
      <c r="AQ677" s="45"/>
      <c r="AR677" s="15"/>
      <c r="AS677" s="13"/>
      <c r="AT677" s="15"/>
      <c r="AU677" s="45"/>
      <c r="AV677" s="15"/>
      <c r="AW677" s="13"/>
      <c r="AX677" s="15"/>
      <c r="AY677" s="45"/>
      <c r="AZ677" s="28"/>
      <c r="BA677" s="13"/>
      <c r="BB677" s="15"/>
      <c r="BC677" s="45"/>
      <c r="BD677" s="28"/>
      <c r="BE677" s="14"/>
      <c r="BF677" s="41">
        <f t="shared" ref="BF677:BG677" si="2006">K677+O677+S677+W677+AA677+AE677+AI677+AM677+AQ677+AU677+AY677+BC677</f>
        <v>0</v>
      </c>
      <c r="BG677" s="34">
        <f t="shared" si="2006"/>
        <v>0</v>
      </c>
      <c r="BH677" s="35">
        <f t="shared" si="1998"/>
        <v>0</v>
      </c>
      <c r="BK677" s="2" t="b">
        <f>H677='2021'!BH677</f>
        <v>1</v>
      </c>
    </row>
    <row r="678" ht="15.75" customHeight="1" spans="1:63" x14ac:dyDescent="0.25">
      <c r="A678" s="2">
        <v>75</v>
      </c>
      <c r="B678" s="14"/>
      <c r="C678" s="2" t="s">
        <v>534</v>
      </c>
      <c r="D678" s="14" t="s">
        <v>50</v>
      </c>
      <c r="E678" s="2" t="s">
        <v>49</v>
      </c>
      <c r="F678" s="41">
        <v>1100</v>
      </c>
      <c r="G678" s="28"/>
      <c r="H678" s="34">
        <f>'2021'!BH678</f>
        <v>0</v>
      </c>
      <c r="I678" s="13"/>
      <c r="J678" s="15"/>
      <c r="K678" s="15"/>
      <c r="L678" s="28"/>
      <c r="M678" s="13"/>
      <c r="N678" s="15"/>
      <c r="Q678" s="13"/>
      <c r="R678" s="15"/>
      <c r="S678" s="15"/>
      <c r="T678" s="28"/>
      <c r="U678" s="13"/>
      <c r="V678" s="15"/>
      <c r="Y678" s="13"/>
      <c r="Z678" s="2"/>
      <c r="AA678" s="15"/>
      <c r="AB678" s="28"/>
      <c r="AC678" s="348"/>
      <c r="AD678" s="15"/>
      <c r="AE678" s="34">
        <f>B675*$F$12</f>
        <v>5395</v>
      </c>
      <c r="AF678" s="355">
        <v>2700</v>
      </c>
      <c r="AG678" s="15"/>
      <c r="AH678" s="2"/>
      <c r="AI678" s="45"/>
      <c r="AJ678" s="182">
        <v>2695</v>
      </c>
      <c r="AK678" s="15"/>
      <c r="AL678" s="15"/>
      <c r="AM678" s="45"/>
      <c r="AN678" s="15"/>
      <c r="AO678" s="13"/>
      <c r="AP678" s="15"/>
      <c r="AQ678" s="45"/>
      <c r="AR678" s="15"/>
      <c r="AS678" s="13"/>
      <c r="AT678" s="15"/>
      <c r="AU678" s="45"/>
      <c r="AV678" s="15"/>
      <c r="AW678" s="13"/>
      <c r="AX678" s="15"/>
      <c r="AY678" s="45"/>
      <c r="AZ678" s="28"/>
      <c r="BA678" s="13"/>
      <c r="BB678" s="15"/>
      <c r="BC678" s="45"/>
      <c r="BD678" s="28"/>
      <c r="BE678" s="14"/>
      <c r="BF678" s="41">
        <f t="shared" ref="BF678:BG678" si="2007">K678+O678+S678+W678+AA678+AE678+AI678+AM678+AQ678+AU678+AY678+BC678</f>
        <v>5395</v>
      </c>
      <c r="BG678" s="34">
        <f t="shared" si="2007"/>
        <v>5395</v>
      </c>
      <c r="BH678" s="35">
        <f t="shared" si="1998"/>
        <v>0</v>
      </c>
      <c r="BK678" s="2" t="b">
        <f>H678='2021'!BH678</f>
        <v>1</v>
      </c>
    </row>
    <row r="679" ht="15.75" customHeight="1" spans="1:63" x14ac:dyDescent="0.25">
      <c r="A679" s="2">
        <v>75</v>
      </c>
      <c r="B679" s="14"/>
      <c r="D679" s="14" t="s">
        <v>51</v>
      </c>
      <c r="E679" s="2" t="s">
        <v>39</v>
      </c>
      <c r="F679" s="41">
        <v>500</v>
      </c>
      <c r="G679" s="28"/>
      <c r="H679" s="34">
        <f>'2021'!BH679</f>
        <v>0</v>
      </c>
      <c r="I679" s="13"/>
      <c r="J679" s="15"/>
      <c r="K679" s="15"/>
      <c r="L679" s="28"/>
      <c r="M679" s="13"/>
      <c r="N679" s="15"/>
      <c r="Q679" s="13"/>
      <c r="R679" s="15"/>
      <c r="S679" s="15"/>
      <c r="T679" s="28"/>
      <c r="U679" s="13"/>
      <c r="V679" s="15"/>
      <c r="Y679" s="13"/>
      <c r="Z679" s="2"/>
      <c r="AA679" s="15"/>
      <c r="AB679" s="28"/>
      <c r="AC679" s="348"/>
      <c r="AD679" s="15"/>
      <c r="AE679" s="34">
        <f>$F$13</f>
        <v>1000</v>
      </c>
      <c r="AF679" s="355">
        <v>1000</v>
      </c>
      <c r="AG679" s="15"/>
      <c r="AH679" s="2"/>
      <c r="AI679" s="45"/>
      <c r="AJ679" s="15"/>
      <c r="AK679" s="15"/>
      <c r="AL679" s="15"/>
      <c r="AM679" s="45"/>
      <c r="AN679" s="15"/>
      <c r="AO679" s="13"/>
      <c r="AP679" s="15"/>
      <c r="AQ679" s="180"/>
      <c r="AR679" s="15"/>
      <c r="AS679" s="13"/>
      <c r="AT679" s="15"/>
      <c r="AU679" s="45"/>
      <c r="AV679" s="15"/>
      <c r="AW679" s="13"/>
      <c r="AX679" s="15"/>
      <c r="AY679" s="45"/>
      <c r="AZ679" s="28"/>
      <c r="BA679" s="13"/>
      <c r="BB679" s="15"/>
      <c r="BC679" s="45"/>
      <c r="BD679" s="28"/>
      <c r="BE679" s="14"/>
      <c r="BF679" s="41">
        <f t="shared" ref="BF679:BG679" si="2008">K679+O679+S679+W679+AA679+AE679+AI679+AM679+AQ679+AU679+AY679+BC679</f>
        <v>1000</v>
      </c>
      <c r="BG679" s="34">
        <f t="shared" si="2008"/>
        <v>1000</v>
      </c>
      <c r="BH679" s="35">
        <f t="shared" si="1998"/>
        <v>0</v>
      </c>
      <c r="BK679" s="2" t="b">
        <f>H679='2021'!BH679</f>
        <v>1</v>
      </c>
    </row>
    <row r="680" ht="15.75" customHeight="1" spans="1:63" x14ac:dyDescent="0.25">
      <c r="A680" s="2">
        <v>75</v>
      </c>
      <c r="B680" s="14"/>
      <c r="D680" s="14" t="s">
        <v>51</v>
      </c>
      <c r="E680" s="2" t="s">
        <v>49</v>
      </c>
      <c r="F680" s="41">
        <v>500</v>
      </c>
      <c r="G680" s="28"/>
      <c r="H680" s="34">
        <f>'2021'!BH680</f>
        <v>0</v>
      </c>
      <c r="I680" s="13"/>
      <c r="J680" s="15"/>
      <c r="K680" s="15"/>
      <c r="L680" s="28"/>
      <c r="M680" s="13"/>
      <c r="N680" s="15"/>
      <c r="Q680" s="13"/>
      <c r="R680" s="15"/>
      <c r="S680" s="15"/>
      <c r="T680" s="28"/>
      <c r="U680" s="13"/>
      <c r="V680" s="15"/>
      <c r="Y680" s="13"/>
      <c r="Z680" s="2"/>
      <c r="AA680" s="15"/>
      <c r="AB680" s="28"/>
      <c r="AC680" s="348"/>
      <c r="AD680" s="15"/>
      <c r="AE680" s="34"/>
      <c r="AF680" s="182"/>
      <c r="AG680" s="15"/>
      <c r="AH680" s="2"/>
      <c r="AI680" s="45"/>
      <c r="AJ680" s="15"/>
      <c r="AK680" s="15"/>
      <c r="AL680" s="15"/>
      <c r="AM680" s="45"/>
      <c r="AN680" s="15"/>
      <c r="AO680" s="13"/>
      <c r="AP680" s="15"/>
      <c r="AQ680" s="180">
        <f>B675*$F$14</f>
        <v>0</v>
      </c>
      <c r="AR680" s="15"/>
      <c r="AS680" s="13"/>
      <c r="AT680" s="15"/>
      <c r="AU680" s="45"/>
      <c r="AV680" s="15"/>
      <c r="AW680" s="13"/>
      <c r="AX680" s="15"/>
      <c r="AY680" s="45"/>
      <c r="AZ680" s="28"/>
      <c r="BA680" s="13"/>
      <c r="BB680" s="15"/>
      <c r="BC680" s="45"/>
      <c r="BD680" s="28"/>
      <c r="BE680" s="14"/>
      <c r="BF680" s="41">
        <f t="shared" ref="BF680:BG680" si="2009">K680+O680+S680+W680+AA680+AE680+AI680+AM680+AQ680+AU680+AY680+BC680</f>
        <v>0</v>
      </c>
      <c r="BG680" s="34">
        <f t="shared" si="2009"/>
        <v>0</v>
      </c>
      <c r="BH680" s="35">
        <f t="shared" si="1998"/>
        <v>0</v>
      </c>
      <c r="BK680" s="2" t="b">
        <f>H680='2021'!BH680</f>
        <v>1</v>
      </c>
    </row>
    <row r="681" ht="15.75" customHeight="1" spans="1:63" x14ac:dyDescent="0.25">
      <c r="A681" s="2">
        <v>75</v>
      </c>
      <c r="B681" s="14"/>
      <c r="D681" s="14" t="s">
        <v>52</v>
      </c>
      <c r="E681" s="2" t="s">
        <v>39</v>
      </c>
      <c r="F681" s="41">
        <v>500</v>
      </c>
      <c r="G681" s="28"/>
      <c r="H681" s="34">
        <f>'2021'!BH681</f>
        <v>0</v>
      </c>
      <c r="I681" s="13"/>
      <c r="J681" s="15"/>
      <c r="K681" s="15"/>
      <c r="L681" s="28"/>
      <c r="M681" s="13"/>
      <c r="N681" s="15"/>
      <c r="Q681" s="13"/>
      <c r="R681" s="15"/>
      <c r="S681" s="15"/>
      <c r="T681" s="28"/>
      <c r="U681" s="13"/>
      <c r="V681" s="15"/>
      <c r="Y681" s="13"/>
      <c r="Z681" s="2"/>
      <c r="AA681" s="34">
        <f>$F$15</f>
      </c>
      <c r="AB681" s="35"/>
      <c r="AC681" s="348"/>
      <c r="AD681" s="15"/>
      <c r="AG681" s="15"/>
      <c r="AH681" s="2"/>
      <c r="AI681" s="45"/>
      <c r="AJ681" s="180"/>
      <c r="AK681" s="15"/>
      <c r="AL681" s="15"/>
      <c r="AM681" s="45"/>
      <c r="AN681" s="15"/>
      <c r="AO681" s="13"/>
      <c r="AP681" s="15"/>
      <c r="AQ681" s="45"/>
      <c r="AR681" s="15"/>
      <c r="AS681" s="13"/>
      <c r="AT681" s="15"/>
      <c r="AU681" s="45"/>
      <c r="AV681" s="15"/>
      <c r="AW681" s="13"/>
      <c r="AX681" s="15"/>
      <c r="AY681" s="45"/>
      <c r="AZ681" s="35"/>
      <c r="BA681" s="13"/>
      <c r="BB681" s="15"/>
      <c r="BC681" s="45"/>
      <c r="BD681" s="35"/>
      <c r="BE681" s="14"/>
      <c r="BF681" s="41">
        <f t="shared" ref="BF681:BG681" si="2010">K681+O681+S681+W681+AA681+AE681+AI681+AM681+AQ681+AU681+AY681+BC681</f>
        <v>0</v>
      </c>
      <c r="BG681" s="34">
        <f t="shared" si="2010"/>
        <v>0</v>
      </c>
      <c r="BH681" s="35">
        <f t="shared" si="1998"/>
        <v>0</v>
      </c>
      <c r="BK681" s="2" t="b">
        <f>H681='2021'!BH681</f>
        <v>1</v>
      </c>
    </row>
    <row r="682" ht="15.75" customHeight="1" spans="1:63" x14ac:dyDescent="0.25">
      <c r="A682" s="247">
        <v>75</v>
      </c>
      <c r="B682" s="21"/>
      <c r="C682" s="22" t="s">
        <v>53</v>
      </c>
      <c r="D682" s="21"/>
      <c r="E682" s="22"/>
      <c r="F682" s="20"/>
      <c r="G682" s="23"/>
      <c r="H682" s="51">
        <f>SUM(H674:H681)</f>
        <v>0</v>
      </c>
      <c r="I682" s="52"/>
      <c r="J682" s="53"/>
      <c r="K682" s="51">
        <f t="shared" ref="K682:L682" si="2011">SUM(K674:K681)</f>
        <v>0</v>
      </c>
      <c r="L682" s="68">
        <f t="shared" si="2011"/>
        <v>0</v>
      </c>
      <c r="M682" s="52"/>
      <c r="N682" s="53"/>
      <c r="O682" s="51">
        <f t="shared" ref="O682:P682" si="2012">SUM(O674:O681)</f>
        <v>0</v>
      </c>
      <c r="P682" s="51">
        <f t="shared" si="2012"/>
        <v>0</v>
      </c>
      <c r="Q682" s="52"/>
      <c r="R682" s="53"/>
      <c r="S682" s="51">
        <f t="shared" ref="S682:T682" si="2013">SUM(S674:S681)</f>
        <v>0</v>
      </c>
      <c r="T682" s="51">
        <f t="shared" si="2013"/>
        <v>0</v>
      </c>
      <c r="U682" s="52"/>
      <c r="V682" s="53"/>
      <c r="W682" s="51">
        <f t="shared" ref="W682:X682" si="2014">SUM(W674:W681)</f>
        <v>0</v>
      </c>
      <c r="X682" s="51">
        <f t="shared" si="2014"/>
        <v>0</v>
      </c>
      <c r="Y682" s="52"/>
      <c r="Z682" s="301"/>
      <c r="AA682" s="51">
        <f t="shared" ref="AA682:AB682" si="2015">SUM(AA674:AA681)</f>
        <v>61.05</v>
      </c>
      <c r="AB682" s="51">
        <f t="shared" si="2015"/>
        <v>0</v>
      </c>
      <c r="AC682" s="367"/>
      <c r="AD682" s="53"/>
      <c r="AE682" s="51">
        <f t="shared" ref="AE682:AF682" si="2016">SUM(AE674:AE681)</f>
        <v>6537.45</v>
      </c>
      <c r="AF682" s="51">
        <f t="shared" si="2016"/>
        <v>4000</v>
      </c>
      <c r="AG682" s="52"/>
      <c r="AH682" s="301"/>
      <c r="AI682" s="183">
        <f t="shared" ref="AI682:AJ682" si="2017">SUM(AI674:AI681)</f>
        <v>64.2</v>
      </c>
      <c r="AJ682" s="51">
        <f t="shared" si="2017"/>
        <v>2695</v>
      </c>
      <c r="AK682" s="52"/>
      <c r="AL682" s="53"/>
      <c r="AM682" s="183">
        <f t="shared" ref="AM682:AN682" si="2018">SUM(AM674:AM681)</f>
        <v>0</v>
      </c>
      <c r="AN682" s="51">
        <f t="shared" si="2018"/>
        <v>0</v>
      </c>
      <c r="AO682" s="52"/>
      <c r="AP682" s="53"/>
      <c r="AQ682" s="183">
        <f t="shared" ref="AQ682:AR682" si="2019">SUM(AQ674:AQ681)</f>
        <v>42.8</v>
      </c>
      <c r="AR682" s="51">
        <f t="shared" si="2019"/>
        <v>10.5</v>
      </c>
      <c r="AS682" s="52"/>
      <c r="AT682" s="53"/>
      <c r="AU682" s="183">
        <f t="shared" ref="AU682:AV682" si="2020">SUM(AU674:AU681)</f>
        <v>0</v>
      </c>
      <c r="AV682" s="68">
        <f t="shared" si="2020"/>
        <v>0</v>
      </c>
      <c r="AW682" s="52"/>
      <c r="AX682" s="53"/>
      <c r="AY682" s="183">
        <f t="shared" ref="AY682:AZ682" si="2021">SUM(AY674:AY681)</f>
        <v>0</v>
      </c>
      <c r="AZ682" s="68">
        <f t="shared" si="2021"/>
        <v>0</v>
      </c>
      <c r="BA682" s="52"/>
      <c r="BB682" s="53"/>
      <c r="BC682" s="183">
        <f t="shared" ref="BC682:BD682" si="2022">SUM(BC674:BC681)</f>
        <v>0</v>
      </c>
      <c r="BD682" s="68">
        <f t="shared" si="2022"/>
        <v>0</v>
      </c>
      <c r="BE682" s="69"/>
      <c r="BF682" s="70">
        <f t="shared" ref="BF682:BH682" si="2023">SUM(BF674:BF681)</f>
        <v>6705.5</v>
      </c>
      <c r="BG682" s="71">
        <f t="shared" si="2023"/>
        <v>6705.5</v>
      </c>
      <c r="BH682" s="72">
        <f t="shared" si="2023"/>
        <v>0</v>
      </c>
      <c r="BI682" s="34">
        <f>H682+BF682-BG682</f>
        <v>0</v>
      </c>
      <c r="BJ682" s="34">
        <f>BH682-BI682</f>
        <v>0</v>
      </c>
      <c r="BK682" s="2" t="b">
        <f>H682='2021'!BH682</f>
        <v>1</v>
      </c>
    </row>
    <row r="683" ht="15.75" customHeight="1" spans="1:63" x14ac:dyDescent="0.25">
      <c r="A683" s="2">
        <v>76</v>
      </c>
      <c r="B683" s="14"/>
      <c r="D683" s="14" t="s">
        <v>379</v>
      </c>
      <c r="F683" s="13"/>
      <c r="G683" s="28"/>
      <c r="H683" s="34">
        <f>'2021'!BH683</f>
        <v>0</v>
      </c>
      <c r="I683" s="13"/>
      <c r="J683" s="15"/>
      <c r="K683" s="15"/>
      <c r="L683" s="28"/>
      <c r="M683" s="13"/>
      <c r="N683" s="15"/>
      <c r="Q683" s="13"/>
      <c r="R683" s="15"/>
      <c r="S683" s="15"/>
      <c r="T683" s="28"/>
      <c r="U683" s="13"/>
      <c r="V683" s="15"/>
      <c r="Y683" s="13"/>
      <c r="Z683" s="2"/>
      <c r="AA683" s="15"/>
      <c r="AB683" s="28"/>
      <c r="AC683" s="348"/>
      <c r="AD683" s="15"/>
      <c r="AG683" s="15"/>
      <c r="AH683" s="2"/>
      <c r="AI683" s="45"/>
      <c r="AJ683" s="15"/>
      <c r="AK683" s="15"/>
      <c r="AM683" s="45"/>
      <c r="AO683" s="13"/>
      <c r="AQ683" s="45"/>
      <c r="AS683" s="13"/>
      <c r="AU683" s="45"/>
      <c r="AW683" s="13"/>
      <c r="AY683" s="45"/>
      <c r="AZ683" s="28"/>
      <c r="BA683" s="13"/>
      <c r="BB683" s="15"/>
      <c r="BC683" s="45"/>
      <c r="BD683" s="28"/>
      <c r="BE683" s="14"/>
      <c r="BF683" s="41">
        <f t="shared" ref="BF683:BG683" si="2024">K683+O683+S683+W683+AA683+AE683+AI683+AM683+AQ683+AU683+AY683+BC683</f>
        <v>0</v>
      </c>
      <c r="BG683" s="34">
        <f t="shared" si="2024"/>
        <v>0</v>
      </c>
      <c r="BH683" s="35">
        <f t="shared" ref="BH683:BH690" si="2025">H683+BF683-BG683</f>
        <v>0</v>
      </c>
      <c r="BK683" s="2" t="b">
        <f>H683='2021'!BH683</f>
        <v>1</v>
      </c>
    </row>
    <row r="684" ht="15.75" customHeight="1" spans="1:63" x14ac:dyDescent="0.25">
      <c r="A684" s="2">
        <v>76</v>
      </c>
      <c r="B684" s="14">
        <v>4.15</v>
      </c>
      <c r="C684" s="2" t="s">
        <v>267</v>
      </c>
      <c r="D684" s="14" t="s">
        <v>44</v>
      </c>
      <c r="E684" s="2" t="s">
        <v>45</v>
      </c>
      <c r="F684" s="41">
        <v>2.5</v>
      </c>
      <c r="G684" s="35">
        <v>2.6</v>
      </c>
      <c r="H684" s="104">
        <f>'2021'!BH684</f>
        <v>0</v>
      </c>
      <c r="I684" s="13"/>
      <c r="J684" s="15">
        <f>I684-'2021'!BA684</f>
        <v>0</v>
      </c>
      <c r="K684" s="34">
        <f>J684*$F$8</f>
        <v>0</v>
      </c>
      <c r="L684" s="28"/>
      <c r="M684" s="13"/>
      <c r="N684" s="15">
        <f t="shared" ref="N684:N685" si="2026">M684-I684</f>
        <v>0</v>
      </c>
      <c r="O684" s="34">
        <f>N684*$F$8</f>
        <v>0</v>
      </c>
      <c r="Q684" s="13"/>
      <c r="R684" s="15">
        <f t="shared" ref="R684:R685" si="2027">Q684-M684</f>
        <v>0</v>
      </c>
      <c r="S684" s="34">
        <f>R684*$F$8</f>
        <v>0</v>
      </c>
      <c r="T684" s="28"/>
      <c r="U684" s="13"/>
      <c r="V684" s="15">
        <f t="shared" ref="V684:V685" si="2028">U684-Q684</f>
        <v>0</v>
      </c>
      <c r="W684" s="34">
        <f>V684*$F$8</f>
        <v>0</v>
      </c>
      <c r="Y684" s="13"/>
      <c r="Z684" s="2">
        <f t="shared" ref="Z684:Z685" si="2029">Y684-U684</f>
        <v>0</v>
      </c>
      <c r="AA684" s="34">
        <f>Z684*$F$8</f>
        <v>0</v>
      </c>
      <c r="AB684" s="28"/>
      <c r="AC684" s="348"/>
      <c r="AD684" s="15">
        <f t="shared" ref="AD684:AD685" si="2030">AC684-Y684</f>
        <v>0</v>
      </c>
      <c r="AE684" s="180">
        <f>AD684*$F$8</f>
        <v>0</v>
      </c>
      <c r="AG684" s="15"/>
      <c r="AH684" s="2">
        <f>(AG684-AC684)*AH5</f>
        <v>0</v>
      </c>
      <c r="AI684" s="45">
        <f>AH684*$G$8</f>
        <v>0</v>
      </c>
      <c r="AJ684" s="154"/>
      <c r="AK684" s="15"/>
      <c r="AL684" s="15">
        <f>(AK684-AG684)*AL5</f>
        <v>0</v>
      </c>
      <c r="AM684" s="45">
        <f>AL684*$G$8</f>
        <v>0</v>
      </c>
      <c r="AN684" s="15"/>
      <c r="AO684" s="13"/>
      <c r="AP684" s="15">
        <f>(AO684-AK684)*AP5</f>
        <v>0</v>
      </c>
      <c r="AQ684" s="45">
        <f>AP684*$G$8</f>
        <v>0</v>
      </c>
      <c r="AR684" s="15"/>
      <c r="AS684" s="13"/>
      <c r="AT684" s="15">
        <f>(AS684-AO684)*AT5</f>
        <v>0</v>
      </c>
      <c r="AU684" s="45">
        <f>AT684*$G$8</f>
        <v>0</v>
      </c>
      <c r="AV684" s="15"/>
      <c r="AW684" s="13"/>
      <c r="AX684" s="15">
        <f>(AW684-AS684)*AX5</f>
        <v>0</v>
      </c>
      <c r="AY684" s="45">
        <f>AX684*$G$8</f>
        <v>0</v>
      </c>
      <c r="AZ684" s="208"/>
      <c r="BA684" s="13"/>
      <c r="BB684" s="15"/>
      <c r="BC684" s="45">
        <f>BB684*$G$8</f>
        <v>0</v>
      </c>
      <c r="BD684" s="208"/>
      <c r="BE684" s="40">
        <f t="shared" ref="BE684:BG684" si="2031">J684+N684+R684+V684+Z684+AD684+AH684+AL684+AP684+AT684+AX684+BB684</f>
        <v>0</v>
      </c>
      <c r="BF684" s="41">
        <f t="shared" si="2031"/>
        <v>0</v>
      </c>
      <c r="BG684" s="34">
        <f t="shared" si="2031"/>
        <v>0</v>
      </c>
      <c r="BH684" s="35">
        <f t="shared" si="2025"/>
        <v>0</v>
      </c>
      <c r="BK684" s="2" t="b">
        <f>H684='2021'!BH684</f>
        <v>1</v>
      </c>
    </row>
    <row r="685" ht="15.75" customHeight="1" spans="1:63" x14ac:dyDescent="0.25">
      <c r="A685" s="2">
        <v>76</v>
      </c>
      <c r="B685" s="14"/>
      <c r="C685" s="2" t="s">
        <v>198</v>
      </c>
      <c r="D685" s="14" t="s">
        <v>47</v>
      </c>
      <c r="E685" s="2" t="s">
        <v>48</v>
      </c>
      <c r="F685" s="13">
        <v>18.56</v>
      </c>
      <c r="G685" s="35">
        <v>19.46</v>
      </c>
      <c r="H685" s="34">
        <f>'2021'!BH685</f>
        <v>0</v>
      </c>
      <c r="I685" s="13">
        <v>23</v>
      </c>
      <c r="J685" s="15"/>
      <c r="K685" s="15"/>
      <c r="L685" s="28"/>
      <c r="M685" s="13">
        <v>23</v>
      </c>
      <c r="N685" s="15">
        <f t="shared" si="2026"/>
        <v>0</v>
      </c>
      <c r="Q685" s="13">
        <v>23</v>
      </c>
      <c r="R685" s="15">
        <f t="shared" si="2027"/>
        <v>0</v>
      </c>
      <c r="S685" s="15"/>
      <c r="T685" s="28"/>
      <c r="U685" s="13">
        <v>23</v>
      </c>
      <c r="V685" s="15">
        <f t="shared" si="2028"/>
        <v>0</v>
      </c>
      <c r="W685" s="34">
        <f>V685*$F$10</f>
        <v>0</v>
      </c>
      <c r="Y685" s="13">
        <v>23</v>
      </c>
      <c r="Z685" s="2">
        <f t="shared" si="2029"/>
        <v>0</v>
      </c>
      <c r="AA685" s="34">
        <f>Z685*$F$10</f>
        <v>0</v>
      </c>
      <c r="AB685" s="28"/>
      <c r="AC685" s="377">
        <v>23</v>
      </c>
      <c r="AD685" s="15">
        <f t="shared" si="2030"/>
        <v>0</v>
      </c>
      <c r="AE685" s="34">
        <f>AD685*$F$10</f>
        <v>0</v>
      </c>
      <c r="AF685" s="34"/>
      <c r="AG685" s="184">
        <v>28</v>
      </c>
      <c r="AH685" s="2">
        <f>AG685-AC685</f>
        <v>5</v>
      </c>
      <c r="AI685" s="45">
        <f>AH685*$G$10</f>
        <v>107</v>
      </c>
      <c r="AJ685" s="182">
        <v>107</v>
      </c>
      <c r="AK685" s="186">
        <v>29</v>
      </c>
      <c r="AL685" s="15">
        <f>AK685-AG685</f>
        <v>1</v>
      </c>
      <c r="AM685" s="45">
        <f>AL685*$G$10</f>
        <v>21.4</v>
      </c>
      <c r="AN685" s="154">
        <v>21.4</v>
      </c>
      <c r="AO685" s="13">
        <v>29</v>
      </c>
      <c r="AP685" s="15">
        <f>AO685-AK685</f>
        <v>0</v>
      </c>
      <c r="AQ685" s="45">
        <f>AP685*$G$10</f>
        <v>0</v>
      </c>
      <c r="AR685" s="15"/>
      <c r="AS685" s="13">
        <v>29</v>
      </c>
      <c r="AT685" s="15">
        <f>AS685-AO685</f>
        <v>0</v>
      </c>
      <c r="AU685" s="45">
        <f>AT685*$G$10</f>
        <v>0</v>
      </c>
      <c r="AV685" s="15"/>
      <c r="AW685" s="13"/>
      <c r="AX685" s="15">
        <f>AW685-AS685</f>
        <v>-29</v>
      </c>
      <c r="AY685" s="45"/>
      <c r="AZ685" s="208"/>
      <c r="BA685" s="13"/>
      <c r="BB685" s="15"/>
      <c r="BC685" s="45"/>
      <c r="BD685" s="208"/>
      <c r="BE685" s="40">
        <f t="shared" ref="BE685:BG685" si="2032">J685+N685+R685+V685+Z685+AD685+AH685+AL685+AP685+AT685+AX685+BB685</f>
        <v>-23</v>
      </c>
      <c r="BF685" s="41">
        <f t="shared" si="2032"/>
        <v>128.4</v>
      </c>
      <c r="BG685" s="34">
        <f t="shared" si="2032"/>
        <v>128.4</v>
      </c>
      <c r="BH685" s="35">
        <f t="shared" si="2025"/>
        <v>0</v>
      </c>
      <c r="BK685" s="2" t="b">
        <f>H685='2021'!BH685</f>
        <v>1</v>
      </c>
    </row>
    <row r="686" ht="15.75" customHeight="1" spans="1:63" x14ac:dyDescent="0.25">
      <c r="A686" s="2">
        <v>76</v>
      </c>
      <c r="B686" s="14"/>
      <c r="C686" s="2" t="s">
        <v>178</v>
      </c>
      <c r="D686" s="14" t="s">
        <v>47</v>
      </c>
      <c r="E686" s="2" t="s">
        <v>49</v>
      </c>
      <c r="F686" s="41">
        <v>500</v>
      </c>
      <c r="G686" s="28"/>
      <c r="H686" s="34">
        <f>'2021'!BH686</f>
        <v>0</v>
      </c>
      <c r="I686" s="13"/>
      <c r="J686" s="15"/>
      <c r="K686" s="15"/>
      <c r="L686" s="28"/>
      <c r="M686" s="13"/>
      <c r="N686" s="15"/>
      <c r="Q686" s="13"/>
      <c r="R686" s="15"/>
      <c r="S686" s="15"/>
      <c r="T686" s="28"/>
      <c r="U686" s="13"/>
      <c r="V686" s="15"/>
      <c r="Y686" s="13"/>
      <c r="Z686" s="2"/>
      <c r="AA686" s="15"/>
      <c r="AB686" s="28"/>
      <c r="AC686" s="348"/>
      <c r="AD686" s="15"/>
      <c r="AG686" s="15"/>
      <c r="AH686" s="2"/>
      <c r="AI686" s="45"/>
      <c r="AJ686" s="154"/>
      <c r="AK686" s="15"/>
      <c r="AL686" s="15"/>
      <c r="AM686" s="45"/>
      <c r="AN686" s="15"/>
      <c r="AO686" s="13"/>
      <c r="AP686" s="15"/>
      <c r="AQ686" s="45"/>
      <c r="AR686" s="15"/>
      <c r="AS686" s="13"/>
      <c r="AT686" s="15"/>
      <c r="AU686" s="45"/>
      <c r="AV686" s="15"/>
      <c r="AW686" s="13"/>
      <c r="AX686" s="15"/>
      <c r="AY686" s="45"/>
      <c r="AZ686" s="28"/>
      <c r="BA686" s="13"/>
      <c r="BB686" s="15"/>
      <c r="BC686" s="45"/>
      <c r="BD686" s="28"/>
      <c r="BE686" s="14"/>
      <c r="BF686" s="41">
        <f t="shared" ref="BF686:BG686" si="2033">K686+O686+S686+W686+AA686+AE686+AI686+AM686+AQ686+AU686+AY686+BC686</f>
        <v>0</v>
      </c>
      <c r="BG686" s="34">
        <f t="shared" si="2033"/>
        <v>0</v>
      </c>
      <c r="BH686" s="35">
        <f t="shared" si="2025"/>
        <v>0</v>
      </c>
      <c r="BK686" s="2" t="b">
        <f>H686='2021'!BH686</f>
        <v>1</v>
      </c>
    </row>
    <row r="687" ht="15.75" customHeight="1" spans="1:63" x14ac:dyDescent="0.25">
      <c r="A687" s="2">
        <v>76</v>
      </c>
      <c r="B687" s="14"/>
      <c r="C687" s="2" t="s">
        <v>434</v>
      </c>
      <c r="D687" s="14" t="s">
        <v>50</v>
      </c>
      <c r="E687" s="2" t="s">
        <v>49</v>
      </c>
      <c r="F687" s="41">
        <v>1100</v>
      </c>
      <c r="G687" s="28"/>
      <c r="H687" s="34">
        <f>'2021'!BH687</f>
        <v>0</v>
      </c>
      <c r="I687" s="13"/>
      <c r="J687" s="15"/>
      <c r="K687" s="15"/>
      <c r="L687" s="28"/>
      <c r="M687" s="13"/>
      <c r="N687" s="15"/>
      <c r="Q687" s="13"/>
      <c r="R687" s="15"/>
      <c r="S687" s="15"/>
      <c r="T687" s="28"/>
      <c r="U687" s="13"/>
      <c r="V687" s="15"/>
      <c r="Y687" s="13"/>
      <c r="Z687" s="2"/>
      <c r="AA687" s="15"/>
      <c r="AB687" s="28"/>
      <c r="AC687" s="348"/>
      <c r="AD687" s="15"/>
      <c r="AE687" s="34">
        <f>B684*$F$12</f>
        <v>5395</v>
      </c>
      <c r="AF687" s="34"/>
      <c r="AG687" s="15"/>
      <c r="AH687" s="2"/>
      <c r="AI687" s="45"/>
      <c r="AJ687" s="182">
        <v>2000</v>
      </c>
      <c r="AK687" s="15"/>
      <c r="AL687" s="15"/>
      <c r="AM687" s="45"/>
      <c r="AN687" s="154">
        <v>3395</v>
      </c>
      <c r="AO687" s="13"/>
      <c r="AP687" s="15"/>
      <c r="AQ687" s="45"/>
      <c r="AR687" s="15"/>
      <c r="AS687" s="13"/>
      <c r="AT687" s="15"/>
      <c r="AU687" s="45"/>
      <c r="AV687" s="15"/>
      <c r="AW687" s="13"/>
      <c r="AX687" s="15"/>
      <c r="AY687" s="45"/>
      <c r="AZ687" s="28"/>
      <c r="BA687" s="13"/>
      <c r="BB687" s="15"/>
      <c r="BC687" s="45"/>
      <c r="BD687" s="28"/>
      <c r="BE687" s="14"/>
      <c r="BF687" s="41">
        <f t="shared" ref="BF687:BG687" si="2034">K687+O687+S687+W687+AA687+AE687+AI687+AM687+AQ687+AU687+AY687+BC687</f>
        <v>5395</v>
      </c>
      <c r="BG687" s="34">
        <f t="shared" si="2034"/>
        <v>5395</v>
      </c>
      <c r="BH687" s="35">
        <f t="shared" si="2025"/>
        <v>0</v>
      </c>
      <c r="BK687" s="2" t="b">
        <f>H687='2021'!BH687</f>
        <v>1</v>
      </c>
    </row>
    <row r="688" ht="15.75" customHeight="1" spans="1:63" x14ac:dyDescent="0.25">
      <c r="A688" s="2">
        <v>76</v>
      </c>
      <c r="B688" s="14"/>
      <c r="D688" s="14" t="s">
        <v>51</v>
      </c>
      <c r="E688" s="2" t="s">
        <v>39</v>
      </c>
      <c r="F688" s="41">
        <v>500</v>
      </c>
      <c r="G688" s="28"/>
      <c r="H688" s="34">
        <f>'2021'!BH688</f>
        <v>0</v>
      </c>
      <c r="I688" s="13"/>
      <c r="J688" s="15"/>
      <c r="K688" s="15"/>
      <c r="L688" s="28"/>
      <c r="M688" s="13"/>
      <c r="N688" s="15"/>
      <c r="Q688" s="13"/>
      <c r="R688" s="15"/>
      <c r="S688" s="15"/>
      <c r="T688" s="28"/>
      <c r="U688" s="13"/>
      <c r="V688" s="15"/>
      <c r="Y688" s="13"/>
      <c r="Z688" s="2"/>
      <c r="AA688" s="15"/>
      <c r="AB688" s="28"/>
      <c r="AC688" s="348"/>
      <c r="AD688" s="15"/>
      <c r="AE688" s="180">
        <f>$F$13</f>
        <v>1000</v>
      </c>
      <c r="AF688" s="34"/>
      <c r="AG688" s="15"/>
      <c r="AH688" s="2"/>
      <c r="AI688" s="45"/>
      <c r="AJ688" s="154">
        <v>1000</v>
      </c>
      <c r="AK688" s="15"/>
      <c r="AL688" s="15"/>
      <c r="AM688" s="45"/>
      <c r="AN688" s="1"/>
      <c r="AO688" s="13"/>
      <c r="AP688" s="15"/>
      <c r="AQ688" s="180"/>
      <c r="AR688" s="15"/>
      <c r="AS688" s="13"/>
      <c r="AT688" s="15"/>
      <c r="AU688" s="45"/>
      <c r="AV688" s="15"/>
      <c r="AW688" s="13"/>
      <c r="AX688" s="15"/>
      <c r="AY688" s="45"/>
      <c r="AZ688" s="28"/>
      <c r="BA688" s="13"/>
      <c r="BB688" s="15"/>
      <c r="BC688" s="45"/>
      <c r="BD688" s="28"/>
      <c r="BE688" s="14"/>
      <c r="BF688" s="41">
        <f t="shared" ref="BF688:BG688" si="2035">K688+O688+S688+W688+AA688+AE688+AI688+AM688+AQ688+AU688+AY688+BC688</f>
        <v>1000</v>
      </c>
      <c r="BG688" s="34">
        <f t="shared" si="2035"/>
        <v>1000</v>
      </c>
      <c r="BH688" s="35">
        <f t="shared" si="2025"/>
        <v>0</v>
      </c>
      <c r="BK688" s="2" t="b">
        <f>H688='2021'!BH688</f>
        <v>1</v>
      </c>
    </row>
    <row r="689" ht="15.75" customHeight="1" spans="1:63" x14ac:dyDescent="0.25">
      <c r="A689" s="2">
        <v>76</v>
      </c>
      <c r="B689" s="14"/>
      <c r="D689" s="14" t="s">
        <v>51</v>
      </c>
      <c r="E689" s="2" t="s">
        <v>49</v>
      </c>
      <c r="F689" s="41">
        <v>500</v>
      </c>
      <c r="G689" s="28"/>
      <c r="H689" s="34">
        <f>'2021'!BH689</f>
        <v>0</v>
      </c>
      <c r="I689" s="13"/>
      <c r="J689" s="15"/>
      <c r="K689" s="15"/>
      <c r="L689" s="28"/>
      <c r="M689" s="13"/>
      <c r="N689" s="15"/>
      <c r="Q689" s="13"/>
      <c r="R689" s="15"/>
      <c r="S689" s="15"/>
      <c r="T689" s="28"/>
      <c r="U689" s="13"/>
      <c r="V689" s="15"/>
      <c r="Y689" s="13"/>
      <c r="Z689" s="2"/>
      <c r="AA689" s="15"/>
      <c r="AB689" s="28"/>
      <c r="AC689" s="348"/>
      <c r="AD689" s="15"/>
      <c r="AE689" s="34"/>
      <c r="AF689" s="34"/>
      <c r="AG689" s="15"/>
      <c r="AH689" s="2"/>
      <c r="AI689" s="45"/>
      <c r="AJ689" s="154"/>
      <c r="AK689" s="15"/>
      <c r="AL689" s="15"/>
      <c r="AM689" s="45"/>
      <c r="AN689" s="1"/>
      <c r="AO689" s="13"/>
      <c r="AP689" s="15"/>
      <c r="AQ689" s="180">
        <f>B684*$F$14</f>
        <v>0</v>
      </c>
      <c r="AR689" s="15"/>
      <c r="AS689" s="13"/>
      <c r="AT689" s="15"/>
      <c r="AU689" s="45"/>
      <c r="AV689" s="15"/>
      <c r="AW689" s="13"/>
      <c r="AX689" s="15"/>
      <c r="AY689" s="45"/>
      <c r="AZ689" s="28"/>
      <c r="BA689" s="13"/>
      <c r="BB689" s="15"/>
      <c r="BC689" s="45"/>
      <c r="BD689" s="28"/>
      <c r="BE689" s="14"/>
      <c r="BF689" s="41">
        <f t="shared" ref="BF689:BG689" si="2036">K689+O689+S689+W689+AA689+AE689+AI689+AM689+AQ689+AU689+AY689+BC689</f>
        <v>0</v>
      </c>
      <c r="BG689" s="34">
        <f t="shared" si="2036"/>
        <v>0</v>
      </c>
      <c r="BH689" s="35">
        <f t="shared" si="2025"/>
        <v>0</v>
      </c>
      <c r="BK689" s="2" t="b">
        <f>H689='2021'!BH689</f>
        <v>1</v>
      </c>
    </row>
    <row r="690" ht="15.75" customHeight="1" spans="1:63" x14ac:dyDescent="0.25">
      <c r="A690" s="2">
        <v>76</v>
      </c>
      <c r="B690" s="14"/>
      <c r="D690" s="14" t="s">
        <v>52</v>
      </c>
      <c r="E690" s="2" t="s">
        <v>39</v>
      </c>
      <c r="F690" s="41">
        <v>500</v>
      </c>
      <c r="G690" s="28"/>
      <c r="H690" s="34">
        <f>'2021'!BH690</f>
        <v>0</v>
      </c>
      <c r="I690" s="13"/>
      <c r="J690" s="15"/>
      <c r="K690" s="15"/>
      <c r="L690" s="28"/>
      <c r="M690" s="13"/>
      <c r="N690" s="15"/>
      <c r="Q690" s="13"/>
      <c r="R690" s="15"/>
      <c r="S690" s="15"/>
      <c r="T690" s="28"/>
      <c r="U690" s="13"/>
      <c r="V690" s="15"/>
      <c r="Y690" s="13"/>
      <c r="Z690" s="2"/>
      <c r="AA690" s="34">
        <f>$F$15</f>
      </c>
      <c r="AB690" s="28"/>
      <c r="AC690" s="348"/>
      <c r="AD690" s="15"/>
      <c r="AF690" s="34"/>
      <c r="AG690" s="15"/>
      <c r="AH690" s="2"/>
      <c r="AI690" s="45"/>
      <c r="AJ690" s="180"/>
      <c r="AK690" s="15"/>
      <c r="AL690" s="15"/>
      <c r="AM690" s="45"/>
      <c r="AN690" s="15"/>
      <c r="AO690" s="13"/>
      <c r="AP690" s="15"/>
      <c r="AQ690" s="45"/>
      <c r="AR690" s="15"/>
      <c r="AS690" s="13"/>
      <c r="AT690" s="15"/>
      <c r="AU690" s="45"/>
      <c r="AV690" s="15"/>
      <c r="AW690" s="13"/>
      <c r="AX690" s="15"/>
      <c r="AY690" s="45"/>
      <c r="AZ690" s="35"/>
      <c r="BA690" s="13"/>
      <c r="BB690" s="15"/>
      <c r="BC690" s="45"/>
      <c r="BD690" s="35"/>
      <c r="BE690" s="14"/>
      <c r="BF690" s="41">
        <f t="shared" ref="BF690:BG690" si="2037">K690+O690+S690+W690+AA690+AE690+AI690+AM690+AQ690+AU690+AY690+BC690</f>
        <v>0</v>
      </c>
      <c r="BG690" s="34">
        <f t="shared" si="2037"/>
        <v>0</v>
      </c>
      <c r="BH690" s="35">
        <f t="shared" si="2025"/>
        <v>0</v>
      </c>
      <c r="BK690" s="2" t="b">
        <f>H690='2021'!BH690</f>
        <v>1</v>
      </c>
    </row>
    <row r="691" ht="15.75" customHeight="1" spans="1:63" x14ac:dyDescent="0.25">
      <c r="A691" s="247">
        <v>76</v>
      </c>
      <c r="B691" s="21"/>
      <c r="C691" s="22" t="s">
        <v>53</v>
      </c>
      <c r="D691" s="21"/>
      <c r="E691" s="22"/>
      <c r="F691" s="20"/>
      <c r="G691" s="23"/>
      <c r="H691" s="51">
        <f>SUM(H683:H690)</f>
        <v>0</v>
      </c>
      <c r="I691" s="52"/>
      <c r="J691" s="53"/>
      <c r="K691" s="51">
        <f t="shared" ref="K691:L691" si="2038">SUM(K683:K690)</f>
        <v>0</v>
      </c>
      <c r="L691" s="68">
        <f t="shared" si="2038"/>
        <v>0</v>
      </c>
      <c r="M691" s="52"/>
      <c r="N691" s="53"/>
      <c r="O691" s="51">
        <f t="shared" ref="O691:P691" si="2039">SUM(O683:O690)</f>
        <v>0</v>
      </c>
      <c r="P691" s="51">
        <f t="shared" si="2039"/>
        <v>0</v>
      </c>
      <c r="Q691" s="52"/>
      <c r="R691" s="53"/>
      <c r="S691" s="51">
        <f t="shared" ref="S691:T691" si="2040">SUM(S683:S690)</f>
        <v>0</v>
      </c>
      <c r="T691" s="51">
        <f t="shared" si="2040"/>
        <v>0</v>
      </c>
      <c r="U691" s="52"/>
      <c r="V691" s="53"/>
      <c r="W691" s="51">
        <f t="shared" ref="W691:X691" si="2041">SUM(W683:W690)</f>
        <v>0</v>
      </c>
      <c r="X691" s="51">
        <f t="shared" si="2041"/>
        <v>0</v>
      </c>
      <c r="Y691" s="52"/>
      <c r="Z691" s="301"/>
      <c r="AA691" s="51">
        <f t="shared" ref="AA691:AB691" si="2042">SUM(AA683:AA690)</f>
        <v>0</v>
      </c>
      <c r="AB691" s="51">
        <f t="shared" si="2042"/>
        <v>0</v>
      </c>
      <c r="AC691" s="367"/>
      <c r="AD691" s="53"/>
      <c r="AE691" s="51">
        <f t="shared" ref="AE691:AF691" si="2043">SUM(AE683:AE690)</f>
        <v>6395</v>
      </c>
      <c r="AF691" s="51">
        <f t="shared" si="2043"/>
        <v>0</v>
      </c>
      <c r="AG691" s="52"/>
      <c r="AH691" s="301"/>
      <c r="AI691" s="183">
        <f t="shared" ref="AI691:AJ691" si="2044">SUM(AI683:AI690)</f>
        <v>107</v>
      </c>
      <c r="AJ691" s="51">
        <f t="shared" si="2044"/>
        <v>3107</v>
      </c>
      <c r="AK691" s="52"/>
      <c r="AL691" s="53"/>
      <c r="AM691" s="183">
        <f t="shared" ref="AM691:AN691" si="2045">SUM(AM683:AM690)</f>
        <v>21.4</v>
      </c>
      <c r="AN691" s="51">
        <f t="shared" si="2045"/>
        <v>3416.4</v>
      </c>
      <c r="AO691" s="52"/>
      <c r="AP691" s="53"/>
      <c r="AQ691" s="183">
        <f t="shared" ref="AQ691:AR691" si="2046">SUM(AQ683:AQ690)</f>
        <v>0</v>
      </c>
      <c r="AR691" s="51">
        <f t="shared" si="2046"/>
        <v>0</v>
      </c>
      <c r="AS691" s="52"/>
      <c r="AT691" s="53"/>
      <c r="AU691" s="183">
        <f t="shared" ref="AU691:AV691" si="2047">SUM(AU683:AU690)</f>
        <v>0</v>
      </c>
      <c r="AV691" s="68">
        <f t="shared" si="2047"/>
        <v>0</v>
      </c>
      <c r="AW691" s="52"/>
      <c r="AX691" s="53"/>
      <c r="AY691" s="183">
        <f t="shared" ref="AY691:AZ691" si="2048">SUM(AY683:AY690)</f>
        <v>0</v>
      </c>
      <c r="AZ691" s="68">
        <f t="shared" si="2048"/>
        <v>0</v>
      </c>
      <c r="BA691" s="52"/>
      <c r="BB691" s="53"/>
      <c r="BC691" s="183">
        <f t="shared" ref="BC691:BD691" si="2049">SUM(BC683:BC690)</f>
        <v>0</v>
      </c>
      <c r="BD691" s="68">
        <f t="shared" si="2049"/>
        <v>0</v>
      </c>
      <c r="BE691" s="69"/>
      <c r="BF691" s="70">
        <f t="shared" ref="BF691:BH691" si="2050">SUM(BF683:BF690)</f>
        <v>6523.4</v>
      </c>
      <c r="BG691" s="71">
        <f t="shared" si="2050"/>
        <v>6523.4</v>
      </c>
      <c r="BH691" s="72">
        <f t="shared" si="2050"/>
        <v>0</v>
      </c>
      <c r="BI691" s="34">
        <f>H691+BF691-BG691</f>
        <v>0</v>
      </c>
      <c r="BJ691" s="34">
        <f>BH691-BI691</f>
        <v>0</v>
      </c>
      <c r="BK691" s="2" t="b">
        <f>H691='2021'!BH691</f>
        <v>1</v>
      </c>
    </row>
    <row r="692" ht="15.75" customHeight="1" spans="1:63" x14ac:dyDescent="0.25">
      <c r="A692" s="2">
        <v>77</v>
      </c>
      <c r="B692" s="14"/>
      <c r="D692" s="14" t="s">
        <v>379</v>
      </c>
      <c r="F692" s="13"/>
      <c r="G692" s="28"/>
      <c r="H692" s="34">
        <f>'2021'!BH692</f>
        <v>0</v>
      </c>
      <c r="I692" s="13"/>
      <c r="J692" s="15"/>
      <c r="K692" s="15"/>
      <c r="L692" s="28"/>
      <c r="M692" s="13"/>
      <c r="N692" s="15"/>
      <c r="Q692" s="13"/>
      <c r="R692" s="15"/>
      <c r="S692" s="15"/>
      <c r="T692" s="28"/>
      <c r="U692" s="13"/>
      <c r="V692" s="15"/>
      <c r="Y692" s="13"/>
      <c r="Z692" s="2"/>
      <c r="AA692" s="15"/>
      <c r="AB692" s="28"/>
      <c r="AC692" s="348"/>
      <c r="AD692" s="15"/>
      <c r="AG692" s="15"/>
      <c r="AH692" s="2"/>
      <c r="AI692" s="45"/>
      <c r="AJ692" s="15"/>
      <c r="AK692" s="15"/>
      <c r="AM692" s="45"/>
      <c r="AO692" s="13"/>
      <c r="AQ692" s="45"/>
      <c r="AS692" s="13"/>
      <c r="AU692" s="45"/>
      <c r="AW692" s="13"/>
      <c r="AY692" s="45"/>
      <c r="AZ692" s="28"/>
      <c r="BA692" s="13"/>
      <c r="BB692" s="15"/>
      <c r="BC692" s="45"/>
      <c r="BD692" s="28"/>
      <c r="BE692" s="14"/>
      <c r="BF692" s="41">
        <f t="shared" ref="BF692:BG692" si="2051">K692+O692+S692+W692+AA692+AE692+AI692+AM692+AQ692+AU692+AY692+BC692</f>
        <v>0</v>
      </c>
      <c r="BG692" s="34">
        <f t="shared" si="2051"/>
        <v>0</v>
      </c>
      <c r="BH692" s="35">
        <f t="shared" ref="BH692:BH699" si="2052">H692+BF692-BG692</f>
        <v>0</v>
      </c>
      <c r="BK692" s="2" t="b">
        <f>H692='2021'!BH692</f>
        <v>1</v>
      </c>
    </row>
    <row r="693" ht="15.75" customHeight="1" spans="1:63" x14ac:dyDescent="0.25">
      <c r="A693" s="2">
        <v>77</v>
      </c>
      <c r="B693" s="14">
        <v>4.12</v>
      </c>
      <c r="C693" s="2" t="s">
        <v>268</v>
      </c>
      <c r="D693" s="14" t="s">
        <v>44</v>
      </c>
      <c r="E693" s="2" t="s">
        <v>45</v>
      </c>
      <c r="F693" s="41">
        <v>2.5</v>
      </c>
      <c r="G693" s="35">
        <v>2.6</v>
      </c>
      <c r="H693" s="34">
        <f>'2021'!BH693</f>
        <v>194.4</v>
      </c>
      <c r="I693" s="13">
        <v>2667</v>
      </c>
      <c r="J693" s="15">
        <f>I693-'2021'!BA693</f>
        <v>0</v>
      </c>
      <c r="K693" s="34">
        <f>J693*$F$8</f>
        <v>0</v>
      </c>
      <c r="L693" s="28"/>
      <c r="M693" s="13">
        <v>2667</v>
      </c>
      <c r="N693" s="15">
        <f t="shared" ref="N693:N694" si="2053">M693-I693</f>
        <v>0</v>
      </c>
      <c r="O693" s="34">
        <f>N693*$F$8</f>
        <v>0</v>
      </c>
      <c r="Q693" s="13">
        <v>2667</v>
      </c>
      <c r="R693" s="15">
        <f t="shared" ref="R693:R694" si="2054">Q693-M693</f>
        <v>0</v>
      </c>
      <c r="S693" s="34">
        <f>R693*$F$8</f>
        <v>0</v>
      </c>
      <c r="T693" s="28"/>
      <c r="U693" s="13">
        <v>2667</v>
      </c>
      <c r="V693" s="15">
        <f t="shared" ref="V693:V694" si="2055">U693-Q693</f>
        <v>0</v>
      </c>
      <c r="W693" s="34">
        <f>V693*$F$8</f>
        <v>0</v>
      </c>
      <c r="X693" s="34"/>
      <c r="Y693" s="13">
        <v>2755</v>
      </c>
      <c r="Z693" s="2">
        <f t="shared" ref="Z693:Z694" si="2056">Y693-U693</f>
        <v>88</v>
      </c>
      <c r="AA693" s="34">
        <f>Z693*$F$8</f>
        <v>237.6</v>
      </c>
      <c r="AB693" s="28"/>
      <c r="AC693" s="348">
        <v>2863</v>
      </c>
      <c r="AD693" s="15">
        <f t="shared" ref="AD693:AD694" si="2057">AC693-Y693</f>
        <v>108</v>
      </c>
      <c r="AE693" s="180">
        <f>AD693*$F$8</f>
        <v>291.6</v>
      </c>
      <c r="AF693" s="370">
        <v>432</v>
      </c>
      <c r="AG693" s="15">
        <v>2962</v>
      </c>
      <c r="AH693" s="180">
        <f>(AG693-AC693)*AH5</f>
        <v>104.544</v>
      </c>
      <c r="AI693" s="45">
        <f>AH693*$G$8</f>
        <v>257.17824</v>
      </c>
      <c r="AJ693" s="182">
        <v>291.6</v>
      </c>
      <c r="AK693" s="15">
        <v>3057</v>
      </c>
      <c r="AL693" s="15">
        <f>(AK693-AG693)*AL5</f>
        <v>97.66</v>
      </c>
      <c r="AM693" s="45">
        <f>AL693*$G$8</f>
        <v>240.2436</v>
      </c>
      <c r="AN693" s="182">
        <v>257.18</v>
      </c>
      <c r="AO693" s="13">
        <v>3135</v>
      </c>
      <c r="AP693" s="15">
        <f>(AO693-AK693)*AP5</f>
        <v>80.574</v>
      </c>
      <c r="AQ693" s="45">
        <f>AP693*$G$8</f>
        <v>198.21204</v>
      </c>
      <c r="AR693" s="154">
        <v>240.24</v>
      </c>
      <c r="AS693" s="13">
        <v>3135</v>
      </c>
      <c r="AT693" s="15">
        <f>(AS693-AO693)*AT5</f>
        <v>0</v>
      </c>
      <c r="AU693" s="45">
        <f t="shared" ref="AU693:AU694" si="2058">AT693*$G$8</f>
        <v>0</v>
      </c>
      <c r="AV693" s="15"/>
      <c r="AW693" s="13"/>
      <c r="AX693" s="15">
        <f>(AW693-AS693)*AX5</f>
        <v>0</v>
      </c>
      <c r="AY693" s="45">
        <f>AX693*$G$8</f>
        <v>0</v>
      </c>
      <c r="AZ693" s="246"/>
      <c r="BA693" s="13"/>
      <c r="BB693" s="15"/>
      <c r="BC693" s="45">
        <f>BB693*$G$8</f>
        <v>0</v>
      </c>
      <c r="BD693" s="208"/>
      <c r="BE693" s="40">
        <f t="shared" ref="BE693:BG693" si="2059">J693+N693+R693+V693+Z693+AD693+AH693+AL693+AP693+AT693+AX693+BB693</f>
        <v>478.778</v>
      </c>
      <c r="BF693" s="41">
        <f t="shared" si="2059"/>
        <v>1224.83388</v>
      </c>
      <c r="BG693" s="34">
        <f t="shared" si="2059"/>
        <v>1221.02</v>
      </c>
      <c r="BH693" s="35">
        <f t="shared" si="2052"/>
        <v>198.21388</v>
      </c>
      <c r="BK693" s="2" t="b">
        <f>H693='2021'!BH693</f>
        <v>1</v>
      </c>
    </row>
    <row r="694" ht="15.75" customHeight="1" spans="1:63" x14ac:dyDescent="0.25">
      <c r="A694" s="2">
        <v>77</v>
      </c>
      <c r="B694" s="14"/>
      <c r="C694" s="2" t="s">
        <v>269</v>
      </c>
      <c r="D694" s="14" t="s">
        <v>47</v>
      </c>
      <c r="E694" s="2" t="s">
        <v>48</v>
      </c>
      <c r="F694" s="13">
        <v>18.56</v>
      </c>
      <c r="G694" s="35">
        <v>19.46</v>
      </c>
      <c r="H694" s="34">
        <f>'2021'!BH694</f>
        <v>0</v>
      </c>
      <c r="I694" s="13">
        <v>432</v>
      </c>
      <c r="J694" s="15"/>
      <c r="K694" s="15"/>
      <c r="L694" s="28"/>
      <c r="M694" s="13">
        <v>432</v>
      </c>
      <c r="N694" s="15">
        <f t="shared" si="2053"/>
        <v>0</v>
      </c>
      <c r="Q694" s="13">
        <v>432</v>
      </c>
      <c r="R694" s="15">
        <f t="shared" si="2054"/>
        <v>0</v>
      </c>
      <c r="S694" s="15"/>
      <c r="T694" s="28"/>
      <c r="U694" s="13">
        <v>432</v>
      </c>
      <c r="V694" s="15">
        <f t="shared" si="2055"/>
        <v>0</v>
      </c>
      <c r="W694" s="180">
        <f>V694*$F$10</f>
        <v>0</v>
      </c>
      <c r="Y694" s="13">
        <v>434</v>
      </c>
      <c r="Z694" s="2">
        <f t="shared" si="2056"/>
        <v>2</v>
      </c>
      <c r="AA694" s="34">
        <f>Z694*$F$10</f>
        <v>40.7</v>
      </c>
      <c r="AB694" s="28"/>
      <c r="AC694" s="348">
        <v>446</v>
      </c>
      <c r="AD694" s="15">
        <f t="shared" si="2057"/>
        <v>12</v>
      </c>
      <c r="AE694" s="34">
        <f>AD694*$F$10</f>
        <v>244.2</v>
      </c>
      <c r="AF694" s="370">
        <v>200</v>
      </c>
      <c r="AG694" s="15">
        <v>457</v>
      </c>
      <c r="AH694" s="2">
        <f>AG694-AC694</f>
        <v>11</v>
      </c>
      <c r="AI694" s="45">
        <f>AH694*$G$10</f>
        <v>235.4</v>
      </c>
      <c r="AJ694" s="182">
        <v>320.3</v>
      </c>
      <c r="AK694" s="15">
        <v>466</v>
      </c>
      <c r="AL694" s="15">
        <f>AK694-AG694</f>
        <v>9</v>
      </c>
      <c r="AM694" s="45">
        <f>AL694*$G$10</f>
        <v>192.6</v>
      </c>
      <c r="AN694" s="182">
        <v>183.69</v>
      </c>
      <c r="AO694" s="13">
        <v>468</v>
      </c>
      <c r="AP694" s="15">
        <f>AO694-AK694</f>
        <v>2</v>
      </c>
      <c r="AQ694" s="45">
        <f>AP694*$G$10</f>
        <v>42.8</v>
      </c>
      <c r="AR694" s="154">
        <f>42.8+8.91</f>
        <v>51.71</v>
      </c>
      <c r="AS694" s="13">
        <v>468</v>
      </c>
      <c r="AT694" s="15">
        <f>AS694-AO694</f>
        <v>0</v>
      </c>
      <c r="AU694" s="45">
        <f t="shared" si="2058"/>
        <v>0</v>
      </c>
      <c r="AV694" s="15"/>
      <c r="AW694" s="13"/>
      <c r="AX694" s="15">
        <f>AW694-AS694</f>
        <v>-468</v>
      </c>
      <c r="AY694" s="45"/>
      <c r="AZ694" s="208"/>
      <c r="BA694" s="13"/>
      <c r="BB694" s="15"/>
      <c r="BC694" s="45"/>
      <c r="BD694" s="208"/>
      <c r="BE694" s="40">
        <f t="shared" ref="BE694:BG694" si="2060">J694+N694+R694+V694+Z694+AD694+AH694+AL694+AP694+AT694+AX694+BB694</f>
        <v>-432</v>
      </c>
      <c r="BF694" s="41">
        <f t="shared" si="2060"/>
        <v>755.7</v>
      </c>
      <c r="BG694" s="34">
        <f t="shared" si="2060"/>
        <v>755.7</v>
      </c>
      <c r="BH694" s="35">
        <f t="shared" si="2052"/>
        <v>0</v>
      </c>
      <c r="BK694" s="2" t="b">
        <f>H694='2021'!BH694</f>
        <v>1</v>
      </c>
    </row>
    <row r="695" ht="15.75" customHeight="1" spans="1:63" x14ac:dyDescent="0.25">
      <c r="A695" s="2">
        <v>77</v>
      </c>
      <c r="B695" s="14"/>
      <c r="C695" s="15" t="s">
        <v>158</v>
      </c>
      <c r="D695" s="14" t="s">
        <v>47</v>
      </c>
      <c r="E695" s="2" t="s">
        <v>49</v>
      </c>
      <c r="F695" s="41">
        <v>500</v>
      </c>
      <c r="G695" s="28"/>
      <c r="H695" s="34">
        <f>'2021'!BH695</f>
        <v>0</v>
      </c>
      <c r="I695" s="13"/>
      <c r="J695" s="15"/>
      <c r="K695" s="15"/>
      <c r="L695" s="28"/>
      <c r="M695" s="13"/>
      <c r="N695" s="15"/>
      <c r="Q695" s="13"/>
      <c r="R695" s="15"/>
      <c r="S695" s="15"/>
      <c r="T695" s="28"/>
      <c r="U695" s="13"/>
      <c r="V695" s="15"/>
      <c r="Y695" s="13"/>
      <c r="Z695" s="2"/>
      <c r="AA695" s="15"/>
      <c r="AB695" s="28"/>
      <c r="AC695" s="348"/>
      <c r="AD695" s="15"/>
      <c r="AF695" s="154"/>
      <c r="AG695" s="15"/>
      <c r="AH695" s="2"/>
      <c r="AI695" s="45"/>
      <c r="AJ695" s="15"/>
      <c r="AK695" s="15"/>
      <c r="AL695" s="15"/>
      <c r="AM695" s="45"/>
      <c r="AN695" s="15"/>
      <c r="AO695" s="13"/>
      <c r="AP695" s="15"/>
      <c r="AQ695" s="45"/>
      <c r="AR695" s="15"/>
      <c r="AS695" s="13"/>
      <c r="AT695" s="15"/>
      <c r="AU695" s="45"/>
      <c r="AV695" s="15"/>
      <c r="AW695" s="13"/>
      <c r="AX695" s="15"/>
      <c r="AY695" s="45"/>
      <c r="AZ695" s="28"/>
      <c r="BA695" s="13"/>
      <c r="BB695" s="15"/>
      <c r="BC695" s="45"/>
      <c r="BD695" s="28"/>
      <c r="BE695" s="14"/>
      <c r="BF695" s="41">
        <f t="shared" ref="BF695:BG695" si="2061">K695+O695+S695+W695+AA695+AE695+AI695+AM695+AQ695+AU695+AY695+BC695</f>
        <v>0</v>
      </c>
      <c r="BG695" s="34">
        <f t="shared" si="2061"/>
        <v>0</v>
      </c>
      <c r="BH695" s="35">
        <f t="shared" si="2052"/>
        <v>0</v>
      </c>
      <c r="BK695" s="2" t="b">
        <f>H695='2021'!BH695</f>
        <v>1</v>
      </c>
    </row>
    <row r="696" ht="15.75" customHeight="1" spans="1:63" x14ac:dyDescent="0.25">
      <c r="A696" s="2">
        <v>77</v>
      </c>
      <c r="B696" s="14"/>
      <c r="C696" s="2" t="s">
        <v>270</v>
      </c>
      <c r="D696" s="14" t="s">
        <v>50</v>
      </c>
      <c r="E696" s="2" t="s">
        <v>49</v>
      </c>
      <c r="F696" s="41">
        <v>1100</v>
      </c>
      <c r="G696" s="28"/>
      <c r="H696" s="34">
        <f>'2021'!BH696</f>
        <v>0</v>
      </c>
      <c r="I696" s="13"/>
      <c r="J696" s="15"/>
      <c r="K696" s="15"/>
      <c r="L696" s="28"/>
      <c r="M696" s="13"/>
      <c r="N696" s="15"/>
      <c r="Q696" s="13"/>
      <c r="R696" s="15"/>
      <c r="S696" s="15"/>
      <c r="T696" s="28"/>
      <c r="U696" s="13"/>
      <c r="V696" s="15"/>
      <c r="Y696" s="13"/>
      <c r="Z696" s="2"/>
      <c r="AA696" s="15"/>
      <c r="AB696" s="28"/>
      <c r="AC696" s="348"/>
      <c r="AD696" s="15"/>
      <c r="AE696" s="34">
        <f>B693*$F$12</f>
        <v>5356</v>
      </c>
      <c r="AF696" s="370">
        <v>5356</v>
      </c>
      <c r="AG696" s="15"/>
      <c r="AH696" s="2"/>
      <c r="AI696" s="45"/>
      <c r="AJ696" s="34"/>
      <c r="AK696" s="15"/>
      <c r="AL696" s="15"/>
      <c r="AM696" s="45"/>
      <c r="AN696" s="15"/>
      <c r="AO696" s="13"/>
      <c r="AP696" s="15"/>
      <c r="AQ696" s="45"/>
      <c r="AR696" s="15"/>
      <c r="AS696" s="13"/>
      <c r="AT696" s="15"/>
      <c r="AU696" s="45"/>
      <c r="AV696" s="15"/>
      <c r="AW696" s="13"/>
      <c r="AX696" s="15"/>
      <c r="AY696" s="45"/>
      <c r="AZ696" s="28"/>
      <c r="BA696" s="13"/>
      <c r="BB696" s="15"/>
      <c r="BC696" s="45"/>
      <c r="BD696" s="28"/>
      <c r="BE696" s="14"/>
      <c r="BF696" s="41">
        <f t="shared" ref="BF696:BG696" si="2062">K696+O696+S696+W696+AA696+AE696+AI696+AM696+AQ696+AU696+AY696+BC696</f>
        <v>5356</v>
      </c>
      <c r="BG696" s="34">
        <f t="shared" si="2062"/>
        <v>5356</v>
      </c>
      <c r="BH696" s="35">
        <f t="shared" si="2052"/>
        <v>0</v>
      </c>
      <c r="BK696" s="2" t="b">
        <f>H696='2021'!BH696</f>
        <v>1</v>
      </c>
    </row>
    <row r="697" ht="15.75" customHeight="1" spans="1:63" x14ac:dyDescent="0.25">
      <c r="A697" s="2">
        <v>77</v>
      </c>
      <c r="B697" s="14"/>
      <c r="D697" s="14" t="s">
        <v>51</v>
      </c>
      <c r="E697" s="2" t="s">
        <v>39</v>
      </c>
      <c r="F697" s="41">
        <v>500</v>
      </c>
      <c r="G697" s="28"/>
      <c r="H697" s="34">
        <f>'2021'!BH697</f>
        <v>0</v>
      </c>
      <c r="I697" s="13"/>
      <c r="J697" s="15"/>
      <c r="K697" s="15"/>
      <c r="L697" s="28"/>
      <c r="M697" s="13"/>
      <c r="N697" s="15"/>
      <c r="Q697" s="13"/>
      <c r="R697" s="15"/>
      <c r="S697" s="15"/>
      <c r="T697" s="28"/>
      <c r="U697" s="13"/>
      <c r="V697" s="15"/>
      <c r="Y697" s="13"/>
      <c r="Z697" s="2"/>
      <c r="AA697" s="15"/>
      <c r="AB697" s="28"/>
      <c r="AC697" s="348"/>
      <c r="AD697" s="15"/>
      <c r="AE697" s="180">
        <f>$F$13</f>
        <v>1000</v>
      </c>
      <c r="AF697" s="370">
        <v>1000</v>
      </c>
      <c r="AG697" s="15"/>
      <c r="AH697" s="2"/>
      <c r="AI697" s="45"/>
      <c r="AJ697" s="15"/>
      <c r="AK697" s="15"/>
      <c r="AL697" s="15"/>
      <c r="AM697" s="45"/>
      <c r="AN697" s="15"/>
      <c r="AO697" s="13"/>
      <c r="AP697" s="15"/>
      <c r="AQ697" s="180"/>
      <c r="AR697" s="15"/>
      <c r="AS697" s="13"/>
      <c r="AT697" s="15"/>
      <c r="AU697" s="45"/>
      <c r="AV697" s="15"/>
      <c r="AW697" s="13"/>
      <c r="AX697" s="15"/>
      <c r="AY697" s="45"/>
      <c r="AZ697" s="28"/>
      <c r="BA697" s="13"/>
      <c r="BB697" s="15"/>
      <c r="BC697" s="45"/>
      <c r="BD697" s="28"/>
      <c r="BE697" s="14"/>
      <c r="BF697" s="41">
        <f t="shared" ref="BF697:BG697" si="2063">K697+O697+S697+W697+AA697+AE697+AI697+AM697+AQ697+AU697+AY697+BC697</f>
        <v>1000</v>
      </c>
      <c r="BG697" s="34">
        <f t="shared" si="2063"/>
        <v>1000</v>
      </c>
      <c r="BH697" s="35">
        <f t="shared" si="2052"/>
        <v>0</v>
      </c>
      <c r="BK697" s="2" t="b">
        <f>H697='2021'!BH697</f>
        <v>1</v>
      </c>
    </row>
    <row r="698" ht="15.75" customHeight="1" spans="1:63" x14ac:dyDescent="0.25">
      <c r="A698" s="2">
        <v>77</v>
      </c>
      <c r="B698" s="14"/>
      <c r="D698" s="14" t="s">
        <v>51</v>
      </c>
      <c r="E698" s="2" t="s">
        <v>49</v>
      </c>
      <c r="F698" s="41">
        <v>500</v>
      </c>
      <c r="G698" s="28"/>
      <c r="H698" s="34">
        <f>'2021'!BH698</f>
        <v>0</v>
      </c>
      <c r="I698" s="13"/>
      <c r="J698" s="15"/>
      <c r="K698" s="15"/>
      <c r="L698" s="28"/>
      <c r="M698" s="13"/>
      <c r="N698" s="15"/>
      <c r="Q698" s="13"/>
      <c r="R698" s="15"/>
      <c r="S698" s="15"/>
      <c r="T698" s="28"/>
      <c r="U698" s="13"/>
      <c r="V698" s="15"/>
      <c r="Y698" s="13"/>
      <c r="Z698" s="2"/>
      <c r="AA698" s="15"/>
      <c r="AB698" s="28"/>
      <c r="AC698" s="348"/>
      <c r="AD698" s="15"/>
      <c r="AE698" s="34"/>
      <c r="AF698" s="182"/>
      <c r="AG698" s="15"/>
      <c r="AH698" s="2"/>
      <c r="AI698" s="45"/>
      <c r="AJ698" s="15"/>
      <c r="AK698" s="15"/>
      <c r="AL698" s="15"/>
      <c r="AM698" s="45"/>
      <c r="AN698" s="15"/>
      <c r="AO698" s="13"/>
      <c r="AP698" s="15"/>
      <c r="AQ698" s="180">
        <f>B693*$F$14</f>
        <v>0</v>
      </c>
      <c r="AR698" s="15"/>
      <c r="AS698" s="13"/>
      <c r="AT698" s="15"/>
      <c r="AU698" s="45"/>
      <c r="AV698" s="15"/>
      <c r="AW698" s="13"/>
      <c r="AX698" s="15"/>
      <c r="AY698" s="45"/>
      <c r="AZ698" s="28"/>
      <c r="BA698" s="13"/>
      <c r="BB698" s="15"/>
      <c r="BC698" s="45"/>
      <c r="BD698" s="28"/>
      <c r="BE698" s="14"/>
      <c r="BF698" s="41">
        <f t="shared" ref="BF698:BG698" si="2064">K698+O698+S698+W698+AA698+AE698+AI698+AM698+AQ698+AU698+AY698+BC698</f>
        <v>0</v>
      </c>
      <c r="BG698" s="34">
        <f t="shared" si="2064"/>
        <v>0</v>
      </c>
      <c r="BH698" s="35">
        <f t="shared" si="2052"/>
        <v>0</v>
      </c>
      <c r="BK698" s="2" t="b">
        <f>H698='2021'!BH698</f>
        <v>1</v>
      </c>
    </row>
    <row r="699" ht="15.75" customHeight="1" spans="1:63" x14ac:dyDescent="0.25">
      <c r="A699" s="2">
        <v>77</v>
      </c>
      <c r="B699" s="14"/>
      <c r="D699" s="14" t="s">
        <v>52</v>
      </c>
      <c r="E699" s="2" t="s">
        <v>39</v>
      </c>
      <c r="F699" s="41">
        <v>500</v>
      </c>
      <c r="G699" s="28"/>
      <c r="H699" s="34">
        <f>'2021'!BH699</f>
        <v>0</v>
      </c>
      <c r="I699" s="13"/>
      <c r="J699" s="15"/>
      <c r="K699" s="15"/>
      <c r="L699" s="28"/>
      <c r="M699" s="13"/>
      <c r="N699" s="15"/>
      <c r="Q699" s="13"/>
      <c r="R699" s="15"/>
      <c r="S699" s="15"/>
      <c r="T699" s="28"/>
      <c r="U699" s="13"/>
      <c r="V699" s="15"/>
      <c r="Y699" s="13"/>
      <c r="Z699" s="2"/>
      <c r="AA699" s="34">
        <f>$F$15</f>
      </c>
      <c r="AB699" s="35"/>
      <c r="AC699" s="348"/>
      <c r="AD699" s="15"/>
      <c r="AF699" s="180"/>
      <c r="AG699" s="15"/>
      <c r="AH699" s="2"/>
      <c r="AI699" s="45"/>
      <c r="AJ699" s="15"/>
      <c r="AK699" s="15"/>
      <c r="AL699" s="15"/>
      <c r="AM699" s="45"/>
      <c r="AN699" s="15"/>
      <c r="AO699" s="13"/>
      <c r="AP699" s="15"/>
      <c r="AQ699" s="45"/>
      <c r="AR699" s="15"/>
      <c r="AS699" s="13"/>
      <c r="AT699" s="15"/>
      <c r="AU699" s="45"/>
      <c r="AV699" s="15"/>
      <c r="AW699" s="13"/>
      <c r="AX699" s="15"/>
      <c r="AY699" s="45"/>
      <c r="AZ699" s="35"/>
      <c r="BA699" s="13"/>
      <c r="BB699" s="15"/>
      <c r="BC699" s="45"/>
      <c r="BD699" s="35"/>
      <c r="BE699" s="14"/>
      <c r="BF699" s="41">
        <f t="shared" ref="BF699:BG699" si="2065">K699+O699+S699+W699+AA699+AE699+AI699+AM699+AQ699+AU699+AY699+BC699</f>
        <v>0</v>
      </c>
      <c r="BG699" s="34">
        <f t="shared" si="2065"/>
        <v>0</v>
      </c>
      <c r="BH699" s="35">
        <f t="shared" si="2052"/>
        <v>0</v>
      </c>
      <c r="BK699" s="2" t="b">
        <f>H699='2021'!BH699</f>
        <v>1</v>
      </c>
    </row>
    <row r="700" ht="15.75" customHeight="1" spans="1:63" x14ac:dyDescent="0.25">
      <c r="A700" s="247">
        <v>77</v>
      </c>
      <c r="B700" s="21"/>
      <c r="C700" s="22" t="s">
        <v>53</v>
      </c>
      <c r="D700" s="21"/>
      <c r="E700" s="22"/>
      <c r="F700" s="20"/>
      <c r="G700" s="23"/>
      <c r="H700" s="51">
        <f>SUM(H692:H699)</f>
        <v>194.4</v>
      </c>
      <c r="I700" s="52"/>
      <c r="J700" s="53"/>
      <c r="K700" s="51">
        <f t="shared" ref="K700:L700" si="2066">SUM(K692:K699)</f>
        <v>0</v>
      </c>
      <c r="L700" s="68">
        <f t="shared" si="2066"/>
        <v>0</v>
      </c>
      <c r="M700" s="52"/>
      <c r="N700" s="53"/>
      <c r="O700" s="51">
        <f t="shared" ref="O700:P700" si="2067">SUM(O692:O699)</f>
        <v>0</v>
      </c>
      <c r="P700" s="51">
        <f t="shared" si="2067"/>
        <v>0</v>
      </c>
      <c r="Q700" s="52"/>
      <c r="R700" s="53"/>
      <c r="S700" s="51">
        <f t="shared" ref="S700:T700" si="2068">SUM(S692:S699)</f>
        <v>0</v>
      </c>
      <c r="T700" s="51">
        <f t="shared" si="2068"/>
        <v>0</v>
      </c>
      <c r="U700" s="52"/>
      <c r="V700" s="53"/>
      <c r="W700" s="51">
        <f t="shared" ref="W700:X700" si="2069">SUM(W692:W699)</f>
        <v>0</v>
      </c>
      <c r="X700" s="51">
        <f t="shared" si="2069"/>
        <v>0</v>
      </c>
      <c r="Y700" s="52"/>
      <c r="Z700" s="301"/>
      <c r="AA700" s="51">
        <f t="shared" ref="AA700:AB700" si="2070">SUM(AA692:AA699)</f>
        <v>278.3</v>
      </c>
      <c r="AB700" s="51">
        <f t="shared" si="2070"/>
        <v>0</v>
      </c>
      <c r="AC700" s="367"/>
      <c r="AD700" s="53"/>
      <c r="AE700" s="51">
        <f t="shared" ref="AE700:AF700" si="2071">SUM(AE692:AE699)</f>
        <v>6891.8</v>
      </c>
      <c r="AF700" s="51">
        <f t="shared" si="2071"/>
        <v>6988</v>
      </c>
      <c r="AG700" s="52"/>
      <c r="AH700" s="301"/>
      <c r="AI700" s="183">
        <f t="shared" ref="AI700:AJ700" si="2072">SUM(AI692:AI699)</f>
        <v>492.57824</v>
      </c>
      <c r="AJ700" s="51">
        <f t="shared" si="2072"/>
        <v>611.9</v>
      </c>
      <c r="AK700" s="52"/>
      <c r="AL700" s="53"/>
      <c r="AM700" s="183">
        <f t="shared" ref="AM700:AN700" si="2073">SUM(AM692:AM699)</f>
        <v>432.8436</v>
      </c>
      <c r="AN700" s="51">
        <f t="shared" si="2073"/>
        <v>440.87</v>
      </c>
      <c r="AO700" s="52"/>
      <c r="AP700" s="53"/>
      <c r="AQ700" s="183">
        <f t="shared" ref="AQ700:AR700" si="2074">SUM(AQ692:AQ699)</f>
        <v>241.01204</v>
      </c>
      <c r="AR700" s="51">
        <f t="shared" si="2074"/>
        <v>291.95</v>
      </c>
      <c r="AS700" s="52"/>
      <c r="AT700" s="53"/>
      <c r="AU700" s="183">
        <f t="shared" ref="AU700:AV700" si="2075">SUM(AU692:AU699)</f>
        <v>0</v>
      </c>
      <c r="AV700" s="68">
        <f t="shared" si="2075"/>
        <v>0</v>
      </c>
      <c r="AW700" s="52"/>
      <c r="AX700" s="53"/>
      <c r="AY700" s="183">
        <f t="shared" ref="AY700:AZ700" si="2076">SUM(AY692:AY699)</f>
        <v>0</v>
      </c>
      <c r="AZ700" s="68">
        <f t="shared" si="2076"/>
        <v>0</v>
      </c>
      <c r="BA700" s="52"/>
      <c r="BB700" s="53"/>
      <c r="BC700" s="183">
        <f t="shared" ref="BC700:BD700" si="2077">SUM(BC692:BC699)</f>
        <v>0</v>
      </c>
      <c r="BD700" s="68">
        <f t="shared" si="2077"/>
        <v>0</v>
      </c>
      <c r="BE700" s="69"/>
      <c r="BF700" s="70">
        <f t="shared" ref="BF700:BH700" si="2078">SUM(BF692:BF699)</f>
        <v>8336.53388</v>
      </c>
      <c r="BG700" s="71">
        <f t="shared" si="2078"/>
        <v>8332.72</v>
      </c>
      <c r="BH700" s="72">
        <f t="shared" si="2078"/>
        <v>198.21388</v>
      </c>
      <c r="BI700" s="34">
        <f>H700+BF700-BG700</f>
        <v>198.21388</v>
      </c>
      <c r="BJ700" s="34">
        <f>BH700-BI700</f>
        <v>0</v>
      </c>
      <c r="BK700" s="2" t="b">
        <f>H700='2021'!BH700</f>
        <v>1</v>
      </c>
    </row>
    <row r="701" ht="15.75" customHeight="1" spans="1:63" x14ac:dyDescent="0.25">
      <c r="A701" s="2">
        <v>78</v>
      </c>
      <c r="B701" s="14"/>
      <c r="D701" s="14" t="s">
        <v>379</v>
      </c>
      <c r="F701" s="13"/>
      <c r="G701" s="28"/>
      <c r="H701" s="34">
        <f>'2021'!BH701</f>
        <v>0</v>
      </c>
      <c r="I701" s="13"/>
      <c r="J701" s="15"/>
      <c r="K701" s="15"/>
      <c r="L701" s="28"/>
      <c r="M701" s="13"/>
      <c r="N701" s="15"/>
      <c r="Q701" s="13"/>
      <c r="R701" s="15"/>
      <c r="S701" s="15"/>
      <c r="T701" s="28"/>
      <c r="U701" s="13"/>
      <c r="V701" s="15"/>
      <c r="Y701" s="13"/>
      <c r="Z701" s="2"/>
      <c r="AA701" s="15"/>
      <c r="AB701" s="28"/>
      <c r="AC701" s="348"/>
      <c r="AD701" s="15"/>
      <c r="AG701" s="15"/>
      <c r="AH701" s="2"/>
      <c r="AI701" s="45"/>
      <c r="AJ701" s="15"/>
      <c r="AK701" s="15"/>
      <c r="AM701" s="45"/>
      <c r="AO701" s="13"/>
      <c r="AQ701" s="45"/>
      <c r="AS701" s="13"/>
      <c r="AU701" s="45"/>
      <c r="AW701" s="13"/>
      <c r="AY701" s="45"/>
      <c r="AZ701" s="28"/>
      <c r="BA701" s="13"/>
      <c r="BB701" s="15"/>
      <c r="BC701" s="45"/>
      <c r="BD701" s="28"/>
      <c r="BE701" s="14"/>
      <c r="BF701" s="41">
        <f t="shared" ref="BF701:BG701" si="2079">K701+O701+S701+W701+AA701+AE701+AI701+AM701+AQ701+AU701+AY701+BC701</f>
        <v>0</v>
      </c>
      <c r="BG701" s="34">
        <f t="shared" si="2079"/>
        <v>0</v>
      </c>
      <c r="BH701" s="35">
        <f t="shared" ref="BH701:BH708" si="2080">H701+BF701-BG701</f>
        <v>0</v>
      </c>
      <c r="BK701" s="2" t="b">
        <f>H701='2021'!BH701</f>
        <v>1</v>
      </c>
    </row>
    <row r="702" ht="15.75" customHeight="1" spans="1:63" x14ac:dyDescent="0.25">
      <c r="A702" s="2">
        <v>78</v>
      </c>
      <c r="B702" s="14">
        <v>4.03</v>
      </c>
      <c r="C702" s="2" t="s">
        <v>271</v>
      </c>
      <c r="D702" s="14" t="s">
        <v>44</v>
      </c>
      <c r="E702" s="2" t="s">
        <v>45</v>
      </c>
      <c r="F702" s="41">
        <v>2.5</v>
      </c>
      <c r="G702" s="35">
        <v>2.6</v>
      </c>
      <c r="H702" s="34">
        <f>'2021'!BH702</f>
        <v>86.4</v>
      </c>
      <c r="I702" s="13">
        <v>121</v>
      </c>
      <c r="J702" s="15">
        <f>I702-'2021'!BA702</f>
        <v>0</v>
      </c>
      <c r="K702" s="34">
        <f>J702*$F$8</f>
        <v>0</v>
      </c>
      <c r="L702" s="28"/>
      <c r="M702" s="13">
        <v>121</v>
      </c>
      <c r="N702" s="15">
        <f t="shared" ref="N702:N703" si="2081">M702-I702</f>
        <v>0</v>
      </c>
      <c r="O702" s="34">
        <f>N702*$F$8</f>
        <v>0</v>
      </c>
      <c r="Q702" s="13">
        <v>121</v>
      </c>
      <c r="R702" s="15">
        <f t="shared" ref="R702:R703" si="2082">Q702-M702</f>
        <v>0</v>
      </c>
      <c r="S702" s="34">
        <f>R702*$F$8</f>
        <v>0</v>
      </c>
      <c r="T702" s="28"/>
      <c r="U702" s="13">
        <v>121</v>
      </c>
      <c r="V702" s="15">
        <f t="shared" ref="V702:V703" si="2083">U702-Q702</f>
        <v>0</v>
      </c>
      <c r="W702" s="34">
        <f>V702*$F$8</f>
        <v>0</v>
      </c>
      <c r="X702" s="15"/>
      <c r="Y702" s="13">
        <v>123</v>
      </c>
      <c r="Z702" s="2">
        <f t="shared" ref="Z702:Z703" si="2084">Y702-U702</f>
        <v>2</v>
      </c>
      <c r="AA702" s="34">
        <f>Z702*$F$8</f>
        <v>5.4</v>
      </c>
      <c r="AB702" s="28"/>
      <c r="AC702" s="348">
        <v>126</v>
      </c>
      <c r="AD702" s="15">
        <f t="shared" ref="AD702:AD703" si="2085">AC702-Y702</f>
        <v>3</v>
      </c>
      <c r="AE702" s="180">
        <f>AD702*$F$8</f>
        <v>8.1</v>
      </c>
      <c r="AF702" s="354">
        <v>91.8</v>
      </c>
      <c r="AG702" s="15">
        <v>127</v>
      </c>
      <c r="AH702" s="2">
        <f>(AG702-AC702)*AH5</f>
        <v>1.056</v>
      </c>
      <c r="AI702" s="45">
        <f>AH702*$G$8</f>
        <v>2.59776</v>
      </c>
      <c r="AJ702" s="182"/>
      <c r="AK702" s="15">
        <v>128</v>
      </c>
      <c r="AL702" s="15">
        <f>(AK702-AG702)*AL5</f>
        <v>1.028</v>
      </c>
      <c r="AM702" s="45">
        <f>AL702*$G$8</f>
        <v>2.52888</v>
      </c>
      <c r="AN702" s="154">
        <v>13.23</v>
      </c>
      <c r="AO702" s="13">
        <v>136</v>
      </c>
      <c r="AP702" s="15">
        <f>(AO702-AK702)*AP5</f>
        <v>8.264</v>
      </c>
      <c r="AQ702" s="45">
        <f>AP702*$G$8</f>
        <v>20.32944</v>
      </c>
      <c r="AR702" s="154">
        <v>20.33</v>
      </c>
      <c r="AS702" s="13">
        <v>136</v>
      </c>
      <c r="AT702" s="15">
        <f>(AS702-AO702)*AT5</f>
        <v>0</v>
      </c>
      <c r="AU702" s="45">
        <f>AT702*$G$8</f>
        <v>0</v>
      </c>
      <c r="AV702" s="15"/>
      <c r="AW702" s="13"/>
      <c r="AX702" s="15">
        <f>(AW702-AS702)*AX5</f>
        <v>0</v>
      </c>
      <c r="AY702" s="45">
        <f>AX702*$G$8</f>
        <v>0</v>
      </c>
      <c r="AZ702" s="208"/>
      <c r="BA702" s="13"/>
      <c r="BB702" s="15"/>
      <c r="BC702" s="45">
        <f>BB702*$G$8</f>
        <v>0</v>
      </c>
      <c r="BD702" s="208"/>
      <c r="BE702" s="40">
        <f t="shared" ref="BE702:BG702" si="2086">J702+N702+R702+V702+Z702+AD702+AH702+AL702+AP702+AT702+AX702+BB702</f>
        <v>15.348</v>
      </c>
      <c r="BF702" s="41">
        <f t="shared" si="2086"/>
        <v>38.95608</v>
      </c>
      <c r="BG702" s="34">
        <f t="shared" si="2086"/>
        <v>125.36</v>
      </c>
      <c r="BH702" s="35">
        <f t="shared" si="2080"/>
        <v>-0.00392</v>
      </c>
      <c r="BK702" s="2" t="b">
        <f>H702='2021'!BH702</f>
        <v>1</v>
      </c>
    </row>
    <row r="703" ht="15.75" customHeight="1" spans="1:63" x14ac:dyDescent="0.25">
      <c r="A703" s="2">
        <v>78</v>
      </c>
      <c r="B703" s="14"/>
      <c r="C703" s="2" t="s">
        <v>61</v>
      </c>
      <c r="D703" s="14" t="s">
        <v>47</v>
      </c>
      <c r="E703" s="2" t="s">
        <v>48</v>
      </c>
      <c r="F703" s="13">
        <v>18.56</v>
      </c>
      <c r="G703" s="35">
        <v>19.46</v>
      </c>
      <c r="H703" s="34">
        <f>'2021'!BH703</f>
        <v>0</v>
      </c>
      <c r="I703" s="13">
        <v>195</v>
      </c>
      <c r="J703" s="15"/>
      <c r="K703" s="15"/>
      <c r="L703" s="28"/>
      <c r="M703" s="13">
        <v>195</v>
      </c>
      <c r="N703" s="15">
        <f t="shared" si="2081"/>
        <v>0</v>
      </c>
      <c r="Q703" s="13">
        <v>195</v>
      </c>
      <c r="R703" s="15">
        <f t="shared" si="2082"/>
        <v>0</v>
      </c>
      <c r="S703" s="15"/>
      <c r="T703" s="28"/>
      <c r="U703" s="13">
        <v>195</v>
      </c>
      <c r="V703" s="15">
        <f t="shared" si="2083"/>
        <v>0</v>
      </c>
      <c r="W703" s="180">
        <f>V703*$F$10</f>
        <v>0</v>
      </c>
      <c r="Y703" s="13">
        <v>195</v>
      </c>
      <c r="Z703" s="2">
        <f t="shared" si="2084"/>
        <v>0</v>
      </c>
      <c r="AA703" s="34">
        <f>Z703*$F$10</f>
        <v>0</v>
      </c>
      <c r="AB703" s="28"/>
      <c r="AC703" s="348">
        <v>195</v>
      </c>
      <c r="AD703" s="15">
        <f t="shared" si="2085"/>
        <v>0</v>
      </c>
      <c r="AE703" s="34">
        <f>AD703*$F$10</f>
        <v>0</v>
      </c>
      <c r="AF703" s="355">
        <v>183.15</v>
      </c>
      <c r="AG703" s="15">
        <v>212</v>
      </c>
      <c r="AH703" s="2">
        <f>AG703-AC703</f>
        <v>17</v>
      </c>
      <c r="AI703" s="45">
        <f>AH703*$G$10</f>
        <v>363.8</v>
      </c>
      <c r="AJ703" s="182">
        <v>171.2</v>
      </c>
      <c r="AK703" s="15">
        <v>217</v>
      </c>
      <c r="AL703" s="15">
        <f>AK703-AG703</f>
        <v>5</v>
      </c>
      <c r="AM703" s="45">
        <f>AL703*$G$10</f>
        <v>107</v>
      </c>
      <c r="AN703" s="154">
        <v>116.45</v>
      </c>
      <c r="AO703" s="13">
        <v>222</v>
      </c>
      <c r="AP703" s="15">
        <f>AO703-AK703</f>
        <v>5</v>
      </c>
      <c r="AQ703" s="45">
        <f>AP703*$G$10</f>
        <v>107</v>
      </c>
      <c r="AR703" s="154">
        <v>107</v>
      </c>
      <c r="AS703" s="13">
        <v>222</v>
      </c>
      <c r="AT703" s="15">
        <f>AS703-AO703</f>
        <v>0</v>
      </c>
      <c r="AU703" s="45">
        <f>AT703*$G$10</f>
        <v>0</v>
      </c>
      <c r="AV703" s="15"/>
      <c r="AW703" s="13"/>
      <c r="AX703" s="15">
        <f>AW703-AS703</f>
        <v>-222</v>
      </c>
      <c r="AY703" s="45"/>
      <c r="AZ703" s="208"/>
      <c r="BA703" s="13"/>
      <c r="BB703" s="15"/>
      <c r="BC703" s="45"/>
      <c r="BD703" s="208"/>
      <c r="BE703" s="40">
        <f t="shared" ref="BE703:BG703" si="2087">J703+N703+R703+V703+Z703+AD703+AH703+AL703+AP703+AT703+AX703+BB703</f>
        <v>-195</v>
      </c>
      <c r="BF703" s="41">
        <f t="shared" si="2087"/>
        <v>577.8</v>
      </c>
      <c r="BG703" s="34">
        <f t="shared" si="2087"/>
        <v>577.8</v>
      </c>
      <c r="BH703" s="35">
        <f t="shared" si="2080"/>
        <v>0</v>
      </c>
      <c r="BK703" s="2" t="b">
        <f>H703='2021'!BH703</f>
        <v>1</v>
      </c>
    </row>
    <row r="704" ht="15.75" customHeight="1" spans="1:63" x14ac:dyDescent="0.25">
      <c r="A704" s="2">
        <v>78</v>
      </c>
      <c r="B704" s="14"/>
      <c r="C704" s="15" t="s">
        <v>272</v>
      </c>
      <c r="D704" s="14" t="s">
        <v>47</v>
      </c>
      <c r="E704" s="2" t="s">
        <v>49</v>
      </c>
      <c r="F704" s="41">
        <v>500</v>
      </c>
      <c r="G704" s="28"/>
      <c r="H704" s="34">
        <f>'2021'!BH704</f>
        <v>0</v>
      </c>
      <c r="I704" s="13"/>
      <c r="J704" s="15"/>
      <c r="K704" s="15"/>
      <c r="L704" s="28"/>
      <c r="M704" s="13"/>
      <c r="N704" s="15"/>
      <c r="Q704" s="13"/>
      <c r="R704" s="15"/>
      <c r="S704" s="15"/>
      <c r="T704" s="28"/>
      <c r="U704" s="13"/>
      <c r="V704" s="15"/>
      <c r="Y704" s="13"/>
      <c r="Z704" s="2"/>
      <c r="AA704" s="15"/>
      <c r="AB704" s="28"/>
      <c r="AC704" s="348"/>
      <c r="AD704" s="15"/>
      <c r="AF704" s="154"/>
      <c r="AG704" s="15"/>
      <c r="AH704" s="2"/>
      <c r="AI704" s="45"/>
      <c r="AJ704" s="154"/>
      <c r="AK704" s="15"/>
      <c r="AL704" s="15"/>
      <c r="AM704" s="45"/>
      <c r="AN704" s="15"/>
      <c r="AO704" s="13"/>
      <c r="AP704" s="15"/>
      <c r="AQ704" s="45"/>
      <c r="AR704" s="15"/>
      <c r="AS704" s="13"/>
      <c r="AT704" s="15"/>
      <c r="AU704" s="45"/>
      <c r="AV704" s="15"/>
      <c r="AW704" s="13"/>
      <c r="AX704" s="15"/>
      <c r="AY704" s="45"/>
      <c r="AZ704" s="28"/>
      <c r="BA704" s="13"/>
      <c r="BB704" s="15"/>
      <c r="BC704" s="45"/>
      <c r="BD704" s="28"/>
      <c r="BE704" s="14"/>
      <c r="BF704" s="41">
        <f t="shared" ref="BF704:BG704" si="2088">K704+O704+S704+W704+AA704+AE704+AI704+AM704+AQ704+AU704+AY704+BC704</f>
        <v>0</v>
      </c>
      <c r="BG704" s="34">
        <f t="shared" si="2088"/>
        <v>0</v>
      </c>
      <c r="BH704" s="35">
        <f t="shared" si="2080"/>
        <v>0</v>
      </c>
      <c r="BK704" s="2" t="b">
        <f>H704='2021'!BH704</f>
        <v>1</v>
      </c>
    </row>
    <row r="705" ht="15.75" customHeight="1" spans="1:63" x14ac:dyDescent="0.25">
      <c r="A705" s="2">
        <v>78</v>
      </c>
      <c r="B705" s="14"/>
      <c r="C705" s="2" t="s">
        <v>273</v>
      </c>
      <c r="D705" s="14" t="s">
        <v>50</v>
      </c>
      <c r="E705" s="2" t="s">
        <v>49</v>
      </c>
      <c r="F705" s="41">
        <v>1100</v>
      </c>
      <c r="G705" s="28"/>
      <c r="H705" s="34">
        <f>'2021'!BH705</f>
        <v>0</v>
      </c>
      <c r="I705" s="13"/>
      <c r="J705" s="15"/>
      <c r="K705" s="15"/>
      <c r="L705" s="28"/>
      <c r="M705" s="13"/>
      <c r="N705" s="15"/>
      <c r="Q705" s="13"/>
      <c r="R705" s="15"/>
      <c r="S705" s="15"/>
      <c r="T705" s="28"/>
      <c r="U705" s="13"/>
      <c r="V705" s="15"/>
      <c r="Y705" s="13"/>
      <c r="Z705" s="2"/>
      <c r="AA705" s="15"/>
      <c r="AB705" s="28"/>
      <c r="AC705" s="348"/>
      <c r="AD705" s="15"/>
      <c r="AE705" s="34">
        <f>B702*$F$12</f>
        <v>5239</v>
      </c>
      <c r="AF705" s="354">
        <v>5239</v>
      </c>
      <c r="AG705" s="15"/>
      <c r="AH705" s="2"/>
      <c r="AI705" s="45"/>
      <c r="AJ705" s="39"/>
      <c r="AK705" s="15"/>
      <c r="AL705" s="15"/>
      <c r="AM705" s="45"/>
      <c r="AN705" s="15"/>
      <c r="AO705" s="13"/>
      <c r="AP705" s="15"/>
      <c r="AQ705" s="45"/>
      <c r="AR705" s="15"/>
      <c r="AS705" s="13"/>
      <c r="AT705" s="15"/>
      <c r="AU705" s="45"/>
      <c r="AV705" s="15"/>
      <c r="AW705" s="13"/>
      <c r="AX705" s="15"/>
      <c r="AY705" s="45"/>
      <c r="AZ705" s="28"/>
      <c r="BA705" s="13"/>
      <c r="BB705" s="15"/>
      <c r="BC705" s="45"/>
      <c r="BD705" s="28"/>
      <c r="BE705" s="14"/>
      <c r="BF705" s="41">
        <f t="shared" ref="BF705:BG705" si="2089">K705+O705+S705+W705+AA705+AE705+AI705+AM705+AQ705+AU705+AY705+BC705</f>
        <v>5239</v>
      </c>
      <c r="BG705" s="34">
        <f t="shared" si="2089"/>
        <v>5239</v>
      </c>
      <c r="BH705" s="35">
        <f t="shared" si="2080"/>
        <v>0</v>
      </c>
      <c r="BK705" s="2" t="b">
        <f>H705='2021'!BH705</f>
        <v>1</v>
      </c>
    </row>
    <row r="706" ht="15.75" customHeight="1" spans="1:63" x14ac:dyDescent="0.25">
      <c r="A706" s="2">
        <v>78</v>
      </c>
      <c r="B706" s="14"/>
      <c r="C706" s="2" t="s">
        <v>274</v>
      </c>
      <c r="D706" s="14" t="s">
        <v>51</v>
      </c>
      <c r="E706" s="2" t="s">
        <v>39</v>
      </c>
      <c r="F706" s="41">
        <v>500</v>
      </c>
      <c r="G706" s="28"/>
      <c r="H706" s="34">
        <f>'2021'!BH706</f>
        <v>0</v>
      </c>
      <c r="I706" s="13"/>
      <c r="J706" s="15"/>
      <c r="K706" s="15"/>
      <c r="L706" s="28"/>
      <c r="M706" s="13"/>
      <c r="N706" s="15"/>
      <c r="Q706" s="13"/>
      <c r="R706" s="15"/>
      <c r="S706" s="15"/>
      <c r="T706" s="28"/>
      <c r="U706" s="13"/>
      <c r="V706" s="15"/>
      <c r="Y706" s="13"/>
      <c r="Z706" s="2"/>
      <c r="AA706" s="15"/>
      <c r="AB706" s="28"/>
      <c r="AC706" s="348"/>
      <c r="AD706" s="15"/>
      <c r="AE706" s="180">
        <f>$F$13</f>
        <v>1000</v>
      </c>
      <c r="AF706" s="182"/>
      <c r="AG706" s="15"/>
      <c r="AH706" s="2"/>
      <c r="AI706" s="45"/>
      <c r="AJ706" s="15"/>
      <c r="AK706" s="15"/>
      <c r="AL706" s="15"/>
      <c r="AM706" s="45"/>
      <c r="AN706" s="15"/>
      <c r="AO706" s="13"/>
      <c r="AP706" s="15"/>
      <c r="AQ706" s="180"/>
      <c r="AR706" s="154">
        <v>1000</v>
      </c>
      <c r="AS706" s="13"/>
      <c r="AT706" s="15"/>
      <c r="AU706" s="45"/>
      <c r="AV706" s="15"/>
      <c r="AW706" s="13"/>
      <c r="AX706" s="15"/>
      <c r="AY706" s="45"/>
      <c r="AZ706" s="28"/>
      <c r="BA706" s="13"/>
      <c r="BB706" s="15"/>
      <c r="BC706" s="45"/>
      <c r="BD706" s="28"/>
      <c r="BE706" s="14"/>
      <c r="BF706" s="41">
        <f t="shared" ref="BF706:BG706" si="2090">K706+O706+S706+W706+AA706+AE706+AI706+AM706+AQ706+AU706+AY706+BC706</f>
        <v>1000</v>
      </c>
      <c r="BG706" s="34">
        <f t="shared" si="2090"/>
        <v>1000</v>
      </c>
      <c r="BH706" s="35">
        <f t="shared" si="2080"/>
        <v>0</v>
      </c>
      <c r="BK706" s="2" t="b">
        <f>H706='2021'!BH706</f>
        <v>1</v>
      </c>
    </row>
    <row r="707" ht="15.75" customHeight="1" spans="1:63" x14ac:dyDescent="0.25">
      <c r="A707" s="2">
        <v>78</v>
      </c>
      <c r="B707" s="14"/>
      <c r="D707" s="14" t="s">
        <v>51</v>
      </c>
      <c r="E707" s="2" t="s">
        <v>49</v>
      </c>
      <c r="F707" s="41">
        <v>500</v>
      </c>
      <c r="G707" s="28"/>
      <c r="H707" s="34">
        <f>'2021'!BH707</f>
        <v>0</v>
      </c>
      <c r="I707" s="13"/>
      <c r="J707" s="15"/>
      <c r="K707" s="15"/>
      <c r="L707" s="28"/>
      <c r="M707" s="13"/>
      <c r="N707" s="15"/>
      <c r="Q707" s="13"/>
      <c r="R707" s="15"/>
      <c r="S707" s="15"/>
      <c r="T707" s="28"/>
      <c r="U707" s="13"/>
      <c r="V707" s="15"/>
      <c r="Y707" s="13"/>
      <c r="Z707" s="2"/>
      <c r="AA707" s="15"/>
      <c r="AB707" s="28"/>
      <c r="AC707" s="348"/>
      <c r="AD707" s="15"/>
      <c r="AE707" s="34"/>
      <c r="AF707" s="182"/>
      <c r="AG707" s="15"/>
      <c r="AH707" s="2"/>
      <c r="AI707" s="45"/>
      <c r="AJ707" s="15"/>
      <c r="AK707" s="15"/>
      <c r="AL707" s="15"/>
      <c r="AM707" s="45"/>
      <c r="AN707" s="15"/>
      <c r="AO707" s="13"/>
      <c r="AP707" s="15"/>
      <c r="AQ707" s="180">
        <f>B702*$F$14</f>
        <v>0</v>
      </c>
      <c r="AR707" s="15"/>
      <c r="AS707" s="13"/>
      <c r="AT707" s="15"/>
      <c r="AU707" s="45"/>
      <c r="AV707" s="15"/>
      <c r="AW707" s="13"/>
      <c r="AX707" s="15"/>
      <c r="AY707" s="45"/>
      <c r="AZ707" s="28"/>
      <c r="BA707" s="13"/>
      <c r="BB707" s="15"/>
      <c r="BC707" s="45"/>
      <c r="BD707" s="28"/>
      <c r="BE707" s="14"/>
      <c r="BF707" s="41">
        <f t="shared" ref="BF707:BG707" si="2091">K707+O707+S707+W707+AA707+AE707+AI707+AM707+AQ707+AU707+AY707+BC707</f>
        <v>0</v>
      </c>
      <c r="BG707" s="34">
        <f t="shared" si="2091"/>
        <v>0</v>
      </c>
      <c r="BH707" s="35">
        <f t="shared" si="2080"/>
        <v>0</v>
      </c>
      <c r="BK707" s="2" t="b">
        <f>H707='2021'!BH707</f>
        <v>1</v>
      </c>
    </row>
    <row r="708" ht="15.75" customHeight="1" spans="1:63" x14ac:dyDescent="0.25">
      <c r="A708" s="2">
        <v>78</v>
      </c>
      <c r="B708" s="14"/>
      <c r="D708" s="14" t="s">
        <v>52</v>
      </c>
      <c r="E708" s="2" t="s">
        <v>39</v>
      </c>
      <c r="F708" s="41">
        <v>500</v>
      </c>
      <c r="G708" s="28"/>
      <c r="H708" s="34">
        <f>'2021'!BH708</f>
        <v>0</v>
      </c>
      <c r="I708" s="13"/>
      <c r="J708" s="15"/>
      <c r="K708" s="15"/>
      <c r="L708" s="28"/>
      <c r="M708" s="13"/>
      <c r="N708" s="15"/>
      <c r="Q708" s="13"/>
      <c r="R708" s="15"/>
      <c r="S708" s="15"/>
      <c r="T708" s="28"/>
      <c r="U708" s="13"/>
      <c r="V708" s="15"/>
      <c r="Y708" s="13"/>
      <c r="Z708" s="2"/>
      <c r="AA708" s="34">
        <f>$F$15</f>
      </c>
      <c r="AB708" s="35"/>
      <c r="AC708" s="348"/>
      <c r="AD708" s="15"/>
      <c r="AF708" s="182"/>
      <c r="AG708" s="15"/>
      <c r="AH708" s="2"/>
      <c r="AI708" s="45"/>
      <c r="AJ708" s="15"/>
      <c r="AK708" s="15"/>
      <c r="AL708" s="15"/>
      <c r="AM708" s="45"/>
      <c r="AN708" s="15"/>
      <c r="AO708" s="13"/>
      <c r="AP708" s="15"/>
      <c r="AQ708" s="45"/>
      <c r="AR708" s="15"/>
      <c r="AS708" s="13"/>
      <c r="AT708" s="15"/>
      <c r="AU708" s="45"/>
      <c r="AV708" s="15"/>
      <c r="AW708" s="13"/>
      <c r="AX708" s="15"/>
      <c r="AY708" s="45"/>
      <c r="AZ708" s="35"/>
      <c r="BA708" s="13"/>
      <c r="BB708" s="15"/>
      <c r="BC708" s="45"/>
      <c r="BD708" s="35"/>
      <c r="BE708" s="14"/>
      <c r="BF708" s="41">
        <f t="shared" ref="BF708:BG708" si="2092">K708+O708+S708+W708+AA708+AE708+AI708+AM708+AQ708+AU708+AY708+BC708</f>
        <v>0</v>
      </c>
      <c r="BG708" s="34">
        <f t="shared" si="2092"/>
        <v>0</v>
      </c>
      <c r="BH708" s="35">
        <f t="shared" si="2080"/>
        <v>0</v>
      </c>
      <c r="BK708" s="2" t="b">
        <f>H708='2021'!BH708</f>
        <v>1</v>
      </c>
    </row>
    <row r="709" ht="15.75" customHeight="1" spans="1:63" x14ac:dyDescent="0.25">
      <c r="A709" s="247">
        <v>78</v>
      </c>
      <c r="B709" s="21"/>
      <c r="C709" s="22" t="s">
        <v>53</v>
      </c>
      <c r="D709" s="21"/>
      <c r="E709" s="22"/>
      <c r="F709" s="20"/>
      <c r="G709" s="23"/>
      <c r="H709" s="51">
        <f>SUM(H701:H708)</f>
        <v>86.4</v>
      </c>
      <c r="I709" s="52"/>
      <c r="J709" s="53"/>
      <c r="K709" s="51">
        <f t="shared" ref="K709:L709" si="2093">SUM(K701:K708)</f>
        <v>0</v>
      </c>
      <c r="L709" s="68">
        <f t="shared" si="2093"/>
        <v>0</v>
      </c>
      <c r="M709" s="52"/>
      <c r="N709" s="53"/>
      <c r="O709" s="51">
        <f t="shared" ref="O709:P709" si="2094">SUM(O701:O708)</f>
        <v>0</v>
      </c>
      <c r="P709" s="51">
        <f t="shared" si="2094"/>
        <v>0</v>
      </c>
      <c r="Q709" s="52"/>
      <c r="R709" s="53"/>
      <c r="S709" s="51">
        <f t="shared" ref="S709:T709" si="2095">SUM(S701:S708)</f>
        <v>0</v>
      </c>
      <c r="T709" s="51">
        <f t="shared" si="2095"/>
        <v>0</v>
      </c>
      <c r="U709" s="52"/>
      <c r="V709" s="53"/>
      <c r="W709" s="51">
        <f t="shared" ref="W709:X709" si="2096">SUM(W701:W708)</f>
        <v>0</v>
      </c>
      <c r="X709" s="51">
        <f t="shared" si="2096"/>
        <v>0</v>
      </c>
      <c r="Y709" s="52"/>
      <c r="Z709" s="301"/>
      <c r="AA709" s="51">
        <f t="shared" ref="AA709:AB709" si="2097">SUM(AA701:AA708)</f>
        <v>5.4</v>
      </c>
      <c r="AB709" s="51">
        <f t="shared" si="2097"/>
        <v>0</v>
      </c>
      <c r="AC709" s="367"/>
      <c r="AD709" s="53"/>
      <c r="AE709" s="51">
        <f t="shared" ref="AE709:AF709" si="2098">SUM(AE701:AE708)</f>
        <v>6247.1</v>
      </c>
      <c r="AF709" s="51">
        <f t="shared" si="2098"/>
        <v>5513.95</v>
      </c>
      <c r="AG709" s="52"/>
      <c r="AH709" s="301"/>
      <c r="AI709" s="183">
        <f t="shared" ref="AI709:AJ709" si="2099">SUM(AI701:AI708)</f>
        <v>366.39776</v>
      </c>
      <c r="AJ709" s="51">
        <f t="shared" si="2099"/>
        <v>171.2</v>
      </c>
      <c r="AK709" s="52"/>
      <c r="AL709" s="53"/>
      <c r="AM709" s="183">
        <f t="shared" ref="AM709:AN709" si="2100">SUM(AM701:AM708)</f>
        <v>109.52888</v>
      </c>
      <c r="AN709" s="51">
        <f t="shared" si="2100"/>
        <v>129.68</v>
      </c>
      <c r="AO709" s="52"/>
      <c r="AP709" s="53"/>
      <c r="AQ709" s="183">
        <f t="shared" ref="AQ709:AR709" si="2101">SUM(AQ701:AQ708)</f>
        <v>127.32944</v>
      </c>
      <c r="AR709" s="51">
        <f t="shared" si="2101"/>
        <v>1127.33</v>
      </c>
      <c r="AS709" s="52"/>
      <c r="AT709" s="53"/>
      <c r="AU709" s="183">
        <f t="shared" ref="AU709:AV709" si="2102">SUM(AU701:AU708)</f>
        <v>0</v>
      </c>
      <c r="AV709" s="68">
        <f t="shared" si="2102"/>
        <v>0</v>
      </c>
      <c r="AW709" s="52"/>
      <c r="AX709" s="53"/>
      <c r="AY709" s="183">
        <f t="shared" ref="AY709:AZ709" si="2103">SUM(AY701:AY708)</f>
        <v>0</v>
      </c>
      <c r="AZ709" s="68">
        <f t="shared" si="2103"/>
        <v>0</v>
      </c>
      <c r="BA709" s="52"/>
      <c r="BB709" s="53"/>
      <c r="BC709" s="183">
        <f t="shared" ref="BC709:BD709" si="2104">SUM(BC701:BC708)</f>
        <v>0</v>
      </c>
      <c r="BD709" s="68">
        <f t="shared" si="2104"/>
        <v>0</v>
      </c>
      <c r="BE709" s="69"/>
      <c r="BF709" s="70">
        <f t="shared" ref="BF709:BH709" si="2105">SUM(BF701:BF708)</f>
        <v>6855.75608</v>
      </c>
      <c r="BG709" s="71">
        <f t="shared" si="2105"/>
        <v>6942.16</v>
      </c>
      <c r="BH709" s="72">
        <f t="shared" si="2105"/>
        <v>-0.003919999999</v>
      </c>
      <c r="BI709" s="34">
        <f>H709+BF709-BG709</f>
        <v>-0.003919999998</v>
      </c>
      <c r="BJ709" s="34">
        <f>BH709-BI709</f>
        <v>0</v>
      </c>
      <c r="BK709" s="2" t="b">
        <f>H709='2021'!BH709</f>
        <v>1</v>
      </c>
    </row>
    <row r="710" ht="15.75" customHeight="1" spans="1:63" x14ac:dyDescent="0.25">
      <c r="A710" s="2">
        <v>79</v>
      </c>
      <c r="B710" s="14"/>
      <c r="D710" s="14" t="s">
        <v>411</v>
      </c>
      <c r="E710" s="2" t="s">
        <v>39</v>
      </c>
      <c r="F710" s="41"/>
      <c r="G710" s="28"/>
      <c r="H710" s="34">
        <f>'2021'!BH710</f>
        <v>148.62</v>
      </c>
      <c r="I710" s="13"/>
      <c r="J710" s="15"/>
      <c r="K710" s="34"/>
      <c r="L710" s="28"/>
      <c r="M710" s="13"/>
      <c r="N710" s="15"/>
      <c r="Q710" s="13"/>
      <c r="R710" s="15"/>
      <c r="S710" s="15">
        <v>26.4</v>
      </c>
      <c r="T710" s="28"/>
      <c r="U710" s="13"/>
      <c r="V710" s="15"/>
      <c r="W710" s="2">
        <v>25.55</v>
      </c>
      <c r="X710" s="15"/>
      <c r="Y710" s="13"/>
      <c r="Z710" s="2"/>
      <c r="AA710" s="15">
        <v>26.4</v>
      </c>
      <c r="AB710" s="28"/>
      <c r="AC710" s="348"/>
      <c r="AD710" s="15"/>
      <c r="AE710" s="2">
        <v>25.55</v>
      </c>
      <c r="AG710" s="15"/>
      <c r="AH710" s="2"/>
      <c r="AI710" s="45">
        <v>26.4</v>
      </c>
      <c r="AJ710" s="15"/>
      <c r="AK710" s="15"/>
      <c r="AM710" s="45"/>
      <c r="AN710" s="15"/>
      <c r="AO710" s="13"/>
      <c r="AQ710" s="307"/>
      <c r="AR710" s="15"/>
      <c r="AS710" s="13"/>
      <c r="AU710" s="180"/>
      <c r="AV710" s="15"/>
      <c r="AW710" s="13"/>
      <c r="AY710" s="180"/>
      <c r="AZ710" s="28"/>
      <c r="BA710" s="13"/>
      <c r="BB710" s="15"/>
      <c r="BC710" s="180"/>
      <c r="BD710" s="28"/>
      <c r="BE710" s="14"/>
      <c r="BF710" s="41">
        <f t="shared" ref="BF710:BG710" si="2106">K710+O710+S710+W710+AA710+AE710+AI710+AM710+AQ710+AU710+AY710+BC710</f>
        <v>130.3</v>
      </c>
      <c r="BG710" s="34">
        <f t="shared" si="2106"/>
        <v>0</v>
      </c>
      <c r="BH710" s="35">
        <f t="shared" ref="BH710:BH717" si="2107">H710+BF710-BG710</f>
        <v>278.92</v>
      </c>
      <c r="BK710" s="2" t="b">
        <f>H710='2021'!BH710</f>
        <v>1</v>
      </c>
    </row>
    <row r="711" ht="15.75" customHeight="1" spans="1:63" x14ac:dyDescent="0.25">
      <c r="A711" s="147">
        <v>79</v>
      </c>
      <c r="B711" s="14">
        <v>4.24</v>
      </c>
      <c r="C711" s="2" t="s">
        <v>508</v>
      </c>
      <c r="D711" s="14" t="s">
        <v>44</v>
      </c>
      <c r="E711" s="2" t="s">
        <v>45</v>
      </c>
      <c r="F711" s="41">
        <v>2.5</v>
      </c>
      <c r="G711" s="35">
        <v>2.6</v>
      </c>
      <c r="H711" s="34">
        <f>'2021'!BH711</f>
        <v>40.4</v>
      </c>
      <c r="I711" s="13">
        <v>43</v>
      </c>
      <c r="J711" s="15">
        <f>I711-'2021'!BA711</f>
        <v>0</v>
      </c>
      <c r="K711" s="34">
        <f>J711*$F$8</f>
        <v>0</v>
      </c>
      <c r="L711" s="28"/>
      <c r="M711" s="13">
        <v>43</v>
      </c>
      <c r="N711" s="15">
        <f t="shared" ref="N711:N712" si="2108">M711-I711</f>
        <v>0</v>
      </c>
      <c r="O711" s="34">
        <f>N711*$F$8</f>
        <v>0</v>
      </c>
      <c r="Q711" s="13">
        <v>43</v>
      </c>
      <c r="R711" s="15">
        <f t="shared" ref="R711:R712" si="2109">Q711-M711</f>
        <v>0</v>
      </c>
      <c r="S711" s="34">
        <f>R711*$F$8</f>
        <v>0</v>
      </c>
      <c r="T711" s="28"/>
      <c r="U711" s="13">
        <v>43</v>
      </c>
      <c r="V711" s="15">
        <f t="shared" ref="V711:V712" si="2110">U711-Q711</f>
        <v>0</v>
      </c>
      <c r="W711" s="34">
        <f>V711*$F$8</f>
        <v>0</v>
      </c>
      <c r="X711" s="15"/>
      <c r="Y711" s="13">
        <v>52</v>
      </c>
      <c r="Z711" s="2">
        <f t="shared" ref="Z711:Z712" si="2111">Y711-U711</f>
        <v>9</v>
      </c>
      <c r="AA711" s="34">
        <f>Z711*$F$8</f>
        <v>24.3</v>
      </c>
      <c r="AB711" s="28"/>
      <c r="AC711" s="350">
        <v>52</v>
      </c>
      <c r="AD711" s="15">
        <f t="shared" ref="AD711:AD712" si="2112">AC711-Y711</f>
        <v>0</v>
      </c>
      <c r="AE711" s="180">
        <f>AD711*$F$8</f>
        <v>0</v>
      </c>
      <c r="AG711" s="13">
        <v>54</v>
      </c>
      <c r="AH711" s="2">
        <f>(AG711-AC711)*AH5</f>
        <v>2.112</v>
      </c>
      <c r="AI711" s="45">
        <f>AH711*$G$8</f>
        <v>5.19552</v>
      </c>
      <c r="AJ711" s="15"/>
      <c r="AK711" s="13">
        <v>54</v>
      </c>
      <c r="AL711" s="15">
        <f>(AK711-AG711)*AL5</f>
        <v>0</v>
      </c>
      <c r="AM711" s="45">
        <f>AL711*$G$8</f>
        <v>0</v>
      </c>
      <c r="AN711" s="15"/>
      <c r="AO711" s="13">
        <v>54</v>
      </c>
      <c r="AP711" s="15">
        <f>(AO711-AK711)*AP5</f>
        <v>0</v>
      </c>
      <c r="AQ711" s="45">
        <f>AP711*$G$8</f>
        <v>0</v>
      </c>
      <c r="AR711" s="15"/>
      <c r="AS711" s="13">
        <v>54</v>
      </c>
      <c r="AT711" s="15">
        <f>(AS711-AO711)*AT5</f>
        <v>0</v>
      </c>
      <c r="AU711" s="45">
        <f>AT711*$G$8</f>
        <v>0</v>
      </c>
      <c r="AV711" s="15"/>
      <c r="AW711" s="13"/>
      <c r="AX711" s="15">
        <f>(AW711-AS711)*AX5</f>
        <v>0</v>
      </c>
      <c r="AY711" s="45">
        <f>AX711*$G$8</f>
        <v>0</v>
      </c>
      <c r="AZ711" s="208"/>
      <c r="BA711" s="13"/>
      <c r="BB711" s="15"/>
      <c r="BC711" s="45">
        <f>BB711*$G$8</f>
        <v>0</v>
      </c>
      <c r="BD711" s="208"/>
      <c r="BE711" s="40">
        <f t="shared" ref="BE711:BG711" si="2113">J711+N711+R711+V711+Z711+AD711+AH711+AL711+AP711+AT711+AX711+BB711</f>
        <v>11.112</v>
      </c>
      <c r="BF711" s="41">
        <f t="shared" si="2113"/>
        <v>29.49552</v>
      </c>
      <c r="BG711" s="34">
        <f t="shared" si="2113"/>
        <v>0</v>
      </c>
      <c r="BH711" s="35">
        <f t="shared" si="2107"/>
        <v>69.89552</v>
      </c>
      <c r="BK711" s="2" t="b">
        <f>H711='2021'!BH711</f>
        <v>1</v>
      </c>
    </row>
    <row r="712" ht="15.75" customHeight="1" spans="1:63" x14ac:dyDescent="0.25">
      <c r="A712" s="2">
        <v>79</v>
      </c>
      <c r="B712" s="14"/>
      <c r="C712" s="2" t="s">
        <v>104</v>
      </c>
      <c r="D712" s="14" t="s">
        <v>47</v>
      </c>
      <c r="E712" s="2" t="s">
        <v>48</v>
      </c>
      <c r="F712" s="13">
        <v>18.56</v>
      </c>
      <c r="G712" s="35">
        <v>19.46</v>
      </c>
      <c r="H712" s="34">
        <f>'2021'!BH712</f>
        <v>78.74</v>
      </c>
      <c r="I712" s="13">
        <v>6</v>
      </c>
      <c r="J712" s="15"/>
      <c r="K712" s="15"/>
      <c r="L712" s="28"/>
      <c r="M712" s="13">
        <v>6</v>
      </c>
      <c r="N712" s="15">
        <f t="shared" si="2108"/>
        <v>0</v>
      </c>
      <c r="Q712" s="13">
        <v>6</v>
      </c>
      <c r="R712" s="15">
        <f t="shared" si="2109"/>
        <v>0</v>
      </c>
      <c r="S712" s="15"/>
      <c r="T712" s="28"/>
      <c r="U712" s="13">
        <v>6</v>
      </c>
      <c r="V712" s="15">
        <f t="shared" si="2110"/>
        <v>0</v>
      </c>
      <c r="W712" s="180">
        <f>V712*$F$10</f>
        <v>0</v>
      </c>
      <c r="X712" s="15"/>
      <c r="Y712" s="13">
        <v>6</v>
      </c>
      <c r="Z712" s="2">
        <f t="shared" si="2111"/>
        <v>0</v>
      </c>
      <c r="AA712" s="34">
        <f>Z712*$F$10</f>
        <v>0</v>
      </c>
      <c r="AB712" s="28"/>
      <c r="AC712" s="348">
        <v>6</v>
      </c>
      <c r="AD712" s="15">
        <f t="shared" si="2112"/>
        <v>0</v>
      </c>
      <c r="AE712" s="34">
        <f>AD712*$F$10</f>
        <v>0</v>
      </c>
      <c r="AG712" s="15">
        <v>6</v>
      </c>
      <c r="AH712" s="2">
        <f>AG712-AC712</f>
        <v>0</v>
      </c>
      <c r="AI712" s="45">
        <f>AH712*$G$10</f>
        <v>0</v>
      </c>
      <c r="AJ712" s="15"/>
      <c r="AK712" s="15">
        <v>6</v>
      </c>
      <c r="AL712" s="15">
        <f>AK712-AG712</f>
        <v>0</v>
      </c>
      <c r="AM712" s="45">
        <f>AL712*$G$10</f>
        <v>0</v>
      </c>
      <c r="AN712" s="15"/>
      <c r="AO712" s="13">
        <v>6</v>
      </c>
      <c r="AP712" s="15">
        <f>AO712-AK712</f>
        <v>0</v>
      </c>
      <c r="AQ712" s="45">
        <f>AP712*$G$10</f>
        <v>0</v>
      </c>
      <c r="AR712" s="15"/>
      <c r="AS712" s="13">
        <v>6</v>
      </c>
      <c r="AT712" s="15">
        <f>AS712-AO712</f>
        <v>0</v>
      </c>
      <c r="AU712" s="45">
        <f>AT712*$G$10</f>
        <v>0</v>
      </c>
      <c r="AV712" s="15"/>
      <c r="AW712" s="13"/>
      <c r="AX712" s="15">
        <f>AW712-AS712</f>
        <v>-6</v>
      </c>
      <c r="AY712" s="45"/>
      <c r="AZ712" s="208"/>
      <c r="BA712" s="13"/>
      <c r="BB712" s="15"/>
      <c r="BC712" s="45"/>
      <c r="BD712" s="208"/>
      <c r="BE712" s="40">
        <f t="shared" ref="BE712:BG712" si="2114">J712+N712+R712+V712+Z712+AD712+AH712+AL712+AP712+AT712+AX712+BB712</f>
        <v>-6</v>
      </c>
      <c r="BF712" s="41">
        <f t="shared" si="2114"/>
        <v>0</v>
      </c>
      <c r="BG712" s="34">
        <f t="shared" si="2114"/>
        <v>0</v>
      </c>
      <c r="BH712" s="35">
        <f t="shared" si="2107"/>
        <v>78.74</v>
      </c>
      <c r="BK712" s="2" t="b">
        <f>H712='2021'!BH712</f>
        <v>1</v>
      </c>
    </row>
    <row r="713" ht="15.75" customHeight="1" spans="1:63" x14ac:dyDescent="0.25">
      <c r="A713" s="2">
        <v>79</v>
      </c>
      <c r="B713" s="14"/>
      <c r="C713" s="73" t="s">
        <v>413</v>
      </c>
      <c r="D713" s="14" t="s">
        <v>47</v>
      </c>
      <c r="E713" s="2" t="s">
        <v>49</v>
      </c>
      <c r="F713" s="41">
        <v>500</v>
      </c>
      <c r="G713" s="28"/>
      <c r="H713" s="34">
        <f>'2021'!BH713</f>
        <v>0</v>
      </c>
      <c r="I713" s="13"/>
      <c r="J713" s="15"/>
      <c r="K713" s="15"/>
      <c r="L713" s="28"/>
      <c r="M713" s="13"/>
      <c r="N713" s="15"/>
      <c r="Q713" s="13"/>
      <c r="R713" s="15"/>
      <c r="S713" s="15"/>
      <c r="T713" s="28"/>
      <c r="U713" s="13"/>
      <c r="V713" s="15"/>
      <c r="X713" s="1"/>
      <c r="Y713" s="13"/>
      <c r="Z713" s="2"/>
      <c r="AA713" s="34"/>
      <c r="AB713" s="28"/>
      <c r="AC713" s="348"/>
      <c r="AD713" s="15"/>
      <c r="AG713" s="15"/>
      <c r="AH713" s="2"/>
      <c r="AI713" s="45"/>
      <c r="AJ713" s="15"/>
      <c r="AK713" s="15"/>
      <c r="AL713" s="15"/>
      <c r="AM713" s="45"/>
      <c r="AN713" s="15"/>
      <c r="AO713" s="13"/>
      <c r="AP713" s="15"/>
      <c r="AQ713" s="45"/>
      <c r="AR713" s="15"/>
      <c r="AS713" s="13"/>
      <c r="AT713" s="15"/>
      <c r="AU713" s="45"/>
      <c r="AV713" s="15"/>
      <c r="AW713" s="13"/>
      <c r="AX713" s="15"/>
      <c r="AY713" s="45"/>
      <c r="AZ713" s="28"/>
      <c r="BA713" s="13"/>
      <c r="BB713" s="15"/>
      <c r="BC713" s="45"/>
      <c r="BD713" s="28"/>
      <c r="BE713" s="14"/>
      <c r="BF713" s="41">
        <f t="shared" ref="BF713:BG713" si="2115">K713+O713+S713+W713+AA713+AE713+AI713+AM713+AQ713+AU713+AY713+BC713</f>
        <v>0</v>
      </c>
      <c r="BG713" s="34">
        <f t="shared" si="2115"/>
        <v>0</v>
      </c>
      <c r="BH713" s="35">
        <f t="shared" si="2107"/>
        <v>0</v>
      </c>
      <c r="BK713" s="2" t="b">
        <f>H713='2021'!BH713</f>
        <v>1</v>
      </c>
    </row>
    <row r="714" ht="15.75" customHeight="1" spans="1:63" x14ac:dyDescent="0.25">
      <c r="A714" s="2">
        <v>79</v>
      </c>
      <c r="B714" s="14"/>
      <c r="C714" s="73"/>
      <c r="D714" s="14" t="s">
        <v>50</v>
      </c>
      <c r="E714" s="2" t="s">
        <v>49</v>
      </c>
      <c r="F714" s="41">
        <v>1100</v>
      </c>
      <c r="G714" s="28"/>
      <c r="H714" s="34">
        <f>'2021'!BH714</f>
        <v>5895.86</v>
      </c>
      <c r="I714" s="13"/>
      <c r="J714" s="15"/>
      <c r="K714" s="15"/>
      <c r="L714" s="28"/>
      <c r="M714" s="13"/>
      <c r="N714" s="15"/>
      <c r="Q714" s="13"/>
      <c r="R714" s="15"/>
      <c r="S714" s="15"/>
      <c r="T714" s="28"/>
      <c r="U714" s="13"/>
      <c r="V714" s="15"/>
      <c r="X714" s="15"/>
      <c r="Y714" s="13"/>
      <c r="Z714" s="2"/>
      <c r="AA714" s="15"/>
      <c r="AB714" s="32"/>
      <c r="AC714" s="348"/>
      <c r="AD714" s="15"/>
      <c r="AE714" s="34">
        <f>B711*$F$12</f>
        <v>5512</v>
      </c>
      <c r="AF714" s="34"/>
      <c r="AG714" s="15"/>
      <c r="AH714" s="2"/>
      <c r="AI714" s="45"/>
      <c r="AJ714" s="180"/>
      <c r="AK714" s="15"/>
      <c r="AL714" s="15"/>
      <c r="AM714" s="45"/>
      <c r="AN714" s="15"/>
      <c r="AO714" s="13"/>
      <c r="AP714" s="15"/>
      <c r="AQ714" s="45"/>
      <c r="AR714" s="15"/>
      <c r="AS714" s="13"/>
      <c r="AT714" s="15"/>
      <c r="AU714" s="45"/>
      <c r="AV714" s="15"/>
      <c r="AW714" s="13"/>
      <c r="AX714" s="15"/>
      <c r="AY714" s="45"/>
      <c r="AZ714" s="28"/>
      <c r="BA714" s="13"/>
      <c r="BB714" s="15"/>
      <c r="BC714" s="45"/>
      <c r="BD714" s="28"/>
      <c r="BE714" s="14"/>
      <c r="BF714" s="41">
        <f t="shared" ref="BF714:BG714" si="2116">K714+O714+S714+W714+AA714+AE714+AI714+AM714+AQ714+AU714+AY714+BC714</f>
        <v>5512</v>
      </c>
      <c r="BG714" s="34">
        <f t="shared" si="2116"/>
        <v>0</v>
      </c>
      <c r="BH714" s="35">
        <f t="shared" si="2107"/>
        <v>11407.86</v>
      </c>
      <c r="BK714" s="2" t="b">
        <f>H714='2021'!BH714</f>
        <v>1</v>
      </c>
    </row>
    <row r="715" ht="15.75" customHeight="1" spans="1:63" x14ac:dyDescent="0.25">
      <c r="A715" s="2">
        <v>79</v>
      </c>
      <c r="B715" s="14"/>
      <c r="C715" s="73" t="s">
        <v>435</v>
      </c>
      <c r="D715" s="14" t="s">
        <v>51</v>
      </c>
      <c r="E715" s="2" t="s">
        <v>39</v>
      </c>
      <c r="F715" s="41">
        <v>500</v>
      </c>
      <c r="G715" s="28"/>
      <c r="H715" s="34">
        <f>'2021'!BH715</f>
        <v>500</v>
      </c>
      <c r="I715" s="13"/>
      <c r="J715" s="15"/>
      <c r="K715" s="15"/>
      <c r="L715" s="28"/>
      <c r="M715" s="13"/>
      <c r="N715" s="15"/>
      <c r="Q715" s="13"/>
      <c r="R715" s="15"/>
      <c r="S715" s="15"/>
      <c r="T715" s="28"/>
      <c r="U715" s="13"/>
      <c r="V715" s="15"/>
      <c r="Y715" s="13"/>
      <c r="Z715" s="2"/>
      <c r="AA715" s="15"/>
      <c r="AB715" s="28"/>
      <c r="AC715" s="348"/>
      <c r="AD715" s="15"/>
      <c r="AE715" s="180">
        <f>$F$13</f>
        <v>1000</v>
      </c>
      <c r="AG715" s="15"/>
      <c r="AH715" s="2"/>
      <c r="AI715" s="45"/>
      <c r="AJ715" s="15"/>
      <c r="AK715" s="15"/>
      <c r="AL715" s="15"/>
      <c r="AM715" s="45"/>
      <c r="AN715" s="15"/>
      <c r="AO715" s="13"/>
      <c r="AP715" s="15"/>
      <c r="AQ715" s="180"/>
      <c r="AR715" s="15"/>
      <c r="AS715" s="13"/>
      <c r="AT715" s="15"/>
      <c r="AU715" s="45"/>
      <c r="AV715" s="15"/>
      <c r="AW715" s="13"/>
      <c r="AX715" s="15"/>
      <c r="AY715" s="45"/>
      <c r="AZ715" s="28"/>
      <c r="BA715" s="13"/>
      <c r="BB715" s="15"/>
      <c r="BC715" s="45"/>
      <c r="BD715" s="28"/>
      <c r="BE715" s="14"/>
      <c r="BF715" s="41">
        <f t="shared" ref="BF715:BG715" si="2117">K715+O715+S715+W715+AA715+AE715+AI715+AM715+AQ715+AU715+AY715+BC715</f>
        <v>1000</v>
      </c>
      <c r="BG715" s="34">
        <f t="shared" si="2117"/>
        <v>0</v>
      </c>
      <c r="BH715" s="35">
        <f t="shared" si="2107"/>
        <v>1500</v>
      </c>
      <c r="BK715" s="2" t="b">
        <f>H715='2021'!BH715</f>
        <v>1</v>
      </c>
    </row>
    <row r="716" ht="15.75" customHeight="1" spans="1:63" x14ac:dyDescent="0.25">
      <c r="A716" s="2">
        <v>79</v>
      </c>
      <c r="B716" s="14"/>
      <c r="C716" s="73" t="s">
        <v>332</v>
      </c>
      <c r="D716" s="14" t="s">
        <v>51</v>
      </c>
      <c r="E716" s="2" t="s">
        <v>49</v>
      </c>
      <c r="F716" s="41">
        <v>500</v>
      </c>
      <c r="G716" s="28"/>
      <c r="H716" s="34">
        <f>'2021'!BH716</f>
        <v>2120</v>
      </c>
      <c r="I716" s="13"/>
      <c r="J716" s="15"/>
      <c r="K716" s="15"/>
      <c r="L716" s="28"/>
      <c r="M716" s="13"/>
      <c r="N716" s="15"/>
      <c r="Q716" s="13"/>
      <c r="R716" s="15"/>
      <c r="S716" s="15"/>
      <c r="T716" s="28"/>
      <c r="U716" s="13"/>
      <c r="V716" s="15"/>
      <c r="Y716" s="13"/>
      <c r="Z716" s="2"/>
      <c r="AA716" s="15"/>
      <c r="AB716" s="28"/>
      <c r="AC716" s="348"/>
      <c r="AD716" s="15"/>
      <c r="AE716" s="34"/>
      <c r="AG716" s="15"/>
      <c r="AH716" s="2"/>
      <c r="AI716" s="45"/>
      <c r="AJ716" s="15"/>
      <c r="AK716" s="15"/>
      <c r="AL716" s="15"/>
      <c r="AM716" s="45"/>
      <c r="AN716" s="15"/>
      <c r="AO716" s="13"/>
      <c r="AP716" s="15"/>
      <c r="AQ716" s="180">
        <f>B711*$F$14</f>
        <v>0</v>
      </c>
      <c r="AR716" s="15"/>
      <c r="AS716" s="13"/>
      <c r="AT716" s="15"/>
      <c r="AU716" s="45"/>
      <c r="AV716" s="15"/>
      <c r="AW716" s="13"/>
      <c r="AX716" s="15"/>
      <c r="AY716" s="45"/>
      <c r="AZ716" s="28"/>
      <c r="BA716" s="13"/>
      <c r="BB716" s="15"/>
      <c r="BC716" s="45"/>
      <c r="BD716" s="28"/>
      <c r="BE716" s="14"/>
      <c r="BF716" s="41">
        <f t="shared" ref="BF716:BG716" si="2118">K716+O716+S716+W716+AA716+AE716+AI716+AM716+AQ716+AU716+AY716+BC716</f>
        <v>0</v>
      </c>
      <c r="BG716" s="34">
        <f t="shared" si="2118"/>
        <v>0</v>
      </c>
      <c r="BH716" s="35">
        <f t="shared" si="2107"/>
        <v>2120</v>
      </c>
      <c r="BK716" s="2" t="b">
        <f>H716='2021'!BH716</f>
        <v>1</v>
      </c>
    </row>
    <row r="717" ht="15.75" customHeight="1" spans="1:63" x14ac:dyDescent="0.25">
      <c r="A717" s="2">
        <v>79</v>
      </c>
      <c r="B717" s="14"/>
      <c r="C717" s="15"/>
      <c r="D717" s="14" t="s">
        <v>52</v>
      </c>
      <c r="E717" s="2" t="s">
        <v>39</v>
      </c>
      <c r="F717" s="41">
        <v>500</v>
      </c>
      <c r="G717" s="28"/>
      <c r="H717" s="34">
        <f>'2021'!BH717</f>
        <v>0</v>
      </c>
      <c r="I717" s="13"/>
      <c r="J717" s="15"/>
      <c r="K717" s="15"/>
      <c r="L717" s="28"/>
      <c r="M717" s="13"/>
      <c r="N717" s="15"/>
      <c r="Q717" s="13"/>
      <c r="R717" s="15"/>
      <c r="S717" s="15"/>
      <c r="T717" s="28"/>
      <c r="U717" s="13"/>
      <c r="V717" s="15"/>
      <c r="Y717" s="13"/>
      <c r="Z717" s="2"/>
      <c r="AA717" s="84"/>
      <c r="AB717" s="35"/>
      <c r="AC717" s="348"/>
      <c r="AD717" s="15"/>
      <c r="AG717" s="15"/>
      <c r="AH717" s="2"/>
      <c r="AI717" s="45"/>
      <c r="AJ717" s="15"/>
      <c r="AK717" s="15"/>
      <c r="AL717" s="15"/>
      <c r="AM717" s="45"/>
      <c r="AN717" s="15"/>
      <c r="AO717" s="13"/>
      <c r="AP717" s="15"/>
      <c r="AQ717" s="45"/>
      <c r="AR717" s="15"/>
      <c r="AS717" s="13"/>
      <c r="AT717" s="15"/>
      <c r="AU717" s="45"/>
      <c r="AV717" s="15"/>
      <c r="AW717" s="13"/>
      <c r="AX717" s="15"/>
      <c r="AY717" s="45"/>
      <c r="AZ717" s="35"/>
      <c r="BA717" s="13"/>
      <c r="BB717" s="15"/>
      <c r="BC717" s="45"/>
      <c r="BD717" s="35"/>
      <c r="BE717" s="14"/>
      <c r="BF717" s="41">
        <f t="shared" ref="BF717:BG717" si="2119">K717+O717+S717+W717+AA717+AE717+AI717+AM717+AQ717+AU717+AY717+BC717</f>
        <v>0</v>
      </c>
      <c r="BG717" s="34">
        <f t="shared" si="2119"/>
        <v>0</v>
      </c>
      <c r="BH717" s="35">
        <f t="shared" si="2107"/>
        <v>0</v>
      </c>
      <c r="BK717" s="2" t="b">
        <f>H717='2021'!BH717</f>
        <v>1</v>
      </c>
    </row>
    <row r="718" ht="15.75" customHeight="1" spans="1:63" x14ac:dyDescent="0.25">
      <c r="A718" s="247">
        <v>79</v>
      </c>
      <c r="B718" s="21"/>
      <c r="C718" s="22" t="s">
        <v>53</v>
      </c>
      <c r="D718" s="21"/>
      <c r="E718" s="22"/>
      <c r="F718" s="20"/>
      <c r="G718" s="23"/>
      <c r="H718" s="51">
        <f>SUM(H710:H717)</f>
        <v>8783.62</v>
      </c>
      <c r="I718" s="52"/>
      <c r="J718" s="53"/>
      <c r="K718" s="51">
        <f t="shared" ref="K718:L718" si="2120">SUM(K710:K717)</f>
        <v>0</v>
      </c>
      <c r="L718" s="68">
        <f t="shared" si="2120"/>
        <v>0</v>
      </c>
      <c r="M718" s="52"/>
      <c r="N718" s="53"/>
      <c r="O718" s="51">
        <f t="shared" ref="O718:P718" si="2121">SUM(O710:O717)</f>
        <v>0</v>
      </c>
      <c r="P718" s="51">
        <f t="shared" si="2121"/>
        <v>0</v>
      </c>
      <c r="Q718" s="52"/>
      <c r="R718" s="53"/>
      <c r="S718" s="51">
        <f t="shared" ref="S718:T718" si="2122">SUM(S710:S717)</f>
        <v>26.4</v>
      </c>
      <c r="T718" s="51">
        <f t="shared" si="2122"/>
        <v>0</v>
      </c>
      <c r="U718" s="52"/>
      <c r="V718" s="53"/>
      <c r="W718" s="51">
        <f t="shared" ref="W718:X718" si="2123">SUM(W710:W717)</f>
        <v>25.55</v>
      </c>
      <c r="X718" s="51">
        <f t="shared" si="2123"/>
        <v>0</v>
      </c>
      <c r="Y718" s="52"/>
      <c r="Z718" s="301"/>
      <c r="AA718" s="51">
        <f t="shared" ref="AA718:AB718" si="2124">SUM(AA710:AA717)</f>
        <v>50.7</v>
      </c>
      <c r="AB718" s="51">
        <f t="shared" si="2124"/>
        <v>0</v>
      </c>
      <c r="AC718" s="367"/>
      <c r="AD718" s="53"/>
      <c r="AE718" s="51">
        <f t="shared" ref="AE718:AF718" si="2125">SUM(AE710:AE717)</f>
        <v>6537.55</v>
      </c>
      <c r="AF718" s="51">
        <f t="shared" si="2125"/>
        <v>0</v>
      </c>
      <c r="AG718" s="52"/>
      <c r="AH718" s="301"/>
      <c r="AI718" s="183">
        <f t="shared" ref="AI718:AJ718" si="2126">SUM(AI710:AI717)</f>
        <v>31.59552</v>
      </c>
      <c r="AJ718" s="51">
        <f t="shared" si="2126"/>
        <v>0</v>
      </c>
      <c r="AK718" s="52"/>
      <c r="AL718" s="53"/>
      <c r="AM718" s="183">
        <f t="shared" ref="AM718:AN718" si="2127">SUM(AM710:AM717)</f>
        <v>0</v>
      </c>
      <c r="AN718" s="51">
        <f t="shared" si="2127"/>
        <v>0</v>
      </c>
      <c r="AO718" s="52"/>
      <c r="AP718" s="53"/>
      <c r="AQ718" s="183">
        <f t="shared" ref="AQ718:AR718" si="2128">SUM(AQ710:AQ717)</f>
        <v>0</v>
      </c>
      <c r="AR718" s="51">
        <f t="shared" si="2128"/>
        <v>0</v>
      </c>
      <c r="AS718" s="52"/>
      <c r="AT718" s="53"/>
      <c r="AU718" s="183">
        <f t="shared" ref="AU718:AV718" si="2129">SUM(AU710:AU717)</f>
        <v>0</v>
      </c>
      <c r="AV718" s="68">
        <f t="shared" si="2129"/>
        <v>0</v>
      </c>
      <c r="AW718" s="52"/>
      <c r="AX718" s="53"/>
      <c r="AY718" s="183">
        <f t="shared" ref="AY718:AZ718" si="2130">SUM(AY710:AY717)</f>
        <v>0</v>
      </c>
      <c r="AZ718" s="68">
        <f t="shared" si="2130"/>
        <v>0</v>
      </c>
      <c r="BA718" s="52"/>
      <c r="BB718" s="53"/>
      <c r="BC718" s="183">
        <f t="shared" ref="BC718:BD718" si="2131">SUM(BC710:BC717)</f>
        <v>0</v>
      </c>
      <c r="BD718" s="68">
        <f t="shared" si="2131"/>
        <v>0</v>
      </c>
      <c r="BE718" s="69"/>
      <c r="BF718" s="70">
        <f t="shared" ref="BF718:BH718" si="2132">SUM(BF710:BF717)</f>
        <v>6671.79552</v>
      </c>
      <c r="BG718" s="71">
        <f t="shared" si="2132"/>
        <v>0</v>
      </c>
      <c r="BH718" s="72">
        <f t="shared" si="2132"/>
        <v>15455.41552</v>
      </c>
      <c r="BI718" s="34">
        <f>H718+BF718-BG718</f>
        <v>15455.41552</v>
      </c>
      <c r="BJ718" s="34">
        <f>BH718-BI718</f>
        <v>0</v>
      </c>
      <c r="BK718" s="2" t="b">
        <f>H718='2021'!BH718</f>
        <v>1</v>
      </c>
    </row>
    <row r="719" ht="15.75" customHeight="1" spans="1:63" x14ac:dyDescent="0.25">
      <c r="A719" s="2">
        <v>81</v>
      </c>
      <c r="B719" s="14"/>
      <c r="C719" s="15"/>
      <c r="D719" s="14" t="s">
        <v>379</v>
      </c>
      <c r="E719" s="15"/>
      <c r="F719" s="13"/>
      <c r="G719" s="28"/>
      <c r="H719" s="34">
        <f>'2021'!BH719</f>
        <v>22.14</v>
      </c>
      <c r="I719" s="13"/>
      <c r="J719" s="15"/>
      <c r="K719" s="34"/>
      <c r="L719" s="35"/>
      <c r="M719" s="13"/>
      <c r="N719" s="15"/>
      <c r="O719" s="34"/>
      <c r="P719" s="34"/>
      <c r="Q719" s="13"/>
      <c r="R719" s="15"/>
      <c r="S719" s="34">
        <v>22.88</v>
      </c>
      <c r="T719" s="35"/>
      <c r="U719" s="13"/>
      <c r="V719" s="15"/>
      <c r="W719" s="34">
        <v>22.14</v>
      </c>
      <c r="X719" s="34"/>
      <c r="Y719" s="13"/>
      <c r="Z719" s="2"/>
      <c r="AA719" s="34">
        <v>22.88</v>
      </c>
      <c r="AB719" s="35"/>
      <c r="AC719" s="348"/>
      <c r="AD719" s="15"/>
      <c r="AE719" s="34">
        <v>22.14</v>
      </c>
      <c r="AF719" s="34"/>
      <c r="AG719" s="15"/>
      <c r="AH719" s="2"/>
      <c r="AI719" s="45">
        <v>22.88</v>
      </c>
      <c r="AJ719" s="34"/>
      <c r="AK719" s="15"/>
      <c r="AL719" s="15"/>
      <c r="AM719" s="45"/>
      <c r="AN719" s="34"/>
      <c r="AO719" s="13"/>
      <c r="AP719" s="15"/>
      <c r="AQ719" s="45"/>
      <c r="AR719" s="34"/>
      <c r="AS719" s="13"/>
      <c r="AT719" s="15"/>
      <c r="AU719" s="45"/>
      <c r="AV719" s="34"/>
      <c r="AW719" s="13"/>
      <c r="AX719" s="15"/>
      <c r="AY719" s="45"/>
      <c r="AZ719" s="28"/>
      <c r="BA719" s="13"/>
      <c r="BB719" s="15"/>
      <c r="BC719" s="45"/>
      <c r="BD719" s="28"/>
      <c r="BE719" s="42"/>
      <c r="BF719" s="41">
        <f t="shared" ref="BF719:BG719" si="2133">K719+O719+S719+W719+AA719+AE719+AI719+AM719+AQ719+AU719+AY719+BC719</f>
        <v>112.92</v>
      </c>
      <c r="BG719" s="34">
        <f t="shared" si="2133"/>
        <v>0</v>
      </c>
      <c r="BH719" s="35">
        <f t="shared" ref="BH719:BH726" si="2134">H719+BF719-BG719</f>
        <v>135.06</v>
      </c>
      <c r="BI719" s="15"/>
      <c r="BJ719" s="15"/>
      <c r="BK719" s="15" t="b">
        <f>H719='2021'!BH719</f>
        <v>1</v>
      </c>
    </row>
    <row r="720" ht="15.75" customHeight="1" spans="1:63" x14ac:dyDescent="0.25">
      <c r="A720" s="2">
        <v>81</v>
      </c>
      <c r="B720" s="42">
        <v>4.3</v>
      </c>
      <c r="C720" s="15" t="s">
        <v>278</v>
      </c>
      <c r="D720" s="14" t="s">
        <v>44</v>
      </c>
      <c r="E720" s="15" t="s">
        <v>45</v>
      </c>
      <c r="F720" s="41">
        <v>2.5</v>
      </c>
      <c r="G720" s="35">
        <v>2.6</v>
      </c>
      <c r="H720" s="104">
        <f>'2021'!BH720</f>
        <v>34.4</v>
      </c>
      <c r="I720" s="13">
        <v>13</v>
      </c>
      <c r="J720" s="15">
        <f>I720-'2021'!BA720</f>
        <v>0</v>
      </c>
      <c r="K720" s="34">
        <f>J720*$F$8</f>
        <v>0</v>
      </c>
      <c r="L720" s="35"/>
      <c r="M720" s="13">
        <v>13</v>
      </c>
      <c r="N720" s="15">
        <f t="shared" ref="N720:N721" si="2135">M720-I720</f>
        <v>0</v>
      </c>
      <c r="O720" s="34">
        <f>N720*$F$8</f>
        <v>0</v>
      </c>
      <c r="P720" s="34"/>
      <c r="Q720" s="13">
        <v>13</v>
      </c>
      <c r="R720" s="15">
        <f t="shared" ref="R720:R721" si="2136">Q720-M720</f>
        <v>0</v>
      </c>
      <c r="S720" s="34">
        <f>R720*$F$8</f>
        <v>0</v>
      </c>
      <c r="T720" s="35"/>
      <c r="U720" s="13">
        <v>13</v>
      </c>
      <c r="V720" s="15">
        <f t="shared" ref="V720:V721" si="2137">U720-Q720</f>
        <v>0</v>
      </c>
      <c r="W720" s="34">
        <f>V720*$F$8</f>
        <v>0</v>
      </c>
      <c r="X720" s="34"/>
      <c r="Y720" s="13">
        <v>13</v>
      </c>
      <c r="Z720" s="2">
        <f t="shared" ref="Z720:Z721" si="2138">Y720-U720</f>
        <v>0</v>
      </c>
      <c r="AA720" s="34">
        <f>Z720*$F$8</f>
        <v>0</v>
      </c>
      <c r="AB720" s="35">
        <v>95.94</v>
      </c>
      <c r="AC720" s="348">
        <v>19</v>
      </c>
      <c r="AD720" s="15">
        <f t="shared" ref="AD720:AD721" si="2139">AC720-Y720</f>
        <v>6</v>
      </c>
      <c r="AE720" s="180">
        <f>AD720*$F$8</f>
        <v>16.2</v>
      </c>
      <c r="AF720" s="34"/>
      <c r="AG720" s="15">
        <v>21</v>
      </c>
      <c r="AH720" s="2">
        <f>(AG720-AC720)*AH5</f>
        <v>2.112</v>
      </c>
      <c r="AI720" s="45">
        <f>AH720*$G$8</f>
        <v>5.19552</v>
      </c>
      <c r="AJ720" s="15"/>
      <c r="AK720" s="15">
        <v>23</v>
      </c>
      <c r="AL720" s="15">
        <f>(AK720-AG720)*AL5</f>
        <v>2.056</v>
      </c>
      <c r="AM720" s="45">
        <f>AL720*$G$8</f>
        <v>5.05776</v>
      </c>
      <c r="AN720" s="15"/>
      <c r="AO720" s="13">
        <v>25</v>
      </c>
      <c r="AP720" s="15">
        <f>(AO720-AK720)*AP5</f>
        <v>2.066</v>
      </c>
      <c r="AQ720" s="45">
        <f>AP720*$G$8</f>
        <v>5.08236</v>
      </c>
      <c r="AR720" s="15"/>
      <c r="AS720" s="13">
        <v>25</v>
      </c>
      <c r="AT720" s="15">
        <f>(AS720-AO720)*AT5</f>
        <v>0</v>
      </c>
      <c r="AU720" s="45">
        <f>AT720*$G$8</f>
        <v>0</v>
      </c>
      <c r="AV720" s="15"/>
      <c r="AW720" s="13"/>
      <c r="AX720" s="15">
        <f>(AW720-AS720)*AX5</f>
        <v>0</v>
      </c>
      <c r="AY720" s="45">
        <f>AX720*$G$8</f>
        <v>0</v>
      </c>
      <c r="AZ720" s="208"/>
      <c r="BA720" s="13"/>
      <c r="BB720" s="15"/>
      <c r="BC720" s="45">
        <f>BB720*$G$8</f>
        <v>0</v>
      </c>
      <c r="BD720" s="208"/>
      <c r="BE720" s="40">
        <f t="shared" ref="BE720:BG720" si="2140">J720+N720+R720+V720+Z720+AD720+AH720+AL720+AP720+AT720+AX720+BB720</f>
        <v>12.234</v>
      </c>
      <c r="BF720" s="41">
        <f t="shared" si="2140"/>
        <v>31.53564</v>
      </c>
      <c r="BG720" s="34">
        <f t="shared" si="2140"/>
        <v>95.94</v>
      </c>
      <c r="BH720" s="35">
        <f t="shared" si="2134"/>
        <v>-30.00436</v>
      </c>
      <c r="BI720" s="15"/>
      <c r="BJ720" s="15"/>
      <c r="BK720" s="15" t="b">
        <f>H720='2021'!BH720</f>
        <v>1</v>
      </c>
    </row>
    <row r="721" ht="15.75" customHeight="1" spans="1:63" x14ac:dyDescent="0.25">
      <c r="A721" s="2">
        <v>81</v>
      </c>
      <c r="B721" s="14"/>
      <c r="C721" s="15" t="s">
        <v>104</v>
      </c>
      <c r="D721" s="14" t="s">
        <v>47</v>
      </c>
      <c r="E721" s="15" t="s">
        <v>48</v>
      </c>
      <c r="F721" s="13">
        <v>18.56</v>
      </c>
      <c r="G721" s="35">
        <v>19.46</v>
      </c>
      <c r="H721" s="34">
        <f>'2021'!BH721</f>
        <v>180.71</v>
      </c>
      <c r="I721" s="13">
        <v>9</v>
      </c>
      <c r="J721" s="15"/>
      <c r="K721" s="34"/>
      <c r="L721" s="35"/>
      <c r="M721" s="13">
        <v>9</v>
      </c>
      <c r="N721" s="15">
        <f t="shared" si="2135"/>
        <v>0</v>
      </c>
      <c r="O721" s="34"/>
      <c r="P721" s="34"/>
      <c r="Q721" s="13">
        <v>9</v>
      </c>
      <c r="R721" s="15">
        <f t="shared" si="2136"/>
        <v>0</v>
      </c>
      <c r="S721" s="34"/>
      <c r="T721" s="35"/>
      <c r="U721" s="13">
        <v>9</v>
      </c>
      <c r="V721" s="15">
        <f t="shared" si="2137"/>
        <v>0</v>
      </c>
      <c r="W721" s="34">
        <f>V721*$F$10</f>
        <v>0</v>
      </c>
      <c r="X721" s="34"/>
      <c r="Y721" s="13">
        <v>10</v>
      </c>
      <c r="Z721" s="2">
        <f t="shared" si="2138"/>
        <v>1</v>
      </c>
      <c r="AA721" s="34">
        <f>Z721*$F$10</f>
        <v>20.35</v>
      </c>
      <c r="AB721" s="35">
        <v>201.06</v>
      </c>
      <c r="AC721" s="348">
        <v>16</v>
      </c>
      <c r="AD721" s="15">
        <f t="shared" si="2139"/>
        <v>6</v>
      </c>
      <c r="AE721" s="34">
        <f>AD721*$F$10</f>
        <v>122.1</v>
      </c>
      <c r="AF721" s="34"/>
      <c r="AG721" s="15">
        <v>20</v>
      </c>
      <c r="AH721" s="2">
        <f>AG721-AC721</f>
        <v>4</v>
      </c>
      <c r="AI721" s="45">
        <f>AH721*$G$10</f>
        <v>85.6</v>
      </c>
      <c r="AJ721" s="180"/>
      <c r="AK721" s="15">
        <v>22</v>
      </c>
      <c r="AL721" s="15">
        <f>AK721-AG721</f>
        <v>2</v>
      </c>
      <c r="AM721" s="45">
        <f>AL721*$G$10</f>
        <v>42.8</v>
      </c>
      <c r="AN721" s="15"/>
      <c r="AO721" s="13">
        <v>22</v>
      </c>
      <c r="AP721" s="15">
        <f>AO721-AK721</f>
        <v>0</v>
      </c>
      <c r="AQ721" s="45">
        <f>AP721*$G$10</f>
        <v>0</v>
      </c>
      <c r="AR721" s="15"/>
      <c r="AS721" s="13">
        <v>22</v>
      </c>
      <c r="AT721" s="15">
        <f>AS721-AO721</f>
        <v>0</v>
      </c>
      <c r="AU721" s="45">
        <f>AT721*$G$10</f>
        <v>0</v>
      </c>
      <c r="AV721" s="15"/>
      <c r="AW721" s="13"/>
      <c r="AX721" s="15">
        <f>AW721-AS721</f>
        <v>-22</v>
      </c>
      <c r="AY721" s="45"/>
      <c r="AZ721" s="208"/>
      <c r="BA721" s="13"/>
      <c r="BB721" s="15"/>
      <c r="BC721" s="45"/>
      <c r="BD721" s="208"/>
      <c r="BE721" s="40">
        <f t="shared" ref="BE721:BG721" si="2141">J721+N721+R721+V721+Z721+AD721+AH721+AL721+AP721+AT721+AX721+BB721</f>
        <v>-9</v>
      </c>
      <c r="BF721" s="41">
        <f t="shared" si="2141"/>
        <v>270.85</v>
      </c>
      <c r="BG721" s="34">
        <f t="shared" si="2141"/>
        <v>201.06</v>
      </c>
      <c r="BH721" s="35">
        <f t="shared" si="2134"/>
        <v>250.5</v>
      </c>
      <c r="BI721" s="15"/>
      <c r="BJ721" s="15"/>
      <c r="BK721" s="15" t="b">
        <f>H721='2021'!BH721</f>
        <v>1</v>
      </c>
    </row>
    <row r="722" ht="15.75" customHeight="1" spans="1:63" x14ac:dyDescent="0.25">
      <c r="A722" s="2">
        <v>81</v>
      </c>
      <c r="B722" s="14"/>
      <c r="C722" s="15" t="s">
        <v>332</v>
      </c>
      <c r="D722" s="14" t="s">
        <v>47</v>
      </c>
      <c r="E722" s="15" t="s">
        <v>49</v>
      </c>
      <c r="F722" s="41">
        <v>500</v>
      </c>
      <c r="G722" s="28"/>
      <c r="H722" s="34">
        <f>'2021'!BH722</f>
        <v>0</v>
      </c>
      <c r="I722" s="13"/>
      <c r="J722" s="15"/>
      <c r="K722" s="34"/>
      <c r="L722" s="35"/>
      <c r="M722" s="13"/>
      <c r="N722" s="15"/>
      <c r="O722" s="34"/>
      <c r="P722" s="34"/>
      <c r="Q722" s="13"/>
      <c r="R722" s="15"/>
      <c r="S722" s="34"/>
      <c r="T722" s="35"/>
      <c r="U722" s="13"/>
      <c r="V722" s="15"/>
      <c r="W722" s="34"/>
      <c r="X722" s="34"/>
      <c r="Y722" s="13"/>
      <c r="Z722" s="2"/>
      <c r="AA722" s="34"/>
      <c r="AB722" s="35"/>
      <c r="AC722" s="348"/>
      <c r="AD722" s="15"/>
      <c r="AE722" s="34"/>
      <c r="AF722" s="34"/>
      <c r="AG722" s="15"/>
      <c r="AH722" s="2"/>
      <c r="AI722" s="45"/>
      <c r="AJ722" s="15"/>
      <c r="AK722" s="15"/>
      <c r="AL722" s="15"/>
      <c r="AM722" s="45"/>
      <c r="AN722" s="15"/>
      <c r="AO722" s="13"/>
      <c r="AP722" s="15"/>
      <c r="AQ722" s="45"/>
      <c r="AR722" s="15"/>
      <c r="AS722" s="13"/>
      <c r="AT722" s="15"/>
      <c r="AU722" s="45"/>
      <c r="AV722" s="15"/>
      <c r="AW722" s="13"/>
      <c r="AX722" s="15"/>
      <c r="AY722" s="45"/>
      <c r="AZ722" s="28"/>
      <c r="BA722" s="13"/>
      <c r="BB722" s="15"/>
      <c r="BC722" s="45"/>
      <c r="BD722" s="28"/>
      <c r="BE722" s="14"/>
      <c r="BF722" s="41">
        <f t="shared" ref="BF722:BG722" si="2142">K722+O722+S722+W722+AA722+AE722+AI722+AM722+AQ722+AU722+AY722+BC722</f>
        <v>0</v>
      </c>
      <c r="BG722" s="34">
        <f t="shared" si="2142"/>
        <v>0</v>
      </c>
      <c r="BH722" s="35">
        <f t="shared" si="2134"/>
        <v>0</v>
      </c>
      <c r="BI722" s="15"/>
      <c r="BJ722" s="15"/>
      <c r="BK722" s="15" t="b">
        <f>H722='2021'!BH722</f>
        <v>1</v>
      </c>
    </row>
    <row r="723" ht="15.75" customHeight="1" spans="1:63" x14ac:dyDescent="0.25">
      <c r="A723" s="2">
        <v>81</v>
      </c>
      <c r="B723" s="14"/>
      <c r="C723" s="15"/>
      <c r="D723" s="14" t="s">
        <v>50</v>
      </c>
      <c r="E723" s="15" t="s">
        <v>49</v>
      </c>
      <c r="F723" s="41">
        <v>1100</v>
      </c>
      <c r="G723" s="28"/>
      <c r="H723" s="34">
        <f>'2021'!BH723</f>
        <v>4730</v>
      </c>
      <c r="I723" s="13"/>
      <c r="J723" s="15"/>
      <c r="K723" s="34"/>
      <c r="L723" s="35"/>
      <c r="M723" s="13"/>
      <c r="N723" s="15"/>
      <c r="O723" s="34"/>
      <c r="P723" s="34"/>
      <c r="Q723" s="13"/>
      <c r="R723" s="15"/>
      <c r="S723" s="34"/>
      <c r="T723" s="35"/>
      <c r="U723" s="13"/>
      <c r="V723" s="15"/>
      <c r="W723" s="34"/>
      <c r="X723" s="34"/>
      <c r="Y723" s="13"/>
      <c r="Z723" s="2"/>
      <c r="AA723" s="34"/>
      <c r="AB723" s="35"/>
      <c r="AC723" s="348"/>
      <c r="AD723" s="15"/>
      <c r="AE723" s="34">
        <f>B720*$F$12</f>
        <v>5590</v>
      </c>
      <c r="AF723" s="180"/>
      <c r="AG723" s="15"/>
      <c r="AH723" s="2"/>
      <c r="AI723" s="45"/>
      <c r="AJ723" s="39"/>
      <c r="AK723" s="15"/>
      <c r="AL723" s="15"/>
      <c r="AM723" s="45"/>
      <c r="AN723" s="15"/>
      <c r="AO723" s="13"/>
      <c r="AP723" s="15"/>
      <c r="AQ723" s="45"/>
      <c r="AR723" s="15"/>
      <c r="AS723" s="13"/>
      <c r="AT723" s="15"/>
      <c r="AU723" s="45"/>
      <c r="AV723" s="15"/>
      <c r="AW723" s="13"/>
      <c r="AX723" s="15"/>
      <c r="AY723" s="45"/>
      <c r="AZ723" s="28"/>
      <c r="BA723" s="13"/>
      <c r="BB723" s="15"/>
      <c r="BC723" s="45"/>
      <c r="BD723" s="28"/>
      <c r="BE723" s="14"/>
      <c r="BF723" s="41">
        <f t="shared" ref="BF723:BG723" si="2143">K723+O723+S723+W723+AA723+AE723+AI723+AM723+AQ723+AU723+AY723+BC723</f>
        <v>5590</v>
      </c>
      <c r="BG723" s="34">
        <f t="shared" si="2143"/>
        <v>0</v>
      </c>
      <c r="BH723" s="35">
        <f t="shared" si="2134"/>
        <v>10320</v>
      </c>
      <c r="BI723" s="15"/>
      <c r="BJ723" s="15"/>
      <c r="BK723" s="15" t="b">
        <f>H723='2021'!BH723</f>
        <v>1</v>
      </c>
    </row>
    <row r="724" ht="15.75" customHeight="1" spans="1:63" x14ac:dyDescent="0.25">
      <c r="A724" s="2">
        <v>81</v>
      </c>
      <c r="B724" s="14"/>
      <c r="C724" s="15" t="s">
        <v>509</v>
      </c>
      <c r="D724" s="14" t="s">
        <v>51</v>
      </c>
      <c r="E724" s="15" t="s">
        <v>39</v>
      </c>
      <c r="F724" s="41">
        <v>500</v>
      </c>
      <c r="G724" s="28"/>
      <c r="H724" s="34">
        <f>'2021'!BH724</f>
        <v>500</v>
      </c>
      <c r="I724" s="13"/>
      <c r="J724" s="15"/>
      <c r="K724" s="34"/>
      <c r="L724" s="35"/>
      <c r="M724" s="13"/>
      <c r="N724" s="15"/>
      <c r="O724" s="34"/>
      <c r="P724" s="34"/>
      <c r="Q724" s="13"/>
      <c r="R724" s="15"/>
      <c r="S724" s="34"/>
      <c r="T724" s="35"/>
      <c r="U724" s="13"/>
      <c r="V724" s="15"/>
      <c r="W724" s="34"/>
      <c r="X724" s="34"/>
      <c r="Y724" s="13"/>
      <c r="Z724" s="2"/>
      <c r="AA724" s="34"/>
      <c r="AB724" s="35"/>
      <c r="AC724" s="348"/>
      <c r="AD724" s="15"/>
      <c r="AE724" s="180">
        <f>$F$13</f>
        <v>1000</v>
      </c>
      <c r="AF724" s="34"/>
      <c r="AG724" s="15"/>
      <c r="AH724" s="2"/>
      <c r="AI724" s="45"/>
      <c r="AJ724" s="15"/>
      <c r="AK724" s="15"/>
      <c r="AL724" s="15"/>
      <c r="AM724" s="45"/>
      <c r="AN724" s="15"/>
      <c r="AO724" s="13"/>
      <c r="AP724" s="15"/>
      <c r="AQ724" s="180"/>
      <c r="AR724" s="15"/>
      <c r="AS724" s="13"/>
      <c r="AT724" s="15"/>
      <c r="AU724" s="45"/>
      <c r="AV724" s="15"/>
      <c r="AW724" s="13"/>
      <c r="AX724" s="15"/>
      <c r="AY724" s="45"/>
      <c r="AZ724" s="28"/>
      <c r="BA724" s="13"/>
      <c r="BB724" s="15"/>
      <c r="BC724" s="45"/>
      <c r="BD724" s="28"/>
      <c r="BE724" s="14"/>
      <c r="BF724" s="41">
        <f t="shared" ref="BF724:BG724" si="2144">K724+O724+S724+W724+AA724+AE724+AI724+AM724+AQ724+AU724+AY724+BC724</f>
        <v>1000</v>
      </c>
      <c r="BG724" s="34">
        <f t="shared" si="2144"/>
        <v>0</v>
      </c>
      <c r="BH724" s="35">
        <f t="shared" si="2134"/>
        <v>1500</v>
      </c>
      <c r="BI724" s="15"/>
      <c r="BJ724" s="15"/>
      <c r="BK724" s="15" t="b">
        <f>H724='2021'!BH724</f>
        <v>1</v>
      </c>
    </row>
    <row r="725" ht="15.75" customHeight="1" spans="1:63" x14ac:dyDescent="0.25">
      <c r="A725" s="2">
        <v>81</v>
      </c>
      <c r="B725" s="14"/>
      <c r="C725" s="15"/>
      <c r="D725" s="14" t="s">
        <v>51</v>
      </c>
      <c r="E725" s="15" t="s">
        <v>49</v>
      </c>
      <c r="F725" s="41">
        <v>500</v>
      </c>
      <c r="G725" s="28"/>
      <c r="H725" s="34">
        <f>'2021'!BH725</f>
        <v>2150</v>
      </c>
      <c r="I725" s="13"/>
      <c r="J725" s="15"/>
      <c r="K725" s="34"/>
      <c r="L725" s="35"/>
      <c r="M725" s="13"/>
      <c r="N725" s="15"/>
      <c r="O725" s="34"/>
      <c r="P725" s="34"/>
      <c r="Q725" s="13"/>
      <c r="R725" s="15"/>
      <c r="S725" s="34"/>
      <c r="T725" s="35"/>
      <c r="U725" s="13"/>
      <c r="V725" s="15"/>
      <c r="W725" s="34"/>
      <c r="X725" s="34"/>
      <c r="Y725" s="13"/>
      <c r="Z725" s="2"/>
      <c r="AA725" s="34"/>
      <c r="AB725" s="35"/>
      <c r="AC725" s="348"/>
      <c r="AD725" s="15"/>
      <c r="AE725" s="34"/>
      <c r="AF725" s="34"/>
      <c r="AG725" s="15"/>
      <c r="AH725" s="2"/>
      <c r="AI725" s="45"/>
      <c r="AJ725" s="15"/>
      <c r="AK725" s="15"/>
      <c r="AL725" s="15"/>
      <c r="AM725" s="45"/>
      <c r="AN725" s="15"/>
      <c r="AO725" s="13"/>
      <c r="AP725" s="15"/>
      <c r="AQ725" s="180">
        <f>B720*$F$14</f>
        <v>0</v>
      </c>
      <c r="AR725" s="15"/>
      <c r="AS725" s="13"/>
      <c r="AT725" s="15"/>
      <c r="AU725" s="45"/>
      <c r="AV725" s="15"/>
      <c r="AW725" s="13"/>
      <c r="AX725" s="15"/>
      <c r="AY725" s="45"/>
      <c r="AZ725" s="28"/>
      <c r="BA725" s="13"/>
      <c r="BB725" s="15"/>
      <c r="BC725" s="45"/>
      <c r="BD725" s="28"/>
      <c r="BE725" s="14"/>
      <c r="BF725" s="41">
        <f t="shared" ref="BF725:BG725" si="2145">K725+O725+S725+W725+AA725+AE725+AI725+AM725+AQ725+AU725+AY725+BC725</f>
        <v>0</v>
      </c>
      <c r="BG725" s="34">
        <f t="shared" si="2145"/>
        <v>0</v>
      </c>
      <c r="BH725" s="35">
        <f t="shared" si="2134"/>
        <v>2150</v>
      </c>
      <c r="BI725" s="15"/>
      <c r="BJ725" s="15"/>
      <c r="BK725" s="15" t="b">
        <f>H725='2021'!BH725</f>
        <v>1</v>
      </c>
    </row>
    <row r="726" ht="15.75" customHeight="1" spans="1:63" x14ac:dyDescent="0.25">
      <c r="A726" s="2">
        <v>81</v>
      </c>
      <c r="B726" s="14"/>
      <c r="C726" s="15"/>
      <c r="D726" s="14" t="s">
        <v>52</v>
      </c>
      <c r="E726" s="15" t="s">
        <v>39</v>
      </c>
      <c r="F726" s="41">
        <v>500</v>
      </c>
      <c r="G726" s="28"/>
      <c r="H726" s="34">
        <f>'2021'!BH726</f>
        <v>0</v>
      </c>
      <c r="I726" s="13"/>
      <c r="J726" s="15"/>
      <c r="K726" s="34"/>
      <c r="L726" s="35"/>
      <c r="M726" s="13"/>
      <c r="N726" s="15"/>
      <c r="O726" s="34"/>
      <c r="P726" s="34"/>
      <c r="Q726" s="13"/>
      <c r="R726" s="15"/>
      <c r="S726" s="34"/>
      <c r="T726" s="35"/>
      <c r="U726" s="13"/>
      <c r="V726" s="15"/>
      <c r="W726" s="34"/>
      <c r="X726" s="34"/>
      <c r="Y726" s="13"/>
      <c r="Z726" s="2"/>
      <c r="AA726" s="34">
        <f>$F$15</f>
      </c>
      <c r="AB726" s="35"/>
      <c r="AC726" s="348"/>
      <c r="AD726" s="15"/>
      <c r="AE726" s="34"/>
      <c r="AF726" s="180"/>
      <c r="AG726" s="15"/>
      <c r="AH726" s="2"/>
      <c r="AI726" s="45"/>
      <c r="AJ726" s="15"/>
      <c r="AK726" s="15"/>
      <c r="AL726" s="15"/>
      <c r="AM726" s="45"/>
      <c r="AN726" s="15"/>
      <c r="AO726" s="13"/>
      <c r="AP726" s="15"/>
      <c r="AQ726" s="45"/>
      <c r="AR726" s="15"/>
      <c r="AS726" s="13"/>
      <c r="AT726" s="15"/>
      <c r="AU726" s="45"/>
      <c r="AV726" s="15"/>
      <c r="AW726" s="13"/>
      <c r="AX726" s="15"/>
      <c r="AY726" s="45"/>
      <c r="AZ726" s="35"/>
      <c r="BA726" s="13"/>
      <c r="BB726" s="15"/>
      <c r="BC726" s="45"/>
      <c r="BD726" s="35"/>
      <c r="BE726" s="14"/>
      <c r="BF726" s="41">
        <f t="shared" ref="BF726:BG726" si="2146">K726+O726+S726+W726+AA726+AE726+AI726+AM726+AQ726+AU726+AY726+BC726</f>
        <v>0</v>
      </c>
      <c r="BG726" s="34">
        <f t="shared" si="2146"/>
        <v>0</v>
      </c>
      <c r="BH726" s="35">
        <f t="shared" si="2134"/>
        <v>0</v>
      </c>
      <c r="BI726" s="15"/>
      <c r="BJ726" s="15"/>
      <c r="BK726" s="15" t="b">
        <f>H726='2021'!BH726</f>
        <v>1</v>
      </c>
    </row>
    <row r="727" ht="15.75" customHeight="1" spans="1:63" x14ac:dyDescent="0.25">
      <c r="A727" s="247">
        <v>81</v>
      </c>
      <c r="B727" s="21"/>
      <c r="C727" s="22" t="s">
        <v>53</v>
      </c>
      <c r="D727" s="21"/>
      <c r="E727" s="22"/>
      <c r="F727" s="20"/>
      <c r="G727" s="23"/>
      <c r="H727" s="51">
        <f>SUM(H719:H726)</f>
        <v>7617.25</v>
      </c>
      <c r="I727" s="52"/>
      <c r="J727" s="53"/>
      <c r="K727" s="51">
        <f t="shared" ref="K727:L727" si="2147">SUM(K719:K726)</f>
        <v>0</v>
      </c>
      <c r="L727" s="68">
        <f t="shared" si="2147"/>
        <v>0</v>
      </c>
      <c r="M727" s="52"/>
      <c r="N727" s="53"/>
      <c r="O727" s="51">
        <f t="shared" ref="O727:P727" si="2148">SUM(O719:O726)</f>
        <v>0</v>
      </c>
      <c r="P727" s="51">
        <f t="shared" si="2148"/>
        <v>0</v>
      </c>
      <c r="Q727" s="52"/>
      <c r="R727" s="53"/>
      <c r="S727" s="51">
        <f t="shared" ref="S727:T727" si="2149">SUM(S719:S726)</f>
        <v>22.88</v>
      </c>
      <c r="T727" s="51">
        <f t="shared" si="2149"/>
        <v>0</v>
      </c>
      <c r="U727" s="52"/>
      <c r="V727" s="53"/>
      <c r="W727" s="51">
        <f t="shared" ref="W727:X727" si="2150">SUM(W719:W726)</f>
        <v>22.14</v>
      </c>
      <c r="X727" s="51">
        <f t="shared" si="2150"/>
        <v>0</v>
      </c>
      <c r="Y727" s="52"/>
      <c r="Z727" s="301"/>
      <c r="AA727" s="51">
        <f t="shared" ref="AA727:AB727" si="2151">SUM(AA719:AA726)</f>
        <v>43.23</v>
      </c>
      <c r="AB727" s="51">
        <f t="shared" si="2151"/>
        <v>297</v>
      </c>
      <c r="AC727" s="367"/>
      <c r="AD727" s="53"/>
      <c r="AE727" s="51">
        <f t="shared" ref="AE727:AF727" si="2152">SUM(AE719:AE726)</f>
        <v>6750.44</v>
      </c>
      <c r="AF727" s="51">
        <f t="shared" si="2152"/>
        <v>0</v>
      </c>
      <c r="AG727" s="52"/>
      <c r="AH727" s="301"/>
      <c r="AI727" s="183">
        <f t="shared" ref="AI727:AJ727" si="2153">SUM(AI719:AI726)</f>
        <v>113.67552</v>
      </c>
      <c r="AJ727" s="51">
        <f t="shared" si="2153"/>
        <v>0</v>
      </c>
      <c r="AK727" s="52"/>
      <c r="AL727" s="53"/>
      <c r="AM727" s="183">
        <f t="shared" ref="AM727:AN727" si="2154">SUM(AM719:AM726)</f>
        <v>47.85776</v>
      </c>
      <c r="AN727" s="51">
        <f t="shared" si="2154"/>
        <v>0</v>
      </c>
      <c r="AO727" s="52"/>
      <c r="AP727" s="53"/>
      <c r="AQ727" s="183">
        <f t="shared" ref="AQ727:AR727" si="2155">SUM(AQ719:AQ726)</f>
        <v>5.08236</v>
      </c>
      <c r="AR727" s="51">
        <f t="shared" si="2155"/>
        <v>0</v>
      </c>
      <c r="AS727" s="52"/>
      <c r="AT727" s="53"/>
      <c r="AU727" s="183">
        <f t="shared" ref="AU727:AV727" si="2156">SUM(AU719:AU726)</f>
        <v>0</v>
      </c>
      <c r="AV727" s="68">
        <f t="shared" si="2156"/>
        <v>0</v>
      </c>
      <c r="AW727" s="52"/>
      <c r="AX727" s="53"/>
      <c r="AY727" s="183">
        <f t="shared" ref="AY727:AZ727" si="2157">SUM(AY719:AY726)</f>
        <v>0</v>
      </c>
      <c r="AZ727" s="68">
        <f t="shared" si="2157"/>
        <v>0</v>
      </c>
      <c r="BA727" s="52"/>
      <c r="BB727" s="53"/>
      <c r="BC727" s="183">
        <f t="shared" ref="BC727:BD727" si="2158">SUM(BC719:BC726)</f>
        <v>0</v>
      </c>
      <c r="BD727" s="68">
        <f t="shared" si="2158"/>
        <v>0</v>
      </c>
      <c r="BE727" s="69"/>
      <c r="BF727" s="70">
        <f t="shared" ref="BF727:BH727" si="2159">SUM(BF719:BF726)</f>
        <v>7005.30564</v>
      </c>
      <c r="BG727" s="71">
        <f t="shared" si="2159"/>
        <v>297</v>
      </c>
      <c r="BH727" s="72">
        <f t="shared" si="2159"/>
        <v>14325.55564</v>
      </c>
      <c r="BI727" s="34">
        <f>H727+BF727-BG727</f>
        <v>14325.55564</v>
      </c>
      <c r="BJ727" s="34">
        <f>BH727-BI727</f>
        <v>0</v>
      </c>
      <c r="BK727" s="2" t="b">
        <f>H727='2021'!BH727</f>
        <v>1</v>
      </c>
    </row>
    <row r="728" ht="15.75" customHeight="1" spans="1:63" x14ac:dyDescent="0.25">
      <c r="A728" s="2">
        <v>83</v>
      </c>
      <c r="B728" s="14"/>
      <c r="C728" s="15"/>
      <c r="D728" s="14" t="s">
        <v>379</v>
      </c>
      <c r="E728" s="15"/>
      <c r="F728" s="13"/>
      <c r="G728" s="28"/>
      <c r="H728" s="34">
        <f>'2021'!BH728</f>
        <v>0</v>
      </c>
      <c r="I728" s="13"/>
      <c r="J728" s="15"/>
      <c r="K728" s="34"/>
      <c r="L728" s="35"/>
      <c r="M728" s="13"/>
      <c r="N728" s="15"/>
      <c r="O728" s="34"/>
      <c r="P728" s="34"/>
      <c r="Q728" s="13"/>
      <c r="R728" s="15"/>
      <c r="S728" s="34"/>
      <c r="T728" s="35"/>
      <c r="U728" s="13"/>
      <c r="V728" s="15"/>
      <c r="W728" s="34"/>
      <c r="X728" s="34"/>
      <c r="Y728" s="13"/>
      <c r="Z728" s="2"/>
      <c r="AA728" s="34"/>
      <c r="AB728" s="35"/>
      <c r="AC728" s="348"/>
      <c r="AD728" s="15"/>
      <c r="AE728" s="34"/>
      <c r="AF728" s="34"/>
      <c r="AG728" s="15"/>
      <c r="AH728" s="2"/>
      <c r="AI728" s="45"/>
      <c r="AJ728" s="34"/>
      <c r="AK728" s="15"/>
      <c r="AL728" s="15"/>
      <c r="AM728" s="45"/>
      <c r="AN728" s="34"/>
      <c r="AO728" s="13"/>
      <c r="AP728" s="15"/>
      <c r="AQ728" s="45"/>
      <c r="AR728" s="34"/>
      <c r="AS728" s="13"/>
      <c r="AT728" s="15"/>
      <c r="AU728" s="45"/>
      <c r="AV728" s="34"/>
      <c r="AW728" s="13"/>
      <c r="AX728" s="15"/>
      <c r="AY728" s="45"/>
      <c r="AZ728" s="28"/>
      <c r="BA728" s="13"/>
      <c r="BB728" s="15"/>
      <c r="BC728" s="45"/>
      <c r="BD728" s="28"/>
      <c r="BE728" s="42"/>
      <c r="BF728" s="41">
        <f t="shared" ref="BF728:BG728" si="2160">K728+O728+S728+W728+AA728+AE728+AI728+AM728+AQ728+AU728+AY728+BC728</f>
        <v>0</v>
      </c>
      <c r="BG728" s="34">
        <f t="shared" si="2160"/>
        <v>0</v>
      </c>
      <c r="BH728" s="35">
        <f t="shared" ref="BH728:BH735" si="2161">H728+BF728-BG728</f>
        <v>0</v>
      </c>
      <c r="BI728" s="15"/>
      <c r="BJ728" s="15"/>
      <c r="BK728" s="15" t="b">
        <f>H728='2021'!BH728</f>
        <v>1</v>
      </c>
    </row>
    <row r="729" ht="15.75" customHeight="1" spans="1:63" x14ac:dyDescent="0.25">
      <c r="A729" s="2">
        <v>83</v>
      </c>
      <c r="B729" s="14">
        <v>4.29</v>
      </c>
      <c r="C729" s="15" t="s">
        <v>280</v>
      </c>
      <c r="D729" s="14" t="s">
        <v>44</v>
      </c>
      <c r="E729" s="15" t="s">
        <v>45</v>
      </c>
      <c r="F729" s="41">
        <v>2.5</v>
      </c>
      <c r="G729" s="35">
        <v>2.6</v>
      </c>
      <c r="H729" s="34">
        <f>'2021'!BH729</f>
        <v>0</v>
      </c>
      <c r="I729" s="13">
        <v>231</v>
      </c>
      <c r="J729" s="15">
        <f>I729-'2021'!BA729</f>
        <v>0</v>
      </c>
      <c r="K729" s="34">
        <f>J729*$F$8</f>
        <v>0</v>
      </c>
      <c r="L729" s="35"/>
      <c r="M729" s="13">
        <v>231</v>
      </c>
      <c r="N729" s="15">
        <f t="shared" ref="N729:N730" si="2162">M729-I729</f>
        <v>0</v>
      </c>
      <c r="O729" s="34">
        <f>N729*$F$8</f>
        <v>0</v>
      </c>
      <c r="P729" s="34"/>
      <c r="Q729" s="13">
        <v>231</v>
      </c>
      <c r="R729" s="15">
        <f t="shared" ref="R729:R730" si="2163">Q729-M729</f>
        <v>0</v>
      </c>
      <c r="S729" s="34">
        <f>R729*$F$8</f>
        <v>0</v>
      </c>
      <c r="T729" s="35"/>
      <c r="U729" s="13">
        <v>231</v>
      </c>
      <c r="V729" s="15">
        <f t="shared" ref="V729:V730" si="2164">U729-Q729</f>
        <v>0</v>
      </c>
      <c r="W729" s="34">
        <f>V729*$F$8</f>
        <v>0</v>
      </c>
      <c r="X729" s="34"/>
      <c r="Y729" s="13">
        <v>231</v>
      </c>
      <c r="Z729" s="2">
        <f t="shared" ref="Z729:Z730" si="2165">Y729-U729</f>
        <v>0</v>
      </c>
      <c r="AA729" s="34">
        <f>Z729*$F$8</f>
        <v>0</v>
      </c>
      <c r="AB729" s="35"/>
      <c r="AC729" s="348">
        <v>231</v>
      </c>
      <c r="AD729" s="15">
        <f t="shared" ref="AD729:AD730" si="2166">AC729-Y729</f>
        <v>0</v>
      </c>
      <c r="AE729" s="180">
        <f>AD729*$F$8</f>
        <v>0</v>
      </c>
      <c r="AF729" s="34"/>
      <c r="AG729" s="15">
        <v>231</v>
      </c>
      <c r="AH729" s="2">
        <v>30</v>
      </c>
      <c r="AI729" s="45">
        <f>AH729*$G$8</f>
        <v>73.8</v>
      </c>
      <c r="AJ729" s="15"/>
      <c r="AK729" s="15">
        <v>0</v>
      </c>
      <c r="AL729" s="15">
        <v>30</v>
      </c>
      <c r="AM729" s="45">
        <f>AL729*$G$8</f>
        <v>73.8</v>
      </c>
      <c r="AN729" s="15"/>
      <c r="AO729" s="13">
        <v>37</v>
      </c>
      <c r="AP729" s="15">
        <f>(AO729-AK729)*AP5</f>
        <v>38.221</v>
      </c>
      <c r="AQ729" s="45">
        <f>AP729*$G$8</f>
        <v>94.02366</v>
      </c>
      <c r="AR729" s="154">
        <v>241.62</v>
      </c>
      <c r="AS729" s="13">
        <v>38</v>
      </c>
      <c r="AT729" s="15">
        <f>(AS729-AO729)*AT5</f>
        <v>1.05</v>
      </c>
      <c r="AU729" s="45">
        <f>AT729*$G$8</f>
        <v>2.583</v>
      </c>
      <c r="AV729" s="15"/>
      <c r="AW729" s="13"/>
      <c r="AX729" s="15">
        <f>(AW729-AS729)*AX5</f>
        <v>0</v>
      </c>
      <c r="AY729" s="45">
        <f>AX729*$G$8</f>
        <v>0</v>
      </c>
      <c r="AZ729" s="208"/>
      <c r="BA729" s="13"/>
      <c r="BB729" s="15"/>
      <c r="BC729" s="45">
        <f>BB729*$G$8</f>
        <v>0</v>
      </c>
      <c r="BD729" s="208"/>
      <c r="BE729" s="40">
        <f t="shared" ref="BE729:BG729" si="2167">J729+N729+R729+V729+Z729+AD729+AH729+AL729+AP729+AT729+AX729+BB729</f>
        <v>99.271</v>
      </c>
      <c r="BF729" s="41">
        <f t="shared" si="2167"/>
        <v>244.20666</v>
      </c>
      <c r="BG729" s="34">
        <f t="shared" si="2167"/>
        <v>241.62</v>
      </c>
      <c r="BH729" s="35">
        <f t="shared" si="2161"/>
        <v>2.58666</v>
      </c>
      <c r="BI729" s="15"/>
      <c r="BJ729" s="15"/>
      <c r="BK729" s="15" t="b">
        <f>H729='2021'!BH729</f>
        <v>1</v>
      </c>
    </row>
    <row r="730" ht="15.75" customHeight="1" spans="1:63" x14ac:dyDescent="0.25">
      <c r="A730" s="2">
        <v>83</v>
      </c>
      <c r="B730" s="14"/>
      <c r="C730" s="15" t="s">
        <v>61</v>
      </c>
      <c r="D730" s="14" t="s">
        <v>47</v>
      </c>
      <c r="E730" s="15" t="s">
        <v>48</v>
      </c>
      <c r="F730" s="13">
        <v>18.56</v>
      </c>
      <c r="G730" s="35">
        <v>19.46</v>
      </c>
      <c r="H730" s="34">
        <f>'2021'!BH730</f>
        <v>-24.57</v>
      </c>
      <c r="I730" s="13">
        <v>14</v>
      </c>
      <c r="J730" s="15"/>
      <c r="K730" s="34"/>
      <c r="L730" s="35"/>
      <c r="M730" s="13">
        <v>14</v>
      </c>
      <c r="N730" s="15">
        <f t="shared" si="2162"/>
        <v>0</v>
      </c>
      <c r="O730" s="34"/>
      <c r="P730" s="34"/>
      <c r="Q730" s="13">
        <v>14</v>
      </c>
      <c r="R730" s="15">
        <f t="shared" si="2163"/>
        <v>0</v>
      </c>
      <c r="S730" s="34"/>
      <c r="T730" s="35"/>
      <c r="U730" s="13">
        <v>14</v>
      </c>
      <c r="V730" s="15">
        <f t="shared" si="2164"/>
        <v>0</v>
      </c>
      <c r="W730" s="34">
        <f>V730*$F$10</f>
        <v>0</v>
      </c>
      <c r="X730" s="34"/>
      <c r="Y730" s="13">
        <v>15</v>
      </c>
      <c r="Z730" s="2">
        <f t="shared" si="2165"/>
        <v>1</v>
      </c>
      <c r="AA730" s="34">
        <f>Z730*$F$10</f>
        <v>20.35</v>
      </c>
      <c r="AB730" s="35"/>
      <c r="AC730" s="348">
        <v>15</v>
      </c>
      <c r="AD730" s="15">
        <f t="shared" si="2166"/>
        <v>0</v>
      </c>
      <c r="AE730" s="34">
        <f>AD730*$F$10</f>
        <v>0</v>
      </c>
      <c r="AF730" s="180"/>
      <c r="AG730" s="15">
        <v>15</v>
      </c>
      <c r="AH730" s="2">
        <f>AG730-AC730</f>
        <v>0</v>
      </c>
      <c r="AI730" s="45">
        <f>AH730*$G$10</f>
        <v>0</v>
      </c>
      <c r="AJ730" s="15"/>
      <c r="AK730" s="15">
        <v>27</v>
      </c>
      <c r="AL730" s="15">
        <f>AK730-AG730</f>
        <v>12</v>
      </c>
      <c r="AM730" s="45">
        <f>AL730*$G$10</f>
        <v>256.8</v>
      </c>
      <c r="AN730" s="15"/>
      <c r="AO730" s="13">
        <v>28</v>
      </c>
      <c r="AP730" s="15">
        <f>AO730-AK730</f>
        <v>1</v>
      </c>
      <c r="AQ730" s="45">
        <f>AP730*$G$10</f>
        <v>21.4</v>
      </c>
      <c r="AR730" s="154">
        <v>21.4</v>
      </c>
      <c r="AS730" s="13">
        <v>28</v>
      </c>
      <c r="AT730" s="15">
        <f>AS730-AO730</f>
        <v>0</v>
      </c>
      <c r="AU730" s="45">
        <f>AT730*$G$10</f>
        <v>0</v>
      </c>
      <c r="AV730" s="15"/>
      <c r="AW730" s="13"/>
      <c r="AX730" s="15">
        <f>AW730-AS730</f>
        <v>-28</v>
      </c>
      <c r="AY730" s="45"/>
      <c r="AZ730" s="208"/>
      <c r="BA730" s="13"/>
      <c r="BB730" s="15"/>
      <c r="BC730" s="45"/>
      <c r="BD730" s="208"/>
      <c r="BE730" s="40">
        <f t="shared" ref="BE730:BG730" si="2168">J730+N730+R730+V730+Z730+AD730+AH730+AL730+AP730+AT730+AX730+BB730</f>
        <v>-14</v>
      </c>
      <c r="BF730" s="41">
        <f t="shared" si="2168"/>
        <v>298.55</v>
      </c>
      <c r="BG730" s="34">
        <f t="shared" si="2168"/>
        <v>21.4</v>
      </c>
      <c r="BH730" s="35">
        <f t="shared" si="2161"/>
        <v>252.58</v>
      </c>
      <c r="BI730" s="15"/>
      <c r="BJ730" s="15"/>
      <c r="BK730" s="15" t="b">
        <f>H730='2021'!BH730</f>
        <v>1</v>
      </c>
    </row>
    <row r="731" ht="15.75" customHeight="1" spans="1:63" x14ac:dyDescent="0.25">
      <c r="A731" s="2">
        <v>83</v>
      </c>
      <c r="B731" s="14"/>
      <c r="C731" s="15" t="s">
        <v>102</v>
      </c>
      <c r="D731" s="14" t="s">
        <v>47</v>
      </c>
      <c r="E731" s="15" t="s">
        <v>49</v>
      </c>
      <c r="F731" s="41">
        <v>500</v>
      </c>
      <c r="G731" s="28"/>
      <c r="H731" s="34">
        <f>'2021'!BH731</f>
        <v>0</v>
      </c>
      <c r="I731" s="13"/>
      <c r="J731" s="15"/>
      <c r="K731" s="34"/>
      <c r="L731" s="35"/>
      <c r="M731" s="13"/>
      <c r="N731" s="15"/>
      <c r="O731" s="34"/>
      <c r="P731" s="34"/>
      <c r="Q731" s="13"/>
      <c r="R731" s="15"/>
      <c r="S731" s="34"/>
      <c r="T731" s="35"/>
      <c r="U731" s="13"/>
      <c r="V731" s="15"/>
      <c r="W731" s="34"/>
      <c r="X731" s="34"/>
      <c r="Y731" s="13"/>
      <c r="Z731" s="2"/>
      <c r="AA731" s="34"/>
      <c r="AB731" s="35"/>
      <c r="AC731" s="348"/>
      <c r="AD731" s="15"/>
      <c r="AE731" s="34"/>
      <c r="AF731" s="34"/>
      <c r="AG731" s="15"/>
      <c r="AH731" s="2"/>
      <c r="AI731" s="45"/>
      <c r="AJ731" s="15"/>
      <c r="AK731" s="15"/>
      <c r="AL731" s="15"/>
      <c r="AM731" s="45"/>
      <c r="AN731" s="15"/>
      <c r="AO731" s="13"/>
      <c r="AP731" s="15"/>
      <c r="AQ731" s="45"/>
      <c r="AR731" s="15"/>
      <c r="AS731" s="13"/>
      <c r="AT731" s="15"/>
      <c r="AU731" s="45"/>
      <c r="AV731" s="15"/>
      <c r="AW731" s="13"/>
      <c r="AX731" s="15"/>
      <c r="AY731" s="45"/>
      <c r="AZ731" s="28"/>
      <c r="BA731" s="13"/>
      <c r="BB731" s="15"/>
      <c r="BC731" s="45"/>
      <c r="BD731" s="28"/>
      <c r="BE731" s="14"/>
      <c r="BF731" s="41">
        <f t="shared" ref="BF731:BG731" si="2169">K731+O731+S731+W731+AA731+AE731+AI731+AM731+AQ731+AU731+AY731+BC731</f>
        <v>0</v>
      </c>
      <c r="BG731" s="34">
        <f t="shared" si="2169"/>
        <v>0</v>
      </c>
      <c r="BH731" s="35">
        <f t="shared" si="2161"/>
        <v>0</v>
      </c>
      <c r="BI731" s="15"/>
      <c r="BJ731" s="15"/>
      <c r="BK731" s="15" t="b">
        <f>H731='2021'!BH731</f>
        <v>1</v>
      </c>
    </row>
    <row r="732" ht="15.75" customHeight="1" spans="1:63" x14ac:dyDescent="0.25">
      <c r="A732" s="2">
        <v>83</v>
      </c>
      <c r="B732" s="14"/>
      <c r="C732" s="73"/>
      <c r="D732" s="14" t="s">
        <v>50</v>
      </c>
      <c r="E732" s="15" t="s">
        <v>49</v>
      </c>
      <c r="F732" s="41">
        <v>1100</v>
      </c>
      <c r="G732" s="28"/>
      <c r="H732" s="34">
        <f>'2021'!BH732</f>
        <v>0</v>
      </c>
      <c r="I732" s="13"/>
      <c r="J732" s="15"/>
      <c r="K732" s="34"/>
      <c r="L732" s="35"/>
      <c r="M732" s="13"/>
      <c r="N732" s="15"/>
      <c r="O732" s="34"/>
      <c r="P732" s="34"/>
      <c r="Q732" s="13"/>
      <c r="R732" s="15"/>
      <c r="S732" s="34"/>
      <c r="T732" s="35"/>
      <c r="U732" s="13"/>
      <c r="V732" s="15"/>
      <c r="W732" s="34"/>
      <c r="X732" s="34"/>
      <c r="Y732" s="13"/>
      <c r="Z732" s="2"/>
      <c r="AA732" s="34"/>
      <c r="AB732" s="35"/>
      <c r="AC732" s="348"/>
      <c r="AD732" s="15"/>
      <c r="AE732" s="34">
        <f>B729*$F$12</f>
        <v>5577</v>
      </c>
      <c r="AF732" s="180"/>
      <c r="AG732" s="15"/>
      <c r="AH732" s="2"/>
      <c r="AI732" s="45"/>
      <c r="AJ732" s="34"/>
      <c r="AK732" s="15"/>
      <c r="AL732" s="15"/>
      <c r="AM732" s="45"/>
      <c r="AN732" s="154">
        <v>5577</v>
      </c>
      <c r="AO732" s="13"/>
      <c r="AP732" s="15"/>
      <c r="AQ732" s="45"/>
      <c r="AR732" s="15"/>
      <c r="AS732" s="13"/>
      <c r="AT732" s="15"/>
      <c r="AU732" s="45"/>
      <c r="AV732" s="15"/>
      <c r="AW732" s="13"/>
      <c r="AX732" s="15"/>
      <c r="AY732" s="45"/>
      <c r="AZ732" s="28"/>
      <c r="BA732" s="13"/>
      <c r="BB732" s="15"/>
      <c r="BC732" s="45"/>
      <c r="BD732" s="28"/>
      <c r="BE732" s="14"/>
      <c r="BF732" s="41">
        <f t="shared" ref="BF732:BG732" si="2170">K732+O732+S732+W732+AA732+AE732+AI732+AM732+AQ732+AU732+AY732+BC732</f>
        <v>5577</v>
      </c>
      <c r="BG732" s="34">
        <f t="shared" si="2170"/>
        <v>5577</v>
      </c>
      <c r="BH732" s="35">
        <f t="shared" si="2161"/>
        <v>0</v>
      </c>
      <c r="BI732" s="15"/>
      <c r="BJ732" s="15"/>
      <c r="BK732" s="15" t="b">
        <f>H732='2021'!BH732</f>
        <v>1</v>
      </c>
    </row>
    <row r="733" ht="15.75" customHeight="1" spans="1:63" x14ac:dyDescent="0.25">
      <c r="A733" s="2">
        <v>83</v>
      </c>
      <c r="B733" s="14"/>
      <c r="C733" s="15" t="s">
        <v>153</v>
      </c>
      <c r="D733" s="14" t="s">
        <v>51</v>
      </c>
      <c r="E733" s="15" t="s">
        <v>39</v>
      </c>
      <c r="F733" s="41">
        <v>500</v>
      </c>
      <c r="G733" s="28"/>
      <c r="H733" s="34">
        <f>'2021'!BH733</f>
        <v>0</v>
      </c>
      <c r="I733" s="13"/>
      <c r="J733" s="15"/>
      <c r="K733" s="34"/>
      <c r="L733" s="35"/>
      <c r="M733" s="13"/>
      <c r="N733" s="15"/>
      <c r="O733" s="34"/>
      <c r="P733" s="34"/>
      <c r="Q733" s="13"/>
      <c r="R733" s="15"/>
      <c r="S733" s="34"/>
      <c r="T733" s="35"/>
      <c r="U733" s="13"/>
      <c r="V733" s="15"/>
      <c r="W733" s="34"/>
      <c r="X733" s="34"/>
      <c r="Y733" s="13"/>
      <c r="Z733" s="2"/>
      <c r="AA733" s="34"/>
      <c r="AB733" s="35"/>
      <c r="AC733" s="348"/>
      <c r="AD733" s="15"/>
      <c r="AE733" s="180">
        <f>$F$13</f>
        <v>1000</v>
      </c>
      <c r="AF733" s="34"/>
      <c r="AG733" s="15"/>
      <c r="AH733" s="2"/>
      <c r="AI733" s="45"/>
      <c r="AJ733" s="15"/>
      <c r="AK733" s="15"/>
      <c r="AL733" s="15"/>
      <c r="AM733" s="45"/>
      <c r="AN733" s="154">
        <v>1000</v>
      </c>
      <c r="AO733" s="13"/>
      <c r="AP733" s="15"/>
      <c r="AQ733" s="180"/>
      <c r="AR733" s="15"/>
      <c r="AS733" s="13"/>
      <c r="AT733" s="15"/>
      <c r="AU733" s="45"/>
      <c r="AV733" s="15"/>
      <c r="AW733" s="13"/>
      <c r="AX733" s="15"/>
      <c r="AY733" s="45"/>
      <c r="AZ733" s="28"/>
      <c r="BA733" s="13"/>
      <c r="BB733" s="15"/>
      <c r="BC733" s="45"/>
      <c r="BD733" s="28"/>
      <c r="BE733" s="14"/>
      <c r="BF733" s="41">
        <f t="shared" ref="BF733:BG733" si="2171">K733+O733+S733+W733+AA733+AE733+AI733+AM733+AQ733+AU733+AY733+BC733</f>
        <v>1000</v>
      </c>
      <c r="BG733" s="34">
        <f t="shared" si="2171"/>
        <v>1000</v>
      </c>
      <c r="BH733" s="35">
        <f t="shared" si="2161"/>
        <v>0</v>
      </c>
      <c r="BI733" s="15"/>
      <c r="BJ733" s="15"/>
      <c r="BK733" s="15" t="b">
        <f>H733='2021'!BH733</f>
        <v>1</v>
      </c>
    </row>
    <row r="734" ht="15.75" customHeight="1" spans="1:63" x14ac:dyDescent="0.25">
      <c r="A734" s="2">
        <v>83</v>
      </c>
      <c r="B734" s="14"/>
      <c r="C734" s="15"/>
      <c r="D734" s="14" t="s">
        <v>51</v>
      </c>
      <c r="E734" s="15" t="s">
        <v>49</v>
      </c>
      <c r="F734" s="41">
        <v>500</v>
      </c>
      <c r="G734" s="28"/>
      <c r="H734" s="34">
        <f>'2021'!BH734</f>
        <v>0</v>
      </c>
      <c r="I734" s="13"/>
      <c r="J734" s="15"/>
      <c r="K734" s="34"/>
      <c r="L734" s="35"/>
      <c r="M734" s="13"/>
      <c r="N734" s="15"/>
      <c r="O734" s="34"/>
      <c r="P734" s="34"/>
      <c r="Q734" s="13"/>
      <c r="R734" s="15"/>
      <c r="S734" s="34"/>
      <c r="T734" s="35"/>
      <c r="U734" s="13"/>
      <c r="V734" s="15"/>
      <c r="W734" s="34"/>
      <c r="X734" s="34"/>
      <c r="Y734" s="13"/>
      <c r="Z734" s="2"/>
      <c r="AA734" s="34"/>
      <c r="AB734" s="35"/>
      <c r="AC734" s="348"/>
      <c r="AD734" s="15"/>
      <c r="AE734" s="34"/>
      <c r="AF734" s="34"/>
      <c r="AG734" s="15"/>
      <c r="AH734" s="2"/>
      <c r="AI734" s="45"/>
      <c r="AJ734" s="15"/>
      <c r="AK734" s="15"/>
      <c r="AL734" s="15"/>
      <c r="AM734" s="45"/>
      <c r="AN734" s="15"/>
      <c r="AO734" s="13"/>
      <c r="AP734" s="15"/>
      <c r="AQ734" s="180">
        <f>B729*$F$14</f>
        <v>0</v>
      </c>
      <c r="AR734" s="15"/>
      <c r="AS734" s="13"/>
      <c r="AT734" s="15"/>
      <c r="AU734" s="45"/>
      <c r="AV734" s="15"/>
      <c r="AW734" s="13"/>
      <c r="AX734" s="15"/>
      <c r="AY734" s="45"/>
      <c r="AZ734" s="28"/>
      <c r="BA734" s="13"/>
      <c r="BB734" s="15"/>
      <c r="BC734" s="45"/>
      <c r="BD734" s="28"/>
      <c r="BE734" s="14"/>
      <c r="BF734" s="41">
        <f t="shared" ref="BF734:BG734" si="2172">K734+O734+S734+W734+AA734+AE734+AI734+AM734+AQ734+AU734+AY734+BC734</f>
        <v>0</v>
      </c>
      <c r="BG734" s="34">
        <f t="shared" si="2172"/>
        <v>0</v>
      </c>
      <c r="BH734" s="35">
        <f t="shared" si="2161"/>
        <v>0</v>
      </c>
      <c r="BI734" s="15"/>
      <c r="BJ734" s="15"/>
      <c r="BK734" s="15" t="b">
        <f>H734='2021'!BH734</f>
        <v>1</v>
      </c>
    </row>
    <row r="735" ht="15.75" customHeight="1" spans="1:63" x14ac:dyDescent="0.25">
      <c r="A735" s="2">
        <v>83</v>
      </c>
      <c r="B735" s="14"/>
      <c r="C735" s="15" t="s">
        <v>281</v>
      </c>
      <c r="D735" s="14" t="s">
        <v>52</v>
      </c>
      <c r="E735" s="15" t="s">
        <v>39</v>
      </c>
      <c r="F735" s="41">
        <v>500</v>
      </c>
      <c r="G735" s="28"/>
      <c r="H735" s="34">
        <f>'2021'!BH735</f>
        <v>0</v>
      </c>
      <c r="I735" s="13"/>
      <c r="J735" s="15"/>
      <c r="K735" s="34"/>
      <c r="L735" s="35"/>
      <c r="M735" s="13"/>
      <c r="N735" s="15"/>
      <c r="O735" s="34"/>
      <c r="P735" s="34"/>
      <c r="Q735" s="13"/>
      <c r="R735" s="15"/>
      <c r="S735" s="34"/>
      <c r="T735" s="35"/>
      <c r="U735" s="13"/>
      <c r="V735" s="15"/>
      <c r="W735" s="34"/>
      <c r="X735" s="34"/>
      <c r="Y735" s="13"/>
      <c r="Z735" s="2"/>
      <c r="AA735" s="34">
        <f>$F$15</f>
      </c>
      <c r="AB735" s="35"/>
      <c r="AC735" s="348"/>
      <c r="AD735" s="15"/>
      <c r="AE735" s="34"/>
      <c r="AF735" s="180"/>
      <c r="AG735" s="15"/>
      <c r="AH735" s="2"/>
      <c r="AI735" s="45"/>
      <c r="AJ735" s="15"/>
      <c r="AK735" s="15"/>
      <c r="AL735" s="15"/>
      <c r="AM735" s="45"/>
      <c r="AN735" s="15"/>
      <c r="AO735" s="13"/>
      <c r="AP735" s="15"/>
      <c r="AQ735" s="45"/>
      <c r="AR735" s="15"/>
      <c r="AS735" s="13"/>
      <c r="AT735" s="15"/>
      <c r="AU735" s="45"/>
      <c r="AV735" s="15"/>
      <c r="AW735" s="13"/>
      <c r="AX735" s="15"/>
      <c r="AY735" s="45"/>
      <c r="AZ735" s="35"/>
      <c r="BA735" s="13"/>
      <c r="BB735" s="15"/>
      <c r="BC735" s="45"/>
      <c r="BD735" s="35"/>
      <c r="BE735" s="14"/>
      <c r="BF735" s="41">
        <f t="shared" ref="BF735:BG735" si="2173">K735+O735+S735+W735+AA735+AE735+AI735+AM735+AQ735+AU735+AY735+BC735</f>
        <v>0</v>
      </c>
      <c r="BG735" s="34">
        <f t="shared" si="2173"/>
        <v>0</v>
      </c>
      <c r="BH735" s="35">
        <f t="shared" si="2161"/>
        <v>0</v>
      </c>
      <c r="BI735" s="15"/>
      <c r="BJ735" s="15"/>
      <c r="BK735" s="15" t="b">
        <f>H735='2021'!BH735</f>
        <v>1</v>
      </c>
    </row>
    <row r="736" ht="15.75" customHeight="1" spans="1:63" x14ac:dyDescent="0.25">
      <c r="A736" s="247">
        <v>83</v>
      </c>
      <c r="B736" s="21"/>
      <c r="C736" s="22" t="s">
        <v>53</v>
      </c>
      <c r="D736" s="21"/>
      <c r="E736" s="22"/>
      <c r="F736" s="20"/>
      <c r="G736" s="23"/>
      <c r="H736" s="51">
        <f>SUM(H728:H735)</f>
        <v>-24.57</v>
      </c>
      <c r="I736" s="52"/>
      <c r="J736" s="53"/>
      <c r="K736" s="51">
        <f t="shared" ref="K736:L736" si="2174">SUM(K728:K735)</f>
        <v>0</v>
      </c>
      <c r="L736" s="68">
        <f t="shared" si="2174"/>
        <v>0</v>
      </c>
      <c r="M736" s="52"/>
      <c r="N736" s="53"/>
      <c r="O736" s="51">
        <f t="shared" ref="O736:P736" si="2175">SUM(O728:O735)</f>
        <v>0</v>
      </c>
      <c r="P736" s="51">
        <f t="shared" si="2175"/>
        <v>0</v>
      </c>
      <c r="Q736" s="52"/>
      <c r="R736" s="53"/>
      <c r="S736" s="51">
        <f t="shared" ref="S736:T736" si="2176">SUM(S728:S735)</f>
        <v>0</v>
      </c>
      <c r="T736" s="51">
        <f t="shared" si="2176"/>
        <v>0</v>
      </c>
      <c r="U736" s="52"/>
      <c r="V736" s="53"/>
      <c r="W736" s="51">
        <f t="shared" ref="W736:X736" si="2177">SUM(W728:W735)</f>
        <v>0</v>
      </c>
      <c r="X736" s="51">
        <f t="shared" si="2177"/>
        <v>0</v>
      </c>
      <c r="Y736" s="52"/>
      <c r="Z736" s="301"/>
      <c r="AA736" s="51">
        <f t="shared" ref="AA736:AB736" si="2178">SUM(AA728:AA735)</f>
        <v>20.35</v>
      </c>
      <c r="AB736" s="51">
        <f t="shared" si="2178"/>
        <v>0</v>
      </c>
      <c r="AC736" s="367"/>
      <c r="AD736" s="53"/>
      <c r="AE736" s="51">
        <f t="shared" ref="AE736:AF736" si="2179">SUM(AE728:AE735)</f>
        <v>6577</v>
      </c>
      <c r="AF736" s="51">
        <f t="shared" si="2179"/>
        <v>0</v>
      </c>
      <c r="AG736" s="52"/>
      <c r="AH736" s="301"/>
      <c r="AI736" s="183">
        <f t="shared" ref="AI736:AJ736" si="2180">SUM(AI728:AI735)</f>
        <v>73.8</v>
      </c>
      <c r="AJ736" s="51">
        <f t="shared" si="2180"/>
        <v>0</v>
      </c>
      <c r="AK736" s="52"/>
      <c r="AL736" s="53"/>
      <c r="AM736" s="183">
        <f t="shared" ref="AM736:AN736" si="2181">SUM(AM728:AM735)</f>
        <v>330.6</v>
      </c>
      <c r="AN736" s="51">
        <f t="shared" si="2181"/>
        <v>6577</v>
      </c>
      <c r="AO736" s="52"/>
      <c r="AP736" s="53"/>
      <c r="AQ736" s="183">
        <f t="shared" ref="AQ736:AR736" si="2182">SUM(AQ728:AQ735)</f>
        <v>115.42366</v>
      </c>
      <c r="AR736" s="51">
        <f t="shared" si="2182"/>
        <v>263.02</v>
      </c>
      <c r="AS736" s="52"/>
      <c r="AT736" s="53"/>
      <c r="AU736" s="183">
        <f t="shared" ref="AU736:AV736" si="2183">SUM(AU728:AU735)</f>
        <v>2.583</v>
      </c>
      <c r="AV736" s="68">
        <f t="shared" si="2183"/>
        <v>0</v>
      </c>
      <c r="AW736" s="52"/>
      <c r="AX736" s="53"/>
      <c r="AY736" s="183">
        <f t="shared" ref="AY736:AZ736" si="2184">SUM(AY728:AY735)</f>
        <v>0</v>
      </c>
      <c r="AZ736" s="68">
        <f t="shared" si="2184"/>
        <v>0</v>
      </c>
      <c r="BA736" s="52"/>
      <c r="BB736" s="53"/>
      <c r="BC736" s="183">
        <f t="shared" ref="BC736:BD736" si="2185">SUM(BC728:BC735)</f>
        <v>0</v>
      </c>
      <c r="BD736" s="68">
        <f t="shared" si="2185"/>
        <v>0</v>
      </c>
      <c r="BE736" s="69"/>
      <c r="BF736" s="70">
        <f t="shared" ref="BF736:BH736" si="2186">SUM(BF728:BF735)</f>
        <v>7119.75666</v>
      </c>
      <c r="BG736" s="71">
        <f t="shared" si="2186"/>
        <v>6840.02</v>
      </c>
      <c r="BH736" s="72">
        <f t="shared" si="2186"/>
        <v>255.16666</v>
      </c>
      <c r="BI736" s="34">
        <f>H736+BF736-BG736</f>
        <v>255.16666</v>
      </c>
      <c r="BJ736" s="34">
        <f>BH736-BI736</f>
        <v>0</v>
      </c>
      <c r="BK736" s="2" t="b">
        <f>H736='2021'!BH736</f>
        <v>1</v>
      </c>
    </row>
    <row r="737" ht="15.75" customHeight="1" spans="1:63" x14ac:dyDescent="0.25">
      <c r="A737" s="2">
        <v>85</v>
      </c>
      <c r="B737" s="14"/>
      <c r="C737" s="15"/>
      <c r="D737" s="14" t="s">
        <v>379</v>
      </c>
      <c r="E737" s="15"/>
      <c r="F737" s="13"/>
      <c r="G737" s="28"/>
      <c r="H737" s="34">
        <f>'2021'!BH737</f>
        <v>0</v>
      </c>
      <c r="I737" s="13"/>
      <c r="J737" s="15"/>
      <c r="K737" s="34"/>
      <c r="L737" s="35"/>
      <c r="M737" s="13"/>
      <c r="N737" s="15"/>
      <c r="O737" s="34"/>
      <c r="P737" s="34"/>
      <c r="Q737" s="13"/>
      <c r="R737" s="15"/>
      <c r="S737" s="34"/>
      <c r="T737" s="35"/>
      <c r="U737" s="13"/>
      <c r="V737" s="15"/>
      <c r="W737" s="34"/>
      <c r="X737" s="34"/>
      <c r="Y737" s="13"/>
      <c r="Z737" s="2"/>
      <c r="AA737" s="34"/>
      <c r="AB737" s="35"/>
      <c r="AC737" s="348"/>
      <c r="AD737" s="15"/>
      <c r="AE737" s="34"/>
      <c r="AF737" s="34"/>
      <c r="AG737" s="15"/>
      <c r="AH737" s="2"/>
      <c r="AI737" s="45"/>
      <c r="AJ737" s="34"/>
      <c r="AK737" s="15"/>
      <c r="AL737" s="15"/>
      <c r="AM737" s="45"/>
      <c r="AN737" s="34"/>
      <c r="AO737" s="13"/>
      <c r="AP737" s="15"/>
      <c r="AQ737" s="45"/>
      <c r="AR737" s="34"/>
      <c r="AS737" s="13"/>
      <c r="AT737" s="15"/>
      <c r="AU737" s="45"/>
      <c r="AV737" s="34"/>
      <c r="AW737" s="13"/>
      <c r="AX737" s="15"/>
      <c r="AY737" s="45"/>
      <c r="AZ737" s="28"/>
      <c r="BA737" s="13"/>
      <c r="BB737" s="15"/>
      <c r="BC737" s="45"/>
      <c r="BD737" s="28"/>
      <c r="BE737" s="42"/>
      <c r="BF737" s="41">
        <f t="shared" ref="BF737:BG737" si="2187">K737+O737+S737+W737+AA737+AE737+AI737+AM737+AQ737+AU737+AY737+BC737</f>
        <v>0</v>
      </c>
      <c r="BG737" s="34">
        <f t="shared" si="2187"/>
        <v>0</v>
      </c>
      <c r="BH737" s="35">
        <f t="shared" ref="BH737:BH744" si="2188">H737+BF737-BG737</f>
        <v>0</v>
      </c>
      <c r="BI737" s="15"/>
      <c r="BJ737" s="15"/>
      <c r="BK737" s="15" t="b">
        <f>H737='2021'!BH737</f>
        <v>1</v>
      </c>
    </row>
    <row r="738" ht="15.75" customHeight="1" spans="1:63" x14ac:dyDescent="0.25">
      <c r="A738" s="2">
        <v>85</v>
      </c>
      <c r="B738" s="14">
        <v>4.27</v>
      </c>
      <c r="C738" s="15" t="s">
        <v>282</v>
      </c>
      <c r="D738" s="14" t="s">
        <v>44</v>
      </c>
      <c r="E738" s="15" t="s">
        <v>45</v>
      </c>
      <c r="F738" s="41">
        <v>2.5</v>
      </c>
      <c r="G738" s="35">
        <v>2.6</v>
      </c>
      <c r="H738" s="34">
        <f>'2021'!BH738</f>
        <v>1343.88</v>
      </c>
      <c r="I738" s="13">
        <v>4753</v>
      </c>
      <c r="J738" s="15">
        <f>I738-'2021'!BA738</f>
        <v>0</v>
      </c>
      <c r="K738" s="34">
        <f>J738*$F$8</f>
        <v>0</v>
      </c>
      <c r="L738" s="35"/>
      <c r="M738" s="13">
        <v>4753</v>
      </c>
      <c r="N738" s="15">
        <f t="shared" ref="N738:N739" si="2189">M738-I738</f>
        <v>0</v>
      </c>
      <c r="O738" s="34">
        <f>N738*$F$8</f>
        <v>0</v>
      </c>
      <c r="P738" s="34"/>
      <c r="Q738" s="13">
        <v>4753</v>
      </c>
      <c r="R738" s="15">
        <f t="shared" ref="R738:R739" si="2190">Q738-M738</f>
        <v>0</v>
      </c>
      <c r="S738" s="34">
        <f>R738*$F$8</f>
        <v>0</v>
      </c>
      <c r="T738" s="35"/>
      <c r="U738" s="13">
        <v>4753</v>
      </c>
      <c r="V738" s="15">
        <f t="shared" ref="V738:V739" si="2191">U738-Q738</f>
        <v>0</v>
      </c>
      <c r="W738" s="34">
        <f>V738*$F$8</f>
        <v>0</v>
      </c>
      <c r="X738" s="34"/>
      <c r="Y738" s="13">
        <v>4801</v>
      </c>
      <c r="Z738" s="2">
        <f t="shared" ref="Z738:Z739" si="2192">Y738-U738</f>
        <v>48</v>
      </c>
      <c r="AA738" s="34">
        <f>Z738*$F$8</f>
        <v>129.6</v>
      </c>
      <c r="AB738" s="35"/>
      <c r="AC738" s="348">
        <v>4971</v>
      </c>
      <c r="AD738" s="15">
        <f t="shared" ref="AD738:AD739" si="2193">AC738-Y738</f>
        <v>170</v>
      </c>
      <c r="AE738" s="180">
        <f>AD738*$F$8</f>
        <v>459</v>
      </c>
      <c r="AF738" s="326">
        <v>1473.48</v>
      </c>
      <c r="AG738" s="15">
        <v>5185</v>
      </c>
      <c r="AH738" s="2">
        <f>(AG738-AC738)*AH5</f>
        <v>225.984</v>
      </c>
      <c r="AI738" s="45">
        <f>AH738*$G$8</f>
        <v>555.92064</v>
      </c>
      <c r="AJ738" s="154">
        <v>459</v>
      </c>
      <c r="AK738" s="15">
        <v>5537</v>
      </c>
      <c r="AL738" s="15">
        <f>(AK738-AG738)*AL5</f>
        <v>361.856</v>
      </c>
      <c r="AM738" s="45">
        <f>AL738*$G$8</f>
        <v>890.16576</v>
      </c>
      <c r="AN738" s="182">
        <v>555.92</v>
      </c>
      <c r="AO738" s="13">
        <v>5799</v>
      </c>
      <c r="AP738" s="15">
        <f>(AO738-AK738)*AP5</f>
        <v>270.646</v>
      </c>
      <c r="AQ738" s="45">
        <f>AP738*$G$8</f>
        <v>665.78916</v>
      </c>
      <c r="AR738" s="154">
        <v>1555.96</v>
      </c>
      <c r="AS738" s="13">
        <v>5803</v>
      </c>
      <c r="AT738" s="15">
        <f>(AS738-AO738)*AT5</f>
        <v>4.2</v>
      </c>
      <c r="AU738" s="45">
        <f>AT738*$G$8</f>
        <v>10.332</v>
      </c>
      <c r="AV738" s="15"/>
      <c r="AW738" s="13"/>
      <c r="AX738" s="15">
        <f>(AW738-AS738)*AX5</f>
        <v>0</v>
      </c>
      <c r="AY738" s="45">
        <f>AX738*$G$8</f>
        <v>0</v>
      </c>
      <c r="AZ738" s="208"/>
      <c r="BA738" s="13"/>
      <c r="BB738" s="15"/>
      <c r="BC738" s="45">
        <f>BB738*$G$8</f>
        <v>0</v>
      </c>
      <c r="BD738" s="208"/>
      <c r="BE738" s="40">
        <f t="shared" ref="BE738:BG738" si="2194">J738+N738+R738+V738+Z738+AD738+AH738+AL738+AP738+AT738+AX738+BB738</f>
        <v>1080.686</v>
      </c>
      <c r="BF738" s="41">
        <f t="shared" si="2194"/>
        <v>2710.80756</v>
      </c>
      <c r="BG738" s="34">
        <f t="shared" si="2194"/>
        <v>4044.36</v>
      </c>
      <c r="BH738" s="35">
        <f t="shared" si="2188"/>
        <v>10.32756</v>
      </c>
      <c r="BI738" s="15"/>
      <c r="BJ738" s="15"/>
      <c r="BK738" s="15" t="b">
        <f>H738='2021'!BH738</f>
        <v>1</v>
      </c>
    </row>
    <row r="739" ht="15.75" customHeight="1" spans="1:63" x14ac:dyDescent="0.25">
      <c r="A739" s="2">
        <v>85</v>
      </c>
      <c r="B739" s="14"/>
      <c r="C739" s="15" t="s">
        <v>114</v>
      </c>
      <c r="D739" s="14" t="s">
        <v>47</v>
      </c>
      <c r="E739" s="15" t="s">
        <v>48</v>
      </c>
      <c r="F739" s="13">
        <v>18.56</v>
      </c>
      <c r="G739" s="35">
        <v>19.46</v>
      </c>
      <c r="H739" s="34">
        <f>'2021'!BH739</f>
        <v>237.25</v>
      </c>
      <c r="I739" s="13">
        <v>196</v>
      </c>
      <c r="J739" s="15"/>
      <c r="K739" s="34"/>
      <c r="L739" s="35"/>
      <c r="M739" s="13">
        <v>196</v>
      </c>
      <c r="N739" s="15">
        <f t="shared" si="2189"/>
        <v>0</v>
      </c>
      <c r="O739" s="34"/>
      <c r="P739" s="34"/>
      <c r="Q739" s="13">
        <v>196</v>
      </c>
      <c r="R739" s="15">
        <f t="shared" si="2190"/>
        <v>0</v>
      </c>
      <c r="S739" s="34"/>
      <c r="T739" s="35"/>
      <c r="U739" s="13">
        <v>196</v>
      </c>
      <c r="V739" s="15">
        <f t="shared" si="2191"/>
        <v>0</v>
      </c>
      <c r="W739" s="34">
        <f>V739*$F$10</f>
        <v>0</v>
      </c>
      <c r="X739" s="34"/>
      <c r="Y739" s="13">
        <v>200</v>
      </c>
      <c r="Z739" s="2">
        <f t="shared" si="2192"/>
        <v>4</v>
      </c>
      <c r="AA739" s="34">
        <f>Z739*$F$10</f>
        <v>81.4</v>
      </c>
      <c r="AB739" s="35"/>
      <c r="AC739" s="350">
        <v>211</v>
      </c>
      <c r="AD739" s="15">
        <f t="shared" si="2193"/>
        <v>11</v>
      </c>
      <c r="AE739" s="34">
        <f>AD739*$F$10</f>
        <v>223.85</v>
      </c>
      <c r="AF739" s="326">
        <v>318.65</v>
      </c>
      <c r="AG739" s="13">
        <v>211</v>
      </c>
      <c r="AH739" s="2">
        <f>AG739-AC739</f>
        <v>0</v>
      </c>
      <c r="AI739" s="45">
        <f>AH739*$G$10</f>
        <v>0</v>
      </c>
      <c r="AJ739" s="154">
        <v>223.85</v>
      </c>
      <c r="AK739" s="13">
        <v>230</v>
      </c>
      <c r="AL739" s="15">
        <f>AK739-AG739</f>
        <v>19</v>
      </c>
      <c r="AM739" s="45">
        <f>AL739*$G$10</f>
        <v>406.6</v>
      </c>
      <c r="AN739" s="182">
        <v>171.2</v>
      </c>
      <c r="AO739" s="13">
        <v>237</v>
      </c>
      <c r="AP739" s="15">
        <f>AO739-AK739</f>
        <v>7</v>
      </c>
      <c r="AQ739" s="45">
        <f>AP739*$G$10</f>
        <v>149.8</v>
      </c>
      <c r="AR739" s="154">
        <v>385.2</v>
      </c>
      <c r="AS739" s="13">
        <v>237</v>
      </c>
      <c r="AT739" s="15">
        <f>AS739-AO739</f>
        <v>0</v>
      </c>
      <c r="AU739" s="45">
        <f>AT739*$G$10</f>
        <v>0</v>
      </c>
      <c r="AV739" s="15"/>
      <c r="AW739" s="13"/>
      <c r="AX739" s="15">
        <f>AW739-AS739</f>
        <v>-237</v>
      </c>
      <c r="AY739" s="45"/>
      <c r="AZ739" s="208"/>
      <c r="BA739" s="13"/>
      <c r="BB739" s="15"/>
      <c r="BC739" s="45"/>
      <c r="BD739" s="208"/>
      <c r="BE739" s="40">
        <f t="shared" ref="BE739:BG739" si="2195">J739+N739+R739+V739+Z739+AD739+AH739+AL739+AP739+AT739+AX739+BB739</f>
        <v>-196</v>
      </c>
      <c r="BF739" s="41">
        <f t="shared" si="2195"/>
        <v>861.65</v>
      </c>
      <c r="BG739" s="34">
        <f t="shared" si="2195"/>
        <v>1098.9</v>
      </c>
      <c r="BH739" s="35">
        <f t="shared" si="2188"/>
        <v>0</v>
      </c>
      <c r="BI739" s="15"/>
      <c r="BJ739" s="15"/>
      <c r="BK739" s="15" t="b">
        <f>H739='2021'!BH739</f>
        <v>1</v>
      </c>
    </row>
    <row r="740" ht="15.75" customHeight="1" spans="1:63" x14ac:dyDescent="0.25">
      <c r="A740" s="2">
        <v>85</v>
      </c>
      <c r="B740" s="14"/>
      <c r="C740" s="15" t="s">
        <v>102</v>
      </c>
      <c r="D740" s="14" t="s">
        <v>47</v>
      </c>
      <c r="E740" s="15" t="s">
        <v>49</v>
      </c>
      <c r="F740" s="41">
        <v>500</v>
      </c>
      <c r="G740" s="28"/>
      <c r="H740" s="34">
        <f>'2021'!BH740</f>
        <v>0</v>
      </c>
      <c r="I740" s="13"/>
      <c r="J740" s="15"/>
      <c r="K740" s="34"/>
      <c r="L740" s="35"/>
      <c r="M740" s="13"/>
      <c r="N740" s="15"/>
      <c r="O740" s="34"/>
      <c r="P740" s="34"/>
      <c r="Q740" s="13"/>
      <c r="R740" s="15"/>
      <c r="S740" s="34"/>
      <c r="T740" s="35"/>
      <c r="U740" s="13"/>
      <c r="V740" s="15"/>
      <c r="W740" s="34"/>
      <c r="X740" s="34"/>
      <c r="Y740" s="13"/>
      <c r="Z740" s="2"/>
      <c r="AA740" s="34"/>
      <c r="AB740" s="35"/>
      <c r="AC740" s="348"/>
      <c r="AD740" s="15"/>
      <c r="AE740" s="34"/>
      <c r="AF740" s="182"/>
      <c r="AG740" s="15"/>
      <c r="AH740" s="2"/>
      <c r="AI740" s="45"/>
      <c r="AJ740" s="154"/>
      <c r="AK740" s="15"/>
      <c r="AL740" s="15"/>
      <c r="AM740" s="45"/>
      <c r="AN740" s="15"/>
      <c r="AO740" s="13"/>
      <c r="AP740" s="15"/>
      <c r="AQ740" s="45"/>
      <c r="AR740" s="15"/>
      <c r="AS740" s="13"/>
      <c r="AT740" s="15"/>
      <c r="AU740" s="45"/>
      <c r="AV740" s="15"/>
      <c r="AW740" s="13"/>
      <c r="AX740" s="15"/>
      <c r="AY740" s="45"/>
      <c r="AZ740" s="28"/>
      <c r="BA740" s="13"/>
      <c r="BB740" s="15"/>
      <c r="BC740" s="45"/>
      <c r="BD740" s="28"/>
      <c r="BE740" s="14"/>
      <c r="BF740" s="41">
        <f t="shared" ref="BF740:BG740" si="2196">K740+O740+S740+W740+AA740+AE740+AI740+AM740+AQ740+AU740+AY740+BC740</f>
        <v>0</v>
      </c>
      <c r="BG740" s="34">
        <f t="shared" si="2196"/>
        <v>0</v>
      </c>
      <c r="BH740" s="35">
        <f t="shared" si="2188"/>
        <v>0</v>
      </c>
      <c r="BI740" s="15"/>
      <c r="BJ740" s="15"/>
      <c r="BK740" s="15" t="b">
        <f>H740='2021'!BH740</f>
        <v>1</v>
      </c>
    </row>
    <row r="741" ht="15.75" customHeight="1" spans="1:63" x14ac:dyDescent="0.25">
      <c r="A741" s="2">
        <v>85</v>
      </c>
      <c r="B741" s="14"/>
      <c r="C741" s="15" t="s">
        <v>283</v>
      </c>
      <c r="D741" s="14" t="s">
        <v>50</v>
      </c>
      <c r="E741" s="15" t="s">
        <v>49</v>
      </c>
      <c r="F741" s="41">
        <v>1100</v>
      </c>
      <c r="G741" s="28"/>
      <c r="H741" s="34">
        <f>'2021'!BH741</f>
        <v>0</v>
      </c>
      <c r="I741" s="13"/>
      <c r="J741" s="15"/>
      <c r="K741" s="34"/>
      <c r="L741" s="35"/>
      <c r="M741" s="13"/>
      <c r="N741" s="15"/>
      <c r="O741" s="34"/>
      <c r="P741" s="34"/>
      <c r="Q741" s="13"/>
      <c r="R741" s="15"/>
      <c r="S741" s="34"/>
      <c r="T741" s="35"/>
      <c r="U741" s="13"/>
      <c r="V741" s="15"/>
      <c r="W741" s="34"/>
      <c r="X741" s="34"/>
      <c r="Y741" s="13"/>
      <c r="Z741" s="2"/>
      <c r="AA741" s="34"/>
      <c r="AB741" s="35"/>
      <c r="AC741" s="348"/>
      <c r="AD741" s="15"/>
      <c r="AE741" s="34">
        <f>B738*$F$12</f>
        <v>5551</v>
      </c>
      <c r="AF741" s="326">
        <v>5551</v>
      </c>
      <c r="AG741" s="15"/>
      <c r="AH741" s="2"/>
      <c r="AI741" s="45"/>
      <c r="AJ741" s="182"/>
      <c r="AK741" s="15"/>
      <c r="AL741" s="15"/>
      <c r="AM741" s="45"/>
      <c r="AN741" s="34"/>
      <c r="AO741" s="13"/>
      <c r="AP741" s="15"/>
      <c r="AQ741" s="45"/>
      <c r="AR741" s="15"/>
      <c r="AS741" s="13"/>
      <c r="AT741" s="15"/>
      <c r="AU741" s="45"/>
      <c r="AV741" s="15"/>
      <c r="AW741" s="13"/>
      <c r="AX741" s="15"/>
      <c r="AY741" s="45"/>
      <c r="AZ741" s="28"/>
      <c r="BA741" s="13"/>
      <c r="BB741" s="15"/>
      <c r="BC741" s="45"/>
      <c r="BD741" s="28"/>
      <c r="BE741" s="14"/>
      <c r="BF741" s="41">
        <f t="shared" ref="BF741:BG741" si="2197">K741+O741+S741+W741+AA741+AE741+AI741+AM741+AQ741+AU741+AY741+BC741</f>
        <v>5551</v>
      </c>
      <c r="BG741" s="34">
        <f t="shared" si="2197"/>
        <v>5551</v>
      </c>
      <c r="BH741" s="35">
        <f t="shared" si="2188"/>
        <v>0</v>
      </c>
      <c r="BI741" s="15"/>
      <c r="BJ741" s="15"/>
      <c r="BK741" s="15" t="b">
        <f>H741='2021'!BH741</f>
        <v>1</v>
      </c>
    </row>
    <row r="742" ht="15.75" customHeight="1" spans="1:63" x14ac:dyDescent="0.25">
      <c r="A742" s="2">
        <v>85</v>
      </c>
      <c r="B742" s="14"/>
      <c r="C742" s="15"/>
      <c r="D742" s="14" t="s">
        <v>51</v>
      </c>
      <c r="E742" s="15" t="s">
        <v>39</v>
      </c>
      <c r="F742" s="41">
        <v>500</v>
      </c>
      <c r="G742" s="28"/>
      <c r="H742" s="34">
        <f>'2021'!BH742</f>
        <v>0</v>
      </c>
      <c r="I742" s="13"/>
      <c r="J742" s="15"/>
      <c r="K742" s="34"/>
      <c r="L742" s="35"/>
      <c r="M742" s="13"/>
      <c r="N742" s="15"/>
      <c r="O742" s="34"/>
      <c r="P742" s="34"/>
      <c r="Q742" s="13"/>
      <c r="R742" s="15"/>
      <c r="S742" s="34"/>
      <c r="T742" s="35"/>
      <c r="U742" s="13"/>
      <c r="V742" s="15"/>
      <c r="W742" s="34"/>
      <c r="X742" s="34"/>
      <c r="Y742" s="13"/>
      <c r="Z742" s="2"/>
      <c r="AA742" s="34"/>
      <c r="AB742" s="35"/>
      <c r="AC742" s="348"/>
      <c r="AD742" s="15"/>
      <c r="AE742" s="180">
        <f>$F$13</f>
        <v>1000</v>
      </c>
      <c r="AF742" s="326">
        <v>1000</v>
      </c>
      <c r="AG742" s="15"/>
      <c r="AH742" s="2"/>
      <c r="AI742" s="45"/>
      <c r="AJ742" s="180"/>
      <c r="AK742" s="15"/>
      <c r="AL742" s="15"/>
      <c r="AM742" s="45"/>
      <c r="AN742" s="15"/>
      <c r="AO742" s="13"/>
      <c r="AP742" s="15"/>
      <c r="AQ742" s="180"/>
      <c r="AR742" s="15"/>
      <c r="AS742" s="13"/>
      <c r="AT742" s="15"/>
      <c r="AU742" s="45"/>
      <c r="AV742" s="15"/>
      <c r="AW742" s="13"/>
      <c r="AX742" s="15"/>
      <c r="AY742" s="45"/>
      <c r="AZ742" s="28"/>
      <c r="BA742" s="13"/>
      <c r="BB742" s="15"/>
      <c r="BC742" s="45"/>
      <c r="BD742" s="28"/>
      <c r="BE742" s="14"/>
      <c r="BF742" s="41">
        <f t="shared" ref="BF742:BG742" si="2198">K742+O742+S742+W742+AA742+AE742+AI742+AM742+AQ742+AU742+AY742+BC742</f>
        <v>1000</v>
      </c>
      <c r="BG742" s="34">
        <f t="shared" si="2198"/>
        <v>1000</v>
      </c>
      <c r="BH742" s="35">
        <f t="shared" si="2188"/>
        <v>0</v>
      </c>
      <c r="BI742" s="15"/>
      <c r="BJ742" s="15"/>
      <c r="BK742" s="15" t="b">
        <f>H742='2021'!BH742</f>
        <v>1</v>
      </c>
    </row>
    <row r="743" ht="15.75" customHeight="1" spans="1:63" x14ac:dyDescent="0.25">
      <c r="A743" s="2">
        <v>85</v>
      </c>
      <c r="B743" s="14"/>
      <c r="C743" s="15"/>
      <c r="D743" s="14" t="s">
        <v>51</v>
      </c>
      <c r="E743" s="15" t="s">
        <v>49</v>
      </c>
      <c r="F743" s="41">
        <v>500</v>
      </c>
      <c r="G743" s="28"/>
      <c r="H743" s="34">
        <f>'2021'!BH743</f>
        <v>0</v>
      </c>
      <c r="I743" s="13"/>
      <c r="J743" s="15"/>
      <c r="K743" s="34"/>
      <c r="L743" s="35"/>
      <c r="M743" s="13"/>
      <c r="N743" s="15"/>
      <c r="O743" s="34"/>
      <c r="P743" s="34"/>
      <c r="Q743" s="13"/>
      <c r="R743" s="15"/>
      <c r="S743" s="34"/>
      <c r="T743" s="35"/>
      <c r="U743" s="13"/>
      <c r="V743" s="15"/>
      <c r="W743" s="34"/>
      <c r="X743" s="34"/>
      <c r="Y743" s="13"/>
      <c r="Z743" s="2"/>
      <c r="AA743" s="34"/>
      <c r="AB743" s="35"/>
      <c r="AC743" s="348"/>
      <c r="AD743" s="15"/>
      <c r="AE743" s="34"/>
      <c r="AF743" s="182"/>
      <c r="AG743" s="15"/>
      <c r="AH743" s="2"/>
      <c r="AI743" s="45"/>
      <c r="AJ743" s="180"/>
      <c r="AK743" s="15"/>
      <c r="AL743" s="15"/>
      <c r="AM743" s="45"/>
      <c r="AN743" s="15"/>
      <c r="AO743" s="13"/>
      <c r="AP743" s="15"/>
      <c r="AQ743" s="180">
        <f>B738*$F$14</f>
        <v>0</v>
      </c>
      <c r="AR743" s="15"/>
      <c r="AS743" s="13"/>
      <c r="AT743" s="15"/>
      <c r="AU743" s="45"/>
      <c r="AV743" s="15"/>
      <c r="AW743" s="13"/>
      <c r="AX743" s="15"/>
      <c r="AY743" s="45"/>
      <c r="AZ743" s="28"/>
      <c r="BA743" s="13"/>
      <c r="BB743" s="15"/>
      <c r="BC743" s="45"/>
      <c r="BD743" s="28"/>
      <c r="BE743" s="14"/>
      <c r="BF743" s="41">
        <f t="shared" ref="BF743:BG743" si="2199">K743+O743+S743+W743+AA743+AE743+AI743+AM743+AQ743+AU743+AY743+BC743</f>
        <v>0</v>
      </c>
      <c r="BG743" s="34">
        <f t="shared" si="2199"/>
        <v>0</v>
      </c>
      <c r="BH743" s="35">
        <f t="shared" si="2188"/>
        <v>0</v>
      </c>
      <c r="BI743" s="15"/>
      <c r="BJ743" s="15"/>
      <c r="BK743" s="15" t="b">
        <f>H743='2021'!BH743</f>
        <v>1</v>
      </c>
    </row>
    <row r="744" ht="15.75" customHeight="1" spans="1:63" x14ac:dyDescent="0.25">
      <c r="A744" s="2">
        <v>85</v>
      </c>
      <c r="B744" s="14"/>
      <c r="C744" s="15"/>
      <c r="D744" s="14" t="s">
        <v>52</v>
      </c>
      <c r="E744" s="15" t="s">
        <v>39</v>
      </c>
      <c r="F744" s="41">
        <v>500</v>
      </c>
      <c r="G744" s="28"/>
      <c r="H744" s="34">
        <f>'2021'!BH744</f>
        <v>0</v>
      </c>
      <c r="I744" s="13"/>
      <c r="J744" s="15"/>
      <c r="K744" s="34"/>
      <c r="L744" s="35"/>
      <c r="M744" s="13"/>
      <c r="N744" s="15"/>
      <c r="O744" s="34"/>
      <c r="P744" s="34"/>
      <c r="Q744" s="13"/>
      <c r="R744" s="15"/>
      <c r="S744" s="34"/>
      <c r="T744" s="35"/>
      <c r="U744" s="13"/>
      <c r="V744" s="15"/>
      <c r="W744" s="34"/>
      <c r="X744" s="34"/>
      <c r="Y744" s="13"/>
      <c r="Z744" s="2"/>
      <c r="AA744" s="34">
        <f>$F$15</f>
      </c>
      <c r="AB744" s="35"/>
      <c r="AC744" s="348"/>
      <c r="AD744" s="15"/>
      <c r="AE744" s="34"/>
      <c r="AF744" s="34"/>
      <c r="AG744" s="15"/>
      <c r="AH744" s="2"/>
      <c r="AI744" s="45"/>
      <c r="AJ744" s="15"/>
      <c r="AK744" s="15"/>
      <c r="AL744" s="15"/>
      <c r="AM744" s="45"/>
      <c r="AN744" s="15"/>
      <c r="AO744" s="13"/>
      <c r="AP744" s="15"/>
      <c r="AQ744" s="45"/>
      <c r="AR744" s="15"/>
      <c r="AS744" s="13"/>
      <c r="AT744" s="15"/>
      <c r="AU744" s="45"/>
      <c r="AV744" s="15"/>
      <c r="AW744" s="13"/>
      <c r="AX744" s="15"/>
      <c r="AY744" s="45"/>
      <c r="AZ744" s="35"/>
      <c r="BA744" s="13"/>
      <c r="BB744" s="15"/>
      <c r="BC744" s="45"/>
      <c r="BD744" s="35"/>
      <c r="BE744" s="14"/>
      <c r="BF744" s="41">
        <f t="shared" ref="BF744:BG744" si="2200">K744+O744+S744+W744+AA744+AE744+AI744+AM744+AQ744+AU744+AY744+BC744</f>
        <v>0</v>
      </c>
      <c r="BG744" s="34">
        <f t="shared" si="2200"/>
        <v>0</v>
      </c>
      <c r="BH744" s="35">
        <f t="shared" si="2188"/>
        <v>0</v>
      </c>
      <c r="BI744" s="15"/>
      <c r="BJ744" s="15"/>
      <c r="BK744" s="15" t="b">
        <f>H744='2021'!BH744</f>
        <v>1</v>
      </c>
    </row>
    <row r="745" ht="15.75" customHeight="1" spans="1:63" x14ac:dyDescent="0.25">
      <c r="A745" s="247">
        <v>85</v>
      </c>
      <c r="B745" s="21"/>
      <c r="C745" s="22" t="s">
        <v>53</v>
      </c>
      <c r="D745" s="21"/>
      <c r="E745" s="22"/>
      <c r="F745" s="20"/>
      <c r="G745" s="23"/>
      <c r="H745" s="51">
        <f>SUM(H737:H744)</f>
        <v>1581.13</v>
      </c>
      <c r="I745" s="52"/>
      <c r="J745" s="53"/>
      <c r="K745" s="51">
        <f t="shared" ref="K745:L745" si="2201">SUM(K737:K744)</f>
        <v>0</v>
      </c>
      <c r="L745" s="68">
        <f t="shared" si="2201"/>
        <v>0</v>
      </c>
      <c r="M745" s="52"/>
      <c r="N745" s="53"/>
      <c r="O745" s="51">
        <f t="shared" ref="O745:P745" si="2202">SUM(O737:O744)</f>
        <v>0</v>
      </c>
      <c r="P745" s="51">
        <f t="shared" si="2202"/>
        <v>0</v>
      </c>
      <c r="Q745" s="52"/>
      <c r="R745" s="53"/>
      <c r="S745" s="51">
        <f t="shared" ref="S745:T745" si="2203">SUM(S737:S744)</f>
        <v>0</v>
      </c>
      <c r="T745" s="51">
        <f t="shared" si="2203"/>
        <v>0</v>
      </c>
      <c r="U745" s="52"/>
      <c r="V745" s="53"/>
      <c r="W745" s="51">
        <f t="shared" ref="W745:X745" si="2204">SUM(W737:W744)</f>
        <v>0</v>
      </c>
      <c r="X745" s="51">
        <f t="shared" si="2204"/>
        <v>0</v>
      </c>
      <c r="Y745" s="52"/>
      <c r="Z745" s="301"/>
      <c r="AA745" s="51">
        <f t="shared" ref="AA745:AB745" si="2205">SUM(AA737:AA744)</f>
        <v>211</v>
      </c>
      <c r="AB745" s="51">
        <f t="shared" si="2205"/>
        <v>0</v>
      </c>
      <c r="AC745" s="367"/>
      <c r="AD745" s="53"/>
      <c r="AE745" s="51">
        <f t="shared" ref="AE745:AF745" si="2206">SUM(AE737:AE744)</f>
        <v>7233.85</v>
      </c>
      <c r="AF745" s="51">
        <f t="shared" si="2206"/>
        <v>8343.13</v>
      </c>
      <c r="AG745" s="52"/>
      <c r="AH745" s="301"/>
      <c r="AI745" s="183">
        <f t="shared" ref="AI745:AJ745" si="2207">SUM(AI737:AI744)</f>
        <v>555.92064</v>
      </c>
      <c r="AJ745" s="51">
        <f t="shared" si="2207"/>
        <v>682.85</v>
      </c>
      <c r="AK745" s="52"/>
      <c r="AL745" s="53"/>
      <c r="AM745" s="183">
        <f t="shared" ref="AM745:AN745" si="2208">SUM(AM737:AM744)</f>
        <v>1296.76576</v>
      </c>
      <c r="AN745" s="51">
        <f t="shared" si="2208"/>
        <v>727.12</v>
      </c>
      <c r="AO745" s="52"/>
      <c r="AP745" s="53"/>
      <c r="AQ745" s="183">
        <f t="shared" ref="AQ745:AR745" si="2209">SUM(AQ737:AQ744)</f>
        <v>815.58916</v>
      </c>
      <c r="AR745" s="51">
        <f t="shared" si="2209"/>
        <v>1941.16</v>
      </c>
      <c r="AS745" s="52"/>
      <c r="AT745" s="53"/>
      <c r="AU745" s="183">
        <f t="shared" ref="AU745:AV745" si="2210">SUM(AU737:AU744)</f>
        <v>10.332</v>
      </c>
      <c r="AV745" s="68">
        <f t="shared" si="2210"/>
        <v>0</v>
      </c>
      <c r="AW745" s="52"/>
      <c r="AX745" s="53"/>
      <c r="AY745" s="183">
        <f t="shared" ref="AY745:AZ745" si="2211">SUM(AY737:AY744)</f>
        <v>0</v>
      </c>
      <c r="AZ745" s="68">
        <f t="shared" si="2211"/>
        <v>0</v>
      </c>
      <c r="BA745" s="52"/>
      <c r="BB745" s="53"/>
      <c r="BC745" s="183">
        <f t="shared" ref="BC745:BD745" si="2212">SUM(BC737:BC744)</f>
        <v>0</v>
      </c>
      <c r="BD745" s="68">
        <f t="shared" si="2212"/>
        <v>0</v>
      </c>
      <c r="BE745" s="69"/>
      <c r="BF745" s="70">
        <f t="shared" ref="BF745:BH745" si="2213">SUM(BF737:BF744)</f>
        <v>10123.45756</v>
      </c>
      <c r="BG745" s="71">
        <f t="shared" si="2213"/>
        <v>11694.26</v>
      </c>
      <c r="BH745" s="72">
        <f t="shared" si="2213"/>
        <v>10.32756</v>
      </c>
      <c r="BI745" s="34">
        <f>H745+BF745-BG745</f>
        <v>10.32756</v>
      </c>
      <c r="BJ745" s="34">
        <f>BH745-BI745</f>
        <v>0</v>
      </c>
      <c r="BK745" s="2" t="b">
        <f>H745='2021'!BH745</f>
        <v>1</v>
      </c>
    </row>
    <row r="746" ht="15.75" customHeight="1" spans="1:63" x14ac:dyDescent="0.25">
      <c r="A746" s="2">
        <v>87</v>
      </c>
      <c r="B746" s="14"/>
      <c r="C746" s="15"/>
      <c r="D746" s="14" t="s">
        <v>379</v>
      </c>
      <c r="E746" s="15"/>
      <c r="F746" s="13"/>
      <c r="G746" s="28"/>
      <c r="H746" s="34">
        <f>'2021'!BH746</f>
        <v>0</v>
      </c>
      <c r="I746" s="13"/>
      <c r="J746" s="15"/>
      <c r="K746" s="34"/>
      <c r="L746" s="35"/>
      <c r="M746" s="13"/>
      <c r="N746" s="15"/>
      <c r="O746" s="34"/>
      <c r="P746" s="34"/>
      <c r="Q746" s="13"/>
      <c r="R746" s="15"/>
      <c r="S746" s="34"/>
      <c r="T746" s="35"/>
      <c r="U746" s="13"/>
      <c r="V746" s="15"/>
      <c r="W746" s="34"/>
      <c r="X746" s="34"/>
      <c r="Y746" s="13"/>
      <c r="Z746" s="2"/>
      <c r="AA746" s="34"/>
      <c r="AB746" s="35"/>
      <c r="AC746" s="348"/>
      <c r="AD746" s="15"/>
      <c r="AE746" s="34"/>
      <c r="AF746" s="34"/>
      <c r="AG746" s="15"/>
      <c r="AH746" s="2"/>
      <c r="AI746" s="45"/>
      <c r="AJ746" s="34"/>
      <c r="AK746" s="15"/>
      <c r="AL746" s="15"/>
      <c r="AM746" s="45"/>
      <c r="AN746" s="34"/>
      <c r="AO746" s="13"/>
      <c r="AP746" s="15"/>
      <c r="AQ746" s="45"/>
      <c r="AR746" s="34"/>
      <c r="AS746" s="13"/>
      <c r="AT746" s="15"/>
      <c r="AU746" s="45"/>
      <c r="AV746" s="34"/>
      <c r="AW746" s="13"/>
      <c r="AX746" s="15"/>
      <c r="AY746" s="45"/>
      <c r="AZ746" s="28"/>
      <c r="BA746" s="13"/>
      <c r="BB746" s="15"/>
      <c r="BC746" s="45"/>
      <c r="BD746" s="28"/>
      <c r="BE746" s="42"/>
      <c r="BF746" s="41">
        <f t="shared" ref="BF746:BG746" si="2214">K746+O746+S746+W746+AA746+AE746+AI746+AM746+AQ746+AU746+AY746+BC746</f>
        <v>0</v>
      </c>
      <c r="BG746" s="34">
        <f t="shared" si="2214"/>
        <v>0</v>
      </c>
      <c r="BH746" s="35">
        <f t="shared" ref="BH746:BH753" si="2215">H746+BF746-BG746</f>
        <v>0</v>
      </c>
      <c r="BI746" s="15"/>
      <c r="BJ746" s="15"/>
      <c r="BK746" s="15" t="b">
        <f>H746='2021'!BH746</f>
        <v>1</v>
      </c>
    </row>
    <row r="747" ht="15.75" customHeight="1" spans="1:63" x14ac:dyDescent="0.25">
      <c r="A747" s="2">
        <v>87</v>
      </c>
      <c r="B747" s="14">
        <v>4.23</v>
      </c>
      <c r="C747" s="15" t="s">
        <v>284</v>
      </c>
      <c r="D747" s="14" t="s">
        <v>44</v>
      </c>
      <c r="E747" s="15" t="s">
        <v>45</v>
      </c>
      <c r="F747" s="41">
        <v>2.5</v>
      </c>
      <c r="G747" s="35">
        <v>2.6</v>
      </c>
      <c r="H747" s="34">
        <f>'2021'!BH747</f>
        <v>353.7</v>
      </c>
      <c r="I747" s="13">
        <v>719</v>
      </c>
      <c r="J747" s="15">
        <f>I747-'2021'!BA747</f>
        <v>0</v>
      </c>
      <c r="K747" s="34">
        <f>J747*$F$8</f>
        <v>0</v>
      </c>
      <c r="L747" s="35"/>
      <c r="M747" s="13">
        <v>719</v>
      </c>
      <c r="N747" s="15">
        <f t="shared" ref="N747:N748" si="2216">M747-I747</f>
        <v>0</v>
      </c>
      <c r="O747" s="34">
        <f>N747*$F$8</f>
        <v>0</v>
      </c>
      <c r="P747" s="34"/>
      <c r="Q747" s="13">
        <v>719</v>
      </c>
      <c r="R747" s="15">
        <f t="shared" ref="R747:R748" si="2217">Q747-M747</f>
        <v>0</v>
      </c>
      <c r="S747" s="34">
        <f>R747*$F$8</f>
        <v>0</v>
      </c>
      <c r="T747" s="35"/>
      <c r="U747" s="13">
        <v>719</v>
      </c>
      <c r="V747" s="15">
        <f t="shared" ref="V747:V748" si="2218">U747-Q747</f>
        <v>0</v>
      </c>
      <c r="W747" s="34">
        <f>V747*$F$8</f>
        <v>0</v>
      </c>
      <c r="X747" s="34"/>
      <c r="Y747" s="13">
        <v>740</v>
      </c>
      <c r="Z747" s="2">
        <f t="shared" ref="Z747:Z748" si="2219">Y747-U747</f>
        <v>21</v>
      </c>
      <c r="AA747" s="34">
        <f>Z747*$F$8</f>
        <v>56.7</v>
      </c>
      <c r="AB747" s="35"/>
      <c r="AC747" s="348">
        <v>773</v>
      </c>
      <c r="AD747" s="15">
        <f t="shared" ref="AD747:AD748" si="2220">AC747-Y747</f>
        <v>33</v>
      </c>
      <c r="AE747" s="180">
        <f>AD747*$F$8</f>
        <v>89.1</v>
      </c>
      <c r="AF747" s="355">
        <v>410.4</v>
      </c>
      <c r="AG747" s="15">
        <v>812</v>
      </c>
      <c r="AH747" s="2">
        <f>(AG747-AC747)*AH5</f>
        <v>41.184</v>
      </c>
      <c r="AI747" s="45">
        <f>AH747*$G$8</f>
        <v>101.31264</v>
      </c>
      <c r="AJ747" s="15"/>
      <c r="AK747" s="15">
        <v>844</v>
      </c>
      <c r="AL747" s="15">
        <f>(AK747-AG747)*AL5</f>
        <v>32.896</v>
      </c>
      <c r="AM747" s="45">
        <f>AL747*$G$8</f>
        <v>80.92416</v>
      </c>
      <c r="AN747" s="15"/>
      <c r="AO747" s="13">
        <v>858</v>
      </c>
      <c r="AP747" s="15">
        <f>(AO747-AK747)*AP5</f>
        <v>14.462</v>
      </c>
      <c r="AQ747" s="45">
        <f>AP747*$G$8</f>
        <v>35.57652</v>
      </c>
      <c r="AR747" s="154">
        <v>306.91</v>
      </c>
      <c r="AS747" s="13">
        <v>866</v>
      </c>
      <c r="AT747" s="15">
        <f>(AS747-AO747)*AT5</f>
        <v>8.4</v>
      </c>
      <c r="AU747" s="45">
        <f>AT747*$G$8</f>
        <v>20.664</v>
      </c>
      <c r="AV747" s="15"/>
      <c r="AW747" s="13"/>
      <c r="AX747" s="15">
        <f>(AW747-AS747)*AX5</f>
        <v>0</v>
      </c>
      <c r="AY747" s="45">
        <f>AX747*$G$8</f>
        <v>0</v>
      </c>
      <c r="AZ747" s="208"/>
      <c r="BA747" s="13"/>
      <c r="BB747" s="15"/>
      <c r="BC747" s="45">
        <f>BB747*$G$8</f>
        <v>0</v>
      </c>
      <c r="BD747" s="208"/>
      <c r="BE747" s="40">
        <f t="shared" ref="BE747:BG747" si="2221">J747+N747+R747+V747+Z747+AD747+AH747+AL747+AP747+AT747+AX747+BB747</f>
        <v>150.942</v>
      </c>
      <c r="BF747" s="41">
        <f t="shared" si="2221"/>
        <v>384.27732</v>
      </c>
      <c r="BG747" s="34">
        <f t="shared" si="2221"/>
        <v>717.31</v>
      </c>
      <c r="BH747" s="35">
        <f t="shared" si="2215"/>
        <v>20.66732</v>
      </c>
      <c r="BI747" s="15"/>
      <c r="BJ747" s="15"/>
      <c r="BK747" s="15" t="b">
        <f>H747='2021'!BH747</f>
        <v>1</v>
      </c>
    </row>
    <row r="748" ht="15.75" customHeight="1" spans="1:63" x14ac:dyDescent="0.25">
      <c r="A748" s="2">
        <v>87</v>
      </c>
      <c r="B748" s="14"/>
      <c r="C748" s="15" t="s">
        <v>153</v>
      </c>
      <c r="D748" s="14" t="s">
        <v>47</v>
      </c>
      <c r="E748" s="15" t="s">
        <v>48</v>
      </c>
      <c r="F748" s="13">
        <v>18.56</v>
      </c>
      <c r="G748" s="35">
        <v>19.46</v>
      </c>
      <c r="H748" s="34">
        <f>'2021'!BH748</f>
        <v>610.5</v>
      </c>
      <c r="I748" s="13">
        <v>273</v>
      </c>
      <c r="J748" s="15"/>
      <c r="K748" s="34"/>
      <c r="L748" s="35"/>
      <c r="M748" s="13">
        <v>273</v>
      </c>
      <c r="N748" s="15">
        <f t="shared" si="2216"/>
        <v>0</v>
      </c>
      <c r="O748" s="34"/>
      <c r="P748" s="34"/>
      <c r="Q748" s="13">
        <v>273</v>
      </c>
      <c r="R748" s="15">
        <f t="shared" si="2217"/>
        <v>0</v>
      </c>
      <c r="S748" s="34"/>
      <c r="T748" s="35"/>
      <c r="U748" s="13">
        <v>273</v>
      </c>
      <c r="V748" s="15">
        <f t="shared" si="2218"/>
        <v>0</v>
      </c>
      <c r="W748" s="34">
        <f>V748*$F$10</f>
        <v>0</v>
      </c>
      <c r="X748" s="34"/>
      <c r="Y748" s="13">
        <v>277</v>
      </c>
      <c r="Z748" s="2">
        <f t="shared" si="2219"/>
        <v>4</v>
      </c>
      <c r="AA748" s="34">
        <f>Z748*$F$10</f>
        <v>81.4</v>
      </c>
      <c r="AB748" s="35"/>
      <c r="AC748" s="348">
        <v>287</v>
      </c>
      <c r="AD748" s="15">
        <f t="shared" si="2220"/>
        <v>10</v>
      </c>
      <c r="AE748" s="34">
        <f>AD748*$F$10</f>
        <v>203.5</v>
      </c>
      <c r="AF748" s="355">
        <v>1090.6</v>
      </c>
      <c r="AG748" s="15">
        <v>300</v>
      </c>
      <c r="AH748" s="2">
        <f>AG748-AC748</f>
        <v>13</v>
      </c>
      <c r="AI748" s="45">
        <f>AH748*$G$10</f>
        <v>278.2</v>
      </c>
      <c r="AJ748" s="15"/>
      <c r="AK748" s="15">
        <v>305</v>
      </c>
      <c r="AL748" s="15">
        <f>AK748-AG748</f>
        <v>5</v>
      </c>
      <c r="AM748" s="45">
        <f>AL748*$G$10</f>
        <v>107</v>
      </c>
      <c r="AN748" s="15"/>
      <c r="AO748" s="13">
        <v>307</v>
      </c>
      <c r="AP748" s="15">
        <f>AO748-AK748</f>
        <v>2</v>
      </c>
      <c r="AQ748" s="45">
        <f>AP748*$G$10</f>
        <v>42.8</v>
      </c>
      <c r="AR748" s="154">
        <v>232.8</v>
      </c>
      <c r="AS748" s="13">
        <v>307</v>
      </c>
      <c r="AT748" s="15">
        <f>AS748-AO748</f>
        <v>0</v>
      </c>
      <c r="AU748" s="45">
        <f>AT748*$G$10</f>
        <v>0</v>
      </c>
      <c r="AV748" s="15"/>
      <c r="AW748" s="13"/>
      <c r="AX748" s="15">
        <f>AW748-AS748</f>
        <v>-307</v>
      </c>
      <c r="AY748" s="45"/>
      <c r="AZ748" s="208"/>
      <c r="BA748" s="13"/>
      <c r="BB748" s="15"/>
      <c r="BC748" s="45"/>
      <c r="BD748" s="208"/>
      <c r="BE748" s="40">
        <f t="shared" ref="BE748:BG748" si="2222">J748+N748+R748+V748+Z748+AD748+AH748+AL748+AP748+AT748+AX748+BB748</f>
        <v>-273</v>
      </c>
      <c r="BF748" s="41">
        <f t="shared" si="2222"/>
        <v>712.9</v>
      </c>
      <c r="BG748" s="34">
        <f t="shared" si="2222"/>
        <v>1323.4</v>
      </c>
      <c r="BH748" s="35">
        <f t="shared" si="2215"/>
        <v>0</v>
      </c>
      <c r="BI748" s="15"/>
      <c r="BJ748" s="15"/>
      <c r="BK748" s="15" t="b">
        <f>H748='2021'!BH748</f>
        <v>1</v>
      </c>
    </row>
    <row r="749" ht="15.75" customHeight="1" spans="1:63" x14ac:dyDescent="0.25">
      <c r="A749" s="2">
        <v>87</v>
      </c>
      <c r="B749" s="14"/>
      <c r="C749" s="15" t="s">
        <v>102</v>
      </c>
      <c r="D749" s="14" t="s">
        <v>47</v>
      </c>
      <c r="E749" s="15" t="s">
        <v>49</v>
      </c>
      <c r="F749" s="41">
        <v>500</v>
      </c>
      <c r="G749" s="28"/>
      <c r="H749" s="34">
        <f>'2021'!BH749</f>
        <v>0</v>
      </c>
      <c r="I749" s="13"/>
      <c r="J749" s="15"/>
      <c r="K749" s="34"/>
      <c r="L749" s="35"/>
      <c r="M749" s="13"/>
      <c r="N749" s="15"/>
      <c r="O749" s="34"/>
      <c r="P749" s="34"/>
      <c r="Q749" s="13"/>
      <c r="R749" s="15"/>
      <c r="S749" s="34"/>
      <c r="T749" s="35"/>
      <c r="U749" s="13"/>
      <c r="V749" s="15"/>
      <c r="W749" s="34"/>
      <c r="X749" s="34"/>
      <c r="Y749" s="13"/>
      <c r="Z749" s="2"/>
      <c r="AA749" s="34"/>
      <c r="AB749" s="35"/>
      <c r="AC749" s="348"/>
      <c r="AD749" s="15"/>
      <c r="AE749" s="34"/>
      <c r="AF749" s="182"/>
      <c r="AG749" s="15"/>
      <c r="AH749" s="2"/>
      <c r="AI749" s="45"/>
      <c r="AJ749" s="15"/>
      <c r="AK749" s="15"/>
      <c r="AL749" s="15"/>
      <c r="AM749" s="45"/>
      <c r="AN749" s="15"/>
      <c r="AO749" s="13"/>
      <c r="AP749" s="15"/>
      <c r="AQ749" s="45"/>
      <c r="AR749" s="15"/>
      <c r="AS749" s="13"/>
      <c r="AT749" s="15"/>
      <c r="AU749" s="45"/>
      <c r="AV749" s="15"/>
      <c r="AW749" s="13"/>
      <c r="AX749" s="15"/>
      <c r="AY749" s="45"/>
      <c r="AZ749" s="28"/>
      <c r="BA749" s="13"/>
      <c r="BB749" s="15"/>
      <c r="BC749" s="45"/>
      <c r="BD749" s="28"/>
      <c r="BE749" s="14"/>
      <c r="BF749" s="41">
        <f t="shared" ref="BF749:BG749" si="2223">K749+O749+S749+W749+AA749+AE749+AI749+AM749+AQ749+AU749+AY749+BC749</f>
        <v>0</v>
      </c>
      <c r="BG749" s="34">
        <f t="shared" si="2223"/>
        <v>0</v>
      </c>
      <c r="BH749" s="35">
        <f t="shared" si="2215"/>
        <v>0</v>
      </c>
      <c r="BI749" s="15"/>
      <c r="BJ749" s="15"/>
      <c r="BK749" s="15" t="b">
        <f>H749='2021'!BH749</f>
        <v>1</v>
      </c>
    </row>
    <row r="750" ht="15.75" customHeight="1" spans="1:63" x14ac:dyDescent="0.25">
      <c r="A750" s="2">
        <v>87</v>
      </c>
      <c r="B750" s="14"/>
      <c r="C750" s="15" t="s">
        <v>285</v>
      </c>
      <c r="D750" s="14" t="s">
        <v>50</v>
      </c>
      <c r="E750" s="15" t="s">
        <v>49</v>
      </c>
      <c r="F750" s="41">
        <v>1100</v>
      </c>
      <c r="G750" s="28"/>
      <c r="H750" s="34">
        <f>'2021'!BH750</f>
        <v>0</v>
      </c>
      <c r="I750" s="13"/>
      <c r="J750" s="15"/>
      <c r="K750" s="34"/>
      <c r="L750" s="35"/>
      <c r="M750" s="13"/>
      <c r="N750" s="15"/>
      <c r="O750" s="34"/>
      <c r="P750" s="34"/>
      <c r="Q750" s="13"/>
      <c r="R750" s="15"/>
      <c r="S750" s="34"/>
      <c r="T750" s="35"/>
      <c r="U750" s="13"/>
      <c r="V750" s="15"/>
      <c r="W750" s="34"/>
      <c r="X750" s="34"/>
      <c r="Y750" s="13"/>
      <c r="Z750" s="2"/>
      <c r="AA750" s="34"/>
      <c r="AB750" s="35"/>
      <c r="AC750" s="348"/>
      <c r="AD750" s="15"/>
      <c r="AE750" s="34">
        <f>B747*$F$12</f>
        <v>5499</v>
      </c>
      <c r="AF750" s="355">
        <v>5499</v>
      </c>
      <c r="AG750" s="15"/>
      <c r="AH750" s="2"/>
      <c r="AI750" s="45"/>
      <c r="AJ750" s="34"/>
      <c r="AK750" s="15"/>
      <c r="AL750" s="15"/>
      <c r="AM750" s="45"/>
      <c r="AN750" s="15"/>
      <c r="AO750" s="13"/>
      <c r="AP750" s="15"/>
      <c r="AQ750" s="45"/>
      <c r="AR750" s="15"/>
      <c r="AS750" s="13"/>
      <c r="AT750" s="15"/>
      <c r="AU750" s="45"/>
      <c r="AV750" s="15"/>
      <c r="AW750" s="13"/>
      <c r="AX750" s="15"/>
      <c r="AY750" s="45"/>
      <c r="AZ750" s="28"/>
      <c r="BA750" s="13"/>
      <c r="BB750" s="15"/>
      <c r="BC750" s="45"/>
      <c r="BD750" s="28"/>
      <c r="BE750" s="14"/>
      <c r="BF750" s="41">
        <f t="shared" ref="BF750:BG750" si="2224">K750+O750+S750+W750+AA750+AE750+AI750+AM750+AQ750+AU750+AY750+BC750</f>
        <v>5499</v>
      </c>
      <c r="BG750" s="34">
        <f t="shared" si="2224"/>
        <v>5499</v>
      </c>
      <c r="BH750" s="35">
        <f t="shared" si="2215"/>
        <v>0</v>
      </c>
      <c r="BI750" s="15"/>
      <c r="BJ750" s="15"/>
      <c r="BK750" s="15" t="b">
        <f>H750='2021'!BH750</f>
        <v>1</v>
      </c>
    </row>
    <row r="751" ht="15.75" customHeight="1" spans="1:63" x14ac:dyDescent="0.25">
      <c r="A751" s="2">
        <v>87</v>
      </c>
      <c r="B751" s="14"/>
      <c r="C751" s="15"/>
      <c r="D751" s="14" t="s">
        <v>51</v>
      </c>
      <c r="E751" s="15" t="s">
        <v>39</v>
      </c>
      <c r="F751" s="41">
        <v>500</v>
      </c>
      <c r="G751" s="28"/>
      <c r="H751" s="34">
        <f>'2021'!BH751</f>
        <v>0</v>
      </c>
      <c r="I751" s="13"/>
      <c r="J751" s="15"/>
      <c r="K751" s="34"/>
      <c r="L751" s="35"/>
      <c r="M751" s="13"/>
      <c r="N751" s="15"/>
      <c r="O751" s="34"/>
      <c r="P751" s="34"/>
      <c r="Q751" s="13"/>
      <c r="R751" s="15"/>
      <c r="S751" s="34"/>
      <c r="T751" s="35"/>
      <c r="U751" s="13"/>
      <c r="V751" s="15"/>
      <c r="W751" s="34"/>
      <c r="X751" s="34"/>
      <c r="Y751" s="13"/>
      <c r="Z751" s="2"/>
      <c r="AA751" s="34"/>
      <c r="AB751" s="35"/>
      <c r="AC751" s="348"/>
      <c r="AD751" s="15"/>
      <c r="AE751" s="180">
        <f>$F$13</f>
        <v>1000</v>
      </c>
      <c r="AF751" s="355">
        <v>1000</v>
      </c>
      <c r="AG751" s="15"/>
      <c r="AH751" s="2"/>
      <c r="AI751" s="45"/>
      <c r="AJ751" s="15"/>
      <c r="AK751" s="15"/>
      <c r="AL751" s="15"/>
      <c r="AM751" s="45"/>
      <c r="AN751" s="15"/>
      <c r="AO751" s="13"/>
      <c r="AP751" s="15"/>
      <c r="AQ751" s="180"/>
      <c r="AR751" s="15"/>
      <c r="AS751" s="13"/>
      <c r="AT751" s="15"/>
      <c r="AU751" s="45"/>
      <c r="AV751" s="15"/>
      <c r="AW751" s="13"/>
      <c r="AX751" s="15"/>
      <c r="AY751" s="45"/>
      <c r="AZ751" s="28"/>
      <c r="BA751" s="13"/>
      <c r="BB751" s="15"/>
      <c r="BC751" s="45"/>
      <c r="BD751" s="28"/>
      <c r="BE751" s="14"/>
      <c r="BF751" s="41">
        <f t="shared" ref="BF751:BG751" si="2225">K751+O751+S751+W751+AA751+AE751+AI751+AM751+AQ751+AU751+AY751+BC751</f>
        <v>1000</v>
      </c>
      <c r="BG751" s="34">
        <f t="shared" si="2225"/>
        <v>1000</v>
      </c>
      <c r="BH751" s="35">
        <f t="shared" si="2215"/>
        <v>0</v>
      </c>
      <c r="BI751" s="15"/>
      <c r="BJ751" s="15"/>
      <c r="BK751" s="15" t="b">
        <f>H751='2021'!BH751</f>
        <v>1</v>
      </c>
    </row>
    <row r="752" ht="15.75" customHeight="1" spans="1:63" x14ac:dyDescent="0.25">
      <c r="A752" s="2">
        <v>87</v>
      </c>
      <c r="B752" s="14"/>
      <c r="C752" s="15"/>
      <c r="D752" s="14" t="s">
        <v>51</v>
      </c>
      <c r="E752" s="15" t="s">
        <v>49</v>
      </c>
      <c r="F752" s="41">
        <v>500</v>
      </c>
      <c r="G752" s="28"/>
      <c r="H752" s="34">
        <f>'2021'!BH752</f>
        <v>0</v>
      </c>
      <c r="I752" s="13"/>
      <c r="J752" s="15"/>
      <c r="K752" s="34"/>
      <c r="L752" s="35"/>
      <c r="M752" s="13"/>
      <c r="N752" s="15"/>
      <c r="O752" s="34"/>
      <c r="P752" s="34"/>
      <c r="Q752" s="13"/>
      <c r="R752" s="15"/>
      <c r="S752" s="34"/>
      <c r="T752" s="35"/>
      <c r="U752" s="13"/>
      <c r="V752" s="15"/>
      <c r="W752" s="34"/>
      <c r="X752" s="34"/>
      <c r="Y752" s="13"/>
      <c r="Z752" s="2"/>
      <c r="AA752" s="34"/>
      <c r="AB752" s="35"/>
      <c r="AC752" s="348"/>
      <c r="AD752" s="15"/>
      <c r="AE752" s="34"/>
      <c r="AF752" s="182"/>
      <c r="AG752" s="15"/>
      <c r="AH752" s="2"/>
      <c r="AI752" s="45"/>
      <c r="AJ752" s="15"/>
      <c r="AK752" s="15"/>
      <c r="AL752" s="15"/>
      <c r="AM752" s="45"/>
      <c r="AN752" s="15"/>
      <c r="AO752" s="13"/>
      <c r="AP752" s="15"/>
      <c r="AQ752" s="180">
        <f>B747*$F$14</f>
        <v>0</v>
      </c>
      <c r="AR752" s="15"/>
      <c r="AS752" s="13"/>
      <c r="AT752" s="15"/>
      <c r="AU752" s="45"/>
      <c r="AV752" s="15"/>
      <c r="AW752" s="13"/>
      <c r="AX752" s="15"/>
      <c r="AY752" s="45"/>
      <c r="AZ752" s="28"/>
      <c r="BA752" s="13"/>
      <c r="BB752" s="15"/>
      <c r="BC752" s="45"/>
      <c r="BD752" s="28"/>
      <c r="BE752" s="14"/>
      <c r="BF752" s="41">
        <f t="shared" ref="BF752:BG752" si="2226">K752+O752+S752+W752+AA752+AE752+AI752+AM752+AQ752+AU752+AY752+BC752</f>
        <v>0</v>
      </c>
      <c r="BG752" s="34">
        <f t="shared" si="2226"/>
        <v>0</v>
      </c>
      <c r="BH752" s="35">
        <f t="shared" si="2215"/>
        <v>0</v>
      </c>
      <c r="BI752" s="15"/>
      <c r="BJ752" s="15"/>
      <c r="BK752" s="15" t="b">
        <f>H752='2021'!BH752</f>
        <v>1</v>
      </c>
    </row>
    <row r="753" ht="15.75" customHeight="1" spans="1:63" x14ac:dyDescent="0.25">
      <c r="A753" s="2">
        <v>87</v>
      </c>
      <c r="B753" s="14"/>
      <c r="C753" s="15"/>
      <c r="D753" s="14" t="s">
        <v>52</v>
      </c>
      <c r="E753" s="15" t="s">
        <v>39</v>
      </c>
      <c r="F753" s="41">
        <v>500</v>
      </c>
      <c r="G753" s="28"/>
      <c r="H753" s="34">
        <f>'2021'!BH753</f>
        <v>0</v>
      </c>
      <c r="I753" s="13"/>
      <c r="J753" s="15"/>
      <c r="K753" s="34"/>
      <c r="L753" s="35"/>
      <c r="M753" s="13"/>
      <c r="N753" s="15"/>
      <c r="O753" s="34"/>
      <c r="P753" s="34"/>
      <c r="Q753" s="13"/>
      <c r="R753" s="15"/>
      <c r="S753" s="34"/>
      <c r="T753" s="35"/>
      <c r="U753" s="13"/>
      <c r="V753" s="15"/>
      <c r="W753" s="34"/>
      <c r="X753" s="34"/>
      <c r="Y753" s="13"/>
      <c r="Z753" s="2"/>
      <c r="AA753" s="34">
        <f>$F$15</f>
      </c>
      <c r="AB753" s="35"/>
      <c r="AC753" s="348"/>
      <c r="AD753" s="15"/>
      <c r="AE753" s="34"/>
      <c r="AF753" s="180"/>
      <c r="AG753" s="15"/>
      <c r="AH753" s="2"/>
      <c r="AI753" s="45"/>
      <c r="AJ753" s="15"/>
      <c r="AK753" s="15"/>
      <c r="AL753" s="15"/>
      <c r="AM753" s="45"/>
      <c r="AN753" s="15"/>
      <c r="AO753" s="13"/>
      <c r="AP753" s="15"/>
      <c r="AQ753" s="45"/>
      <c r="AR753" s="15"/>
      <c r="AS753" s="13"/>
      <c r="AT753" s="15"/>
      <c r="AU753" s="45"/>
      <c r="AV753" s="15"/>
      <c r="AW753" s="13"/>
      <c r="AX753" s="15"/>
      <c r="AY753" s="45"/>
      <c r="AZ753" s="35"/>
      <c r="BA753" s="13"/>
      <c r="BB753" s="15"/>
      <c r="BC753" s="45"/>
      <c r="BD753" s="35"/>
      <c r="BE753" s="14"/>
      <c r="BF753" s="41">
        <f t="shared" ref="BF753:BG753" si="2227">K753+O753+S753+W753+AA753+AE753+AI753+AM753+AQ753+AU753+AY753+BC753</f>
        <v>0</v>
      </c>
      <c r="BG753" s="34">
        <f t="shared" si="2227"/>
        <v>0</v>
      </c>
      <c r="BH753" s="35">
        <f t="shared" si="2215"/>
        <v>0</v>
      </c>
      <c r="BI753" s="15"/>
      <c r="BJ753" s="15"/>
      <c r="BK753" s="15" t="b">
        <f>H753='2021'!BH753</f>
        <v>1</v>
      </c>
    </row>
    <row r="754" ht="15.75" customHeight="1" spans="1:63" x14ac:dyDescent="0.25">
      <c r="A754" s="247">
        <v>87</v>
      </c>
      <c r="B754" s="21"/>
      <c r="C754" s="22" t="s">
        <v>53</v>
      </c>
      <c r="D754" s="21"/>
      <c r="E754" s="22"/>
      <c r="F754" s="20"/>
      <c r="G754" s="23"/>
      <c r="H754" s="51">
        <f>SUM(H746:H753)</f>
        <v>964.2</v>
      </c>
      <c r="I754" s="52"/>
      <c r="J754" s="53"/>
      <c r="K754" s="51">
        <f t="shared" ref="K754:L754" si="2228">SUM(K746:K753)</f>
        <v>0</v>
      </c>
      <c r="L754" s="68">
        <f t="shared" si="2228"/>
        <v>0</v>
      </c>
      <c r="M754" s="52"/>
      <c r="N754" s="53"/>
      <c r="O754" s="51">
        <f t="shared" ref="O754:P754" si="2229">SUM(O746:O753)</f>
        <v>0</v>
      </c>
      <c r="P754" s="51">
        <f t="shared" si="2229"/>
        <v>0</v>
      </c>
      <c r="Q754" s="52"/>
      <c r="R754" s="53"/>
      <c r="S754" s="51">
        <f t="shared" ref="S754:T754" si="2230">SUM(S746:S753)</f>
        <v>0</v>
      </c>
      <c r="T754" s="51">
        <f t="shared" si="2230"/>
        <v>0</v>
      </c>
      <c r="U754" s="52"/>
      <c r="V754" s="53"/>
      <c r="W754" s="51">
        <f t="shared" ref="W754:X754" si="2231">SUM(W746:W753)</f>
        <v>0</v>
      </c>
      <c r="X754" s="51">
        <f t="shared" si="2231"/>
        <v>0</v>
      </c>
      <c r="Y754" s="52"/>
      <c r="Z754" s="301"/>
      <c r="AA754" s="51">
        <f t="shared" ref="AA754:AB754" si="2232">SUM(AA746:AA753)</f>
        <v>138.1</v>
      </c>
      <c r="AB754" s="51">
        <f t="shared" si="2232"/>
        <v>0</v>
      </c>
      <c r="AC754" s="367"/>
      <c r="AD754" s="53"/>
      <c r="AE754" s="51">
        <f t="shared" ref="AE754:AF754" si="2233">SUM(AE746:AE753)</f>
        <v>6791.6</v>
      </c>
      <c r="AF754" s="51">
        <f t="shared" si="2233"/>
        <v>8000</v>
      </c>
      <c r="AG754" s="52"/>
      <c r="AH754" s="301"/>
      <c r="AI754" s="183">
        <f t="shared" ref="AI754:AJ754" si="2234">SUM(AI746:AI753)</f>
        <v>379.51264</v>
      </c>
      <c r="AJ754" s="51">
        <f t="shared" si="2234"/>
        <v>0</v>
      </c>
      <c r="AK754" s="52"/>
      <c r="AL754" s="53"/>
      <c r="AM754" s="183">
        <f t="shared" ref="AM754:AN754" si="2235">SUM(AM746:AM753)</f>
        <v>187.92416</v>
      </c>
      <c r="AN754" s="51">
        <f t="shared" si="2235"/>
        <v>0</v>
      </c>
      <c r="AO754" s="52"/>
      <c r="AP754" s="53"/>
      <c r="AQ754" s="183">
        <f t="shared" ref="AQ754:AR754" si="2236">SUM(AQ746:AQ753)</f>
        <v>78.37652</v>
      </c>
      <c r="AR754" s="51">
        <f t="shared" si="2236"/>
        <v>539.71</v>
      </c>
      <c r="AS754" s="52"/>
      <c r="AT754" s="53"/>
      <c r="AU754" s="183">
        <f t="shared" ref="AU754:AV754" si="2237">SUM(AU746:AU753)</f>
        <v>20.664</v>
      </c>
      <c r="AV754" s="68">
        <f t="shared" si="2237"/>
        <v>0</v>
      </c>
      <c r="AW754" s="52"/>
      <c r="AX754" s="53"/>
      <c r="AY754" s="183">
        <f t="shared" ref="AY754:AZ754" si="2238">SUM(AY746:AY753)</f>
        <v>0</v>
      </c>
      <c r="AZ754" s="68">
        <f t="shared" si="2238"/>
        <v>0</v>
      </c>
      <c r="BA754" s="52"/>
      <c r="BB754" s="53"/>
      <c r="BC754" s="183">
        <f t="shared" ref="BC754:BD754" si="2239">SUM(BC746:BC753)</f>
        <v>0</v>
      </c>
      <c r="BD754" s="68">
        <f t="shared" si="2239"/>
        <v>0</v>
      </c>
      <c r="BE754" s="69"/>
      <c r="BF754" s="70">
        <f t="shared" ref="BF754:BH754" si="2240">SUM(BF746:BF753)</f>
        <v>7596.17732</v>
      </c>
      <c r="BG754" s="71">
        <f t="shared" si="2240"/>
        <v>8539.71</v>
      </c>
      <c r="BH754" s="72">
        <f t="shared" si="2240"/>
        <v>20.66732</v>
      </c>
      <c r="BI754" s="34">
        <f>H754+BF754-BG754</f>
        <v>20.66732</v>
      </c>
      <c r="BJ754" s="34">
        <f>BH754-BI754</f>
        <v>0</v>
      </c>
      <c r="BK754" s="2" t="b">
        <f>H754='2021'!BH754</f>
        <v>1</v>
      </c>
    </row>
    <row r="755" ht="15.75" customHeight="1" spans="1:63" x14ac:dyDescent="0.25">
      <c r="A755" s="2">
        <v>89</v>
      </c>
      <c r="B755" s="14"/>
      <c r="C755" s="15"/>
      <c r="D755" s="14" t="s">
        <v>379</v>
      </c>
      <c r="E755" s="15"/>
      <c r="F755" s="13"/>
      <c r="G755" s="28"/>
      <c r="H755" s="34">
        <f>'2021'!BH755</f>
        <v>0</v>
      </c>
      <c r="I755" s="13"/>
      <c r="J755" s="15"/>
      <c r="K755" s="34"/>
      <c r="L755" s="35"/>
      <c r="M755" s="13"/>
      <c r="N755" s="15"/>
      <c r="O755" s="34"/>
      <c r="P755" s="34"/>
      <c r="Q755" s="13"/>
      <c r="R755" s="15"/>
      <c r="S755" s="34"/>
      <c r="T755" s="35"/>
      <c r="U755" s="13"/>
      <c r="V755" s="15"/>
      <c r="W755" s="34"/>
      <c r="X755" s="34"/>
      <c r="Y755" s="13"/>
      <c r="Z755" s="2"/>
      <c r="AA755" s="34"/>
      <c r="AB755" s="35"/>
      <c r="AC755" s="348"/>
      <c r="AD755" s="15"/>
      <c r="AE755" s="34"/>
      <c r="AF755" s="34"/>
      <c r="AG755" s="15"/>
      <c r="AH755" s="2"/>
      <c r="AI755" s="45"/>
      <c r="AJ755" s="34"/>
      <c r="AK755" s="15"/>
      <c r="AL755" s="15"/>
      <c r="AM755" s="45"/>
      <c r="AN755" s="34"/>
      <c r="AO755" s="13"/>
      <c r="AP755" s="15"/>
      <c r="AQ755" s="45"/>
      <c r="AR755" s="34"/>
      <c r="AS755" s="13"/>
      <c r="AT755" s="15"/>
      <c r="AU755" s="45"/>
      <c r="AV755" s="34"/>
      <c r="AW755" s="13"/>
      <c r="AX755" s="15"/>
      <c r="AY755" s="45"/>
      <c r="AZ755" s="28"/>
      <c r="BA755" s="13"/>
      <c r="BB755" s="15"/>
      <c r="BC755" s="45"/>
      <c r="BD755" s="28"/>
      <c r="BE755" s="42"/>
      <c r="BF755" s="41">
        <f t="shared" ref="BF755:BG755" si="2241">K755+O755+S755+W755+AA755+AE755+AI755+AM755+AQ755+AU755+AY755+BC755</f>
        <v>0</v>
      </c>
      <c r="BG755" s="34">
        <f t="shared" si="2241"/>
        <v>0</v>
      </c>
      <c r="BH755" s="35">
        <f t="shared" ref="BH755:BH762" si="2242">H755+BF755-BG755</f>
        <v>0</v>
      </c>
      <c r="BI755" s="15"/>
      <c r="BJ755" s="15"/>
      <c r="BK755" s="15" t="b">
        <f>H755='2021'!BH755</f>
        <v>1</v>
      </c>
    </row>
    <row r="756" ht="15.75" customHeight="1" spans="1:63" x14ac:dyDescent="0.25">
      <c r="A756" s="2">
        <v>89</v>
      </c>
      <c r="B756" s="14">
        <v>4.25</v>
      </c>
      <c r="C756" s="15" t="s">
        <v>286</v>
      </c>
      <c r="D756" s="14" t="s">
        <v>44</v>
      </c>
      <c r="E756" s="15" t="s">
        <v>45</v>
      </c>
      <c r="F756" s="41">
        <v>2.5</v>
      </c>
      <c r="G756" s="35">
        <v>2.6</v>
      </c>
      <c r="H756" s="104">
        <f>'2021'!BH756</f>
        <v>0</v>
      </c>
      <c r="I756" s="13"/>
      <c r="J756" s="15">
        <f>I756-'2021'!BA756</f>
        <v>0</v>
      </c>
      <c r="K756" s="34">
        <f>J756*$F$8</f>
        <v>0</v>
      </c>
      <c r="L756" s="35"/>
      <c r="M756" s="13"/>
      <c r="N756" s="15">
        <f t="shared" ref="N756:N757" si="2243">M756-I756</f>
        <v>0</v>
      </c>
      <c r="O756" s="34">
        <f>N756*$F$8</f>
        <v>0</v>
      </c>
      <c r="P756" s="34"/>
      <c r="Q756" s="13"/>
      <c r="R756" s="15">
        <f t="shared" ref="R756:R757" si="2244">Q756-M756</f>
        <v>0</v>
      </c>
      <c r="S756" s="34">
        <f>R756*$F$8</f>
        <v>0</v>
      </c>
      <c r="T756" s="35"/>
      <c r="U756" s="13"/>
      <c r="V756" s="15">
        <f t="shared" ref="V756:V757" si="2245">U756-Q756</f>
        <v>0</v>
      </c>
      <c r="W756" s="34">
        <f>V756*$F$8</f>
        <v>0</v>
      </c>
      <c r="X756" s="34"/>
      <c r="Y756" s="13"/>
      <c r="Z756" s="2">
        <f t="shared" ref="Z756:Z757" si="2246">Y756-U756</f>
        <v>0</v>
      </c>
      <c r="AA756" s="34">
        <f>Z756*$F$8</f>
        <v>0</v>
      </c>
      <c r="AB756" s="35"/>
      <c r="AC756" s="348"/>
      <c r="AD756" s="15">
        <f t="shared" ref="AD756:AD757" si="2247">AC756-Y756</f>
        <v>0</v>
      </c>
      <c r="AE756" s="180">
        <f>AD756*$F$8</f>
        <v>0</v>
      </c>
      <c r="AF756" s="187"/>
      <c r="AG756" s="15"/>
      <c r="AH756" s="2">
        <f>(AG756-AC756)*AH5</f>
        <v>0</v>
      </c>
      <c r="AI756" s="45">
        <f>AH756*$G$8</f>
        <v>0</v>
      </c>
      <c r="AJ756" s="15"/>
      <c r="AK756" s="15"/>
      <c r="AL756" s="15">
        <f>(AK756-AG756)*AL5</f>
        <v>0</v>
      </c>
      <c r="AM756" s="45">
        <f>AL756*$G$8</f>
        <v>0</v>
      </c>
      <c r="AN756" s="15"/>
      <c r="AO756" s="13"/>
      <c r="AP756" s="15">
        <f>(AO756-AK756)*AP5</f>
        <v>0</v>
      </c>
      <c r="AQ756" s="45">
        <f>AP756*$G$8</f>
        <v>0</v>
      </c>
      <c r="AR756" s="15"/>
      <c r="AS756" s="13"/>
      <c r="AT756" s="15">
        <f>(AS756-AO756)*AT5</f>
        <v>0</v>
      </c>
      <c r="AU756" s="45">
        <f>AT756*$G$8</f>
        <v>0</v>
      </c>
      <c r="AV756" s="15"/>
      <c r="AW756" s="13"/>
      <c r="AX756" s="15">
        <f>(AW756-AS756)*AX5</f>
        <v>0</v>
      </c>
      <c r="AY756" s="45">
        <f>AX756*$G$8</f>
        <v>0</v>
      </c>
      <c r="AZ756" s="208"/>
      <c r="BA756" s="13"/>
      <c r="BB756" s="15"/>
      <c r="BC756" s="45">
        <f>BB756*$G$8</f>
        <v>0</v>
      </c>
      <c r="BD756" s="208"/>
      <c r="BE756" s="40">
        <f t="shared" ref="BE756:BG756" si="2248">J756+N756+R756+V756+Z756+AD756+AH756+AL756+AP756+AT756+AX756+BB756</f>
        <v>0</v>
      </c>
      <c r="BF756" s="41">
        <f t="shared" si="2248"/>
        <v>0</v>
      </c>
      <c r="BG756" s="34">
        <f t="shared" si="2248"/>
        <v>0</v>
      </c>
      <c r="BH756" s="35">
        <f t="shared" si="2242"/>
        <v>0</v>
      </c>
      <c r="BI756" s="15"/>
      <c r="BJ756" s="15"/>
      <c r="BK756" s="15" t="b">
        <f>H756='2021'!BH756</f>
        <v>1</v>
      </c>
    </row>
    <row r="757" ht="15.75" customHeight="1" spans="1:63" x14ac:dyDescent="0.25">
      <c r="A757" s="2">
        <v>89</v>
      </c>
      <c r="B757" s="14"/>
      <c r="C757" s="15" t="s">
        <v>163</v>
      </c>
      <c r="D757" s="14" t="s">
        <v>47</v>
      </c>
      <c r="E757" s="15" t="s">
        <v>48</v>
      </c>
      <c r="F757" s="13">
        <v>18.56</v>
      </c>
      <c r="G757" s="35">
        <v>19.46</v>
      </c>
      <c r="H757" s="34">
        <f>'2021'!BH757</f>
        <v>-337.2</v>
      </c>
      <c r="I757" s="13">
        <v>165</v>
      </c>
      <c r="J757" s="15"/>
      <c r="K757" s="34"/>
      <c r="L757" s="35"/>
      <c r="M757" s="13">
        <v>165</v>
      </c>
      <c r="N757" s="15">
        <f t="shared" si="2243"/>
        <v>0</v>
      </c>
      <c r="O757" s="34"/>
      <c r="P757" s="34"/>
      <c r="Q757" s="13">
        <v>165</v>
      </c>
      <c r="R757" s="15">
        <f t="shared" si="2244"/>
        <v>0</v>
      </c>
      <c r="S757" s="34"/>
      <c r="T757" s="35"/>
      <c r="U757" s="13">
        <v>165</v>
      </c>
      <c r="V757" s="15">
        <f t="shared" si="2245"/>
        <v>0</v>
      </c>
      <c r="W757" s="34">
        <f>V757*$F$10</f>
        <v>0</v>
      </c>
      <c r="X757" s="34"/>
      <c r="Y757" s="13">
        <v>171</v>
      </c>
      <c r="Z757" s="2">
        <f t="shared" si="2246"/>
        <v>6</v>
      </c>
      <c r="AA757" s="34">
        <f>Z757*$F$10</f>
        <v>122.1</v>
      </c>
      <c r="AB757" s="35"/>
      <c r="AC757" s="348">
        <v>183</v>
      </c>
      <c r="AD757" s="15">
        <f t="shared" si="2247"/>
        <v>12</v>
      </c>
      <c r="AE757" s="34">
        <f>AD757*$F$10</f>
        <v>244.2</v>
      </c>
      <c r="AF757" s="182"/>
      <c r="AG757" s="15">
        <v>192</v>
      </c>
      <c r="AH757" s="2">
        <f>AG757-AC757</f>
        <v>9</v>
      </c>
      <c r="AI757" s="45">
        <f>AH757*$G$10</f>
        <v>192.6</v>
      </c>
      <c r="AJ757" s="292">
        <v>475</v>
      </c>
      <c r="AK757" s="15">
        <v>196</v>
      </c>
      <c r="AL757" s="15">
        <f>AK757-AG757</f>
        <v>4</v>
      </c>
      <c r="AM757" s="45">
        <f>AL757*$G$10</f>
        <v>85.6</v>
      </c>
      <c r="AN757" s="1"/>
      <c r="AO757" s="13">
        <v>204</v>
      </c>
      <c r="AP757" s="15">
        <f>AO757-AK757</f>
        <v>8</v>
      </c>
      <c r="AQ757" s="45">
        <f>AP757*$G$10</f>
        <v>171.2</v>
      </c>
      <c r="AR757" s="34"/>
      <c r="AS757" s="13">
        <v>204</v>
      </c>
      <c r="AT757" s="15">
        <f>AS757-AO757</f>
        <v>0</v>
      </c>
      <c r="AU757" s="45">
        <f>AT757*$G$10</f>
        <v>0</v>
      </c>
      <c r="AV757" s="15"/>
      <c r="AW757" s="13"/>
      <c r="AX757" s="15">
        <f>AW757-AS757</f>
        <v>-204</v>
      </c>
      <c r="AY757" s="45"/>
      <c r="AZ757" s="208"/>
      <c r="BA757" s="13"/>
      <c r="BB757" s="15"/>
      <c r="BC757" s="45"/>
      <c r="BD757" s="208"/>
      <c r="BE757" s="40">
        <f t="shared" ref="BE757:BG757" si="2249">J757+N757+R757+V757+Z757+AD757+AH757+AL757+AP757+AT757+AX757+BB757</f>
        <v>-165</v>
      </c>
      <c r="BF757" s="41">
        <f t="shared" si="2249"/>
        <v>815.7</v>
      </c>
      <c r="BG757" s="34">
        <f t="shared" si="2249"/>
        <v>475</v>
      </c>
      <c r="BH757" s="35">
        <f t="shared" si="2242"/>
        <v>3.5</v>
      </c>
      <c r="BI757" s="15"/>
      <c r="BJ757" s="15"/>
      <c r="BK757" s="15" t="b">
        <f>H757='2021'!BH757</f>
        <v>1</v>
      </c>
    </row>
    <row r="758" ht="15.75" customHeight="1" spans="1:63" x14ac:dyDescent="0.25">
      <c r="A758" s="2">
        <v>89</v>
      </c>
      <c r="B758" s="14"/>
      <c r="C758" s="15" t="s">
        <v>107</v>
      </c>
      <c r="D758" s="14" t="s">
        <v>47</v>
      </c>
      <c r="E758" s="15" t="s">
        <v>49</v>
      </c>
      <c r="F758" s="41">
        <v>500</v>
      </c>
      <c r="G758" s="28"/>
      <c r="H758" s="34">
        <f>'2021'!BH758</f>
        <v>0</v>
      </c>
      <c r="I758" s="13"/>
      <c r="J758" s="15"/>
      <c r="K758" s="34"/>
      <c r="L758" s="35"/>
      <c r="M758" s="13"/>
      <c r="N758" s="15"/>
      <c r="O758" s="34"/>
      <c r="P758" s="34"/>
      <c r="Q758" s="13"/>
      <c r="R758" s="15"/>
      <c r="S758" s="34"/>
      <c r="T758" s="35"/>
      <c r="U758" s="13"/>
      <c r="V758" s="15"/>
      <c r="W758" s="34"/>
      <c r="X758" s="34"/>
      <c r="Y758" s="13"/>
      <c r="Z758" s="2"/>
      <c r="AA758" s="34"/>
      <c r="AB758" s="35"/>
      <c r="AC758" s="348"/>
      <c r="AD758" s="15"/>
      <c r="AE758" s="34"/>
      <c r="AF758" s="182"/>
      <c r="AG758" s="15"/>
      <c r="AH758" s="2"/>
      <c r="AI758" s="45"/>
      <c r="AJ758" s="15"/>
      <c r="AK758" s="15"/>
      <c r="AL758" s="15"/>
      <c r="AM758" s="45"/>
      <c r="AN758" s="15"/>
      <c r="AO758" s="13"/>
      <c r="AP758" s="15"/>
      <c r="AQ758" s="45"/>
      <c r="AR758" s="15"/>
      <c r="AS758" s="13"/>
      <c r="AT758" s="15"/>
      <c r="AU758" s="45"/>
      <c r="AV758" s="15"/>
      <c r="AW758" s="13"/>
      <c r="AX758" s="15"/>
      <c r="AY758" s="45"/>
      <c r="AZ758" s="28"/>
      <c r="BA758" s="13"/>
      <c r="BB758" s="15"/>
      <c r="BC758" s="45"/>
      <c r="BD758" s="28"/>
      <c r="BE758" s="14"/>
      <c r="BF758" s="41">
        <f t="shared" ref="BF758:BG758" si="2250">K758+O758+S758+W758+AA758+AE758+AI758+AM758+AQ758+AU758+AY758+BC758</f>
        <v>0</v>
      </c>
      <c r="BG758" s="34">
        <f t="shared" si="2250"/>
        <v>0</v>
      </c>
      <c r="BH758" s="35">
        <f t="shared" si="2242"/>
        <v>0</v>
      </c>
      <c r="BI758" s="15"/>
      <c r="BJ758" s="15"/>
      <c r="BK758" s="15" t="b">
        <f>H758='2021'!BH758</f>
        <v>1</v>
      </c>
    </row>
    <row r="759" ht="15.75" customHeight="1" spans="1:63" x14ac:dyDescent="0.25">
      <c r="A759" s="2">
        <v>89</v>
      </c>
      <c r="B759" s="14"/>
      <c r="C759" s="15" t="s">
        <v>287</v>
      </c>
      <c r="D759" s="14" t="s">
        <v>50</v>
      </c>
      <c r="E759" s="15" t="s">
        <v>49</v>
      </c>
      <c r="F759" s="41">
        <v>1100</v>
      </c>
      <c r="G759" s="28"/>
      <c r="H759" s="34">
        <f>'2021'!BH759</f>
        <v>0</v>
      </c>
      <c r="I759" s="13"/>
      <c r="J759" s="15"/>
      <c r="K759" s="34"/>
      <c r="L759" s="35"/>
      <c r="M759" s="13"/>
      <c r="N759" s="15"/>
      <c r="O759" s="34"/>
      <c r="P759" s="34"/>
      <c r="Q759" s="13"/>
      <c r="R759" s="15"/>
      <c r="S759" s="34"/>
      <c r="T759" s="35"/>
      <c r="U759" s="13"/>
      <c r="V759" s="15"/>
      <c r="W759" s="34"/>
      <c r="X759" s="34"/>
      <c r="Y759" s="13"/>
      <c r="Z759" s="2"/>
      <c r="AA759" s="34"/>
      <c r="AB759" s="35"/>
      <c r="AC759" s="348"/>
      <c r="AD759" s="15"/>
      <c r="AE759" s="34">
        <f>B756*$F$12</f>
        <v>5525</v>
      </c>
      <c r="AF759" s="182"/>
      <c r="AG759" s="15"/>
      <c r="AH759" s="2"/>
      <c r="AI759" s="45"/>
      <c r="AJ759" s="136">
        <v>5525</v>
      </c>
      <c r="AK759" s="15"/>
      <c r="AL759" s="15"/>
      <c r="AM759" s="45"/>
      <c r="AN759" s="15"/>
      <c r="AO759" s="13"/>
      <c r="AP759" s="15"/>
      <c r="AQ759" s="45"/>
      <c r="AR759" s="15"/>
      <c r="AS759" s="13"/>
      <c r="AT759" s="15"/>
      <c r="AU759" s="45"/>
      <c r="AV759" s="15"/>
      <c r="AW759" s="13"/>
      <c r="AX759" s="15"/>
      <c r="AY759" s="45"/>
      <c r="AZ759" s="28"/>
      <c r="BA759" s="13"/>
      <c r="BB759" s="15"/>
      <c r="BC759" s="45"/>
      <c r="BD759" s="28"/>
      <c r="BE759" s="14"/>
      <c r="BF759" s="41">
        <f t="shared" ref="BF759:BG759" si="2251">K759+O759+S759+W759+AA759+AE759+AI759+AM759+AQ759+AU759+AY759+BC759</f>
        <v>5525</v>
      </c>
      <c r="BG759" s="34">
        <f t="shared" si="2251"/>
        <v>5525</v>
      </c>
      <c r="BH759" s="35">
        <f t="shared" si="2242"/>
        <v>0</v>
      </c>
      <c r="BI759" s="15"/>
      <c r="BJ759" s="15"/>
      <c r="BK759" s="15" t="b">
        <f>H759='2021'!BH759</f>
        <v>1</v>
      </c>
    </row>
    <row r="760" ht="15.75" customHeight="1" spans="1:63" x14ac:dyDescent="0.25">
      <c r="A760" s="2">
        <v>89</v>
      </c>
      <c r="B760" s="14"/>
      <c r="C760" s="15"/>
      <c r="D760" s="14" t="s">
        <v>51</v>
      </c>
      <c r="E760" s="15" t="s">
        <v>39</v>
      </c>
      <c r="F760" s="41">
        <v>500</v>
      </c>
      <c r="G760" s="28"/>
      <c r="H760" s="34">
        <f>'2021'!BH760</f>
        <v>0</v>
      </c>
      <c r="I760" s="13"/>
      <c r="J760" s="15"/>
      <c r="K760" s="34"/>
      <c r="L760" s="35"/>
      <c r="M760" s="13"/>
      <c r="N760" s="15"/>
      <c r="O760" s="34"/>
      <c r="P760" s="34"/>
      <c r="Q760" s="13"/>
      <c r="R760" s="15"/>
      <c r="S760" s="34"/>
      <c r="T760" s="35"/>
      <c r="U760" s="13"/>
      <c r="V760" s="15"/>
      <c r="W760" s="34"/>
      <c r="X760" s="34"/>
      <c r="Y760" s="13"/>
      <c r="Z760" s="2"/>
      <c r="AA760" s="34"/>
      <c r="AB760" s="35"/>
      <c r="AC760" s="348"/>
      <c r="AD760" s="15"/>
      <c r="AE760" s="180">
        <f>$F$13</f>
        <v>1000</v>
      </c>
      <c r="AF760" s="182"/>
      <c r="AG760" s="15"/>
      <c r="AH760" s="2"/>
      <c r="AI760" s="45"/>
      <c r="AJ760" s="292">
        <v>1000</v>
      </c>
      <c r="AK760" s="15"/>
      <c r="AL760" s="15"/>
      <c r="AM760" s="45"/>
      <c r="AN760" s="15"/>
      <c r="AO760" s="13"/>
      <c r="AP760" s="15"/>
      <c r="AQ760" s="180"/>
      <c r="AR760" s="15"/>
      <c r="AS760" s="13"/>
      <c r="AT760" s="15"/>
      <c r="AU760" s="45"/>
      <c r="AV760" s="15"/>
      <c r="AW760" s="13"/>
      <c r="AX760" s="15"/>
      <c r="AY760" s="45"/>
      <c r="AZ760" s="28"/>
      <c r="BA760" s="13"/>
      <c r="BB760" s="15"/>
      <c r="BC760" s="45"/>
      <c r="BD760" s="28"/>
      <c r="BE760" s="14"/>
      <c r="BF760" s="41">
        <f t="shared" ref="BF760:BG760" si="2252">K760+O760+S760+W760+AA760+AE760+AI760+AM760+AQ760+AU760+AY760+BC760</f>
        <v>1000</v>
      </c>
      <c r="BG760" s="34">
        <f t="shared" si="2252"/>
        <v>1000</v>
      </c>
      <c r="BH760" s="35">
        <f t="shared" si="2242"/>
        <v>0</v>
      </c>
      <c r="BI760" s="15"/>
      <c r="BJ760" s="15"/>
      <c r="BK760" s="15" t="b">
        <f>H760='2021'!BH760</f>
        <v>1</v>
      </c>
    </row>
    <row r="761" ht="15.75" customHeight="1" spans="1:63" x14ac:dyDescent="0.25">
      <c r="A761" s="2">
        <v>89</v>
      </c>
      <c r="B761" s="14"/>
      <c r="C761" s="15"/>
      <c r="D761" s="14" t="s">
        <v>51</v>
      </c>
      <c r="E761" s="15" t="s">
        <v>49</v>
      </c>
      <c r="F761" s="41">
        <v>500</v>
      </c>
      <c r="G761" s="28"/>
      <c r="H761" s="34">
        <f>'2021'!BH761</f>
        <v>0</v>
      </c>
      <c r="I761" s="13"/>
      <c r="J761" s="15"/>
      <c r="K761" s="34"/>
      <c r="L761" s="35"/>
      <c r="M761" s="13"/>
      <c r="N761" s="15"/>
      <c r="O761" s="34"/>
      <c r="P761" s="34"/>
      <c r="Q761" s="13"/>
      <c r="R761" s="15"/>
      <c r="S761" s="34"/>
      <c r="T761" s="35"/>
      <c r="U761" s="13"/>
      <c r="V761" s="15"/>
      <c r="W761" s="34"/>
      <c r="X761" s="34"/>
      <c r="Y761" s="13"/>
      <c r="Z761" s="2"/>
      <c r="AA761" s="34"/>
      <c r="AB761" s="35"/>
      <c r="AC761" s="348"/>
      <c r="AD761" s="15"/>
      <c r="AE761" s="34"/>
      <c r="AF761" s="182"/>
      <c r="AG761" s="15"/>
      <c r="AH761" s="2"/>
      <c r="AI761" s="45"/>
      <c r="AJ761" s="15"/>
      <c r="AK761" s="15"/>
      <c r="AL761" s="15"/>
      <c r="AM761" s="45"/>
      <c r="AN761" s="15"/>
      <c r="AO761" s="13"/>
      <c r="AP761" s="15"/>
      <c r="AQ761" s="180">
        <f>B756*$F$14</f>
        <v>0</v>
      </c>
      <c r="AR761" s="15"/>
      <c r="AS761" s="13"/>
      <c r="AT761" s="15"/>
      <c r="AU761" s="45"/>
      <c r="AV761" s="15"/>
      <c r="AW761" s="13"/>
      <c r="AX761" s="15"/>
      <c r="AY761" s="45"/>
      <c r="AZ761" s="28"/>
      <c r="BA761" s="13"/>
      <c r="BB761" s="15"/>
      <c r="BC761" s="45"/>
      <c r="BD761" s="28"/>
      <c r="BE761" s="14"/>
      <c r="BF761" s="41">
        <f t="shared" ref="BF761:BG761" si="2253">K761+O761+S761+W761+AA761+AE761+AI761+AM761+AQ761+AU761+AY761+BC761</f>
        <v>0</v>
      </c>
      <c r="BG761" s="34">
        <f t="shared" si="2253"/>
        <v>0</v>
      </c>
      <c r="BH761" s="35">
        <f t="shared" si="2242"/>
        <v>0</v>
      </c>
      <c r="BI761" s="15"/>
      <c r="BJ761" s="15"/>
      <c r="BK761" s="15" t="b">
        <f>H761='2021'!BH761</f>
        <v>1</v>
      </c>
    </row>
    <row r="762" ht="15.75" customHeight="1" spans="1:63" x14ac:dyDescent="0.25">
      <c r="A762" s="2">
        <v>89</v>
      </c>
      <c r="B762" s="14"/>
      <c r="C762" s="15"/>
      <c r="D762" s="14" t="s">
        <v>52</v>
      </c>
      <c r="E762" s="15" t="s">
        <v>39</v>
      </c>
      <c r="F762" s="41">
        <v>500</v>
      </c>
      <c r="G762" s="28"/>
      <c r="H762" s="34">
        <f>'2021'!BH762</f>
        <v>0</v>
      </c>
      <c r="I762" s="13"/>
      <c r="J762" s="15"/>
      <c r="K762" s="34"/>
      <c r="L762" s="35"/>
      <c r="M762" s="13"/>
      <c r="N762" s="15"/>
      <c r="O762" s="34"/>
      <c r="P762" s="34"/>
      <c r="Q762" s="13"/>
      <c r="R762" s="15"/>
      <c r="S762" s="34"/>
      <c r="T762" s="35"/>
      <c r="U762" s="13"/>
      <c r="V762" s="15"/>
      <c r="W762" s="34"/>
      <c r="X762" s="34"/>
      <c r="Y762" s="13"/>
      <c r="Z762" s="2"/>
      <c r="AA762" s="34">
        <f>$F$15</f>
      </c>
      <c r="AB762" s="35"/>
      <c r="AC762" s="348"/>
      <c r="AD762" s="15"/>
      <c r="AE762" s="34"/>
      <c r="AF762" s="182"/>
      <c r="AG762" s="15"/>
      <c r="AH762" s="2"/>
      <c r="AI762" s="45"/>
      <c r="AJ762" s="15"/>
      <c r="AK762" s="15"/>
      <c r="AL762" s="15"/>
      <c r="AM762" s="45"/>
      <c r="AN762" s="15"/>
      <c r="AO762" s="13"/>
      <c r="AP762" s="15"/>
      <c r="AQ762" s="45"/>
      <c r="AR762" s="15"/>
      <c r="AS762" s="13"/>
      <c r="AT762" s="15"/>
      <c r="AU762" s="45"/>
      <c r="AV762" s="15"/>
      <c r="AW762" s="13"/>
      <c r="AX762" s="15"/>
      <c r="AY762" s="45"/>
      <c r="AZ762" s="35"/>
      <c r="BA762" s="13"/>
      <c r="BB762" s="15"/>
      <c r="BC762" s="45"/>
      <c r="BD762" s="35"/>
      <c r="BE762" s="14"/>
      <c r="BF762" s="41">
        <f t="shared" ref="BF762:BG762" si="2254">K762+O762+S762+W762+AA762+AE762+AI762+AM762+AQ762+AU762+AY762+BC762</f>
        <v>0</v>
      </c>
      <c r="BG762" s="34">
        <f t="shared" si="2254"/>
        <v>0</v>
      </c>
      <c r="BH762" s="35">
        <f t="shared" si="2242"/>
        <v>0</v>
      </c>
      <c r="BI762" s="15"/>
      <c r="BJ762" s="15"/>
      <c r="BK762" s="15" t="b">
        <f>H762='2021'!BH762</f>
        <v>1</v>
      </c>
    </row>
    <row r="763" ht="15.75" customHeight="1" spans="1:63" x14ac:dyDescent="0.25">
      <c r="A763" s="247">
        <v>89</v>
      </c>
      <c r="B763" s="21"/>
      <c r="C763" s="22" t="s">
        <v>53</v>
      </c>
      <c r="D763" s="21"/>
      <c r="E763" s="22"/>
      <c r="F763" s="20"/>
      <c r="G763" s="23"/>
      <c r="H763" s="51">
        <f>SUM(H755:H762)</f>
        <v>-337.2</v>
      </c>
      <c r="I763" s="52"/>
      <c r="J763" s="53"/>
      <c r="K763" s="51">
        <f t="shared" ref="K763:L763" si="2255">SUM(K755:K762)</f>
        <v>0</v>
      </c>
      <c r="L763" s="68">
        <f t="shared" si="2255"/>
        <v>0</v>
      </c>
      <c r="M763" s="52"/>
      <c r="N763" s="53"/>
      <c r="O763" s="51">
        <f t="shared" ref="O763:P763" si="2256">SUM(O755:O762)</f>
        <v>0</v>
      </c>
      <c r="P763" s="51">
        <f t="shared" si="2256"/>
        <v>0</v>
      </c>
      <c r="Q763" s="52"/>
      <c r="R763" s="53"/>
      <c r="S763" s="51">
        <f t="shared" ref="S763:T763" si="2257">SUM(S755:S762)</f>
        <v>0</v>
      </c>
      <c r="T763" s="51">
        <f t="shared" si="2257"/>
        <v>0</v>
      </c>
      <c r="U763" s="52"/>
      <c r="V763" s="53"/>
      <c r="W763" s="51">
        <f t="shared" ref="W763:X763" si="2258">SUM(W755:W762)</f>
        <v>0</v>
      </c>
      <c r="X763" s="51">
        <f t="shared" si="2258"/>
        <v>0</v>
      </c>
      <c r="Y763" s="52"/>
      <c r="Z763" s="301"/>
      <c r="AA763" s="51">
        <f t="shared" ref="AA763:AB763" si="2259">SUM(AA755:AA762)</f>
        <v>122.1</v>
      </c>
      <c r="AB763" s="51">
        <f t="shared" si="2259"/>
        <v>0</v>
      </c>
      <c r="AC763" s="367"/>
      <c r="AD763" s="53"/>
      <c r="AE763" s="51">
        <f t="shared" ref="AE763:AF763" si="2260">SUM(AE755:AE762)</f>
        <v>6769.2</v>
      </c>
      <c r="AF763" s="51">
        <f t="shared" si="2260"/>
        <v>0</v>
      </c>
      <c r="AG763" s="52"/>
      <c r="AH763" s="301"/>
      <c r="AI763" s="183">
        <f t="shared" ref="AI763:AJ763" si="2261">SUM(AI755:AI762)</f>
        <v>192.6</v>
      </c>
      <c r="AJ763" s="51">
        <f t="shared" si="2261"/>
        <v>7000</v>
      </c>
      <c r="AK763" s="52"/>
      <c r="AL763" s="53"/>
      <c r="AM763" s="183">
        <f t="shared" ref="AM763:AN763" si="2262">SUM(AM755:AM762)</f>
        <v>85.6</v>
      </c>
      <c r="AN763" s="51">
        <f t="shared" si="2262"/>
        <v>0</v>
      </c>
      <c r="AO763" s="52"/>
      <c r="AP763" s="53"/>
      <c r="AQ763" s="183">
        <f t="shared" ref="AQ763:AR763" si="2263">SUM(AQ755:AQ762)</f>
        <v>171.2</v>
      </c>
      <c r="AR763" s="51">
        <f t="shared" si="2263"/>
        <v>0</v>
      </c>
      <c r="AS763" s="52"/>
      <c r="AT763" s="53"/>
      <c r="AU763" s="183">
        <f t="shared" ref="AU763:AV763" si="2264">SUM(AU755:AU762)</f>
        <v>0</v>
      </c>
      <c r="AV763" s="68">
        <f t="shared" si="2264"/>
        <v>0</v>
      </c>
      <c r="AW763" s="52"/>
      <c r="AX763" s="53"/>
      <c r="AY763" s="183">
        <f t="shared" ref="AY763:AZ763" si="2265">SUM(AY755:AY762)</f>
        <v>0</v>
      </c>
      <c r="AZ763" s="68">
        <f t="shared" si="2265"/>
        <v>0</v>
      </c>
      <c r="BA763" s="52"/>
      <c r="BB763" s="53"/>
      <c r="BC763" s="183">
        <f t="shared" ref="BC763:BD763" si="2266">SUM(BC755:BC762)</f>
        <v>0</v>
      </c>
      <c r="BD763" s="68">
        <f t="shared" si="2266"/>
        <v>0</v>
      </c>
      <c r="BE763" s="69"/>
      <c r="BF763" s="70">
        <f t="shared" ref="BF763:BH763" si="2267">SUM(BF755:BF762)</f>
        <v>7340.7</v>
      </c>
      <c r="BG763" s="71">
        <f t="shared" si="2267"/>
        <v>7000</v>
      </c>
      <c r="BH763" s="72">
        <f t="shared" si="2267"/>
        <v>3.5</v>
      </c>
      <c r="BI763" s="34">
        <f>H763+BF763-BG763</f>
        <v>3.5</v>
      </c>
      <c r="BJ763" s="34">
        <f>BH763-BI763</f>
        <v>0</v>
      </c>
      <c r="BK763" s="2" t="b">
        <f>H763='2021'!BH763</f>
        <v>1</v>
      </c>
    </row>
    <row r="764" ht="15.75" customHeight="1" spans="1:63" x14ac:dyDescent="0.25">
      <c r="A764" s="2">
        <v>91</v>
      </c>
      <c r="B764" s="14"/>
      <c r="C764" s="15"/>
      <c r="D764" s="14" t="s">
        <v>379</v>
      </c>
      <c r="E764" s="15"/>
      <c r="F764" s="13"/>
      <c r="G764" s="28"/>
      <c r="H764" s="34">
        <f>'2021'!BH764</f>
        <v>0</v>
      </c>
      <c r="I764" s="13"/>
      <c r="J764" s="15"/>
      <c r="K764" s="34"/>
      <c r="L764" s="35"/>
      <c r="M764" s="13"/>
      <c r="N764" s="15"/>
      <c r="O764" s="34"/>
      <c r="P764" s="34"/>
      <c r="Q764" s="13"/>
      <c r="R764" s="15"/>
      <c r="S764" s="34"/>
      <c r="T764" s="35"/>
      <c r="U764" s="13"/>
      <c r="V764" s="15"/>
      <c r="W764" s="34"/>
      <c r="X764" s="34"/>
      <c r="Y764" s="13"/>
      <c r="Z764" s="2"/>
      <c r="AA764" s="34"/>
      <c r="AB764" s="35"/>
      <c r="AC764" s="348"/>
      <c r="AD764" s="15"/>
      <c r="AE764" s="34"/>
      <c r="AF764" s="182"/>
      <c r="AG764" s="15"/>
      <c r="AH764" s="2"/>
      <c r="AI764" s="45"/>
      <c r="AJ764" s="34"/>
      <c r="AK764" s="15"/>
      <c r="AL764" s="15"/>
      <c r="AM764" s="45"/>
      <c r="AN764" s="34"/>
      <c r="AO764" s="13"/>
      <c r="AP764" s="15"/>
      <c r="AQ764" s="45"/>
      <c r="AR764" s="34"/>
      <c r="AS764" s="13"/>
      <c r="AT764" s="15"/>
      <c r="AU764" s="45"/>
      <c r="AV764" s="34"/>
      <c r="AW764" s="13"/>
      <c r="AX764" s="15"/>
      <c r="AY764" s="45"/>
      <c r="AZ764" s="28"/>
      <c r="BA764" s="13"/>
      <c r="BB764" s="15"/>
      <c r="BC764" s="45"/>
      <c r="BD764" s="28"/>
      <c r="BE764" s="42"/>
      <c r="BF764" s="41">
        <f t="shared" ref="BF764:BG764" si="2268">K764+O764+S764+W764+AA764+AE764+AI764+AM764+AQ764+AU764+AY764+BC764</f>
        <v>0</v>
      </c>
      <c r="BG764" s="34">
        <f t="shared" si="2268"/>
        <v>0</v>
      </c>
      <c r="BH764" s="35">
        <f t="shared" ref="BH764:BH771" si="2269">H764+BF764-BG764</f>
        <v>0</v>
      </c>
      <c r="BI764" s="15"/>
      <c r="BJ764" s="15"/>
      <c r="BK764" s="15" t="b">
        <f>H764='2021'!BH764</f>
        <v>1</v>
      </c>
    </row>
    <row r="765" ht="15.75" customHeight="1" spans="1:63" x14ac:dyDescent="0.25">
      <c r="A765" s="2">
        <v>91</v>
      </c>
      <c r="B765" s="14">
        <v>4.23</v>
      </c>
      <c r="C765" s="15" t="s">
        <v>288</v>
      </c>
      <c r="D765" s="14" t="s">
        <v>44</v>
      </c>
      <c r="E765" s="15" t="s">
        <v>45</v>
      </c>
      <c r="F765" s="41">
        <v>2.5</v>
      </c>
      <c r="G765" s="35">
        <v>2.6</v>
      </c>
      <c r="H765" s="34">
        <f>'2021'!BH765</f>
        <v>2.7</v>
      </c>
      <c r="I765" s="13">
        <v>183</v>
      </c>
      <c r="J765" s="15">
        <f>I765-'2021'!BA765</f>
        <v>0</v>
      </c>
      <c r="K765" s="34">
        <f>J765*$F$8</f>
        <v>0</v>
      </c>
      <c r="L765" s="35"/>
      <c r="M765" s="13">
        <v>183</v>
      </c>
      <c r="N765" s="15">
        <f t="shared" ref="N765:N766" si="2270">M765-I765</f>
        <v>0</v>
      </c>
      <c r="O765" s="34">
        <f>N765*$F$8</f>
        <v>0</v>
      </c>
      <c r="P765" s="34"/>
      <c r="Q765" s="13">
        <v>183</v>
      </c>
      <c r="R765" s="15">
        <f t="shared" ref="R765:R766" si="2271">Q765-M765</f>
        <v>0</v>
      </c>
      <c r="S765" s="34">
        <f>R765*$F$8</f>
        <v>0</v>
      </c>
      <c r="T765" s="35"/>
      <c r="U765" s="13">
        <v>183</v>
      </c>
      <c r="V765" s="15">
        <f t="shared" ref="V765:V766" si="2272">U765-Q765</f>
        <v>0</v>
      </c>
      <c r="W765" s="34">
        <f>V765*$F$8</f>
        <v>0</v>
      </c>
      <c r="X765" s="34"/>
      <c r="Y765" s="13">
        <v>184</v>
      </c>
      <c r="Z765" s="2">
        <f t="shared" ref="Z765:Z766" si="2273">Y765-U765</f>
        <v>1</v>
      </c>
      <c r="AA765" s="34">
        <f>Z765*$F$8</f>
        <v>2.7</v>
      </c>
      <c r="AB765" s="35"/>
      <c r="AC765" s="348">
        <v>187</v>
      </c>
      <c r="AD765" s="15">
        <f t="shared" ref="AD765:AD766" si="2274">AC765-Y765</f>
        <v>3</v>
      </c>
      <c r="AE765" s="180">
        <f>AD765*$F$8</f>
        <v>8.1</v>
      </c>
      <c r="AF765" s="370">
        <v>5.4</v>
      </c>
      <c r="AG765" s="15">
        <v>190</v>
      </c>
      <c r="AH765" s="2">
        <f>(AG765-AC765)*AH5</f>
        <v>3.168</v>
      </c>
      <c r="AI765" s="45">
        <f>AH765*$G$8</f>
        <v>7.79328</v>
      </c>
      <c r="AJ765" s="1"/>
      <c r="AK765" s="15">
        <v>197</v>
      </c>
      <c r="AL765" s="15">
        <f>(AK765-AG765)*AL5</f>
        <v>7.196</v>
      </c>
      <c r="AM765" s="45">
        <f>AL765*$G$8</f>
        <v>17.70216</v>
      </c>
      <c r="AN765" s="15"/>
      <c r="AO765" s="13">
        <v>198</v>
      </c>
      <c r="AP765" s="15">
        <f>(AO765-AK765)*AP5</f>
        <v>1.033</v>
      </c>
      <c r="AQ765" s="45">
        <f>AP765*$G$8</f>
        <v>2.54118</v>
      </c>
      <c r="AR765" s="15"/>
      <c r="AS765" s="13">
        <v>199</v>
      </c>
      <c r="AT765" s="15">
        <f>(AS765-AO765)*AT5</f>
        <v>1.05</v>
      </c>
      <c r="AU765" s="45">
        <f>AT765*$G$8</f>
        <v>2.583</v>
      </c>
      <c r="AV765" s="15"/>
      <c r="AW765" s="13"/>
      <c r="AX765" s="15">
        <f>(AW765-AS765)*AX5</f>
        <v>0</v>
      </c>
      <c r="AY765" s="45">
        <f>AX765*$G$8</f>
        <v>0</v>
      </c>
      <c r="AZ765" s="208"/>
      <c r="BA765" s="13"/>
      <c r="BB765" s="15"/>
      <c r="BC765" s="45">
        <f>BB765*$G$8</f>
        <v>0</v>
      </c>
      <c r="BD765" s="208"/>
      <c r="BE765" s="40">
        <f t="shared" ref="BE765:BG765" si="2275">J765+N765+R765+V765+Z765+AD765+AH765+AL765+AP765+AT765+AX765+BB765</f>
        <v>16.447</v>
      </c>
      <c r="BF765" s="41">
        <f t="shared" si="2275"/>
        <v>41.41962</v>
      </c>
      <c r="BG765" s="34">
        <f t="shared" si="2275"/>
        <v>5.4</v>
      </c>
      <c r="BH765" s="35">
        <f t="shared" si="2269"/>
        <v>38.71962</v>
      </c>
      <c r="BI765" s="15"/>
      <c r="BJ765" s="15"/>
      <c r="BK765" s="15" t="b">
        <f>H765='2021'!BH765</f>
        <v>1</v>
      </c>
    </row>
    <row r="766" ht="15.75" customHeight="1" spans="1:63" x14ac:dyDescent="0.25">
      <c r="A766" s="2">
        <v>91</v>
      </c>
      <c r="B766" s="14"/>
      <c r="C766" s="15" t="s">
        <v>170</v>
      </c>
      <c r="D766" s="14" t="s">
        <v>47</v>
      </c>
      <c r="E766" s="15" t="s">
        <v>48</v>
      </c>
      <c r="F766" s="13">
        <v>18.56</v>
      </c>
      <c r="G766" s="35">
        <v>19.46</v>
      </c>
      <c r="H766" s="34">
        <f>'2021'!BH766</f>
        <v>0</v>
      </c>
      <c r="I766" s="13">
        <v>108</v>
      </c>
      <c r="J766" s="15"/>
      <c r="K766" s="34"/>
      <c r="L766" s="35"/>
      <c r="M766" s="13">
        <v>108</v>
      </c>
      <c r="N766" s="15">
        <f t="shared" si="2270"/>
        <v>0</v>
      </c>
      <c r="O766" s="34"/>
      <c r="P766" s="34"/>
      <c r="Q766" s="13">
        <v>108</v>
      </c>
      <c r="R766" s="15">
        <f t="shared" si="2271"/>
        <v>0</v>
      </c>
      <c r="S766" s="34"/>
      <c r="T766" s="35"/>
      <c r="U766" s="13">
        <v>108</v>
      </c>
      <c r="V766" s="15">
        <f t="shared" si="2272"/>
        <v>0</v>
      </c>
      <c r="W766" s="34">
        <f>V766*$F$10</f>
        <v>0</v>
      </c>
      <c r="X766" s="34"/>
      <c r="Y766" s="13">
        <v>111</v>
      </c>
      <c r="Z766" s="2">
        <f t="shared" si="2273"/>
        <v>3</v>
      </c>
      <c r="AA766" s="34">
        <f>Z766*$F$10</f>
        <v>61.05</v>
      </c>
      <c r="AB766" s="35"/>
      <c r="AC766" s="348">
        <v>111</v>
      </c>
      <c r="AD766" s="15">
        <f t="shared" si="2274"/>
        <v>0</v>
      </c>
      <c r="AE766" s="34">
        <f>AD766*$F$10</f>
        <v>0</v>
      </c>
      <c r="AF766" s="182"/>
      <c r="AG766" s="15">
        <v>111</v>
      </c>
      <c r="AH766" s="2">
        <f>AG766-AC766</f>
        <v>0</v>
      </c>
      <c r="AI766" s="45">
        <f>AH766*$G$10</f>
        <v>0</v>
      </c>
      <c r="AJ766" s="180"/>
      <c r="AK766" s="15">
        <v>111</v>
      </c>
      <c r="AL766" s="15">
        <f>AK766-AG766</f>
        <v>0</v>
      </c>
      <c r="AM766" s="45">
        <f>AL766*$G$10</f>
        <v>0</v>
      </c>
      <c r="AN766" s="15"/>
      <c r="AO766" s="13">
        <v>111</v>
      </c>
      <c r="AP766" s="15">
        <f>AO766-AK766</f>
        <v>0</v>
      </c>
      <c r="AQ766" s="45">
        <f>AP766*$G$10</f>
        <v>0</v>
      </c>
      <c r="AR766" s="15"/>
      <c r="AS766" s="13">
        <v>111</v>
      </c>
      <c r="AT766" s="15">
        <f>AS766-AO766</f>
        <v>0</v>
      </c>
      <c r="AU766" s="45">
        <f>AT766*$G$10</f>
        <v>0</v>
      </c>
      <c r="AV766" s="15"/>
      <c r="AW766" s="13"/>
      <c r="AX766" s="15">
        <f>AW766-AS766</f>
        <v>-111</v>
      </c>
      <c r="AY766" s="45"/>
      <c r="AZ766" s="208"/>
      <c r="BA766" s="13"/>
      <c r="BB766" s="15"/>
      <c r="BC766" s="45"/>
      <c r="BD766" s="208"/>
      <c r="BE766" s="40">
        <f t="shared" ref="BE766:BG766" si="2276">J766+N766+R766+V766+Z766+AD766+AH766+AL766+AP766+AT766+AX766+BB766</f>
        <v>-108</v>
      </c>
      <c r="BF766" s="41">
        <f t="shared" si="2276"/>
        <v>61.05</v>
      </c>
      <c r="BG766" s="34">
        <f t="shared" si="2276"/>
        <v>0</v>
      </c>
      <c r="BH766" s="35">
        <f t="shared" si="2269"/>
        <v>61.05</v>
      </c>
      <c r="BI766" s="15"/>
      <c r="BJ766" s="15"/>
      <c r="BK766" s="15" t="b">
        <f>H766='2021'!BH766</f>
        <v>1</v>
      </c>
    </row>
    <row r="767" ht="15.75" customHeight="1" spans="1:63" x14ac:dyDescent="0.25">
      <c r="A767" s="2">
        <v>91</v>
      </c>
      <c r="B767" s="14"/>
      <c r="C767" s="15" t="s">
        <v>289</v>
      </c>
      <c r="D767" s="14" t="s">
        <v>47</v>
      </c>
      <c r="E767" s="15" t="s">
        <v>49</v>
      </c>
      <c r="F767" s="41">
        <v>500</v>
      </c>
      <c r="G767" s="28"/>
      <c r="H767" s="34">
        <f>'2021'!BH767</f>
        <v>0</v>
      </c>
      <c r="I767" s="13"/>
      <c r="J767" s="15"/>
      <c r="K767" s="34"/>
      <c r="L767" s="35"/>
      <c r="M767" s="13"/>
      <c r="N767" s="15"/>
      <c r="O767" s="34"/>
      <c r="P767" s="34"/>
      <c r="Q767" s="13"/>
      <c r="R767" s="15"/>
      <c r="S767" s="34"/>
      <c r="T767" s="35"/>
      <c r="U767" s="13"/>
      <c r="V767" s="15"/>
      <c r="W767" s="34"/>
      <c r="X767" s="34"/>
      <c r="Y767" s="13"/>
      <c r="Z767" s="2"/>
      <c r="AA767" s="34"/>
      <c r="AB767" s="35"/>
      <c r="AC767" s="348"/>
      <c r="AD767" s="15"/>
      <c r="AE767" s="34"/>
      <c r="AF767" s="187"/>
      <c r="AG767" s="15"/>
      <c r="AH767" s="2"/>
      <c r="AI767" s="45"/>
      <c r="AJ767" s="15"/>
      <c r="AK767" s="15"/>
      <c r="AL767" s="15"/>
      <c r="AM767" s="45"/>
      <c r="AN767" s="15"/>
      <c r="AO767" s="13"/>
      <c r="AP767" s="15"/>
      <c r="AQ767" s="45"/>
      <c r="AR767" s="15"/>
      <c r="AS767" s="13"/>
      <c r="AT767" s="15"/>
      <c r="AU767" s="45"/>
      <c r="AV767" s="15"/>
      <c r="AW767" s="13"/>
      <c r="AX767" s="15"/>
      <c r="AY767" s="45"/>
      <c r="AZ767" s="28"/>
      <c r="BA767" s="13"/>
      <c r="BB767" s="15"/>
      <c r="BC767" s="45"/>
      <c r="BD767" s="28"/>
      <c r="BE767" s="14"/>
      <c r="BF767" s="41">
        <f t="shared" ref="BF767:BG767" si="2277">K767+O767+S767+W767+AA767+AE767+AI767+AM767+AQ767+AU767+AY767+BC767</f>
        <v>0</v>
      </c>
      <c r="BG767" s="34">
        <f t="shared" si="2277"/>
        <v>0</v>
      </c>
      <c r="BH767" s="35">
        <f t="shared" si="2269"/>
        <v>0</v>
      </c>
      <c r="BI767" s="15"/>
      <c r="BJ767" s="15"/>
      <c r="BK767" s="15" t="b">
        <f>H767='2021'!BH767</f>
        <v>1</v>
      </c>
    </row>
    <row r="768" ht="15.75" customHeight="1" spans="1:63" x14ac:dyDescent="0.25">
      <c r="A768" s="2">
        <v>91</v>
      </c>
      <c r="B768" s="14"/>
      <c r="C768" s="15" t="s">
        <v>290</v>
      </c>
      <c r="D768" s="14" t="s">
        <v>50</v>
      </c>
      <c r="E768" s="15" t="s">
        <v>49</v>
      </c>
      <c r="F768" s="41">
        <v>1100</v>
      </c>
      <c r="G768" s="28"/>
      <c r="H768" s="34">
        <f>'2021'!BH768</f>
        <v>0</v>
      </c>
      <c r="I768" s="13"/>
      <c r="J768" s="15"/>
      <c r="K768" s="34"/>
      <c r="L768" s="35"/>
      <c r="M768" s="13"/>
      <c r="N768" s="15"/>
      <c r="O768" s="34"/>
      <c r="P768" s="34"/>
      <c r="Q768" s="13"/>
      <c r="R768" s="15"/>
      <c r="S768" s="34"/>
      <c r="T768" s="35"/>
      <c r="U768" s="13"/>
      <c r="V768" s="15"/>
      <c r="W768" s="34"/>
      <c r="X768" s="34"/>
      <c r="Y768" s="13"/>
      <c r="Z768" s="2"/>
      <c r="AA768" s="34"/>
      <c r="AB768" s="35"/>
      <c r="AC768" s="348"/>
      <c r="AD768" s="15"/>
      <c r="AE768" s="34">
        <f>B765*$F$12</f>
        <v>5499</v>
      </c>
      <c r="AF768" s="370">
        <v>5499</v>
      </c>
      <c r="AG768" s="15"/>
      <c r="AH768" s="2"/>
      <c r="AI768" s="45"/>
      <c r="AJ768" s="34"/>
      <c r="AK768" s="15"/>
      <c r="AL768" s="15"/>
      <c r="AM768" s="45"/>
      <c r="AN768" s="15"/>
      <c r="AO768" s="13"/>
      <c r="AP768" s="15"/>
      <c r="AQ768" s="45"/>
      <c r="AR768" s="15"/>
      <c r="AS768" s="13"/>
      <c r="AT768" s="15"/>
      <c r="AU768" s="45"/>
      <c r="AV768" s="15"/>
      <c r="AW768" s="13"/>
      <c r="AX768" s="15"/>
      <c r="AY768" s="45"/>
      <c r="AZ768" s="28"/>
      <c r="BA768" s="13"/>
      <c r="BB768" s="15"/>
      <c r="BC768" s="45"/>
      <c r="BD768" s="28"/>
      <c r="BE768" s="14"/>
      <c r="BF768" s="41">
        <f t="shared" ref="BF768:BG768" si="2278">K768+O768+S768+W768+AA768+AE768+AI768+AM768+AQ768+AU768+AY768+BC768</f>
        <v>5499</v>
      </c>
      <c r="BG768" s="34">
        <f t="shared" si="2278"/>
        <v>5499</v>
      </c>
      <c r="BH768" s="35">
        <f t="shared" si="2269"/>
        <v>0</v>
      </c>
      <c r="BI768" s="15"/>
      <c r="BJ768" s="15"/>
      <c r="BK768" s="15" t="b">
        <f>H768='2021'!BH768</f>
        <v>1</v>
      </c>
    </row>
    <row r="769" ht="15.75" customHeight="1" spans="1:63" x14ac:dyDescent="0.25">
      <c r="A769" s="2">
        <v>91</v>
      </c>
      <c r="B769" s="14"/>
      <c r="C769" s="15" t="s">
        <v>291</v>
      </c>
      <c r="D769" s="14" t="s">
        <v>51</v>
      </c>
      <c r="E769" s="15" t="s">
        <v>39</v>
      </c>
      <c r="F769" s="41">
        <v>500</v>
      </c>
      <c r="G769" s="28"/>
      <c r="H769" s="34">
        <f>'2021'!BH769</f>
        <v>0</v>
      </c>
      <c r="I769" s="13"/>
      <c r="J769" s="15"/>
      <c r="K769" s="34"/>
      <c r="L769" s="35"/>
      <c r="M769" s="13"/>
      <c r="N769" s="15"/>
      <c r="O769" s="34"/>
      <c r="P769" s="34"/>
      <c r="Q769" s="13"/>
      <c r="R769" s="15"/>
      <c r="S769" s="34"/>
      <c r="T769" s="35"/>
      <c r="U769" s="13"/>
      <c r="V769" s="15"/>
      <c r="W769" s="34"/>
      <c r="X769" s="34"/>
      <c r="Y769" s="13"/>
      <c r="Z769" s="2"/>
      <c r="AA769" s="34"/>
      <c r="AB769" s="35"/>
      <c r="AC769" s="348"/>
      <c r="AD769" s="15"/>
      <c r="AE769" s="180">
        <f>$F$13</f>
        <v>1000</v>
      </c>
      <c r="AF769" s="370">
        <v>1000</v>
      </c>
      <c r="AG769" s="15"/>
      <c r="AH769" s="2"/>
      <c r="AI769" s="45"/>
      <c r="AJ769" s="15"/>
      <c r="AK769" s="15"/>
      <c r="AL769" s="15"/>
      <c r="AM769" s="45"/>
      <c r="AN769" s="15"/>
      <c r="AO769" s="13"/>
      <c r="AP769" s="15"/>
      <c r="AQ769" s="180"/>
      <c r="AR769" s="15"/>
      <c r="AS769" s="13"/>
      <c r="AT769" s="15"/>
      <c r="AU769" s="45"/>
      <c r="AV769" s="15"/>
      <c r="AW769" s="13"/>
      <c r="AX769" s="15"/>
      <c r="AY769" s="45"/>
      <c r="AZ769" s="28"/>
      <c r="BA769" s="13"/>
      <c r="BB769" s="15"/>
      <c r="BC769" s="45"/>
      <c r="BD769" s="28"/>
      <c r="BE769" s="14"/>
      <c r="BF769" s="41">
        <f t="shared" ref="BF769:BG769" si="2279">K769+O769+S769+W769+AA769+AE769+AI769+AM769+AQ769+AU769+AY769+BC769</f>
        <v>1000</v>
      </c>
      <c r="BG769" s="34">
        <f t="shared" si="2279"/>
        <v>1000</v>
      </c>
      <c r="BH769" s="35">
        <f t="shared" si="2269"/>
        <v>0</v>
      </c>
      <c r="BI769" s="15"/>
      <c r="BJ769" s="15"/>
      <c r="BK769" s="15" t="b">
        <f>H769='2021'!BH769</f>
        <v>1</v>
      </c>
    </row>
    <row r="770" ht="15.75" customHeight="1" spans="1:63" x14ac:dyDescent="0.25">
      <c r="A770" s="2">
        <v>91</v>
      </c>
      <c r="B770" s="14"/>
      <c r="C770" s="15"/>
      <c r="D770" s="14" t="s">
        <v>51</v>
      </c>
      <c r="E770" s="15" t="s">
        <v>49</v>
      </c>
      <c r="F770" s="41">
        <v>500</v>
      </c>
      <c r="G770" s="28"/>
      <c r="H770" s="34">
        <f>'2021'!BH770</f>
        <v>0</v>
      </c>
      <c r="I770" s="13"/>
      <c r="J770" s="15"/>
      <c r="K770" s="34"/>
      <c r="L770" s="35"/>
      <c r="M770" s="13"/>
      <c r="N770" s="15"/>
      <c r="O770" s="34"/>
      <c r="P770" s="34"/>
      <c r="Q770" s="13"/>
      <c r="R770" s="15"/>
      <c r="S770" s="34"/>
      <c r="T770" s="35"/>
      <c r="U770" s="13"/>
      <c r="V770" s="15"/>
      <c r="W770" s="34"/>
      <c r="X770" s="34"/>
      <c r="Y770" s="13"/>
      <c r="Z770" s="2"/>
      <c r="AA770" s="34"/>
      <c r="AB770" s="35"/>
      <c r="AC770" s="348"/>
      <c r="AD770" s="15"/>
      <c r="AE770" s="34"/>
      <c r="AF770" s="182"/>
      <c r="AG770" s="15"/>
      <c r="AH770" s="2"/>
      <c r="AI770" s="45"/>
      <c r="AJ770" s="15"/>
      <c r="AK770" s="15"/>
      <c r="AL770" s="15"/>
      <c r="AM770" s="45"/>
      <c r="AN770" s="15"/>
      <c r="AO770" s="13"/>
      <c r="AP770" s="15"/>
      <c r="AQ770" s="180">
        <f>B765*$F$14</f>
        <v>0</v>
      </c>
      <c r="AR770" s="15"/>
      <c r="AS770" s="13"/>
      <c r="AT770" s="15"/>
      <c r="AU770" s="45"/>
      <c r="AV770" s="15"/>
      <c r="AW770" s="13"/>
      <c r="AX770" s="15"/>
      <c r="AY770" s="45"/>
      <c r="AZ770" s="28"/>
      <c r="BA770" s="13"/>
      <c r="BB770" s="15"/>
      <c r="BC770" s="45"/>
      <c r="BD770" s="28"/>
      <c r="BE770" s="14"/>
      <c r="BF770" s="41">
        <f t="shared" ref="BF770:BG770" si="2280">K770+O770+S770+W770+AA770+AE770+AI770+AM770+AQ770+AU770+AY770+BC770</f>
        <v>0</v>
      </c>
      <c r="BG770" s="34">
        <f t="shared" si="2280"/>
        <v>0</v>
      </c>
      <c r="BH770" s="35">
        <f t="shared" si="2269"/>
        <v>0</v>
      </c>
      <c r="BI770" s="15"/>
      <c r="BJ770" s="15"/>
      <c r="BK770" s="15" t="b">
        <f>H770='2021'!BH770</f>
        <v>1</v>
      </c>
    </row>
    <row r="771" ht="15.75" customHeight="1" spans="1:63" x14ac:dyDescent="0.25">
      <c r="A771" s="2">
        <v>91</v>
      </c>
      <c r="B771" s="14"/>
      <c r="C771" s="15"/>
      <c r="D771" s="14" t="s">
        <v>52</v>
      </c>
      <c r="E771" s="15" t="s">
        <v>39</v>
      </c>
      <c r="F771" s="41">
        <v>500</v>
      </c>
      <c r="G771" s="28"/>
      <c r="H771" s="34">
        <f>'2021'!BH771</f>
        <v>0</v>
      </c>
      <c r="I771" s="13"/>
      <c r="J771" s="15"/>
      <c r="K771" s="34"/>
      <c r="L771" s="35"/>
      <c r="M771" s="13"/>
      <c r="N771" s="15"/>
      <c r="O771" s="34"/>
      <c r="P771" s="34"/>
      <c r="Q771" s="13"/>
      <c r="R771" s="15"/>
      <c r="S771" s="34"/>
      <c r="T771" s="35"/>
      <c r="U771" s="13"/>
      <c r="V771" s="15"/>
      <c r="W771" s="34"/>
      <c r="X771" s="34"/>
      <c r="Y771" s="13"/>
      <c r="Z771" s="2"/>
      <c r="AA771" s="34">
        <f>$F$15</f>
      </c>
      <c r="AB771" s="35"/>
      <c r="AC771" s="348"/>
      <c r="AD771" s="15"/>
      <c r="AE771" s="34"/>
      <c r="AF771" s="180"/>
      <c r="AG771" s="15"/>
      <c r="AH771" s="2"/>
      <c r="AI771" s="45"/>
      <c r="AJ771" s="180"/>
      <c r="AK771" s="15"/>
      <c r="AL771" s="15"/>
      <c r="AM771" s="45"/>
      <c r="AN771" s="15"/>
      <c r="AO771" s="13"/>
      <c r="AP771" s="15"/>
      <c r="AQ771" s="45"/>
      <c r="AR771" s="15"/>
      <c r="AS771" s="13"/>
      <c r="AT771" s="15"/>
      <c r="AU771" s="45"/>
      <c r="AV771" s="15"/>
      <c r="AW771" s="13"/>
      <c r="AX771" s="15"/>
      <c r="AY771" s="45"/>
      <c r="AZ771" s="35"/>
      <c r="BA771" s="13"/>
      <c r="BB771" s="15"/>
      <c r="BC771" s="45"/>
      <c r="BD771" s="35"/>
      <c r="BE771" s="14"/>
      <c r="BF771" s="41">
        <f t="shared" ref="BF771:BG771" si="2281">K771+O771+S771+W771+AA771+AE771+AI771+AM771+AQ771+AU771+AY771+BC771</f>
        <v>0</v>
      </c>
      <c r="BG771" s="34">
        <f t="shared" si="2281"/>
        <v>0</v>
      </c>
      <c r="BH771" s="35">
        <f t="shared" si="2269"/>
        <v>0</v>
      </c>
      <c r="BI771" s="15"/>
      <c r="BJ771" s="15"/>
      <c r="BK771" s="15" t="b">
        <f>H771='2021'!BH771</f>
        <v>1</v>
      </c>
    </row>
    <row r="772" ht="15.75" customHeight="1" spans="1:63" x14ac:dyDescent="0.25">
      <c r="A772" s="247">
        <v>91</v>
      </c>
      <c r="B772" s="21"/>
      <c r="C772" s="22" t="s">
        <v>53</v>
      </c>
      <c r="D772" s="21"/>
      <c r="E772" s="22"/>
      <c r="F772" s="20"/>
      <c r="G772" s="23"/>
      <c r="H772" s="51">
        <f>SUM(H764:H771)</f>
        <v>2.7</v>
      </c>
      <c r="I772" s="52"/>
      <c r="J772" s="53"/>
      <c r="K772" s="51">
        <f t="shared" ref="K772:L772" si="2282">SUM(K764:K771)</f>
        <v>0</v>
      </c>
      <c r="L772" s="68">
        <f t="shared" si="2282"/>
        <v>0</v>
      </c>
      <c r="M772" s="52"/>
      <c r="N772" s="53"/>
      <c r="O772" s="51">
        <f t="shared" ref="O772:P772" si="2283">SUM(O764:O771)</f>
        <v>0</v>
      </c>
      <c r="P772" s="51">
        <f t="shared" si="2283"/>
        <v>0</v>
      </c>
      <c r="Q772" s="52"/>
      <c r="R772" s="53"/>
      <c r="S772" s="51">
        <f t="shared" ref="S772:T772" si="2284">SUM(S764:S771)</f>
        <v>0</v>
      </c>
      <c r="T772" s="51">
        <f t="shared" si="2284"/>
        <v>0</v>
      </c>
      <c r="U772" s="52"/>
      <c r="V772" s="53"/>
      <c r="W772" s="51">
        <f t="shared" ref="W772:X772" si="2285">SUM(W764:W771)</f>
        <v>0</v>
      </c>
      <c r="X772" s="51">
        <f t="shared" si="2285"/>
        <v>0</v>
      </c>
      <c r="Y772" s="52"/>
      <c r="Z772" s="301"/>
      <c r="AA772" s="51">
        <f t="shared" ref="AA772:AB772" si="2286">SUM(AA764:AA771)</f>
        <v>63.75</v>
      </c>
      <c r="AB772" s="51">
        <f t="shared" si="2286"/>
        <v>0</v>
      </c>
      <c r="AC772" s="367"/>
      <c r="AD772" s="53"/>
      <c r="AE772" s="51">
        <f t="shared" ref="AE772:AF772" si="2287">SUM(AE764:AE771)</f>
        <v>6507.1</v>
      </c>
      <c r="AF772" s="51">
        <f t="shared" si="2287"/>
        <v>6504.4</v>
      </c>
      <c r="AG772" s="52"/>
      <c r="AH772" s="301"/>
      <c r="AI772" s="183">
        <f t="shared" ref="AI772:AJ772" si="2288">SUM(AI764:AI771)</f>
        <v>7.79328</v>
      </c>
      <c r="AJ772" s="51">
        <f t="shared" si="2288"/>
        <v>0</v>
      </c>
      <c r="AK772" s="52"/>
      <c r="AL772" s="53"/>
      <c r="AM772" s="183">
        <f t="shared" ref="AM772:AN772" si="2289">SUM(AM764:AM771)</f>
        <v>17.70216</v>
      </c>
      <c r="AN772" s="51">
        <f t="shared" si="2289"/>
        <v>0</v>
      </c>
      <c r="AO772" s="52"/>
      <c r="AP772" s="53"/>
      <c r="AQ772" s="183">
        <f t="shared" ref="AQ772:AR772" si="2290">SUM(AQ764:AQ771)</f>
        <v>2.54118</v>
      </c>
      <c r="AR772" s="51">
        <f t="shared" si="2290"/>
        <v>0</v>
      </c>
      <c r="AS772" s="52"/>
      <c r="AT772" s="53"/>
      <c r="AU772" s="183">
        <f t="shared" ref="AU772:AV772" si="2291">SUM(AU764:AU771)</f>
        <v>2.583</v>
      </c>
      <c r="AV772" s="68">
        <f t="shared" si="2291"/>
        <v>0</v>
      </c>
      <c r="AW772" s="52"/>
      <c r="AX772" s="53"/>
      <c r="AY772" s="183">
        <f t="shared" ref="AY772:AZ772" si="2292">SUM(AY764:AY771)</f>
        <v>0</v>
      </c>
      <c r="AZ772" s="68">
        <f t="shared" si="2292"/>
        <v>0</v>
      </c>
      <c r="BA772" s="52"/>
      <c r="BB772" s="53"/>
      <c r="BC772" s="183">
        <f t="shared" ref="BC772:BD772" si="2293">SUM(BC764:BC771)</f>
        <v>0</v>
      </c>
      <c r="BD772" s="68">
        <f t="shared" si="2293"/>
        <v>0</v>
      </c>
      <c r="BE772" s="69"/>
      <c r="BF772" s="70">
        <f t="shared" ref="BF772:BH772" si="2294">SUM(BF764:BF771)</f>
        <v>6601.46962</v>
      </c>
      <c r="BG772" s="71">
        <f t="shared" si="2294"/>
        <v>6504.4</v>
      </c>
      <c r="BH772" s="72">
        <f t="shared" si="2294"/>
        <v>99.76962</v>
      </c>
      <c r="BI772" s="34">
        <f>H772+BF772-BG772</f>
        <v>99.76962</v>
      </c>
      <c r="BJ772" s="34">
        <f>BH772-BI772</f>
        <v>0</v>
      </c>
      <c r="BK772" s="2" t="b">
        <f>H772='2021'!BH772</f>
        <v>1</v>
      </c>
    </row>
    <row r="773" ht="15.75" customHeight="1" spans="1:63" x14ac:dyDescent="0.25">
      <c r="A773" s="89" t="s">
        <v>292</v>
      </c>
      <c r="B773" s="14"/>
      <c r="C773" s="15"/>
      <c r="D773" s="176" t="s">
        <v>544</v>
      </c>
      <c r="E773" s="15"/>
      <c r="F773" s="13"/>
      <c r="G773" s="28"/>
      <c r="H773" s="34">
        <f>'2021'!BH773</f>
        <v>14.22</v>
      </c>
      <c r="I773" s="13"/>
      <c r="J773" s="15"/>
      <c r="K773" s="34"/>
      <c r="L773" s="35"/>
      <c r="M773" s="13"/>
      <c r="N773" s="15"/>
      <c r="O773" s="34"/>
      <c r="P773" s="34"/>
      <c r="Q773" s="13"/>
      <c r="R773" s="15"/>
      <c r="S773" s="34"/>
      <c r="T773" s="35"/>
      <c r="U773" s="13"/>
      <c r="V773" s="15"/>
      <c r="W773" s="153"/>
      <c r="X773" s="34"/>
      <c r="Y773" s="13"/>
      <c r="Z773" s="2"/>
      <c r="AA773" s="154">
        <v>248.5</v>
      </c>
      <c r="AB773" s="35"/>
      <c r="AC773" s="348"/>
      <c r="AD773" s="15"/>
      <c r="AE773" s="34"/>
      <c r="AF773" s="39">
        <v>262.72</v>
      </c>
      <c r="AG773" s="15"/>
      <c r="AH773" s="2"/>
      <c r="AI773" s="45"/>
      <c r="AJ773" s="136"/>
      <c r="AK773" s="15"/>
      <c r="AL773" s="15"/>
      <c r="AM773" s="45"/>
      <c r="AN773" s="34"/>
      <c r="AO773" s="13"/>
      <c r="AP773" s="15"/>
      <c r="AQ773" s="45"/>
      <c r="AR773" s="34"/>
      <c r="AS773" s="13"/>
      <c r="AT773" s="15"/>
      <c r="AU773" s="45"/>
      <c r="AV773" s="34"/>
      <c r="AW773" s="13"/>
      <c r="AX773" s="15"/>
      <c r="AY773" s="45"/>
      <c r="AZ773" s="28"/>
      <c r="BA773" s="13"/>
      <c r="BB773" s="15"/>
      <c r="BC773" s="45"/>
      <c r="BD773" s="28"/>
      <c r="BE773" s="42"/>
      <c r="BF773" s="41">
        <f t="shared" ref="BF773:BG773" si="2295">K773+O773+S773+W773+AA773+AE773+AI773+AM773+AQ773+AU773+AY773+BC773</f>
        <v>248.5</v>
      </c>
      <c r="BG773" s="34">
        <f t="shared" si="2295"/>
        <v>262.72</v>
      </c>
      <c r="BH773" s="35">
        <f t="shared" ref="BH773:BH780" si="2296">H773+BF773-BG773</f>
        <v>0</v>
      </c>
      <c r="BI773" s="15"/>
      <c r="BJ773" s="15"/>
      <c r="BK773" s="15" t="b">
        <f>H773='2021'!BH773</f>
        <v>1</v>
      </c>
    </row>
    <row r="774" ht="15.75" customHeight="1" spans="1:63" x14ac:dyDescent="0.25">
      <c r="A774" s="89" t="s">
        <v>292</v>
      </c>
      <c r="B774" s="14">
        <v>4.31</v>
      </c>
      <c r="C774" s="15" t="s">
        <v>562</v>
      </c>
      <c r="D774" s="14" t="s">
        <v>44</v>
      </c>
      <c r="E774" s="15" t="s">
        <v>45</v>
      </c>
      <c r="F774" s="41">
        <v>2.5</v>
      </c>
      <c r="G774" s="35">
        <v>2.6</v>
      </c>
      <c r="H774" s="34">
        <f>'2021'!BH774</f>
        <v>78</v>
      </c>
      <c r="I774" s="13">
        <v>7638</v>
      </c>
      <c r="J774" s="15">
        <f>I774-'2021'!BA774</f>
        <v>13</v>
      </c>
      <c r="K774" s="34">
        <f>J774*$F$8</f>
        <v>35.1</v>
      </c>
      <c r="L774" s="35"/>
      <c r="M774" s="13">
        <v>7804</v>
      </c>
      <c r="N774" s="15">
        <f t="shared" ref="N774:N775" si="2297">M774-I774</f>
        <v>166</v>
      </c>
      <c r="O774" s="34">
        <f>N774*$F$8</f>
        <v>448.2</v>
      </c>
      <c r="P774" s="34"/>
      <c r="Q774" s="13">
        <v>9088</v>
      </c>
      <c r="R774" s="15">
        <f t="shared" ref="R774:R775" si="2298">Q774-M774</f>
        <v>1284</v>
      </c>
      <c r="S774" s="34">
        <f>R774*$F$8</f>
        <v>3466.8</v>
      </c>
      <c r="T774" s="35">
        <v>600</v>
      </c>
      <c r="U774" s="13">
        <v>10217</v>
      </c>
      <c r="V774" s="15">
        <f t="shared" ref="V774:V775" si="2299">U774-Q774</f>
        <v>1129</v>
      </c>
      <c r="W774" s="34">
        <f>V774*$F$8</f>
        <v>3048.3</v>
      </c>
      <c r="X774" s="39">
        <v>3500</v>
      </c>
      <c r="Y774" s="13">
        <v>10669</v>
      </c>
      <c r="Z774" s="2">
        <f t="shared" ref="Z774:Z775" si="2300">Y774-U774</f>
        <v>452</v>
      </c>
      <c r="AA774" s="34">
        <f>Z774*$F$8</f>
        <v>1220.4</v>
      </c>
      <c r="AB774" s="38">
        <f>2976.4+1220.4</f>
        <v>4196.8</v>
      </c>
      <c r="AC774" s="348">
        <v>11040</v>
      </c>
      <c r="AD774" s="15">
        <f t="shared" ref="AD774:AD775" si="2301">AC774-Y774</f>
        <v>371</v>
      </c>
      <c r="AE774" s="180">
        <f>AD774*$F$8</f>
        <v>1001.7</v>
      </c>
      <c r="AF774" s="248"/>
      <c r="AG774" s="15">
        <v>11291</v>
      </c>
      <c r="AH774" s="2">
        <f>(AG774-AC774)*AH5</f>
        <v>265.056</v>
      </c>
      <c r="AI774" s="45">
        <f>AH774*$G$8</f>
        <v>652.03776</v>
      </c>
      <c r="AJ774" s="292">
        <v>1001.7</v>
      </c>
      <c r="AK774" s="15">
        <v>11600</v>
      </c>
      <c r="AL774" s="15">
        <f>(AK774-AG774)*AL5</f>
        <v>317.652</v>
      </c>
      <c r="AM774" s="45">
        <f>AL774*$G$8</f>
        <v>781.42392</v>
      </c>
      <c r="AN774" s="1">
        <v>652.04</v>
      </c>
      <c r="AO774" s="13">
        <v>11990</v>
      </c>
      <c r="AP774" s="15">
        <f>(AO774-AK774)*AP5</f>
        <v>402.87</v>
      </c>
      <c r="AQ774" s="45">
        <f>AP774*$G$8</f>
        <v>991.0602</v>
      </c>
      <c r="AR774" s="39">
        <f>781.42+991.06</f>
        <v>1772.48</v>
      </c>
      <c r="AS774" s="13">
        <v>12818</v>
      </c>
      <c r="AT774" s="15">
        <f>(AS774-AO774)*AT5</f>
        <v>869.4</v>
      </c>
      <c r="AU774" s="45">
        <f>AT774*$G$8</f>
        <v>2138.724</v>
      </c>
      <c r="AV774" s="1"/>
      <c r="AW774" s="13"/>
      <c r="AX774" s="15">
        <f>(AW774-AS774)*AX5</f>
        <v>0</v>
      </c>
      <c r="AY774" s="45">
        <f>AX774*$G$8</f>
        <v>0</v>
      </c>
      <c r="AZ774" s="246"/>
      <c r="BA774" s="13"/>
      <c r="BB774" s="15"/>
      <c r="BC774" s="45">
        <f>BB774*$G$8</f>
        <v>0</v>
      </c>
      <c r="BD774" s="246"/>
      <c r="BE774" s="40">
        <f t="shared" ref="BE774:BG774" si="2302">J774+N774+R774+V774+Z774+AD774+AH774+AL774+AP774+AT774+AX774+BB774</f>
        <v>5269.978</v>
      </c>
      <c r="BF774" s="41">
        <f t="shared" si="2302"/>
        <v>13783.74588</v>
      </c>
      <c r="BG774" s="34">
        <f t="shared" si="2302"/>
        <v>11723.02</v>
      </c>
      <c r="BH774" s="35">
        <f t="shared" si="2296"/>
        <v>2138.72588</v>
      </c>
      <c r="BI774" s="15"/>
      <c r="BJ774" s="15"/>
      <c r="BK774" s="15" t="b">
        <f>H774='2021'!BH774</f>
        <v>1</v>
      </c>
    </row>
    <row r="775" ht="15.75" customHeight="1" spans="1:63" x14ac:dyDescent="0.25">
      <c r="A775" s="89" t="s">
        <v>292</v>
      </c>
      <c r="B775" s="14"/>
      <c r="C775" s="15" t="s">
        <v>437</v>
      </c>
      <c r="D775" s="14" t="s">
        <v>47</v>
      </c>
      <c r="E775" s="15" t="s">
        <v>48</v>
      </c>
      <c r="F775" s="13">
        <v>18.56</v>
      </c>
      <c r="G775" s="35">
        <v>19.46</v>
      </c>
      <c r="H775" s="34">
        <f>'2021'!BH775</f>
        <v>-1.03</v>
      </c>
      <c r="I775" s="13">
        <v>12</v>
      </c>
      <c r="J775" s="15"/>
      <c r="K775" s="34"/>
      <c r="L775" s="35"/>
      <c r="M775" s="13">
        <v>12</v>
      </c>
      <c r="N775" s="15">
        <f t="shared" si="2297"/>
        <v>0</v>
      </c>
      <c r="O775" s="34"/>
      <c r="P775" s="34"/>
      <c r="Q775" s="13">
        <v>12</v>
      </c>
      <c r="R775" s="15">
        <f t="shared" si="2298"/>
        <v>0</v>
      </c>
      <c r="S775" s="34"/>
      <c r="T775" s="35"/>
      <c r="U775" s="13">
        <v>12</v>
      </c>
      <c r="V775" s="15">
        <f t="shared" si="2299"/>
        <v>0</v>
      </c>
      <c r="W775" s="34">
        <f>V775*$F$10</f>
        <v>0</v>
      </c>
      <c r="X775" s="34"/>
      <c r="Y775" s="13">
        <v>13</v>
      </c>
      <c r="Z775" s="2">
        <f t="shared" si="2300"/>
        <v>1</v>
      </c>
      <c r="AA775" s="34">
        <f>Z775*$F$10</f>
        <v>20.35</v>
      </c>
      <c r="AB775" s="35"/>
      <c r="AC775" s="348">
        <v>22</v>
      </c>
      <c r="AD775" s="15">
        <f t="shared" si="2301"/>
        <v>9</v>
      </c>
      <c r="AE775" s="34">
        <f>AD775*$F$10</f>
        <v>183.15</v>
      </c>
      <c r="AF775" s="39">
        <v>19.32</v>
      </c>
      <c r="AG775" s="15">
        <v>27</v>
      </c>
      <c r="AH775" s="2">
        <f>AG775-AC775</f>
        <v>5</v>
      </c>
      <c r="AI775" s="45">
        <f>AH775*$G$10</f>
        <v>107</v>
      </c>
      <c r="AJ775" s="136">
        <v>183.15</v>
      </c>
      <c r="AK775" s="15">
        <v>31</v>
      </c>
      <c r="AL775" s="15">
        <f>AK775-AG775</f>
        <v>4</v>
      </c>
      <c r="AM775" s="45">
        <f>AL775*$G$10</f>
        <v>85.6</v>
      </c>
      <c r="AN775" s="1">
        <v>107</v>
      </c>
      <c r="AO775" s="13">
        <v>35</v>
      </c>
      <c r="AP775" s="15">
        <f>AO775-AK775</f>
        <v>4</v>
      </c>
      <c r="AQ775" s="45">
        <f>AP775*$G$10</f>
        <v>85.6</v>
      </c>
      <c r="AR775" s="39">
        <v>85.6</v>
      </c>
      <c r="AS775" s="13">
        <v>35</v>
      </c>
      <c r="AT775" s="15">
        <f>AS775-AO775</f>
        <v>0</v>
      </c>
      <c r="AU775" s="45">
        <f>AT775*$G$10</f>
        <v>0</v>
      </c>
      <c r="AV775" s="1"/>
      <c r="AW775" s="13"/>
      <c r="AX775" s="15">
        <f>AW775-AS775</f>
        <v>-35</v>
      </c>
      <c r="AY775" s="45"/>
      <c r="AZ775" s="208"/>
      <c r="BA775" s="13"/>
      <c r="BB775" s="15"/>
      <c r="BC775" s="45"/>
      <c r="BD775" s="208"/>
      <c r="BE775" s="40">
        <f t="shared" ref="BE775:BG775" si="2303">J775+N775+R775+V775+Z775+AD775+AH775+AL775+AP775+AT775+AX775+BB775</f>
        <v>-12</v>
      </c>
      <c r="BF775" s="41">
        <f t="shared" si="2303"/>
        <v>481.7</v>
      </c>
      <c r="BG775" s="34">
        <f t="shared" si="2303"/>
        <v>395.07</v>
      </c>
      <c r="BH775" s="35">
        <f t="shared" si="2296"/>
        <v>85.6</v>
      </c>
      <c r="BI775" s="15"/>
      <c r="BJ775" s="15"/>
      <c r="BK775" s="15" t="b">
        <f>H775='2021'!BH775</f>
        <v>1</v>
      </c>
    </row>
    <row r="776" ht="15.75" customHeight="1" spans="1:63" x14ac:dyDescent="0.25">
      <c r="A776" s="89" t="s">
        <v>292</v>
      </c>
      <c r="B776" s="14"/>
      <c r="C776" s="15" t="s">
        <v>68</v>
      </c>
      <c r="D776" s="14" t="s">
        <v>47</v>
      </c>
      <c r="E776" s="15" t="s">
        <v>49</v>
      </c>
      <c r="F776" s="41">
        <v>500</v>
      </c>
      <c r="G776" s="28"/>
      <c r="H776" s="34">
        <f>'2021'!BH776</f>
        <v>0</v>
      </c>
      <c r="I776" s="13"/>
      <c r="J776" s="15"/>
      <c r="K776" s="34"/>
      <c r="L776" s="35"/>
      <c r="M776" s="13"/>
      <c r="N776" s="15"/>
      <c r="O776" s="34"/>
      <c r="P776" s="34"/>
      <c r="Q776" s="13"/>
      <c r="R776" s="15"/>
      <c r="S776" s="34"/>
      <c r="T776" s="35"/>
      <c r="U776" s="13"/>
      <c r="V776" s="15"/>
      <c r="W776" s="34"/>
      <c r="X776" s="34"/>
      <c r="Y776" s="13"/>
      <c r="Z776" s="2"/>
      <c r="AA776" s="34"/>
      <c r="AB776" s="35"/>
      <c r="AC776" s="348"/>
      <c r="AD776" s="15"/>
      <c r="AE776" s="34"/>
      <c r="AF776" s="34"/>
      <c r="AG776" s="15"/>
      <c r="AH776" s="2"/>
      <c r="AI776" s="45"/>
      <c r="AJ776" s="292"/>
      <c r="AK776" s="15"/>
      <c r="AL776" s="15"/>
      <c r="AM776" s="45"/>
      <c r="AN776" s="15"/>
      <c r="AO776" s="13"/>
      <c r="AP776" s="15"/>
      <c r="AQ776" s="45"/>
      <c r="AR776" s="15"/>
      <c r="AS776" s="13"/>
      <c r="AT776" s="15"/>
      <c r="AU776" s="45"/>
      <c r="AV776" s="15"/>
      <c r="AW776" s="13"/>
      <c r="AX776" s="15"/>
      <c r="AY776" s="45"/>
      <c r="AZ776" s="28"/>
      <c r="BA776" s="13"/>
      <c r="BB776" s="15"/>
      <c r="BC776" s="45"/>
      <c r="BD776" s="28"/>
      <c r="BE776" s="14"/>
      <c r="BF776" s="41">
        <f t="shared" ref="BF776:BG776" si="2304">K776+O776+S776+W776+AA776+AE776+AI776+AM776+AQ776+AU776+AY776+BC776</f>
        <v>0</v>
      </c>
      <c r="BG776" s="34">
        <f t="shared" si="2304"/>
        <v>0</v>
      </c>
      <c r="BH776" s="35">
        <f t="shared" si="2296"/>
        <v>0</v>
      </c>
      <c r="BI776" s="15"/>
      <c r="BJ776" s="15"/>
      <c r="BK776" s="15" t="b">
        <f>H776='2021'!BH776</f>
        <v>1</v>
      </c>
    </row>
    <row r="777" ht="15.75" customHeight="1" spans="1:63" x14ac:dyDescent="0.25">
      <c r="A777" s="89" t="s">
        <v>292</v>
      </c>
      <c r="B777" s="14"/>
      <c r="C777" s="15" t="s">
        <v>438</v>
      </c>
      <c r="D777" s="14" t="s">
        <v>50</v>
      </c>
      <c r="E777" s="15" t="s">
        <v>49</v>
      </c>
      <c r="F777" s="41">
        <v>1100</v>
      </c>
      <c r="G777" s="28"/>
      <c r="H777" s="34">
        <f>'2021'!BH777</f>
        <v>0</v>
      </c>
      <c r="I777" s="13"/>
      <c r="J777" s="15"/>
      <c r="K777" s="34"/>
      <c r="L777" s="35"/>
      <c r="M777" s="13"/>
      <c r="N777" s="15"/>
      <c r="O777" s="34"/>
      <c r="P777" s="34"/>
      <c r="Q777" s="13"/>
      <c r="R777" s="15"/>
      <c r="S777" s="34"/>
      <c r="T777" s="35"/>
      <c r="U777" s="13"/>
      <c r="V777" s="15"/>
      <c r="W777" s="34"/>
      <c r="X777" s="34"/>
      <c r="Y777" s="13"/>
      <c r="Z777" s="2"/>
      <c r="AA777" s="34"/>
      <c r="AB777" s="35"/>
      <c r="AC777" s="348"/>
      <c r="AD777" s="15"/>
      <c r="AE777" s="34">
        <f>B774*$F$12</f>
        <v>5603</v>
      </c>
      <c r="AF777" s="34"/>
      <c r="AG777" s="15"/>
      <c r="AH777" s="2"/>
      <c r="AI777" s="45"/>
      <c r="AJ777" s="136">
        <v>1547.65</v>
      </c>
      <c r="AK777" s="15"/>
      <c r="AL777" s="15"/>
      <c r="AM777" s="45"/>
      <c r="AN777" s="34"/>
      <c r="AO777" s="13"/>
      <c r="AP777" s="15"/>
      <c r="AQ777" s="45"/>
      <c r="AR777" s="1">
        <v>4055.35</v>
      </c>
      <c r="AS777" s="13"/>
      <c r="AT777" s="15"/>
      <c r="AU777" s="45"/>
      <c r="AV777" s="1"/>
      <c r="AW777" s="13"/>
      <c r="AX777" s="15"/>
      <c r="AY777" s="45"/>
      <c r="AZ777" s="28"/>
      <c r="BA777" s="13"/>
      <c r="BB777" s="15"/>
      <c r="BC777" s="45"/>
      <c r="BD777" s="28"/>
      <c r="BE777" s="14"/>
      <c r="BF777" s="41">
        <f t="shared" ref="BF777:BG777" si="2305">K777+O777+S777+W777+AA777+AE777+AI777+AM777+AQ777+AU777+AY777+BC777</f>
        <v>5603</v>
      </c>
      <c r="BG777" s="34">
        <f t="shared" si="2305"/>
        <v>5603</v>
      </c>
      <c r="BH777" s="35">
        <f t="shared" si="2296"/>
        <v>0</v>
      </c>
      <c r="BI777" s="15"/>
      <c r="BJ777" s="15"/>
      <c r="BK777" s="15" t="b">
        <f>H777='2021'!BH777</f>
        <v>1</v>
      </c>
    </row>
    <row r="778" ht="15.75" customHeight="1" spans="1:63" x14ac:dyDescent="0.25">
      <c r="A778" s="89" t="s">
        <v>292</v>
      </c>
      <c r="B778" s="14"/>
      <c r="C778" s="15" t="s">
        <v>439</v>
      </c>
      <c r="D778" s="14" t="s">
        <v>51</v>
      </c>
      <c r="E778" s="15" t="s">
        <v>39</v>
      </c>
      <c r="F778" s="41">
        <v>500</v>
      </c>
      <c r="G778" s="28"/>
      <c r="H778" s="34">
        <f>'2021'!BH778</f>
        <v>0</v>
      </c>
      <c r="I778" s="13"/>
      <c r="J778" s="15"/>
      <c r="K778" s="34"/>
      <c r="L778" s="35"/>
      <c r="M778" s="13"/>
      <c r="N778" s="15"/>
      <c r="O778" s="34"/>
      <c r="P778" s="34"/>
      <c r="Q778" s="13"/>
      <c r="R778" s="15"/>
      <c r="S778" s="34"/>
      <c r="T778" s="35"/>
      <c r="U778" s="13"/>
      <c r="V778" s="15"/>
      <c r="W778" s="34"/>
      <c r="X778" s="34"/>
      <c r="Y778" s="13"/>
      <c r="Z778" s="2"/>
      <c r="AA778" s="34"/>
      <c r="AB778" s="35"/>
      <c r="AC778" s="348"/>
      <c r="AD778" s="15"/>
      <c r="AE778" s="180">
        <f>$F$13</f>
        <v>1000</v>
      </c>
      <c r="AF778" s="39"/>
      <c r="AG778" s="15"/>
      <c r="AH778" s="2"/>
      <c r="AI778" s="45"/>
      <c r="AJ778" s="136">
        <v>1000</v>
      </c>
      <c r="AK778" s="15"/>
      <c r="AL778" s="15"/>
      <c r="AM778" s="45"/>
      <c r="AN778" s="15"/>
      <c r="AO778" s="13"/>
      <c r="AP778" s="15"/>
      <c r="AQ778" s="180"/>
      <c r="AR778" s="15"/>
      <c r="AS778" s="13"/>
      <c r="AT778" s="15"/>
      <c r="AU778" s="45"/>
      <c r="AV778" s="15"/>
      <c r="AW778" s="13"/>
      <c r="AX778" s="15"/>
      <c r="AY778" s="45"/>
      <c r="AZ778" s="28"/>
      <c r="BA778" s="13"/>
      <c r="BB778" s="15"/>
      <c r="BC778" s="45"/>
      <c r="BD778" s="28"/>
      <c r="BE778" s="14"/>
      <c r="BF778" s="41">
        <f t="shared" ref="BF778:BG778" si="2306">K778+O778+S778+W778+AA778+AE778+AI778+AM778+AQ778+AU778+AY778+BC778</f>
        <v>1000</v>
      </c>
      <c r="BG778" s="34">
        <f t="shared" si="2306"/>
        <v>1000</v>
      </c>
      <c r="BH778" s="35">
        <f t="shared" si="2296"/>
        <v>0</v>
      </c>
      <c r="BI778" s="15"/>
      <c r="BJ778" s="15"/>
      <c r="BK778" s="15" t="b">
        <f>H778='2021'!BH778</f>
        <v>1</v>
      </c>
    </row>
    <row r="779" ht="15.75" customHeight="1" spans="1:63" x14ac:dyDescent="0.25">
      <c r="A779" s="89" t="s">
        <v>292</v>
      </c>
      <c r="B779" s="14"/>
      <c r="C779" s="15"/>
      <c r="D779" s="14" t="s">
        <v>51</v>
      </c>
      <c r="E779" s="15" t="s">
        <v>49</v>
      </c>
      <c r="F779" s="41">
        <v>500</v>
      </c>
      <c r="G779" s="28"/>
      <c r="H779" s="34">
        <f>'2021'!BH779</f>
        <v>0</v>
      </c>
      <c r="I779" s="13"/>
      <c r="J779" s="15"/>
      <c r="K779" s="34"/>
      <c r="L779" s="35"/>
      <c r="M779" s="13"/>
      <c r="N779" s="15"/>
      <c r="O779" s="34"/>
      <c r="P779" s="34"/>
      <c r="Q779" s="13"/>
      <c r="R779" s="15"/>
      <c r="S779" s="34"/>
      <c r="T779" s="35"/>
      <c r="U779" s="13"/>
      <c r="V779" s="15"/>
      <c r="W779" s="34"/>
      <c r="X779" s="34"/>
      <c r="Y779" s="13"/>
      <c r="Z779" s="2"/>
      <c r="AA779" s="34"/>
      <c r="AB779" s="35"/>
      <c r="AC779" s="348"/>
      <c r="AD779" s="15"/>
      <c r="AE779" s="34"/>
      <c r="AF779" s="39"/>
      <c r="AG779" s="15"/>
      <c r="AH779" s="2"/>
      <c r="AI779" s="45"/>
      <c r="AJ779" s="136"/>
      <c r="AK779" s="15"/>
      <c r="AL779" s="15"/>
      <c r="AM779" s="45"/>
      <c r="AN779" s="15"/>
      <c r="AO779" s="13"/>
      <c r="AP779" s="15"/>
      <c r="AQ779" s="180">
        <f>B774*$F$14</f>
        <v>0</v>
      </c>
      <c r="AR779" s="15"/>
      <c r="AS779" s="13"/>
      <c r="AT779" s="15"/>
      <c r="AU779" s="45"/>
      <c r="AV779" s="15"/>
      <c r="AW779" s="13"/>
      <c r="AX779" s="15"/>
      <c r="AY779" s="45"/>
      <c r="AZ779" s="28"/>
      <c r="BA779" s="13"/>
      <c r="BB779" s="15"/>
      <c r="BC779" s="45"/>
      <c r="BD779" s="28"/>
      <c r="BE779" s="14"/>
      <c r="BF779" s="41">
        <f t="shared" ref="BF779:BG779" si="2307">K779+O779+S779+W779+AA779+AE779+AI779+AM779+AQ779+AU779+AY779+BC779</f>
        <v>0</v>
      </c>
      <c r="BG779" s="34">
        <f t="shared" si="2307"/>
        <v>0</v>
      </c>
      <c r="BH779" s="35">
        <f t="shared" si="2296"/>
        <v>0</v>
      </c>
      <c r="BI779" s="15"/>
      <c r="BJ779" s="15"/>
      <c r="BK779" s="15" t="b">
        <f>H779='2021'!BH779</f>
        <v>1</v>
      </c>
    </row>
    <row r="780" ht="15.75" customHeight="1" spans="1:63" x14ac:dyDescent="0.25">
      <c r="A780" s="89" t="s">
        <v>292</v>
      </c>
      <c r="B780" s="14"/>
      <c r="C780" s="15"/>
      <c r="D780" s="14" t="s">
        <v>52</v>
      </c>
      <c r="E780" s="15" t="s">
        <v>39</v>
      </c>
      <c r="F780" s="41">
        <v>500</v>
      </c>
      <c r="G780" s="28"/>
      <c r="H780" s="34">
        <f>'2021'!BH780</f>
        <v>0</v>
      </c>
      <c r="I780" s="13"/>
      <c r="J780" s="15"/>
      <c r="K780" s="34"/>
      <c r="L780" s="35"/>
      <c r="M780" s="13"/>
      <c r="N780" s="15"/>
      <c r="O780" s="34"/>
      <c r="P780" s="34"/>
      <c r="Q780" s="13"/>
      <c r="R780" s="15"/>
      <c r="S780" s="34"/>
      <c r="T780" s="35"/>
      <c r="U780" s="13"/>
      <c r="V780" s="15"/>
      <c r="W780" s="34"/>
      <c r="X780" s="34"/>
      <c r="Y780" s="13"/>
      <c r="Z780" s="2"/>
      <c r="AA780" s="34">
        <f>$F$15</f>
      </c>
      <c r="AB780" s="35"/>
      <c r="AC780" s="348"/>
      <c r="AD780" s="15"/>
      <c r="AE780" s="34"/>
      <c r="AF780" s="34"/>
      <c r="AG780" s="15"/>
      <c r="AH780" s="2"/>
      <c r="AI780" s="45"/>
      <c r="AJ780" s="292"/>
      <c r="AK780" s="15"/>
      <c r="AL780" s="15"/>
      <c r="AM780" s="45"/>
      <c r="AN780" s="15"/>
      <c r="AO780" s="13"/>
      <c r="AP780" s="15"/>
      <c r="AQ780" s="45"/>
      <c r="AR780" s="15"/>
      <c r="AS780" s="13"/>
      <c r="AT780" s="15"/>
      <c r="AU780" s="45"/>
      <c r="AV780" s="15"/>
      <c r="AW780" s="13"/>
      <c r="AX780" s="15"/>
      <c r="AY780" s="45"/>
      <c r="AZ780" s="35"/>
      <c r="BA780" s="13"/>
      <c r="BB780" s="15"/>
      <c r="BC780" s="45"/>
      <c r="BD780" s="35"/>
      <c r="BE780" s="14"/>
      <c r="BF780" s="41">
        <f t="shared" ref="BF780:BG780" si="2308">K780+O780+S780+W780+AA780+AE780+AI780+AM780+AQ780+AU780+AY780+BC780</f>
        <v>0</v>
      </c>
      <c r="BG780" s="34">
        <f t="shared" si="2308"/>
        <v>0</v>
      </c>
      <c r="BH780" s="35">
        <f t="shared" si="2296"/>
        <v>0</v>
      </c>
      <c r="BI780" s="15"/>
      <c r="BJ780" s="15"/>
      <c r="BK780" s="15" t="b">
        <f>H780='2021'!BH780</f>
        <v>1</v>
      </c>
    </row>
    <row r="781" ht="15.75" customHeight="1" spans="1:63" x14ac:dyDescent="0.25">
      <c r="A781" s="243" t="s">
        <v>510</v>
      </c>
      <c r="B781" s="21"/>
      <c r="C781" s="22" t="s">
        <v>53</v>
      </c>
      <c r="D781" s="21"/>
      <c r="E781" s="22"/>
      <c r="F781" s="20"/>
      <c r="G781" s="23"/>
      <c r="H781" s="51">
        <f>SUM(H773:H780)</f>
        <v>91.19</v>
      </c>
      <c r="I781" s="52"/>
      <c r="J781" s="53"/>
      <c r="K781" s="51">
        <f t="shared" ref="K781:L781" si="2309">SUM(K773:K780)</f>
        <v>35.1</v>
      </c>
      <c r="L781" s="68">
        <f t="shared" si="2309"/>
        <v>0</v>
      </c>
      <c r="M781" s="52"/>
      <c r="N781" s="53"/>
      <c r="O781" s="51">
        <f t="shared" ref="O781:P781" si="2310">SUM(O773:O780)</f>
        <v>448.2</v>
      </c>
      <c r="P781" s="51">
        <f t="shared" si="2310"/>
        <v>0</v>
      </c>
      <c r="Q781" s="52"/>
      <c r="R781" s="53"/>
      <c r="S781" s="51">
        <f t="shared" ref="S781:T781" si="2311">SUM(S773:S780)</f>
        <v>3466.8</v>
      </c>
      <c r="T781" s="51">
        <f t="shared" si="2311"/>
        <v>600</v>
      </c>
      <c r="U781" s="52"/>
      <c r="V781" s="53"/>
      <c r="W781" s="51">
        <f t="shared" ref="W781:X781" si="2312">SUM(W773:W780)</f>
        <v>3048.3</v>
      </c>
      <c r="X781" s="51">
        <f t="shared" si="2312"/>
        <v>3500</v>
      </c>
      <c r="Y781" s="52"/>
      <c r="Z781" s="301"/>
      <c r="AA781" s="51">
        <f t="shared" ref="AA781:AB781" si="2313">SUM(AA773:AA780)</f>
        <v>1489.25</v>
      </c>
      <c r="AB781" s="51">
        <f t="shared" si="2313"/>
        <v>4196.8</v>
      </c>
      <c r="AC781" s="367"/>
      <c r="AD781" s="53"/>
      <c r="AE781" s="51">
        <f t="shared" ref="AE781:AF781" si="2314">SUM(AE773:AE780)</f>
        <v>7787.85</v>
      </c>
      <c r="AF781" s="51">
        <f t="shared" si="2314"/>
        <v>282.04</v>
      </c>
      <c r="AG781" s="52"/>
      <c r="AH781" s="301"/>
      <c r="AI781" s="183">
        <f t="shared" ref="AI781:AJ781" si="2315">SUM(AI773:AI780)</f>
        <v>759.03776</v>
      </c>
      <c r="AJ781" s="51">
        <f t="shared" si="2315"/>
        <v>3732.5</v>
      </c>
      <c r="AK781" s="52"/>
      <c r="AL781" s="53"/>
      <c r="AM781" s="183">
        <f t="shared" ref="AM781:AN781" si="2316">SUM(AM773:AM780)</f>
        <v>867.02392</v>
      </c>
      <c r="AN781" s="51">
        <f t="shared" si="2316"/>
        <v>759.04</v>
      </c>
      <c r="AO781" s="52"/>
      <c r="AP781" s="53"/>
      <c r="AQ781" s="183">
        <f t="shared" ref="AQ781:AR781" si="2317">SUM(AQ773:AQ780)</f>
        <v>1076.6602</v>
      </c>
      <c r="AR781" s="51">
        <f t="shared" si="2317"/>
        <v>5913.43</v>
      </c>
      <c r="AS781" s="52"/>
      <c r="AT781" s="53"/>
      <c r="AU781" s="183">
        <f t="shared" ref="AU781:AV781" si="2318">SUM(AU773:AU780)</f>
        <v>2138.724</v>
      </c>
      <c r="AV781" s="68">
        <f t="shared" si="2318"/>
        <v>0</v>
      </c>
      <c r="AW781" s="52"/>
      <c r="AX781" s="53"/>
      <c r="AY781" s="183">
        <f t="shared" ref="AY781:AZ781" si="2319">SUM(AY773:AY780)</f>
        <v>0</v>
      </c>
      <c r="AZ781" s="68">
        <f t="shared" si="2319"/>
        <v>0</v>
      </c>
      <c r="BA781" s="52"/>
      <c r="BB781" s="53"/>
      <c r="BC781" s="183">
        <f t="shared" ref="BC781:BD781" si="2320">SUM(BC773:BC780)</f>
        <v>0</v>
      </c>
      <c r="BD781" s="68">
        <f t="shared" si="2320"/>
        <v>0</v>
      </c>
      <c r="BE781" s="69"/>
      <c r="BF781" s="70">
        <f t="shared" ref="BF781:BH781" si="2321">SUM(BF773:BF780)</f>
        <v>21116.94588</v>
      </c>
      <c r="BG781" s="71">
        <f t="shared" si="2321"/>
        <v>18983.81</v>
      </c>
      <c r="BH781" s="72">
        <f t="shared" si="2321"/>
        <v>2224.32588</v>
      </c>
      <c r="BI781" s="34">
        <f>H781+BF781-BG781</f>
        <v>2224.32588</v>
      </c>
      <c r="BJ781" s="34">
        <f>BH781-BI781</f>
        <v>0</v>
      </c>
      <c r="BK781" s="2" t="b">
        <f>H781='2021'!BH781</f>
        <v>1</v>
      </c>
    </row>
    <row r="782" ht="15.75" customHeight="1" spans="1:63" x14ac:dyDescent="0.25">
      <c r="A782" s="89" t="s">
        <v>292</v>
      </c>
      <c r="B782" s="14"/>
      <c r="C782" s="15"/>
      <c r="D782" s="14" t="s">
        <v>379</v>
      </c>
      <c r="E782" s="15"/>
      <c r="F782" s="13"/>
      <c r="G782" s="28"/>
      <c r="H782" s="34">
        <f>'2021'!BH782</f>
        <v>14.03</v>
      </c>
      <c r="I782" s="13"/>
      <c r="J782" s="15"/>
      <c r="K782" s="34"/>
      <c r="L782" s="35"/>
      <c r="M782" s="13"/>
      <c r="N782" s="15"/>
      <c r="O782" s="34"/>
      <c r="P782" s="34"/>
      <c r="Q782" s="13"/>
      <c r="R782" s="15"/>
      <c r="S782" s="34"/>
      <c r="T782" s="35"/>
      <c r="U782" s="13"/>
      <c r="V782" s="15"/>
      <c r="W782" s="34"/>
      <c r="X782" s="34"/>
      <c r="Y782" s="13"/>
      <c r="Z782" s="2"/>
      <c r="AA782" s="34"/>
      <c r="AB782" s="35"/>
      <c r="AC782" s="348"/>
      <c r="AD782" s="15"/>
      <c r="AE782" s="34"/>
      <c r="AF782" s="39">
        <v>14.03</v>
      </c>
      <c r="AG782" s="15"/>
      <c r="AH782" s="2"/>
      <c r="AI782" s="45"/>
      <c r="AJ782" s="136"/>
      <c r="AK782" s="15"/>
      <c r="AL782" s="15"/>
      <c r="AM782" s="45"/>
      <c r="AN782" s="34"/>
      <c r="AO782" s="13"/>
      <c r="AP782" s="15"/>
      <c r="AQ782" s="45"/>
      <c r="AR782" s="34"/>
      <c r="AS782" s="13"/>
      <c r="AT782" s="15"/>
      <c r="AU782" s="45"/>
      <c r="AV782" s="34"/>
      <c r="AW782" s="13"/>
      <c r="AX782" s="15"/>
      <c r="AY782" s="45"/>
      <c r="AZ782" s="28"/>
      <c r="BA782" s="13"/>
      <c r="BB782" s="15"/>
      <c r="BC782" s="45"/>
      <c r="BD782" s="28"/>
      <c r="BE782" s="42"/>
      <c r="BF782" s="41">
        <f t="shared" ref="BF782:BG782" si="2322">K782+O782+S782+W782+AA782+AE782+AI782+AM782+AQ782+AU782+AY782+BC782</f>
        <v>0</v>
      </c>
      <c r="BG782" s="34">
        <f t="shared" si="2322"/>
        <v>14.03</v>
      </c>
      <c r="BH782" s="35">
        <f t="shared" ref="BH782:BH789" si="2323">H782+BF782-BG782</f>
        <v>0</v>
      </c>
      <c r="BI782" s="15"/>
      <c r="BJ782" s="15"/>
      <c r="BK782" s="15" t="b">
        <f>H782='2021'!BH782</f>
        <v>1</v>
      </c>
    </row>
    <row r="783" ht="15.75" customHeight="1" spans="1:63" x14ac:dyDescent="0.25">
      <c r="A783" s="89" t="s">
        <v>292</v>
      </c>
      <c r="B783" s="14">
        <v>4.25</v>
      </c>
      <c r="C783" s="15" t="s">
        <v>562</v>
      </c>
      <c r="D783" s="14" t="s">
        <v>44</v>
      </c>
      <c r="E783" s="15" t="s">
        <v>45</v>
      </c>
      <c r="F783" s="41">
        <v>2.5</v>
      </c>
      <c r="G783" s="35">
        <v>2.6</v>
      </c>
      <c r="H783" s="34">
        <f>'2021'!BH783</f>
        <v>2431</v>
      </c>
      <c r="I783" s="13">
        <v>1182</v>
      </c>
      <c r="J783" s="15">
        <f>I783-'2021'!BA783</f>
        <v>0</v>
      </c>
      <c r="K783" s="34">
        <f>J783*$F$8</f>
        <v>0</v>
      </c>
      <c r="L783" s="35"/>
      <c r="M783" s="13">
        <v>1182</v>
      </c>
      <c r="N783" s="15">
        <f t="shared" ref="N783:N784" si="2324">M783-I783</f>
        <v>0</v>
      </c>
      <c r="O783" s="34">
        <f>N783*$F$8</f>
        <v>0</v>
      </c>
      <c r="P783" s="34"/>
      <c r="Q783" s="13">
        <v>1198</v>
      </c>
      <c r="R783" s="15">
        <f t="shared" ref="R783:R784" si="2325">Q783-M783</f>
        <v>16</v>
      </c>
      <c r="S783" s="34">
        <f>R783*$F$8</f>
        <v>43.2</v>
      </c>
      <c r="T783" s="35"/>
      <c r="U783" s="13">
        <v>1392</v>
      </c>
      <c r="V783" s="15">
        <f t="shared" ref="V783:V784" si="2326">U783-Q783</f>
        <v>194</v>
      </c>
      <c r="W783" s="34">
        <f>V783*$F$8</f>
        <v>523.8</v>
      </c>
      <c r="X783" s="34"/>
      <c r="Y783" s="13">
        <v>1481</v>
      </c>
      <c r="Z783" s="2">
        <f>Y783-U783</f>
        <v>89</v>
      </c>
      <c r="AA783" s="34">
        <f>Z783*$F$8</f>
        <v>240.3</v>
      </c>
      <c r="AB783" s="38">
        <f>1000+1000+1238.3</f>
        <v>3238.3</v>
      </c>
      <c r="AC783" s="348">
        <v>1565</v>
      </c>
      <c r="AD783" s="15">
        <f t="shared" ref="AD783:AD784" si="2327">AC783-Y783</f>
        <v>84</v>
      </c>
      <c r="AE783" s="180">
        <f>AD783*$F$8</f>
        <v>226.8</v>
      </c>
      <c r="AF783" s="34"/>
      <c r="AG783" s="15">
        <v>1661</v>
      </c>
      <c r="AH783" s="2">
        <f>(AG783-AC783)*AH5</f>
        <v>101.376</v>
      </c>
      <c r="AI783" s="45">
        <f>AH783*$G$8</f>
        <v>249.38496</v>
      </c>
      <c r="AJ783" s="292">
        <v>226.8</v>
      </c>
      <c r="AK783" s="15">
        <v>1823</v>
      </c>
      <c r="AL783" s="15">
        <f>(AK783-AG783)*AL5</f>
        <v>166.536</v>
      </c>
      <c r="AM783" s="45">
        <f>AL783*$G$8</f>
        <v>409.67856</v>
      </c>
      <c r="AN783" s="1">
        <v>249.38</v>
      </c>
      <c r="AO783" s="13">
        <v>2171</v>
      </c>
      <c r="AP783" s="15">
        <f>(AO783-AK783)*AP5</f>
        <v>359.484</v>
      </c>
      <c r="AQ783" s="45">
        <f>AP783*$G$8</f>
        <v>884.33064</v>
      </c>
      <c r="AR783" s="1">
        <f>409.68+884.33</f>
        <v>1294.01</v>
      </c>
      <c r="AS783" s="13">
        <v>2462</v>
      </c>
      <c r="AT783" s="15">
        <f>(AS783-AO783)*AT5</f>
        <v>305.55</v>
      </c>
      <c r="AU783" s="45">
        <f>AT783*$G$8</f>
        <v>751.653</v>
      </c>
      <c r="AV783" s="15"/>
      <c r="AW783" s="13"/>
      <c r="AX783" s="15">
        <f>(AW783-AS783)*AX5</f>
        <v>0</v>
      </c>
      <c r="AY783" s="45">
        <f>AX783*$G$8</f>
        <v>0</v>
      </c>
      <c r="AZ783" s="208"/>
      <c r="BA783" s="13"/>
      <c r="BB783" s="15"/>
      <c r="BC783" s="45">
        <f>BB783*$G$8</f>
        <v>0</v>
      </c>
      <c r="BD783" s="208"/>
      <c r="BE783" s="40">
        <f t="shared" ref="BE783:BG783" si="2328">J783+N783+R783+V783+Z783+AD783+AH783+AL783+AP783+AT783+AX783+BB783</f>
        <v>1315.946</v>
      </c>
      <c r="BF783" s="41">
        <f t="shared" si="2328"/>
        <v>3329.14716</v>
      </c>
      <c r="BG783" s="34">
        <f t="shared" si="2328"/>
        <v>5008.49</v>
      </c>
      <c r="BH783" s="35">
        <f t="shared" si="2323"/>
        <v>751.65716</v>
      </c>
      <c r="BI783" s="15"/>
      <c r="BJ783" s="15"/>
      <c r="BK783" s="15" t="b">
        <f>H783='2021'!BH783</f>
        <v>1</v>
      </c>
    </row>
    <row r="784" ht="15.75" customHeight="1" spans="1:63" x14ac:dyDescent="0.25">
      <c r="A784" s="89" t="s">
        <v>292</v>
      </c>
      <c r="B784" s="14"/>
      <c r="C784" s="15" t="s">
        <v>437</v>
      </c>
      <c r="D784" s="14" t="s">
        <v>47</v>
      </c>
      <c r="E784" s="15" t="s">
        <v>48</v>
      </c>
      <c r="F784" s="13">
        <v>18.56</v>
      </c>
      <c r="G784" s="35">
        <v>19.46</v>
      </c>
      <c r="H784" s="34">
        <f>'2021'!BH784</f>
        <v>0.36</v>
      </c>
      <c r="I784" s="13">
        <v>18</v>
      </c>
      <c r="J784" s="15"/>
      <c r="K784" s="34"/>
      <c r="L784" s="35"/>
      <c r="M784" s="13">
        <v>18</v>
      </c>
      <c r="N784" s="15">
        <f t="shared" si="2324"/>
        <v>0</v>
      </c>
      <c r="O784" s="34"/>
      <c r="P784" s="34"/>
      <c r="Q784" s="13">
        <v>18</v>
      </c>
      <c r="R784" s="15">
        <f t="shared" si="2325"/>
        <v>0</v>
      </c>
      <c r="S784" s="34"/>
      <c r="T784" s="35"/>
      <c r="U784" s="13">
        <v>19</v>
      </c>
      <c r="V784" s="15">
        <f t="shared" si="2326"/>
        <v>1</v>
      </c>
      <c r="W784" s="34">
        <f>V784*$F$10</f>
        <v>20.35</v>
      </c>
      <c r="X784" s="34"/>
      <c r="Y784" s="13">
        <v>0</v>
      </c>
      <c r="Z784" s="2">
        <v>0</v>
      </c>
      <c r="AA784" s="34">
        <f>Z784*$F$10</f>
        <v>0</v>
      </c>
      <c r="AB784" s="35"/>
      <c r="AC784" s="348">
        <v>2</v>
      </c>
      <c r="AD784" s="15">
        <f t="shared" si="2327"/>
        <v>2</v>
      </c>
      <c r="AE784" s="34">
        <f>AD784*$F$10</f>
        <v>40.7</v>
      </c>
      <c r="AF784" s="39">
        <v>20.71</v>
      </c>
      <c r="AG784" s="15">
        <v>3</v>
      </c>
      <c r="AH784" s="2">
        <f>AG784-AC784</f>
        <v>1</v>
      </c>
      <c r="AI784" s="45">
        <f>AH784*$G$10</f>
        <v>21.4</v>
      </c>
      <c r="AJ784" s="136">
        <v>40.7</v>
      </c>
      <c r="AK784" s="15">
        <v>4</v>
      </c>
      <c r="AL784" s="15">
        <f>AK784-AG784</f>
        <v>1</v>
      </c>
      <c r="AM784" s="45">
        <f>AL784*$G$10</f>
        <v>21.4</v>
      </c>
      <c r="AN784" s="1">
        <v>21.4</v>
      </c>
      <c r="AO784" s="13">
        <v>4</v>
      </c>
      <c r="AP784" s="15">
        <f>AO784-AK784</f>
        <v>0</v>
      </c>
      <c r="AQ784" s="45">
        <f>AP784*$G$10</f>
        <v>0</v>
      </c>
      <c r="AR784" s="1">
        <v>21.4</v>
      </c>
      <c r="AS784" s="13">
        <v>4</v>
      </c>
      <c r="AT784" s="15">
        <f>AS784-AO784</f>
        <v>0</v>
      </c>
      <c r="AU784" s="45">
        <f>AT784*$G$10</f>
        <v>0</v>
      </c>
      <c r="AV784" s="15"/>
      <c r="AW784" s="13"/>
      <c r="AX784" s="15">
        <f>AW784-AS784</f>
        <v>-4</v>
      </c>
      <c r="AY784" s="45"/>
      <c r="AZ784" s="208"/>
      <c r="BA784" s="13"/>
      <c r="BB784" s="15"/>
      <c r="BC784" s="45"/>
      <c r="BD784" s="208"/>
      <c r="BE784" s="40">
        <f t="shared" ref="BE784:BG784" si="2329">J784+N784+R784+V784+Z784+AD784+AH784+AL784+AP784+AT784+AX784+BB784</f>
        <v>1</v>
      </c>
      <c r="BF784" s="41">
        <f t="shared" si="2329"/>
        <v>103.85</v>
      </c>
      <c r="BG784" s="34">
        <f t="shared" si="2329"/>
        <v>104.21</v>
      </c>
      <c r="BH784" s="35">
        <f t="shared" si="2323"/>
        <v>0</v>
      </c>
      <c r="BI784" s="15"/>
      <c r="BJ784" s="15"/>
      <c r="BK784" s="15" t="b">
        <f>H784='2021'!BH784</f>
        <v>1</v>
      </c>
    </row>
    <row r="785" ht="15.75" customHeight="1" spans="1:63" x14ac:dyDescent="0.25">
      <c r="A785" s="89" t="s">
        <v>292</v>
      </c>
      <c r="B785" s="14"/>
      <c r="C785" s="15" t="s">
        <v>68</v>
      </c>
      <c r="D785" s="14" t="s">
        <v>47</v>
      </c>
      <c r="E785" s="15" t="s">
        <v>49</v>
      </c>
      <c r="F785" s="41">
        <v>500</v>
      </c>
      <c r="G785" s="28"/>
      <c r="H785" s="34">
        <f>'2021'!BH785</f>
        <v>0</v>
      </c>
      <c r="I785" s="13"/>
      <c r="J785" s="15"/>
      <c r="K785" s="34"/>
      <c r="L785" s="35"/>
      <c r="M785" s="13"/>
      <c r="N785" s="15"/>
      <c r="O785" s="34"/>
      <c r="P785" s="34"/>
      <c r="Q785" s="13"/>
      <c r="R785" s="15"/>
      <c r="S785" s="34"/>
      <c r="T785" s="35"/>
      <c r="U785" s="13"/>
      <c r="V785" s="15"/>
      <c r="W785" s="34"/>
      <c r="X785" s="34"/>
      <c r="Y785" s="13"/>
      <c r="Z785" s="2"/>
      <c r="AA785" s="34"/>
      <c r="AB785" s="35"/>
      <c r="AC785" s="348"/>
      <c r="AD785" s="15"/>
      <c r="AE785" s="34"/>
      <c r="AF785" s="34"/>
      <c r="AG785" s="15"/>
      <c r="AH785" s="2"/>
      <c r="AI785" s="45"/>
      <c r="AJ785" s="292"/>
      <c r="AK785" s="15"/>
      <c r="AL785" s="15"/>
      <c r="AM785" s="45"/>
      <c r="AN785" s="15"/>
      <c r="AO785" s="13"/>
      <c r="AP785" s="15"/>
      <c r="AQ785" s="45"/>
      <c r="AR785" s="15"/>
      <c r="AS785" s="13"/>
      <c r="AT785" s="15"/>
      <c r="AU785" s="45"/>
      <c r="AV785" s="15"/>
      <c r="AW785" s="13"/>
      <c r="AX785" s="15"/>
      <c r="AY785" s="45"/>
      <c r="AZ785" s="28"/>
      <c r="BA785" s="13"/>
      <c r="BB785" s="15"/>
      <c r="BC785" s="45"/>
      <c r="BD785" s="28"/>
      <c r="BE785" s="14"/>
      <c r="BF785" s="41">
        <f t="shared" ref="BF785:BG785" si="2330">K785+O785+S785+W785+AA785+AE785+AI785+AM785+AQ785+AU785+AY785+BC785</f>
        <v>0</v>
      </c>
      <c r="BG785" s="34">
        <f t="shared" si="2330"/>
        <v>0</v>
      </c>
      <c r="BH785" s="35">
        <f t="shared" si="2323"/>
        <v>0</v>
      </c>
      <c r="BI785" s="15"/>
      <c r="BJ785" s="15"/>
      <c r="BK785" s="15" t="b">
        <f>H785='2021'!BH785</f>
        <v>1</v>
      </c>
    </row>
    <row r="786" ht="15.75" customHeight="1" spans="1:63" x14ac:dyDescent="0.25">
      <c r="A786" s="89" t="s">
        <v>292</v>
      </c>
      <c r="B786" s="14"/>
      <c r="C786" s="15" t="s">
        <v>438</v>
      </c>
      <c r="D786" s="14" t="s">
        <v>50</v>
      </c>
      <c r="E786" s="15" t="s">
        <v>49</v>
      </c>
      <c r="F786" s="41">
        <v>1100</v>
      </c>
      <c r="G786" s="28"/>
      <c r="H786" s="34">
        <f>'2021'!BH786</f>
        <v>0</v>
      </c>
      <c r="I786" s="13"/>
      <c r="J786" s="15"/>
      <c r="K786" s="34"/>
      <c r="L786" s="35"/>
      <c r="M786" s="13"/>
      <c r="N786" s="15"/>
      <c r="O786" s="34"/>
      <c r="P786" s="34"/>
      <c r="Q786" s="13"/>
      <c r="R786" s="15"/>
      <c r="S786" s="34"/>
      <c r="T786" s="35"/>
      <c r="U786" s="13"/>
      <c r="V786" s="15"/>
      <c r="W786" s="34"/>
      <c r="X786" s="34"/>
      <c r="Y786" s="13"/>
      <c r="Z786" s="2"/>
      <c r="AA786" s="34"/>
      <c r="AB786" s="35"/>
      <c r="AC786" s="348"/>
      <c r="AD786" s="15"/>
      <c r="AE786" s="34">
        <f>B783*$F$12</f>
        <v>5525</v>
      </c>
      <c r="AF786" s="34"/>
      <c r="AG786" s="15"/>
      <c r="AH786" s="2"/>
      <c r="AI786" s="45"/>
      <c r="AJ786" s="136"/>
      <c r="AK786" s="15"/>
      <c r="AL786" s="15"/>
      <c r="AM786" s="45"/>
      <c r="AN786" s="34"/>
      <c r="AO786" s="13"/>
      <c r="AP786" s="15"/>
      <c r="AQ786" s="45"/>
      <c r="AR786" s="1">
        <v>5525</v>
      </c>
      <c r="AS786" s="13"/>
      <c r="AT786" s="15"/>
      <c r="AU786" s="45"/>
      <c r="AV786" s="1"/>
      <c r="AW786" s="13"/>
      <c r="AX786" s="15"/>
      <c r="AY786" s="45"/>
      <c r="AZ786" s="28"/>
      <c r="BA786" s="13"/>
      <c r="BB786" s="15"/>
      <c r="BC786" s="45"/>
      <c r="BD786" s="28"/>
      <c r="BE786" s="14"/>
      <c r="BF786" s="41">
        <f t="shared" ref="BF786:BG786" si="2331">K786+O786+S786+W786+AA786+AE786+AI786+AM786+AQ786+AU786+AY786+BC786</f>
        <v>5525</v>
      </c>
      <c r="BG786" s="34">
        <f t="shared" si="2331"/>
        <v>5525</v>
      </c>
      <c r="BH786" s="35">
        <f t="shared" si="2323"/>
        <v>0</v>
      </c>
      <c r="BI786" s="15"/>
      <c r="BJ786" s="15"/>
      <c r="BK786" s="15" t="b">
        <f>H786='2021'!BH786</f>
        <v>1</v>
      </c>
    </row>
    <row r="787" ht="15.75" customHeight="1" spans="1:63" x14ac:dyDescent="0.25">
      <c r="A787" s="89" t="s">
        <v>292</v>
      </c>
      <c r="B787" s="14"/>
      <c r="C787" s="15" t="s">
        <v>439</v>
      </c>
      <c r="D787" s="14" t="s">
        <v>51</v>
      </c>
      <c r="E787" s="15" t="s">
        <v>39</v>
      </c>
      <c r="F787" s="41">
        <v>500</v>
      </c>
      <c r="G787" s="28"/>
      <c r="H787" s="34">
        <f>'2021'!BH787</f>
        <v>0</v>
      </c>
      <c r="I787" s="13"/>
      <c r="J787" s="15"/>
      <c r="K787" s="34"/>
      <c r="L787" s="35"/>
      <c r="M787" s="13"/>
      <c r="N787" s="15"/>
      <c r="O787" s="34"/>
      <c r="P787" s="34"/>
      <c r="Q787" s="13"/>
      <c r="R787" s="15"/>
      <c r="S787" s="34"/>
      <c r="T787" s="35"/>
      <c r="U787" s="13"/>
      <c r="V787" s="15"/>
      <c r="W787" s="34"/>
      <c r="X787" s="34"/>
      <c r="Y787" s="13"/>
      <c r="Z787" s="2"/>
      <c r="AA787" s="34"/>
      <c r="AB787" s="35"/>
      <c r="AC787" s="348"/>
      <c r="AD787" s="15"/>
      <c r="AE787" s="180">
        <f>$F$13</f>
        <v>1000</v>
      </c>
      <c r="AF787" s="39"/>
      <c r="AG787" s="15"/>
      <c r="AH787" s="2"/>
      <c r="AI787" s="45"/>
      <c r="AJ787" s="378">
        <v>1000</v>
      </c>
      <c r="AK787" s="15"/>
      <c r="AL787" s="15"/>
      <c r="AM787" s="45"/>
      <c r="AN787" s="15"/>
      <c r="AO787" s="13"/>
      <c r="AP787" s="15"/>
      <c r="AQ787" s="180"/>
      <c r="AR787" s="15"/>
      <c r="AS787" s="13"/>
      <c r="AT787" s="15"/>
      <c r="AU787" s="45"/>
      <c r="AV787" s="15"/>
      <c r="AW787" s="13"/>
      <c r="AX787" s="15"/>
      <c r="AY787" s="45"/>
      <c r="AZ787" s="28"/>
      <c r="BA787" s="13"/>
      <c r="BB787" s="15"/>
      <c r="BC787" s="45"/>
      <c r="BD787" s="28"/>
      <c r="BE787" s="14"/>
      <c r="BF787" s="41">
        <f t="shared" ref="BF787:BG787" si="2332">K787+O787+S787+W787+AA787+AE787+AI787+AM787+AQ787+AU787+AY787+BC787</f>
        <v>1000</v>
      </c>
      <c r="BG787" s="34">
        <f t="shared" si="2332"/>
        <v>1000</v>
      </c>
      <c r="BH787" s="35">
        <f t="shared" si="2323"/>
        <v>0</v>
      </c>
      <c r="BI787" s="15"/>
      <c r="BJ787" s="15"/>
      <c r="BK787" s="15" t="b">
        <f>H787='2021'!BH787</f>
        <v>1</v>
      </c>
    </row>
    <row r="788" ht="15.75" customHeight="1" spans="1:63" x14ac:dyDescent="0.25">
      <c r="A788" s="89" t="s">
        <v>292</v>
      </c>
      <c r="B788" s="14"/>
      <c r="C788" s="15"/>
      <c r="D788" s="14" t="s">
        <v>51</v>
      </c>
      <c r="E788" s="15" t="s">
        <v>49</v>
      </c>
      <c r="F788" s="41">
        <v>500</v>
      </c>
      <c r="G788" s="28"/>
      <c r="H788" s="34">
        <f>'2021'!BH788</f>
        <v>0</v>
      </c>
      <c r="I788" s="13"/>
      <c r="J788" s="15"/>
      <c r="K788" s="34"/>
      <c r="L788" s="35"/>
      <c r="M788" s="13"/>
      <c r="N788" s="15"/>
      <c r="O788" s="34"/>
      <c r="P788" s="34"/>
      <c r="Q788" s="13"/>
      <c r="R788" s="15"/>
      <c r="S788" s="34"/>
      <c r="T788" s="35"/>
      <c r="U788" s="13"/>
      <c r="V788" s="15"/>
      <c r="W788" s="34"/>
      <c r="X788" s="34"/>
      <c r="Y788" s="13"/>
      <c r="Z788" s="2"/>
      <c r="AA788" s="34"/>
      <c r="AB788" s="35"/>
      <c r="AC788" s="348"/>
      <c r="AD788" s="15"/>
      <c r="AE788" s="34"/>
      <c r="AF788" s="39"/>
      <c r="AG788" s="15"/>
      <c r="AH788" s="2"/>
      <c r="AI788" s="45"/>
      <c r="AJ788" s="180"/>
      <c r="AK788" s="15"/>
      <c r="AL788" s="15"/>
      <c r="AM788" s="45"/>
      <c r="AN788" s="15"/>
      <c r="AO788" s="13"/>
      <c r="AP788" s="15"/>
      <c r="AQ788" s="180">
        <f>B783*$F$14</f>
        <v>0</v>
      </c>
      <c r="AR788" s="15"/>
      <c r="AS788" s="13"/>
      <c r="AT788" s="15"/>
      <c r="AU788" s="45"/>
      <c r="AV788" s="15"/>
      <c r="AW788" s="13"/>
      <c r="AX788" s="15"/>
      <c r="AY788" s="45"/>
      <c r="AZ788" s="28"/>
      <c r="BA788" s="13"/>
      <c r="BB788" s="15"/>
      <c r="BC788" s="45"/>
      <c r="BD788" s="28"/>
      <c r="BE788" s="14"/>
      <c r="BF788" s="41">
        <f t="shared" ref="BF788:BG788" si="2333">K788+O788+S788+W788+AA788+AE788+AI788+AM788+AQ788+AU788+AY788+BC788</f>
        <v>0</v>
      </c>
      <c r="BG788" s="34">
        <f t="shared" si="2333"/>
        <v>0</v>
      </c>
      <c r="BH788" s="35">
        <f t="shared" si="2323"/>
        <v>0</v>
      </c>
      <c r="BI788" s="15"/>
      <c r="BJ788" s="15"/>
      <c r="BK788" s="15" t="b">
        <f>H788='2021'!BH788</f>
        <v>1</v>
      </c>
    </row>
    <row r="789" ht="15.75" customHeight="1" spans="1:63" x14ac:dyDescent="0.25">
      <c r="A789" s="89" t="s">
        <v>292</v>
      </c>
      <c r="B789" s="14"/>
      <c r="C789" s="15"/>
      <c r="D789" s="14" t="s">
        <v>52</v>
      </c>
      <c r="E789" s="15" t="s">
        <v>39</v>
      </c>
      <c r="F789" s="41">
        <v>500</v>
      </c>
      <c r="G789" s="28"/>
      <c r="H789" s="34">
        <f>'2021'!BH789</f>
        <v>0</v>
      </c>
      <c r="I789" s="13"/>
      <c r="J789" s="15"/>
      <c r="K789" s="34"/>
      <c r="L789" s="35"/>
      <c r="M789" s="13"/>
      <c r="N789" s="15"/>
      <c r="O789" s="34"/>
      <c r="P789" s="34"/>
      <c r="Q789" s="13"/>
      <c r="R789" s="15"/>
      <c r="S789" s="34"/>
      <c r="T789" s="35"/>
      <c r="U789" s="13"/>
      <c r="V789" s="15"/>
      <c r="W789" s="34"/>
      <c r="X789" s="34"/>
      <c r="Y789" s="13"/>
      <c r="Z789" s="2"/>
      <c r="AA789" s="34">
        <f>$F$15</f>
      </c>
      <c r="AB789" s="35"/>
      <c r="AC789" s="348"/>
      <c r="AD789" s="15"/>
      <c r="AE789" s="34"/>
      <c r="AF789" s="34"/>
      <c r="AG789" s="15"/>
      <c r="AH789" s="2"/>
      <c r="AI789" s="45"/>
      <c r="AJ789" s="15"/>
      <c r="AK789" s="15"/>
      <c r="AL789" s="15"/>
      <c r="AM789" s="45"/>
      <c r="AN789" s="15"/>
      <c r="AO789" s="13"/>
      <c r="AP789" s="15"/>
      <c r="AQ789" s="45"/>
      <c r="AR789" s="15"/>
      <c r="AS789" s="13"/>
      <c r="AT789" s="15"/>
      <c r="AU789" s="45"/>
      <c r="AV789" s="15"/>
      <c r="AW789" s="13"/>
      <c r="AX789" s="15"/>
      <c r="AY789" s="45"/>
      <c r="AZ789" s="35"/>
      <c r="BA789" s="13"/>
      <c r="BB789" s="15"/>
      <c r="BC789" s="45"/>
      <c r="BD789" s="35"/>
      <c r="BE789" s="14"/>
      <c r="BF789" s="41">
        <f t="shared" ref="BF789:BG789" si="2334">K789+O789+S789+W789+AA789+AE789+AI789+AM789+AQ789+AU789+AY789+BC789</f>
        <v>0</v>
      </c>
      <c r="BG789" s="34">
        <f t="shared" si="2334"/>
        <v>0</v>
      </c>
      <c r="BH789" s="35">
        <f t="shared" si="2323"/>
        <v>0</v>
      </c>
      <c r="BI789" s="15"/>
      <c r="BJ789" s="15"/>
      <c r="BK789" s="15" t="b">
        <f>H789='2021'!BH789</f>
        <v>1</v>
      </c>
    </row>
    <row r="790" ht="15.75" customHeight="1" spans="1:63" x14ac:dyDescent="0.25">
      <c r="A790" s="244" t="s">
        <v>297</v>
      </c>
      <c r="B790" s="21"/>
      <c r="C790" s="22" t="s">
        <v>53</v>
      </c>
      <c r="D790" s="21"/>
      <c r="E790" s="22"/>
      <c r="F790" s="20"/>
      <c r="G790" s="23"/>
      <c r="H790" s="51">
        <f>SUM(H782:H789)</f>
        <v>2445.39</v>
      </c>
      <c r="I790" s="52"/>
      <c r="J790" s="53"/>
      <c r="K790" s="51">
        <f t="shared" ref="K790:L790" si="2335">SUM(K782:K789)</f>
        <v>0</v>
      </c>
      <c r="L790" s="68">
        <f t="shared" si="2335"/>
        <v>0</v>
      </c>
      <c r="M790" s="52"/>
      <c r="N790" s="53"/>
      <c r="O790" s="51">
        <f t="shared" ref="O790:P790" si="2336">SUM(O782:O789)</f>
        <v>0</v>
      </c>
      <c r="P790" s="51">
        <f t="shared" si="2336"/>
        <v>0</v>
      </c>
      <c r="Q790" s="52"/>
      <c r="R790" s="53"/>
      <c r="S790" s="51">
        <f t="shared" ref="S790:T790" si="2337">SUM(S782:S789)</f>
        <v>43.2</v>
      </c>
      <c r="T790" s="51">
        <f t="shared" si="2337"/>
        <v>0</v>
      </c>
      <c r="U790" s="52"/>
      <c r="V790" s="53"/>
      <c r="W790" s="51">
        <f t="shared" ref="W790:X790" si="2338">SUM(W782:W789)</f>
        <v>544.15</v>
      </c>
      <c r="X790" s="51">
        <f t="shared" si="2338"/>
        <v>0</v>
      </c>
      <c r="Y790" s="52"/>
      <c r="Z790" s="301"/>
      <c r="AA790" s="51">
        <f t="shared" ref="AA790:AB790" si="2339">SUM(AA782:AA789)</f>
        <v>240.3</v>
      </c>
      <c r="AB790" s="51">
        <f t="shared" si="2339"/>
        <v>3238.3</v>
      </c>
      <c r="AC790" s="367"/>
      <c r="AD790" s="53"/>
      <c r="AE790" s="51">
        <f t="shared" ref="AE790:AF790" si="2340">SUM(AE782:AE789)</f>
        <v>6792.5</v>
      </c>
      <c r="AF790" s="51">
        <f t="shared" si="2340"/>
        <v>34.74</v>
      </c>
      <c r="AG790" s="52"/>
      <c r="AH790" s="301"/>
      <c r="AI790" s="183">
        <f t="shared" ref="AI790:AJ790" si="2341">SUM(AI782:AI789)</f>
        <v>270.78496</v>
      </c>
      <c r="AJ790" s="51">
        <f t="shared" si="2341"/>
        <v>1267.5</v>
      </c>
      <c r="AK790" s="52"/>
      <c r="AL790" s="53"/>
      <c r="AM790" s="183">
        <f t="shared" ref="AM790:AN790" si="2342">SUM(AM782:AM789)</f>
        <v>431.07856</v>
      </c>
      <c r="AN790" s="51">
        <f t="shared" si="2342"/>
        <v>270.78</v>
      </c>
      <c r="AO790" s="52"/>
      <c r="AP790" s="53"/>
      <c r="AQ790" s="183">
        <f t="shared" ref="AQ790:AR790" si="2343">SUM(AQ782:AQ789)</f>
        <v>884.33064</v>
      </c>
      <c r="AR790" s="51">
        <f t="shared" si="2343"/>
        <v>6840.41</v>
      </c>
      <c r="AS790" s="52"/>
      <c r="AT790" s="53"/>
      <c r="AU790" s="183">
        <f t="shared" ref="AU790:AV790" si="2344">SUM(AU782:AU789)</f>
        <v>751.653</v>
      </c>
      <c r="AV790" s="68">
        <f t="shared" si="2344"/>
        <v>0</v>
      </c>
      <c r="AW790" s="52"/>
      <c r="AX790" s="53"/>
      <c r="AY790" s="183">
        <f t="shared" ref="AY790:AZ790" si="2345">SUM(AY782:AY789)</f>
        <v>0</v>
      </c>
      <c r="AZ790" s="68">
        <f t="shared" si="2345"/>
        <v>0</v>
      </c>
      <c r="BA790" s="52"/>
      <c r="BB790" s="53"/>
      <c r="BC790" s="183">
        <f t="shared" ref="BC790:BD790" si="2346">SUM(BC782:BC789)</f>
        <v>0</v>
      </c>
      <c r="BD790" s="68">
        <f t="shared" si="2346"/>
        <v>0</v>
      </c>
      <c r="BE790" s="69"/>
      <c r="BF790" s="70">
        <f t="shared" ref="BF790:BH790" si="2347">SUM(BF782:BF789)</f>
        <v>9957.99716</v>
      </c>
      <c r="BG790" s="71">
        <f t="shared" si="2347"/>
        <v>11651.73</v>
      </c>
      <c r="BH790" s="72">
        <f t="shared" si="2347"/>
        <v>751.65716</v>
      </c>
      <c r="BI790" s="34">
        <f>H790+BF790-BG790</f>
        <v>751.65716</v>
      </c>
      <c r="BJ790" s="34">
        <f>BH790-BI790</f>
        <v>0</v>
      </c>
      <c r="BK790" s="2" t="b">
        <f>H790='2021'!BH790</f>
        <v>1</v>
      </c>
    </row>
    <row r="791" ht="15.75" customHeight="1" spans="1:63" x14ac:dyDescent="0.25">
      <c r="A791" s="2">
        <v>80</v>
      </c>
      <c r="B791" s="14"/>
      <c r="D791" s="14" t="s">
        <v>379</v>
      </c>
      <c r="F791" s="13"/>
      <c r="G791" s="28"/>
      <c r="H791" s="34">
        <f>'2021'!BH791</f>
        <v>0</v>
      </c>
      <c r="I791" s="13"/>
      <c r="J791" s="15"/>
      <c r="K791" s="15"/>
      <c r="L791" s="28"/>
      <c r="M791" s="13"/>
      <c r="N791" s="15"/>
      <c r="Q791" s="13"/>
      <c r="R791" s="15"/>
      <c r="S791" s="15"/>
      <c r="T791" s="28"/>
      <c r="U791" s="13"/>
      <c r="V791" s="15"/>
      <c r="Y791" s="13"/>
      <c r="Z791" s="2"/>
      <c r="AA791" s="15"/>
      <c r="AB791" s="28"/>
      <c r="AC791" s="348"/>
      <c r="AD791" s="15"/>
      <c r="AG791" s="15"/>
      <c r="AH791" s="2"/>
      <c r="AI791" s="45"/>
      <c r="AJ791" s="15"/>
      <c r="AK791" s="15"/>
      <c r="AM791" s="45"/>
      <c r="AO791" s="13"/>
      <c r="AQ791" s="180"/>
      <c r="AR791" s="1"/>
      <c r="AS791" s="13"/>
      <c r="AU791" s="45"/>
      <c r="AW791" s="13"/>
      <c r="AY791" s="45"/>
      <c r="AZ791" s="28"/>
      <c r="BA791" s="13"/>
      <c r="BB791" s="15"/>
      <c r="BC791" s="45"/>
      <c r="BD791" s="28"/>
      <c r="BE791" s="14"/>
      <c r="BF791" s="41">
        <f t="shared" ref="BF791:BG791" si="2348">K791+O791+S791+W791+AA791+AE791+AI791+AM791+AQ791+AU791+AY791+BC791</f>
        <v>0</v>
      </c>
      <c r="BG791" s="34">
        <f t="shared" si="2348"/>
        <v>0</v>
      </c>
      <c r="BH791" s="35">
        <f t="shared" ref="BH791:BH798" si="2349">H791+BF791-BG791</f>
        <v>0</v>
      </c>
      <c r="BK791" s="2" t="b">
        <f>H791='2021'!BH791</f>
        <v>1</v>
      </c>
    </row>
    <row r="792" ht="15.75" customHeight="1" spans="1:63" x14ac:dyDescent="0.25">
      <c r="A792" s="2">
        <v>80</v>
      </c>
      <c r="B792" s="14">
        <v>4.28</v>
      </c>
      <c r="C792" s="2" t="s">
        <v>298</v>
      </c>
      <c r="D792" s="14" t="s">
        <v>44</v>
      </c>
      <c r="E792" s="2" t="s">
        <v>45</v>
      </c>
      <c r="F792" s="41">
        <v>2.5</v>
      </c>
      <c r="G792" s="35">
        <v>2.6</v>
      </c>
      <c r="H792" s="34">
        <f>'2021'!BH792</f>
        <v>-32.46</v>
      </c>
      <c r="I792" s="13">
        <v>1657</v>
      </c>
      <c r="J792" s="15">
        <f>I792-'2021'!BA792</f>
        <v>0</v>
      </c>
      <c r="K792" s="34">
        <f>J792*$F$8</f>
        <v>0</v>
      </c>
      <c r="L792" s="28"/>
      <c r="M792" s="13">
        <v>1657</v>
      </c>
      <c r="N792" s="15">
        <f t="shared" ref="N792:N793" si="2350">M792-I792</f>
        <v>0</v>
      </c>
      <c r="O792" s="34">
        <f>N792*$F$8</f>
        <v>0</v>
      </c>
      <c r="Q792" s="13">
        <v>1657</v>
      </c>
      <c r="R792" s="15">
        <f t="shared" ref="R792:R793" si="2351">Q792-M792</f>
        <v>0</v>
      </c>
      <c r="S792" s="34">
        <f>R792*$F$8</f>
        <v>0</v>
      </c>
      <c r="T792" s="28"/>
      <c r="U792" s="13">
        <v>1657</v>
      </c>
      <c r="V792" s="15">
        <f t="shared" ref="V792:V793" si="2352">U792-Q792</f>
        <v>0</v>
      </c>
      <c r="W792" s="34">
        <f>V792*$F$8</f>
        <v>0</v>
      </c>
      <c r="X792" s="34"/>
      <c r="Y792" s="13">
        <v>1727</v>
      </c>
      <c r="Z792" s="2">
        <f t="shared" ref="Z792:Z793" si="2353">Y792-U792</f>
        <v>70</v>
      </c>
      <c r="AA792" s="34">
        <f>Z792*$F$8</f>
        <v>189</v>
      </c>
      <c r="AB792" s="35"/>
      <c r="AC792" s="348">
        <v>1913</v>
      </c>
      <c r="AD792" s="15">
        <f t="shared" ref="AD792:AD793" si="2354">AC792-Y792</f>
        <v>186</v>
      </c>
      <c r="AE792" s="180">
        <f>AD792*$F$8</f>
        <v>502.2</v>
      </c>
      <c r="AF792" s="39">
        <v>300</v>
      </c>
      <c r="AG792" s="15">
        <v>2119</v>
      </c>
      <c r="AH792" s="2">
        <f>(AG792-AC792)*AH5</f>
        <v>217.536</v>
      </c>
      <c r="AI792" s="45">
        <f>AH792*$G$8</f>
        <v>535.13856</v>
      </c>
      <c r="AJ792" s="248">
        <f>360+350+1</f>
        <v>711</v>
      </c>
      <c r="AK792" s="15">
        <v>2293</v>
      </c>
      <c r="AL792" s="15">
        <f>(AK792-AG792)*AL5</f>
        <v>178.872</v>
      </c>
      <c r="AM792" s="45">
        <f>AL792*$G$8</f>
        <v>440.02512</v>
      </c>
      <c r="AN792" s="34"/>
      <c r="AO792" s="13">
        <v>2394</v>
      </c>
      <c r="AP792" s="15">
        <f>(AO792-AK792)*AP5</f>
        <v>104.333</v>
      </c>
      <c r="AQ792" s="45">
        <f>AP792*$G$8</f>
        <v>256.65918</v>
      </c>
      <c r="AR792" s="1">
        <v>605.65</v>
      </c>
      <c r="AS792" s="13">
        <v>2423</v>
      </c>
      <c r="AT792" s="15">
        <f>(AS792-AO792)*AT5</f>
        <v>30.45</v>
      </c>
      <c r="AU792" s="45">
        <f t="shared" ref="AU792:AU793" si="2355">AT792*$G$8</f>
        <v>74.907</v>
      </c>
      <c r="AV792" s="1"/>
      <c r="AW792" s="13"/>
      <c r="AX792" s="15">
        <f>(AW792-AS792)*AX5</f>
        <v>0</v>
      </c>
      <c r="AY792" s="45">
        <f>AX792*$G$8</f>
        <v>0</v>
      </c>
      <c r="AZ792" s="249"/>
      <c r="BA792" s="13"/>
      <c r="BB792" s="15"/>
      <c r="BC792" s="45">
        <f>BB792*$G$8</f>
        <v>0</v>
      </c>
      <c r="BD792" s="208"/>
      <c r="BE792" s="40">
        <f t="shared" ref="BE792:BG792" si="2356">J792+N792+R792+V792+Z792+AD792+AH792+AL792+AP792+AT792+AX792+BB792</f>
        <v>787.191</v>
      </c>
      <c r="BF792" s="41">
        <f t="shared" si="2356"/>
        <v>1997.92986</v>
      </c>
      <c r="BG792" s="34">
        <f t="shared" si="2356"/>
        <v>1616.65</v>
      </c>
      <c r="BH792" s="35">
        <f t="shared" si="2349"/>
        <v>348.81986</v>
      </c>
      <c r="BI792" s="34"/>
      <c r="BJ792" s="34"/>
      <c r="BK792" s="2" t="b">
        <f>H792='2021'!BH792</f>
        <v>1</v>
      </c>
    </row>
    <row r="793" ht="15.75" customHeight="1" spans="1:63" x14ac:dyDescent="0.25">
      <c r="A793" s="2">
        <v>80</v>
      </c>
      <c r="B793" s="14"/>
      <c r="C793" s="2" t="s">
        <v>215</v>
      </c>
      <c r="D793" s="14" t="s">
        <v>47</v>
      </c>
      <c r="E793" s="2" t="s">
        <v>48</v>
      </c>
      <c r="F793" s="13">
        <v>18.56</v>
      </c>
      <c r="G793" s="35">
        <v>19.46</v>
      </c>
      <c r="H793" s="34">
        <f>'2021'!BH793</f>
        <v>0</v>
      </c>
      <c r="I793" s="13">
        <v>50</v>
      </c>
      <c r="J793" s="15"/>
      <c r="K793" s="15"/>
      <c r="L793" s="28"/>
      <c r="M793" s="13">
        <v>50</v>
      </c>
      <c r="N793" s="15">
        <f t="shared" si="2350"/>
        <v>0</v>
      </c>
      <c r="Q793" s="13">
        <v>50</v>
      </c>
      <c r="R793" s="15">
        <f t="shared" si="2351"/>
        <v>0</v>
      </c>
      <c r="S793" s="15"/>
      <c r="T793" s="28"/>
      <c r="U793" s="13">
        <v>50</v>
      </c>
      <c r="V793" s="15">
        <f t="shared" si="2352"/>
        <v>0</v>
      </c>
      <c r="W793" s="34">
        <f>V793*$F$10</f>
        <v>0</v>
      </c>
      <c r="Y793" s="13">
        <v>52</v>
      </c>
      <c r="Z793" s="2">
        <f t="shared" si="2353"/>
        <v>2</v>
      </c>
      <c r="AA793" s="34">
        <f>Z793*$F$10</f>
        <v>40.7</v>
      </c>
      <c r="AB793" s="28"/>
      <c r="AC793" s="348">
        <v>63</v>
      </c>
      <c r="AD793" s="15">
        <f t="shared" si="2354"/>
        <v>11</v>
      </c>
      <c r="AE793" s="34">
        <f>AD793*$F$10</f>
        <v>223.85</v>
      </c>
      <c r="AF793" s="1"/>
      <c r="AG793" s="15">
        <v>67</v>
      </c>
      <c r="AH793" s="2">
        <f>AG793-AC793</f>
        <v>4</v>
      </c>
      <c r="AI793" s="45">
        <f>AH793*$G$10</f>
        <v>85.6</v>
      </c>
      <c r="AJ793" s="248">
        <v>270</v>
      </c>
      <c r="AK793" s="15">
        <v>69</v>
      </c>
      <c r="AL793" s="15">
        <f>AK793-AG793</f>
        <v>2</v>
      </c>
      <c r="AM793" s="45">
        <f>AL793*$G$10</f>
        <v>42.8</v>
      </c>
      <c r="AN793" s="15"/>
      <c r="AO793" s="13">
        <v>70</v>
      </c>
      <c r="AP793" s="15">
        <f>AO793-AK793</f>
        <v>1</v>
      </c>
      <c r="AQ793" s="45">
        <f>AP793*$G$10</f>
        <v>21.4</v>
      </c>
      <c r="AR793" s="39">
        <v>144.35</v>
      </c>
      <c r="AS793" s="13">
        <v>70</v>
      </c>
      <c r="AT793" s="15">
        <f>AS793-AO793</f>
        <v>0</v>
      </c>
      <c r="AU793" s="45">
        <f t="shared" si="2355"/>
        <v>0</v>
      </c>
      <c r="AV793" s="15"/>
      <c r="AW793" s="13"/>
      <c r="AX793" s="15">
        <f>AW793-AS793</f>
        <v>-70</v>
      </c>
      <c r="AY793" s="45"/>
      <c r="AZ793" s="208"/>
      <c r="BA793" s="13"/>
      <c r="BB793" s="15"/>
      <c r="BC793" s="45"/>
      <c r="BD793" s="208"/>
      <c r="BE793" s="40">
        <f t="shared" ref="BE793:BG793" si="2357">J793+N793+R793+V793+Z793+AD793+AH793+AL793+AP793+AT793+AX793+BB793</f>
        <v>-50</v>
      </c>
      <c r="BF793" s="41">
        <f t="shared" si="2357"/>
        <v>414.35</v>
      </c>
      <c r="BG793" s="34">
        <f t="shared" si="2357"/>
        <v>414.35</v>
      </c>
      <c r="BH793" s="35">
        <f t="shared" si="2349"/>
        <v>0</v>
      </c>
      <c r="BK793" s="2" t="b">
        <f>H793='2021'!BH793</f>
        <v>1</v>
      </c>
    </row>
    <row r="794" ht="15.75" customHeight="1" spans="1:63" x14ac:dyDescent="0.25">
      <c r="A794" s="2">
        <v>80</v>
      </c>
      <c r="B794" s="14"/>
      <c r="C794" s="2" t="s">
        <v>299</v>
      </c>
      <c r="D794" s="14" t="s">
        <v>47</v>
      </c>
      <c r="E794" s="2" t="s">
        <v>49</v>
      </c>
      <c r="F794" s="41">
        <v>500</v>
      </c>
      <c r="G794" s="28"/>
      <c r="H794" s="34">
        <f>'2021'!BH794</f>
        <v>0</v>
      </c>
      <c r="I794" s="13"/>
      <c r="J794" s="15"/>
      <c r="K794" s="15"/>
      <c r="L794" s="28"/>
      <c r="M794" s="13"/>
      <c r="N794" s="15"/>
      <c r="Q794" s="13"/>
      <c r="R794" s="15"/>
      <c r="S794" s="15"/>
      <c r="T794" s="28"/>
      <c r="U794" s="13"/>
      <c r="V794" s="15"/>
      <c r="Y794" s="13"/>
      <c r="Z794" s="2"/>
      <c r="AA794" s="15"/>
      <c r="AB794" s="28"/>
      <c r="AC794" s="348"/>
      <c r="AD794" s="15"/>
      <c r="AG794" s="15"/>
      <c r="AH794" s="2"/>
      <c r="AI794" s="45"/>
      <c r="AJ794" s="1"/>
      <c r="AK794" s="15"/>
      <c r="AL794" s="15"/>
      <c r="AM794" s="45"/>
      <c r="AN794" s="15"/>
      <c r="AO794" s="13"/>
      <c r="AP794" s="15"/>
      <c r="AQ794" s="45"/>
      <c r="AR794" s="1"/>
      <c r="AS794" s="13"/>
      <c r="AT794" s="15"/>
      <c r="AU794" s="45"/>
      <c r="AV794" s="15"/>
      <c r="AW794" s="13"/>
      <c r="AX794" s="15"/>
      <c r="AY794" s="45"/>
      <c r="AZ794" s="28"/>
      <c r="BA794" s="13"/>
      <c r="BB794" s="15"/>
      <c r="BC794" s="45"/>
      <c r="BD794" s="28"/>
      <c r="BE794" s="14"/>
      <c r="BF794" s="41">
        <f t="shared" ref="BF794:BG794" si="2358">K794+O794+S794+W794+AA794+AE794+AI794+AM794+AQ794+AU794+AY794+BC794</f>
        <v>0</v>
      </c>
      <c r="BG794" s="34">
        <f t="shared" si="2358"/>
        <v>0</v>
      </c>
      <c r="BH794" s="35">
        <f t="shared" si="2349"/>
        <v>0</v>
      </c>
      <c r="BK794" s="2" t="b">
        <f>H794='2021'!BH794</f>
        <v>1</v>
      </c>
    </row>
    <row r="795" ht="15.75" customHeight="1" spans="1:63" x14ac:dyDescent="0.25">
      <c r="A795" s="2">
        <v>80</v>
      </c>
      <c r="B795" s="14"/>
      <c r="C795" s="15" t="s">
        <v>440</v>
      </c>
      <c r="D795" s="14" t="s">
        <v>50</v>
      </c>
      <c r="E795" s="2" t="s">
        <v>49</v>
      </c>
      <c r="F795" s="41">
        <v>1100</v>
      </c>
      <c r="G795" s="28"/>
      <c r="H795" s="34">
        <f>'2021'!BH795</f>
        <v>0</v>
      </c>
      <c r="I795" s="13"/>
      <c r="J795" s="15"/>
      <c r="K795" s="15"/>
      <c r="L795" s="28"/>
      <c r="M795" s="13"/>
      <c r="N795" s="15"/>
      <c r="Q795" s="13"/>
      <c r="R795" s="15"/>
      <c r="S795" s="15"/>
      <c r="T795" s="28"/>
      <c r="U795" s="13"/>
      <c r="V795" s="15"/>
      <c r="Y795" s="13"/>
      <c r="Z795" s="2"/>
      <c r="AA795" s="15"/>
      <c r="AB795" s="28"/>
      <c r="AC795" s="348"/>
      <c r="AD795" s="15"/>
      <c r="AE795" s="34">
        <f>B792*$F$12</f>
        <v>5564</v>
      </c>
      <c r="AF795" s="15"/>
      <c r="AG795" s="15"/>
      <c r="AH795" s="2"/>
      <c r="AI795" s="45"/>
      <c r="AJ795" s="248">
        <f>1200+1000+2300+1064</f>
        <v>5564</v>
      </c>
      <c r="AK795" s="15"/>
      <c r="AL795" s="15"/>
      <c r="AM795" s="45"/>
      <c r="AN795" s="39"/>
      <c r="AO795" s="13"/>
      <c r="AP795" s="15"/>
      <c r="AQ795" s="45"/>
      <c r="AR795" s="39"/>
      <c r="AS795" s="13"/>
      <c r="AT795" s="15"/>
      <c r="AU795" s="45"/>
      <c r="AV795" s="15"/>
      <c r="AW795" s="13"/>
      <c r="AX795" s="15"/>
      <c r="AY795" s="45"/>
      <c r="AZ795" s="28"/>
      <c r="BA795" s="13"/>
      <c r="BB795" s="15"/>
      <c r="BC795" s="45"/>
      <c r="BD795" s="28"/>
      <c r="BE795" s="14"/>
      <c r="BF795" s="41">
        <f t="shared" ref="BF795:BG795" si="2359">K795+O795+S795+W795+AA795+AE795+AI795+AM795+AQ795+AU795+AY795+BC795</f>
        <v>5564</v>
      </c>
      <c r="BG795" s="34">
        <f t="shared" si="2359"/>
        <v>5564</v>
      </c>
      <c r="BH795" s="35">
        <f t="shared" si="2349"/>
        <v>0</v>
      </c>
      <c r="BK795" s="2" t="b">
        <f>H795='2021'!BH795</f>
        <v>1</v>
      </c>
    </row>
    <row r="796" ht="15.75" customHeight="1" spans="1:63" x14ac:dyDescent="0.25">
      <c r="A796" s="2">
        <v>80</v>
      </c>
      <c r="B796" s="14"/>
      <c r="D796" s="14" t="s">
        <v>51</v>
      </c>
      <c r="E796" s="2" t="s">
        <v>39</v>
      </c>
      <c r="F796" s="41">
        <v>500</v>
      </c>
      <c r="G796" s="28"/>
      <c r="H796" s="34">
        <f>'2021'!BH796</f>
        <v>0</v>
      </c>
      <c r="I796" s="13"/>
      <c r="J796" s="15"/>
      <c r="K796" s="15"/>
      <c r="L796" s="28"/>
      <c r="M796" s="13"/>
      <c r="N796" s="15"/>
      <c r="Q796" s="13"/>
      <c r="R796" s="15"/>
      <c r="S796" s="15"/>
      <c r="T796" s="28"/>
      <c r="U796" s="13"/>
      <c r="V796" s="15"/>
      <c r="Y796" s="13"/>
      <c r="Z796" s="2"/>
      <c r="AA796" s="15"/>
      <c r="AB796" s="28"/>
      <c r="AC796" s="348"/>
      <c r="AD796" s="15"/>
      <c r="AE796" s="180">
        <f>$F$13</f>
        <v>1000</v>
      </c>
      <c r="AG796" s="15"/>
      <c r="AH796" s="2"/>
      <c r="AI796" s="45"/>
      <c r="AJ796" s="248">
        <v>1000</v>
      </c>
      <c r="AK796" s="15"/>
      <c r="AL796" s="15"/>
      <c r="AM796" s="45"/>
      <c r="AN796" s="15"/>
      <c r="AO796" s="13"/>
      <c r="AP796" s="15"/>
      <c r="AQ796" s="180"/>
      <c r="AR796" s="1"/>
      <c r="AS796" s="13"/>
      <c r="AT796" s="15"/>
      <c r="AU796" s="45"/>
      <c r="AV796" s="15"/>
      <c r="AW796" s="13"/>
      <c r="AX796" s="15"/>
      <c r="AY796" s="45"/>
      <c r="AZ796" s="28"/>
      <c r="BA796" s="13"/>
      <c r="BB796" s="15"/>
      <c r="BC796" s="45"/>
      <c r="BD796" s="28"/>
      <c r="BE796" s="14"/>
      <c r="BF796" s="41">
        <f t="shared" ref="BF796:BG796" si="2360">K796+O796+S796+W796+AA796+AE796+AI796+AM796+AQ796+AU796+AY796+BC796</f>
        <v>1000</v>
      </c>
      <c r="BG796" s="34">
        <f t="shared" si="2360"/>
        <v>1000</v>
      </c>
      <c r="BH796" s="35">
        <f t="shared" si="2349"/>
        <v>0</v>
      </c>
      <c r="BK796" s="2" t="b">
        <f>H796='2021'!BH796</f>
        <v>1</v>
      </c>
    </row>
    <row r="797" ht="15.75" customHeight="1" spans="1:63" x14ac:dyDescent="0.25">
      <c r="A797" s="2">
        <v>80</v>
      </c>
      <c r="B797" s="14"/>
      <c r="D797" s="14" t="s">
        <v>51</v>
      </c>
      <c r="E797" s="2" t="s">
        <v>49</v>
      </c>
      <c r="F797" s="41">
        <v>500</v>
      </c>
      <c r="G797" s="28"/>
      <c r="H797" s="34">
        <f>'2021'!BH797</f>
        <v>0</v>
      </c>
      <c r="I797" s="13"/>
      <c r="J797" s="15"/>
      <c r="K797" s="15"/>
      <c r="L797" s="28"/>
      <c r="M797" s="13"/>
      <c r="N797" s="15"/>
      <c r="Q797" s="13"/>
      <c r="R797" s="15"/>
      <c r="S797" s="15"/>
      <c r="T797" s="28"/>
      <c r="U797" s="13"/>
      <c r="V797" s="15"/>
      <c r="Y797" s="13"/>
      <c r="Z797" s="2"/>
      <c r="AA797" s="15"/>
      <c r="AB797" s="28"/>
      <c r="AC797" s="348"/>
      <c r="AD797" s="15"/>
      <c r="AE797" s="34"/>
      <c r="AF797" s="1"/>
      <c r="AG797" s="15"/>
      <c r="AH797" s="2"/>
      <c r="AI797" s="45"/>
      <c r="AJ797" s="248"/>
      <c r="AK797" s="15"/>
      <c r="AL797" s="15"/>
      <c r="AM797" s="45"/>
      <c r="AN797" s="15"/>
      <c r="AO797" s="13"/>
      <c r="AP797" s="15"/>
      <c r="AQ797" s="180">
        <f>B792*$F$14</f>
        <v>0</v>
      </c>
      <c r="AR797" s="1"/>
      <c r="AS797" s="13"/>
      <c r="AT797" s="15"/>
      <c r="AU797" s="45"/>
      <c r="AV797" s="15"/>
      <c r="AW797" s="13"/>
      <c r="AX797" s="15"/>
      <c r="AY797" s="45"/>
      <c r="AZ797" s="28"/>
      <c r="BA797" s="13"/>
      <c r="BB797" s="15"/>
      <c r="BC797" s="45"/>
      <c r="BD797" s="28"/>
      <c r="BE797" s="14"/>
      <c r="BF797" s="41">
        <f t="shared" ref="BF797:BG797" si="2361">K797+O797+S797+W797+AA797+AE797+AI797+AM797+AQ797+AU797+AY797+BC797</f>
        <v>0</v>
      </c>
      <c r="BG797" s="34">
        <f t="shared" si="2361"/>
        <v>0</v>
      </c>
      <c r="BH797" s="35">
        <f t="shared" si="2349"/>
        <v>0</v>
      </c>
      <c r="BK797" s="2" t="b">
        <f>H797='2021'!BH797</f>
        <v>1</v>
      </c>
    </row>
    <row r="798" ht="15.75" customHeight="1" spans="1:63" x14ac:dyDescent="0.25">
      <c r="A798" s="2">
        <v>80</v>
      </c>
      <c r="B798" s="14"/>
      <c r="D798" s="14" t="s">
        <v>52</v>
      </c>
      <c r="E798" s="2" t="s">
        <v>39</v>
      </c>
      <c r="F798" s="41">
        <v>500</v>
      </c>
      <c r="G798" s="28"/>
      <c r="H798" s="34">
        <f>'2021'!BH798</f>
        <v>0</v>
      </c>
      <c r="I798" s="13"/>
      <c r="J798" s="15"/>
      <c r="K798" s="15"/>
      <c r="L798" s="28"/>
      <c r="M798" s="13"/>
      <c r="N798" s="15"/>
      <c r="Q798" s="13"/>
      <c r="R798" s="15"/>
      <c r="S798" s="15"/>
      <c r="T798" s="28"/>
      <c r="U798" s="13"/>
      <c r="V798" s="15"/>
      <c r="Y798" s="13"/>
      <c r="Z798" s="2"/>
      <c r="AA798" s="34">
        <f>$F$15</f>
      </c>
      <c r="AB798" s="28"/>
      <c r="AC798" s="348"/>
      <c r="AD798" s="15"/>
      <c r="AG798" s="15"/>
      <c r="AH798" s="2"/>
      <c r="AI798" s="45"/>
      <c r="AJ798" s="15"/>
      <c r="AK798" s="15"/>
      <c r="AL798" s="15"/>
      <c r="AM798" s="45"/>
      <c r="AN798" s="15"/>
      <c r="AO798" s="13"/>
      <c r="AP798" s="15"/>
      <c r="AQ798" s="45"/>
      <c r="AR798" s="39"/>
      <c r="AS798" s="13"/>
      <c r="AT798" s="15"/>
      <c r="AU798" s="45"/>
      <c r="AV798" s="15"/>
      <c r="AW798" s="13"/>
      <c r="AX798" s="15"/>
      <c r="AY798" s="45"/>
      <c r="AZ798" s="35"/>
      <c r="BA798" s="13"/>
      <c r="BB798" s="15"/>
      <c r="BC798" s="45"/>
      <c r="BD798" s="35"/>
      <c r="BE798" s="14"/>
      <c r="BF798" s="41">
        <f t="shared" ref="BF798:BG798" si="2362">K798+O798+S798+W798+AA798+AE798+AI798+AM798+AQ798+AU798+AY798+BC798</f>
        <v>0</v>
      </c>
      <c r="BG798" s="34">
        <f t="shared" si="2362"/>
        <v>0</v>
      </c>
      <c r="BH798" s="35">
        <f t="shared" si="2349"/>
        <v>0</v>
      </c>
      <c r="BK798" s="2" t="b">
        <f>H798='2021'!BH798</f>
        <v>1</v>
      </c>
    </row>
    <row r="799" ht="15.75" customHeight="1" spans="1:63" x14ac:dyDescent="0.25">
      <c r="A799" s="247">
        <v>80</v>
      </c>
      <c r="B799" s="21"/>
      <c r="C799" s="22" t="s">
        <v>53</v>
      </c>
      <c r="D799" s="21"/>
      <c r="E799" s="22"/>
      <c r="F799" s="20"/>
      <c r="G799" s="23"/>
      <c r="H799" s="51">
        <f>SUM(H791:H798)</f>
        <v>-32.46</v>
      </c>
      <c r="I799" s="52"/>
      <c r="J799" s="53"/>
      <c r="K799" s="51">
        <f t="shared" ref="K799:L799" si="2363">SUM(K791:K798)</f>
        <v>0</v>
      </c>
      <c r="L799" s="68">
        <f t="shared" si="2363"/>
        <v>0</v>
      </c>
      <c r="M799" s="52"/>
      <c r="N799" s="53"/>
      <c r="O799" s="51">
        <f t="shared" ref="O799:P799" si="2364">SUM(O791:O798)</f>
        <v>0</v>
      </c>
      <c r="P799" s="51">
        <f t="shared" si="2364"/>
        <v>0</v>
      </c>
      <c r="Q799" s="52"/>
      <c r="R799" s="53"/>
      <c r="S799" s="51">
        <f t="shared" ref="S799:T799" si="2365">SUM(S791:S798)</f>
        <v>0</v>
      </c>
      <c r="T799" s="51">
        <f t="shared" si="2365"/>
        <v>0</v>
      </c>
      <c r="U799" s="52"/>
      <c r="V799" s="53"/>
      <c r="W799" s="51">
        <f t="shared" ref="W799:X799" si="2366">SUM(W791:W798)</f>
        <v>0</v>
      </c>
      <c r="X799" s="51">
        <f t="shared" si="2366"/>
        <v>0</v>
      </c>
      <c r="Y799" s="52"/>
      <c r="Z799" s="301"/>
      <c r="AA799" s="51">
        <f t="shared" ref="AA799:AB799" si="2367">SUM(AA791:AA798)</f>
        <v>229.7</v>
      </c>
      <c r="AB799" s="51">
        <f t="shared" si="2367"/>
        <v>0</v>
      </c>
      <c r="AC799" s="367"/>
      <c r="AD799" s="53"/>
      <c r="AE799" s="51">
        <f t="shared" ref="AE799:AF799" si="2368">SUM(AE791:AE798)</f>
        <v>7290.05</v>
      </c>
      <c r="AF799" s="51">
        <f t="shared" si="2368"/>
        <v>300</v>
      </c>
      <c r="AG799" s="52"/>
      <c r="AH799" s="301"/>
      <c r="AI799" s="183">
        <f t="shared" ref="AI799:AJ799" si="2369">SUM(AI791:AI798)</f>
        <v>620.73856</v>
      </c>
      <c r="AJ799" s="51">
        <f t="shared" si="2369"/>
        <v>7545</v>
      </c>
      <c r="AK799" s="52"/>
      <c r="AL799" s="53"/>
      <c r="AM799" s="183">
        <f t="shared" ref="AM799:AN799" si="2370">SUM(AM791:AM798)</f>
        <v>482.82512</v>
      </c>
      <c r="AN799" s="51">
        <f t="shared" si="2370"/>
        <v>0</v>
      </c>
      <c r="AO799" s="52"/>
      <c r="AP799" s="53"/>
      <c r="AQ799" s="183">
        <f t="shared" ref="AQ799:AR799" si="2371">SUM(AQ791:AQ798)</f>
        <v>278.05918</v>
      </c>
      <c r="AR799" s="329">
        <f t="shared" si="2371"/>
        <v>750</v>
      </c>
      <c r="AS799" s="52"/>
      <c r="AT799" s="53"/>
      <c r="AU799" s="183">
        <f t="shared" ref="AU799:AV799" si="2372">SUM(AU791:AU798)</f>
        <v>74.907</v>
      </c>
      <c r="AV799" s="68">
        <f t="shared" si="2372"/>
        <v>0</v>
      </c>
      <c r="AW799" s="52"/>
      <c r="AX799" s="53"/>
      <c r="AY799" s="183">
        <f t="shared" ref="AY799:AZ799" si="2373">SUM(AY791:AY798)</f>
        <v>0</v>
      </c>
      <c r="AZ799" s="68">
        <f t="shared" si="2373"/>
        <v>0</v>
      </c>
      <c r="BA799" s="52"/>
      <c r="BB799" s="53"/>
      <c r="BC799" s="183">
        <f t="shared" ref="BC799:BD799" si="2374">SUM(BC791:BC798)</f>
        <v>0</v>
      </c>
      <c r="BD799" s="68">
        <f t="shared" si="2374"/>
        <v>0</v>
      </c>
      <c r="BE799" s="69"/>
      <c r="BF799" s="70">
        <f t="shared" ref="BF799:BH799" si="2375">SUM(BF791:BF798)</f>
        <v>8976.27986</v>
      </c>
      <c r="BG799" s="71">
        <f t="shared" si="2375"/>
        <v>8595</v>
      </c>
      <c r="BH799" s="72">
        <f t="shared" si="2375"/>
        <v>348.81986</v>
      </c>
      <c r="BI799" s="34">
        <f>H799+BF799-BG799</f>
        <v>348.81986</v>
      </c>
      <c r="BJ799" s="34">
        <f>BH799-BI799</f>
        <v>0</v>
      </c>
      <c r="BK799" s="2" t="b">
        <f>H799='2021'!BH799</f>
        <v>1</v>
      </c>
    </row>
    <row r="800" ht="15.75" customHeight="1" spans="1:63" x14ac:dyDescent="0.25">
      <c r="A800" s="2">
        <v>82</v>
      </c>
      <c r="B800" s="14"/>
      <c r="D800" s="14" t="s">
        <v>379</v>
      </c>
      <c r="F800" s="13"/>
      <c r="G800" s="28"/>
      <c r="H800" s="34">
        <f>'2021'!BH800</f>
        <v>0</v>
      </c>
      <c r="I800" s="13"/>
      <c r="J800" s="15"/>
      <c r="K800" s="15"/>
      <c r="L800" s="28"/>
      <c r="M800" s="13"/>
      <c r="N800" s="15"/>
      <c r="Q800" s="13"/>
      <c r="R800" s="15"/>
      <c r="S800" s="15"/>
      <c r="T800" s="28"/>
      <c r="U800" s="13"/>
      <c r="V800" s="15"/>
      <c r="Y800" s="13"/>
      <c r="Z800" s="2"/>
      <c r="AA800" s="15"/>
      <c r="AB800" s="28"/>
      <c r="AC800" s="348"/>
      <c r="AD800" s="15"/>
      <c r="AG800" s="15"/>
      <c r="AH800" s="2"/>
      <c r="AI800" s="45"/>
      <c r="AJ800" s="15"/>
      <c r="AK800" s="15"/>
      <c r="AM800" s="45"/>
      <c r="AO800" s="13"/>
      <c r="AQ800" s="180"/>
      <c r="AR800" s="1"/>
      <c r="AS800" s="13"/>
      <c r="AU800" s="45"/>
      <c r="AW800" s="13"/>
      <c r="AY800" s="45"/>
      <c r="AZ800" s="28"/>
      <c r="BA800" s="13"/>
      <c r="BB800" s="15"/>
      <c r="BC800" s="45"/>
      <c r="BD800" s="28"/>
      <c r="BE800" s="14"/>
      <c r="BF800" s="41">
        <f t="shared" ref="BF800:BG800" si="2376">K800+O800+S800+W800+AA800+AE800+AI800+AM800+AQ800+AU800+AY800+BC800</f>
        <v>0</v>
      </c>
      <c r="BG800" s="34">
        <f t="shared" si="2376"/>
        <v>0</v>
      </c>
      <c r="BH800" s="35">
        <f t="shared" ref="BH800:BH807" si="2377">H800+BF800-BG800</f>
        <v>0</v>
      </c>
      <c r="BK800" s="2" t="b">
        <f>H800='2021'!BH800</f>
        <v>1</v>
      </c>
    </row>
    <row r="801" ht="15.75" customHeight="1" spans="1:63" x14ac:dyDescent="0.25">
      <c r="A801" s="89">
        <v>82</v>
      </c>
      <c r="B801" s="14">
        <v>4.28</v>
      </c>
      <c r="C801" s="2" t="s">
        <v>300</v>
      </c>
      <c r="D801" s="14" t="s">
        <v>44</v>
      </c>
      <c r="E801" s="2" t="s">
        <v>45</v>
      </c>
      <c r="F801" s="41">
        <v>2.5</v>
      </c>
      <c r="G801" s="35">
        <v>2.6</v>
      </c>
      <c r="H801" s="104">
        <f>'2021'!BH801</f>
        <v>0</v>
      </c>
      <c r="I801" s="13"/>
      <c r="J801" s="15">
        <f>I801-'2021'!BA801</f>
        <v>0</v>
      </c>
      <c r="K801" s="34">
        <f>J801*$F$8</f>
        <v>0</v>
      </c>
      <c r="L801" s="28"/>
      <c r="M801" s="13"/>
      <c r="N801" s="15">
        <f t="shared" ref="N801:N802" si="2378">M801-I801</f>
        <v>0</v>
      </c>
      <c r="O801" s="34">
        <f>N801*$F$8</f>
        <v>0</v>
      </c>
      <c r="Q801" s="13"/>
      <c r="R801" s="15">
        <f t="shared" ref="R801:R802" si="2379">Q801-M801</f>
        <v>0</v>
      </c>
      <c r="S801" s="34">
        <f>R801*$F$8</f>
        <v>0</v>
      </c>
      <c r="T801" s="28"/>
      <c r="U801" s="13"/>
      <c r="V801" s="15">
        <f t="shared" ref="V801:V802" si="2380">U801-Q801</f>
        <v>0</v>
      </c>
      <c r="W801" s="34">
        <f>V801*$F$8</f>
        <v>0</v>
      </c>
      <c r="Y801" s="13"/>
      <c r="Z801" s="2">
        <f t="shared" ref="Z801:Z802" si="2381">Y801-U801</f>
        <v>0</v>
      </c>
      <c r="AA801" s="34">
        <f>Z801*$F$8</f>
        <v>0</v>
      </c>
      <c r="AB801" s="28"/>
      <c r="AC801" s="348"/>
      <c r="AD801" s="15">
        <f t="shared" ref="AD801:AD802" si="2382">AC801-Y801</f>
        <v>0</v>
      </c>
      <c r="AE801" s="180">
        <f>AD801*$F$8</f>
        <v>0</v>
      </c>
      <c r="AG801" s="15"/>
      <c r="AH801" s="2">
        <f>(AG801-AC801)*AH5</f>
        <v>0</v>
      </c>
      <c r="AI801" s="45">
        <f>AH801*$G$8</f>
        <v>0</v>
      </c>
      <c r="AJ801" s="15"/>
      <c r="AK801" s="15"/>
      <c r="AL801" s="15">
        <f>(AK801-AG801)*AL5</f>
        <v>0</v>
      </c>
      <c r="AM801" s="45">
        <f>AL801*$G$8</f>
        <v>0</v>
      </c>
      <c r="AN801" s="15"/>
      <c r="AO801" s="13"/>
      <c r="AP801" s="15">
        <f>(AO801-AK801)*AP5</f>
        <v>0</v>
      </c>
      <c r="AQ801" s="45">
        <f>AP801*$G$8</f>
        <v>0</v>
      </c>
      <c r="AR801" s="1"/>
      <c r="AS801" s="13"/>
      <c r="AT801" s="15">
        <f>(AS801-AO801)*AT5</f>
        <v>0</v>
      </c>
      <c r="AU801" s="45">
        <f t="shared" ref="AU801:AU802" si="2383">AT801*$G$8</f>
        <v>0</v>
      </c>
      <c r="AV801" s="15"/>
      <c r="AW801" s="13"/>
      <c r="AX801" s="15">
        <f>(AW801-AS801)*AX5</f>
        <v>0</v>
      </c>
      <c r="AY801" s="45">
        <f>AX801*$G$8</f>
        <v>0</v>
      </c>
      <c r="AZ801" s="208"/>
      <c r="BA801" s="13"/>
      <c r="BB801" s="15"/>
      <c r="BC801" s="45">
        <f>BB801*$G$8</f>
        <v>0</v>
      </c>
      <c r="BD801" s="208"/>
      <c r="BE801" s="40">
        <f t="shared" ref="BE801:BG801" si="2384">J801+N801+R801+V801+Z801+AD801+AH801+AL801+AP801+AT801+AX801+BB801</f>
        <v>0</v>
      </c>
      <c r="BF801" s="41">
        <f t="shared" si="2384"/>
        <v>0</v>
      </c>
      <c r="BG801" s="34">
        <f t="shared" si="2384"/>
        <v>0</v>
      </c>
      <c r="BH801" s="35">
        <f t="shared" si="2377"/>
        <v>0</v>
      </c>
      <c r="BK801" s="2" t="b">
        <f>H801='2021'!BH801</f>
        <v>1</v>
      </c>
    </row>
    <row r="802" ht="15.75" customHeight="1" spans="1:63" x14ac:dyDescent="0.25">
      <c r="A802" s="89">
        <v>82</v>
      </c>
      <c r="B802" s="14"/>
      <c r="C802" s="2" t="s">
        <v>87</v>
      </c>
      <c r="D802" s="14" t="s">
        <v>47</v>
      </c>
      <c r="E802" s="2" t="s">
        <v>48</v>
      </c>
      <c r="F802" s="13">
        <v>18.56</v>
      </c>
      <c r="G802" s="35">
        <v>19.46</v>
      </c>
      <c r="H802" s="34">
        <f>'2021'!BH802</f>
        <v>-1.34</v>
      </c>
      <c r="I802" s="13">
        <v>69</v>
      </c>
      <c r="J802" s="15"/>
      <c r="K802" s="15"/>
      <c r="L802" s="28"/>
      <c r="M802" s="13">
        <v>69</v>
      </c>
      <c r="N802" s="15">
        <f t="shared" si="2378"/>
        <v>0</v>
      </c>
      <c r="Q802" s="13">
        <v>69</v>
      </c>
      <c r="R802" s="15">
        <f t="shared" si="2379"/>
        <v>0</v>
      </c>
      <c r="S802" s="15"/>
      <c r="T802" s="28"/>
      <c r="U802" s="13">
        <v>69</v>
      </c>
      <c r="V802" s="15">
        <f t="shared" si="2380"/>
        <v>0</v>
      </c>
      <c r="W802" s="34">
        <f>V802*$F$10</f>
        <v>0</v>
      </c>
      <c r="Y802" s="184">
        <v>69</v>
      </c>
      <c r="Z802" s="2">
        <f t="shared" si="2381"/>
        <v>0</v>
      </c>
      <c r="AA802" s="34">
        <f>Z802*$F$10</f>
        <v>0</v>
      </c>
      <c r="AB802" s="28"/>
      <c r="AC802" s="348">
        <v>72</v>
      </c>
      <c r="AD802" s="15">
        <f t="shared" si="2382"/>
        <v>3</v>
      </c>
      <c r="AE802" s="34">
        <f>AD802*$F$10</f>
        <v>61.05</v>
      </c>
      <c r="AF802" s="1"/>
      <c r="AG802" s="15">
        <v>73</v>
      </c>
      <c r="AH802" s="2">
        <f>AG802-AC802</f>
        <v>1</v>
      </c>
      <c r="AI802" s="45">
        <f>AH802*$G$10</f>
        <v>21.4</v>
      </c>
      <c r="AJ802" s="248">
        <f>100+1</f>
        <v>101</v>
      </c>
      <c r="AK802" s="15">
        <v>74</v>
      </c>
      <c r="AL802" s="15">
        <f>AK802-AG802</f>
        <v>1</v>
      </c>
      <c r="AM802" s="45">
        <f>AL802*$G$10</f>
        <v>21.4</v>
      </c>
      <c r="AN802" s="15"/>
      <c r="AO802" s="13">
        <v>75</v>
      </c>
      <c r="AP802" s="15">
        <f>AO802-AK802</f>
        <v>1</v>
      </c>
      <c r="AQ802" s="45">
        <f>AP802*$G$10</f>
        <v>21.4</v>
      </c>
      <c r="AR802" s="39">
        <v>100</v>
      </c>
      <c r="AS802" s="13">
        <v>75</v>
      </c>
      <c r="AT802" s="15">
        <f>AS802-AO802</f>
        <v>0</v>
      </c>
      <c r="AU802" s="45">
        <f t="shared" si="2383"/>
        <v>0</v>
      </c>
      <c r="AV802" s="15"/>
      <c r="AW802" s="13"/>
      <c r="AX802" s="15">
        <f>AW802-AS802</f>
        <v>-75</v>
      </c>
      <c r="AY802" s="45"/>
      <c r="AZ802" s="208"/>
      <c r="BA802" s="13"/>
      <c r="BB802" s="15"/>
      <c r="BC802" s="45"/>
      <c r="BD802" s="208"/>
      <c r="BE802" s="40">
        <f t="shared" ref="BE802:BG802" si="2385">J802+N802+R802+V802+Z802+AD802+AH802+AL802+AP802+AT802+AX802+BB802</f>
        <v>-69</v>
      </c>
      <c r="BF802" s="41">
        <f t="shared" si="2385"/>
        <v>125.25</v>
      </c>
      <c r="BG802" s="34">
        <f t="shared" si="2385"/>
        <v>201</v>
      </c>
      <c r="BH802" s="35">
        <f t="shared" si="2377"/>
        <v>-77.09</v>
      </c>
      <c r="BK802" s="2" t="b">
        <f>H802='2021'!BH802</f>
        <v>1</v>
      </c>
    </row>
    <row r="803" ht="15.75" customHeight="1" spans="1:63" x14ac:dyDescent="0.25">
      <c r="A803" s="89">
        <v>82</v>
      </c>
      <c r="B803" s="14"/>
      <c r="C803" s="15" t="s">
        <v>68</v>
      </c>
      <c r="D803" s="14" t="s">
        <v>47</v>
      </c>
      <c r="E803" s="2" t="s">
        <v>49</v>
      </c>
      <c r="F803" s="41">
        <v>500</v>
      </c>
      <c r="G803" s="28"/>
      <c r="H803" s="34">
        <f>'2021'!BH803</f>
        <v>0</v>
      </c>
      <c r="I803" s="13"/>
      <c r="J803" s="15"/>
      <c r="K803" s="15"/>
      <c r="L803" s="28"/>
      <c r="M803" s="13"/>
      <c r="N803" s="15"/>
      <c r="Q803" s="13"/>
      <c r="R803" s="15"/>
      <c r="S803" s="15"/>
      <c r="T803" s="28"/>
      <c r="U803" s="13"/>
      <c r="V803" s="15"/>
      <c r="Y803" s="13"/>
      <c r="Z803" s="2"/>
      <c r="AA803" s="15"/>
      <c r="AB803" s="28"/>
      <c r="AC803" s="348"/>
      <c r="AD803" s="15"/>
      <c r="AG803" s="15"/>
      <c r="AH803" s="2"/>
      <c r="AI803" s="45"/>
      <c r="AJ803" s="15"/>
      <c r="AK803" s="15"/>
      <c r="AL803" s="15"/>
      <c r="AM803" s="45"/>
      <c r="AN803" s="15"/>
      <c r="AO803" s="13"/>
      <c r="AP803" s="15"/>
      <c r="AQ803" s="45"/>
      <c r="AR803" s="1"/>
      <c r="AS803" s="13"/>
      <c r="AT803" s="15"/>
      <c r="AU803" s="45"/>
      <c r="AV803" s="15"/>
      <c r="AW803" s="13"/>
      <c r="AX803" s="15"/>
      <c r="AY803" s="45"/>
      <c r="AZ803" s="28"/>
      <c r="BA803" s="13"/>
      <c r="BB803" s="15"/>
      <c r="BC803" s="45"/>
      <c r="BD803" s="28"/>
      <c r="BE803" s="14"/>
      <c r="BF803" s="41">
        <f t="shared" ref="BF803:BG803" si="2386">K803+O803+S803+W803+AA803+AE803+AI803+AM803+AQ803+AU803+AY803+BC803</f>
        <v>0</v>
      </c>
      <c r="BG803" s="34">
        <f t="shared" si="2386"/>
        <v>0</v>
      </c>
      <c r="BH803" s="35">
        <f t="shared" si="2377"/>
        <v>0</v>
      </c>
      <c r="BK803" s="2" t="b">
        <f>H803='2021'!BH803</f>
        <v>1</v>
      </c>
    </row>
    <row r="804" ht="15.75" customHeight="1" spans="1:63" x14ac:dyDescent="0.25">
      <c r="A804" s="89">
        <v>82</v>
      </c>
      <c r="B804" s="14"/>
      <c r="C804" s="2" t="s">
        <v>441</v>
      </c>
      <c r="D804" s="14" t="s">
        <v>50</v>
      </c>
      <c r="E804" s="2" t="s">
        <v>49</v>
      </c>
      <c r="F804" s="41">
        <v>1100</v>
      </c>
      <c r="G804" s="28"/>
      <c r="H804" s="34">
        <f>'2021'!BH804</f>
        <v>0</v>
      </c>
      <c r="I804" s="13"/>
      <c r="J804" s="15"/>
      <c r="K804" s="15"/>
      <c r="L804" s="28"/>
      <c r="M804" s="13"/>
      <c r="N804" s="15"/>
      <c r="Q804" s="13"/>
      <c r="R804" s="15"/>
      <c r="S804" s="15"/>
      <c r="T804" s="28"/>
      <c r="U804" s="13"/>
      <c r="V804" s="15"/>
      <c r="Y804" s="13"/>
      <c r="Z804" s="2"/>
      <c r="AA804" s="15"/>
      <c r="AB804" s="28"/>
      <c r="AC804" s="348"/>
      <c r="AD804" s="15"/>
      <c r="AE804" s="34">
        <f>B801*$F$12</f>
        <v>5564</v>
      </c>
      <c r="AF804" s="1"/>
      <c r="AG804" s="15"/>
      <c r="AH804" s="2"/>
      <c r="AI804" s="45"/>
      <c r="AJ804" s="248">
        <f>1800+1000+2764</f>
        <v>5564</v>
      </c>
      <c r="AK804" s="15"/>
      <c r="AL804" s="15"/>
      <c r="AM804" s="45"/>
      <c r="AN804" s="39"/>
      <c r="AO804" s="13"/>
      <c r="AP804" s="15"/>
      <c r="AQ804" s="45"/>
      <c r="AR804" s="39"/>
      <c r="AS804" s="13"/>
      <c r="AT804" s="15"/>
      <c r="AU804" s="45"/>
      <c r="AV804" s="15"/>
      <c r="AW804" s="13"/>
      <c r="AX804" s="15"/>
      <c r="AY804" s="45"/>
      <c r="AZ804" s="28"/>
      <c r="BA804" s="13"/>
      <c r="BB804" s="15"/>
      <c r="BC804" s="45"/>
      <c r="BD804" s="28"/>
      <c r="BE804" s="14"/>
      <c r="BF804" s="41">
        <f t="shared" ref="BF804:BG804" si="2387">K804+O804+S804+W804+AA804+AE804+AI804+AM804+AQ804+AU804+AY804+BC804</f>
        <v>5564</v>
      </c>
      <c r="BG804" s="34">
        <f t="shared" si="2387"/>
        <v>5564</v>
      </c>
      <c r="BH804" s="35">
        <f t="shared" si="2377"/>
        <v>0</v>
      </c>
      <c r="BK804" s="2" t="b">
        <f>H804='2021'!BH804</f>
        <v>1</v>
      </c>
    </row>
    <row r="805" ht="15.75" customHeight="1" spans="1:63" x14ac:dyDescent="0.25">
      <c r="A805" s="89">
        <v>82</v>
      </c>
      <c r="B805" s="14"/>
      <c r="D805" s="14" t="s">
        <v>51</v>
      </c>
      <c r="E805" s="2" t="s">
        <v>39</v>
      </c>
      <c r="F805" s="41">
        <v>500</v>
      </c>
      <c r="G805" s="28"/>
      <c r="H805" s="34">
        <f>'2021'!BH805</f>
        <v>0</v>
      </c>
      <c r="I805" s="13"/>
      <c r="J805" s="15"/>
      <c r="K805" s="15"/>
      <c r="L805" s="28"/>
      <c r="M805" s="13"/>
      <c r="N805" s="15"/>
      <c r="Q805" s="13"/>
      <c r="R805" s="15"/>
      <c r="S805" s="15"/>
      <c r="T805" s="28"/>
      <c r="U805" s="13"/>
      <c r="V805" s="15"/>
      <c r="Y805" s="13"/>
      <c r="Z805" s="2"/>
      <c r="AA805" s="15"/>
      <c r="AB805" s="28"/>
      <c r="AC805" s="348"/>
      <c r="AD805" s="15"/>
      <c r="AE805" s="180">
        <f>$F$13</f>
        <v>1000</v>
      </c>
      <c r="AG805" s="15"/>
      <c r="AH805" s="2"/>
      <c r="AI805" s="45"/>
      <c r="AJ805" s="248">
        <v>1000</v>
      </c>
      <c r="AK805" s="15"/>
      <c r="AL805" s="15"/>
      <c r="AM805" s="45"/>
      <c r="AN805" s="15"/>
      <c r="AO805" s="13"/>
      <c r="AP805" s="15"/>
      <c r="AQ805" s="180"/>
      <c r="AR805" s="1"/>
      <c r="AS805" s="13"/>
      <c r="AT805" s="15"/>
      <c r="AU805" s="45"/>
      <c r="AV805" s="15"/>
      <c r="AW805" s="13"/>
      <c r="AX805" s="15"/>
      <c r="AY805" s="45"/>
      <c r="AZ805" s="28"/>
      <c r="BA805" s="13"/>
      <c r="BB805" s="15"/>
      <c r="BC805" s="45"/>
      <c r="BD805" s="28"/>
      <c r="BE805" s="14"/>
      <c r="BF805" s="41">
        <f t="shared" ref="BF805:BG805" si="2388">K805+O805+S805+W805+AA805+AE805+AI805+AM805+AQ805+AU805+AY805+BC805</f>
        <v>1000</v>
      </c>
      <c r="BG805" s="34">
        <f t="shared" si="2388"/>
        <v>1000</v>
      </c>
      <c r="BH805" s="35">
        <f t="shared" si="2377"/>
        <v>0</v>
      </c>
      <c r="BK805" s="2" t="b">
        <f>H805='2021'!BH805</f>
        <v>1</v>
      </c>
    </row>
    <row r="806" ht="15.75" customHeight="1" spans="1:63" x14ac:dyDescent="0.25">
      <c r="A806" s="89">
        <v>82</v>
      </c>
      <c r="B806" s="14"/>
      <c r="D806" s="14" t="s">
        <v>51</v>
      </c>
      <c r="E806" s="2" t="s">
        <v>49</v>
      </c>
      <c r="F806" s="41">
        <v>500</v>
      </c>
      <c r="G806" s="28"/>
      <c r="H806" s="34">
        <f>'2021'!BH806</f>
        <v>0</v>
      </c>
      <c r="I806" s="13"/>
      <c r="J806" s="15"/>
      <c r="K806" s="15"/>
      <c r="L806" s="28"/>
      <c r="M806" s="13"/>
      <c r="N806" s="15"/>
      <c r="Q806" s="13"/>
      <c r="R806" s="15"/>
      <c r="S806" s="15"/>
      <c r="T806" s="28"/>
      <c r="U806" s="13"/>
      <c r="V806" s="15"/>
      <c r="Y806" s="13"/>
      <c r="Z806" s="2"/>
      <c r="AA806" s="15"/>
      <c r="AB806" s="28"/>
      <c r="AC806" s="348"/>
      <c r="AD806" s="15"/>
      <c r="AE806" s="34"/>
      <c r="AF806" s="1"/>
      <c r="AG806" s="15"/>
      <c r="AH806" s="2"/>
      <c r="AI806" s="45"/>
      <c r="AJ806" s="180"/>
      <c r="AK806" s="15"/>
      <c r="AL806" s="15"/>
      <c r="AM806" s="45"/>
      <c r="AN806" s="15"/>
      <c r="AO806" s="13"/>
      <c r="AP806" s="15"/>
      <c r="AQ806" s="180">
        <f>B801*$F$14</f>
        <v>0</v>
      </c>
      <c r="AR806" s="1"/>
      <c r="AS806" s="13"/>
      <c r="AT806" s="15"/>
      <c r="AU806" s="45"/>
      <c r="AV806" s="15"/>
      <c r="AW806" s="13"/>
      <c r="AX806" s="15"/>
      <c r="AY806" s="45"/>
      <c r="AZ806" s="28"/>
      <c r="BA806" s="13"/>
      <c r="BB806" s="15"/>
      <c r="BC806" s="45"/>
      <c r="BD806" s="28"/>
      <c r="BE806" s="14"/>
      <c r="BF806" s="41">
        <f t="shared" ref="BF806:BG806" si="2389">K806+O806+S806+W806+AA806+AE806+AI806+AM806+AQ806+AU806+AY806+BC806</f>
        <v>0</v>
      </c>
      <c r="BG806" s="34">
        <f t="shared" si="2389"/>
        <v>0</v>
      </c>
      <c r="BH806" s="35">
        <f t="shared" si="2377"/>
        <v>0</v>
      </c>
      <c r="BK806" s="2" t="b">
        <f>H806='2021'!BH806</f>
        <v>1</v>
      </c>
    </row>
    <row r="807" ht="15.75" customHeight="1" spans="1:63" x14ac:dyDescent="0.25">
      <c r="A807" s="89">
        <v>82</v>
      </c>
      <c r="B807" s="14"/>
      <c r="D807" s="14" t="s">
        <v>52</v>
      </c>
      <c r="E807" s="2" t="s">
        <v>39</v>
      </c>
      <c r="F807" s="41">
        <v>500</v>
      </c>
      <c r="G807" s="28"/>
      <c r="H807" s="34">
        <f>'2021'!BH807</f>
        <v>0</v>
      </c>
      <c r="I807" s="13"/>
      <c r="J807" s="15"/>
      <c r="K807" s="15"/>
      <c r="L807" s="28"/>
      <c r="M807" s="13"/>
      <c r="N807" s="15"/>
      <c r="Q807" s="13"/>
      <c r="R807" s="15"/>
      <c r="S807" s="15"/>
      <c r="T807" s="28"/>
      <c r="U807" s="13"/>
      <c r="V807" s="15"/>
      <c r="Y807" s="13"/>
      <c r="Z807" s="2"/>
      <c r="AA807" s="34">
        <f>$F$15</f>
      </c>
      <c r="AB807" s="35"/>
      <c r="AC807" s="348"/>
      <c r="AD807" s="15"/>
      <c r="AG807" s="15"/>
      <c r="AH807" s="2"/>
      <c r="AI807" s="45"/>
      <c r="AJ807" s="15"/>
      <c r="AK807" s="15"/>
      <c r="AL807" s="15"/>
      <c r="AM807" s="45"/>
      <c r="AN807" s="15"/>
      <c r="AO807" s="13"/>
      <c r="AP807" s="15"/>
      <c r="AQ807" s="45"/>
      <c r="AR807" s="39"/>
      <c r="AS807" s="13"/>
      <c r="AT807" s="15"/>
      <c r="AU807" s="45"/>
      <c r="AV807" s="15"/>
      <c r="AW807" s="13"/>
      <c r="AX807" s="15"/>
      <c r="AY807" s="45"/>
      <c r="AZ807" s="35"/>
      <c r="BA807" s="13"/>
      <c r="BB807" s="15"/>
      <c r="BC807" s="45"/>
      <c r="BD807" s="35"/>
      <c r="BE807" s="14"/>
      <c r="BF807" s="41">
        <f t="shared" ref="BF807:BG807" si="2390">K807+O807+S807+W807+AA807+AE807+AI807+AM807+AQ807+AU807+AY807+BC807</f>
        <v>0</v>
      </c>
      <c r="BG807" s="34">
        <f t="shared" si="2390"/>
        <v>0</v>
      </c>
      <c r="BH807" s="35">
        <f t="shared" si="2377"/>
        <v>0</v>
      </c>
      <c r="BK807" s="2" t="b">
        <f>H807='2021'!BH807</f>
        <v>1</v>
      </c>
    </row>
    <row r="808" ht="15.75" customHeight="1" spans="1:63" x14ac:dyDescent="0.25">
      <c r="A808" s="247">
        <v>82</v>
      </c>
      <c r="B808" s="21"/>
      <c r="C808" s="22" t="s">
        <v>53</v>
      </c>
      <c r="D808" s="21"/>
      <c r="E808" s="22"/>
      <c r="F808" s="20"/>
      <c r="G808" s="23"/>
      <c r="H808" s="51">
        <f>SUM(H800:H807)</f>
        <v>-1.34</v>
      </c>
      <c r="I808" s="52"/>
      <c r="J808" s="53"/>
      <c r="K808" s="51">
        <f t="shared" ref="K808:L808" si="2391">SUM(K800:K807)</f>
        <v>0</v>
      </c>
      <c r="L808" s="68">
        <f t="shared" si="2391"/>
        <v>0</v>
      </c>
      <c r="M808" s="52"/>
      <c r="N808" s="53"/>
      <c r="O808" s="51">
        <f t="shared" ref="O808:P808" si="2392">SUM(O800:O807)</f>
        <v>0</v>
      </c>
      <c r="P808" s="51">
        <f t="shared" si="2392"/>
        <v>0</v>
      </c>
      <c r="Q808" s="52"/>
      <c r="R808" s="53"/>
      <c r="S808" s="51">
        <f t="shared" ref="S808:T808" si="2393">SUM(S800:S807)</f>
        <v>0</v>
      </c>
      <c r="T808" s="51">
        <f t="shared" si="2393"/>
        <v>0</v>
      </c>
      <c r="U808" s="52"/>
      <c r="V808" s="53"/>
      <c r="W808" s="51">
        <f t="shared" ref="W808:X808" si="2394">SUM(W800:W807)</f>
        <v>0</v>
      </c>
      <c r="X808" s="51">
        <f t="shared" si="2394"/>
        <v>0</v>
      </c>
      <c r="Y808" s="52"/>
      <c r="Z808" s="301"/>
      <c r="AA808" s="51">
        <f t="shared" ref="AA808:AB808" si="2395">SUM(AA800:AA807)</f>
        <v>0</v>
      </c>
      <c r="AB808" s="51">
        <f t="shared" si="2395"/>
        <v>0</v>
      </c>
      <c r="AC808" s="367"/>
      <c r="AD808" s="53"/>
      <c r="AE808" s="51">
        <f t="shared" ref="AE808:AF808" si="2396">SUM(AE800:AE807)</f>
        <v>6625.05</v>
      </c>
      <c r="AF808" s="51">
        <f t="shared" si="2396"/>
        <v>0</v>
      </c>
      <c r="AG808" s="52"/>
      <c r="AH808" s="301"/>
      <c r="AI808" s="183">
        <f t="shared" ref="AI808:AJ808" si="2397">SUM(AI800:AI807)</f>
        <v>21.4</v>
      </c>
      <c r="AJ808" s="51">
        <f t="shared" si="2397"/>
        <v>6665</v>
      </c>
      <c r="AK808" s="52"/>
      <c r="AL808" s="53"/>
      <c r="AM808" s="183">
        <f t="shared" ref="AM808:AN808" si="2398">SUM(AM800:AM807)</f>
        <v>21.4</v>
      </c>
      <c r="AN808" s="51">
        <f t="shared" si="2398"/>
        <v>0</v>
      </c>
      <c r="AO808" s="52"/>
      <c r="AP808" s="53"/>
      <c r="AQ808" s="183">
        <f t="shared" ref="AQ808:AR808" si="2399">SUM(AQ800:AQ807)</f>
        <v>21.4</v>
      </c>
      <c r="AR808" s="329">
        <f t="shared" si="2399"/>
        <v>100</v>
      </c>
      <c r="AS808" s="52"/>
      <c r="AT808" s="53"/>
      <c r="AU808" s="183">
        <f t="shared" ref="AU808:AV808" si="2400">SUM(AU800:AU807)</f>
        <v>0</v>
      </c>
      <c r="AV808" s="68">
        <f t="shared" si="2400"/>
        <v>0</v>
      </c>
      <c r="AW808" s="52"/>
      <c r="AX808" s="53"/>
      <c r="AY808" s="183">
        <f t="shared" ref="AY808:AZ808" si="2401">SUM(AY800:AY807)</f>
        <v>0</v>
      </c>
      <c r="AZ808" s="68">
        <f t="shared" si="2401"/>
        <v>0</v>
      </c>
      <c r="BA808" s="52"/>
      <c r="BB808" s="53"/>
      <c r="BC808" s="183">
        <f t="shared" ref="BC808:BD808" si="2402">SUM(BC800:BC807)</f>
        <v>0</v>
      </c>
      <c r="BD808" s="68">
        <f t="shared" si="2402"/>
        <v>0</v>
      </c>
      <c r="BE808" s="69"/>
      <c r="BF808" s="70">
        <f t="shared" ref="BF808:BH808" si="2403">SUM(BF800:BF807)</f>
        <v>6689.25</v>
      </c>
      <c r="BG808" s="71">
        <f t="shared" si="2403"/>
        <v>6765</v>
      </c>
      <c r="BH808" s="72">
        <f t="shared" si="2403"/>
        <v>-77.09</v>
      </c>
      <c r="BI808" s="34">
        <f>H808+BF808-BG808</f>
        <v>-77.09</v>
      </c>
      <c r="BJ808" s="34">
        <f>BH808-BI808</f>
        <v>0</v>
      </c>
      <c r="BK808" s="2" t="b">
        <f>H808='2021'!BH808</f>
        <v>1</v>
      </c>
    </row>
    <row r="809" ht="15.75" customHeight="1" spans="1:63" x14ac:dyDescent="0.25">
      <c r="A809" s="2">
        <v>84</v>
      </c>
      <c r="B809" s="14"/>
      <c r="D809" s="14" t="s">
        <v>411</v>
      </c>
      <c r="E809" s="2" t="s">
        <v>39</v>
      </c>
      <c r="F809" s="41"/>
      <c r="G809" s="28"/>
      <c r="H809" s="34">
        <f>'2021'!BH809</f>
        <v>6.12</v>
      </c>
      <c r="I809" s="13"/>
      <c r="J809" s="15"/>
      <c r="K809" s="34"/>
      <c r="L809" s="28"/>
      <c r="M809" s="13"/>
      <c r="N809" s="15"/>
      <c r="Q809" s="13"/>
      <c r="R809" s="15"/>
      <c r="S809" s="15">
        <v>0.12</v>
      </c>
      <c r="T809" s="28"/>
      <c r="U809" s="13"/>
      <c r="V809" s="15"/>
      <c r="W809" s="2">
        <v>0.12</v>
      </c>
      <c r="Y809" s="13"/>
      <c r="Z809" s="2"/>
      <c r="AA809" s="15">
        <v>0.12</v>
      </c>
      <c r="AB809" s="28"/>
      <c r="AC809" s="348"/>
      <c r="AD809" s="15"/>
      <c r="AE809" s="2">
        <v>0.12</v>
      </c>
      <c r="AF809" s="34"/>
      <c r="AG809" s="15"/>
      <c r="AH809" s="2"/>
      <c r="AI809" s="45"/>
      <c r="AJ809" s="39"/>
      <c r="AK809" s="15"/>
      <c r="AM809" s="45"/>
      <c r="AN809" s="154">
        <v>6.6</v>
      </c>
      <c r="AO809" s="13"/>
      <c r="AQ809" s="332"/>
      <c r="AS809" s="13"/>
      <c r="AU809" s="45"/>
      <c r="AW809" s="13"/>
      <c r="AY809" s="45"/>
      <c r="AZ809" s="28"/>
      <c r="BA809" s="13"/>
      <c r="BB809" s="15"/>
      <c r="BC809" s="45"/>
      <c r="BD809" s="28"/>
      <c r="BE809" s="14"/>
      <c r="BF809" s="41">
        <f t="shared" ref="BF809:BG809" si="2404">K809+O809+S809+W809+AA809+AE809+AI809+AM809+AQ809+AU809+AY809+BC809</f>
        <v>0.48</v>
      </c>
      <c r="BG809" s="34">
        <f t="shared" si="2404"/>
        <v>6.6</v>
      </c>
      <c r="BH809" s="35">
        <f t="shared" ref="BH809:BH816" si="2405">H809+BF809-BG809</f>
        <v>0</v>
      </c>
      <c r="BK809" s="2" t="b">
        <f>H809='2021'!BH809</f>
        <v>1</v>
      </c>
    </row>
    <row r="810" ht="15.75" customHeight="1" spans="1:63" x14ac:dyDescent="0.25">
      <c r="A810" s="89">
        <v>84</v>
      </c>
      <c r="B810" s="14">
        <v>4.18</v>
      </c>
      <c r="C810" s="2" t="s">
        <v>301</v>
      </c>
      <c r="D810" s="14" t="s">
        <v>44</v>
      </c>
      <c r="E810" s="2" t="s">
        <v>45</v>
      </c>
      <c r="F810" s="41">
        <v>2.5</v>
      </c>
      <c r="G810" s="35">
        <v>2.6</v>
      </c>
      <c r="H810" s="34">
        <f>'2021'!BH810</f>
        <v>-177.56</v>
      </c>
      <c r="I810" s="13">
        <v>102</v>
      </c>
      <c r="J810" s="15">
        <f>I810-'2021'!BA810</f>
        <v>0</v>
      </c>
      <c r="K810" s="34">
        <f>J810*$F$8</f>
        <v>0</v>
      </c>
      <c r="L810" s="28"/>
      <c r="M810" s="13">
        <v>102</v>
      </c>
      <c r="N810" s="15">
        <f t="shared" ref="N810:N811" si="2406">M810-I810</f>
        <v>0</v>
      </c>
      <c r="O810" s="34">
        <f>N810*$F$8</f>
        <v>0</v>
      </c>
      <c r="Q810" s="13">
        <v>102</v>
      </c>
      <c r="R810" s="15">
        <f t="shared" ref="R810:R811" si="2407">Q810-M810</f>
        <v>0</v>
      </c>
      <c r="S810" s="34">
        <f>R810*$F$8</f>
        <v>0</v>
      </c>
      <c r="T810" s="28"/>
      <c r="U810" s="13">
        <v>102</v>
      </c>
      <c r="V810" s="15">
        <f t="shared" ref="V810:V811" si="2408">U810-Q810</f>
        <v>0</v>
      </c>
      <c r="W810" s="34">
        <f>V810*$F$8</f>
        <v>0</v>
      </c>
      <c r="Y810" s="13">
        <v>153</v>
      </c>
      <c r="Z810" s="2">
        <f t="shared" ref="Z810:Z811" si="2409">Y810-U810</f>
        <v>51</v>
      </c>
      <c r="AA810" s="34">
        <f>Z810*$F$8</f>
        <v>137.7</v>
      </c>
      <c r="AB810" s="28"/>
      <c r="AC810" s="348">
        <v>171</v>
      </c>
      <c r="AD810" s="15">
        <f t="shared" ref="AD810:AD811" si="2410">AC810-Y810</f>
        <v>18</v>
      </c>
      <c r="AE810" s="180">
        <f>AD810*$F$8</f>
        <v>48.6</v>
      </c>
      <c r="AF810" s="248"/>
      <c r="AG810" s="15">
        <v>178</v>
      </c>
      <c r="AH810" s="2">
        <f>(AG810-AC810)*AH5</f>
        <v>7.392</v>
      </c>
      <c r="AI810" s="45">
        <f>AH810*$G$8</f>
        <v>18.18432</v>
      </c>
      <c r="AJ810" s="15"/>
      <c r="AK810" s="15">
        <v>214</v>
      </c>
      <c r="AL810" s="15">
        <f>(AK810-AG810)*AL5</f>
        <v>37.008</v>
      </c>
      <c r="AM810" s="45">
        <f>AL810*$G$8</f>
        <v>91.03968</v>
      </c>
      <c r="AN810" s="182">
        <v>26.92</v>
      </c>
      <c r="AO810" s="13">
        <v>226</v>
      </c>
      <c r="AP810" s="15">
        <f>(AO810-AK810)*AP5</f>
        <v>12.396</v>
      </c>
      <c r="AQ810" s="45">
        <f>AP810*$G$8</f>
        <v>30.49416</v>
      </c>
      <c r="AR810" s="154">
        <v>121.54</v>
      </c>
      <c r="AS810" s="13">
        <v>245</v>
      </c>
      <c r="AT810" s="15">
        <f>(AS810-AO810)*AT5</f>
        <v>19.95</v>
      </c>
      <c r="AU810" s="45">
        <f>AT810*$G$8</f>
        <v>49.077</v>
      </c>
      <c r="AV810" s="15"/>
      <c r="AW810" s="13"/>
      <c r="AX810" s="15">
        <f>(AW810-AS810)*AX5</f>
        <v>0</v>
      </c>
      <c r="AY810" s="45">
        <f>AX810*$G$8</f>
        <v>0</v>
      </c>
      <c r="AZ810" s="208"/>
      <c r="BA810" s="13"/>
      <c r="BB810" s="15"/>
      <c r="BC810" s="45">
        <f>BB810*$G$8</f>
        <v>0</v>
      </c>
      <c r="BD810" s="208"/>
      <c r="BE810" s="40">
        <f t="shared" ref="BE810:BG810" si="2411">J810+N810+R810+V810+Z810+AD810+AH810+AL810+AP810+AT810+AX810+BB810</f>
        <v>145.746</v>
      </c>
      <c r="BF810" s="41">
        <f t="shared" si="2411"/>
        <v>375.09516</v>
      </c>
      <c r="BG810" s="34">
        <f t="shared" si="2411"/>
        <v>148.46</v>
      </c>
      <c r="BH810" s="35">
        <f t="shared" si="2405"/>
        <v>49.07516</v>
      </c>
      <c r="BK810" s="2" t="b">
        <f>H810='2021'!BH810</f>
        <v>1</v>
      </c>
    </row>
    <row r="811" ht="15.75" customHeight="1" spans="1:63" x14ac:dyDescent="0.25">
      <c r="A811" s="89">
        <v>84</v>
      </c>
      <c r="B811" s="14"/>
      <c r="C811" s="15" t="s">
        <v>87</v>
      </c>
      <c r="D811" s="14" t="s">
        <v>47</v>
      </c>
      <c r="E811" s="2" t="s">
        <v>48</v>
      </c>
      <c r="F811" s="13">
        <v>18.56</v>
      </c>
      <c r="G811" s="35">
        <v>19.46</v>
      </c>
      <c r="H811" s="34">
        <f>'2021'!BH811</f>
        <v>-187.81</v>
      </c>
      <c r="I811" s="13">
        <v>45</v>
      </c>
      <c r="J811" s="15"/>
      <c r="K811" s="15"/>
      <c r="L811" s="35"/>
      <c r="M811" s="13">
        <v>45</v>
      </c>
      <c r="N811" s="15">
        <f t="shared" si="2406"/>
        <v>0</v>
      </c>
      <c r="Q811" s="13">
        <v>45</v>
      </c>
      <c r="R811" s="15">
        <f t="shared" si="2407"/>
        <v>0</v>
      </c>
      <c r="S811" s="15"/>
      <c r="T811" s="28"/>
      <c r="U811" s="13">
        <v>45</v>
      </c>
      <c r="V811" s="15">
        <f t="shared" si="2408"/>
        <v>0</v>
      </c>
      <c r="W811" s="34">
        <f>V811*$F$10</f>
        <v>0</v>
      </c>
      <c r="Y811" s="13">
        <v>47</v>
      </c>
      <c r="Z811" s="2">
        <f t="shared" si="2409"/>
        <v>2</v>
      </c>
      <c r="AA811" s="34">
        <f>Z811*$F$10</f>
        <v>40.7</v>
      </c>
      <c r="AB811" s="28"/>
      <c r="AC811" s="348">
        <v>52</v>
      </c>
      <c r="AD811" s="15">
        <f t="shared" si="2410"/>
        <v>5</v>
      </c>
      <c r="AE811" s="34">
        <f>AD811*$F$10</f>
        <v>101.75</v>
      </c>
      <c r="AF811" s="1"/>
      <c r="AG811" s="15">
        <v>59</v>
      </c>
      <c r="AH811" s="2">
        <f>AG811-AC811</f>
        <v>7</v>
      </c>
      <c r="AI811" s="45">
        <f>AH811*$G$10</f>
        <v>149.8</v>
      </c>
      <c r="AJ811" s="39"/>
      <c r="AK811" s="15">
        <v>59</v>
      </c>
      <c r="AL811" s="15">
        <f>AK811-AG811</f>
        <v>0</v>
      </c>
      <c r="AM811" s="45">
        <f>AL811*$G$10</f>
        <v>0</v>
      </c>
      <c r="AN811" s="182">
        <v>104.44</v>
      </c>
      <c r="AO811" s="13">
        <v>60</v>
      </c>
      <c r="AP811" s="15">
        <f>AO811-AK811</f>
        <v>1</v>
      </c>
      <c r="AQ811" s="45">
        <f>AP811*$G$10</f>
        <v>21.4</v>
      </c>
      <c r="AR811" s="154">
        <v>21.4</v>
      </c>
      <c r="AS811" s="13">
        <v>60</v>
      </c>
      <c r="AT811" s="15">
        <f>AS811-AO811</f>
        <v>0</v>
      </c>
      <c r="AU811" s="45">
        <f>AT811*$G$10</f>
        <v>0</v>
      </c>
      <c r="AV811" s="15"/>
      <c r="AW811" s="13"/>
      <c r="AX811" s="15">
        <f>AW811-AS811</f>
        <v>-60</v>
      </c>
      <c r="AY811" s="45"/>
      <c r="AZ811" s="208"/>
      <c r="BA811" s="13"/>
      <c r="BB811" s="15"/>
      <c r="BC811" s="45"/>
      <c r="BD811" s="208"/>
      <c r="BE811" s="40">
        <f t="shared" ref="BE811:BG811" si="2412">J811+N811+R811+V811+Z811+AD811+AH811+AL811+AP811+AT811+AX811+BB811</f>
        <v>-45</v>
      </c>
      <c r="BF811" s="41">
        <f t="shared" si="2412"/>
        <v>313.65</v>
      </c>
      <c r="BG811" s="34">
        <f t="shared" si="2412"/>
        <v>125.84</v>
      </c>
      <c r="BH811" s="35">
        <f t="shared" si="2405"/>
        <v>0</v>
      </c>
      <c r="BK811" s="2" t="b">
        <f>H811='2021'!BH811</f>
        <v>1</v>
      </c>
    </row>
    <row r="812" ht="15.75" customHeight="1" spans="1:63" x14ac:dyDescent="0.25">
      <c r="A812" s="89">
        <v>84</v>
      </c>
      <c r="B812" s="14"/>
      <c r="C812" s="15" t="s">
        <v>302</v>
      </c>
      <c r="D812" s="14" t="s">
        <v>47</v>
      </c>
      <c r="E812" s="2" t="s">
        <v>49</v>
      </c>
      <c r="F812" s="41">
        <v>500</v>
      </c>
      <c r="G812" s="28"/>
      <c r="H812" s="34">
        <f>'2021'!BH812</f>
        <v>0</v>
      </c>
      <c r="I812" s="13"/>
      <c r="J812" s="15"/>
      <c r="K812" s="15"/>
      <c r="L812" s="28"/>
      <c r="M812" s="13"/>
      <c r="N812" s="15"/>
      <c r="Q812" s="13"/>
      <c r="R812" s="15"/>
      <c r="S812" s="15"/>
      <c r="T812" s="28"/>
      <c r="U812" s="13"/>
      <c r="V812" s="15"/>
      <c r="Y812" s="13"/>
      <c r="Z812" s="2"/>
      <c r="AA812" s="15"/>
      <c r="AB812" s="28"/>
      <c r="AC812" s="348"/>
      <c r="AD812" s="15"/>
      <c r="AG812" s="15"/>
      <c r="AH812" s="2"/>
      <c r="AI812" s="45"/>
      <c r="AJ812" s="15"/>
      <c r="AK812" s="15"/>
      <c r="AL812" s="15"/>
      <c r="AM812" s="45"/>
      <c r="AN812" s="15"/>
      <c r="AO812" s="13"/>
      <c r="AP812" s="15"/>
      <c r="AQ812" s="45"/>
      <c r="AR812" s="15"/>
      <c r="AS812" s="13"/>
      <c r="AT812" s="15"/>
      <c r="AU812" s="45"/>
      <c r="AV812" s="15"/>
      <c r="AW812" s="13"/>
      <c r="AX812" s="15"/>
      <c r="AY812" s="45"/>
      <c r="AZ812" s="28"/>
      <c r="BA812" s="13"/>
      <c r="BB812" s="15"/>
      <c r="BC812" s="45"/>
      <c r="BD812" s="28"/>
      <c r="BE812" s="14"/>
      <c r="BF812" s="41">
        <f t="shared" ref="BF812:BG812" si="2413">K812+O812+S812+W812+AA812+AE812+AI812+AM812+AQ812+AU812+AY812+BC812</f>
        <v>0</v>
      </c>
      <c r="BG812" s="34">
        <f t="shared" si="2413"/>
        <v>0</v>
      </c>
      <c r="BH812" s="35">
        <f t="shared" si="2405"/>
        <v>0</v>
      </c>
      <c r="BK812" s="2" t="b">
        <f>H812='2021'!BH812</f>
        <v>1</v>
      </c>
    </row>
    <row r="813" ht="15.75" customHeight="1" spans="1:63" x14ac:dyDescent="0.25">
      <c r="A813" s="89">
        <v>84</v>
      </c>
      <c r="B813" s="14"/>
      <c r="C813" s="2" t="s">
        <v>303</v>
      </c>
      <c r="D813" s="14" t="s">
        <v>50</v>
      </c>
      <c r="E813" s="2" t="s">
        <v>49</v>
      </c>
      <c r="F813" s="41">
        <v>1100</v>
      </c>
      <c r="G813" s="28"/>
      <c r="H813" s="34">
        <f>'2021'!BH813</f>
        <v>0</v>
      </c>
      <c r="I813" s="13"/>
      <c r="J813" s="15"/>
      <c r="K813" s="15"/>
      <c r="L813" s="35"/>
      <c r="M813" s="13"/>
      <c r="N813" s="15"/>
      <c r="Q813" s="13"/>
      <c r="R813" s="15"/>
      <c r="S813" s="15"/>
      <c r="T813" s="28"/>
      <c r="U813" s="13"/>
      <c r="V813" s="15"/>
      <c r="Y813" s="13"/>
      <c r="Z813" s="2"/>
      <c r="AA813" s="15"/>
      <c r="AB813" s="28"/>
      <c r="AC813" s="348"/>
      <c r="AD813" s="15"/>
      <c r="AE813" s="34">
        <f>B810*$F$12</f>
        <v>5434</v>
      </c>
      <c r="AF813" s="354">
        <v>1040</v>
      </c>
      <c r="AG813" s="15"/>
      <c r="AH813" s="2"/>
      <c r="AI813" s="45"/>
      <c r="AJ813" s="39"/>
      <c r="AK813" s="15"/>
      <c r="AL813" s="15"/>
      <c r="AM813" s="45"/>
      <c r="AN813" s="154">
        <v>1512.04</v>
      </c>
      <c r="AO813" s="13"/>
      <c r="AP813" s="15"/>
      <c r="AQ813" s="45"/>
      <c r="AR813" s="154">
        <v>2881.96</v>
      </c>
      <c r="AS813" s="13"/>
      <c r="AT813" s="15"/>
      <c r="AU813" s="45"/>
      <c r="AV813" s="15"/>
      <c r="AW813" s="13"/>
      <c r="AX813" s="15"/>
      <c r="AY813" s="45"/>
      <c r="AZ813" s="28"/>
      <c r="BA813" s="13"/>
      <c r="BB813" s="15"/>
      <c r="BC813" s="45"/>
      <c r="BD813" s="28"/>
      <c r="BE813" s="14"/>
      <c r="BF813" s="41">
        <f t="shared" ref="BF813:BG813" si="2414">K813+O813+S813+W813+AA813+AE813+AI813+AM813+AQ813+AU813+AY813+BC813</f>
        <v>5434</v>
      </c>
      <c r="BG813" s="34">
        <f t="shared" si="2414"/>
        <v>5434</v>
      </c>
      <c r="BH813" s="35">
        <f t="shared" si="2405"/>
        <v>0</v>
      </c>
      <c r="BK813" s="2" t="b">
        <f>H813='2021'!BH813</f>
        <v>1</v>
      </c>
    </row>
    <row r="814" ht="15.75" customHeight="1" spans="1:63" x14ac:dyDescent="0.25">
      <c r="A814" s="89">
        <v>84</v>
      </c>
      <c r="B814" s="14"/>
      <c r="D814" s="14" t="s">
        <v>51</v>
      </c>
      <c r="E814" s="2" t="s">
        <v>39</v>
      </c>
      <c r="F814" s="41">
        <v>500</v>
      </c>
      <c r="G814" s="28"/>
      <c r="H814" s="34">
        <f>'2021'!BH814</f>
        <v>0</v>
      </c>
      <c r="I814" s="13"/>
      <c r="J814" s="15"/>
      <c r="K814" s="15"/>
      <c r="L814" s="28"/>
      <c r="M814" s="13"/>
      <c r="N814" s="15"/>
      <c r="Q814" s="13"/>
      <c r="R814" s="15"/>
      <c r="S814" s="15"/>
      <c r="T814" s="28"/>
      <c r="U814" s="13"/>
      <c r="V814" s="15"/>
      <c r="X814" s="34"/>
      <c r="Y814" s="13"/>
      <c r="Z814" s="2"/>
      <c r="AA814" s="15"/>
      <c r="AB814" s="28"/>
      <c r="AC814" s="348"/>
      <c r="AD814" s="15"/>
      <c r="AE814" s="180">
        <f>$F$13</f>
        <v>1000</v>
      </c>
      <c r="AG814" s="15"/>
      <c r="AH814" s="2"/>
      <c r="AI814" s="45"/>
      <c r="AJ814" s="15"/>
      <c r="AK814" s="15"/>
      <c r="AL814" s="15"/>
      <c r="AM814" s="45"/>
      <c r="AN814" s="15"/>
      <c r="AO814" s="13"/>
      <c r="AP814" s="15"/>
      <c r="AQ814" s="180"/>
      <c r="AR814" s="154">
        <v>1000</v>
      </c>
      <c r="AS814" s="13"/>
      <c r="AT814" s="15"/>
      <c r="AU814" s="45"/>
      <c r="AV814" s="34"/>
      <c r="AW814" s="13"/>
      <c r="AX814" s="15"/>
      <c r="AY814" s="45"/>
      <c r="AZ814" s="28"/>
      <c r="BA814" s="13"/>
      <c r="BB814" s="15"/>
      <c r="BC814" s="45"/>
      <c r="BD814" s="28"/>
      <c r="BE814" s="14"/>
      <c r="BF814" s="41">
        <f t="shared" ref="BF814:BG814" si="2415">K814+O814+S814+W814+AA814+AE814+AI814+AM814+AQ814+AU814+AY814+BC814</f>
        <v>1000</v>
      </c>
      <c r="BG814" s="34">
        <f t="shared" si="2415"/>
        <v>1000</v>
      </c>
      <c r="BH814" s="35">
        <f t="shared" si="2405"/>
        <v>0</v>
      </c>
      <c r="BK814" s="2" t="b">
        <f>H814='2021'!BH814</f>
        <v>1</v>
      </c>
    </row>
    <row r="815" ht="15.75" customHeight="1" spans="1:63" x14ac:dyDescent="0.25">
      <c r="A815" s="89">
        <v>84</v>
      </c>
      <c r="B815" s="14"/>
      <c r="D815" s="14" t="s">
        <v>51</v>
      </c>
      <c r="E815" s="2" t="s">
        <v>49</v>
      </c>
      <c r="F815" s="41">
        <v>500</v>
      </c>
      <c r="G815" s="28"/>
      <c r="H815" s="34">
        <f>'2021'!BH815</f>
        <v>40</v>
      </c>
      <c r="I815" s="13"/>
      <c r="J815" s="15"/>
      <c r="K815" s="15"/>
      <c r="L815" s="28"/>
      <c r="M815" s="13"/>
      <c r="N815" s="15"/>
      <c r="Q815" s="13"/>
      <c r="R815" s="15"/>
      <c r="S815" s="15"/>
      <c r="T815" s="28"/>
      <c r="U815" s="13"/>
      <c r="V815" s="15"/>
      <c r="X815" s="39"/>
      <c r="Y815" s="13"/>
      <c r="Z815" s="2"/>
      <c r="AA815" s="15"/>
      <c r="AB815" s="28"/>
      <c r="AC815" s="348"/>
      <c r="AD815" s="15"/>
      <c r="AE815" s="34"/>
      <c r="AG815" s="15"/>
      <c r="AH815" s="2"/>
      <c r="AI815" s="45"/>
      <c r="AJ815" s="15"/>
      <c r="AK815" s="15"/>
      <c r="AL815" s="15"/>
      <c r="AM815" s="45"/>
      <c r="AN815" s="15"/>
      <c r="AO815" s="13"/>
      <c r="AP815" s="15"/>
      <c r="AQ815" s="180">
        <f>B810*$F$14</f>
        <v>0</v>
      </c>
      <c r="AR815" s="1"/>
      <c r="AS815" s="13"/>
      <c r="AT815" s="15"/>
      <c r="AU815" s="45"/>
      <c r="AV815" s="39"/>
      <c r="AW815" s="13"/>
      <c r="AX815" s="15"/>
      <c r="AY815" s="45"/>
      <c r="AZ815" s="28"/>
      <c r="BA815" s="13"/>
      <c r="BB815" s="15"/>
      <c r="BC815" s="45"/>
      <c r="BD815" s="28"/>
      <c r="BE815" s="14"/>
      <c r="BF815" s="41">
        <f t="shared" ref="BF815:BG815" si="2416">K815+O815+S815+W815+AA815+AE815+AI815+AM815+AQ815+AU815+AY815+BC815</f>
        <v>0</v>
      </c>
      <c r="BG815" s="34">
        <f t="shared" si="2416"/>
        <v>0</v>
      </c>
      <c r="BH815" s="35">
        <f t="shared" si="2405"/>
        <v>40</v>
      </c>
      <c r="BK815" s="2" t="b">
        <f>H815='2021'!BH815</f>
        <v>1</v>
      </c>
    </row>
    <row r="816" ht="15.75" customHeight="1" spans="1:63" x14ac:dyDescent="0.25">
      <c r="A816" s="89">
        <v>84</v>
      </c>
      <c r="B816" s="14"/>
      <c r="D816" s="14" t="s">
        <v>52</v>
      </c>
      <c r="E816" s="2" t="s">
        <v>39</v>
      </c>
      <c r="F816" s="41">
        <v>500</v>
      </c>
      <c r="G816" s="28"/>
      <c r="H816" s="34">
        <f>'2021'!BH816</f>
        <v>0</v>
      </c>
      <c r="I816" s="13"/>
      <c r="J816" s="15"/>
      <c r="K816" s="15"/>
      <c r="L816" s="28"/>
      <c r="M816" s="13"/>
      <c r="N816" s="15"/>
      <c r="Q816" s="13"/>
      <c r="R816" s="15"/>
      <c r="S816" s="15"/>
      <c r="T816" s="28"/>
      <c r="U816" s="13"/>
      <c r="V816" s="15"/>
      <c r="Y816" s="13"/>
      <c r="Z816" s="2"/>
      <c r="AA816" s="34">
        <f>$F$15</f>
      </c>
      <c r="AB816" s="28"/>
      <c r="AC816" s="348"/>
      <c r="AD816" s="15"/>
      <c r="AF816" s="180"/>
      <c r="AG816" s="15"/>
      <c r="AH816" s="2"/>
      <c r="AI816" s="45"/>
      <c r="AJ816" s="15"/>
      <c r="AK816" s="15"/>
      <c r="AL816" s="15"/>
      <c r="AM816" s="45"/>
      <c r="AN816" s="15"/>
      <c r="AO816" s="13"/>
      <c r="AP816" s="15"/>
      <c r="AQ816" s="45"/>
      <c r="AR816" s="15"/>
      <c r="AS816" s="13"/>
      <c r="AT816" s="15"/>
      <c r="AU816" s="45"/>
      <c r="AV816" s="34"/>
      <c r="AW816" s="13"/>
      <c r="AX816" s="15"/>
      <c r="AY816" s="45"/>
      <c r="AZ816" s="35"/>
      <c r="BA816" s="13"/>
      <c r="BB816" s="15"/>
      <c r="BC816" s="45"/>
      <c r="BD816" s="35"/>
      <c r="BE816" s="14"/>
      <c r="BF816" s="41">
        <f t="shared" ref="BF816:BG816" si="2417">K816+O816+S816+W816+AA816+AE816+AI816+AM816+AQ816+AU816+AY816+BC816</f>
        <v>0</v>
      </c>
      <c r="BG816" s="34">
        <f t="shared" si="2417"/>
        <v>0</v>
      </c>
      <c r="BH816" s="35">
        <f t="shared" si="2405"/>
        <v>0</v>
      </c>
      <c r="BK816" s="2" t="b">
        <f>H816='2021'!BH816</f>
        <v>1</v>
      </c>
    </row>
    <row r="817" ht="15.75" customHeight="1" spans="1:63" x14ac:dyDescent="0.25">
      <c r="A817" s="247">
        <v>84</v>
      </c>
      <c r="B817" s="21"/>
      <c r="C817" s="22" t="s">
        <v>53</v>
      </c>
      <c r="D817" s="21"/>
      <c r="E817" s="22"/>
      <c r="F817" s="20"/>
      <c r="G817" s="23"/>
      <c r="H817" s="51">
        <f>SUM(H809:H816)</f>
        <v>-319.25</v>
      </c>
      <c r="I817" s="52"/>
      <c r="J817" s="53"/>
      <c r="K817" s="51">
        <f t="shared" ref="K817:L817" si="2418">SUM(K809:K816)</f>
        <v>0</v>
      </c>
      <c r="L817" s="68">
        <f t="shared" si="2418"/>
        <v>0</v>
      </c>
      <c r="M817" s="52"/>
      <c r="N817" s="53"/>
      <c r="O817" s="51">
        <f t="shared" ref="O817:P817" si="2419">SUM(O809:O816)</f>
        <v>0</v>
      </c>
      <c r="P817" s="51">
        <f t="shared" si="2419"/>
        <v>0</v>
      </c>
      <c r="Q817" s="52"/>
      <c r="R817" s="53"/>
      <c r="S817" s="51">
        <f t="shared" ref="S817:T817" si="2420">SUM(S809:S816)</f>
        <v>0.12</v>
      </c>
      <c r="T817" s="51">
        <f t="shared" si="2420"/>
        <v>0</v>
      </c>
      <c r="U817" s="52"/>
      <c r="V817" s="53"/>
      <c r="W817" s="51">
        <f t="shared" ref="W817:X817" si="2421">SUM(W809:W816)</f>
        <v>0.12</v>
      </c>
      <c r="X817" s="51">
        <f t="shared" si="2421"/>
        <v>0</v>
      </c>
      <c r="Y817" s="52"/>
      <c r="Z817" s="301"/>
      <c r="AA817" s="51">
        <f t="shared" ref="AA817:AB817" si="2422">SUM(AA809:AA816)</f>
        <v>178.52</v>
      </c>
      <c r="AB817" s="51">
        <f t="shared" si="2422"/>
        <v>0</v>
      </c>
      <c r="AC817" s="367"/>
      <c r="AD817" s="53"/>
      <c r="AE817" s="51">
        <f t="shared" ref="AE817:AF817" si="2423">SUM(AE809:AE816)</f>
        <v>6584.47</v>
      </c>
      <c r="AF817" s="51">
        <f t="shared" si="2423"/>
        <v>1040</v>
      </c>
      <c r="AG817" s="52"/>
      <c r="AH817" s="301"/>
      <c r="AI817" s="183">
        <f t="shared" ref="AI817:AJ817" si="2424">SUM(AI809:AI816)</f>
        <v>167.98432</v>
      </c>
      <c r="AJ817" s="51">
        <f t="shared" si="2424"/>
        <v>0</v>
      </c>
      <c r="AK817" s="52"/>
      <c r="AL817" s="53"/>
      <c r="AM817" s="183">
        <f t="shared" ref="AM817:AN817" si="2425">SUM(AM809:AM816)</f>
        <v>91.03968</v>
      </c>
      <c r="AN817" s="51">
        <f t="shared" si="2425"/>
        <v>1650</v>
      </c>
      <c r="AO817" s="52"/>
      <c r="AP817" s="53"/>
      <c r="AQ817" s="183">
        <f t="shared" ref="AQ817:AR817" si="2426">SUM(AQ809:AQ816)</f>
        <v>51.89416</v>
      </c>
      <c r="AR817" s="51">
        <f t="shared" si="2426"/>
        <v>4024.9</v>
      </c>
      <c r="AS817" s="52"/>
      <c r="AT817" s="53"/>
      <c r="AU817" s="183">
        <f t="shared" ref="AU817:AV817" si="2427">SUM(AU809:AU816)</f>
        <v>49.077</v>
      </c>
      <c r="AV817" s="68">
        <f t="shared" si="2427"/>
        <v>0</v>
      </c>
      <c r="AW817" s="52"/>
      <c r="AX817" s="53"/>
      <c r="AY817" s="183">
        <f t="shared" ref="AY817:AZ817" si="2428">SUM(AY809:AY816)</f>
        <v>0</v>
      </c>
      <c r="AZ817" s="68">
        <f t="shared" si="2428"/>
        <v>0</v>
      </c>
      <c r="BA817" s="52"/>
      <c r="BB817" s="53"/>
      <c r="BC817" s="183">
        <f t="shared" ref="BC817:BD817" si="2429">SUM(BC809:BC816)</f>
        <v>0</v>
      </c>
      <c r="BD817" s="68">
        <f t="shared" si="2429"/>
        <v>0</v>
      </c>
      <c r="BE817" s="69"/>
      <c r="BF817" s="70">
        <f t="shared" ref="BF817:BH817" si="2430">SUM(BF809:BF816)</f>
        <v>7123.22516</v>
      </c>
      <c r="BG817" s="71">
        <f t="shared" si="2430"/>
        <v>6714.9</v>
      </c>
      <c r="BH817" s="72">
        <f t="shared" si="2430"/>
        <v>89.07516</v>
      </c>
      <c r="BI817" s="34">
        <f>H817+BF817-BG817</f>
        <v>89.07516</v>
      </c>
      <c r="BJ817" s="34">
        <f>BH817-BI817</f>
        <v>0</v>
      </c>
      <c r="BK817" s="2" t="b">
        <f>H817='2021'!BH817</f>
        <v>1</v>
      </c>
    </row>
    <row r="818" ht="15.75" customHeight="1" spans="1:63" x14ac:dyDescent="0.25">
      <c r="A818" s="89">
        <v>86</v>
      </c>
      <c r="B818" s="14"/>
      <c r="D818" s="14" t="s">
        <v>379</v>
      </c>
      <c r="F818" s="13"/>
      <c r="G818" s="28"/>
      <c r="H818" s="34">
        <f>'2021'!BH818</f>
        <v>634.77</v>
      </c>
      <c r="I818" s="13"/>
      <c r="J818" s="15"/>
      <c r="K818" s="15"/>
      <c r="L818" s="28"/>
      <c r="M818" s="13"/>
      <c r="N818" s="15"/>
      <c r="Q818" s="13"/>
      <c r="R818" s="15"/>
      <c r="S818" s="15">
        <v>55.79</v>
      </c>
      <c r="T818" s="28"/>
      <c r="U818" s="13"/>
      <c r="V818" s="15"/>
      <c r="W818" s="2">
        <v>53.99</v>
      </c>
      <c r="Y818" s="13"/>
      <c r="Z818" s="2"/>
      <c r="AA818" s="15">
        <v>55.79</v>
      </c>
      <c r="AB818" s="28"/>
      <c r="AC818" s="348"/>
      <c r="AD818" s="15"/>
      <c r="AE818" s="2">
        <v>53.99</v>
      </c>
      <c r="AG818" s="15"/>
      <c r="AH818" s="2"/>
      <c r="AI818" s="45">
        <v>55.79</v>
      </c>
      <c r="AJ818" s="15"/>
      <c r="AK818" s="15"/>
      <c r="AM818" s="45"/>
      <c r="AO818" s="13"/>
      <c r="AQ818" s="180"/>
      <c r="AS818" s="13"/>
      <c r="AU818" s="180"/>
      <c r="AW818" s="13"/>
      <c r="AY818" s="180"/>
      <c r="AZ818" s="28"/>
      <c r="BA818" s="13"/>
      <c r="BB818" s="15"/>
      <c r="BC818" s="180"/>
      <c r="BD818" s="28"/>
      <c r="BE818" s="14"/>
      <c r="BF818" s="41">
        <f t="shared" ref="BF818:BG818" si="2431">K818+O818+S818+W818+AA818+AE818+AI818+AM818+AQ818+AU818+AY818+BC818</f>
        <v>275.35</v>
      </c>
      <c r="BG818" s="34">
        <f t="shared" si="2431"/>
        <v>0</v>
      </c>
      <c r="BH818" s="35">
        <f t="shared" ref="BH818:BH825" si="2432">H818+BF818-BG818</f>
        <v>910.12</v>
      </c>
      <c r="BK818" s="2" t="b">
        <f>H818='2021'!BH818</f>
        <v>1</v>
      </c>
    </row>
    <row r="819" ht="15.75" customHeight="1" spans="1:63" x14ac:dyDescent="0.25">
      <c r="A819" s="89">
        <v>86</v>
      </c>
      <c r="B819" s="14">
        <v>4.23</v>
      </c>
      <c r="C819" s="2" t="s">
        <v>304</v>
      </c>
      <c r="D819" s="14" t="s">
        <v>44</v>
      </c>
      <c r="E819" s="2" t="s">
        <v>45</v>
      </c>
      <c r="F819" s="41">
        <v>2.5</v>
      </c>
      <c r="G819" s="35">
        <v>2.6</v>
      </c>
      <c r="H819" s="104">
        <f>'2021'!BH819</f>
        <v>0</v>
      </c>
      <c r="I819" s="13"/>
      <c r="J819" s="15">
        <f>I819-'2021'!BA819</f>
        <v>0</v>
      </c>
      <c r="K819" s="34">
        <f>J819*$F$8</f>
        <v>0</v>
      </c>
      <c r="L819" s="28"/>
      <c r="M819" s="13"/>
      <c r="N819" s="15">
        <f t="shared" ref="N819:N820" si="2433">M819-I819</f>
        <v>0</v>
      </c>
      <c r="O819" s="34">
        <f>N819*$F$8</f>
        <v>0</v>
      </c>
      <c r="Q819" s="13"/>
      <c r="R819" s="15">
        <f t="shared" ref="R819:R820" si="2434">Q819-M819</f>
        <v>0</v>
      </c>
      <c r="S819" s="34">
        <f>R819*$F$8</f>
        <v>0</v>
      </c>
      <c r="T819" s="28"/>
      <c r="U819" s="13"/>
      <c r="V819" s="15">
        <f t="shared" ref="V819:V820" si="2435">U819-Q819</f>
        <v>0</v>
      </c>
      <c r="W819" s="34">
        <f>V819*$F$8</f>
        <v>0</v>
      </c>
      <c r="Y819" s="13"/>
      <c r="Z819" s="2">
        <f t="shared" ref="Z819:Z820" si="2436">Y819-U819</f>
        <v>0</v>
      </c>
      <c r="AA819" s="34">
        <f>Z819*$F$8</f>
        <v>0</v>
      </c>
      <c r="AB819" s="28"/>
      <c r="AC819" s="348"/>
      <c r="AD819" s="15">
        <f t="shared" ref="AD819:AD820" si="2437">AC819-Y819</f>
        <v>0</v>
      </c>
      <c r="AE819" s="180">
        <f>AD819*$F$8</f>
        <v>0</v>
      </c>
      <c r="AG819" s="15"/>
      <c r="AH819" s="2">
        <f>(AG819-AC819)*AH5</f>
        <v>0</v>
      </c>
      <c r="AI819" s="45">
        <f>AH819*$G$8</f>
        <v>0</v>
      </c>
      <c r="AJ819" s="15"/>
      <c r="AK819" s="15"/>
      <c r="AL819" s="15">
        <f>(AK819-AG819)*AL5</f>
        <v>0</v>
      </c>
      <c r="AM819" s="45">
        <f>AL819*$G$8</f>
        <v>0</v>
      </c>
      <c r="AN819" s="15"/>
      <c r="AO819" s="13"/>
      <c r="AP819" s="15">
        <f>(AO819-AK819)*AP5</f>
        <v>0</v>
      </c>
      <c r="AQ819" s="45">
        <f>AP819*$G$8</f>
        <v>0</v>
      </c>
      <c r="AR819" s="15"/>
      <c r="AS819" s="13"/>
      <c r="AT819" s="15">
        <f>(AS819-AO819)*AT5</f>
        <v>0</v>
      </c>
      <c r="AU819" s="45">
        <f>AT819*$G$8</f>
        <v>0</v>
      </c>
      <c r="AV819" s="15"/>
      <c r="AW819" s="13"/>
      <c r="AX819" s="15">
        <f>(AW819-AS819)*AX5</f>
        <v>0</v>
      </c>
      <c r="AY819" s="45">
        <f>AX819*$G$8</f>
        <v>0</v>
      </c>
      <c r="AZ819" s="208"/>
      <c r="BA819" s="13"/>
      <c r="BB819" s="15"/>
      <c r="BC819" s="45">
        <f>BB819*$G$8</f>
        <v>0</v>
      </c>
      <c r="BD819" s="208"/>
      <c r="BE819" s="40">
        <f t="shared" ref="BE819:BG819" si="2438">J819+N819+R819+V819+Z819+AD819+AH819+AL819+AP819+AT819+AX819+BB819</f>
        <v>0</v>
      </c>
      <c r="BF819" s="41">
        <f t="shared" si="2438"/>
        <v>0</v>
      </c>
      <c r="BG819" s="34">
        <f t="shared" si="2438"/>
        <v>0</v>
      </c>
      <c r="BH819" s="35">
        <f t="shared" si="2432"/>
        <v>0</v>
      </c>
      <c r="BK819" s="2" t="b">
        <f>H819='2021'!BH819</f>
        <v>1</v>
      </c>
    </row>
    <row r="820" ht="15.75" customHeight="1" spans="1:63" x14ac:dyDescent="0.25">
      <c r="A820" s="89">
        <v>86</v>
      </c>
      <c r="B820" s="14"/>
      <c r="C820" s="15" t="s">
        <v>305</v>
      </c>
      <c r="D820" s="14" t="s">
        <v>47</v>
      </c>
      <c r="E820" s="2" t="s">
        <v>48</v>
      </c>
      <c r="F820" s="13">
        <v>18.56</v>
      </c>
      <c r="G820" s="35">
        <v>19.46</v>
      </c>
      <c r="H820" s="34">
        <f>'2021'!BH820</f>
        <v>0</v>
      </c>
      <c r="I820" s="13"/>
      <c r="J820" s="15"/>
      <c r="K820" s="15"/>
      <c r="L820" s="28"/>
      <c r="M820" s="13"/>
      <c r="N820" s="15">
        <f t="shared" si="2433"/>
        <v>0</v>
      </c>
      <c r="Q820" s="13"/>
      <c r="R820" s="15">
        <f t="shared" si="2434"/>
        <v>0</v>
      </c>
      <c r="S820" s="15"/>
      <c r="T820" s="28"/>
      <c r="U820" s="13"/>
      <c r="V820" s="15">
        <f t="shared" si="2435"/>
        <v>0</v>
      </c>
      <c r="W820" s="34">
        <f>V820*$F$10</f>
        <v>0</v>
      </c>
      <c r="Y820" s="13"/>
      <c r="Z820" s="2">
        <f t="shared" si="2436"/>
        <v>0</v>
      </c>
      <c r="AA820" s="34">
        <f>Z820*$F$10</f>
        <v>0</v>
      </c>
      <c r="AB820" s="28"/>
      <c r="AC820" s="348"/>
      <c r="AD820" s="15">
        <f t="shared" si="2437"/>
        <v>0</v>
      </c>
      <c r="AE820" s="34">
        <f>AD820*$F$10</f>
        <v>0</v>
      </c>
      <c r="AG820" s="15"/>
      <c r="AH820" s="2">
        <f>AG820-AC820</f>
        <v>0</v>
      </c>
      <c r="AI820" s="45">
        <f>AH820*$G$10</f>
        <v>0</v>
      </c>
      <c r="AJ820" s="15"/>
      <c r="AK820" s="15"/>
      <c r="AL820" s="15">
        <f>AK820-AG820</f>
        <v>0</v>
      </c>
      <c r="AM820" s="45">
        <f>AL820*$G$10</f>
        <v>0</v>
      </c>
      <c r="AN820" s="15"/>
      <c r="AO820" s="13"/>
      <c r="AP820" s="15">
        <f>AO820-AK820</f>
        <v>0</v>
      </c>
      <c r="AQ820" s="45">
        <f>AP820*$G$10</f>
        <v>0</v>
      </c>
      <c r="AR820" s="15"/>
      <c r="AS820" s="13"/>
      <c r="AT820" s="15">
        <f>AS820-AO820</f>
        <v>0</v>
      </c>
      <c r="AU820" s="45">
        <f>AT820*$G$10</f>
        <v>0</v>
      </c>
      <c r="AV820" s="15"/>
      <c r="AW820" s="13"/>
      <c r="AX820" s="15">
        <f>AW820-AS820</f>
        <v>0</v>
      </c>
      <c r="AY820" s="45"/>
      <c r="AZ820" s="208"/>
      <c r="BA820" s="13"/>
      <c r="BB820" s="15"/>
      <c r="BC820" s="45"/>
      <c r="BD820" s="208"/>
      <c r="BE820" s="40">
        <f t="shared" ref="BE820:BG820" si="2439">J820+N820+R820+V820+Z820+AD820+AH820+AL820+AP820+AT820+AX820+BB820</f>
        <v>0</v>
      </c>
      <c r="BF820" s="41">
        <f t="shared" si="2439"/>
        <v>0</v>
      </c>
      <c r="BG820" s="34">
        <f t="shared" si="2439"/>
        <v>0</v>
      </c>
      <c r="BH820" s="35">
        <f t="shared" si="2432"/>
        <v>0</v>
      </c>
      <c r="BK820" s="2" t="b">
        <f>H820='2021'!BH820</f>
        <v>1</v>
      </c>
    </row>
    <row r="821" ht="15.75" customHeight="1" spans="1:63" x14ac:dyDescent="0.25">
      <c r="A821" s="89">
        <v>86</v>
      </c>
      <c r="B821" s="14"/>
      <c r="C821" s="15" t="s">
        <v>306</v>
      </c>
      <c r="D821" s="14" t="s">
        <v>47</v>
      </c>
      <c r="E821" s="2" t="s">
        <v>49</v>
      </c>
      <c r="F821" s="41">
        <v>500</v>
      </c>
      <c r="G821" s="28"/>
      <c r="H821" s="144">
        <f>'2021'!BH821</f>
        <v>0</v>
      </c>
      <c r="I821" s="13"/>
      <c r="J821" s="15"/>
      <c r="K821" s="15"/>
      <c r="L821" s="28"/>
      <c r="M821" s="13"/>
      <c r="N821" s="15"/>
      <c r="Q821" s="13"/>
      <c r="R821" s="15"/>
      <c r="S821" s="15"/>
      <c r="T821" s="28"/>
      <c r="U821" s="13"/>
      <c r="V821" s="15"/>
      <c r="Y821" s="13"/>
      <c r="Z821" s="2"/>
      <c r="AA821" s="34"/>
      <c r="AB821" s="28"/>
      <c r="AC821" s="348"/>
      <c r="AD821" s="15"/>
      <c r="AG821" s="15"/>
      <c r="AH821" s="2"/>
      <c r="AI821" s="45"/>
      <c r="AJ821" s="15"/>
      <c r="AK821" s="15"/>
      <c r="AL821" s="15"/>
      <c r="AM821" s="45"/>
      <c r="AN821" s="15"/>
      <c r="AO821" s="13"/>
      <c r="AP821" s="15"/>
      <c r="AQ821" s="45"/>
      <c r="AR821" s="15"/>
      <c r="AS821" s="13"/>
      <c r="AT821" s="15"/>
      <c r="AU821" s="45"/>
      <c r="AV821" s="15"/>
      <c r="AW821" s="13"/>
      <c r="AX821" s="15"/>
      <c r="AY821" s="45"/>
      <c r="AZ821" s="28"/>
      <c r="BA821" s="13"/>
      <c r="BB821" s="15"/>
      <c r="BC821" s="45"/>
      <c r="BD821" s="28"/>
      <c r="BE821" s="40">
        <f t="shared" ref="BE821:BG821" si="2440">J821+N821+R821+V821+Z821+AD821+AH821+AL821+AP821+AT821+AX821+BB821</f>
        <v>0</v>
      </c>
      <c r="BF821" s="41">
        <f t="shared" si="2440"/>
        <v>0</v>
      </c>
      <c r="BG821" s="34">
        <f t="shared" si="2440"/>
        <v>0</v>
      </c>
      <c r="BH821" s="35">
        <f t="shared" si="2432"/>
        <v>0</v>
      </c>
      <c r="BK821" s="2" t="b">
        <f>H821='2021'!BH821</f>
        <v>1</v>
      </c>
    </row>
    <row r="822" ht="15.75" customHeight="1" spans="1:63" x14ac:dyDescent="0.25">
      <c r="A822" s="89">
        <v>86</v>
      </c>
      <c r="B822" s="14"/>
      <c r="C822" s="2" t="s">
        <v>307</v>
      </c>
      <c r="D822" s="14" t="s">
        <v>50</v>
      </c>
      <c r="E822" s="2" t="s">
        <v>49</v>
      </c>
      <c r="F822" s="41">
        <v>1100</v>
      </c>
      <c r="G822" s="28"/>
      <c r="H822" s="180">
        <f>'2021'!BH822</f>
        <v>14382</v>
      </c>
      <c r="I822" s="13"/>
      <c r="J822" s="15"/>
      <c r="K822" s="15"/>
      <c r="L822" s="28"/>
      <c r="M822" s="13"/>
      <c r="N822" s="15"/>
      <c r="Q822" s="13"/>
      <c r="R822" s="15"/>
      <c r="S822" s="15"/>
      <c r="T822" s="28"/>
      <c r="U822" s="13"/>
      <c r="V822" s="15"/>
      <c r="Y822" s="13"/>
      <c r="Z822" s="2"/>
      <c r="AA822" s="15"/>
      <c r="AB822" s="28"/>
      <c r="AC822" s="348"/>
      <c r="AD822" s="15"/>
      <c r="AE822" s="34">
        <f>B819*$F$12</f>
        <v>5499</v>
      </c>
      <c r="AG822" s="15"/>
      <c r="AH822" s="2"/>
      <c r="AI822" s="45"/>
      <c r="AJ822" s="39"/>
      <c r="AK822" s="15"/>
      <c r="AL822" s="15"/>
      <c r="AM822" s="45"/>
      <c r="AN822" s="15"/>
      <c r="AO822" s="13"/>
      <c r="AP822" s="15"/>
      <c r="AQ822" s="45"/>
      <c r="AR822" s="15"/>
      <c r="AS822" s="13"/>
      <c r="AT822" s="15"/>
      <c r="AU822" s="45"/>
      <c r="AV822" s="15"/>
      <c r="AW822" s="13"/>
      <c r="AX822" s="15"/>
      <c r="AY822" s="45"/>
      <c r="AZ822" s="28"/>
      <c r="BA822" s="13"/>
      <c r="BB822" s="15"/>
      <c r="BC822" s="45"/>
      <c r="BD822" s="28"/>
      <c r="BE822" s="14"/>
      <c r="BF822" s="41">
        <f t="shared" ref="BF822:BG822" si="2441">K822+O822+S822+W822+AA822+AE822+AI822+AM822+AQ822+AU822+AY822+BC822</f>
        <v>5499</v>
      </c>
      <c r="BG822" s="34">
        <f t="shared" si="2441"/>
        <v>0</v>
      </c>
      <c r="BH822" s="35">
        <f t="shared" si="2432"/>
        <v>19881</v>
      </c>
      <c r="BK822" s="2" t="b">
        <f>H822='2021'!BH822</f>
        <v>1</v>
      </c>
    </row>
    <row r="823" ht="15.75" customHeight="1" spans="1:63" x14ac:dyDescent="0.25">
      <c r="A823" s="89">
        <v>86</v>
      </c>
      <c r="B823" s="14"/>
      <c r="D823" s="14" t="s">
        <v>51</v>
      </c>
      <c r="E823" s="2" t="s">
        <v>39</v>
      </c>
      <c r="F823" s="41">
        <v>500</v>
      </c>
      <c r="G823" s="28"/>
      <c r="H823" s="180">
        <f>'2021'!BH823</f>
        <v>1500</v>
      </c>
      <c r="I823" s="13"/>
      <c r="J823" s="15"/>
      <c r="K823" s="15"/>
      <c r="L823" s="28"/>
      <c r="M823" s="13"/>
      <c r="N823" s="15"/>
      <c r="Q823" s="13"/>
      <c r="R823" s="15"/>
      <c r="S823" s="15"/>
      <c r="T823" s="28"/>
      <c r="U823" s="13"/>
      <c r="V823" s="15"/>
      <c r="Y823" s="13"/>
      <c r="Z823" s="2"/>
      <c r="AA823" s="15"/>
      <c r="AB823" s="28"/>
      <c r="AC823" s="348"/>
      <c r="AD823" s="15"/>
      <c r="AE823" s="180">
        <f>$F$13</f>
        <v>1000</v>
      </c>
      <c r="AG823" s="15"/>
      <c r="AH823" s="2"/>
      <c r="AI823" s="45"/>
      <c r="AJ823" s="39"/>
      <c r="AK823" s="15"/>
      <c r="AL823" s="15"/>
      <c r="AM823" s="45"/>
      <c r="AN823" s="15"/>
      <c r="AO823" s="13"/>
      <c r="AP823" s="15"/>
      <c r="AQ823" s="180"/>
      <c r="AR823" s="15"/>
      <c r="AS823" s="13"/>
      <c r="AT823" s="15"/>
      <c r="AU823" s="45"/>
      <c r="AV823" s="15"/>
      <c r="AW823" s="13"/>
      <c r="AX823" s="15"/>
      <c r="AY823" s="45"/>
      <c r="AZ823" s="28"/>
      <c r="BA823" s="13"/>
      <c r="BB823" s="15"/>
      <c r="BC823" s="45"/>
      <c r="BD823" s="28"/>
      <c r="BE823" s="14"/>
      <c r="BF823" s="41">
        <f t="shared" ref="BF823:BG823" si="2442">K823+O823+S823+W823+AA823+AE823+AI823+AM823+AQ823+AU823+AY823+BC823</f>
        <v>1000</v>
      </c>
      <c r="BG823" s="34">
        <f t="shared" si="2442"/>
        <v>0</v>
      </c>
      <c r="BH823" s="35">
        <f t="shared" si="2432"/>
        <v>2500</v>
      </c>
      <c r="BK823" s="2" t="b">
        <f>H823='2021'!BH823</f>
        <v>1</v>
      </c>
    </row>
    <row r="824" ht="15.75" customHeight="1" spans="1:63" x14ac:dyDescent="0.25">
      <c r="A824" s="89">
        <v>86</v>
      </c>
      <c r="B824" s="14"/>
      <c r="D824" s="14" t="s">
        <v>51</v>
      </c>
      <c r="E824" s="2" t="s">
        <v>49</v>
      </c>
      <c r="F824" s="41">
        <v>500</v>
      </c>
      <c r="G824" s="28"/>
      <c r="H824" s="180">
        <f>'2021'!BH824</f>
        <v>2115</v>
      </c>
      <c r="I824" s="13"/>
      <c r="J824" s="15"/>
      <c r="K824" s="15"/>
      <c r="L824" s="28"/>
      <c r="M824" s="13"/>
      <c r="N824" s="15"/>
      <c r="Q824" s="13"/>
      <c r="R824" s="15"/>
      <c r="S824" s="15"/>
      <c r="T824" s="28"/>
      <c r="U824" s="13"/>
      <c r="V824" s="15"/>
      <c r="Y824" s="13"/>
      <c r="Z824" s="2"/>
      <c r="AA824" s="15"/>
      <c r="AB824" s="28"/>
      <c r="AC824" s="348"/>
      <c r="AD824" s="15"/>
      <c r="AE824" s="34"/>
      <c r="AG824" s="15"/>
      <c r="AH824" s="2"/>
      <c r="AI824" s="45"/>
      <c r="AJ824" s="39"/>
      <c r="AK824" s="15"/>
      <c r="AL824" s="15"/>
      <c r="AM824" s="45"/>
      <c r="AN824" s="15"/>
      <c r="AO824" s="13"/>
      <c r="AP824" s="15"/>
      <c r="AQ824" s="180">
        <f>B819*$F$14</f>
        <v>0</v>
      </c>
      <c r="AR824" s="15"/>
      <c r="AS824" s="13"/>
      <c r="AT824" s="15"/>
      <c r="AU824" s="45"/>
      <c r="AV824" s="15"/>
      <c r="AW824" s="13"/>
      <c r="AX824" s="15"/>
      <c r="AY824" s="45"/>
      <c r="AZ824" s="28"/>
      <c r="BA824" s="13"/>
      <c r="BB824" s="15"/>
      <c r="BC824" s="45"/>
      <c r="BD824" s="28"/>
      <c r="BE824" s="14"/>
      <c r="BF824" s="41">
        <f t="shared" ref="BF824:BG824" si="2443">K824+O824+S824+W824+AA824+AE824+AI824+AM824+AQ824+AU824+AY824+BC824</f>
        <v>0</v>
      </c>
      <c r="BG824" s="34">
        <f t="shared" si="2443"/>
        <v>0</v>
      </c>
      <c r="BH824" s="35">
        <f t="shared" si="2432"/>
        <v>2115</v>
      </c>
      <c r="BK824" s="2" t="b">
        <f>H824='2021'!BH824</f>
        <v>1</v>
      </c>
    </row>
    <row r="825" ht="15.75" customHeight="1" spans="1:63" x14ac:dyDescent="0.25">
      <c r="A825" s="89">
        <v>86</v>
      </c>
      <c r="B825" s="14"/>
      <c r="D825" s="14" t="s">
        <v>52</v>
      </c>
      <c r="E825" s="2" t="s">
        <v>39</v>
      </c>
      <c r="F825" s="41">
        <v>500</v>
      </c>
      <c r="G825" s="28"/>
      <c r="H825" s="180">
        <f>'2021'!BH825</f>
        <v>1000</v>
      </c>
      <c r="I825" s="13"/>
      <c r="J825" s="15"/>
      <c r="K825" s="15"/>
      <c r="L825" s="28"/>
      <c r="M825" s="13"/>
      <c r="N825" s="15"/>
      <c r="Q825" s="13"/>
      <c r="R825" s="15"/>
      <c r="S825" s="15"/>
      <c r="T825" s="28"/>
      <c r="U825" s="13"/>
      <c r="V825" s="15"/>
      <c r="Y825" s="13"/>
      <c r="Z825" s="2"/>
      <c r="AA825" s="34">
        <f>$F$15</f>
      </c>
      <c r="AB825" s="28"/>
      <c r="AC825" s="348"/>
      <c r="AD825" s="15"/>
      <c r="AG825" s="15"/>
      <c r="AH825" s="2"/>
      <c r="AI825" s="45"/>
      <c r="AJ825" s="39"/>
      <c r="AK825" s="15"/>
      <c r="AL825" s="15"/>
      <c r="AM825" s="45"/>
      <c r="AN825" s="15"/>
      <c r="AO825" s="13"/>
      <c r="AP825" s="15"/>
      <c r="AQ825" s="45"/>
      <c r="AR825" s="15"/>
      <c r="AS825" s="13"/>
      <c r="AT825" s="15"/>
      <c r="AU825" s="45"/>
      <c r="AV825" s="15"/>
      <c r="AW825" s="13"/>
      <c r="AX825" s="15"/>
      <c r="AY825" s="45"/>
      <c r="AZ825" s="35"/>
      <c r="BA825" s="13"/>
      <c r="BB825" s="15"/>
      <c r="BC825" s="45"/>
      <c r="BD825" s="35"/>
      <c r="BE825" s="14"/>
      <c r="BF825" s="41">
        <f t="shared" ref="BF825:BG825" si="2444">K825+O825+S825+W825+AA825+AE825+AI825+AM825+AQ825+AU825+AY825+BC825</f>
        <v>0</v>
      </c>
      <c r="BG825" s="34">
        <f t="shared" si="2444"/>
        <v>0</v>
      </c>
      <c r="BH825" s="35">
        <f t="shared" si="2432"/>
        <v>1000</v>
      </c>
      <c r="BK825" s="2" t="b">
        <f>H825='2021'!BH825</f>
        <v>1</v>
      </c>
    </row>
    <row r="826" ht="15.75" customHeight="1" spans="1:63" x14ac:dyDescent="0.25">
      <c r="A826" s="247">
        <v>86</v>
      </c>
      <c r="B826" s="21"/>
      <c r="C826" s="22" t="s">
        <v>53</v>
      </c>
      <c r="D826" s="21"/>
      <c r="E826" s="22"/>
      <c r="F826" s="20"/>
      <c r="G826" s="23"/>
      <c r="H826" s="51">
        <f>SUM(H818:H825)</f>
        <v>19631.77</v>
      </c>
      <c r="I826" s="52"/>
      <c r="J826" s="53"/>
      <c r="K826" s="51">
        <f t="shared" ref="K826:L826" si="2445">SUM(K818:K825)</f>
        <v>0</v>
      </c>
      <c r="L826" s="68">
        <f t="shared" si="2445"/>
        <v>0</v>
      </c>
      <c r="M826" s="52"/>
      <c r="N826" s="53"/>
      <c r="O826" s="51">
        <f t="shared" ref="O826:P826" si="2446">SUM(O818:O825)</f>
        <v>0</v>
      </c>
      <c r="P826" s="51">
        <f t="shared" si="2446"/>
        <v>0</v>
      </c>
      <c r="Q826" s="52"/>
      <c r="R826" s="53"/>
      <c r="S826" s="51">
        <f t="shared" ref="S826:T826" si="2447">SUM(S818:S825)</f>
        <v>55.79</v>
      </c>
      <c r="T826" s="51">
        <f t="shared" si="2447"/>
        <v>0</v>
      </c>
      <c r="U826" s="52"/>
      <c r="V826" s="53"/>
      <c r="W826" s="51">
        <f t="shared" ref="W826:X826" si="2448">SUM(W818:W825)</f>
        <v>53.99</v>
      </c>
      <c r="X826" s="51">
        <f t="shared" si="2448"/>
        <v>0</v>
      </c>
      <c r="Y826" s="52"/>
      <c r="Z826" s="301"/>
      <c r="AA826" s="51">
        <f t="shared" ref="AA826:AB826" si="2449">SUM(AA818:AA825)</f>
        <v>55.79</v>
      </c>
      <c r="AB826" s="51">
        <f t="shared" si="2449"/>
        <v>0</v>
      </c>
      <c r="AC826" s="367"/>
      <c r="AD826" s="53"/>
      <c r="AE826" s="51">
        <f t="shared" ref="AE826:AF826" si="2450">SUM(AE818:AE825)</f>
        <v>6552.99</v>
      </c>
      <c r="AF826" s="51">
        <f t="shared" si="2450"/>
        <v>0</v>
      </c>
      <c r="AG826" s="52"/>
      <c r="AH826" s="301"/>
      <c r="AI826" s="183">
        <f t="shared" ref="AI826:AJ826" si="2451">SUM(AI818:AI825)</f>
        <v>55.79</v>
      </c>
      <c r="AJ826" s="51">
        <f t="shared" si="2451"/>
        <v>0</v>
      </c>
      <c r="AK826" s="52"/>
      <c r="AL826" s="53"/>
      <c r="AM826" s="183">
        <f t="shared" ref="AM826:AN826" si="2452">SUM(AM818:AM825)</f>
        <v>0</v>
      </c>
      <c r="AN826" s="51">
        <f t="shared" si="2452"/>
        <v>0</v>
      </c>
      <c r="AO826" s="52"/>
      <c r="AP826" s="53"/>
      <c r="AQ826" s="183">
        <f t="shared" ref="AQ826:AR826" si="2453">SUM(AQ818:AQ825)</f>
        <v>0</v>
      </c>
      <c r="AR826" s="51">
        <f t="shared" si="2453"/>
        <v>0</v>
      </c>
      <c r="AS826" s="52"/>
      <c r="AT826" s="53"/>
      <c r="AU826" s="183">
        <f t="shared" ref="AU826:AV826" si="2454">SUM(AU818:AU825)</f>
        <v>0</v>
      </c>
      <c r="AV826" s="68">
        <f t="shared" si="2454"/>
        <v>0</v>
      </c>
      <c r="AW826" s="52"/>
      <c r="AX826" s="53"/>
      <c r="AY826" s="183">
        <f t="shared" ref="AY826:AZ826" si="2455">SUM(AY818:AY825)</f>
        <v>0</v>
      </c>
      <c r="AZ826" s="68">
        <f t="shared" si="2455"/>
        <v>0</v>
      </c>
      <c r="BA826" s="52"/>
      <c r="BB826" s="53"/>
      <c r="BC826" s="183">
        <f t="shared" ref="BC826:BD826" si="2456">SUM(BC818:BC825)</f>
        <v>0</v>
      </c>
      <c r="BD826" s="68">
        <f t="shared" si="2456"/>
        <v>0</v>
      </c>
      <c r="BE826" s="69"/>
      <c r="BF826" s="70">
        <f t="shared" ref="BF826:BH826" si="2457">SUM(BF818:BF825)</f>
        <v>6774.35</v>
      </c>
      <c r="BG826" s="71">
        <f t="shared" si="2457"/>
        <v>0</v>
      </c>
      <c r="BH826" s="72">
        <f t="shared" si="2457"/>
        <v>26406.12</v>
      </c>
      <c r="BI826" s="34">
        <f>H826+BF826-BG826</f>
        <v>26406.12</v>
      </c>
      <c r="BJ826" s="34">
        <f>BH826-BI826</f>
        <v>0</v>
      </c>
      <c r="BK826" s="2" t="b">
        <f>H826='2021'!BH826</f>
        <v>1</v>
      </c>
    </row>
    <row r="827" ht="15.75" customHeight="1" spans="1:63" x14ac:dyDescent="0.25">
      <c r="A827" s="89">
        <v>88</v>
      </c>
      <c r="B827" s="14"/>
      <c r="D827" s="14" t="s">
        <v>379</v>
      </c>
      <c r="F827" s="13"/>
      <c r="G827" s="28"/>
      <c r="H827" s="34">
        <f>'2021'!BH827</f>
        <v>-0.04</v>
      </c>
      <c r="I827" s="13"/>
      <c r="J827" s="15"/>
      <c r="K827" s="15"/>
      <c r="L827" s="28"/>
      <c r="M827" s="13"/>
      <c r="N827" s="15"/>
      <c r="Q827" s="13"/>
      <c r="R827" s="15"/>
      <c r="S827" s="15"/>
      <c r="T827" s="28"/>
      <c r="U827" s="13"/>
      <c r="V827" s="15"/>
      <c r="Y827" s="13"/>
      <c r="Z827" s="2"/>
      <c r="AA827" s="15"/>
      <c r="AB827" s="28"/>
      <c r="AC827" s="348"/>
      <c r="AD827" s="15"/>
      <c r="AF827" s="1"/>
      <c r="AG827" s="15"/>
      <c r="AH827" s="2"/>
      <c r="AI827" s="45"/>
      <c r="AJ827" s="15"/>
      <c r="AK827" s="15"/>
      <c r="AM827" s="45"/>
      <c r="AO827" s="13"/>
      <c r="AQ827" s="180"/>
      <c r="AR827" s="15"/>
      <c r="AS827" s="13"/>
      <c r="AU827" s="45"/>
      <c r="AW827" s="13"/>
      <c r="AY827" s="45"/>
      <c r="AZ827" s="28"/>
      <c r="BA827" s="13"/>
      <c r="BB827" s="15"/>
      <c r="BC827" s="45"/>
      <c r="BD827" s="28"/>
      <c r="BE827" s="14"/>
      <c r="BF827" s="41">
        <f t="shared" ref="BF827:BG827" si="2458">K827+O827+S827+W827+AA827+AE827+AI827+AM827+AQ827+AU827+AY827+BC827</f>
        <v>0</v>
      </c>
      <c r="BG827" s="34">
        <f t="shared" si="2458"/>
        <v>0</v>
      </c>
      <c r="BH827" s="35">
        <f t="shared" ref="BH827:BH834" si="2459">H827+BF827-BG827</f>
        <v>-0.04</v>
      </c>
      <c r="BK827" s="2" t="b">
        <f>H827='2021'!BH827</f>
        <v>1</v>
      </c>
    </row>
    <row r="828" ht="15.75" customHeight="1" spans="1:63" x14ac:dyDescent="0.25">
      <c r="A828" s="89">
        <v>88</v>
      </c>
      <c r="B828" s="14">
        <v>4.23</v>
      </c>
      <c r="C828" s="2" t="s">
        <v>308</v>
      </c>
      <c r="D828" s="14" t="s">
        <v>44</v>
      </c>
      <c r="E828" s="2" t="s">
        <v>45</v>
      </c>
      <c r="F828" s="41">
        <v>2.5</v>
      </c>
      <c r="G828" s="35">
        <v>2.6</v>
      </c>
      <c r="H828" s="104">
        <f>'2021'!BH828</f>
        <v>0</v>
      </c>
      <c r="I828" s="13"/>
      <c r="J828" s="15">
        <f>I828-'2021'!BA828</f>
        <v>0</v>
      </c>
      <c r="K828" s="34">
        <f>J828*$F$8</f>
        <v>0</v>
      </c>
      <c r="L828" s="28"/>
      <c r="M828" s="13"/>
      <c r="N828" s="15">
        <f t="shared" ref="N828:N829" si="2460">M828-I828</f>
        <v>0</v>
      </c>
      <c r="O828" s="34">
        <f>N828*$F$8</f>
        <v>0</v>
      </c>
      <c r="Q828" s="13"/>
      <c r="R828" s="15">
        <f t="shared" ref="R828:R829" si="2461">Q828-M828</f>
        <v>0</v>
      </c>
      <c r="S828" s="34">
        <f>R828*$F$8</f>
        <v>0</v>
      </c>
      <c r="T828" s="28"/>
      <c r="U828" s="13"/>
      <c r="V828" s="15">
        <f t="shared" ref="V828:V829" si="2462">U828-Q828</f>
        <v>0</v>
      </c>
      <c r="W828" s="34">
        <f>V828*$F$8</f>
        <v>0</v>
      </c>
      <c r="Y828" s="13"/>
      <c r="Z828" s="2">
        <f t="shared" ref="Z828:Z829" si="2463">Y828-U828</f>
        <v>0</v>
      </c>
      <c r="AA828" s="34">
        <f>Z828*$F$8</f>
        <v>0</v>
      </c>
      <c r="AB828" s="28"/>
      <c r="AC828" s="348"/>
      <c r="AD828" s="15">
        <f t="shared" ref="AD828:AD829" si="2464">AC828-Y828</f>
        <v>0</v>
      </c>
      <c r="AE828" s="180">
        <f>AD828*$F$8</f>
        <v>0</v>
      </c>
      <c r="AF828" s="1"/>
      <c r="AG828" s="15"/>
      <c r="AH828" s="2">
        <f>(AG828-AC828)*AH5</f>
        <v>0</v>
      </c>
      <c r="AI828" s="45">
        <f>AH828*$G$8</f>
        <v>0</v>
      </c>
      <c r="AJ828" s="15"/>
      <c r="AK828" s="15"/>
      <c r="AL828" s="15">
        <f>(AK828-AG828)*AL5</f>
        <v>0</v>
      </c>
      <c r="AM828" s="45">
        <f>AL828*$G$8</f>
        <v>0</v>
      </c>
      <c r="AN828" s="15"/>
      <c r="AO828" s="13"/>
      <c r="AP828" s="15">
        <f>(AO828-AK828)*AP5</f>
        <v>0</v>
      </c>
      <c r="AQ828" s="45">
        <f>AP828*$G$8</f>
        <v>0</v>
      </c>
      <c r="AR828" s="15"/>
      <c r="AS828" s="13"/>
      <c r="AT828" s="15">
        <f>(AS828-AO828)*AT5</f>
        <v>0</v>
      </c>
      <c r="AU828" s="45">
        <f>AT828*$G$8</f>
        <v>0</v>
      </c>
      <c r="AV828" s="15"/>
      <c r="AW828" s="13"/>
      <c r="AX828" s="15">
        <f>(AW828-AS828)*AX5</f>
        <v>0</v>
      </c>
      <c r="AY828" s="45">
        <f>AX828*$G$8</f>
        <v>0</v>
      </c>
      <c r="AZ828" s="208"/>
      <c r="BA828" s="13"/>
      <c r="BB828" s="15"/>
      <c r="BC828" s="45">
        <f>BB828*$G$8</f>
        <v>0</v>
      </c>
      <c r="BD828" s="208"/>
      <c r="BE828" s="40">
        <f t="shared" ref="BE828:BG828" si="2465">J828+N828+R828+V828+Z828+AD828+AH828+AL828+AP828+AT828+AX828+BB828</f>
        <v>0</v>
      </c>
      <c r="BF828" s="41">
        <f t="shared" si="2465"/>
        <v>0</v>
      </c>
      <c r="BG828" s="34">
        <f t="shared" si="2465"/>
        <v>0</v>
      </c>
      <c r="BH828" s="35">
        <f t="shared" si="2459"/>
        <v>0</v>
      </c>
      <c r="BK828" s="2" t="b">
        <f>H828='2021'!BH828</f>
        <v>1</v>
      </c>
    </row>
    <row r="829" ht="15.75" customHeight="1" spans="1:63" x14ac:dyDescent="0.25">
      <c r="A829" s="89">
        <v>88</v>
      </c>
      <c r="B829" s="14"/>
      <c r="C829" s="2" t="s">
        <v>309</v>
      </c>
      <c r="D829" s="14" t="s">
        <v>47</v>
      </c>
      <c r="E829" s="2" t="s">
        <v>48</v>
      </c>
      <c r="F829" s="13">
        <v>18.56</v>
      </c>
      <c r="G829" s="35">
        <v>19.46</v>
      </c>
      <c r="H829" s="34">
        <f>'2021'!BH829</f>
        <v>0</v>
      </c>
      <c r="I829" s="13"/>
      <c r="J829" s="15"/>
      <c r="K829" s="15"/>
      <c r="L829" s="28"/>
      <c r="M829" s="13"/>
      <c r="N829" s="15">
        <f t="shared" si="2460"/>
        <v>0</v>
      </c>
      <c r="Q829" s="13"/>
      <c r="R829" s="15">
        <f t="shared" si="2461"/>
        <v>0</v>
      </c>
      <c r="S829" s="15"/>
      <c r="T829" s="28"/>
      <c r="U829" s="13"/>
      <c r="V829" s="15">
        <f t="shared" si="2462"/>
        <v>0</v>
      </c>
      <c r="W829" s="34">
        <f>V829*$F$10</f>
        <v>0</v>
      </c>
      <c r="Y829" s="13"/>
      <c r="Z829" s="2">
        <f t="shared" si="2463"/>
        <v>0</v>
      </c>
      <c r="AA829" s="34">
        <f>Z829*$F$10</f>
        <v>0</v>
      </c>
      <c r="AB829" s="28"/>
      <c r="AC829" s="348"/>
      <c r="AD829" s="15">
        <f t="shared" si="2464"/>
        <v>0</v>
      </c>
      <c r="AE829" s="34">
        <f>AD829*$F$10</f>
        <v>0</v>
      </c>
      <c r="AF829" s="1"/>
      <c r="AG829" s="15"/>
      <c r="AH829" s="2">
        <f>AG829-AC829</f>
        <v>0</v>
      </c>
      <c r="AI829" s="45">
        <f>AH829*$G$10</f>
        <v>0</v>
      </c>
      <c r="AJ829" s="15"/>
      <c r="AK829" s="15"/>
      <c r="AL829" s="15">
        <f>AK829-AG829</f>
        <v>0</v>
      </c>
      <c r="AM829" s="45">
        <f>AL829*$G$10</f>
        <v>0</v>
      </c>
      <c r="AN829" s="15"/>
      <c r="AO829" s="13"/>
      <c r="AP829" s="15">
        <f>AO829-AK829</f>
        <v>0</v>
      </c>
      <c r="AQ829" s="45">
        <f>AP829*$G$10</f>
        <v>0</v>
      </c>
      <c r="AR829" s="15"/>
      <c r="AS829" s="13"/>
      <c r="AT829" s="15">
        <f>AS829-AO829</f>
        <v>0</v>
      </c>
      <c r="AU829" s="45">
        <f>AT829*$G$10</f>
        <v>0</v>
      </c>
      <c r="AV829" s="15"/>
      <c r="AW829" s="13"/>
      <c r="AX829" s="15">
        <f>AW829-AS829</f>
        <v>0</v>
      </c>
      <c r="AY829" s="45"/>
      <c r="AZ829" s="208"/>
      <c r="BA829" s="13"/>
      <c r="BB829" s="15"/>
      <c r="BC829" s="45"/>
      <c r="BD829" s="208"/>
      <c r="BE829" s="40">
        <f t="shared" ref="BE829:BG829" si="2466">J829+N829+R829+V829+Z829+AD829+AH829+AL829+AP829+AT829+AX829+BB829</f>
        <v>0</v>
      </c>
      <c r="BF829" s="41">
        <f t="shared" si="2466"/>
        <v>0</v>
      </c>
      <c r="BG829" s="34">
        <f t="shared" si="2466"/>
        <v>0</v>
      </c>
      <c r="BH829" s="35">
        <f t="shared" si="2459"/>
        <v>0</v>
      </c>
      <c r="BK829" s="2" t="b">
        <f>H829='2021'!BH829</f>
        <v>1</v>
      </c>
    </row>
    <row r="830" ht="15.75" customHeight="1" spans="1:63" x14ac:dyDescent="0.25">
      <c r="A830" s="89">
        <v>88</v>
      </c>
      <c r="B830" s="14"/>
      <c r="C830" s="15" t="s">
        <v>72</v>
      </c>
      <c r="D830" s="14" t="s">
        <v>47</v>
      </c>
      <c r="E830" s="2" t="s">
        <v>49</v>
      </c>
      <c r="F830" s="41">
        <v>500</v>
      </c>
      <c r="G830" s="28"/>
      <c r="H830" s="144">
        <f>'2021'!BH830</f>
        <v>0</v>
      </c>
      <c r="I830" s="13"/>
      <c r="J830" s="15"/>
      <c r="K830" s="15"/>
      <c r="L830" s="28"/>
      <c r="M830" s="13"/>
      <c r="N830" s="15"/>
      <c r="Q830" s="13"/>
      <c r="R830" s="15"/>
      <c r="S830" s="15"/>
      <c r="T830" s="28"/>
      <c r="U830" s="13"/>
      <c r="V830" s="15"/>
      <c r="Y830" s="13"/>
      <c r="Z830" s="2"/>
      <c r="AA830" s="34"/>
      <c r="AB830" s="28"/>
      <c r="AC830" s="348"/>
      <c r="AD830" s="15"/>
      <c r="AF830" s="1"/>
      <c r="AG830" s="15"/>
      <c r="AH830" s="2"/>
      <c r="AI830" s="45"/>
      <c r="AJ830" s="15"/>
      <c r="AK830" s="15"/>
      <c r="AL830" s="15"/>
      <c r="AM830" s="45"/>
      <c r="AN830" s="15"/>
      <c r="AO830" s="13"/>
      <c r="AP830" s="15"/>
      <c r="AQ830" s="45"/>
      <c r="AR830" s="15"/>
      <c r="AS830" s="13"/>
      <c r="AT830" s="15"/>
      <c r="AU830" s="45"/>
      <c r="AV830" s="15"/>
      <c r="AW830" s="13"/>
      <c r="AX830" s="15"/>
      <c r="AY830" s="45"/>
      <c r="AZ830" s="28"/>
      <c r="BA830" s="13"/>
      <c r="BB830" s="15"/>
      <c r="BC830" s="45"/>
      <c r="BD830" s="28"/>
      <c r="BE830" s="40">
        <f t="shared" ref="BE830:BG830" si="2467">J830+N830+R830+V830+Z830+AD830+AH830+AL830+AP830+AT830+AX830+BB830</f>
        <v>0</v>
      </c>
      <c r="BF830" s="41">
        <f t="shared" si="2467"/>
        <v>0</v>
      </c>
      <c r="BG830" s="34">
        <f t="shared" si="2467"/>
        <v>0</v>
      </c>
      <c r="BH830" s="35">
        <f t="shared" si="2459"/>
        <v>0</v>
      </c>
      <c r="BK830" s="2" t="b">
        <f>H830='2021'!BH830</f>
        <v>1</v>
      </c>
    </row>
    <row r="831" ht="15.75" customHeight="1" spans="1:63" x14ac:dyDescent="0.25">
      <c r="A831" s="89">
        <v>88</v>
      </c>
      <c r="B831" s="14"/>
      <c r="C831" s="2" t="s">
        <v>310</v>
      </c>
      <c r="D831" s="14" t="s">
        <v>50</v>
      </c>
      <c r="E831" s="2" t="s">
        <v>49</v>
      </c>
      <c r="F831" s="41">
        <v>1100</v>
      </c>
      <c r="G831" s="28"/>
      <c r="H831" s="180">
        <f>'2021'!BH831</f>
        <v>0</v>
      </c>
      <c r="I831" s="13"/>
      <c r="J831" s="15"/>
      <c r="K831" s="15"/>
      <c r="L831" s="28"/>
      <c r="M831" s="13"/>
      <c r="N831" s="15"/>
      <c r="Q831" s="13"/>
      <c r="R831" s="15"/>
      <c r="S831" s="15"/>
      <c r="T831" s="28"/>
      <c r="U831" s="13"/>
      <c r="V831" s="15"/>
      <c r="Y831" s="13"/>
      <c r="Z831" s="2"/>
      <c r="AA831" s="15"/>
      <c r="AB831" s="28"/>
      <c r="AC831" s="348"/>
      <c r="AD831" s="15"/>
      <c r="AE831" s="34">
        <f>B828*$F$12</f>
        <v>5499</v>
      </c>
      <c r="AF831" s="1"/>
      <c r="AG831" s="15"/>
      <c r="AH831" s="2"/>
      <c r="AI831" s="45"/>
      <c r="AJ831" s="34"/>
      <c r="AK831" s="15"/>
      <c r="AL831" s="15"/>
      <c r="AM831" s="45"/>
      <c r="AN831" s="15"/>
      <c r="AO831" s="13"/>
      <c r="AP831" s="15"/>
      <c r="AQ831" s="45"/>
      <c r="AR831" s="34"/>
      <c r="AS831" s="13"/>
      <c r="AT831" s="15"/>
      <c r="AU831" s="45"/>
      <c r="AV831" s="15"/>
      <c r="AW831" s="13"/>
      <c r="AX831" s="15"/>
      <c r="AY831" s="45"/>
      <c r="AZ831" s="28"/>
      <c r="BA831" s="13"/>
      <c r="BB831" s="15"/>
      <c r="BC831" s="45"/>
      <c r="BD831" s="28"/>
      <c r="BE831" s="14"/>
      <c r="BF831" s="41">
        <f t="shared" ref="BF831:BG831" si="2468">K831+O831+S831+W831+AA831+AE831+AI831+AM831+AQ831+AU831+AY831+BC831</f>
        <v>5499</v>
      </c>
      <c r="BG831" s="34">
        <f t="shared" si="2468"/>
        <v>0</v>
      </c>
      <c r="BH831" s="35">
        <f t="shared" si="2459"/>
        <v>5499</v>
      </c>
      <c r="BK831" s="2" t="b">
        <f>H831='2021'!BH831</f>
        <v>1</v>
      </c>
    </row>
    <row r="832" ht="15.75" customHeight="1" spans="1:63" x14ac:dyDescent="0.25">
      <c r="A832" s="89">
        <v>88</v>
      </c>
      <c r="B832" s="14"/>
      <c r="D832" s="14" t="s">
        <v>51</v>
      </c>
      <c r="E832" s="2" t="s">
        <v>39</v>
      </c>
      <c r="F832" s="41">
        <v>500</v>
      </c>
      <c r="G832" s="28"/>
      <c r="H832" s="180">
        <f>'2021'!BH832</f>
        <v>0</v>
      </c>
      <c r="I832" s="13"/>
      <c r="J832" s="15"/>
      <c r="K832" s="15"/>
      <c r="L832" s="28"/>
      <c r="M832" s="13"/>
      <c r="N832" s="15"/>
      <c r="Q832" s="13"/>
      <c r="R832" s="15"/>
      <c r="S832" s="15"/>
      <c r="T832" s="28"/>
      <c r="U832" s="13"/>
      <c r="V832" s="15"/>
      <c r="Y832" s="13"/>
      <c r="Z832" s="2"/>
      <c r="AA832" s="15"/>
      <c r="AB832" s="28"/>
      <c r="AC832" s="348"/>
      <c r="AD832" s="15"/>
      <c r="AE832" s="180">
        <f>$F$13</f>
        <v>1000</v>
      </c>
      <c r="AF832" s="1"/>
      <c r="AG832" s="15"/>
      <c r="AH832" s="2"/>
      <c r="AI832" s="45"/>
      <c r="AJ832" s="15"/>
      <c r="AK832" s="15"/>
      <c r="AL832" s="15"/>
      <c r="AM832" s="45"/>
      <c r="AN832" s="15"/>
      <c r="AO832" s="13"/>
      <c r="AP832" s="15"/>
      <c r="AQ832" s="180"/>
      <c r="AR832" s="15"/>
      <c r="AS832" s="13"/>
      <c r="AT832" s="15"/>
      <c r="AU832" s="45"/>
      <c r="AV832" s="15"/>
      <c r="AW832" s="13"/>
      <c r="AX832" s="15"/>
      <c r="AY832" s="45"/>
      <c r="AZ832" s="28"/>
      <c r="BA832" s="13"/>
      <c r="BB832" s="15"/>
      <c r="BC832" s="45"/>
      <c r="BD832" s="28"/>
      <c r="BE832" s="14"/>
      <c r="BF832" s="41">
        <f t="shared" ref="BF832:BG832" si="2469">K832+O832+S832+W832+AA832+AE832+AI832+AM832+AQ832+AU832+AY832+BC832</f>
        <v>1000</v>
      </c>
      <c r="BG832" s="34">
        <f t="shared" si="2469"/>
        <v>0</v>
      </c>
      <c r="BH832" s="35">
        <f t="shared" si="2459"/>
        <v>1000</v>
      </c>
      <c r="BK832" s="2" t="b">
        <f>H832='2021'!BH832</f>
        <v>1</v>
      </c>
    </row>
    <row r="833" ht="15.75" customHeight="1" spans="1:63" x14ac:dyDescent="0.25">
      <c r="A833" s="89">
        <v>88</v>
      </c>
      <c r="B833" s="14"/>
      <c r="D833" s="14" t="s">
        <v>51</v>
      </c>
      <c r="E833" s="2" t="s">
        <v>49</v>
      </c>
      <c r="F833" s="41">
        <v>500</v>
      </c>
      <c r="G833" s="28"/>
      <c r="H833" s="180">
        <f>'2021'!BH833</f>
        <v>0</v>
      </c>
      <c r="I833" s="13"/>
      <c r="J833" s="15"/>
      <c r="K833" s="15"/>
      <c r="L833" s="28"/>
      <c r="M833" s="13"/>
      <c r="N833" s="15"/>
      <c r="Q833" s="13"/>
      <c r="R833" s="15"/>
      <c r="S833" s="15"/>
      <c r="T833" s="28"/>
      <c r="U833" s="13"/>
      <c r="V833" s="15"/>
      <c r="Y833" s="13"/>
      <c r="Z833" s="2"/>
      <c r="AA833" s="15"/>
      <c r="AB833" s="28"/>
      <c r="AC833" s="348"/>
      <c r="AD833" s="15"/>
      <c r="AE833" s="34"/>
      <c r="AF833" s="1"/>
      <c r="AG833" s="15"/>
      <c r="AH833" s="2"/>
      <c r="AI833" s="45"/>
      <c r="AJ833" s="15"/>
      <c r="AK833" s="15"/>
      <c r="AL833" s="15"/>
      <c r="AM833" s="45"/>
      <c r="AN833" s="15"/>
      <c r="AO833" s="13"/>
      <c r="AP833" s="15"/>
      <c r="AQ833" s="180">
        <f>B828*$F$14</f>
        <v>0</v>
      </c>
      <c r="AR833" s="15"/>
      <c r="AS833" s="13"/>
      <c r="AT833" s="15"/>
      <c r="AU833" s="45"/>
      <c r="AV833" s="15"/>
      <c r="AW833" s="13"/>
      <c r="AX833" s="15"/>
      <c r="AY833" s="45"/>
      <c r="AZ833" s="28"/>
      <c r="BA833" s="13"/>
      <c r="BB833" s="15"/>
      <c r="BC833" s="45"/>
      <c r="BD833" s="28"/>
      <c r="BE833" s="14"/>
      <c r="BF833" s="41">
        <f t="shared" ref="BF833:BG833" si="2470">K833+O833+S833+W833+AA833+AE833+AI833+AM833+AQ833+AU833+AY833+BC833</f>
        <v>0</v>
      </c>
      <c r="BG833" s="34">
        <f t="shared" si="2470"/>
        <v>0</v>
      </c>
      <c r="BH833" s="35">
        <f t="shared" si="2459"/>
        <v>0</v>
      </c>
      <c r="BK833" s="2" t="b">
        <f>H833='2021'!BH833</f>
        <v>1</v>
      </c>
    </row>
    <row r="834" ht="15.75" customHeight="1" spans="1:63" x14ac:dyDescent="0.25">
      <c r="A834" s="89">
        <v>88</v>
      </c>
      <c r="B834" s="14"/>
      <c r="D834" s="14" t="s">
        <v>52</v>
      </c>
      <c r="E834" s="2" t="s">
        <v>39</v>
      </c>
      <c r="F834" s="41">
        <v>500</v>
      </c>
      <c r="G834" s="28"/>
      <c r="H834" s="180">
        <f>'2021'!BH834</f>
        <v>0</v>
      </c>
      <c r="I834" s="13"/>
      <c r="J834" s="15"/>
      <c r="K834" s="15"/>
      <c r="L834" s="28"/>
      <c r="M834" s="13"/>
      <c r="N834" s="15"/>
      <c r="Q834" s="13"/>
      <c r="R834" s="15"/>
      <c r="S834" s="15"/>
      <c r="T834" s="28"/>
      <c r="U834" s="13"/>
      <c r="V834" s="15"/>
      <c r="Y834" s="13"/>
      <c r="Z834" s="2"/>
      <c r="AA834" s="34">
        <f>$F$15</f>
      </c>
      <c r="AB834" s="28"/>
      <c r="AC834" s="348"/>
      <c r="AD834" s="15"/>
      <c r="AG834" s="15"/>
      <c r="AH834" s="2"/>
      <c r="AI834" s="45"/>
      <c r="AJ834" s="15"/>
      <c r="AK834" s="15"/>
      <c r="AL834" s="15"/>
      <c r="AM834" s="45"/>
      <c r="AN834" s="15"/>
      <c r="AO834" s="13"/>
      <c r="AP834" s="15"/>
      <c r="AQ834" s="45"/>
      <c r="AR834" s="34"/>
      <c r="AS834" s="13"/>
      <c r="AT834" s="15"/>
      <c r="AU834" s="45"/>
      <c r="AV834" s="15"/>
      <c r="AW834" s="13"/>
      <c r="AX834" s="15"/>
      <c r="AY834" s="45"/>
      <c r="AZ834" s="35"/>
      <c r="BA834" s="13"/>
      <c r="BB834" s="15"/>
      <c r="BC834" s="45"/>
      <c r="BD834" s="35"/>
      <c r="BE834" s="14"/>
      <c r="BF834" s="41">
        <f t="shared" ref="BF834:BG834" si="2471">K834+O834+S834+W834+AA834+AE834+AI834+AM834+AQ834+AU834+AY834+BC834</f>
        <v>0</v>
      </c>
      <c r="BG834" s="34">
        <f t="shared" si="2471"/>
        <v>0</v>
      </c>
      <c r="BH834" s="35">
        <f t="shared" si="2459"/>
        <v>0</v>
      </c>
      <c r="BK834" s="2" t="b">
        <f>H834='2021'!BH834</f>
        <v>1</v>
      </c>
    </row>
    <row r="835" ht="15.75" customHeight="1" spans="1:63" x14ac:dyDescent="0.25">
      <c r="A835" s="247">
        <v>88</v>
      </c>
      <c r="B835" s="21"/>
      <c r="C835" s="22" t="s">
        <v>53</v>
      </c>
      <c r="D835" s="21"/>
      <c r="E835" s="22"/>
      <c r="F835" s="20"/>
      <c r="G835" s="23"/>
      <c r="H835" s="51">
        <f>SUM(H827:H834)</f>
        <v>-0.04</v>
      </c>
      <c r="I835" s="52"/>
      <c r="J835" s="53"/>
      <c r="K835" s="51">
        <f t="shared" ref="K835:L835" si="2472">SUM(K827:K834)</f>
        <v>0</v>
      </c>
      <c r="L835" s="68">
        <f t="shared" si="2472"/>
        <v>0</v>
      </c>
      <c r="M835" s="52"/>
      <c r="N835" s="53"/>
      <c r="O835" s="51">
        <f t="shared" ref="O835:P835" si="2473">SUM(O827:O834)</f>
        <v>0</v>
      </c>
      <c r="P835" s="51">
        <f t="shared" si="2473"/>
        <v>0</v>
      </c>
      <c r="Q835" s="52"/>
      <c r="R835" s="53"/>
      <c r="S835" s="51">
        <f t="shared" ref="S835:T835" si="2474">SUM(S827:S834)</f>
        <v>0</v>
      </c>
      <c r="T835" s="51">
        <f t="shared" si="2474"/>
        <v>0</v>
      </c>
      <c r="U835" s="52"/>
      <c r="V835" s="53"/>
      <c r="W835" s="51">
        <f t="shared" ref="W835:X835" si="2475">SUM(W827:W834)</f>
        <v>0</v>
      </c>
      <c r="X835" s="51">
        <f t="shared" si="2475"/>
        <v>0</v>
      </c>
      <c r="Y835" s="52"/>
      <c r="Z835" s="301"/>
      <c r="AA835" s="51">
        <f t="shared" ref="AA835:AB835" si="2476">SUM(AA827:AA834)</f>
        <v>0</v>
      </c>
      <c r="AB835" s="51">
        <f t="shared" si="2476"/>
        <v>0</v>
      </c>
      <c r="AC835" s="367"/>
      <c r="AD835" s="53"/>
      <c r="AE835" s="51">
        <f t="shared" ref="AE835:AF835" si="2477">SUM(AE827:AE834)</f>
        <v>6499</v>
      </c>
      <c r="AF835" s="51">
        <f t="shared" si="2477"/>
        <v>0</v>
      </c>
      <c r="AG835" s="52"/>
      <c r="AH835" s="301"/>
      <c r="AI835" s="183">
        <f t="shared" ref="AI835:AJ835" si="2478">SUM(AI827:AI834)</f>
        <v>0</v>
      </c>
      <c r="AJ835" s="51">
        <f t="shared" si="2478"/>
        <v>0</v>
      </c>
      <c r="AK835" s="52"/>
      <c r="AL835" s="53"/>
      <c r="AM835" s="183">
        <f t="shared" ref="AM835:AN835" si="2479">SUM(AM827:AM834)</f>
        <v>0</v>
      </c>
      <c r="AN835" s="51">
        <f t="shared" si="2479"/>
        <v>0</v>
      </c>
      <c r="AO835" s="52"/>
      <c r="AP835" s="53"/>
      <c r="AQ835" s="183">
        <f t="shared" ref="AQ835:AR835" si="2480">SUM(AQ827:AQ834)</f>
        <v>0</v>
      </c>
      <c r="AR835" s="51">
        <f t="shared" si="2480"/>
        <v>0</v>
      </c>
      <c r="AS835" s="52"/>
      <c r="AT835" s="53"/>
      <c r="AU835" s="183">
        <f t="shared" ref="AU835:AV835" si="2481">SUM(AU827:AU834)</f>
        <v>0</v>
      </c>
      <c r="AV835" s="68">
        <f t="shared" si="2481"/>
        <v>0</v>
      </c>
      <c r="AW835" s="52"/>
      <c r="AX835" s="53"/>
      <c r="AY835" s="183">
        <f t="shared" ref="AY835:AZ835" si="2482">SUM(AY827:AY834)</f>
        <v>0</v>
      </c>
      <c r="AZ835" s="68">
        <f t="shared" si="2482"/>
        <v>0</v>
      </c>
      <c r="BA835" s="52"/>
      <c r="BB835" s="53"/>
      <c r="BC835" s="183">
        <f t="shared" ref="BC835:BD835" si="2483">SUM(BC827:BC834)</f>
        <v>0</v>
      </c>
      <c r="BD835" s="68">
        <f t="shared" si="2483"/>
        <v>0</v>
      </c>
      <c r="BE835" s="69"/>
      <c r="BF835" s="70">
        <f t="shared" ref="BF835:BH835" si="2484">SUM(BF827:BF834)</f>
        <v>6499</v>
      </c>
      <c r="BG835" s="71">
        <f t="shared" si="2484"/>
        <v>0</v>
      </c>
      <c r="BH835" s="72">
        <f t="shared" si="2484"/>
        <v>6498.96</v>
      </c>
      <c r="BI835" s="34">
        <f>H835+BF835-BG835</f>
        <v>6498.96</v>
      </c>
      <c r="BJ835" s="34">
        <f>BH835-BI835</f>
        <v>0</v>
      </c>
      <c r="BK835" s="2" t="b">
        <f>H835='2021'!BH835</f>
        <v>1</v>
      </c>
    </row>
    <row r="836" ht="15.75" customHeight="1" spans="1:63" x14ac:dyDescent="0.25">
      <c r="A836" s="89">
        <v>90</v>
      </c>
      <c r="B836" s="14"/>
      <c r="D836" s="14" t="s">
        <v>379</v>
      </c>
      <c r="F836" s="13"/>
      <c r="G836" s="28"/>
      <c r="H836" s="34">
        <f>'2021'!BH836</f>
        <v>-0.04</v>
      </c>
      <c r="I836" s="13"/>
      <c r="J836" s="15"/>
      <c r="K836" s="15"/>
      <c r="L836" s="28"/>
      <c r="M836" s="13"/>
      <c r="N836" s="15"/>
      <c r="Q836" s="13"/>
      <c r="R836" s="15"/>
      <c r="S836" s="15"/>
      <c r="T836" s="28"/>
      <c r="U836" s="13"/>
      <c r="V836" s="15"/>
      <c r="Y836" s="13"/>
      <c r="Z836" s="2"/>
      <c r="AA836" s="15"/>
      <c r="AB836" s="28"/>
      <c r="AC836" s="348"/>
      <c r="AD836" s="15"/>
      <c r="AF836" s="1"/>
      <c r="AG836" s="15"/>
      <c r="AH836" s="2"/>
      <c r="AI836" s="45"/>
      <c r="AJ836" s="15"/>
      <c r="AK836" s="15"/>
      <c r="AM836" s="45"/>
      <c r="AO836" s="13"/>
      <c r="AQ836" s="180"/>
      <c r="AR836" s="15"/>
      <c r="AS836" s="13"/>
      <c r="AU836" s="45"/>
      <c r="AW836" s="13"/>
      <c r="AY836" s="45"/>
      <c r="AZ836" s="28"/>
      <c r="BA836" s="13"/>
      <c r="BB836" s="15"/>
      <c r="BC836" s="45"/>
      <c r="BD836" s="28"/>
      <c r="BE836" s="14"/>
      <c r="BF836" s="41">
        <f t="shared" ref="BF836:BG836" si="2485">K836+O836+S836+W836+AA836+AE836+AI836+AM836+AQ836+AU836+AY836+BC836</f>
        <v>0</v>
      </c>
      <c r="BG836" s="34">
        <f t="shared" si="2485"/>
        <v>0</v>
      </c>
      <c r="BH836" s="35">
        <f t="shared" ref="BH836:BH843" si="2486">H836+BF836-BG836</f>
        <v>-0.04</v>
      </c>
      <c r="BK836" s="2" t="b">
        <f>H836='2021'!BH836</f>
        <v>1</v>
      </c>
    </row>
    <row r="837" ht="15.75" customHeight="1" spans="1:63" x14ac:dyDescent="0.25">
      <c r="A837" s="89">
        <v>90</v>
      </c>
      <c r="B837" s="14">
        <v>4.23</v>
      </c>
      <c r="C837" s="2" t="s">
        <v>311</v>
      </c>
      <c r="D837" s="14" t="s">
        <v>44</v>
      </c>
      <c r="E837" s="2" t="s">
        <v>45</v>
      </c>
      <c r="F837" s="41">
        <v>2.5</v>
      </c>
      <c r="G837" s="35">
        <v>2.6</v>
      </c>
      <c r="H837" s="104">
        <f>'2021'!BH837</f>
        <v>0</v>
      </c>
      <c r="I837" s="13"/>
      <c r="J837" s="15">
        <f>I837-'2021'!BA837</f>
        <v>0</v>
      </c>
      <c r="K837" s="34">
        <f>J837*$F$8</f>
        <v>0</v>
      </c>
      <c r="L837" s="28"/>
      <c r="M837" s="13"/>
      <c r="N837" s="15">
        <f t="shared" ref="N837:N838" si="2487">M837-I837</f>
        <v>0</v>
      </c>
      <c r="O837" s="34">
        <f>N837*$F$8</f>
        <v>0</v>
      </c>
      <c r="Q837" s="13"/>
      <c r="R837" s="15">
        <f t="shared" ref="R837:R838" si="2488">Q837-M837</f>
        <v>0</v>
      </c>
      <c r="S837" s="34">
        <f>R837*$F$8</f>
        <v>0</v>
      </c>
      <c r="T837" s="28"/>
      <c r="U837" s="13"/>
      <c r="V837" s="15">
        <f t="shared" ref="V837:V838" si="2489">U837-Q837</f>
        <v>0</v>
      </c>
      <c r="W837" s="34">
        <f>V837*$F$8</f>
        <v>0</v>
      </c>
      <c r="Y837" s="13"/>
      <c r="Z837" s="2">
        <f t="shared" ref="Z837:Z838" si="2490">Y837-U837</f>
        <v>0</v>
      </c>
      <c r="AA837" s="34">
        <f>Z837*$F$8</f>
        <v>0</v>
      </c>
      <c r="AB837" s="28"/>
      <c r="AC837" s="348"/>
      <c r="AD837" s="15">
        <f t="shared" ref="AD837:AD838" si="2491">AC837-Y837</f>
        <v>0</v>
      </c>
      <c r="AE837" s="180">
        <f>AD837*$F$8</f>
        <v>0</v>
      </c>
      <c r="AF837" s="1"/>
      <c r="AG837" s="15"/>
      <c r="AH837" s="2">
        <f>(AG837-AC837)*AH5</f>
        <v>0</v>
      </c>
      <c r="AI837" s="45">
        <f>AH837*$G$8</f>
        <v>0</v>
      </c>
      <c r="AJ837" s="15"/>
      <c r="AK837" s="15"/>
      <c r="AL837" s="15">
        <f>(AK837-AG837)*AL5</f>
        <v>0</v>
      </c>
      <c r="AM837" s="45">
        <f>AL837*$G$8</f>
        <v>0</v>
      </c>
      <c r="AN837" s="15"/>
      <c r="AO837" s="13"/>
      <c r="AP837" s="15">
        <f>(AO837-AK837)*AP5</f>
        <v>0</v>
      </c>
      <c r="AQ837" s="45">
        <f>AP837*$G$8</f>
        <v>0</v>
      </c>
      <c r="AR837" s="15"/>
      <c r="AS837" s="13"/>
      <c r="AT837" s="15">
        <f>(AS837-AO837)*AT5</f>
        <v>0</v>
      </c>
      <c r="AU837" s="45">
        <f>AT837*$G$8</f>
        <v>0</v>
      </c>
      <c r="AV837" s="15"/>
      <c r="AW837" s="13"/>
      <c r="AX837" s="15">
        <f>(AW837-AS837)*AX5</f>
        <v>0</v>
      </c>
      <c r="AY837" s="45">
        <f>AX837*$G$8</f>
        <v>0</v>
      </c>
      <c r="AZ837" s="208"/>
      <c r="BA837" s="13"/>
      <c r="BB837" s="15"/>
      <c r="BC837" s="45">
        <f>BB837*$G$8</f>
        <v>0</v>
      </c>
      <c r="BD837" s="208"/>
      <c r="BE837" s="40">
        <f t="shared" ref="BE837:BG837" si="2492">J837+N837+R837+V837+Z837+AD837+AH837+AL837+AP837+AT837+AX837+BB837</f>
        <v>0</v>
      </c>
      <c r="BF837" s="41">
        <f t="shared" si="2492"/>
        <v>0</v>
      </c>
      <c r="BG837" s="34">
        <f t="shared" si="2492"/>
        <v>0</v>
      </c>
      <c r="BH837" s="35">
        <f t="shared" si="2486"/>
        <v>0</v>
      </c>
      <c r="BK837" s="2" t="b">
        <f>H837='2021'!BH837</f>
        <v>1</v>
      </c>
    </row>
    <row r="838" ht="15.75" customHeight="1" spans="1:63" x14ac:dyDescent="0.25">
      <c r="A838" s="89">
        <v>90</v>
      </c>
      <c r="B838" s="14"/>
      <c r="C838" s="2" t="s">
        <v>83</v>
      </c>
      <c r="D838" s="14" t="s">
        <v>47</v>
      </c>
      <c r="E838" s="2" t="s">
        <v>48</v>
      </c>
      <c r="F838" s="13">
        <v>18.56</v>
      </c>
      <c r="G838" s="35">
        <v>19.46</v>
      </c>
      <c r="H838" s="34">
        <f>'2021'!BH838</f>
        <v>0</v>
      </c>
      <c r="I838" s="13"/>
      <c r="J838" s="15"/>
      <c r="K838" s="15"/>
      <c r="L838" s="28"/>
      <c r="M838" s="13"/>
      <c r="N838" s="15">
        <f t="shared" si="2487"/>
        <v>0</v>
      </c>
      <c r="Q838" s="13"/>
      <c r="R838" s="15">
        <f t="shared" si="2488"/>
        <v>0</v>
      </c>
      <c r="S838" s="15"/>
      <c r="T838" s="28"/>
      <c r="U838" s="13"/>
      <c r="V838" s="15">
        <f t="shared" si="2489"/>
        <v>0</v>
      </c>
      <c r="W838" s="34">
        <f>V838*$F$10</f>
        <v>0</v>
      </c>
      <c r="Y838" s="13"/>
      <c r="Z838" s="2">
        <f t="shared" si="2490"/>
        <v>0</v>
      </c>
      <c r="AA838" s="34">
        <f>Z838*$F$10</f>
        <v>0</v>
      </c>
      <c r="AB838" s="28"/>
      <c r="AC838" s="348"/>
      <c r="AD838" s="15">
        <f t="shared" si="2491"/>
        <v>0</v>
      </c>
      <c r="AE838" s="34">
        <f>AD838*$F$10</f>
        <v>0</v>
      </c>
      <c r="AF838" s="1"/>
      <c r="AG838" s="15"/>
      <c r="AH838" s="2">
        <f>AG838-AC838</f>
        <v>0</v>
      </c>
      <c r="AI838" s="45">
        <f>AH838*$G$10</f>
        <v>0</v>
      </c>
      <c r="AJ838" s="15"/>
      <c r="AK838" s="15"/>
      <c r="AL838" s="15">
        <f>AK838-AG838</f>
        <v>0</v>
      </c>
      <c r="AM838" s="45">
        <f>AL838*$G$10</f>
        <v>0</v>
      </c>
      <c r="AN838" s="15"/>
      <c r="AO838" s="13"/>
      <c r="AP838" s="15">
        <f>AO838-AK838</f>
        <v>0</v>
      </c>
      <c r="AQ838" s="45">
        <f>AP838*$G$10</f>
        <v>0</v>
      </c>
      <c r="AR838" s="15"/>
      <c r="AS838" s="13"/>
      <c r="AT838" s="15">
        <f>AS838-AO838</f>
        <v>0</v>
      </c>
      <c r="AU838" s="45">
        <f>AT838*$G$10</f>
        <v>0</v>
      </c>
      <c r="AV838" s="15"/>
      <c r="AW838" s="13"/>
      <c r="AX838" s="15">
        <f>AW838-AS838</f>
        <v>0</v>
      </c>
      <c r="AY838" s="45"/>
      <c r="AZ838" s="208"/>
      <c r="BA838" s="13"/>
      <c r="BB838" s="15"/>
      <c r="BC838" s="45"/>
      <c r="BD838" s="208"/>
      <c r="BE838" s="40">
        <f t="shared" ref="BE838:BG838" si="2493">J838+N838+R838+V838+Z838+AD838+AH838+AL838+AP838+AT838+AX838+BB838</f>
        <v>0</v>
      </c>
      <c r="BF838" s="41">
        <f t="shared" si="2493"/>
        <v>0</v>
      </c>
      <c r="BG838" s="34">
        <f t="shared" si="2493"/>
        <v>0</v>
      </c>
      <c r="BH838" s="35">
        <f t="shared" si="2486"/>
        <v>0</v>
      </c>
      <c r="BK838" s="2" t="b">
        <f>H838='2021'!BH838</f>
        <v>1</v>
      </c>
    </row>
    <row r="839" ht="15.75" customHeight="1" spans="1:63" x14ac:dyDescent="0.25">
      <c r="A839" s="89">
        <v>90</v>
      </c>
      <c r="B839" s="14"/>
      <c r="C839" s="15" t="s">
        <v>107</v>
      </c>
      <c r="D839" s="14" t="s">
        <v>47</v>
      </c>
      <c r="E839" s="2" t="s">
        <v>49</v>
      </c>
      <c r="F839" s="41">
        <v>500</v>
      </c>
      <c r="G839" s="28"/>
      <c r="H839" s="144">
        <f>'2021'!BH839</f>
        <v>0</v>
      </c>
      <c r="I839" s="13"/>
      <c r="J839" s="15"/>
      <c r="K839" s="15"/>
      <c r="L839" s="28"/>
      <c r="M839" s="13"/>
      <c r="N839" s="15"/>
      <c r="Q839" s="13"/>
      <c r="R839" s="15"/>
      <c r="S839" s="15"/>
      <c r="T839" s="28"/>
      <c r="U839" s="13"/>
      <c r="V839" s="15"/>
      <c r="Y839" s="13"/>
      <c r="Z839" s="2"/>
      <c r="AA839" s="34"/>
      <c r="AB839" s="28"/>
      <c r="AC839" s="348"/>
      <c r="AD839" s="15"/>
      <c r="AF839" s="1"/>
      <c r="AG839" s="15"/>
      <c r="AH839" s="2"/>
      <c r="AI839" s="45"/>
      <c r="AJ839" s="15"/>
      <c r="AK839" s="15"/>
      <c r="AL839" s="15"/>
      <c r="AM839" s="45"/>
      <c r="AN839" s="15"/>
      <c r="AO839" s="13"/>
      <c r="AP839" s="15"/>
      <c r="AQ839" s="45"/>
      <c r="AR839" s="15"/>
      <c r="AS839" s="13"/>
      <c r="AT839" s="15"/>
      <c r="AU839" s="45"/>
      <c r="AV839" s="15"/>
      <c r="AW839" s="13"/>
      <c r="AX839" s="15"/>
      <c r="AY839" s="45"/>
      <c r="AZ839" s="28"/>
      <c r="BA839" s="13"/>
      <c r="BB839" s="15"/>
      <c r="BC839" s="45"/>
      <c r="BD839" s="28"/>
      <c r="BE839" s="40">
        <f t="shared" ref="BE839:BG839" si="2494">J839+N839+R839+V839+Z839+AD839+AH839+AL839+AP839+AT839+AX839+BB839</f>
        <v>0</v>
      </c>
      <c r="BF839" s="41">
        <f t="shared" si="2494"/>
        <v>0</v>
      </c>
      <c r="BG839" s="34">
        <f t="shared" si="2494"/>
        <v>0</v>
      </c>
      <c r="BH839" s="35">
        <f t="shared" si="2486"/>
        <v>0</v>
      </c>
      <c r="BK839" s="2" t="b">
        <f>H839='2021'!BH839</f>
        <v>1</v>
      </c>
    </row>
    <row r="840" ht="15.75" customHeight="1" spans="1:63" x14ac:dyDescent="0.25">
      <c r="A840" s="89">
        <v>90</v>
      </c>
      <c r="B840" s="14"/>
      <c r="D840" s="14" t="s">
        <v>50</v>
      </c>
      <c r="E840" s="2" t="s">
        <v>49</v>
      </c>
      <c r="F840" s="41">
        <v>1100</v>
      </c>
      <c r="G840" s="28"/>
      <c r="H840" s="180">
        <f>'2021'!BH840</f>
        <v>0</v>
      </c>
      <c r="I840" s="13"/>
      <c r="J840" s="15"/>
      <c r="K840" s="15"/>
      <c r="L840" s="28"/>
      <c r="M840" s="13"/>
      <c r="N840" s="15"/>
      <c r="Q840" s="13"/>
      <c r="R840" s="15"/>
      <c r="S840" s="15"/>
      <c r="T840" s="28"/>
      <c r="U840" s="13"/>
      <c r="V840" s="15"/>
      <c r="Y840" s="13"/>
      <c r="Z840" s="2"/>
      <c r="AA840" s="15"/>
      <c r="AB840" s="28"/>
      <c r="AC840" s="348"/>
      <c r="AD840" s="15"/>
      <c r="AE840" s="34">
        <f>B837*$F$12</f>
        <v>5499</v>
      </c>
      <c r="AF840" s="1"/>
      <c r="AG840" s="15"/>
      <c r="AH840" s="2"/>
      <c r="AI840" s="45"/>
      <c r="AJ840" s="34"/>
      <c r="AK840" s="15"/>
      <c r="AL840" s="15"/>
      <c r="AM840" s="45"/>
      <c r="AN840" s="15"/>
      <c r="AO840" s="13"/>
      <c r="AP840" s="15"/>
      <c r="AQ840" s="45"/>
      <c r="AR840" s="34"/>
      <c r="AS840" s="13"/>
      <c r="AT840" s="15"/>
      <c r="AU840" s="45"/>
      <c r="AV840" s="15"/>
      <c r="AW840" s="13"/>
      <c r="AX840" s="15"/>
      <c r="AY840" s="45"/>
      <c r="AZ840" s="28"/>
      <c r="BA840" s="13"/>
      <c r="BB840" s="15"/>
      <c r="BC840" s="45"/>
      <c r="BD840" s="28"/>
      <c r="BE840" s="14"/>
      <c r="BF840" s="41">
        <f t="shared" ref="BF840:BG840" si="2495">K840+O840+S840+W840+AA840+AE840+AI840+AM840+AQ840+AU840+AY840+BC840</f>
        <v>5499</v>
      </c>
      <c r="BG840" s="34">
        <f t="shared" si="2495"/>
        <v>0</v>
      </c>
      <c r="BH840" s="35">
        <f t="shared" si="2486"/>
        <v>5499</v>
      </c>
      <c r="BK840" s="2" t="b">
        <f>H840='2021'!BH840</f>
        <v>1</v>
      </c>
    </row>
    <row r="841" ht="15.75" customHeight="1" spans="1:63" x14ac:dyDescent="0.25">
      <c r="A841" s="89">
        <v>90</v>
      </c>
      <c r="B841" s="14"/>
      <c r="D841" s="14" t="s">
        <v>51</v>
      </c>
      <c r="E841" s="2" t="s">
        <v>39</v>
      </c>
      <c r="F841" s="41">
        <v>500</v>
      </c>
      <c r="G841" s="28"/>
      <c r="H841" s="180">
        <f>'2021'!BH841</f>
        <v>0</v>
      </c>
      <c r="I841" s="13"/>
      <c r="J841" s="15"/>
      <c r="K841" s="15"/>
      <c r="L841" s="28"/>
      <c r="M841" s="13"/>
      <c r="N841" s="15"/>
      <c r="Q841" s="13"/>
      <c r="R841" s="15"/>
      <c r="S841" s="15"/>
      <c r="T841" s="28"/>
      <c r="U841" s="13"/>
      <c r="V841" s="15"/>
      <c r="Y841" s="13"/>
      <c r="Z841" s="2"/>
      <c r="AA841" s="15"/>
      <c r="AB841" s="28"/>
      <c r="AC841" s="348"/>
      <c r="AD841" s="15"/>
      <c r="AE841" s="180">
        <f>$F$13</f>
        <v>1000</v>
      </c>
      <c r="AF841" s="1"/>
      <c r="AG841" s="15"/>
      <c r="AH841" s="2"/>
      <c r="AI841" s="45"/>
      <c r="AJ841" s="15"/>
      <c r="AK841" s="15"/>
      <c r="AL841" s="15"/>
      <c r="AM841" s="45"/>
      <c r="AN841" s="15"/>
      <c r="AO841" s="13"/>
      <c r="AP841" s="15"/>
      <c r="AQ841" s="180"/>
      <c r="AR841" s="15"/>
      <c r="AS841" s="13"/>
      <c r="AT841" s="15"/>
      <c r="AU841" s="45"/>
      <c r="AV841" s="15"/>
      <c r="AW841" s="13"/>
      <c r="AX841" s="15"/>
      <c r="AY841" s="45"/>
      <c r="AZ841" s="28"/>
      <c r="BA841" s="13"/>
      <c r="BB841" s="15"/>
      <c r="BC841" s="45"/>
      <c r="BD841" s="28"/>
      <c r="BE841" s="14"/>
      <c r="BF841" s="41">
        <f t="shared" ref="BF841:BG841" si="2496">K841+O841+S841+W841+AA841+AE841+AI841+AM841+AQ841+AU841+AY841+BC841</f>
        <v>1000</v>
      </c>
      <c r="BG841" s="34">
        <f t="shared" si="2496"/>
        <v>0</v>
      </c>
      <c r="BH841" s="35">
        <f t="shared" si="2486"/>
        <v>1000</v>
      </c>
      <c r="BK841" s="2" t="b">
        <f>H841='2021'!BH841</f>
        <v>1</v>
      </c>
    </row>
    <row r="842" ht="15.75" customHeight="1" spans="1:63" x14ac:dyDescent="0.25">
      <c r="A842" s="89">
        <v>90</v>
      </c>
      <c r="B842" s="14"/>
      <c r="D842" s="14" t="s">
        <v>51</v>
      </c>
      <c r="E842" s="2" t="s">
        <v>49</v>
      </c>
      <c r="F842" s="41">
        <v>500</v>
      </c>
      <c r="G842" s="28"/>
      <c r="H842" s="180">
        <f>'2021'!BH842</f>
        <v>0</v>
      </c>
      <c r="I842" s="13"/>
      <c r="J842" s="15"/>
      <c r="K842" s="15"/>
      <c r="L842" s="28"/>
      <c r="M842" s="13"/>
      <c r="N842" s="15"/>
      <c r="Q842" s="13"/>
      <c r="R842" s="15"/>
      <c r="S842" s="15"/>
      <c r="T842" s="28"/>
      <c r="U842" s="13"/>
      <c r="V842" s="15"/>
      <c r="Y842" s="13"/>
      <c r="Z842" s="2"/>
      <c r="AA842" s="15"/>
      <c r="AB842" s="28"/>
      <c r="AC842" s="348"/>
      <c r="AD842" s="15"/>
      <c r="AE842" s="34"/>
      <c r="AF842" s="1"/>
      <c r="AG842" s="15"/>
      <c r="AH842" s="2"/>
      <c r="AI842" s="45"/>
      <c r="AJ842" s="15"/>
      <c r="AK842" s="15"/>
      <c r="AL842" s="15"/>
      <c r="AM842" s="45"/>
      <c r="AN842" s="15"/>
      <c r="AO842" s="13"/>
      <c r="AP842" s="15"/>
      <c r="AQ842" s="180">
        <f>B837*$F$14</f>
        <v>0</v>
      </c>
      <c r="AR842" s="15"/>
      <c r="AS842" s="13"/>
      <c r="AT842" s="15"/>
      <c r="AU842" s="45"/>
      <c r="AV842" s="15"/>
      <c r="AW842" s="13"/>
      <c r="AX842" s="15"/>
      <c r="AY842" s="45"/>
      <c r="AZ842" s="28"/>
      <c r="BA842" s="13"/>
      <c r="BB842" s="15"/>
      <c r="BC842" s="45"/>
      <c r="BD842" s="28"/>
      <c r="BE842" s="14"/>
      <c r="BF842" s="41">
        <f t="shared" ref="BF842:BG842" si="2497">K842+O842+S842+W842+AA842+AE842+AI842+AM842+AQ842+AU842+AY842+BC842</f>
        <v>0</v>
      </c>
      <c r="BG842" s="34">
        <f t="shared" si="2497"/>
        <v>0</v>
      </c>
      <c r="BH842" s="35">
        <f t="shared" si="2486"/>
        <v>0</v>
      </c>
      <c r="BK842" s="2" t="b">
        <f>H842='2021'!BH842</f>
        <v>1</v>
      </c>
    </row>
    <row r="843" ht="15.75" customHeight="1" spans="1:63" x14ac:dyDescent="0.25">
      <c r="A843" s="89">
        <v>90</v>
      </c>
      <c r="B843" s="14"/>
      <c r="D843" s="14" t="s">
        <v>52</v>
      </c>
      <c r="E843" s="2" t="s">
        <v>39</v>
      </c>
      <c r="F843" s="41">
        <v>500</v>
      </c>
      <c r="G843" s="28"/>
      <c r="H843" s="180">
        <f>'2021'!BH843</f>
        <v>0</v>
      </c>
      <c r="I843" s="13"/>
      <c r="J843" s="15"/>
      <c r="K843" s="15"/>
      <c r="L843" s="28"/>
      <c r="M843" s="13"/>
      <c r="N843" s="15"/>
      <c r="Q843" s="13"/>
      <c r="R843" s="15"/>
      <c r="S843" s="15"/>
      <c r="T843" s="28"/>
      <c r="U843" s="13"/>
      <c r="V843" s="15"/>
      <c r="Y843" s="13"/>
      <c r="Z843" s="2"/>
      <c r="AA843" s="34">
        <f>$F$15</f>
      </c>
      <c r="AB843" s="28"/>
      <c r="AC843" s="348"/>
      <c r="AD843" s="15"/>
      <c r="AF843" s="1"/>
      <c r="AG843" s="15"/>
      <c r="AH843" s="2"/>
      <c r="AI843" s="45"/>
      <c r="AJ843" s="15"/>
      <c r="AK843" s="15"/>
      <c r="AL843" s="15"/>
      <c r="AM843" s="45"/>
      <c r="AN843" s="15"/>
      <c r="AO843" s="13"/>
      <c r="AP843" s="15"/>
      <c r="AQ843" s="45"/>
      <c r="AR843" s="34"/>
      <c r="AS843" s="13"/>
      <c r="AT843" s="15"/>
      <c r="AU843" s="45"/>
      <c r="AV843" s="15"/>
      <c r="AW843" s="13"/>
      <c r="AX843" s="15"/>
      <c r="AY843" s="45"/>
      <c r="AZ843" s="35"/>
      <c r="BA843" s="13"/>
      <c r="BB843" s="15"/>
      <c r="BC843" s="45"/>
      <c r="BD843" s="35"/>
      <c r="BE843" s="14"/>
      <c r="BF843" s="41">
        <f t="shared" ref="BF843:BG843" si="2498">K843+O843+S843+W843+AA843+AE843+AI843+AM843+AQ843+AU843+AY843+BC843</f>
        <v>0</v>
      </c>
      <c r="BG843" s="34">
        <f t="shared" si="2498"/>
        <v>0</v>
      </c>
      <c r="BH843" s="35">
        <f t="shared" si="2486"/>
        <v>0</v>
      </c>
      <c r="BK843" s="2" t="b">
        <f>H843='2021'!BH843</f>
        <v>1</v>
      </c>
    </row>
    <row r="844" ht="15.75" customHeight="1" spans="1:63" x14ac:dyDescent="0.25">
      <c r="A844" s="247">
        <v>90</v>
      </c>
      <c r="B844" s="21"/>
      <c r="C844" s="22" t="s">
        <v>53</v>
      </c>
      <c r="D844" s="21"/>
      <c r="E844" s="22"/>
      <c r="F844" s="20"/>
      <c r="G844" s="23"/>
      <c r="H844" s="51">
        <f>SUM(H836:H843)</f>
        <v>-0.04</v>
      </c>
      <c r="I844" s="52"/>
      <c r="J844" s="53"/>
      <c r="K844" s="51">
        <f t="shared" ref="K844:L844" si="2499">SUM(K836:K843)</f>
        <v>0</v>
      </c>
      <c r="L844" s="68">
        <f t="shared" si="2499"/>
        <v>0</v>
      </c>
      <c r="M844" s="52"/>
      <c r="N844" s="53"/>
      <c r="O844" s="51">
        <f t="shared" ref="O844:P844" si="2500">SUM(O836:O843)</f>
        <v>0</v>
      </c>
      <c r="P844" s="51">
        <f t="shared" si="2500"/>
        <v>0</v>
      </c>
      <c r="Q844" s="52"/>
      <c r="R844" s="53"/>
      <c r="S844" s="51">
        <f t="shared" ref="S844:T844" si="2501">SUM(S836:S843)</f>
        <v>0</v>
      </c>
      <c r="T844" s="51">
        <f t="shared" si="2501"/>
        <v>0</v>
      </c>
      <c r="U844" s="52"/>
      <c r="V844" s="53"/>
      <c r="W844" s="51">
        <f t="shared" ref="W844:X844" si="2502">SUM(W836:W843)</f>
        <v>0</v>
      </c>
      <c r="X844" s="51">
        <f t="shared" si="2502"/>
        <v>0</v>
      </c>
      <c r="Y844" s="52"/>
      <c r="Z844" s="301"/>
      <c r="AA844" s="51">
        <f t="shared" ref="AA844:AB844" si="2503">SUM(AA836:AA843)</f>
        <v>0</v>
      </c>
      <c r="AB844" s="51">
        <f t="shared" si="2503"/>
        <v>0</v>
      </c>
      <c r="AC844" s="367"/>
      <c r="AD844" s="53"/>
      <c r="AE844" s="51">
        <f t="shared" ref="AE844:AF844" si="2504">SUM(AE836:AE843)</f>
        <v>6499</v>
      </c>
      <c r="AF844" s="51">
        <f t="shared" si="2504"/>
        <v>0</v>
      </c>
      <c r="AG844" s="52"/>
      <c r="AH844" s="301"/>
      <c r="AI844" s="183">
        <f t="shared" ref="AI844:AJ844" si="2505">SUM(AI836:AI843)</f>
        <v>0</v>
      </c>
      <c r="AJ844" s="51">
        <f t="shared" si="2505"/>
        <v>0</v>
      </c>
      <c r="AK844" s="52"/>
      <c r="AL844" s="53"/>
      <c r="AM844" s="183">
        <f t="shared" ref="AM844:AN844" si="2506">SUM(AM836:AM843)</f>
        <v>0</v>
      </c>
      <c r="AN844" s="51">
        <f t="shared" si="2506"/>
        <v>0</v>
      </c>
      <c r="AO844" s="52"/>
      <c r="AP844" s="53"/>
      <c r="AQ844" s="183">
        <f t="shared" ref="AQ844:AR844" si="2507">SUM(AQ836:AQ843)</f>
        <v>0</v>
      </c>
      <c r="AR844" s="51">
        <f t="shared" si="2507"/>
        <v>0</v>
      </c>
      <c r="AS844" s="52"/>
      <c r="AT844" s="53"/>
      <c r="AU844" s="183">
        <f t="shared" ref="AU844:AV844" si="2508">SUM(AU836:AU843)</f>
        <v>0</v>
      </c>
      <c r="AV844" s="68">
        <f t="shared" si="2508"/>
        <v>0</v>
      </c>
      <c r="AW844" s="52"/>
      <c r="AX844" s="53"/>
      <c r="AY844" s="183">
        <f t="shared" ref="AY844:AZ844" si="2509">SUM(AY836:AY843)</f>
        <v>0</v>
      </c>
      <c r="AZ844" s="68">
        <f t="shared" si="2509"/>
        <v>0</v>
      </c>
      <c r="BA844" s="52"/>
      <c r="BB844" s="53"/>
      <c r="BC844" s="183">
        <f t="shared" ref="BC844:BD844" si="2510">SUM(BC836:BC843)</f>
        <v>0</v>
      </c>
      <c r="BD844" s="68">
        <f t="shared" si="2510"/>
        <v>0</v>
      </c>
      <c r="BE844" s="69"/>
      <c r="BF844" s="70">
        <f t="shared" ref="BF844:BH844" si="2511">SUM(BF836:BF843)</f>
        <v>6499</v>
      </c>
      <c r="BG844" s="71">
        <f t="shared" si="2511"/>
        <v>0</v>
      </c>
      <c r="BH844" s="72">
        <f t="shared" si="2511"/>
        <v>6498.96</v>
      </c>
      <c r="BI844" s="34">
        <f>H844+BF844-BG844</f>
        <v>6498.96</v>
      </c>
      <c r="BJ844" s="34">
        <f>BH844-BI844</f>
        <v>0</v>
      </c>
      <c r="BK844" s="2" t="b">
        <f>H844='2021'!BH844</f>
        <v>1</v>
      </c>
    </row>
    <row r="845" ht="15.75" customHeight="1" spans="1:63" x14ac:dyDescent="0.25">
      <c r="A845" s="89">
        <v>92</v>
      </c>
      <c r="B845" s="14"/>
      <c r="D845" s="176" t="s">
        <v>544</v>
      </c>
      <c r="F845" s="13"/>
      <c r="G845" s="28"/>
      <c r="H845" s="34">
        <f>'2021'!BH845</f>
        <v>101.04</v>
      </c>
      <c r="I845" s="13"/>
      <c r="J845" s="15"/>
      <c r="K845" s="15"/>
      <c r="L845" s="28"/>
      <c r="M845" s="13"/>
      <c r="N845" s="15"/>
      <c r="Q845" s="13"/>
      <c r="R845" s="15"/>
      <c r="S845" s="15">
        <v>22.78</v>
      </c>
      <c r="T845" s="28"/>
      <c r="U845" s="13"/>
      <c r="V845" s="15"/>
      <c r="W845" s="153">
        <v>22.04</v>
      </c>
      <c r="Y845" s="13"/>
      <c r="Z845" s="2"/>
      <c r="AA845" s="154">
        <f>248.5+22.78</f>
        <v>271.28</v>
      </c>
      <c r="AB845" s="28"/>
      <c r="AC845" s="348"/>
      <c r="AD845" s="15"/>
      <c r="AE845" s="2">
        <v>22.04</v>
      </c>
      <c r="AG845" s="15"/>
      <c r="AH845" s="2"/>
      <c r="AI845" s="45">
        <v>22.33</v>
      </c>
      <c r="AJ845" s="292">
        <v>417.14</v>
      </c>
      <c r="AK845" s="15"/>
      <c r="AM845" s="45"/>
      <c r="AO845" s="13"/>
      <c r="AQ845" s="45"/>
      <c r="AS845" s="13"/>
      <c r="AU845" s="45"/>
      <c r="AW845" s="13"/>
      <c r="AY845" s="45"/>
      <c r="AZ845" s="28"/>
      <c r="BA845" s="13"/>
      <c r="BB845" s="15"/>
      <c r="BC845" s="45"/>
      <c r="BD845" s="28"/>
      <c r="BE845" s="14"/>
      <c r="BF845" s="41">
        <f t="shared" ref="BF845:BG845" si="2512">K845+O845+S845+W845+AA845+AE845+AI845+AM845+AQ845+AU845+AY845+BC845</f>
        <v>360.47</v>
      </c>
      <c r="BG845" s="34">
        <f t="shared" si="2512"/>
        <v>417.14</v>
      </c>
      <c r="BH845" s="35">
        <f t="shared" ref="BH845:BH852" si="2513">H845+BF845-BG845</f>
        <v>44.37</v>
      </c>
      <c r="BK845" s="2" t="b">
        <f>H845='2021'!BH845</f>
        <v>1</v>
      </c>
    </row>
    <row r="846" ht="15.75" customHeight="1" spans="1:63" x14ac:dyDescent="0.25">
      <c r="A846" s="2">
        <v>92</v>
      </c>
      <c r="B846" s="14">
        <v>4.28</v>
      </c>
      <c r="C846" s="2" t="s">
        <v>312</v>
      </c>
      <c r="D846" s="14" t="s">
        <v>44</v>
      </c>
      <c r="E846" s="2" t="s">
        <v>45</v>
      </c>
      <c r="F846" s="41">
        <v>2.5</v>
      </c>
      <c r="G846" s="35">
        <v>2.6</v>
      </c>
      <c r="H846" s="180">
        <f>'2021'!BH846</f>
        <v>3028.3</v>
      </c>
      <c r="I846" s="13">
        <v>15636</v>
      </c>
      <c r="J846" s="15">
        <f>I846-'2021'!BA846</f>
        <v>921</v>
      </c>
      <c r="K846" s="34">
        <f>J846*$F$8</f>
        <v>2486.7</v>
      </c>
      <c r="L846" s="28"/>
      <c r="M846" s="13">
        <v>15918</v>
      </c>
      <c r="N846" s="15">
        <f t="shared" ref="N846:N847" si="2514">M846-I846</f>
        <v>282</v>
      </c>
      <c r="O846" s="34">
        <f>N846*$F$8</f>
        <v>761.4</v>
      </c>
      <c r="P846" s="1"/>
      <c r="Q846" s="13">
        <v>16320</v>
      </c>
      <c r="R846" s="15">
        <f t="shared" ref="R846:R847" si="2515">Q846-M846</f>
        <v>402</v>
      </c>
      <c r="S846" s="34">
        <f>R846*$F$8</f>
        <v>1085.4</v>
      </c>
      <c r="T846" s="32">
        <f>1000+2000+3000</f>
        <v>6000</v>
      </c>
      <c r="U846" s="13">
        <v>16568</v>
      </c>
      <c r="V846" s="15">
        <f t="shared" ref="V846:V847" si="2516">U846-Q846</f>
        <v>248</v>
      </c>
      <c r="W846" s="34">
        <f>V846*$F$8</f>
        <v>669.6</v>
      </c>
      <c r="X846" s="1"/>
      <c r="Y846" s="13">
        <v>16716</v>
      </c>
      <c r="Z846" s="2">
        <f t="shared" ref="Z846:Z847" si="2517">Y846-U846</f>
        <v>148</v>
      </c>
      <c r="AA846" s="34">
        <f>Z846*$F$8</f>
        <v>399.6</v>
      </c>
      <c r="AB846" s="32"/>
      <c r="AC846" s="348">
        <v>17004</v>
      </c>
      <c r="AD846" s="15">
        <f t="shared" ref="AD846:AD847" si="2518">AC846-Y846</f>
        <v>288</v>
      </c>
      <c r="AE846" s="180">
        <f>AD846*$F$8</f>
        <v>777.6</v>
      </c>
      <c r="AF846" s="180"/>
      <c r="AG846" s="15">
        <v>17148</v>
      </c>
      <c r="AH846" s="2">
        <f>(AG846-AC846)*AH5</f>
        <v>152.064</v>
      </c>
      <c r="AI846" s="45">
        <f>AH846*$G$8</f>
        <v>374.07744</v>
      </c>
      <c r="AJ846" s="292">
        <v>3208.6</v>
      </c>
      <c r="AK846" s="15">
        <v>17361</v>
      </c>
      <c r="AL846" s="15">
        <f>(AK846-AG846)*AL5</f>
        <v>218.964</v>
      </c>
      <c r="AM846" s="45">
        <f>AL846*$G$8</f>
        <v>538.65144</v>
      </c>
      <c r="AN846" s="182">
        <v>374.08</v>
      </c>
      <c r="AO846" s="13">
        <v>17579</v>
      </c>
      <c r="AP846" s="15">
        <f>(AO846-AK846)*AP5</f>
        <v>225.194</v>
      </c>
      <c r="AQ846" s="45">
        <f>AP846*$G$8</f>
        <v>553.97724</v>
      </c>
      <c r="AR846" s="15"/>
      <c r="AS846" s="13">
        <v>17838</v>
      </c>
      <c r="AT846" s="15">
        <f>(AS846-AO846)*AT5</f>
        <v>271.95</v>
      </c>
      <c r="AU846" s="45">
        <f>AT846*$G$8</f>
        <v>668.997</v>
      </c>
      <c r="AV846" s="34"/>
      <c r="AW846" s="13"/>
      <c r="AX846" s="15">
        <f>(AW846-AS846)*AX5</f>
        <v>0</v>
      </c>
      <c r="AY846" s="45">
        <f>AX846*$G$8</f>
        <v>0</v>
      </c>
      <c r="AZ846" s="208"/>
      <c r="BA846" s="13"/>
      <c r="BB846" s="15"/>
      <c r="BC846" s="45">
        <f>BB846*$G$8</f>
        <v>0</v>
      </c>
      <c r="BD846" s="246"/>
      <c r="BE846" s="40">
        <f t="shared" ref="BE846:BG846" si="2519">J846+N846+R846+V846+Z846+AD846+AH846+AL846+AP846+AT846+AX846+BB846</f>
        <v>3157.172</v>
      </c>
      <c r="BF846" s="41">
        <f t="shared" si="2519"/>
        <v>8316.00312</v>
      </c>
      <c r="BG846" s="34">
        <f t="shared" si="2519"/>
        <v>9582.68</v>
      </c>
      <c r="BH846" s="35">
        <f t="shared" si="2513"/>
        <v>1761.62312</v>
      </c>
      <c r="BK846" s="2" t="b">
        <f>H846='2021'!BH846</f>
        <v>1</v>
      </c>
    </row>
    <row r="847" ht="15.75" customHeight="1" spans="1:63" x14ac:dyDescent="0.25">
      <c r="A847" s="2">
        <v>92</v>
      </c>
      <c r="B847" s="14"/>
      <c r="C847" s="2" t="s">
        <v>114</v>
      </c>
      <c r="D847" s="14" t="s">
        <v>47</v>
      </c>
      <c r="E847" s="2" t="s">
        <v>48</v>
      </c>
      <c r="F847" s="13">
        <v>18.56</v>
      </c>
      <c r="G847" s="35">
        <v>19.46</v>
      </c>
      <c r="H847" s="180">
        <f>'2021'!BH847</f>
        <v>1133.01</v>
      </c>
      <c r="I847" s="13">
        <v>254</v>
      </c>
      <c r="J847" s="15"/>
      <c r="K847" s="15"/>
      <c r="L847" s="28"/>
      <c r="M847" s="13">
        <v>254</v>
      </c>
      <c r="N847" s="15">
        <f t="shared" si="2514"/>
        <v>0</v>
      </c>
      <c r="Q847" s="13">
        <v>254</v>
      </c>
      <c r="R847" s="15">
        <f t="shared" si="2515"/>
        <v>0</v>
      </c>
      <c r="S847" s="15"/>
      <c r="T847" s="28"/>
      <c r="U847" s="13">
        <v>254</v>
      </c>
      <c r="V847" s="15">
        <f t="shared" si="2516"/>
        <v>0</v>
      </c>
      <c r="W847" s="180">
        <f>V847*$F$10</f>
        <v>0</v>
      </c>
      <c r="Y847" s="13">
        <v>257</v>
      </c>
      <c r="Z847" s="2">
        <f t="shared" si="2517"/>
        <v>3</v>
      </c>
      <c r="AA847" s="34">
        <f>Z847*$F$10</f>
        <v>61.05</v>
      </c>
      <c r="AB847" s="28"/>
      <c r="AC847" s="348">
        <v>257</v>
      </c>
      <c r="AD847" s="15">
        <f t="shared" si="2518"/>
        <v>0</v>
      </c>
      <c r="AE847" s="34">
        <f>AD847*$F$10</f>
        <v>0</v>
      </c>
      <c r="AF847" s="34"/>
      <c r="AG847" s="15">
        <v>272</v>
      </c>
      <c r="AH847" s="2">
        <f>AG847-AC847</f>
        <v>15</v>
      </c>
      <c r="AI847" s="45">
        <f>AH847*$G$10</f>
        <v>321</v>
      </c>
      <c r="AJ847" s="136">
        <v>1194.06</v>
      </c>
      <c r="AK847" s="15">
        <v>272</v>
      </c>
      <c r="AL847" s="15">
        <f>AK847-AG847</f>
        <v>0</v>
      </c>
      <c r="AM847" s="45">
        <f>AL847*$G$10</f>
        <v>0</v>
      </c>
      <c r="AN847" s="154">
        <v>321</v>
      </c>
      <c r="AO847" s="13">
        <v>272</v>
      </c>
      <c r="AP847" s="15">
        <f>AO847-AK847</f>
        <v>0</v>
      </c>
      <c r="AQ847" s="45">
        <f>AP847*$G$10</f>
        <v>0</v>
      </c>
      <c r="AR847" s="15"/>
      <c r="AS847" s="13">
        <v>272</v>
      </c>
      <c r="AT847" s="15">
        <f>AS847-AO847</f>
        <v>0</v>
      </c>
      <c r="AU847" s="45">
        <f>AT847*$G$10</f>
        <v>0</v>
      </c>
      <c r="AV847" s="15"/>
      <c r="AW847" s="13"/>
      <c r="AX847" s="15">
        <f>AW847-AS847</f>
        <v>-272</v>
      </c>
      <c r="AY847" s="45"/>
      <c r="AZ847" s="208"/>
      <c r="BA847" s="13"/>
      <c r="BB847" s="15"/>
      <c r="BC847" s="45"/>
      <c r="BD847" s="208"/>
      <c r="BE847" s="40">
        <f t="shared" ref="BE847:BG847" si="2520">J847+N847+R847+V847+Z847+AD847+AH847+AL847+AP847+AT847+AX847+BB847</f>
        <v>-254</v>
      </c>
      <c r="BF847" s="41">
        <f t="shared" si="2520"/>
        <v>382.05</v>
      </c>
      <c r="BG847" s="34">
        <f t="shared" si="2520"/>
        <v>1515.06</v>
      </c>
      <c r="BH847" s="35">
        <f t="shared" si="2513"/>
        <v>0</v>
      </c>
      <c r="BK847" s="2" t="b">
        <f>H847='2021'!BH847</f>
        <v>1</v>
      </c>
    </row>
    <row r="848" ht="15.75" customHeight="1" spans="1:63" x14ac:dyDescent="0.25">
      <c r="A848" s="2">
        <v>92</v>
      </c>
      <c r="B848" s="14"/>
      <c r="C848" s="2" t="s">
        <v>164</v>
      </c>
      <c r="D848" s="14" t="s">
        <v>47</v>
      </c>
      <c r="E848" s="2" t="s">
        <v>49</v>
      </c>
      <c r="F848" s="41">
        <v>500</v>
      </c>
      <c r="G848" s="28"/>
      <c r="H848" s="180">
        <f>'2021'!BH848</f>
        <v>0</v>
      </c>
      <c r="I848" s="13"/>
      <c r="J848" s="15"/>
      <c r="K848" s="15"/>
      <c r="L848" s="28"/>
      <c r="M848" s="13"/>
      <c r="N848" s="15"/>
      <c r="Q848" s="13"/>
      <c r="R848" s="15"/>
      <c r="S848" s="15"/>
      <c r="T848" s="28"/>
      <c r="U848" s="13"/>
      <c r="V848" s="15"/>
      <c r="Y848" s="13"/>
      <c r="Z848" s="2"/>
      <c r="AA848" s="15"/>
      <c r="AB848" s="28"/>
      <c r="AC848" s="348"/>
      <c r="AD848" s="15"/>
      <c r="AF848" s="34"/>
      <c r="AG848" s="15"/>
      <c r="AH848" s="2"/>
      <c r="AI848" s="45"/>
      <c r="AJ848" s="15"/>
      <c r="AK848" s="15"/>
      <c r="AL848" s="15"/>
      <c r="AM848" s="45"/>
      <c r="AN848" s="15"/>
      <c r="AO848" s="13"/>
      <c r="AP848" s="15"/>
      <c r="AQ848" s="45"/>
      <c r="AR848" s="15"/>
      <c r="AS848" s="13"/>
      <c r="AT848" s="15"/>
      <c r="AU848" s="45"/>
      <c r="AV848" s="15"/>
      <c r="AW848" s="13"/>
      <c r="AX848" s="15"/>
      <c r="AY848" s="45"/>
      <c r="AZ848" s="28"/>
      <c r="BA848" s="13"/>
      <c r="BB848" s="15"/>
      <c r="BC848" s="45"/>
      <c r="BD848" s="28"/>
      <c r="BE848" s="14"/>
      <c r="BF848" s="41">
        <f t="shared" ref="BF848:BG848" si="2521">K848+O848+S848+W848+AA848+AE848+AI848+AM848+AQ848+AU848+AY848+BC848</f>
        <v>0</v>
      </c>
      <c r="BG848" s="34">
        <f t="shared" si="2521"/>
        <v>0</v>
      </c>
      <c r="BH848" s="35">
        <f t="shared" si="2513"/>
        <v>0</v>
      </c>
      <c r="BK848" s="2" t="b">
        <f>H848='2021'!BH848</f>
        <v>1</v>
      </c>
    </row>
    <row r="849" ht="15.75" customHeight="1" spans="1:63" x14ac:dyDescent="0.25">
      <c r="A849" s="2">
        <v>92</v>
      </c>
      <c r="B849" s="14"/>
      <c r="C849" s="73" t="s">
        <v>442</v>
      </c>
      <c r="D849" s="14" t="s">
        <v>50</v>
      </c>
      <c r="E849" s="2" t="s">
        <v>49</v>
      </c>
      <c r="F849" s="41">
        <v>1100</v>
      </c>
      <c r="G849" s="28"/>
      <c r="H849" s="180">
        <f>'2021'!BH849</f>
        <v>4708</v>
      </c>
      <c r="I849" s="13"/>
      <c r="J849" s="15"/>
      <c r="K849" s="15"/>
      <c r="L849" s="28"/>
      <c r="M849" s="13"/>
      <c r="N849" s="15"/>
      <c r="Q849" s="13"/>
      <c r="R849" s="15"/>
      <c r="S849" s="15"/>
      <c r="T849" s="28"/>
      <c r="U849" s="13"/>
      <c r="V849" s="15"/>
      <c r="Y849" s="13"/>
      <c r="Z849" s="2"/>
      <c r="AA849" s="15"/>
      <c r="AB849" s="28"/>
      <c r="AC849" s="348"/>
      <c r="AD849" s="15"/>
      <c r="AE849" s="34">
        <f>B846*$F$12</f>
        <v>5564</v>
      </c>
      <c r="AF849" s="180"/>
      <c r="AG849" s="15"/>
      <c r="AH849" s="2"/>
      <c r="AI849" s="45"/>
      <c r="AJ849" s="136">
        <v>180.2</v>
      </c>
      <c r="AK849" s="15"/>
      <c r="AL849" s="15"/>
      <c r="AM849" s="45"/>
      <c r="AN849" s="154">
        <f>804.92+500</f>
        <v>1304.92</v>
      </c>
      <c r="AO849" s="13"/>
      <c r="AP849" s="15"/>
      <c r="AQ849" s="45"/>
      <c r="AR849" s="15"/>
      <c r="AS849" s="13"/>
      <c r="AT849" s="15"/>
      <c r="AU849" s="45"/>
      <c r="AV849" s="15"/>
      <c r="AW849" s="13"/>
      <c r="AX849" s="15"/>
      <c r="AY849" s="45"/>
      <c r="AZ849" s="28"/>
      <c r="BA849" s="13"/>
      <c r="BB849" s="15"/>
      <c r="BC849" s="45"/>
      <c r="BD849" s="28"/>
      <c r="BE849" s="14"/>
      <c r="BF849" s="41">
        <f t="shared" ref="BF849:BG849" si="2522">K849+O849+S849+W849+AA849+AE849+AI849+AM849+AQ849+AU849+AY849+BC849</f>
        <v>5564</v>
      </c>
      <c r="BG849" s="34">
        <f t="shared" si="2522"/>
        <v>1485.12</v>
      </c>
      <c r="BH849" s="35">
        <f t="shared" si="2513"/>
        <v>8786.88</v>
      </c>
      <c r="BK849" s="2" t="b">
        <f>H849='2021'!BH849</f>
        <v>1</v>
      </c>
    </row>
    <row r="850" ht="15.75" customHeight="1" spans="1:63" x14ac:dyDescent="0.25">
      <c r="A850" s="2">
        <v>92</v>
      </c>
      <c r="B850" s="14"/>
      <c r="C850" s="2" t="s">
        <v>314</v>
      </c>
      <c r="D850" s="14" t="s">
        <v>51</v>
      </c>
      <c r="E850" s="2" t="s">
        <v>39</v>
      </c>
      <c r="F850" s="41">
        <v>500</v>
      </c>
      <c r="G850" s="28"/>
      <c r="H850" s="180">
        <f>'2021'!BH850</f>
        <v>500</v>
      </c>
      <c r="I850" s="13"/>
      <c r="J850" s="15"/>
      <c r="K850" s="15"/>
      <c r="L850" s="28"/>
      <c r="M850" s="13"/>
      <c r="N850" s="15"/>
      <c r="Q850" s="13"/>
      <c r="R850" s="15"/>
      <c r="S850" s="15"/>
      <c r="T850" s="28"/>
      <c r="U850" s="13"/>
      <c r="V850" s="15"/>
      <c r="Y850" s="13"/>
      <c r="Z850" s="2"/>
      <c r="AA850" s="15"/>
      <c r="AB850" s="28"/>
      <c r="AC850" s="348"/>
      <c r="AD850" s="15"/>
      <c r="AE850" s="180">
        <f>$F$13</f>
        <v>1000</v>
      </c>
      <c r="AG850" s="15"/>
      <c r="AH850" s="2"/>
      <c r="AI850" s="45"/>
      <c r="AJ850" s="15"/>
      <c r="AK850" s="15"/>
      <c r="AL850" s="15"/>
      <c r="AM850" s="45"/>
      <c r="AN850" s="15"/>
      <c r="AO850" s="13"/>
      <c r="AP850" s="15"/>
      <c r="AQ850" s="180"/>
      <c r="AR850" s="15"/>
      <c r="AS850" s="13"/>
      <c r="AT850" s="15"/>
      <c r="AU850" s="45"/>
      <c r="AV850" s="15"/>
      <c r="AW850" s="13"/>
      <c r="AX850" s="15"/>
      <c r="AY850" s="45"/>
      <c r="AZ850" s="28"/>
      <c r="BA850" s="13"/>
      <c r="BB850" s="15"/>
      <c r="BC850" s="45"/>
      <c r="BD850" s="28"/>
      <c r="BE850" s="14"/>
      <c r="BF850" s="41">
        <f t="shared" ref="BF850:BG850" si="2523">K850+O850+S850+W850+AA850+AE850+AI850+AM850+AQ850+AU850+AY850+BC850</f>
        <v>1000</v>
      </c>
      <c r="BG850" s="34">
        <f t="shared" si="2523"/>
        <v>0</v>
      </c>
      <c r="BH850" s="35">
        <f t="shared" si="2513"/>
        <v>1500</v>
      </c>
      <c r="BK850" s="2" t="b">
        <f>H850='2021'!BH850</f>
        <v>1</v>
      </c>
    </row>
    <row r="851" ht="15.75" customHeight="1" spans="1:63" x14ac:dyDescent="0.25">
      <c r="A851" s="2">
        <v>92</v>
      </c>
      <c r="B851" s="14"/>
      <c r="D851" s="14" t="s">
        <v>51</v>
      </c>
      <c r="E851" s="2" t="s">
        <v>49</v>
      </c>
      <c r="F851" s="41">
        <v>500</v>
      </c>
      <c r="G851" s="28"/>
      <c r="H851" s="180">
        <f>'2021'!BH851</f>
        <v>2140</v>
      </c>
      <c r="I851" s="13"/>
      <c r="J851" s="15"/>
      <c r="K851" s="15"/>
      <c r="L851" s="28"/>
      <c r="M851" s="13"/>
      <c r="N851" s="15"/>
      <c r="Q851" s="13"/>
      <c r="R851" s="15"/>
      <c r="S851" s="15"/>
      <c r="T851" s="28"/>
      <c r="U851" s="13"/>
      <c r="V851" s="15"/>
      <c r="Y851" s="13"/>
      <c r="Z851" s="2"/>
      <c r="AA851" s="15"/>
      <c r="AB851" s="28"/>
      <c r="AC851" s="348"/>
      <c r="AD851" s="15"/>
      <c r="AE851" s="34"/>
      <c r="AG851" s="15"/>
      <c r="AH851" s="2"/>
      <c r="AI851" s="45"/>
      <c r="AJ851" s="15"/>
      <c r="AK851" s="15"/>
      <c r="AL851" s="15"/>
      <c r="AM851" s="45"/>
      <c r="AN851" s="15"/>
      <c r="AO851" s="13"/>
      <c r="AP851" s="15"/>
      <c r="AQ851" s="180">
        <f>B846*$F$14</f>
        <v>0</v>
      </c>
      <c r="AR851" s="15"/>
      <c r="AS851" s="13"/>
      <c r="AT851" s="15"/>
      <c r="AU851" s="45"/>
      <c r="AV851" s="15"/>
      <c r="AW851" s="13"/>
      <c r="AX851" s="15"/>
      <c r="AY851" s="45"/>
      <c r="AZ851" s="28"/>
      <c r="BA851" s="13"/>
      <c r="BB851" s="15"/>
      <c r="BC851" s="45"/>
      <c r="BD851" s="28"/>
      <c r="BE851" s="14"/>
      <c r="BF851" s="41">
        <f t="shared" ref="BF851:BG851" si="2524">K851+O851+S851+W851+AA851+AE851+AI851+AM851+AQ851+AU851+AY851+BC851</f>
        <v>0</v>
      </c>
      <c r="BG851" s="34">
        <f t="shared" si="2524"/>
        <v>0</v>
      </c>
      <c r="BH851" s="35">
        <f t="shared" si="2513"/>
        <v>2140</v>
      </c>
      <c r="BK851" s="2" t="b">
        <f>H851='2021'!BH851</f>
        <v>1</v>
      </c>
    </row>
    <row r="852" ht="15.75" customHeight="1" spans="1:63" x14ac:dyDescent="0.25">
      <c r="A852" s="2">
        <v>92</v>
      </c>
      <c r="B852" s="14"/>
      <c r="D852" s="14" t="s">
        <v>52</v>
      </c>
      <c r="E852" s="2" t="s">
        <v>39</v>
      </c>
      <c r="F852" s="41">
        <v>500</v>
      </c>
      <c r="G852" s="28"/>
      <c r="H852" s="180">
        <f>'2021'!BH852</f>
        <v>500</v>
      </c>
      <c r="I852" s="13"/>
      <c r="J852" s="15"/>
      <c r="K852" s="15"/>
      <c r="L852" s="28"/>
      <c r="M852" s="13"/>
      <c r="N852" s="15"/>
      <c r="Q852" s="13"/>
      <c r="R852" s="15"/>
      <c r="S852" s="15"/>
      <c r="T852" s="28"/>
      <c r="U852" s="13"/>
      <c r="V852" s="15"/>
      <c r="Y852" s="13"/>
      <c r="Z852" s="2"/>
      <c r="AA852" s="34">
        <f>$F$15</f>
      </c>
      <c r="AB852" s="28"/>
      <c r="AC852" s="348"/>
      <c r="AD852" s="15"/>
      <c r="AG852" s="15"/>
      <c r="AH852" s="2"/>
      <c r="AI852" s="45"/>
      <c r="AJ852" s="15"/>
      <c r="AK852" s="15"/>
      <c r="AL852" s="15"/>
      <c r="AM852" s="45"/>
      <c r="AN852" s="15"/>
      <c r="AO852" s="13"/>
      <c r="AP852" s="15"/>
      <c r="AQ852" s="45"/>
      <c r="AR852" s="15"/>
      <c r="AS852" s="13"/>
      <c r="AT852" s="15"/>
      <c r="AU852" s="45"/>
      <c r="AV852" s="15"/>
      <c r="AW852" s="13"/>
      <c r="AX852" s="15"/>
      <c r="AY852" s="45"/>
      <c r="AZ852" s="35"/>
      <c r="BA852" s="13"/>
      <c r="BB852" s="15"/>
      <c r="BC852" s="45"/>
      <c r="BD852" s="35"/>
      <c r="BE852" s="14"/>
      <c r="BF852" s="41">
        <f t="shared" ref="BF852:BG852" si="2525">K852+O852+S852+W852+AA852+AE852+AI852+AM852+AQ852+AU852+AY852+BC852</f>
        <v>0</v>
      </c>
      <c r="BG852" s="34">
        <f t="shared" si="2525"/>
        <v>0</v>
      </c>
      <c r="BH852" s="35">
        <f t="shared" si="2513"/>
        <v>500</v>
      </c>
      <c r="BK852" s="2" t="b">
        <f>H852='2021'!BH852</f>
        <v>1</v>
      </c>
    </row>
    <row r="853" ht="15.75" customHeight="1" spans="1:63" x14ac:dyDescent="0.25">
      <c r="A853" s="247">
        <v>92</v>
      </c>
      <c r="B853" s="21"/>
      <c r="C853" s="22" t="s">
        <v>53</v>
      </c>
      <c r="D853" s="21"/>
      <c r="E853" s="22"/>
      <c r="F853" s="20"/>
      <c r="G853" s="23"/>
      <c r="H853" s="51">
        <f>SUM(H845:H852)</f>
        <v>12110.35</v>
      </c>
      <c r="I853" s="52"/>
      <c r="J853" s="53"/>
      <c r="K853" s="51">
        <f t="shared" ref="K853:L853" si="2526">SUM(K845:K852)</f>
        <v>2486.7</v>
      </c>
      <c r="L853" s="68">
        <f t="shared" si="2526"/>
        <v>0</v>
      </c>
      <c r="M853" s="52"/>
      <c r="N853" s="53"/>
      <c r="O853" s="51">
        <f t="shared" ref="O853:P853" si="2527">SUM(O845:O852)</f>
        <v>761.4</v>
      </c>
      <c r="P853" s="51">
        <f t="shared" si="2527"/>
        <v>0</v>
      </c>
      <c r="Q853" s="52"/>
      <c r="R853" s="53"/>
      <c r="S853" s="51">
        <f t="shared" ref="S853:T853" si="2528">SUM(S845:S852)</f>
        <v>1108.18</v>
      </c>
      <c r="T853" s="51">
        <f t="shared" si="2528"/>
        <v>6000</v>
      </c>
      <c r="U853" s="52"/>
      <c r="V853" s="53"/>
      <c r="W853" s="51">
        <f t="shared" ref="W853:X853" si="2529">SUM(W845:W852)</f>
        <v>691.64</v>
      </c>
      <c r="X853" s="51">
        <f t="shared" si="2529"/>
        <v>0</v>
      </c>
      <c r="Y853" s="52"/>
      <c r="Z853" s="301"/>
      <c r="AA853" s="51">
        <f t="shared" ref="AA853:AB853" si="2530">SUM(AA845:AA852)</f>
        <v>731.93</v>
      </c>
      <c r="AB853" s="51">
        <f t="shared" si="2530"/>
        <v>0</v>
      </c>
      <c r="AC853" s="367"/>
      <c r="AD853" s="53"/>
      <c r="AE853" s="51">
        <f t="shared" ref="AE853:AF853" si="2531">SUM(AE845:AE852)</f>
        <v>7363.64</v>
      </c>
      <c r="AF853" s="51">
        <f t="shared" si="2531"/>
        <v>0</v>
      </c>
      <c r="AG853" s="52"/>
      <c r="AH853" s="301"/>
      <c r="AI853" s="183">
        <f t="shared" ref="AI853:AJ853" si="2532">SUM(AI845:AI852)</f>
        <v>717.40744</v>
      </c>
      <c r="AJ853" s="51">
        <f t="shared" si="2532"/>
        <v>5000</v>
      </c>
      <c r="AK853" s="52"/>
      <c r="AL853" s="53"/>
      <c r="AM853" s="183">
        <f t="shared" ref="AM853:AN853" si="2533">SUM(AM845:AM852)</f>
        <v>538.65144</v>
      </c>
      <c r="AN853" s="51">
        <f t="shared" si="2533"/>
        <v>2000</v>
      </c>
      <c r="AO853" s="52"/>
      <c r="AP853" s="53"/>
      <c r="AQ853" s="183">
        <f t="shared" ref="AQ853:AR853" si="2534">SUM(AQ845:AQ852)</f>
        <v>553.97724</v>
      </c>
      <c r="AR853" s="51">
        <f t="shared" si="2534"/>
        <v>0</v>
      </c>
      <c r="AS853" s="52"/>
      <c r="AT853" s="53"/>
      <c r="AU853" s="183">
        <f t="shared" ref="AU853:AV853" si="2535">SUM(AU845:AU852)</f>
        <v>668.997</v>
      </c>
      <c r="AV853" s="68">
        <f t="shared" si="2535"/>
        <v>0</v>
      </c>
      <c r="AW853" s="52"/>
      <c r="AX853" s="53"/>
      <c r="AY853" s="183">
        <f t="shared" ref="AY853:AZ853" si="2536">SUM(AY845:AY852)</f>
        <v>0</v>
      </c>
      <c r="AZ853" s="68">
        <f t="shared" si="2536"/>
        <v>0</v>
      </c>
      <c r="BA853" s="52"/>
      <c r="BB853" s="53"/>
      <c r="BC853" s="183">
        <f t="shared" ref="BC853:BD853" si="2537">SUM(BC845:BC852)</f>
        <v>0</v>
      </c>
      <c r="BD853" s="68">
        <f t="shared" si="2537"/>
        <v>0</v>
      </c>
      <c r="BE853" s="69"/>
      <c r="BF853" s="70">
        <f t="shared" ref="BF853:BH853" si="2538">SUM(BF845:BF852)</f>
        <v>15622.52312</v>
      </c>
      <c r="BG853" s="71">
        <f t="shared" si="2538"/>
        <v>13000</v>
      </c>
      <c r="BH853" s="72">
        <f t="shared" si="2538"/>
        <v>14732.87312</v>
      </c>
      <c r="BI853" s="34">
        <f>H853+BF853-BG853</f>
        <v>14732.87312</v>
      </c>
      <c r="BJ853" s="34">
        <f>BH853-BI853</f>
        <v>0</v>
      </c>
      <c r="BK853" s="2" t="b">
        <f>H853='2021'!BH853</f>
        <v>1</v>
      </c>
    </row>
    <row r="854" ht="15.75" customHeight="1" spans="1:63" x14ac:dyDescent="0.25">
      <c r="A854" s="89" t="s">
        <v>315</v>
      </c>
      <c r="B854" s="14"/>
      <c r="D854" s="176" t="s">
        <v>550</v>
      </c>
      <c r="F854" s="13"/>
      <c r="G854" s="28"/>
      <c r="H854" s="34">
        <f>'2021'!BH854</f>
        <v>14.39</v>
      </c>
      <c r="I854" s="13"/>
      <c r="J854" s="15"/>
      <c r="K854" s="15"/>
      <c r="L854" s="28"/>
      <c r="M854" s="13"/>
      <c r="N854" s="15"/>
      <c r="Q854" s="13"/>
      <c r="R854" s="15"/>
      <c r="S854" s="15">
        <v>14.87</v>
      </c>
      <c r="T854" s="28"/>
      <c r="U854" s="13"/>
      <c r="V854" s="15"/>
      <c r="W854" s="153">
        <v>1.94</v>
      </c>
      <c r="X854" s="34"/>
      <c r="Y854" s="13"/>
      <c r="Z854" s="2"/>
      <c r="AA854" s="154">
        <f>248.5+2</f>
        <v>250.5</v>
      </c>
      <c r="AB854" s="28"/>
      <c r="AC854" s="348"/>
      <c r="AD854" s="15"/>
      <c r="AE854" s="2">
        <v>0.32</v>
      </c>
      <c r="AF854" s="317">
        <f>248.5+40.96</f>
        <v>289.46</v>
      </c>
      <c r="AG854" s="15"/>
      <c r="AH854" s="2"/>
      <c r="AI854" s="45"/>
      <c r="AJ854" s="15"/>
      <c r="AK854" s="15"/>
      <c r="AM854" s="45"/>
      <c r="AO854" s="13"/>
      <c r="AQ854" s="45"/>
      <c r="AR854" s="1"/>
      <c r="AS854" s="13"/>
      <c r="AU854" s="45"/>
      <c r="AW854" s="13"/>
      <c r="AY854" s="45"/>
      <c r="AZ854" s="28"/>
      <c r="BA854" s="13"/>
      <c r="BB854" s="15"/>
      <c r="BC854" s="45"/>
      <c r="BD854" s="28"/>
      <c r="BE854" s="14"/>
      <c r="BF854" s="41">
        <f t="shared" ref="BF854:BG854" si="2539">K854+O854+S854+W854+AA854+AE854+AI854+AM854+AQ854+AU854+AY854+BC854</f>
        <v>267.63</v>
      </c>
      <c r="BG854" s="34">
        <f t="shared" si="2539"/>
        <v>289.46</v>
      </c>
      <c r="BH854" s="35">
        <f t="shared" ref="BH854:BH861" si="2540">H854+BF854-BG854</f>
        <v>-7.44</v>
      </c>
      <c r="BK854" s="2" t="b">
        <f>H854='2021'!BH854</f>
        <v>1</v>
      </c>
    </row>
    <row r="855" ht="15.75" customHeight="1" spans="1:63" x14ac:dyDescent="0.25">
      <c r="A855" s="89" t="s">
        <v>315</v>
      </c>
      <c r="B855" s="14">
        <v>4.36</v>
      </c>
      <c r="C855" s="2" t="s">
        <v>316</v>
      </c>
      <c r="D855" s="14" t="s">
        <v>44</v>
      </c>
      <c r="E855" s="2" t="s">
        <v>45</v>
      </c>
      <c r="F855" s="41">
        <v>2.5</v>
      </c>
      <c r="G855" s="35">
        <v>2.6</v>
      </c>
      <c r="H855" s="180">
        <f>'2021'!BH855</f>
        <v>-31.8</v>
      </c>
      <c r="I855" s="13">
        <v>57111</v>
      </c>
      <c r="J855" s="15">
        <f>I855-'2021'!BA855</f>
        <v>2151</v>
      </c>
      <c r="K855" s="34">
        <f>J855*$F$8</f>
        <v>5807.7</v>
      </c>
      <c r="L855" s="35">
        <v>5900</v>
      </c>
      <c r="M855" s="13">
        <v>59319</v>
      </c>
      <c r="N855" s="15">
        <f t="shared" ref="N855:N856" si="2541">M855-I855</f>
        <v>2208</v>
      </c>
      <c r="O855" s="34">
        <f>N855*$F$8</f>
        <v>5961.6</v>
      </c>
      <c r="P855" s="39">
        <v>6000</v>
      </c>
      <c r="Q855" s="13">
        <v>61172</v>
      </c>
      <c r="R855" s="15">
        <f t="shared" ref="R855:R856" si="2542">Q855-M855</f>
        <v>1853</v>
      </c>
      <c r="S855" s="34">
        <f>R855*$F$8</f>
        <v>5003.1</v>
      </c>
      <c r="T855" s="32">
        <v>5500</v>
      </c>
      <c r="U855" s="13">
        <v>62594</v>
      </c>
      <c r="V855" s="15">
        <f t="shared" ref="V855:V856" si="2543">U855-Q855</f>
        <v>1422</v>
      </c>
      <c r="W855" s="34">
        <f>V855*$F$8</f>
        <v>3839.4</v>
      </c>
      <c r="X855" s="34">
        <v>4000</v>
      </c>
      <c r="Y855" s="13">
        <v>63249</v>
      </c>
      <c r="Z855" s="286">
        <f t="shared" ref="Z855:Z856" si="2544">Y855-U855</f>
        <v>655</v>
      </c>
      <c r="AA855" s="34">
        <f>Z855*$F$8</f>
        <v>1768.5</v>
      </c>
      <c r="AB855" s="32">
        <v>950</v>
      </c>
      <c r="AC855" s="348">
        <v>63735</v>
      </c>
      <c r="AD855" s="15">
        <f t="shared" ref="AD855:AD856" si="2545">AC855-Y855</f>
        <v>486</v>
      </c>
      <c r="AE855" s="180">
        <f>AD855*$F$8</f>
        <v>1312.2</v>
      </c>
      <c r="AF855" s="248"/>
      <c r="AG855" s="15">
        <v>64142</v>
      </c>
      <c r="AH855" s="2">
        <f>(AG855-AC855)*AH5</f>
        <v>429.792</v>
      </c>
      <c r="AI855" s="45">
        <f>AH855*$G$8</f>
        <v>1057.28832</v>
      </c>
      <c r="AJ855" s="248">
        <v>1311</v>
      </c>
      <c r="AK855" s="15">
        <v>64553</v>
      </c>
      <c r="AL855" s="15">
        <f>(AK855-AG855)*AL5</f>
        <v>422.508</v>
      </c>
      <c r="AM855" s="45">
        <f>AL855*$G$8</f>
        <v>1039.36968</v>
      </c>
      <c r="AN855" s="1">
        <f>1100+1050</f>
        <v>2150</v>
      </c>
      <c r="AO855" s="13">
        <v>65034</v>
      </c>
      <c r="AP855" s="15">
        <f>(AO855-AK855)*AP5</f>
        <v>496.873</v>
      </c>
      <c r="AQ855" s="45">
        <f>AP855*$G$8</f>
        <v>1222.30758</v>
      </c>
      <c r="AR855" s="39">
        <v>1500</v>
      </c>
      <c r="AS855" s="13">
        <v>66327</v>
      </c>
      <c r="AT855" s="15">
        <f>(AS855-AO855)*AT5</f>
        <v>1357.65</v>
      </c>
      <c r="AU855" s="45">
        <f t="shared" ref="AU855:AU856" si="2546">AT855*$G$8</f>
        <v>3339.819</v>
      </c>
      <c r="AV855" s="39"/>
      <c r="AW855" s="13"/>
      <c r="AX855" s="15">
        <f>(AW855-AS855)*AX5</f>
        <v>0</v>
      </c>
      <c r="AY855" s="45">
        <f>AX855*$G$8</f>
        <v>0</v>
      </c>
      <c r="AZ855" s="242"/>
      <c r="BA855" s="13"/>
      <c r="BB855" s="15"/>
      <c r="BC855" s="45">
        <f>BB855*$G$8</f>
        <v>0</v>
      </c>
      <c r="BD855" s="246"/>
      <c r="BE855" s="40">
        <f t="shared" ref="BE855:BG855" si="2547">J855+N855+R855+V855+Z855+AD855+AH855+AL855+AP855+AT855+AX855+BB855</f>
        <v>11481.823</v>
      </c>
      <c r="BF855" s="41">
        <f t="shared" si="2547"/>
        <v>30351.28458</v>
      </c>
      <c r="BG855" s="34">
        <f t="shared" si="2547"/>
        <v>27311</v>
      </c>
      <c r="BH855" s="35">
        <f t="shared" si="2540"/>
        <v>3008.48458</v>
      </c>
      <c r="BK855" s="2" t="b">
        <f>H855='2021'!BH855</f>
        <v>1</v>
      </c>
    </row>
    <row r="856" ht="15.75" customHeight="1" spans="1:63" x14ac:dyDescent="0.25">
      <c r="A856" s="89" t="s">
        <v>315</v>
      </c>
      <c r="B856" s="14"/>
      <c r="C856" s="2" t="s">
        <v>317</v>
      </c>
      <c r="D856" s="14" t="s">
        <v>47</v>
      </c>
      <c r="E856" s="2" t="s">
        <v>48</v>
      </c>
      <c r="F856" s="13">
        <v>18.56</v>
      </c>
      <c r="G856" s="35">
        <v>19.46</v>
      </c>
      <c r="H856" s="180">
        <f>'2021'!BH856</f>
        <v>0</v>
      </c>
      <c r="I856" s="13">
        <v>196</v>
      </c>
      <c r="J856" s="15"/>
      <c r="K856" s="15"/>
      <c r="L856" s="28"/>
      <c r="M856" s="13">
        <v>196</v>
      </c>
      <c r="N856" s="15">
        <f t="shared" si="2541"/>
        <v>0</v>
      </c>
      <c r="Q856" s="13">
        <v>196</v>
      </c>
      <c r="R856" s="15">
        <f t="shared" si="2542"/>
        <v>0</v>
      </c>
      <c r="S856" s="15"/>
      <c r="T856" s="28"/>
      <c r="U856" s="13">
        <v>196</v>
      </c>
      <c r="V856" s="15">
        <f t="shared" si="2543"/>
        <v>0</v>
      </c>
      <c r="W856" s="34">
        <f>V856*$F$10</f>
        <v>0</v>
      </c>
      <c r="Y856" s="13">
        <v>197</v>
      </c>
      <c r="Z856" s="2">
        <f t="shared" si="2544"/>
        <v>1</v>
      </c>
      <c r="AA856" s="34">
        <f>Z856*$F$10</f>
        <v>20.35</v>
      </c>
      <c r="AB856" s="28"/>
      <c r="AC856" s="348">
        <v>210</v>
      </c>
      <c r="AD856" s="15">
        <f t="shared" si="2545"/>
        <v>13</v>
      </c>
      <c r="AE856" s="34">
        <f>AD856*$F$10</f>
        <v>264.55</v>
      </c>
      <c r="AF856" s="248">
        <v>20.35</v>
      </c>
      <c r="AG856" s="15">
        <v>214</v>
      </c>
      <c r="AH856" s="2">
        <f>AG856-AC856</f>
        <v>4</v>
      </c>
      <c r="AI856" s="45">
        <f>AH856*$G$10</f>
        <v>85.6</v>
      </c>
      <c r="AJ856" s="248">
        <v>265</v>
      </c>
      <c r="AK856" s="15">
        <v>220</v>
      </c>
      <c r="AL856" s="15">
        <f>AK856-AG856</f>
        <v>6</v>
      </c>
      <c r="AM856" s="45">
        <f>AL856*$G$10</f>
        <v>128.4</v>
      </c>
      <c r="AN856" s="39">
        <f>93.5+129.2</f>
        <v>222.7</v>
      </c>
      <c r="AO856" s="13">
        <v>221</v>
      </c>
      <c r="AP856" s="15">
        <f>AO856-AK856</f>
        <v>1</v>
      </c>
      <c r="AQ856" s="45">
        <f>AP856*$G$10</f>
        <v>21.4</v>
      </c>
      <c r="AR856" s="1"/>
      <c r="AS856" s="13">
        <v>221</v>
      </c>
      <c r="AT856" s="15">
        <f>AS856-AO856</f>
        <v>0</v>
      </c>
      <c r="AU856" s="45">
        <f t="shared" si="2546"/>
        <v>0</v>
      </c>
      <c r="AV856" s="34"/>
      <c r="AW856" s="13"/>
      <c r="AX856" s="15">
        <f>AW856-AS856</f>
        <v>-221</v>
      </c>
      <c r="AY856" s="45"/>
      <c r="AZ856" s="208"/>
      <c r="BA856" s="13"/>
      <c r="BB856" s="15"/>
      <c r="BC856" s="45"/>
      <c r="BD856" s="208"/>
      <c r="BE856" s="40"/>
      <c r="BF856" s="41">
        <f t="shared" ref="BF856:BG856" si="2548">K856+O856+S856+W856+AA856+AE856+AI856+AM856+AQ856+AU856+AY856+BC856</f>
        <v>520.3</v>
      </c>
      <c r="BG856" s="34">
        <f t="shared" si="2548"/>
        <v>508.05</v>
      </c>
      <c r="BH856" s="35">
        <f t="shared" si="2540"/>
        <v>12.25</v>
      </c>
      <c r="BK856" s="2" t="b">
        <f>H856='2021'!BH856</f>
        <v>1</v>
      </c>
    </row>
    <row r="857" ht="15.75" customHeight="1" spans="1:63" x14ac:dyDescent="0.25">
      <c r="A857" s="89" t="s">
        <v>315</v>
      </c>
      <c r="B857" s="14"/>
      <c r="C857" s="2" t="s">
        <v>246</v>
      </c>
      <c r="D857" s="14" t="s">
        <v>47</v>
      </c>
      <c r="E857" s="2" t="s">
        <v>49</v>
      </c>
      <c r="F857" s="41">
        <v>500</v>
      </c>
      <c r="G857" s="28"/>
      <c r="H857" s="180">
        <f>'2021'!BH857</f>
        <v>0</v>
      </c>
      <c r="I857" s="13"/>
      <c r="J857" s="15"/>
      <c r="K857" s="15"/>
      <c r="L857" s="28"/>
      <c r="M857" s="13"/>
      <c r="N857" s="15"/>
      <c r="Q857" s="13"/>
      <c r="R857" s="15"/>
      <c r="S857" s="15"/>
      <c r="T857" s="28"/>
      <c r="U857" s="13"/>
      <c r="V857" s="15"/>
      <c r="Y857" s="13"/>
      <c r="Z857" s="2"/>
      <c r="AA857" s="15"/>
      <c r="AB857" s="28"/>
      <c r="AC857" s="348"/>
      <c r="AD857" s="15"/>
      <c r="AG857" s="15"/>
      <c r="AH857" s="2"/>
      <c r="AI857" s="45"/>
      <c r="AJ857" s="15"/>
      <c r="AK857" s="15"/>
      <c r="AL857" s="15"/>
      <c r="AM857" s="45"/>
      <c r="AN857" s="15"/>
      <c r="AO857" s="13"/>
      <c r="AP857" s="15"/>
      <c r="AQ857" s="45"/>
      <c r="AR857" s="15"/>
      <c r="AS857" s="13"/>
      <c r="AT857" s="15"/>
      <c r="AU857" s="45"/>
      <c r="AV857" s="15"/>
      <c r="AW857" s="13"/>
      <c r="AX857" s="15"/>
      <c r="AY857" s="45"/>
      <c r="AZ857" s="28"/>
      <c r="BA857" s="13"/>
      <c r="BB857" s="15"/>
      <c r="BC857" s="45"/>
      <c r="BD857" s="28"/>
      <c r="BE857" s="14"/>
      <c r="BF857" s="41">
        <f t="shared" ref="BF857:BG857" si="2549">K857+O857+S857+W857+AA857+AE857+AI857+AM857+AQ857+AU857+AY857+BC857</f>
        <v>0</v>
      </c>
      <c r="BG857" s="34">
        <f t="shared" si="2549"/>
        <v>0</v>
      </c>
      <c r="BH857" s="35">
        <f t="shared" si="2540"/>
        <v>0</v>
      </c>
      <c r="BK857" s="2" t="b">
        <f>H857='2021'!BH857</f>
        <v>1</v>
      </c>
    </row>
    <row r="858" ht="15.75" customHeight="1" spans="1:63" x14ac:dyDescent="0.25">
      <c r="A858" s="89" t="s">
        <v>315</v>
      </c>
      <c r="B858" s="14"/>
      <c r="C858" s="2" t="s">
        <v>318</v>
      </c>
      <c r="D858" s="14" t="s">
        <v>50</v>
      </c>
      <c r="E858" s="2" t="s">
        <v>49</v>
      </c>
      <c r="F858" s="41">
        <v>1100</v>
      </c>
      <c r="G858" s="28"/>
      <c r="H858" s="180">
        <f>'2021'!BH858</f>
        <v>4796</v>
      </c>
      <c r="I858" s="13"/>
      <c r="J858" s="15"/>
      <c r="K858" s="15"/>
      <c r="L858" s="28"/>
      <c r="M858" s="13"/>
      <c r="N858" s="15"/>
      <c r="Q858" s="13"/>
      <c r="R858" s="15"/>
      <c r="S858" s="15"/>
      <c r="T858" s="28"/>
      <c r="U858" s="13"/>
      <c r="V858" s="15"/>
      <c r="X858" s="2">
        <v>4151</v>
      </c>
      <c r="Y858" s="13"/>
      <c r="Z858" s="2"/>
      <c r="AA858" s="15"/>
      <c r="AB858" s="28"/>
      <c r="AC858" s="348"/>
      <c r="AD858" s="15"/>
      <c r="AE858" s="34">
        <f>B855*$F$12</f>
        <v>5668</v>
      </c>
      <c r="AF858" s="248">
        <v>645</v>
      </c>
      <c r="AG858" s="15"/>
      <c r="AH858" s="2"/>
      <c r="AI858" s="45"/>
      <c r="AJ858" s="39"/>
      <c r="AK858" s="15"/>
      <c r="AL858" s="15"/>
      <c r="AM858" s="45"/>
      <c r="AN858" s="15"/>
      <c r="AO858" s="13"/>
      <c r="AP858" s="15"/>
      <c r="AQ858" s="45"/>
      <c r="AR858" s="15"/>
      <c r="AS858" s="13"/>
      <c r="AT858" s="15"/>
      <c r="AU858" s="45"/>
      <c r="AV858" s="15"/>
      <c r="AW858" s="13"/>
      <c r="AX858" s="15"/>
      <c r="AY858" s="45"/>
      <c r="AZ858" s="28"/>
      <c r="BA858" s="13"/>
      <c r="BB858" s="15"/>
      <c r="BC858" s="45"/>
      <c r="BD858" s="28"/>
      <c r="BE858" s="14"/>
      <c r="BF858" s="41">
        <f t="shared" ref="BF858:BG858" si="2550">K858+O858+S858+W858+AA858+AE858+AI858+AM858+AQ858+AU858+AY858+BC858</f>
        <v>5668</v>
      </c>
      <c r="BG858" s="34">
        <f t="shared" si="2550"/>
        <v>4796</v>
      </c>
      <c r="BH858" s="35">
        <f t="shared" si="2540"/>
        <v>5668</v>
      </c>
      <c r="BK858" s="2" t="b">
        <f>H858='2021'!BH858</f>
        <v>1</v>
      </c>
    </row>
    <row r="859" ht="15.75" customHeight="1" spans="1:63" x14ac:dyDescent="0.25">
      <c r="A859" s="89" t="s">
        <v>315</v>
      </c>
      <c r="B859" s="14"/>
      <c r="C859" s="2" t="s">
        <v>417</v>
      </c>
      <c r="D859" s="14" t="s">
        <v>51</v>
      </c>
      <c r="E859" s="2" t="s">
        <v>39</v>
      </c>
      <c r="F859" s="41">
        <v>500</v>
      </c>
      <c r="G859" s="28"/>
      <c r="H859" s="180">
        <f>'2021'!BH859</f>
        <v>0</v>
      </c>
      <c r="I859" s="13"/>
      <c r="J859" s="15"/>
      <c r="K859" s="15"/>
      <c r="L859" s="28"/>
      <c r="M859" s="13"/>
      <c r="N859" s="15"/>
      <c r="Q859" s="13"/>
      <c r="R859" s="15"/>
      <c r="S859" s="15"/>
      <c r="T859" s="28"/>
      <c r="U859" s="13"/>
      <c r="V859" s="15"/>
      <c r="Y859" s="13"/>
      <c r="Z859" s="2"/>
      <c r="AA859" s="15"/>
      <c r="AB859" s="28"/>
      <c r="AC859" s="348"/>
      <c r="AD859" s="15"/>
      <c r="AE859" s="180">
        <f>$F$13</f>
        <v>1000</v>
      </c>
      <c r="AF859" s="180"/>
      <c r="AG859" s="15"/>
      <c r="AH859" s="2"/>
      <c r="AI859" s="45"/>
      <c r="AJ859" s="1">
        <v>1000</v>
      </c>
      <c r="AK859" s="15"/>
      <c r="AL859" s="15"/>
      <c r="AM859" s="45"/>
      <c r="AN859" s="15"/>
      <c r="AO859" s="13"/>
      <c r="AP859" s="15"/>
      <c r="AQ859" s="180"/>
      <c r="AR859" s="15"/>
      <c r="AS859" s="13"/>
      <c r="AT859" s="15"/>
      <c r="AU859" s="45"/>
      <c r="AV859" s="15"/>
      <c r="AW859" s="13"/>
      <c r="AX859" s="15"/>
      <c r="AY859" s="45"/>
      <c r="AZ859" s="28"/>
      <c r="BA859" s="13"/>
      <c r="BB859" s="15"/>
      <c r="BC859" s="45"/>
      <c r="BD859" s="28"/>
      <c r="BE859" s="14"/>
      <c r="BF859" s="41">
        <f t="shared" ref="BF859:BG859" si="2551">K859+O859+S859+W859+AA859+AE859+AI859+AM859+AQ859+AU859+AY859+BC859</f>
        <v>1000</v>
      </c>
      <c r="BG859" s="34">
        <f t="shared" si="2551"/>
        <v>1000</v>
      </c>
      <c r="BH859" s="35">
        <f t="shared" si="2540"/>
        <v>0</v>
      </c>
      <c r="BK859" s="2" t="b">
        <f>H859='2021'!BH859</f>
        <v>1</v>
      </c>
    </row>
    <row r="860" ht="15.75" customHeight="1" spans="1:63" x14ac:dyDescent="0.25">
      <c r="A860" s="89" t="s">
        <v>315</v>
      </c>
      <c r="B860" s="14"/>
      <c r="C860" s="2" t="s">
        <v>443</v>
      </c>
      <c r="D860" s="14" t="s">
        <v>51</v>
      </c>
      <c r="E860" s="2" t="s">
        <v>49</v>
      </c>
      <c r="F860" s="41">
        <v>500</v>
      </c>
      <c r="G860" s="28"/>
      <c r="H860" s="180">
        <f>'2021'!BH860</f>
        <v>0</v>
      </c>
      <c r="I860" s="13"/>
      <c r="J860" s="15"/>
      <c r="K860" s="15"/>
      <c r="L860" s="28"/>
      <c r="M860" s="13"/>
      <c r="N860" s="15"/>
      <c r="Q860" s="13"/>
      <c r="R860" s="15"/>
      <c r="S860" s="15"/>
      <c r="T860" s="28"/>
      <c r="U860" s="13"/>
      <c r="V860" s="15"/>
      <c r="Y860" s="13"/>
      <c r="Z860" s="2"/>
      <c r="AA860" s="15"/>
      <c r="AB860" s="28"/>
      <c r="AC860" s="348"/>
      <c r="AD860" s="15"/>
      <c r="AE860" s="34"/>
      <c r="AF860" s="34"/>
      <c r="AG860" s="15"/>
      <c r="AH860" s="2"/>
      <c r="AI860" s="45"/>
      <c r="AJ860" s="15"/>
      <c r="AK860" s="15"/>
      <c r="AL860" s="15"/>
      <c r="AM860" s="45"/>
      <c r="AN860" s="15"/>
      <c r="AO860" s="13"/>
      <c r="AP860" s="15"/>
      <c r="AQ860" s="180">
        <f>B855*$F$14</f>
        <v>0</v>
      </c>
      <c r="AR860" s="15"/>
      <c r="AS860" s="13"/>
      <c r="AT860" s="15"/>
      <c r="AU860" s="45"/>
      <c r="AV860" s="15"/>
      <c r="AW860" s="13"/>
      <c r="AX860" s="15"/>
      <c r="AY860" s="45"/>
      <c r="AZ860" s="28"/>
      <c r="BA860" s="13"/>
      <c r="BB860" s="15"/>
      <c r="BC860" s="45"/>
      <c r="BD860" s="35"/>
      <c r="BE860" s="14"/>
      <c r="BF860" s="41">
        <f t="shared" ref="BF860:BG860" si="2552">K860+O860+S860+W860+AA860+AE860+AI860+AM860+AQ860+AU860+AY860+BC860</f>
        <v>0</v>
      </c>
      <c r="BG860" s="34">
        <f t="shared" si="2552"/>
        <v>0</v>
      </c>
      <c r="BH860" s="35">
        <f t="shared" si="2540"/>
        <v>0</v>
      </c>
      <c r="BK860" s="2" t="b">
        <f>H860='2021'!BH860</f>
        <v>1</v>
      </c>
    </row>
    <row r="861" ht="15.75" customHeight="1" spans="1:63" x14ac:dyDescent="0.25">
      <c r="A861" s="89" t="s">
        <v>315</v>
      </c>
      <c r="B861" s="14"/>
      <c r="D861" s="14" t="s">
        <v>52</v>
      </c>
      <c r="E861" s="2" t="s">
        <v>39</v>
      </c>
      <c r="F861" s="41">
        <v>500</v>
      </c>
      <c r="G861" s="28"/>
      <c r="H861" s="180">
        <f>'2021'!BH861</f>
        <v>0</v>
      </c>
      <c r="I861" s="13"/>
      <c r="J861" s="15"/>
      <c r="K861" s="15"/>
      <c r="L861" s="28"/>
      <c r="M861" s="13"/>
      <c r="N861" s="15"/>
      <c r="Q861" s="13"/>
      <c r="R861" s="15"/>
      <c r="S861" s="15"/>
      <c r="T861" s="28"/>
      <c r="U861" s="13"/>
      <c r="V861" s="15"/>
      <c r="Y861" s="13"/>
      <c r="Z861" s="2"/>
      <c r="AA861" s="34">
        <f>$F$15</f>
      </c>
      <c r="AB861" s="28"/>
      <c r="AC861" s="348"/>
      <c r="AD861" s="15"/>
      <c r="AF861" s="39"/>
      <c r="AG861" s="15"/>
      <c r="AH861" s="2"/>
      <c r="AI861" s="45"/>
      <c r="AJ861" s="15"/>
      <c r="AK861" s="15"/>
      <c r="AL861" s="15"/>
      <c r="AM861" s="45"/>
      <c r="AN861" s="15"/>
      <c r="AO861" s="13"/>
      <c r="AP861" s="15"/>
      <c r="AQ861" s="45"/>
      <c r="AR861" s="15"/>
      <c r="AS861" s="13"/>
      <c r="AT861" s="15"/>
      <c r="AU861" s="45"/>
      <c r="AV861" s="15"/>
      <c r="AW861" s="13"/>
      <c r="AX861" s="15"/>
      <c r="AY861" s="45"/>
      <c r="AZ861" s="35"/>
      <c r="BA861" s="13"/>
      <c r="BB861" s="15"/>
      <c r="BC861" s="45"/>
      <c r="BD861" s="35"/>
      <c r="BE861" s="14"/>
      <c r="BF861" s="41">
        <f t="shared" ref="BF861:BG861" si="2553">K861+O861+S861+W861+AA861+AE861+AI861+AM861+AQ861+AU861+AY861+BC861</f>
        <v>0</v>
      </c>
      <c r="BG861" s="34">
        <f t="shared" si="2553"/>
        <v>0</v>
      </c>
      <c r="BH861" s="35">
        <f t="shared" si="2540"/>
        <v>0</v>
      </c>
      <c r="BK861" s="2" t="b">
        <f>H861='2021'!BH861</f>
        <v>1</v>
      </c>
    </row>
    <row r="862" ht="15.75" customHeight="1" spans="1:63" x14ac:dyDescent="0.25">
      <c r="A862" s="243" t="s">
        <v>315</v>
      </c>
      <c r="B862" s="21"/>
      <c r="C862" s="22" t="s">
        <v>53</v>
      </c>
      <c r="D862" s="21"/>
      <c r="E862" s="22"/>
      <c r="F862" s="20"/>
      <c r="G862" s="23"/>
      <c r="H862" s="51">
        <f>SUM(H854:H861)</f>
        <v>4778.59</v>
      </c>
      <c r="I862" s="52"/>
      <c r="J862" s="53"/>
      <c r="K862" s="51">
        <f t="shared" ref="K862:L862" si="2554">SUM(K854:K861)</f>
        <v>5807.7</v>
      </c>
      <c r="L862" s="68">
        <f t="shared" si="2554"/>
        <v>5900</v>
      </c>
      <c r="M862" s="52"/>
      <c r="N862" s="53"/>
      <c r="O862" s="51">
        <f t="shared" ref="O862:P862" si="2555">SUM(O854:O861)</f>
        <v>5961.6</v>
      </c>
      <c r="P862" s="51">
        <f t="shared" si="2555"/>
        <v>6000</v>
      </c>
      <c r="Q862" s="52"/>
      <c r="R862" s="53"/>
      <c r="S862" s="51">
        <f t="shared" ref="S862:T862" si="2556">SUM(S854:S861)</f>
        <v>5017.97</v>
      </c>
      <c r="T862" s="51">
        <f t="shared" si="2556"/>
        <v>5500</v>
      </c>
      <c r="U862" s="52"/>
      <c r="V862" s="53"/>
      <c r="W862" s="51">
        <f t="shared" ref="W862:X862" si="2557">SUM(W854:W861)</f>
        <v>3841.34</v>
      </c>
      <c r="X862" s="51">
        <f t="shared" si="2557"/>
        <v>8151</v>
      </c>
      <c r="Y862" s="52"/>
      <c r="Z862" s="301"/>
      <c r="AA862" s="51">
        <f t="shared" ref="AA862:AB862" si="2558">SUM(AA854:AA861)</f>
        <v>2039.35</v>
      </c>
      <c r="AB862" s="51">
        <f t="shared" si="2558"/>
        <v>950</v>
      </c>
      <c r="AC862" s="367"/>
      <c r="AD862" s="53"/>
      <c r="AE862" s="51">
        <f t="shared" ref="AE862:AF862" si="2559">SUM(AE854:AE861)</f>
        <v>8245.07</v>
      </c>
      <c r="AF862" s="51">
        <f t="shared" si="2559"/>
        <v>954.81</v>
      </c>
      <c r="AG862" s="52"/>
      <c r="AH862" s="301"/>
      <c r="AI862" s="183">
        <f t="shared" ref="AI862:AJ862" si="2560">SUM(AI854:AI861)</f>
        <v>1142.88832</v>
      </c>
      <c r="AJ862" s="51">
        <f t="shared" si="2560"/>
        <v>2576</v>
      </c>
      <c r="AK862" s="52"/>
      <c r="AL862" s="53"/>
      <c r="AM862" s="183">
        <f t="shared" ref="AM862:AN862" si="2561">SUM(AM854:AM861)</f>
        <v>1167.76968</v>
      </c>
      <c r="AN862" s="51">
        <f t="shared" si="2561"/>
        <v>2372.7</v>
      </c>
      <c r="AO862" s="52"/>
      <c r="AP862" s="53"/>
      <c r="AQ862" s="183">
        <f t="shared" ref="AQ862:AR862" si="2562">SUM(AQ854:AQ861)</f>
        <v>1243.70758</v>
      </c>
      <c r="AR862" s="51">
        <f t="shared" si="2562"/>
        <v>1500</v>
      </c>
      <c r="AS862" s="52"/>
      <c r="AT862" s="53"/>
      <c r="AU862" s="183">
        <f t="shared" ref="AU862:AV862" si="2563">SUM(AU854:AU861)</f>
        <v>3339.819</v>
      </c>
      <c r="AV862" s="68">
        <f t="shared" si="2563"/>
        <v>0</v>
      </c>
      <c r="AW862" s="52"/>
      <c r="AX862" s="53"/>
      <c r="AY862" s="183">
        <f t="shared" ref="AY862:AZ862" si="2564">SUM(AY854:AY861)</f>
        <v>0</v>
      </c>
      <c r="AZ862" s="68">
        <f t="shared" si="2564"/>
        <v>0</v>
      </c>
      <c r="BA862" s="52"/>
      <c r="BB862" s="53"/>
      <c r="BC862" s="183">
        <f t="shared" ref="BC862:BD862" si="2565">SUM(BC854:BC861)</f>
        <v>0</v>
      </c>
      <c r="BD862" s="68">
        <f t="shared" si="2565"/>
        <v>0</v>
      </c>
      <c r="BE862" s="69"/>
      <c r="BF862" s="70">
        <f t="shared" ref="BF862:BH862" si="2566">SUM(BF854:BF861)</f>
        <v>37807.21458</v>
      </c>
      <c r="BG862" s="71">
        <f t="shared" si="2566"/>
        <v>33904.51</v>
      </c>
      <c r="BH862" s="72">
        <f t="shared" si="2566"/>
        <v>8681.29458</v>
      </c>
      <c r="BI862" s="34">
        <f>H862+BF862-BG862</f>
        <v>8681.29458</v>
      </c>
      <c r="BJ862" s="34">
        <f>BH862-BI862</f>
        <v>0</v>
      </c>
      <c r="BK862" s="2" t="b">
        <f>H862='2021'!BH862</f>
        <v>1</v>
      </c>
    </row>
    <row r="863" ht="15.75" customHeight="1" spans="1:63" x14ac:dyDescent="0.25">
      <c r="A863" s="89" t="s">
        <v>315</v>
      </c>
      <c r="B863" s="14"/>
      <c r="D863" s="14" t="s">
        <v>379</v>
      </c>
      <c r="F863" s="13"/>
      <c r="G863" s="28"/>
      <c r="H863" s="34">
        <f>'2021'!BH863</f>
        <v>14.52</v>
      </c>
      <c r="I863" s="13"/>
      <c r="J863" s="15"/>
      <c r="K863" s="15"/>
      <c r="L863" s="28"/>
      <c r="M863" s="13"/>
      <c r="N863" s="15"/>
      <c r="Q863" s="13"/>
      <c r="R863" s="15"/>
      <c r="S863" s="15">
        <v>15</v>
      </c>
      <c r="T863" s="28"/>
      <c r="U863" s="13"/>
      <c r="V863" s="15"/>
      <c r="W863" s="2">
        <v>14.52</v>
      </c>
      <c r="Y863" s="13"/>
      <c r="Z863" s="2"/>
      <c r="AA863" s="15">
        <v>15</v>
      </c>
      <c r="AB863" s="28"/>
      <c r="AC863" s="348"/>
      <c r="AD863" s="15"/>
      <c r="AE863" s="2">
        <v>2.42</v>
      </c>
      <c r="AF863" s="2">
        <v>59.04</v>
      </c>
      <c r="AG863" s="15"/>
      <c r="AH863" s="2"/>
      <c r="AI863" s="45"/>
      <c r="AJ863" s="15"/>
      <c r="AK863" s="15"/>
      <c r="AM863" s="45"/>
      <c r="AO863" s="13"/>
      <c r="AQ863" s="45"/>
      <c r="AS863" s="13"/>
      <c r="AU863" s="45"/>
      <c r="AW863" s="13"/>
      <c r="AY863" s="45"/>
      <c r="AZ863" s="28"/>
      <c r="BA863" s="13"/>
      <c r="BB863" s="15"/>
      <c r="BC863" s="45"/>
      <c r="BD863" s="28"/>
      <c r="BE863" s="14"/>
      <c r="BF863" s="41">
        <f t="shared" ref="BF863:BG863" si="2567">K863+O863+S863+W863+AA863+AE863+AI863+AM863+AQ863+AU863+AY863+BC863</f>
        <v>46.94</v>
      </c>
      <c r="BG863" s="34">
        <f t="shared" si="2567"/>
        <v>59.04</v>
      </c>
      <c r="BH863" s="35">
        <f t="shared" ref="BH863:BH870" si="2568">H863+BF863-BG863</f>
        <v>2.42</v>
      </c>
      <c r="BK863" s="2" t="b">
        <f>H863='2021'!BH863</f>
        <v>1</v>
      </c>
    </row>
    <row r="864" ht="15.75" customHeight="1" spans="1:63" x14ac:dyDescent="0.25">
      <c r="A864" s="89" t="s">
        <v>315</v>
      </c>
      <c r="B864" s="42">
        <v>4.4</v>
      </c>
      <c r="C864" s="2" t="s">
        <v>316</v>
      </c>
      <c r="D864" s="14" t="s">
        <v>44</v>
      </c>
      <c r="E864" s="2" t="s">
        <v>45</v>
      </c>
      <c r="F864" s="41">
        <v>2.5</v>
      </c>
      <c r="G864" s="35">
        <v>2.6</v>
      </c>
      <c r="H864" s="180">
        <f>'2021'!BH864</f>
        <v>0</v>
      </c>
      <c r="I864" s="13"/>
      <c r="J864" s="15">
        <f>I864-'2021'!BA864</f>
        <v>0</v>
      </c>
      <c r="K864" s="34">
        <f>J864*$F$8</f>
        <v>0</v>
      </c>
      <c r="L864" s="28"/>
      <c r="M864" s="13"/>
      <c r="N864" s="15">
        <f t="shared" ref="N864:N865" si="2569">M864-I864</f>
        <v>0</v>
      </c>
      <c r="O864" s="34">
        <f>N864*$F$8</f>
        <v>0</v>
      </c>
      <c r="P864" s="34"/>
      <c r="Q864" s="13"/>
      <c r="R864" s="15">
        <f t="shared" ref="R864:R865" si="2570">Q864-M864</f>
        <v>0</v>
      </c>
      <c r="S864" s="34">
        <f>R864*$F$8</f>
        <v>0</v>
      </c>
      <c r="T864" s="35"/>
      <c r="U864" s="13"/>
      <c r="V864" s="15">
        <f t="shared" ref="V864:V865" si="2571">U864-Q864</f>
        <v>0</v>
      </c>
      <c r="W864" s="34">
        <f>V864*$F$8</f>
        <v>0</v>
      </c>
      <c r="X864" s="15"/>
      <c r="Y864" s="13"/>
      <c r="Z864" s="2">
        <f>Y864-U864</f>
        <v>0</v>
      </c>
      <c r="AA864" s="34">
        <f>Z864*$F$8</f>
        <v>0</v>
      </c>
      <c r="AB864" s="28"/>
      <c r="AC864" s="348"/>
      <c r="AD864" s="15">
        <f t="shared" ref="AD864:AD865" si="2572">AC864-Y864</f>
        <v>0</v>
      </c>
      <c r="AE864" s="180">
        <f>AD864*$F$8</f>
        <v>0</v>
      </c>
      <c r="AF864" s="34"/>
      <c r="AG864" s="15"/>
      <c r="AH864" s="2">
        <f>(AG864-AC864)*AH5</f>
        <v>0</v>
      </c>
      <c r="AI864" s="45">
        <f>AH864*$G$8</f>
        <v>0</v>
      </c>
      <c r="AJ864" s="180"/>
      <c r="AK864" s="15"/>
      <c r="AL864" s="15">
        <f>(AK864-AG864)*AL5</f>
        <v>0</v>
      </c>
      <c r="AM864" s="45">
        <f>AL864*$G$8</f>
        <v>0</v>
      </c>
      <c r="AN864" s="15"/>
      <c r="AO864" s="13"/>
      <c r="AP864" s="15">
        <f>(AO864-AK864)*AP5</f>
        <v>0</v>
      </c>
      <c r="AQ864" s="45">
        <f>AP864*$G$8</f>
        <v>0</v>
      </c>
      <c r="AR864" s="15"/>
      <c r="AS864" s="13"/>
      <c r="AT864" s="15">
        <f>(AS864-AO864)*AT5</f>
        <v>0</v>
      </c>
      <c r="AU864" s="45">
        <f t="shared" ref="AU864:AU865" si="2573">AT864*$G$8</f>
        <v>0</v>
      </c>
      <c r="AV864" s="15"/>
      <c r="AW864" s="13"/>
      <c r="AX864" s="15">
        <f>(AW864-AS864)*AX5</f>
        <v>0</v>
      </c>
      <c r="AY864" s="45">
        <f>AX864*$G$8</f>
        <v>0</v>
      </c>
      <c r="AZ864" s="208"/>
      <c r="BA864" s="13"/>
      <c r="BB864" s="15"/>
      <c r="BC864" s="45">
        <f>BB864*$G$8</f>
        <v>0</v>
      </c>
      <c r="BD864" s="208"/>
      <c r="BE864" s="40">
        <f t="shared" ref="BE864:BG864" si="2574">J864+N864+R864+V864+Z864+AD864+AH864+AL864+AP864+AT864+AX864+BB864</f>
        <v>0</v>
      </c>
      <c r="BF864" s="41">
        <f t="shared" si="2574"/>
        <v>0</v>
      </c>
      <c r="BG864" s="34">
        <f t="shared" si="2574"/>
        <v>0</v>
      </c>
      <c r="BH864" s="35">
        <f t="shared" si="2568"/>
        <v>0</v>
      </c>
      <c r="BK864" s="2" t="b">
        <f>H864='2021'!BH864</f>
        <v>1</v>
      </c>
    </row>
    <row r="865" ht="15.75" customHeight="1" spans="1:63" x14ac:dyDescent="0.25">
      <c r="A865" s="89" t="s">
        <v>315</v>
      </c>
      <c r="B865" s="14"/>
      <c r="C865" s="2" t="s">
        <v>317</v>
      </c>
      <c r="D865" s="14" t="s">
        <v>47</v>
      </c>
      <c r="E865" s="2" t="s">
        <v>48</v>
      </c>
      <c r="F865" s="13">
        <v>18.56</v>
      </c>
      <c r="G865" s="35">
        <v>19.46</v>
      </c>
      <c r="H865" s="180">
        <f>'2021'!BH865</f>
        <v>-1.38</v>
      </c>
      <c r="I865" s="13">
        <v>15</v>
      </c>
      <c r="J865" s="15"/>
      <c r="K865" s="15"/>
      <c r="L865" s="28"/>
      <c r="M865" s="13">
        <v>15</v>
      </c>
      <c r="N865" s="15">
        <f t="shared" si="2569"/>
        <v>0</v>
      </c>
      <c r="Q865" s="13">
        <v>15</v>
      </c>
      <c r="R865" s="15">
        <f t="shared" si="2570"/>
        <v>0</v>
      </c>
      <c r="S865" s="15"/>
      <c r="T865" s="28"/>
      <c r="U865" s="13">
        <v>17</v>
      </c>
      <c r="V865" s="15">
        <f t="shared" si="2571"/>
        <v>2</v>
      </c>
      <c r="W865" s="180">
        <f>V865*$F$10</f>
        <v>40.7</v>
      </c>
      <c r="Y865" s="13">
        <v>0</v>
      </c>
      <c r="Z865" s="2">
        <v>0</v>
      </c>
      <c r="AA865" s="34">
        <f>Z865*$F$10</f>
        <v>0</v>
      </c>
      <c r="AB865" s="28"/>
      <c r="AC865" s="348">
        <v>10</v>
      </c>
      <c r="AD865" s="15">
        <f t="shared" si="2572"/>
        <v>10</v>
      </c>
      <c r="AE865" s="34">
        <f>AD865*$F$10</f>
        <v>203.5</v>
      </c>
      <c r="AF865" s="248">
        <v>39.32</v>
      </c>
      <c r="AG865" s="15">
        <v>15</v>
      </c>
      <c r="AH865" s="2">
        <f>AG865-AC865</f>
        <v>5</v>
      </c>
      <c r="AI865" s="45">
        <f>AH865*$G$10</f>
        <v>107</v>
      </c>
      <c r="AJ865" s="248">
        <v>204</v>
      </c>
      <c r="AK865" s="15">
        <v>17</v>
      </c>
      <c r="AL865" s="15">
        <f>AK865-AG865</f>
        <v>2</v>
      </c>
      <c r="AM865" s="45">
        <f>AL865*$G$10</f>
        <v>42.8</v>
      </c>
      <c r="AN865" s="39">
        <f>106.5+42.8</f>
        <v>149.3</v>
      </c>
      <c r="AO865" s="13">
        <v>18</v>
      </c>
      <c r="AP865" s="15">
        <f>AO865-AK865</f>
        <v>1</v>
      </c>
      <c r="AQ865" s="45">
        <f>AP865*$G$10</f>
        <v>21.4</v>
      </c>
      <c r="AR865" s="1"/>
      <c r="AS865" s="13">
        <v>18</v>
      </c>
      <c r="AT865" s="15">
        <f>AS865-AO865</f>
        <v>0</v>
      </c>
      <c r="AU865" s="45">
        <f t="shared" si="2573"/>
        <v>0</v>
      </c>
      <c r="AV865" s="15"/>
      <c r="AW865" s="13"/>
      <c r="AX865" s="15">
        <f>AW865-AS865</f>
        <v>-18</v>
      </c>
      <c r="AY865" s="45"/>
      <c r="AZ865" s="249"/>
      <c r="BA865" s="13"/>
      <c r="BB865" s="15"/>
      <c r="BC865" s="45"/>
      <c r="BD865" s="208"/>
      <c r="BE865" s="40">
        <f t="shared" ref="BE865:BG865" si="2575">J865+N865+R865+V865+Z865+AD865+AH865+AL865+AP865+AT865+AX865+BB865</f>
        <v>2</v>
      </c>
      <c r="BF865" s="41">
        <f t="shared" si="2575"/>
        <v>415.4</v>
      </c>
      <c r="BG865" s="34">
        <f t="shared" si="2575"/>
        <v>392.62</v>
      </c>
      <c r="BH865" s="35">
        <f t="shared" si="2568"/>
        <v>21.4</v>
      </c>
      <c r="BK865" s="2" t="b">
        <f>H865='2021'!BH865</f>
        <v>1</v>
      </c>
    </row>
    <row r="866" ht="15.75" customHeight="1" spans="1:63" x14ac:dyDescent="0.25">
      <c r="A866" s="89" t="s">
        <v>315</v>
      </c>
      <c r="B866" s="14"/>
      <c r="C866" s="2" t="s">
        <v>246</v>
      </c>
      <c r="D866" s="14" t="s">
        <v>47</v>
      </c>
      <c r="E866" s="2" t="s">
        <v>49</v>
      </c>
      <c r="F866" s="41">
        <v>500</v>
      </c>
      <c r="G866" s="28"/>
      <c r="H866" s="180">
        <f>'2021'!BH866</f>
        <v>0</v>
      </c>
      <c r="I866" s="13"/>
      <c r="J866" s="15"/>
      <c r="K866" s="15"/>
      <c r="L866" s="28"/>
      <c r="M866" s="13"/>
      <c r="N866" s="15"/>
      <c r="Q866" s="13"/>
      <c r="R866" s="15"/>
      <c r="S866" s="15"/>
      <c r="T866" s="28"/>
      <c r="U866" s="13"/>
      <c r="V866" s="15"/>
      <c r="Y866" s="13"/>
      <c r="Z866" s="2"/>
      <c r="AA866" s="15"/>
      <c r="AB866" s="28"/>
      <c r="AC866" s="348"/>
      <c r="AD866" s="15"/>
      <c r="AG866" s="15"/>
      <c r="AH866" s="2"/>
      <c r="AI866" s="45"/>
      <c r="AJ866" s="15"/>
      <c r="AK866" s="15"/>
      <c r="AL866" s="15"/>
      <c r="AM866" s="45"/>
      <c r="AN866" s="15"/>
      <c r="AO866" s="13"/>
      <c r="AP866" s="15"/>
      <c r="AQ866" s="45"/>
      <c r="AR866" s="15"/>
      <c r="AS866" s="13"/>
      <c r="AT866" s="15"/>
      <c r="AU866" s="45"/>
      <c r="AV866" s="15"/>
      <c r="AW866" s="13"/>
      <c r="AX866" s="15"/>
      <c r="AY866" s="45"/>
      <c r="AZ866" s="28"/>
      <c r="BA866" s="13"/>
      <c r="BB866" s="15"/>
      <c r="BC866" s="45"/>
      <c r="BD866" s="28"/>
      <c r="BE866" s="14"/>
      <c r="BF866" s="41">
        <f t="shared" ref="BF866:BG866" si="2576">K866+O866+S866+W866+AA866+AE866+AI866+AM866+AQ866+AU866+AY866+BC866</f>
        <v>0</v>
      </c>
      <c r="BG866" s="34">
        <f t="shared" si="2576"/>
        <v>0</v>
      </c>
      <c r="BH866" s="35">
        <f t="shared" si="2568"/>
        <v>0</v>
      </c>
      <c r="BK866" s="2" t="b">
        <f>H866='2021'!BH866</f>
        <v>1</v>
      </c>
    </row>
    <row r="867" ht="15.75" customHeight="1" spans="1:63" x14ac:dyDescent="0.25">
      <c r="A867" s="89" t="s">
        <v>315</v>
      </c>
      <c r="B867" s="14"/>
      <c r="C867" s="2" t="s">
        <v>318</v>
      </c>
      <c r="D867" s="14" t="s">
        <v>50</v>
      </c>
      <c r="E867" s="2" t="s">
        <v>49</v>
      </c>
      <c r="F867" s="41">
        <v>1100</v>
      </c>
      <c r="G867" s="28"/>
      <c r="H867" s="180">
        <f>'2021'!BH867</f>
        <v>4840</v>
      </c>
      <c r="I867" s="13"/>
      <c r="J867" s="15"/>
      <c r="K867" s="15"/>
      <c r="L867" s="28"/>
      <c r="M867" s="13"/>
      <c r="N867" s="15"/>
      <c r="Q867" s="13"/>
      <c r="R867" s="15"/>
      <c r="S867" s="15"/>
      <c r="T867" s="28"/>
      <c r="U867" s="13"/>
      <c r="V867" s="15"/>
      <c r="Y867" s="13"/>
      <c r="Z867" s="2"/>
      <c r="AA867" s="15"/>
      <c r="AB867" s="28"/>
      <c r="AC867" s="348"/>
      <c r="AD867" s="15"/>
      <c r="AE867" s="34">
        <f>B864*$F$12</f>
        <v>5720</v>
      </c>
      <c r="AF867" s="1">
        <v>4840</v>
      </c>
      <c r="AG867" s="15"/>
      <c r="AH867" s="2"/>
      <c r="AI867" s="45"/>
      <c r="AJ867" s="39"/>
      <c r="AK867" s="15"/>
      <c r="AL867" s="15"/>
      <c r="AM867" s="45"/>
      <c r="AN867" s="15"/>
      <c r="AO867" s="13"/>
      <c r="AP867" s="15"/>
      <c r="AQ867" s="45"/>
      <c r="AR867" s="34"/>
      <c r="AS867" s="13"/>
      <c r="AT867" s="15"/>
      <c r="AU867" s="45"/>
      <c r="AV867" s="15"/>
      <c r="AW867" s="13"/>
      <c r="AX867" s="15"/>
      <c r="AY867" s="45"/>
      <c r="AZ867" s="28"/>
      <c r="BA867" s="13"/>
      <c r="BB867" s="15"/>
      <c r="BC867" s="45"/>
      <c r="BD867" s="28"/>
      <c r="BE867" s="14"/>
      <c r="BF867" s="41">
        <f t="shared" ref="BF867:BG867" si="2577">K867+O867+S867+W867+AA867+AE867+AI867+AM867+AQ867+AU867+AY867+BC867</f>
        <v>5720</v>
      </c>
      <c r="BG867" s="34">
        <f t="shared" si="2577"/>
        <v>4840</v>
      </c>
      <c r="BH867" s="35">
        <f t="shared" si="2568"/>
        <v>5720</v>
      </c>
      <c r="BK867" s="2" t="b">
        <f>H867='2021'!BH867</f>
        <v>1</v>
      </c>
    </row>
    <row r="868" ht="15.75" customHeight="1" spans="1:63" x14ac:dyDescent="0.25">
      <c r="A868" s="89" t="s">
        <v>315</v>
      </c>
      <c r="B868" s="14"/>
      <c r="C868" s="2" t="s">
        <v>417</v>
      </c>
      <c r="D868" s="14" t="s">
        <v>51</v>
      </c>
      <c r="E868" s="2" t="s">
        <v>39</v>
      </c>
      <c r="F868" s="41">
        <v>500</v>
      </c>
      <c r="G868" s="28"/>
      <c r="H868" s="180">
        <f>'2021'!BH868</f>
        <v>0</v>
      </c>
      <c r="I868" s="13"/>
      <c r="J868" s="15"/>
      <c r="K868" s="15"/>
      <c r="L868" s="28"/>
      <c r="M868" s="13"/>
      <c r="N868" s="15"/>
      <c r="Q868" s="13"/>
      <c r="R868" s="15"/>
      <c r="S868" s="15"/>
      <c r="T868" s="28"/>
      <c r="U868" s="13"/>
      <c r="V868" s="15"/>
      <c r="Y868" s="13"/>
      <c r="Z868" s="2"/>
      <c r="AA868" s="15"/>
      <c r="AB868" s="28"/>
      <c r="AC868" s="348"/>
      <c r="AD868" s="15"/>
      <c r="AE868" s="180">
        <f>$F$13</f>
        <v>1000</v>
      </c>
      <c r="AF868" s="1"/>
      <c r="AG868" s="15"/>
      <c r="AH868" s="2"/>
      <c r="AI868" s="45"/>
      <c r="AJ868" s="1">
        <v>1000</v>
      </c>
      <c r="AK868" s="15"/>
      <c r="AL868" s="15"/>
      <c r="AM868" s="45"/>
      <c r="AN868" s="15"/>
      <c r="AO868" s="13"/>
      <c r="AP868" s="15"/>
      <c r="AQ868" s="180"/>
      <c r="AR868" s="15"/>
      <c r="AS868" s="13"/>
      <c r="AT868" s="15"/>
      <c r="AU868" s="45"/>
      <c r="AV868" s="15"/>
      <c r="AW868" s="13"/>
      <c r="AX868" s="15"/>
      <c r="AY868" s="45"/>
      <c r="AZ868" s="28"/>
      <c r="BA868" s="13"/>
      <c r="BB868" s="15"/>
      <c r="BC868" s="45"/>
      <c r="BD868" s="28"/>
      <c r="BE868" s="14"/>
      <c r="BF868" s="41">
        <f t="shared" ref="BF868:BG868" si="2578">K868+O868+S868+W868+AA868+AE868+AI868+AM868+AQ868+AU868+AY868+BC868</f>
        <v>1000</v>
      </c>
      <c r="BG868" s="34">
        <f t="shared" si="2578"/>
        <v>1000</v>
      </c>
      <c r="BH868" s="35">
        <f t="shared" si="2568"/>
        <v>0</v>
      </c>
      <c r="BK868" s="2" t="b">
        <f>H868='2021'!BH868</f>
        <v>1</v>
      </c>
    </row>
    <row r="869" ht="15.75" customHeight="1" spans="1:63" x14ac:dyDescent="0.25">
      <c r="A869" s="89" t="s">
        <v>315</v>
      </c>
      <c r="B869" s="14"/>
      <c r="C869" s="2" t="s">
        <v>443</v>
      </c>
      <c r="D869" s="14" t="s">
        <v>51</v>
      </c>
      <c r="E869" s="2" t="s">
        <v>49</v>
      </c>
      <c r="F869" s="41">
        <v>500</v>
      </c>
      <c r="G869" s="28"/>
      <c r="H869" s="180">
        <f>'2021'!BH869</f>
        <v>0</v>
      </c>
      <c r="I869" s="13"/>
      <c r="J869" s="15"/>
      <c r="K869" s="15"/>
      <c r="L869" s="28"/>
      <c r="M869" s="13"/>
      <c r="N869" s="15"/>
      <c r="Q869" s="13"/>
      <c r="R869" s="15"/>
      <c r="S869" s="15"/>
      <c r="T869" s="28"/>
      <c r="U869" s="13"/>
      <c r="V869" s="15"/>
      <c r="Y869" s="13"/>
      <c r="Z869" s="2"/>
      <c r="AA869" s="15"/>
      <c r="AB869" s="28"/>
      <c r="AC869" s="348"/>
      <c r="AD869" s="15"/>
      <c r="AE869" s="34"/>
      <c r="AG869" s="15"/>
      <c r="AH869" s="2"/>
      <c r="AI869" s="45"/>
      <c r="AJ869" s="15"/>
      <c r="AK869" s="15"/>
      <c r="AL869" s="15"/>
      <c r="AM869" s="45"/>
      <c r="AN869" s="15"/>
      <c r="AO869" s="13"/>
      <c r="AP869" s="15"/>
      <c r="AQ869" s="180">
        <f>B864*$F$14</f>
        <v>0</v>
      </c>
      <c r="AR869" s="15"/>
      <c r="AS869" s="13"/>
      <c r="AT869" s="15"/>
      <c r="AU869" s="45"/>
      <c r="AV869" s="15"/>
      <c r="AW869" s="13"/>
      <c r="AX869" s="15"/>
      <c r="AY869" s="45"/>
      <c r="AZ869" s="28"/>
      <c r="BA869" s="13"/>
      <c r="BB869" s="15"/>
      <c r="BC869" s="45"/>
      <c r="BD869" s="35"/>
      <c r="BE869" s="14"/>
      <c r="BF869" s="41">
        <f t="shared" ref="BF869:BG869" si="2579">K869+O869+S869+W869+AA869+AE869+AI869+AM869+AQ869+AU869+AY869+BC869</f>
        <v>0</v>
      </c>
      <c r="BG869" s="34">
        <f t="shared" si="2579"/>
        <v>0</v>
      </c>
      <c r="BH869" s="35">
        <f t="shared" si="2568"/>
        <v>0</v>
      </c>
      <c r="BK869" s="2" t="b">
        <f>H869='2021'!BH869</f>
        <v>1</v>
      </c>
    </row>
    <row r="870" ht="15.75" customHeight="1" spans="1:63" x14ac:dyDescent="0.25">
      <c r="A870" s="89" t="s">
        <v>315</v>
      </c>
      <c r="B870" s="14"/>
      <c r="D870" s="14" t="s">
        <v>52</v>
      </c>
      <c r="E870" s="2" t="s">
        <v>39</v>
      </c>
      <c r="F870" s="41">
        <v>500</v>
      </c>
      <c r="G870" s="28"/>
      <c r="H870" s="180">
        <f>'2021'!BH870</f>
        <v>0</v>
      </c>
      <c r="I870" s="13"/>
      <c r="J870" s="15"/>
      <c r="K870" s="15"/>
      <c r="L870" s="28"/>
      <c r="M870" s="13"/>
      <c r="N870" s="15"/>
      <c r="Q870" s="13"/>
      <c r="R870" s="15"/>
      <c r="S870" s="15"/>
      <c r="T870" s="28"/>
      <c r="U870" s="13"/>
      <c r="V870" s="15"/>
      <c r="Y870" s="13"/>
      <c r="Z870" s="2"/>
      <c r="AA870" s="34">
        <f>$F$15</f>
      </c>
      <c r="AB870" s="28"/>
      <c r="AC870" s="348"/>
      <c r="AD870" s="15"/>
      <c r="AG870" s="15"/>
      <c r="AH870" s="2"/>
      <c r="AI870" s="45"/>
      <c r="AJ870" s="15"/>
      <c r="AK870" s="15"/>
      <c r="AL870" s="15"/>
      <c r="AM870" s="45"/>
      <c r="AN870" s="15"/>
      <c r="AO870" s="13"/>
      <c r="AP870" s="15"/>
      <c r="AQ870" s="45"/>
      <c r="AR870" s="15"/>
      <c r="AS870" s="13"/>
      <c r="AT870" s="15"/>
      <c r="AU870" s="45"/>
      <c r="AV870" s="15"/>
      <c r="AW870" s="13"/>
      <c r="AX870" s="15"/>
      <c r="AY870" s="45"/>
      <c r="AZ870" s="35"/>
      <c r="BA870" s="13"/>
      <c r="BB870" s="15"/>
      <c r="BC870" s="45"/>
      <c r="BD870" s="35"/>
      <c r="BE870" s="14"/>
      <c r="BF870" s="41">
        <f t="shared" ref="BF870:BG870" si="2580">K870+O870+S870+W870+AA870+AE870+AI870+AM870+AQ870+AU870+AY870+BC870</f>
        <v>0</v>
      </c>
      <c r="BG870" s="34">
        <f t="shared" si="2580"/>
        <v>0</v>
      </c>
      <c r="BH870" s="35">
        <f t="shared" si="2568"/>
        <v>0</v>
      </c>
      <c r="BK870" s="2" t="b">
        <f>H870='2021'!BH870</f>
        <v>1</v>
      </c>
    </row>
    <row r="871" ht="15.75" customHeight="1" spans="1:63" x14ac:dyDescent="0.25">
      <c r="A871" s="243" t="s">
        <v>315</v>
      </c>
      <c r="B871" s="21"/>
      <c r="C871" s="22" t="s">
        <v>53</v>
      </c>
      <c r="D871" s="21"/>
      <c r="E871" s="22"/>
      <c r="F871" s="20"/>
      <c r="G871" s="23"/>
      <c r="H871" s="51">
        <f>SUM(H863:H870)</f>
        <v>4853.14</v>
      </c>
      <c r="I871" s="52"/>
      <c r="J871" s="53"/>
      <c r="K871" s="51">
        <f t="shared" ref="K871:L871" si="2581">SUM(K863:K870)</f>
        <v>0</v>
      </c>
      <c r="L871" s="68">
        <f t="shared" si="2581"/>
        <v>0</v>
      </c>
      <c r="M871" s="52"/>
      <c r="N871" s="53"/>
      <c r="O871" s="51">
        <f t="shared" ref="O871:P871" si="2582">SUM(O863:O870)</f>
        <v>0</v>
      </c>
      <c r="P871" s="51">
        <f t="shared" si="2582"/>
        <v>0</v>
      </c>
      <c r="Q871" s="52"/>
      <c r="R871" s="53"/>
      <c r="S871" s="51">
        <f t="shared" ref="S871:T871" si="2583">SUM(S863:S870)</f>
        <v>15</v>
      </c>
      <c r="T871" s="51">
        <f t="shared" si="2583"/>
        <v>0</v>
      </c>
      <c r="U871" s="52"/>
      <c r="V871" s="53"/>
      <c r="W871" s="51">
        <f t="shared" ref="W871:X871" si="2584">SUM(W863:W870)</f>
        <v>55.22</v>
      </c>
      <c r="X871" s="51">
        <f t="shared" si="2584"/>
        <v>0</v>
      </c>
      <c r="Y871" s="52"/>
      <c r="Z871" s="301"/>
      <c r="AA871" s="51">
        <f t="shared" ref="AA871:AB871" si="2585">SUM(AA863:AA870)</f>
        <v>15</v>
      </c>
      <c r="AB871" s="51">
        <f t="shared" si="2585"/>
        <v>0</v>
      </c>
      <c r="AC871" s="367"/>
      <c r="AD871" s="53"/>
      <c r="AE871" s="51">
        <f t="shared" ref="AE871:AF871" si="2586">SUM(AE863:AE870)</f>
        <v>6925.92</v>
      </c>
      <c r="AF871" s="51">
        <f t="shared" si="2586"/>
        <v>4938.36</v>
      </c>
      <c r="AG871" s="52"/>
      <c r="AH871" s="301"/>
      <c r="AI871" s="183">
        <f t="shared" ref="AI871:AJ871" si="2587">SUM(AI863:AI870)</f>
        <v>107</v>
      </c>
      <c r="AJ871" s="51">
        <f t="shared" si="2587"/>
        <v>1204</v>
      </c>
      <c r="AK871" s="52"/>
      <c r="AL871" s="53"/>
      <c r="AM871" s="183">
        <f t="shared" ref="AM871:AN871" si="2588">SUM(AM863:AM870)</f>
        <v>42.8</v>
      </c>
      <c r="AN871" s="51">
        <f t="shared" si="2588"/>
        <v>149.3</v>
      </c>
      <c r="AO871" s="52"/>
      <c r="AP871" s="53"/>
      <c r="AQ871" s="183">
        <f t="shared" ref="AQ871:AR871" si="2589">SUM(AQ863:AQ870)</f>
        <v>21.4</v>
      </c>
      <c r="AR871" s="51">
        <f t="shared" si="2589"/>
        <v>0</v>
      </c>
      <c r="AS871" s="52"/>
      <c r="AT871" s="53"/>
      <c r="AU871" s="183">
        <f t="shared" ref="AU871:AV871" si="2590">SUM(AU863:AU870)</f>
        <v>0</v>
      </c>
      <c r="AV871" s="68">
        <f t="shared" si="2590"/>
        <v>0</v>
      </c>
      <c r="AW871" s="52"/>
      <c r="AX871" s="53"/>
      <c r="AY871" s="183">
        <f t="shared" ref="AY871:AZ871" si="2591">SUM(AY863:AY870)</f>
        <v>0</v>
      </c>
      <c r="AZ871" s="68">
        <f t="shared" si="2591"/>
        <v>0</v>
      </c>
      <c r="BA871" s="52"/>
      <c r="BB871" s="53"/>
      <c r="BC871" s="183">
        <f t="shared" ref="BC871:BD871" si="2592">SUM(BC863:BC870)</f>
        <v>0</v>
      </c>
      <c r="BD871" s="68">
        <f t="shared" si="2592"/>
        <v>0</v>
      </c>
      <c r="BE871" s="69"/>
      <c r="BF871" s="70">
        <f t="shared" ref="BF871:BH871" si="2593">SUM(BF863:BF870)</f>
        <v>7182.34</v>
      </c>
      <c r="BG871" s="71">
        <f t="shared" si="2593"/>
        <v>6291.66</v>
      </c>
      <c r="BH871" s="72">
        <f t="shared" si="2593"/>
        <v>5743.82</v>
      </c>
      <c r="BI871" s="34">
        <f>H871+BF871-BG871</f>
        <v>5743.82</v>
      </c>
      <c r="BJ871" s="34">
        <f>BH871-BI871</f>
        <v>0</v>
      </c>
      <c r="BK871" s="2" t="b">
        <f>H871='2021'!BH871</f>
        <v>1</v>
      </c>
    </row>
    <row r="872" ht="15.75" customHeight="1" spans="1:63" x14ac:dyDescent="0.25">
      <c r="A872" s="2">
        <v>99</v>
      </c>
      <c r="B872" s="14"/>
      <c r="D872" s="14" t="s">
        <v>379</v>
      </c>
      <c r="F872" s="13"/>
      <c r="G872" s="28"/>
      <c r="H872" s="34">
        <f>'2021'!BH872</f>
        <v>25.6</v>
      </c>
      <c r="I872" s="13"/>
      <c r="J872" s="15"/>
      <c r="K872" s="15"/>
      <c r="L872" s="28"/>
      <c r="M872" s="13"/>
      <c r="N872" s="15"/>
      <c r="Q872" s="13"/>
      <c r="R872" s="15"/>
      <c r="S872" s="15">
        <v>24.02</v>
      </c>
      <c r="T872" s="28"/>
      <c r="U872" s="13"/>
      <c r="V872" s="15"/>
      <c r="W872" s="2">
        <v>23.24</v>
      </c>
      <c r="Y872" s="13"/>
      <c r="Z872" s="2"/>
      <c r="AA872" s="15">
        <v>24.02</v>
      </c>
      <c r="AB872" s="28"/>
      <c r="AC872" s="348"/>
      <c r="AD872" s="15"/>
      <c r="AE872" s="2">
        <v>20.76</v>
      </c>
      <c r="AG872" s="15"/>
      <c r="AH872" s="2"/>
      <c r="AI872" s="45"/>
      <c r="AJ872" s="15"/>
      <c r="AK872" s="15"/>
      <c r="AM872" s="45"/>
      <c r="AN872" s="15"/>
      <c r="AO872" s="13"/>
      <c r="AQ872" s="45"/>
      <c r="AS872" s="13"/>
      <c r="AU872" s="45"/>
      <c r="AW872" s="13"/>
      <c r="AY872" s="45"/>
      <c r="AZ872" s="28"/>
      <c r="BA872" s="13"/>
      <c r="BB872" s="15"/>
      <c r="BC872" s="45"/>
      <c r="BD872" s="28"/>
      <c r="BE872" s="14"/>
      <c r="BF872" s="41">
        <f t="shared" ref="BF872:BG872" si="2594">K872+O872+S872+W872+AA872+AE872+AI872+AM872+AQ872+AU872+AY872+BC872</f>
        <v>92.04</v>
      </c>
      <c r="BG872" s="34">
        <f t="shared" si="2594"/>
        <v>0</v>
      </c>
      <c r="BH872" s="35">
        <f t="shared" ref="BH872:BH879" si="2595">H872+BF872-BG872</f>
        <v>117.64</v>
      </c>
      <c r="BK872" s="2" t="b">
        <f>H872='2021'!BH872</f>
        <v>1</v>
      </c>
    </row>
    <row r="873" ht="15.75" customHeight="1" spans="1:63" x14ac:dyDescent="0.25">
      <c r="A873" s="2">
        <v>99</v>
      </c>
      <c r="B873" s="14">
        <v>4.53</v>
      </c>
      <c r="C873" s="2" t="s">
        <v>319</v>
      </c>
      <c r="D873" s="14" t="s">
        <v>44</v>
      </c>
      <c r="E873" s="2" t="s">
        <v>45</v>
      </c>
      <c r="F873" s="41">
        <v>2.5</v>
      </c>
      <c r="G873" s="35">
        <v>2.6</v>
      </c>
      <c r="H873" s="34">
        <f>'2021'!BH873</f>
        <v>-73.46</v>
      </c>
      <c r="I873" s="13">
        <v>245</v>
      </c>
      <c r="J873" s="15">
        <f>I873-'2021'!BA873</f>
        <v>0</v>
      </c>
      <c r="K873" s="34">
        <f>J873*$F$8</f>
        <v>0</v>
      </c>
      <c r="L873" s="28"/>
      <c r="M873" s="13">
        <v>245</v>
      </c>
      <c r="N873" s="15">
        <f t="shared" ref="N873:N874" si="2596">M873-I873</f>
        <v>0</v>
      </c>
      <c r="O873" s="34">
        <f>N873*$F$8</f>
        <v>0</v>
      </c>
      <c r="Q873" s="13">
        <v>245</v>
      </c>
      <c r="R873" s="15">
        <f t="shared" ref="R873:R874" si="2597">Q873-M873</f>
        <v>0</v>
      </c>
      <c r="S873" s="34">
        <f>R873*$F$8</f>
        <v>0</v>
      </c>
      <c r="T873" s="28"/>
      <c r="U873" s="13">
        <v>245</v>
      </c>
      <c r="V873" s="15">
        <f t="shared" ref="V873:V874" si="2598">U873-Q873</f>
        <v>0</v>
      </c>
      <c r="W873" s="34">
        <f>V873*$F$8</f>
        <v>0</v>
      </c>
      <c r="Y873" s="13">
        <v>247</v>
      </c>
      <c r="Z873" s="2">
        <f t="shared" ref="Z873:Z874" si="2599">Y873-U873</f>
        <v>2</v>
      </c>
      <c r="AA873" s="34">
        <f>Z873*$F$8</f>
        <v>5.4</v>
      </c>
      <c r="AB873" s="28"/>
      <c r="AC873" s="348">
        <v>286</v>
      </c>
      <c r="AD873" s="15">
        <f t="shared" ref="AD873:AD874" si="2600">AC873-Y873</f>
        <v>39</v>
      </c>
      <c r="AE873" s="180">
        <f>AD873*$F$8</f>
        <v>105.3</v>
      </c>
      <c r="AF873" s="34"/>
      <c r="AG873" s="15">
        <v>329</v>
      </c>
      <c r="AH873" s="2">
        <f>(AG873-AC873)*AH5</f>
        <v>45.408</v>
      </c>
      <c r="AI873" s="45">
        <f>AH873*$G$8</f>
        <v>111.70368</v>
      </c>
      <c r="AJ873" s="39">
        <v>293</v>
      </c>
      <c r="AK873" s="15">
        <v>363</v>
      </c>
      <c r="AL873" s="15">
        <f>(AK873-AG873)*AL5</f>
        <v>34.952</v>
      </c>
      <c r="AM873" s="45">
        <f>AL873*$G$8</f>
        <v>85.98192</v>
      </c>
      <c r="AN873" s="15"/>
      <c r="AO873" s="13">
        <v>387</v>
      </c>
      <c r="AP873" s="15">
        <f>(AO873-AK873)*AP5</f>
        <v>24.792</v>
      </c>
      <c r="AQ873" s="45">
        <f>AP873*$G$8</f>
        <v>60.98832</v>
      </c>
      <c r="AR873" s="15"/>
      <c r="AS873" s="13">
        <v>402</v>
      </c>
      <c r="AT873" s="15">
        <f>(AS873-AO873)*AT5</f>
        <v>15.75</v>
      </c>
      <c r="AU873" s="45">
        <f t="shared" ref="AU873:AU874" si="2601">AT873*$G$8</f>
        <v>38.745</v>
      </c>
      <c r="AV873" s="15"/>
      <c r="AW873" s="13"/>
      <c r="AX873" s="15">
        <f>(AW873-AS873)*AX5</f>
        <v>0</v>
      </c>
      <c r="AY873" s="45">
        <f>AX873*$G$8</f>
        <v>0</v>
      </c>
      <c r="AZ873" s="208"/>
      <c r="BA873" s="13"/>
      <c r="BB873" s="15"/>
      <c r="BC873" s="45">
        <f>BB873*$G$8</f>
        <v>0</v>
      </c>
      <c r="BD873" s="208"/>
      <c r="BE873" s="40">
        <f t="shared" ref="BE873:BG873" si="2602">J873+N873+R873+V873+Z873+AD873+AH873+AL873+AP873+AT873+AX873+BB873</f>
        <v>161.902</v>
      </c>
      <c r="BF873" s="41">
        <f t="shared" si="2602"/>
        <v>408.11892</v>
      </c>
      <c r="BG873" s="34">
        <f t="shared" si="2602"/>
        <v>293</v>
      </c>
      <c r="BH873" s="35">
        <f t="shared" si="2595"/>
        <v>41.65892</v>
      </c>
      <c r="BK873" s="2" t="b">
        <f>H873='2021'!BH873</f>
        <v>1</v>
      </c>
    </row>
    <row r="874" ht="15.75" customHeight="1" spans="1:63" x14ac:dyDescent="0.25">
      <c r="A874" s="2">
        <v>99</v>
      </c>
      <c r="B874" s="14"/>
      <c r="C874" s="2" t="s">
        <v>61</v>
      </c>
      <c r="D874" s="14" t="s">
        <v>47</v>
      </c>
      <c r="E874" s="2" t="s">
        <v>48</v>
      </c>
      <c r="F874" s="13">
        <v>18.56</v>
      </c>
      <c r="G874" s="35">
        <v>19.46</v>
      </c>
      <c r="H874" s="90">
        <f>'2021'!BH874</f>
        <v>1351.32</v>
      </c>
      <c r="I874" s="13">
        <v>351</v>
      </c>
      <c r="J874" s="15"/>
      <c r="K874" s="15"/>
      <c r="L874" s="28"/>
      <c r="M874" s="13">
        <v>351</v>
      </c>
      <c r="N874" s="15">
        <f t="shared" si="2596"/>
        <v>0</v>
      </c>
      <c r="Q874" s="13">
        <v>351</v>
      </c>
      <c r="R874" s="15">
        <f t="shared" si="2597"/>
        <v>0</v>
      </c>
      <c r="S874" s="15"/>
      <c r="T874" s="28"/>
      <c r="U874" s="13">
        <v>351</v>
      </c>
      <c r="V874" s="15">
        <f t="shared" si="2598"/>
        <v>0</v>
      </c>
      <c r="W874" s="180">
        <f>V874*$F$10</f>
        <v>0</v>
      </c>
      <c r="Y874" s="13">
        <f>222+246</f>
        <v>468</v>
      </c>
      <c r="Z874" s="2">
        <f t="shared" si="2599"/>
        <v>117</v>
      </c>
      <c r="AA874" s="34">
        <f>Z874*$F$10</f>
        <v>2380.95</v>
      </c>
      <c r="AB874" s="28"/>
      <c r="AC874" s="350">
        <v>468</v>
      </c>
      <c r="AD874" s="15">
        <f t="shared" si="2600"/>
        <v>0</v>
      </c>
      <c r="AE874" s="34">
        <f>AD874*$F$10</f>
        <v>0</v>
      </c>
      <c r="AF874" s="39">
        <v>1355</v>
      </c>
      <c r="AG874" s="13">
        <v>468</v>
      </c>
      <c r="AH874" s="2">
        <f>AG874-AC874</f>
        <v>0</v>
      </c>
      <c r="AI874" s="45">
        <f>AH874*$G$10</f>
        <v>0</v>
      </c>
      <c r="AJ874" s="248">
        <v>200</v>
      </c>
      <c r="AK874" s="13">
        <v>468</v>
      </c>
      <c r="AL874" s="15">
        <f>AK874-AG874</f>
        <v>0</v>
      </c>
      <c r="AM874" s="45">
        <f>AL874*$G$10</f>
        <v>0</v>
      </c>
      <c r="AN874" s="15"/>
      <c r="AO874" s="13">
        <v>468</v>
      </c>
      <c r="AP874" s="15">
        <f>AO874-AK874</f>
        <v>0</v>
      </c>
      <c r="AQ874" s="45">
        <f>AP874*$G$10</f>
        <v>0</v>
      </c>
      <c r="AR874" s="15"/>
      <c r="AS874" s="13">
        <v>468</v>
      </c>
      <c r="AT874" s="15">
        <f>AS874-AO874</f>
        <v>0</v>
      </c>
      <c r="AU874" s="45">
        <f t="shared" si="2601"/>
        <v>0</v>
      </c>
      <c r="AV874" s="15"/>
      <c r="AW874" s="13"/>
      <c r="AX874" s="15">
        <f>AW874-AS874</f>
        <v>-468</v>
      </c>
      <c r="AY874" s="45"/>
      <c r="AZ874" s="208"/>
      <c r="BA874" s="13"/>
      <c r="BB874" s="15"/>
      <c r="BC874" s="45"/>
      <c r="BD874" s="208"/>
      <c r="BE874" s="40">
        <f t="shared" ref="BE874:BG874" si="2603">J874+N874+R874+V874+Z874+AD874+AH874+AL874+AP874+AT874+AX874+BB874</f>
        <v>-351</v>
      </c>
      <c r="BF874" s="41">
        <f t="shared" si="2603"/>
        <v>2380.95</v>
      </c>
      <c r="BG874" s="34">
        <f t="shared" si="2603"/>
        <v>1555</v>
      </c>
      <c r="BH874" s="35">
        <f t="shared" si="2595"/>
        <v>2177.27</v>
      </c>
      <c r="BK874" s="2" t="b">
        <f>H874='2021'!BH874</f>
        <v>1</v>
      </c>
    </row>
    <row r="875" ht="15.75" customHeight="1" spans="1:63" x14ac:dyDescent="0.25">
      <c r="A875" s="2">
        <v>99</v>
      </c>
      <c r="B875" s="14"/>
      <c r="C875" s="15" t="s">
        <v>444</v>
      </c>
      <c r="D875" s="14" t="s">
        <v>47</v>
      </c>
      <c r="E875" s="2" t="s">
        <v>49</v>
      </c>
      <c r="F875" s="41">
        <v>500</v>
      </c>
      <c r="G875" s="28"/>
      <c r="H875" s="34">
        <f>'2021'!BH875</f>
        <v>0</v>
      </c>
      <c r="I875" s="13"/>
      <c r="J875" s="15"/>
      <c r="K875" s="15"/>
      <c r="L875" s="28"/>
      <c r="M875" s="13"/>
      <c r="N875" s="15"/>
      <c r="Q875" s="13"/>
      <c r="R875" s="15"/>
      <c r="S875" s="15"/>
      <c r="T875" s="28"/>
      <c r="U875" s="13"/>
      <c r="V875" s="15"/>
      <c r="Y875" s="13"/>
      <c r="Z875" s="2"/>
      <c r="AA875" s="15"/>
      <c r="AB875" s="28"/>
      <c r="AC875" s="348"/>
      <c r="AD875" s="15"/>
      <c r="AG875" s="15"/>
      <c r="AH875" s="2"/>
      <c r="AI875" s="45"/>
      <c r="AJ875" s="15"/>
      <c r="AK875" s="15"/>
      <c r="AL875" s="15"/>
      <c r="AM875" s="45"/>
      <c r="AN875" s="15"/>
      <c r="AO875" s="13"/>
      <c r="AP875" s="15"/>
      <c r="AQ875" s="45"/>
      <c r="AR875" s="15"/>
      <c r="AS875" s="13"/>
      <c r="AT875" s="15"/>
      <c r="AU875" s="45"/>
      <c r="AV875" s="15"/>
      <c r="AW875" s="13"/>
      <c r="AX875" s="15"/>
      <c r="AY875" s="45"/>
      <c r="AZ875" s="28"/>
      <c r="BA875" s="13"/>
      <c r="BB875" s="15"/>
      <c r="BC875" s="45"/>
      <c r="BD875" s="28"/>
      <c r="BE875" s="14"/>
      <c r="BF875" s="41">
        <f t="shared" ref="BF875:BG875" si="2604">K875+O875+S875+W875+AA875+AE875+AI875+AM875+AQ875+AU875+AY875+BC875</f>
        <v>0</v>
      </c>
      <c r="BG875" s="34">
        <f t="shared" si="2604"/>
        <v>0</v>
      </c>
      <c r="BH875" s="35">
        <f t="shared" si="2595"/>
        <v>0</v>
      </c>
      <c r="BK875" s="2" t="b">
        <f>H875='2021'!BH875</f>
        <v>1</v>
      </c>
    </row>
    <row r="876" ht="15.75" customHeight="1" spans="1:63" x14ac:dyDescent="0.25">
      <c r="A876" s="2">
        <v>99</v>
      </c>
      <c r="B876" s="14"/>
      <c r="C876" s="15" t="s">
        <v>445</v>
      </c>
      <c r="D876" s="14" t="s">
        <v>50</v>
      </c>
      <c r="E876" s="2" t="s">
        <v>49</v>
      </c>
      <c r="F876" s="41">
        <v>1100</v>
      </c>
      <c r="G876" s="28"/>
      <c r="H876" s="34">
        <f>'2021'!BH876</f>
        <v>4983</v>
      </c>
      <c r="I876" s="13"/>
      <c r="J876" s="15"/>
      <c r="K876" s="15"/>
      <c r="L876" s="28"/>
      <c r="M876" s="13"/>
      <c r="N876" s="15"/>
      <c r="Q876" s="13"/>
      <c r="R876" s="15"/>
      <c r="S876" s="15"/>
      <c r="T876" s="28"/>
      <c r="U876" s="13"/>
      <c r="V876" s="15"/>
      <c r="Y876" s="13"/>
      <c r="Z876" s="2"/>
      <c r="AA876" s="15"/>
      <c r="AB876" s="28"/>
      <c r="AC876" s="348"/>
      <c r="AD876" s="15"/>
      <c r="AE876" s="34">
        <f>B873*$F$12</f>
        <v>5889</v>
      </c>
      <c r="AF876" s="34"/>
      <c r="AG876" s="15"/>
      <c r="AH876" s="2"/>
      <c r="AI876" s="45"/>
      <c r="AJ876" s="39">
        <f>1235+5889</f>
        <v>7124</v>
      </c>
      <c r="AK876" s="15"/>
      <c r="AL876" s="15"/>
      <c r="AM876" s="45"/>
      <c r="AN876" s="34"/>
      <c r="AO876" s="13"/>
      <c r="AP876" s="15"/>
      <c r="AQ876" s="45"/>
      <c r="AR876" s="15"/>
      <c r="AS876" s="13"/>
      <c r="AT876" s="15"/>
      <c r="AU876" s="45"/>
      <c r="AV876" s="15"/>
      <c r="AW876" s="13"/>
      <c r="AX876" s="15"/>
      <c r="AY876" s="45"/>
      <c r="AZ876" s="28"/>
      <c r="BA876" s="13"/>
      <c r="BB876" s="15"/>
      <c r="BC876" s="45"/>
      <c r="BD876" s="28"/>
      <c r="BE876" s="14"/>
      <c r="BF876" s="41">
        <f t="shared" ref="BF876:BG876" si="2605">K876+O876+S876+W876+AA876+AE876+AI876+AM876+AQ876+AU876+AY876+BC876</f>
        <v>5889</v>
      </c>
      <c r="BG876" s="34">
        <f t="shared" si="2605"/>
        <v>7124</v>
      </c>
      <c r="BH876" s="35">
        <f t="shared" si="2595"/>
        <v>3748</v>
      </c>
      <c r="BK876" s="2" t="b">
        <f>H876='2021'!BH876</f>
        <v>1</v>
      </c>
    </row>
    <row r="877" ht="15.75" customHeight="1" spans="1:63" x14ac:dyDescent="0.25">
      <c r="A877" s="2">
        <v>99</v>
      </c>
      <c r="B877" s="14"/>
      <c r="D877" s="14" t="s">
        <v>51</v>
      </c>
      <c r="E877" s="2" t="s">
        <v>39</v>
      </c>
      <c r="F877" s="41">
        <v>500</v>
      </c>
      <c r="G877" s="28"/>
      <c r="H877" s="34">
        <f>'2021'!BH877</f>
        <v>500</v>
      </c>
      <c r="I877" s="13"/>
      <c r="J877" s="15"/>
      <c r="K877" s="15"/>
      <c r="L877" s="28"/>
      <c r="M877" s="13"/>
      <c r="N877" s="15"/>
      <c r="Q877" s="13"/>
      <c r="R877" s="15"/>
      <c r="S877" s="15"/>
      <c r="T877" s="28"/>
      <c r="U877" s="13"/>
      <c r="V877" s="15"/>
      <c r="Y877" s="13"/>
      <c r="Z877" s="2"/>
      <c r="AA877" s="15"/>
      <c r="AB877" s="28"/>
      <c r="AC877" s="348"/>
      <c r="AD877" s="15"/>
      <c r="AE877" s="180">
        <f>$F$13</f>
        <v>1000</v>
      </c>
      <c r="AF877" s="317">
        <v>735</v>
      </c>
      <c r="AG877" s="15"/>
      <c r="AH877" s="2"/>
      <c r="AI877" s="45"/>
      <c r="AJ877" s="1">
        <v>765</v>
      </c>
      <c r="AK877" s="15"/>
      <c r="AL877" s="15"/>
      <c r="AM877" s="45"/>
      <c r="AN877" s="15"/>
      <c r="AO877" s="13"/>
      <c r="AP877" s="15"/>
      <c r="AQ877" s="180"/>
      <c r="AR877" s="15"/>
      <c r="AS877" s="13"/>
      <c r="AT877" s="15"/>
      <c r="AU877" s="45"/>
      <c r="AV877" s="15"/>
      <c r="AW877" s="13"/>
      <c r="AX877" s="15"/>
      <c r="AY877" s="45"/>
      <c r="AZ877" s="28"/>
      <c r="BA877" s="13"/>
      <c r="BB877" s="15"/>
      <c r="BC877" s="45"/>
      <c r="BD877" s="28"/>
      <c r="BE877" s="14"/>
      <c r="BF877" s="41">
        <f t="shared" ref="BF877:BG877" si="2606">K877+O877+S877+W877+AA877+AE877+AI877+AM877+AQ877+AU877+AY877+BC877</f>
        <v>1000</v>
      </c>
      <c r="BG877" s="34">
        <f t="shared" si="2606"/>
        <v>1500</v>
      </c>
      <c r="BH877" s="35">
        <f t="shared" si="2595"/>
        <v>0</v>
      </c>
      <c r="BK877" s="2" t="b">
        <f>H877='2021'!BH877</f>
        <v>1</v>
      </c>
    </row>
    <row r="878" ht="15.75" customHeight="1" spans="1:63" x14ac:dyDescent="0.25">
      <c r="A878" s="2">
        <v>99</v>
      </c>
      <c r="B878" s="14"/>
      <c r="D878" s="14" t="s">
        <v>51</v>
      </c>
      <c r="E878" s="2" t="s">
        <v>49</v>
      </c>
      <c r="F878" s="41">
        <v>500</v>
      </c>
      <c r="G878" s="28"/>
      <c r="H878" s="34">
        <f>'2021'!BH878</f>
        <v>2265</v>
      </c>
      <c r="I878" s="13"/>
      <c r="J878" s="15"/>
      <c r="K878" s="15"/>
      <c r="L878" s="28"/>
      <c r="M878" s="13"/>
      <c r="N878" s="15"/>
      <c r="Q878" s="13"/>
      <c r="R878" s="15"/>
      <c r="S878" s="15"/>
      <c r="T878" s="28"/>
      <c r="U878" s="13"/>
      <c r="V878" s="15"/>
      <c r="Y878" s="13"/>
      <c r="Z878" s="2"/>
      <c r="AA878" s="15"/>
      <c r="AB878" s="28"/>
      <c r="AC878" s="348"/>
      <c r="AD878" s="15"/>
      <c r="AE878" s="34"/>
      <c r="AF878" s="317">
        <v>2265</v>
      </c>
      <c r="AG878" s="15"/>
      <c r="AH878" s="2"/>
      <c r="AI878" s="45"/>
      <c r="AJ878" s="15"/>
      <c r="AK878" s="15"/>
      <c r="AL878" s="15"/>
      <c r="AM878" s="45"/>
      <c r="AN878" s="15"/>
      <c r="AO878" s="13"/>
      <c r="AP878" s="15"/>
      <c r="AQ878" s="180">
        <f>B873*$F$14</f>
        <v>0</v>
      </c>
      <c r="AR878" s="15"/>
      <c r="AS878" s="13"/>
      <c r="AT878" s="15"/>
      <c r="AU878" s="45"/>
      <c r="AV878" s="15"/>
      <c r="AW878" s="13"/>
      <c r="AX878" s="15"/>
      <c r="AY878" s="45"/>
      <c r="AZ878" s="28"/>
      <c r="BA878" s="13"/>
      <c r="BB878" s="15"/>
      <c r="BC878" s="45"/>
      <c r="BD878" s="28"/>
      <c r="BE878" s="14"/>
      <c r="BF878" s="41">
        <f t="shared" ref="BF878:BG878" si="2607">K878+O878+S878+W878+AA878+AE878+AI878+AM878+AQ878+AU878+AY878+BC878</f>
        <v>0</v>
      </c>
      <c r="BG878" s="34">
        <f t="shared" si="2607"/>
        <v>2265</v>
      </c>
      <c r="BH878" s="35">
        <f t="shared" si="2595"/>
        <v>0</v>
      </c>
      <c r="BK878" s="2" t="b">
        <f>H878='2021'!BH878</f>
        <v>1</v>
      </c>
    </row>
    <row r="879" ht="15.75" customHeight="1" spans="1:63" x14ac:dyDescent="0.25">
      <c r="A879" s="2">
        <v>99</v>
      </c>
      <c r="B879" s="14"/>
      <c r="D879" s="14" t="s">
        <v>52</v>
      </c>
      <c r="E879" s="2" t="s">
        <v>39</v>
      </c>
      <c r="F879" s="41">
        <v>500</v>
      </c>
      <c r="G879" s="28"/>
      <c r="H879" s="34">
        <f>'2021'!BH879</f>
        <v>0</v>
      </c>
      <c r="I879" s="13"/>
      <c r="J879" s="15"/>
      <c r="K879" s="15"/>
      <c r="L879" s="28"/>
      <c r="M879" s="13"/>
      <c r="N879" s="15"/>
      <c r="Q879" s="13"/>
      <c r="R879" s="15"/>
      <c r="S879" s="15"/>
      <c r="T879" s="28"/>
      <c r="U879" s="13"/>
      <c r="V879" s="15"/>
      <c r="Y879" s="13"/>
      <c r="Z879" s="2"/>
      <c r="AA879" s="34">
        <f>$F$15</f>
      </c>
      <c r="AB879" s="35"/>
      <c r="AC879" s="348"/>
      <c r="AD879" s="15"/>
      <c r="AG879" s="15"/>
      <c r="AH879" s="2"/>
      <c r="AI879" s="45"/>
      <c r="AJ879" s="15"/>
      <c r="AK879" s="15"/>
      <c r="AL879" s="15"/>
      <c r="AM879" s="45"/>
      <c r="AN879" s="34"/>
      <c r="AO879" s="13"/>
      <c r="AP879" s="15"/>
      <c r="AQ879" s="45"/>
      <c r="AR879" s="15"/>
      <c r="AS879" s="13"/>
      <c r="AT879" s="15"/>
      <c r="AU879" s="45"/>
      <c r="AV879" s="15"/>
      <c r="AW879" s="13"/>
      <c r="AX879" s="15"/>
      <c r="AY879" s="45"/>
      <c r="AZ879" s="35"/>
      <c r="BA879" s="13"/>
      <c r="BB879" s="15"/>
      <c r="BC879" s="45"/>
      <c r="BD879" s="35"/>
      <c r="BE879" s="14"/>
      <c r="BF879" s="41">
        <f t="shared" ref="BF879:BG879" si="2608">K879+O879+S879+W879+AA879+AE879+AI879+AM879+AQ879+AU879+AY879+BC879</f>
        <v>0</v>
      </c>
      <c r="BG879" s="34">
        <f t="shared" si="2608"/>
        <v>0</v>
      </c>
      <c r="BH879" s="35">
        <f t="shared" si="2595"/>
        <v>0</v>
      </c>
      <c r="BK879" s="2" t="b">
        <f>H879='2021'!BH879</f>
        <v>1</v>
      </c>
    </row>
    <row r="880" ht="15.75" customHeight="1" spans="1:63" x14ac:dyDescent="0.25">
      <c r="A880" s="247">
        <v>99</v>
      </c>
      <c r="B880" s="21"/>
      <c r="C880" s="22" t="s">
        <v>53</v>
      </c>
      <c r="D880" s="21"/>
      <c r="E880" s="22"/>
      <c r="F880" s="20"/>
      <c r="G880" s="23"/>
      <c r="H880" s="51">
        <f>SUM(H872:H879)</f>
        <v>9051.46</v>
      </c>
      <c r="I880" s="52"/>
      <c r="J880" s="53"/>
      <c r="K880" s="51">
        <f t="shared" ref="K880:L880" si="2609">SUM(K872:K879)</f>
        <v>0</v>
      </c>
      <c r="L880" s="68">
        <f t="shared" si="2609"/>
        <v>0</v>
      </c>
      <c r="M880" s="52"/>
      <c r="N880" s="53"/>
      <c r="O880" s="51">
        <f t="shared" ref="O880:P880" si="2610">SUM(O872:O879)</f>
        <v>0</v>
      </c>
      <c r="P880" s="51">
        <f t="shared" si="2610"/>
        <v>0</v>
      </c>
      <c r="Q880" s="52"/>
      <c r="R880" s="53"/>
      <c r="S880" s="51">
        <f t="shared" ref="S880:T880" si="2611">SUM(S872:S879)</f>
        <v>24.02</v>
      </c>
      <c r="T880" s="51">
        <f t="shared" si="2611"/>
        <v>0</v>
      </c>
      <c r="U880" s="52"/>
      <c r="V880" s="53"/>
      <c r="W880" s="51">
        <f t="shared" ref="W880:X880" si="2612">SUM(W872:W879)</f>
        <v>23.24</v>
      </c>
      <c r="X880" s="51">
        <f t="shared" si="2612"/>
        <v>0</v>
      </c>
      <c r="Y880" s="52"/>
      <c r="Z880" s="301"/>
      <c r="AA880" s="51">
        <f t="shared" ref="AA880:AB880" si="2613">SUM(AA872:AA879)</f>
        <v>2410.37</v>
      </c>
      <c r="AB880" s="51">
        <f t="shared" si="2613"/>
        <v>0</v>
      </c>
      <c r="AC880" s="367"/>
      <c r="AD880" s="53"/>
      <c r="AE880" s="51">
        <f t="shared" ref="AE880:AF880" si="2614">SUM(AE872:AE879)</f>
        <v>7015.06</v>
      </c>
      <c r="AF880" s="51">
        <f t="shared" si="2614"/>
        <v>4355</v>
      </c>
      <c r="AG880" s="52"/>
      <c r="AH880" s="301"/>
      <c r="AI880" s="183">
        <f t="shared" ref="AI880:AJ880" si="2615">SUM(AI872:AI879)</f>
        <v>111.70368</v>
      </c>
      <c r="AJ880" s="51">
        <f t="shared" si="2615"/>
        <v>8382</v>
      </c>
      <c r="AK880" s="52"/>
      <c r="AL880" s="53"/>
      <c r="AM880" s="183">
        <f t="shared" ref="AM880:AN880" si="2616">SUM(AM872:AM879)</f>
        <v>85.98192</v>
      </c>
      <c r="AN880" s="51">
        <f t="shared" si="2616"/>
        <v>0</v>
      </c>
      <c r="AO880" s="52"/>
      <c r="AP880" s="53"/>
      <c r="AQ880" s="183">
        <f t="shared" ref="AQ880:AR880" si="2617">SUM(AQ872:AQ879)</f>
        <v>60.98832</v>
      </c>
      <c r="AR880" s="51">
        <f t="shared" si="2617"/>
        <v>0</v>
      </c>
      <c r="AS880" s="52"/>
      <c r="AT880" s="53"/>
      <c r="AU880" s="183">
        <f t="shared" ref="AU880:AV880" si="2618">SUM(AU872:AU879)</f>
        <v>38.745</v>
      </c>
      <c r="AV880" s="68">
        <f t="shared" si="2618"/>
        <v>0</v>
      </c>
      <c r="AW880" s="52"/>
      <c r="AX880" s="53"/>
      <c r="AY880" s="183">
        <f t="shared" ref="AY880:AZ880" si="2619">SUM(AY872:AY879)</f>
        <v>0</v>
      </c>
      <c r="AZ880" s="68">
        <f t="shared" si="2619"/>
        <v>0</v>
      </c>
      <c r="BA880" s="52"/>
      <c r="BB880" s="53"/>
      <c r="BC880" s="183">
        <f t="shared" ref="BC880:BD880" si="2620">SUM(BC872:BC879)</f>
        <v>0</v>
      </c>
      <c r="BD880" s="68">
        <f t="shared" si="2620"/>
        <v>0</v>
      </c>
      <c r="BE880" s="69"/>
      <c r="BF880" s="70">
        <f t="shared" ref="BF880:BH880" si="2621">SUM(BF872:BF879)</f>
        <v>9770.10892</v>
      </c>
      <c r="BG880" s="71">
        <f t="shared" si="2621"/>
        <v>12737</v>
      </c>
      <c r="BH880" s="72">
        <f t="shared" si="2621"/>
        <v>6084.56892</v>
      </c>
      <c r="BI880" s="34">
        <f>H880+BF880-BG880</f>
        <v>6084.56892</v>
      </c>
      <c r="BJ880" s="34">
        <f>BH880-BI880</f>
        <v>0</v>
      </c>
      <c r="BK880" s="2" t="b">
        <f>H880='2021'!BH880</f>
        <v>1</v>
      </c>
    </row>
    <row r="881" ht="15.75" customHeight="1" spans="1:63" x14ac:dyDescent="0.25">
      <c r="A881" s="2">
        <v>101</v>
      </c>
      <c r="B881" s="14"/>
      <c r="D881" s="178" t="s">
        <v>486</v>
      </c>
      <c r="F881" s="13"/>
      <c r="G881" s="28"/>
      <c r="H881" s="34">
        <f>'2021'!BH881</f>
        <v>0</v>
      </c>
      <c r="I881" s="13"/>
      <c r="J881" s="15"/>
      <c r="K881" s="15"/>
      <c r="L881" s="28"/>
      <c r="M881" s="13"/>
      <c r="N881" s="15"/>
      <c r="Q881" s="13"/>
      <c r="R881" s="15"/>
      <c r="S881" s="15"/>
      <c r="T881" s="28"/>
      <c r="U881" s="13"/>
      <c r="V881" s="15"/>
      <c r="W881" s="153"/>
      <c r="Y881" s="13"/>
      <c r="Z881" s="2"/>
      <c r="AA881" s="15"/>
      <c r="AB881" s="28"/>
      <c r="AC881" s="348"/>
      <c r="AD881" s="15"/>
      <c r="AG881" s="15"/>
      <c r="AH881" s="2"/>
      <c r="AI881" s="45"/>
      <c r="AJ881" s="180"/>
      <c r="AK881" s="15"/>
      <c r="AM881" s="45"/>
      <c r="AO881" s="13"/>
      <c r="AQ881" s="45"/>
      <c r="AS881" s="13"/>
      <c r="AU881" s="45"/>
      <c r="AW881" s="13"/>
      <c r="AY881" s="45"/>
      <c r="AZ881" s="28"/>
      <c r="BA881" s="13"/>
      <c r="BB881" s="15"/>
      <c r="BC881" s="45"/>
      <c r="BD881" s="28"/>
      <c r="BE881" s="14"/>
      <c r="BF881" s="41">
        <f t="shared" ref="BF881:BG881" si="2622">K881+O881+S881+W881+AA881+AE881+AI881+AM881+AQ881+AU881+AY881+BC881</f>
        <v>0</v>
      </c>
      <c r="BG881" s="34">
        <f t="shared" si="2622"/>
        <v>0</v>
      </c>
      <c r="BH881" s="35">
        <f t="shared" ref="BH881:BH888" si="2623">H881+BF881-BG881</f>
        <v>0</v>
      </c>
      <c r="BK881" s="2" t="b">
        <f>H881='2021'!BH881</f>
        <v>1</v>
      </c>
    </row>
    <row r="882" ht="15.75" customHeight="1" spans="1:63" x14ac:dyDescent="0.25">
      <c r="A882" s="2">
        <v>101</v>
      </c>
      <c r="B882" s="14">
        <v>4.46</v>
      </c>
      <c r="C882" s="2" t="s">
        <v>321</v>
      </c>
      <c r="D882" s="14" t="s">
        <v>44</v>
      </c>
      <c r="E882" s="2" t="s">
        <v>45</v>
      </c>
      <c r="F882" s="41">
        <v>2.5</v>
      </c>
      <c r="G882" s="35">
        <v>2.6</v>
      </c>
      <c r="H882" s="34">
        <f>'2021'!BH882</f>
        <v>10.8</v>
      </c>
      <c r="I882" s="13">
        <v>195</v>
      </c>
      <c r="J882" s="15">
        <f>I882-'2021'!BA882</f>
        <v>0</v>
      </c>
      <c r="K882" s="34">
        <f>J882*$F$8</f>
        <v>0</v>
      </c>
      <c r="L882" s="28"/>
      <c r="M882" s="13">
        <v>195</v>
      </c>
      <c r="N882" s="15">
        <f t="shared" ref="N882:N883" si="2624">M882-I882</f>
        <v>0</v>
      </c>
      <c r="O882" s="34">
        <f>N882*$F$8</f>
        <v>0</v>
      </c>
      <c r="Q882" s="13">
        <v>195</v>
      </c>
      <c r="R882" s="15">
        <f t="shared" ref="R882:R883" si="2625">Q882-M882</f>
        <v>0</v>
      </c>
      <c r="S882" s="34">
        <f>R882*$F$8</f>
        <v>0</v>
      </c>
      <c r="T882" s="28"/>
      <c r="U882" s="13">
        <v>195</v>
      </c>
      <c r="V882" s="15">
        <f t="shared" ref="V882:V883" si="2626">U882-Q882</f>
        <v>0</v>
      </c>
      <c r="W882" s="34">
        <f>V882*$F$8</f>
        <v>0</v>
      </c>
      <c r="X882" s="15"/>
      <c r="Y882" s="13">
        <v>201</v>
      </c>
      <c r="Z882" s="2">
        <f t="shared" ref="Z882:Z883" si="2627">Y882-U882</f>
        <v>6</v>
      </c>
      <c r="AA882" s="34">
        <f>Z882*$F$8</f>
        <v>16.2</v>
      </c>
      <c r="AB882" s="28"/>
      <c r="AC882" s="348">
        <v>203</v>
      </c>
      <c r="AD882" s="15">
        <f t="shared" ref="AD882:AD883" si="2628">AC882-Y882</f>
        <v>2</v>
      </c>
      <c r="AE882" s="180">
        <f>AD882*$F$8</f>
        <v>5.4</v>
      </c>
      <c r="AF882" s="2"/>
      <c r="AG882" s="15">
        <v>207</v>
      </c>
      <c r="AH882" s="2">
        <f>(AG882-AC882)*AH5</f>
        <v>4.224</v>
      </c>
      <c r="AI882" s="45">
        <f>AH882*$G$8</f>
        <v>10.39104</v>
      </c>
      <c r="AJ882" s="182">
        <v>32.4</v>
      </c>
      <c r="AK882" s="15">
        <v>208</v>
      </c>
      <c r="AL882" s="15">
        <f>(AK882-AG882)*AL5</f>
        <v>1.028</v>
      </c>
      <c r="AM882" s="45">
        <f>AL882*$G$8</f>
        <v>2.52888</v>
      </c>
      <c r="AN882" s="34"/>
      <c r="AO882" s="13">
        <v>210</v>
      </c>
      <c r="AP882" s="15">
        <f>(AO882-AK882)*AP5</f>
        <v>2.066</v>
      </c>
      <c r="AQ882" s="45">
        <f>AP882*$G$8</f>
        <v>5.08236</v>
      </c>
      <c r="AR882" s="154">
        <v>12.92</v>
      </c>
      <c r="AS882" s="13">
        <v>210</v>
      </c>
      <c r="AT882" s="15">
        <f>(AS882-AO882)*AT5</f>
        <v>0</v>
      </c>
      <c r="AU882" s="45">
        <f t="shared" ref="AU882:AU883" si="2629">AT882*$G$8</f>
        <v>0</v>
      </c>
      <c r="AV882" s="15"/>
      <c r="AW882" s="13"/>
      <c r="AX882" s="15">
        <f>(AW882-AS882)*AX5</f>
        <v>0</v>
      </c>
      <c r="AY882" s="45">
        <f>AX882*$G$8</f>
        <v>0</v>
      </c>
      <c r="AZ882" s="208"/>
      <c r="BA882" s="13"/>
      <c r="BB882" s="15"/>
      <c r="BC882" s="45">
        <f>BB882*$G$8</f>
        <v>0</v>
      </c>
      <c r="BD882" s="208"/>
      <c r="BE882" s="40">
        <f t="shared" ref="BE882:BG882" si="2630">J882+N882+R882+V882+Z882+AD882+AH882+AL882+AP882+AT882+AX882+BB882</f>
        <v>15.318</v>
      </c>
      <c r="BF882" s="41">
        <f t="shared" si="2630"/>
        <v>39.60228</v>
      </c>
      <c r="BG882" s="34">
        <f t="shared" si="2630"/>
        <v>45.32</v>
      </c>
      <c r="BH882" s="35">
        <f t="shared" si="2623"/>
        <v>5.08228</v>
      </c>
      <c r="BK882" s="2" t="b">
        <f>H882='2021'!BH882</f>
        <v>1</v>
      </c>
    </row>
    <row r="883" ht="15.75" customHeight="1" spans="1:63" x14ac:dyDescent="0.25">
      <c r="A883" s="2">
        <v>101</v>
      </c>
      <c r="B883" s="14"/>
      <c r="C883" s="2" t="s">
        <v>71</v>
      </c>
      <c r="D883" s="14" t="s">
        <v>47</v>
      </c>
      <c r="E883" s="2" t="s">
        <v>48</v>
      </c>
      <c r="F883" s="13">
        <v>18.56</v>
      </c>
      <c r="G883" s="35">
        <v>19.46</v>
      </c>
      <c r="H883" s="90">
        <f>'2021'!BH883</f>
        <v>0</v>
      </c>
      <c r="I883" s="13">
        <f>559+116</f>
        <v>675</v>
      </c>
      <c r="J883" s="15"/>
      <c r="K883" s="15"/>
      <c r="L883" s="28"/>
      <c r="M883" s="13">
        <f>559+116</f>
        <v>675</v>
      </c>
      <c r="N883" s="15">
        <f t="shared" si="2624"/>
        <v>0</v>
      </c>
      <c r="Q883" s="13">
        <f>559+116</f>
        <v>675</v>
      </c>
      <c r="R883" s="15">
        <f t="shared" si="2625"/>
        <v>0</v>
      </c>
      <c r="S883" s="15"/>
      <c r="T883" s="28"/>
      <c r="U883" s="13">
        <f>559+116</f>
        <v>675</v>
      </c>
      <c r="V883" s="15">
        <f t="shared" si="2626"/>
        <v>0</v>
      </c>
      <c r="W883" s="180">
        <f>V883*$F$10</f>
        <v>0</v>
      </c>
      <c r="Y883" s="13">
        <f>564+116</f>
        <v>680</v>
      </c>
      <c r="Z883" s="2">
        <f t="shared" si="2627"/>
        <v>5</v>
      </c>
      <c r="AA883" s="34">
        <f>Z883*$F$10</f>
        <v>101.75</v>
      </c>
      <c r="AB883" s="28"/>
      <c r="AC883" s="350">
        <f>564+116</f>
        <v>680</v>
      </c>
      <c r="AD883" s="15">
        <f t="shared" si="2628"/>
        <v>0</v>
      </c>
      <c r="AE883" s="34">
        <f>AD883*$F$10</f>
        <v>0</v>
      </c>
      <c r="AF883" s="180"/>
      <c r="AG883" s="350">
        <f>578+116</f>
        <v>694</v>
      </c>
      <c r="AH883" s="2">
        <f>AG883-AC883</f>
        <v>14</v>
      </c>
      <c r="AI883" s="45">
        <f>AH883*$G$10</f>
        <v>299.6</v>
      </c>
      <c r="AJ883" s="182">
        <v>101.75</v>
      </c>
      <c r="AK883" s="350">
        <f>585+116</f>
        <v>701</v>
      </c>
      <c r="AL883" s="15">
        <f>AK883-AG883</f>
        <v>7</v>
      </c>
      <c r="AM883" s="45">
        <f>AL883*$G$10</f>
        <v>149.8</v>
      </c>
      <c r="AN883" s="34"/>
      <c r="AO883" s="13">
        <f>589+116</f>
        <v>705</v>
      </c>
      <c r="AP883" s="15">
        <f>AO883-AK883</f>
        <v>4</v>
      </c>
      <c r="AQ883" s="45">
        <f>AP883*$G$10</f>
        <v>85.6</v>
      </c>
      <c r="AR883" s="154">
        <v>487.08</v>
      </c>
      <c r="AS883" s="13">
        <v>705</v>
      </c>
      <c r="AT883" s="15">
        <f>AS883-AO883</f>
        <v>0</v>
      </c>
      <c r="AU883" s="45">
        <f t="shared" si="2629"/>
        <v>0</v>
      </c>
      <c r="AV883" s="15"/>
      <c r="AW883" s="13"/>
      <c r="AX883" s="15">
        <f>AW883-AS883</f>
        <v>-705</v>
      </c>
      <c r="AY883" s="45"/>
      <c r="AZ883" s="208"/>
      <c r="BA883" s="13"/>
      <c r="BB883" s="15"/>
      <c r="BC883" s="45"/>
      <c r="BD883" s="208"/>
      <c r="BE883" s="40">
        <f t="shared" ref="BE883:BG883" si="2631">J883+N883+R883+V883+Z883+AD883+AH883+AL883+AP883+AT883+AX883+BB883</f>
        <v>-675</v>
      </c>
      <c r="BF883" s="41">
        <f t="shared" si="2631"/>
        <v>636.75</v>
      </c>
      <c r="BG883" s="34">
        <f t="shared" si="2631"/>
        <v>588.83</v>
      </c>
      <c r="BH883" s="35">
        <f t="shared" si="2623"/>
        <v>47.92</v>
      </c>
      <c r="BK883" s="2" t="b">
        <f>H883='2021'!BH883</f>
        <v>1</v>
      </c>
    </row>
    <row r="884" ht="15.75" customHeight="1" spans="1:63" x14ac:dyDescent="0.25">
      <c r="A884" s="2">
        <v>101</v>
      </c>
      <c r="B884" s="14"/>
      <c r="C884" s="2" t="s">
        <v>102</v>
      </c>
      <c r="D884" s="14" t="s">
        <v>47</v>
      </c>
      <c r="E884" s="2" t="s">
        <v>49</v>
      </c>
      <c r="F884" s="41">
        <v>500</v>
      </c>
      <c r="G884" s="28"/>
      <c r="H884" s="34">
        <f>'2021'!BH884</f>
        <v>0</v>
      </c>
      <c r="I884" s="13"/>
      <c r="J884" s="15"/>
      <c r="K884" s="15"/>
      <c r="L884" s="28"/>
      <c r="M884" s="13"/>
      <c r="N884" s="15"/>
      <c r="Q884" s="13"/>
      <c r="R884" s="15"/>
      <c r="S884" s="15"/>
      <c r="T884" s="28"/>
      <c r="U884" s="13"/>
      <c r="V884" s="15"/>
      <c r="Y884" s="13"/>
      <c r="Z884" s="2"/>
      <c r="AA884" s="15"/>
      <c r="AB884" s="28"/>
      <c r="AC884" s="348"/>
      <c r="AD884" s="15"/>
      <c r="AG884" s="15"/>
      <c r="AH884" s="2"/>
      <c r="AI884" s="45"/>
      <c r="AJ884" s="182"/>
      <c r="AK884" s="15"/>
      <c r="AL884" s="15"/>
      <c r="AM884" s="45"/>
      <c r="AN884" s="15"/>
      <c r="AO884" s="13"/>
      <c r="AP884" s="15"/>
      <c r="AQ884" s="45"/>
      <c r="AR884" s="15"/>
      <c r="AS884" s="13"/>
      <c r="AT884" s="15"/>
      <c r="AU884" s="45"/>
      <c r="AV884" s="15"/>
      <c r="AW884" s="13"/>
      <c r="AX884" s="15"/>
      <c r="AY884" s="45"/>
      <c r="AZ884" s="28"/>
      <c r="BA884" s="13"/>
      <c r="BB884" s="15"/>
      <c r="BC884" s="45"/>
      <c r="BD884" s="28"/>
      <c r="BE884" s="14"/>
      <c r="BF884" s="41">
        <f t="shared" ref="BF884:BG884" si="2632">K884+O884+S884+W884+AA884+AE884+AI884+AM884+AQ884+AU884+AY884+BC884</f>
        <v>0</v>
      </c>
      <c r="BG884" s="34">
        <f t="shared" si="2632"/>
        <v>0</v>
      </c>
      <c r="BH884" s="35">
        <f t="shared" si="2623"/>
        <v>0</v>
      </c>
      <c r="BK884" s="2" t="b">
        <f>H884='2021'!BH884</f>
        <v>1</v>
      </c>
    </row>
    <row r="885" ht="15.75" customHeight="1" spans="1:63" x14ac:dyDescent="0.25">
      <c r="A885" s="2">
        <v>101</v>
      </c>
      <c r="B885" s="14"/>
      <c r="C885" s="15" t="s">
        <v>446</v>
      </c>
      <c r="D885" s="14" t="s">
        <v>50</v>
      </c>
      <c r="E885" s="2" t="s">
        <v>49</v>
      </c>
      <c r="F885" s="41">
        <v>1100</v>
      </c>
      <c r="G885" s="28"/>
      <c r="H885" s="34">
        <f>'2021'!BH885</f>
        <v>0</v>
      </c>
      <c r="I885" s="13"/>
      <c r="J885" s="15"/>
      <c r="K885" s="15"/>
      <c r="L885" s="28"/>
      <c r="M885" s="13"/>
      <c r="N885" s="15"/>
      <c r="Q885" s="13"/>
      <c r="R885" s="15"/>
      <c r="S885" s="15"/>
      <c r="T885" s="28"/>
      <c r="U885" s="13"/>
      <c r="V885" s="15"/>
      <c r="Y885" s="13"/>
      <c r="Z885" s="2"/>
      <c r="AA885" s="15"/>
      <c r="AB885" s="28"/>
      <c r="AC885" s="348"/>
      <c r="AD885" s="15"/>
      <c r="AE885" s="34">
        <f>B882*$F$12</f>
        <v>5798</v>
      </c>
      <c r="AF885" s="180"/>
      <c r="AG885" s="15"/>
      <c r="AH885" s="2"/>
      <c r="AI885" s="45"/>
      <c r="AJ885" s="182">
        <v>5798</v>
      </c>
      <c r="AK885" s="15"/>
      <c r="AL885" s="15"/>
      <c r="AM885" s="45"/>
      <c r="AN885" s="15"/>
      <c r="AO885" s="13"/>
      <c r="AP885" s="15"/>
      <c r="AQ885" s="45"/>
      <c r="AR885" s="15"/>
      <c r="AS885" s="13"/>
      <c r="AT885" s="15"/>
      <c r="AU885" s="45"/>
      <c r="AV885" s="15"/>
      <c r="AW885" s="13"/>
      <c r="AX885" s="15"/>
      <c r="AY885" s="45"/>
      <c r="AZ885" s="28"/>
      <c r="BA885" s="13"/>
      <c r="BB885" s="15"/>
      <c r="BC885" s="45"/>
      <c r="BD885" s="28"/>
      <c r="BE885" s="14"/>
      <c r="BF885" s="41">
        <f t="shared" ref="BF885:BG885" si="2633">K885+O885+S885+W885+AA885+AE885+AI885+AM885+AQ885+AU885+AY885+BC885</f>
        <v>5798</v>
      </c>
      <c r="BG885" s="34">
        <f t="shared" si="2633"/>
        <v>5798</v>
      </c>
      <c r="BH885" s="35">
        <f t="shared" si="2623"/>
        <v>0</v>
      </c>
      <c r="BK885" s="2" t="b">
        <f>H885='2021'!BH885</f>
        <v>1</v>
      </c>
    </row>
    <row r="886" ht="15.75" customHeight="1" spans="1:63" x14ac:dyDescent="0.25">
      <c r="A886" s="2">
        <v>101</v>
      </c>
      <c r="B886" s="14"/>
      <c r="D886" s="14" t="s">
        <v>51</v>
      </c>
      <c r="E886" s="2" t="s">
        <v>39</v>
      </c>
      <c r="F886" s="41">
        <v>500</v>
      </c>
      <c r="G886" s="28"/>
      <c r="H886" s="34">
        <f>'2021'!BH886</f>
        <v>0</v>
      </c>
      <c r="I886" s="13"/>
      <c r="J886" s="15"/>
      <c r="K886" s="15"/>
      <c r="L886" s="28"/>
      <c r="M886" s="13"/>
      <c r="N886" s="15"/>
      <c r="Q886" s="13"/>
      <c r="R886" s="15"/>
      <c r="S886" s="15"/>
      <c r="T886" s="28"/>
      <c r="U886" s="13"/>
      <c r="V886" s="15"/>
      <c r="Y886" s="13"/>
      <c r="Z886" s="2"/>
      <c r="AA886" s="15"/>
      <c r="AB886" s="28"/>
      <c r="AC886" s="348"/>
      <c r="AD886" s="15"/>
      <c r="AE886" s="180">
        <f>$F$13</f>
        <v>1000</v>
      </c>
      <c r="AG886" s="15"/>
      <c r="AH886" s="2"/>
      <c r="AI886" s="45"/>
      <c r="AJ886" s="182">
        <v>1000</v>
      </c>
      <c r="AK886" s="15"/>
      <c r="AL886" s="15"/>
      <c r="AM886" s="45"/>
      <c r="AN886" s="15"/>
      <c r="AO886" s="13"/>
      <c r="AP886" s="15"/>
      <c r="AQ886" s="180"/>
      <c r="AR886" s="15"/>
      <c r="AS886" s="13"/>
      <c r="AT886" s="15"/>
      <c r="AU886" s="45"/>
      <c r="AV886" s="15"/>
      <c r="AW886" s="13"/>
      <c r="AX886" s="15"/>
      <c r="AY886" s="45"/>
      <c r="AZ886" s="28"/>
      <c r="BA886" s="13"/>
      <c r="BB886" s="15"/>
      <c r="BC886" s="45"/>
      <c r="BD886" s="28"/>
      <c r="BE886" s="14"/>
      <c r="BF886" s="41">
        <f t="shared" ref="BF886:BG886" si="2634">K886+O886+S886+W886+AA886+AE886+AI886+AM886+AQ886+AU886+AY886+BC886</f>
        <v>1000</v>
      </c>
      <c r="BG886" s="34">
        <f t="shared" si="2634"/>
        <v>1000</v>
      </c>
      <c r="BH886" s="35">
        <f t="shared" si="2623"/>
        <v>0</v>
      </c>
      <c r="BK886" s="2" t="b">
        <f>H886='2021'!BH886</f>
        <v>1</v>
      </c>
    </row>
    <row r="887" ht="15.75" customHeight="1" spans="1:63" x14ac:dyDescent="0.25">
      <c r="A887" s="2">
        <v>101</v>
      </c>
      <c r="B887" s="14"/>
      <c r="D887" s="14" t="s">
        <v>51</v>
      </c>
      <c r="E887" s="2" t="s">
        <v>49</v>
      </c>
      <c r="F887" s="41">
        <v>500</v>
      </c>
      <c r="G887" s="28"/>
      <c r="H887" s="34">
        <f>'2021'!BH887</f>
        <v>0</v>
      </c>
      <c r="I887" s="13"/>
      <c r="J887" s="15"/>
      <c r="K887" s="15"/>
      <c r="L887" s="28"/>
      <c r="M887" s="13"/>
      <c r="N887" s="15"/>
      <c r="Q887" s="13"/>
      <c r="R887" s="15"/>
      <c r="S887" s="15"/>
      <c r="T887" s="28"/>
      <c r="U887" s="13"/>
      <c r="V887" s="15"/>
      <c r="Y887" s="13"/>
      <c r="Z887" s="2"/>
      <c r="AA887" s="15"/>
      <c r="AB887" s="28"/>
      <c r="AC887" s="348"/>
      <c r="AD887" s="15"/>
      <c r="AE887" s="34"/>
      <c r="AG887" s="15"/>
      <c r="AH887" s="2"/>
      <c r="AI887" s="45"/>
      <c r="AJ887" s="182"/>
      <c r="AK887" s="15"/>
      <c r="AL887" s="15"/>
      <c r="AM887" s="45"/>
      <c r="AN887" s="15"/>
      <c r="AO887" s="13"/>
      <c r="AP887" s="15"/>
      <c r="AQ887" s="180">
        <f>B882*$F$14</f>
        <v>0</v>
      </c>
      <c r="AR887" s="15"/>
      <c r="AS887" s="13"/>
      <c r="AT887" s="15"/>
      <c r="AU887" s="45"/>
      <c r="AV887" s="15"/>
      <c r="AW887" s="13"/>
      <c r="AX887" s="15"/>
      <c r="AY887" s="45"/>
      <c r="AZ887" s="28"/>
      <c r="BA887" s="13"/>
      <c r="BB887" s="15"/>
      <c r="BC887" s="45"/>
      <c r="BD887" s="28"/>
      <c r="BE887" s="14"/>
      <c r="BF887" s="41">
        <f t="shared" ref="BF887:BG887" si="2635">K887+O887+S887+W887+AA887+AE887+AI887+AM887+AQ887+AU887+AY887+BC887</f>
        <v>0</v>
      </c>
      <c r="BG887" s="34">
        <f t="shared" si="2635"/>
        <v>0</v>
      </c>
      <c r="BH887" s="35">
        <f t="shared" si="2623"/>
        <v>0</v>
      </c>
      <c r="BK887" s="2" t="b">
        <f>H887='2021'!BH887</f>
        <v>1</v>
      </c>
    </row>
    <row r="888" ht="15.75" customHeight="1" spans="1:63" x14ac:dyDescent="0.25">
      <c r="A888" s="2">
        <v>101</v>
      </c>
      <c r="B888" s="14"/>
      <c r="D888" s="14" t="s">
        <v>52</v>
      </c>
      <c r="E888" s="2" t="s">
        <v>39</v>
      </c>
      <c r="F888" s="41">
        <v>500</v>
      </c>
      <c r="G888" s="28"/>
      <c r="H888" s="34">
        <f>'2021'!BH888</f>
        <v>0</v>
      </c>
      <c r="I888" s="13"/>
      <c r="J888" s="15"/>
      <c r="K888" s="15"/>
      <c r="L888" s="28"/>
      <c r="M888" s="13"/>
      <c r="N888" s="15"/>
      <c r="Q888" s="13"/>
      <c r="R888" s="15"/>
      <c r="S888" s="15"/>
      <c r="T888" s="28"/>
      <c r="U888" s="13"/>
      <c r="V888" s="15"/>
      <c r="Y888" s="13"/>
      <c r="Z888" s="2"/>
      <c r="AA888" s="34">
        <f>$F$15</f>
      </c>
      <c r="AB888" s="35"/>
      <c r="AC888" s="348"/>
      <c r="AD888" s="15"/>
      <c r="AF888" s="180"/>
      <c r="AG888" s="15"/>
      <c r="AH888" s="2"/>
      <c r="AI888" s="45"/>
      <c r="AJ888" s="180"/>
      <c r="AK888" s="15"/>
      <c r="AL888" s="15"/>
      <c r="AM888" s="45"/>
      <c r="AN888" s="15"/>
      <c r="AO888" s="13"/>
      <c r="AP888" s="15"/>
      <c r="AQ888" s="45"/>
      <c r="AR888" s="15"/>
      <c r="AS888" s="13"/>
      <c r="AT888" s="15"/>
      <c r="AU888" s="45"/>
      <c r="AV888" s="15"/>
      <c r="AW888" s="13"/>
      <c r="AX888" s="15"/>
      <c r="AY888" s="45"/>
      <c r="AZ888" s="35"/>
      <c r="BA888" s="13"/>
      <c r="BB888" s="15"/>
      <c r="BC888" s="45"/>
      <c r="BD888" s="35"/>
      <c r="BE888" s="14"/>
      <c r="BF888" s="41">
        <f t="shared" ref="BF888:BG888" si="2636">K888+O888+S888+W888+AA888+AE888+AI888+AM888+AQ888+AU888+AY888+BC888</f>
        <v>0</v>
      </c>
      <c r="BG888" s="34">
        <f t="shared" si="2636"/>
        <v>0</v>
      </c>
      <c r="BH888" s="35">
        <f t="shared" si="2623"/>
        <v>0</v>
      </c>
      <c r="BK888" s="2" t="b">
        <f>H888='2021'!BH888</f>
        <v>1</v>
      </c>
    </row>
    <row r="889" ht="15.75" customHeight="1" spans="1:63" x14ac:dyDescent="0.25">
      <c r="A889" s="247">
        <v>101</v>
      </c>
      <c r="B889" s="21"/>
      <c r="C889" s="22" t="s">
        <v>53</v>
      </c>
      <c r="D889" s="21"/>
      <c r="E889" s="22"/>
      <c r="F889" s="20"/>
      <c r="G889" s="23"/>
      <c r="H889" s="51">
        <f>SUM(H881:H888)</f>
        <v>10.8</v>
      </c>
      <c r="I889" s="52"/>
      <c r="J889" s="53"/>
      <c r="K889" s="51">
        <f t="shared" ref="K889:L889" si="2637">SUM(K881:K888)</f>
        <v>0</v>
      </c>
      <c r="L889" s="68">
        <f t="shared" si="2637"/>
        <v>0</v>
      </c>
      <c r="M889" s="52"/>
      <c r="N889" s="53"/>
      <c r="O889" s="51">
        <f t="shared" ref="O889:P889" si="2638">SUM(O881:O888)</f>
        <v>0</v>
      </c>
      <c r="P889" s="51">
        <f t="shared" si="2638"/>
        <v>0</v>
      </c>
      <c r="Q889" s="52"/>
      <c r="R889" s="53"/>
      <c r="S889" s="51">
        <f t="shared" ref="S889:T889" si="2639">SUM(S881:S888)</f>
        <v>0</v>
      </c>
      <c r="T889" s="51">
        <f t="shared" si="2639"/>
        <v>0</v>
      </c>
      <c r="U889" s="52"/>
      <c r="V889" s="53"/>
      <c r="W889" s="51">
        <f t="shared" ref="W889:X889" si="2640">SUM(W881:W888)</f>
        <v>0</v>
      </c>
      <c r="X889" s="51">
        <f t="shared" si="2640"/>
        <v>0</v>
      </c>
      <c r="Y889" s="52"/>
      <c r="Z889" s="301"/>
      <c r="AA889" s="51">
        <f t="shared" ref="AA889:AB889" si="2641">SUM(AA881:AA888)</f>
        <v>117.95</v>
      </c>
      <c r="AB889" s="51">
        <f t="shared" si="2641"/>
        <v>0</v>
      </c>
      <c r="AC889" s="367"/>
      <c r="AD889" s="53"/>
      <c r="AE889" s="51">
        <f t="shared" ref="AE889:AF889" si="2642">SUM(AE881:AE888)</f>
        <v>6803.4</v>
      </c>
      <c r="AF889" s="51">
        <f t="shared" si="2642"/>
        <v>0</v>
      </c>
      <c r="AG889" s="52"/>
      <c r="AH889" s="301"/>
      <c r="AI889" s="183">
        <f t="shared" ref="AI889:AJ889" si="2643">SUM(AI881:AI888)</f>
        <v>309.99104</v>
      </c>
      <c r="AJ889" s="51">
        <f t="shared" si="2643"/>
        <v>6932.15</v>
      </c>
      <c r="AK889" s="52"/>
      <c r="AL889" s="53"/>
      <c r="AM889" s="183">
        <f t="shared" ref="AM889:AN889" si="2644">SUM(AM881:AM888)</f>
        <v>152.32888</v>
      </c>
      <c r="AN889" s="51">
        <f t="shared" si="2644"/>
        <v>0</v>
      </c>
      <c r="AO889" s="52"/>
      <c r="AP889" s="53"/>
      <c r="AQ889" s="183">
        <f t="shared" ref="AQ889:AR889" si="2645">SUM(AQ881:AQ888)</f>
        <v>90.68236</v>
      </c>
      <c r="AR889" s="51">
        <f t="shared" si="2645"/>
        <v>500</v>
      </c>
      <c r="AS889" s="52"/>
      <c r="AT889" s="53"/>
      <c r="AU889" s="183">
        <f t="shared" ref="AU889:AV889" si="2646">SUM(AU881:AU888)</f>
        <v>0</v>
      </c>
      <c r="AV889" s="68">
        <f t="shared" si="2646"/>
        <v>0</v>
      </c>
      <c r="AW889" s="52"/>
      <c r="AX889" s="53"/>
      <c r="AY889" s="183">
        <f t="shared" ref="AY889:AZ889" si="2647">SUM(AY881:AY888)</f>
        <v>0</v>
      </c>
      <c r="AZ889" s="68">
        <f t="shared" si="2647"/>
        <v>0</v>
      </c>
      <c r="BA889" s="52"/>
      <c r="BB889" s="53"/>
      <c r="BC889" s="183">
        <f t="shared" ref="BC889:BD889" si="2648">SUM(BC881:BC888)</f>
        <v>0</v>
      </c>
      <c r="BD889" s="68">
        <f t="shared" si="2648"/>
        <v>0</v>
      </c>
      <c r="BE889" s="69"/>
      <c r="BF889" s="70">
        <f t="shared" ref="BF889:BH889" si="2649">SUM(BF881:BF888)</f>
        <v>7474.35228</v>
      </c>
      <c r="BG889" s="71">
        <f t="shared" si="2649"/>
        <v>7432.15</v>
      </c>
      <c r="BH889" s="72">
        <f t="shared" si="2649"/>
        <v>53.00228</v>
      </c>
      <c r="BI889" s="34">
        <f>H889+BF889-BG889</f>
        <v>53.00228</v>
      </c>
      <c r="BJ889" s="34">
        <f>BH889-BI889</f>
        <v>0</v>
      </c>
      <c r="BK889" s="2" t="b">
        <f>H889='2021'!BH889</f>
        <v>1</v>
      </c>
    </row>
    <row r="890" ht="15.75" customHeight="1" spans="1:63" x14ac:dyDescent="0.25">
      <c r="A890" s="2">
        <v>103</v>
      </c>
      <c r="B890" s="14"/>
      <c r="D890" s="14" t="s">
        <v>379</v>
      </c>
      <c r="F890" s="13"/>
      <c r="G890" s="28"/>
      <c r="H890" s="34">
        <f>'2021'!BH890</f>
        <v>0</v>
      </c>
      <c r="I890" s="13"/>
      <c r="J890" s="15"/>
      <c r="K890" s="15"/>
      <c r="L890" s="32"/>
      <c r="M890" s="13"/>
      <c r="N890" s="15"/>
      <c r="Q890" s="13"/>
      <c r="R890" s="15"/>
      <c r="S890" s="15"/>
      <c r="T890" s="28"/>
      <c r="U890" s="13"/>
      <c r="V890" s="15"/>
      <c r="Y890" s="13"/>
      <c r="Z890" s="2"/>
      <c r="AA890" s="15"/>
      <c r="AB890" s="28"/>
      <c r="AC890" s="348"/>
      <c r="AD890" s="15"/>
      <c r="AG890" s="15"/>
      <c r="AH890" s="2"/>
      <c r="AI890" s="45"/>
      <c r="AJ890" s="154"/>
      <c r="AK890" s="15"/>
      <c r="AM890" s="45"/>
      <c r="AO890" s="13"/>
      <c r="AQ890" s="180"/>
      <c r="AS890" s="13"/>
      <c r="AU890" s="180"/>
      <c r="AW890" s="13"/>
      <c r="AY890" s="180"/>
      <c r="AZ890" s="28"/>
      <c r="BA890" s="13"/>
      <c r="BB890" s="15"/>
      <c r="BC890" s="180"/>
      <c r="BD890" s="28"/>
      <c r="BE890" s="14"/>
      <c r="BF890" s="41">
        <f t="shared" ref="BF890:BG890" si="2650">K890+O890+S890+W890+AA890+AE890+AI890+AM890+AQ890+AU890+AY890+BC890</f>
        <v>0</v>
      </c>
      <c r="BG890" s="34">
        <f t="shared" si="2650"/>
        <v>0</v>
      </c>
      <c r="BH890" s="35">
        <f t="shared" ref="BH890:BH897" si="2651">H890+BF890-BG890</f>
        <v>0</v>
      </c>
      <c r="BK890" s="2" t="b">
        <f>H890='2021'!BH890</f>
        <v>1</v>
      </c>
    </row>
    <row r="891" ht="15.75" customHeight="1" spans="1:63" x14ac:dyDescent="0.25">
      <c r="A891" s="2">
        <v>103</v>
      </c>
      <c r="B891" s="14">
        <v>4.42</v>
      </c>
      <c r="C891" s="15" t="s">
        <v>322</v>
      </c>
      <c r="D891" s="14" t="s">
        <v>44</v>
      </c>
      <c r="E891" s="2" t="s">
        <v>45</v>
      </c>
      <c r="F891" s="41">
        <v>2.5</v>
      </c>
      <c r="G891" s="35">
        <v>2.6</v>
      </c>
      <c r="H891" s="104">
        <f>'2021'!BH891</f>
        <v>8.1</v>
      </c>
      <c r="I891" s="13">
        <v>3</v>
      </c>
      <c r="J891" s="15">
        <f>I891-'2021'!BA891</f>
        <v>0</v>
      </c>
      <c r="K891" s="34">
        <f>J891*$F$8</f>
        <v>0</v>
      </c>
      <c r="L891" s="32"/>
      <c r="M891" s="13">
        <v>3</v>
      </c>
      <c r="N891" s="15">
        <f t="shared" ref="N891:N892" si="2652">M891-I891</f>
        <v>0</v>
      </c>
      <c r="O891" s="34">
        <f>N891*$F$8</f>
        <v>0</v>
      </c>
      <c r="Q891" s="13">
        <v>3</v>
      </c>
      <c r="R891" s="15">
        <f t="shared" ref="R891:R892" si="2653">Q891-M891</f>
        <v>0</v>
      </c>
      <c r="S891" s="34">
        <f>R891*$F$8</f>
        <v>0</v>
      </c>
      <c r="T891" s="28"/>
      <c r="U891" s="13">
        <v>3</v>
      </c>
      <c r="V891" s="15">
        <f t="shared" ref="V891:V892" si="2654">U891-Q891</f>
        <v>0</v>
      </c>
      <c r="W891" s="34">
        <f>V891*$F$8</f>
        <v>0</v>
      </c>
      <c r="Y891" s="13">
        <v>3</v>
      </c>
      <c r="Z891" s="2">
        <f t="shared" ref="Z891:Z892" si="2655">Y891-U891</f>
        <v>0</v>
      </c>
      <c r="AA891" s="34">
        <f>Z891*$F$8</f>
        <v>0</v>
      </c>
      <c r="AB891" s="28"/>
      <c r="AC891" s="348">
        <v>3</v>
      </c>
      <c r="AD891" s="15">
        <f>AC891-Y891</f>
        <v>0</v>
      </c>
      <c r="AE891" s="180">
        <f>AD891*$F$8</f>
        <v>0</v>
      </c>
      <c r="AG891" s="15">
        <v>3</v>
      </c>
      <c r="AH891" s="2">
        <f>(AG891-AC891)*AH5</f>
        <v>0</v>
      </c>
      <c r="AI891" s="45">
        <f>AH891*$G$8</f>
        <v>0</v>
      </c>
      <c r="AJ891" s="154"/>
      <c r="AK891" s="15">
        <v>3</v>
      </c>
      <c r="AL891" s="15">
        <f>(AK891-AG891)*AL5</f>
        <v>0</v>
      </c>
      <c r="AM891" s="45">
        <f>AL891*$G$8</f>
        <v>0</v>
      </c>
      <c r="AN891" s="15"/>
      <c r="AO891" s="13">
        <v>3</v>
      </c>
      <c r="AP891" s="15">
        <f>(AO891-AK891)*AP5</f>
        <v>0</v>
      </c>
      <c r="AQ891" s="45">
        <f>AP891*$G$8</f>
        <v>0</v>
      </c>
      <c r="AR891" s="154">
        <v>8.1</v>
      </c>
      <c r="AS891" s="13">
        <v>3</v>
      </c>
      <c r="AT891" s="15">
        <f>(AS891-AO891)*AT5</f>
        <v>0</v>
      </c>
      <c r="AU891" s="45">
        <f>AT891*$G$8</f>
        <v>0</v>
      </c>
      <c r="AV891" s="15"/>
      <c r="AW891" s="13"/>
      <c r="AX891" s="15">
        <f>(AW891-AS891)*AX5</f>
        <v>0</v>
      </c>
      <c r="AY891" s="45">
        <f>AX891*$G$8</f>
        <v>0</v>
      </c>
      <c r="AZ891" s="208"/>
      <c r="BA891" s="13"/>
      <c r="BB891" s="15"/>
      <c r="BC891" s="45">
        <f>BB891*$G$8</f>
        <v>0</v>
      </c>
      <c r="BD891" s="208"/>
      <c r="BE891" s="40">
        <f t="shared" ref="BE891:BG891" si="2656">J891+N891+R891+V891+Z891+AD891+AH891+AL891+AP891+AT891+AX891+BB891</f>
        <v>0</v>
      </c>
      <c r="BF891" s="41">
        <f t="shared" si="2656"/>
        <v>0</v>
      </c>
      <c r="BG891" s="34">
        <f t="shared" si="2656"/>
        <v>8.1</v>
      </c>
      <c r="BH891" s="35">
        <f t="shared" si="2651"/>
        <v>0</v>
      </c>
      <c r="BK891" s="2" t="b">
        <f>H891='2021'!BH891</f>
        <v>1</v>
      </c>
    </row>
    <row r="892" ht="15.75" customHeight="1" spans="1:63" x14ac:dyDescent="0.25">
      <c r="A892" s="2">
        <v>103</v>
      </c>
      <c r="B892" s="14"/>
      <c r="C892" s="15" t="s">
        <v>93</v>
      </c>
      <c r="D892" s="14" t="s">
        <v>47</v>
      </c>
      <c r="E892" s="2" t="s">
        <v>48</v>
      </c>
      <c r="F892" s="13">
        <v>18.56</v>
      </c>
      <c r="G892" s="35">
        <v>19.46</v>
      </c>
      <c r="H892" s="34">
        <f>'2021'!BH892</f>
        <v>40.7</v>
      </c>
      <c r="I892" s="13">
        <v>36</v>
      </c>
      <c r="J892" s="15"/>
      <c r="K892" s="15"/>
      <c r="L892" s="32"/>
      <c r="M892" s="13">
        <v>36</v>
      </c>
      <c r="N892" s="15">
        <f t="shared" si="2652"/>
        <v>0</v>
      </c>
      <c r="Q892" s="13">
        <v>36</v>
      </c>
      <c r="R892" s="15">
        <f t="shared" si="2653"/>
        <v>0</v>
      </c>
      <c r="S892" s="15"/>
      <c r="T892" s="28"/>
      <c r="U892" s="13">
        <v>36</v>
      </c>
      <c r="V892" s="15">
        <f t="shared" si="2654"/>
        <v>0</v>
      </c>
      <c r="W892" s="34">
        <f>V892*$F$10</f>
        <v>0</v>
      </c>
      <c r="Y892" s="13">
        <v>36</v>
      </c>
      <c r="Z892" s="2">
        <f t="shared" si="2655"/>
        <v>0</v>
      </c>
      <c r="AA892" s="34">
        <f>Z892*$F$10</f>
        <v>0</v>
      </c>
      <c r="AB892" s="28"/>
      <c r="AC892" s="341">
        <v>0</v>
      </c>
      <c r="AD892" s="154">
        <v>0</v>
      </c>
      <c r="AE892" s="34">
        <f>AD892*$F$10</f>
        <v>0</v>
      </c>
      <c r="AG892" s="15">
        <v>0</v>
      </c>
      <c r="AH892" s="2">
        <v>0</v>
      </c>
      <c r="AI892" s="45">
        <f>AH892*$G$10</f>
        <v>0</v>
      </c>
      <c r="AJ892" s="154"/>
      <c r="AK892" s="15">
        <v>0</v>
      </c>
      <c r="AL892" s="15">
        <v>0</v>
      </c>
      <c r="AM892" s="45">
        <f>AL892*$G$10</f>
        <v>0</v>
      </c>
      <c r="AN892" s="15"/>
      <c r="AO892" s="13">
        <v>5</v>
      </c>
      <c r="AP892" s="15">
        <v>5</v>
      </c>
      <c r="AQ892" s="45">
        <f>AP892*$G$10</f>
        <v>107</v>
      </c>
      <c r="AR892" s="154">
        <v>147.7</v>
      </c>
      <c r="AS892" s="13">
        <v>5</v>
      </c>
      <c r="AT892" s="15">
        <v>5</v>
      </c>
      <c r="AU892" s="45">
        <f>AT892*$G$10</f>
        <v>107</v>
      </c>
      <c r="AV892" s="15"/>
      <c r="AW892" s="13"/>
      <c r="AX892" s="15">
        <v>5</v>
      </c>
      <c r="AY892" s="45"/>
      <c r="AZ892" s="208"/>
      <c r="BA892" s="13"/>
      <c r="BB892" s="15"/>
      <c r="BC892" s="45"/>
      <c r="BD892" s="208"/>
      <c r="BE892" s="40">
        <f t="shared" ref="BE892:BG892" si="2657">J892+N892+R892+V892+Z892+AD892+AH892+AL892+AP892+AT892+AX892+BB892</f>
        <v>15</v>
      </c>
      <c r="BF892" s="41">
        <f t="shared" si="2657"/>
        <v>214</v>
      </c>
      <c r="BG892" s="34">
        <f t="shared" si="2657"/>
        <v>147.7</v>
      </c>
      <c r="BH892" s="35">
        <f t="shared" si="2651"/>
        <v>107</v>
      </c>
      <c r="BK892" s="2" t="b">
        <f>H892='2021'!BH892</f>
        <v>1</v>
      </c>
    </row>
    <row r="893" ht="15.75" customHeight="1" spans="1:63" x14ac:dyDescent="0.25">
      <c r="A893" s="2">
        <v>103</v>
      </c>
      <c r="B893" s="14"/>
      <c r="C893" s="15" t="s">
        <v>84</v>
      </c>
      <c r="D893" s="14" t="s">
        <v>47</v>
      </c>
      <c r="E893" s="2" t="s">
        <v>49</v>
      </c>
      <c r="F893" s="41">
        <v>500</v>
      </c>
      <c r="G893" s="28"/>
      <c r="H893" s="34">
        <f>'2021'!BH893</f>
        <v>0</v>
      </c>
      <c r="I893" s="13"/>
      <c r="J893" s="15"/>
      <c r="K893" s="15"/>
      <c r="L893" s="32"/>
      <c r="M893" s="13"/>
      <c r="N893" s="15"/>
      <c r="Q893" s="13"/>
      <c r="R893" s="15"/>
      <c r="S893" s="15"/>
      <c r="T893" s="28"/>
      <c r="U893" s="13"/>
      <c r="V893" s="15"/>
      <c r="Y893" s="13"/>
      <c r="Z893" s="2"/>
      <c r="AA893" s="15"/>
      <c r="AB893" s="28"/>
      <c r="AC893" s="348"/>
      <c r="AD893" s="15"/>
      <c r="AG893" s="15"/>
      <c r="AH893" s="2"/>
      <c r="AI893" s="45"/>
      <c r="AJ893" s="154"/>
      <c r="AK893" s="15"/>
      <c r="AL893" s="15"/>
      <c r="AM893" s="45"/>
      <c r="AN893" s="15"/>
      <c r="AO893" s="13"/>
      <c r="AP893" s="15"/>
      <c r="AQ893" s="45"/>
      <c r="AR893" s="15"/>
      <c r="AS893" s="13"/>
      <c r="AT893" s="15"/>
      <c r="AU893" s="45"/>
      <c r="AV893" s="15"/>
      <c r="AW893" s="13"/>
      <c r="AX893" s="15"/>
      <c r="AY893" s="45"/>
      <c r="AZ893" s="28"/>
      <c r="BA893" s="13"/>
      <c r="BB893" s="15"/>
      <c r="BC893" s="45"/>
      <c r="BD893" s="28"/>
      <c r="BE893" s="14"/>
      <c r="BF893" s="41">
        <f t="shared" ref="BF893:BG893" si="2658">K893+O893+S893+W893+AA893+AE893+AI893+AM893+AQ893+AU893+AY893+BC893</f>
        <v>0</v>
      </c>
      <c r="BG893" s="34">
        <f t="shared" si="2658"/>
        <v>0</v>
      </c>
      <c r="BH893" s="35">
        <f t="shared" si="2651"/>
        <v>0</v>
      </c>
      <c r="BK893" s="2" t="b">
        <f>H893='2021'!BH893</f>
        <v>1</v>
      </c>
    </row>
    <row r="894" ht="15.75" customHeight="1" spans="1:63" x14ac:dyDescent="0.25">
      <c r="A894" s="2">
        <v>103</v>
      </c>
      <c r="B894" s="14"/>
      <c r="C894" s="15" t="s">
        <v>398</v>
      </c>
      <c r="D894" s="14" t="s">
        <v>50</v>
      </c>
      <c r="E894" s="2" t="s">
        <v>49</v>
      </c>
      <c r="F894" s="41">
        <v>1100</v>
      </c>
      <c r="G894" s="28"/>
      <c r="H894" s="34">
        <f>'2021'!BH894</f>
        <v>0</v>
      </c>
      <c r="I894" s="13"/>
      <c r="J894" s="15"/>
      <c r="K894" s="15"/>
      <c r="L894" s="32"/>
      <c r="M894" s="13"/>
      <c r="N894" s="15"/>
      <c r="Q894" s="13"/>
      <c r="R894" s="15"/>
      <c r="S894" s="15"/>
      <c r="T894" s="28"/>
      <c r="U894" s="13"/>
      <c r="V894" s="15"/>
      <c r="Y894" s="13"/>
      <c r="Z894" s="2"/>
      <c r="AA894" s="15"/>
      <c r="AB894" s="28"/>
      <c r="AC894" s="348"/>
      <c r="AD894" s="15"/>
      <c r="AE894" s="34">
        <f>B891*$F$12</f>
        <v>5746</v>
      </c>
      <c r="AG894" s="15"/>
      <c r="AH894" s="2"/>
      <c r="AI894" s="45"/>
      <c r="AJ894" s="182"/>
      <c r="AK894" s="15"/>
      <c r="AL894" s="15"/>
      <c r="AM894" s="45"/>
      <c r="AN894" s="15"/>
      <c r="AO894" s="13"/>
      <c r="AP894" s="15"/>
      <c r="AQ894" s="45"/>
      <c r="AR894" s="154">
        <v>5746</v>
      </c>
      <c r="AS894" s="13"/>
      <c r="AT894" s="15"/>
      <c r="AU894" s="45"/>
      <c r="AV894" s="15"/>
      <c r="AW894" s="13"/>
      <c r="AX894" s="15"/>
      <c r="AY894" s="45"/>
      <c r="AZ894" s="28"/>
      <c r="BA894" s="13"/>
      <c r="BB894" s="15"/>
      <c r="BC894" s="45"/>
      <c r="BD894" s="28"/>
      <c r="BE894" s="14"/>
      <c r="BF894" s="41">
        <f t="shared" ref="BF894:BG894" si="2659">K894+O894+S894+W894+AA894+AE894+AI894+AM894+AQ894+AU894+AY894+BC894</f>
        <v>5746</v>
      </c>
      <c r="BG894" s="34">
        <f t="shared" si="2659"/>
        <v>5746</v>
      </c>
      <c r="BH894" s="35">
        <f t="shared" si="2651"/>
        <v>0</v>
      </c>
      <c r="BK894" s="2" t="b">
        <f>H894='2021'!BH894</f>
        <v>1</v>
      </c>
    </row>
    <row r="895" ht="15.75" customHeight="1" spans="1:63" x14ac:dyDescent="0.25">
      <c r="A895" s="2">
        <v>103</v>
      </c>
      <c r="B895" s="14"/>
      <c r="D895" s="14" t="s">
        <v>51</v>
      </c>
      <c r="E895" s="2" t="s">
        <v>39</v>
      </c>
      <c r="F895" s="41">
        <v>500</v>
      </c>
      <c r="G895" s="28"/>
      <c r="H895" s="34">
        <f>'2021'!BH895</f>
        <v>0</v>
      </c>
      <c r="I895" s="13"/>
      <c r="J895" s="15"/>
      <c r="K895" s="15"/>
      <c r="L895" s="32"/>
      <c r="M895" s="13"/>
      <c r="N895" s="15"/>
      <c r="Q895" s="13"/>
      <c r="R895" s="15"/>
      <c r="S895" s="15"/>
      <c r="T895" s="28"/>
      <c r="U895" s="13"/>
      <c r="V895" s="15"/>
      <c r="Y895" s="13"/>
      <c r="Z895" s="2"/>
      <c r="AA895" s="15"/>
      <c r="AB895" s="28"/>
      <c r="AC895" s="348"/>
      <c r="AD895" s="15"/>
      <c r="AE895" s="180">
        <f>$F$13</f>
        <v>1000</v>
      </c>
      <c r="AG895" s="15"/>
      <c r="AH895" s="2"/>
      <c r="AI895" s="45"/>
      <c r="AJ895" s="154"/>
      <c r="AK895" s="15"/>
      <c r="AL895" s="15"/>
      <c r="AM895" s="45"/>
      <c r="AN895" s="15"/>
      <c r="AO895" s="13"/>
      <c r="AP895" s="15"/>
      <c r="AQ895" s="180"/>
      <c r="AR895" s="154">
        <v>1000</v>
      </c>
      <c r="AS895" s="13"/>
      <c r="AT895" s="15"/>
      <c r="AU895" s="45"/>
      <c r="AV895" s="15"/>
      <c r="AW895" s="13"/>
      <c r="AX895" s="15"/>
      <c r="AY895" s="45"/>
      <c r="AZ895" s="28"/>
      <c r="BA895" s="13"/>
      <c r="BB895" s="15"/>
      <c r="BC895" s="45"/>
      <c r="BD895" s="28"/>
      <c r="BE895" s="14"/>
      <c r="BF895" s="41">
        <f t="shared" ref="BF895:BG895" si="2660">K895+O895+S895+W895+AA895+AE895+AI895+AM895+AQ895+AU895+AY895+BC895</f>
        <v>1000</v>
      </c>
      <c r="BG895" s="34">
        <f t="shared" si="2660"/>
        <v>1000</v>
      </c>
      <c r="BH895" s="35">
        <f t="shared" si="2651"/>
        <v>0</v>
      </c>
      <c r="BK895" s="2" t="b">
        <f>H895='2021'!BH895</f>
        <v>1</v>
      </c>
    </row>
    <row r="896" ht="15.75" customHeight="1" spans="1:63" x14ac:dyDescent="0.25">
      <c r="A896" s="2">
        <v>103</v>
      </c>
      <c r="B896" s="14"/>
      <c r="D896" s="14" t="s">
        <v>51</v>
      </c>
      <c r="E896" s="2" t="s">
        <v>49</v>
      </c>
      <c r="F896" s="41">
        <v>500</v>
      </c>
      <c r="G896" s="28"/>
      <c r="H896" s="34">
        <f>'2021'!BH896</f>
        <v>0</v>
      </c>
      <c r="I896" s="13"/>
      <c r="J896" s="15"/>
      <c r="K896" s="15"/>
      <c r="L896" s="32"/>
      <c r="M896" s="13"/>
      <c r="N896" s="15"/>
      <c r="Q896" s="13"/>
      <c r="R896" s="15"/>
      <c r="S896" s="15"/>
      <c r="T896" s="28"/>
      <c r="U896" s="13"/>
      <c r="V896" s="15"/>
      <c r="Y896" s="13"/>
      <c r="Z896" s="2"/>
      <c r="AA896" s="15"/>
      <c r="AB896" s="28"/>
      <c r="AC896" s="348"/>
      <c r="AD896" s="15"/>
      <c r="AE896" s="34"/>
      <c r="AG896" s="15"/>
      <c r="AH896" s="2"/>
      <c r="AI896" s="45"/>
      <c r="AJ896" s="15"/>
      <c r="AK896" s="15"/>
      <c r="AL896" s="15"/>
      <c r="AM896" s="45"/>
      <c r="AN896" s="15"/>
      <c r="AO896" s="13"/>
      <c r="AP896" s="15"/>
      <c r="AQ896" s="180">
        <f>B891*$F$14</f>
        <v>0</v>
      </c>
      <c r="AR896" s="15"/>
      <c r="AS896" s="13"/>
      <c r="AT896" s="15"/>
      <c r="AU896" s="45"/>
      <c r="AV896" s="15"/>
      <c r="AW896" s="13"/>
      <c r="AX896" s="15"/>
      <c r="AY896" s="45"/>
      <c r="AZ896" s="28"/>
      <c r="BA896" s="13"/>
      <c r="BB896" s="15"/>
      <c r="BC896" s="45"/>
      <c r="BD896" s="28"/>
      <c r="BE896" s="14"/>
      <c r="BF896" s="41">
        <f t="shared" ref="BF896:BG896" si="2661">K896+O896+S896+W896+AA896+AE896+AI896+AM896+AQ896+AU896+AY896+BC896</f>
        <v>0</v>
      </c>
      <c r="BG896" s="34">
        <f t="shared" si="2661"/>
        <v>0</v>
      </c>
      <c r="BH896" s="35">
        <f t="shared" si="2651"/>
        <v>0</v>
      </c>
      <c r="BK896" s="2" t="b">
        <f>H896='2021'!BH896</f>
        <v>1</v>
      </c>
    </row>
    <row r="897" ht="15.75" customHeight="1" spans="1:63" x14ac:dyDescent="0.25">
      <c r="A897" s="2">
        <v>103</v>
      </c>
      <c r="B897" s="14"/>
      <c r="D897" s="14" t="s">
        <v>52</v>
      </c>
      <c r="E897" s="2" t="s">
        <v>39</v>
      </c>
      <c r="F897" s="41">
        <v>500</v>
      </c>
      <c r="G897" s="28"/>
      <c r="H897" s="34">
        <f>'2021'!BH897</f>
        <v>0</v>
      </c>
      <c r="I897" s="13"/>
      <c r="J897" s="15"/>
      <c r="K897" s="15"/>
      <c r="L897" s="32"/>
      <c r="M897" s="13"/>
      <c r="N897" s="15"/>
      <c r="Q897" s="13"/>
      <c r="R897" s="15"/>
      <c r="S897" s="15"/>
      <c r="T897" s="28"/>
      <c r="U897" s="13"/>
      <c r="V897" s="15"/>
      <c r="Y897" s="13"/>
      <c r="Z897" s="2"/>
      <c r="AA897" s="34">
        <f>$F$15</f>
      </c>
      <c r="AB897" s="28"/>
      <c r="AC897" s="348"/>
      <c r="AD897" s="15"/>
      <c r="AG897" s="15"/>
      <c r="AH897" s="2"/>
      <c r="AI897" s="45"/>
      <c r="AJ897" s="15"/>
      <c r="AK897" s="15"/>
      <c r="AL897" s="15"/>
      <c r="AM897" s="45"/>
      <c r="AN897" s="15"/>
      <c r="AO897" s="13"/>
      <c r="AP897" s="15"/>
      <c r="AQ897" s="45"/>
      <c r="AR897" s="15"/>
      <c r="AS897" s="13"/>
      <c r="AT897" s="15"/>
      <c r="AU897" s="45"/>
      <c r="AV897" s="15"/>
      <c r="AW897" s="13"/>
      <c r="AX897" s="15"/>
      <c r="AY897" s="45"/>
      <c r="AZ897" s="35"/>
      <c r="BA897" s="13"/>
      <c r="BB897" s="15"/>
      <c r="BC897" s="45"/>
      <c r="BD897" s="35"/>
      <c r="BE897" s="14"/>
      <c r="BF897" s="41">
        <f t="shared" ref="BF897:BG897" si="2662">K897+O897+S897+W897+AA897+AE897+AI897+AM897+AQ897+AU897+AY897+BC897</f>
        <v>0</v>
      </c>
      <c r="BG897" s="34">
        <f t="shared" si="2662"/>
        <v>0</v>
      </c>
      <c r="BH897" s="35">
        <f t="shared" si="2651"/>
        <v>0</v>
      </c>
      <c r="BK897" s="2" t="b">
        <f>H897='2021'!BH897</f>
        <v>1</v>
      </c>
    </row>
    <row r="898" ht="15.75" customHeight="1" spans="1:63" x14ac:dyDescent="0.25">
      <c r="A898" s="247">
        <v>103</v>
      </c>
      <c r="B898" s="21"/>
      <c r="C898" s="22" t="s">
        <v>53</v>
      </c>
      <c r="D898" s="21"/>
      <c r="E898" s="22"/>
      <c r="F898" s="20"/>
      <c r="G898" s="23"/>
      <c r="H898" s="51">
        <f>SUM(H890:H897)</f>
        <v>48.8</v>
      </c>
      <c r="I898" s="52"/>
      <c r="J898" s="53"/>
      <c r="K898" s="51">
        <f t="shared" ref="K898:L898" si="2663">SUM(K890:K897)</f>
        <v>0</v>
      </c>
      <c r="L898" s="68">
        <f t="shared" si="2663"/>
        <v>0</v>
      </c>
      <c r="M898" s="52"/>
      <c r="N898" s="53"/>
      <c r="O898" s="51">
        <f t="shared" ref="O898:P898" si="2664">SUM(O890:O897)</f>
        <v>0</v>
      </c>
      <c r="P898" s="51">
        <f t="shared" si="2664"/>
        <v>0</v>
      </c>
      <c r="Q898" s="52"/>
      <c r="R898" s="53"/>
      <c r="S898" s="51">
        <f t="shared" ref="S898:T898" si="2665">SUM(S890:S897)</f>
        <v>0</v>
      </c>
      <c r="T898" s="51">
        <f t="shared" si="2665"/>
        <v>0</v>
      </c>
      <c r="U898" s="52"/>
      <c r="V898" s="53"/>
      <c r="W898" s="51">
        <f t="shared" ref="W898:X898" si="2666">SUM(W890:W897)</f>
        <v>0</v>
      </c>
      <c r="X898" s="51">
        <f t="shared" si="2666"/>
        <v>0</v>
      </c>
      <c r="Y898" s="52"/>
      <c r="Z898" s="301"/>
      <c r="AA898" s="51">
        <f t="shared" ref="AA898:AB898" si="2667">SUM(AA890:AA897)</f>
        <v>0</v>
      </c>
      <c r="AB898" s="51">
        <f t="shared" si="2667"/>
        <v>0</v>
      </c>
      <c r="AC898" s="367"/>
      <c r="AD898" s="53"/>
      <c r="AE898" s="51">
        <f t="shared" ref="AE898:AF898" si="2668">SUM(AE890:AE897)</f>
        <v>6746</v>
      </c>
      <c r="AF898" s="51">
        <f t="shared" si="2668"/>
        <v>0</v>
      </c>
      <c r="AG898" s="52"/>
      <c r="AH898" s="301"/>
      <c r="AI898" s="183">
        <f t="shared" ref="AI898:AJ898" si="2669">SUM(AI890:AI897)</f>
        <v>0</v>
      </c>
      <c r="AJ898" s="51">
        <f t="shared" si="2669"/>
        <v>0</v>
      </c>
      <c r="AK898" s="52"/>
      <c r="AL898" s="53"/>
      <c r="AM898" s="183">
        <f t="shared" ref="AM898:AN898" si="2670">SUM(AM890:AM897)</f>
        <v>0</v>
      </c>
      <c r="AN898" s="51">
        <f t="shared" si="2670"/>
        <v>0</v>
      </c>
      <c r="AO898" s="52"/>
      <c r="AP898" s="53"/>
      <c r="AQ898" s="183">
        <f t="shared" ref="AQ898:AR898" si="2671">SUM(AQ890:AQ897)</f>
        <v>107</v>
      </c>
      <c r="AR898" s="51">
        <f t="shared" si="2671"/>
        <v>6901.8</v>
      </c>
      <c r="AS898" s="52"/>
      <c r="AT898" s="53"/>
      <c r="AU898" s="183">
        <f t="shared" ref="AU898:AV898" si="2672">SUM(AU890:AU897)</f>
        <v>107</v>
      </c>
      <c r="AV898" s="68">
        <f t="shared" si="2672"/>
        <v>0</v>
      </c>
      <c r="AW898" s="52"/>
      <c r="AX898" s="53"/>
      <c r="AY898" s="183">
        <f t="shared" ref="AY898:AZ898" si="2673">SUM(AY890:AY897)</f>
        <v>0</v>
      </c>
      <c r="AZ898" s="68">
        <f t="shared" si="2673"/>
        <v>0</v>
      </c>
      <c r="BA898" s="52"/>
      <c r="BB898" s="53"/>
      <c r="BC898" s="183">
        <f t="shared" ref="BC898:BD898" si="2674">SUM(BC890:BC897)</f>
        <v>0</v>
      </c>
      <c r="BD898" s="68">
        <f t="shared" si="2674"/>
        <v>0</v>
      </c>
      <c r="BE898" s="69"/>
      <c r="BF898" s="70">
        <f t="shared" ref="BF898:BH898" si="2675">SUM(BF890:BF897)</f>
        <v>6960</v>
      </c>
      <c r="BG898" s="71">
        <f t="shared" si="2675"/>
        <v>6901.8</v>
      </c>
      <c r="BH898" s="72">
        <f t="shared" si="2675"/>
        <v>107</v>
      </c>
      <c r="BI898" s="34">
        <f>H898+BF898-BG898</f>
        <v>107</v>
      </c>
      <c r="BJ898" s="34">
        <f>BH898-BI898</f>
        <v>0</v>
      </c>
      <c r="BK898" s="2" t="b">
        <f>H898='2021'!BH898</f>
        <v>1</v>
      </c>
    </row>
    <row r="899" ht="15.75" customHeight="1" spans="1:63" x14ac:dyDescent="0.25">
      <c r="A899" s="2">
        <v>105</v>
      </c>
      <c r="B899" s="14"/>
      <c r="D899" s="14" t="s">
        <v>379</v>
      </c>
      <c r="F899" s="13"/>
      <c r="G899" s="28"/>
      <c r="H899" s="34">
        <f>'2021'!BH899</f>
        <v>13.8</v>
      </c>
      <c r="I899" s="13"/>
      <c r="J899" s="15"/>
      <c r="K899" s="15"/>
      <c r="L899" s="28"/>
      <c r="M899" s="13"/>
      <c r="N899" s="15"/>
      <c r="Q899" s="13"/>
      <c r="R899" s="15"/>
      <c r="S899" s="15">
        <v>7.6</v>
      </c>
      <c r="T899" s="28"/>
      <c r="U899" s="13"/>
      <c r="V899" s="15"/>
      <c r="W899" s="2">
        <v>7.35</v>
      </c>
      <c r="Y899" s="13"/>
      <c r="Z899" s="2"/>
      <c r="AA899" s="15">
        <v>7.6</v>
      </c>
      <c r="AB899" s="28"/>
      <c r="AC899" s="348"/>
      <c r="AD899" s="15"/>
      <c r="AE899" s="2">
        <v>3.44</v>
      </c>
      <c r="AG899" s="15"/>
      <c r="AH899" s="2"/>
      <c r="AI899" s="45">
        <v>1.5</v>
      </c>
      <c r="AJ899" s="154">
        <v>39.79</v>
      </c>
      <c r="AK899" s="15"/>
      <c r="AM899" s="45"/>
      <c r="AO899" s="13"/>
      <c r="AQ899" s="180"/>
      <c r="AS899" s="13"/>
      <c r="AU899" s="180"/>
      <c r="AW899" s="13"/>
      <c r="AY899" s="45"/>
      <c r="AZ899" s="28"/>
      <c r="BA899" s="13"/>
      <c r="BB899" s="15"/>
      <c r="BC899" s="45"/>
      <c r="BD899" s="28"/>
      <c r="BE899" s="14"/>
      <c r="BF899" s="41">
        <f t="shared" ref="BF899:BG899" si="2676">K899+O899+S899+W899+AA899+AE899+AI899+AM899+AQ899+AU899+AY899+BC899</f>
        <v>27.49</v>
      </c>
      <c r="BG899" s="34">
        <f t="shared" si="2676"/>
        <v>39.79</v>
      </c>
      <c r="BH899" s="35">
        <f t="shared" ref="BH899:BH906" si="2677">H899+BF899-BG899</f>
        <v>1.5</v>
      </c>
      <c r="BK899" s="2" t="b">
        <f>H899='2021'!BH899</f>
        <v>1</v>
      </c>
    </row>
    <row r="900" ht="15.75" customHeight="1" spans="1:63" x14ac:dyDescent="0.25">
      <c r="A900" s="2">
        <v>105</v>
      </c>
      <c r="B900" s="14">
        <v>4.41</v>
      </c>
      <c r="C900" s="2" t="s">
        <v>323</v>
      </c>
      <c r="D900" s="14" t="s">
        <v>44</v>
      </c>
      <c r="E900" s="2" t="s">
        <v>45</v>
      </c>
      <c r="F900" s="41">
        <v>2.5</v>
      </c>
      <c r="G900" s="35">
        <v>2.6</v>
      </c>
      <c r="H900" s="34">
        <f>'2021'!BH900</f>
        <v>83.7</v>
      </c>
      <c r="I900" s="13">
        <v>2571</v>
      </c>
      <c r="J900" s="15">
        <f>I900-'2021'!BA900</f>
        <v>0</v>
      </c>
      <c r="K900" s="34">
        <f>J900*$F$8</f>
        <v>0</v>
      </c>
      <c r="L900" s="28"/>
      <c r="M900" s="13">
        <v>2571</v>
      </c>
      <c r="N900" s="15">
        <f t="shared" ref="N900:N901" si="2678">M900-I900</f>
        <v>0</v>
      </c>
      <c r="O900" s="34">
        <f>N900*$F$8</f>
        <v>0</v>
      </c>
      <c r="Q900" s="13">
        <v>2571</v>
      </c>
      <c r="R900" s="15">
        <f t="shared" ref="R900:R901" si="2679">Q900-M900</f>
        <v>0</v>
      </c>
      <c r="S900" s="34">
        <f>R900*$F$8</f>
        <v>0</v>
      </c>
      <c r="T900" s="28"/>
      <c r="U900" s="13">
        <v>2571</v>
      </c>
      <c r="V900" s="15">
        <f t="shared" ref="V900:V901" si="2680">U900-Q900</f>
        <v>0</v>
      </c>
      <c r="W900" s="34">
        <f>V900*$F$8</f>
        <v>0</v>
      </c>
      <c r="Y900" s="13">
        <v>2707</v>
      </c>
      <c r="Z900" s="2">
        <f t="shared" ref="Z900:Z901" si="2681">Y900-U900</f>
        <v>136</v>
      </c>
      <c r="AA900" s="34">
        <f>Z900*$F$8</f>
        <v>367.2</v>
      </c>
      <c r="AB900" s="28"/>
      <c r="AC900" s="348">
        <v>2840</v>
      </c>
      <c r="AD900" s="15">
        <f t="shared" ref="AD900:AD901" si="2682">AC900-Y900</f>
        <v>133</v>
      </c>
      <c r="AE900" s="180">
        <f>AD900*$F$8</f>
        <v>359.1</v>
      </c>
      <c r="AF900" s="326">
        <v>450.9</v>
      </c>
      <c r="AG900" s="15">
        <v>2938</v>
      </c>
      <c r="AH900" s="2">
        <f>(AG900-AC900)*AH5</f>
        <v>103.488</v>
      </c>
      <c r="AI900" s="45">
        <f>AH900*$G$8</f>
        <v>254.58048</v>
      </c>
      <c r="AJ900" s="182">
        <v>359.1</v>
      </c>
      <c r="AK900" s="15">
        <v>3032</v>
      </c>
      <c r="AL900" s="15">
        <f>(AK900-AG900)*AL5</f>
        <v>96.632</v>
      </c>
      <c r="AM900" s="45">
        <f>AL900*$G$8</f>
        <v>237.71472</v>
      </c>
      <c r="AN900" s="154">
        <v>254.58</v>
      </c>
      <c r="AO900" s="13">
        <v>3097</v>
      </c>
      <c r="AP900" s="15">
        <f>(AO900-AK900)*AP5</f>
        <v>67.145</v>
      </c>
      <c r="AQ900" s="45">
        <f>AP900*$G$8</f>
        <v>165.1767</v>
      </c>
      <c r="AR900" s="182">
        <f>267+237.72</f>
        <v>504.72</v>
      </c>
      <c r="AS900" s="13">
        <v>3109</v>
      </c>
      <c r="AT900" s="15">
        <f>(AS900-AO900)*AT5</f>
        <v>12.6</v>
      </c>
      <c r="AU900" s="45">
        <f>AT900*$G$8</f>
        <v>30.996</v>
      </c>
      <c r="AV900" s="39"/>
      <c r="AW900" s="13"/>
      <c r="AX900" s="15">
        <f>(AW900-AS900)*AX5</f>
        <v>0</v>
      </c>
      <c r="AY900" s="45">
        <f>AX900*$G$8</f>
        <v>0</v>
      </c>
      <c r="AZ900" s="246"/>
      <c r="BA900" s="13"/>
      <c r="BB900" s="15"/>
      <c r="BC900" s="45">
        <f>BB900*$G$8</f>
        <v>0</v>
      </c>
      <c r="BD900" s="208"/>
      <c r="BE900" s="40">
        <f t="shared" ref="BE900:BG900" si="2683">J900+N900+R900+V900+Z900+AD900+AH900+AL900+AP900+AT900+AX900+BB900</f>
        <v>548.865</v>
      </c>
      <c r="BF900" s="41">
        <f t="shared" si="2683"/>
        <v>1414.7679</v>
      </c>
      <c r="BG900" s="34">
        <f t="shared" si="2683"/>
        <v>1569.3</v>
      </c>
      <c r="BH900" s="35">
        <f t="shared" si="2677"/>
        <v>-70.8321</v>
      </c>
      <c r="BK900" s="2" t="b">
        <f>H900='2021'!BH900</f>
        <v>1</v>
      </c>
    </row>
    <row r="901" ht="15.75" customHeight="1" spans="1:63" x14ac:dyDescent="0.25">
      <c r="A901" s="2">
        <v>105</v>
      </c>
      <c r="B901" s="14"/>
      <c r="C901" s="2" t="s">
        <v>79</v>
      </c>
      <c r="D901" s="14" t="s">
        <v>47</v>
      </c>
      <c r="E901" s="2" t="s">
        <v>48</v>
      </c>
      <c r="F901" s="13">
        <v>18.56</v>
      </c>
      <c r="G901" s="35">
        <v>19.46</v>
      </c>
      <c r="H901" s="34">
        <f>'2021'!BH901</f>
        <v>392.09</v>
      </c>
      <c r="I901" s="13">
        <v>287</v>
      </c>
      <c r="J901" s="15"/>
      <c r="K901" s="15"/>
      <c r="L901" s="28"/>
      <c r="M901" s="13">
        <v>287</v>
      </c>
      <c r="N901" s="15">
        <f t="shared" si="2678"/>
        <v>0</v>
      </c>
      <c r="Q901" s="13">
        <v>287</v>
      </c>
      <c r="R901" s="15">
        <f t="shared" si="2679"/>
        <v>0</v>
      </c>
      <c r="S901" s="15"/>
      <c r="T901" s="28"/>
      <c r="U901" s="13">
        <v>287</v>
      </c>
      <c r="V901" s="15">
        <f t="shared" si="2680"/>
        <v>0</v>
      </c>
      <c r="W901" s="180">
        <f>V901*$F$10</f>
        <v>0</v>
      </c>
      <c r="Y901" s="13">
        <v>295</v>
      </c>
      <c r="Z901" s="2">
        <f t="shared" si="2681"/>
        <v>8</v>
      </c>
      <c r="AA901" s="34">
        <f>Z901*$F$10</f>
        <v>162.8</v>
      </c>
      <c r="AB901" s="28"/>
      <c r="AC901" s="348">
        <v>338</v>
      </c>
      <c r="AD901" s="15">
        <f t="shared" si="2682"/>
        <v>43</v>
      </c>
      <c r="AE901" s="34">
        <f>AD901*$F$10</f>
        <v>875.05</v>
      </c>
      <c r="AF901" s="326">
        <v>554.89</v>
      </c>
      <c r="AG901" s="15">
        <v>345</v>
      </c>
      <c r="AH901" s="2">
        <f>AG901-AC901</f>
        <v>7</v>
      </c>
      <c r="AI901" s="45">
        <f>AH901*$G$10</f>
        <v>149.8</v>
      </c>
      <c r="AJ901" s="182">
        <v>875.05</v>
      </c>
      <c r="AK901" s="15">
        <v>350</v>
      </c>
      <c r="AL901" s="15">
        <f>AK901-AG901</f>
        <v>5</v>
      </c>
      <c r="AM901" s="45">
        <f>AL901*$G$10</f>
        <v>107</v>
      </c>
      <c r="AN901" s="154">
        <v>149.8</v>
      </c>
      <c r="AO901" s="13">
        <v>353</v>
      </c>
      <c r="AP901" s="15">
        <f>AO901-AK901</f>
        <v>3</v>
      </c>
      <c r="AQ901" s="45">
        <f>AP901*$G$10</f>
        <v>64.2</v>
      </c>
      <c r="AR901" s="182">
        <v>107</v>
      </c>
      <c r="AS901" s="13">
        <v>353</v>
      </c>
      <c r="AT901" s="15">
        <f>AS901-AO901</f>
        <v>0</v>
      </c>
      <c r="AU901" s="45">
        <f>AT901*$G$10</f>
        <v>0</v>
      </c>
      <c r="AV901" s="39"/>
      <c r="AW901" s="13"/>
      <c r="AX901" s="15">
        <f>AW901-AS901</f>
        <v>-353</v>
      </c>
      <c r="AY901" s="45"/>
      <c r="AZ901" s="208"/>
      <c r="BA901" s="13"/>
      <c r="BB901" s="15"/>
      <c r="BC901" s="45"/>
      <c r="BD901" s="208"/>
      <c r="BE901" s="40">
        <f t="shared" ref="BE901:BG901" si="2684">J901+N901+R901+V901+Z901+AD901+AH901+AL901+AP901+AT901+AX901+BB901</f>
        <v>-287</v>
      </c>
      <c r="BF901" s="41">
        <f t="shared" si="2684"/>
        <v>1358.85</v>
      </c>
      <c r="BG901" s="34">
        <f t="shared" si="2684"/>
        <v>1686.74</v>
      </c>
      <c r="BH901" s="35">
        <f t="shared" si="2677"/>
        <v>64.2</v>
      </c>
      <c r="BK901" s="2" t="b">
        <f>H901='2021'!BH901</f>
        <v>1</v>
      </c>
    </row>
    <row r="902" ht="15.75" customHeight="1" spans="1:63" x14ac:dyDescent="0.25">
      <c r="A902" s="2">
        <v>105</v>
      </c>
      <c r="B902" s="14"/>
      <c r="C902" s="15" t="s">
        <v>107</v>
      </c>
      <c r="D902" s="14" t="s">
        <v>47</v>
      </c>
      <c r="E902" s="2" t="s">
        <v>49</v>
      </c>
      <c r="F902" s="41">
        <v>500</v>
      </c>
      <c r="G902" s="28"/>
      <c r="H902" s="34">
        <f>'2021'!BH902</f>
        <v>0</v>
      </c>
      <c r="I902" s="13"/>
      <c r="J902" s="15"/>
      <c r="K902" s="15"/>
      <c r="L902" s="28"/>
      <c r="M902" s="13"/>
      <c r="N902" s="15"/>
      <c r="Q902" s="13"/>
      <c r="R902" s="15"/>
      <c r="S902" s="15"/>
      <c r="T902" s="28"/>
      <c r="U902" s="13"/>
      <c r="V902" s="15"/>
      <c r="Y902" s="13"/>
      <c r="Z902" s="2"/>
      <c r="AA902" s="15"/>
      <c r="AB902" s="28"/>
      <c r="AC902" s="348"/>
      <c r="AD902" s="15"/>
      <c r="AG902" s="15"/>
      <c r="AH902" s="2"/>
      <c r="AI902" s="45"/>
      <c r="AJ902" s="1"/>
      <c r="AK902" s="15"/>
      <c r="AL902" s="15"/>
      <c r="AM902" s="45"/>
      <c r="AN902" s="15"/>
      <c r="AO902" s="13"/>
      <c r="AP902" s="15"/>
      <c r="AQ902" s="45"/>
      <c r="AR902" s="1"/>
      <c r="AS902" s="13"/>
      <c r="AT902" s="15"/>
      <c r="AU902" s="45"/>
      <c r="AV902" s="1"/>
      <c r="AW902" s="13"/>
      <c r="AX902" s="15"/>
      <c r="AY902" s="45"/>
      <c r="AZ902" s="28"/>
      <c r="BA902" s="13"/>
      <c r="BB902" s="15"/>
      <c r="BC902" s="45"/>
      <c r="BD902" s="28"/>
      <c r="BE902" s="14"/>
      <c r="BF902" s="41">
        <f t="shared" ref="BF902:BG902" si="2685">K902+O902+S902+W902+AA902+AE902+AI902+AM902+AQ902+AU902+AY902+BC902</f>
        <v>0</v>
      </c>
      <c r="BG902" s="34">
        <f t="shared" si="2685"/>
        <v>0</v>
      </c>
      <c r="BH902" s="35">
        <f t="shared" si="2677"/>
        <v>0</v>
      </c>
      <c r="BK902" s="2" t="b">
        <f>H902='2021'!BH902</f>
        <v>1</v>
      </c>
    </row>
    <row r="903" ht="15.75" customHeight="1" spans="1:63" x14ac:dyDescent="0.25">
      <c r="A903" s="2">
        <v>105</v>
      </c>
      <c r="B903" s="14"/>
      <c r="C903" s="15" t="s">
        <v>324</v>
      </c>
      <c r="D903" s="14" t="s">
        <v>50</v>
      </c>
      <c r="E903" s="2" t="s">
        <v>49</v>
      </c>
      <c r="F903" s="41">
        <v>1100</v>
      </c>
      <c r="G903" s="28"/>
      <c r="H903" s="34">
        <f>'2021'!BH903</f>
        <v>2451</v>
      </c>
      <c r="I903" s="13"/>
      <c r="J903" s="15"/>
      <c r="K903" s="15"/>
      <c r="L903" s="28"/>
      <c r="M903" s="13"/>
      <c r="N903" s="15"/>
      <c r="Q903" s="13"/>
      <c r="R903" s="15"/>
      <c r="S903" s="15"/>
      <c r="T903" s="28"/>
      <c r="U903" s="13"/>
      <c r="V903" s="15"/>
      <c r="Y903" s="13"/>
      <c r="Z903" s="2"/>
      <c r="AA903" s="15"/>
      <c r="AB903" s="28"/>
      <c r="AC903" s="348"/>
      <c r="AD903" s="15"/>
      <c r="AE903" s="34">
        <f>B900*$F$12</f>
        <v>5733</v>
      </c>
      <c r="AF903" s="326">
        <v>1451</v>
      </c>
      <c r="AG903" s="15"/>
      <c r="AH903" s="2"/>
      <c r="AI903" s="45"/>
      <c r="AJ903" s="182">
        <v>1000</v>
      </c>
      <c r="AK903" s="15"/>
      <c r="AL903" s="15"/>
      <c r="AM903" s="45"/>
      <c r="AN903" s="15"/>
      <c r="AO903" s="13"/>
      <c r="AP903" s="15"/>
      <c r="AQ903" s="45"/>
      <c r="AR903" s="182">
        <f>3000+2733</f>
        <v>5733</v>
      </c>
      <c r="AS903" s="13"/>
      <c r="AT903" s="15"/>
      <c r="AU903" s="45"/>
      <c r="AV903" s="39"/>
      <c r="AW903" s="13"/>
      <c r="AX903" s="15"/>
      <c r="AY903" s="45"/>
      <c r="AZ903" s="28"/>
      <c r="BA903" s="13"/>
      <c r="BB903" s="15"/>
      <c r="BC903" s="45"/>
      <c r="BD903" s="28"/>
      <c r="BE903" s="14"/>
      <c r="BF903" s="41">
        <f t="shared" ref="BF903:BG903" si="2686">K903+O903+S903+W903+AA903+AE903+AI903+AM903+AQ903+AU903+AY903+BC903</f>
        <v>5733</v>
      </c>
      <c r="BG903" s="34">
        <f t="shared" si="2686"/>
        <v>8184</v>
      </c>
      <c r="BH903" s="35">
        <f t="shared" si="2677"/>
        <v>0</v>
      </c>
      <c r="BK903" s="2" t="b">
        <f>H903='2021'!BH903</f>
        <v>1</v>
      </c>
    </row>
    <row r="904" ht="15.75" customHeight="1" spans="1:63" x14ac:dyDescent="0.25">
      <c r="A904" s="2">
        <v>105</v>
      </c>
      <c r="B904" s="14"/>
      <c r="C904" s="15" t="s">
        <v>447</v>
      </c>
      <c r="D904" s="14" t="s">
        <v>51</v>
      </c>
      <c r="E904" s="2" t="s">
        <v>39</v>
      </c>
      <c r="F904" s="41">
        <v>500</v>
      </c>
      <c r="G904" s="28"/>
      <c r="H904" s="34">
        <f>'2021'!BH904</f>
        <v>0</v>
      </c>
      <c r="I904" s="13"/>
      <c r="J904" s="15"/>
      <c r="K904" s="15"/>
      <c r="L904" s="28"/>
      <c r="M904" s="13"/>
      <c r="N904" s="15"/>
      <c r="Q904" s="13"/>
      <c r="R904" s="15"/>
      <c r="S904" s="15"/>
      <c r="T904" s="28"/>
      <c r="U904" s="13"/>
      <c r="V904" s="15"/>
      <c r="Y904" s="13"/>
      <c r="Z904" s="2"/>
      <c r="AA904" s="15"/>
      <c r="AB904" s="28"/>
      <c r="AC904" s="348"/>
      <c r="AD904" s="15"/>
      <c r="AE904" s="180">
        <f>$F$13</f>
        <v>1000</v>
      </c>
      <c r="AG904" s="15"/>
      <c r="AH904" s="2"/>
      <c r="AI904" s="45"/>
      <c r="AJ904" s="1"/>
      <c r="AK904" s="15"/>
      <c r="AL904" s="15"/>
      <c r="AM904" s="45"/>
      <c r="AN904" s="15"/>
      <c r="AO904" s="13"/>
      <c r="AP904" s="15"/>
      <c r="AQ904" s="180"/>
      <c r="AR904" s="154">
        <v>1000</v>
      </c>
      <c r="AS904" s="13"/>
      <c r="AT904" s="15"/>
      <c r="AU904" s="45"/>
      <c r="AV904" s="15"/>
      <c r="AW904" s="13"/>
      <c r="AX904" s="15"/>
      <c r="AY904" s="45"/>
      <c r="AZ904" s="28"/>
      <c r="BA904" s="13"/>
      <c r="BB904" s="15"/>
      <c r="BC904" s="45"/>
      <c r="BD904" s="28"/>
      <c r="BE904" s="14"/>
      <c r="BF904" s="41">
        <f t="shared" ref="BF904:BG904" si="2687">K904+O904+S904+W904+AA904+AE904+AI904+AM904+AQ904+AU904+AY904+BC904</f>
        <v>1000</v>
      </c>
      <c r="BG904" s="34">
        <f t="shared" si="2687"/>
        <v>1000</v>
      </c>
      <c r="BH904" s="35">
        <f t="shared" si="2677"/>
        <v>0</v>
      </c>
      <c r="BK904" s="2" t="b">
        <f>H904='2021'!BH904</f>
        <v>1</v>
      </c>
    </row>
    <row r="905" ht="15.75" customHeight="1" spans="1:63" x14ac:dyDescent="0.25">
      <c r="A905" s="2">
        <v>105</v>
      </c>
      <c r="B905" s="14"/>
      <c r="C905" s="15" t="s">
        <v>448</v>
      </c>
      <c r="D905" s="14" t="s">
        <v>51</v>
      </c>
      <c r="E905" s="2" t="s">
        <v>49</v>
      </c>
      <c r="F905" s="41">
        <v>500</v>
      </c>
      <c r="G905" s="28"/>
      <c r="H905" s="34">
        <f>'2021'!BH905</f>
        <v>0</v>
      </c>
      <c r="I905" s="13"/>
      <c r="J905" s="15"/>
      <c r="K905" s="15"/>
      <c r="L905" s="28"/>
      <c r="M905" s="13"/>
      <c r="N905" s="15"/>
      <c r="Q905" s="13"/>
      <c r="R905" s="15"/>
      <c r="S905" s="15"/>
      <c r="T905" s="28"/>
      <c r="U905" s="13"/>
      <c r="V905" s="15"/>
      <c r="Y905" s="13"/>
      <c r="Z905" s="2"/>
      <c r="AA905" s="15"/>
      <c r="AB905" s="28"/>
      <c r="AC905" s="348"/>
      <c r="AD905" s="15"/>
      <c r="AE905" s="34"/>
      <c r="AG905" s="15"/>
      <c r="AH905" s="2"/>
      <c r="AI905" s="45"/>
      <c r="AJ905" s="1"/>
      <c r="AK905" s="15"/>
      <c r="AL905" s="15"/>
      <c r="AM905" s="45"/>
      <c r="AN905" s="15"/>
      <c r="AO905" s="13"/>
      <c r="AP905" s="15"/>
      <c r="AQ905" s="180">
        <f>B900*$F$14</f>
        <v>0</v>
      </c>
      <c r="AR905" s="15"/>
      <c r="AS905" s="13"/>
      <c r="AT905" s="15"/>
      <c r="AU905" s="45"/>
      <c r="AV905" s="15"/>
      <c r="AW905" s="13"/>
      <c r="AX905" s="15"/>
      <c r="AY905" s="45"/>
      <c r="AZ905" s="28"/>
      <c r="BA905" s="13"/>
      <c r="BB905" s="15"/>
      <c r="BC905" s="45"/>
      <c r="BD905" s="28"/>
      <c r="BE905" s="14"/>
      <c r="BF905" s="41">
        <f t="shared" ref="BF905:BG905" si="2688">K905+O905+S905+W905+AA905+AE905+AI905+AM905+AQ905+AU905+AY905+BC905</f>
        <v>0</v>
      </c>
      <c r="BG905" s="34">
        <f t="shared" si="2688"/>
        <v>0</v>
      </c>
      <c r="BH905" s="35">
        <f t="shared" si="2677"/>
        <v>0</v>
      </c>
      <c r="BK905" s="2" t="b">
        <f>H905='2021'!BH905</f>
        <v>1</v>
      </c>
    </row>
    <row r="906" ht="15.75" customHeight="1" spans="1:63" x14ac:dyDescent="0.25">
      <c r="A906" s="2">
        <v>105</v>
      </c>
      <c r="B906" s="14"/>
      <c r="C906" s="15"/>
      <c r="D906" s="14" t="s">
        <v>52</v>
      </c>
      <c r="E906" s="2" t="s">
        <v>39</v>
      </c>
      <c r="F906" s="41">
        <v>500</v>
      </c>
      <c r="G906" s="28"/>
      <c r="H906" s="34">
        <f>'2021'!BH906</f>
        <v>0</v>
      </c>
      <c r="I906" s="13"/>
      <c r="J906" s="15"/>
      <c r="K906" s="15"/>
      <c r="L906" s="28"/>
      <c r="M906" s="13"/>
      <c r="N906" s="15"/>
      <c r="Q906" s="13"/>
      <c r="R906" s="15"/>
      <c r="S906" s="15"/>
      <c r="T906" s="28"/>
      <c r="U906" s="13"/>
      <c r="V906" s="15"/>
      <c r="Y906" s="13"/>
      <c r="Z906" s="2"/>
      <c r="AA906" s="34">
        <f>$F$15</f>
      </c>
      <c r="AB906" s="28"/>
      <c r="AC906" s="348"/>
      <c r="AD906" s="15"/>
      <c r="AG906" s="15"/>
      <c r="AH906" s="2"/>
      <c r="AI906" s="45"/>
      <c r="AJ906" s="34"/>
      <c r="AK906" s="15"/>
      <c r="AL906" s="15"/>
      <c r="AM906" s="45"/>
      <c r="AN906" s="15"/>
      <c r="AO906" s="13"/>
      <c r="AP906" s="15"/>
      <c r="AQ906" s="45"/>
      <c r="AR906" s="15"/>
      <c r="AS906" s="13"/>
      <c r="AT906" s="15"/>
      <c r="AU906" s="45"/>
      <c r="AV906" s="15"/>
      <c r="AW906" s="13"/>
      <c r="AX906" s="15"/>
      <c r="AY906" s="45"/>
      <c r="AZ906" s="35"/>
      <c r="BA906" s="13"/>
      <c r="BB906" s="15"/>
      <c r="BC906" s="45"/>
      <c r="BD906" s="35"/>
      <c r="BE906" s="14"/>
      <c r="BF906" s="41">
        <f t="shared" ref="BF906:BG906" si="2689">K906+O906+S906+W906+AA906+AE906+AI906+AM906+AQ906+AU906+AY906+BC906</f>
        <v>0</v>
      </c>
      <c r="BG906" s="34">
        <f t="shared" si="2689"/>
        <v>0</v>
      </c>
      <c r="BH906" s="35">
        <f t="shared" si="2677"/>
        <v>0</v>
      </c>
      <c r="BK906" s="2" t="b">
        <f>H906='2021'!BH906</f>
        <v>1</v>
      </c>
    </row>
    <row r="907" ht="15.75" customHeight="1" spans="1:63" x14ac:dyDescent="0.25">
      <c r="A907" s="247">
        <v>105</v>
      </c>
      <c r="B907" s="21"/>
      <c r="C907" s="22" t="s">
        <v>53</v>
      </c>
      <c r="D907" s="21"/>
      <c r="E907" s="22"/>
      <c r="F907" s="20"/>
      <c r="G907" s="23"/>
      <c r="H907" s="51">
        <f>SUM(H899:H906)</f>
        <v>2940.59</v>
      </c>
      <c r="I907" s="52"/>
      <c r="J907" s="53"/>
      <c r="K907" s="51">
        <f t="shared" ref="K907:L907" si="2690">SUM(K899:K906)</f>
        <v>0</v>
      </c>
      <c r="L907" s="68">
        <f t="shared" si="2690"/>
        <v>0</v>
      </c>
      <c r="M907" s="52"/>
      <c r="N907" s="53"/>
      <c r="O907" s="51">
        <f t="shared" ref="O907:P907" si="2691">SUM(O899:O906)</f>
        <v>0</v>
      </c>
      <c r="P907" s="51">
        <f t="shared" si="2691"/>
        <v>0</v>
      </c>
      <c r="Q907" s="52"/>
      <c r="R907" s="53"/>
      <c r="S907" s="51">
        <f t="shared" ref="S907:T907" si="2692">SUM(S899:S906)</f>
        <v>7.6</v>
      </c>
      <c r="T907" s="51">
        <f t="shared" si="2692"/>
        <v>0</v>
      </c>
      <c r="U907" s="52"/>
      <c r="V907" s="53"/>
      <c r="W907" s="51">
        <f t="shared" ref="W907:X907" si="2693">SUM(W899:W906)</f>
        <v>7.35</v>
      </c>
      <c r="X907" s="51">
        <f t="shared" si="2693"/>
        <v>0</v>
      </c>
      <c r="Y907" s="52"/>
      <c r="Z907" s="301"/>
      <c r="AA907" s="51">
        <f t="shared" ref="AA907:AB907" si="2694">SUM(AA899:AA906)</f>
        <v>537.6</v>
      </c>
      <c r="AB907" s="51">
        <f t="shared" si="2694"/>
        <v>0</v>
      </c>
      <c r="AC907" s="367"/>
      <c r="AD907" s="53"/>
      <c r="AE907" s="51">
        <f t="shared" ref="AE907:AF907" si="2695">SUM(AE899:AE906)</f>
        <v>7970.59</v>
      </c>
      <c r="AF907" s="51">
        <f t="shared" si="2695"/>
        <v>2456.79</v>
      </c>
      <c r="AG907" s="52"/>
      <c r="AH907" s="301"/>
      <c r="AI907" s="183">
        <f t="shared" ref="AI907:AJ907" si="2696">SUM(AI899:AI906)</f>
        <v>405.88048</v>
      </c>
      <c r="AJ907" s="51">
        <f t="shared" si="2696"/>
        <v>2273.94</v>
      </c>
      <c r="AK907" s="52"/>
      <c r="AL907" s="53"/>
      <c r="AM907" s="183">
        <f t="shared" ref="AM907:AN907" si="2697">SUM(AM899:AM906)</f>
        <v>344.71472</v>
      </c>
      <c r="AN907" s="51">
        <f t="shared" si="2697"/>
        <v>404.38</v>
      </c>
      <c r="AO907" s="52"/>
      <c r="AP907" s="53"/>
      <c r="AQ907" s="183">
        <f t="shared" ref="AQ907:AR907" si="2698">SUM(AQ899:AQ906)</f>
        <v>229.3767</v>
      </c>
      <c r="AR907" s="51">
        <f t="shared" si="2698"/>
        <v>7344.72</v>
      </c>
      <c r="AS907" s="52"/>
      <c r="AT907" s="53"/>
      <c r="AU907" s="183">
        <f t="shared" ref="AU907:AV907" si="2699">SUM(AU899:AU906)</f>
        <v>30.996</v>
      </c>
      <c r="AV907" s="68">
        <f t="shared" si="2699"/>
        <v>0</v>
      </c>
      <c r="AW907" s="52"/>
      <c r="AX907" s="53"/>
      <c r="AY907" s="183">
        <f t="shared" ref="AY907:AZ907" si="2700">SUM(AY899:AY906)</f>
        <v>0</v>
      </c>
      <c r="AZ907" s="68">
        <f t="shared" si="2700"/>
        <v>0</v>
      </c>
      <c r="BA907" s="52"/>
      <c r="BB907" s="53"/>
      <c r="BC907" s="183">
        <f t="shared" ref="BC907:BD907" si="2701">SUM(BC899:BC906)</f>
        <v>0</v>
      </c>
      <c r="BD907" s="68">
        <f t="shared" si="2701"/>
        <v>0</v>
      </c>
      <c r="BE907" s="69"/>
      <c r="BF907" s="70">
        <f t="shared" ref="BF907:BH907" si="2702">SUM(BF899:BF906)</f>
        <v>9534.1079</v>
      </c>
      <c r="BG907" s="71">
        <f t="shared" si="2702"/>
        <v>12479.83</v>
      </c>
      <c r="BH907" s="72">
        <f t="shared" si="2702"/>
        <v>-5.1321</v>
      </c>
      <c r="BI907" s="34">
        <f>H907+BF907-BG907</f>
        <v>-5.1321</v>
      </c>
      <c r="BJ907" s="34">
        <f>BH907-BI907</f>
        <v>0</v>
      </c>
      <c r="BK907" s="2" t="b">
        <f>H907='2021'!BH907</f>
        <v>1</v>
      </c>
    </row>
    <row r="908" ht="15.75" customHeight="1" spans="1:63" x14ac:dyDescent="0.25">
      <c r="A908" s="2">
        <v>107</v>
      </c>
      <c r="B908" s="14"/>
      <c r="D908" s="14" t="s">
        <v>379</v>
      </c>
      <c r="F908" s="13"/>
      <c r="G908" s="28"/>
      <c r="H908" s="34">
        <f>'2021'!BH908</f>
        <v>0</v>
      </c>
      <c r="I908" s="13"/>
      <c r="J908" s="15"/>
      <c r="K908" s="15"/>
      <c r="L908" s="28"/>
      <c r="M908" s="13"/>
      <c r="N908" s="15"/>
      <c r="Q908" s="13"/>
      <c r="R908" s="15"/>
      <c r="S908" s="15"/>
      <c r="T908" s="28"/>
      <c r="U908" s="13"/>
      <c r="V908" s="15"/>
      <c r="Y908" s="13"/>
      <c r="Z908" s="2"/>
      <c r="AA908" s="15"/>
      <c r="AB908" s="28"/>
      <c r="AC908" s="348"/>
      <c r="AD908" s="15"/>
      <c r="AG908" s="15"/>
      <c r="AH908" s="2"/>
      <c r="AI908" s="45"/>
      <c r="AJ908" s="15"/>
      <c r="AK908" s="15"/>
      <c r="AM908" s="45"/>
      <c r="AO908" s="13"/>
      <c r="AQ908" s="45"/>
      <c r="AS908" s="13"/>
      <c r="AU908" s="45"/>
      <c r="AW908" s="13"/>
      <c r="AY908" s="45"/>
      <c r="AZ908" s="28"/>
      <c r="BA908" s="13"/>
      <c r="BB908" s="15"/>
      <c r="BC908" s="45"/>
      <c r="BD908" s="28"/>
      <c r="BE908" s="14"/>
      <c r="BF908" s="41">
        <f t="shared" ref="BF908:BG908" si="2703">K908+O908+S908+W908+AA908+AE908+AI908+AM908+AQ908+AU908+AY908+BC908</f>
        <v>0</v>
      </c>
      <c r="BG908" s="34">
        <f t="shared" si="2703"/>
        <v>0</v>
      </c>
      <c r="BH908" s="35">
        <f t="shared" ref="BH908:BH915" si="2704">H908+BF908-BG908</f>
        <v>0</v>
      </c>
      <c r="BK908" s="2" t="b">
        <f>H908='2021'!BH908</f>
        <v>1</v>
      </c>
    </row>
    <row r="909" ht="15.75" customHeight="1" spans="1:63" x14ac:dyDescent="0.25">
      <c r="A909" s="2">
        <v>107</v>
      </c>
      <c r="B909" s="14">
        <v>4.37</v>
      </c>
      <c r="C909" s="2" t="s">
        <v>325</v>
      </c>
      <c r="D909" s="14" t="s">
        <v>44</v>
      </c>
      <c r="E909" s="2" t="s">
        <v>45</v>
      </c>
      <c r="F909" s="41">
        <v>2.5</v>
      </c>
      <c r="G909" s="35">
        <v>2.6</v>
      </c>
      <c r="H909" s="34">
        <f>'2021'!BH909</f>
        <v>170.7</v>
      </c>
      <c r="I909" s="13">
        <v>695</v>
      </c>
      <c r="J909" s="15">
        <f>I909-'2021'!BA909</f>
        <v>0</v>
      </c>
      <c r="K909" s="34">
        <f>J909*$F$8</f>
        <v>0</v>
      </c>
      <c r="L909" s="28"/>
      <c r="M909" s="13">
        <v>695</v>
      </c>
      <c r="N909" s="15">
        <f t="shared" ref="N909:N910" si="2705">M909-I909</f>
        <v>0</v>
      </c>
      <c r="O909" s="34">
        <f>N909*$F$8</f>
        <v>0</v>
      </c>
      <c r="Q909" s="13">
        <v>695</v>
      </c>
      <c r="R909" s="15">
        <f t="shared" ref="R909:R910" si="2706">Q909-M909</f>
        <v>0</v>
      </c>
      <c r="S909" s="34">
        <f>R909*$F$8</f>
        <v>0</v>
      </c>
      <c r="T909" s="28"/>
      <c r="U909" s="13">
        <v>695</v>
      </c>
      <c r="V909" s="15">
        <f t="shared" ref="V909:V910" si="2707">U909-Q909</f>
        <v>0</v>
      </c>
      <c r="W909" s="34">
        <f>V909*$F$8</f>
        <v>0</v>
      </c>
      <c r="Y909" s="13">
        <v>731</v>
      </c>
      <c r="Z909" s="2">
        <f t="shared" ref="Z909:Z910" si="2708">Y909-U909</f>
        <v>36</v>
      </c>
      <c r="AA909" s="34">
        <f>Z909*$F$8</f>
        <v>97.2</v>
      </c>
      <c r="AB909" s="28"/>
      <c r="AC909" s="348">
        <v>802</v>
      </c>
      <c r="AD909" s="15">
        <f t="shared" ref="AD909:AD910" si="2709">AC909-Y909</f>
        <v>71</v>
      </c>
      <c r="AE909" s="180">
        <f>AD909*$F$8</f>
        <v>191.7</v>
      </c>
      <c r="AF909" s="2"/>
      <c r="AG909" s="15">
        <v>904</v>
      </c>
      <c r="AH909" s="2">
        <f>(AG909-AC909)*AH5</f>
        <v>107.712</v>
      </c>
      <c r="AI909" s="45">
        <f>AH909*$G$8</f>
        <v>264.97152</v>
      </c>
      <c r="AJ909" s="182">
        <v>724.57</v>
      </c>
      <c r="AK909" s="15">
        <v>1044</v>
      </c>
      <c r="AL909" s="15">
        <f>(AK909-AG909)*AL5</f>
        <v>143.92</v>
      </c>
      <c r="AM909" s="45">
        <f>AL909*$G$8</f>
        <v>354.0432</v>
      </c>
      <c r="AN909" s="1"/>
      <c r="AO909" s="13">
        <v>1109</v>
      </c>
      <c r="AP909" s="15">
        <f>(AO909-AK909)*AP5</f>
        <v>67.145</v>
      </c>
      <c r="AQ909" s="45">
        <f>AP909*$G$8</f>
        <v>165.1767</v>
      </c>
      <c r="AR909" s="154">
        <v>354.04</v>
      </c>
      <c r="AS909" s="13">
        <v>1116</v>
      </c>
      <c r="AT909" s="15">
        <f>(AS909-AO909)*AT5</f>
        <v>7.35</v>
      </c>
      <c r="AU909" s="45">
        <f t="shared" ref="AU909:AU910" si="2710">AT909*$G$8</f>
        <v>18.081</v>
      </c>
      <c r="AV909" s="15"/>
      <c r="AW909" s="13"/>
      <c r="AX909" s="15">
        <f>(AW909-AS909)*AX5</f>
        <v>0</v>
      </c>
      <c r="AY909" s="45">
        <f>AX909*$G$8</f>
        <v>0</v>
      </c>
      <c r="AZ909" s="208"/>
      <c r="BA909" s="13"/>
      <c r="BB909" s="15"/>
      <c r="BC909" s="45">
        <f>BB909*$G$8</f>
        <v>0</v>
      </c>
      <c r="BD909" s="208"/>
      <c r="BE909" s="40">
        <f t="shared" ref="BE909:BG909" si="2711">J909+N909+R909+V909+Z909+AD909+AH909+AL909+AP909+AT909+AX909+BB909</f>
        <v>433.127</v>
      </c>
      <c r="BF909" s="41">
        <f t="shared" si="2711"/>
        <v>1091.17242</v>
      </c>
      <c r="BG909" s="34">
        <f t="shared" si="2711"/>
        <v>1078.61</v>
      </c>
      <c r="BH909" s="35">
        <f t="shared" si="2704"/>
        <v>183.26242</v>
      </c>
      <c r="BK909" s="2" t="b">
        <f>H909='2021'!BH909</f>
        <v>1</v>
      </c>
    </row>
    <row r="910" ht="15.75" customHeight="1" spans="1:63" x14ac:dyDescent="0.25">
      <c r="A910" s="2">
        <v>107</v>
      </c>
      <c r="B910" s="14"/>
      <c r="C910" s="2" t="s">
        <v>71</v>
      </c>
      <c r="D910" s="14" t="s">
        <v>47</v>
      </c>
      <c r="E910" s="2" t="s">
        <v>48</v>
      </c>
      <c r="F910" s="13">
        <v>18.56</v>
      </c>
      <c r="G910" s="35">
        <v>19.46</v>
      </c>
      <c r="H910" s="34">
        <f>'2021'!BH910</f>
        <v>74.56</v>
      </c>
      <c r="I910" s="13">
        <v>472</v>
      </c>
      <c r="J910" s="15"/>
      <c r="K910" s="15"/>
      <c r="L910" s="28"/>
      <c r="M910" s="13">
        <v>472</v>
      </c>
      <c r="N910" s="15">
        <f t="shared" si="2705"/>
        <v>0</v>
      </c>
      <c r="Q910" s="13">
        <v>472</v>
      </c>
      <c r="R910" s="15">
        <f t="shared" si="2706"/>
        <v>0</v>
      </c>
      <c r="S910" s="15"/>
      <c r="T910" s="28"/>
      <c r="U910" s="13">
        <v>472</v>
      </c>
      <c r="V910" s="15">
        <f t="shared" si="2707"/>
        <v>0</v>
      </c>
      <c r="W910" s="180">
        <f>V910*$F$10</f>
        <v>0</v>
      </c>
      <c r="Y910" s="13">
        <v>484</v>
      </c>
      <c r="Z910" s="2">
        <f t="shared" si="2708"/>
        <v>12</v>
      </c>
      <c r="AA910" s="34">
        <f>Z910*$F$10</f>
        <v>244.2</v>
      </c>
      <c r="AB910" s="28"/>
      <c r="AC910" s="348">
        <v>493</v>
      </c>
      <c r="AD910" s="15">
        <f t="shared" si="2709"/>
        <v>9</v>
      </c>
      <c r="AE910" s="34">
        <f>AD910*$F$10</f>
        <v>183.15</v>
      </c>
      <c r="AF910" s="2"/>
      <c r="AG910" s="15">
        <v>503</v>
      </c>
      <c r="AH910" s="2">
        <f>AG910-AC910</f>
        <v>10</v>
      </c>
      <c r="AI910" s="45">
        <f>AH910*$G$10</f>
        <v>214</v>
      </c>
      <c r="AJ910" s="182">
        <v>715.91</v>
      </c>
      <c r="AK910" s="15">
        <v>512</v>
      </c>
      <c r="AL910" s="15">
        <f>AK910-AG910</f>
        <v>9</v>
      </c>
      <c r="AM910" s="45">
        <f>AL910*$G$10</f>
        <v>192.6</v>
      </c>
      <c r="AN910" s="1"/>
      <c r="AO910" s="13">
        <v>513</v>
      </c>
      <c r="AP910" s="15">
        <f>AO910-AK910</f>
        <v>1</v>
      </c>
      <c r="AQ910" s="45">
        <f>AP910*$G$10</f>
        <v>21.4</v>
      </c>
      <c r="AR910" s="154">
        <v>192.6</v>
      </c>
      <c r="AS910" s="13">
        <v>513</v>
      </c>
      <c r="AT910" s="15">
        <f>AS910-AO910</f>
        <v>0</v>
      </c>
      <c r="AU910" s="45">
        <f t="shared" si="2710"/>
        <v>0</v>
      </c>
      <c r="AV910" s="15"/>
      <c r="AW910" s="13"/>
      <c r="AX910" s="15">
        <f>AW910-AS910</f>
        <v>-513</v>
      </c>
      <c r="AY910" s="45"/>
      <c r="AZ910" s="208"/>
      <c r="BA910" s="13"/>
      <c r="BB910" s="15"/>
      <c r="BC910" s="45"/>
      <c r="BD910" s="208"/>
      <c r="BE910" s="40">
        <f t="shared" ref="BE910:BG910" si="2712">J910+N910+R910+V910+Z910+AD910+AH910+AL910+AP910+AT910+AX910+BB910</f>
        <v>-472</v>
      </c>
      <c r="BF910" s="41">
        <f t="shared" si="2712"/>
        <v>855.35</v>
      </c>
      <c r="BG910" s="34">
        <f t="shared" si="2712"/>
        <v>908.51</v>
      </c>
      <c r="BH910" s="35">
        <f t="shared" si="2704"/>
        <v>21.4</v>
      </c>
      <c r="BK910" s="2" t="b">
        <f>H910='2021'!BH910</f>
        <v>1</v>
      </c>
    </row>
    <row r="911" ht="15.75" customHeight="1" spans="1:63" x14ac:dyDescent="0.25">
      <c r="A911" s="2">
        <v>107</v>
      </c>
      <c r="B911" s="14"/>
      <c r="C911" s="2" t="s">
        <v>107</v>
      </c>
      <c r="D911" s="14" t="s">
        <v>47</v>
      </c>
      <c r="E911" s="2" t="s">
        <v>49</v>
      </c>
      <c r="F911" s="41">
        <v>500</v>
      </c>
      <c r="G911" s="28"/>
      <c r="H911" s="34">
        <f>'2021'!BH911</f>
        <v>0</v>
      </c>
      <c r="I911" s="13"/>
      <c r="J911" s="15"/>
      <c r="K911" s="15"/>
      <c r="L911" s="28"/>
      <c r="M911" s="13"/>
      <c r="N911" s="15"/>
      <c r="Q911" s="13"/>
      <c r="R911" s="15"/>
      <c r="S911" s="15"/>
      <c r="T911" s="28"/>
      <c r="U911" s="13"/>
      <c r="V911" s="15"/>
      <c r="Y911" s="13"/>
      <c r="Z911" s="2"/>
      <c r="AA911" s="15"/>
      <c r="AB911" s="28"/>
      <c r="AC911" s="348"/>
      <c r="AD911" s="15"/>
      <c r="AG911" s="15"/>
      <c r="AH911" s="2"/>
      <c r="AI911" s="45"/>
      <c r="AJ911" s="182"/>
      <c r="AK911" s="15"/>
      <c r="AL911" s="15"/>
      <c r="AM911" s="45"/>
      <c r="AN911" s="15"/>
      <c r="AO911" s="13"/>
      <c r="AP911" s="15"/>
      <c r="AQ911" s="45"/>
      <c r="AR911" s="15"/>
      <c r="AS911" s="13"/>
      <c r="AT911" s="15"/>
      <c r="AU911" s="45"/>
      <c r="AV911" s="15"/>
      <c r="AW911" s="13"/>
      <c r="AX911" s="15"/>
      <c r="AY911" s="45"/>
      <c r="AZ911" s="28"/>
      <c r="BA911" s="13"/>
      <c r="BB911" s="15"/>
      <c r="BC911" s="45"/>
      <c r="BD911" s="28"/>
      <c r="BE911" s="14"/>
      <c r="BF911" s="41">
        <f t="shared" ref="BF911:BG911" si="2713">K911+O911+S911+W911+AA911+AE911+AI911+AM911+AQ911+AU911+AY911+BC911</f>
        <v>0</v>
      </c>
      <c r="BG911" s="34">
        <f t="shared" si="2713"/>
        <v>0</v>
      </c>
      <c r="BH911" s="35">
        <f t="shared" si="2704"/>
        <v>0</v>
      </c>
      <c r="BK911" s="2" t="b">
        <f>H911='2021'!BH911</f>
        <v>1</v>
      </c>
    </row>
    <row r="912" ht="15.75" customHeight="1" spans="1:63" x14ac:dyDescent="0.25">
      <c r="A912" s="2">
        <v>107</v>
      </c>
      <c r="B912" s="14"/>
      <c r="C912" s="2" t="s">
        <v>449</v>
      </c>
      <c r="D912" s="14" t="s">
        <v>50</v>
      </c>
      <c r="E912" s="2" t="s">
        <v>49</v>
      </c>
      <c r="F912" s="41">
        <v>1100</v>
      </c>
      <c r="G912" s="28"/>
      <c r="H912" s="34">
        <f>'2021'!BH912</f>
        <v>0</v>
      </c>
      <c r="I912" s="13"/>
      <c r="J912" s="15"/>
      <c r="K912" s="15"/>
      <c r="L912" s="28"/>
      <c r="M912" s="13"/>
      <c r="N912" s="15"/>
      <c r="Q912" s="13"/>
      <c r="R912" s="15"/>
      <c r="S912" s="15"/>
      <c r="T912" s="28"/>
      <c r="U912" s="13"/>
      <c r="V912" s="15"/>
      <c r="Y912" s="13"/>
      <c r="Z912" s="2"/>
      <c r="AA912" s="15"/>
      <c r="AB912" s="28"/>
      <c r="AC912" s="348"/>
      <c r="AD912" s="15"/>
      <c r="AE912" s="34">
        <f>B909*$F$12</f>
        <v>5681</v>
      </c>
      <c r="AF912" s="180"/>
      <c r="AG912" s="15"/>
      <c r="AH912" s="2"/>
      <c r="AI912" s="45"/>
      <c r="AJ912" s="182">
        <v>5681</v>
      </c>
      <c r="AK912" s="15"/>
      <c r="AL912" s="15"/>
      <c r="AM912" s="45"/>
      <c r="AN912" s="15"/>
      <c r="AO912" s="13"/>
      <c r="AP912" s="15"/>
      <c r="AQ912" s="45"/>
      <c r="AR912" s="15"/>
      <c r="AS912" s="13"/>
      <c r="AT912" s="15"/>
      <c r="AU912" s="45"/>
      <c r="AV912" s="15"/>
      <c r="AW912" s="13"/>
      <c r="AX912" s="15"/>
      <c r="AY912" s="45"/>
      <c r="AZ912" s="28"/>
      <c r="BA912" s="13"/>
      <c r="BB912" s="15"/>
      <c r="BC912" s="45"/>
      <c r="BD912" s="28"/>
      <c r="BE912" s="14"/>
      <c r="BF912" s="41">
        <f t="shared" ref="BF912:BG912" si="2714">K912+O912+S912+W912+AA912+AE912+AI912+AM912+AQ912+AU912+AY912+BC912</f>
        <v>5681</v>
      </c>
      <c r="BG912" s="34">
        <f t="shared" si="2714"/>
        <v>5681</v>
      </c>
      <c r="BH912" s="35">
        <f t="shared" si="2704"/>
        <v>0</v>
      </c>
      <c r="BK912" s="2" t="b">
        <f>H912='2021'!BH912</f>
        <v>1</v>
      </c>
    </row>
    <row r="913" ht="15.75" customHeight="1" spans="1:63" x14ac:dyDescent="0.25">
      <c r="A913" s="2">
        <v>107</v>
      </c>
      <c r="B913" s="14"/>
      <c r="D913" s="14" t="s">
        <v>51</v>
      </c>
      <c r="E913" s="2" t="s">
        <v>39</v>
      </c>
      <c r="F913" s="41">
        <v>500</v>
      </c>
      <c r="G913" s="28"/>
      <c r="H913" s="34">
        <f>'2021'!BH913</f>
        <v>0</v>
      </c>
      <c r="I913" s="13"/>
      <c r="J913" s="15"/>
      <c r="K913" s="15"/>
      <c r="L913" s="28"/>
      <c r="M913" s="13"/>
      <c r="N913" s="15"/>
      <c r="Q913" s="13"/>
      <c r="R913" s="15"/>
      <c r="S913" s="15"/>
      <c r="T913" s="28"/>
      <c r="U913" s="13"/>
      <c r="V913" s="15"/>
      <c r="Y913" s="13"/>
      <c r="Z913" s="2"/>
      <c r="AA913" s="15"/>
      <c r="AB913" s="28"/>
      <c r="AC913" s="348"/>
      <c r="AD913" s="15"/>
      <c r="AE913" s="180">
        <f>$F$13</f>
        <v>1000</v>
      </c>
      <c r="AG913" s="15"/>
      <c r="AH913" s="2"/>
      <c r="AI913" s="45"/>
      <c r="AJ913" s="182"/>
      <c r="AK913" s="15"/>
      <c r="AL913" s="15"/>
      <c r="AM913" s="45"/>
      <c r="AN913" s="1"/>
      <c r="AO913" s="13"/>
      <c r="AP913" s="15"/>
      <c r="AQ913" s="180"/>
      <c r="AR913" s="154">
        <v>1000</v>
      </c>
      <c r="AS913" s="13"/>
      <c r="AT913" s="15"/>
      <c r="AU913" s="45"/>
      <c r="AV913" s="15"/>
      <c r="AW913" s="13"/>
      <c r="AX913" s="15"/>
      <c r="AY913" s="45"/>
      <c r="AZ913" s="28"/>
      <c r="BA913" s="13"/>
      <c r="BB913" s="15"/>
      <c r="BC913" s="45"/>
      <c r="BD913" s="28"/>
      <c r="BE913" s="14"/>
      <c r="BF913" s="41">
        <f t="shared" ref="BF913:BG913" si="2715">K913+O913+S913+W913+AA913+AE913+AI913+AM913+AQ913+AU913+AY913+BC913</f>
        <v>1000</v>
      </c>
      <c r="BG913" s="34">
        <f t="shared" si="2715"/>
        <v>1000</v>
      </c>
      <c r="BH913" s="35">
        <f t="shared" si="2704"/>
        <v>0</v>
      </c>
      <c r="BK913" s="2" t="b">
        <f>H913='2021'!BH913</f>
        <v>1</v>
      </c>
    </row>
    <row r="914" ht="15.75" customHeight="1" spans="1:63" x14ac:dyDescent="0.25">
      <c r="A914" s="2">
        <v>107</v>
      </c>
      <c r="B914" s="14"/>
      <c r="D914" s="14" t="s">
        <v>51</v>
      </c>
      <c r="E914" s="2" t="s">
        <v>49</v>
      </c>
      <c r="F914" s="41">
        <v>500</v>
      </c>
      <c r="G914" s="28"/>
      <c r="H914" s="34">
        <f>'2021'!BH914</f>
        <v>0</v>
      </c>
      <c r="I914" s="13"/>
      <c r="J914" s="15"/>
      <c r="K914" s="15"/>
      <c r="L914" s="28"/>
      <c r="M914" s="13"/>
      <c r="N914" s="15"/>
      <c r="Q914" s="13"/>
      <c r="R914" s="15"/>
      <c r="S914" s="15"/>
      <c r="T914" s="28"/>
      <c r="U914" s="13"/>
      <c r="V914" s="15"/>
      <c r="Y914" s="13"/>
      <c r="Z914" s="2"/>
      <c r="AA914" s="15"/>
      <c r="AB914" s="32"/>
      <c r="AC914" s="348"/>
      <c r="AD914" s="15"/>
      <c r="AE914" s="34"/>
      <c r="AG914" s="15"/>
      <c r="AH914" s="2"/>
      <c r="AI914" s="45"/>
      <c r="AJ914" s="180"/>
      <c r="AK914" s="15"/>
      <c r="AL914" s="15"/>
      <c r="AM914" s="45"/>
      <c r="AN914" s="15"/>
      <c r="AO914" s="13"/>
      <c r="AP914" s="15"/>
      <c r="AQ914" s="180">
        <f>B909*$F$14</f>
        <v>0</v>
      </c>
      <c r="AR914" s="15"/>
      <c r="AS914" s="13"/>
      <c r="AT914" s="15"/>
      <c r="AU914" s="45"/>
      <c r="AV914" s="15"/>
      <c r="AW914" s="13"/>
      <c r="AX914" s="15"/>
      <c r="AY914" s="45"/>
      <c r="AZ914" s="28"/>
      <c r="BA914" s="13"/>
      <c r="BB914" s="15"/>
      <c r="BC914" s="45"/>
      <c r="BD914" s="28"/>
      <c r="BE914" s="14"/>
      <c r="BF914" s="41">
        <f t="shared" ref="BF914:BG914" si="2716">K914+O914+S914+W914+AA914+AE914+AI914+AM914+AQ914+AU914+AY914+BC914</f>
        <v>0</v>
      </c>
      <c r="BG914" s="34">
        <f t="shared" si="2716"/>
        <v>0</v>
      </c>
      <c r="BH914" s="35">
        <f t="shared" si="2704"/>
        <v>0</v>
      </c>
      <c r="BK914" s="2" t="b">
        <f>H914='2021'!BH914</f>
        <v>1</v>
      </c>
    </row>
    <row r="915" ht="15.75" customHeight="1" spans="1:63" x14ac:dyDescent="0.25">
      <c r="A915" s="2">
        <v>107</v>
      </c>
      <c r="B915" s="14"/>
      <c r="D915" s="14" t="s">
        <v>52</v>
      </c>
      <c r="E915" s="2" t="s">
        <v>39</v>
      </c>
      <c r="F915" s="41">
        <v>500</v>
      </c>
      <c r="G915" s="28"/>
      <c r="H915" s="34">
        <f>'2021'!BH915</f>
        <v>0</v>
      </c>
      <c r="I915" s="13"/>
      <c r="J915" s="15"/>
      <c r="K915" s="15"/>
      <c r="L915" s="28"/>
      <c r="M915" s="13"/>
      <c r="N915" s="15"/>
      <c r="Q915" s="13"/>
      <c r="R915" s="15"/>
      <c r="S915" s="15"/>
      <c r="T915" s="28"/>
      <c r="U915" s="13"/>
      <c r="V915" s="15"/>
      <c r="Y915" s="13"/>
      <c r="Z915" s="2"/>
      <c r="AA915" s="34">
        <f>$F$15</f>
      </c>
      <c r="AB915" s="28"/>
      <c r="AC915" s="348"/>
      <c r="AD915" s="15"/>
      <c r="AF915" s="180"/>
      <c r="AG915" s="15"/>
      <c r="AH915" s="2"/>
      <c r="AI915" s="45"/>
      <c r="AJ915" s="180"/>
      <c r="AK915" s="15"/>
      <c r="AL915" s="15"/>
      <c r="AM915" s="45"/>
      <c r="AN915" s="15"/>
      <c r="AO915" s="13"/>
      <c r="AP915" s="15"/>
      <c r="AQ915" s="45"/>
      <c r="AR915" s="15"/>
      <c r="AS915" s="13"/>
      <c r="AT915" s="15"/>
      <c r="AU915" s="45"/>
      <c r="AV915" s="15"/>
      <c r="AW915" s="13"/>
      <c r="AX915" s="15"/>
      <c r="AY915" s="45"/>
      <c r="AZ915" s="35"/>
      <c r="BA915" s="13"/>
      <c r="BB915" s="15"/>
      <c r="BC915" s="45"/>
      <c r="BD915" s="35"/>
      <c r="BE915" s="14"/>
      <c r="BF915" s="41">
        <f t="shared" ref="BF915:BG915" si="2717">K915+O915+S915+W915+AA915+AE915+AI915+AM915+AQ915+AU915+AY915+BC915</f>
        <v>0</v>
      </c>
      <c r="BG915" s="34">
        <f t="shared" si="2717"/>
        <v>0</v>
      </c>
      <c r="BH915" s="35">
        <f t="shared" si="2704"/>
        <v>0</v>
      </c>
      <c r="BK915" s="2" t="b">
        <f>H915='2021'!BH915</f>
        <v>1</v>
      </c>
    </row>
    <row r="916" ht="15.75" customHeight="1" spans="1:63" x14ac:dyDescent="0.25">
      <c r="A916" s="244" t="s">
        <v>327</v>
      </c>
      <c r="B916" s="21"/>
      <c r="C916" s="22" t="s">
        <v>53</v>
      </c>
      <c r="D916" s="21"/>
      <c r="E916" s="22"/>
      <c r="F916" s="20"/>
      <c r="G916" s="23"/>
      <c r="H916" s="51">
        <f>SUM(H908:H915)</f>
        <v>245.26</v>
      </c>
      <c r="I916" s="52"/>
      <c r="J916" s="53"/>
      <c r="K916" s="51">
        <f t="shared" ref="K916:L916" si="2718">SUM(K908:K915)</f>
        <v>0</v>
      </c>
      <c r="L916" s="68">
        <f t="shared" si="2718"/>
        <v>0</v>
      </c>
      <c r="M916" s="52"/>
      <c r="N916" s="53"/>
      <c r="O916" s="51">
        <f t="shared" ref="O916:P916" si="2719">SUM(O908:O915)</f>
        <v>0</v>
      </c>
      <c r="P916" s="51">
        <f t="shared" si="2719"/>
        <v>0</v>
      </c>
      <c r="Q916" s="52"/>
      <c r="R916" s="53"/>
      <c r="S916" s="51">
        <f t="shared" ref="S916:T916" si="2720">SUM(S908:S915)</f>
        <v>0</v>
      </c>
      <c r="T916" s="51">
        <f t="shared" si="2720"/>
        <v>0</v>
      </c>
      <c r="U916" s="52"/>
      <c r="V916" s="53"/>
      <c r="W916" s="51">
        <f t="shared" ref="W916:X916" si="2721">SUM(W908:W915)</f>
        <v>0</v>
      </c>
      <c r="X916" s="51">
        <f t="shared" si="2721"/>
        <v>0</v>
      </c>
      <c r="Y916" s="52"/>
      <c r="Z916" s="301"/>
      <c r="AA916" s="51">
        <f t="shared" ref="AA916:AB916" si="2722">SUM(AA908:AA915)</f>
        <v>341.4</v>
      </c>
      <c r="AB916" s="51">
        <f t="shared" si="2722"/>
        <v>0</v>
      </c>
      <c r="AC916" s="367"/>
      <c r="AD916" s="53"/>
      <c r="AE916" s="51">
        <f t="shared" ref="AE916:AF916" si="2723">SUM(AE908:AE915)</f>
        <v>7055.85</v>
      </c>
      <c r="AF916" s="51">
        <f t="shared" si="2723"/>
        <v>0</v>
      </c>
      <c r="AG916" s="52"/>
      <c r="AH916" s="301"/>
      <c r="AI916" s="183">
        <f t="shared" ref="AI916:AJ916" si="2724">SUM(AI908:AI915)</f>
        <v>478.97152</v>
      </c>
      <c r="AJ916" s="51">
        <f t="shared" si="2724"/>
        <v>7121.48</v>
      </c>
      <c r="AK916" s="52"/>
      <c r="AL916" s="53"/>
      <c r="AM916" s="183">
        <f t="shared" ref="AM916:AN916" si="2725">SUM(AM908:AM915)</f>
        <v>546.6432</v>
      </c>
      <c r="AN916" s="51">
        <f t="shared" si="2725"/>
        <v>0</v>
      </c>
      <c r="AO916" s="52"/>
      <c r="AP916" s="53"/>
      <c r="AQ916" s="183">
        <f t="shared" ref="AQ916:AR916" si="2726">SUM(AQ908:AQ915)</f>
        <v>186.5767</v>
      </c>
      <c r="AR916" s="51">
        <f t="shared" si="2726"/>
        <v>1546.64</v>
      </c>
      <c r="AS916" s="52"/>
      <c r="AT916" s="53"/>
      <c r="AU916" s="183">
        <f t="shared" ref="AU916:AV916" si="2727">SUM(AU908:AU915)</f>
        <v>18.081</v>
      </c>
      <c r="AV916" s="68">
        <f t="shared" si="2727"/>
        <v>0</v>
      </c>
      <c r="AW916" s="52"/>
      <c r="AX916" s="53"/>
      <c r="AY916" s="183">
        <f t="shared" ref="AY916:AZ916" si="2728">SUM(AY908:AY915)</f>
        <v>0</v>
      </c>
      <c r="AZ916" s="68">
        <f t="shared" si="2728"/>
        <v>0</v>
      </c>
      <c r="BA916" s="52"/>
      <c r="BB916" s="53"/>
      <c r="BC916" s="183">
        <f t="shared" ref="BC916:BD916" si="2729">SUM(BC908:BC915)</f>
        <v>0</v>
      </c>
      <c r="BD916" s="68">
        <f t="shared" si="2729"/>
        <v>0</v>
      </c>
      <c r="BE916" s="69"/>
      <c r="BF916" s="70">
        <f t="shared" ref="BF916:BH916" si="2730">SUM(BF908:BF915)</f>
        <v>8627.52242</v>
      </c>
      <c r="BG916" s="71">
        <f t="shared" si="2730"/>
        <v>8668.12</v>
      </c>
      <c r="BH916" s="72">
        <f t="shared" si="2730"/>
        <v>204.66242</v>
      </c>
      <c r="BI916" s="34">
        <f>H916+BF916-BG916</f>
        <v>204.66242</v>
      </c>
      <c r="BJ916" s="34">
        <f>BH916-BI916</f>
        <v>0</v>
      </c>
      <c r="BK916" s="2" t="b">
        <f>H916='2021'!BH916</f>
        <v>1</v>
      </c>
    </row>
    <row r="917" ht="15.75" customHeight="1" spans="1:63" x14ac:dyDescent="0.25">
      <c r="A917" s="2">
        <v>96</v>
      </c>
      <c r="B917" s="14"/>
      <c r="D917" s="14" t="s">
        <v>379</v>
      </c>
      <c r="F917" s="13"/>
      <c r="G917" s="28"/>
      <c r="H917" s="34">
        <f>'2021'!BH917</f>
        <v>0</v>
      </c>
      <c r="I917" s="13"/>
      <c r="J917" s="15"/>
      <c r="K917" s="15"/>
      <c r="L917" s="28"/>
      <c r="M917" s="13"/>
      <c r="N917" s="15"/>
      <c r="Q917" s="13"/>
      <c r="R917" s="15"/>
      <c r="S917" s="15"/>
      <c r="T917" s="28"/>
      <c r="U917" s="13"/>
      <c r="V917" s="15"/>
      <c r="Y917" s="13"/>
      <c r="Z917" s="2"/>
      <c r="AA917" s="15"/>
      <c r="AB917" s="28"/>
      <c r="AC917" s="348"/>
      <c r="AD917" s="15"/>
      <c r="AF917" s="1"/>
      <c r="AG917" s="15"/>
      <c r="AH917" s="2"/>
      <c r="AI917" s="45"/>
      <c r="AJ917" s="15"/>
      <c r="AK917" s="15"/>
      <c r="AM917" s="45"/>
      <c r="AO917" s="13"/>
      <c r="AQ917" s="180"/>
      <c r="AS917" s="13"/>
      <c r="AU917" s="180"/>
      <c r="AW917" s="13"/>
      <c r="AY917" s="180"/>
      <c r="AZ917" s="28"/>
      <c r="BA917" s="13"/>
      <c r="BB917" s="15"/>
      <c r="BC917" s="180"/>
      <c r="BD917" s="28"/>
      <c r="BE917" s="14"/>
      <c r="BF917" s="41">
        <f t="shared" ref="BF917:BG917" si="2731">K917+O917+S917+W917+AA917+AE917+AI917+AM917+AQ917+AU917+AY917+BC917</f>
        <v>0</v>
      </c>
      <c r="BG917" s="34">
        <f t="shared" si="2731"/>
        <v>0</v>
      </c>
      <c r="BH917" s="35">
        <f t="shared" ref="BH917:BH924" si="2732">H917+BF917-BG917</f>
        <v>0</v>
      </c>
      <c r="BK917" s="2" t="b">
        <f>H917='2021'!BH917</f>
        <v>1</v>
      </c>
    </row>
    <row r="918" ht="15.75" customHeight="1" spans="1:63" x14ac:dyDescent="0.25">
      <c r="A918" s="2">
        <v>96</v>
      </c>
      <c r="B918" s="14">
        <v>4.46</v>
      </c>
      <c r="C918" s="2" t="s">
        <v>450</v>
      </c>
      <c r="D918" s="14" t="s">
        <v>44</v>
      </c>
      <c r="E918" s="2" t="s">
        <v>45</v>
      </c>
      <c r="F918" s="41">
        <v>2.5</v>
      </c>
      <c r="G918" s="35">
        <v>2.6</v>
      </c>
      <c r="H918" s="104">
        <f>'2021'!BH918</f>
        <v>0</v>
      </c>
      <c r="I918" s="13"/>
      <c r="J918" s="15">
        <f>I918-'2021'!BA918</f>
        <v>0</v>
      </c>
      <c r="K918" s="34">
        <f>J918*$F$8</f>
        <v>0</v>
      </c>
      <c r="L918" s="28"/>
      <c r="M918" s="13"/>
      <c r="N918" s="15">
        <f t="shared" ref="N918:N919" si="2733">M918-I918</f>
        <v>0</v>
      </c>
      <c r="O918" s="34">
        <f>N918*$F$8</f>
        <v>0</v>
      </c>
      <c r="Q918" s="13"/>
      <c r="R918" s="15">
        <f t="shared" ref="R918:R919" si="2734">Q918-M918</f>
        <v>0</v>
      </c>
      <c r="S918" s="34">
        <f>R918*$F$8</f>
        <v>0</v>
      </c>
      <c r="T918" s="28"/>
      <c r="U918" s="13"/>
      <c r="V918" s="15">
        <f t="shared" ref="V918:V919" si="2735">U918-Q918</f>
        <v>0</v>
      </c>
      <c r="W918" s="34">
        <f>V918*$F$8</f>
        <v>0</v>
      </c>
      <c r="Y918" s="13"/>
      <c r="Z918" s="2">
        <f t="shared" ref="Z918:Z919" si="2736">Y918-U918</f>
        <v>0</v>
      </c>
      <c r="AA918" s="34">
        <f>Z918*$F$8</f>
        <v>0</v>
      </c>
      <c r="AB918" s="28"/>
      <c r="AC918" s="348"/>
      <c r="AD918" s="15">
        <f t="shared" ref="AD918:AD919" si="2737">AC918-Y918</f>
        <v>0</v>
      </c>
      <c r="AE918" s="180">
        <f>AD918*$F$8</f>
        <v>0</v>
      </c>
      <c r="AG918" s="15"/>
      <c r="AH918" s="2">
        <f>(AG918-AC918)*AH5</f>
        <v>0</v>
      </c>
      <c r="AI918" s="45">
        <f>AH918*$G$8</f>
        <v>0</v>
      </c>
      <c r="AJ918" s="15"/>
      <c r="AK918" s="15"/>
      <c r="AL918" s="15">
        <f>(AK918-AG918)*AL5</f>
        <v>0</v>
      </c>
      <c r="AM918" s="45">
        <f>AL918*$G$8</f>
        <v>0</v>
      </c>
      <c r="AN918" s="15"/>
      <c r="AO918" s="13"/>
      <c r="AP918" s="15">
        <f>(AO918-AK918)*AP5</f>
        <v>0</v>
      </c>
      <c r="AQ918" s="45">
        <f>AP918*$G$8</f>
        <v>0</v>
      </c>
      <c r="AR918" s="15"/>
      <c r="AS918" s="13"/>
      <c r="AT918" s="15">
        <f>(AS918-AO918)*AT5</f>
        <v>0</v>
      </c>
      <c r="AU918" s="45">
        <f>AT918*$G$8</f>
        <v>0</v>
      </c>
      <c r="AV918" s="15"/>
      <c r="AW918" s="13"/>
      <c r="AX918" s="15">
        <f>(AW918-AS918)*AX5</f>
        <v>0</v>
      </c>
      <c r="AY918" s="45">
        <f>AX918*$G$8</f>
        <v>0</v>
      </c>
      <c r="AZ918" s="208"/>
      <c r="BA918" s="13"/>
      <c r="BB918" s="15"/>
      <c r="BC918" s="45">
        <f>BB918*$G$8</f>
        <v>0</v>
      </c>
      <c r="BD918" s="208"/>
      <c r="BE918" s="40">
        <f t="shared" ref="BE918:BG918" si="2738">J918+N918+R918+V918+Z918+AD918+AH918+AL918+AP918+AT918+AX918+BB918</f>
        <v>0</v>
      </c>
      <c r="BF918" s="41">
        <f t="shared" si="2738"/>
        <v>0</v>
      </c>
      <c r="BG918" s="34">
        <f t="shared" si="2738"/>
        <v>0</v>
      </c>
      <c r="BH918" s="35">
        <f t="shared" si="2732"/>
        <v>0</v>
      </c>
      <c r="BK918" s="2" t="b">
        <f>H918='2021'!BH918</f>
        <v>1</v>
      </c>
    </row>
    <row r="919" ht="15.75" customHeight="1" spans="1:63" x14ac:dyDescent="0.25">
      <c r="A919" s="2">
        <v>96</v>
      </c>
      <c r="B919" s="14"/>
      <c r="C919" s="2" t="s">
        <v>65</v>
      </c>
      <c r="D919" s="14" t="s">
        <v>47</v>
      </c>
      <c r="E919" s="2" t="s">
        <v>48</v>
      </c>
      <c r="F919" s="13">
        <v>18.56</v>
      </c>
      <c r="G919" s="35">
        <v>19.46</v>
      </c>
      <c r="H919" s="34">
        <f>'2021'!BH919</f>
        <v>0</v>
      </c>
      <c r="I919" s="13"/>
      <c r="J919" s="15"/>
      <c r="K919" s="15"/>
      <c r="L919" s="28"/>
      <c r="M919" s="13"/>
      <c r="N919" s="15">
        <f t="shared" si="2733"/>
        <v>0</v>
      </c>
      <c r="Q919" s="13"/>
      <c r="R919" s="15">
        <f t="shared" si="2734"/>
        <v>0</v>
      </c>
      <c r="S919" s="15"/>
      <c r="T919" s="28"/>
      <c r="U919" s="13"/>
      <c r="V919" s="15">
        <f t="shared" si="2735"/>
        <v>0</v>
      </c>
      <c r="W919" s="180">
        <f>V919*$F$10</f>
        <v>0</v>
      </c>
      <c r="Y919" s="13"/>
      <c r="Z919" s="2">
        <f t="shared" si="2736"/>
        <v>0</v>
      </c>
      <c r="AA919" s="34">
        <f>Z919*$F$10</f>
        <v>0</v>
      </c>
      <c r="AB919" s="28"/>
      <c r="AC919" s="348"/>
      <c r="AD919" s="15">
        <f t="shared" si="2737"/>
        <v>0</v>
      </c>
      <c r="AE919" s="34">
        <f>AD919*$F$10</f>
        <v>0</v>
      </c>
      <c r="AG919" s="15"/>
      <c r="AH919" s="2">
        <f>AG919-AC919</f>
        <v>0</v>
      </c>
      <c r="AI919" s="45">
        <f>AH919*$G$10</f>
        <v>0</v>
      </c>
      <c r="AJ919" s="15"/>
      <c r="AK919" s="15"/>
      <c r="AL919" s="15">
        <f>AK919-AG919</f>
        <v>0</v>
      </c>
      <c r="AM919" s="45">
        <f>AL919*$G$10</f>
        <v>0</v>
      </c>
      <c r="AN919" s="15"/>
      <c r="AO919" s="13"/>
      <c r="AP919" s="15">
        <f>AO919-AK919</f>
        <v>0</v>
      </c>
      <c r="AQ919" s="45">
        <f>AP919*$G$10</f>
        <v>0</v>
      </c>
      <c r="AR919" s="15"/>
      <c r="AS919" s="13"/>
      <c r="AT919" s="15">
        <f>AS919-AO919</f>
        <v>0</v>
      </c>
      <c r="AU919" s="45">
        <f>AT919*$G$10</f>
        <v>0</v>
      </c>
      <c r="AV919" s="15"/>
      <c r="AW919" s="13"/>
      <c r="AX919" s="15">
        <f>AW919-AS919</f>
        <v>0</v>
      </c>
      <c r="AY919" s="45"/>
      <c r="AZ919" s="208"/>
      <c r="BA919" s="13"/>
      <c r="BB919" s="15"/>
      <c r="BC919" s="45"/>
      <c r="BD919" s="208"/>
      <c r="BE919" s="40">
        <f t="shared" ref="BE919:BG919" si="2739">J919+N919+R919+V919+Z919+AD919+AH919+AL919+AP919+AT919+AX919+BB919</f>
        <v>0</v>
      </c>
      <c r="BF919" s="41">
        <f t="shared" si="2739"/>
        <v>0</v>
      </c>
      <c r="BG919" s="34">
        <f t="shared" si="2739"/>
        <v>0</v>
      </c>
      <c r="BH919" s="35">
        <f t="shared" si="2732"/>
        <v>0</v>
      </c>
      <c r="BK919" s="2" t="b">
        <f>H919='2021'!BH919</f>
        <v>1</v>
      </c>
    </row>
    <row r="920" ht="15.75" customHeight="1" spans="1:63" x14ac:dyDescent="0.25">
      <c r="A920" s="2">
        <v>96</v>
      </c>
      <c r="B920" s="14"/>
      <c r="C920" s="15" t="s">
        <v>115</v>
      </c>
      <c r="D920" s="14" t="s">
        <v>47</v>
      </c>
      <c r="E920" s="2" t="s">
        <v>49</v>
      </c>
      <c r="F920" s="41">
        <v>500</v>
      </c>
      <c r="G920" s="28"/>
      <c r="H920" s="144">
        <f>'2021'!BH920</f>
        <v>0</v>
      </c>
      <c r="I920" s="13"/>
      <c r="J920" s="15"/>
      <c r="K920" s="15"/>
      <c r="L920" s="28"/>
      <c r="M920" s="13"/>
      <c r="N920" s="15"/>
      <c r="Q920" s="13"/>
      <c r="R920" s="15"/>
      <c r="S920" s="15"/>
      <c r="T920" s="28"/>
      <c r="U920" s="13"/>
      <c r="V920" s="15"/>
      <c r="Y920" s="13"/>
      <c r="Z920" s="2"/>
      <c r="AA920" s="34"/>
      <c r="AB920" s="28"/>
      <c r="AC920" s="348"/>
      <c r="AD920" s="15"/>
      <c r="AG920" s="15"/>
      <c r="AH920" s="2"/>
      <c r="AI920" s="45"/>
      <c r="AJ920" s="15"/>
      <c r="AK920" s="15"/>
      <c r="AL920" s="15"/>
      <c r="AM920" s="45"/>
      <c r="AN920" s="15"/>
      <c r="AO920" s="13"/>
      <c r="AP920" s="15"/>
      <c r="AQ920" s="45"/>
      <c r="AR920" s="15"/>
      <c r="AS920" s="13"/>
      <c r="AT920" s="15"/>
      <c r="AU920" s="45"/>
      <c r="AV920" s="15"/>
      <c r="AW920" s="13"/>
      <c r="AX920" s="15"/>
      <c r="AY920" s="45"/>
      <c r="AZ920" s="28"/>
      <c r="BA920" s="13"/>
      <c r="BB920" s="15"/>
      <c r="BC920" s="45"/>
      <c r="BD920" s="28"/>
      <c r="BE920" s="40">
        <f t="shared" ref="BE920:BG920" si="2740">J920+N920+R920+V920+Z920+AD920+AH920+AL920+AP920+AT920+AX920+BB920</f>
        <v>0</v>
      </c>
      <c r="BF920" s="41">
        <f t="shared" si="2740"/>
        <v>0</v>
      </c>
      <c r="BG920" s="34">
        <f t="shared" si="2740"/>
        <v>0</v>
      </c>
      <c r="BH920" s="35">
        <f t="shared" si="2732"/>
        <v>0</v>
      </c>
      <c r="BK920" s="2" t="b">
        <f>H920='2021'!BH920</f>
        <v>1</v>
      </c>
    </row>
    <row r="921" ht="15.75" customHeight="1" spans="1:63" x14ac:dyDescent="0.25">
      <c r="A921" s="2">
        <v>96</v>
      </c>
      <c r="B921" s="14"/>
      <c r="C921" s="2" t="s">
        <v>443</v>
      </c>
      <c r="D921" s="14" t="s">
        <v>50</v>
      </c>
      <c r="E921" s="2" t="s">
        <v>49</v>
      </c>
      <c r="F921" s="41">
        <v>1100</v>
      </c>
      <c r="G921" s="28"/>
      <c r="H921" s="180">
        <f>'2021'!BH921</f>
        <v>0</v>
      </c>
      <c r="I921" s="13"/>
      <c r="J921" s="15"/>
      <c r="K921" s="15"/>
      <c r="L921" s="28"/>
      <c r="M921" s="13"/>
      <c r="N921" s="15"/>
      <c r="Q921" s="13"/>
      <c r="R921" s="15"/>
      <c r="S921" s="15"/>
      <c r="T921" s="28"/>
      <c r="U921" s="13"/>
      <c r="V921" s="15"/>
      <c r="Y921" s="13"/>
      <c r="Z921" s="2"/>
      <c r="AA921" s="15"/>
      <c r="AB921" s="28"/>
      <c r="AC921" s="348"/>
      <c r="AD921" s="15"/>
      <c r="AE921" s="34">
        <f>B918*$F$12</f>
        <v>5798</v>
      </c>
      <c r="AG921" s="15"/>
      <c r="AH921" s="2"/>
      <c r="AI921" s="45"/>
      <c r="AJ921" s="34"/>
      <c r="AK921" s="15"/>
      <c r="AL921" s="15"/>
      <c r="AM921" s="45"/>
      <c r="AN921" s="15"/>
      <c r="AO921" s="13"/>
      <c r="AP921" s="15"/>
      <c r="AQ921" s="45"/>
      <c r="AR921" s="1"/>
      <c r="AS921" s="13"/>
      <c r="AT921" s="15"/>
      <c r="AU921" s="45"/>
      <c r="AV921" s="15"/>
      <c r="AW921" s="13"/>
      <c r="AX921" s="15"/>
      <c r="AY921" s="45"/>
      <c r="AZ921" s="28"/>
      <c r="BA921" s="13"/>
      <c r="BB921" s="15"/>
      <c r="BC921" s="45"/>
      <c r="BD921" s="28"/>
      <c r="BE921" s="14"/>
      <c r="BF921" s="41">
        <f t="shared" ref="BF921:BG921" si="2741">K921+O921+S921+W921+AA921+AE921+AI921+AM921+AQ921+AU921+AY921+BC921</f>
        <v>5798</v>
      </c>
      <c r="BG921" s="34">
        <f t="shared" si="2741"/>
        <v>0</v>
      </c>
      <c r="BH921" s="35">
        <f t="shared" si="2732"/>
        <v>5798</v>
      </c>
      <c r="BK921" s="2" t="b">
        <f>H921='2021'!BH921</f>
        <v>1</v>
      </c>
    </row>
    <row r="922" ht="15.75" customHeight="1" spans="1:63" x14ac:dyDescent="0.25">
      <c r="A922" s="2">
        <v>96</v>
      </c>
      <c r="B922" s="14"/>
      <c r="D922" s="14" t="s">
        <v>51</v>
      </c>
      <c r="E922" s="2" t="s">
        <v>39</v>
      </c>
      <c r="F922" s="41">
        <v>500</v>
      </c>
      <c r="G922" s="28"/>
      <c r="H922" s="180">
        <f>'2021'!BH922</f>
        <v>0</v>
      </c>
      <c r="I922" s="13"/>
      <c r="J922" s="15"/>
      <c r="K922" s="15"/>
      <c r="L922" s="28"/>
      <c r="M922" s="13"/>
      <c r="N922" s="15"/>
      <c r="Q922" s="13"/>
      <c r="R922" s="15"/>
      <c r="S922" s="15"/>
      <c r="T922" s="28"/>
      <c r="U922" s="13"/>
      <c r="V922" s="15"/>
      <c r="Y922" s="13"/>
      <c r="Z922" s="2"/>
      <c r="AA922" s="15"/>
      <c r="AB922" s="28"/>
      <c r="AC922" s="348"/>
      <c r="AD922" s="15"/>
      <c r="AE922" s="180">
        <f>$F$13</f>
        <v>1000</v>
      </c>
      <c r="AF922" s="1"/>
      <c r="AG922" s="15"/>
      <c r="AH922" s="2"/>
      <c r="AI922" s="45"/>
      <c r="AJ922" s="1">
        <v>1000</v>
      </c>
      <c r="AK922" s="15"/>
      <c r="AL922" s="15"/>
      <c r="AM922" s="45"/>
      <c r="AN922" s="15"/>
      <c r="AO922" s="13"/>
      <c r="AP922" s="15"/>
      <c r="AQ922" s="180"/>
      <c r="AR922" s="15"/>
      <c r="AS922" s="13"/>
      <c r="AT922" s="15"/>
      <c r="AU922" s="45"/>
      <c r="AV922" s="15"/>
      <c r="AW922" s="13"/>
      <c r="AX922" s="15"/>
      <c r="AY922" s="45"/>
      <c r="AZ922" s="28"/>
      <c r="BA922" s="13"/>
      <c r="BB922" s="15"/>
      <c r="BC922" s="45"/>
      <c r="BD922" s="28"/>
      <c r="BE922" s="14"/>
      <c r="BF922" s="41">
        <f t="shared" ref="BF922:BG922" si="2742">K922+O922+S922+W922+AA922+AE922+AI922+AM922+AQ922+AU922+AY922+BC922</f>
        <v>1000</v>
      </c>
      <c r="BG922" s="34">
        <f t="shared" si="2742"/>
        <v>1000</v>
      </c>
      <c r="BH922" s="35">
        <f t="shared" si="2732"/>
        <v>0</v>
      </c>
      <c r="BK922" s="2" t="b">
        <f>H922='2021'!BH922</f>
        <v>1</v>
      </c>
    </row>
    <row r="923" ht="15.75" customHeight="1" spans="1:63" x14ac:dyDescent="0.25">
      <c r="A923" s="2">
        <v>96</v>
      </c>
      <c r="B923" s="14"/>
      <c r="D923" s="14" t="s">
        <v>51</v>
      </c>
      <c r="E923" s="2" t="s">
        <v>49</v>
      </c>
      <c r="F923" s="41">
        <v>500</v>
      </c>
      <c r="G923" s="28"/>
      <c r="H923" s="180">
        <f>'2021'!BH923</f>
        <v>0</v>
      </c>
      <c r="I923" s="13"/>
      <c r="J923" s="15"/>
      <c r="K923" s="15"/>
      <c r="L923" s="28"/>
      <c r="M923" s="13"/>
      <c r="N923" s="15"/>
      <c r="Q923" s="13"/>
      <c r="R923" s="15"/>
      <c r="S923" s="15"/>
      <c r="T923" s="28"/>
      <c r="U923" s="13"/>
      <c r="V923" s="15"/>
      <c r="Y923" s="13"/>
      <c r="Z923" s="2"/>
      <c r="AA923" s="15"/>
      <c r="AB923" s="28"/>
      <c r="AC923" s="348"/>
      <c r="AD923" s="15"/>
      <c r="AE923" s="34"/>
      <c r="AG923" s="15"/>
      <c r="AH923" s="2"/>
      <c r="AI923" s="45"/>
      <c r="AJ923" s="15"/>
      <c r="AK923" s="15"/>
      <c r="AL923" s="15"/>
      <c r="AM923" s="45"/>
      <c r="AN923" s="15"/>
      <c r="AO923" s="13"/>
      <c r="AP923" s="15"/>
      <c r="AQ923" s="180">
        <f>B918*$F$14</f>
        <v>0</v>
      </c>
      <c r="AR923" s="15"/>
      <c r="AS923" s="13"/>
      <c r="AT923" s="15"/>
      <c r="AU923" s="45"/>
      <c r="AV923" s="15"/>
      <c r="AW923" s="13"/>
      <c r="AX923" s="15"/>
      <c r="AY923" s="45"/>
      <c r="AZ923" s="28"/>
      <c r="BA923" s="13"/>
      <c r="BB923" s="15"/>
      <c r="BC923" s="45"/>
      <c r="BD923" s="35"/>
      <c r="BE923" s="14"/>
      <c r="BF923" s="41">
        <f t="shared" ref="BF923:BG923" si="2743">K923+O923+S923+W923+AA923+AE923+AI923+AM923+AQ923+AU923+AY923+BC923</f>
        <v>0</v>
      </c>
      <c r="BG923" s="34">
        <f t="shared" si="2743"/>
        <v>0</v>
      </c>
      <c r="BH923" s="35">
        <f t="shared" si="2732"/>
        <v>0</v>
      </c>
      <c r="BK923" s="2" t="b">
        <f>H923='2021'!BH923</f>
        <v>1</v>
      </c>
    </row>
    <row r="924" ht="15.75" customHeight="1" spans="1:63" x14ac:dyDescent="0.25">
      <c r="A924" s="2">
        <v>96</v>
      </c>
      <c r="B924" s="14"/>
      <c r="D924" s="14" t="s">
        <v>52</v>
      </c>
      <c r="E924" s="2" t="s">
        <v>39</v>
      </c>
      <c r="F924" s="41">
        <v>500</v>
      </c>
      <c r="G924" s="28"/>
      <c r="H924" s="180">
        <f>'2021'!BH924</f>
        <v>0</v>
      </c>
      <c r="I924" s="13"/>
      <c r="J924" s="15"/>
      <c r="K924" s="15"/>
      <c r="L924" s="28"/>
      <c r="M924" s="13"/>
      <c r="N924" s="15"/>
      <c r="Q924" s="13"/>
      <c r="R924" s="15"/>
      <c r="S924" s="15"/>
      <c r="T924" s="28"/>
      <c r="U924" s="13"/>
      <c r="V924" s="15"/>
      <c r="X924" s="34"/>
      <c r="Y924" s="13"/>
      <c r="Z924" s="2"/>
      <c r="AA924" s="34">
        <f>$F$15</f>
      </c>
      <c r="AB924" s="28"/>
      <c r="AC924" s="348"/>
      <c r="AD924" s="15"/>
      <c r="AG924" s="15"/>
      <c r="AH924" s="2"/>
      <c r="AI924" s="45"/>
      <c r="AJ924" s="15"/>
      <c r="AK924" s="15"/>
      <c r="AL924" s="15"/>
      <c r="AM924" s="45"/>
      <c r="AN924" s="15"/>
      <c r="AO924" s="13"/>
      <c r="AP924" s="15"/>
      <c r="AQ924" s="45"/>
      <c r="AR924" s="15"/>
      <c r="AS924" s="13"/>
      <c r="AT924" s="15"/>
      <c r="AU924" s="45"/>
      <c r="AV924" s="15"/>
      <c r="AW924" s="13"/>
      <c r="AX924" s="15"/>
      <c r="AY924" s="45"/>
      <c r="AZ924" s="35"/>
      <c r="BA924" s="13"/>
      <c r="BB924" s="15"/>
      <c r="BC924" s="45"/>
      <c r="BD924" s="35"/>
      <c r="BE924" s="14"/>
      <c r="BF924" s="41">
        <f t="shared" ref="BF924:BG924" si="2744">K924+O924+S924+W924+AA924+AE924+AI924+AM924+AQ924+AU924+AY924+BC924</f>
        <v>0</v>
      </c>
      <c r="BG924" s="34">
        <f t="shared" si="2744"/>
        <v>0</v>
      </c>
      <c r="BH924" s="35">
        <f t="shared" si="2732"/>
        <v>0</v>
      </c>
      <c r="BK924" s="2" t="b">
        <f>H924='2021'!BH924</f>
        <v>1</v>
      </c>
    </row>
    <row r="925" ht="15.75" customHeight="1" spans="1:63" x14ac:dyDescent="0.25">
      <c r="A925" s="247">
        <v>96</v>
      </c>
      <c r="B925" s="21"/>
      <c r="C925" s="22" t="s">
        <v>53</v>
      </c>
      <c r="D925" s="21"/>
      <c r="E925" s="22"/>
      <c r="F925" s="20"/>
      <c r="G925" s="23"/>
      <c r="H925" s="51">
        <f>SUM(H917:H924)</f>
        <v>0</v>
      </c>
      <c r="I925" s="52"/>
      <c r="J925" s="53"/>
      <c r="K925" s="51">
        <f t="shared" ref="K925:L925" si="2745">SUM(K917:K924)</f>
        <v>0</v>
      </c>
      <c r="L925" s="68">
        <f t="shared" si="2745"/>
        <v>0</v>
      </c>
      <c r="M925" s="52"/>
      <c r="N925" s="53"/>
      <c r="O925" s="51">
        <f t="shared" ref="O925:P925" si="2746">SUM(O917:O924)</f>
        <v>0</v>
      </c>
      <c r="P925" s="51">
        <f t="shared" si="2746"/>
        <v>0</v>
      </c>
      <c r="Q925" s="52"/>
      <c r="R925" s="53"/>
      <c r="S925" s="51">
        <f t="shared" ref="S925:T925" si="2747">SUM(S917:S924)</f>
        <v>0</v>
      </c>
      <c r="T925" s="51">
        <f t="shared" si="2747"/>
        <v>0</v>
      </c>
      <c r="U925" s="52"/>
      <c r="V925" s="53"/>
      <c r="W925" s="51">
        <f t="shared" ref="W925:X925" si="2748">SUM(W917:W924)</f>
        <v>0</v>
      </c>
      <c r="X925" s="51">
        <f t="shared" si="2748"/>
        <v>0</v>
      </c>
      <c r="Y925" s="52"/>
      <c r="Z925" s="301"/>
      <c r="AA925" s="51">
        <f t="shared" ref="AA925:AB925" si="2749">SUM(AA917:AA924)</f>
        <v>0</v>
      </c>
      <c r="AB925" s="51">
        <f t="shared" si="2749"/>
        <v>0</v>
      </c>
      <c r="AC925" s="367"/>
      <c r="AD925" s="53"/>
      <c r="AE925" s="51">
        <f t="shared" ref="AE925:AF925" si="2750">SUM(AE917:AE924)</f>
        <v>6798</v>
      </c>
      <c r="AF925" s="51">
        <f t="shared" si="2750"/>
        <v>0</v>
      </c>
      <c r="AG925" s="52"/>
      <c r="AH925" s="301"/>
      <c r="AI925" s="183">
        <f t="shared" ref="AI925:AJ925" si="2751">SUM(AI917:AI924)</f>
        <v>0</v>
      </c>
      <c r="AJ925" s="51">
        <f t="shared" si="2751"/>
        <v>1000</v>
      </c>
      <c r="AK925" s="52"/>
      <c r="AL925" s="53"/>
      <c r="AM925" s="183">
        <f t="shared" ref="AM925:AN925" si="2752">SUM(AM917:AM924)</f>
        <v>0</v>
      </c>
      <c r="AN925" s="51">
        <f t="shared" si="2752"/>
        <v>0</v>
      </c>
      <c r="AO925" s="52"/>
      <c r="AP925" s="53"/>
      <c r="AQ925" s="183">
        <f t="shared" ref="AQ925:AR925" si="2753">SUM(AQ917:AQ924)</f>
        <v>0</v>
      </c>
      <c r="AR925" s="51">
        <f t="shared" si="2753"/>
        <v>0</v>
      </c>
      <c r="AS925" s="52"/>
      <c r="AT925" s="53"/>
      <c r="AU925" s="183">
        <f t="shared" ref="AU925:AV925" si="2754">SUM(AU917:AU924)</f>
        <v>0</v>
      </c>
      <c r="AV925" s="68">
        <f t="shared" si="2754"/>
        <v>0</v>
      </c>
      <c r="AW925" s="52"/>
      <c r="AX925" s="53"/>
      <c r="AY925" s="183">
        <f t="shared" ref="AY925:AZ925" si="2755">SUM(AY917:AY924)</f>
        <v>0</v>
      </c>
      <c r="AZ925" s="68">
        <f t="shared" si="2755"/>
        <v>0</v>
      </c>
      <c r="BA925" s="52"/>
      <c r="BB925" s="53"/>
      <c r="BC925" s="183">
        <f t="shared" ref="BC925:BD925" si="2756">SUM(BC917:BC924)</f>
        <v>0</v>
      </c>
      <c r="BD925" s="68">
        <f t="shared" si="2756"/>
        <v>0</v>
      </c>
      <c r="BE925" s="69"/>
      <c r="BF925" s="70">
        <f t="shared" ref="BF925:BH925" si="2757">SUM(BF917:BF924)</f>
        <v>6798</v>
      </c>
      <c r="BG925" s="71">
        <f t="shared" si="2757"/>
        <v>1000</v>
      </c>
      <c r="BH925" s="72">
        <f t="shared" si="2757"/>
        <v>5798</v>
      </c>
      <c r="BI925" s="34">
        <f>H925+BF925-BG925</f>
        <v>5798</v>
      </c>
      <c r="BJ925" s="34">
        <f>BH925-BI925</f>
        <v>0</v>
      </c>
      <c r="BK925" s="2" t="b">
        <f>H925='2021'!BH925</f>
        <v>1</v>
      </c>
    </row>
    <row r="926" ht="15.75" customHeight="1" spans="1:63" x14ac:dyDescent="0.25">
      <c r="A926" s="2">
        <v>98</v>
      </c>
      <c r="B926" s="14"/>
      <c r="D926" s="14" t="s">
        <v>379</v>
      </c>
      <c r="F926" s="13"/>
      <c r="G926" s="28"/>
      <c r="H926" s="34">
        <f>'2021'!BH926</f>
        <v>14.68</v>
      </c>
      <c r="I926" s="13"/>
      <c r="J926" s="15"/>
      <c r="K926" s="15"/>
      <c r="L926" s="28"/>
      <c r="M926" s="13"/>
      <c r="N926" s="15"/>
      <c r="Q926" s="13"/>
      <c r="R926" s="15"/>
      <c r="S926" s="15">
        <v>15.17</v>
      </c>
      <c r="T926" s="28"/>
      <c r="U926" s="13"/>
      <c r="V926" s="15"/>
      <c r="W926" s="2">
        <v>14.68</v>
      </c>
      <c r="Y926" s="13"/>
      <c r="Z926" s="2"/>
      <c r="AA926" s="15">
        <v>15.17</v>
      </c>
      <c r="AB926" s="28"/>
      <c r="AC926" s="348"/>
      <c r="AD926" s="15"/>
      <c r="AE926" s="2">
        <v>14.68</v>
      </c>
      <c r="AF926" s="1"/>
      <c r="AG926" s="15"/>
      <c r="AH926" s="2"/>
      <c r="AI926" s="45">
        <v>15.17</v>
      </c>
      <c r="AJ926" s="15"/>
      <c r="AK926" s="15"/>
      <c r="AM926" s="45"/>
      <c r="AO926" s="13"/>
      <c r="AQ926" s="180"/>
      <c r="AS926" s="13"/>
      <c r="AU926" s="180"/>
      <c r="AW926" s="13"/>
      <c r="AY926" s="180"/>
      <c r="AZ926" s="28"/>
      <c r="BA926" s="13"/>
      <c r="BB926" s="15"/>
      <c r="BC926" s="180"/>
      <c r="BD926" s="28"/>
      <c r="BE926" s="14"/>
      <c r="BF926" s="41">
        <f t="shared" ref="BF926:BG926" si="2758">K926+O926+S926+W926+AA926+AE926+AI926+AM926+AQ926+AU926+AY926+BC926</f>
        <v>74.87</v>
      </c>
      <c r="BG926" s="34">
        <f t="shared" si="2758"/>
        <v>0</v>
      </c>
      <c r="BH926" s="35">
        <f t="shared" ref="BH926:BH933" si="2759">H926+BF926-BG926</f>
        <v>89.55</v>
      </c>
      <c r="BK926" s="2" t="b">
        <f>H926='2021'!BH926</f>
        <v>1</v>
      </c>
    </row>
    <row r="927" ht="15.75" customHeight="1" spans="1:63" x14ac:dyDescent="0.25">
      <c r="A927" s="2">
        <v>98</v>
      </c>
      <c r="B927" s="14">
        <v>4.45</v>
      </c>
      <c r="C927" s="2" t="s">
        <v>328</v>
      </c>
      <c r="D927" s="14" t="s">
        <v>44</v>
      </c>
      <c r="E927" s="2" t="s">
        <v>45</v>
      </c>
      <c r="F927" s="41">
        <v>2.5</v>
      </c>
      <c r="G927" s="35">
        <v>2.6</v>
      </c>
      <c r="H927" s="104">
        <f>'2021'!BH927</f>
        <v>-332.68</v>
      </c>
      <c r="I927" s="13"/>
      <c r="J927" s="15">
        <f>I927-'2021'!BA927</f>
        <v>0</v>
      </c>
      <c r="K927" s="34">
        <f>J927*$F$8</f>
        <v>0</v>
      </c>
      <c r="L927" s="28"/>
      <c r="M927" s="13"/>
      <c r="N927" s="15">
        <f t="shared" ref="N927:N928" si="2760">M927-I927</f>
        <v>0</v>
      </c>
      <c r="O927" s="34">
        <f>N927*$F$8</f>
        <v>0</v>
      </c>
      <c r="Q927" s="13"/>
      <c r="R927" s="15">
        <f t="shared" ref="R927:R928" si="2761">Q927-M927</f>
        <v>0</v>
      </c>
      <c r="S927" s="34">
        <f>R927*$F$8</f>
        <v>0</v>
      </c>
      <c r="T927" s="28"/>
      <c r="U927" s="13"/>
      <c r="V927" s="15">
        <f t="shared" ref="V927:V928" si="2762">U927-Q927</f>
        <v>0</v>
      </c>
      <c r="W927" s="34">
        <f>V927*$F$8</f>
        <v>0</v>
      </c>
      <c r="Y927" s="13">
        <v>0</v>
      </c>
      <c r="Z927" s="2">
        <f t="shared" ref="Z927:Z928" si="2763">Y927-U927</f>
        <v>0</v>
      </c>
      <c r="AA927" s="34">
        <f>Z927*$F$8</f>
        <v>0</v>
      </c>
      <c r="AB927" s="28"/>
      <c r="AC927" s="348"/>
      <c r="AD927" s="15">
        <f t="shared" ref="AD927:AD928" si="2764">AC927-Y927</f>
        <v>0</v>
      </c>
      <c r="AE927" s="180">
        <f>AD927*$F$8</f>
        <v>0</v>
      </c>
      <c r="AF927" s="1"/>
      <c r="AG927" s="15"/>
      <c r="AH927" s="2">
        <f>(AG927-AC927)*AH5</f>
        <v>0</v>
      </c>
      <c r="AI927" s="45">
        <f>AH927*$G$8</f>
        <v>0</v>
      </c>
      <c r="AJ927" s="15"/>
      <c r="AK927" s="15"/>
      <c r="AL927" s="15">
        <f>(AK927-AG927)*AL5</f>
        <v>0</v>
      </c>
      <c r="AM927" s="45">
        <f>AL927*$G$8</f>
        <v>0</v>
      </c>
      <c r="AN927" s="15"/>
      <c r="AO927" s="13"/>
      <c r="AP927" s="15">
        <f>(AO927-AK927)*AP5</f>
        <v>0</v>
      </c>
      <c r="AQ927" s="45">
        <f>AP927*$G$8</f>
        <v>0</v>
      </c>
      <c r="AR927" s="15"/>
      <c r="AS927" s="13"/>
      <c r="AT927" s="15">
        <f>(AS927-AO927)*AT5</f>
        <v>0</v>
      </c>
      <c r="AU927" s="45">
        <f>AT927*$G$8</f>
        <v>0</v>
      </c>
      <c r="AV927" s="15"/>
      <c r="AW927" s="13"/>
      <c r="AX927" s="15">
        <f>(AW927-AS927)*AX5</f>
        <v>0</v>
      </c>
      <c r="AY927" s="45">
        <f>AX927*$G$8</f>
        <v>0</v>
      </c>
      <c r="AZ927" s="208"/>
      <c r="BA927" s="13"/>
      <c r="BB927" s="15"/>
      <c r="BC927" s="45">
        <f>BB927*$G$8</f>
        <v>0</v>
      </c>
      <c r="BD927" s="208"/>
      <c r="BE927" s="40">
        <f t="shared" ref="BE927:BG927" si="2765">J927+N927+R927+V927+Z927+AD927+AH927+AL927+AP927+AT927+AX927+BB927</f>
        <v>0</v>
      </c>
      <c r="BF927" s="41">
        <f t="shared" si="2765"/>
        <v>0</v>
      </c>
      <c r="BG927" s="34">
        <f t="shared" si="2765"/>
        <v>0</v>
      </c>
      <c r="BH927" s="35">
        <f t="shared" si="2759"/>
        <v>-332.68</v>
      </c>
      <c r="BK927" s="2" t="b">
        <f>H927='2021'!BH927</f>
        <v>1</v>
      </c>
    </row>
    <row r="928" ht="15.75" customHeight="1" spans="1:63" x14ac:dyDescent="0.25">
      <c r="A928" s="2">
        <v>98</v>
      </c>
      <c r="B928" s="14"/>
      <c r="C928" s="2" t="s">
        <v>83</v>
      </c>
      <c r="D928" s="14" t="s">
        <v>47</v>
      </c>
      <c r="E928" s="2" t="s">
        <v>48</v>
      </c>
      <c r="F928" s="13">
        <v>18.56</v>
      </c>
      <c r="G928" s="35">
        <v>19.46</v>
      </c>
      <c r="H928" s="34">
        <f>'2021'!BH928</f>
        <v>-49.5</v>
      </c>
      <c r="I928" s="13"/>
      <c r="J928" s="15"/>
      <c r="K928" s="15"/>
      <c r="L928" s="28"/>
      <c r="M928" s="13"/>
      <c r="N928" s="15">
        <f t="shared" si="2760"/>
        <v>0</v>
      </c>
      <c r="Q928" s="13"/>
      <c r="R928" s="15">
        <f t="shared" si="2761"/>
        <v>0</v>
      </c>
      <c r="S928" s="15"/>
      <c r="T928" s="28"/>
      <c r="U928" s="13"/>
      <c r="V928" s="15">
        <f t="shared" si="2762"/>
        <v>0</v>
      </c>
      <c r="W928" s="34">
        <f>V928*$F$10</f>
        <v>0</v>
      </c>
      <c r="Y928" s="13">
        <v>11</v>
      </c>
      <c r="Z928" s="2">
        <f t="shared" si="2763"/>
        <v>11</v>
      </c>
      <c r="AA928" s="34">
        <f>Z928*$F$10</f>
        <v>223.85</v>
      </c>
      <c r="AB928" s="28"/>
      <c r="AC928" s="348">
        <v>13</v>
      </c>
      <c r="AD928" s="15">
        <f t="shared" si="2764"/>
        <v>2</v>
      </c>
      <c r="AE928" s="34">
        <f>AD928*$F$10</f>
        <v>40.7</v>
      </c>
      <c r="AF928" s="1"/>
      <c r="AG928" s="15">
        <v>13</v>
      </c>
      <c r="AH928" s="2">
        <f>AG928-AC928</f>
        <v>0</v>
      </c>
      <c r="AI928" s="45">
        <f>AH928*$G$10</f>
        <v>0</v>
      </c>
      <c r="AJ928" s="15"/>
      <c r="AK928" s="15">
        <v>13</v>
      </c>
      <c r="AL928" s="15">
        <f>AK928-AG928</f>
        <v>0</v>
      </c>
      <c r="AM928" s="45">
        <f>AL928*$G$10</f>
        <v>0</v>
      </c>
      <c r="AN928" s="15"/>
      <c r="AO928" s="13">
        <v>13</v>
      </c>
      <c r="AP928" s="15">
        <f>AO928-AK928</f>
        <v>0</v>
      </c>
      <c r="AQ928" s="45">
        <f>AP928*$G$10</f>
        <v>0</v>
      </c>
      <c r="AR928" s="15"/>
      <c r="AS928" s="13">
        <v>13</v>
      </c>
      <c r="AT928" s="15">
        <f>AS928-AO928</f>
        <v>0</v>
      </c>
      <c r="AU928" s="45">
        <f>AT928*$G$10</f>
        <v>0</v>
      </c>
      <c r="AV928" s="15"/>
      <c r="AW928" s="13"/>
      <c r="AX928" s="15">
        <f>AW928-AS928</f>
        <v>-13</v>
      </c>
      <c r="AY928" s="45"/>
      <c r="AZ928" s="208"/>
      <c r="BA928" s="13"/>
      <c r="BB928" s="15"/>
      <c r="BC928" s="45"/>
      <c r="BD928" s="208"/>
      <c r="BE928" s="40">
        <f t="shared" ref="BE928:BG928" si="2766">J928+N928+R928+V928+Z928+AD928+AH928+AL928+AP928+AT928+AX928+BB928</f>
        <v>0</v>
      </c>
      <c r="BF928" s="41">
        <f t="shared" si="2766"/>
        <v>264.55</v>
      </c>
      <c r="BG928" s="34">
        <f t="shared" si="2766"/>
        <v>0</v>
      </c>
      <c r="BH928" s="35">
        <f t="shared" si="2759"/>
        <v>215.05</v>
      </c>
      <c r="BK928" s="2" t="b">
        <f>H928='2021'!BH928</f>
        <v>1</v>
      </c>
    </row>
    <row r="929" ht="15.75" customHeight="1" spans="1:63" x14ac:dyDescent="0.25">
      <c r="A929" s="2">
        <v>98</v>
      </c>
      <c r="B929" s="14"/>
      <c r="C929" s="2" t="s">
        <v>129</v>
      </c>
      <c r="D929" s="14" t="s">
        <v>47</v>
      </c>
      <c r="E929" s="2" t="s">
        <v>49</v>
      </c>
      <c r="F929" s="41">
        <v>500</v>
      </c>
      <c r="G929" s="28"/>
      <c r="H929" s="144">
        <f>'2021'!BH929</f>
        <v>0</v>
      </c>
      <c r="I929" s="13"/>
      <c r="J929" s="15"/>
      <c r="K929" s="15"/>
      <c r="L929" s="28"/>
      <c r="M929" s="13"/>
      <c r="N929" s="15"/>
      <c r="Q929" s="13"/>
      <c r="R929" s="15"/>
      <c r="S929" s="15"/>
      <c r="T929" s="28"/>
      <c r="U929" s="13"/>
      <c r="V929" s="15"/>
      <c r="Y929" s="13"/>
      <c r="Z929" s="2"/>
      <c r="AA929" s="15"/>
      <c r="AB929" s="28"/>
      <c r="AC929" s="348"/>
      <c r="AD929" s="15"/>
      <c r="AF929" s="1"/>
      <c r="AG929" s="15"/>
      <c r="AH929" s="2"/>
      <c r="AI929" s="45"/>
      <c r="AJ929" s="15"/>
      <c r="AK929" s="15"/>
      <c r="AL929" s="15"/>
      <c r="AM929" s="45"/>
      <c r="AN929" s="15"/>
      <c r="AO929" s="13"/>
      <c r="AP929" s="15"/>
      <c r="AQ929" s="45"/>
      <c r="AR929" s="15"/>
      <c r="AS929" s="13"/>
      <c r="AT929" s="15"/>
      <c r="AU929" s="45"/>
      <c r="AV929" s="15"/>
      <c r="AW929" s="13"/>
      <c r="AX929" s="15"/>
      <c r="AY929" s="45"/>
      <c r="AZ929" s="28"/>
      <c r="BA929" s="13"/>
      <c r="BB929" s="15"/>
      <c r="BC929" s="45"/>
      <c r="BD929" s="28"/>
      <c r="BE929" s="14"/>
      <c r="BF929" s="41">
        <f t="shared" ref="BF929:BG929" si="2767">K929+O929+S929+W929+AA929+AE929+AI929+AM929+AQ929+AU929+AY929+BC929</f>
        <v>0</v>
      </c>
      <c r="BG929" s="34">
        <f t="shared" si="2767"/>
        <v>0</v>
      </c>
      <c r="BH929" s="35">
        <f t="shared" si="2759"/>
        <v>0</v>
      </c>
      <c r="BK929" s="2" t="b">
        <f>H929='2021'!BH929</f>
        <v>1</v>
      </c>
    </row>
    <row r="930" ht="15.75" customHeight="1" spans="1:63" x14ac:dyDescent="0.25">
      <c r="A930" s="2">
        <v>98</v>
      </c>
      <c r="B930" s="14"/>
      <c r="C930" s="2" t="s">
        <v>329</v>
      </c>
      <c r="D930" s="14" t="s">
        <v>50</v>
      </c>
      <c r="E930" s="2" t="s">
        <v>49</v>
      </c>
      <c r="F930" s="41">
        <v>1100</v>
      </c>
      <c r="G930" s="28"/>
      <c r="H930" s="180">
        <f>'2021'!BH930</f>
        <v>4895</v>
      </c>
      <c r="I930" s="13"/>
      <c r="J930" s="15"/>
      <c r="K930" s="15"/>
      <c r="L930" s="28"/>
      <c r="M930" s="13"/>
      <c r="N930" s="15"/>
      <c r="Q930" s="13"/>
      <c r="R930" s="15"/>
      <c r="S930" s="15"/>
      <c r="T930" s="28"/>
      <c r="U930" s="13"/>
      <c r="V930" s="15"/>
      <c r="X930" s="1"/>
      <c r="Y930" s="13"/>
      <c r="Z930" s="2"/>
      <c r="AA930" s="15"/>
      <c r="AB930" s="28"/>
      <c r="AC930" s="348"/>
      <c r="AD930" s="15"/>
      <c r="AE930" s="34">
        <f>B927*$F$12</f>
        <v>5785</v>
      </c>
      <c r="AF930" s="1"/>
      <c r="AG930" s="15"/>
      <c r="AH930" s="2"/>
      <c r="AI930" s="45"/>
      <c r="AJ930" s="39"/>
      <c r="AK930" s="15"/>
      <c r="AL930" s="15"/>
      <c r="AM930" s="45"/>
      <c r="AN930" s="15"/>
      <c r="AO930" s="13"/>
      <c r="AP930" s="15"/>
      <c r="AQ930" s="45"/>
      <c r="AR930" s="15"/>
      <c r="AS930" s="13"/>
      <c r="AT930" s="15"/>
      <c r="AU930" s="45"/>
      <c r="AV930" s="15"/>
      <c r="AW930" s="13"/>
      <c r="AX930" s="15"/>
      <c r="AY930" s="45"/>
      <c r="AZ930" s="28"/>
      <c r="BA930" s="13"/>
      <c r="BB930" s="15"/>
      <c r="BC930" s="45"/>
      <c r="BD930" s="28"/>
      <c r="BE930" s="14"/>
      <c r="BF930" s="41">
        <f t="shared" ref="BF930:BG930" si="2768">K930+O930+S930+W930+AA930+AE930+AI930+AM930+AQ930+AU930+AY930+BC930</f>
        <v>5785</v>
      </c>
      <c r="BG930" s="34">
        <f t="shared" si="2768"/>
        <v>0</v>
      </c>
      <c r="BH930" s="35">
        <f t="shared" si="2759"/>
        <v>10680</v>
      </c>
      <c r="BK930" s="2" t="b">
        <f>H930='2021'!BH930</f>
        <v>1</v>
      </c>
    </row>
    <row r="931" ht="15.75" customHeight="1" spans="1:63" x14ac:dyDescent="0.25">
      <c r="A931" s="2">
        <v>98</v>
      </c>
      <c r="B931" s="14"/>
      <c r="D931" s="14" t="s">
        <v>51</v>
      </c>
      <c r="E931" s="2" t="s">
        <v>39</v>
      </c>
      <c r="F931" s="41">
        <v>500</v>
      </c>
      <c r="G931" s="28"/>
      <c r="H931" s="180">
        <f>'2021'!BH931</f>
        <v>-0.003</v>
      </c>
      <c r="I931" s="13"/>
      <c r="J931" s="15"/>
      <c r="K931" s="15"/>
      <c r="L931" s="28"/>
      <c r="M931" s="13"/>
      <c r="N931" s="15"/>
      <c r="Q931" s="13"/>
      <c r="R931" s="15"/>
      <c r="S931" s="15"/>
      <c r="T931" s="28"/>
      <c r="U931" s="13"/>
      <c r="V931" s="15"/>
      <c r="X931" s="1"/>
      <c r="Y931" s="13"/>
      <c r="Z931" s="2"/>
      <c r="AA931" s="15"/>
      <c r="AB931" s="28"/>
      <c r="AC931" s="348"/>
      <c r="AD931" s="15"/>
      <c r="AE931" s="180">
        <f>$F$13</f>
        <v>1000</v>
      </c>
      <c r="AF931" s="1"/>
      <c r="AG931" s="15"/>
      <c r="AH931" s="2"/>
      <c r="AI931" s="45"/>
      <c r="AJ931" s="15"/>
      <c r="AK931" s="15"/>
      <c r="AL931" s="15"/>
      <c r="AM931" s="45"/>
      <c r="AN931" s="15"/>
      <c r="AO931" s="13"/>
      <c r="AP931" s="15"/>
      <c r="AQ931" s="180"/>
      <c r="AR931" s="15"/>
      <c r="AS931" s="13"/>
      <c r="AT931" s="15"/>
      <c r="AU931" s="45"/>
      <c r="AV931" s="15"/>
      <c r="AW931" s="13"/>
      <c r="AX931" s="15"/>
      <c r="AY931" s="45"/>
      <c r="AZ931" s="28"/>
      <c r="BA931" s="13"/>
      <c r="BB931" s="15"/>
      <c r="BC931" s="45"/>
      <c r="BD931" s="28"/>
      <c r="BE931" s="14"/>
      <c r="BF931" s="41">
        <f t="shared" ref="BF931:BG931" si="2769">K931+O931+S931+W931+AA931+AE931+AI931+AM931+AQ931+AU931+AY931+BC931</f>
        <v>1000</v>
      </c>
      <c r="BG931" s="34">
        <f t="shared" si="2769"/>
        <v>0</v>
      </c>
      <c r="BH931" s="35">
        <f t="shared" si="2759"/>
        <v>999.997</v>
      </c>
      <c r="BK931" s="2" t="b">
        <f>H931='2021'!BH931</f>
        <v>1</v>
      </c>
    </row>
    <row r="932" ht="15.75" customHeight="1" spans="1:63" x14ac:dyDescent="0.25">
      <c r="A932" s="2">
        <v>98</v>
      </c>
      <c r="B932" s="14"/>
      <c r="D932" s="14" t="s">
        <v>51</v>
      </c>
      <c r="E932" s="2" t="s">
        <v>49</v>
      </c>
      <c r="F932" s="41">
        <v>500</v>
      </c>
      <c r="G932" s="28"/>
      <c r="H932" s="180">
        <f>'2021'!BH932</f>
        <v>0</v>
      </c>
      <c r="I932" s="13"/>
      <c r="J932" s="15"/>
      <c r="K932" s="15"/>
      <c r="L932" s="28"/>
      <c r="M932" s="13"/>
      <c r="N932" s="15"/>
      <c r="Q932" s="13"/>
      <c r="R932" s="15"/>
      <c r="S932" s="15"/>
      <c r="T932" s="28"/>
      <c r="U932" s="13"/>
      <c r="V932" s="15"/>
      <c r="X932" s="1"/>
      <c r="Y932" s="13"/>
      <c r="Z932" s="2"/>
      <c r="AA932" s="15"/>
      <c r="AB932" s="28"/>
      <c r="AC932" s="348"/>
      <c r="AD932" s="15"/>
      <c r="AE932" s="34"/>
      <c r="AF932" s="1"/>
      <c r="AG932" s="15"/>
      <c r="AH932" s="2"/>
      <c r="AI932" s="45"/>
      <c r="AJ932" s="15"/>
      <c r="AK932" s="15"/>
      <c r="AL932" s="15"/>
      <c r="AM932" s="45"/>
      <c r="AN932" s="15"/>
      <c r="AO932" s="13"/>
      <c r="AP932" s="15"/>
      <c r="AQ932" s="180">
        <f>B927*$F$14</f>
        <v>0</v>
      </c>
      <c r="AR932" s="15"/>
      <c r="AS932" s="13"/>
      <c r="AT932" s="15"/>
      <c r="AU932" s="45"/>
      <c r="AV932" s="15"/>
      <c r="AW932" s="13"/>
      <c r="AX932" s="15"/>
      <c r="AY932" s="45"/>
      <c r="AZ932" s="28"/>
      <c r="BA932" s="13"/>
      <c r="BB932" s="15"/>
      <c r="BC932" s="45"/>
      <c r="BD932" s="28"/>
      <c r="BE932" s="14"/>
      <c r="BF932" s="41">
        <f t="shared" ref="BF932:BG932" si="2770">K932+O932+S932+W932+AA932+AE932+AI932+AM932+AQ932+AU932+AY932+BC932</f>
        <v>0</v>
      </c>
      <c r="BG932" s="34">
        <f t="shared" si="2770"/>
        <v>0</v>
      </c>
      <c r="BH932" s="35">
        <f t="shared" si="2759"/>
        <v>0</v>
      </c>
      <c r="BK932" s="2" t="b">
        <f>H932='2021'!BH932</f>
        <v>1</v>
      </c>
    </row>
    <row r="933" ht="15.75" customHeight="1" spans="1:63" x14ac:dyDescent="0.25">
      <c r="A933" s="2">
        <v>98</v>
      </c>
      <c r="B933" s="14"/>
      <c r="D933" s="14" t="s">
        <v>52</v>
      </c>
      <c r="E933" s="2" t="s">
        <v>39</v>
      </c>
      <c r="F933" s="41">
        <v>500</v>
      </c>
      <c r="G933" s="28"/>
      <c r="H933" s="180">
        <f>'2021'!BH933</f>
        <v>0</v>
      </c>
      <c r="I933" s="13"/>
      <c r="J933" s="15"/>
      <c r="K933" s="15"/>
      <c r="L933" s="28"/>
      <c r="M933" s="13"/>
      <c r="N933" s="15"/>
      <c r="Q933" s="13"/>
      <c r="R933" s="15"/>
      <c r="S933" s="15"/>
      <c r="T933" s="28"/>
      <c r="U933" s="13"/>
      <c r="V933" s="15"/>
      <c r="Y933" s="13"/>
      <c r="Z933" s="2"/>
      <c r="AA933" s="34">
        <f>$F$15</f>
      </c>
      <c r="AB933" s="28"/>
      <c r="AC933" s="348"/>
      <c r="AD933" s="15"/>
      <c r="AF933" s="1"/>
      <c r="AG933" s="15"/>
      <c r="AH933" s="2"/>
      <c r="AI933" s="45"/>
      <c r="AJ933" s="15"/>
      <c r="AK933" s="15"/>
      <c r="AL933" s="15"/>
      <c r="AM933" s="45"/>
      <c r="AN933" s="15"/>
      <c r="AO933" s="13"/>
      <c r="AP933" s="15"/>
      <c r="AQ933" s="45"/>
      <c r="AR933" s="15"/>
      <c r="AS933" s="13"/>
      <c r="AT933" s="15"/>
      <c r="AU933" s="45"/>
      <c r="AV933" s="15"/>
      <c r="AW933" s="13"/>
      <c r="AX933" s="15"/>
      <c r="AY933" s="45"/>
      <c r="AZ933" s="35"/>
      <c r="BA933" s="13"/>
      <c r="BB933" s="15"/>
      <c r="BC933" s="45"/>
      <c r="BD933" s="35"/>
      <c r="BE933" s="14"/>
      <c r="BF933" s="41">
        <f t="shared" ref="BF933:BG933" si="2771">K933+O933+S933+W933+AA933+AE933+AI933+AM933+AQ933+AU933+AY933+BC933</f>
        <v>0</v>
      </c>
      <c r="BG933" s="34">
        <f t="shared" si="2771"/>
        <v>0</v>
      </c>
      <c r="BH933" s="35">
        <f t="shared" si="2759"/>
        <v>0</v>
      </c>
      <c r="BK933" s="2" t="b">
        <f>H933='2021'!BH933</f>
        <v>1</v>
      </c>
    </row>
    <row r="934" ht="15.75" customHeight="1" spans="1:63" x14ac:dyDescent="0.25">
      <c r="A934" s="247">
        <v>98</v>
      </c>
      <c r="B934" s="21"/>
      <c r="C934" s="22" t="s">
        <v>53</v>
      </c>
      <c r="D934" s="21"/>
      <c r="E934" s="22"/>
      <c r="F934" s="20"/>
      <c r="G934" s="23"/>
      <c r="H934" s="51">
        <f>SUM(H926:H933)</f>
        <v>4527.497</v>
      </c>
      <c r="I934" s="52"/>
      <c r="J934" s="53"/>
      <c r="K934" s="51">
        <f t="shared" ref="K934:L934" si="2772">SUM(K926:K933)</f>
        <v>0</v>
      </c>
      <c r="L934" s="68">
        <f t="shared" si="2772"/>
        <v>0</v>
      </c>
      <c r="M934" s="52"/>
      <c r="N934" s="53"/>
      <c r="O934" s="51">
        <f t="shared" ref="O934:P934" si="2773">SUM(O926:O933)</f>
        <v>0</v>
      </c>
      <c r="P934" s="51">
        <f t="shared" si="2773"/>
        <v>0</v>
      </c>
      <c r="Q934" s="52"/>
      <c r="R934" s="53"/>
      <c r="S934" s="51">
        <f t="shared" ref="S934:T934" si="2774">SUM(S926:S933)</f>
        <v>15.17</v>
      </c>
      <c r="T934" s="51">
        <f t="shared" si="2774"/>
        <v>0</v>
      </c>
      <c r="U934" s="52"/>
      <c r="V934" s="53"/>
      <c r="W934" s="51">
        <f t="shared" ref="W934:X934" si="2775">SUM(W926:W933)</f>
        <v>14.68</v>
      </c>
      <c r="X934" s="51">
        <f t="shared" si="2775"/>
        <v>0</v>
      </c>
      <c r="Y934" s="52"/>
      <c r="Z934" s="301"/>
      <c r="AA934" s="51">
        <f t="shared" ref="AA934:AB934" si="2776">SUM(AA926:AA933)</f>
        <v>239.02</v>
      </c>
      <c r="AB934" s="51">
        <f t="shared" si="2776"/>
        <v>0</v>
      </c>
      <c r="AC934" s="367"/>
      <c r="AD934" s="53"/>
      <c r="AE934" s="51">
        <f t="shared" ref="AE934:AF934" si="2777">SUM(AE926:AE933)</f>
        <v>6840.38</v>
      </c>
      <c r="AF934" s="51">
        <f t="shared" si="2777"/>
        <v>0</v>
      </c>
      <c r="AG934" s="52"/>
      <c r="AH934" s="301"/>
      <c r="AI934" s="183">
        <f t="shared" ref="AI934:AJ934" si="2778">SUM(AI926:AI933)</f>
        <v>15.17</v>
      </c>
      <c r="AJ934" s="51">
        <f t="shared" si="2778"/>
        <v>0</v>
      </c>
      <c r="AK934" s="52"/>
      <c r="AL934" s="53"/>
      <c r="AM934" s="183">
        <f t="shared" ref="AM934:AN934" si="2779">SUM(AM926:AM933)</f>
        <v>0</v>
      </c>
      <c r="AN934" s="51">
        <f t="shared" si="2779"/>
        <v>0</v>
      </c>
      <c r="AO934" s="52"/>
      <c r="AP934" s="53"/>
      <c r="AQ934" s="183">
        <f t="shared" ref="AQ934:AR934" si="2780">SUM(AQ926:AQ933)</f>
        <v>0</v>
      </c>
      <c r="AR934" s="51">
        <f t="shared" si="2780"/>
        <v>0</v>
      </c>
      <c r="AS934" s="52"/>
      <c r="AT934" s="53"/>
      <c r="AU934" s="183">
        <f t="shared" ref="AU934:AV934" si="2781">SUM(AU926:AU933)</f>
        <v>0</v>
      </c>
      <c r="AV934" s="68">
        <f t="shared" si="2781"/>
        <v>0</v>
      </c>
      <c r="AW934" s="52"/>
      <c r="AX934" s="53"/>
      <c r="AY934" s="183">
        <f t="shared" ref="AY934:AZ934" si="2782">SUM(AY926:AY933)</f>
        <v>0</v>
      </c>
      <c r="AZ934" s="68">
        <f t="shared" si="2782"/>
        <v>0</v>
      </c>
      <c r="BA934" s="52"/>
      <c r="BB934" s="53"/>
      <c r="BC934" s="183">
        <f t="shared" ref="BC934:BD934" si="2783">SUM(BC926:BC933)</f>
        <v>0</v>
      </c>
      <c r="BD934" s="68">
        <f t="shared" si="2783"/>
        <v>0</v>
      </c>
      <c r="BE934" s="69"/>
      <c r="BF934" s="70">
        <f t="shared" ref="BF934:BH934" si="2784">SUM(BF926:BF933)</f>
        <v>7124.42</v>
      </c>
      <c r="BG934" s="71">
        <f t="shared" si="2784"/>
        <v>0</v>
      </c>
      <c r="BH934" s="72">
        <f t="shared" si="2784"/>
        <v>11651.917</v>
      </c>
      <c r="BI934" s="34">
        <f>H934+BF934-BG934</f>
        <v>11651.917</v>
      </c>
      <c r="BJ934" s="34">
        <f>BH934-BI934</f>
        <v>0</v>
      </c>
      <c r="BK934" s="2" t="b">
        <f>H934='2021'!BH934</f>
        <v>1</v>
      </c>
    </row>
    <row r="935" ht="15.75" customHeight="1" spans="1:63" x14ac:dyDescent="0.25">
      <c r="A935" s="2">
        <v>100</v>
      </c>
      <c r="B935" s="14"/>
      <c r="D935" s="14" t="s">
        <v>379</v>
      </c>
      <c r="F935" s="13"/>
      <c r="G935" s="28"/>
      <c r="H935" s="34">
        <f>'2021'!BH935</f>
        <v>171.65</v>
      </c>
      <c r="I935" s="13"/>
      <c r="J935" s="15"/>
      <c r="K935" s="34"/>
      <c r="L935" s="28"/>
      <c r="M935" s="13"/>
      <c r="N935" s="15"/>
      <c r="Q935" s="13"/>
      <c r="R935" s="15"/>
      <c r="S935" s="34">
        <v>36.12</v>
      </c>
      <c r="T935" s="28"/>
      <c r="U935" s="13"/>
      <c r="V935" s="15"/>
      <c r="W935" s="180">
        <v>31.06</v>
      </c>
      <c r="Y935" s="13"/>
      <c r="Z935" s="2"/>
      <c r="AA935" s="34">
        <v>26.82</v>
      </c>
      <c r="AB935" s="28"/>
      <c r="AC935" s="348"/>
      <c r="AD935" s="15"/>
      <c r="AE935" s="34">
        <v>25.96</v>
      </c>
      <c r="AF935" s="2"/>
      <c r="AG935" s="15"/>
      <c r="AH935" s="2"/>
      <c r="AI935" s="45">
        <v>26.82</v>
      </c>
      <c r="AJ935" s="15"/>
      <c r="AK935" s="15"/>
      <c r="AM935" s="45"/>
      <c r="AO935" s="13"/>
      <c r="AQ935" s="180"/>
      <c r="AR935" s="34"/>
      <c r="AS935" s="13"/>
      <c r="AU935" s="180"/>
      <c r="AW935" s="13"/>
      <c r="AY935" s="180"/>
      <c r="AZ935" s="28"/>
      <c r="BA935" s="13"/>
      <c r="BB935" s="15"/>
      <c r="BC935" s="180"/>
      <c r="BD935" s="28"/>
      <c r="BE935" s="14"/>
      <c r="BF935" s="41">
        <f t="shared" ref="BF935:BG935" si="2785">K935+O935+S935+W935+AA935+AE935+AI935+AM935+AQ935+AU935+AY935+BC935</f>
        <v>146.78</v>
      </c>
      <c r="BG935" s="34">
        <f t="shared" si="2785"/>
        <v>0</v>
      </c>
      <c r="BH935" s="35">
        <f t="shared" ref="BH935:BH942" si="2786">H935+BF935-BG935</f>
        <v>318.43</v>
      </c>
      <c r="BK935" s="2" t="b">
        <f>H935='2021'!BH935</f>
        <v>1</v>
      </c>
    </row>
    <row r="936" ht="15.75" customHeight="1" spans="1:63" x14ac:dyDescent="0.25">
      <c r="A936" s="2">
        <v>100</v>
      </c>
      <c r="B936" s="14">
        <v>4.47</v>
      </c>
      <c r="C936" s="2" t="s">
        <v>330</v>
      </c>
      <c r="D936" s="14" t="s">
        <v>44</v>
      </c>
      <c r="E936" s="2" t="s">
        <v>45</v>
      </c>
      <c r="F936" s="41">
        <v>2.5</v>
      </c>
      <c r="G936" s="35">
        <v>2.6</v>
      </c>
      <c r="H936" s="34">
        <f>'2021'!BH936</f>
        <v>0</v>
      </c>
      <c r="I936" s="13">
        <v>1129</v>
      </c>
      <c r="J936" s="15">
        <f>I936-'2021'!BA936</f>
        <v>0</v>
      </c>
      <c r="K936" s="34">
        <f>J936*$F$8</f>
        <v>0</v>
      </c>
      <c r="L936" s="28"/>
      <c r="M936" s="13">
        <v>1129</v>
      </c>
      <c r="N936" s="15">
        <f t="shared" ref="N936:N937" si="2787">M936-I936</f>
        <v>0</v>
      </c>
      <c r="O936" s="34">
        <f>N936*$F$8</f>
        <v>0</v>
      </c>
      <c r="Q936" s="13">
        <v>1129</v>
      </c>
      <c r="R936" s="15">
        <f t="shared" ref="R936:R937" si="2788">Q936-M936</f>
        <v>0</v>
      </c>
      <c r="S936" s="34">
        <f>R936*$F$8</f>
        <v>0</v>
      </c>
      <c r="T936" s="28"/>
      <c r="U936" s="13">
        <v>1129</v>
      </c>
      <c r="V936" s="15">
        <f t="shared" ref="V936:V937" si="2789">U936-Q936</f>
        <v>0</v>
      </c>
      <c r="W936" s="34">
        <f>V936*$F$8</f>
        <v>0</v>
      </c>
      <c r="Y936" s="13">
        <v>1198</v>
      </c>
      <c r="Z936" s="2">
        <f t="shared" ref="Z936:Z937" si="2790">Y936-U936</f>
        <v>69</v>
      </c>
      <c r="AA936" s="34">
        <f>Z936*$F$8</f>
        <v>186.3</v>
      </c>
      <c r="AB936" s="28"/>
      <c r="AC936" s="348">
        <v>1298</v>
      </c>
      <c r="AD936" s="15">
        <f t="shared" ref="AD936:AD937" si="2791">AC936-Y936</f>
        <v>100</v>
      </c>
      <c r="AE936" s="180">
        <f>AD936*$F$8</f>
        <v>270</v>
      </c>
      <c r="AF936" s="317"/>
      <c r="AG936" s="15">
        <v>1365</v>
      </c>
      <c r="AH936" s="2">
        <f>(AG936-AC936)*AH5</f>
        <v>70.752</v>
      </c>
      <c r="AI936" s="45">
        <f>AH936*$G$8</f>
        <v>174.04992</v>
      </c>
      <c r="AJ936" s="1"/>
      <c r="AK936" s="15">
        <v>1404</v>
      </c>
      <c r="AL936" s="15">
        <f>(AK936-AG936)*AL5</f>
        <v>40.092</v>
      </c>
      <c r="AM936" s="45">
        <f>AL936*$G$8</f>
        <v>98.62632</v>
      </c>
      <c r="AN936" s="15"/>
      <c r="AO936" s="13">
        <v>1513</v>
      </c>
      <c r="AP936" s="15">
        <f>(AO936-AK936)*AP5</f>
        <v>112.597</v>
      </c>
      <c r="AQ936" s="45">
        <f>AP936*$G$8</f>
        <v>276.98862</v>
      </c>
      <c r="AR936" s="39">
        <v>177.3</v>
      </c>
      <c r="AS936" s="13">
        <v>1542</v>
      </c>
      <c r="AT936" s="15">
        <f>(AS936-AO936)*AT5</f>
        <v>30.45</v>
      </c>
      <c r="AU936" s="45">
        <f>AT936*$G$8</f>
        <v>74.907</v>
      </c>
      <c r="AV936" s="1"/>
      <c r="AW936" s="13"/>
      <c r="AX936" s="15">
        <f>(AW936-AS936)*AX5</f>
        <v>0</v>
      </c>
      <c r="AY936" s="45">
        <f>AX936*$G$8</f>
        <v>0</v>
      </c>
      <c r="AZ936" s="208"/>
      <c r="BA936" s="13"/>
      <c r="BB936" s="15"/>
      <c r="BC936" s="45">
        <f>BB936*$G$8</f>
        <v>0</v>
      </c>
      <c r="BD936" s="208"/>
      <c r="BE936" s="40">
        <f t="shared" ref="BE936:BG936" si="2792">J936+N936+R936+V936+Z936+AD936+AH936+AL936+AP936+AT936+AX936+BB936</f>
        <v>422.891</v>
      </c>
      <c r="BF936" s="41">
        <f t="shared" si="2792"/>
        <v>1080.87186</v>
      </c>
      <c r="BG936" s="34">
        <f t="shared" si="2792"/>
        <v>177.3</v>
      </c>
      <c r="BH936" s="35">
        <f t="shared" si="2786"/>
        <v>903.57186</v>
      </c>
      <c r="BK936" s="2" t="b">
        <f>H936='2021'!BH936</f>
        <v>1</v>
      </c>
    </row>
    <row r="937" ht="15.75" customHeight="1" spans="1:63" x14ac:dyDescent="0.25">
      <c r="A937" s="2">
        <v>100</v>
      </c>
      <c r="B937" s="14"/>
      <c r="C937" s="2" t="s">
        <v>153</v>
      </c>
      <c r="D937" s="14" t="s">
        <v>47</v>
      </c>
      <c r="E937" s="2" t="s">
        <v>48</v>
      </c>
      <c r="F937" s="13">
        <v>18.56</v>
      </c>
      <c r="G937" s="35">
        <v>19.46</v>
      </c>
      <c r="H937" s="34">
        <f>'2021'!BH937</f>
        <v>-325</v>
      </c>
      <c r="I937" s="13"/>
      <c r="J937" s="15"/>
      <c r="K937" s="15"/>
      <c r="L937" s="28"/>
      <c r="M937" s="13"/>
      <c r="N937" s="15">
        <f t="shared" si="2787"/>
        <v>0</v>
      </c>
      <c r="Q937" s="13"/>
      <c r="R937" s="15">
        <f t="shared" si="2788"/>
        <v>0</v>
      </c>
      <c r="S937" s="15"/>
      <c r="T937" s="28"/>
      <c r="U937" s="13"/>
      <c r="V937" s="15">
        <f t="shared" si="2789"/>
        <v>0</v>
      </c>
      <c r="W937" s="180">
        <f>V937*$F$10</f>
        <v>0</v>
      </c>
      <c r="Y937" s="13">
        <v>22</v>
      </c>
      <c r="Z937" s="2">
        <f t="shared" si="2790"/>
        <v>22</v>
      </c>
      <c r="AA937" s="34">
        <f>Z937*$F$10</f>
        <v>447.7</v>
      </c>
      <c r="AB937" s="28"/>
      <c r="AC937" s="348">
        <v>22</v>
      </c>
      <c r="AD937" s="15">
        <f t="shared" si="2791"/>
        <v>0</v>
      </c>
      <c r="AE937" s="34">
        <f>AD937*$F$10</f>
        <v>0</v>
      </c>
      <c r="AF937" s="317"/>
      <c r="AG937" s="15">
        <v>22</v>
      </c>
      <c r="AH937" s="2">
        <f>AG937-AC937</f>
        <v>0</v>
      </c>
      <c r="AI937" s="45">
        <f>AH937*$G$10</f>
        <v>0</v>
      </c>
      <c r="AJ937" s="1"/>
      <c r="AK937" s="15">
        <v>22</v>
      </c>
      <c r="AL937" s="15">
        <f>AK937-AG937</f>
        <v>0</v>
      </c>
      <c r="AM937" s="45">
        <f>AL937*$G$10</f>
        <v>0</v>
      </c>
      <c r="AN937" s="15"/>
      <c r="AO937" s="13">
        <v>22</v>
      </c>
      <c r="AP937" s="15">
        <f>AO937-AK937</f>
        <v>0</v>
      </c>
      <c r="AQ937" s="45">
        <f>AP937*$G$10</f>
        <v>0</v>
      </c>
      <c r="AR937" s="1">
        <v>122.7</v>
      </c>
      <c r="AS937" s="13">
        <v>22</v>
      </c>
      <c r="AT937" s="15">
        <f>AS937-AO937</f>
        <v>0</v>
      </c>
      <c r="AU937" s="45">
        <f>AT937*$G$10</f>
        <v>0</v>
      </c>
      <c r="AV937" s="1"/>
      <c r="AW937" s="13"/>
      <c r="AX937" s="15">
        <f>AW937-AS937</f>
        <v>-22</v>
      </c>
      <c r="AY937" s="45"/>
      <c r="AZ937" s="208"/>
      <c r="BA937" s="13"/>
      <c r="BB937" s="15"/>
      <c r="BC937" s="45"/>
      <c r="BD937" s="208"/>
      <c r="BE937" s="40">
        <f t="shared" ref="BE937:BG937" si="2793">J937+N937+R937+V937+Z937+AD937+AH937+AL937+AP937+AT937+AX937+BB937</f>
        <v>0</v>
      </c>
      <c r="BF937" s="41">
        <f t="shared" si="2793"/>
        <v>447.7</v>
      </c>
      <c r="BG937" s="34">
        <f t="shared" si="2793"/>
        <v>122.7</v>
      </c>
      <c r="BH937" s="35">
        <f t="shared" si="2786"/>
        <v>0</v>
      </c>
      <c r="BK937" s="2" t="b">
        <f>H937='2021'!BH937</f>
        <v>1</v>
      </c>
    </row>
    <row r="938" ht="15.75" customHeight="1" spans="1:63" x14ac:dyDescent="0.25">
      <c r="A938" s="2">
        <v>100</v>
      </c>
      <c r="B938" s="14"/>
      <c r="C938" s="2" t="s">
        <v>80</v>
      </c>
      <c r="D938" s="14" t="s">
        <v>47</v>
      </c>
      <c r="E938" s="2" t="s">
        <v>49</v>
      </c>
      <c r="F938" s="41">
        <v>500</v>
      </c>
      <c r="G938" s="28"/>
      <c r="H938" s="34">
        <f>'2021'!BH938</f>
        <v>0</v>
      </c>
      <c r="I938" s="13"/>
      <c r="J938" s="15"/>
      <c r="K938" s="15"/>
      <c r="L938" s="28"/>
      <c r="M938" s="13"/>
      <c r="N938" s="15"/>
      <c r="Q938" s="13"/>
      <c r="R938" s="15"/>
      <c r="S938" s="15"/>
      <c r="T938" s="28"/>
      <c r="U938" s="13"/>
      <c r="V938" s="15"/>
      <c r="Y938" s="13"/>
      <c r="Z938" s="2"/>
      <c r="AA938" s="15"/>
      <c r="AB938" s="28"/>
      <c r="AC938" s="348"/>
      <c r="AD938" s="15"/>
      <c r="AG938" s="15"/>
      <c r="AH938" s="2"/>
      <c r="AI938" s="45"/>
      <c r="AJ938" s="15"/>
      <c r="AK938" s="15"/>
      <c r="AL938" s="15"/>
      <c r="AM938" s="45"/>
      <c r="AN938" s="15"/>
      <c r="AO938" s="13"/>
      <c r="AP938" s="15"/>
      <c r="AQ938" s="45"/>
      <c r="AR938" s="1"/>
      <c r="AS938" s="13"/>
      <c r="AT938" s="15"/>
      <c r="AU938" s="45"/>
      <c r="AV938" s="15"/>
      <c r="AW938" s="13"/>
      <c r="AX938" s="15"/>
      <c r="AY938" s="45"/>
      <c r="AZ938" s="28"/>
      <c r="BA938" s="13"/>
      <c r="BB938" s="15"/>
      <c r="BC938" s="45"/>
      <c r="BD938" s="28"/>
      <c r="BE938" s="14"/>
      <c r="BF938" s="41">
        <f t="shared" ref="BF938:BG938" si="2794">K938+O938+S938+W938+AA938+AE938+AI938+AM938+AQ938+AU938+AY938+BC938</f>
        <v>0</v>
      </c>
      <c r="BG938" s="34">
        <f t="shared" si="2794"/>
        <v>0</v>
      </c>
      <c r="BH938" s="35">
        <f t="shared" si="2786"/>
        <v>0</v>
      </c>
      <c r="BK938" s="2" t="b">
        <f>H938='2021'!BH938</f>
        <v>1</v>
      </c>
    </row>
    <row r="939" ht="15.75" customHeight="1" spans="1:63" x14ac:dyDescent="0.25">
      <c r="A939" s="2">
        <v>100</v>
      </c>
      <c r="B939" s="14"/>
      <c r="C939" s="2" t="s">
        <v>451</v>
      </c>
      <c r="D939" s="14" t="s">
        <v>50</v>
      </c>
      <c r="E939" s="2" t="s">
        <v>49</v>
      </c>
      <c r="F939" s="41">
        <v>1100</v>
      </c>
      <c r="G939" s="28"/>
      <c r="H939" s="34">
        <f>'2021'!BH939</f>
        <v>7917</v>
      </c>
      <c r="I939" s="13"/>
      <c r="J939" s="15"/>
      <c r="K939" s="15"/>
      <c r="L939" s="28"/>
      <c r="M939" s="13"/>
      <c r="N939" s="15"/>
      <c r="Q939" s="13"/>
      <c r="R939" s="15"/>
      <c r="S939" s="15"/>
      <c r="T939" s="28"/>
      <c r="U939" s="13"/>
      <c r="V939" s="15"/>
      <c r="X939" s="2">
        <v>3000</v>
      </c>
      <c r="Y939" s="13"/>
      <c r="Z939" s="2"/>
      <c r="AA939" s="15"/>
      <c r="AB939" s="28"/>
      <c r="AC939" s="348"/>
      <c r="AD939" s="15"/>
      <c r="AE939" s="34">
        <f>B936*$F$12</f>
        <v>5811</v>
      </c>
      <c r="AF939" s="180"/>
      <c r="AG939" s="15"/>
      <c r="AH939" s="2"/>
      <c r="AI939" s="45"/>
      <c r="AJ939" s="39"/>
      <c r="AK939" s="15"/>
      <c r="AL939" s="15"/>
      <c r="AM939" s="45"/>
      <c r="AN939" s="15"/>
      <c r="AO939" s="13"/>
      <c r="AP939" s="15"/>
      <c r="AQ939" s="45"/>
      <c r="AR939" s="39">
        <v>500</v>
      </c>
      <c r="AS939" s="13"/>
      <c r="AT939" s="15"/>
      <c r="AU939" s="45"/>
      <c r="AV939" s="15"/>
      <c r="AW939" s="13"/>
      <c r="AX939" s="15"/>
      <c r="AY939" s="45"/>
      <c r="AZ939" s="28"/>
      <c r="BA939" s="13"/>
      <c r="BB939" s="15"/>
      <c r="BC939" s="45"/>
      <c r="BD939" s="28"/>
      <c r="BE939" s="14"/>
      <c r="BF939" s="41">
        <f t="shared" ref="BF939:BG939" si="2795">K939+O939+S939+W939+AA939+AE939+AI939+AM939+AQ939+AU939+AY939+BC939</f>
        <v>5811</v>
      </c>
      <c r="BG939" s="34">
        <f t="shared" si="2795"/>
        <v>3500</v>
      </c>
      <c r="BH939" s="35">
        <f t="shared" si="2786"/>
        <v>10228</v>
      </c>
      <c r="BK939" s="2" t="b">
        <f>H939='2021'!BH939</f>
        <v>1</v>
      </c>
    </row>
    <row r="940" ht="15.75" customHeight="1" spans="1:63" x14ac:dyDescent="0.25">
      <c r="A940" s="2">
        <v>100</v>
      </c>
      <c r="B940" s="14"/>
      <c r="D940" s="14" t="s">
        <v>51</v>
      </c>
      <c r="E940" s="2" t="s">
        <v>39</v>
      </c>
      <c r="F940" s="41">
        <v>500</v>
      </c>
      <c r="G940" s="28"/>
      <c r="H940" s="34">
        <f>'2021'!BH940</f>
        <v>1500</v>
      </c>
      <c r="I940" s="13"/>
      <c r="J940" s="15"/>
      <c r="K940" s="15"/>
      <c r="L940" s="28"/>
      <c r="M940" s="13"/>
      <c r="N940" s="15"/>
      <c r="Q940" s="13"/>
      <c r="R940" s="15"/>
      <c r="S940" s="15"/>
      <c r="T940" s="28"/>
      <c r="U940" s="13"/>
      <c r="V940" s="15"/>
      <c r="Y940" s="13"/>
      <c r="Z940" s="2"/>
      <c r="AA940" s="15"/>
      <c r="AB940" s="28"/>
      <c r="AC940" s="348"/>
      <c r="AD940" s="15"/>
      <c r="AE940" s="180">
        <f>$F$13</f>
        <v>1000</v>
      </c>
      <c r="AG940" s="15"/>
      <c r="AH940" s="2"/>
      <c r="AI940" s="45"/>
      <c r="AJ940" s="39"/>
      <c r="AK940" s="15"/>
      <c r="AL940" s="15"/>
      <c r="AM940" s="45"/>
      <c r="AN940" s="15"/>
      <c r="AO940" s="13"/>
      <c r="AP940" s="15"/>
      <c r="AQ940" s="180"/>
      <c r="AR940" s="1"/>
      <c r="AS940" s="13"/>
      <c r="AT940" s="15"/>
      <c r="AU940" s="45"/>
      <c r="AV940" s="15"/>
      <c r="AW940" s="13"/>
      <c r="AX940" s="15"/>
      <c r="AY940" s="45"/>
      <c r="AZ940" s="28"/>
      <c r="BA940" s="13"/>
      <c r="BB940" s="15"/>
      <c r="BC940" s="45"/>
      <c r="BD940" s="28"/>
      <c r="BE940" s="14"/>
      <c r="BF940" s="41">
        <f t="shared" ref="BF940:BG940" si="2796">K940+O940+S940+W940+AA940+AE940+AI940+AM940+AQ940+AU940+AY940+BC940</f>
        <v>1000</v>
      </c>
      <c r="BG940" s="34">
        <f t="shared" si="2796"/>
        <v>0</v>
      </c>
      <c r="BH940" s="35">
        <f t="shared" si="2786"/>
        <v>2500</v>
      </c>
      <c r="BK940" s="2" t="b">
        <f>H940='2021'!BH940</f>
        <v>1</v>
      </c>
    </row>
    <row r="941" ht="15.75" customHeight="1" spans="1:63" x14ac:dyDescent="0.25">
      <c r="A941" s="2">
        <v>100</v>
      </c>
      <c r="B941" s="14"/>
      <c r="D941" s="14" t="s">
        <v>51</v>
      </c>
      <c r="E941" s="2" t="s">
        <v>49</v>
      </c>
      <c r="F941" s="41">
        <v>500</v>
      </c>
      <c r="G941" s="28"/>
      <c r="H941" s="34">
        <f>'2021'!BH941</f>
        <v>2235</v>
      </c>
      <c r="I941" s="13"/>
      <c r="J941" s="15"/>
      <c r="K941" s="15"/>
      <c r="L941" s="28"/>
      <c r="M941" s="13"/>
      <c r="N941" s="15"/>
      <c r="Q941" s="13"/>
      <c r="R941" s="15"/>
      <c r="S941" s="15"/>
      <c r="T941" s="28"/>
      <c r="U941" s="13"/>
      <c r="V941" s="15"/>
      <c r="Y941" s="13"/>
      <c r="Z941" s="2"/>
      <c r="AA941" s="15"/>
      <c r="AB941" s="28"/>
      <c r="AC941" s="348"/>
      <c r="AD941" s="15"/>
      <c r="AE941" s="34"/>
      <c r="AG941" s="15"/>
      <c r="AH941" s="2"/>
      <c r="AI941" s="45"/>
      <c r="AJ941" s="39"/>
      <c r="AK941" s="15"/>
      <c r="AL941" s="15"/>
      <c r="AM941" s="45"/>
      <c r="AN941" s="15"/>
      <c r="AO941" s="13"/>
      <c r="AP941" s="15"/>
      <c r="AQ941" s="180">
        <f>B936*$F$14</f>
        <v>0</v>
      </c>
      <c r="AR941" s="15"/>
      <c r="AS941" s="13"/>
      <c r="AT941" s="15"/>
      <c r="AU941" s="45"/>
      <c r="AV941" s="15"/>
      <c r="AW941" s="13"/>
      <c r="AX941" s="15"/>
      <c r="AY941" s="45"/>
      <c r="AZ941" s="28"/>
      <c r="BA941" s="13"/>
      <c r="BB941" s="15"/>
      <c r="BC941" s="45"/>
      <c r="BD941" s="28"/>
      <c r="BE941" s="14"/>
      <c r="BF941" s="41">
        <f t="shared" ref="BF941:BG941" si="2797">K941+O941+S941+W941+AA941+AE941+AI941+AM941+AQ941+AU941+AY941+BC941</f>
        <v>0</v>
      </c>
      <c r="BG941" s="34">
        <f t="shared" si="2797"/>
        <v>0</v>
      </c>
      <c r="BH941" s="35">
        <f t="shared" si="2786"/>
        <v>2235</v>
      </c>
      <c r="BK941" s="2" t="b">
        <f>H941='2021'!BH941</f>
        <v>1</v>
      </c>
    </row>
    <row r="942" ht="15.75" customHeight="1" spans="1:63" x14ac:dyDescent="0.25">
      <c r="A942" s="2">
        <v>100</v>
      </c>
      <c r="B942" s="14"/>
      <c r="D942" s="14" t="s">
        <v>52</v>
      </c>
      <c r="E942" s="2" t="s">
        <v>39</v>
      </c>
      <c r="F942" s="41">
        <v>500</v>
      </c>
      <c r="G942" s="28"/>
      <c r="H942" s="34">
        <f>'2021'!BH942</f>
        <v>500</v>
      </c>
      <c r="I942" s="13"/>
      <c r="J942" s="15"/>
      <c r="K942" s="15"/>
      <c r="L942" s="28"/>
      <c r="M942" s="13"/>
      <c r="N942" s="15"/>
      <c r="Q942" s="13"/>
      <c r="R942" s="15"/>
      <c r="S942" s="15"/>
      <c r="T942" s="28"/>
      <c r="U942" s="13"/>
      <c r="V942" s="15"/>
      <c r="X942" s="34"/>
      <c r="Y942" s="13"/>
      <c r="Z942" s="2"/>
      <c r="AA942" s="34">
        <f>$F$15</f>
      </c>
      <c r="AB942" s="28"/>
      <c r="AC942" s="348"/>
      <c r="AD942" s="15"/>
      <c r="AG942" s="15"/>
      <c r="AH942" s="2"/>
      <c r="AI942" s="45"/>
      <c r="AJ942" s="15"/>
      <c r="AK942" s="15"/>
      <c r="AL942" s="15"/>
      <c r="AM942" s="45"/>
      <c r="AN942" s="15"/>
      <c r="AO942" s="13"/>
      <c r="AP942" s="15"/>
      <c r="AQ942" s="45"/>
      <c r="AR942" s="15"/>
      <c r="AS942" s="13"/>
      <c r="AT942" s="15"/>
      <c r="AU942" s="45"/>
      <c r="AV942" s="15"/>
      <c r="AW942" s="13"/>
      <c r="AX942" s="15"/>
      <c r="AY942" s="45"/>
      <c r="AZ942" s="35"/>
      <c r="BA942" s="13"/>
      <c r="BB942" s="15"/>
      <c r="BC942" s="45"/>
      <c r="BD942" s="35"/>
      <c r="BE942" s="14"/>
      <c r="BF942" s="41">
        <f t="shared" ref="BF942:BG942" si="2798">K942+O942+S942+W942+AA942+AE942+AI942+AM942+AQ942+AU942+AY942+BC942</f>
        <v>0</v>
      </c>
      <c r="BG942" s="34">
        <f t="shared" si="2798"/>
        <v>0</v>
      </c>
      <c r="BH942" s="35">
        <f t="shared" si="2786"/>
        <v>500</v>
      </c>
      <c r="BK942" s="2" t="b">
        <f>H942='2021'!BH942</f>
        <v>1</v>
      </c>
    </row>
    <row r="943" ht="15.75" customHeight="1" spans="1:63" x14ac:dyDescent="0.25">
      <c r="A943" s="247">
        <v>100</v>
      </c>
      <c r="B943" s="21"/>
      <c r="C943" s="22" t="s">
        <v>53</v>
      </c>
      <c r="D943" s="21"/>
      <c r="E943" s="22"/>
      <c r="F943" s="20"/>
      <c r="G943" s="23"/>
      <c r="H943" s="51">
        <f>SUM(H935:H942)</f>
        <v>11998.65</v>
      </c>
      <c r="I943" s="52"/>
      <c r="J943" s="53"/>
      <c r="K943" s="51">
        <f t="shared" ref="K943:L943" si="2799">SUM(K935:K942)</f>
        <v>0</v>
      </c>
      <c r="L943" s="68">
        <f t="shared" si="2799"/>
        <v>0</v>
      </c>
      <c r="M943" s="52"/>
      <c r="N943" s="53"/>
      <c r="O943" s="51">
        <f t="shared" ref="O943:P943" si="2800">SUM(O935:O942)</f>
        <v>0</v>
      </c>
      <c r="P943" s="51">
        <f t="shared" si="2800"/>
        <v>0</v>
      </c>
      <c r="Q943" s="52"/>
      <c r="R943" s="53"/>
      <c r="S943" s="51">
        <f t="shared" ref="S943:T943" si="2801">SUM(S935:S942)</f>
        <v>36.12</v>
      </c>
      <c r="T943" s="51">
        <f t="shared" si="2801"/>
        <v>0</v>
      </c>
      <c r="U943" s="52"/>
      <c r="V943" s="53"/>
      <c r="W943" s="51">
        <f t="shared" ref="W943:X943" si="2802">SUM(W935:W942)</f>
        <v>31.06</v>
      </c>
      <c r="X943" s="51">
        <f t="shared" si="2802"/>
        <v>3000</v>
      </c>
      <c r="Y943" s="52"/>
      <c r="Z943" s="301"/>
      <c r="AA943" s="51">
        <f t="shared" ref="AA943:AB943" si="2803">SUM(AA935:AA942)</f>
        <v>660.82</v>
      </c>
      <c r="AB943" s="51">
        <f t="shared" si="2803"/>
        <v>0</v>
      </c>
      <c r="AC943" s="367"/>
      <c r="AD943" s="53"/>
      <c r="AE943" s="51">
        <f t="shared" ref="AE943:AF943" si="2804">SUM(AE935:AE942)</f>
        <v>7106.96</v>
      </c>
      <c r="AF943" s="51">
        <f t="shared" si="2804"/>
        <v>0</v>
      </c>
      <c r="AG943" s="52"/>
      <c r="AH943" s="301"/>
      <c r="AI943" s="183">
        <f t="shared" ref="AI943:AJ943" si="2805">SUM(AI935:AI942)</f>
        <v>200.86992</v>
      </c>
      <c r="AJ943" s="51">
        <f t="shared" si="2805"/>
        <v>0</v>
      </c>
      <c r="AK943" s="52"/>
      <c r="AL943" s="53"/>
      <c r="AM943" s="183">
        <f t="shared" ref="AM943:AN943" si="2806">SUM(AM935:AM942)</f>
        <v>98.62632</v>
      </c>
      <c r="AN943" s="51">
        <f t="shared" si="2806"/>
        <v>0</v>
      </c>
      <c r="AO943" s="52"/>
      <c r="AP943" s="53"/>
      <c r="AQ943" s="183">
        <f t="shared" ref="AQ943:AR943" si="2807">SUM(AQ935:AQ942)</f>
        <v>276.98862</v>
      </c>
      <c r="AR943" s="51">
        <f t="shared" si="2807"/>
        <v>800</v>
      </c>
      <c r="AS943" s="52"/>
      <c r="AT943" s="53"/>
      <c r="AU943" s="183">
        <f t="shared" ref="AU943:AV943" si="2808">SUM(AU935:AU942)</f>
        <v>74.907</v>
      </c>
      <c r="AV943" s="68">
        <f t="shared" si="2808"/>
        <v>0</v>
      </c>
      <c r="AW943" s="52"/>
      <c r="AX943" s="53"/>
      <c r="AY943" s="183">
        <f t="shared" ref="AY943:AZ943" si="2809">SUM(AY935:AY942)</f>
        <v>0</v>
      </c>
      <c r="AZ943" s="68">
        <f t="shared" si="2809"/>
        <v>0</v>
      </c>
      <c r="BA943" s="52"/>
      <c r="BB943" s="53"/>
      <c r="BC943" s="183">
        <f t="shared" ref="BC943:BD943" si="2810">SUM(BC935:BC942)</f>
        <v>0</v>
      </c>
      <c r="BD943" s="68">
        <f t="shared" si="2810"/>
        <v>0</v>
      </c>
      <c r="BE943" s="69"/>
      <c r="BF943" s="70">
        <f t="shared" ref="BF943:BH943" si="2811">SUM(BF935:BF942)</f>
        <v>8486.35186</v>
      </c>
      <c r="BG943" s="71">
        <f t="shared" si="2811"/>
        <v>3800</v>
      </c>
      <c r="BH943" s="72">
        <f t="shared" si="2811"/>
        <v>16685.00186</v>
      </c>
      <c r="BI943" s="34">
        <f>H943+BF943-BG943</f>
        <v>16685.00186</v>
      </c>
      <c r="BJ943" s="34">
        <f>BH943-BI943</f>
        <v>0</v>
      </c>
      <c r="BK943" s="2" t="b">
        <f>H943='2021'!BH943</f>
        <v>1</v>
      </c>
    </row>
    <row r="944" ht="15.75" customHeight="1" spans="1:63" x14ac:dyDescent="0.25">
      <c r="A944" s="2">
        <v>102</v>
      </c>
      <c r="B944" s="14"/>
      <c r="D944" s="176" t="s">
        <v>544</v>
      </c>
      <c r="F944" s="13"/>
      <c r="G944" s="28"/>
      <c r="H944" s="34">
        <f>'2021'!BH944</f>
        <v>0</v>
      </c>
      <c r="I944" s="13"/>
      <c r="J944" s="15"/>
      <c r="K944" s="15"/>
      <c r="L944" s="28"/>
      <c r="M944" s="13"/>
      <c r="N944" s="15"/>
      <c r="Q944" s="13"/>
      <c r="R944" s="15"/>
      <c r="S944" s="15"/>
      <c r="T944" s="28"/>
      <c r="U944" s="13"/>
      <c r="V944" s="15"/>
      <c r="W944" s="153"/>
      <c r="Y944" s="13"/>
      <c r="Z944" s="2"/>
      <c r="AA944" s="154">
        <v>248.5</v>
      </c>
      <c r="AB944" s="28"/>
      <c r="AC944" s="348"/>
      <c r="AD944" s="15"/>
      <c r="AG944" s="15"/>
      <c r="AH944" s="2"/>
      <c r="AI944" s="45"/>
      <c r="AJ944" s="1"/>
      <c r="AK944" s="15"/>
      <c r="AM944" s="45"/>
      <c r="AO944" s="13"/>
      <c r="AQ944" s="180"/>
      <c r="AS944" s="13"/>
      <c r="AU944" s="45"/>
      <c r="AW944" s="13"/>
      <c r="AY944" s="45"/>
      <c r="AZ944" s="28"/>
      <c r="BA944" s="13"/>
      <c r="BB944" s="15"/>
      <c r="BC944" s="45"/>
      <c r="BD944" s="28"/>
      <c r="BE944" s="14"/>
      <c r="BF944" s="41">
        <f t="shared" ref="BF944:BG944" si="2812">K944+O944+S944+W944+AA944+AE944+AI944+AM944+AQ944+AU944+AY944+BC944</f>
        <v>248.5</v>
      </c>
      <c r="BG944" s="34">
        <f t="shared" si="2812"/>
        <v>0</v>
      </c>
      <c r="BH944" s="35">
        <f t="shared" ref="BH944:BH951" si="2813">H944+BF944-BG944</f>
        <v>248.5</v>
      </c>
      <c r="BK944" s="2" t="b">
        <f>H944='2021'!BH944</f>
        <v>1</v>
      </c>
    </row>
    <row r="945" ht="15.75" customHeight="1" spans="1:63" x14ac:dyDescent="0.25">
      <c r="A945" s="147">
        <v>102</v>
      </c>
      <c r="B945" s="14">
        <v>4.45</v>
      </c>
      <c r="C945" s="2" t="s">
        <v>331</v>
      </c>
      <c r="D945" s="14" t="s">
        <v>44</v>
      </c>
      <c r="E945" s="2" t="s">
        <v>45</v>
      </c>
      <c r="F945" s="41">
        <v>2.5</v>
      </c>
      <c r="G945" s="35">
        <v>2.6</v>
      </c>
      <c r="H945" s="34">
        <f>'2021'!BH945</f>
        <v>-2071.05</v>
      </c>
      <c r="I945" s="13">
        <v>4062</v>
      </c>
      <c r="J945" s="15">
        <f>I945-'2021'!BA945</f>
        <v>16</v>
      </c>
      <c r="K945" s="34">
        <f>J945*$F$8</f>
        <v>43.2</v>
      </c>
      <c r="L945" s="28"/>
      <c r="M945" s="13">
        <v>4062</v>
      </c>
      <c r="N945" s="15">
        <f t="shared" ref="N945:N946" si="2814">M945-I945</f>
        <v>0</v>
      </c>
      <c r="O945" s="34">
        <f>N945*$F$8</f>
        <v>0</v>
      </c>
      <c r="Q945" s="13">
        <v>4062</v>
      </c>
      <c r="R945" s="15">
        <f t="shared" ref="R945:R946" si="2815">Q945-M945</f>
        <v>0</v>
      </c>
      <c r="S945" s="34">
        <f>R945*$F$8</f>
        <v>0</v>
      </c>
      <c r="T945" s="28"/>
      <c r="U945" s="13">
        <v>4062</v>
      </c>
      <c r="V945" s="15">
        <f t="shared" ref="V945:V946" si="2816">U945-Q945</f>
        <v>0</v>
      </c>
      <c r="W945" s="34">
        <f>V945*$F$8</f>
        <v>0</v>
      </c>
      <c r="X945" s="15"/>
      <c r="Y945" s="13">
        <v>4425</v>
      </c>
      <c r="Z945" s="2">
        <f t="shared" ref="Z945:Z946" si="2817">Y945-U945</f>
        <v>363</v>
      </c>
      <c r="AA945" s="34">
        <f>Z945*$F$8</f>
        <v>980.1</v>
      </c>
      <c r="AB945" s="28"/>
      <c r="AC945" s="348">
        <v>4712</v>
      </c>
      <c r="AD945" s="15">
        <f t="shared" ref="AD945:AD946" si="2818">AC945-Y945</f>
        <v>287</v>
      </c>
      <c r="AE945" s="180">
        <f>AD945*$F$8</f>
        <v>774.9</v>
      </c>
      <c r="AG945" s="15">
        <v>5017</v>
      </c>
      <c r="AH945" s="2">
        <f>(AG945-AC945)*AH5</f>
        <v>322.08</v>
      </c>
      <c r="AI945" s="45">
        <f>AH945*$G$8</f>
        <v>792.3168</v>
      </c>
      <c r="AJ945" s="1"/>
      <c r="AK945" s="15">
        <v>5373</v>
      </c>
      <c r="AL945" s="15">
        <f>(AK945-AG945)*AL5</f>
        <v>365.968</v>
      </c>
      <c r="AM945" s="45">
        <f>AL945*$G$8</f>
        <v>900.28128</v>
      </c>
      <c r="AN945" s="15"/>
      <c r="AO945" s="13">
        <v>5537</v>
      </c>
      <c r="AP945" s="15">
        <f>(AO945-AK945)*AP5</f>
        <v>169.412</v>
      </c>
      <c r="AQ945" s="45">
        <f>AP945*$G$8</f>
        <v>416.75352</v>
      </c>
      <c r="AR945" s="39">
        <v>1215</v>
      </c>
      <c r="AS945" s="13">
        <v>5669</v>
      </c>
      <c r="AT945" s="15">
        <f>(AS945-AO945)*AT5</f>
        <v>138.6</v>
      </c>
      <c r="AU945" s="45">
        <f>AT945*$G$8</f>
        <v>340.956</v>
      </c>
      <c r="AV945" s="15"/>
      <c r="AW945" s="13"/>
      <c r="AX945" s="15">
        <f>(AW945-AS945)*AX5</f>
        <v>0</v>
      </c>
      <c r="AY945" s="45">
        <f>AX945*$G$8</f>
        <v>0</v>
      </c>
      <c r="AZ945" s="208"/>
      <c r="BA945" s="13"/>
      <c r="BB945" s="15"/>
      <c r="BC945" s="45">
        <f>BB945*$G$8</f>
        <v>0</v>
      </c>
      <c r="BD945" s="208"/>
      <c r="BE945" s="40">
        <f t="shared" ref="BE945:BG945" si="2819">J945+N945+R945+V945+Z945+AD945+AH945+AL945+AP945+AT945+AX945+BB945</f>
        <v>1662.06</v>
      </c>
      <c r="BF945" s="41">
        <f t="shared" si="2819"/>
        <v>4248.5076</v>
      </c>
      <c r="BG945" s="34">
        <f t="shared" si="2819"/>
        <v>1215</v>
      </c>
      <c r="BH945" s="35">
        <f t="shared" si="2813"/>
        <v>962.4576</v>
      </c>
      <c r="BK945" s="2" t="b">
        <f>H945='2021'!BH945</f>
        <v>1</v>
      </c>
    </row>
    <row r="946" ht="15.75" customHeight="1" spans="1:63" x14ac:dyDescent="0.25">
      <c r="A946" s="2">
        <v>102</v>
      </c>
      <c r="B946" s="14"/>
      <c r="C946" s="2" t="s">
        <v>313</v>
      </c>
      <c r="D946" s="14" t="s">
        <v>47</v>
      </c>
      <c r="E946" s="2" t="s">
        <v>48</v>
      </c>
      <c r="F946" s="13">
        <v>18.56</v>
      </c>
      <c r="G946" s="35">
        <v>19.46</v>
      </c>
      <c r="H946" s="34">
        <f>'2021'!BH946</f>
        <v>-134.05</v>
      </c>
      <c r="I946" s="13">
        <v>47</v>
      </c>
      <c r="J946" s="15"/>
      <c r="K946" s="15"/>
      <c r="L946" s="28"/>
      <c r="M946" s="13">
        <v>47</v>
      </c>
      <c r="N946" s="15">
        <f t="shared" si="2814"/>
        <v>0</v>
      </c>
      <c r="Q946" s="13">
        <v>47</v>
      </c>
      <c r="R946" s="15">
        <f t="shared" si="2815"/>
        <v>0</v>
      </c>
      <c r="S946" s="15"/>
      <c r="T946" s="28"/>
      <c r="U946" s="13">
        <v>47</v>
      </c>
      <c r="V946" s="15">
        <f t="shared" si="2816"/>
        <v>0</v>
      </c>
      <c r="W946" s="34">
        <f>V946*$F$10</f>
        <v>0</v>
      </c>
      <c r="Y946" s="13">
        <v>47</v>
      </c>
      <c r="Z946" s="2">
        <f t="shared" si="2817"/>
        <v>0</v>
      </c>
      <c r="AA946" s="34">
        <f>Z946*$F$10</f>
        <v>0</v>
      </c>
      <c r="AB946" s="28"/>
      <c r="AC946" s="348">
        <v>47</v>
      </c>
      <c r="AD946" s="15">
        <f t="shared" si="2818"/>
        <v>0</v>
      </c>
      <c r="AE946" s="34">
        <f>AD946*$F$10</f>
        <v>0</v>
      </c>
      <c r="AG946" s="15">
        <v>47</v>
      </c>
      <c r="AH946" s="2">
        <f>AG946-AC946</f>
        <v>0</v>
      </c>
      <c r="AI946" s="45">
        <f>AH946*$G$10</f>
        <v>0</v>
      </c>
      <c r="AJ946" s="1"/>
      <c r="AK946" s="15">
        <v>47</v>
      </c>
      <c r="AL946" s="15">
        <f>AK946-AG946</f>
        <v>0</v>
      </c>
      <c r="AM946" s="45">
        <f>AL946*$G$10</f>
        <v>0</v>
      </c>
      <c r="AN946" s="15"/>
      <c r="AO946" s="13">
        <v>47</v>
      </c>
      <c r="AP946" s="15">
        <f>AO946-AK946</f>
        <v>0</v>
      </c>
      <c r="AQ946" s="45">
        <f>AP946*$G$10</f>
        <v>0</v>
      </c>
      <c r="AR946" s="1"/>
      <c r="AS946" s="13">
        <v>47</v>
      </c>
      <c r="AT946" s="15">
        <f>AS946-AO946</f>
        <v>0</v>
      </c>
      <c r="AU946" s="45">
        <f>AT946*$G$10</f>
        <v>0</v>
      </c>
      <c r="AV946" s="15"/>
      <c r="AW946" s="13"/>
      <c r="AX946" s="15">
        <f>AW946-AS946</f>
        <v>-47</v>
      </c>
      <c r="AY946" s="45"/>
      <c r="AZ946" s="208"/>
      <c r="BA946" s="13"/>
      <c r="BB946" s="15"/>
      <c r="BC946" s="45"/>
      <c r="BD946" s="208"/>
      <c r="BE946" s="40">
        <f t="shared" ref="BE946:BG946" si="2820">J946+N946+R946+V946+Z946+AD946+AH946+AL946+AP946+AT946+AX946+BB946</f>
        <v>-47</v>
      </c>
      <c r="BF946" s="41">
        <f t="shared" si="2820"/>
        <v>0</v>
      </c>
      <c r="BG946" s="34">
        <f t="shared" si="2820"/>
        <v>0</v>
      </c>
      <c r="BH946" s="35">
        <f t="shared" si="2813"/>
        <v>-134.05</v>
      </c>
      <c r="BK946" s="2" t="b">
        <f>H946='2021'!BH946</f>
        <v>1</v>
      </c>
    </row>
    <row r="947" ht="15.75" customHeight="1" spans="1:63" x14ac:dyDescent="0.25">
      <c r="A947" s="2">
        <v>102</v>
      </c>
      <c r="B947" s="14"/>
      <c r="C947" s="2" t="s">
        <v>332</v>
      </c>
      <c r="D947" s="14" t="s">
        <v>47</v>
      </c>
      <c r="E947" s="2" t="s">
        <v>49</v>
      </c>
      <c r="F947" s="41">
        <v>500</v>
      </c>
      <c r="G947" s="28"/>
      <c r="H947" s="34">
        <f>'2021'!BH947</f>
        <v>0</v>
      </c>
      <c r="I947" s="13"/>
      <c r="J947" s="15"/>
      <c r="K947" s="15"/>
      <c r="L947" s="28"/>
      <c r="M947" s="13"/>
      <c r="N947" s="15"/>
      <c r="Q947" s="13"/>
      <c r="R947" s="15"/>
      <c r="S947" s="15"/>
      <c r="T947" s="28"/>
      <c r="U947" s="13"/>
      <c r="V947" s="15"/>
      <c r="Y947" s="13"/>
      <c r="Z947" s="2"/>
      <c r="AA947" s="15"/>
      <c r="AB947" s="28"/>
      <c r="AC947" s="348"/>
      <c r="AD947" s="15"/>
      <c r="AG947" s="15"/>
      <c r="AH947" s="2"/>
      <c r="AI947" s="45"/>
      <c r="AJ947" s="1"/>
      <c r="AK947" s="15"/>
      <c r="AL947" s="15"/>
      <c r="AM947" s="45"/>
      <c r="AN947" s="15"/>
      <c r="AO947" s="13"/>
      <c r="AP947" s="15"/>
      <c r="AQ947" s="45"/>
      <c r="AR947" s="1"/>
      <c r="AS947" s="13"/>
      <c r="AT947" s="15"/>
      <c r="AU947" s="45"/>
      <c r="AV947" s="15"/>
      <c r="AW947" s="13"/>
      <c r="AX947" s="15"/>
      <c r="AY947" s="45"/>
      <c r="AZ947" s="28"/>
      <c r="BA947" s="13"/>
      <c r="BB947" s="15"/>
      <c r="BC947" s="45"/>
      <c r="BD947" s="28"/>
      <c r="BE947" s="14"/>
      <c r="BF947" s="41">
        <f t="shared" ref="BF947:BG947" si="2821">K947+O947+S947+W947+AA947+AE947+AI947+AM947+AQ947+AU947+AY947+BC947</f>
        <v>0</v>
      </c>
      <c r="BG947" s="34">
        <f t="shared" si="2821"/>
        <v>0</v>
      </c>
      <c r="BH947" s="35">
        <f t="shared" si="2813"/>
        <v>0</v>
      </c>
      <c r="BK947" s="2" t="b">
        <f>H947='2021'!BH947</f>
        <v>1</v>
      </c>
    </row>
    <row r="948" ht="15.75" customHeight="1" spans="1:63" x14ac:dyDescent="0.25">
      <c r="A948" s="2">
        <v>102</v>
      </c>
      <c r="B948" s="14"/>
      <c r="C948" s="15" t="s">
        <v>452</v>
      </c>
      <c r="D948" s="14" t="s">
        <v>50</v>
      </c>
      <c r="E948" s="2" t="s">
        <v>49</v>
      </c>
      <c r="F948" s="41">
        <v>1100</v>
      </c>
      <c r="G948" s="28"/>
      <c r="H948" s="34">
        <f>'2021'!BH948</f>
        <v>0</v>
      </c>
      <c r="I948" s="13"/>
      <c r="J948" s="15"/>
      <c r="K948" s="15"/>
      <c r="L948" s="28"/>
      <c r="M948" s="13"/>
      <c r="N948" s="15"/>
      <c r="Q948" s="13"/>
      <c r="R948" s="15"/>
      <c r="S948" s="15"/>
      <c r="T948" s="28"/>
      <c r="U948" s="13"/>
      <c r="V948" s="15"/>
      <c r="Y948" s="13"/>
      <c r="Z948" s="2"/>
      <c r="AA948" s="15"/>
      <c r="AB948" s="28"/>
      <c r="AC948" s="348"/>
      <c r="AD948" s="15"/>
      <c r="AE948" s="34">
        <f>B945*$F$12</f>
        <v>5785</v>
      </c>
      <c r="AG948" s="15"/>
      <c r="AH948" s="2"/>
      <c r="AI948" s="45"/>
      <c r="AJ948" s="39"/>
      <c r="AK948" s="15"/>
      <c r="AL948" s="15"/>
      <c r="AM948" s="45"/>
      <c r="AN948" s="15"/>
      <c r="AO948" s="13"/>
      <c r="AP948" s="15"/>
      <c r="AQ948" s="45"/>
      <c r="AR948" s="39">
        <v>5785</v>
      </c>
      <c r="AS948" s="13"/>
      <c r="AT948" s="15"/>
      <c r="AU948" s="45"/>
      <c r="AV948" s="15"/>
      <c r="AW948" s="13"/>
      <c r="AX948" s="15"/>
      <c r="AY948" s="45"/>
      <c r="AZ948" s="28"/>
      <c r="BA948" s="13"/>
      <c r="BB948" s="15"/>
      <c r="BC948" s="45"/>
      <c r="BD948" s="28"/>
      <c r="BE948" s="14"/>
      <c r="BF948" s="41">
        <f t="shared" ref="BF948:BG948" si="2822">K948+O948+S948+W948+AA948+AE948+AI948+AM948+AQ948+AU948+AY948+BC948</f>
        <v>5785</v>
      </c>
      <c r="BG948" s="34">
        <f t="shared" si="2822"/>
        <v>5785</v>
      </c>
      <c r="BH948" s="35">
        <f t="shared" si="2813"/>
        <v>0</v>
      </c>
      <c r="BK948" s="2" t="b">
        <f>H948='2021'!BH948</f>
        <v>1</v>
      </c>
    </row>
    <row r="949" ht="15.75" customHeight="1" spans="1:63" x14ac:dyDescent="0.25">
      <c r="A949" s="2">
        <v>102</v>
      </c>
      <c r="B949" s="14"/>
      <c r="D949" s="14" t="s">
        <v>51</v>
      </c>
      <c r="E949" s="2" t="s">
        <v>39</v>
      </c>
      <c r="F949" s="41">
        <v>500</v>
      </c>
      <c r="G949" s="28"/>
      <c r="H949" s="34">
        <f>'2021'!BH949</f>
        <v>0</v>
      </c>
      <c r="I949" s="13"/>
      <c r="J949" s="15"/>
      <c r="K949" s="15"/>
      <c r="L949" s="28"/>
      <c r="M949" s="13"/>
      <c r="N949" s="15"/>
      <c r="Q949" s="13"/>
      <c r="R949" s="15"/>
      <c r="S949" s="15"/>
      <c r="T949" s="28"/>
      <c r="U949" s="13"/>
      <c r="V949" s="15"/>
      <c r="Y949" s="13"/>
      <c r="Z949" s="2"/>
      <c r="AA949" s="15"/>
      <c r="AB949" s="28"/>
      <c r="AC949" s="348"/>
      <c r="AD949" s="15"/>
      <c r="AE949" s="180">
        <f>$F$13</f>
        <v>1000</v>
      </c>
      <c r="AG949" s="15"/>
      <c r="AH949" s="2"/>
      <c r="AI949" s="45"/>
      <c r="AJ949" s="1"/>
      <c r="AK949" s="15"/>
      <c r="AL949" s="15"/>
      <c r="AM949" s="45"/>
      <c r="AN949" s="15"/>
      <c r="AO949" s="13"/>
      <c r="AP949" s="15"/>
      <c r="AQ949" s="180"/>
      <c r="AR949" s="1">
        <v>1000</v>
      </c>
      <c r="AS949" s="13"/>
      <c r="AT949" s="15"/>
      <c r="AU949" s="45"/>
      <c r="AV949" s="15"/>
      <c r="AW949" s="13"/>
      <c r="AX949" s="15"/>
      <c r="AY949" s="45"/>
      <c r="AZ949" s="28"/>
      <c r="BA949" s="13"/>
      <c r="BB949" s="15"/>
      <c r="BC949" s="45"/>
      <c r="BD949" s="28"/>
      <c r="BE949" s="14"/>
      <c r="BF949" s="41">
        <f t="shared" ref="BF949:BG949" si="2823">K949+O949+S949+W949+AA949+AE949+AI949+AM949+AQ949+AU949+AY949+BC949</f>
        <v>1000</v>
      </c>
      <c r="BG949" s="34">
        <f t="shared" si="2823"/>
        <v>1000</v>
      </c>
      <c r="BH949" s="35">
        <f t="shared" si="2813"/>
        <v>0</v>
      </c>
      <c r="BK949" s="2" t="b">
        <f>H949='2021'!BH949</f>
        <v>1</v>
      </c>
    </row>
    <row r="950" ht="15.75" customHeight="1" spans="1:63" x14ac:dyDescent="0.25">
      <c r="A950" s="2">
        <v>102</v>
      </c>
      <c r="B950" s="14"/>
      <c r="D950" s="14" t="s">
        <v>51</v>
      </c>
      <c r="E950" s="2" t="s">
        <v>49</v>
      </c>
      <c r="F950" s="41">
        <v>500</v>
      </c>
      <c r="G950" s="28"/>
      <c r="H950" s="34">
        <f>'2021'!BH950</f>
        <v>0</v>
      </c>
      <c r="I950" s="13"/>
      <c r="J950" s="15"/>
      <c r="K950" s="15"/>
      <c r="L950" s="28"/>
      <c r="M950" s="13"/>
      <c r="N950" s="15"/>
      <c r="Q950" s="13"/>
      <c r="R950" s="15"/>
      <c r="S950" s="15"/>
      <c r="T950" s="28"/>
      <c r="U950" s="13"/>
      <c r="V950" s="15"/>
      <c r="Y950" s="13"/>
      <c r="Z950" s="2"/>
      <c r="AA950" s="15"/>
      <c r="AB950" s="28"/>
      <c r="AC950" s="348"/>
      <c r="AD950" s="15"/>
      <c r="AE950" s="34"/>
      <c r="AG950" s="15"/>
      <c r="AH950" s="2"/>
      <c r="AI950" s="45"/>
      <c r="AJ950" s="1"/>
      <c r="AK950" s="15"/>
      <c r="AL950" s="15"/>
      <c r="AM950" s="45"/>
      <c r="AN950" s="15"/>
      <c r="AO950" s="13"/>
      <c r="AP950" s="15"/>
      <c r="AQ950" s="180">
        <f>B945*$F$14</f>
        <v>0</v>
      </c>
      <c r="AR950" s="15"/>
      <c r="AS950" s="13"/>
      <c r="AT950" s="15"/>
      <c r="AU950" s="45"/>
      <c r="AV950" s="15"/>
      <c r="AW950" s="13"/>
      <c r="AX950" s="15"/>
      <c r="AY950" s="45"/>
      <c r="AZ950" s="28"/>
      <c r="BA950" s="13"/>
      <c r="BB950" s="15"/>
      <c r="BC950" s="45"/>
      <c r="BD950" s="28"/>
      <c r="BE950" s="14"/>
      <c r="BF950" s="41">
        <f t="shared" ref="BF950:BG950" si="2824">K950+O950+S950+W950+AA950+AE950+AI950+AM950+AQ950+AU950+AY950+BC950</f>
        <v>0</v>
      </c>
      <c r="BG950" s="34">
        <f t="shared" si="2824"/>
        <v>0</v>
      </c>
      <c r="BH950" s="35">
        <f t="shared" si="2813"/>
        <v>0</v>
      </c>
      <c r="BK950" s="2" t="b">
        <f>H950='2021'!BH950</f>
        <v>1</v>
      </c>
    </row>
    <row r="951" ht="15.75" customHeight="1" spans="1:63" x14ac:dyDescent="0.25">
      <c r="A951" s="2">
        <v>102</v>
      </c>
      <c r="B951" s="14"/>
      <c r="D951" s="14" t="s">
        <v>52</v>
      </c>
      <c r="E951" s="2" t="s">
        <v>39</v>
      </c>
      <c r="F951" s="41">
        <v>500</v>
      </c>
      <c r="G951" s="28"/>
      <c r="H951" s="34">
        <f>'2021'!BH951</f>
        <v>0</v>
      </c>
      <c r="I951" s="13"/>
      <c r="J951" s="15"/>
      <c r="K951" s="15"/>
      <c r="L951" s="28"/>
      <c r="M951" s="13"/>
      <c r="N951" s="15"/>
      <c r="Q951" s="13"/>
      <c r="R951" s="15"/>
      <c r="S951" s="15"/>
      <c r="T951" s="28"/>
      <c r="U951" s="13"/>
      <c r="V951" s="15"/>
      <c r="Y951" s="13"/>
      <c r="Z951" s="2"/>
      <c r="AA951" s="84"/>
      <c r="AB951" s="28"/>
      <c r="AC951" s="348"/>
      <c r="AD951" s="15"/>
      <c r="AG951" s="15"/>
      <c r="AH951" s="2"/>
      <c r="AI951" s="45"/>
      <c r="AJ951" s="15"/>
      <c r="AK951" s="15"/>
      <c r="AL951" s="15"/>
      <c r="AM951" s="45"/>
      <c r="AN951" s="15"/>
      <c r="AO951" s="13"/>
      <c r="AP951" s="15"/>
      <c r="AQ951" s="45"/>
      <c r="AR951" s="15"/>
      <c r="AS951" s="13"/>
      <c r="AT951" s="15"/>
      <c r="AU951" s="45"/>
      <c r="AV951" s="15"/>
      <c r="AW951" s="13"/>
      <c r="AX951" s="15"/>
      <c r="AY951" s="45"/>
      <c r="AZ951" s="35"/>
      <c r="BA951" s="13"/>
      <c r="BB951" s="15"/>
      <c r="BC951" s="45"/>
      <c r="BD951" s="35"/>
      <c r="BE951" s="14"/>
      <c r="BF951" s="41">
        <f t="shared" ref="BF951:BG951" si="2825">K951+O951+S951+W951+AA951+AE951+AI951+AM951+AQ951+AU951+AY951+BC951</f>
        <v>0</v>
      </c>
      <c r="BG951" s="34">
        <f t="shared" si="2825"/>
        <v>0</v>
      </c>
      <c r="BH951" s="35">
        <f t="shared" si="2813"/>
        <v>0</v>
      </c>
      <c r="BK951" s="2" t="b">
        <f>H951='2021'!BH951</f>
        <v>1</v>
      </c>
    </row>
    <row r="952" ht="15.75" customHeight="1" spans="1:63" x14ac:dyDescent="0.25">
      <c r="A952" s="247">
        <v>102</v>
      </c>
      <c r="B952" s="21"/>
      <c r="C952" s="22" t="s">
        <v>53</v>
      </c>
      <c r="D952" s="21"/>
      <c r="E952" s="22"/>
      <c r="F952" s="20"/>
      <c r="G952" s="23"/>
      <c r="H952" s="51">
        <f>SUM(H944:H951)</f>
        <v>-2205.1</v>
      </c>
      <c r="I952" s="52"/>
      <c r="J952" s="53"/>
      <c r="K952" s="51">
        <f t="shared" ref="K952:L952" si="2826">SUM(K944:K951)</f>
        <v>43.2</v>
      </c>
      <c r="L952" s="68">
        <f t="shared" si="2826"/>
        <v>0</v>
      </c>
      <c r="M952" s="52"/>
      <c r="N952" s="53"/>
      <c r="O952" s="51">
        <f t="shared" ref="O952:P952" si="2827">SUM(O944:O951)</f>
        <v>0</v>
      </c>
      <c r="P952" s="51">
        <f t="shared" si="2827"/>
        <v>0</v>
      </c>
      <c r="Q952" s="52"/>
      <c r="R952" s="53"/>
      <c r="S952" s="51">
        <f t="shared" ref="S952:T952" si="2828">SUM(S944:S951)</f>
        <v>0</v>
      </c>
      <c r="T952" s="51">
        <f t="shared" si="2828"/>
        <v>0</v>
      </c>
      <c r="U952" s="52"/>
      <c r="V952" s="53"/>
      <c r="W952" s="51">
        <f t="shared" ref="W952:X952" si="2829">SUM(W944:W951)</f>
        <v>0</v>
      </c>
      <c r="X952" s="51">
        <f t="shared" si="2829"/>
        <v>0</v>
      </c>
      <c r="Y952" s="52"/>
      <c r="Z952" s="301"/>
      <c r="AA952" s="51">
        <f t="shared" ref="AA952:AB952" si="2830">SUM(AA944:AA951)</f>
        <v>1228.6</v>
      </c>
      <c r="AB952" s="51">
        <f t="shared" si="2830"/>
        <v>0</v>
      </c>
      <c r="AC952" s="367"/>
      <c r="AD952" s="53"/>
      <c r="AE952" s="51">
        <f t="shared" ref="AE952:AF952" si="2831">SUM(AE944:AE951)</f>
        <v>7559.9</v>
      </c>
      <c r="AF952" s="51">
        <f t="shared" si="2831"/>
        <v>0</v>
      </c>
      <c r="AG952" s="52"/>
      <c r="AH952" s="301"/>
      <c r="AI952" s="183">
        <f t="shared" ref="AI952:AJ952" si="2832">SUM(AI944:AI951)</f>
        <v>792.3168</v>
      </c>
      <c r="AJ952" s="51">
        <f t="shared" si="2832"/>
        <v>0</v>
      </c>
      <c r="AK952" s="52"/>
      <c r="AL952" s="53"/>
      <c r="AM952" s="183">
        <f t="shared" ref="AM952:AN952" si="2833">SUM(AM944:AM951)</f>
        <v>900.28128</v>
      </c>
      <c r="AN952" s="51">
        <f t="shared" si="2833"/>
        <v>0</v>
      </c>
      <c r="AO952" s="52"/>
      <c r="AP952" s="53"/>
      <c r="AQ952" s="183">
        <f t="shared" ref="AQ952:AR952" si="2834">SUM(AQ944:AQ951)</f>
        <v>416.75352</v>
      </c>
      <c r="AR952" s="51">
        <f t="shared" si="2834"/>
        <v>8000</v>
      </c>
      <c r="AS952" s="52"/>
      <c r="AT952" s="53"/>
      <c r="AU952" s="183">
        <f t="shared" ref="AU952:AV952" si="2835">SUM(AU944:AU951)</f>
        <v>340.956</v>
      </c>
      <c r="AV952" s="68">
        <f t="shared" si="2835"/>
        <v>0</v>
      </c>
      <c r="AW952" s="52"/>
      <c r="AX952" s="53"/>
      <c r="AY952" s="183">
        <f t="shared" ref="AY952:AZ952" si="2836">SUM(AY944:AY951)</f>
        <v>0</v>
      </c>
      <c r="AZ952" s="68">
        <f t="shared" si="2836"/>
        <v>0</v>
      </c>
      <c r="BA952" s="52"/>
      <c r="BB952" s="53"/>
      <c r="BC952" s="183">
        <f t="shared" ref="BC952:BD952" si="2837">SUM(BC944:BC951)</f>
        <v>0</v>
      </c>
      <c r="BD952" s="68">
        <f t="shared" si="2837"/>
        <v>0</v>
      </c>
      <c r="BE952" s="69"/>
      <c r="BF952" s="70">
        <f t="shared" ref="BF952:BH952" si="2838">SUM(BF944:BF951)</f>
        <v>11282.0076</v>
      </c>
      <c r="BG952" s="71">
        <f t="shared" si="2838"/>
        <v>8000</v>
      </c>
      <c r="BH952" s="72">
        <f t="shared" si="2838"/>
        <v>1076.9076</v>
      </c>
      <c r="BI952" s="34">
        <f>H952+BF952-BG952</f>
        <v>1076.9076</v>
      </c>
      <c r="BJ952" s="34">
        <f>BH952-BI952</f>
        <v>0</v>
      </c>
      <c r="BK952" s="2" t="b">
        <f>H952='2021'!BH952</f>
        <v>1</v>
      </c>
    </row>
    <row r="953" ht="15.75" customHeight="1" spans="1:63" x14ac:dyDescent="0.25">
      <c r="A953" s="2">
        <v>104</v>
      </c>
      <c r="B953" s="14"/>
      <c r="D953" s="14" t="s">
        <v>379</v>
      </c>
      <c r="F953" s="13"/>
      <c r="G953" s="28"/>
      <c r="H953" s="34">
        <f>'2021'!BH953</f>
        <v>0</v>
      </c>
      <c r="I953" s="13"/>
      <c r="J953" s="15"/>
      <c r="K953" s="15"/>
      <c r="L953" s="28"/>
      <c r="M953" s="13"/>
      <c r="N953" s="15"/>
      <c r="Q953" s="13"/>
      <c r="R953" s="15"/>
      <c r="S953" s="15"/>
      <c r="T953" s="28"/>
      <c r="U953" s="13"/>
      <c r="V953" s="15"/>
      <c r="Y953" s="13"/>
      <c r="Z953" s="2"/>
      <c r="AA953" s="15"/>
      <c r="AB953" s="28"/>
      <c r="AC953" s="348"/>
      <c r="AD953" s="15"/>
      <c r="AG953" s="15"/>
      <c r="AH953" s="2"/>
      <c r="AI953" s="45"/>
      <c r="AJ953" s="15"/>
      <c r="AK953" s="15"/>
      <c r="AM953" s="45"/>
      <c r="AO953" s="13"/>
      <c r="AQ953" s="45"/>
      <c r="AS953" s="13"/>
      <c r="AU953" s="45"/>
      <c r="AW953" s="13"/>
      <c r="AY953" s="45"/>
      <c r="AZ953" s="28"/>
      <c r="BA953" s="13"/>
      <c r="BB953" s="15"/>
      <c r="BC953" s="45"/>
      <c r="BD953" s="28"/>
      <c r="BE953" s="14"/>
      <c r="BF953" s="41">
        <f t="shared" ref="BF953:BG953" si="2839">K953+O953+S953+W953+AA953+AE953+AI953+AM953+AQ953+AU953+AY953+BC953</f>
        <v>0</v>
      </c>
      <c r="BG953" s="34">
        <f t="shared" si="2839"/>
        <v>0</v>
      </c>
      <c r="BH953" s="35">
        <f t="shared" ref="BH953:BH960" si="2840">H953+BF953-BG953</f>
        <v>0</v>
      </c>
      <c r="BK953" s="2" t="b">
        <f>H953='2021'!BH953</f>
        <v>1</v>
      </c>
    </row>
    <row r="954" ht="15.75" customHeight="1" spans="1:63" x14ac:dyDescent="0.25">
      <c r="A954" s="2">
        <v>104</v>
      </c>
      <c r="B954" s="14">
        <v>4.42</v>
      </c>
      <c r="C954" s="2" t="s">
        <v>333</v>
      </c>
      <c r="D954" s="14" t="s">
        <v>44</v>
      </c>
      <c r="E954" s="2" t="s">
        <v>45</v>
      </c>
      <c r="F954" s="41">
        <v>2.5</v>
      </c>
      <c r="G954" s="35">
        <v>2.6</v>
      </c>
      <c r="H954" s="34">
        <f>'2021'!BH954</f>
        <v>-81.4</v>
      </c>
      <c r="I954" s="13">
        <v>1196</v>
      </c>
      <c r="J954" s="15">
        <f>I954-'2021'!BA954</f>
        <v>0</v>
      </c>
      <c r="K954" s="34">
        <f>J954*$F$8</f>
        <v>0</v>
      </c>
      <c r="L954" s="28"/>
      <c r="M954" s="13">
        <v>1196</v>
      </c>
      <c r="N954" s="15">
        <f t="shared" ref="N954:N955" si="2841">M954-I954</f>
        <v>0</v>
      </c>
      <c r="O954" s="34">
        <f>N954*$F$8</f>
        <v>0</v>
      </c>
      <c r="Q954" s="13">
        <v>1196</v>
      </c>
      <c r="R954" s="15">
        <f t="shared" ref="R954:R955" si="2842">Q954-M954</f>
        <v>0</v>
      </c>
      <c r="S954" s="34">
        <f>R954*$F$8</f>
        <v>0</v>
      </c>
      <c r="T954" s="28"/>
      <c r="U954" s="13">
        <v>1196</v>
      </c>
      <c r="V954" s="15">
        <f t="shared" ref="V954:V955" si="2843">U954-Q954</f>
        <v>0</v>
      </c>
      <c r="W954" s="34">
        <f>V954*$F$8</f>
        <v>0</v>
      </c>
      <c r="X954" s="15"/>
      <c r="Y954" s="13">
        <v>1217</v>
      </c>
      <c r="Z954" s="2">
        <f t="shared" ref="Z954:Z955" si="2844">Y954-U954</f>
        <v>21</v>
      </c>
      <c r="AA954" s="34">
        <f>Z954*$F$8</f>
        <v>56.7</v>
      </c>
      <c r="AB954" s="28"/>
      <c r="AC954" s="348">
        <v>1224</v>
      </c>
      <c r="AD954" s="15">
        <f t="shared" ref="AD954:AD955" si="2845">AC954-Y954</f>
        <v>7</v>
      </c>
      <c r="AE954" s="180">
        <f>AD954*$F$8</f>
        <v>18.9</v>
      </c>
      <c r="AF954" s="182"/>
      <c r="AG954" s="15">
        <v>1227</v>
      </c>
      <c r="AH954" s="2">
        <f>(AG954-AC954)*AH5</f>
        <v>3.168</v>
      </c>
      <c r="AI954" s="45">
        <f>AH954*$G$8</f>
        <v>7.79328</v>
      </c>
      <c r="AJ954" s="182"/>
      <c r="AK954" s="15">
        <v>1235</v>
      </c>
      <c r="AL954" s="15">
        <f>(AK954-AG954)*AL5</f>
        <v>8.224</v>
      </c>
      <c r="AM954" s="45">
        <f>AL954*$G$8</f>
        <v>20.23104</v>
      </c>
      <c r="AN954" s="15"/>
      <c r="AO954" s="13">
        <v>1239</v>
      </c>
      <c r="AP954" s="15">
        <f>(AO954-AK954)*AP5</f>
        <v>4.132</v>
      </c>
      <c r="AQ954" s="45">
        <f>AP954*$G$8</f>
        <v>10.16472</v>
      </c>
      <c r="AR954" s="154">
        <v>38.21</v>
      </c>
      <c r="AS954" s="13">
        <v>1249</v>
      </c>
      <c r="AT954" s="15">
        <f>(AS954-AO954)*AT5</f>
        <v>10.5</v>
      </c>
      <c r="AU954" s="45">
        <f>AT954*$G$8</f>
        <v>25.83</v>
      </c>
      <c r="AV954" s="1"/>
      <c r="AW954" s="13"/>
      <c r="AX954" s="15">
        <f>(AW954-AS954)*AX5</f>
        <v>0</v>
      </c>
      <c r="AY954" s="45">
        <f>AX954*$G$8</f>
        <v>0</v>
      </c>
      <c r="AZ954" s="208"/>
      <c r="BA954" s="13"/>
      <c r="BB954" s="15"/>
      <c r="BC954" s="45">
        <f>BB954*$G$8</f>
        <v>0</v>
      </c>
      <c r="BD954" s="208"/>
      <c r="BE954" s="40">
        <f t="shared" ref="BE954:BG954" si="2846">J954+N954+R954+V954+Z954+AD954+AH954+AL954+AP954+AT954+AX954+BB954</f>
        <v>54.024</v>
      </c>
      <c r="BF954" s="41">
        <f t="shared" si="2846"/>
        <v>139.61904</v>
      </c>
      <c r="BG954" s="34">
        <f t="shared" si="2846"/>
        <v>38.21</v>
      </c>
      <c r="BH954" s="35">
        <f t="shared" si="2840"/>
        <v>20.00904</v>
      </c>
      <c r="BK954" s="2" t="b">
        <f>H954='2021'!BH954</f>
        <v>1</v>
      </c>
    </row>
    <row r="955" ht="15.75" customHeight="1" spans="1:63" x14ac:dyDescent="0.25">
      <c r="A955" s="2">
        <v>104</v>
      </c>
      <c r="B955" s="14"/>
      <c r="C955" s="2" t="s">
        <v>163</v>
      </c>
      <c r="D955" s="14" t="s">
        <v>47</v>
      </c>
      <c r="E955" s="2" t="s">
        <v>48</v>
      </c>
      <c r="F955" s="13">
        <v>18.56</v>
      </c>
      <c r="G955" s="35">
        <v>19.46</v>
      </c>
      <c r="H955" s="34">
        <f>'2021'!BH955</f>
        <v>0</v>
      </c>
      <c r="I955" s="13">
        <v>260</v>
      </c>
      <c r="J955" s="15"/>
      <c r="K955" s="15"/>
      <c r="L955" s="28"/>
      <c r="M955" s="13">
        <v>260</v>
      </c>
      <c r="N955" s="15">
        <f t="shared" si="2841"/>
        <v>0</v>
      </c>
      <c r="Q955" s="13">
        <v>260</v>
      </c>
      <c r="R955" s="15">
        <f t="shared" si="2842"/>
        <v>0</v>
      </c>
      <c r="S955" s="15"/>
      <c r="T955" s="28"/>
      <c r="U955" s="13">
        <v>260</v>
      </c>
      <c r="V955" s="15">
        <f t="shared" si="2843"/>
        <v>0</v>
      </c>
      <c r="W955" s="180">
        <f>V955*$F$10</f>
        <v>0</v>
      </c>
      <c r="Y955" s="13">
        <v>264</v>
      </c>
      <c r="Z955" s="2">
        <f t="shared" si="2844"/>
        <v>4</v>
      </c>
      <c r="AA955" s="34">
        <f>Z955*$F$10</f>
        <v>81.4</v>
      </c>
      <c r="AB955" s="28"/>
      <c r="AC955" s="348">
        <v>279</v>
      </c>
      <c r="AD955" s="15">
        <f t="shared" si="2845"/>
        <v>15</v>
      </c>
      <c r="AE955" s="34">
        <f>AD955*$F$10</f>
        <v>305.25</v>
      </c>
      <c r="AF955" s="326">
        <v>81.4</v>
      </c>
      <c r="AG955" s="15">
        <v>289</v>
      </c>
      <c r="AH955" s="2">
        <f>AG955-AC955</f>
        <v>10</v>
      </c>
      <c r="AI955" s="45">
        <f>AH955*$G$10</f>
        <v>214</v>
      </c>
      <c r="AJ955" s="182">
        <v>305.25</v>
      </c>
      <c r="AK955" s="15">
        <v>293</v>
      </c>
      <c r="AL955" s="15">
        <f>AK955-AG955</f>
        <v>4</v>
      </c>
      <c r="AM955" s="45">
        <f>AL955*$G$10</f>
        <v>85.6</v>
      </c>
      <c r="AN955" s="15"/>
      <c r="AO955" s="13">
        <v>294</v>
      </c>
      <c r="AP955" s="15">
        <f>AO955-AK955</f>
        <v>1</v>
      </c>
      <c r="AQ955" s="45">
        <f>AP955*$G$10</f>
        <v>21.4</v>
      </c>
      <c r="AR955" s="154">
        <v>321</v>
      </c>
      <c r="AS955" s="13">
        <v>294</v>
      </c>
      <c r="AT955" s="15">
        <f>AS955-AO955</f>
        <v>0</v>
      </c>
      <c r="AU955" s="45">
        <f>AT955*$G$10</f>
        <v>0</v>
      </c>
      <c r="AV955" s="15"/>
      <c r="AW955" s="13"/>
      <c r="AX955" s="15">
        <f>AW955-AS955</f>
        <v>-294</v>
      </c>
      <c r="AY955" s="45"/>
      <c r="AZ955" s="208"/>
      <c r="BA955" s="13"/>
      <c r="BB955" s="15"/>
      <c r="BC955" s="45"/>
      <c r="BD955" s="208"/>
      <c r="BE955" s="40">
        <f t="shared" ref="BE955:BG955" si="2847">J955+N955+R955+V955+Z955+AD955+AH955+AL955+AP955+AT955+AX955+BB955</f>
        <v>-260</v>
      </c>
      <c r="BF955" s="41">
        <f t="shared" si="2847"/>
        <v>707.65</v>
      </c>
      <c r="BG955" s="34">
        <f t="shared" si="2847"/>
        <v>707.65</v>
      </c>
      <c r="BH955" s="35">
        <f t="shared" si="2840"/>
        <v>0</v>
      </c>
      <c r="BK955" s="2" t="b">
        <f>H955='2021'!BH955</f>
        <v>1</v>
      </c>
    </row>
    <row r="956" ht="15.75" customHeight="1" spans="1:63" x14ac:dyDescent="0.25">
      <c r="A956" s="2">
        <v>104</v>
      </c>
      <c r="B956" s="14"/>
      <c r="C956" s="15" t="s">
        <v>334</v>
      </c>
      <c r="D956" s="14" t="s">
        <v>47</v>
      </c>
      <c r="E956" s="2" t="s">
        <v>49</v>
      </c>
      <c r="F956" s="41">
        <v>500</v>
      </c>
      <c r="G956" s="28"/>
      <c r="H956" s="34">
        <f>'2021'!BH956</f>
        <v>0</v>
      </c>
      <c r="I956" s="13"/>
      <c r="J956" s="15"/>
      <c r="K956" s="15"/>
      <c r="L956" s="28"/>
      <c r="M956" s="13"/>
      <c r="N956" s="15"/>
      <c r="Q956" s="13"/>
      <c r="R956" s="15"/>
      <c r="S956" s="15"/>
      <c r="T956" s="28"/>
      <c r="U956" s="13"/>
      <c r="V956" s="15"/>
      <c r="Y956" s="13"/>
      <c r="Z956" s="2"/>
      <c r="AA956" s="15"/>
      <c r="AB956" s="28"/>
      <c r="AC956" s="348"/>
      <c r="AD956" s="15"/>
      <c r="AF956" s="154"/>
      <c r="AG956" s="15"/>
      <c r="AH956" s="2"/>
      <c r="AI956" s="45"/>
      <c r="AJ956" s="15"/>
      <c r="AK956" s="15"/>
      <c r="AL956" s="15"/>
      <c r="AM956" s="45"/>
      <c r="AN956" s="15"/>
      <c r="AO956" s="13"/>
      <c r="AP956" s="15"/>
      <c r="AQ956" s="45"/>
      <c r="AR956" s="15"/>
      <c r="AS956" s="13"/>
      <c r="AT956" s="15"/>
      <c r="AU956" s="45"/>
      <c r="AV956" s="15"/>
      <c r="AW956" s="13"/>
      <c r="AX956" s="15"/>
      <c r="AY956" s="45"/>
      <c r="AZ956" s="32"/>
      <c r="BA956" s="13"/>
      <c r="BB956" s="15"/>
      <c r="BC956" s="45"/>
      <c r="BD956" s="28"/>
      <c r="BE956" s="14"/>
      <c r="BF956" s="41">
        <f t="shared" ref="BF956:BG956" si="2848">K956+O956+S956+W956+AA956+AE956+AI956+AM956+AQ956+AU956+AY956+BC956</f>
        <v>0</v>
      </c>
      <c r="BG956" s="34">
        <f t="shared" si="2848"/>
        <v>0</v>
      </c>
      <c r="BH956" s="35">
        <f t="shared" si="2840"/>
        <v>0</v>
      </c>
      <c r="BK956" s="2" t="b">
        <f>H956='2021'!BH956</f>
        <v>1</v>
      </c>
    </row>
    <row r="957" ht="15.75" customHeight="1" spans="1:63" x14ac:dyDescent="0.25">
      <c r="A957" s="2">
        <v>104</v>
      </c>
      <c r="B957" s="14"/>
      <c r="C957" s="2" t="s">
        <v>90</v>
      </c>
      <c r="D957" s="14" t="s">
        <v>50</v>
      </c>
      <c r="E957" s="2" t="s">
        <v>49</v>
      </c>
      <c r="F957" s="41">
        <v>1100</v>
      </c>
      <c r="G957" s="28"/>
      <c r="H957" s="34">
        <f>'2021'!BH957</f>
        <v>0</v>
      </c>
      <c r="I957" s="13"/>
      <c r="J957" s="15"/>
      <c r="K957" s="15"/>
      <c r="L957" s="28"/>
      <c r="M957" s="13"/>
      <c r="N957" s="15"/>
      <c r="Q957" s="13"/>
      <c r="R957" s="15"/>
      <c r="S957" s="15"/>
      <c r="T957" s="28"/>
      <c r="U957" s="13"/>
      <c r="V957" s="15"/>
      <c r="Y957" s="13"/>
      <c r="Z957" s="2"/>
      <c r="AA957" s="15"/>
      <c r="AB957" s="28"/>
      <c r="AC957" s="348"/>
      <c r="AD957" s="15"/>
      <c r="AE957" s="34">
        <f>B954*$F$12</f>
        <v>5746</v>
      </c>
      <c r="AF957" s="326">
        <v>4000</v>
      </c>
      <c r="AG957" s="15"/>
      <c r="AH957" s="2"/>
      <c r="AI957" s="45"/>
      <c r="AJ957" s="2">
        <v>1746</v>
      </c>
      <c r="AK957" s="15"/>
      <c r="AL957" s="15"/>
      <c r="AM957" s="45"/>
      <c r="AN957" s="15"/>
      <c r="AO957" s="13"/>
      <c r="AP957" s="15"/>
      <c r="AQ957" s="45"/>
      <c r="AR957" s="15"/>
      <c r="AS957" s="13"/>
      <c r="AT957" s="15"/>
      <c r="AU957" s="45"/>
      <c r="AV957" s="15"/>
      <c r="AW957" s="13"/>
      <c r="AX957" s="15"/>
      <c r="AY957" s="45"/>
      <c r="AZ957" s="32"/>
      <c r="BA957" s="13"/>
      <c r="BB957" s="15"/>
      <c r="BC957" s="45"/>
      <c r="BD957" s="28"/>
      <c r="BE957" s="14"/>
      <c r="BF957" s="41">
        <f t="shared" ref="BF957:BG957" si="2849">K957+O957+S957+W957+AA957+AE957+AI957+AM957+AQ957+AU957+AY957+BC957</f>
        <v>5746</v>
      </c>
      <c r="BG957" s="34">
        <f t="shared" si="2849"/>
        <v>5746</v>
      </c>
      <c r="BH957" s="35">
        <f t="shared" si="2840"/>
        <v>0</v>
      </c>
      <c r="BK957" s="2" t="b">
        <f>H957='2021'!BH957</f>
        <v>1</v>
      </c>
    </row>
    <row r="958" ht="15.75" customHeight="1" spans="1:63" x14ac:dyDescent="0.25">
      <c r="A958" s="2">
        <v>104</v>
      </c>
      <c r="B958" s="14"/>
      <c r="C958" s="2" t="s">
        <v>335</v>
      </c>
      <c r="D958" s="14" t="s">
        <v>51</v>
      </c>
      <c r="E958" s="2" t="s">
        <v>39</v>
      </c>
      <c r="F958" s="41">
        <v>500</v>
      </c>
      <c r="G958" s="28"/>
      <c r="H958" s="34">
        <f>'2021'!BH958</f>
        <v>0</v>
      </c>
      <c r="I958" s="13"/>
      <c r="J958" s="15"/>
      <c r="K958" s="15"/>
      <c r="L958" s="28"/>
      <c r="M958" s="13"/>
      <c r="N958" s="15"/>
      <c r="Q958" s="13"/>
      <c r="R958" s="15"/>
      <c r="S958" s="15"/>
      <c r="T958" s="28"/>
      <c r="U958" s="13"/>
      <c r="V958" s="15"/>
      <c r="Y958" s="13"/>
      <c r="Z958" s="2"/>
      <c r="AA958" s="15"/>
      <c r="AB958" s="28"/>
      <c r="AC958" s="348"/>
      <c r="AD958" s="15"/>
      <c r="AE958" s="180">
        <f>$F$13</f>
        <v>1000</v>
      </c>
      <c r="AF958" s="306">
        <v>1000</v>
      </c>
      <c r="AG958" s="15"/>
      <c r="AH958" s="2"/>
      <c r="AI958" s="45"/>
      <c r="AJ958" s="180"/>
      <c r="AK958" s="15"/>
      <c r="AL958" s="15"/>
      <c r="AM958" s="45"/>
      <c r="AN958" s="15"/>
      <c r="AO958" s="13"/>
      <c r="AP958" s="15"/>
      <c r="AQ958" s="180"/>
      <c r="AR958" s="15"/>
      <c r="AS958" s="13"/>
      <c r="AT958" s="15"/>
      <c r="AU958" s="45"/>
      <c r="AV958" s="15"/>
      <c r="AW958" s="13"/>
      <c r="AX958" s="15"/>
      <c r="AY958" s="45"/>
      <c r="AZ958" s="35"/>
      <c r="BA958" s="13"/>
      <c r="BB958" s="15"/>
      <c r="BC958" s="45"/>
      <c r="BD958" s="28"/>
      <c r="BE958" s="14"/>
      <c r="BF958" s="41">
        <f t="shared" ref="BF958:BG958" si="2850">K958+O958+S958+W958+AA958+AE958+AI958+AM958+AQ958+AU958+AY958+BC958</f>
        <v>1000</v>
      </c>
      <c r="BG958" s="34">
        <f t="shared" si="2850"/>
        <v>1000</v>
      </c>
      <c r="BH958" s="35">
        <f t="shared" si="2840"/>
        <v>0</v>
      </c>
      <c r="BK958" s="2" t="b">
        <f>H958='2021'!BH958</f>
        <v>1</v>
      </c>
    </row>
    <row r="959" ht="15.75" customHeight="1" spans="1:63" x14ac:dyDescent="0.25">
      <c r="A959" s="2">
        <v>104</v>
      </c>
      <c r="B959" s="14"/>
      <c r="D959" s="14" t="s">
        <v>51</v>
      </c>
      <c r="E959" s="2" t="s">
        <v>49</v>
      </c>
      <c r="F959" s="41">
        <v>500</v>
      </c>
      <c r="G959" s="28"/>
      <c r="H959" s="34">
        <f>'2021'!BH959</f>
        <v>0</v>
      </c>
      <c r="I959" s="13"/>
      <c r="J959" s="15"/>
      <c r="K959" s="15"/>
      <c r="L959" s="28"/>
      <c r="M959" s="13"/>
      <c r="N959" s="15"/>
      <c r="Q959" s="13"/>
      <c r="R959" s="15"/>
      <c r="S959" s="15"/>
      <c r="T959" s="28"/>
      <c r="U959" s="13"/>
      <c r="V959" s="15"/>
      <c r="Y959" s="13"/>
      <c r="Z959" s="2"/>
      <c r="AA959" s="15"/>
      <c r="AB959" s="28"/>
      <c r="AC959" s="348"/>
      <c r="AD959" s="15"/>
      <c r="AE959" s="34"/>
      <c r="AG959" s="15"/>
      <c r="AH959" s="2"/>
      <c r="AI959" s="45"/>
      <c r="AJ959" s="180"/>
      <c r="AK959" s="15"/>
      <c r="AL959" s="15"/>
      <c r="AM959" s="45"/>
      <c r="AN959" s="15"/>
      <c r="AO959" s="13"/>
      <c r="AP959" s="15"/>
      <c r="AQ959" s="180">
        <f>B954*$F$14</f>
        <v>0</v>
      </c>
      <c r="AR959" s="15"/>
      <c r="AS959" s="13"/>
      <c r="AT959" s="15"/>
      <c r="AU959" s="45"/>
      <c r="AV959" s="15"/>
      <c r="AW959" s="13"/>
      <c r="AX959" s="15"/>
      <c r="AY959" s="45"/>
      <c r="AZ959" s="35"/>
      <c r="BA959" s="13"/>
      <c r="BB959" s="15"/>
      <c r="BC959" s="45"/>
      <c r="BD959" s="28"/>
      <c r="BE959" s="14"/>
      <c r="BF959" s="41">
        <f t="shared" ref="BF959:BG959" si="2851">K959+O959+S959+W959+AA959+AE959+AI959+AM959+AQ959+AU959+AY959+BC959</f>
        <v>0</v>
      </c>
      <c r="BG959" s="34">
        <f t="shared" si="2851"/>
        <v>0</v>
      </c>
      <c r="BH959" s="35">
        <f t="shared" si="2840"/>
        <v>0</v>
      </c>
      <c r="BK959" s="2" t="b">
        <f>H959='2021'!BH959</f>
        <v>1</v>
      </c>
    </row>
    <row r="960" ht="15.75" customHeight="1" spans="1:63" x14ac:dyDescent="0.25">
      <c r="A960" s="2">
        <v>104</v>
      </c>
      <c r="B960" s="14"/>
      <c r="D960" s="14" t="s">
        <v>52</v>
      </c>
      <c r="E960" s="2" t="s">
        <v>39</v>
      </c>
      <c r="F960" s="41">
        <v>500</v>
      </c>
      <c r="G960" s="28"/>
      <c r="H960" s="34">
        <f>'2021'!BH960</f>
        <v>0</v>
      </c>
      <c r="I960" s="13"/>
      <c r="J960" s="15"/>
      <c r="K960" s="15"/>
      <c r="L960" s="28"/>
      <c r="M960" s="13"/>
      <c r="N960" s="15"/>
      <c r="Q960" s="13"/>
      <c r="R960" s="15"/>
      <c r="S960" s="15"/>
      <c r="T960" s="28"/>
      <c r="U960" s="13"/>
      <c r="V960" s="15"/>
      <c r="Y960" s="13"/>
      <c r="Z960" s="2"/>
      <c r="AA960" s="34">
        <f>$F$15</f>
      </c>
      <c r="AB960" s="28"/>
      <c r="AC960" s="348"/>
      <c r="AD960" s="15"/>
      <c r="AF960" s="180"/>
      <c r="AG960" s="15"/>
      <c r="AH960" s="2"/>
      <c r="AI960" s="45"/>
      <c r="AJ960" s="180"/>
      <c r="AK960" s="15"/>
      <c r="AL960" s="15"/>
      <c r="AM960" s="45"/>
      <c r="AN960" s="15"/>
      <c r="AO960" s="13"/>
      <c r="AP960" s="15"/>
      <c r="AQ960" s="45"/>
      <c r="AR960" s="15"/>
      <c r="AS960" s="13"/>
      <c r="AT960" s="15"/>
      <c r="AU960" s="45"/>
      <c r="AV960" s="15"/>
      <c r="AW960" s="13"/>
      <c r="AX960" s="15"/>
      <c r="AY960" s="45"/>
      <c r="AZ960" s="35"/>
      <c r="BA960" s="13"/>
      <c r="BB960" s="15"/>
      <c r="BC960" s="45"/>
      <c r="BD960" s="35"/>
      <c r="BE960" s="14"/>
      <c r="BF960" s="41">
        <f t="shared" ref="BF960:BG960" si="2852">K960+O960+S960+W960+AA960+AE960+AI960+AM960+AQ960+AU960+AY960+BC960</f>
        <v>0</v>
      </c>
      <c r="BG960" s="34">
        <f t="shared" si="2852"/>
        <v>0</v>
      </c>
      <c r="BH960" s="35">
        <f t="shared" si="2840"/>
        <v>0</v>
      </c>
      <c r="BK960" s="2" t="b">
        <f>H960='2021'!BH960</f>
        <v>1</v>
      </c>
    </row>
    <row r="961" ht="15.75" customHeight="1" spans="1:63" x14ac:dyDescent="0.25">
      <c r="A961" s="247">
        <v>104</v>
      </c>
      <c r="B961" s="21"/>
      <c r="C961" s="22" t="s">
        <v>53</v>
      </c>
      <c r="D961" s="21"/>
      <c r="E961" s="22"/>
      <c r="F961" s="20"/>
      <c r="G961" s="23"/>
      <c r="H961" s="51">
        <f>SUM(H953:H960)</f>
        <v>-81.4</v>
      </c>
      <c r="I961" s="52"/>
      <c r="J961" s="53"/>
      <c r="K961" s="51">
        <f t="shared" ref="K961:L961" si="2853">SUM(K953:K960)</f>
        <v>0</v>
      </c>
      <c r="L961" s="68">
        <f t="shared" si="2853"/>
        <v>0</v>
      </c>
      <c r="M961" s="52"/>
      <c r="N961" s="53"/>
      <c r="O961" s="51">
        <f t="shared" ref="O961:P961" si="2854">SUM(O953:O960)</f>
        <v>0</v>
      </c>
      <c r="P961" s="51">
        <f t="shared" si="2854"/>
        <v>0</v>
      </c>
      <c r="Q961" s="52"/>
      <c r="R961" s="53"/>
      <c r="S961" s="51">
        <f t="shared" ref="S961:T961" si="2855">SUM(S953:S960)</f>
        <v>0</v>
      </c>
      <c r="T961" s="51">
        <f t="shared" si="2855"/>
        <v>0</v>
      </c>
      <c r="U961" s="52"/>
      <c r="V961" s="53"/>
      <c r="W961" s="51">
        <f t="shared" ref="W961:X961" si="2856">SUM(W953:W960)</f>
        <v>0</v>
      </c>
      <c r="X961" s="51">
        <f t="shared" si="2856"/>
        <v>0</v>
      </c>
      <c r="Y961" s="52"/>
      <c r="Z961" s="301"/>
      <c r="AA961" s="51">
        <f t="shared" ref="AA961:AB961" si="2857">SUM(AA953:AA960)</f>
        <v>138.1</v>
      </c>
      <c r="AB961" s="51">
        <f t="shared" si="2857"/>
        <v>0</v>
      </c>
      <c r="AC961" s="367"/>
      <c r="AD961" s="53"/>
      <c r="AE961" s="51">
        <f t="shared" ref="AE961:AF961" si="2858">SUM(AE953:AE960)</f>
        <v>7070.15</v>
      </c>
      <c r="AF961" s="51">
        <f t="shared" si="2858"/>
        <v>5081.4</v>
      </c>
      <c r="AG961" s="52"/>
      <c r="AH961" s="301"/>
      <c r="AI961" s="183">
        <f t="shared" ref="AI961:AJ961" si="2859">SUM(AI953:AI960)</f>
        <v>221.79328</v>
      </c>
      <c r="AJ961" s="51">
        <f t="shared" si="2859"/>
        <v>2051.25</v>
      </c>
      <c r="AK961" s="52"/>
      <c r="AL961" s="53"/>
      <c r="AM961" s="183">
        <f t="shared" ref="AM961:AN961" si="2860">SUM(AM953:AM960)</f>
        <v>105.83104</v>
      </c>
      <c r="AN961" s="51">
        <f t="shared" si="2860"/>
        <v>0</v>
      </c>
      <c r="AO961" s="52"/>
      <c r="AP961" s="53"/>
      <c r="AQ961" s="183">
        <f t="shared" ref="AQ961:AR961" si="2861">SUM(AQ953:AQ960)</f>
        <v>31.56472</v>
      </c>
      <c r="AR961" s="51">
        <f t="shared" si="2861"/>
        <v>359.21</v>
      </c>
      <c r="AS961" s="52"/>
      <c r="AT961" s="53"/>
      <c r="AU961" s="183">
        <f t="shared" ref="AU961:AV961" si="2862">SUM(AU953:AU960)</f>
        <v>25.83</v>
      </c>
      <c r="AV961" s="68">
        <f t="shared" si="2862"/>
        <v>0</v>
      </c>
      <c r="AW961" s="52"/>
      <c r="AX961" s="53"/>
      <c r="AY961" s="183">
        <f t="shared" ref="AY961:AZ961" si="2863">SUM(AY953:AY960)</f>
        <v>0</v>
      </c>
      <c r="AZ961" s="68">
        <f t="shared" si="2863"/>
        <v>0</v>
      </c>
      <c r="BA961" s="52"/>
      <c r="BB961" s="53"/>
      <c r="BC961" s="183">
        <f t="shared" ref="BC961:BD961" si="2864">SUM(BC953:BC960)</f>
        <v>0</v>
      </c>
      <c r="BD961" s="68">
        <f t="shared" si="2864"/>
        <v>0</v>
      </c>
      <c r="BE961" s="69"/>
      <c r="BF961" s="70">
        <f t="shared" ref="BF961:BH961" si="2865">SUM(BF953:BF960)</f>
        <v>7593.26904</v>
      </c>
      <c r="BG961" s="71">
        <f t="shared" si="2865"/>
        <v>7491.86</v>
      </c>
      <c r="BH961" s="72">
        <f t="shared" si="2865"/>
        <v>20.00904</v>
      </c>
      <c r="BI961" s="34">
        <f>H961+BF961-BG961</f>
        <v>20.00904</v>
      </c>
      <c r="BJ961" s="34">
        <f>BH961-BI961</f>
        <v>0</v>
      </c>
      <c r="BK961" s="2" t="b">
        <f>H961='2021'!BH961</f>
        <v>1</v>
      </c>
    </row>
    <row r="962" ht="15.75" customHeight="1" spans="1:63" x14ac:dyDescent="0.25">
      <c r="A962" s="2">
        <v>106</v>
      </c>
      <c r="B962" s="14"/>
      <c r="D962" s="14" t="s">
        <v>379</v>
      </c>
      <c r="F962" s="13"/>
      <c r="G962" s="28"/>
      <c r="H962" s="34">
        <f>'2021'!BH962</f>
        <v>15.03</v>
      </c>
      <c r="I962" s="13"/>
      <c r="J962" s="15"/>
      <c r="K962" s="15"/>
      <c r="L962" s="28"/>
      <c r="M962" s="13"/>
      <c r="N962" s="15"/>
      <c r="Q962" s="13"/>
      <c r="R962" s="15"/>
      <c r="S962" s="15">
        <v>15.53</v>
      </c>
      <c r="T962" s="28"/>
      <c r="U962" s="13"/>
      <c r="V962" s="15"/>
      <c r="W962" s="2">
        <v>15.03</v>
      </c>
      <c r="Y962" s="13"/>
      <c r="Z962" s="2"/>
      <c r="AA962" s="15">
        <v>15.53</v>
      </c>
      <c r="AB962" s="28"/>
      <c r="AC962" s="348"/>
      <c r="AD962" s="15"/>
      <c r="AE962" s="2">
        <v>15.03</v>
      </c>
      <c r="AG962" s="15"/>
      <c r="AH962" s="2"/>
      <c r="AI962" s="45">
        <v>15.53</v>
      </c>
      <c r="AJ962" s="15"/>
      <c r="AK962" s="15"/>
      <c r="AM962" s="45"/>
      <c r="AO962" s="13"/>
      <c r="AQ962" s="45"/>
      <c r="AS962" s="13"/>
      <c r="AU962" s="45"/>
      <c r="AW962" s="13"/>
      <c r="AY962" s="45"/>
      <c r="AZ962" s="28"/>
      <c r="BA962" s="13"/>
      <c r="BB962" s="15"/>
      <c r="BC962" s="45"/>
      <c r="BD962" s="28"/>
      <c r="BE962" s="14"/>
      <c r="BF962" s="41">
        <f t="shared" ref="BF962:BG962" si="2866">K962+O962+S962+W962+AA962+AE962+AI962+AM962+AQ962+AU962+AY962+BC962</f>
        <v>76.65</v>
      </c>
      <c r="BG962" s="34">
        <f t="shared" si="2866"/>
        <v>0</v>
      </c>
      <c r="BH962" s="35">
        <f t="shared" ref="BH962:BH969" si="2867">H962+BF962-BG962</f>
        <v>91.68</v>
      </c>
      <c r="BK962" s="2" t="b">
        <f>H962='2021'!BH962</f>
        <v>1</v>
      </c>
    </row>
    <row r="963" ht="15.75" customHeight="1" spans="1:63" x14ac:dyDescent="0.25">
      <c r="A963" s="2">
        <v>106</v>
      </c>
      <c r="B963" s="14">
        <v>4.57</v>
      </c>
      <c r="C963" s="2" t="s">
        <v>336</v>
      </c>
      <c r="D963" s="14" t="s">
        <v>44</v>
      </c>
      <c r="E963" s="2" t="s">
        <v>45</v>
      </c>
      <c r="F963" s="41">
        <v>2.5</v>
      </c>
      <c r="G963" s="35">
        <v>2.6</v>
      </c>
      <c r="H963" s="104">
        <f>'2021'!BH963</f>
        <v>0</v>
      </c>
      <c r="I963" s="13"/>
      <c r="J963" s="15">
        <f>I963-'2021'!BA963</f>
        <v>0</v>
      </c>
      <c r="K963" s="34">
        <f>J963*$F$8</f>
        <v>0</v>
      </c>
      <c r="L963" s="28"/>
      <c r="M963" s="13"/>
      <c r="N963" s="15">
        <f t="shared" ref="N963:N964" si="2868">M963-I963</f>
        <v>0</v>
      </c>
      <c r="O963" s="34">
        <f>N963*$F$8</f>
        <v>0</v>
      </c>
      <c r="Q963" s="13"/>
      <c r="R963" s="15">
        <f t="shared" ref="R963:R964" si="2869">Q963-M963</f>
        <v>0</v>
      </c>
      <c r="S963" s="34">
        <f>R963*$F$8</f>
        <v>0</v>
      </c>
      <c r="T963" s="28"/>
      <c r="U963" s="13"/>
      <c r="V963" s="15">
        <f t="shared" ref="V963:V964" si="2870">U963-Q963</f>
        <v>0</v>
      </c>
      <c r="W963" s="34">
        <f>V963*$F$8</f>
        <v>0</v>
      </c>
      <c r="Y963" s="13"/>
      <c r="Z963" s="2">
        <f t="shared" ref="Z963:Z964" si="2871">Y963-U963</f>
        <v>0</v>
      </c>
      <c r="AA963" s="34">
        <f>Z963*$F$8</f>
        <v>0</v>
      </c>
      <c r="AB963" s="28"/>
      <c r="AC963" s="348"/>
      <c r="AD963" s="15">
        <f t="shared" ref="AD963:AD964" si="2872">AC963-Y963</f>
        <v>0</v>
      </c>
      <c r="AE963" s="180">
        <f>AD963*$F$8</f>
        <v>0</v>
      </c>
      <c r="AG963" s="15"/>
      <c r="AH963" s="2">
        <f>(AG963-AC963)*AH5</f>
        <v>0</v>
      </c>
      <c r="AI963" s="45">
        <f>AH963*$G$8</f>
        <v>0</v>
      </c>
      <c r="AJ963" s="15"/>
      <c r="AK963" s="15"/>
      <c r="AL963" s="15">
        <f>(AK963-AG963)*AL5</f>
        <v>0</v>
      </c>
      <c r="AM963" s="45">
        <f>AL963*$G$8</f>
        <v>0</v>
      </c>
      <c r="AN963" s="15"/>
      <c r="AO963" s="13"/>
      <c r="AP963" s="15">
        <f>(AO963-AK963)*AP5</f>
        <v>0</v>
      </c>
      <c r="AQ963" s="45">
        <f>AP963*$G$8</f>
        <v>0</v>
      </c>
      <c r="AR963" s="15"/>
      <c r="AS963" s="13"/>
      <c r="AT963" s="15">
        <f>(AS963-AO963)*AT5</f>
        <v>0</v>
      </c>
      <c r="AU963" s="45">
        <f>AT963*$G$8</f>
        <v>0</v>
      </c>
      <c r="AV963" s="15"/>
      <c r="AW963" s="13"/>
      <c r="AX963" s="15">
        <f>(AW963-AS963)*AX5</f>
        <v>0</v>
      </c>
      <c r="AY963" s="45">
        <f>AX963*$G$8</f>
        <v>0</v>
      </c>
      <c r="AZ963" s="208"/>
      <c r="BA963" s="13"/>
      <c r="BB963" s="15"/>
      <c r="BC963" s="45">
        <f>BB963*$G$8</f>
        <v>0</v>
      </c>
      <c r="BD963" s="208"/>
      <c r="BE963" s="40">
        <f t="shared" ref="BE963:BG963" si="2873">J963+N963+R963+V963+Z963+AD963+AH963+AL963+AP963+AT963+AX963+BB963</f>
        <v>0</v>
      </c>
      <c r="BF963" s="41">
        <f t="shared" si="2873"/>
        <v>0</v>
      </c>
      <c r="BG963" s="34">
        <f t="shared" si="2873"/>
        <v>0</v>
      </c>
      <c r="BH963" s="35">
        <f t="shared" si="2867"/>
        <v>0</v>
      </c>
      <c r="BK963" s="2" t="b">
        <f>H963='2021'!BH963</f>
        <v>1</v>
      </c>
    </row>
    <row r="964" ht="15.75" customHeight="1" spans="1:63" x14ac:dyDescent="0.25">
      <c r="A964" s="2">
        <v>106</v>
      </c>
      <c r="B964" s="14"/>
      <c r="C964" s="2" t="s">
        <v>114</v>
      </c>
      <c r="D964" s="14" t="s">
        <v>47</v>
      </c>
      <c r="E964" s="2" t="s">
        <v>48</v>
      </c>
      <c r="F964" s="13">
        <v>18.56</v>
      </c>
      <c r="G964" s="35">
        <v>19.46</v>
      </c>
      <c r="H964" s="34">
        <f>'2021'!BH964</f>
        <v>418.91</v>
      </c>
      <c r="I964" s="13">
        <v>22</v>
      </c>
      <c r="J964" s="15"/>
      <c r="K964" s="15"/>
      <c r="L964" s="28"/>
      <c r="M964" s="13">
        <v>22</v>
      </c>
      <c r="N964" s="15">
        <f t="shared" si="2868"/>
        <v>0</v>
      </c>
      <c r="Q964" s="13">
        <v>22</v>
      </c>
      <c r="R964" s="15">
        <f t="shared" si="2869"/>
        <v>0</v>
      </c>
      <c r="S964" s="15"/>
      <c r="T964" s="28"/>
      <c r="U964" s="13">
        <v>22</v>
      </c>
      <c r="V964" s="15">
        <f t="shared" si="2870"/>
        <v>0</v>
      </c>
      <c r="W964" s="180">
        <f>V964*$F$10</f>
        <v>0</v>
      </c>
      <c r="Y964" s="13">
        <v>22</v>
      </c>
      <c r="Z964" s="2">
        <f t="shared" si="2871"/>
        <v>0</v>
      </c>
      <c r="AA964" s="34">
        <f>Z964*$F$10</f>
        <v>0</v>
      </c>
      <c r="AB964" s="28"/>
      <c r="AC964" s="348">
        <v>28</v>
      </c>
      <c r="AD964" s="15">
        <f t="shared" si="2872"/>
        <v>6</v>
      </c>
      <c r="AE964" s="34">
        <f>AD964*$F$10</f>
        <v>122.1</v>
      </c>
      <c r="AF964" s="1"/>
      <c r="AG964" s="15">
        <v>32</v>
      </c>
      <c r="AH964" s="2">
        <f>AG964-AC964</f>
        <v>4</v>
      </c>
      <c r="AI964" s="45">
        <f>AH964*$G$10</f>
        <v>85.6</v>
      </c>
      <c r="AJ964" s="180"/>
      <c r="AK964" s="15">
        <v>34</v>
      </c>
      <c r="AL964" s="15">
        <f>AK964-AG964</f>
        <v>2</v>
      </c>
      <c r="AM964" s="45">
        <f>AL964*$G$10</f>
        <v>42.8</v>
      </c>
      <c r="AN964" s="15"/>
      <c r="AO964" s="13">
        <v>34</v>
      </c>
      <c r="AP964" s="15">
        <f>AO964-AK964</f>
        <v>0</v>
      </c>
      <c r="AQ964" s="45">
        <f>AP964*$G$10</f>
        <v>0</v>
      </c>
      <c r="AR964" s="15"/>
      <c r="AS964" s="13">
        <v>34</v>
      </c>
      <c r="AT964" s="15">
        <f>AS964-AO964</f>
        <v>0</v>
      </c>
      <c r="AU964" s="45">
        <f>AT964*$G$10</f>
        <v>0</v>
      </c>
      <c r="AV964" s="15"/>
      <c r="AW964" s="13"/>
      <c r="AX964" s="15">
        <f>AW964-AS964</f>
        <v>-34</v>
      </c>
      <c r="AY964" s="45"/>
      <c r="AZ964" s="208"/>
      <c r="BA964" s="13"/>
      <c r="BB964" s="15"/>
      <c r="BC964" s="45"/>
      <c r="BD964" s="208"/>
      <c r="BE964" s="40">
        <f t="shared" ref="BE964:BG964" si="2874">J964+N964+R964+V964+Z964+AD964+AH964+AL964+AP964+AT964+AX964+BB964</f>
        <v>-22</v>
      </c>
      <c r="BF964" s="41">
        <f t="shared" si="2874"/>
        <v>250.5</v>
      </c>
      <c r="BG964" s="34">
        <f t="shared" si="2874"/>
        <v>0</v>
      </c>
      <c r="BH964" s="35">
        <f t="shared" si="2867"/>
        <v>669.41</v>
      </c>
      <c r="BK964" s="2" t="b">
        <f>H964='2021'!BH964</f>
        <v>1</v>
      </c>
    </row>
    <row r="965" ht="15.75" customHeight="1" spans="1:63" x14ac:dyDescent="0.25">
      <c r="A965" s="2">
        <v>106</v>
      </c>
      <c r="B965" s="14"/>
      <c r="C965" s="2" t="s">
        <v>337</v>
      </c>
      <c r="D965" s="14" t="s">
        <v>47</v>
      </c>
      <c r="E965" s="2" t="s">
        <v>49</v>
      </c>
      <c r="F965" s="41">
        <v>500</v>
      </c>
      <c r="G965" s="28"/>
      <c r="H965" s="34">
        <f>'2021'!BH965</f>
        <v>16</v>
      </c>
      <c r="I965" s="13"/>
      <c r="J965" s="15"/>
      <c r="K965" s="15"/>
      <c r="L965" s="28"/>
      <c r="M965" s="13"/>
      <c r="N965" s="15"/>
      <c r="Q965" s="13"/>
      <c r="R965" s="15"/>
      <c r="S965" s="15"/>
      <c r="T965" s="28"/>
      <c r="U965" s="13"/>
      <c r="V965" s="15"/>
      <c r="Y965" s="13"/>
      <c r="Z965" s="2"/>
      <c r="AA965" s="34"/>
      <c r="AB965" s="28"/>
      <c r="AC965" s="348"/>
      <c r="AD965" s="15"/>
      <c r="AG965" s="15"/>
      <c r="AH965" s="2"/>
      <c r="AI965" s="45"/>
      <c r="AJ965" s="1"/>
      <c r="AK965" s="15"/>
      <c r="AL965" s="15"/>
      <c r="AM965" s="45"/>
      <c r="AN965" s="15"/>
      <c r="AO965" s="13"/>
      <c r="AP965" s="15"/>
      <c r="AQ965" s="45"/>
      <c r="AR965" s="15"/>
      <c r="AS965" s="13"/>
      <c r="AT965" s="15"/>
      <c r="AU965" s="45"/>
      <c r="AV965" s="15"/>
      <c r="AW965" s="13"/>
      <c r="AX965" s="15"/>
      <c r="AY965" s="45"/>
      <c r="AZ965" s="28"/>
      <c r="BA965" s="13"/>
      <c r="BB965" s="15"/>
      <c r="BC965" s="45"/>
      <c r="BD965" s="28"/>
      <c r="BE965" s="14"/>
      <c r="BF965" s="41">
        <f t="shared" ref="BF965:BG965" si="2875">K965+O965+S965+W965+AA965+AE965+AI965+AM965+AQ965+AU965+AY965+BC965</f>
        <v>0</v>
      </c>
      <c r="BG965" s="34">
        <f t="shared" si="2875"/>
        <v>0</v>
      </c>
      <c r="BH965" s="35">
        <f t="shared" si="2867"/>
        <v>16</v>
      </c>
      <c r="BK965" s="2" t="b">
        <f>H965='2021'!BH965</f>
        <v>1</v>
      </c>
    </row>
    <row r="966" ht="15.75" customHeight="1" spans="1:63" x14ac:dyDescent="0.25">
      <c r="A966" s="2">
        <v>106</v>
      </c>
      <c r="B966" s="14"/>
      <c r="C966" s="2" t="s">
        <v>563</v>
      </c>
      <c r="D966" s="14" t="s">
        <v>50</v>
      </c>
      <c r="E966" s="2" t="s">
        <v>49</v>
      </c>
      <c r="F966" s="41">
        <v>1100</v>
      </c>
      <c r="G966" s="28"/>
      <c r="H966" s="180">
        <f>'2021'!BH966</f>
        <v>5011</v>
      </c>
      <c r="I966" s="13"/>
      <c r="J966" s="15"/>
      <c r="K966" s="15"/>
      <c r="L966" s="28"/>
      <c r="M966" s="13"/>
      <c r="N966" s="15"/>
      <c r="Q966" s="13"/>
      <c r="R966" s="15"/>
      <c r="S966" s="15"/>
      <c r="T966" s="28"/>
      <c r="U966" s="13"/>
      <c r="V966" s="15"/>
      <c r="Y966" s="13"/>
      <c r="Z966" s="2"/>
      <c r="AA966" s="15"/>
      <c r="AB966" s="28"/>
      <c r="AC966" s="348"/>
      <c r="AD966" s="15"/>
      <c r="AE966" s="34">
        <f>B963*$F$12</f>
        <v>5941</v>
      </c>
      <c r="AF966" s="1"/>
      <c r="AG966" s="15"/>
      <c r="AH966" s="2"/>
      <c r="AI966" s="45"/>
      <c r="AJ966" s="180"/>
      <c r="AK966" s="15"/>
      <c r="AL966" s="15"/>
      <c r="AM966" s="45"/>
      <c r="AN966" s="15"/>
      <c r="AO966" s="13"/>
      <c r="AP966" s="15"/>
      <c r="AQ966" s="45"/>
      <c r="AR966" s="15"/>
      <c r="AS966" s="13"/>
      <c r="AT966" s="15"/>
      <c r="AU966" s="45"/>
      <c r="AV966" s="15"/>
      <c r="AW966" s="13"/>
      <c r="AX966" s="15"/>
      <c r="AY966" s="45"/>
      <c r="AZ966" s="28"/>
      <c r="BA966" s="13"/>
      <c r="BB966" s="15"/>
      <c r="BC966" s="45"/>
      <c r="BD966" s="28"/>
      <c r="BE966" s="14"/>
      <c r="BF966" s="41">
        <f t="shared" ref="BF966:BG966" si="2876">K966+O966+S966+W966+AA966+AE966+AI966+AM966+AQ966+AU966+AY966+BC966</f>
        <v>5941</v>
      </c>
      <c r="BG966" s="34">
        <f t="shared" si="2876"/>
        <v>0</v>
      </c>
      <c r="BH966" s="35">
        <f t="shared" si="2867"/>
        <v>10952</v>
      </c>
      <c r="BK966" s="2" t="b">
        <f>H966='2021'!BH966</f>
        <v>1</v>
      </c>
    </row>
    <row r="967" ht="15.75" customHeight="1" spans="1:63" x14ac:dyDescent="0.25">
      <c r="A967" s="2">
        <v>106</v>
      </c>
      <c r="B967" s="14"/>
      <c r="C967" s="2" t="s">
        <v>454</v>
      </c>
      <c r="D967" s="14" t="s">
        <v>51</v>
      </c>
      <c r="E967" s="2" t="s">
        <v>39</v>
      </c>
      <c r="F967" s="41">
        <v>500</v>
      </c>
      <c r="G967" s="28"/>
      <c r="H967" s="180">
        <f>'2021'!BH967</f>
        <v>0</v>
      </c>
      <c r="I967" s="13"/>
      <c r="J967" s="15"/>
      <c r="K967" s="15"/>
      <c r="L967" s="28"/>
      <c r="M967" s="13"/>
      <c r="N967" s="15"/>
      <c r="Q967" s="13"/>
      <c r="R967" s="15"/>
      <c r="S967" s="15"/>
      <c r="T967" s="28"/>
      <c r="U967" s="13"/>
      <c r="V967" s="15"/>
      <c r="Y967" s="13"/>
      <c r="Z967" s="2"/>
      <c r="AA967" s="15"/>
      <c r="AB967" s="28"/>
      <c r="AC967" s="348"/>
      <c r="AD967" s="15"/>
      <c r="AE967" s="180">
        <f>$F$13</f>
        <v>1000</v>
      </c>
      <c r="AF967" s="1"/>
      <c r="AG967" s="15"/>
      <c r="AH967" s="2"/>
      <c r="AI967" s="45"/>
      <c r="AJ967" s="180"/>
      <c r="AK967" s="15"/>
      <c r="AL967" s="15"/>
      <c r="AM967" s="45"/>
      <c r="AN967" s="15"/>
      <c r="AO967" s="13"/>
      <c r="AP967" s="15"/>
      <c r="AQ967" s="180"/>
      <c r="AR967" s="15"/>
      <c r="AS967" s="13"/>
      <c r="AT967" s="15"/>
      <c r="AU967" s="45"/>
      <c r="AV967" s="15"/>
      <c r="AW967" s="13"/>
      <c r="AX967" s="15"/>
      <c r="AY967" s="45"/>
      <c r="AZ967" s="28"/>
      <c r="BA967" s="13"/>
      <c r="BB967" s="15"/>
      <c r="BC967" s="45"/>
      <c r="BD967" s="28"/>
      <c r="BE967" s="14"/>
      <c r="BF967" s="41">
        <f t="shared" ref="BF967:BG967" si="2877">K967+O967+S967+W967+AA967+AE967+AI967+AM967+AQ967+AU967+AY967+BC967</f>
        <v>1000</v>
      </c>
      <c r="BG967" s="34">
        <f t="shared" si="2877"/>
        <v>0</v>
      </c>
      <c r="BH967" s="35">
        <f t="shared" si="2867"/>
        <v>1000</v>
      </c>
      <c r="BK967" s="2" t="b">
        <f>H967='2021'!BH967</f>
        <v>1</v>
      </c>
    </row>
    <row r="968" ht="15.75" customHeight="1" spans="1:63" x14ac:dyDescent="0.25">
      <c r="A968" s="2">
        <v>106</v>
      </c>
      <c r="B968" s="14"/>
      <c r="C968" s="2" t="s">
        <v>338</v>
      </c>
      <c r="D968" s="14" t="s">
        <v>51</v>
      </c>
      <c r="E968" s="2" t="s">
        <v>49</v>
      </c>
      <c r="F968" s="41">
        <v>500</v>
      </c>
      <c r="G968" s="28"/>
      <c r="H968" s="180">
        <f>'2021'!BH968</f>
        <v>0</v>
      </c>
      <c r="I968" s="13"/>
      <c r="J968" s="15"/>
      <c r="K968" s="15"/>
      <c r="L968" s="28"/>
      <c r="M968" s="13"/>
      <c r="N968" s="15"/>
      <c r="Q968" s="13"/>
      <c r="R968" s="15"/>
      <c r="S968" s="15"/>
      <c r="T968" s="28"/>
      <c r="U968" s="13"/>
      <c r="V968" s="15"/>
      <c r="Y968" s="13"/>
      <c r="Z968" s="2"/>
      <c r="AA968" s="15"/>
      <c r="AB968" s="28"/>
      <c r="AC968" s="348"/>
      <c r="AD968" s="15"/>
      <c r="AE968" s="34"/>
      <c r="AF968" s="1"/>
      <c r="AG968" s="15"/>
      <c r="AH968" s="2"/>
      <c r="AI968" s="45"/>
      <c r="AJ968" s="180"/>
      <c r="AK968" s="15"/>
      <c r="AL968" s="15"/>
      <c r="AM968" s="45"/>
      <c r="AN968" s="15"/>
      <c r="AO968" s="13"/>
      <c r="AP968" s="15"/>
      <c r="AQ968" s="180">
        <f>B963*$F$14</f>
        <v>0</v>
      </c>
      <c r="AR968" s="15"/>
      <c r="AS968" s="13"/>
      <c r="AT968" s="15"/>
      <c r="AU968" s="45"/>
      <c r="AV968" s="15"/>
      <c r="AW968" s="13"/>
      <c r="AX968" s="15"/>
      <c r="AY968" s="45"/>
      <c r="AZ968" s="28"/>
      <c r="BA968" s="13"/>
      <c r="BB968" s="15"/>
      <c r="BC968" s="45"/>
      <c r="BD968" s="28"/>
      <c r="BE968" s="14"/>
      <c r="BF968" s="41">
        <f t="shared" ref="BF968:BG968" si="2878">K968+O968+S968+W968+AA968+AE968+AI968+AM968+AQ968+AU968+AY968+BC968</f>
        <v>0</v>
      </c>
      <c r="BG968" s="34">
        <f t="shared" si="2878"/>
        <v>0</v>
      </c>
      <c r="BH968" s="35">
        <f t="shared" si="2867"/>
        <v>0</v>
      </c>
      <c r="BK968" s="2" t="b">
        <f>H968='2021'!BH968</f>
        <v>1</v>
      </c>
    </row>
    <row r="969" ht="15.75" customHeight="1" spans="1:63" x14ac:dyDescent="0.25">
      <c r="A969" s="2">
        <v>106</v>
      </c>
      <c r="B969" s="14"/>
      <c r="D969" s="14" t="s">
        <v>52</v>
      </c>
      <c r="E969" s="2" t="s">
        <v>39</v>
      </c>
      <c r="F969" s="41">
        <v>500</v>
      </c>
      <c r="G969" s="28"/>
      <c r="H969" s="180">
        <f>'2021'!BH969</f>
        <v>0</v>
      </c>
      <c r="I969" s="13"/>
      <c r="J969" s="15"/>
      <c r="K969" s="15"/>
      <c r="L969" s="28"/>
      <c r="M969" s="13"/>
      <c r="N969" s="15"/>
      <c r="Q969" s="13"/>
      <c r="R969" s="15"/>
      <c r="S969" s="15"/>
      <c r="T969" s="28"/>
      <c r="U969" s="13"/>
      <c r="V969" s="15"/>
      <c r="Y969" s="13"/>
      <c r="Z969" s="2"/>
      <c r="AA969" s="34">
        <f>$F$15</f>
      </c>
      <c r="AB969" s="28"/>
      <c r="AC969" s="348"/>
      <c r="AD969" s="15"/>
      <c r="AF969" s="1"/>
      <c r="AG969" s="15"/>
      <c r="AH969" s="2"/>
      <c r="AI969" s="45"/>
      <c r="AJ969" s="180"/>
      <c r="AK969" s="15"/>
      <c r="AL969" s="15"/>
      <c r="AM969" s="45"/>
      <c r="AN969" s="15"/>
      <c r="AO969" s="13"/>
      <c r="AP969" s="15"/>
      <c r="AQ969" s="45"/>
      <c r="AR969" s="15"/>
      <c r="AS969" s="13"/>
      <c r="AT969" s="15"/>
      <c r="AU969" s="45"/>
      <c r="AV969" s="15"/>
      <c r="AW969" s="13"/>
      <c r="AX969" s="15"/>
      <c r="AY969" s="45"/>
      <c r="AZ969" s="35"/>
      <c r="BA969" s="13"/>
      <c r="BB969" s="15"/>
      <c r="BC969" s="45"/>
      <c r="BD969" s="35"/>
      <c r="BE969" s="14"/>
      <c r="BF969" s="41">
        <f t="shared" ref="BF969:BG969" si="2879">K969+O969+S969+W969+AA969+AE969+AI969+AM969+AQ969+AU969+AY969+BC969</f>
        <v>0</v>
      </c>
      <c r="BG969" s="34">
        <f t="shared" si="2879"/>
        <v>0</v>
      </c>
      <c r="BH969" s="35">
        <f t="shared" si="2867"/>
        <v>0</v>
      </c>
      <c r="BK969" s="2" t="b">
        <f>H969='2021'!BH969</f>
        <v>1</v>
      </c>
    </row>
    <row r="970" ht="15.75" customHeight="1" spans="1:63" x14ac:dyDescent="0.25">
      <c r="A970" s="247">
        <v>106</v>
      </c>
      <c r="B970" s="21"/>
      <c r="C970" s="22" t="s">
        <v>53</v>
      </c>
      <c r="D970" s="21"/>
      <c r="E970" s="22"/>
      <c r="F970" s="20"/>
      <c r="G970" s="23"/>
      <c r="H970" s="51">
        <f>SUM(H962:H969)</f>
        <v>5460.94</v>
      </c>
      <c r="I970" s="52"/>
      <c r="J970" s="53"/>
      <c r="K970" s="51">
        <f t="shared" ref="K970:L970" si="2880">SUM(K962:K969)</f>
        <v>0</v>
      </c>
      <c r="L970" s="68">
        <f t="shared" si="2880"/>
        <v>0</v>
      </c>
      <c r="M970" s="52"/>
      <c r="N970" s="53"/>
      <c r="O970" s="51">
        <f t="shared" ref="O970:P970" si="2881">SUM(O962:O969)</f>
        <v>0</v>
      </c>
      <c r="P970" s="51">
        <f t="shared" si="2881"/>
        <v>0</v>
      </c>
      <c r="Q970" s="52"/>
      <c r="R970" s="53"/>
      <c r="S970" s="51">
        <f t="shared" ref="S970:T970" si="2882">SUM(S962:S969)</f>
        <v>15.53</v>
      </c>
      <c r="T970" s="51">
        <f t="shared" si="2882"/>
        <v>0</v>
      </c>
      <c r="U970" s="52"/>
      <c r="V970" s="53"/>
      <c r="W970" s="51">
        <f t="shared" ref="W970:X970" si="2883">SUM(W962:W969)</f>
        <v>15.03</v>
      </c>
      <c r="X970" s="51">
        <f t="shared" si="2883"/>
        <v>0</v>
      </c>
      <c r="Y970" s="52"/>
      <c r="Z970" s="301"/>
      <c r="AA970" s="51">
        <f t="shared" ref="AA970:AB970" si="2884">SUM(AA962:AA969)</f>
        <v>15.53</v>
      </c>
      <c r="AB970" s="51">
        <f t="shared" si="2884"/>
        <v>0</v>
      </c>
      <c r="AC970" s="367"/>
      <c r="AD970" s="53"/>
      <c r="AE970" s="51">
        <f t="shared" ref="AE970:AF970" si="2885">SUM(AE962:AE969)</f>
        <v>7078.13</v>
      </c>
      <c r="AF970" s="51">
        <f t="shared" si="2885"/>
        <v>0</v>
      </c>
      <c r="AG970" s="52"/>
      <c r="AH970" s="301"/>
      <c r="AI970" s="183">
        <f t="shared" ref="AI970:AJ970" si="2886">SUM(AI962:AI969)</f>
        <v>101.13</v>
      </c>
      <c r="AJ970" s="51">
        <f t="shared" si="2886"/>
        <v>0</v>
      </c>
      <c r="AK970" s="52"/>
      <c r="AL970" s="53"/>
      <c r="AM970" s="183">
        <f t="shared" ref="AM970:AN970" si="2887">SUM(AM962:AM969)</f>
        <v>42.8</v>
      </c>
      <c r="AN970" s="51">
        <f t="shared" si="2887"/>
        <v>0</v>
      </c>
      <c r="AO970" s="52"/>
      <c r="AP970" s="53"/>
      <c r="AQ970" s="183">
        <f t="shared" ref="AQ970:AR970" si="2888">SUM(AQ962:AQ969)</f>
        <v>0</v>
      </c>
      <c r="AR970" s="51">
        <f t="shared" si="2888"/>
        <v>0</v>
      </c>
      <c r="AS970" s="52"/>
      <c r="AT970" s="53"/>
      <c r="AU970" s="183">
        <f t="shared" ref="AU970:AV970" si="2889">SUM(AU962:AU969)</f>
        <v>0</v>
      </c>
      <c r="AV970" s="68">
        <f t="shared" si="2889"/>
        <v>0</v>
      </c>
      <c r="AW970" s="52"/>
      <c r="AX970" s="53"/>
      <c r="AY970" s="183">
        <f t="shared" ref="AY970:AZ970" si="2890">SUM(AY962:AY969)</f>
        <v>0</v>
      </c>
      <c r="AZ970" s="68">
        <f t="shared" si="2890"/>
        <v>0</v>
      </c>
      <c r="BA970" s="52"/>
      <c r="BB970" s="53"/>
      <c r="BC970" s="183">
        <f t="shared" ref="BC970:BD970" si="2891">SUM(BC962:BC969)</f>
        <v>0</v>
      </c>
      <c r="BD970" s="68">
        <f t="shared" si="2891"/>
        <v>0</v>
      </c>
      <c r="BE970" s="69"/>
      <c r="BF970" s="70">
        <f t="shared" ref="BF970:BH970" si="2892">SUM(BF962:BF969)</f>
        <v>7268.15</v>
      </c>
      <c r="BG970" s="71">
        <f t="shared" si="2892"/>
        <v>0</v>
      </c>
      <c r="BH970" s="72">
        <f t="shared" si="2892"/>
        <v>12729.09</v>
      </c>
      <c r="BI970" s="34">
        <f>H970+BF970-BG970</f>
        <v>12729.09</v>
      </c>
      <c r="BJ970" s="34">
        <f>BH970-BI970</f>
        <v>0</v>
      </c>
      <c r="BK970" s="2" t="b">
        <f>H970='2021'!BH970</f>
        <v>1</v>
      </c>
    </row>
    <row r="971" ht="15.75" customHeight="1" spans="1:63" x14ac:dyDescent="0.25">
      <c r="A971" s="2">
        <v>108</v>
      </c>
      <c r="B971" s="14"/>
      <c r="D971" s="99" t="s">
        <v>132</v>
      </c>
      <c r="F971" s="13"/>
      <c r="G971" s="28"/>
      <c r="H971" s="34">
        <f>'2021'!BH971</f>
        <v>1951.86</v>
      </c>
      <c r="I971" s="13"/>
      <c r="J971" s="15"/>
      <c r="K971" s="15"/>
      <c r="L971" s="28"/>
      <c r="M971" s="13"/>
      <c r="N971" s="15"/>
      <c r="Q971" s="13"/>
      <c r="R971" s="15"/>
      <c r="S971" s="15">
        <v>28.37</v>
      </c>
      <c r="T971" s="28"/>
      <c r="U971" s="13"/>
      <c r="V971" s="15"/>
      <c r="W971" s="2">
        <v>27.45</v>
      </c>
      <c r="Y971" s="13"/>
      <c r="Z971" s="2"/>
      <c r="AA971" s="15">
        <v>28.37</v>
      </c>
      <c r="AB971" s="28"/>
      <c r="AC971" s="348"/>
      <c r="AD971" s="15"/>
      <c r="AE971" s="2">
        <v>27.45</v>
      </c>
      <c r="AG971" s="15"/>
      <c r="AH971" s="2"/>
      <c r="AI971" s="45">
        <v>28.37</v>
      </c>
      <c r="AJ971" s="15"/>
      <c r="AK971" s="15"/>
      <c r="AM971" s="45"/>
      <c r="AO971" s="13"/>
      <c r="AQ971" s="180"/>
      <c r="AS971" s="13"/>
      <c r="AU971" s="180"/>
      <c r="AW971" s="13"/>
      <c r="AY971" s="180"/>
      <c r="AZ971" s="28"/>
      <c r="BA971" s="13"/>
      <c r="BB971" s="15"/>
      <c r="BC971" s="180"/>
      <c r="BD971" s="28"/>
      <c r="BE971" s="14"/>
      <c r="BF971" s="41">
        <f t="shared" ref="BF971:BG971" si="2893">K971+O971+S971+W971+AA971+AE971+AI971+AM971+AQ971+AU971+AY971+BC971</f>
        <v>140.01</v>
      </c>
      <c r="BG971" s="34">
        <f t="shared" si="2893"/>
        <v>0</v>
      </c>
      <c r="BH971" s="35">
        <f t="shared" ref="BH971:BH978" si="2894">H971+BF971-BG971</f>
        <v>2091.87</v>
      </c>
      <c r="BK971" s="2" t="b">
        <f>H971='2021'!BH971</f>
        <v>1</v>
      </c>
    </row>
    <row r="972" ht="15.75" customHeight="1" spans="1:63" x14ac:dyDescent="0.25">
      <c r="A972" s="2">
        <v>108</v>
      </c>
      <c r="B972" s="14">
        <v>4.32</v>
      </c>
      <c r="C972" s="2" t="s">
        <v>511</v>
      </c>
      <c r="D972" s="14" t="s">
        <v>44</v>
      </c>
      <c r="E972" s="2" t="s">
        <v>45</v>
      </c>
      <c r="F972" s="41">
        <v>2.5</v>
      </c>
      <c r="G972" s="35">
        <v>2.6</v>
      </c>
      <c r="H972" s="104">
        <f>'2021'!BH972</f>
        <v>0</v>
      </c>
      <c r="I972" s="13"/>
      <c r="J972" s="15">
        <f>I972-'2021'!BA972</f>
        <v>0</v>
      </c>
      <c r="K972" s="34">
        <f>J972*$F$8</f>
        <v>0</v>
      </c>
      <c r="L972" s="28"/>
      <c r="M972" s="13"/>
      <c r="N972" s="15">
        <f t="shared" ref="N972:N973" si="2895">M972-I972</f>
        <v>0</v>
      </c>
      <c r="O972" s="34">
        <f>N972*$F$8</f>
        <v>0</v>
      </c>
      <c r="Q972" s="13"/>
      <c r="R972" s="15">
        <f t="shared" ref="R972:R973" si="2896">Q972-M972</f>
        <v>0</v>
      </c>
      <c r="S972" s="34">
        <f>R972*$F$8</f>
        <v>0</v>
      </c>
      <c r="T972" s="28"/>
      <c r="U972" s="13"/>
      <c r="V972" s="15">
        <f t="shared" ref="V972:V973" si="2897">U972-Q972</f>
        <v>0</v>
      </c>
      <c r="W972" s="34">
        <f>V972*$F$8</f>
        <v>0</v>
      </c>
      <c r="Y972" s="13"/>
      <c r="Z972" s="2">
        <f>Y972-U972</f>
        <v>0</v>
      </c>
      <c r="AA972" s="34">
        <f>Z972*$F$8</f>
        <v>0</v>
      </c>
      <c r="AB972" s="28"/>
      <c r="AC972" s="348"/>
      <c r="AD972" s="15">
        <f t="shared" ref="AD972:AD973" si="2898">AC972-Y972</f>
        <v>0</v>
      </c>
      <c r="AE972" s="180">
        <f>AD972*$F$8</f>
        <v>0</v>
      </c>
      <c r="AG972" s="15"/>
      <c r="AH972" s="2">
        <f>(AG972-AC972)*AH5</f>
        <v>0</v>
      </c>
      <c r="AI972" s="45">
        <f>AH972*$G$8</f>
        <v>0</v>
      </c>
      <c r="AJ972" s="15"/>
      <c r="AK972" s="15"/>
      <c r="AL972" s="15">
        <f>(AK972-AG972)*AL5</f>
        <v>0</v>
      </c>
      <c r="AM972" s="45">
        <f>AL972*$G$8</f>
        <v>0</v>
      </c>
      <c r="AN972" s="15"/>
      <c r="AO972" s="13"/>
      <c r="AP972" s="15">
        <f>(AO972-AK972)*AP5</f>
        <v>0</v>
      </c>
      <c r="AQ972" s="45">
        <f>AP972*$G$8</f>
        <v>0</v>
      </c>
      <c r="AR972" s="15"/>
      <c r="AS972" s="13"/>
      <c r="AT972" s="15">
        <f>(AS972-AO972)*AT5</f>
        <v>0</v>
      </c>
      <c r="AU972" s="45">
        <f>AT972*$G$8</f>
        <v>0</v>
      </c>
      <c r="AV972" s="15"/>
      <c r="AW972" s="13"/>
      <c r="AX972" s="15">
        <f>(AW972-AS972)*AX5</f>
        <v>0</v>
      </c>
      <c r="AY972" s="45">
        <f>AX972*$G$8</f>
        <v>0</v>
      </c>
      <c r="AZ972" s="208"/>
      <c r="BA972" s="13"/>
      <c r="BB972" s="15"/>
      <c r="BC972" s="45">
        <f>BB972*$G$8</f>
        <v>0</v>
      </c>
      <c r="BD972" s="208"/>
      <c r="BE972" s="40">
        <f t="shared" ref="BE972:BG972" si="2899">J972+N972+R972+V972+Z972+AD972+AH972+AL972+AP972+AT972+AX972+BB972</f>
        <v>0</v>
      </c>
      <c r="BF972" s="41">
        <f t="shared" si="2899"/>
        <v>0</v>
      </c>
      <c r="BG972" s="34">
        <f t="shared" si="2899"/>
        <v>0</v>
      </c>
      <c r="BH972" s="35">
        <f t="shared" si="2894"/>
        <v>0</v>
      </c>
      <c r="BK972" s="2" t="b">
        <f>H972='2021'!BH972</f>
        <v>1</v>
      </c>
    </row>
    <row r="973" ht="15.75" customHeight="1" spans="1:63" x14ac:dyDescent="0.25">
      <c r="A973" s="2">
        <v>108</v>
      </c>
      <c r="B973" s="14"/>
      <c r="C973" s="73" t="s">
        <v>104</v>
      </c>
      <c r="D973" s="14" t="s">
        <v>47</v>
      </c>
      <c r="E973" s="2" t="s">
        <v>48</v>
      </c>
      <c r="F973" s="13">
        <v>18.56</v>
      </c>
      <c r="G973" s="35">
        <v>19.46</v>
      </c>
      <c r="H973" s="34">
        <f>'2021'!BH973</f>
        <v>0</v>
      </c>
      <c r="I973" s="13"/>
      <c r="J973" s="15"/>
      <c r="K973" s="15"/>
      <c r="L973" s="28"/>
      <c r="M973" s="13"/>
      <c r="N973" s="15">
        <f t="shared" si="2895"/>
        <v>0</v>
      </c>
      <c r="Q973" s="13"/>
      <c r="R973" s="15">
        <f t="shared" si="2896"/>
        <v>0</v>
      </c>
      <c r="S973" s="15"/>
      <c r="T973" s="28"/>
      <c r="U973" s="13"/>
      <c r="V973" s="15">
        <f t="shared" si="2897"/>
        <v>0</v>
      </c>
      <c r="W973" s="180">
        <f>V973*$F$10</f>
        <v>0</v>
      </c>
      <c r="Y973" s="13">
        <v>147</v>
      </c>
      <c r="Z973" s="2">
        <v>0</v>
      </c>
      <c r="AA973" s="34">
        <f>Z973*$F$10</f>
        <v>0</v>
      </c>
      <c r="AB973" s="28"/>
      <c r="AC973" s="348">
        <v>147</v>
      </c>
      <c r="AD973" s="15">
        <f t="shared" si="2898"/>
        <v>0</v>
      </c>
      <c r="AE973" s="34">
        <f>AD973*$F$10</f>
        <v>0</v>
      </c>
      <c r="AG973" s="15">
        <v>147</v>
      </c>
      <c r="AH973" s="2">
        <f>AG973-AC973</f>
        <v>0</v>
      </c>
      <c r="AI973" s="45">
        <f>AH973*$G$10</f>
        <v>0</v>
      </c>
      <c r="AJ973" s="15"/>
      <c r="AK973" s="15">
        <v>147</v>
      </c>
      <c r="AL973" s="15">
        <f>AK973-AG973</f>
        <v>0</v>
      </c>
      <c r="AM973" s="45">
        <f>AL973*$G$10</f>
        <v>0</v>
      </c>
      <c r="AN973" s="15"/>
      <c r="AO973" s="13">
        <v>147</v>
      </c>
      <c r="AP973" s="15">
        <f>AO973-AK973</f>
        <v>0</v>
      </c>
      <c r="AQ973" s="45">
        <f>AP973*$G$10</f>
        <v>0</v>
      </c>
      <c r="AR973" s="15"/>
      <c r="AS973" s="13">
        <v>147</v>
      </c>
      <c r="AT973" s="15">
        <f>AS973-AO973</f>
        <v>0</v>
      </c>
      <c r="AU973" s="45">
        <f>AT973*$G$10</f>
        <v>0</v>
      </c>
      <c r="AV973" s="15"/>
      <c r="AW973" s="13"/>
      <c r="AX973" s="15">
        <f>AW973-AS973</f>
        <v>-147</v>
      </c>
      <c r="AY973" s="45"/>
      <c r="AZ973" s="208"/>
      <c r="BA973" s="13"/>
      <c r="BB973" s="15"/>
      <c r="BC973" s="45"/>
      <c r="BD973" s="208"/>
      <c r="BE973" s="40">
        <f t="shared" ref="BE973:BG973" si="2900">J973+N973+R973+V973+Z973+AD973+AH973+AL973+AP973+AT973+AX973+BB973</f>
        <v>-147</v>
      </c>
      <c r="BF973" s="41">
        <f t="shared" si="2900"/>
        <v>0</v>
      </c>
      <c r="BG973" s="34">
        <f t="shared" si="2900"/>
        <v>0</v>
      </c>
      <c r="BH973" s="35">
        <f t="shared" si="2894"/>
        <v>0</v>
      </c>
      <c r="BK973" s="2" t="b">
        <f>H973='2021'!BH973</f>
        <v>1</v>
      </c>
    </row>
    <row r="974" ht="15.75" customHeight="1" spans="1:63" x14ac:dyDescent="0.25">
      <c r="A974" s="2">
        <v>108</v>
      </c>
      <c r="B974" s="14"/>
      <c r="C974" s="73" t="s">
        <v>512</v>
      </c>
      <c r="D974" s="14" t="s">
        <v>47</v>
      </c>
      <c r="E974" s="2" t="s">
        <v>49</v>
      </c>
      <c r="F974" s="41">
        <v>500</v>
      </c>
      <c r="G974" s="28"/>
      <c r="H974" s="144">
        <f>'2021'!BH974</f>
        <v>0</v>
      </c>
      <c r="I974" s="13"/>
      <c r="J974" s="15"/>
      <c r="K974" s="15"/>
      <c r="L974" s="28"/>
      <c r="M974" s="13"/>
      <c r="N974" s="15"/>
      <c r="Q974" s="13"/>
      <c r="R974" s="15"/>
      <c r="S974" s="15"/>
      <c r="T974" s="28"/>
      <c r="U974" s="13"/>
      <c r="V974" s="15"/>
      <c r="Y974" s="13"/>
      <c r="Z974" s="2"/>
      <c r="AA974" s="34"/>
      <c r="AB974" s="28"/>
      <c r="AC974" s="348"/>
      <c r="AD974" s="15"/>
      <c r="AG974" s="15"/>
      <c r="AH974" s="2"/>
      <c r="AI974" s="45"/>
      <c r="AJ974" s="15"/>
      <c r="AK974" s="15"/>
      <c r="AL974" s="15"/>
      <c r="AM974" s="45"/>
      <c r="AN974" s="15"/>
      <c r="AO974" s="13"/>
      <c r="AP974" s="15"/>
      <c r="AQ974" s="45"/>
      <c r="AR974" s="15"/>
      <c r="AS974" s="13"/>
      <c r="AT974" s="15"/>
      <c r="AU974" s="45"/>
      <c r="AV974" s="15"/>
      <c r="AW974" s="13"/>
      <c r="AX974" s="15"/>
      <c r="AY974" s="45"/>
      <c r="AZ974" s="28"/>
      <c r="BA974" s="13"/>
      <c r="BB974" s="15"/>
      <c r="BC974" s="45"/>
      <c r="BD974" s="28"/>
      <c r="BE974" s="40">
        <f t="shared" ref="BE974:BG974" si="2901">J974+N974+R974+V974+Z974+AD974+AH974+AL974+AP974+AT974+AX974+BB974</f>
        <v>0</v>
      </c>
      <c r="BF974" s="41">
        <f t="shared" si="2901"/>
        <v>0</v>
      </c>
      <c r="BG974" s="34">
        <f t="shared" si="2901"/>
        <v>0</v>
      </c>
      <c r="BH974" s="35">
        <f t="shared" si="2894"/>
        <v>0</v>
      </c>
      <c r="BK974" s="2" t="b">
        <f>H974='2021'!BH974</f>
        <v>1</v>
      </c>
    </row>
    <row r="975" ht="15.75" customHeight="1" spans="1:63" x14ac:dyDescent="0.25">
      <c r="A975" s="2">
        <v>108</v>
      </c>
      <c r="B975" s="14"/>
      <c r="D975" s="14" t="s">
        <v>50</v>
      </c>
      <c r="E975" s="2" t="s">
        <v>49</v>
      </c>
      <c r="F975" s="41">
        <v>1100</v>
      </c>
      <c r="G975" s="28"/>
      <c r="H975" s="180">
        <f>'2021'!BH975</f>
        <v>4752</v>
      </c>
      <c r="I975" s="13"/>
      <c r="J975" s="15"/>
      <c r="K975" s="15"/>
      <c r="L975" s="28"/>
      <c r="M975" s="13"/>
      <c r="N975" s="15"/>
      <c r="P975" s="1"/>
      <c r="Q975" s="13"/>
      <c r="R975" s="15"/>
      <c r="S975" s="15"/>
      <c r="T975" s="28"/>
      <c r="U975" s="13"/>
      <c r="V975" s="15"/>
      <c r="Y975" s="13"/>
      <c r="Z975" s="2"/>
      <c r="AA975" s="15"/>
      <c r="AB975" s="35"/>
      <c r="AC975" s="348"/>
      <c r="AD975" s="15"/>
      <c r="AE975" s="34">
        <f>B972*$F$12</f>
        <v>5616</v>
      </c>
      <c r="AG975" s="15"/>
      <c r="AH975" s="2"/>
      <c r="AI975" s="45"/>
      <c r="AJ975" s="15"/>
      <c r="AK975" s="15"/>
      <c r="AL975" s="15"/>
      <c r="AM975" s="45"/>
      <c r="AN975" s="15"/>
      <c r="AO975" s="13"/>
      <c r="AP975" s="15"/>
      <c r="AQ975" s="45"/>
      <c r="AR975" s="15"/>
      <c r="AS975" s="13"/>
      <c r="AT975" s="15"/>
      <c r="AU975" s="45"/>
      <c r="AV975" s="15"/>
      <c r="AW975" s="13"/>
      <c r="AX975" s="15"/>
      <c r="AY975" s="45"/>
      <c r="AZ975" s="28"/>
      <c r="BA975" s="13"/>
      <c r="BB975" s="15"/>
      <c r="BC975" s="45"/>
      <c r="BD975" s="28"/>
      <c r="BE975" s="14"/>
      <c r="BF975" s="41">
        <f t="shared" ref="BF975:BG975" si="2902">K975+O975+S975+W975+AA975+AE975+AI975+AM975+AQ975+AU975+AY975+BC975</f>
        <v>5616</v>
      </c>
      <c r="BG975" s="34">
        <f t="shared" si="2902"/>
        <v>0</v>
      </c>
      <c r="BH975" s="35">
        <f t="shared" si="2894"/>
        <v>10368</v>
      </c>
      <c r="BK975" s="2" t="b">
        <f>H975='2021'!BH975</f>
        <v>1</v>
      </c>
    </row>
    <row r="976" ht="15.75" customHeight="1" spans="1:63" x14ac:dyDescent="0.25">
      <c r="A976" s="2">
        <v>108</v>
      </c>
      <c r="B976" s="14"/>
      <c r="D976" s="14" t="s">
        <v>51</v>
      </c>
      <c r="E976" s="2" t="s">
        <v>39</v>
      </c>
      <c r="F976" s="41">
        <v>500</v>
      </c>
      <c r="G976" s="28"/>
      <c r="H976" s="180">
        <f>'2021'!BH976</f>
        <v>4399.64</v>
      </c>
      <c r="I976" s="13"/>
      <c r="J976" s="15"/>
      <c r="K976" s="15"/>
      <c r="L976" s="28"/>
      <c r="M976" s="13"/>
      <c r="N976" s="15"/>
      <c r="P976" s="1"/>
      <c r="Q976" s="13"/>
      <c r="R976" s="15"/>
      <c r="S976" s="15"/>
      <c r="T976" s="28"/>
      <c r="U976" s="13"/>
      <c r="V976" s="15"/>
      <c r="Y976" s="13"/>
      <c r="Z976" s="2"/>
      <c r="AA976" s="15"/>
      <c r="AB976" s="28"/>
      <c r="AC976" s="348"/>
      <c r="AD976" s="15"/>
      <c r="AE976" s="180">
        <f>$F$13</f>
        <v>1000</v>
      </c>
      <c r="AG976" s="15"/>
      <c r="AH976" s="2"/>
      <c r="AI976" s="45"/>
      <c r="AJ976" s="15"/>
      <c r="AK976" s="15"/>
      <c r="AL976" s="15"/>
      <c r="AM976" s="45"/>
      <c r="AN976" s="15"/>
      <c r="AO976" s="13"/>
      <c r="AP976" s="15"/>
      <c r="AQ976" s="180"/>
      <c r="AR976" s="15"/>
      <c r="AS976" s="13"/>
      <c r="AT976" s="15"/>
      <c r="AU976" s="45"/>
      <c r="AV976" s="15"/>
      <c r="AW976" s="13"/>
      <c r="AX976" s="15"/>
      <c r="AY976" s="45"/>
      <c r="AZ976" s="28"/>
      <c r="BA976" s="13"/>
      <c r="BB976" s="15"/>
      <c r="BC976" s="45"/>
      <c r="BD976" s="28"/>
      <c r="BE976" s="14"/>
      <c r="BF976" s="41">
        <f t="shared" ref="BF976:BG976" si="2903">K976+O976+S976+W976+AA976+AE976+AI976+AM976+AQ976+AU976+AY976+BC976</f>
        <v>1000</v>
      </c>
      <c r="BG976" s="34">
        <f t="shared" si="2903"/>
        <v>0</v>
      </c>
      <c r="BH976" s="35">
        <f t="shared" si="2894"/>
        <v>5399.64</v>
      </c>
      <c r="BK976" s="2" t="b">
        <f>H976='2021'!BH976</f>
        <v>1</v>
      </c>
    </row>
    <row r="977" ht="15.75" customHeight="1" spans="1:63" x14ac:dyDescent="0.25">
      <c r="A977" s="2">
        <v>108</v>
      </c>
      <c r="B977" s="14"/>
      <c r="D977" s="14" t="s">
        <v>51</v>
      </c>
      <c r="E977" s="2" t="s">
        <v>49</v>
      </c>
      <c r="F977" s="41">
        <v>500</v>
      </c>
      <c r="G977" s="28"/>
      <c r="H977" s="180">
        <f>'2021'!BH977</f>
        <v>0</v>
      </c>
      <c r="I977" s="13"/>
      <c r="J977" s="15"/>
      <c r="K977" s="15"/>
      <c r="L977" s="28"/>
      <c r="M977" s="13"/>
      <c r="N977" s="15"/>
      <c r="Q977" s="13"/>
      <c r="R977" s="15"/>
      <c r="S977" s="15"/>
      <c r="T977" s="28"/>
      <c r="U977" s="13"/>
      <c r="V977" s="15"/>
      <c r="Y977" s="13"/>
      <c r="Z977" s="2"/>
      <c r="AA977" s="15"/>
      <c r="AB977" s="32"/>
      <c r="AC977" s="348"/>
      <c r="AD977" s="15"/>
      <c r="AE977" s="34"/>
      <c r="AG977" s="15"/>
      <c r="AH977" s="2"/>
      <c r="AI977" s="45"/>
      <c r="AJ977" s="15"/>
      <c r="AK977" s="15"/>
      <c r="AL977" s="15"/>
      <c r="AM977" s="45"/>
      <c r="AN977" s="15"/>
      <c r="AO977" s="13"/>
      <c r="AP977" s="15"/>
      <c r="AQ977" s="180">
        <f>B972*$F$14</f>
        <v>0</v>
      </c>
      <c r="AR977" s="15"/>
      <c r="AS977" s="13"/>
      <c r="AT977" s="15"/>
      <c r="AU977" s="45"/>
      <c r="AV977" s="15"/>
      <c r="AW977" s="13"/>
      <c r="AX977" s="15"/>
      <c r="AY977" s="45"/>
      <c r="AZ977" s="28"/>
      <c r="BA977" s="13"/>
      <c r="BB977" s="15"/>
      <c r="BC977" s="45"/>
      <c r="BD977" s="28"/>
      <c r="BE977" s="14"/>
      <c r="BF977" s="41">
        <f t="shared" ref="BF977:BG977" si="2904">K977+O977+S977+W977+AA977+AE977+AI977+AM977+AQ977+AU977+AY977+BC977</f>
        <v>0</v>
      </c>
      <c r="BG977" s="34">
        <f t="shared" si="2904"/>
        <v>0</v>
      </c>
      <c r="BH977" s="35">
        <f t="shared" si="2894"/>
        <v>0</v>
      </c>
      <c r="BK977" s="2" t="b">
        <f>H977='2021'!BH977</f>
        <v>1</v>
      </c>
    </row>
    <row r="978" ht="15.75" customHeight="1" spans="1:63" x14ac:dyDescent="0.25">
      <c r="A978" s="2">
        <v>108</v>
      </c>
      <c r="B978" s="14"/>
      <c r="D978" s="14" t="s">
        <v>52</v>
      </c>
      <c r="E978" s="2" t="s">
        <v>39</v>
      </c>
      <c r="F978" s="41">
        <v>500</v>
      </c>
      <c r="G978" s="28"/>
      <c r="H978" s="180">
        <f>'2021'!BH978</f>
        <v>1650</v>
      </c>
      <c r="I978" s="13"/>
      <c r="J978" s="15"/>
      <c r="K978" s="15"/>
      <c r="L978" s="28"/>
      <c r="M978" s="13"/>
      <c r="N978" s="15"/>
      <c r="Q978" s="13"/>
      <c r="R978" s="15"/>
      <c r="S978" s="15"/>
      <c r="T978" s="28"/>
      <c r="U978" s="13"/>
      <c r="V978" s="15"/>
      <c r="Y978" s="13"/>
      <c r="Z978" s="2"/>
      <c r="AA978" s="34">
        <f>$F$15</f>
      </c>
      <c r="AB978" s="28"/>
      <c r="AC978" s="348"/>
      <c r="AD978" s="15"/>
      <c r="AG978" s="15"/>
      <c r="AH978" s="2"/>
      <c r="AI978" s="45"/>
      <c r="AJ978" s="15"/>
      <c r="AK978" s="15"/>
      <c r="AL978" s="15"/>
      <c r="AM978" s="45"/>
      <c r="AN978" s="15"/>
      <c r="AO978" s="13"/>
      <c r="AP978" s="15"/>
      <c r="AQ978" s="45"/>
      <c r="AR978" s="15"/>
      <c r="AS978" s="13"/>
      <c r="AT978" s="15"/>
      <c r="AU978" s="45"/>
      <c r="AV978" s="15"/>
      <c r="AW978" s="13"/>
      <c r="AX978" s="15"/>
      <c r="AY978" s="45"/>
      <c r="AZ978" s="35"/>
      <c r="BA978" s="13"/>
      <c r="BB978" s="15"/>
      <c r="BC978" s="45"/>
      <c r="BD978" s="35"/>
      <c r="BE978" s="14"/>
      <c r="BF978" s="41">
        <f t="shared" ref="BF978:BG978" si="2905">K978+O978+S978+W978+AA978+AE978+AI978+AM978+AQ978+AU978+AY978+BC978</f>
        <v>0</v>
      </c>
      <c r="BG978" s="34">
        <f t="shared" si="2905"/>
        <v>0</v>
      </c>
      <c r="BH978" s="35">
        <f t="shared" si="2894"/>
        <v>1650</v>
      </c>
      <c r="BK978" s="2" t="b">
        <f>H978='2021'!BH978</f>
        <v>1</v>
      </c>
    </row>
    <row r="979" ht="15.75" customHeight="1" spans="1:63" x14ac:dyDescent="0.25">
      <c r="A979" s="247">
        <v>108</v>
      </c>
      <c r="B979" s="21"/>
      <c r="C979" s="22" t="s">
        <v>53</v>
      </c>
      <c r="D979" s="21"/>
      <c r="E979" s="22"/>
      <c r="F979" s="109"/>
      <c r="G979" s="23"/>
      <c r="H979" s="51">
        <f>SUM(H971:H978)</f>
        <v>12753.5</v>
      </c>
      <c r="I979" s="52"/>
      <c r="J979" s="53"/>
      <c r="K979" s="51">
        <f t="shared" ref="K979:L979" si="2906">SUM(K971:K978)</f>
        <v>0</v>
      </c>
      <c r="L979" s="68">
        <f t="shared" si="2906"/>
        <v>0</v>
      </c>
      <c r="M979" s="52"/>
      <c r="N979" s="53"/>
      <c r="O979" s="51">
        <f t="shared" ref="O979:P979" si="2907">SUM(O971:O978)</f>
        <v>0</v>
      </c>
      <c r="P979" s="51">
        <f t="shared" si="2907"/>
        <v>0</v>
      </c>
      <c r="Q979" s="52"/>
      <c r="R979" s="53"/>
      <c r="S979" s="51">
        <f t="shared" ref="S979:T979" si="2908">SUM(S971:S978)</f>
        <v>28.37</v>
      </c>
      <c r="T979" s="51">
        <f t="shared" si="2908"/>
        <v>0</v>
      </c>
      <c r="U979" s="52"/>
      <c r="V979" s="53"/>
      <c r="W979" s="51">
        <f t="shared" ref="W979:X979" si="2909">SUM(W971:W978)</f>
        <v>27.45</v>
      </c>
      <c r="X979" s="51">
        <f t="shared" si="2909"/>
        <v>0</v>
      </c>
      <c r="Y979" s="52"/>
      <c r="Z979" s="301"/>
      <c r="AA979" s="51">
        <f t="shared" ref="AA979:AB979" si="2910">SUM(AA971:AA978)</f>
        <v>28.37</v>
      </c>
      <c r="AB979" s="51">
        <f t="shared" si="2910"/>
        <v>0</v>
      </c>
      <c r="AC979" s="367"/>
      <c r="AD979" s="53"/>
      <c r="AE979" s="51">
        <f t="shared" ref="AE979:AF979" si="2911">SUM(AE971:AE978)</f>
        <v>6643.45</v>
      </c>
      <c r="AF979" s="51">
        <f t="shared" si="2911"/>
        <v>0</v>
      </c>
      <c r="AG979" s="52"/>
      <c r="AH979" s="301"/>
      <c r="AI979" s="183">
        <f t="shared" ref="AI979:AJ979" si="2912">SUM(AI971:AI978)</f>
        <v>28.37</v>
      </c>
      <c r="AJ979" s="51">
        <f t="shared" si="2912"/>
        <v>0</v>
      </c>
      <c r="AK979" s="52"/>
      <c r="AL979" s="53"/>
      <c r="AM979" s="183">
        <f t="shared" ref="AM979:AN979" si="2913">SUM(AM971:AM978)</f>
        <v>0</v>
      </c>
      <c r="AN979" s="51">
        <f t="shared" si="2913"/>
        <v>0</v>
      </c>
      <c r="AO979" s="52"/>
      <c r="AP979" s="53"/>
      <c r="AQ979" s="183">
        <f t="shared" ref="AQ979:AR979" si="2914">SUM(AQ971:AQ978)</f>
        <v>0</v>
      </c>
      <c r="AR979" s="51">
        <f t="shared" si="2914"/>
        <v>0</v>
      </c>
      <c r="AS979" s="52"/>
      <c r="AT979" s="53"/>
      <c r="AU979" s="183">
        <f t="shared" ref="AU979:AV979" si="2915">SUM(AU971:AU978)</f>
        <v>0</v>
      </c>
      <c r="AV979" s="51">
        <f t="shared" si="2915"/>
        <v>0</v>
      </c>
      <c r="AW979" s="52"/>
      <c r="AX979" s="53"/>
      <c r="AY979" s="183">
        <f t="shared" ref="AY979:AZ979" si="2916">SUM(AY971:AY978)</f>
        <v>0</v>
      </c>
      <c r="AZ979" s="68">
        <f t="shared" si="2916"/>
        <v>0</v>
      </c>
      <c r="BA979" s="52"/>
      <c r="BB979" s="53"/>
      <c r="BC979" s="183">
        <f t="shared" ref="BC979:BD979" si="2917">SUM(BC971:BC978)</f>
        <v>0</v>
      </c>
      <c r="BD979" s="68">
        <f t="shared" si="2917"/>
        <v>0</v>
      </c>
      <c r="BE979" s="69"/>
      <c r="BF979" s="70">
        <f t="shared" ref="BF979:BH979" si="2918">SUM(BF971:BF978)</f>
        <v>6756.01</v>
      </c>
      <c r="BG979" s="71">
        <f t="shared" si="2918"/>
        <v>0</v>
      </c>
      <c r="BH979" s="72">
        <f t="shared" si="2918"/>
        <v>19509.51</v>
      </c>
      <c r="BI979" s="34">
        <f>H979+BF979-BG979</f>
        <v>19509.51</v>
      </c>
      <c r="BJ979" s="34">
        <f>BH979-BI979</f>
        <v>0</v>
      </c>
      <c r="BK979" s="2" t="b">
        <f>H979='2021'!BH979</f>
        <v>1</v>
      </c>
    </row>
    <row r="980" ht="15.75" customHeight="1" spans="1:63" x14ac:dyDescent="0.25">
      <c r="A980" s="2">
        <v>109</v>
      </c>
      <c r="B980" s="14"/>
      <c r="D980" s="14" t="s">
        <v>379</v>
      </c>
      <c r="F980" s="41"/>
      <c r="G980" s="28"/>
      <c r="H980" s="34">
        <f>'2021'!BH980</f>
        <v>26.55</v>
      </c>
      <c r="I980" s="13"/>
      <c r="J980" s="15"/>
      <c r="K980" s="15"/>
      <c r="L980" s="28"/>
      <c r="M980" s="13"/>
      <c r="N980" s="15"/>
      <c r="Q980" s="13"/>
      <c r="R980" s="15"/>
      <c r="S980" s="15">
        <v>21.21</v>
      </c>
      <c r="T980" s="28"/>
      <c r="U980" s="13"/>
      <c r="V980" s="15"/>
      <c r="W980" s="2">
        <v>20.53</v>
      </c>
      <c r="Y980" s="13"/>
      <c r="Z980" s="2"/>
      <c r="AA980" s="15">
        <v>13</v>
      </c>
      <c r="AB980" s="28">
        <v>68.29</v>
      </c>
      <c r="AC980" s="348"/>
      <c r="AD980" s="15"/>
      <c r="AG980" s="15"/>
      <c r="AH980" s="2"/>
      <c r="AI980" s="45"/>
      <c r="AJ980" s="15"/>
      <c r="AK980" s="15"/>
      <c r="AM980" s="45"/>
      <c r="AO980" s="13"/>
      <c r="AQ980" s="180"/>
      <c r="AS980" s="13"/>
      <c r="AU980" s="180"/>
      <c r="AW980" s="13"/>
      <c r="AY980" s="180"/>
      <c r="AZ980" s="28"/>
      <c r="BA980" s="13"/>
      <c r="BB980" s="15"/>
      <c r="BC980" s="180"/>
      <c r="BD980" s="28"/>
      <c r="BE980" s="14"/>
      <c r="BF980" s="41">
        <f t="shared" ref="BF980:BG980" si="2919">K980+O980+S980+W980+AA980+AE980+AI980+AM980+AQ980+AU980+AY980+BC980</f>
        <v>54.74</v>
      </c>
      <c r="BG980" s="34">
        <f t="shared" si="2919"/>
        <v>68.29</v>
      </c>
      <c r="BH980" s="35">
        <f t="shared" ref="BH980:BH987" si="2920">H980+BF980-BG980</f>
        <v>13</v>
      </c>
      <c r="BK980" s="2" t="b">
        <f>H980='2021'!BH980</f>
        <v>1</v>
      </c>
    </row>
    <row r="981" ht="15.75" customHeight="1" spans="1:63" x14ac:dyDescent="0.25">
      <c r="A981" s="2">
        <v>109</v>
      </c>
      <c r="B981" s="14">
        <v>6.22</v>
      </c>
      <c r="C981" s="2" t="s">
        <v>455</v>
      </c>
      <c r="D981" s="14" t="s">
        <v>44</v>
      </c>
      <c r="E981" s="2" t="s">
        <v>45</v>
      </c>
      <c r="F981" s="41">
        <v>2.5</v>
      </c>
      <c r="G981" s="35">
        <v>2.6</v>
      </c>
      <c r="H981" s="34">
        <f>'2021'!BH981</f>
        <v>10.7</v>
      </c>
      <c r="I981" s="13">
        <v>46</v>
      </c>
      <c r="J981" s="15">
        <f>I981-'2021'!BA981</f>
        <v>0</v>
      </c>
      <c r="K981" s="34">
        <f>J981*$F$8</f>
        <v>0</v>
      </c>
      <c r="L981" s="28"/>
      <c r="M981" s="13">
        <v>46</v>
      </c>
      <c r="N981" s="15">
        <f t="shared" ref="N981:N982" si="2921">M981-I981</f>
        <v>0</v>
      </c>
      <c r="O981" s="34">
        <f>N981*$F$8</f>
        <v>0</v>
      </c>
      <c r="Q981" s="13">
        <v>46</v>
      </c>
      <c r="R981" s="15">
        <f t="shared" ref="R981:R982" si="2922">Q981-M981</f>
        <v>0</v>
      </c>
      <c r="S981" s="34">
        <f>R981*$F$8</f>
        <v>0</v>
      </c>
      <c r="T981" s="28"/>
      <c r="U981" s="13">
        <v>46</v>
      </c>
      <c r="V981" s="15">
        <f t="shared" ref="V981:V982" si="2923">U981-Q981</f>
        <v>0</v>
      </c>
      <c r="W981" s="34">
        <f>V981*$F$8</f>
        <v>0</v>
      </c>
      <c r="Y981" s="13">
        <v>46</v>
      </c>
      <c r="Z981" s="2">
        <f t="shared" ref="Z981:Z982" si="2924">Y981-U981</f>
        <v>0</v>
      </c>
      <c r="AA981" s="34">
        <f>Z981*$F$8</f>
        <v>0</v>
      </c>
      <c r="AB981" s="28">
        <v>11.66</v>
      </c>
      <c r="AC981" s="348">
        <v>49</v>
      </c>
      <c r="AD981" s="15">
        <f t="shared" ref="AD981:AD982" si="2925">AC981-Y981</f>
        <v>3</v>
      </c>
      <c r="AE981" s="180">
        <f>AD981*$F$8</f>
        <v>8.1</v>
      </c>
      <c r="AG981" s="15">
        <v>49</v>
      </c>
      <c r="AH981" s="2">
        <f>(AG981-AC981)*AH5</f>
        <v>0</v>
      </c>
      <c r="AI981" s="45">
        <f>AH981*$G$8</f>
        <v>0</v>
      </c>
      <c r="AJ981" s="15"/>
      <c r="AK981" s="15">
        <v>49</v>
      </c>
      <c r="AL981" s="15">
        <f>(AK981-AG981)*AL5</f>
        <v>0</v>
      </c>
      <c r="AM981" s="45">
        <f>AL981*$G$8</f>
        <v>0</v>
      </c>
      <c r="AN981" s="15"/>
      <c r="AO981" s="13">
        <v>49</v>
      </c>
      <c r="AP981" s="15">
        <f>(AO981-AK981)*AP5</f>
        <v>0</v>
      </c>
      <c r="AQ981" s="45">
        <f>AP981*$G$8</f>
        <v>0</v>
      </c>
      <c r="AR981" s="15"/>
      <c r="AS981" s="13">
        <v>49</v>
      </c>
      <c r="AT981" s="15">
        <f>(AS981-AO981)*AT5</f>
        <v>0</v>
      </c>
      <c r="AU981" s="45">
        <f t="shared" ref="AU981:AU982" si="2926">AT981*$G$8</f>
        <v>0</v>
      </c>
      <c r="AV981" s="15"/>
      <c r="AW981" s="13"/>
      <c r="AX981" s="15">
        <f>(AW981-AS981)*AX5</f>
        <v>0</v>
      </c>
      <c r="AY981" s="45">
        <f>AX981*$G$8</f>
        <v>0</v>
      </c>
      <c r="AZ981" s="208"/>
      <c r="BA981" s="13"/>
      <c r="BB981" s="15"/>
      <c r="BC981" s="45">
        <f>BB981*$G$8</f>
        <v>0</v>
      </c>
      <c r="BD981" s="208"/>
      <c r="BE981" s="40">
        <f t="shared" ref="BE981:BG981" si="2927">J981+N981+R981+V981+Z981+AD981+AH981+AL981+AP981+AT981+AX981+BB981</f>
        <v>3</v>
      </c>
      <c r="BF981" s="41">
        <f t="shared" si="2927"/>
        <v>8.1</v>
      </c>
      <c r="BG981" s="34">
        <f t="shared" si="2927"/>
        <v>11.66</v>
      </c>
      <c r="BH981" s="35">
        <f t="shared" si="2920"/>
        <v>7.14</v>
      </c>
      <c r="BK981" s="2" t="b">
        <f>H981='2021'!BH981</f>
        <v>1</v>
      </c>
    </row>
    <row r="982" ht="15.75" customHeight="1" spans="1:63" x14ac:dyDescent="0.25">
      <c r="A982" s="2">
        <v>109</v>
      </c>
      <c r="B982" s="14"/>
      <c r="C982" s="15" t="s">
        <v>456</v>
      </c>
      <c r="D982" s="14" t="s">
        <v>47</v>
      </c>
      <c r="E982" s="2" t="s">
        <v>48</v>
      </c>
      <c r="F982" s="41">
        <v>18.56</v>
      </c>
      <c r="G982" s="35">
        <v>19.46</v>
      </c>
      <c r="H982" s="34">
        <f>'2021'!BH982</f>
        <v>61.05</v>
      </c>
      <c r="I982" s="13">
        <v>11</v>
      </c>
      <c r="J982" s="15"/>
      <c r="K982" s="15"/>
      <c r="L982" s="28"/>
      <c r="M982" s="13">
        <v>11</v>
      </c>
      <c r="N982" s="15">
        <f t="shared" si="2921"/>
        <v>0</v>
      </c>
      <c r="Q982" s="13">
        <v>11</v>
      </c>
      <c r="R982" s="15">
        <f t="shared" si="2922"/>
        <v>0</v>
      </c>
      <c r="S982" s="15"/>
      <c r="T982" s="28"/>
      <c r="U982" s="13">
        <v>11</v>
      </c>
      <c r="V982" s="15">
        <f t="shared" si="2923"/>
        <v>0</v>
      </c>
      <c r="W982" s="180">
        <f>V982*$F$10</f>
        <v>0</v>
      </c>
      <c r="Y982" s="13">
        <v>11</v>
      </c>
      <c r="Z982" s="2">
        <f t="shared" si="2924"/>
        <v>0</v>
      </c>
      <c r="AA982" s="34">
        <f>Z982*$F$10</f>
        <v>0</v>
      </c>
      <c r="AB982" s="28">
        <v>61.05</v>
      </c>
      <c r="AC982" s="348">
        <v>12</v>
      </c>
      <c r="AD982" s="15">
        <f t="shared" si="2925"/>
        <v>1</v>
      </c>
      <c r="AE982" s="34">
        <f>AD982*$F$10</f>
        <v>20.35</v>
      </c>
      <c r="AG982" s="15">
        <v>13</v>
      </c>
      <c r="AH982" s="2">
        <f>AG982-AC982</f>
        <v>1</v>
      </c>
      <c r="AI982" s="45">
        <f>AH982*$G$10</f>
        <v>21.4</v>
      </c>
      <c r="AJ982" s="15"/>
      <c r="AK982" s="15">
        <v>13</v>
      </c>
      <c r="AL982" s="15">
        <f>AK982-AG982</f>
        <v>0</v>
      </c>
      <c r="AM982" s="45">
        <f>AL982*$G$10</f>
        <v>0</v>
      </c>
      <c r="AN982" s="15"/>
      <c r="AO982" s="13">
        <v>13</v>
      </c>
      <c r="AP982" s="15">
        <f>AO982-AK982</f>
        <v>0</v>
      </c>
      <c r="AQ982" s="45">
        <f>AP982*$G$10</f>
        <v>0</v>
      </c>
      <c r="AR982" s="15"/>
      <c r="AS982" s="13">
        <v>13</v>
      </c>
      <c r="AT982" s="15">
        <f>AS982-AO982</f>
        <v>0</v>
      </c>
      <c r="AU982" s="45">
        <f t="shared" si="2926"/>
        <v>0</v>
      </c>
      <c r="AV982" s="15"/>
      <c r="AW982" s="13"/>
      <c r="AX982" s="15">
        <f>AW982-AS982</f>
        <v>-13</v>
      </c>
      <c r="AY982" s="45"/>
      <c r="AZ982" s="208"/>
      <c r="BA982" s="13"/>
      <c r="BB982" s="15"/>
      <c r="BC982" s="45"/>
      <c r="BD982" s="208"/>
      <c r="BE982" s="40">
        <f t="shared" ref="BE982:BG982" si="2928">J982+N982+R982+V982+Z982+AD982+AH982+AL982+AP982+AT982+AX982+BB982</f>
        <v>-11</v>
      </c>
      <c r="BF982" s="41">
        <f t="shared" si="2928"/>
        <v>41.75</v>
      </c>
      <c r="BG982" s="34">
        <f t="shared" si="2928"/>
        <v>61.05</v>
      </c>
      <c r="BH982" s="35">
        <f t="shared" si="2920"/>
        <v>41.75</v>
      </c>
      <c r="BK982" s="2" t="b">
        <f>H982='2021'!BH982</f>
        <v>1</v>
      </c>
    </row>
    <row r="983" ht="15.75" customHeight="1" spans="1:63" x14ac:dyDescent="0.25">
      <c r="A983" s="2">
        <v>109</v>
      </c>
      <c r="B983" s="14"/>
      <c r="C983" s="15" t="s">
        <v>111</v>
      </c>
      <c r="D983" s="14" t="s">
        <v>47</v>
      </c>
      <c r="E983" s="2" t="s">
        <v>49</v>
      </c>
      <c r="F983" s="41">
        <v>500</v>
      </c>
      <c r="G983" s="28"/>
      <c r="H983" s="34">
        <f>'2021'!BH983</f>
        <v>0</v>
      </c>
      <c r="I983" s="13"/>
      <c r="J983" s="15"/>
      <c r="K983" s="15"/>
      <c r="L983" s="28"/>
      <c r="M983" s="13"/>
      <c r="N983" s="15"/>
      <c r="Q983" s="13"/>
      <c r="R983" s="15"/>
      <c r="S983" s="15"/>
      <c r="T983" s="28"/>
      <c r="U983" s="13"/>
      <c r="V983" s="15"/>
      <c r="Y983" s="13"/>
      <c r="Z983" s="2"/>
      <c r="AA983" s="15"/>
      <c r="AB983" s="28"/>
      <c r="AC983" s="348"/>
      <c r="AD983" s="15"/>
      <c r="AG983" s="15"/>
      <c r="AH983" s="2"/>
      <c r="AI983" s="45"/>
      <c r="AJ983" s="15"/>
      <c r="AK983" s="15"/>
      <c r="AL983" s="15"/>
      <c r="AM983" s="45"/>
      <c r="AN983" s="15"/>
      <c r="AO983" s="13"/>
      <c r="AP983" s="15"/>
      <c r="AQ983" s="45"/>
      <c r="AR983" s="15"/>
      <c r="AS983" s="13"/>
      <c r="AT983" s="15"/>
      <c r="AU983" s="45"/>
      <c r="AV983" s="15"/>
      <c r="AW983" s="13"/>
      <c r="AX983" s="15"/>
      <c r="AY983" s="45"/>
      <c r="AZ983" s="28"/>
      <c r="BA983" s="13"/>
      <c r="BB983" s="15"/>
      <c r="BC983" s="45"/>
      <c r="BD983" s="28"/>
      <c r="BE983" s="14"/>
      <c r="BF983" s="41">
        <f t="shared" ref="BF983:BG983" si="2929">K983+O983+S983+W983+AA983+AE983+AI983+AM983+AQ983+AU983+AY983+BC983</f>
        <v>0</v>
      </c>
      <c r="BG983" s="34">
        <f t="shared" si="2929"/>
        <v>0</v>
      </c>
      <c r="BH983" s="35">
        <f t="shared" si="2920"/>
        <v>0</v>
      </c>
      <c r="BK983" s="2" t="b">
        <f>H983='2021'!BH983</f>
        <v>1</v>
      </c>
    </row>
    <row r="984" ht="15.75" customHeight="1" spans="1:63" x14ac:dyDescent="0.25">
      <c r="A984" s="2">
        <v>109</v>
      </c>
      <c r="B984" s="14"/>
      <c r="C984" s="15" t="s">
        <v>457</v>
      </c>
      <c r="D984" s="14" t="s">
        <v>50</v>
      </c>
      <c r="E984" s="2" t="s">
        <v>49</v>
      </c>
      <c r="F984" s="41">
        <v>1100</v>
      </c>
      <c r="G984" s="28"/>
      <c r="H984" s="34">
        <f>'2021'!BH984</f>
        <v>6842</v>
      </c>
      <c r="I984" s="13"/>
      <c r="J984" s="15"/>
      <c r="K984" s="15"/>
      <c r="L984" s="28"/>
      <c r="M984" s="13"/>
      <c r="N984" s="15"/>
      <c r="Q984" s="13"/>
      <c r="R984" s="15"/>
      <c r="S984" s="15"/>
      <c r="T984" s="28"/>
      <c r="U984" s="13"/>
      <c r="V984" s="15"/>
      <c r="Y984" s="13"/>
      <c r="Z984" s="2"/>
      <c r="AA984" s="15"/>
      <c r="AB984" s="28">
        <v>6842</v>
      </c>
      <c r="AC984" s="348"/>
      <c r="AD984" s="15"/>
      <c r="AE984" s="34">
        <f>B981*$F$12</f>
        <v>8086</v>
      </c>
      <c r="AG984" s="15"/>
      <c r="AH984" s="2"/>
      <c r="AI984" s="45"/>
      <c r="AJ984" s="15"/>
      <c r="AK984" s="15"/>
      <c r="AL984" s="15"/>
      <c r="AM984" s="45"/>
      <c r="AN984" s="15"/>
      <c r="AO984" s="13"/>
      <c r="AP984" s="15"/>
      <c r="AQ984" s="45"/>
      <c r="AR984" s="15"/>
      <c r="AS984" s="13"/>
      <c r="AT984" s="15"/>
      <c r="AU984" s="45"/>
      <c r="AV984" s="15"/>
      <c r="AW984" s="13"/>
      <c r="AX984" s="15"/>
      <c r="AY984" s="45"/>
      <c r="AZ984" s="28"/>
      <c r="BA984" s="13"/>
      <c r="BB984" s="15"/>
      <c r="BC984" s="45"/>
      <c r="BD984" s="28"/>
      <c r="BE984" s="14"/>
      <c r="BF984" s="41">
        <f t="shared" ref="BF984:BG984" si="2930">K984+O984+S984+W984+AA984+AE984+AI984+AM984+AQ984+AU984+AY984+BC984</f>
        <v>8086</v>
      </c>
      <c r="BG984" s="34">
        <f t="shared" si="2930"/>
        <v>6842</v>
      </c>
      <c r="BH984" s="35">
        <f t="shared" si="2920"/>
        <v>8086</v>
      </c>
      <c r="BK984" s="2" t="b">
        <f>H984='2021'!BH984</f>
        <v>1</v>
      </c>
    </row>
    <row r="985" ht="15.75" customHeight="1" spans="1:63" x14ac:dyDescent="0.25">
      <c r="A985" s="2">
        <v>109</v>
      </c>
      <c r="B985" s="14"/>
      <c r="D985" s="14" t="s">
        <v>51</v>
      </c>
      <c r="E985" s="2" t="s">
        <v>39</v>
      </c>
      <c r="F985" s="41">
        <v>500</v>
      </c>
      <c r="G985" s="28"/>
      <c r="H985" s="34">
        <f>'2021'!BH985</f>
        <v>0</v>
      </c>
      <c r="I985" s="13"/>
      <c r="J985" s="15"/>
      <c r="K985" s="15"/>
      <c r="L985" s="28"/>
      <c r="M985" s="13"/>
      <c r="N985" s="15"/>
      <c r="Q985" s="13"/>
      <c r="R985" s="15"/>
      <c r="S985" s="15"/>
      <c r="T985" s="28"/>
      <c r="U985" s="13"/>
      <c r="V985" s="15"/>
      <c r="Y985" s="13"/>
      <c r="Z985" s="2"/>
      <c r="AA985" s="15"/>
      <c r="AB985" s="28"/>
      <c r="AC985" s="348"/>
      <c r="AD985" s="15"/>
      <c r="AE985" s="180">
        <f>$F$13</f>
        <v>1000</v>
      </c>
      <c r="AG985" s="15"/>
      <c r="AH985" s="2"/>
      <c r="AI985" s="45"/>
      <c r="AJ985" s="15"/>
      <c r="AK985" s="15"/>
      <c r="AL985" s="15"/>
      <c r="AM985" s="45"/>
      <c r="AN985" s="15"/>
      <c r="AO985" s="13"/>
      <c r="AP985" s="15"/>
      <c r="AQ985" s="180"/>
      <c r="AR985" s="15"/>
      <c r="AS985" s="13"/>
      <c r="AT985" s="15"/>
      <c r="AU985" s="45"/>
      <c r="AV985" s="15"/>
      <c r="AW985" s="13"/>
      <c r="AX985" s="15"/>
      <c r="AY985" s="45"/>
      <c r="AZ985" s="28"/>
      <c r="BA985" s="13"/>
      <c r="BB985" s="15"/>
      <c r="BC985" s="45"/>
      <c r="BD985" s="28"/>
      <c r="BE985" s="14"/>
      <c r="BF985" s="41">
        <f t="shared" ref="BF985:BG985" si="2931">K985+O985+S985+W985+AA985+AE985+AI985+AM985+AQ985+AU985+AY985+BC985</f>
        <v>1000</v>
      </c>
      <c r="BG985" s="34">
        <f t="shared" si="2931"/>
        <v>0</v>
      </c>
      <c r="BH985" s="35">
        <f t="shared" si="2920"/>
        <v>1000</v>
      </c>
      <c r="BK985" s="2" t="b">
        <f>H985='2021'!BH985</f>
        <v>1</v>
      </c>
    </row>
    <row r="986" ht="15.75" customHeight="1" spans="1:63" x14ac:dyDescent="0.25">
      <c r="A986" s="2">
        <v>109</v>
      </c>
      <c r="B986" s="14"/>
      <c r="D986" s="14" t="s">
        <v>51</v>
      </c>
      <c r="E986" s="2" t="s">
        <v>49</v>
      </c>
      <c r="F986" s="41">
        <v>500</v>
      </c>
      <c r="G986" s="28"/>
      <c r="H986" s="34">
        <f>'2021'!BH986</f>
        <v>0</v>
      </c>
      <c r="I986" s="13"/>
      <c r="J986" s="15"/>
      <c r="K986" s="15"/>
      <c r="L986" s="28"/>
      <c r="M986" s="13"/>
      <c r="N986" s="15"/>
      <c r="Q986" s="13"/>
      <c r="R986" s="15"/>
      <c r="S986" s="15"/>
      <c r="T986" s="28"/>
      <c r="U986" s="13"/>
      <c r="V986" s="15"/>
      <c r="Y986" s="13"/>
      <c r="Z986" s="2"/>
      <c r="AA986" s="15"/>
      <c r="AB986" s="28"/>
      <c r="AC986" s="348"/>
      <c r="AD986" s="15"/>
      <c r="AE986" s="34"/>
      <c r="AG986" s="15"/>
      <c r="AH986" s="2"/>
      <c r="AI986" s="45"/>
      <c r="AJ986" s="15"/>
      <c r="AK986" s="15"/>
      <c r="AL986" s="15"/>
      <c r="AM986" s="45"/>
      <c r="AN986" s="15"/>
      <c r="AO986" s="13"/>
      <c r="AP986" s="15"/>
      <c r="AQ986" s="180">
        <f>B981*$F$14</f>
        <v>0</v>
      </c>
      <c r="AR986" s="15"/>
      <c r="AS986" s="13"/>
      <c r="AT986" s="15"/>
      <c r="AU986" s="45"/>
      <c r="AV986" s="15"/>
      <c r="AW986" s="13"/>
      <c r="AX986" s="15"/>
      <c r="AY986" s="45"/>
      <c r="AZ986" s="28"/>
      <c r="BA986" s="13"/>
      <c r="BB986" s="15"/>
      <c r="BC986" s="45"/>
      <c r="BD986" s="28"/>
      <c r="BE986" s="14"/>
      <c r="BF986" s="41">
        <f t="shared" ref="BF986:BG986" si="2932">K986+O986+S986+W986+AA986+AE986+AI986+AM986+AQ986+AU986+AY986+BC986</f>
        <v>0</v>
      </c>
      <c r="BG986" s="34">
        <f t="shared" si="2932"/>
        <v>0</v>
      </c>
      <c r="BH986" s="35">
        <f t="shared" si="2920"/>
        <v>0</v>
      </c>
      <c r="BK986" s="2" t="b">
        <f>H986='2021'!BH986</f>
        <v>1</v>
      </c>
    </row>
    <row r="987" ht="15.75" customHeight="1" spans="1:63" x14ac:dyDescent="0.25">
      <c r="A987" s="2">
        <v>109</v>
      </c>
      <c r="B987" s="14"/>
      <c r="C987" s="15"/>
      <c r="D987" s="14" t="s">
        <v>52</v>
      </c>
      <c r="E987" s="2" t="s">
        <v>39</v>
      </c>
      <c r="F987" s="41">
        <v>500</v>
      </c>
      <c r="G987" s="28"/>
      <c r="H987" s="34">
        <f>'2021'!BH987</f>
        <v>0</v>
      </c>
      <c r="I987" s="13"/>
      <c r="J987" s="15"/>
      <c r="K987" s="15"/>
      <c r="L987" s="28"/>
      <c r="M987" s="13"/>
      <c r="N987" s="15"/>
      <c r="Q987" s="13"/>
      <c r="R987" s="15"/>
      <c r="S987" s="15"/>
      <c r="T987" s="28"/>
      <c r="U987" s="13"/>
      <c r="V987" s="15"/>
      <c r="Y987" s="13"/>
      <c r="Z987" s="2"/>
      <c r="AA987" s="34">
        <f>$F$15</f>
      </c>
      <c r="AB987" s="28"/>
      <c r="AC987" s="348"/>
      <c r="AD987" s="15"/>
      <c r="AG987" s="15"/>
      <c r="AH987" s="2"/>
      <c r="AI987" s="45"/>
      <c r="AJ987" s="15"/>
      <c r="AK987" s="15"/>
      <c r="AL987" s="15"/>
      <c r="AM987" s="45"/>
      <c r="AN987" s="15"/>
      <c r="AO987" s="13"/>
      <c r="AP987" s="15"/>
      <c r="AQ987" s="45"/>
      <c r="AR987" s="15"/>
      <c r="AS987" s="13"/>
      <c r="AT987" s="15"/>
      <c r="AU987" s="45"/>
      <c r="AV987" s="15"/>
      <c r="AW987" s="13"/>
      <c r="AX987" s="15"/>
      <c r="AY987" s="45"/>
      <c r="AZ987" s="35"/>
      <c r="BA987" s="13"/>
      <c r="BB987" s="15"/>
      <c r="BC987" s="45"/>
      <c r="BD987" s="35"/>
      <c r="BE987" s="14"/>
      <c r="BF987" s="41">
        <f t="shared" ref="BF987:BG987" si="2933">K987+O987+S987+W987+AA987+AE987+AI987+AM987+AQ987+AU987+AY987+BC987</f>
        <v>0</v>
      </c>
      <c r="BG987" s="34">
        <f t="shared" si="2933"/>
        <v>0</v>
      </c>
      <c r="BH987" s="35">
        <f t="shared" si="2920"/>
        <v>0</v>
      </c>
      <c r="BK987" s="2" t="b">
        <f>H987='2021'!BH987</f>
        <v>1</v>
      </c>
    </row>
    <row r="988" ht="15.75" customHeight="1" spans="1:63" x14ac:dyDescent="0.25">
      <c r="A988" s="247">
        <v>109</v>
      </c>
      <c r="B988" s="21"/>
      <c r="C988" s="22" t="s">
        <v>53</v>
      </c>
      <c r="D988" s="21"/>
      <c r="E988" s="22"/>
      <c r="F988" s="109"/>
      <c r="G988" s="23"/>
      <c r="H988" s="51">
        <f>SUM(H980:H987)</f>
        <v>6940.3</v>
      </c>
      <c r="I988" s="52"/>
      <c r="J988" s="53"/>
      <c r="K988" s="51">
        <f t="shared" ref="K988:L988" si="2934">SUM(K980:K987)</f>
        <v>0</v>
      </c>
      <c r="L988" s="68">
        <f t="shared" si="2934"/>
        <v>0</v>
      </c>
      <c r="M988" s="52"/>
      <c r="N988" s="53"/>
      <c r="O988" s="51">
        <f t="shared" ref="O988:P988" si="2935">SUM(O980:O987)</f>
        <v>0</v>
      </c>
      <c r="P988" s="51">
        <f t="shared" si="2935"/>
        <v>0</v>
      </c>
      <c r="Q988" s="52"/>
      <c r="R988" s="53"/>
      <c r="S988" s="51">
        <f t="shared" ref="S988:T988" si="2936">SUM(S980:S987)</f>
        <v>21.21</v>
      </c>
      <c r="T988" s="51">
        <f t="shared" si="2936"/>
        <v>0</v>
      </c>
      <c r="U988" s="52"/>
      <c r="V988" s="53"/>
      <c r="W988" s="51">
        <f t="shared" ref="W988:X988" si="2937">SUM(W980:W987)</f>
        <v>20.53</v>
      </c>
      <c r="X988" s="51">
        <f t="shared" si="2937"/>
        <v>0</v>
      </c>
      <c r="Y988" s="52"/>
      <c r="Z988" s="301"/>
      <c r="AA988" s="51">
        <f t="shared" ref="AA988:AB988" si="2938">SUM(AA980:AA987)</f>
        <v>13</v>
      </c>
      <c r="AB988" s="51">
        <f t="shared" si="2938"/>
        <v>6983</v>
      </c>
      <c r="AC988" s="367"/>
      <c r="AD988" s="53"/>
      <c r="AE988" s="51">
        <f t="shared" ref="AE988:AF988" si="2939">SUM(AE980:AE987)</f>
        <v>9114.45</v>
      </c>
      <c r="AF988" s="51">
        <f t="shared" si="2939"/>
        <v>0</v>
      </c>
      <c r="AG988" s="52"/>
      <c r="AH988" s="301"/>
      <c r="AI988" s="183">
        <f t="shared" ref="AI988:AJ988" si="2940">SUM(AI980:AI987)</f>
        <v>21.4</v>
      </c>
      <c r="AJ988" s="51">
        <f t="shared" si="2940"/>
        <v>0</v>
      </c>
      <c r="AK988" s="52"/>
      <c r="AL988" s="53"/>
      <c r="AM988" s="183">
        <f t="shared" ref="AM988:AN988" si="2941">SUM(AM980:AM987)</f>
        <v>0</v>
      </c>
      <c r="AN988" s="51">
        <f t="shared" si="2941"/>
        <v>0</v>
      </c>
      <c r="AO988" s="52"/>
      <c r="AP988" s="53"/>
      <c r="AQ988" s="183">
        <f t="shared" ref="AQ988:AR988" si="2942">SUM(AQ980:AQ987)</f>
        <v>0</v>
      </c>
      <c r="AR988" s="51">
        <f t="shared" si="2942"/>
        <v>0</v>
      </c>
      <c r="AS988" s="52"/>
      <c r="AT988" s="53"/>
      <c r="AU988" s="183">
        <f t="shared" ref="AU988:AV988" si="2943">SUM(AU980:AU987)</f>
        <v>0</v>
      </c>
      <c r="AV988" s="68">
        <f t="shared" si="2943"/>
        <v>0</v>
      </c>
      <c r="AW988" s="52"/>
      <c r="AX988" s="53"/>
      <c r="AY988" s="183">
        <f t="shared" ref="AY988:AZ988" si="2944">SUM(AY980:AY987)</f>
        <v>0</v>
      </c>
      <c r="AZ988" s="68">
        <f t="shared" si="2944"/>
        <v>0</v>
      </c>
      <c r="BA988" s="52"/>
      <c r="BB988" s="53"/>
      <c r="BC988" s="183">
        <f t="shared" ref="BC988:BD988" si="2945">SUM(BC980:BC987)</f>
        <v>0</v>
      </c>
      <c r="BD988" s="68">
        <f t="shared" si="2945"/>
        <v>0</v>
      </c>
      <c r="BE988" s="69"/>
      <c r="BF988" s="70">
        <f t="shared" ref="BF988:BH988" si="2946">SUM(BF980:BF987)</f>
        <v>9190.59</v>
      </c>
      <c r="BG988" s="71">
        <f t="shared" si="2946"/>
        <v>6983</v>
      </c>
      <c r="BH988" s="72">
        <f t="shared" si="2946"/>
        <v>9147.89</v>
      </c>
      <c r="BI988" s="34">
        <f>H988+BF988-BG988</f>
        <v>9147.89</v>
      </c>
      <c r="BJ988" s="34">
        <f>BH988-BI988</f>
        <v>0</v>
      </c>
      <c r="BK988" s="2" t="b">
        <f>H988='2021'!BH988</f>
        <v>1</v>
      </c>
    </row>
    <row r="989" ht="15.75" customHeight="1" spans="1:63" x14ac:dyDescent="0.25">
      <c r="A989" s="2">
        <v>110</v>
      </c>
      <c r="B989" s="14"/>
      <c r="D989" s="176" t="s">
        <v>550</v>
      </c>
      <c r="F989" s="41"/>
      <c r="G989" s="28"/>
      <c r="H989" s="34">
        <f>'2021'!BH989</f>
        <v>424.02</v>
      </c>
      <c r="I989" s="13"/>
      <c r="J989" s="15"/>
      <c r="K989" s="15">
        <v>42.64</v>
      </c>
      <c r="L989" s="28"/>
      <c r="M989" s="13"/>
      <c r="N989" s="15"/>
      <c r="Q989" s="13"/>
      <c r="R989" s="15"/>
      <c r="S989" s="15"/>
      <c r="T989" s="28">
        <v>466.66</v>
      </c>
      <c r="U989" s="13"/>
      <c r="V989" s="15"/>
      <c r="W989" s="153"/>
      <c r="Y989" s="13"/>
      <c r="Z989" s="2"/>
      <c r="AA989" s="15"/>
      <c r="AB989" s="28"/>
      <c r="AC989" s="348"/>
      <c r="AD989" s="15"/>
      <c r="AG989" s="15"/>
      <c r="AH989" s="2"/>
      <c r="AI989" s="45"/>
      <c r="AJ989" s="15"/>
      <c r="AK989" s="15"/>
      <c r="AM989" s="45"/>
      <c r="AO989" s="13"/>
      <c r="AQ989" s="180"/>
      <c r="AS989" s="13"/>
      <c r="AU989" s="180"/>
      <c r="AW989" s="13"/>
      <c r="AY989" s="180"/>
      <c r="AZ989" s="28"/>
      <c r="BA989" s="13"/>
      <c r="BB989" s="15"/>
      <c r="BC989" s="180"/>
      <c r="BD989" s="28"/>
      <c r="BE989" s="14"/>
      <c r="BF989" s="41">
        <f t="shared" ref="BF989:BG989" si="2947">K989+O989+S989+W989+AA989+AE989+AI989+AM989+AQ989+AU989+AY989+BC989</f>
        <v>42.64</v>
      </c>
      <c r="BG989" s="34">
        <f t="shared" si="2947"/>
        <v>466.66</v>
      </c>
      <c r="BH989" s="35">
        <f t="shared" ref="BH989:BH996" si="2948">H989+BF989-BG989</f>
        <v>0</v>
      </c>
      <c r="BK989" s="2" t="b">
        <f>H989='2021'!BH989</f>
        <v>1</v>
      </c>
    </row>
    <row r="990" ht="15.75" customHeight="1" spans="1:63" x14ac:dyDescent="0.25">
      <c r="A990" s="2">
        <v>110</v>
      </c>
      <c r="B990" s="14">
        <v>4.91</v>
      </c>
      <c r="C990" s="2" t="s">
        <v>564</v>
      </c>
      <c r="D990" s="14" t="s">
        <v>44</v>
      </c>
      <c r="E990" s="2" t="s">
        <v>45</v>
      </c>
      <c r="F990" s="41">
        <v>2.5</v>
      </c>
      <c r="G990" s="35">
        <v>2.6</v>
      </c>
      <c r="H990" s="34">
        <f>'2021'!BH990</f>
        <v>109.1</v>
      </c>
      <c r="I990" s="13">
        <v>154</v>
      </c>
      <c r="J990" s="15">
        <f>I990-'2021'!BA990</f>
        <v>0</v>
      </c>
      <c r="K990" s="34">
        <f>J990*$F$8</f>
        <v>0</v>
      </c>
      <c r="L990" s="28"/>
      <c r="M990" s="13">
        <v>154</v>
      </c>
      <c r="N990" s="15">
        <f t="shared" ref="N990:N991" si="2949">M990-I990</f>
        <v>0</v>
      </c>
      <c r="O990" s="34">
        <f>N990*$F$8</f>
        <v>0</v>
      </c>
      <c r="Q990" s="13">
        <v>159</v>
      </c>
      <c r="R990" s="15">
        <f t="shared" ref="R990:R991" si="2950">Q990-M990</f>
        <v>5</v>
      </c>
      <c r="S990" s="34">
        <f>R990*$F$8</f>
        <v>13.5</v>
      </c>
      <c r="T990" s="28">
        <v>109.1</v>
      </c>
      <c r="U990" s="13">
        <v>297</v>
      </c>
      <c r="V990" s="15">
        <f t="shared" ref="V990:V991" si="2951">U990-Q990</f>
        <v>138</v>
      </c>
      <c r="W990" s="180">
        <f>V990*$F$8</f>
        <v>372.6</v>
      </c>
      <c r="X990" s="2">
        <f>109+300</f>
        <v>409</v>
      </c>
      <c r="Y990" s="13">
        <v>595</v>
      </c>
      <c r="Z990" s="2">
        <f>Y990-U990</f>
        <v>298</v>
      </c>
      <c r="AA990" s="34">
        <f>Z990*$F$8</f>
        <v>804.6</v>
      </c>
      <c r="AB990" s="28">
        <v>805</v>
      </c>
      <c r="AC990" s="348">
        <v>709</v>
      </c>
      <c r="AD990" s="15">
        <f t="shared" ref="AD990:AD991" si="2952">AC990-Y990</f>
        <v>114</v>
      </c>
      <c r="AE990" s="180">
        <f>AD990*$F$8</f>
        <v>307.8</v>
      </c>
      <c r="AG990" s="15">
        <v>836</v>
      </c>
      <c r="AH990" s="2">
        <f>(AG990-AC990)*AH5</f>
        <v>134.112</v>
      </c>
      <c r="AI990" s="45">
        <f>AH990*$G$8</f>
        <v>329.91552</v>
      </c>
      <c r="AJ990" s="1">
        <v>308</v>
      </c>
      <c r="AK990" s="15">
        <v>994</v>
      </c>
      <c r="AL990" s="15">
        <f>(AK990-AG990)*AL5</f>
        <v>162.424</v>
      </c>
      <c r="AM990" s="45">
        <f>AL990*$G$8</f>
        <v>399.56304</v>
      </c>
      <c r="AN990" s="1">
        <v>310</v>
      </c>
      <c r="AO990" s="13">
        <v>1168</v>
      </c>
      <c r="AP990" s="15">
        <f>(AO990-AK990)*AP5</f>
        <v>179.742</v>
      </c>
      <c r="AQ990" s="45">
        <f>AP990*$G$8</f>
        <v>442.16532</v>
      </c>
      <c r="AR990" s="1">
        <v>396</v>
      </c>
      <c r="AS990" s="13">
        <v>1350</v>
      </c>
      <c r="AT990" s="15">
        <f>(AS990-AO990)*AT5</f>
        <v>191.1</v>
      </c>
      <c r="AU990" s="45">
        <f>AT990*$G$8</f>
        <v>470.106</v>
      </c>
      <c r="AV990" s="15">
        <v>450</v>
      </c>
      <c r="AW990" s="13"/>
      <c r="AX990" s="15">
        <f>(AW990-AS990)*AX5</f>
        <v>0</v>
      </c>
      <c r="AY990" s="45">
        <f>AX990*$G$8</f>
        <v>0</v>
      </c>
      <c r="AZ990" s="208"/>
      <c r="BA990" s="13"/>
      <c r="BB990" s="15"/>
      <c r="BC990" s="45">
        <f>BB990*$G$8</f>
        <v>0</v>
      </c>
      <c r="BD990" s="208"/>
      <c r="BE990" s="40">
        <f t="shared" ref="BE990:BG990" si="2953">J990+N990+R990+V990+Z990+AD990+AH990+AL990+AP990+AT990+AX990+BB990</f>
        <v>1222.378</v>
      </c>
      <c r="BF990" s="41">
        <f t="shared" si="2953"/>
        <v>3140.24988</v>
      </c>
      <c r="BG990" s="34">
        <f t="shared" si="2953"/>
        <v>2787.1</v>
      </c>
      <c r="BH990" s="35">
        <f t="shared" si="2948"/>
        <v>462.24988</v>
      </c>
      <c r="BK990" s="2" t="b">
        <f>H990='2021'!BH990</f>
        <v>1</v>
      </c>
    </row>
    <row r="991" ht="15.75" customHeight="1" spans="1:63" x14ac:dyDescent="0.25">
      <c r="A991" s="2">
        <v>110</v>
      </c>
      <c r="B991" s="14"/>
      <c r="C991" s="15" t="s">
        <v>90</v>
      </c>
      <c r="D991" s="14" t="s">
        <v>47</v>
      </c>
      <c r="E991" s="2" t="s">
        <v>48</v>
      </c>
      <c r="F991" s="41">
        <v>18.56</v>
      </c>
      <c r="G991" s="35">
        <v>19.46</v>
      </c>
      <c r="H991" s="34">
        <f>'2021'!BH991</f>
        <v>38.02</v>
      </c>
      <c r="I991" s="13">
        <v>41</v>
      </c>
      <c r="J991" s="15"/>
      <c r="K991" s="15"/>
      <c r="L991" s="28"/>
      <c r="M991" s="13">
        <v>41</v>
      </c>
      <c r="N991" s="15">
        <f t="shared" si="2949"/>
        <v>0</v>
      </c>
      <c r="Q991" s="13">
        <v>41</v>
      </c>
      <c r="R991" s="15">
        <f t="shared" si="2950"/>
        <v>0</v>
      </c>
      <c r="S991" s="15"/>
      <c r="T991" s="28">
        <v>38.02</v>
      </c>
      <c r="U991" s="13">
        <v>41</v>
      </c>
      <c r="V991" s="15">
        <f t="shared" si="2951"/>
        <v>0</v>
      </c>
      <c r="W991" s="34">
        <f>V991*$F$10</f>
        <v>0</v>
      </c>
      <c r="Y991" s="13">
        <v>0</v>
      </c>
      <c r="Z991" s="2">
        <v>0</v>
      </c>
      <c r="AA991" s="34">
        <f>Z991*$F$10</f>
        <v>0</v>
      </c>
      <c r="AB991" s="28"/>
      <c r="AC991" s="348">
        <v>5</v>
      </c>
      <c r="AD991" s="15">
        <f t="shared" si="2952"/>
        <v>5</v>
      </c>
      <c r="AE991" s="34">
        <f>AD991*$F$10</f>
        <v>101.75</v>
      </c>
      <c r="AG991" s="15">
        <v>5</v>
      </c>
      <c r="AH991" s="2">
        <f>AG991-AC991</f>
        <v>0</v>
      </c>
      <c r="AI991" s="45">
        <f>AH991*$G$10</f>
        <v>0</v>
      </c>
      <c r="AJ991" s="39"/>
      <c r="AK991" s="15">
        <v>13</v>
      </c>
      <c r="AL991" s="15">
        <f>AK991-AG991</f>
        <v>8</v>
      </c>
      <c r="AM991" s="45">
        <f>AL991*$G$10</f>
        <v>171.2</v>
      </c>
      <c r="AN991" s="15"/>
      <c r="AO991" s="13">
        <v>16</v>
      </c>
      <c r="AP991" s="15">
        <f>AO991-AK991</f>
        <v>3</v>
      </c>
      <c r="AQ991" s="45">
        <f>AP991*$G$10</f>
        <v>64.2</v>
      </c>
      <c r="AR991" s="1">
        <v>273</v>
      </c>
      <c r="AS991" s="13">
        <v>16</v>
      </c>
      <c r="AT991" s="15">
        <f>AS991-AO991</f>
        <v>0</v>
      </c>
      <c r="AU991" s="45">
        <f>AT991*$G$10</f>
        <v>0</v>
      </c>
      <c r="AV991" s="15">
        <v>65</v>
      </c>
      <c r="AW991" s="13"/>
      <c r="AX991" s="15">
        <f>AW991-AS991</f>
        <v>-16</v>
      </c>
      <c r="AY991" s="45"/>
      <c r="AZ991" s="208"/>
      <c r="BA991" s="13"/>
      <c r="BB991" s="15"/>
      <c r="BC991" s="45"/>
      <c r="BD991" s="208"/>
      <c r="BE991" s="40">
        <f t="shared" ref="BE991:BG991" si="2954">J991+N991+R991+V991+Z991+AD991+AH991+AL991+AP991+AT991+AX991+BB991</f>
        <v>0</v>
      </c>
      <c r="BF991" s="41">
        <f t="shared" si="2954"/>
        <v>337.15</v>
      </c>
      <c r="BG991" s="34">
        <f t="shared" si="2954"/>
        <v>376.02</v>
      </c>
      <c r="BH991" s="35">
        <f t="shared" si="2948"/>
        <v>-0.85</v>
      </c>
      <c r="BK991" s="2" t="b">
        <f>H991='2021'!BH991</f>
        <v>1</v>
      </c>
    </row>
    <row r="992" ht="15.75" customHeight="1" spans="1:63" x14ac:dyDescent="0.25">
      <c r="A992" s="2">
        <v>110</v>
      </c>
      <c r="B992" s="14"/>
      <c r="C992" s="15" t="s">
        <v>208</v>
      </c>
      <c r="D992" s="14" t="s">
        <v>47</v>
      </c>
      <c r="E992" s="2" t="s">
        <v>49</v>
      </c>
      <c r="F992" s="41">
        <v>500</v>
      </c>
      <c r="G992" s="28"/>
      <c r="H992" s="34">
        <f>'2021'!BH992</f>
        <v>0</v>
      </c>
      <c r="I992" s="13"/>
      <c r="J992" s="15"/>
      <c r="K992" s="15"/>
      <c r="L992" s="28"/>
      <c r="M992" s="13"/>
      <c r="N992" s="15"/>
      <c r="Q992" s="13"/>
      <c r="R992" s="15"/>
      <c r="S992" s="15"/>
      <c r="T992" s="28"/>
      <c r="U992" s="13"/>
      <c r="V992" s="15"/>
      <c r="W992" s="153"/>
      <c r="Y992" s="13"/>
      <c r="Z992" s="2"/>
      <c r="AA992" s="15"/>
      <c r="AB992" s="28"/>
      <c r="AC992" s="348"/>
      <c r="AD992" s="15"/>
      <c r="AG992" s="15"/>
      <c r="AH992" s="2"/>
      <c r="AI992" s="45"/>
      <c r="AJ992" s="15"/>
      <c r="AK992" s="15"/>
      <c r="AL992" s="15"/>
      <c r="AM992" s="45"/>
      <c r="AN992" s="15"/>
      <c r="AO992" s="13"/>
      <c r="AP992" s="15"/>
      <c r="AQ992" s="45"/>
      <c r="AR992" s="15"/>
      <c r="AS992" s="13"/>
      <c r="AT992" s="15"/>
      <c r="AU992" s="45"/>
      <c r="AV992" s="15"/>
      <c r="AW992" s="13"/>
      <c r="AX992" s="15"/>
      <c r="AY992" s="45"/>
      <c r="AZ992" s="28"/>
      <c r="BA992" s="13"/>
      <c r="BB992" s="15"/>
      <c r="BC992" s="45"/>
      <c r="BD992" s="28"/>
      <c r="BE992" s="14"/>
      <c r="BF992" s="41">
        <f t="shared" ref="BF992:BG992" si="2955">K992+O992+S992+W992+AA992+AE992+AI992+AM992+AQ992+AU992+AY992+BC992</f>
        <v>0</v>
      </c>
      <c r="BG992" s="34">
        <f t="shared" si="2955"/>
        <v>0</v>
      </c>
      <c r="BH992" s="35">
        <f t="shared" si="2948"/>
        <v>0</v>
      </c>
      <c r="BK992" s="2" t="b">
        <f>H992='2021'!BH992</f>
        <v>1</v>
      </c>
    </row>
    <row r="993" ht="15.75" customHeight="1" spans="1:63" x14ac:dyDescent="0.25">
      <c r="A993" s="2">
        <v>110</v>
      </c>
      <c r="B993" s="14"/>
      <c r="C993" s="2" t="s">
        <v>565</v>
      </c>
      <c r="D993" s="14" t="s">
        <v>50</v>
      </c>
      <c r="E993" s="2" t="s">
        <v>49</v>
      </c>
      <c r="F993" s="41">
        <v>1100</v>
      </c>
      <c r="G993" s="28"/>
      <c r="H993" s="34">
        <f>'2021'!BH993</f>
        <v>10802</v>
      </c>
      <c r="I993" s="13"/>
      <c r="J993" s="15"/>
      <c r="K993" s="15"/>
      <c r="L993" s="28"/>
      <c r="M993" s="13"/>
      <c r="N993" s="15"/>
      <c r="Q993" s="13"/>
      <c r="R993" s="15"/>
      <c r="S993" s="15"/>
      <c r="T993" s="28">
        <v>10802</v>
      </c>
      <c r="U993" s="13"/>
      <c r="V993" s="15"/>
      <c r="W993" s="153"/>
      <c r="Y993" s="13"/>
      <c r="Z993" s="2"/>
      <c r="AA993" s="15"/>
      <c r="AB993" s="28"/>
      <c r="AC993" s="348"/>
      <c r="AD993" s="15"/>
      <c r="AE993" s="34">
        <f>B990*$F$12</f>
        <v>6383</v>
      </c>
      <c r="AG993" s="15"/>
      <c r="AH993" s="2"/>
      <c r="AI993" s="45"/>
      <c r="AJ993" s="1"/>
      <c r="AK993" s="15"/>
      <c r="AL993" s="15"/>
      <c r="AM993" s="45"/>
      <c r="AN993" s="15"/>
      <c r="AO993" s="13"/>
      <c r="AP993" s="15"/>
      <c r="AQ993" s="45"/>
      <c r="AR993" s="15"/>
      <c r="AS993" s="13"/>
      <c r="AT993" s="15"/>
      <c r="AU993" s="45"/>
      <c r="AV993" s="15"/>
      <c r="AW993" s="13"/>
      <c r="AX993" s="15"/>
      <c r="AY993" s="45"/>
      <c r="AZ993" s="28"/>
      <c r="BA993" s="13"/>
      <c r="BB993" s="15"/>
      <c r="BC993" s="45"/>
      <c r="BD993" s="28"/>
      <c r="BE993" s="14"/>
      <c r="BF993" s="41">
        <f t="shared" ref="BF993:BG993" si="2956">K993+O993+S993+W993+AA993+AE993+AI993+AM993+AQ993+AU993+AY993+BC993</f>
        <v>6383</v>
      </c>
      <c r="BG993" s="34">
        <f t="shared" si="2956"/>
        <v>10802</v>
      </c>
      <c r="BH993" s="35">
        <f t="shared" si="2948"/>
        <v>6383</v>
      </c>
      <c r="BK993" s="2" t="b">
        <f>H993='2021'!BH993</f>
        <v>1</v>
      </c>
    </row>
    <row r="994" ht="15.75" customHeight="1" spans="1:63" x14ac:dyDescent="0.25">
      <c r="A994" s="2">
        <v>110</v>
      </c>
      <c r="B994" s="14"/>
      <c r="D994" s="14" t="s">
        <v>51</v>
      </c>
      <c r="E994" s="2" t="s">
        <v>39</v>
      </c>
      <c r="F994" s="41">
        <v>500</v>
      </c>
      <c r="G994" s="28"/>
      <c r="H994" s="34">
        <f>'2021'!BH994</f>
        <v>500</v>
      </c>
      <c r="I994" s="13"/>
      <c r="J994" s="15"/>
      <c r="K994" s="15"/>
      <c r="L994" s="28"/>
      <c r="M994" s="13"/>
      <c r="N994" s="15"/>
      <c r="Q994" s="13"/>
      <c r="R994" s="15"/>
      <c r="S994" s="15"/>
      <c r="T994" s="28">
        <v>500</v>
      </c>
      <c r="U994" s="13"/>
      <c r="V994" s="15"/>
      <c r="W994" s="153"/>
      <c r="Y994" s="13"/>
      <c r="Z994" s="2"/>
      <c r="AA994" s="15"/>
      <c r="AB994" s="28"/>
      <c r="AC994" s="348"/>
      <c r="AD994" s="15"/>
      <c r="AE994" s="180">
        <f>$F$13</f>
        <v>1000</v>
      </c>
      <c r="AG994" s="15"/>
      <c r="AH994" s="2"/>
      <c r="AI994" s="45"/>
      <c r="AJ994" s="15"/>
      <c r="AK994" s="15"/>
      <c r="AL994" s="15"/>
      <c r="AM994" s="45"/>
      <c r="AN994" s="15"/>
      <c r="AO994" s="13"/>
      <c r="AP994" s="15"/>
      <c r="AQ994" s="180"/>
      <c r="AR994" s="15"/>
      <c r="AS994" s="13"/>
      <c r="AT994" s="15"/>
      <c r="AU994" s="45"/>
      <c r="AV994" s="15"/>
      <c r="AW994" s="13"/>
      <c r="AX994" s="15"/>
      <c r="AY994" s="45"/>
      <c r="AZ994" s="28"/>
      <c r="BA994" s="13"/>
      <c r="BB994" s="15"/>
      <c r="BC994" s="45"/>
      <c r="BD994" s="28"/>
      <c r="BE994" s="14"/>
      <c r="BF994" s="41">
        <f t="shared" ref="BF994:BG994" si="2957">K994+O994+S994+W994+AA994+AE994+AI994+AM994+AQ994+AU994+AY994+BC994</f>
        <v>1000</v>
      </c>
      <c r="BG994" s="34">
        <f t="shared" si="2957"/>
        <v>500</v>
      </c>
      <c r="BH994" s="35">
        <f t="shared" si="2948"/>
        <v>1000</v>
      </c>
      <c r="BK994" s="2" t="b">
        <f>H994='2021'!BH994</f>
        <v>1</v>
      </c>
    </row>
    <row r="995" ht="15.75" customHeight="1" spans="1:63" x14ac:dyDescent="0.25">
      <c r="A995" s="2">
        <v>110</v>
      </c>
      <c r="B995" s="14"/>
      <c r="D995" s="14" t="s">
        <v>51</v>
      </c>
      <c r="E995" s="2" t="s">
        <v>49</v>
      </c>
      <c r="F995" s="41">
        <v>500</v>
      </c>
      <c r="G995" s="28"/>
      <c r="H995" s="34">
        <f>'2021'!BH995</f>
        <v>2455</v>
      </c>
      <c r="I995" s="13"/>
      <c r="J995" s="15"/>
      <c r="K995" s="15"/>
      <c r="L995" s="28"/>
      <c r="M995" s="13"/>
      <c r="N995" s="15"/>
      <c r="Q995" s="13"/>
      <c r="R995" s="15"/>
      <c r="S995" s="15"/>
      <c r="T995" s="28">
        <v>2455</v>
      </c>
      <c r="U995" s="13"/>
      <c r="V995" s="15"/>
      <c r="W995" s="153"/>
      <c r="Y995" s="13"/>
      <c r="Z995" s="2"/>
      <c r="AA995" s="15"/>
      <c r="AB995" s="28"/>
      <c r="AC995" s="348"/>
      <c r="AD995" s="15"/>
      <c r="AE995" s="34"/>
      <c r="AG995" s="15"/>
      <c r="AH995" s="2"/>
      <c r="AI995" s="45"/>
      <c r="AJ995" s="15"/>
      <c r="AK995" s="15"/>
      <c r="AL995" s="15"/>
      <c r="AM995" s="45"/>
      <c r="AN995" s="15"/>
      <c r="AO995" s="13"/>
      <c r="AP995" s="15"/>
      <c r="AQ995" s="180">
        <f>B990*$F$14</f>
        <v>0</v>
      </c>
      <c r="AR995" s="15"/>
      <c r="AS995" s="13"/>
      <c r="AT995" s="15"/>
      <c r="AU995" s="45"/>
      <c r="AV995" s="15"/>
      <c r="AW995" s="13"/>
      <c r="AX995" s="15"/>
      <c r="AY995" s="45"/>
      <c r="AZ995" s="28"/>
      <c r="BA995" s="13"/>
      <c r="BB995" s="15"/>
      <c r="BC995" s="45"/>
      <c r="BD995" s="28"/>
      <c r="BE995" s="14"/>
      <c r="BF995" s="41">
        <f t="shared" ref="BF995:BG995" si="2958">K995+O995+S995+W995+AA995+AE995+AI995+AM995+AQ995+AU995+AY995+BC995</f>
        <v>0</v>
      </c>
      <c r="BG995" s="34">
        <f t="shared" si="2958"/>
        <v>2455</v>
      </c>
      <c r="BH995" s="35">
        <f t="shared" si="2948"/>
        <v>0</v>
      </c>
      <c r="BK995" s="2" t="b">
        <f>H995='2021'!BH995</f>
        <v>1</v>
      </c>
    </row>
    <row r="996" ht="15.75" customHeight="1" spans="1:63" x14ac:dyDescent="0.25">
      <c r="A996" s="2">
        <v>110</v>
      </c>
      <c r="B996" s="14"/>
      <c r="D996" s="14" t="s">
        <v>52</v>
      </c>
      <c r="E996" s="2" t="s">
        <v>39</v>
      </c>
      <c r="F996" s="41">
        <v>500</v>
      </c>
      <c r="G996" s="28"/>
      <c r="H996" s="34">
        <f>'2021'!BH996</f>
        <v>500</v>
      </c>
      <c r="I996" s="13"/>
      <c r="J996" s="15"/>
      <c r="K996" s="15"/>
      <c r="L996" s="28"/>
      <c r="M996" s="13"/>
      <c r="N996" s="15"/>
      <c r="Q996" s="13"/>
      <c r="R996" s="15"/>
      <c r="S996" s="15"/>
      <c r="T996" s="28">
        <v>500</v>
      </c>
      <c r="U996" s="13"/>
      <c r="V996" s="15"/>
      <c r="W996" s="153"/>
      <c r="Y996" s="13"/>
      <c r="Z996" s="2"/>
      <c r="AA996" s="34">
        <f>$F$15</f>
      </c>
      <c r="AB996" s="28"/>
      <c r="AC996" s="348"/>
      <c r="AD996" s="15"/>
      <c r="AG996" s="15"/>
      <c r="AH996" s="2"/>
      <c r="AI996" s="45"/>
      <c r="AJ996" s="15"/>
      <c r="AK996" s="15"/>
      <c r="AL996" s="15"/>
      <c r="AM996" s="45"/>
      <c r="AN996" s="15"/>
      <c r="AO996" s="13"/>
      <c r="AP996" s="15"/>
      <c r="AQ996" s="45"/>
      <c r="AR996" s="15"/>
      <c r="AS996" s="13"/>
      <c r="AT996" s="15"/>
      <c r="AU996" s="45"/>
      <c r="AV996" s="15"/>
      <c r="AW996" s="13"/>
      <c r="AX996" s="15"/>
      <c r="AY996" s="45"/>
      <c r="AZ996" s="35"/>
      <c r="BA996" s="13"/>
      <c r="BB996" s="15"/>
      <c r="BC996" s="45"/>
      <c r="BD996" s="35"/>
      <c r="BE996" s="14"/>
      <c r="BF996" s="41">
        <f t="shared" ref="BF996:BG996" si="2959">K996+O996+S996+W996+AA996+AE996+AI996+AM996+AQ996+AU996+AY996+BC996</f>
        <v>0</v>
      </c>
      <c r="BG996" s="34">
        <f t="shared" si="2959"/>
        <v>500</v>
      </c>
      <c r="BH996" s="35">
        <f t="shared" si="2948"/>
        <v>0</v>
      </c>
      <c r="BK996" s="2" t="b">
        <f>H996='2021'!BH996</f>
        <v>1</v>
      </c>
    </row>
    <row r="997" ht="15.75" customHeight="1" spans="1:63" x14ac:dyDescent="0.25">
      <c r="A997" s="247">
        <v>110</v>
      </c>
      <c r="B997" s="21"/>
      <c r="C997" s="22" t="s">
        <v>53</v>
      </c>
      <c r="D997" s="21"/>
      <c r="E997" s="22"/>
      <c r="F997" s="109"/>
      <c r="G997" s="23"/>
      <c r="H997" s="51">
        <f>SUM(H989:H996)</f>
        <v>14828.14</v>
      </c>
      <c r="I997" s="52"/>
      <c r="J997" s="53"/>
      <c r="K997" s="51">
        <f t="shared" ref="K997:L997" si="2960">SUM(K989:K996)</f>
        <v>42.64</v>
      </c>
      <c r="L997" s="68">
        <f t="shared" si="2960"/>
        <v>0</v>
      </c>
      <c r="M997" s="52"/>
      <c r="N997" s="53"/>
      <c r="O997" s="51">
        <f t="shared" ref="O997:P997" si="2961">SUM(O989:O996)</f>
        <v>0</v>
      </c>
      <c r="P997" s="51">
        <f t="shared" si="2961"/>
        <v>0</v>
      </c>
      <c r="Q997" s="52"/>
      <c r="R997" s="53"/>
      <c r="S997" s="51">
        <f t="shared" ref="S997:T997" si="2962">SUM(S989:S996)</f>
        <v>13.5</v>
      </c>
      <c r="T997" s="51">
        <f t="shared" si="2962"/>
        <v>14870.78</v>
      </c>
      <c r="U997" s="52"/>
      <c r="V997" s="53"/>
      <c r="W997" s="183">
        <f t="shared" ref="W997:X997" si="2963">SUM(W989:W996)</f>
        <v>372.6</v>
      </c>
      <c r="X997" s="51">
        <f t="shared" si="2963"/>
        <v>409</v>
      </c>
      <c r="Y997" s="52"/>
      <c r="Z997" s="301"/>
      <c r="AA997" s="51">
        <f t="shared" ref="AA997:AB997" si="2964">SUM(AA989:AA996)</f>
        <v>804.6</v>
      </c>
      <c r="AB997" s="51">
        <f t="shared" si="2964"/>
        <v>805</v>
      </c>
      <c r="AC997" s="367"/>
      <c r="AD997" s="53"/>
      <c r="AE997" s="51">
        <f t="shared" ref="AE997:AF997" si="2965">SUM(AE989:AE996)</f>
        <v>7792.55</v>
      </c>
      <c r="AF997" s="51">
        <f t="shared" si="2965"/>
        <v>0</v>
      </c>
      <c r="AG997" s="52"/>
      <c r="AH997" s="301"/>
      <c r="AI997" s="183">
        <f t="shared" ref="AI997:AJ997" si="2966">SUM(AI989:AI996)</f>
        <v>329.91552</v>
      </c>
      <c r="AJ997" s="51">
        <f t="shared" si="2966"/>
        <v>308</v>
      </c>
      <c r="AK997" s="52"/>
      <c r="AL997" s="53"/>
      <c r="AM997" s="183">
        <f t="shared" ref="AM997:AN997" si="2967">SUM(AM989:AM996)</f>
        <v>570.76304</v>
      </c>
      <c r="AN997" s="51">
        <f t="shared" si="2967"/>
        <v>310</v>
      </c>
      <c r="AO997" s="52"/>
      <c r="AP997" s="53"/>
      <c r="AQ997" s="183">
        <f t="shared" ref="AQ997:AR997" si="2968">SUM(AQ989:AQ996)</f>
        <v>506.36532</v>
      </c>
      <c r="AR997" s="51">
        <f t="shared" si="2968"/>
        <v>669</v>
      </c>
      <c r="AS997" s="52"/>
      <c r="AT997" s="53"/>
      <c r="AU997" s="183">
        <f t="shared" ref="AU997:AV997" si="2969">SUM(AU989:AU996)</f>
        <v>470.106</v>
      </c>
      <c r="AV997" s="68">
        <f t="shared" si="2969"/>
        <v>515</v>
      </c>
      <c r="AW997" s="52"/>
      <c r="AX997" s="53"/>
      <c r="AY997" s="183">
        <f t="shared" ref="AY997:AZ997" si="2970">SUM(AY989:AY996)</f>
        <v>0</v>
      </c>
      <c r="AZ997" s="68">
        <f t="shared" si="2970"/>
        <v>0</v>
      </c>
      <c r="BA997" s="52"/>
      <c r="BB997" s="53"/>
      <c r="BC997" s="183">
        <f t="shared" ref="BC997:BD997" si="2971">SUM(BC989:BC996)</f>
        <v>0</v>
      </c>
      <c r="BD997" s="68">
        <f t="shared" si="2971"/>
        <v>0</v>
      </c>
      <c r="BE997" s="69"/>
      <c r="BF997" s="70">
        <f t="shared" ref="BF997:BH997" si="2972">SUM(BF989:BF996)</f>
        <v>10903.03988</v>
      </c>
      <c r="BG997" s="71">
        <f t="shared" si="2972"/>
        <v>17886.78</v>
      </c>
      <c r="BH997" s="72">
        <f t="shared" si="2972"/>
        <v>7844.39988</v>
      </c>
      <c r="BI997" s="34">
        <f>H997+BF997-BG997</f>
        <v>7844.39988</v>
      </c>
      <c r="BJ997" s="34">
        <f>BH997-BI997</f>
        <v>0</v>
      </c>
      <c r="BK997" s="2" t="b">
        <f>H997='2021'!BH997</f>
        <v>1</v>
      </c>
    </row>
    <row r="998" ht="15.75" customHeight="1" spans="1:63" x14ac:dyDescent="0.25">
      <c r="A998" s="2">
        <v>111</v>
      </c>
      <c r="B998" s="14"/>
      <c r="D998" s="176" t="s">
        <v>544</v>
      </c>
      <c r="F998" s="41"/>
      <c r="G998" s="28"/>
      <c r="H998" s="34">
        <f>'2021'!BH998</f>
        <v>0.1</v>
      </c>
      <c r="I998" s="13"/>
      <c r="J998" s="15"/>
      <c r="K998" s="15"/>
      <c r="L998" s="28"/>
      <c r="M998" s="13"/>
      <c r="N998" s="15"/>
      <c r="Q998" s="13"/>
      <c r="R998" s="15"/>
      <c r="S998" s="15"/>
      <c r="T998" s="28"/>
      <c r="U998" s="13"/>
      <c r="V998" s="15"/>
      <c r="W998" s="153"/>
      <c r="Y998" s="13"/>
      <c r="Z998" s="2"/>
      <c r="AA998" s="154">
        <v>248.5</v>
      </c>
      <c r="AB998" s="28"/>
      <c r="AC998" s="348"/>
      <c r="AD998" s="15"/>
      <c r="AG998" s="15"/>
      <c r="AH998" s="2"/>
      <c r="AI998" s="45"/>
      <c r="AJ998" s="15"/>
      <c r="AK998" s="15"/>
      <c r="AM998" s="45"/>
      <c r="AN998" s="317">
        <v>248.6</v>
      </c>
      <c r="AO998" s="13"/>
      <c r="AQ998" s="45"/>
      <c r="AS998" s="13"/>
      <c r="AU998" s="45"/>
      <c r="AW998" s="13"/>
      <c r="AY998" s="45"/>
      <c r="AZ998" s="28"/>
      <c r="BA998" s="13"/>
      <c r="BB998" s="15"/>
      <c r="BC998" s="45"/>
      <c r="BD998" s="28"/>
      <c r="BE998" s="14"/>
      <c r="BF998" s="41">
        <f t="shared" ref="BF998:BG998" si="2973">K998+O998+S998+W998+AA998+AE998+AI998+AM998+AQ998+AU998+AY998+BC998</f>
        <v>248.5</v>
      </c>
      <c r="BG998" s="34">
        <f t="shared" si="2973"/>
        <v>248.6</v>
      </c>
      <c r="BH998" s="35">
        <f t="shared" ref="BH998:BH1005" si="2974">H998+BF998-BG998</f>
        <v>0</v>
      </c>
      <c r="BK998" s="2" t="b">
        <f>H998='2021'!BH998</f>
        <v>1</v>
      </c>
    </row>
    <row r="999" ht="15.75" customHeight="1" spans="1:63" x14ac:dyDescent="0.25">
      <c r="A999" s="2">
        <v>111</v>
      </c>
      <c r="B999" s="42">
        <v>6.8</v>
      </c>
      <c r="C999" s="2" t="s">
        <v>513</v>
      </c>
      <c r="D999" s="14" t="s">
        <v>44</v>
      </c>
      <c r="E999" s="2" t="s">
        <v>45</v>
      </c>
      <c r="F999" s="41">
        <v>2.5</v>
      </c>
      <c r="G999" s="35">
        <v>2.6</v>
      </c>
      <c r="H999" s="34">
        <f>'2021'!BH999</f>
        <v>-13.4</v>
      </c>
      <c r="I999" s="13">
        <v>15801</v>
      </c>
      <c r="J999" s="15">
        <f>I999-'2021'!BA999</f>
        <v>2916</v>
      </c>
      <c r="K999" s="34">
        <f>J999*$F$8</f>
        <v>7873.2</v>
      </c>
      <c r="L999" s="32"/>
      <c r="M999" s="13">
        <v>19544</v>
      </c>
      <c r="N999" s="15">
        <f t="shared" ref="N999:N1000" si="2975">M999-I999</f>
        <v>3743</v>
      </c>
      <c r="O999" s="34">
        <f>N999*$F$8</f>
        <v>10106.1</v>
      </c>
      <c r="P999" s="1">
        <v>18000</v>
      </c>
      <c r="Q999" s="13">
        <v>22644</v>
      </c>
      <c r="R999" s="15">
        <f t="shared" ref="R999:R1000" si="2976">Q999-M999</f>
        <v>3100</v>
      </c>
      <c r="S999" s="34">
        <f>R999*$F$8</f>
        <v>8370</v>
      </c>
      <c r="T999" s="32">
        <v>10000</v>
      </c>
      <c r="U999" s="13">
        <v>24888</v>
      </c>
      <c r="V999" s="15">
        <f t="shared" ref="V999:V1000" si="2977">U999-Q999</f>
        <v>2244</v>
      </c>
      <c r="W999" s="34">
        <f>V999*$F$8</f>
        <v>6058.8</v>
      </c>
      <c r="Y999" s="13">
        <v>25812</v>
      </c>
      <c r="Z999" s="2">
        <f t="shared" ref="Z999:Z1000" si="2978">Y999-U999</f>
        <v>924</v>
      </c>
      <c r="AA999" s="34">
        <f>Z999*$F$8</f>
        <v>2494.8</v>
      </c>
      <c r="AB999" s="38">
        <v>7000</v>
      </c>
      <c r="AC999" s="348">
        <v>26538</v>
      </c>
      <c r="AD999" s="15">
        <f t="shared" ref="AD999:AD1000" si="2979">AC999-Y999</f>
        <v>726</v>
      </c>
      <c r="AE999" s="180">
        <f>AD999*$F$8</f>
        <v>1960.2</v>
      </c>
      <c r="AF999" s="1"/>
      <c r="AG999" s="15">
        <v>26995</v>
      </c>
      <c r="AH999" s="2">
        <f>(AG999-AC999)*AH5</f>
        <v>482.592</v>
      </c>
      <c r="AI999" s="45">
        <f>AH999*$G$8</f>
        <v>1187.17632</v>
      </c>
      <c r="AJ999" s="180"/>
      <c r="AK999" s="15">
        <v>27692</v>
      </c>
      <c r="AL999" s="15">
        <f>(AK999-AG999)*AL5</f>
        <v>716.516</v>
      </c>
      <c r="AM999" s="45">
        <f>AL999*$G$8</f>
        <v>1762.62936</v>
      </c>
      <c r="AN999" s="1">
        <f>4000+3911.4</f>
        <v>7911.4</v>
      </c>
      <c r="AO999" s="13">
        <v>28507</v>
      </c>
      <c r="AP999" s="15">
        <f>(AO999-AK999)*AP5</f>
        <v>841.895</v>
      </c>
      <c r="AQ999" s="45">
        <f>AP999*$G$8</f>
        <v>2071.0617</v>
      </c>
      <c r="AR999" s="1"/>
      <c r="AS999" s="13">
        <v>30713</v>
      </c>
      <c r="AT999" s="15">
        <f>(AS999-AO999)*AT5</f>
        <v>2316.3</v>
      </c>
      <c r="AU999" s="45">
        <f>AT999*$G$8</f>
        <v>5698.098</v>
      </c>
      <c r="AV999" s="1"/>
      <c r="AW999" s="13"/>
      <c r="AX999" s="15">
        <f>(AW999-AS999)*AX5</f>
        <v>0</v>
      </c>
      <c r="AY999" s="45">
        <f>AX999*$G$8</f>
        <v>0</v>
      </c>
      <c r="AZ999" s="242"/>
      <c r="BA999" s="13"/>
      <c r="BB999" s="15"/>
      <c r="BC999" s="45">
        <f>BB999*$G$8</f>
        <v>0</v>
      </c>
      <c r="BD999" s="208"/>
      <c r="BE999" s="40">
        <f t="shared" ref="BE999:BG999" si="2980">J999+N999+R999+V999+Z999+AD999+AH999+AL999+AP999+AT999+AX999+BB999</f>
        <v>18010.303</v>
      </c>
      <c r="BF999" s="41">
        <f t="shared" si="2980"/>
        <v>47582.06538</v>
      </c>
      <c r="BG999" s="34">
        <f t="shared" si="2980"/>
        <v>42911.4</v>
      </c>
      <c r="BH999" s="35">
        <f t="shared" si="2974"/>
        <v>4657.26538</v>
      </c>
      <c r="BK999" s="2" t="b">
        <f>H999='2021'!BH999</f>
        <v>1</v>
      </c>
    </row>
    <row r="1000" ht="15.75" customHeight="1" spans="1:63" x14ac:dyDescent="0.25">
      <c r="A1000" s="2">
        <v>111</v>
      </c>
      <c r="B1000" s="14"/>
      <c r="C1000" s="2" t="s">
        <v>514</v>
      </c>
      <c r="D1000" s="14" t="s">
        <v>47</v>
      </c>
      <c r="E1000" s="2" t="s">
        <v>48</v>
      </c>
      <c r="F1000" s="41">
        <v>18.56</v>
      </c>
      <c r="G1000" s="35">
        <v>19.46</v>
      </c>
      <c r="H1000" s="34">
        <f>'2021'!BH1000</f>
        <v>-326.36</v>
      </c>
      <c r="I1000" s="13">
        <v>15</v>
      </c>
      <c r="J1000" s="15"/>
      <c r="K1000" s="15"/>
      <c r="L1000" s="28"/>
      <c r="M1000" s="13">
        <v>15</v>
      </c>
      <c r="N1000" s="15">
        <f t="shared" si="2975"/>
        <v>0</v>
      </c>
      <c r="Q1000" s="13">
        <v>15</v>
      </c>
      <c r="R1000" s="15">
        <f t="shared" si="2976"/>
        <v>0</v>
      </c>
      <c r="S1000" s="15"/>
      <c r="T1000" s="28"/>
      <c r="U1000" s="13">
        <v>15</v>
      </c>
      <c r="V1000" s="15">
        <f t="shared" si="2977"/>
        <v>0</v>
      </c>
      <c r="W1000" s="180">
        <f>V1000*$F$10</f>
        <v>0</v>
      </c>
      <c r="Y1000" s="13">
        <v>20</v>
      </c>
      <c r="Z1000" s="2">
        <f t="shared" si="2978"/>
        <v>5</v>
      </c>
      <c r="AA1000" s="34">
        <f>Z1000*$F$10</f>
        <v>101.75</v>
      </c>
      <c r="AB1000" s="28"/>
      <c r="AC1000" s="350">
        <v>25</v>
      </c>
      <c r="AD1000" s="15">
        <f t="shared" si="2979"/>
        <v>5</v>
      </c>
      <c r="AE1000" s="34">
        <f>AD1000*$F$10</f>
        <v>101.75</v>
      </c>
      <c r="AF1000" s="1"/>
      <c r="AG1000" s="13">
        <v>27</v>
      </c>
      <c r="AH1000" s="2">
        <f>AG1000-AC1000</f>
        <v>2</v>
      </c>
      <c r="AI1000" s="45">
        <f>AH1000*$G$10</f>
        <v>42.8</v>
      </c>
      <c r="AJ1000" s="180"/>
      <c r="AK1000" s="13">
        <v>28</v>
      </c>
      <c r="AL1000" s="15">
        <f>AK1000-AG1000</f>
        <v>1</v>
      </c>
      <c r="AM1000" s="45">
        <f>AL1000*$G$10</f>
        <v>21.4</v>
      </c>
      <c r="AN1000" s="1"/>
      <c r="AO1000" s="13">
        <v>28</v>
      </c>
      <c r="AP1000" s="15">
        <f>AO1000-AK1000</f>
        <v>0</v>
      </c>
      <c r="AQ1000" s="45">
        <f>AP1000*$G$10</f>
        <v>0</v>
      </c>
      <c r="AR1000" s="15"/>
      <c r="AS1000" s="13">
        <v>28</v>
      </c>
      <c r="AT1000" s="15">
        <f>AS1000-AO1000</f>
        <v>0</v>
      </c>
      <c r="AU1000" s="45">
        <f>AT1000*$G$10</f>
        <v>0</v>
      </c>
      <c r="AV1000" s="15"/>
      <c r="AW1000" s="13"/>
      <c r="AX1000" s="15">
        <f>AW1000-AS1000</f>
        <v>-28</v>
      </c>
      <c r="AY1000" s="45"/>
      <c r="AZ1000" s="249"/>
      <c r="BA1000" s="13"/>
      <c r="BB1000" s="15"/>
      <c r="BC1000" s="45"/>
      <c r="BD1000" s="208"/>
      <c r="BE1000" s="40">
        <f t="shared" ref="BE1000:BG1000" si="2981">J1000+N1000+R1000+V1000+Z1000+AD1000+AH1000+AL1000+AP1000+AT1000+AX1000+BB1000</f>
        <v>-15</v>
      </c>
      <c r="BF1000" s="41">
        <f t="shared" si="2981"/>
        <v>267.7</v>
      </c>
      <c r="BG1000" s="34">
        <f t="shared" si="2981"/>
        <v>0</v>
      </c>
      <c r="BH1000" s="35">
        <f t="shared" si="2974"/>
        <v>-58.66</v>
      </c>
      <c r="BK1000" s="2" t="b">
        <f>H1000='2021'!BH1000</f>
        <v>1</v>
      </c>
    </row>
    <row r="1001" ht="15.75" customHeight="1" spans="1:63" x14ac:dyDescent="0.25">
      <c r="A1001" s="2">
        <v>111</v>
      </c>
      <c r="B1001" s="14"/>
      <c r="C1001" s="15" t="s">
        <v>84</v>
      </c>
      <c r="D1001" s="14" t="s">
        <v>47</v>
      </c>
      <c r="E1001" s="2" t="s">
        <v>49</v>
      </c>
      <c r="F1001" s="41">
        <v>500</v>
      </c>
      <c r="G1001" s="28"/>
      <c r="H1001" s="34">
        <f>'2021'!BH1001</f>
        <v>0</v>
      </c>
      <c r="I1001" s="13"/>
      <c r="J1001" s="15"/>
      <c r="K1001" s="15"/>
      <c r="L1001" s="28"/>
      <c r="M1001" s="13"/>
      <c r="N1001" s="15"/>
      <c r="Q1001" s="13"/>
      <c r="R1001" s="15"/>
      <c r="S1001" s="15"/>
      <c r="T1001" s="28"/>
      <c r="U1001" s="13"/>
      <c r="V1001" s="15"/>
      <c r="Y1001" s="13"/>
      <c r="Z1001" s="2"/>
      <c r="AA1001" s="15"/>
      <c r="AB1001" s="28"/>
      <c r="AC1001" s="348"/>
      <c r="AD1001" s="15"/>
      <c r="AG1001" s="15"/>
      <c r="AH1001" s="2"/>
      <c r="AI1001" s="45"/>
      <c r="AJ1001" s="1"/>
      <c r="AK1001" s="15"/>
      <c r="AL1001" s="15"/>
      <c r="AM1001" s="45"/>
      <c r="AN1001" s="1"/>
      <c r="AO1001" s="13"/>
      <c r="AP1001" s="15"/>
      <c r="AQ1001" s="45"/>
      <c r="AR1001" s="15"/>
      <c r="AS1001" s="13"/>
      <c r="AT1001" s="15"/>
      <c r="AU1001" s="45"/>
      <c r="AV1001" s="15"/>
      <c r="AW1001" s="13"/>
      <c r="AX1001" s="15"/>
      <c r="AY1001" s="45"/>
      <c r="AZ1001" s="32"/>
      <c r="BA1001" s="13"/>
      <c r="BB1001" s="15"/>
      <c r="BC1001" s="45"/>
      <c r="BD1001" s="28"/>
      <c r="BE1001" s="14"/>
      <c r="BF1001" s="41">
        <f t="shared" ref="BF1001:BG1001" si="2982">K1001+O1001+S1001+W1001+AA1001+AE1001+AI1001+AM1001+AQ1001+AU1001+AY1001+BC1001</f>
        <v>0</v>
      </c>
      <c r="BG1001" s="34">
        <f t="shared" si="2982"/>
        <v>0</v>
      </c>
      <c r="BH1001" s="35">
        <f t="shared" si="2974"/>
        <v>0</v>
      </c>
      <c r="BK1001" s="2" t="b">
        <f>H1001='2021'!BH1001</f>
        <v>1</v>
      </c>
    </row>
    <row r="1002" ht="15.75" customHeight="1" spans="1:63" x14ac:dyDescent="0.25">
      <c r="A1002" s="2">
        <v>111</v>
      </c>
      <c r="B1002" s="14"/>
      <c r="D1002" s="14" t="s">
        <v>50</v>
      </c>
      <c r="E1002" s="2" t="s">
        <v>49</v>
      </c>
      <c r="F1002" s="41">
        <v>1100</v>
      </c>
      <c r="G1002" s="28"/>
      <c r="H1002" s="34">
        <f>'2021'!BH1002</f>
        <v>0</v>
      </c>
      <c r="I1002" s="13"/>
      <c r="J1002" s="15"/>
      <c r="K1002" s="15"/>
      <c r="L1002" s="28"/>
      <c r="M1002" s="13"/>
      <c r="N1002" s="15"/>
      <c r="Q1002" s="13"/>
      <c r="R1002" s="15"/>
      <c r="S1002" s="15"/>
      <c r="T1002" s="28"/>
      <c r="U1002" s="13"/>
      <c r="V1002" s="15"/>
      <c r="Y1002" s="13"/>
      <c r="Z1002" s="2"/>
      <c r="AA1002" s="15"/>
      <c r="AB1002" s="28"/>
      <c r="AC1002" s="348"/>
      <c r="AD1002" s="15"/>
      <c r="AE1002" s="34">
        <f>B999*$F$12</f>
        <v>8840</v>
      </c>
      <c r="AG1002" s="15"/>
      <c r="AH1002" s="2"/>
      <c r="AI1002" s="45"/>
      <c r="AJ1002" s="248"/>
      <c r="AK1002" s="15"/>
      <c r="AL1002" s="15"/>
      <c r="AM1002" s="45"/>
      <c r="AN1002" s="1">
        <v>8840</v>
      </c>
      <c r="AO1002" s="13"/>
      <c r="AP1002" s="15"/>
      <c r="AQ1002" s="45"/>
      <c r="AR1002" s="15"/>
      <c r="AS1002" s="13"/>
      <c r="AT1002" s="15"/>
      <c r="AU1002" s="45"/>
      <c r="AV1002" s="15"/>
      <c r="AW1002" s="13"/>
      <c r="AX1002" s="15"/>
      <c r="AY1002" s="45"/>
      <c r="AZ1002" s="32"/>
      <c r="BA1002" s="13"/>
      <c r="BB1002" s="15"/>
      <c r="BC1002" s="45"/>
      <c r="BD1002" s="28"/>
      <c r="BE1002" s="14"/>
      <c r="BF1002" s="41">
        <f t="shared" ref="BF1002:BG1002" si="2983">K1002+O1002+S1002+W1002+AA1002+AE1002+AI1002+AM1002+AQ1002+AU1002+AY1002+BC1002</f>
        <v>8840</v>
      </c>
      <c r="BG1002" s="34">
        <f t="shared" si="2983"/>
        <v>8840</v>
      </c>
      <c r="BH1002" s="35">
        <f t="shared" si="2974"/>
        <v>0</v>
      </c>
      <c r="BK1002" s="2" t="b">
        <f>H1002='2021'!BH1002</f>
        <v>1</v>
      </c>
    </row>
    <row r="1003" ht="15.75" customHeight="1" spans="1:63" x14ac:dyDescent="0.25">
      <c r="A1003" s="2">
        <v>111</v>
      </c>
      <c r="B1003" s="14"/>
      <c r="C1003" s="2" t="s">
        <v>459</v>
      </c>
      <c r="D1003" s="14" t="s">
        <v>51</v>
      </c>
      <c r="E1003" s="2" t="s">
        <v>39</v>
      </c>
      <c r="F1003" s="41">
        <v>500</v>
      </c>
      <c r="G1003" s="28"/>
      <c r="H1003" s="34">
        <f>'2021'!BH1003</f>
        <v>0</v>
      </c>
      <c r="I1003" s="13"/>
      <c r="J1003" s="15"/>
      <c r="K1003" s="15"/>
      <c r="L1003" s="28"/>
      <c r="M1003" s="13"/>
      <c r="N1003" s="15"/>
      <c r="Q1003" s="13"/>
      <c r="R1003" s="15"/>
      <c r="S1003" s="15"/>
      <c r="T1003" s="28"/>
      <c r="U1003" s="13"/>
      <c r="V1003" s="15"/>
      <c r="Y1003" s="13"/>
      <c r="Z1003" s="2"/>
      <c r="AA1003" s="15"/>
      <c r="AB1003" s="28"/>
      <c r="AC1003" s="348"/>
      <c r="AD1003" s="15"/>
      <c r="AE1003" s="180">
        <f>$F$13</f>
        <v>1000</v>
      </c>
      <c r="AG1003" s="15"/>
      <c r="AH1003" s="2"/>
      <c r="AI1003" s="45"/>
      <c r="AJ1003" s="15"/>
      <c r="AK1003" s="15"/>
      <c r="AL1003" s="15"/>
      <c r="AM1003" s="45"/>
      <c r="AN1003" s="1">
        <v>1000</v>
      </c>
      <c r="AO1003" s="13"/>
      <c r="AP1003" s="15"/>
      <c r="AQ1003" s="180"/>
      <c r="AR1003" s="15"/>
      <c r="AS1003" s="13"/>
      <c r="AT1003" s="15"/>
      <c r="AU1003" s="45"/>
      <c r="AV1003" s="15"/>
      <c r="AW1003" s="13"/>
      <c r="AX1003" s="15"/>
      <c r="AY1003" s="45"/>
      <c r="AZ1003" s="35"/>
      <c r="BA1003" s="13"/>
      <c r="BB1003" s="15"/>
      <c r="BC1003" s="45"/>
      <c r="BD1003" s="28"/>
      <c r="BE1003" s="14"/>
      <c r="BF1003" s="41">
        <f t="shared" ref="BF1003:BG1003" si="2984">K1003+O1003+S1003+W1003+AA1003+AE1003+AI1003+AM1003+AQ1003+AU1003+AY1003+BC1003</f>
        <v>1000</v>
      </c>
      <c r="BG1003" s="34">
        <f t="shared" si="2984"/>
        <v>1000</v>
      </c>
      <c r="BH1003" s="35">
        <f t="shared" si="2974"/>
        <v>0</v>
      </c>
      <c r="BK1003" s="2" t="b">
        <f>H1003='2021'!BH1003</f>
        <v>1</v>
      </c>
    </row>
    <row r="1004" ht="15.75" customHeight="1" spans="1:63" x14ac:dyDescent="0.25">
      <c r="A1004" s="2">
        <v>111</v>
      </c>
      <c r="B1004" s="14"/>
      <c r="D1004" s="14" t="s">
        <v>51</v>
      </c>
      <c r="E1004" s="2" t="s">
        <v>49</v>
      </c>
      <c r="F1004" s="41">
        <v>500</v>
      </c>
      <c r="G1004" s="28"/>
      <c r="H1004" s="34">
        <f>'2021'!BH1004</f>
        <v>0</v>
      </c>
      <c r="I1004" s="13"/>
      <c r="J1004" s="15"/>
      <c r="K1004" s="15"/>
      <c r="L1004" s="28"/>
      <c r="M1004" s="13"/>
      <c r="N1004" s="15"/>
      <c r="Q1004" s="13"/>
      <c r="R1004" s="15"/>
      <c r="S1004" s="15"/>
      <c r="T1004" s="28"/>
      <c r="U1004" s="13"/>
      <c r="V1004" s="15"/>
      <c r="Y1004" s="13"/>
      <c r="Z1004" s="2"/>
      <c r="AA1004" s="15"/>
      <c r="AB1004" s="28"/>
      <c r="AC1004" s="348"/>
      <c r="AD1004" s="15"/>
      <c r="AE1004" s="34"/>
      <c r="AG1004" s="15"/>
      <c r="AH1004" s="2"/>
      <c r="AI1004" s="45"/>
      <c r="AJ1004" s="15"/>
      <c r="AK1004" s="15"/>
      <c r="AL1004" s="15"/>
      <c r="AM1004" s="45"/>
      <c r="AN1004" s="1"/>
      <c r="AO1004" s="13"/>
      <c r="AP1004" s="15"/>
      <c r="AQ1004" s="180">
        <f>B999*$F$14</f>
        <v>0</v>
      </c>
      <c r="AR1004" s="15"/>
      <c r="AS1004" s="13"/>
      <c r="AT1004" s="15"/>
      <c r="AU1004" s="45"/>
      <c r="AV1004" s="15"/>
      <c r="AW1004" s="13"/>
      <c r="AX1004" s="15"/>
      <c r="AY1004" s="45"/>
      <c r="AZ1004" s="35"/>
      <c r="BA1004" s="13"/>
      <c r="BB1004" s="15"/>
      <c r="BC1004" s="45"/>
      <c r="BD1004" s="28"/>
      <c r="BE1004" s="14"/>
      <c r="BF1004" s="41">
        <f t="shared" ref="BF1004:BG1004" si="2985">K1004+O1004+S1004+W1004+AA1004+AE1004+AI1004+AM1004+AQ1004+AU1004+AY1004+BC1004</f>
        <v>0</v>
      </c>
      <c r="BG1004" s="34">
        <f t="shared" si="2985"/>
        <v>0</v>
      </c>
      <c r="BH1004" s="35">
        <f t="shared" si="2974"/>
        <v>0</v>
      </c>
      <c r="BK1004" s="2" t="b">
        <f>H1004='2021'!BH1004</f>
        <v>1</v>
      </c>
    </row>
    <row r="1005" ht="15.75" customHeight="1" spans="1:63" x14ac:dyDescent="0.25">
      <c r="A1005" s="2">
        <v>111</v>
      </c>
      <c r="B1005" s="14"/>
      <c r="D1005" s="14" t="s">
        <v>52</v>
      </c>
      <c r="E1005" s="2" t="s">
        <v>39</v>
      </c>
      <c r="F1005" s="41">
        <v>500</v>
      </c>
      <c r="G1005" s="28"/>
      <c r="H1005" s="34">
        <f>'2021'!BH1005</f>
        <v>0</v>
      </c>
      <c r="I1005" s="13"/>
      <c r="J1005" s="15"/>
      <c r="K1005" s="15"/>
      <c r="L1005" s="28"/>
      <c r="M1005" s="13"/>
      <c r="N1005" s="15"/>
      <c r="Q1005" s="13"/>
      <c r="R1005" s="15"/>
      <c r="S1005" s="15"/>
      <c r="T1005" s="28"/>
      <c r="U1005" s="13"/>
      <c r="V1005" s="15"/>
      <c r="Y1005" s="13"/>
      <c r="Z1005" s="2"/>
      <c r="AA1005" s="34">
        <f>$F$15</f>
      </c>
      <c r="AB1005" s="28"/>
      <c r="AC1005" s="348"/>
      <c r="AD1005" s="15"/>
      <c r="AG1005" s="15"/>
      <c r="AH1005" s="2"/>
      <c r="AI1005" s="45"/>
      <c r="AJ1005" s="180"/>
      <c r="AK1005" s="15"/>
      <c r="AL1005" s="15"/>
      <c r="AM1005" s="45"/>
      <c r="AN1005" s="1"/>
      <c r="AO1005" s="13"/>
      <c r="AP1005" s="15"/>
      <c r="AQ1005" s="45"/>
      <c r="AR1005" s="15"/>
      <c r="AS1005" s="13"/>
      <c r="AT1005" s="15"/>
      <c r="AU1005" s="45"/>
      <c r="AV1005" s="15"/>
      <c r="AW1005" s="13"/>
      <c r="AX1005" s="15"/>
      <c r="AY1005" s="45"/>
      <c r="AZ1005" s="38"/>
      <c r="BA1005" s="13"/>
      <c r="BB1005" s="15"/>
      <c r="BC1005" s="45"/>
      <c r="BD1005" s="35"/>
      <c r="BE1005" s="14"/>
      <c r="BF1005" s="41">
        <f t="shared" ref="BF1005:BG1005" si="2986">K1005+O1005+S1005+W1005+AA1005+AE1005+AI1005+AM1005+AQ1005+AU1005+AY1005+BC1005</f>
        <v>0</v>
      </c>
      <c r="BG1005" s="34">
        <f t="shared" si="2986"/>
        <v>0</v>
      </c>
      <c r="BH1005" s="35">
        <f t="shared" si="2974"/>
        <v>0</v>
      </c>
      <c r="BK1005" s="2" t="b">
        <f>H1005='2021'!BH1005</f>
        <v>1</v>
      </c>
    </row>
    <row r="1006" ht="15.75" customHeight="1" spans="1:63" x14ac:dyDescent="0.25">
      <c r="A1006" s="247">
        <v>111</v>
      </c>
      <c r="B1006" s="21"/>
      <c r="C1006" s="22" t="s">
        <v>53</v>
      </c>
      <c r="D1006" s="21"/>
      <c r="E1006" s="22"/>
      <c r="F1006" s="109"/>
      <c r="G1006" s="23"/>
      <c r="H1006" s="51">
        <f>SUM(H998:H1005)</f>
        <v>-339.66</v>
      </c>
      <c r="I1006" s="52"/>
      <c r="J1006" s="53"/>
      <c r="K1006" s="51">
        <f t="shared" ref="K1006:L1006" si="2987">SUM(K998:K1005)</f>
        <v>7873.2</v>
      </c>
      <c r="L1006" s="68">
        <f t="shared" si="2987"/>
        <v>0</v>
      </c>
      <c r="M1006" s="52"/>
      <c r="N1006" s="53"/>
      <c r="O1006" s="51">
        <f t="shared" ref="O1006:P1006" si="2988">SUM(O998:O1005)</f>
        <v>10106.1</v>
      </c>
      <c r="P1006" s="51">
        <f t="shared" si="2988"/>
        <v>18000</v>
      </c>
      <c r="Q1006" s="52"/>
      <c r="R1006" s="53"/>
      <c r="S1006" s="51">
        <f t="shared" ref="S1006:T1006" si="2989">SUM(S998:S1005)</f>
        <v>8370</v>
      </c>
      <c r="T1006" s="51">
        <f t="shared" si="2989"/>
        <v>10000</v>
      </c>
      <c r="U1006" s="52"/>
      <c r="V1006" s="53"/>
      <c r="W1006" s="51">
        <f t="shared" ref="W1006:X1006" si="2990">SUM(W998:W1005)</f>
        <v>6058.8</v>
      </c>
      <c r="X1006" s="51">
        <f t="shared" si="2990"/>
        <v>0</v>
      </c>
      <c r="Y1006" s="52"/>
      <c r="Z1006" s="301"/>
      <c r="AA1006" s="51">
        <f t="shared" ref="AA1006:AB1006" si="2991">SUM(AA998:AA1005)</f>
        <v>2845.05</v>
      </c>
      <c r="AB1006" s="51">
        <f t="shared" si="2991"/>
        <v>7000</v>
      </c>
      <c r="AC1006" s="367"/>
      <c r="AD1006" s="53"/>
      <c r="AE1006" s="51">
        <f t="shared" ref="AE1006:AF1006" si="2992">SUM(AE998:AE1005)</f>
        <v>11901.95</v>
      </c>
      <c r="AF1006" s="51">
        <f t="shared" si="2992"/>
        <v>0</v>
      </c>
      <c r="AG1006" s="52"/>
      <c r="AH1006" s="301"/>
      <c r="AI1006" s="183">
        <f t="shared" ref="AI1006:AJ1006" si="2993">SUM(AI998:AI1005)</f>
        <v>1229.97632</v>
      </c>
      <c r="AJ1006" s="51">
        <f t="shared" si="2993"/>
        <v>0</v>
      </c>
      <c r="AK1006" s="52"/>
      <c r="AL1006" s="53"/>
      <c r="AM1006" s="183">
        <f t="shared" ref="AM1006:AN1006" si="2994">SUM(AM998:AM1005)</f>
        <v>1784.02936</v>
      </c>
      <c r="AN1006" s="51">
        <f t="shared" si="2994"/>
        <v>18000</v>
      </c>
      <c r="AO1006" s="52"/>
      <c r="AP1006" s="53"/>
      <c r="AQ1006" s="183">
        <f t="shared" ref="AQ1006:AR1006" si="2995">SUM(AQ998:AQ1005)</f>
        <v>2071.0617</v>
      </c>
      <c r="AR1006" s="51">
        <f t="shared" si="2995"/>
        <v>0</v>
      </c>
      <c r="AS1006" s="52"/>
      <c r="AT1006" s="53"/>
      <c r="AU1006" s="183">
        <f t="shared" ref="AU1006:AV1006" si="2996">SUM(AU998:AU1005)</f>
        <v>5698.098</v>
      </c>
      <c r="AV1006" s="68">
        <f t="shared" si="2996"/>
        <v>0</v>
      </c>
      <c r="AW1006" s="52"/>
      <c r="AX1006" s="53"/>
      <c r="AY1006" s="183">
        <f t="shared" ref="AY1006:AZ1006" si="2997">SUM(AY998:AY1005)</f>
        <v>0</v>
      </c>
      <c r="AZ1006" s="68">
        <f t="shared" si="2997"/>
        <v>0</v>
      </c>
      <c r="BA1006" s="52"/>
      <c r="BB1006" s="53"/>
      <c r="BC1006" s="183">
        <f t="shared" ref="BC1006:BD1006" si="2998">SUM(BC998:BC1005)</f>
        <v>0</v>
      </c>
      <c r="BD1006" s="68">
        <f t="shared" si="2998"/>
        <v>0</v>
      </c>
      <c r="BE1006" s="69"/>
      <c r="BF1006" s="70">
        <f t="shared" ref="BF1006:BH1006" si="2999">SUM(BF998:BF1005)</f>
        <v>57938.26538</v>
      </c>
      <c r="BG1006" s="71">
        <f t="shared" si="2999"/>
        <v>53000</v>
      </c>
      <c r="BH1006" s="72">
        <f t="shared" si="2999"/>
        <v>4598.60538</v>
      </c>
      <c r="BI1006" s="34">
        <f>H1006+BF1006-BG1006</f>
        <v>4598.60538</v>
      </c>
      <c r="BJ1006" s="34">
        <f>BH1006-BI1006</f>
        <v>0</v>
      </c>
      <c r="BK1006" s="2" t="b">
        <f>H1006='2021'!BH1006</f>
        <v>1</v>
      </c>
    </row>
    <row r="1007" ht="15.75" customHeight="1" spans="1:63" x14ac:dyDescent="0.25">
      <c r="A1007" s="2">
        <v>112</v>
      </c>
      <c r="B1007" s="14"/>
      <c r="D1007" s="14" t="s">
        <v>379</v>
      </c>
      <c r="F1007" s="41"/>
      <c r="G1007" s="28"/>
      <c r="H1007" s="34">
        <f>'2021'!BH1007</f>
        <v>28.25</v>
      </c>
      <c r="I1007" s="13"/>
      <c r="J1007" s="15"/>
      <c r="K1007" s="15"/>
      <c r="L1007" s="28"/>
      <c r="M1007" s="13"/>
      <c r="N1007" s="15"/>
      <c r="Q1007" s="13"/>
      <c r="R1007" s="15"/>
      <c r="S1007" s="15"/>
      <c r="T1007" s="28"/>
      <c r="U1007" s="13"/>
      <c r="V1007" s="15"/>
      <c r="Y1007" s="13"/>
      <c r="Z1007" s="2"/>
      <c r="AA1007" s="15"/>
      <c r="AB1007" s="28"/>
      <c r="AC1007" s="348"/>
      <c r="AD1007" s="15"/>
      <c r="AG1007" s="15"/>
      <c r="AH1007" s="2"/>
      <c r="AI1007" s="45"/>
      <c r="AJ1007" s="15"/>
      <c r="AK1007" s="15"/>
      <c r="AM1007" s="45"/>
      <c r="AO1007" s="13"/>
      <c r="AQ1007" s="180"/>
      <c r="AR1007" s="317">
        <v>28.25</v>
      </c>
      <c r="AS1007" s="13"/>
      <c r="AU1007" s="180"/>
      <c r="AW1007" s="13"/>
      <c r="AY1007" s="45"/>
      <c r="AZ1007" s="28"/>
      <c r="BA1007" s="13"/>
      <c r="BB1007" s="15"/>
      <c r="BC1007" s="45"/>
      <c r="BD1007" s="28"/>
      <c r="BE1007" s="14"/>
      <c r="BF1007" s="41">
        <f t="shared" ref="BF1007:BG1007" si="3000">K1007+O1007+S1007+W1007+AA1007+AE1007+AI1007+AM1007+AQ1007+AU1007+AY1007+BC1007</f>
        <v>0</v>
      </c>
      <c r="BG1007" s="34">
        <f t="shared" si="3000"/>
        <v>28.25</v>
      </c>
      <c r="BH1007" s="35">
        <f t="shared" ref="BH1007:BH1014" si="3001">H1007+BF1007-BG1007</f>
        <v>0</v>
      </c>
      <c r="BK1007" s="2" t="b">
        <f>H1007='2021'!BH1007</f>
        <v>1</v>
      </c>
    </row>
    <row r="1008" ht="15.75" customHeight="1" spans="1:63" x14ac:dyDescent="0.25">
      <c r="A1008" s="2">
        <v>112</v>
      </c>
      <c r="B1008" s="14">
        <v>4.94</v>
      </c>
      <c r="C1008" s="15" t="s">
        <v>347</v>
      </c>
      <c r="D1008" s="14" t="s">
        <v>44</v>
      </c>
      <c r="E1008" s="2" t="s">
        <v>45</v>
      </c>
      <c r="F1008" s="41">
        <v>2.5</v>
      </c>
      <c r="G1008" s="35">
        <v>2.6</v>
      </c>
      <c r="H1008" s="34">
        <f>'2021'!BH1008</f>
        <v>31.41</v>
      </c>
      <c r="I1008" s="13">
        <v>186</v>
      </c>
      <c r="J1008" s="15">
        <f>I1008-'2021'!BA1008</f>
        <v>0</v>
      </c>
      <c r="K1008" s="34">
        <f>J1008*$F$8</f>
        <v>0</v>
      </c>
      <c r="L1008" s="28"/>
      <c r="M1008" s="13">
        <v>186</v>
      </c>
      <c r="N1008" s="15">
        <f t="shared" ref="N1008:N1009" si="3002">M1008-I1008</f>
        <v>0</v>
      </c>
      <c r="O1008" s="34">
        <f>N1008*$F$8</f>
        <v>0</v>
      </c>
      <c r="Q1008" s="13">
        <v>186</v>
      </c>
      <c r="R1008" s="15">
        <f t="shared" ref="R1008:R1009" si="3003">Q1008-M1008</f>
        <v>0</v>
      </c>
      <c r="S1008" s="34">
        <f>R1008*$F$8</f>
        <v>0</v>
      </c>
      <c r="T1008" s="28"/>
      <c r="U1008" s="13">
        <v>186</v>
      </c>
      <c r="V1008" s="15">
        <f t="shared" ref="V1008:V1009" si="3004">U1008-Q1008</f>
        <v>0</v>
      </c>
      <c r="W1008" s="34">
        <f>V1008*$F$8</f>
        <v>0</v>
      </c>
      <c r="Y1008" s="13">
        <v>189</v>
      </c>
      <c r="Z1008" s="2">
        <f t="shared" ref="Z1008:Z1009" si="3005">Y1008-U1008</f>
        <v>3</v>
      </c>
      <c r="AA1008" s="34">
        <f>Z1008*$F$8</f>
        <v>8.1</v>
      </c>
      <c r="AB1008" s="28"/>
      <c r="AC1008" s="348">
        <v>189</v>
      </c>
      <c r="AD1008" s="15">
        <f t="shared" ref="AD1008:AD1009" si="3006">AC1008-Y1008</f>
        <v>0</v>
      </c>
      <c r="AE1008" s="180">
        <f>AD1008*$F$8</f>
        <v>0</v>
      </c>
      <c r="AF1008" s="34"/>
      <c r="AG1008" s="15">
        <v>191</v>
      </c>
      <c r="AH1008" s="2">
        <f>(AG1008-AC1008)*AH5</f>
        <v>2.112</v>
      </c>
      <c r="AI1008" s="45">
        <f>AH1008*$G$8</f>
        <v>5.19552</v>
      </c>
      <c r="AJ1008" s="180"/>
      <c r="AK1008" s="15">
        <v>193</v>
      </c>
      <c r="AL1008" s="15">
        <f>(AK1008-AG1008)*AL5</f>
        <v>2.056</v>
      </c>
      <c r="AM1008" s="45">
        <f>AL1008*$G$8</f>
        <v>5.05776</v>
      </c>
      <c r="AN1008" s="15"/>
      <c r="AO1008" s="13">
        <v>194</v>
      </c>
      <c r="AP1008" s="15">
        <f>(AO1008-AK1008)*AP5</f>
        <v>1.033</v>
      </c>
      <c r="AQ1008" s="45">
        <f>AP1008*$G$8</f>
        <v>2.54118</v>
      </c>
      <c r="AR1008" s="1">
        <v>49.76</v>
      </c>
      <c r="AS1008" s="13">
        <v>195</v>
      </c>
      <c r="AT1008" s="15">
        <f>(AS1008-AO1008)*AT5</f>
        <v>1.05</v>
      </c>
      <c r="AU1008" s="45">
        <f>AT1008*$G$8</f>
        <v>2.583</v>
      </c>
      <c r="AV1008" s="15"/>
      <c r="AW1008" s="13"/>
      <c r="AX1008" s="15">
        <f>(AW1008-AS1008)*AX5</f>
        <v>0</v>
      </c>
      <c r="AY1008" s="45">
        <f>AX1008*$G$8</f>
        <v>0</v>
      </c>
      <c r="AZ1008" s="208"/>
      <c r="BA1008" s="13"/>
      <c r="BB1008" s="15"/>
      <c r="BC1008" s="45">
        <f>BB1008*$G$8</f>
        <v>0</v>
      </c>
      <c r="BD1008" s="208"/>
      <c r="BE1008" s="40">
        <f t="shared" ref="BE1008:BG1008" si="3007">J1008+N1008+R1008+V1008+Z1008+AD1008+AH1008+AL1008+AP1008+AT1008+AX1008+BB1008</f>
        <v>9.251</v>
      </c>
      <c r="BF1008" s="41">
        <f t="shared" si="3007"/>
        <v>23.47746</v>
      </c>
      <c r="BG1008" s="34">
        <f t="shared" si="3007"/>
        <v>49.76</v>
      </c>
      <c r="BH1008" s="35">
        <f t="shared" si="3001"/>
        <v>5.12746</v>
      </c>
      <c r="BK1008" s="2" t="b">
        <f>H1008='2021'!BH1008</f>
        <v>1</v>
      </c>
    </row>
    <row r="1009" ht="15.75" customHeight="1" spans="1:63" x14ac:dyDescent="0.25">
      <c r="A1009" s="2">
        <v>112</v>
      </c>
      <c r="B1009" s="14"/>
      <c r="C1009" s="15" t="s">
        <v>114</v>
      </c>
      <c r="D1009" s="14" t="s">
        <v>47</v>
      </c>
      <c r="E1009" s="2" t="s">
        <v>48</v>
      </c>
      <c r="F1009" s="41">
        <v>18.56</v>
      </c>
      <c r="G1009" s="35">
        <v>19.46</v>
      </c>
      <c r="H1009" s="90">
        <f>'2021'!BH1009</f>
        <v>80.93</v>
      </c>
      <c r="I1009" s="13">
        <f>14+38</f>
        <v>52</v>
      </c>
      <c r="J1009" s="15"/>
      <c r="K1009" s="15"/>
      <c r="L1009" s="28"/>
      <c r="M1009" s="13">
        <f>14+38</f>
        <v>52</v>
      </c>
      <c r="N1009" s="15">
        <f t="shared" si="3002"/>
        <v>0</v>
      </c>
      <c r="Q1009" s="13">
        <f>14+38</f>
        <v>52</v>
      </c>
      <c r="R1009" s="15">
        <f t="shared" si="3003"/>
        <v>0</v>
      </c>
      <c r="S1009" s="15"/>
      <c r="T1009" s="28"/>
      <c r="U1009" s="13">
        <f>14+38</f>
        <v>52</v>
      </c>
      <c r="V1009" s="15">
        <f t="shared" si="3004"/>
        <v>0</v>
      </c>
      <c r="W1009" s="34">
        <f>V1009*$F$10</f>
        <v>0</v>
      </c>
      <c r="Y1009" s="13">
        <f>20+49</f>
        <v>69</v>
      </c>
      <c r="Z1009" s="2">
        <f t="shared" si="3005"/>
        <v>17</v>
      </c>
      <c r="AA1009" s="34">
        <f>Z1009*$F$10</f>
        <v>345.95</v>
      </c>
      <c r="AB1009" s="28"/>
      <c r="AC1009" s="371">
        <v>69</v>
      </c>
      <c r="AD1009" s="15">
        <f t="shared" si="3006"/>
        <v>0</v>
      </c>
      <c r="AE1009" s="34">
        <f>AD1009*$F$10</f>
        <v>0</v>
      </c>
      <c r="AF1009" s="34"/>
      <c r="AG1009" s="186">
        <f>25+54</f>
        <v>79</v>
      </c>
      <c r="AH1009" s="2">
        <f>AG1009-AC1009</f>
        <v>10</v>
      </c>
      <c r="AI1009" s="45">
        <f>AH1009*$G$10</f>
        <v>214</v>
      </c>
      <c r="AJ1009" s="180"/>
      <c r="AK1009" s="186">
        <f>25+54</f>
        <v>79</v>
      </c>
      <c r="AL1009" s="15">
        <f>AK1009-AG1009</f>
        <v>0</v>
      </c>
      <c r="AM1009" s="45">
        <f>AL1009*$G$10</f>
        <v>0</v>
      </c>
      <c r="AN1009" s="15"/>
      <c r="AO1009" s="13">
        <v>79</v>
      </c>
      <c r="AP1009" s="15">
        <f>AO1009-AK1009</f>
        <v>0</v>
      </c>
      <c r="AQ1009" s="45">
        <f>AP1009*$G$10</f>
        <v>0</v>
      </c>
      <c r="AR1009" s="1">
        <v>640.88</v>
      </c>
      <c r="AS1009" s="13">
        <v>79</v>
      </c>
      <c r="AT1009" s="15">
        <f>AS1009-AO1009</f>
        <v>0</v>
      </c>
      <c r="AU1009" s="45">
        <f>AT1009*$G$10</f>
        <v>0</v>
      </c>
      <c r="AV1009" s="15"/>
      <c r="AW1009" s="13"/>
      <c r="AX1009" s="15">
        <f>AW1009-AS1009</f>
        <v>-79</v>
      </c>
      <c r="AY1009" s="45"/>
      <c r="AZ1009" s="208"/>
      <c r="BA1009" s="13"/>
      <c r="BB1009" s="15"/>
      <c r="BC1009" s="45"/>
      <c r="BD1009" s="208"/>
      <c r="BE1009" s="40">
        <f t="shared" ref="BE1009:BG1009" si="3008">J1009+N1009+R1009+V1009+Z1009+AD1009+AH1009+AL1009+AP1009+AT1009+AX1009+BB1009</f>
        <v>-52</v>
      </c>
      <c r="BF1009" s="41">
        <f t="shared" si="3008"/>
        <v>559.95</v>
      </c>
      <c r="BG1009" s="34">
        <f t="shared" si="3008"/>
        <v>640.88</v>
      </c>
      <c r="BH1009" s="35">
        <f t="shared" si="3001"/>
        <v>0</v>
      </c>
      <c r="BK1009" s="2" t="b">
        <f>H1009='2021'!BH1009</f>
        <v>1</v>
      </c>
    </row>
    <row r="1010" ht="15.75" customHeight="1" spans="1:63" x14ac:dyDescent="0.25">
      <c r="A1010" s="2">
        <v>112</v>
      </c>
      <c r="B1010" s="14"/>
      <c r="C1010" s="15" t="s">
        <v>460</v>
      </c>
      <c r="D1010" s="14" t="s">
        <v>47</v>
      </c>
      <c r="E1010" s="2" t="s">
        <v>49</v>
      </c>
      <c r="F1010" s="41">
        <v>500</v>
      </c>
      <c r="G1010" s="28"/>
      <c r="H1010" s="34">
        <f>'2021'!BH1010</f>
        <v>0</v>
      </c>
      <c r="I1010" s="13"/>
      <c r="J1010" s="15"/>
      <c r="K1010" s="15"/>
      <c r="L1010" s="28"/>
      <c r="M1010" s="13"/>
      <c r="N1010" s="15"/>
      <c r="Q1010" s="13"/>
      <c r="R1010" s="15"/>
      <c r="S1010" s="15"/>
      <c r="T1010" s="28"/>
      <c r="U1010" s="13"/>
      <c r="V1010" s="15"/>
      <c r="Y1010" s="13"/>
      <c r="Z1010" s="2"/>
      <c r="AA1010" s="34"/>
      <c r="AB1010" s="28"/>
      <c r="AC1010" s="348"/>
      <c r="AD1010" s="15"/>
      <c r="AF1010" s="15"/>
      <c r="AG1010" s="15"/>
      <c r="AH1010" s="2"/>
      <c r="AI1010" s="45"/>
      <c r="AJ1010" s="15"/>
      <c r="AK1010" s="15"/>
      <c r="AL1010" s="15"/>
      <c r="AM1010" s="45"/>
      <c r="AN1010" s="15"/>
      <c r="AO1010" s="13"/>
      <c r="AP1010" s="15"/>
      <c r="AQ1010" s="45"/>
      <c r="AR1010" s="1"/>
      <c r="AS1010" s="13"/>
      <c r="AT1010" s="15"/>
      <c r="AU1010" s="45"/>
      <c r="AV1010" s="15"/>
      <c r="AW1010" s="13"/>
      <c r="AX1010" s="15"/>
      <c r="AY1010" s="45"/>
      <c r="AZ1010" s="28"/>
      <c r="BA1010" s="13"/>
      <c r="BB1010" s="15"/>
      <c r="BC1010" s="45"/>
      <c r="BD1010" s="28"/>
      <c r="BE1010" s="14"/>
      <c r="BF1010" s="41">
        <f t="shared" ref="BF1010:BG1010" si="3009">K1010+O1010+S1010+W1010+AA1010+AE1010+AI1010+AM1010+AQ1010+AU1010+AY1010+BC1010</f>
        <v>0</v>
      </c>
      <c r="BG1010" s="34">
        <f t="shared" si="3009"/>
        <v>0</v>
      </c>
      <c r="BH1010" s="35">
        <f t="shared" si="3001"/>
        <v>0</v>
      </c>
      <c r="BK1010" s="2" t="b">
        <f>H1010='2021'!BH1010</f>
        <v>1</v>
      </c>
    </row>
    <row r="1011" ht="15.75" customHeight="1" spans="1:63" x14ac:dyDescent="0.25">
      <c r="A1011" s="2">
        <v>112</v>
      </c>
      <c r="B1011" s="14"/>
      <c r="C1011" s="15"/>
      <c r="D1011" s="14" t="s">
        <v>50</v>
      </c>
      <c r="E1011" s="2" t="s">
        <v>49</v>
      </c>
      <c r="F1011" s="41">
        <v>1100</v>
      </c>
      <c r="G1011" s="28"/>
      <c r="H1011" s="34">
        <f>'2021'!BH1011</f>
        <v>-129.79</v>
      </c>
      <c r="I1011" s="13"/>
      <c r="J1011" s="15"/>
      <c r="K1011" s="15"/>
      <c r="L1011" s="28"/>
      <c r="M1011" s="13"/>
      <c r="N1011" s="15"/>
      <c r="Q1011" s="13"/>
      <c r="R1011" s="15"/>
      <c r="S1011" s="15"/>
      <c r="T1011" s="28"/>
      <c r="U1011" s="13"/>
      <c r="V1011" s="15"/>
      <c r="Y1011" s="13"/>
      <c r="Z1011" s="2"/>
      <c r="AA1011" s="15"/>
      <c r="AB1011" s="28"/>
      <c r="AC1011" s="348"/>
      <c r="AD1011" s="15"/>
      <c r="AE1011" s="34">
        <f>B1008*$F$12</f>
        <v>6422</v>
      </c>
      <c r="AF1011" s="15"/>
      <c r="AG1011" s="15"/>
      <c r="AH1011" s="2"/>
      <c r="AI1011" s="45"/>
      <c r="AJ1011" s="15"/>
      <c r="AK1011" s="15"/>
      <c r="AL1011" s="15"/>
      <c r="AM1011" s="45"/>
      <c r="AN1011" s="334"/>
      <c r="AO1011" s="13"/>
      <c r="AP1011" s="15"/>
      <c r="AQ1011" s="45"/>
      <c r="AR1011" s="1">
        <v>6292.21</v>
      </c>
      <c r="AS1011" s="13"/>
      <c r="AT1011" s="15"/>
      <c r="AU1011" s="45"/>
      <c r="AV1011" s="34"/>
      <c r="AW1011" s="13"/>
      <c r="AX1011" s="15"/>
      <c r="AY1011" s="45"/>
      <c r="AZ1011" s="28"/>
      <c r="BA1011" s="13"/>
      <c r="BB1011" s="15"/>
      <c r="BC1011" s="45"/>
      <c r="BD1011" s="28"/>
      <c r="BE1011" s="14"/>
      <c r="BF1011" s="41">
        <f t="shared" ref="BF1011:BG1011" si="3010">K1011+O1011+S1011+W1011+AA1011+AE1011+AI1011+AM1011+AQ1011+AU1011+AY1011+BC1011</f>
        <v>6422</v>
      </c>
      <c r="BG1011" s="34">
        <f t="shared" si="3010"/>
        <v>6292.21</v>
      </c>
      <c r="BH1011" s="35">
        <f t="shared" si="3001"/>
        <v>0</v>
      </c>
      <c r="BK1011" s="2" t="b">
        <f>H1011='2021'!BH1011</f>
        <v>1</v>
      </c>
    </row>
    <row r="1012" ht="15.75" customHeight="1" spans="1:63" x14ac:dyDescent="0.25">
      <c r="A1012" s="2">
        <v>112</v>
      </c>
      <c r="B1012" s="14"/>
      <c r="D1012" s="14" t="s">
        <v>51</v>
      </c>
      <c r="E1012" s="2" t="s">
        <v>39</v>
      </c>
      <c r="F1012" s="41">
        <v>500</v>
      </c>
      <c r="G1012" s="28"/>
      <c r="H1012" s="34">
        <f>'2021'!BH1012</f>
        <v>0</v>
      </c>
      <c r="I1012" s="13"/>
      <c r="J1012" s="15"/>
      <c r="K1012" s="15"/>
      <c r="L1012" s="28"/>
      <c r="M1012" s="13"/>
      <c r="N1012" s="15"/>
      <c r="Q1012" s="13"/>
      <c r="R1012" s="15"/>
      <c r="S1012" s="15"/>
      <c r="T1012" s="28"/>
      <c r="U1012" s="13"/>
      <c r="V1012" s="15"/>
      <c r="Y1012" s="13"/>
      <c r="Z1012" s="2"/>
      <c r="AA1012" s="15"/>
      <c r="AB1012" s="28"/>
      <c r="AC1012" s="348"/>
      <c r="AD1012" s="15"/>
      <c r="AE1012" s="180">
        <f>$F$13</f>
        <v>1000</v>
      </c>
      <c r="AF1012" s="34"/>
      <c r="AG1012" s="15"/>
      <c r="AH1012" s="2"/>
      <c r="AI1012" s="45"/>
      <c r="AJ1012" s="15"/>
      <c r="AK1012" s="15"/>
      <c r="AL1012" s="15"/>
      <c r="AM1012" s="45"/>
      <c r="AN1012" s="15"/>
      <c r="AO1012" s="13"/>
      <c r="AP1012" s="15"/>
      <c r="AQ1012" s="180"/>
      <c r="AR1012" s="1">
        <v>1000</v>
      </c>
      <c r="AS1012" s="13"/>
      <c r="AT1012" s="15"/>
      <c r="AU1012" s="45"/>
      <c r="AV1012" s="15"/>
      <c r="AW1012" s="13"/>
      <c r="AX1012" s="15"/>
      <c r="AY1012" s="45"/>
      <c r="AZ1012" s="28"/>
      <c r="BA1012" s="13"/>
      <c r="BB1012" s="15"/>
      <c r="BC1012" s="45"/>
      <c r="BD1012" s="28"/>
      <c r="BE1012" s="14"/>
      <c r="BF1012" s="41">
        <f t="shared" ref="BF1012:BG1012" si="3011">K1012+O1012+S1012+W1012+AA1012+AE1012+AI1012+AM1012+AQ1012+AU1012+AY1012+BC1012</f>
        <v>1000</v>
      </c>
      <c r="BG1012" s="34">
        <f t="shared" si="3011"/>
        <v>1000</v>
      </c>
      <c r="BH1012" s="35">
        <f t="shared" si="3001"/>
        <v>0</v>
      </c>
      <c r="BK1012" s="2" t="b">
        <f>H1012='2021'!BH1012</f>
        <v>1</v>
      </c>
    </row>
    <row r="1013" ht="15.75" customHeight="1" spans="1:63" x14ac:dyDescent="0.25">
      <c r="A1013" s="2">
        <v>112</v>
      </c>
      <c r="B1013" s="14"/>
      <c r="D1013" s="14" t="s">
        <v>51</v>
      </c>
      <c r="E1013" s="2" t="s">
        <v>49</v>
      </c>
      <c r="F1013" s="41">
        <v>500</v>
      </c>
      <c r="G1013" s="28"/>
      <c r="H1013" s="34">
        <f>'2021'!BH1013</f>
        <v>0</v>
      </c>
      <c r="I1013" s="13"/>
      <c r="J1013" s="15"/>
      <c r="K1013" s="15"/>
      <c r="L1013" s="28"/>
      <c r="M1013" s="13"/>
      <c r="N1013" s="15"/>
      <c r="Q1013" s="13"/>
      <c r="R1013" s="15"/>
      <c r="S1013" s="15"/>
      <c r="T1013" s="28"/>
      <c r="U1013" s="13"/>
      <c r="V1013" s="15"/>
      <c r="Y1013" s="13"/>
      <c r="Z1013" s="2"/>
      <c r="AA1013" s="15"/>
      <c r="AB1013" s="28"/>
      <c r="AC1013" s="348"/>
      <c r="AD1013" s="15"/>
      <c r="AE1013" s="34"/>
      <c r="AF1013" s="34"/>
      <c r="AG1013" s="15"/>
      <c r="AH1013" s="2"/>
      <c r="AI1013" s="45"/>
      <c r="AJ1013" s="15"/>
      <c r="AK1013" s="15"/>
      <c r="AL1013" s="15"/>
      <c r="AM1013" s="45"/>
      <c r="AN1013" s="15"/>
      <c r="AO1013" s="13"/>
      <c r="AP1013" s="15"/>
      <c r="AQ1013" s="180">
        <f>B1008*$F$14</f>
        <v>0</v>
      </c>
      <c r="AR1013" s="1"/>
      <c r="AS1013" s="13"/>
      <c r="AT1013" s="15"/>
      <c r="AU1013" s="45"/>
      <c r="AV1013" s="34"/>
      <c r="AW1013" s="13"/>
      <c r="AX1013" s="15"/>
      <c r="AY1013" s="45"/>
      <c r="AZ1013" s="28"/>
      <c r="BA1013" s="13"/>
      <c r="BB1013" s="15"/>
      <c r="BC1013" s="45"/>
      <c r="BD1013" s="28"/>
      <c r="BE1013" s="14"/>
      <c r="BF1013" s="41">
        <f t="shared" ref="BF1013:BG1013" si="3012">K1013+O1013+S1013+W1013+AA1013+AE1013+AI1013+AM1013+AQ1013+AU1013+AY1013+BC1013</f>
        <v>0</v>
      </c>
      <c r="BG1013" s="34">
        <f t="shared" si="3012"/>
        <v>0</v>
      </c>
      <c r="BH1013" s="35">
        <f t="shared" si="3001"/>
        <v>0</v>
      </c>
      <c r="BK1013" s="2" t="b">
        <f>H1013='2021'!BH1013</f>
        <v>1</v>
      </c>
    </row>
    <row r="1014" ht="15.75" customHeight="1" spans="1:63" x14ac:dyDescent="0.25">
      <c r="A1014" s="2">
        <v>112</v>
      </c>
      <c r="B1014" s="14"/>
      <c r="D1014" s="14" t="s">
        <v>52</v>
      </c>
      <c r="E1014" s="2" t="s">
        <v>39</v>
      </c>
      <c r="F1014" s="41">
        <v>500</v>
      </c>
      <c r="G1014" s="28"/>
      <c r="H1014" s="34">
        <f>'2021'!BH1014</f>
        <v>0</v>
      </c>
      <c r="I1014" s="13"/>
      <c r="J1014" s="15"/>
      <c r="K1014" s="15"/>
      <c r="L1014" s="28"/>
      <c r="M1014" s="13"/>
      <c r="N1014" s="15"/>
      <c r="Q1014" s="13"/>
      <c r="R1014" s="15"/>
      <c r="S1014" s="15"/>
      <c r="T1014" s="28"/>
      <c r="U1014" s="13"/>
      <c r="V1014" s="15"/>
      <c r="Y1014" s="13"/>
      <c r="Z1014" s="2"/>
      <c r="AA1014" s="34">
        <f>$F$15</f>
      </c>
      <c r="AB1014" s="35"/>
      <c r="AC1014" s="348"/>
      <c r="AD1014" s="15"/>
      <c r="AF1014" s="34"/>
      <c r="AG1014" s="15"/>
      <c r="AH1014" s="2"/>
      <c r="AI1014" s="45"/>
      <c r="AJ1014" s="15"/>
      <c r="AK1014" s="15"/>
      <c r="AL1014" s="15"/>
      <c r="AM1014" s="45"/>
      <c r="AN1014" s="15"/>
      <c r="AO1014" s="13"/>
      <c r="AP1014" s="15"/>
      <c r="AQ1014" s="45"/>
      <c r="AR1014" s="15"/>
      <c r="AS1014" s="13"/>
      <c r="AT1014" s="15"/>
      <c r="AU1014" s="45"/>
      <c r="AV1014" s="15"/>
      <c r="AW1014" s="13"/>
      <c r="AX1014" s="15"/>
      <c r="AY1014" s="45"/>
      <c r="AZ1014" s="35"/>
      <c r="BA1014" s="13"/>
      <c r="BB1014" s="15"/>
      <c r="BC1014" s="45"/>
      <c r="BD1014" s="35"/>
      <c r="BE1014" s="14"/>
      <c r="BF1014" s="41">
        <f t="shared" ref="BF1014:BG1014" si="3013">K1014+O1014+S1014+W1014+AA1014+AE1014+AI1014+AM1014+AQ1014+AU1014+AY1014+BC1014</f>
        <v>0</v>
      </c>
      <c r="BG1014" s="34">
        <f t="shared" si="3013"/>
        <v>0</v>
      </c>
      <c r="BH1014" s="35">
        <f t="shared" si="3001"/>
        <v>0</v>
      </c>
      <c r="BK1014" s="2" t="b">
        <f>H1014='2021'!BH1014</f>
        <v>1</v>
      </c>
    </row>
    <row r="1015" ht="15.75" customHeight="1" spans="1:63" x14ac:dyDescent="0.25">
      <c r="A1015" s="247">
        <v>112</v>
      </c>
      <c r="B1015" s="21"/>
      <c r="C1015" s="22" t="s">
        <v>53</v>
      </c>
      <c r="D1015" s="21"/>
      <c r="E1015" s="22"/>
      <c r="F1015" s="109"/>
      <c r="G1015" s="23"/>
      <c r="H1015" s="51">
        <f>SUM(H1007:H1014)</f>
        <v>10.8</v>
      </c>
      <c r="I1015" s="52"/>
      <c r="J1015" s="53"/>
      <c r="K1015" s="51">
        <f t="shared" ref="K1015:L1015" si="3014">SUM(K1007:K1014)</f>
        <v>0</v>
      </c>
      <c r="L1015" s="68">
        <f t="shared" si="3014"/>
        <v>0</v>
      </c>
      <c r="M1015" s="52"/>
      <c r="N1015" s="53"/>
      <c r="O1015" s="51">
        <f t="shared" ref="O1015:P1015" si="3015">SUM(O1007:O1014)</f>
        <v>0</v>
      </c>
      <c r="P1015" s="51">
        <f t="shared" si="3015"/>
        <v>0</v>
      </c>
      <c r="Q1015" s="52"/>
      <c r="R1015" s="53"/>
      <c r="S1015" s="51">
        <f t="shared" ref="S1015:T1015" si="3016">SUM(S1007:S1014)</f>
        <v>0</v>
      </c>
      <c r="T1015" s="51">
        <f t="shared" si="3016"/>
        <v>0</v>
      </c>
      <c r="U1015" s="52"/>
      <c r="V1015" s="53"/>
      <c r="W1015" s="51">
        <f t="shared" ref="W1015:X1015" si="3017">SUM(W1007:W1014)</f>
        <v>0</v>
      </c>
      <c r="X1015" s="51">
        <f t="shared" si="3017"/>
        <v>0</v>
      </c>
      <c r="Y1015" s="52"/>
      <c r="Z1015" s="301"/>
      <c r="AA1015" s="51">
        <f t="shared" ref="AA1015:AB1015" si="3018">SUM(AA1007:AA1014)</f>
        <v>354.05</v>
      </c>
      <c r="AB1015" s="51">
        <f t="shared" si="3018"/>
        <v>0</v>
      </c>
      <c r="AC1015" s="367"/>
      <c r="AD1015" s="53"/>
      <c r="AE1015" s="51">
        <f t="shared" ref="AE1015:AF1015" si="3019">SUM(AE1007:AE1014)</f>
        <v>7422</v>
      </c>
      <c r="AF1015" s="51">
        <f t="shared" si="3019"/>
        <v>0</v>
      </c>
      <c r="AG1015" s="52"/>
      <c r="AH1015" s="301"/>
      <c r="AI1015" s="183">
        <f t="shared" ref="AI1015:AJ1015" si="3020">SUM(AI1007:AI1014)</f>
        <v>219.19552</v>
      </c>
      <c r="AJ1015" s="51">
        <f t="shared" si="3020"/>
        <v>0</v>
      </c>
      <c r="AK1015" s="52"/>
      <c r="AL1015" s="53"/>
      <c r="AM1015" s="183">
        <f t="shared" ref="AM1015:AN1015" si="3021">SUM(AM1007:AM1014)</f>
        <v>5.05776</v>
      </c>
      <c r="AN1015" s="51">
        <f t="shared" si="3021"/>
        <v>0</v>
      </c>
      <c r="AO1015" s="52"/>
      <c r="AP1015" s="53"/>
      <c r="AQ1015" s="183">
        <f t="shared" ref="AQ1015:AR1015" si="3022">SUM(AQ1007:AQ1014)</f>
        <v>2.54118</v>
      </c>
      <c r="AR1015" s="51">
        <f t="shared" si="3022"/>
        <v>8011.1</v>
      </c>
      <c r="AS1015" s="52"/>
      <c r="AT1015" s="53"/>
      <c r="AU1015" s="183">
        <f t="shared" ref="AU1015:AV1015" si="3023">SUM(AU1007:AU1014)</f>
        <v>2.583</v>
      </c>
      <c r="AV1015" s="68">
        <f t="shared" si="3023"/>
        <v>0</v>
      </c>
      <c r="AW1015" s="52"/>
      <c r="AX1015" s="53"/>
      <c r="AY1015" s="183">
        <f t="shared" ref="AY1015:AZ1015" si="3024">SUM(AY1007:AY1014)</f>
        <v>0</v>
      </c>
      <c r="AZ1015" s="68">
        <f t="shared" si="3024"/>
        <v>0</v>
      </c>
      <c r="BA1015" s="52"/>
      <c r="BB1015" s="53"/>
      <c r="BC1015" s="183">
        <f t="shared" ref="BC1015:BD1015" si="3025">SUM(BC1007:BC1014)</f>
        <v>0</v>
      </c>
      <c r="BD1015" s="68">
        <f t="shared" si="3025"/>
        <v>0</v>
      </c>
      <c r="BE1015" s="69"/>
      <c r="BF1015" s="70">
        <f t="shared" ref="BF1015:BH1015" si="3026">SUM(BF1007:BF1014)</f>
        <v>8005.42746</v>
      </c>
      <c r="BG1015" s="71">
        <f t="shared" si="3026"/>
        <v>8011.1</v>
      </c>
      <c r="BH1015" s="72">
        <f t="shared" si="3026"/>
        <v>5.12746</v>
      </c>
      <c r="BI1015" s="34">
        <f>H1015+BF1015-BG1015</f>
        <v>5.12746</v>
      </c>
      <c r="BJ1015" s="34">
        <f>BH1015-BI1015</f>
        <v>0</v>
      </c>
      <c r="BK1015" s="2" t="b">
        <f>H1015='2021'!BH1015</f>
        <v>1</v>
      </c>
    </row>
    <row r="1016" ht="15.75" customHeight="1" spans="1:63" x14ac:dyDescent="0.25">
      <c r="A1016" s="2">
        <v>113</v>
      </c>
      <c r="B1016" s="14"/>
      <c r="D1016" s="14" t="s">
        <v>379</v>
      </c>
      <c r="F1016" s="41"/>
      <c r="G1016" s="28"/>
      <c r="H1016" s="34">
        <f>'2021'!BH1016</f>
        <v>1120.45</v>
      </c>
      <c r="I1016" s="13"/>
      <c r="J1016" s="15"/>
      <c r="K1016" s="15"/>
      <c r="L1016" s="28"/>
      <c r="M1016" s="13"/>
      <c r="N1016" s="15"/>
      <c r="Q1016" s="13"/>
      <c r="R1016" s="15"/>
      <c r="S1016" s="15">
        <v>81.27</v>
      </c>
      <c r="T1016" s="28"/>
      <c r="U1016" s="13"/>
      <c r="V1016" s="15"/>
      <c r="W1016" s="2">
        <v>78.65</v>
      </c>
      <c r="Y1016" s="13"/>
      <c r="Z1016" s="2"/>
      <c r="AA1016" s="15">
        <v>81.27</v>
      </c>
      <c r="AB1016" s="28"/>
      <c r="AC1016" s="348"/>
      <c r="AD1016" s="15"/>
      <c r="AE1016" s="2">
        <v>64.95</v>
      </c>
      <c r="AF1016" s="1">
        <v>149.55</v>
      </c>
      <c r="AG1016" s="15"/>
      <c r="AH1016" s="2"/>
      <c r="AI1016" s="45">
        <v>64.29</v>
      </c>
      <c r="AJ1016" s="15"/>
      <c r="AK1016" s="15"/>
      <c r="AM1016" s="45"/>
      <c r="AO1016" s="13"/>
      <c r="AQ1016" s="180"/>
      <c r="AS1016" s="13"/>
      <c r="AU1016" s="180"/>
      <c r="AW1016" s="13"/>
      <c r="AY1016" s="180"/>
      <c r="AZ1016" s="28"/>
      <c r="BA1016" s="13"/>
      <c r="BB1016" s="15"/>
      <c r="BC1016" s="180"/>
      <c r="BD1016" s="28"/>
      <c r="BE1016" s="14"/>
      <c r="BF1016" s="41">
        <f t="shared" ref="BF1016:BG1016" si="3027">K1016+O1016+S1016+W1016+AA1016+AE1016+AI1016+AM1016+AQ1016+AU1016+AY1016+BC1016</f>
        <v>370.43</v>
      </c>
      <c r="BG1016" s="34">
        <f t="shared" si="3027"/>
        <v>149.55</v>
      </c>
      <c r="BH1016" s="35">
        <f t="shared" ref="BH1016:BH1023" si="3028">H1016+BF1016-BG1016</f>
        <v>1341.33</v>
      </c>
      <c r="BK1016" s="2" t="b">
        <f>H1016='2021'!BH1016</f>
        <v>1</v>
      </c>
    </row>
    <row r="1017" ht="15.75" customHeight="1" spans="1:63" x14ac:dyDescent="0.25">
      <c r="A1017" s="2">
        <v>113</v>
      </c>
      <c r="B1017" s="14">
        <v>4.98</v>
      </c>
      <c r="C1017" s="2" t="s">
        <v>348</v>
      </c>
      <c r="D1017" s="14" t="s">
        <v>44</v>
      </c>
      <c r="E1017" s="2" t="s">
        <v>45</v>
      </c>
      <c r="F1017" s="41">
        <v>2.5</v>
      </c>
      <c r="G1017" s="35">
        <v>2.6</v>
      </c>
      <c r="H1017" s="104">
        <f>'2021'!BH1017</f>
        <v>5.4</v>
      </c>
      <c r="I1017" s="13">
        <v>2</v>
      </c>
      <c r="J1017" s="15">
        <f>I1017-'2021'!BA1017</f>
        <v>0</v>
      </c>
      <c r="K1017" s="34">
        <f>J1017*$F$8</f>
        <v>0</v>
      </c>
      <c r="L1017" s="28"/>
      <c r="M1017" s="13">
        <v>2</v>
      </c>
      <c r="N1017" s="15">
        <f t="shared" ref="N1017:N1018" si="3029">M1017-I1017</f>
        <v>0</v>
      </c>
      <c r="O1017" s="34">
        <f>N1017*$F$8</f>
        <v>0</v>
      </c>
      <c r="Q1017" s="13">
        <v>2</v>
      </c>
      <c r="R1017" s="15">
        <f t="shared" ref="R1017:R1018" si="3030">Q1017-M1017</f>
        <v>0</v>
      </c>
      <c r="S1017" s="34">
        <f>R1017*$F$8</f>
        <v>0</v>
      </c>
      <c r="T1017" s="28"/>
      <c r="U1017" s="13">
        <v>2</v>
      </c>
      <c r="V1017" s="15">
        <f t="shared" ref="V1017:V1018" si="3031">U1017-Q1017</f>
        <v>0</v>
      </c>
      <c r="W1017" s="34">
        <f>V1017*$F$8</f>
        <v>0</v>
      </c>
      <c r="Y1017" s="13">
        <v>2</v>
      </c>
      <c r="Z1017" s="2">
        <f t="shared" ref="Z1017:Z1018" si="3032">Y1017-U1017</f>
        <v>0</v>
      </c>
      <c r="AA1017" s="34">
        <f>Z1017*$F$8</f>
        <v>0</v>
      </c>
      <c r="AB1017" s="28"/>
      <c r="AC1017" s="348">
        <v>2</v>
      </c>
      <c r="AD1017" s="15">
        <f t="shared" ref="AD1017:AD1018" si="3033">AC1017-Y1017</f>
        <v>0</v>
      </c>
      <c r="AE1017" s="180">
        <f>AD1017*$F$8</f>
        <v>0</v>
      </c>
      <c r="AG1017" s="15">
        <v>2</v>
      </c>
      <c r="AH1017" s="2">
        <f>(AG1017-AC1017)*AH5</f>
        <v>0</v>
      </c>
      <c r="AI1017" s="45">
        <f>AH1017*$G$8</f>
        <v>0</v>
      </c>
      <c r="AJ1017" s="15"/>
      <c r="AK1017" s="15">
        <v>2</v>
      </c>
      <c r="AL1017" s="15">
        <f>(AK1017-AG1017)*AL5</f>
        <v>0</v>
      </c>
      <c r="AM1017" s="45">
        <f>AL1017*$G$8</f>
        <v>0</v>
      </c>
      <c r="AN1017" s="15"/>
      <c r="AO1017" s="13">
        <v>2</v>
      </c>
      <c r="AP1017" s="15">
        <f>(AO1017-AK1017)*AP5</f>
        <v>0</v>
      </c>
      <c r="AQ1017" s="45">
        <f>AP1017*$G$8</f>
        <v>0</v>
      </c>
      <c r="AR1017" s="15"/>
      <c r="AS1017" s="13">
        <v>2</v>
      </c>
      <c r="AT1017" s="15">
        <f>(AS1017-AO1017)*AT5</f>
        <v>0</v>
      </c>
      <c r="AU1017" s="45">
        <f>AT1017*$G$8</f>
        <v>0</v>
      </c>
      <c r="AV1017" s="15"/>
      <c r="AW1017" s="13"/>
      <c r="AX1017" s="15">
        <f>(AW1017-AS1017)*AX5</f>
        <v>0</v>
      </c>
      <c r="AY1017" s="45">
        <f>AX1017*$G$8</f>
        <v>0</v>
      </c>
      <c r="AZ1017" s="208"/>
      <c r="BA1017" s="13"/>
      <c r="BB1017" s="15"/>
      <c r="BC1017" s="45">
        <f>BB1017*$G$8</f>
        <v>0</v>
      </c>
      <c r="BD1017" s="208"/>
      <c r="BE1017" s="40">
        <f t="shared" ref="BE1017:BG1017" si="3034">J1017+N1017+R1017+V1017+Z1017+AD1017+AH1017+AL1017+AP1017+AT1017+AX1017+BB1017</f>
        <v>0</v>
      </c>
      <c r="BF1017" s="41">
        <f t="shared" si="3034"/>
        <v>0</v>
      </c>
      <c r="BG1017" s="34">
        <f t="shared" si="3034"/>
        <v>0</v>
      </c>
      <c r="BH1017" s="35">
        <f t="shared" si="3028"/>
        <v>5.4</v>
      </c>
      <c r="BK1017" s="2" t="b">
        <f>H1017='2021'!BH1017</f>
        <v>1</v>
      </c>
    </row>
    <row r="1018" ht="15.75" customHeight="1" spans="1:63" x14ac:dyDescent="0.25">
      <c r="A1018" s="2">
        <v>113</v>
      </c>
      <c r="B1018" s="14"/>
      <c r="C1018" s="2" t="s">
        <v>98</v>
      </c>
      <c r="D1018" s="14" t="s">
        <v>47</v>
      </c>
      <c r="E1018" s="2" t="s">
        <v>48</v>
      </c>
      <c r="F1018" s="41">
        <v>18.56</v>
      </c>
      <c r="G1018" s="35">
        <v>19.46</v>
      </c>
      <c r="H1018" s="34">
        <f>'2021'!BH1018</f>
        <v>0</v>
      </c>
      <c r="I1018" s="13"/>
      <c r="J1018" s="15"/>
      <c r="K1018" s="15"/>
      <c r="L1018" s="28"/>
      <c r="M1018" s="13"/>
      <c r="N1018" s="15">
        <f t="shared" si="3029"/>
        <v>0</v>
      </c>
      <c r="Q1018" s="13"/>
      <c r="R1018" s="15">
        <f t="shared" si="3030"/>
        <v>0</v>
      </c>
      <c r="S1018" s="15"/>
      <c r="T1018" s="28"/>
      <c r="U1018" s="13"/>
      <c r="V1018" s="15">
        <f t="shared" si="3031"/>
        <v>0</v>
      </c>
      <c r="W1018" s="34">
        <f>V1018*$F$10</f>
        <v>0</v>
      </c>
      <c r="Y1018" s="13"/>
      <c r="Z1018" s="2">
        <f t="shared" si="3032"/>
        <v>0</v>
      </c>
      <c r="AA1018" s="34">
        <f>Z1018*$F$10</f>
        <v>0</v>
      </c>
      <c r="AB1018" s="28"/>
      <c r="AC1018" s="348"/>
      <c r="AD1018" s="15">
        <f t="shared" si="3033"/>
        <v>0</v>
      </c>
      <c r="AE1018" s="34">
        <f>AD1018*$F$10</f>
        <v>0</v>
      </c>
      <c r="AG1018" s="15"/>
      <c r="AH1018" s="2">
        <f>AG1018-AC1018</f>
        <v>0</v>
      </c>
      <c r="AI1018" s="45">
        <f>AH1018*$G$10</f>
        <v>0</v>
      </c>
      <c r="AJ1018" s="15"/>
      <c r="AK1018" s="15"/>
      <c r="AL1018" s="15">
        <f>AK1018-AG1018</f>
        <v>0</v>
      </c>
      <c r="AM1018" s="45">
        <f>AL1018*$G$10</f>
        <v>0</v>
      </c>
      <c r="AN1018" s="15"/>
      <c r="AO1018" s="13"/>
      <c r="AP1018" s="15">
        <f>AO1018-AK1018</f>
        <v>0</v>
      </c>
      <c r="AQ1018" s="45">
        <f>AP1018*$G$10</f>
        <v>0</v>
      </c>
      <c r="AR1018" s="15"/>
      <c r="AS1018" s="13"/>
      <c r="AT1018" s="15">
        <f>AS1018-AO1018</f>
        <v>0</v>
      </c>
      <c r="AU1018" s="45">
        <f>AT1018*$G$10</f>
        <v>0</v>
      </c>
      <c r="AV1018" s="15"/>
      <c r="AW1018" s="13"/>
      <c r="AX1018" s="15">
        <f>AW1018-AS1018</f>
        <v>0</v>
      </c>
      <c r="AY1018" s="45"/>
      <c r="AZ1018" s="208"/>
      <c r="BA1018" s="13"/>
      <c r="BB1018" s="15"/>
      <c r="BC1018" s="45"/>
      <c r="BD1018" s="208"/>
      <c r="BE1018" s="40">
        <f t="shared" ref="BE1018:BG1018" si="3035">J1018+N1018+R1018+V1018+Z1018+AD1018+AH1018+AL1018+AP1018+AT1018+AX1018+BB1018</f>
        <v>0</v>
      </c>
      <c r="BF1018" s="41">
        <f t="shared" si="3035"/>
        <v>0</v>
      </c>
      <c r="BG1018" s="34">
        <f t="shared" si="3035"/>
        <v>0</v>
      </c>
      <c r="BH1018" s="35">
        <f t="shared" si="3028"/>
        <v>0</v>
      </c>
      <c r="BK1018" s="2" t="b">
        <f>H1018='2021'!BH1018</f>
        <v>1</v>
      </c>
    </row>
    <row r="1019" ht="15.75" customHeight="1" spans="1:63" x14ac:dyDescent="0.25">
      <c r="A1019" s="2">
        <v>113</v>
      </c>
      <c r="B1019" s="14"/>
      <c r="C1019" s="2" t="s">
        <v>55</v>
      </c>
      <c r="D1019" s="14" t="s">
        <v>47</v>
      </c>
      <c r="E1019" s="2" t="s">
        <v>49</v>
      </c>
      <c r="F1019" s="41">
        <v>500</v>
      </c>
      <c r="G1019" s="28"/>
      <c r="H1019" s="144">
        <f>'2021'!BH1019</f>
        <v>0</v>
      </c>
      <c r="I1019" s="13"/>
      <c r="J1019" s="15"/>
      <c r="K1019" s="15"/>
      <c r="L1019" s="28"/>
      <c r="M1019" s="13"/>
      <c r="N1019" s="15"/>
      <c r="Q1019" s="13"/>
      <c r="R1019" s="15"/>
      <c r="S1019" s="15"/>
      <c r="T1019" s="28"/>
      <c r="U1019" s="13"/>
      <c r="V1019" s="15"/>
      <c r="Y1019" s="13"/>
      <c r="Z1019" s="2"/>
      <c r="AA1019" s="34"/>
      <c r="AB1019" s="28"/>
      <c r="AC1019" s="348"/>
      <c r="AD1019" s="15"/>
      <c r="AG1019" s="15"/>
      <c r="AH1019" s="2"/>
      <c r="AI1019" s="45"/>
      <c r="AJ1019" s="15"/>
      <c r="AK1019" s="15"/>
      <c r="AL1019" s="15"/>
      <c r="AM1019" s="45"/>
      <c r="AN1019" s="15"/>
      <c r="AO1019" s="13"/>
      <c r="AP1019" s="15"/>
      <c r="AQ1019" s="45"/>
      <c r="AR1019" s="15"/>
      <c r="AS1019" s="13"/>
      <c r="AT1019" s="15"/>
      <c r="AU1019" s="45"/>
      <c r="AV1019" s="15"/>
      <c r="AW1019" s="13"/>
      <c r="AX1019" s="15"/>
      <c r="AY1019" s="45"/>
      <c r="AZ1019" s="28"/>
      <c r="BA1019" s="13"/>
      <c r="BB1019" s="15"/>
      <c r="BC1019" s="45"/>
      <c r="BD1019" s="28"/>
      <c r="BE1019" s="40">
        <f t="shared" ref="BE1019:BG1019" si="3036">J1019+N1019+R1019+V1019+Z1019+AD1019+AH1019+AL1019+AP1019+AT1019+AX1019+BB1019</f>
        <v>0</v>
      </c>
      <c r="BF1019" s="41">
        <f t="shared" si="3036"/>
        <v>0</v>
      </c>
      <c r="BG1019" s="34">
        <f t="shared" si="3036"/>
        <v>0</v>
      </c>
      <c r="BH1019" s="35">
        <f t="shared" si="3028"/>
        <v>0</v>
      </c>
      <c r="BK1019" s="2" t="b">
        <f>H1019='2021'!BH1019</f>
        <v>1</v>
      </c>
    </row>
    <row r="1020" ht="15.75" customHeight="1" spans="1:63" x14ac:dyDescent="0.25">
      <c r="A1020" s="2">
        <v>113</v>
      </c>
      <c r="B1020" s="14"/>
      <c r="D1020" s="14" t="s">
        <v>50</v>
      </c>
      <c r="E1020" s="2" t="s">
        <v>49</v>
      </c>
      <c r="F1020" s="41">
        <v>1100</v>
      </c>
      <c r="G1020" s="28"/>
      <c r="H1020" s="180">
        <f>'2021'!BH1020</f>
        <v>22225.14</v>
      </c>
      <c r="I1020" s="13"/>
      <c r="J1020" s="15"/>
      <c r="K1020" s="15"/>
      <c r="L1020" s="28"/>
      <c r="M1020" s="13"/>
      <c r="N1020" s="15"/>
      <c r="Q1020" s="13"/>
      <c r="R1020" s="15"/>
      <c r="S1020" s="15"/>
      <c r="T1020" s="28"/>
      <c r="U1020" s="13"/>
      <c r="V1020" s="15"/>
      <c r="Y1020" s="13"/>
      <c r="Z1020" s="2"/>
      <c r="AA1020" s="15"/>
      <c r="AB1020" s="28"/>
      <c r="AC1020" s="348"/>
      <c r="AD1020" s="15"/>
      <c r="AE1020" s="34">
        <f>B1017*$F$12</f>
        <v>6474</v>
      </c>
      <c r="AF1020" s="1">
        <v>5478</v>
      </c>
      <c r="AG1020" s="15"/>
      <c r="AH1020" s="2"/>
      <c r="AI1020" s="45"/>
      <c r="AJ1020" s="15"/>
      <c r="AK1020" s="15"/>
      <c r="AL1020" s="15"/>
      <c r="AM1020" s="45"/>
      <c r="AN1020" s="15"/>
      <c r="AO1020" s="13"/>
      <c r="AP1020" s="15"/>
      <c r="AQ1020" s="45"/>
      <c r="AR1020" s="15"/>
      <c r="AS1020" s="13"/>
      <c r="AT1020" s="15"/>
      <c r="AU1020" s="45"/>
      <c r="AV1020" s="15"/>
      <c r="AW1020" s="13"/>
      <c r="AX1020" s="15"/>
      <c r="AY1020" s="45"/>
      <c r="AZ1020" s="28"/>
      <c r="BA1020" s="13"/>
      <c r="BB1020" s="15"/>
      <c r="BC1020" s="45"/>
      <c r="BD1020" s="28"/>
      <c r="BE1020" s="14"/>
      <c r="BF1020" s="41">
        <f t="shared" ref="BF1020:BG1020" si="3037">K1020+O1020+S1020+W1020+AA1020+AE1020+AI1020+AM1020+AQ1020+AU1020+AY1020+BC1020</f>
        <v>6474</v>
      </c>
      <c r="BG1020" s="34">
        <f t="shared" si="3037"/>
        <v>5478</v>
      </c>
      <c r="BH1020" s="35">
        <f t="shared" si="3028"/>
        <v>23221.14</v>
      </c>
      <c r="BK1020" s="2" t="b">
        <f>H1020='2021'!BH1020</f>
        <v>1</v>
      </c>
    </row>
    <row r="1021" ht="15.75" customHeight="1" spans="1:63" x14ac:dyDescent="0.25">
      <c r="A1021" s="2">
        <v>113</v>
      </c>
      <c r="B1021" s="14"/>
      <c r="D1021" s="14" t="s">
        <v>51</v>
      </c>
      <c r="E1021" s="2" t="s">
        <v>39</v>
      </c>
      <c r="F1021" s="41">
        <v>500</v>
      </c>
      <c r="G1021" s="28"/>
      <c r="H1021" s="180">
        <f>'2021'!BH1021</f>
        <v>1500</v>
      </c>
      <c r="I1021" s="13"/>
      <c r="J1021" s="15"/>
      <c r="K1021" s="15"/>
      <c r="L1021" s="28"/>
      <c r="M1021" s="13"/>
      <c r="N1021" s="15"/>
      <c r="Q1021" s="13"/>
      <c r="R1021" s="15"/>
      <c r="S1021" s="15"/>
      <c r="T1021" s="28"/>
      <c r="U1021" s="13"/>
      <c r="V1021" s="15"/>
      <c r="Y1021" s="13"/>
      <c r="Z1021" s="2"/>
      <c r="AA1021" s="15"/>
      <c r="AB1021" s="28"/>
      <c r="AC1021" s="348"/>
      <c r="AD1021" s="15"/>
      <c r="AE1021" s="180">
        <f>$F$13</f>
        <v>1000</v>
      </c>
      <c r="AG1021" s="15"/>
      <c r="AH1021" s="2"/>
      <c r="AI1021" s="45"/>
      <c r="AJ1021" s="15"/>
      <c r="AK1021" s="15"/>
      <c r="AL1021" s="15"/>
      <c r="AM1021" s="45"/>
      <c r="AN1021" s="15"/>
      <c r="AO1021" s="13"/>
      <c r="AP1021" s="15"/>
      <c r="AQ1021" s="180"/>
      <c r="AR1021" s="15"/>
      <c r="AS1021" s="13"/>
      <c r="AT1021" s="15"/>
      <c r="AU1021" s="45"/>
      <c r="AV1021" s="15"/>
      <c r="AW1021" s="13"/>
      <c r="AX1021" s="15"/>
      <c r="AY1021" s="45"/>
      <c r="AZ1021" s="28"/>
      <c r="BA1021" s="13"/>
      <c r="BB1021" s="15"/>
      <c r="BC1021" s="45"/>
      <c r="BD1021" s="28"/>
      <c r="BE1021" s="14"/>
      <c r="BF1021" s="41">
        <f t="shared" ref="BF1021:BG1021" si="3038">K1021+O1021+S1021+W1021+AA1021+AE1021+AI1021+AM1021+AQ1021+AU1021+AY1021+BC1021</f>
        <v>1000</v>
      </c>
      <c r="BG1021" s="34">
        <f t="shared" si="3038"/>
        <v>0</v>
      </c>
      <c r="BH1021" s="35">
        <f t="shared" si="3028"/>
        <v>2500</v>
      </c>
      <c r="BK1021" s="2" t="b">
        <f>H1021='2021'!BH1021</f>
        <v>1</v>
      </c>
    </row>
    <row r="1022" ht="15.75" customHeight="1" spans="1:63" x14ac:dyDescent="0.25">
      <c r="A1022" s="2">
        <v>113</v>
      </c>
      <c r="B1022" s="14"/>
      <c r="D1022" s="14" t="s">
        <v>51</v>
      </c>
      <c r="E1022" s="2" t="s">
        <v>49</v>
      </c>
      <c r="F1022" s="41">
        <v>500</v>
      </c>
      <c r="G1022" s="28"/>
      <c r="H1022" s="180">
        <f>'2021'!BH1022</f>
        <v>2490</v>
      </c>
      <c r="I1022" s="13"/>
      <c r="J1022" s="15"/>
      <c r="K1022" s="15"/>
      <c r="L1022" s="28"/>
      <c r="M1022" s="13"/>
      <c r="N1022" s="15"/>
      <c r="Q1022" s="13"/>
      <c r="R1022" s="15"/>
      <c r="S1022" s="15"/>
      <c r="T1022" s="28"/>
      <c r="U1022" s="13"/>
      <c r="V1022" s="15"/>
      <c r="Y1022" s="13"/>
      <c r="Z1022" s="2"/>
      <c r="AA1022" s="15"/>
      <c r="AB1022" s="28"/>
      <c r="AC1022" s="348"/>
      <c r="AD1022" s="15"/>
      <c r="AE1022" s="34"/>
      <c r="AG1022" s="15"/>
      <c r="AH1022" s="2"/>
      <c r="AI1022" s="45"/>
      <c r="AJ1022" s="15"/>
      <c r="AK1022" s="15"/>
      <c r="AL1022" s="15"/>
      <c r="AM1022" s="45"/>
      <c r="AN1022" s="15"/>
      <c r="AO1022" s="13"/>
      <c r="AP1022" s="15"/>
      <c r="AQ1022" s="180">
        <f>B1017*$F$14</f>
        <v>0</v>
      </c>
      <c r="AR1022" s="15"/>
      <c r="AS1022" s="13"/>
      <c r="AT1022" s="15"/>
      <c r="AU1022" s="45"/>
      <c r="AV1022" s="15"/>
      <c r="AW1022" s="13"/>
      <c r="AX1022" s="15"/>
      <c r="AY1022" s="45"/>
      <c r="AZ1022" s="28"/>
      <c r="BA1022" s="13"/>
      <c r="BB1022" s="15"/>
      <c r="BC1022" s="45"/>
      <c r="BD1022" s="28"/>
      <c r="BE1022" s="14"/>
      <c r="BF1022" s="41">
        <f t="shared" ref="BF1022:BG1022" si="3039">K1022+O1022+S1022+W1022+AA1022+AE1022+AI1022+AM1022+AQ1022+AU1022+AY1022+BC1022</f>
        <v>0</v>
      </c>
      <c r="BG1022" s="34">
        <f t="shared" si="3039"/>
        <v>0</v>
      </c>
      <c r="BH1022" s="35">
        <f t="shared" si="3028"/>
        <v>2490</v>
      </c>
      <c r="BK1022" s="2" t="b">
        <f>H1022='2021'!BH1022</f>
        <v>1</v>
      </c>
    </row>
    <row r="1023" ht="15.75" customHeight="1" spans="1:63" x14ac:dyDescent="0.25">
      <c r="A1023" s="2">
        <v>113</v>
      </c>
      <c r="B1023" s="14"/>
      <c r="D1023" s="14" t="s">
        <v>52</v>
      </c>
      <c r="E1023" s="2" t="s">
        <v>39</v>
      </c>
      <c r="F1023" s="41">
        <v>500</v>
      </c>
      <c r="G1023" s="28"/>
      <c r="H1023" s="180">
        <f>'2021'!BH1023</f>
        <v>1350</v>
      </c>
      <c r="I1023" s="13"/>
      <c r="J1023" s="15"/>
      <c r="K1023" s="15"/>
      <c r="L1023" s="28"/>
      <c r="M1023" s="13"/>
      <c r="N1023" s="15"/>
      <c r="Q1023" s="13"/>
      <c r="R1023" s="15"/>
      <c r="S1023" s="15"/>
      <c r="T1023" s="28"/>
      <c r="U1023" s="13"/>
      <c r="V1023" s="15"/>
      <c r="Y1023" s="13"/>
      <c r="Z1023" s="2"/>
      <c r="AA1023" s="34">
        <f>$F$15</f>
      </c>
      <c r="AB1023" s="28"/>
      <c r="AC1023" s="348"/>
      <c r="AD1023" s="15"/>
      <c r="AG1023" s="15"/>
      <c r="AH1023" s="2"/>
      <c r="AI1023" s="45"/>
      <c r="AJ1023" s="15"/>
      <c r="AK1023" s="15"/>
      <c r="AL1023" s="15"/>
      <c r="AM1023" s="45"/>
      <c r="AN1023" s="15"/>
      <c r="AO1023" s="13"/>
      <c r="AP1023" s="15"/>
      <c r="AQ1023" s="45"/>
      <c r="AR1023" s="15"/>
      <c r="AS1023" s="13"/>
      <c r="AT1023" s="15"/>
      <c r="AU1023" s="45"/>
      <c r="AV1023" s="15"/>
      <c r="AW1023" s="13"/>
      <c r="AX1023" s="15"/>
      <c r="AY1023" s="45"/>
      <c r="AZ1023" s="35"/>
      <c r="BA1023" s="13"/>
      <c r="BB1023" s="15"/>
      <c r="BC1023" s="45"/>
      <c r="BD1023" s="35"/>
      <c r="BE1023" s="14"/>
      <c r="BF1023" s="41">
        <f t="shared" ref="BF1023:BG1023" si="3040">K1023+O1023+S1023+W1023+AA1023+AE1023+AI1023+AM1023+AQ1023+AU1023+AY1023+BC1023</f>
        <v>0</v>
      </c>
      <c r="BG1023" s="34">
        <f t="shared" si="3040"/>
        <v>0</v>
      </c>
      <c r="BH1023" s="35">
        <f t="shared" si="3028"/>
        <v>1350</v>
      </c>
      <c r="BK1023" s="2" t="b">
        <f>H1023='2021'!BH1023</f>
        <v>1</v>
      </c>
    </row>
    <row r="1024" ht="15.75" customHeight="1" spans="1:63" x14ac:dyDescent="0.25">
      <c r="A1024" s="247">
        <v>113</v>
      </c>
      <c r="B1024" s="21"/>
      <c r="C1024" s="22" t="s">
        <v>53</v>
      </c>
      <c r="D1024" s="21"/>
      <c r="E1024" s="22"/>
      <c r="F1024" s="20"/>
      <c r="G1024" s="23"/>
      <c r="H1024" s="51">
        <f>SUM(H1016:H1023)</f>
        <v>28690.99</v>
      </c>
      <c r="I1024" s="52"/>
      <c r="J1024" s="53"/>
      <c r="K1024" s="51">
        <f t="shared" ref="K1024:L1024" si="3041">SUM(K1016:K1023)</f>
        <v>0</v>
      </c>
      <c r="L1024" s="68">
        <f t="shared" si="3041"/>
        <v>0</v>
      </c>
      <c r="M1024" s="52"/>
      <c r="N1024" s="53"/>
      <c r="O1024" s="51">
        <f t="shared" ref="O1024:P1024" si="3042">SUM(O1016:O1023)</f>
        <v>0</v>
      </c>
      <c r="P1024" s="51">
        <f t="shared" si="3042"/>
        <v>0</v>
      </c>
      <c r="Q1024" s="52"/>
      <c r="R1024" s="53"/>
      <c r="S1024" s="51">
        <f t="shared" ref="S1024:T1024" si="3043">SUM(S1016:S1023)</f>
        <v>81.27</v>
      </c>
      <c r="T1024" s="51">
        <f t="shared" si="3043"/>
        <v>0</v>
      </c>
      <c r="U1024" s="52"/>
      <c r="V1024" s="53"/>
      <c r="W1024" s="51">
        <f t="shared" ref="W1024:X1024" si="3044">SUM(W1016:W1023)</f>
        <v>78.65</v>
      </c>
      <c r="X1024" s="51">
        <f t="shared" si="3044"/>
        <v>0</v>
      </c>
      <c r="Y1024" s="52"/>
      <c r="Z1024" s="301"/>
      <c r="AA1024" s="51">
        <f t="shared" ref="AA1024:AB1024" si="3045">SUM(AA1016:AA1023)</f>
        <v>81.27</v>
      </c>
      <c r="AB1024" s="51">
        <f t="shared" si="3045"/>
        <v>0</v>
      </c>
      <c r="AC1024" s="367"/>
      <c r="AD1024" s="53"/>
      <c r="AE1024" s="51">
        <f t="shared" ref="AE1024:AF1024" si="3046">SUM(AE1016:AE1023)</f>
        <v>7538.95</v>
      </c>
      <c r="AF1024" s="51">
        <f t="shared" si="3046"/>
        <v>5627.55</v>
      </c>
      <c r="AG1024" s="52"/>
      <c r="AH1024" s="301"/>
      <c r="AI1024" s="51">
        <f t="shared" ref="AI1024:AJ1024" si="3047">SUM(AI1016:AI1023)</f>
        <v>64.29</v>
      </c>
      <c r="AJ1024" s="51">
        <f t="shared" si="3047"/>
        <v>0</v>
      </c>
      <c r="AK1024" s="52"/>
      <c r="AL1024" s="53"/>
      <c r="AM1024" s="51">
        <f t="shared" ref="AM1024:AN1024" si="3048">SUM(AM1016:AM1023)</f>
        <v>0</v>
      </c>
      <c r="AN1024" s="51">
        <f t="shared" si="3048"/>
        <v>0</v>
      </c>
      <c r="AO1024" s="52"/>
      <c r="AP1024" s="53"/>
      <c r="AQ1024" s="183">
        <f t="shared" ref="AQ1024:AR1024" si="3049">SUM(AQ1016:AQ1023)</f>
        <v>0</v>
      </c>
      <c r="AR1024" s="51">
        <f t="shared" si="3049"/>
        <v>0</v>
      </c>
      <c r="AS1024" s="52"/>
      <c r="AT1024" s="53"/>
      <c r="AU1024" s="183">
        <f t="shared" ref="AU1024:AV1024" si="3050">SUM(AU1016:AU1023)</f>
        <v>0</v>
      </c>
      <c r="AV1024" s="68">
        <f t="shared" si="3050"/>
        <v>0</v>
      </c>
      <c r="AW1024" s="52"/>
      <c r="AX1024" s="53"/>
      <c r="AY1024" s="183">
        <f t="shared" ref="AY1024:AZ1024" si="3051">SUM(AY1016:AY1023)</f>
        <v>0</v>
      </c>
      <c r="AZ1024" s="68">
        <f t="shared" si="3051"/>
        <v>0</v>
      </c>
      <c r="BA1024" s="52"/>
      <c r="BB1024" s="53"/>
      <c r="BC1024" s="183">
        <f t="shared" ref="BC1024:BD1024" si="3052">SUM(BC1016:BC1023)</f>
        <v>0</v>
      </c>
      <c r="BD1024" s="68">
        <f t="shared" si="3052"/>
        <v>0</v>
      </c>
      <c r="BE1024" s="69"/>
      <c r="BF1024" s="70">
        <f t="shared" ref="BF1024:BH1024" si="3053">SUM(BF1016:BF1023)</f>
        <v>7844.43</v>
      </c>
      <c r="BG1024" s="71">
        <f t="shared" si="3053"/>
        <v>5627.55</v>
      </c>
      <c r="BH1024" s="72">
        <f t="shared" si="3053"/>
        <v>30907.87</v>
      </c>
      <c r="BI1024" s="34">
        <f>H1024+BF1024-BG1024</f>
        <v>30907.87</v>
      </c>
      <c r="BJ1024" s="34">
        <f>BH1024-BI1024</f>
        <v>0</v>
      </c>
      <c r="BK1024" s="2" t="b">
        <f>H1024='2021'!BH1024</f>
        <v>1</v>
      </c>
    </row>
    <row r="1025" ht="15.75" customHeight="1" spans="1:63" x14ac:dyDescent="0.25">
      <c r="A1025" s="2">
        <v>114</v>
      </c>
      <c r="B1025" s="14"/>
      <c r="D1025" s="14" t="s">
        <v>379</v>
      </c>
      <c r="F1025" s="13"/>
      <c r="G1025" s="28"/>
      <c r="H1025" s="34">
        <f>'2021'!BH1025</f>
        <v>10.48</v>
      </c>
      <c r="I1025" s="13"/>
      <c r="J1025" s="15"/>
      <c r="K1025" s="15"/>
      <c r="L1025" s="28"/>
      <c r="M1025" s="13"/>
      <c r="N1025" s="15"/>
      <c r="Q1025" s="13"/>
      <c r="R1025" s="15"/>
      <c r="S1025" s="15"/>
      <c r="T1025" s="28"/>
      <c r="U1025" s="13"/>
      <c r="V1025" s="15"/>
      <c r="Y1025" s="13"/>
      <c r="Z1025" s="2"/>
      <c r="AA1025" s="15"/>
      <c r="AB1025" s="28"/>
      <c r="AC1025" s="348"/>
      <c r="AD1025" s="15"/>
      <c r="AG1025" s="15"/>
      <c r="AH1025" s="2"/>
      <c r="AI1025" s="45"/>
      <c r="AJ1025" s="154">
        <v>10.48</v>
      </c>
      <c r="AK1025" s="15"/>
      <c r="AM1025" s="45"/>
      <c r="AN1025" s="15"/>
      <c r="AO1025" s="13"/>
      <c r="AQ1025" s="180"/>
      <c r="AR1025" s="15"/>
      <c r="AS1025" s="13"/>
      <c r="AU1025" s="45"/>
      <c r="AV1025" s="15"/>
      <c r="AW1025" s="13"/>
      <c r="AY1025" s="45"/>
      <c r="AZ1025" s="28"/>
      <c r="BA1025" s="13"/>
      <c r="BB1025" s="15"/>
      <c r="BC1025" s="45"/>
      <c r="BD1025" s="28"/>
      <c r="BE1025" s="14"/>
      <c r="BF1025" s="41">
        <f t="shared" ref="BF1025:BG1025" si="3054">K1025+O1025+S1025+W1025+AA1025+AE1025+AI1025+AM1025+AQ1025+AU1025+AY1025+BC1025</f>
        <v>0</v>
      </c>
      <c r="BG1025" s="34">
        <f t="shared" si="3054"/>
        <v>10.48</v>
      </c>
      <c r="BH1025" s="35">
        <f t="shared" ref="BH1025:BH1032" si="3055">H1025+BF1025-BG1025</f>
        <v>0</v>
      </c>
      <c r="BK1025" s="2" t="b">
        <f>H1025='2021'!BH1025</f>
        <v>1</v>
      </c>
    </row>
    <row r="1026" ht="15.75" customHeight="1" spans="1:63" x14ac:dyDescent="0.25">
      <c r="A1026" s="2">
        <v>114</v>
      </c>
      <c r="B1026" s="14">
        <v>4.86</v>
      </c>
      <c r="C1026" s="2" t="s">
        <v>515</v>
      </c>
      <c r="D1026" s="14" t="s">
        <v>44</v>
      </c>
      <c r="E1026" s="2" t="s">
        <v>45</v>
      </c>
      <c r="F1026" s="41">
        <v>2.5</v>
      </c>
      <c r="G1026" s="35">
        <v>2.6</v>
      </c>
      <c r="H1026" s="34">
        <f>'2021'!BH1026</f>
        <v>-184.1</v>
      </c>
      <c r="I1026" s="13">
        <v>902</v>
      </c>
      <c r="J1026" s="15">
        <f>I1026-'2021'!BA1026</f>
        <v>0</v>
      </c>
      <c r="K1026" s="34">
        <f>J1026*$F$8</f>
        <v>0</v>
      </c>
      <c r="L1026" s="28"/>
      <c r="M1026" s="13">
        <v>902</v>
      </c>
      <c r="N1026" s="15">
        <f t="shared" ref="N1026:N1027" si="3056">M1026-I1026</f>
        <v>0</v>
      </c>
      <c r="O1026" s="34">
        <f>N1026*$F$8</f>
        <v>0</v>
      </c>
      <c r="Q1026" s="13">
        <v>902</v>
      </c>
      <c r="R1026" s="15">
        <f t="shared" ref="R1026:R1027" si="3057">Q1026-M1026</f>
        <v>0</v>
      </c>
      <c r="S1026" s="34">
        <f>R1026*$F$8</f>
        <v>0</v>
      </c>
      <c r="T1026" s="28"/>
      <c r="U1026" s="13">
        <v>902</v>
      </c>
      <c r="V1026" s="15">
        <f t="shared" ref="V1026:V1027" si="3058">U1026-Q1026</f>
        <v>0</v>
      </c>
      <c r="W1026" s="34">
        <f>V1026*$F$8</f>
        <v>0</v>
      </c>
      <c r="Y1026" s="13">
        <v>1114</v>
      </c>
      <c r="Z1026" s="2">
        <f>Y1026-U1026</f>
        <v>212</v>
      </c>
      <c r="AA1026" s="34">
        <f>Z1026*$F$8</f>
        <v>572.4</v>
      </c>
      <c r="AB1026" s="32">
        <v>1000</v>
      </c>
      <c r="AC1026" s="348">
        <v>1182</v>
      </c>
      <c r="AD1026" s="15">
        <f t="shared" ref="AD1026:AD1027" si="3059">AC1026-Y1026</f>
        <v>68</v>
      </c>
      <c r="AE1026" s="180">
        <f>AD1026*$F$8</f>
        <v>183.6</v>
      </c>
      <c r="AG1026" s="15">
        <v>1255</v>
      </c>
      <c r="AH1026" s="2">
        <f>(AG1026-AC1026)*AH5</f>
        <v>77.088</v>
      </c>
      <c r="AI1026" s="45">
        <f>AH1026*$G$8</f>
        <v>189.63648</v>
      </c>
      <c r="AJ1026" s="248"/>
      <c r="AK1026" s="15">
        <v>1330</v>
      </c>
      <c r="AL1026" s="15">
        <f>(AK1026-AG1026)*AL5</f>
        <v>77.1</v>
      </c>
      <c r="AM1026" s="45">
        <f>AL1026*$G$8</f>
        <v>189.666</v>
      </c>
      <c r="AN1026" s="15"/>
      <c r="AO1026" s="13">
        <v>1425</v>
      </c>
      <c r="AP1026" s="15">
        <f>(AO1026-AK1026)*AP5</f>
        <v>98.135</v>
      </c>
      <c r="AQ1026" s="45">
        <f>AP1026*$G$8</f>
        <v>241.4121</v>
      </c>
      <c r="AR1026" s="182">
        <v>200</v>
      </c>
      <c r="AS1026" s="13">
        <v>1494</v>
      </c>
      <c r="AT1026" s="15">
        <f>(AS1026-AO1026)*AT5</f>
        <v>72.45</v>
      </c>
      <c r="AU1026" s="45">
        <f>AT1026*$G$8</f>
        <v>178.227</v>
      </c>
      <c r="AV1026" s="1"/>
      <c r="AW1026" s="13"/>
      <c r="AX1026" s="15">
        <f>(AW1026-AS1026)*AX5</f>
        <v>0</v>
      </c>
      <c r="AY1026" s="45">
        <f>AX1026*$G$8</f>
        <v>0</v>
      </c>
      <c r="AZ1026" s="208"/>
      <c r="BA1026" s="13"/>
      <c r="BB1026" s="15"/>
      <c r="BC1026" s="45">
        <f>BB1026*$G$8</f>
        <v>0</v>
      </c>
      <c r="BD1026" s="208"/>
      <c r="BE1026" s="40">
        <f t="shared" ref="BE1026:BG1026" si="3060">J1026+N1026+R1026+V1026+Z1026+AD1026+AH1026+AL1026+AP1026+AT1026+AX1026+BB1026</f>
        <v>604.773</v>
      </c>
      <c r="BF1026" s="41">
        <f t="shared" si="3060"/>
        <v>1554.94158</v>
      </c>
      <c r="BG1026" s="34">
        <f t="shared" si="3060"/>
        <v>1200</v>
      </c>
      <c r="BH1026" s="35">
        <f t="shared" si="3055"/>
        <v>170.84158</v>
      </c>
      <c r="BK1026" s="2" t="b">
        <f>H1026='2021'!BH1026</f>
        <v>1</v>
      </c>
    </row>
    <row r="1027" ht="15.75" customHeight="1" spans="1:63" x14ac:dyDescent="0.25">
      <c r="A1027" s="2">
        <v>114</v>
      </c>
      <c r="B1027" s="14"/>
      <c r="C1027" s="2" t="s">
        <v>435</v>
      </c>
      <c r="D1027" s="14" t="s">
        <v>47</v>
      </c>
      <c r="E1027" s="2" t="s">
        <v>48</v>
      </c>
      <c r="F1027" s="13">
        <v>18.56</v>
      </c>
      <c r="G1027" s="35">
        <v>19.46</v>
      </c>
      <c r="H1027" s="34">
        <f>'2021'!BH1027</f>
        <v>-251.46</v>
      </c>
      <c r="I1027" s="13">
        <v>93</v>
      </c>
      <c r="J1027" s="15"/>
      <c r="K1027" s="15"/>
      <c r="L1027" s="28"/>
      <c r="M1027" s="13">
        <v>93</v>
      </c>
      <c r="N1027" s="15">
        <f t="shared" si="3056"/>
        <v>0</v>
      </c>
      <c r="Q1027" s="13">
        <v>93</v>
      </c>
      <c r="R1027" s="15">
        <f t="shared" si="3057"/>
        <v>0</v>
      </c>
      <c r="S1027" s="15"/>
      <c r="T1027" s="28"/>
      <c r="U1027" s="13">
        <v>94</v>
      </c>
      <c r="V1027" s="15">
        <f t="shared" si="3058"/>
        <v>1</v>
      </c>
      <c r="W1027" s="34">
        <f>V1027*$F$10</f>
        <v>20.35</v>
      </c>
      <c r="Y1027" s="13">
        <v>0</v>
      </c>
      <c r="Z1027" s="2">
        <v>0</v>
      </c>
      <c r="AA1027" s="34">
        <f>Z1027*$F$10</f>
        <v>0</v>
      </c>
      <c r="AB1027" s="32">
        <v>500</v>
      </c>
      <c r="AC1027" s="350">
        <v>30</v>
      </c>
      <c r="AD1027" s="15">
        <f t="shared" si="3059"/>
        <v>30</v>
      </c>
      <c r="AE1027" s="34">
        <f>AD1027*$F$10</f>
        <v>610.5</v>
      </c>
      <c r="AF1027" s="180"/>
      <c r="AG1027" s="13">
        <v>30</v>
      </c>
      <c r="AH1027" s="2">
        <f>AG1027-AC1027</f>
        <v>0</v>
      </c>
      <c r="AI1027" s="45">
        <f>AH1027*$G$10</f>
        <v>0</v>
      </c>
      <c r="AJ1027" s="1"/>
      <c r="AK1027" s="13">
        <v>61</v>
      </c>
      <c r="AL1027" s="15">
        <f>AK1027-AG1027</f>
        <v>31</v>
      </c>
      <c r="AM1027" s="45">
        <f>AL1027*$G$10</f>
        <v>663.4</v>
      </c>
      <c r="AN1027" s="1"/>
      <c r="AO1027" s="13">
        <v>73</v>
      </c>
      <c r="AP1027" s="15">
        <f>AO1027-AK1027</f>
        <v>12</v>
      </c>
      <c r="AQ1027" s="45">
        <f>AP1027*$G$10</f>
        <v>256.8</v>
      </c>
      <c r="AR1027" s="182">
        <v>800</v>
      </c>
      <c r="AS1027" s="13">
        <v>73</v>
      </c>
      <c r="AT1027" s="15">
        <f>AS1027-AO1027</f>
        <v>0</v>
      </c>
      <c r="AU1027" s="45">
        <f>AT1027*$G$10</f>
        <v>0</v>
      </c>
      <c r="AV1027" s="15"/>
      <c r="AW1027" s="13"/>
      <c r="AX1027" s="15">
        <f>AW1027-AS1027</f>
        <v>-73</v>
      </c>
      <c r="AY1027" s="45"/>
      <c r="AZ1027" s="208"/>
      <c r="BA1027" s="13"/>
      <c r="BB1027" s="15"/>
      <c r="BC1027" s="45"/>
      <c r="BD1027" s="208"/>
      <c r="BE1027" s="40">
        <f t="shared" ref="BE1027:BG1027" si="3061">J1027+N1027+R1027+V1027+Z1027+AD1027+AH1027+AL1027+AP1027+AT1027+AX1027+BB1027</f>
        <v>1</v>
      </c>
      <c r="BF1027" s="41">
        <f t="shared" si="3061"/>
        <v>1551.05</v>
      </c>
      <c r="BG1027" s="34">
        <f t="shared" si="3061"/>
        <v>1300</v>
      </c>
      <c r="BH1027" s="35">
        <f t="shared" si="3055"/>
        <v>-0.41</v>
      </c>
      <c r="BK1027" s="2" t="b">
        <f>H1027='2021'!BH1027</f>
        <v>1</v>
      </c>
    </row>
    <row r="1028" ht="15.75" customHeight="1" spans="1:63" x14ac:dyDescent="0.25">
      <c r="A1028" s="2">
        <v>114</v>
      </c>
      <c r="B1028" s="14"/>
      <c r="C1028" s="2" t="s">
        <v>208</v>
      </c>
      <c r="D1028" s="14" t="s">
        <v>47</v>
      </c>
      <c r="E1028" s="2" t="s">
        <v>49</v>
      </c>
      <c r="F1028" s="41">
        <v>500</v>
      </c>
      <c r="G1028" s="28"/>
      <c r="H1028" s="34">
        <f>'2021'!BH1028</f>
        <v>0</v>
      </c>
      <c r="I1028" s="13"/>
      <c r="J1028" s="15"/>
      <c r="K1028" s="15"/>
      <c r="L1028" s="28"/>
      <c r="M1028" s="13"/>
      <c r="N1028" s="15"/>
      <c r="Q1028" s="13"/>
      <c r="R1028" s="15"/>
      <c r="S1028" s="15"/>
      <c r="T1028" s="28"/>
      <c r="U1028" s="13"/>
      <c r="V1028" s="15"/>
      <c r="Y1028" s="13"/>
      <c r="Z1028" s="2"/>
      <c r="AA1028" s="15"/>
      <c r="AB1028" s="28"/>
      <c r="AC1028" s="348"/>
      <c r="AD1028" s="15"/>
      <c r="AG1028" s="15"/>
      <c r="AH1028" s="2"/>
      <c r="AI1028" s="15"/>
      <c r="AJ1028" s="15"/>
      <c r="AK1028" s="15"/>
      <c r="AL1028" s="15"/>
      <c r="AM1028" s="15"/>
      <c r="AN1028" s="15"/>
      <c r="AO1028" s="13"/>
      <c r="AP1028" s="15"/>
      <c r="AQ1028" s="15"/>
      <c r="AR1028" s="15"/>
      <c r="AS1028" s="13"/>
      <c r="AT1028" s="15"/>
      <c r="AU1028" s="15"/>
      <c r="AV1028" s="15"/>
      <c r="AW1028" s="13"/>
      <c r="AX1028" s="15"/>
      <c r="AY1028" s="45"/>
      <c r="AZ1028" s="28"/>
      <c r="BA1028" s="13"/>
      <c r="BB1028" s="15"/>
      <c r="BC1028" s="45"/>
      <c r="BD1028" s="28"/>
      <c r="BE1028" s="14"/>
      <c r="BF1028" s="41">
        <f t="shared" ref="BF1028:BG1028" si="3062">K1028+O1028+S1028+W1028+AA1028+AE1028+AI1028+AM1028+AQ1028+AU1028+AY1028+BC1028</f>
        <v>0</v>
      </c>
      <c r="BG1028" s="34">
        <f t="shared" si="3062"/>
        <v>0</v>
      </c>
      <c r="BH1028" s="35">
        <f t="shared" si="3055"/>
        <v>0</v>
      </c>
      <c r="BK1028" s="2" t="b">
        <f>H1028='2021'!BH1028</f>
        <v>1</v>
      </c>
    </row>
    <row r="1029" ht="15.75" customHeight="1" spans="1:63" x14ac:dyDescent="0.25">
      <c r="A1029" s="2">
        <v>114</v>
      </c>
      <c r="B1029" s="14"/>
      <c r="D1029" s="14" t="s">
        <v>50</v>
      </c>
      <c r="E1029" s="2" t="s">
        <v>49</v>
      </c>
      <c r="F1029" s="41">
        <v>1100</v>
      </c>
      <c r="G1029" s="28"/>
      <c r="H1029" s="34">
        <f>'2021'!BH1029</f>
        <v>-8</v>
      </c>
      <c r="I1029" s="13"/>
      <c r="J1029" s="15"/>
      <c r="K1029" s="15"/>
      <c r="L1029" s="28"/>
      <c r="M1029" s="13"/>
      <c r="N1029" s="15"/>
      <c r="Q1029" s="13"/>
      <c r="R1029" s="15"/>
      <c r="S1029" s="15"/>
      <c r="T1029" s="28"/>
      <c r="U1029" s="13"/>
      <c r="V1029" s="15"/>
      <c r="Y1029" s="13"/>
      <c r="Z1029" s="2"/>
      <c r="AA1029" s="15"/>
      <c r="AB1029" s="28"/>
      <c r="AC1029" s="348"/>
      <c r="AD1029" s="15"/>
      <c r="AE1029" s="34">
        <f>B1026*$F$12</f>
        <v>6318</v>
      </c>
      <c r="AG1029" s="15"/>
      <c r="AH1029" s="2"/>
      <c r="AI1029" s="15"/>
      <c r="AJ1029" s="154">
        <v>6310</v>
      </c>
      <c r="AK1029" s="15"/>
      <c r="AL1029" s="15"/>
      <c r="AM1029" s="15"/>
      <c r="AN1029" s="1"/>
      <c r="AO1029" s="13"/>
      <c r="AP1029" s="15"/>
      <c r="AQ1029" s="15"/>
      <c r="AR1029" s="34"/>
      <c r="AS1029" s="13"/>
      <c r="AT1029" s="15"/>
      <c r="AU1029" s="15"/>
      <c r="AV1029" s="15"/>
      <c r="AW1029" s="13"/>
      <c r="AX1029" s="15"/>
      <c r="AY1029" s="45"/>
      <c r="AZ1029" s="28"/>
      <c r="BA1029" s="13"/>
      <c r="BB1029" s="15"/>
      <c r="BC1029" s="45"/>
      <c r="BD1029" s="28"/>
      <c r="BE1029" s="14"/>
      <c r="BF1029" s="41">
        <f t="shared" ref="BF1029:BG1029" si="3063">K1029+O1029+S1029+W1029+AA1029+AE1029+AI1029+AM1029+AQ1029+AU1029+AY1029+BC1029</f>
        <v>6318</v>
      </c>
      <c r="BG1029" s="34">
        <f t="shared" si="3063"/>
        <v>6310</v>
      </c>
      <c r="BH1029" s="35">
        <f t="shared" si="3055"/>
        <v>0</v>
      </c>
      <c r="BK1029" s="2" t="b">
        <f>H1029='2021'!BH1029</f>
        <v>1</v>
      </c>
    </row>
    <row r="1030" ht="15.75" customHeight="1" spans="1:63" x14ac:dyDescent="0.25">
      <c r="A1030" s="2">
        <v>114</v>
      </c>
      <c r="B1030" s="14"/>
      <c r="C1030" s="2" t="s">
        <v>516</v>
      </c>
      <c r="D1030" s="14" t="s">
        <v>51</v>
      </c>
      <c r="E1030" s="2" t="s">
        <v>39</v>
      </c>
      <c r="F1030" s="41">
        <v>500</v>
      </c>
      <c r="G1030" s="28"/>
      <c r="H1030" s="34">
        <f>'2021'!BH1030</f>
        <v>0</v>
      </c>
      <c r="I1030" s="13"/>
      <c r="J1030" s="15"/>
      <c r="K1030" s="15"/>
      <c r="L1030" s="28"/>
      <c r="M1030" s="13"/>
      <c r="N1030" s="15"/>
      <c r="Q1030" s="13"/>
      <c r="R1030" s="15"/>
      <c r="S1030" s="15"/>
      <c r="T1030" s="28"/>
      <c r="U1030" s="13"/>
      <c r="V1030" s="15"/>
      <c r="Y1030" s="13"/>
      <c r="Z1030" s="2"/>
      <c r="AA1030" s="15"/>
      <c r="AB1030" s="28"/>
      <c r="AC1030" s="348"/>
      <c r="AD1030" s="15"/>
      <c r="AE1030" s="180">
        <f>$F$13</f>
        <v>1000</v>
      </c>
      <c r="AG1030" s="15"/>
      <c r="AH1030" s="2"/>
      <c r="AI1030" s="15"/>
      <c r="AJ1030" s="154">
        <v>1000</v>
      </c>
      <c r="AK1030" s="15"/>
      <c r="AL1030" s="15"/>
      <c r="AM1030" s="15"/>
      <c r="AN1030" s="15"/>
      <c r="AO1030" s="13"/>
      <c r="AP1030" s="15"/>
      <c r="AQ1030" s="180"/>
      <c r="AR1030" s="15"/>
      <c r="AS1030" s="13"/>
      <c r="AT1030" s="15"/>
      <c r="AU1030" s="34"/>
      <c r="AV1030" s="15"/>
      <c r="AW1030" s="13"/>
      <c r="AX1030" s="15"/>
      <c r="AY1030" s="45"/>
      <c r="AZ1030" s="28"/>
      <c r="BA1030" s="13"/>
      <c r="BB1030" s="15"/>
      <c r="BC1030" s="45"/>
      <c r="BD1030" s="28"/>
      <c r="BE1030" s="14"/>
      <c r="BF1030" s="41">
        <f t="shared" ref="BF1030:BG1030" si="3064">K1030+O1030+S1030+W1030+AA1030+AE1030+AI1030+AM1030+AQ1030+AU1030+AY1030+BC1030</f>
        <v>1000</v>
      </c>
      <c r="BG1030" s="34">
        <f t="shared" si="3064"/>
        <v>1000</v>
      </c>
      <c r="BH1030" s="35">
        <f t="shared" si="3055"/>
        <v>0</v>
      </c>
      <c r="BK1030" s="2" t="b">
        <f>H1030='2021'!BH1030</f>
        <v>1</v>
      </c>
    </row>
    <row r="1031" ht="15.75" customHeight="1" spans="1:63" x14ac:dyDescent="0.25">
      <c r="A1031" s="2">
        <v>114</v>
      </c>
      <c r="B1031" s="14"/>
      <c r="D1031" s="14" t="s">
        <v>51</v>
      </c>
      <c r="E1031" s="2" t="s">
        <v>49</v>
      </c>
      <c r="F1031" s="41">
        <v>500</v>
      </c>
      <c r="G1031" s="28"/>
      <c r="H1031" s="34">
        <f>'2021'!BH1031</f>
        <v>0</v>
      </c>
      <c r="I1031" s="13"/>
      <c r="J1031" s="15"/>
      <c r="K1031" s="15"/>
      <c r="L1031" s="28"/>
      <c r="M1031" s="13"/>
      <c r="N1031" s="15"/>
      <c r="Q1031" s="13"/>
      <c r="R1031" s="15"/>
      <c r="S1031" s="15"/>
      <c r="T1031" s="28"/>
      <c r="U1031" s="13"/>
      <c r="V1031" s="15"/>
      <c r="Y1031" s="13"/>
      <c r="Z1031" s="2"/>
      <c r="AA1031" s="15"/>
      <c r="AB1031" s="28"/>
      <c r="AC1031" s="348"/>
      <c r="AD1031" s="15"/>
      <c r="AE1031" s="34"/>
      <c r="AG1031" s="15"/>
      <c r="AH1031" s="2"/>
      <c r="AI1031" s="15"/>
      <c r="AJ1031" s="15"/>
      <c r="AK1031" s="15"/>
      <c r="AL1031" s="15"/>
      <c r="AM1031" s="15"/>
      <c r="AN1031" s="15"/>
      <c r="AO1031" s="13"/>
      <c r="AP1031" s="15"/>
      <c r="AQ1031" s="180">
        <f>B1026*$F$14</f>
        <v>0</v>
      </c>
      <c r="AR1031" s="15"/>
      <c r="AS1031" s="13"/>
      <c r="AT1031" s="15"/>
      <c r="AU1031" s="34"/>
      <c r="AV1031" s="15"/>
      <c r="AW1031" s="13"/>
      <c r="AX1031" s="15"/>
      <c r="AY1031" s="45"/>
      <c r="AZ1031" s="35"/>
      <c r="BA1031" s="13"/>
      <c r="BB1031" s="15"/>
      <c r="BC1031" s="45"/>
      <c r="BD1031" s="28"/>
      <c r="BE1031" s="14"/>
      <c r="BF1031" s="41">
        <f t="shared" ref="BF1031:BG1031" si="3065">K1031+O1031+S1031+W1031+AA1031+AE1031+AI1031+AM1031+AQ1031+AU1031+AY1031+BC1031</f>
        <v>0</v>
      </c>
      <c r="BG1031" s="34">
        <f t="shared" si="3065"/>
        <v>0</v>
      </c>
      <c r="BH1031" s="35">
        <f t="shared" si="3055"/>
        <v>0</v>
      </c>
      <c r="BK1031" s="2" t="b">
        <f>H1031='2021'!BH1031</f>
        <v>1</v>
      </c>
    </row>
    <row r="1032" ht="15.75" customHeight="1" spans="1:63" x14ac:dyDescent="0.25">
      <c r="A1032" s="2">
        <v>114</v>
      </c>
      <c r="B1032" s="14"/>
      <c r="D1032" s="14" t="s">
        <v>52</v>
      </c>
      <c r="E1032" s="2" t="s">
        <v>39</v>
      </c>
      <c r="F1032" s="41">
        <v>500</v>
      </c>
      <c r="G1032" s="28"/>
      <c r="H1032" s="34">
        <f>'2021'!BH1032</f>
        <v>0</v>
      </c>
      <c r="I1032" s="13"/>
      <c r="J1032" s="15"/>
      <c r="K1032" s="15"/>
      <c r="L1032" s="28"/>
      <c r="M1032" s="13"/>
      <c r="N1032" s="15"/>
      <c r="Q1032" s="13"/>
      <c r="R1032" s="15"/>
      <c r="S1032" s="15"/>
      <c r="T1032" s="28"/>
      <c r="U1032" s="13"/>
      <c r="V1032" s="15"/>
      <c r="Y1032" s="13"/>
      <c r="Z1032" s="2"/>
      <c r="AA1032" s="34">
        <f>$F$15</f>
      </c>
      <c r="AB1032" s="28"/>
      <c r="AC1032" s="348"/>
      <c r="AD1032" s="15"/>
      <c r="AG1032" s="15"/>
      <c r="AH1032" s="2"/>
      <c r="AI1032" s="15"/>
      <c r="AJ1032" s="15"/>
      <c r="AK1032" s="15"/>
      <c r="AL1032" s="15"/>
      <c r="AM1032" s="15"/>
      <c r="AN1032" s="15"/>
      <c r="AO1032" s="13"/>
      <c r="AP1032" s="15"/>
      <c r="AQ1032" s="15"/>
      <c r="AR1032" s="15"/>
      <c r="AS1032" s="13"/>
      <c r="AT1032" s="15"/>
      <c r="AU1032" s="15"/>
      <c r="AV1032" s="15"/>
      <c r="AW1032" s="13"/>
      <c r="AX1032" s="15"/>
      <c r="AY1032" s="45"/>
      <c r="AZ1032" s="35"/>
      <c r="BA1032" s="13"/>
      <c r="BB1032" s="15"/>
      <c r="BC1032" s="45"/>
      <c r="BD1032" s="35"/>
      <c r="BE1032" s="14"/>
      <c r="BF1032" s="41">
        <f t="shared" ref="BF1032:BG1032" si="3066">K1032+O1032+S1032+W1032+AA1032+AE1032+AI1032+AM1032+AQ1032+AU1032+AY1032+BC1032</f>
        <v>0</v>
      </c>
      <c r="BG1032" s="34">
        <f t="shared" si="3066"/>
        <v>0</v>
      </c>
      <c r="BH1032" s="35">
        <f t="shared" si="3055"/>
        <v>0</v>
      </c>
      <c r="BK1032" s="2" t="b">
        <f>H1032='2021'!BH1032</f>
        <v>1</v>
      </c>
    </row>
    <row r="1033" ht="15.75" customHeight="1" spans="1:63" x14ac:dyDescent="0.25">
      <c r="A1033" s="247">
        <v>114</v>
      </c>
      <c r="B1033" s="21"/>
      <c r="C1033" s="22" t="s">
        <v>53</v>
      </c>
      <c r="D1033" s="21"/>
      <c r="E1033" s="22"/>
      <c r="F1033" s="20"/>
      <c r="G1033" s="23"/>
      <c r="H1033" s="51">
        <f>SUM(H1025:H1032)</f>
        <v>-433.08</v>
      </c>
      <c r="I1033" s="52"/>
      <c r="J1033" s="53"/>
      <c r="K1033" s="51">
        <f t="shared" ref="K1033:L1033" si="3067">SUM(K1025:K1032)</f>
        <v>0</v>
      </c>
      <c r="L1033" s="68">
        <f t="shared" si="3067"/>
        <v>0</v>
      </c>
      <c r="M1033" s="52"/>
      <c r="N1033" s="15">
        <f>M1033-I1033</f>
        <v>0</v>
      </c>
      <c r="O1033" s="51">
        <f t="shared" ref="O1033:P1033" si="3068">SUM(O1025:O1032)</f>
        <v>0</v>
      </c>
      <c r="P1033" s="51">
        <f t="shared" si="3068"/>
        <v>0</v>
      </c>
      <c r="Q1033" s="52"/>
      <c r="R1033" s="15"/>
      <c r="S1033" s="51">
        <f t="shared" ref="S1033:T1033" si="3069">SUM(S1025:S1032)</f>
        <v>0</v>
      </c>
      <c r="T1033" s="51">
        <f t="shared" si="3069"/>
        <v>0</v>
      </c>
      <c r="U1033" s="52"/>
      <c r="V1033" s="53"/>
      <c r="W1033" s="51">
        <f t="shared" ref="W1033:X1033" si="3070">SUM(W1025:W1032)</f>
        <v>20.35</v>
      </c>
      <c r="X1033" s="51">
        <f t="shared" si="3070"/>
        <v>0</v>
      </c>
      <c r="Y1033" s="52"/>
      <c r="Z1033" s="301"/>
      <c r="AA1033" s="51">
        <f t="shared" ref="AA1033:AB1033" si="3071">SUM(AA1025:AA1032)</f>
        <v>572.4</v>
      </c>
      <c r="AB1033" s="51">
        <f t="shared" si="3071"/>
        <v>1500</v>
      </c>
      <c r="AC1033" s="367"/>
      <c r="AD1033" s="53"/>
      <c r="AE1033" s="51">
        <f t="shared" ref="AE1033:AF1033" si="3072">SUM(AE1025:AE1032)</f>
        <v>8112.1</v>
      </c>
      <c r="AF1033" s="51">
        <f t="shared" si="3072"/>
        <v>0</v>
      </c>
      <c r="AG1033" s="52"/>
      <c r="AH1033" s="301"/>
      <c r="AI1033" s="183">
        <f t="shared" ref="AI1033:AJ1033" si="3073">SUM(AI1025:AI1032)</f>
        <v>189.63648</v>
      </c>
      <c r="AJ1033" s="51">
        <f t="shared" si="3073"/>
        <v>7320.48</v>
      </c>
      <c r="AK1033" s="52"/>
      <c r="AL1033" s="53"/>
      <c r="AM1033" s="51">
        <f t="shared" ref="AM1033:AN1033" si="3074">SUM(AM1025:AM1032)</f>
        <v>853.066</v>
      </c>
      <c r="AN1033" s="51">
        <f t="shared" si="3074"/>
        <v>0</v>
      </c>
      <c r="AO1033" s="52"/>
      <c r="AP1033" s="53"/>
      <c r="AQ1033" s="51">
        <f t="shared" ref="AQ1033:AR1033" si="3075">SUM(AQ1025:AQ1032)</f>
        <v>498.2121</v>
      </c>
      <c r="AR1033" s="51">
        <f t="shared" si="3075"/>
        <v>1000</v>
      </c>
      <c r="AS1033" s="52"/>
      <c r="AT1033" s="53"/>
      <c r="AU1033" s="51">
        <f t="shared" ref="AU1033:AV1033" si="3076">SUM(AU1025:AU1032)</f>
        <v>178.227</v>
      </c>
      <c r="AV1033" s="68">
        <f t="shared" si="3076"/>
        <v>0</v>
      </c>
      <c r="AW1033" s="52"/>
      <c r="AX1033" s="53"/>
      <c r="AY1033" s="183">
        <f t="shared" ref="AY1033:AZ1033" si="3077">SUM(AY1025:AY1032)</f>
        <v>0</v>
      </c>
      <c r="AZ1033" s="68">
        <f t="shared" si="3077"/>
        <v>0</v>
      </c>
      <c r="BA1033" s="52"/>
      <c r="BB1033" s="53"/>
      <c r="BC1033" s="183">
        <f t="shared" ref="BC1033:BD1033" si="3078">SUM(BC1025:BC1032)</f>
        <v>0</v>
      </c>
      <c r="BD1033" s="68">
        <f t="shared" si="3078"/>
        <v>0</v>
      </c>
      <c r="BE1033" s="69"/>
      <c r="BF1033" s="70">
        <f t="shared" ref="BF1033:BH1033" si="3079">SUM(BF1025:BF1032)</f>
        <v>10423.99158</v>
      </c>
      <c r="BG1033" s="71">
        <f t="shared" si="3079"/>
        <v>9820.48</v>
      </c>
      <c r="BH1033" s="72">
        <f t="shared" si="3079"/>
        <v>170.43158</v>
      </c>
      <c r="BI1033" s="34">
        <f>H1033+BF1033-BG1033</f>
        <v>170.43158</v>
      </c>
      <c r="BJ1033" s="34">
        <f>BH1033-BI1033</f>
        <v>0</v>
      </c>
      <c r="BK1033" s="2" t="b">
        <f>H1033='2021'!BH1033</f>
        <v>1</v>
      </c>
    </row>
    <row r="1034" ht="15.75" customHeight="1" spans="25:40" x14ac:dyDescent="0.25">
      <c r="Y1034" s="15"/>
      <c r="Z1034" s="15"/>
      <c r="AC1034" s="342"/>
      <c r="AN1034" s="15"/>
    </row>
    <row r="1035" ht="15.75" customHeight="1" spans="2:63" x14ac:dyDescent="0.25">
      <c r="B1035" s="106">
        <f>SUM(B18,B27,B36,B45,B54,B63,B72,B81,B90,B99,B108,B117,B126,B135,B144,B153,B162,B171,B180,B189,B198,B207,B216,B225,B234,B243,B252,B261,B270,B279,B288,B297,B306,B315,B324,B333,B342,B351,B360,B369,B378,B387,B396,B405,B414,B423,B432,B441,B450,B459,B468,B477,B486,B495,B504,B513,B522,B531,B540,B549,B558,B567,B576,B585,B594,B603,B612,B621,B630,B639,B648,B657,B666,B675,B684,B693,B702,B711,B720,B729,B738,B747,B756,B765,B783,B774,B792,B801,B810,B819,B828,B837,B846,B855,B864,B873,B882,B891,B900,B909,B918,B927,B936,B945,B954,B963,B972,B981,B990,B999,B1008,B1017,B1026)</f>
        <v>501.56</v>
      </c>
      <c r="C1035" s="2" t="s">
        <v>350</v>
      </c>
      <c r="H1035" s="107">
        <f>SUM(H16,H25,H34,H43,H52,H61,H70,H79,H88,H97,H106,H115,H124,H133,H142,H151,H160,H169,H178,H187,H196,H205,H214,H223,H232,H241,H250,H259,H268,H277,H286,H295,H304,H313,H322,H331,H340,H349,H358,H367,H376,H385,H394,H403,H412,H421,H430,H439,H448,H457,H466,H475,H484,H493,H502,H511,H520,H529,H538,H547,H556,H565,H574,H583,H592,H601,H610,H619,H628,H637,H646,H655,H664,H673,H682,H691,H700,H709,H718,H727,H736,H745,H754,H763,H772,H781,H790,H799,H808,H817,H826,H835,H844,H853,H862,H871,H880,H889,H898,H907,H916,H925,H934,H943,H952,H961,H970,H979,H988,H997,H1006,H1015,H1024,H1033)</f>
        <v>369463.128</v>
      </c>
      <c r="K1035" s="107">
        <f t="shared" ref="K1035:L1035" si="3080">SUM(K16,K25,K34,K43,K52,K61,K70,K79,K88,K97,K106,K115,K124,K133,K142,K151,K160,K169,K178,K187,K196,K205,K214,K223,K232,K241,K250,K259,K268,K277,K286,K295,K304,K313,K322,K331,K340,K349,K358,K367,K376,K385,K394,K403,K412,K421,K430,K439,K448,K457,K466,K475,K484,K493,K502,K511,K520,K529,K538,K547,K556,K565,K574,K583,K592,K601,K610,K619,K628,K637,K646,K655,K664,K673,K682,K691,K700,K709,K718,K727,K736,K745,K754,K763,K772,K781,K790,K799,K808,K817,K826,K835,K844,K853,K862,K871,K880,K889,K898,K907,K916,K925,K934,K943,K952,K961,K970,K979,K988,K997,K1006,K1015,K1024,K1033)</f>
        <v>59072.74</v>
      </c>
      <c r="L1035" s="107">
        <f t="shared" si="3080"/>
        <v>23038.51</v>
      </c>
      <c r="O1035" s="107">
        <f t="shared" ref="O1035:P1035" si="3081">SUM(O16,O25,O34,O43,O52,O61,O70,O79,O88,O97,O106,O115,O124,O133,O142,O151,O160,O169,O178,O187,O196,O205,O214,O223,O232,O241,O250,O259,O268,O277,O286,O295,O304,O313,O322,O331,O340,O349,O358,O367,O376,O385,O394,O403,O412,O421,O430,O439,O448,O457,O466,O475,O484,O493,O502,O511,O520,O529,O538,O547,O556,O565,O574,O583,O592,O601,O610,O619,O628,O637,O646,O655,O664,O673,O682,O691,O700,O709,O718,O727,O736,O745,O754,O763,O772,O781,O790,O799,O808,O817,O826,O835,O844,O853,O862,O871,O880,O889,O898,O907,O916,O925,O934,O943,O952,O961,O970,O979,O988,O997,O1006,O1015,O1024,O1033)</f>
        <v>52269.3</v>
      </c>
      <c r="P1035" s="107">
        <f t="shared" si="3081"/>
        <v>41513.9</v>
      </c>
      <c r="S1035" s="107">
        <f t="shared" ref="S1035:T1035" si="3082">SUM(S16,S25,S34,S43,S52,S61,S70,S79,S88,S97,S106,S115,S124,S133,S142,S151,S160,S169,S178,S187,S196,S205,S214,S223,S232,S241,S250,S259,S268,S277,S286,S295,S304,S313,S322,S331,S340,S349,S358,S367,S376,S385,S394,S403,S412,S421,S430,S439,S448,S457,S466,S475,S484,S493,S502,S511,S520,S529,S538,S547,S556,S565,S574,S583,S592,S601,S610,S619,S628,S637,S646,S655,S664,S673,S682,S691,S700,S709,S718,S727,S736,S745,S754,S763,S772,S781,S790,S799,S808,S817,S826,S835,S844,S853,S862,S871,S880,S889,S898,S907,S916,S925,S934,S943,S952,S961,S970,S979,S988,S997,S1006,S1015,S1024,S1033)</f>
        <v>47877.47</v>
      </c>
      <c r="T1035" s="107">
        <f t="shared" si="3082"/>
        <v>100985.93</v>
      </c>
      <c r="W1035" s="107">
        <f t="shared" ref="W1035:X1035" si="3083">SUM(W16,W25,W34,W43,W52,W61,W70,W79,W88,W97,W106,W115,W124,W133,W142,W151,W160,W169,W178,W187,W196,W205,W214,W223,W232,W241,W250,W259,W268,W277,W286,W295,W304,W313,W322,W331,W340,W349,W358,W367,W376,W385,W394,W403,W412,W421,W430,W439,W448,W457,W466,W475,W484,W493,W502,W511,W520,W529,W538,W547,W556,W565,W574,W583,W592,W601,W610,W619,W628,W637,W646,W655,W664,W673,W682,W691,W700,W709,W718,W727,W736,W745,W754,W763,W772,W781,W790,W799,W808,W817,W826,W835,W844,W853,W862,W871,W880,W889,W898,W907,W916,W925,W934,W943,W952,W961,W970,W979,W988,W997,W1006,W1015,W1024,W1033)</f>
        <v>40978.85</v>
      </c>
      <c r="X1035" s="107">
        <f t="shared" si="3083"/>
        <v>34521.5</v>
      </c>
      <c r="AA1035" s="107">
        <f t="shared" ref="AA1035:AB1035" si="3084">SUM(AA16,AA25,AA34,AA43,AA52,AA61,AA70,AA79,AA88,AA97,AA106,AA115,AA124,AA133,AA142,AA151,AA160,AA169,AA178,AA187,AA196,AA205,AA214,AA223,AA232,AA241,AA250,AA259,AA268,AA277,AA286,AA295,AA304,AA313,AA322,AA331,AA340,AA349,AA358,AA367,AA376,AA385,AA394,AA403,AA412,AA421,AA430,AA439,AA448,AA457,AA466,AA475,AA484,AA493,AA502,AA511,AA520,AA529,AA538,AA547,AA556,AA565,AA574,AA583,AA592,AA601,AA610,AA619,AA628,AA637,AA646,AA655,AA664,AA673,AA682,AA691,AA700,AA709,AA718,AA727,AA736,AA745,AA754,AA763,AA772,AA781,AA790,AA799,AA808,AA817,AA826,AA835,AA844,AA853,AA862,AA871,AA880,AA889,AA898,AA907,AA916,AA925,AA934,AA943,AA952,AA961,AA970,AA979,AA988,AA997,AA1006,AA1015,AA1024,AA1033)</f>
        <v>47609.99</v>
      </c>
      <c r="AB1035" s="107">
        <f t="shared" si="3084"/>
        <v>89404.243</v>
      </c>
      <c r="AC1035" s="342"/>
      <c r="AE1035" s="107">
        <f t="shared" ref="AE1035:AF1035" si="3085">SUM(AE16,AE25,AE34,AE43,AE52,AE61,AE70,AE79,AE88,AE97,AE106,AE115,AE124,AE133,AE142,AE151,AE160,AE169,AE178,AE187,AE196,AE205,AE214,AE223,AE232,AE241,AE250,AE259,AE268,AE277,AE286,AE295,AE304,AE313,AE322,AE331,AE340,AE349,AE358,AE367,AE376,AE385,AE394,AE403,AE412,AE421,AE430,AE439,AE448,AE457,AE466,AE475,AE484,AE493,AE502,AE511,AE520,AE529,AE538,AE547,AE556,AE565,AE574,AE583,AE592,AE601,AE610,AE619,AE628,AE637,AE646,AE655,AE664,AE673,AE682,AE691,AE700,AE709,AE718,AE727,AE736,AE745,AE754,AE763,AE772,AE781,AE790,AE799,AE808,AE817,AE826,AE835,AE844,AE853,AE862,AE871,AE880,AE889,AE898,AE907,AE916,AE925,AE934,AE943,AE952,AE961,AE970,AE979,AE988,AE997,AE1006,AE1015,AE1024,AE1033)</f>
        <v>809728.77</v>
      </c>
      <c r="AF1035" s="107">
        <f t="shared" si="3085"/>
        <v>227030.67</v>
      </c>
      <c r="AI1035" s="107">
        <f t="shared" ref="AI1035:AJ1035" si="3086">SUM(AI16,AI25,AI34,AI43,AI52,AI61,AI70,AI79,AI88,AI97,AI106,AI115,AI124,AI133,AI142,AI151,AI160,AI169,AI178,AI187,AI196,AI205,AI214,AI223,AI232,AI241,AI250,AI259,AI268,AI277,AI286,AI295,AI304,AI313,AI322,AI331,AI340,AI349,AI358,AI367,AI376,AI385,AI394,AI403,AI412,AI421,AI430,AI439,AI448,AI457,AI466,AI475,AI484,AI493,AI502,AI511,AI520,AI529,AI538,AI547,AI556,AI565,AI574,AI583,AI592,AI601,AI610,AI619,AI628,AI637,AI646,AI655,AI664,AI673,AI682,AI691,AI700,AI709,AI718,AI727,AI736,AI745,AI754,AI763,AI772,AI781,AI790,AI799,AI808,AI817,AI826,AI835,AI844,AI853,AI862,AI871,AI880,AI889,AI898,AI907,AI916,AI925,AI934,AI943,AI952,AI961,AI970,AI979,AI988,AI997,AI1006,AI1015,AI1024,AI1033)</f>
        <v>35671.80608</v>
      </c>
      <c r="AJ1035" s="107">
        <f t="shared" si="3086"/>
        <v>194068.65</v>
      </c>
      <c r="AM1035" s="107">
        <f t="shared" ref="AM1035:AN1035" si="3087">SUM(AM16,AM25,AM34,AM43,AM52,AM61,AM70,AM79,AM88,AM97,AM106,AM115,AM124,AM133,AM142,AM151,AM160,AM169,AM178,AM187,AM196,AM205,AM214,AM223,AM232,AM241,AM250,AM259,AM268,AM277,AM286,AM295,AM304,AM313,AM322,AM331,AM340,AM349,AM358,AM367,AM376,AM385,AM394,AM403,AM412,AM421,AM430,AM439,AM448,AM457,AM466,AM475,AM484,AM493,AM502,AM511,AM520,AM529,AM538,AM547,AM556,AM565,AM574,AM583,AM592,AM601,AM610,AM619,AM628,AM637,AM646,AM655,AM664,AM673,AM682,AM691,AM700,AM709,AM718,AM727,AM736,AM745,AM754,AM763,AM772,AM781,AM790,AM799,AM808,AM817,AM826,AM835,AM844,AM853,AM862,AM871,AM880,AM889,AM898,AM907,AM916,AM925,AM934,AM943,AM952,AM961,AM970,AM979,AM988,AM997,AM1006,AM1015,AM1024,AM1033)</f>
        <v>37193.51264</v>
      </c>
      <c r="AN1035" s="107">
        <f t="shared" si="3087"/>
        <v>174008.73</v>
      </c>
      <c r="AQ1035" s="107">
        <f t="shared" ref="AQ1035:AR1035" si="3088">SUM(AQ16,AQ25,AQ34,AQ43,AQ52,AQ61,AQ70,AQ79,AQ88,AQ97,AQ106,AQ115,AQ124,AQ133,AQ142,AQ151,AQ160,AQ169,AQ178,AQ187,AQ196,AQ205,AQ214,AQ223,AQ232,AQ241,AQ250,AQ259,AQ268,AQ277,AQ286,AQ295,AQ304,AQ313,AQ322,AQ331,AQ340,AQ349,AQ358,AQ367,AQ376,AQ385,AQ394,AQ403,AQ412,AQ421,AQ430,AQ439,AQ448,AQ457,AQ466,AQ475,AQ484,AQ493,AQ502,AQ511,AQ520,AQ529,AQ538,AQ547,AQ556,AQ565,AQ574,AQ583,AQ592,AQ601,AQ610,AQ619,AQ628,AQ637,AQ646,AQ655,AQ664,AQ673,AQ682,AQ691,AQ700,AQ709,AQ718,AQ727,AQ736,AQ745,AQ754,AQ763,AQ772,AQ781,AQ790,AQ799,AQ808,AQ817,AQ826,AQ835,AQ844,AQ853,AQ862,AQ871,AQ880,AQ889,AQ898,AQ907,AQ916,AQ925,AQ934,AQ943,AQ952,AQ961,AQ970,AQ979,AQ988,AQ997,AQ1006,AQ1015,AQ1024,AQ1033)</f>
        <v>36823.25228</v>
      </c>
      <c r="AR1035" s="107">
        <f t="shared" si="3088"/>
        <v>171288.14</v>
      </c>
      <c r="AU1035" s="107">
        <f t="shared" ref="AU1035:AV1035" si="3089">SUM(AU16,AU25,AU34,AU43,AU52,AU61,AU70,AU79,AU88,AU97,AU106,AU115,AU124,AU133,AU142,AU151,AU160,AU169,AU178,AU187,AU196,AU205,AU214,AU223,AU232,AU241,AU250,AU259,AU268,AU277,AU286,AU295,AU304,AU313,AU322,AU331,AU340,AU349,AU358,AU367,AU376,AU385,AU394,AU403,AU412,AU421,AU430,AU439,AU448,AU457,AU466,AU475,AU484,AU493,AU502,AU511,AU520,AU529,AU538,AU547,AU556,AU565,AU574,AU583,AU592,AU601,AU610,AU619,AU628,AU637,AU646,AU655,AU664,AU673,AU682,AU691,AU700,AU709,AU718,AU727,AU736,AU745,AU754,AU763,AU772,AU781,AU790,AU799,AU808,AU817,AU826,AU835,AU844,AU853,AU862,AU871,AU880,AU889,AU898,AU907,AU916,AU925,AU934,AU943,AU952,AU961,AU970,AU979,AU988,AU997,AU1006,AU1015,AU1024,AU1033)</f>
        <v>45911.015</v>
      </c>
      <c r="AV1035" s="107">
        <f t="shared" si="3089"/>
        <v>29986.94</v>
      </c>
      <c r="AY1035" s="107">
        <f t="shared" ref="AY1035:AZ1035" si="3090">SUM(AY16,AY25,AY34,AY43,AY52,AY61,AY70,AY79,AY88,AY97,AY106,AY115,AY124,AY133,AY142,AY151,AY160,AY169,AY178,AY187,AY196,AY205,AY214,AY223,AY232,AY241,AY250,AY259,AY268,AY277,AY286,AY295,AY304,AY313,AY322,AY331,AY340,AY349,AY358,AY367,AY376,AY385,AY394,AY403,AY412,AY421,AY430,AY439,AY448,AY457,AY466,AY475,AY484,AY493,AY502,AY511,AY520,AY529,AY538,AY547,AY556,AY565,AY574,AY583,AY592,AY601,AY610,AY619,AY628,AY637,AY646,AY655,AY664,AY673,AY682,AY691,AY700,AY709,AY718,AY727,AY736,AY745,AY754,AY763,AY772,AY781,AY790,AY799,AY808,AY817,AY826,AY835,AY844,AY853,AY862,AY871,AY880,AY889,AY898,AY907,AY916,AY925,AY934,AY943,AY952,AY961,AY970,AY979,AY988,AY997,AY1006,AY1015,AY1024,AY1033)</f>
        <v>0</v>
      </c>
      <c r="AZ1035" s="107">
        <f t="shared" si="3090"/>
        <v>0</v>
      </c>
      <c r="BC1035" s="107">
        <f t="shared" ref="BC1035:BD1035" si="3091">SUM(BC16,BC25,BC34,BC43,BC52,BC61,BC70,BC79,BC88,BC97,BC106,BC115,BC124,BC133,BC142,BC151,BC160,BC169,BC178,BC187,BC196,BC205,BC214,BC223,BC232,BC241,BC250,BC259,BC268,BC277,BC286,BC295,BC304,BC313,BC322,BC331,BC340,BC349,BC358,BC367,BC376,BC385,BC394,BC403,BC412,BC421,BC430,BC439,BC448,BC457,BC466,BC475,BC484,BC493,BC502,BC511,BC520,BC529,BC538,BC547,BC556,BC565,BC574,BC583,BC592,BC601,BC610,BC619,BC628,BC637,BC646,BC655,BC664,BC673,BC682,BC691,BC700,BC709,BC718,BC727,BC736,BC745,BC754,BC763,BC772,BC781,BC790,BC799,BC808,BC817,BC826,BC835,BC844,BC853,BC862,BC871,BC880,BC889,BC898,BC907,BC916,BC925,BC934,BC943,BC952,BC961,BC970,BC979,BC988,BC997,BC1006,BC1015,BC1024,BC1033)</f>
        <v>0</v>
      </c>
      <c r="BD1035" s="107">
        <f t="shared" si="3091"/>
        <v>0</v>
      </c>
      <c r="BE1035" s="107"/>
      <c r="BF1035" s="107">
        <f t="shared" ref="BF1035:BH1035" si="3092">SUM(BF16,BF25,BF34,BF43,BF52,BF61,BF70,BF79,BF88,BF97,BF106,BF115,BF124,BF133,BF142,BF151,BF160,BF169,BF178,BF187,BF196,BF205,BF214,BF223,BF232,BF241,BF250,BF259,BF268,BF277,BF286,BF295,BF304,BF313,BF322,BF331,BF340,BF349,BF358,BF367,BF376,BF385,BF394,BF403,BF412,BF421,BF430,BF439,BF448,BF457,BF466,BF475,BF484,BF493,BF502,BF511,BF520,BF529,BF538,BF547,BF556,BF565,BF574,BF583,BF592,BF601,BF610,BF619,BF628,BF637,BF646,BF655,BF664,BF673,BF682,BF691,BF700,BF709,BF718,BF727,BF736,BF745,BF754,BF763,BF772,BF781,BF790,BF799,BF808,BF817,BF826,BF835,BF844,BF853,BF862,BF871,BF880,BF889,BF898,BF907,BF916,BF925,BF934,BF943,BF952,BF961,BF970,BF979,BF988,BF997,BF1006,BF1015,BF1024,BF1033)</f>
        <v>1213136.706</v>
      </c>
      <c r="BG1035" s="107">
        <f t="shared" si="3092"/>
        <v>1085847.213</v>
      </c>
      <c r="BH1035" s="107">
        <f t="shared" si="3092"/>
        <v>496752.621</v>
      </c>
      <c r="BI1035" s="34">
        <f>H1035+BF1035-BG1035</f>
        <v>496752.621</v>
      </c>
      <c r="BJ1035" s="34">
        <f>BH1035-BI1035</f>
        <v>5.238689482e-10</v>
      </c>
      <c r="BK1035" s="2" t="b">
        <f>H1035='2021'!BH1035</f>
        <v>1</v>
      </c>
    </row>
    <row r="1036" ht="15.75" customHeight="1" spans="3:60" x14ac:dyDescent="0.25">
      <c r="C1036" s="2" t="s">
        <v>351</v>
      </c>
      <c r="D1036" s="155" t="s">
        <v>517</v>
      </c>
      <c r="H1036" s="136">
        <f t="shared" ref="H1036:H1037" si="3093">SUM(H7,H17,H26,H35,H44,H53,H62,H71,H80,H89,H98,H107,H116,H125,H134,H143,H152,H161,H170,H179,H188,H197,H206,H215,H224,H233,H242,H251,H260,H269,H278,H287,H296,H305,H314,H323,H332,H341,H350,H359,H368,H377,H386,H395,H404,H413,H422,H431,H440,H449,H458,H467,H476,H485,H494,H503,H512,H521,H530,H539,H548,H557,H566,H575,H584,H593,H602,H611,H620,H629,H638,H647,H656,H665,H674,H683,H692,H701,H710,H719,H728,H737,H746,H755,H764,H773,H782,H791,H800,H809,H818,H827,H836,H845,H854,H863,H872,H881,H890,H899,H908,H917,H926,H935,H944,H953,H962,H971,H980,H989,H998,H1007,H1016,H1025)</f>
        <v>15118.39</v>
      </c>
      <c r="K1036" s="136">
        <f t="shared" ref="K1036:L1036" si="3094">SUM(K7,K17,K26,K35,K44,K53,K62,K71,K80,K89,K98,K107,K116,K125,K134,K143,K152,K161,K170,K179,K188,K197,K206,K215,K224,K233,K242,K251,K260,K269,K278,K287,K296,K305,K314,K323,K332,K341,K350,K359,K368,K377,K386,K395,K404,K413,K422,K431,K440,K449,K458,K467,K476,K485,K494,K503,K512,K521,K530,K539,K548,K557,K566,K575,K584,K593,K602,K611,K620,K629,K638,K647,K656,K665,K674,K683,K692,K701,K710,K719,K728,K737,K746,K755,K764,K773,K782,K791,K800,K809,K818,K827,K836,K845,K854,K863,K872,K881,K890,K899,K908,K917,K926,K935,K944,K953,K962,K971,K980,K989,K998,K1007,K1016,K1025)</f>
        <v>42.64</v>
      </c>
      <c r="L1036" s="34">
        <f t="shared" si="3094"/>
        <v>0</v>
      </c>
      <c r="O1036" s="136">
        <f t="shared" ref="O1036:P1036" si="3095">SUM(O7,O17,O26,O35,O44,O53,O62,O71,O80,O89,O98,O107,O116,O125,O134,O143,O152,O161,O170,O179,O188,O197,O206,O215,O224,O233,O242,O251,O260,O269,O278,O287,O296,O305,O314,O323,O332,O341,O350,O359,O368,O377,O386,O395,O404,O413,O422,O431,O440,O449,O458,O467,O476,O485,O494,O503,O512,O521,O530,O539,O548,O557,O566,O575,O584,O593,O602,O611,O620,O629,O638,O647,O656,O665,O674,O683,O692,O701,O710,O719,O728,O737,O746,O755,O764,O773,O782,O791,O800,O809,O818,O827,O836,O845,O854,O863,O872,O881,O890,O899,O908,O917,O926,O935,O944,O953,O962,O971,O980,O989,O998,O1007,O1016,O1025)</f>
        <v>0</v>
      </c>
      <c r="P1036" s="34">
        <f t="shared" si="3095"/>
        <v>0</v>
      </c>
      <c r="S1036" s="136">
        <f t="shared" ref="S1036:T1036" si="3096">SUM(S7,S17,S26,S35,S44,S53,S62,S71,S80,S89,S98,S107,S116,S125,S134,S143,S152,S161,S170,S179,S188,S197,S206,S215,S224,S233,S242,S251,S260,S269,S278,S287,S296,S305,S314,S323,S332,S341,S350,S359,S368,S377,S386,S395,S404,S413,S422,S431,S440,S449,S458,S467,S476,S485,S494,S503,S512,S521,S530,S539,S548,S557,S566,S575,S584,S593,S602,S611,S620,S629,S638,S647,S656,S665,S674,S683,S692,S701,S710,S719,S728,S737,S746,S755,S764,S773,S782,S791,S800,S809,S818,S827,S836,S845,S854,S863,S872,S881,S890,S899,S908,S917,S926,S935,S944,S953,S962,S971,S980,S989,S998,S1007,S1016,S1025)</f>
        <v>913.67</v>
      </c>
      <c r="T1036" s="34">
        <f t="shared" si="3096"/>
        <v>466.66</v>
      </c>
      <c r="W1036" s="136">
        <f t="shared" ref="W1036:X1036" si="3097">SUM(W7,W17,W26,W35,W44,W53,W62,W71,W80,W89,W98,W107,W116,W125,W134,W143,W152,W161,W170,W179,W188,W197,W206,W215,W224,W233,W242,W251,W260,W269,W278,W287,W296,W305,W314,W323,W332,W341,W350,W359,W368,W377,W386,W395,W404,W413,W422,W431,W440,W449,W458,W467,W476,W485,W494,W503,W512,W521,W530,W539,W548,W557,W566,W575,W584,W593,W602,W611,W620,W629,W638,W647,W656,W665,W674,W683,W692,W701,W710,W719,W728,W737,W746,W755,W764,W773,W782,W791,W800,W809,W818,W827,W836,W845,W854,W863,W872,W881,W890,W899,W908,W917,W926,W935,W944,W953,W962,W971,W980,W989,W998,W1007,W1016,W1025)</f>
        <v>865</v>
      </c>
      <c r="X1036" s="34">
        <f t="shared" si="3097"/>
        <v>0</v>
      </c>
      <c r="AA1036" s="136">
        <f t="shared" ref="AA1036:AB1036" si="3098">SUM(AA7,AA17,AA26,AA35,AA44,AA53,AA62,AA71,AA80,AA89,AA98,AA107,AA116,AA125,AA134,AA143,AA152,AA161,AA170,AA179,AA188,AA197,AA206,AA215,AA224,AA233,AA242,AA251,AA260,AA269,AA278,AA287,AA296,AA305,AA314,AA323,AA332,AA341,AA350,AA359,AA368,AA377,AA386,AA395,AA404,AA413,AA422,AA431,AA440,AA449,AA458,AA467,AA476,AA485,AA494,AA503,AA512,AA521,AA530,AA539,AA548,AA557,AA566,AA575,AA584,AA593,AA602,AA611,AA620,AA629,AA638,AA647,AA656,AA665,AA674,AA683,AA692,AA701,AA710,AA719,AA728,AA737,AA746,AA755,AA764,AA773,AA782,AA791,AA800,AA809,AA818,AA827,AA836,AA845,AA854,AA863,AA872,AA881,AA890,AA899,AA908,AA917,AA926,AA935,AA944,AA953,AA962,AA971,AA980,AA989,AA998,AA1007,AA1016,AA1025)</f>
        <v>6564.64</v>
      </c>
      <c r="AB1036" s="34">
        <f t="shared" si="3098"/>
        <v>583.61</v>
      </c>
      <c r="AC1036" s="342"/>
      <c r="AE1036" s="136">
        <f t="shared" ref="AE1036:AF1036" si="3099">SUM(AE7,AE17,AE26,AE35,AE44,AE53,AE62,AE71,AE80,AE89,AE98,AE107,AE116,AE125,AE134,AE143,AE152,AE161,AE170,AE179,AE188,AE197,AE206,AE215,AE224,AE233,AE242,AE251,AE260,AE269,AE278,AE287,AE296,AE305,AE314,AE323,AE332,AE341,AE350,AE359,AE368,AE377,AE386,AE395,AE404,AE413,AE422,AE431,AE440,AE449,AE458,AE467,AE476,AE485,AE494,AE503,AE512,AE521,AE530,AE539,AE548,AE557,AE566,AE575,AE584,AE593,AE602,AE611,AE620,AE629,AE638,AE647,AE656,AE665,AE674,AE683,AE692,AE701,AE710,AE719,AE728,AE737,AE746,AE755,AE764,AE773,AE782,AE791,AE800,AE809,AE818,AE827,AE836,AE845,AE854,AE863,AE872,AE881,AE890,AE899,AE908,AE917,AE926,AE935,AE944,AE953,AE962,AE971,AE980,AE989,AE998,AE1007,AE1016,AE1025)</f>
        <v>677.92</v>
      </c>
      <c r="AF1036" s="34">
        <f t="shared" si="3099"/>
        <v>2940.55</v>
      </c>
      <c r="AI1036" s="136">
        <f t="shared" ref="AI1036:AJ1036" si="3100">SUM(AI7,AI17,AI26,AI35,AI44,AI53,AI62,AI71,AI80,AI89,AI98,AI107,AI116,AI125,AI134,AI143,AI152,AI161,AI170,AI179,AI188,AI197,AI206,AI215,AI224,AI233,AI242,AI251,AI260,AI269,AI278,AI287,AI296,AI305,AI314,AI323,AI332,AI341,AI350,AI359,AI368,AI377,AI386,AI395,AI404,AI413,AI422,AI431,AI440,AI449,AI458,AI467,AI476,AI485,AI494,AI503,AI512,AI521,AI530,AI539,AI548,AI557,AI566,AI575,AI584,AI593,AI602,AI611,AI620,AI629,AI638,AI647,AI656,AI665,AI674,AI683,AI692,AI701,AI710,AI719,AI728,AI737,AI746,AI755,AI764,AI773,AI782,AI791,AI800,AI809,AI818,AI827,AI836,AI845,AI854,AI863,AI872,AI881,AI890,AI899,AI908,AI917,AI926,AI935,AI944,AI953,AI962,AI971,AI980,AI989,AI998,AI1007,AI1016,AI1025)</f>
        <v>656.84</v>
      </c>
      <c r="AJ1036" s="34">
        <f t="shared" si="3100"/>
        <v>1494.26</v>
      </c>
      <c r="AM1036" s="136">
        <f t="shared" ref="AM1036:AN1036" si="3101">SUM(AM7,AM17,AM26,AM35,AM44,AM53,AM62,AM71,AM80,AM89,AM98,AM107,AM116,AM125,AM134,AM143,AM152,AM161,AM170,AM179,AM188,AM197,AM206,AM215,AM224,AM233,AM242,AM251,AM260,AM269,AM278,AM287,AM296,AM305,AM314,AM323,AM332,AM341,AM350,AM359,AM368,AM377,AM386,AM395,AM404,AM413,AM422,AM431,AM440,AM449,AM458,AM467,AM476,AM485,AM494,AM503,AM512,AM521,AM530,AM539,AM548,AM557,AM566,AM575,AM584,AM593,AM602,AM611,AM620,AM629,AM638,AM647,AM656,AM665,AM674,AM683,AM692,AM701,AM710,AM719,AM728,AM737,AM746,AM755,AM764,AM773,AM782,AM791,AM800,AM809,AM818,AM827,AM836,AM845,AM854,AM863,AM872,AM881,AM890,AM899,AM908,AM917,AM926,AM935,AM944,AM953,AM962,AM971,AM980,AM989,AM998,AM1007,AM1016,AM1025)</f>
        <v>0</v>
      </c>
      <c r="AN1036" s="34">
        <f t="shared" si="3101"/>
        <v>959.59</v>
      </c>
      <c r="AQ1036" s="136">
        <f t="shared" ref="AQ1036:AR1036" si="3102">SUM(AQ7,AQ17,AQ26,AQ35,AQ44,AQ53,AQ62,AQ71,AQ80,AQ89,AQ98,AQ107,AQ116,AQ125,AQ134,AQ143,AQ152,AQ161,AQ170,AQ179,AQ188,AQ197,AQ206,AQ215,AQ224,AQ233,AQ242,AQ251,AQ260,AQ269,AQ278,AQ287,AQ296,AQ305,AQ314,AQ323,AQ332,AQ341,AQ350,AQ359,AQ368,AQ377,AQ386,AQ395,AQ404,AQ413,AQ422,AQ431,AQ440,AQ449,AQ458,AQ467,AQ476,AQ485,AQ494,AQ503,AQ512,AQ521,AQ530,AQ539,AQ548,AQ557,AQ566,AQ575,AQ584,AQ593,AQ602,AQ611,AQ620,AQ629,AQ638,AQ647,AQ656,AQ665,AQ674,AQ683,AQ692,AQ701,AQ710,AQ719,AQ728,AQ737,AQ746,AQ755,AQ764,AQ773,AQ782,AQ791,AQ800,AQ809,AQ818,AQ827,AQ836,AQ845,AQ854,AQ863,AQ872,AQ881,AQ890,AQ899,AQ908,AQ917,AQ926,AQ935,AQ944,AQ953,AQ962,AQ971,AQ980,AQ989,AQ998,AQ1007,AQ1016,AQ1025)</f>
        <v>0</v>
      </c>
      <c r="AR1036" s="34">
        <f t="shared" si="3102"/>
        <v>261.42</v>
      </c>
      <c r="AU1036" s="136">
        <f t="shared" ref="AU1036:AV1036" si="3103">SUM(AU7,AU17,AU26,AU35,AU44,AU53,AU62,AU71,AU80,AU89,AU98,AU107,AU116,AU125,AU134,AU143,AU152,AU161,AU170,AU179,AU188,AU197,AU206,AU215,AU224,AU233,AU242,AU251,AU260,AU269,AU278,AU287,AU296,AU305,AU314,AU323,AU332,AU341,AU350,AU359,AU368,AU377,AU386,AU395,AU404,AU413,AU422,AU431,AU440,AU449,AU458,AU467,AU476,AU485,AU494,AU503,AU512,AU521,AU530,AU539,AU548,AU557,AU566,AU575,AU584,AU593,AU602,AU611,AU620,AU629,AU638,AU647,AU656,AU665,AU674,AU683,AU692,AU701,AU710,AU719,AU728,AU737,AU746,AU755,AU764,AU773,AU782,AU791,AU800,AU809,AU818,AU827,AU836,AU845,AU854,AU863,AU872,AU881,AU890,AU899,AU908,AU917,AU926,AU935,AU944,AU953,AU962,AU971,AU980,AU989,AU998,AU1007,AU1016,AU1025)</f>
        <v>0</v>
      </c>
      <c r="AV1036" s="34">
        <f t="shared" si="3103"/>
        <v>248</v>
      </c>
      <c r="AY1036" s="136">
        <f t="shared" ref="AY1036:AZ1036" si="3104">SUM(AY7,AY17,AY26,AY35,AY44,AY53,AY62,AY71,AY80,AY89,AY98,AY107,AY116,AY125,AY134,AY143,AY152,AY161,AY170,AY179,AY188,AY197,AY206,AY215,AY224,AY233,AY242,AY251,AY260,AY269,AY278,AY287,AY296,AY305,AY314,AY323,AY332,AY341,AY350,AY359,AY368,AY377,AY386,AY395,AY404,AY413,AY422,AY431,AY440,AY449,AY458,AY467,AY476,AY485,AY494,AY503,AY512,AY521,AY530,AY539,AY548,AY557,AY566,AY575,AY584,AY593,AY602,AY611,AY620,AY629,AY638,AY647,AY656,AY665,AY674,AY683,AY692,AY701,AY710,AY719,AY728,AY737,AY746,AY755,AY764,AY773,AY782,AY791,AY800,AY809,AY818,AY827,AY836,AY845,AY854,AY863,AY872,AY881,AY890,AY899,AY908,AY917,AY926,AY935,AY944,AY953,AY962,AY971,AY980,AY989,AY998,AY1007,AY1016,AY1025)</f>
        <v>0</v>
      </c>
      <c r="AZ1036" s="34">
        <f t="shared" si="3104"/>
        <v>0</v>
      </c>
      <c r="BC1036" s="136">
        <f t="shared" ref="BC1036:BD1036" si="3105">SUM(BC7,BC17,BC26,BC35,BC44,BC53,BC62,BC71,BC80,BC89,BC98,BC107,BC116,BC125,BC134,BC143,BC152,BC161,BC170,BC179,BC188,BC197,BC206,BC215,BC224,BC233,BC242,BC251,BC260,BC269,BC278,BC287,BC296,BC305,BC314,BC323,BC332,BC341,BC350,BC359,BC368,BC377,BC386,BC395,BC404,BC413,BC422,BC431,BC440,BC449,BC458,BC467,BC476,BC485,BC494,BC503,BC512,BC521,BC530,BC539,BC548,BC557,BC566,BC575,BC584,BC593,BC602,BC611,BC620,BC629,BC638,BC647,BC656,BC665,BC674,BC683,BC692,BC701,BC710,BC719,BC728,BC737,BC746,BC755,BC764,BC773,BC782,BC791,BC800,BC809,BC818,BC827,BC836,BC845,BC854,BC863,BC872,BC881,BC890,BC899,BC908,BC917,BC926,BC935,BC944,BC953,BC962,BC971,BC980,BC989,BC998,BC1007,BC1016,BC1025)</f>
        <v>0</v>
      </c>
      <c r="BD1036" s="34">
        <f t="shared" si="3105"/>
        <v>0</v>
      </c>
      <c r="BE1036" s="41"/>
      <c r="BF1036" s="263">
        <f t="shared" ref="BF1036:BH1036" si="3106">SUM(BF7,BF17,BF26,BF35,BF44,BF53,BF62,BF71,BF80,BF89,BF98,BF107,BF116,BF125,BF134,BF143,BF152,BF161,BF170,BF179,BF188,BF197,BF206,BF215,BF224,BF233,BF242,BF251,BF260,BF269,BF278,BF287,BF296,BF305,BF314,BF323,BF332,BF341,BF350,BF359,BF368,BF377,BF386,BF395,BF404,BF413,BF422,BF431,BF440,BF449,BF458,BF467,BF476,BF485,BF494,BF503,BF512,BF521,BF530,BF539,BF548,BF557,BF566,BF575,BF584,BF593,BF602,BF611,BF620,BF629,BF638,BF647,BF656,BF665,BF674,BF683,BF692,BF701,BF710,BF719,BF728,BF737,BF746,BF755,BF764,BF773,BF782,BF791,BF800,BF809,BF818,BF827,BF836,BF845,BF854,BF863,BF872,BF881,BF890,BF899,BF908,BF917,BF926,BF935,BF944,BF953,BF962,BF971,BF980,BF989,BF998,BF1007,BF1016,BF1025)</f>
        <v>9720.71</v>
      </c>
      <c r="BG1036" s="170">
        <f t="shared" si="3106"/>
        <v>6954.09</v>
      </c>
      <c r="BH1036" s="172">
        <f t="shared" si="3106"/>
        <v>17885.01</v>
      </c>
    </row>
    <row r="1037" ht="15.75" customHeight="1" spans="4:60" x14ac:dyDescent="0.25">
      <c r="D1037" s="15" t="s">
        <v>44</v>
      </c>
      <c r="E1037" s="2" t="s">
        <v>45</v>
      </c>
      <c r="H1037" s="34">
        <f t="shared" si="3093"/>
        <v>39640.791</v>
      </c>
      <c r="I1037" s="37">
        <f t="shared" ref="I1037:BD1037" si="3107">SUM(I8,I18,I27,I36,I45,I54,I63,I72,I81,I90,I99,I108,I117,I126,I135,I144,I153,I162,I171,I180,I189,I198,I207,I216,I225,I234,I243,I252,I261,I270,I279,I288,I297,I306,I315,I324,I333,I342,I351,I360,I369,I378,I387,I396,I405,I414,I423,I432,I441,I450,I459,I468,I477,I486,I495,I504,I513,I522,I531,I540,I549,I558,I567,I576,I585,I594,I603,I612,I621,I630,I639,I648,I657,I666,I675,I684,I693,I702,I711,I720,I729,I738,I747,I756,I765,I774,I783,I792,I801,I810,I819,I828,I837,I846,I855,I864,I873,I882,I891,I900,I909,I918,I927,I936,I945,I954,I963,I972,I981,I990,I999,I1008,I1017,I1026)</f>
        <v>415331</v>
      </c>
      <c r="J1037" s="37">
        <f t="shared" si="3107"/>
        <v>21863</v>
      </c>
      <c r="K1037" s="34">
        <f t="shared" si="3107"/>
        <v>59030.1</v>
      </c>
      <c r="L1037" s="34">
        <f t="shared" si="3107"/>
        <v>23038.51</v>
      </c>
      <c r="M1037" s="37">
        <f t="shared" si="3107"/>
        <v>407488</v>
      </c>
      <c r="N1037" s="37">
        <f t="shared" si="3107"/>
        <v>19359</v>
      </c>
      <c r="O1037" s="34">
        <f t="shared" si="3107"/>
        <v>52269.3</v>
      </c>
      <c r="P1037" s="34">
        <f t="shared" si="3107"/>
        <v>41513.9</v>
      </c>
      <c r="Q1037" s="37">
        <f t="shared" si="3107"/>
        <v>424882</v>
      </c>
      <c r="R1037" s="37">
        <f t="shared" si="3107"/>
        <v>17394</v>
      </c>
      <c r="S1037" s="34">
        <f t="shared" si="3107"/>
        <v>46963.8</v>
      </c>
      <c r="T1037" s="34">
        <f t="shared" si="3107"/>
        <v>86081.8</v>
      </c>
      <c r="U1037" s="37">
        <f t="shared" si="3107"/>
        <v>439641</v>
      </c>
      <c r="V1037" s="37">
        <f t="shared" si="3107"/>
        <v>14759</v>
      </c>
      <c r="W1037" s="34">
        <f t="shared" si="3107"/>
        <v>39849.3</v>
      </c>
      <c r="X1037" s="34">
        <f t="shared" si="3107"/>
        <v>24503.6</v>
      </c>
      <c r="Y1037" s="37">
        <f t="shared" si="3107"/>
        <v>450675</v>
      </c>
      <c r="Z1037" s="37">
        <f t="shared" si="3107"/>
        <v>11034</v>
      </c>
      <c r="AA1037" s="34">
        <f t="shared" si="3107"/>
        <v>29791.8</v>
      </c>
      <c r="AB1037" s="34">
        <f t="shared" si="3107"/>
        <v>53039.06</v>
      </c>
      <c r="AC1037" s="368">
        <f t="shared" si="3107"/>
        <v>461893</v>
      </c>
      <c r="AD1037" s="37">
        <f t="shared" si="3107"/>
        <v>11368</v>
      </c>
      <c r="AE1037" s="34">
        <f t="shared" si="3107"/>
        <v>30693.6</v>
      </c>
      <c r="AF1037" s="34">
        <f t="shared" si="3107"/>
        <v>22535.63</v>
      </c>
      <c r="AG1037" s="37">
        <f t="shared" si="3107"/>
        <v>470926</v>
      </c>
      <c r="AH1037" s="37">
        <f t="shared" si="3107"/>
        <v>9718.848</v>
      </c>
      <c r="AI1037" s="34">
        <f t="shared" si="3107"/>
        <v>23908.36608</v>
      </c>
      <c r="AJ1037" s="34">
        <f t="shared" si="3107"/>
        <v>33384.54</v>
      </c>
      <c r="AK1037" s="37">
        <f t="shared" si="3107"/>
        <v>477773</v>
      </c>
      <c r="AL1037" s="37">
        <f t="shared" si="3107"/>
        <v>11161.184</v>
      </c>
      <c r="AM1037" s="34">
        <f t="shared" si="3107"/>
        <v>27456.51264</v>
      </c>
      <c r="AN1037" s="34">
        <f t="shared" si="3107"/>
        <v>40502</v>
      </c>
      <c r="AO1037" s="37">
        <f t="shared" si="3107"/>
        <v>489703</v>
      </c>
      <c r="AP1037" s="37">
        <f t="shared" si="3107"/>
        <v>12323.69</v>
      </c>
      <c r="AQ1037" s="34">
        <f t="shared" si="3107"/>
        <v>30617.25228</v>
      </c>
      <c r="AR1037" s="34">
        <f t="shared" si="3107"/>
        <v>37051.66</v>
      </c>
      <c r="AS1037" s="37">
        <f t="shared" si="3107"/>
        <v>507107</v>
      </c>
      <c r="AT1037" s="37">
        <f t="shared" si="3107"/>
        <v>18275.25</v>
      </c>
      <c r="AU1037" s="34">
        <f t="shared" si="3107"/>
        <v>44957.115</v>
      </c>
      <c r="AV1037" s="34">
        <f t="shared" si="3107"/>
        <v>16257.74</v>
      </c>
      <c r="AW1037" s="37">
        <f t="shared" si="3107"/>
        <v>0</v>
      </c>
      <c r="AX1037" s="37">
        <f t="shared" si="3107"/>
        <v>0</v>
      </c>
      <c r="AY1037" s="34">
        <f t="shared" si="3107"/>
        <v>0</v>
      </c>
      <c r="AZ1037" s="34">
        <f t="shared" si="3107"/>
        <v>0</v>
      </c>
      <c r="BA1037" s="37">
        <f t="shared" si="3107"/>
        <v>0</v>
      </c>
      <c r="BB1037" s="37">
        <f t="shared" si="3107"/>
        <v>0</v>
      </c>
      <c r="BC1037" s="34">
        <f t="shared" si="3107"/>
        <v>0</v>
      </c>
      <c r="BD1037" s="34">
        <f t="shared" si="3107"/>
        <v>0</v>
      </c>
      <c r="BE1037" s="36">
        <f t="shared" ref="BE1037:BE1038" si="3108">J1037+N1037+R1037+V1037+Z1037+AD1037+AH1037+AL1037+AP1037+AT1037+AX1037+BB1037</f>
        <v>147255.972</v>
      </c>
      <c r="BF1037" s="34">
        <f t="shared" ref="BF1037:BH1037" si="3109">SUM(BF8,BF18,BF27,BF36,BF45,BF54,BF63,BF72,BF81,BF90,BF99,BF108,BF117,BF126,BF135,BF144,BF153,BF162,BF171,BF180,BF189,BF198,BF207,BF216,BF225,BF234,BF243,BF252,BF261,BF270,BF279,BF288,BF297,BF306,BF315,BF324,BF333,BF342,BF351,BF360,BF369,BF378,BF387,BF396,BF405,BF414,BF423,BF432,BF441,BF450,BF459,BF468,BF477,BF486,BF495,BF504,BF513,BF522,BF531,BF540,BF549,BF558,BF567,BF576,BF585,BF594,BF603,BF612,BF621,BF630,BF639,BF648,BF657,BF666,BF675,BF684,BF693,BF702,BF711,BF720,BF729,BF738,BF747,BF756,BF765,BF774,BF783,BF792,BF801,BF810,BF819,BF828,BF837,BF846,BF855,BF864,BF873,BF882,BF891,BF900,BF909,BF918,BF927,BF936,BF945,BF954,BF963,BF972,BF981,BF990,BF999,BF1008,BF1017,BF1026)</f>
        <v>385537.146</v>
      </c>
      <c r="BG1037" s="34">
        <f t="shared" si="3109"/>
        <v>377908.44</v>
      </c>
      <c r="BH1037" s="35">
        <f t="shared" si="3109"/>
        <v>47269.497</v>
      </c>
    </row>
    <row r="1038" ht="15.75" customHeight="1" spans="4:60" x14ac:dyDescent="0.25">
      <c r="D1038" s="15" t="s">
        <v>47</v>
      </c>
      <c r="E1038" s="2" t="s">
        <v>48</v>
      </c>
      <c r="H1038" s="34">
        <f t="shared" ref="H1038:BD1038" si="3110">SUM(H10,H19,H28,H37,H46,H55,H64,H73,H82,H91,H100,H109,H118,H127,H136,H145,H154,H163,H172,H181,H190,H199,H208,H217,H226,H235,H244,H253,H262,H271,H280,H289,H298,H307,H316,H325,H334,H343,H352,H361,H370,H379,H388,H397,H406,H415,H424,H433,H442,H451,H460,H469,H478,H487,H496,H505,H514,H523,H532,H541,H550,H559,H568,H577,H586,H595,H604,H613,H622,H631,H640,H649,H658,H667,H676,H685,H694,H703,H712,H721,H730,H739,H748,H757,H766,H775,H784,H793,H802,H811,H820,H829,H838,H847,H856,H865,H874,H883,H892,H901,H910,H919,H928,H937,H946,H955,H964,H973,H982,H991,H1000,H1009,H1018,H1027)</f>
        <v>1152.7</v>
      </c>
      <c r="I1038" s="37">
        <f t="shared" si="3110"/>
        <v>12743</v>
      </c>
      <c r="J1038" s="37">
        <f t="shared" si="3110"/>
        <v>0</v>
      </c>
      <c r="K1038" s="34">
        <f t="shared" si="3110"/>
        <v>0</v>
      </c>
      <c r="L1038" s="34">
        <f t="shared" si="3110"/>
        <v>0</v>
      </c>
      <c r="M1038" s="37">
        <f t="shared" si="3110"/>
        <v>12743</v>
      </c>
      <c r="N1038" s="37">
        <f t="shared" si="3110"/>
        <v>0</v>
      </c>
      <c r="O1038" s="34">
        <f t="shared" si="3110"/>
        <v>0</v>
      </c>
      <c r="P1038" s="34">
        <f t="shared" si="3110"/>
        <v>0</v>
      </c>
      <c r="Q1038" s="37">
        <f t="shared" si="3110"/>
        <v>12743</v>
      </c>
      <c r="R1038" s="37">
        <f t="shared" si="3110"/>
        <v>0</v>
      </c>
      <c r="S1038" s="34">
        <f t="shared" si="3110"/>
        <v>0</v>
      </c>
      <c r="T1038" s="34">
        <f t="shared" si="3110"/>
        <v>180.47</v>
      </c>
      <c r="U1038" s="37">
        <f t="shared" si="3110"/>
        <v>12687</v>
      </c>
      <c r="V1038" s="37">
        <f t="shared" si="3110"/>
        <v>13</v>
      </c>
      <c r="W1038" s="34">
        <f t="shared" si="3110"/>
        <v>264.55</v>
      </c>
      <c r="X1038" s="34">
        <f t="shared" si="3110"/>
        <v>0</v>
      </c>
      <c r="Y1038" s="37">
        <f t="shared" si="3110"/>
        <v>13838</v>
      </c>
      <c r="Z1038" s="37">
        <f t="shared" si="3110"/>
        <v>553</v>
      </c>
      <c r="AA1038" s="34">
        <f t="shared" si="3110"/>
        <v>11253.55</v>
      </c>
      <c r="AB1038" s="34">
        <f t="shared" si="3110"/>
        <v>1978.833</v>
      </c>
      <c r="AC1038" s="368">
        <f t="shared" si="3110"/>
        <v>14372</v>
      </c>
      <c r="AD1038" s="37">
        <f t="shared" si="3110"/>
        <v>655</v>
      </c>
      <c r="AE1038" s="34">
        <f t="shared" si="3110"/>
        <v>13329.25</v>
      </c>
      <c r="AF1038" s="34">
        <f t="shared" si="3110"/>
        <v>9841.94</v>
      </c>
      <c r="AG1038" s="37">
        <f t="shared" si="3110"/>
        <v>14772</v>
      </c>
      <c r="AH1038" s="37">
        <f t="shared" si="3110"/>
        <v>519</v>
      </c>
      <c r="AI1038" s="34">
        <f t="shared" si="3110"/>
        <v>11106.6</v>
      </c>
      <c r="AJ1038" s="34">
        <f t="shared" si="3110"/>
        <v>10853.69</v>
      </c>
      <c r="AK1038" s="37">
        <f t="shared" si="3110"/>
        <v>15195</v>
      </c>
      <c r="AL1038" s="37">
        <f t="shared" si="3110"/>
        <v>455</v>
      </c>
      <c r="AM1038" s="34">
        <f t="shared" si="3110"/>
        <v>9737</v>
      </c>
      <c r="AN1038" s="34">
        <f t="shared" si="3110"/>
        <v>10567.89</v>
      </c>
      <c r="AO1038" s="37">
        <f t="shared" si="3110"/>
        <v>15453</v>
      </c>
      <c r="AP1038" s="37">
        <f t="shared" si="3110"/>
        <v>290</v>
      </c>
      <c r="AQ1038" s="34">
        <f t="shared" si="3110"/>
        <v>6206</v>
      </c>
      <c r="AR1038" s="34">
        <f t="shared" si="3110"/>
        <v>11550.54</v>
      </c>
      <c r="AS1038" s="37">
        <f t="shared" si="3110"/>
        <v>15453</v>
      </c>
      <c r="AT1038" s="37">
        <f t="shared" si="3110"/>
        <v>49</v>
      </c>
      <c r="AU1038" s="34">
        <f t="shared" si="3110"/>
        <v>953.9</v>
      </c>
      <c r="AV1038" s="34">
        <f t="shared" si="3110"/>
        <v>2137.2</v>
      </c>
      <c r="AW1038" s="37">
        <f t="shared" si="3110"/>
        <v>0</v>
      </c>
      <c r="AX1038" s="37">
        <f t="shared" si="3110"/>
        <v>-15161</v>
      </c>
      <c r="AY1038" s="34">
        <f t="shared" si="3110"/>
        <v>0</v>
      </c>
      <c r="AZ1038" s="34">
        <f t="shared" si="3110"/>
        <v>0</v>
      </c>
      <c r="BA1038" s="37">
        <f t="shared" si="3110"/>
        <v>0</v>
      </c>
      <c r="BB1038" s="37">
        <f t="shared" si="3110"/>
        <v>0</v>
      </c>
      <c r="BC1038" s="34">
        <f t="shared" si="3110"/>
        <v>0</v>
      </c>
      <c r="BD1038" s="34">
        <f t="shared" si="3110"/>
        <v>0</v>
      </c>
      <c r="BE1038" s="36">
        <f t="shared" si="3108"/>
        <v>-12627</v>
      </c>
      <c r="BF1038" s="34">
        <f t="shared" ref="BF1038:BH1038" si="3111">SUM(BF10,BF19,BF28,BF37,BF46,BF55,BF64,BF73,BF82,BF91,BF100,BF109,BF118,BF127,BF136,BF145,BF154,BF163,BF172,BF181,BF190,BF199,BF208,BF217,BF226,BF235,BF244,BF253,BF262,BF271,BF280,BF289,BF298,BF307,BF316,BF325,BF334,BF343,BF352,BF361,BF370,BF379,BF388,BF397,BF406,BF415,BF424,BF433,BF442,BF451,BF460,BF469,BF478,BF487,BF496,BF505,BF514,BF523,BF532,BF541,BF550,BF559,BF568,BF577,BF586,BF595,BF604,BF613,BF622,BF631,BF640,BF649,BF658,BF667,BF676,BF685,BF694,BF703,BF712,BF721,BF730,BF739,BF748,BF757,BF766,BF775,BF784,BF793,BF802,BF811,BF820,BF829,BF838,BF847,BF856,BF865,BF874,BF883,BF892,BF901,BF910,BF919,BF928,BF937,BF946,BF955,BF964,BF973,BF982,BF991,BF1000,BF1009,BF1018,BF1027)</f>
        <v>52850.85</v>
      </c>
      <c r="BG1038" s="34">
        <f t="shared" si="3111"/>
        <v>47110.563</v>
      </c>
      <c r="BH1038" s="35">
        <f t="shared" si="3111"/>
        <v>6892.987</v>
      </c>
    </row>
    <row r="1039" ht="15.75" customHeight="1" spans="4:60" x14ac:dyDescent="0.25">
      <c r="D1039" s="15" t="s">
        <v>47</v>
      </c>
      <c r="E1039" s="2" t="s">
        <v>49</v>
      </c>
      <c r="H1039" s="34">
        <f t="shared" ref="H1039:H1043" si="3112">SUM(H11,H20,H29,H38,H47,H56,H65,H74,H83,H92,H101,H110,H119,H128,H137,H146,H155,H164,H173,H182,H191,H200,H209,H218,H227,H236,H245,H254,H263,H272,H281,H290,H299,H308,H317,H326,H335,H344,H353,H362,H371,H380,H389,H398,H407,H416,H425,H434,H443,H452,H461,H470,H479,H488,H497,H506,H515,H524,H533,H542,H551,H560,H569,H578,H587,H596,H605,H614,H623,H632,H641,H650,H659,H668,H677,H686,H695,H704,H713,H722,H731,H740,H749,H758,H767,H776,H785,H794,H803,H812,H821,H830,H839,H848,H857,H866,H875,H884,H893,H902,H911,H920,H929,H938,H947,H956,H965,H974,H983,H992,H1001,H1010,H1019,H1028)</f>
        <v>16</v>
      </c>
      <c r="K1039" s="34">
        <f t="shared" ref="K1039:L1039" si="3113">SUM(K11,K20,K29,K38,K47,K56,K65,K74,K83,K92,K101,K110,K119,K128,K137,K146,K155,K164,K173,K182,K191,K200,K209,K218,K227,K236,K245,K254,K263,K272,K281,K290,K299,K308,K317,K326,K335,K344,K353,K362,K371,K380,K389,K398,K407,K416,K425,K434,K443,K452,K461,K470,K479,K488,K497,K506,K515,K524,K533,K542,K551,K560,K569,K578,K587,K596,K605,K614,K623,K632,K641,K650,K659,K668,K677,K686,K695,K704,K713,K722,K731,K740,K749,K758,K767,K776,K785,K794,K803,K812,K821,K830,K839,K848,K857,K866,K875,K884,K893,K902,K911,K920,K929,K938,K947,K956,K965,K974,K983,K992,K1001,K1010,K1019,K1028)</f>
        <v>0</v>
      </c>
      <c r="L1039" s="34">
        <f t="shared" si="3113"/>
        <v>0</v>
      </c>
      <c r="O1039" s="34">
        <f t="shared" ref="O1039:P1039" si="3114">SUM(O11,O20,O29,O38,O47,O56,O65,O74,O83,O92,O101,O110,O119,O128,O137,O146,O155,O164,O173,O182,O191,O200,O209,O218,O227,O236,O245,O254,O263,O272,O281,O290,O299,O308,O317,O326,O335,O344,O353,O362,O371,O380,O389,O398,O407,O416,O425,O434,O443,O452,O461,O470,O479,O488,O497,O506,O515,O524,O533,O542,O551,O560,O569,O578,O587,O596,O605,O614,O623,O632,O641,O650,O659,O668,O677,O686,O695,O704,O713,O722,O731,O740,O749,O758,O767,O776,O785,O794,O803,O812,O821,O830,O839,O848,O857,O866,O875,O884,O893,O902,O911,O920,O929,O938,O947,O956,O965,O974,O983,O992,O1001,O1010,O1019,O1028)</f>
        <v>0</v>
      </c>
      <c r="P1039" s="34">
        <f t="shared" si="3114"/>
        <v>0</v>
      </c>
      <c r="S1039" s="34">
        <f t="shared" ref="S1039:T1039" si="3115">SUM(S11,S20,S29,S38,S47,S56,S65,S74,S83,S92,S101,S110,S119,S128,S137,S146,S155,S164,S173,S182,S191,S200,S209,S218,S227,S236,S245,S254,S263,S272,S281,S290,S299,S308,S317,S326,S335,S344,S353,S362,S371,S380,S389,S398,S407,S416,S425,S434,S443,S452,S461,S470,S479,S488,S497,S506,S515,S524,S533,S542,S551,S560,S569,S578,S587,S596,S605,S614,S623,S632,S641,S650,S659,S668,S677,S686,S695,S704,S713,S722,S731,S740,S749,S758,S767,S776,S785,S794,S803,S812,S821,S830,S839,S848,S857,S866,S875,S884,S893,S902,S911,S920,S929,S938,S947,S956,S965,S974,S983,S992,S1001,S1010,S1019,S1028)</f>
        <v>0</v>
      </c>
      <c r="T1039" s="34">
        <f t="shared" si="3115"/>
        <v>0</v>
      </c>
      <c r="W1039" s="34">
        <f t="shared" ref="W1039:X1039" si="3116">SUM(W11,W20,W29,W38,W47,W56,W65,W74,W83,W92,W101,W110,W119,W128,W137,W146,W155,W164,W173,W182,W191,W200,W209,W218,W227,W236,W245,W254,W263,W272,W281,W290,W299,W308,W317,W326,W335,W344,W353,W362,W371,W380,W389,W398,W407,W416,W425,W434,W443,W452,W461,W470,W479,W488,W497,W506,W515,W524,W533,W542,W551,W560,W569,W578,W587,W596,W605,W614,W623,W632,W641,W650,W659,W668,W677,W686,W695,W704,W713,W722,W731,W740,W749,W758,W767,W776,W785,W794,W803,W812,W821,W830,W839,W848,W857,W866,W875,W884,W893,W902,W911,W920,W929,W938,W947,W956,W965,W974,W983,W992,W1001,W1010,W1019,W1028)</f>
        <v>0</v>
      </c>
      <c r="X1039" s="34">
        <f t="shared" si="3116"/>
        <v>0</v>
      </c>
      <c r="AA1039" s="34">
        <f t="shared" ref="AA1039:AB1039" si="3117">SUM(AA11,AA20,AA29,AA38,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,AA497,AA506,AA515,AA524,AA533,AA542,AA551,AA560,AA569,AA578,AA587,AA596,AA605,AA614,AA623,AA632,AA641,AA650,AA659,AA668,AA677,AA686,AA695,AA704,AA713,AA722,AA731,AA740,AA749,AA758,AA767,AA776,AA785,AA794,AA803,AA812,AA821,AA830,AA839,AA848,AA857,AA866,AA875,AA884,AA893,AA902,AA911,AA920,AA929,AA938,AA947,AA956,AA965,AA974,AA983,AA992,AA1001,AA1010,AA1019,AA1028)</f>
        <v>0</v>
      </c>
      <c r="AB1039" s="34">
        <f t="shared" si="3117"/>
        <v>0</v>
      </c>
      <c r="AC1039" s="342"/>
      <c r="AE1039" s="34">
        <f t="shared" ref="AE1039:AF1039" si="3118">SUM(AE11,AE20,AE29,AE38,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,AE497,AE506,AE515,AE524,AE533,AE542,AE551,AE560,AE569,AE578,AE587,AE596,AE605,AE614,AE623,AE632,AE641,AE650,AE659,AE668,AE677,AE686,AE695,AE704,AE713,AE722,AE731,AE740,AE749,AE758,AE767,AE776,AE785,AE794,AE803,AE812,AE821,AE830,AE839,AE848,AE857,AE866,AE875,AE884,AE893,AE902,AE911,AE920,AE929,AE938,AE947,AE956,AE965,AE974,AE983,AE992,AE1001,AE1010,AE1019,AE1028)</f>
        <v>0</v>
      </c>
      <c r="AF1039" s="34">
        <f t="shared" si="3118"/>
        <v>0</v>
      </c>
      <c r="AI1039" s="34">
        <f t="shared" ref="AI1039:AJ1039" si="3119">SUM(AI11,AI20,AI29,AI38,AI47,AI56,AI65,AI74,AI83,AI92,AI101,AI110,AI119,AI128,AI137,AI146,AI155,AI164,AI173,AI182,AI191,AI200,AI209,AI218,AI227,AI236,AI245,AI254,AI263,AI272,AI281,AI290,AI299,AI308,AI317,AI326,AI335,AI344,AI353,AI362,AI371,AI380,AI389,AI398,AI407,AI416,AI425,AI434,AI443,AI452,AI461,AI470,AI479,AI488,AI497,AI506,AI515,AI524,AI533,AI542,AI551,AI560,AI569,AI578,AI587,AI596,AI605,AI614,AI623,AI632,AI641,AI650,AI659,AI668,AI677,AI686,AI695,AI704,AI713,AI722,AI731,AI740,AI749,AI758,AI767,AI776,AI785,AI794,AI803,AI812,AI821,AI830,AI839,AI848,AI857,AI866,AI875,AI884,AI893,AI902,AI911,AI920,AI929,AI938,AI947,AI956,AI965,AI974,AI983,AI992,AI1001,AI1010,AI1019,AI1028)</f>
        <v>0</v>
      </c>
      <c r="AJ1039" s="34">
        <f t="shared" si="3119"/>
        <v>0</v>
      </c>
      <c r="AM1039" s="34">
        <f t="shared" ref="AM1039:AN1039" si="3120">SUM(AM11,AM20,AM29,AM38,AM47,AM56,AM65,AM74,AM83,AM92,AM101,AM110,AM119,AM128,AM137,AM146,AM155,AM164,AM173,AM182,AM191,AM200,AM209,AM218,AM227,AM236,AM245,AM254,AM263,AM272,AM281,AM290,AM299,AM308,AM317,AM326,AM335,AM344,AM353,AM362,AM371,AM380,AM389,AM398,AM407,AM416,AM425,AM434,AM443,AM452,AM461,AM470,AM479,AM488,AM497,AM506,AM515,AM524,AM533,AM542,AM551,AM560,AM569,AM578,AM587,AM596,AM605,AM614,AM623,AM632,AM641,AM650,AM659,AM668,AM677,AM686,AM695,AM704,AM713,AM722,AM731,AM740,AM749,AM758,AM767,AM776,AM785,AM794,AM803,AM812,AM821,AM830,AM839,AM848,AM857,AM866,AM875,AM884,AM893,AM902,AM911,AM920,AM929,AM938,AM947,AM956,AM965,AM974,AM983,AM992,AM1001,AM1010,AM1019,AM1028)</f>
        <v>0</v>
      </c>
      <c r="AN1039" s="34">
        <f t="shared" si="3120"/>
        <v>0</v>
      </c>
      <c r="AQ1039" s="34">
        <f t="shared" ref="AQ1039:AR1039" si="3121">SUM(AQ11,AQ20,AQ29,AQ38,AQ47,AQ56,AQ65,AQ74,AQ83,AQ92,AQ101,AQ110,AQ119,AQ128,AQ137,AQ146,AQ155,AQ164,AQ173,AQ182,AQ191,AQ200,AQ209,AQ218,AQ227,AQ236,AQ245,AQ254,AQ263,AQ272,AQ281,AQ290,AQ299,AQ308,AQ317,AQ326,AQ335,AQ344,AQ353,AQ362,AQ371,AQ380,AQ389,AQ398,AQ407,AQ416,AQ425,AQ434,AQ443,AQ452,AQ461,AQ470,AQ479,AQ488,AQ497,AQ506,AQ515,AQ524,AQ533,AQ542,AQ551,AQ560,AQ569,AQ578,AQ587,AQ596,AQ605,AQ614,AQ623,AQ632,AQ641,AQ650,AQ659,AQ668,AQ677,AQ686,AQ695,AQ704,AQ713,AQ722,AQ731,AQ740,AQ749,AQ758,AQ767,AQ776,AQ785,AQ794,AQ803,AQ812,AQ821,AQ830,AQ839,AQ848,AQ857,AQ866,AQ875,AQ884,AQ893,AQ902,AQ911,AQ920,AQ929,AQ938,AQ947,AQ956,AQ965,AQ974,AQ983,AQ992,AQ1001,AQ1010,AQ1019,AQ1028)</f>
        <v>0</v>
      </c>
      <c r="AR1039" s="34">
        <f t="shared" si="3121"/>
        <v>0</v>
      </c>
      <c r="AU1039" s="34">
        <f t="shared" ref="AU1039:AV1039" si="3122">SUM(AU11,AU20,AU29,AU38,AU47,AU56,AU65,AU74,AU83,AU92,AU101,AU110,AU119,AU128,AU137,AU146,AU155,AU164,AU173,AU182,AU191,AU200,AU209,AU218,AU227,AU236,AU245,AU254,AU263,AU272,AU281,AU290,AU299,AU308,AU317,AU326,AU335,AU344,AU353,AU362,AU371,AU380,AU389,AU398,AU407,AU416,AU425,AU434,AU443,AU452,AU461,AU470,AU479,AU488,AU497,AU506,AU515,AU524,AU533,AU542,AU551,AU560,AU569,AU578,AU587,AU596,AU605,AU614,AU623,AU632,AU641,AU650,AU659,AU668,AU677,AU686,AU695,AU704,AU713,AU722,AU731,AU740,AU749,AU758,AU767,AU776,AU785,AU794,AU803,AU812,AU821,AU830,AU839,AU848,AU857,AU866,AU875,AU884,AU893,AU902,AU911,AU920,AU929,AU938,AU947,AU956,AU965,AU974,AU983,AU992,AU1001,AU1010,AU1019,AU1028)</f>
        <v>0</v>
      </c>
      <c r="AV1039" s="34">
        <f t="shared" si="3122"/>
        <v>0</v>
      </c>
      <c r="AY1039" s="34">
        <f t="shared" ref="AY1039:AZ1039" si="3123">SUM(AY11,AY20,AY29,AY38,AY47,AY56,AY65,AY74,AY83,AY92,AY101,AY110,AY119,AY128,AY137,AY146,AY155,AY164,AY173,AY182,AY191,AY200,AY209,AY218,AY227,AY236,AY245,AY254,AY263,AY272,AY281,AY290,AY299,AY308,AY317,AY326,AY335,AY344,AY353,AY362,AY371,AY380,AY389,AY398,AY407,AY416,AY425,AY434,AY443,AY452,AY461,AY470,AY479,AY488,AY497,AY506,AY515,AY524,AY533,AY542,AY551,AY560,AY569,AY578,AY587,AY596,AY605,AY614,AY623,AY632,AY641,AY650,AY659,AY668,AY677,AY686,AY695,AY704,AY713,AY722,AY731,AY740,AY749,AY758,AY767,AY776,AY785,AY794,AY803,AY812,AY821,AY830,AY839,AY848,AY857,AY866,AY875,AY884,AY893,AY902,AY911,AY920,AY929,AY938,AY947,AY956,AY965,AY974,AY983,AY992,AY1001,AY1010,AY1019,AY1028)</f>
        <v>0</v>
      </c>
      <c r="AZ1039" s="34">
        <f t="shared" si="3123"/>
        <v>0</v>
      </c>
      <c r="BC1039" s="34">
        <f t="shared" ref="BC1039:BD1039" si="3124">SUM(BC11,BC20,BC29,BC38,BC47,BC56,BC65,BC74,BC83,BC92,BC101,BC110,BC119,BC128,BC137,BC146,BC155,BC164,BC173,BC182,BC191,BC200,BC209,BC218,BC227,BC236,BC245,BC254,BC263,BC272,BC281,BC290,BC299,BC308,BC317,BC326,BC335,BC344,BC353,BC362,BC371,BC380,BC389,BC398,BC407,BC416,BC425,BC434,BC443,BC452,BC461,BC470,BC479,BC488,BC497,BC506,BC515,BC524,BC533,BC542,BC551,BC560,BC569,BC578,BC587,BC596,BC605,BC614,BC623,BC632,BC641,BC650,BC659,BC668,BC677,BC686,BC695,BC704,BC713,BC722,BC731,BC740,BC749,BC758,BC767,BC776,BC785,BC794,BC803,BC812,BC821,BC830,BC839,BC848,BC857,BC866,BC875,BC884,BC893,BC902,BC911,BC920,BC929,BC938,BC947,BC956,BC965,BC974,BC983,BC992,BC1001,BC1010,BC1019,BC1028)</f>
        <v>0</v>
      </c>
      <c r="BD1039" s="34">
        <f t="shared" si="3124"/>
        <v>0</v>
      </c>
      <c r="BE1039" s="41"/>
      <c r="BF1039" s="34">
        <f t="shared" ref="BF1039:BH1039" si="3125">SUM(BF11,BF20,BF29,BF38,BF47,BF56,BF65,BF74,BF83,BF92,BF101,BF110,BF119,BF128,BF137,BF146,BF155,BF164,BF173,BF182,BF191,BF200,BF209,BF218,BF227,BF236,BF245,BF254,BF263,BF272,BF281,BF290,BF299,BF308,BF317,BF326,BF335,BF344,BF353,BF362,BF371,BF380,BF389,BF398,BF407,BF416,BF425,BF434,BF443,BF452,BF461,BF470,BF479,BF488,BF497,BF506,BF515,BF524,BF533,BF542,BF551,BF560,BF569,BF578,BF587,BF596,BF605,BF614,BF623,BF632,BF641,BF650,BF659,BF668,BF677,BF686,BF695,BF704,BF713,BF722,BF731,BF740,BF749,BF758,BF767,BF776,BF785,BF794,BF803,BF812,BF821,BF830,BF839,BF848,BF857,BF866,BF875,BF884,BF893,BF902,BF911,BF920,BF929,BF938,BF947,BF956,BF965,BF974,BF983,BF992,BF1001,BF1010,BF1019,BF1028)</f>
        <v>0</v>
      </c>
      <c r="BG1039" s="34">
        <f t="shared" si="3125"/>
        <v>0</v>
      </c>
      <c r="BH1039" s="35">
        <f t="shared" si="3125"/>
        <v>16</v>
      </c>
    </row>
    <row r="1040" ht="15.75" customHeight="1" spans="4:60" x14ac:dyDescent="0.25">
      <c r="D1040" s="15" t="s">
        <v>50</v>
      </c>
      <c r="E1040" s="2" t="s">
        <v>49</v>
      </c>
      <c r="H1040" s="34">
        <f t="shared" si="3112"/>
        <v>226662.11</v>
      </c>
      <c r="K1040" s="34">
        <f t="shared" ref="K1040:L1040" si="3126">SUM(K12,K21,K30,K39,K48,K57,K66,K75,K84,K93,K102,K111,K120,K129,K138,K147,K156,K165,K174,K183,K192,K201,K210,K219,K228,K237,K246,K255,K264,K273,K282,K291,K300,K309,K318,K327,K336,K345,K354,K363,K372,K381,K390,K399,K408,K417,K426,K435,K444,K453,K462,K471,K480,K489,K498,K507,K516,K525,K534,K543,K552,K561,K570,K579,K588,K597,K606,K615,K624,K633,K642,K651,K660,K669,K678,K687,K696,K705,K714,K723,K732,K741,K750,K759,K768,K777,K786,K795,K804,K813,K822,K831,K840,K849,K858,K867,K876,K885,K894,K903,K912,K921,K930,K939,K948,K957,K966,K975,K984,K993,K1002,K1011,K1020,K1029)</f>
        <v>0</v>
      </c>
      <c r="L1040" s="34">
        <f t="shared" si="3126"/>
        <v>0</v>
      </c>
      <c r="O1040" s="34">
        <f t="shared" ref="O1040:P1040" si="3127">SUM(O12,O21,O30,O39,O48,O57,O66,O75,O84,O93,O102,O111,O120,O129,O138,O147,O156,O165,O174,O183,O192,O201,O210,O219,O228,O237,O246,O255,O264,O273,O282,O291,O300,O309,O318,O327,O336,O345,O354,O363,O372,O381,O390,O399,O408,O417,O426,O435,O444,O453,O462,O471,O480,O489,O498,O507,O516,O525,O534,O543,O552,O561,O570,O579,O588,O597,O606,O615,O624,O633,O642,O651,O660,O669,O678,O687,O696,O705,O714,O723,O732,O741,O750,O759,O768,O777,O786,O795,O804,O813,O822,O831,O840,O849,O858,O867,O876,O885,O894,O903,O912,O921,O930,O939,O948,O957,O966,O975,O984,O993,O1002,O1011,O1020,O1029)</f>
        <v>0</v>
      </c>
      <c r="P1040" s="34">
        <f t="shared" si="3127"/>
        <v>0</v>
      </c>
      <c r="S1040" s="34">
        <f t="shared" ref="S1040:T1040" si="3128">SUM(S12,S21,S30,S39,S48,S57,S66,S75,S84,S93,S102,S111,S120,S129,S138,S147,S156,S165,S174,S183,S192,S201,S210,S219,S228,S237,S246,S255,S264,S273,S282,S291,S300,S309,S318,S327,S336,S345,S354,S363,S372,S381,S390,S399,S408,S417,S426,S435,S444,S453,S462,S471,S480,S489,S498,S507,S516,S525,S534,S543,S552,S561,S570,S579,S588,S597,S606,S615,S624,S633,S642,S651,S660,S669,S678,S687,S696,S705,S714,S723,S732,S741,S750,S759,S768,S777,S786,S795,S804,S813,S822,S831,S840,S849,S858,S867,S876,S885,S894,S903,S912,S921,S930,S939,S948,S957,S966,S975,S984,S993,S1002,S1011,S1020,S1029)</f>
        <v>0</v>
      </c>
      <c r="T1040" s="34">
        <f t="shared" si="3128"/>
        <v>10802</v>
      </c>
      <c r="W1040" s="34">
        <f t="shared" ref="W1040:X1040" si="3129">SUM(W12,W21,W30,W39,W48,W57,W66,W75,W84,W93,W102,W111,W120,W129,W138,W147,W156,W165,W174,W183,W192,W201,W210,W219,W228,W237,W246,W255,W264,W273,W282,W291,W300,W309,W318,W327,W336,W345,W354,W363,W372,W381,W390,W399,W408,W417,W426,W435,W444,W453,W462,W471,W480,W489,W498,W507,W516,W525,W534,W543,W552,W561,W570,W579,W588,W597,W606,W615,W624,W633,W642,W651,W660,W669,W678,W687,W696,W705,W714,W723,W732,W741,W750,W759,W768,W777,W786,W795,W804,W813,W822,W831,W840,W849,W858,W867,W876,W885,W894,W903,W912,W921,W930,W939,W948,W957,W966,W975,W984,W993,W1002,W1011,W1020,W1029)</f>
        <v>0</v>
      </c>
      <c r="X1040" s="34">
        <f t="shared" si="3129"/>
        <v>7512.9</v>
      </c>
      <c r="AA1040" s="34">
        <f t="shared" ref="AA1040:AB1040" si="3130">SUM(AA12,AA21,AA30,AA39,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,AA498,AA507,AA516,AA525,AA534,AA543,AA552,AA561,AA570,AA579,AA588,AA597,AA606,AA615,AA624,AA633,AA642,AA651,AA660,AA669,AA678,AA687,AA696,AA705,AA714,AA723,AA732,AA741,AA750,AA759,AA768,AA777,AA786,AA795,AA804,AA813,AA822,AA831,AA840,AA849,AA858,AA867,AA876,AA885,AA894,AA903,AA912,AA921,AA930,AA939,AA948,AA957,AA966,AA975,AA984,AA993,AA1002,AA1011,AA1020,AA1029)</f>
        <v>0</v>
      </c>
      <c r="AB1040" s="34">
        <f t="shared" si="3130"/>
        <v>31302.74</v>
      </c>
      <c r="AC1040" s="342"/>
      <c r="AE1040" s="34">
        <f t="shared" ref="AE1040:AF1040" si="3131">SUM(AE12,AE21,AE30,AE39,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,AE498,AE507,AE516,AE525,AE534,AE543,AE552,AE561,AE570,AE579,AE588,AE597,AE606,AE615,AE624,AE633,AE642,AE651,AE660,AE669,AE678,AE687,AE696,AE705,AE714,AE723,AE732,AE741,AE750,AE759,AE768,AE777,AE786,AE795,AE804,AE813,AE822,AE831,AE840,AE849,AE858,AE867,AE876,AE885,AE894,AE903,AE912,AE921,AE930,AE939,AE948,AE957,AE966,AE975,AE984,AE993,AE1002,AE1011,AE1020,AE1029)</f>
        <v>652028</v>
      </c>
      <c r="AF1040" s="34">
        <f t="shared" si="3131"/>
        <v>159707.55</v>
      </c>
      <c r="AI1040" s="34">
        <f t="shared" ref="AI1040:AJ1040" si="3132">SUM(AI12,AI21,AI30,AI39,AI48,AI57,AI66,AI75,AI84,AI93,AI102,AI111,AI120,AI129,AI138,AI147,AI156,AI165,AI174,AI183,AI192,AI201,AI210,AI219,AI228,AI237,AI246,AI255,AI264,AI273,AI282,AI291,AI300,AI309,AI318,AI327,AI336,AI345,AI354,AI363,AI372,AI381,AI390,AI399,AI408,AI417,AI426,AI435,AI444,AI453,AI462,AI471,AI480,AI489,AI498,AI507,AI516,AI525,AI534,AI543,AI552,AI561,AI570,AI579,AI588,AI597,AI606,AI615,AI624,AI633,AI642,AI651,AI660,AI669,AI678,AI687,AI696,AI705,AI714,AI723,AI732,AI741,AI750,AI759,AI768,AI777,AI786,AI795,AI804,AI813,AI822,AI831,AI840,AI849,AI858,AI867,AI876,AI885,AI894,AI903,AI912,AI921,AI930,AI939,AI948,AI957,AI966,AI975,AI984,AI993,AI1002,AI1011,AI1020,AI1029)</f>
        <v>0</v>
      </c>
      <c r="AJ1040" s="34">
        <f t="shared" si="3132"/>
        <v>120526.16</v>
      </c>
      <c r="AM1040" s="34">
        <f t="shared" ref="AM1040:AN1040" si="3133">SUM(AM12,AM21,AM30,AM39,AM48,AM57,AM66,AM75,AM84,AM93,AM102,AM111,AM120,AM129,AM138,AM147,AM156,AM165,AM174,AM183,AM192,AM201,AM210,AM219,AM228,AM237,AM246,AM255,AM264,AM273,AM282,AM291,AM300,AM309,AM318,AM327,AM336,AM345,AM354,AM363,AM372,AM381,AM390,AM399,AM408,AM417,AM426,AM435,AM444,AM453,AM462,AM471,AM480,AM489,AM498,AM507,AM516,AM525,AM534,AM543,AM552,AM561,AM570,AM579,AM588,AM597,AM606,AM615,AM624,AM633,AM642,AM651,AM660,AM669,AM678,AM687,AM696,AM705,AM714,AM723,AM732,AM741,AM750,AM759,AM768,AM777,AM786,AM795,AM804,AM813,AM822,AM831,AM840,AM849,AM858,AM867,AM876,AM885,AM894,AM903,AM912,AM921,AM930,AM939,AM948,AM957,AM966,AM975,AM984,AM993,AM1002,AM1011,AM1020,AM1029)</f>
        <v>0</v>
      </c>
      <c r="AN1040" s="34">
        <f t="shared" si="3133"/>
        <v>103544.25</v>
      </c>
      <c r="AQ1040" s="34">
        <f t="shared" ref="AQ1040:AR1040" si="3134">SUM(AQ12,AQ21,AQ30,AQ39,AQ48,AQ57,AQ66,AQ75,AQ84,AQ93,AQ102,AQ111,AQ120,AQ129,AQ138,AQ147,AQ156,AQ165,AQ174,AQ183,AQ192,AQ201,AQ210,AQ219,AQ228,AQ237,AQ246,AQ255,AQ264,AQ273,AQ282,AQ291,AQ300,AQ309,AQ318,AQ327,AQ336,AQ345,AQ354,AQ363,AQ372,AQ381,AQ390,AQ399,AQ408,AQ417,AQ426,AQ435,AQ444,AQ453,AQ462,AQ471,AQ480,AQ489,AQ498,AQ507,AQ516,AQ525,AQ534,AQ543,AQ552,AQ561,AQ570,AQ579,AQ588,AQ597,AQ606,AQ615,AQ624,AQ633,AQ642,AQ651,AQ660,AQ669,AQ678,AQ687,AQ696,AQ705,AQ714,AQ723,AQ732,AQ741,AQ750,AQ759,AQ768,AQ777,AQ786,AQ795,AQ804,AQ813,AQ822,AQ831,AQ840,AQ849,AQ858,AQ867,AQ876,AQ885,AQ894,AQ903,AQ912,AQ921,AQ930,AQ939,AQ948,AQ957,AQ966,AQ975,AQ984,AQ993,AQ1002,AQ1011,AQ1020,AQ1029)</f>
        <v>0</v>
      </c>
      <c r="AR1040" s="34">
        <f t="shared" si="3134"/>
        <v>105424.52</v>
      </c>
      <c r="AU1040" s="34">
        <f t="shared" ref="AU1040:AV1040" si="3135">SUM(AU12,AU21,AU30,AU39,AU48,AU57,AU66,AU75,AU84,AU93,AU102,AU111,AU120,AU129,AU138,AU147,AU156,AU165,AU174,AU183,AU192,AU201,AU210,AU219,AU228,AU237,AU246,AU255,AU264,AU273,AU282,AU291,AU300,AU309,AU318,AU327,AU336,AU345,AU354,AU363,AU372,AU381,AU390,AU399,AU408,AU417,AU426,AU435,AU444,AU453,AU462,AU471,AU480,AU489,AU498,AU507,AU516,AU525,AU534,AU543,AU552,AU561,AU570,AU579,AU588,AU597,AU606,AU615,AU624,AU633,AU642,AU651,AU660,AU669,AU678,AU687,AU696,AU705,AU714,AU723,AU732,AU741,AU750,AU759,AU768,AU777,AU786,AU795,AU804,AU813,AU822,AU831,AU840,AU849,AU858,AU867,AU876,AU885,AU894,AU903,AU912,AU921,AU930,AU939,AU948,AU957,AU966,AU975,AU984,AU993,AU1002,AU1011,AU1020,AU1029)</f>
        <v>0</v>
      </c>
      <c r="AV1040" s="34">
        <f t="shared" si="3135"/>
        <v>9344</v>
      </c>
      <c r="AY1040" s="34">
        <f t="shared" ref="AY1040:AZ1040" si="3136">SUM(AY12,AY21,AY30,AY39,AY48,AY57,AY66,AY75,AY84,AY93,AY102,AY111,AY120,AY129,AY138,AY147,AY156,AY165,AY174,AY183,AY192,AY201,AY210,AY219,AY228,AY237,AY246,AY255,AY264,AY273,AY282,AY291,AY300,AY309,AY318,AY327,AY336,AY345,AY354,AY363,AY372,AY381,AY390,AY399,AY408,AY417,AY426,AY435,AY444,AY453,AY462,AY471,AY480,AY489,AY498,AY507,AY516,AY525,AY534,AY543,AY552,AY561,AY570,AY579,AY588,AY597,AY606,AY615,AY624,AY633,AY642,AY651,AY660,AY669,AY678,AY687,AY696,AY705,AY714,AY723,AY732,AY741,AY750,AY759,AY768,AY777,AY786,AY795,AY804,AY813,AY822,AY831,AY840,AY849,AY858,AY867,AY876,AY885,AY894,AY903,AY912,AY921,AY930,AY939,AY948,AY957,AY966,AY975,AY984,AY993,AY1002,AY1011,AY1020,AY1029)</f>
        <v>0</v>
      </c>
      <c r="AZ1040" s="34">
        <f t="shared" si="3136"/>
        <v>0</v>
      </c>
      <c r="BC1040" s="34">
        <f t="shared" ref="BC1040:BD1040" si="3137">SUM(BC12,BC21,BC30,BC39,BC48,BC57,BC66,BC75,BC84,BC93,BC102,BC111,BC120,BC129,BC138,BC147,BC156,BC165,BC174,BC183,BC192,BC201,BC210,BC219,BC228,BC237,BC246,BC255,BC264,BC273,BC282,BC291,BC300,BC309,BC318,BC327,BC336,BC345,BC354,BC363,BC372,BC381,BC390,BC399,BC408,BC417,BC426,BC435,BC444,BC453,BC462,BC471,BC480,BC489,BC498,BC507,BC516,BC525,BC534,BC543,BC552,BC561,BC570,BC579,BC588,BC597,BC606,BC615,BC624,BC633,BC642,BC651,BC660,BC669,BC678,BC687,BC696,BC705,BC714,BC723,BC732,BC741,BC750,BC759,BC768,BC777,BC786,BC795,BC804,BC813,BC822,BC831,BC840,BC849,BC858,BC867,BC876,BC885,BC894,BC903,BC912,BC921,BC930,BC939,BC948,BC957,BC966,BC975,BC984,BC993,BC1002,BC1011,BC1020,BC1029)</f>
        <v>0</v>
      </c>
      <c r="BD1040" s="34">
        <f t="shared" si="3137"/>
        <v>0</v>
      </c>
      <c r="BE1040" s="41"/>
      <c r="BF1040" s="34">
        <f t="shared" ref="BF1040:BH1040" si="3138">SUM(BF12,BF21,BF30,BF39,BF48,BF57,BF66,BF75,BF84,BF93,BF102,BF111,BF120,BF129,BF138,BF147,BF156,BF165,BF174,BF183,BF192,BF201,BF210,BF219,BF228,BF237,BF246,BF255,BF264,BF273,BF282,BF291,BF300,BF309,BF318,BF327,BF336,BF345,BF354,BF363,BF372,BF381,BF390,BF399,BF408,BF417,BF426,BF435,BF444,BF453,BF462,BF471,BF480,BF489,BF498,BF507,BF516,BF525,BF534,BF543,BF552,BF561,BF570,BF579,BF588,BF597,BF606,BF615,BF624,BF633,BF642,BF651,BF660,BF669,BF678,BF687,BF696,BF705,BF714,BF723,BF732,BF741,BF750,BF759,BF768,BF777,BF786,BF795,BF804,BF813,BF822,BF831,BF840,BF849,BF858,BF867,BF876,BF885,BF894,BF903,BF912,BF921,BF930,BF939,BF948,BF957,BF966,BF975,BF984,BF993,BF1002,BF1011,BF1020,BF1029)</f>
        <v>652028</v>
      </c>
      <c r="BG1040" s="34">
        <f t="shared" si="3138"/>
        <v>548164.12</v>
      </c>
      <c r="BH1040" s="35">
        <f t="shared" si="3138"/>
        <v>330525.99</v>
      </c>
    </row>
    <row r="1041" ht="15.75" customHeight="1" spans="4:60" x14ac:dyDescent="0.25">
      <c r="D1041" s="15" t="s">
        <v>51</v>
      </c>
      <c r="E1041" s="2" t="s">
        <v>39</v>
      </c>
      <c r="H1041" s="34">
        <f t="shared" si="3112"/>
        <v>35234.637</v>
      </c>
      <c r="K1041" s="34">
        <f t="shared" ref="K1041:L1041" si="3139">SUM(K13,K22,K31,K40,K49,K58,K67,K76,K85,K94,K103,K112,K121,K130,K139,K148,K157,K166,K175,K184,K193,K202,K211,K220,K229,K238,K247,K256,K265,K274,K283,K292,K301,K310,K319,K328,K337,K346,K355,K364,K373,K382,K391,K400,K409,K418,K427,K436,K445,K454,K463,K472,K481,K490,K499,K508,K517,K526,K535,K544,K553,K562,K571,K580,K589,K598,K607,K616,K625,K634,K643,K652,K661,K670,K679,K688,K697,K706,K715,K724,K733,K742,K751,K760,K769,K778,K787,K796,K805,K814,K823,K832,K841,K850,K859,K868,K877,K886,K895,K904,K913,K922,K931,K940,K949,K958,K967,K976,K985,K994,K1003,K1012,K1021,K1030)</f>
        <v>0</v>
      </c>
      <c r="L1041" s="34">
        <f t="shared" si="3139"/>
        <v>0</v>
      </c>
      <c r="O1041" s="34">
        <f t="shared" ref="O1041:P1041" si="3140">SUM(O13,O22,O31,O40,O49,O58,O67,O76,O85,O94,O103,O112,O121,O130,O139,O148,O157,O166,O175,O184,O193,O202,O211,O220,O229,O238,O247,O256,O265,O274,O283,O292,O301,O310,O319,O328,O337,O346,O355,O364,O373,O382,O391,O400,O409,O418,O427,O436,O445,O454,O463,O472,O481,O490,O499,O508,O517,O526,O535,O544,O553,O562,O571,O580,O589,O598,O607,O616,O625,O634,O643,O652,O661,O670,O679,O688,O697,O706,O715,O724,O733,O742,O751,O760,O769,O778,O787,O796,O805,O814,O823,O832,O841,O850,O859,O868,O877,O886,O895,O904,O913,O922,O931,O940,O949,O958,O967,O976,O985,O994,O1003,O1012,O1021,O1030)</f>
        <v>0</v>
      </c>
      <c r="P1041" s="34">
        <f t="shared" si="3140"/>
        <v>0</v>
      </c>
      <c r="S1041" s="34">
        <f t="shared" ref="S1041:T1041" si="3141">SUM(S13,S22,S31,S40,S49,S58,S67,S76,S85,S94,S103,S112,S121,S130,S139,S148,S157,S166,S175,S184,S193,S202,S211,S220,S229,S238,S247,S256,S265,S274,S283,S292,S301,S310,S319,S328,S337,S346,S355,S364,S373,S382,S391,S400,S409,S418,S427,S436,S445,S454,S463,S472,S481,S490,S499,S508,S517,S526,S535,S544,S553,S562,S571,S580,S589,S598,S607,S616,S625,S634,S643,S652,S661,S670,S679,S688,S697,S706,S715,S724,S733,S742,S751,S760,S769,S778,S787,S796,S805,S814,S823,S832,S841,S850,S859,S868,S877,S886,S895,S904,S913,S922,S931,S940,S949,S958,S967,S976,S985,S994,S1003,S1012,S1021,S1030)</f>
        <v>0</v>
      </c>
      <c r="T1041" s="34">
        <f t="shared" si="3141"/>
        <v>500</v>
      </c>
      <c r="W1041" s="34">
        <f t="shared" ref="W1041:X1041" si="3142">SUM(W13,W22,W31,W40,W49,W58,W67,W76,W85,W94,W103,W112,W121,W130,W139,W148,W157,W166,W175,W184,W193,W202,W211,W220,W229,W238,W247,W256,W265,W274,W283,W292,W301,W310,W319,W328,W337,W346,W355,W364,W373,W382,W391,W400,W409,W418,W427,W436,W445,W454,W463,W472,W481,W490,W499,W508,W517,W526,W535,W544,W553,W562,W571,W580,W589,W598,W607,W616,W625,W634,W643,W652,W661,W670,W679,W688,W697,W706,W715,W724,W733,W742,W751,W760,W769,W778,W787,W796,W805,W814,W823,W832,W841,W850,W859,W868,W877,W886,W895,W904,W913,W922,W931,W940,W949,W958,W967,W976,W985,W994,W1003,W1012,W1021,W1030)</f>
        <v>0</v>
      </c>
      <c r="X1041" s="34">
        <f t="shared" si="3142"/>
        <v>500</v>
      </c>
      <c r="AA1041" s="34">
        <f t="shared" ref="AA1041:AB1041" si="3143">SUM(AA13,AA22,AA31,AA40,AA49,AA58,AA67,AA76,AA85,AA94,AA103,AA112,AA121,AA130,AA139,AA148,AA157,AA166,AA175,AA184,AA193,AA202,AA211,AA220,AA229,AA238,AA247,AA256,AA265,AA274,AA283,AA292,AA301,AA310,AA319,AA328,AA337,AA346,AA355,AA364,AA373,AA382,AA391,AA400,AA409,AA418,AA427,AA436,AA445,AA454,AA463,AA472,AA481,AA490,AA499,AA508,AA517,AA526,AA535,AA544,AA553,AA562,AA571,AA580,AA589,AA598,AA607,AA616,AA625,AA634,AA643,AA652,AA661,AA670,AA679,AA688,AA697,AA706,AA715,AA724,AA733,AA742,AA751,AA760,AA769,AA778,AA787,AA796,AA805,AA814,AA823,AA832,AA841,AA850,AA859,AA868,AA877,AA886,AA895,AA904,AA913,AA922,AA931,AA940,AA949,AA958,AA967,AA976,AA985,AA994,AA1003,AA1012,AA1021,AA1030)</f>
        <v>0</v>
      </c>
      <c r="AB1041" s="34">
        <f t="shared" si="3143"/>
        <v>500</v>
      </c>
      <c r="AC1041" s="342"/>
      <c r="AE1041" s="34">
        <f t="shared" ref="AE1041:AF1041" si="3144">SUM(AE13,AE22,AE31,AE40,AE49,AE58,AE67,AE76,AE85,AE94,AE103,AE112,AE121,AE130,AE139,AE148,AE157,AE166,AE175,AE184,AE193,AE202,AE211,AE220,AE229,AE238,AE247,AE256,AE265,AE274,AE283,AE292,AE301,AE310,AE319,AE328,AE337,AE346,AE355,AE364,AE373,AE382,AE391,AE400,AE409,AE418,AE427,AE436,AE445,AE454,AE463,AE472,AE481,AE490,AE499,AE508,AE517,AE526,AE535,AE544,AE553,AE562,AE571,AE580,AE589,AE598,AE607,AE616,AE625,AE634,AE643,AE652,AE661,AE670,AE679,AE688,AE697,AE706,AE715,AE724,AE733,AE742,AE751,AE760,AE769,AE778,AE787,AE796,AE805,AE814,AE823,AE832,AE841,AE850,AE859,AE868,AE877,AE886,AE895,AE904,AE913,AE922,AE931,AE940,AE949,AE958,AE967,AE976,AE985,AE994,AE1003,AE1012,AE1021,AE1030)</f>
        <v>113000</v>
      </c>
      <c r="AF1041" s="34">
        <f t="shared" si="3144"/>
        <v>27235</v>
      </c>
      <c r="AI1041" s="34">
        <f t="shared" ref="AI1041:AJ1041" si="3145">SUM(AI13,AI22,AI31,AI40,AI49,AI58,AI67,AI76,AI85,AI94,AI103,AI112,AI121,AI130,AI139,AI148,AI157,AI166,AI175,AI184,AI193,AI202,AI211,AI220,AI229,AI238,AI247,AI256,AI265,AI274,AI283,AI292,AI301,AI310,AI319,AI328,AI337,AI346,AI355,AI364,AI373,AI382,AI391,AI400,AI409,AI418,AI427,AI436,AI445,AI454,AI463,AI472,AI481,AI490,AI499,AI508,AI517,AI526,AI535,AI544,AI553,AI562,AI571,AI580,AI589,AI598,AI607,AI616,AI625,AI634,AI643,AI652,AI661,AI670,AI679,AI688,AI697,AI706,AI715,AI724,AI733,AI742,AI751,AI760,AI769,AI778,AI787,AI796,AI805,AI814,AI823,AI832,AI841,AI850,AI859,AI868,AI877,AI886,AI895,AI904,AI913,AI922,AI931,AI940,AI949,AI958,AI967,AI976,AI985,AI994,AI1003,AI1012,AI1021,AI1030)</f>
        <v>0</v>
      </c>
      <c r="AJ1041" s="34">
        <f t="shared" si="3145"/>
        <v>23765</v>
      </c>
      <c r="AM1041" s="34">
        <f t="shared" ref="AM1041:AN1041" si="3146">SUM(AM13,AM22,AM31,AM40,AM49,AM58,AM67,AM76,AM85,AM94,AM103,AM112,AM121,AM130,AM139,AM148,AM157,AM166,AM175,AM184,AM193,AM202,AM211,AM220,AM229,AM238,AM247,AM256,AM265,AM274,AM283,AM292,AM301,AM310,AM319,AM328,AM337,AM346,AM355,AM364,AM373,AM382,AM391,AM400,AM409,AM418,AM427,AM436,AM445,AM454,AM463,AM472,AM481,AM490,AM499,AM508,AM517,AM526,AM535,AM544,AM553,AM562,AM571,AM580,AM589,AM598,AM607,AM616,AM625,AM634,AM643,AM652,AM661,AM670,AM679,AM688,AM697,AM706,AM715,AM724,AM733,AM742,AM751,AM760,AM769,AM778,AM787,AM796,AM805,AM814,AM823,AM832,AM841,AM850,AM859,AM868,AM877,AM886,AM895,AM904,AM913,AM922,AM931,AM940,AM949,AM958,AM967,AM976,AM985,AM994,AM1003,AM1012,AM1021,AM1030)</f>
        <v>0</v>
      </c>
      <c r="AN1041" s="34">
        <f t="shared" si="3146"/>
        <v>15500</v>
      </c>
      <c r="AQ1041" s="34">
        <f t="shared" ref="AQ1041:AR1041" si="3147">SUM(AQ13,AQ22,AQ31,AQ40,AQ49,AQ58,AQ67,AQ76,AQ85,AQ94,AQ103,AQ112,AQ121,AQ130,AQ139,AQ148,AQ157,AQ166,AQ175,AQ184,AQ193,AQ202,AQ211,AQ220,AQ229,AQ238,AQ247,AQ256,AQ265,AQ274,AQ283,AQ292,AQ301,AQ310,AQ319,AQ328,AQ337,AQ346,AQ355,AQ364,AQ373,AQ382,AQ391,AQ400,AQ409,AQ418,AQ427,AQ436,AQ445,AQ454,AQ463,AQ472,AQ481,AQ490,AQ499,AQ508,AQ517,AQ526,AQ535,AQ544,AQ553,AQ562,AQ571,AQ580,AQ589,AQ598,AQ607,AQ616,AQ625,AQ634,AQ643,AQ652,AQ661,AQ670,AQ679,AQ688,AQ697,AQ706,AQ715,AQ724,AQ733,AQ742,AQ751,AQ760,AQ769,AQ778,AQ787,AQ796,AQ805,AQ814,AQ823,AQ832,AQ841,AQ850,AQ859,AQ868,AQ877,AQ886,AQ895,AQ904,AQ913,AQ922,AQ931,AQ940,AQ949,AQ958,AQ967,AQ976,AQ985,AQ994,AQ1003,AQ1012,AQ1021,AQ1030)</f>
        <v>0</v>
      </c>
      <c r="AR1041" s="34">
        <f t="shared" si="3147"/>
        <v>17000</v>
      </c>
      <c r="AU1041" s="34">
        <f t="shared" ref="AU1041:AV1041" si="3148">SUM(AU13,AU22,AU31,AU40,AU49,AU58,AU67,AU76,AU85,AU94,AU103,AU112,AU121,AU130,AU139,AU148,AU157,AU166,AU175,AU184,AU193,AU202,AU211,AU220,AU229,AU238,AU247,AU256,AU265,AU274,AU283,AU292,AU301,AU310,AU319,AU328,AU337,AU346,AU355,AU364,AU373,AU382,AU391,AU400,AU409,AU418,AU427,AU436,AU445,AU454,AU463,AU472,AU481,AU490,AU499,AU508,AU517,AU526,AU535,AU544,AU553,AU562,AU571,AU580,AU589,AU598,AU607,AU616,AU625,AU634,AU643,AU652,AU661,AU670,AU679,AU688,AU697,AU706,AU715,AU724,AU733,AU742,AU751,AU760,AU769,AU778,AU787,AU796,AU805,AU814,AU823,AU832,AU841,AU850,AU859,AU868,AU877,AU886,AU895,AU904,AU913,AU922,AU931,AU940,AU949,AU958,AU967,AU976,AU985,AU994,AU1003,AU1012,AU1021,AU1030)</f>
        <v>0</v>
      </c>
      <c r="AV1041" s="34">
        <f t="shared" si="3148"/>
        <v>2000</v>
      </c>
      <c r="AY1041" s="34">
        <f t="shared" ref="AY1041:AZ1041" si="3149">SUM(AY13,AY22,AY31,AY40,AY49,AY58,AY67,AY76,AY85,AY94,AY103,AY112,AY121,AY130,AY139,AY148,AY157,AY166,AY175,AY184,AY193,AY202,AY211,AY220,AY229,AY238,AY247,AY256,AY265,AY274,AY283,AY292,AY301,AY310,AY319,AY328,AY337,AY346,AY355,AY364,AY373,AY382,AY391,AY400,AY409,AY418,AY427,AY436,AY445,AY454,AY463,AY472,AY481,AY490,AY499,AY508,AY517,AY526,AY535,AY544,AY553,AY562,AY571,AY580,AY589,AY598,AY607,AY616,AY625,AY634,AY643,AY652,AY661,AY670,AY679,AY688,AY697,AY706,AY715,AY724,AY733,AY742,AY751,AY760,AY769,AY778,AY787,AY796,AY805,AY814,AY823,AY832,AY841,AY850,AY859,AY868,AY877,AY886,AY895,AY904,AY913,AY922,AY931,AY940,AY949,AY958,AY967,AY976,AY985,AY994,AY1003,AY1012,AY1021,AY1030)</f>
        <v>0</v>
      </c>
      <c r="AZ1041" s="34">
        <f t="shared" si="3149"/>
        <v>0</v>
      </c>
      <c r="BC1041" s="34">
        <f t="shared" ref="BC1041:BD1041" si="3150">SUM(BC13,BC22,BC31,BC40,BC49,BC58,BC67,BC76,BC85,BC94,BC103,BC112,BC121,BC130,BC139,BC148,BC157,BC166,BC175,BC184,BC193,BC202,BC211,BC220,BC229,BC238,BC247,BC256,BC265,BC274,BC283,BC292,BC301,BC310,BC319,BC328,BC337,BC346,BC355,BC364,BC373,BC382,BC391,BC400,BC409,BC418,BC427,BC436,BC445,BC454,BC463,BC472,BC481,BC490,BC499,BC508,BC517,BC526,BC535,BC544,BC553,BC562,BC571,BC580,BC589,BC598,BC607,BC616,BC625,BC634,BC643,BC652,BC661,BC670,BC679,BC688,BC697,BC706,BC715,BC724,BC733,BC742,BC751,BC760,BC769,BC778,BC787,BC796,BC805,BC814,BC823,BC832,BC841,BC850,BC859,BC868,BC877,BC886,BC895,BC904,BC913,BC922,BC931,BC940,BC949,BC958,BC967,BC976,BC985,BC994,BC1003,BC1012,BC1021,BC1030)</f>
        <v>0</v>
      </c>
      <c r="BD1041" s="34">
        <f t="shared" si="3150"/>
        <v>0</v>
      </c>
      <c r="BE1041" s="41"/>
      <c r="BF1041" s="34">
        <f t="shared" ref="BF1041:BH1041" si="3151">SUM(BF13,BF22,BF31,BF40,BF49,BF58,BF67,BF76,BF85,BF94,BF103,BF112,BF121,BF130,BF139,BF148,BF157,BF166,BF175,BF184,BF193,BF202,BF211,BF220,BF229,BF238,BF247,BF256,BF265,BF274,BF283,BF292,BF301,BF310,BF319,BF328,BF337,BF346,BF355,BF364,BF373,BF382,BF391,BF400,BF409,BF418,BF427,BF436,BF445,BF454,BF463,BF472,BF481,BF490,BF499,BF508,BF517,BF526,BF535,BF544,BF553,BF562,BF571,BF580,BF589,BF598,BF607,BF616,BF625,BF634,BF643,BF652,BF661,BF670,BF679,BF688,BF697,BF706,BF715,BF724,BF733,BF742,BF751,BF760,BF769,BF778,BF787,BF796,BF805,BF814,BF823,BF832,BF841,BF850,BF859,BF868,BF877,BF886,BF895,BF904,BF913,BF922,BF931,BF940,BF949,BF958,BF967,BF976,BF985,BF994,BF1003,BF1012,BF1021,BF1030)</f>
        <v>113000</v>
      </c>
      <c r="BG1041" s="34">
        <f t="shared" si="3151"/>
        <v>87000</v>
      </c>
      <c r="BH1041" s="35">
        <f t="shared" si="3151"/>
        <v>61234.637</v>
      </c>
    </row>
    <row r="1042" ht="15.75" customHeight="1" spans="4:60" x14ac:dyDescent="0.25">
      <c r="D1042" s="15" t="s">
        <v>51</v>
      </c>
      <c r="E1042" s="2" t="s">
        <v>49</v>
      </c>
      <c r="H1042" s="34">
        <f t="shared" si="3112"/>
        <v>40488.5</v>
      </c>
      <c r="K1042" s="34">
        <f t="shared" ref="K1042:L1042" si="3152">SUM(K14,K23,K32,K41,K50,K59,K68,K77,K86,K95,K104,K113,K122,K131,K140,K149,K158,K167,K176,K185,K194,K203,K212,K221,K230,K239,K248,K257,K266,K275,K284,K293,K302,K311,K320,K329,K338,K347,K356,K365,K374,K383,K392,K401,K410,K419,K428,K437,K446,K455,K464,K473,K482,K491,K500,K509,K518,K527,K536,K545,K554,K563,K572,K581,K590,K599,K608,K617,K626,K635,K644,K653,K662,K671,K680,K689,K698,K707,K716,K725,K734,K743,K752,K761,K770,K779,K788,K797,K806,K815,K824,K833,K842,K851,K860,K869,K878,K887,K896,K905,K914,K923,K932,K941,K950,K959,K968,K977,K986,K995,K1004,K1013,K1022,K1031)</f>
        <v>0</v>
      </c>
      <c r="L1042" s="34">
        <f t="shared" si="3152"/>
        <v>0</v>
      </c>
      <c r="O1042" s="34">
        <f t="shared" ref="O1042:P1042" si="3153">SUM(O14,O23,O32,O41,O50,O59,O68,O77,O86,O95,O104,O113,O122,O131,O140,O149,O158,O167,O176,O185,O194,O203,O212,O221,O230,O239,O248,O257,O266,O275,O284,O293,O302,O311,O320,O329,O338,O347,O356,O365,O374,O383,O392,O401,O410,O419,O428,O437,O446,O455,O464,O473,O482,O491,O500,O509,O518,O527,O536,O545,O554,O563,O572,O581,O590,O599,O608,O617,O626,O635,O644,O653,O662,O671,O680,O689,O698,O707,O716,O725,O734,O743,O752,O761,O770,O779,O788,O797,O806,O815,O824,O833,O842,O851,O860,O869,O878,O887,O896,O905,O914,O923,O932,O941,O950,O959,O968,O977,O986,O995,O1004,O1013,O1022,O1031)</f>
        <v>0</v>
      </c>
      <c r="P1042" s="34">
        <f t="shared" si="3153"/>
        <v>0</v>
      </c>
      <c r="S1042" s="34">
        <f t="shared" ref="S1042:T1042" si="3154">SUM(S14,S23,S32,S41,S50,S59,S68,S77,S86,S95,S104,S113,S122,S131,S140,S149,S158,S167,S176,S185,S194,S203,S212,S221,S230,S239,S248,S257,S266,S275,S284,S293,S302,S311,S320,S329,S338,S347,S356,S365,S374,S383,S392,S401,S410,S419,S428,S437,S446,S455,S464,S473,S482,S491,S500,S509,S518,S527,S536,S545,S554,S563,S572,S581,S590,S599,S608,S617,S626,S635,S644,S653,S662,S671,S680,S689,S698,S707,S716,S725,S734,S743,S752,S761,S770,S779,S788,S797,S806,S815,S824,S833,S842,S851,S860,S869,S878,S887,S896,S905,S914,S923,S932,S941,S950,S959,S968,S977,S986,S995,S1004,S1013,S1022,S1031)</f>
        <v>0</v>
      </c>
      <c r="T1042" s="34">
        <f t="shared" si="3154"/>
        <v>2455</v>
      </c>
      <c r="W1042" s="34">
        <f t="shared" ref="W1042:X1042" si="3155">SUM(W14,W23,W32,W41,W50,W59,W68,W77,W86,W95,W104,W113,W122,W131,W140,W149,W158,W167,W176,W185,W194,W203,W212,W221,W230,W239,W248,W257,W266,W275,W284,W293,W302,W311,W320,W329,W338,W347,W356,W365,W374,W383,W392,W401,W410,W419,W428,W437,W446,W455,W464,W473,W482,W491,W500,W509,W518,W527,W536,W545,W554,W563,W572,W581,W590,W599,W608,W617,W626,W635,W644,W653,W662,W671,W680,W689,W698,W707,W716,W725,W734,W743,W752,W761,W770,W779,W788,W797,W806,W815,W824,W833,W842,W851,W860,W869,W878,W887,W896,W905,W914,W923,W932,W941,W950,W959,W968,W977,W986,W995,W1004,W1013,W1022,W1031)</f>
        <v>0</v>
      </c>
      <c r="X1042" s="34">
        <f t="shared" si="3155"/>
        <v>2005</v>
      </c>
      <c r="AA1042" s="34">
        <f t="shared" ref="AA1042:AB1042" si="3156">SUM(AA14,AA23,AA32,AA41,AA50,AA59,AA68,AA77,AA86,AA95,AA104,AA113,AA122,AA131,AA140,AA149,AA158,AA167,AA176,AA185,AA194,AA203,AA212,AA221,AA230,AA239,AA248,AA257,AA266,AA275,AA284,AA293,AA302,AA311,AA320,AA329,AA338,AA347,AA356,AA365,AA374,AA383,AA392,AA401,AA410,AA419,AA428,AA437,AA446,AA455,AA464,AA473,AA482,AA491,AA500,AA509,AA518,AA527,AA536,AA545,AA554,AA563,AA572,AA581,AA590,AA599,AA608,AA617,AA626,AA635,AA644,AA653,AA662,AA671,AA680,AA689,AA698,AA707,AA716,AA725,AA734,AA743,AA752,AA761,AA770,AA779,AA788,AA797,AA806,AA815,AA824,AA833,AA842,AA851,AA860,AA869,AA878,AA887,AA896,AA905,AA914,AA923,AA932,AA941,AA950,AA959,AA968,AA977,AA986,AA995,AA1004,AA1013,AA1022,AA1031)</f>
        <v>0</v>
      </c>
      <c r="AB1042" s="34">
        <f t="shared" si="3156"/>
        <v>2000</v>
      </c>
      <c r="AC1042" s="342"/>
      <c r="AE1042" s="34">
        <f t="shared" ref="AE1042:AE1043" si="3157">SUM(AE14,AE23,AE32,AE41,AE50,AE59,AE68,AE77,AE86,AE95,AE104,AE113,AE122,AE131,AE140,AE149,AE158,AE167,AE176,AE185,AE194,AE203,AE212,AE221,AE230,AE239,AE248,AE257,AE266,AE275,AE284,AE293,AE302,AE311,AE320,AE329,AE338,AE347,AE356,AE365,AE374,AE383,AE392,AE401,AE410,AE419,AE428,AE437,AE446,AE455,AE464,AE473,AE482,AE491,AE500,AE509,AE518,AE527,AE536,AE545,AE554,AE563,AE572,AE581,AE590,AE599,AE608,AE617,AE626,AE635,AE644,AE653,AE662,AE671,AE680,AE689,AE698,AE707,AE716,AE725,AE734,AE743,AE752,AE761,AE770,AE779,AE788,AE797,AE806,AE815,AE824,AE833,AE842,AE851,AE860,AE869,AE878,AE887,AE896,AE905,AE914,AE923,AE932,AE941,AE950,AE959,AE968,AE977,AE986,AE995,AE1004,AE1013,AE1022,AE1031)</f>
        <v>0</v>
      </c>
      <c r="AF1042" s="34">
        <f>SUM(AF14,AF23,AF32,AF41,AF50,AF59,AF68,AF77,AF86,AF95,AF104,AF113,AF122,AF131,AF140,AF149,AF158,AF167,AF176,AF185,AF194,AF203,AF212,AF221,AF230,AF239,AF248,AF257,AF266,AF275,AF284,AF293,AF302,AF311,AF320,AF329,AF338,AF347,AF356,AF365,AF374,AF383,AF392,AF401,AF410,AF419,AF428,AF437,AF446,AF455,AF464,AF473,AF482,AF491,AF500,AF509,AF518,AF527,AF536,AA545,AF554,AF563,AF572,AF581,AF590,AF599,AF608,AF617,AF626,AF635,AF644,AF653,AF662,AF671,AF680,AF689,AF698,AF707,AF716,AF725,AF734,AF743,AF752,AF761,AF770,AF779,AF788,AF797,AF806,AF815,AF824,AF833,AF842,AF851,AF860,AF869,AF878,AF887,AF896,AF905,AF914,AF923,AF932,AF941,AF950,AF959,AF968,AF977,AF986,AF995,AF1004,AF1013,AF1022,AF1031)</f>
        <v>4270</v>
      </c>
      <c r="AI1042" s="34">
        <f t="shared" ref="AI1042:AJ1042" si="3158">SUM(AI14,AI23,AI32,AI41,AI50,AI59,AI68,AI77,AI86,AI95,AI104,AI113,AI122,AI131,AI140,AI149,AI158,AI167,AI176,AI185,AI194,AI203,AI212,AI221,AI230,AI239,AI248,AI257,AI266,AI275,AI284,AI293,AI302,AI311,AI320,AI329,AI338,AI347,AI356,AI365,AI374,AI383,AI392,AI401,AI410,AI419,AI428,AI437,AI446,AI455,AI464,AI473,AI482,AI491,AI500,AI509,AI518,AI527,AI536,AI545,AI554,AI563,AI572,AI581,AI590,AI599,AI608,AI617,AI626,AI635,AI644,AI653,AI662,AI671,AI680,AI689,AI698,AI707,AI716,AI725,AI734,AI743,AI752,AI761,AI770,AI779,AI788,AI797,AI806,AI815,AI824,AI833,AI842,AI851,AI860,AI869,AI878,AI887,AI896,AI905,AI914,AI923,AI932,AI941,AI950,AI959,AI968,AI977,AI986,AI995,AI1004,AI1013,AI1022,AI1031)</f>
        <v>0</v>
      </c>
      <c r="AJ1042" s="34">
        <f t="shared" si="3158"/>
        <v>4045</v>
      </c>
      <c r="AM1042" s="34">
        <f t="shared" ref="AM1042:AN1042" si="3159">SUM(AM14,AM23,AM32,AM41,AM50,AM59,AM68,AM77,AM86,AM95,AM104,AM113,AM122,AM131,AM140,AM149,AM158,AM167,AM176,AM185,AM194,AM203,AM212,AM221,AM230,AM239,AM248,AM257,AM266,AM275,AM284,AM293,AM302,AM311,AM320,AM329,AM338,AM347,AM356,AM365,AM374,AM383,AM392,AM401,AM410,AM419,AM428,AM437,AM446,AM455,AM464,AM473,AM482,AM491,AM500,AM509,AM518,AM527,AM536,AM545,AM554,AM563,AM572,AM581,AM590,AM599,AM608,AM617,AM626,AM635,AM644,AM653,AM662,AM671,AM680,AM689,AM698,AM707,AM716,AM725,AM734,AM743,AM752,AM761,AM770,AM779,AM788,AM797,AM806,AM815,AM824,AM833,AM842,AM851,AM860,AM869,AM878,AM887,AM896,AM905,AM914,AM923,AM932,AM941,AM950,AM959,AM968,AM977,AM986,AM995,AM1004,AM1013,AM1022,AM1031)</f>
        <v>0</v>
      </c>
      <c r="AN1042" s="34">
        <f t="shared" si="3159"/>
        <v>2435</v>
      </c>
      <c r="AQ1042" s="34">
        <f t="shared" ref="AQ1042:AR1042" si="3160">SUM(AQ14,AQ23,AQ32,AQ41,AQ50,AQ59,AQ68,AQ77,AQ86,AQ95,AQ104,AQ113,AQ122,AQ131,AQ140,AQ149,AQ158,AQ167,AQ176,AQ185,AQ194,AQ203,AQ212,AQ221,AQ230,AQ239,AQ248,AQ257,AQ266,AQ275,AQ284,AQ293,AQ302,AQ311,AQ320,AQ329,AQ338,AQ347,AQ356,AQ365,AQ374,AQ383,AQ392,AQ401,AQ410,AQ419,AQ428,AQ437,AQ446,AQ455,AQ464,AQ473,AQ482,AQ491,AQ500,AQ509,AQ518,AQ527,AQ536,AQ545,AQ554,AQ563,AQ572,AQ581,AQ590,AQ599,AQ608,AQ617,AQ626,AQ635,AQ644,AQ653,AQ662,AQ671,AQ680,AQ689,AQ698,AQ707,AQ716,AQ725,AQ734,AQ743,AQ752,AQ761,AQ770,AQ779,AQ788,AQ797,AQ806,AQ815,AQ824,AQ833,AQ842,AQ851,AQ860,AQ869,AQ878,AQ887,AQ896,AQ905,AQ914,AQ923,AQ932,AQ941,AQ950,AQ959,AQ968,AQ977,AQ986,AQ995,AQ1004,AQ1013,AQ1022,AQ1031)</f>
        <v>0</v>
      </c>
      <c r="AR1042" s="34">
        <f t="shared" si="3160"/>
        <v>0</v>
      </c>
      <c r="AU1042" s="34">
        <f t="shared" ref="AU1042:AV1042" si="3161">SUM(AU14,AU23,AU32,AU41,AU50,AU59,AU68,AU77,AU86,AU95,AU104,AU113,AU122,AU131,AU140,AU149,AU158,AU167,AU176,AU185,AU194,AU203,AU212,AU221,AU230,AU239,AU248,AU257,AU266,AU275,AU284,AU293,AU302,AU311,AU320,AU329,AU338,AU347,AU356,AU365,AU374,AU383,AU392,AU401,AU410,AU419,AU428,AU437,AU446,AU455,AU464,AU473,AU482,AU491,AU500,AU509,AU518,AU527,AU536,AU545,AU554,AU563,AU572,AU581,AU590,AU599,AU608,AU617,AU626,AU635,AU644,AU653,AU662,AU671,AU680,AU689,AU698,AU707,AU716,AU725,AU734,AU743,AU752,AU761,AU770,AU779,AU788,AU797,AU806,AU815,AU824,AU833,AU842,AU851,AU860,AU869,AU878,AU887,AU896,AU905,AU914,AU923,AU932,AU941,AU950,AU959,AU968,AU977,AU986,AU995,AU1004,AU1013,AU1022,AU1031)</f>
        <v>0</v>
      </c>
      <c r="AV1042" s="34">
        <f t="shared" si="3161"/>
        <v>0</v>
      </c>
      <c r="AY1042" s="34">
        <f t="shared" ref="AY1042:AZ1042" si="3162">SUM(AY14,AY23,AY32,AY41,AY50,AY59,AY68,AY77,AY86,AY95,AY104,AY113,AY122,AY131,AY140,AY149,AY158,AY167,AY176,AY185,AY194,AY203,AY212,AY221,AY230,AY239,AY248,AY257,AY266,AY275,AY284,AY293,AY302,AY311,AY320,AY329,AY338,AY347,AY356,AY365,AY374,AY383,AY392,AY401,AY410,AY419,AY428,AY437,AY446,AY455,AY464,AY473,AY482,AY491,AY500,AY509,AY518,AY527,AY536,AY545,AY554,AY563,AY572,AY581,AY590,AY599,AY608,AY617,AY626,AY635,AY644,AY653,AY662,AY671,AY680,AY689,AY698,AY707,AY716,AY725,AY734,AY743,AY752,AY761,AY770,AY779,AY788,AY797,AY806,AY815,AY824,AY833,AY842,AY851,AY860,AY869,AY878,AY887,AY896,AY905,AY914,AY923,AY932,AY941,AY950,AY959,AY968,AY977,AY986,AY995,AY1004,AY1013,AY1022,AY1031)</f>
        <v>0</v>
      </c>
      <c r="AZ1042" s="34">
        <f t="shared" si="3162"/>
        <v>0</v>
      </c>
      <c r="BC1042" s="34">
        <f t="shared" ref="BC1042:BD1042" si="3163">SUM(BC14,BC23,BC32,BC41,BC50,BC59,BC68,BC77,BC86,BC95,BC104,BC113,BC122,BC131,BC140,BC149,BC158,BC167,BC176,BC185,BC194,BC203,BC212,BC221,BC230,BC239,BC248,BC257,BC266,BC275,BC284,BC293,BC302,BC311,BC320,BC329,BC338,BC347,BC356,BC365,BC374,BC383,BC392,BC401,BC410,BC419,BC428,BC437,BC446,BC455,BC464,BC473,BC482,BC491,BC500,BC509,BC518,BC527,BC536,BC545,BC554,BC563,BC572,BC581,BC590,BC599,BC608,BC617,BC626,BC635,BC644,BC653,BC662,BC671,BC680,BC689,BC698,BC707,BC716,BC725,BC734,BC743,BC752,BC761,BC770,BC779,BC788,BC797,BC806,BC815,BC824,BC833,BC842,BC851,BC860,BC869,BC878,BC887,BC896,BC905,BC914,BC923,BC932,BC941,BC950,BC959,BC968,BC977,BC986,BC995,BC1004,BC1013,BC1022,BC1031)</f>
        <v>0</v>
      </c>
      <c r="BD1042" s="34">
        <f t="shared" si="3163"/>
        <v>0</v>
      </c>
      <c r="BE1042" s="41"/>
      <c r="BF1042" s="34">
        <f t="shared" ref="BF1042:BH1042" si="3164">SUM(BF14,BF23,BF32,BF41,BF50,BF59,BF68,BF77,BF86,BF95,BF104,BF113,BF122,BF131,BF140,BF149,BF158,BF167,BF176,BF185,BF194,BF203,BF212,BF221,BF230,BF239,BF248,BF257,BF266,BF275,BF284,BF293,BF302,BF311,BF320,BF329,BF338,BF347,BF356,BF365,BF374,BF383,BF392,BF401,BF410,BF419,BF428,BF437,BF446,BF455,BF464,BF473,BF482,BF491,BF500,BF509,BF518,BF527,BF536,BF545,BF554,BF563,BF572,BF581,BF590,BF599,BF608,BF617,BF626,BF635,BF644,BF653,BF662,BF671,BF680,BF689,BF698,BF707,BF716,BF725,BF734,BF743,BF752,BF761,BF770,BF779,BF788,BF797,BF806,BF815,BF824,BF833,BF842,BF851,BF860,BF869,BF878,BF887,BF896,BF905,BF914,BF923,BF932,BF941,BF950,BF959,BF968,BF977,BF986,BF995,BF1004,BF1013,BF1022,BF1031)</f>
        <v>0</v>
      </c>
      <c r="BG1042" s="34">
        <f t="shared" si="3164"/>
        <v>17210</v>
      </c>
      <c r="BH1042" s="35">
        <f t="shared" si="3164"/>
        <v>23278.5</v>
      </c>
    </row>
    <row r="1043" ht="15.75" customHeight="1" spans="4:60" x14ac:dyDescent="0.25">
      <c r="D1043" s="15" t="s">
        <v>52</v>
      </c>
      <c r="E1043" s="2" t="s">
        <v>39</v>
      </c>
      <c r="H1043" s="34">
        <f t="shared" si="3112"/>
        <v>11150</v>
      </c>
      <c r="K1043" s="34">
        <f t="shared" ref="K1043:L1043" si="3165">SUM(K15,K24,K33,K42,K51,K60,K69,K78,K87,K96,K105,K114,K123,K132,K141,K150,K159,K168,K177,K186,K195,K204,K213,K222,K231,K240,K249,K258,K267,K276,K285,K294,K303,K312,K321,K330,K339,K348,K357,K366,K375,K384,K393,K402,K411,K420,K429,K438,K447,K456,K465,K474,K483,K492,K501,K510,K519,K528,K537,K546,K555,K564,K573,K582,K591,K600,K609,K618,K627,K636,K645,K654,K663,K672,K681,K690,K699,K708,K717,K726,K735,K744,K753,K762,K771,K780,K789,K798,K807,K816,K825,K834,K843,K852,K861,K870,K879,K888,K897,K906,K915,K924,K933,K942,K951,K960,K969,K978,K987,K996,K1005,K1014,K1023,K1032)</f>
        <v>0</v>
      </c>
      <c r="L1043" s="34">
        <f t="shared" si="3165"/>
        <v>0</v>
      </c>
      <c r="O1043" s="34">
        <f t="shared" ref="O1043:P1043" si="3166">SUM(O15,O24,O33,O42,O51,O60,O69,O78,O87,O96,O105,O114,O123,O132,O141,O150,O159,O168,O177,O186,O195,O204,O213,O222,O231,O240,O249,O258,O267,O276,O285,O294,O303,O312,O321,O330,O339,O348,O357,O366,O375,O384,O393,O402,O411,O420,O429,O438,O447,O456,O465,O474,O483,O492,O501,O510,O519,O528,O537,O546,O555,O564,O573,O582,O591,O600,O609,O618,O627,O636,O645,O654,O663,O672,O681,O690,O699,O708,O717,O726,O735,O744,O753,O762,O771,O780,O789,O798,O807,O816,O825,O834,O843,O852,O861,O870,O879,O888,O897,O906,O915,O924,O933,O942,O951,O960,O969,O978,O987,O996,O1005,O1014,O1023,O1032)</f>
        <v>0</v>
      </c>
      <c r="P1043" s="34">
        <f t="shared" si="3166"/>
        <v>0</v>
      </c>
      <c r="S1043" s="34">
        <f t="shared" ref="S1043:T1043" si="3167">SUM(S15,S24,S33,S42,S51,S60,S69,S78,S87,S96,S105,S114,S123,S132,S141,S150,S159,S168,S177,S186,S195,S204,S213,S222,S231,S240,S249,S258,S267,S276,S285,S294,S303,S312,S321,S330,S339,S348,S357,S366,S375,S384,S393,S402,S411,S420,S429,S438,S447,S456,S465,S474,S483,S492,S501,S510,S519,S528,S537,S546,S555,S564,S573,S582,S591,S600,S609,S618,S627,S636,S645,S654,S663,S672,S681,S690,S699,S708,S717,S726,S735,S744,S753,S762,S771,S780,S789,S798,S807,S816,S825,S834,S843,S852,S861,S870,S879,S888,S897,S906,S915,S924,S933,S942,S951,S960,S969,S978,S987,S996,S1005,S1014,S1023,S1032)</f>
        <v>0</v>
      </c>
      <c r="T1043" s="34">
        <f t="shared" si="3167"/>
        <v>500</v>
      </c>
      <c r="W1043" s="34">
        <f t="shared" ref="W1043:X1043" si="3168">SUM(W15,W24,W33,W42,W51,W60,W69,W78,W87,W96,W105,W114,W123,W132,W141,W150,W159,W168,W177,W186,W195,W204,W213,W222,W231,W240,W249,W258,W267,W276,W285,W294,W303,W312,W321,W330,W339,W348,W357,W366,W375,W384,W393,W402,W411,W420,W429,W438,W447,W456,W465,W474,W483,W492,W501,W510,W519,W528,W537,W546,W555,W564,W573,W582,W591,W600,W609,W618,W627,W636,W645,W654,W663,W672,W681,W690,W699,W708,W717,W726,W735,W744,W753,W762,W771,W780,W789,W798,W807,W816,W825,W834,W843,W852,W861,W870,W879,W888,W897,W906,W915,W924,W933,W942,W951,W960,W969,W978,W987,W996,W1005,W1014,W1023,W1032)</f>
        <v>0</v>
      </c>
      <c r="X1043" s="34">
        <f t="shared" si="3168"/>
        <v>0</v>
      </c>
      <c r="AA1043" s="34">
        <f t="shared" ref="AA1043:AB1043" si="3169">SUM(AA15,AA24,AA33,AA42,AA51,AA60,AA69,AA78,AA87,AA96,AA105,AA114,AA123,AA132,AA141,AA150,AA159,AA168,AA177,AA186,AA195,AA204,AA213,AA222,AA231,AA240,AA249,AA258,AA267,AA276,AA285,AA294,AA303,AA312,AA321,AA330,AA339,AA348,AA357,AA366,AA375,AA384,AA393,AA402,AA411,AA420,AA429,AA438,AA447,AA456,AA465,AA474,AA483,AA492,AA501,AA510,AA519,AA528,AA537,AA546,AA555,AA564,AA573,AA582,AA591,AA600,AA609,AA618,AA627,AA636,AA645,AA654,AA663,AA672,AA681,AA690,AA699,AA708,AA717,AA726,AA735,AA744,AA753,AA762,AA771,AA780,AA789,AA798,AA807,AA816,AA825,AA834,AA843,AA852,AA861,AA870,AA879,AA888,AA897,AA906,AA915,AA924,AA933,AA942,AA951,AA960,AA969,AA978,AA987,AA996,AA1005,AA1014,AA1023,AA1032)</f>
        <v>0</v>
      </c>
      <c r="AB1043" s="34">
        <f t="shared" si="3169"/>
        <v>0</v>
      </c>
      <c r="AC1043" s="342"/>
      <c r="AE1043" s="34">
        <f t="shared" si="3157"/>
        <v>0</v>
      </c>
      <c r="AF1043" s="34">
        <f>SUM(AF15,AF24,AF33,AF42,AF51,AF60,AF69,AF78,AF87,AF96,AF105,AF114,AF123,AF132,AF141,AF150,AF159,AF168,AF177,AF186,AF195,AF204,AF213,AF222,AF231,AF240,AF249,AF258,AF267,AF276,AF285,AF294,AF303,AF312,AF321,AF330,AF339,AF348,AF357,AF366,AF375,AF384,AF393,AF402,AF411,AF420,AF429,AF438,AF447,AF456,AF465,AF474,AF483,AF492,AF501,AF510,AF519,AF528,AF537,AF546,AF555,AF564,AF573,AF582,AF591,AF600,AF609,AF618,AF627,AF636,AF645,AF654,AF663,AF672,AF681,AF690,AF699,AF708,AF717,AF726,AF735,AF744,AF753,AF762,AF771,AF780,AF789,AF798,AF807,AF816,AF825,AF834,AF843,AF852,AF861,AF870,AF879,AF888,AF897,AF906,AF915,AF924,AF933,AF942,AF951,AF960,AF969,AF978,AF987,AF996,AF1005,AF1014,AF1023,AF1032)</f>
        <v>500</v>
      </c>
      <c r="AI1043" s="34">
        <f t="shared" ref="AI1043:AJ1043" si="3170">SUM(AI15,AI24,AI33,AI42,AI51,AI60,AI69,AI78,AI87,AI96,AI105,AI114,AI123,AI132,AI141,AI150,AI159,AI168,AI177,AI186,AI195,AI204,AI213,AI222,AI231,AI240,AI249,AI258,AI267,AI276,AI285,AI294,AI303,AI312,AI321,AI330,AI339,AI348,AI357,AI366,AI375,AI384,AI393,AI402,AI411,AI420,AI429,AI438,AI447,AI456,AI465,AI474,AI483,AI492,AI501,AI510,AI519,AI528,AI537,AI546,AI555,AI564,AI573,AI582,AI591,AI600,AI609,AI618,AI627,AI636,AI645,AI654,AI663,AI672,AI681,AI690,AI699,AI708,AI717,AI726,AI735,AI744,AI753,AI762,AI771,AI780,AI789,AI798,AI807,AI816,AI825,AI834,AI843,AI852,AI861,AI870,AI879,AI888,AI897,AI906,AI915,AI924,AI933,AI942,AI951,AI960,AI969,AI978,AI987,AI996,AI1005,AI1014,AI1023,AI1032)</f>
        <v>0</v>
      </c>
      <c r="AJ1043" s="34">
        <f t="shared" si="3170"/>
        <v>0</v>
      </c>
      <c r="AM1043" s="34">
        <f t="shared" ref="AM1043:AN1043" si="3171">SUM(AM15,AM24,AM33,AM42,AM51,AM60,AM69,AM78,AM87,AM96,AM105,AM114,AM123,AM132,AM141,AM150,AM159,AM168,AM177,AM186,AM195,AM204,AM213,AM222,AM231,AM240,AM249,AM258,AM267,AM276,AM285,AM294,AM303,AM312,AM321,AM330,AM339,AM348,AM357,AM366,AM375,AM384,AM393,AM402,AM411,AM420,AM429,AM438,AM447,AM456,AM465,AM474,AM483,AM492,AM501,AM510,AM519,AM528,AM537,AM546,AM555,AM564,AM573,AM582,AM591,AM600,AM609,AM618,AM627,AM636,AM645,AM654,AM663,AM672,AM681,AM690,AM699,AM708,AM717,AM726,AM735,AM744,AM753,AM762,AM771,AM780,AM789,AM798,AM807,AM816,AM825,AM834,AM843,AM852,AM861,AM870,AM879,AM888,AM897,AM906,AM915,AM924,AM933,AM942,AM951,AM960,AM969,AM978,AM987,AM996,AM1005,AM1014,AM1023,AM1032)</f>
        <v>0</v>
      </c>
      <c r="AN1043" s="34">
        <f t="shared" si="3171"/>
        <v>500</v>
      </c>
      <c r="AQ1043" s="34">
        <f t="shared" ref="AQ1043:AR1043" si="3172">SUM(AQ15,AQ24,AQ33,AQ42,AQ51,AQ60,AQ69,AQ78,AQ87,AQ96,AQ105,AQ114,AQ123,AQ132,AQ141,AQ150,AQ159,AQ168,AQ177,AQ186,AQ195,AQ204,AQ213,AQ222,AQ231,AQ240,AQ249,AQ258,AQ267,AQ276,AQ285,AQ294,AQ303,AQ312,AQ321,AQ330,AQ339,AQ348,AQ357,AQ366,AQ375,AQ384,AQ393,AQ402,AQ411,AQ420,AQ429,AQ438,AQ447,AQ456,AQ465,AQ474,AQ483,AQ492,AQ501,AQ510,AQ519,AQ528,AQ537,AQ546,AQ555,AQ564,AQ573,AQ582,AQ591,AQ600,AQ609,AQ618,AQ627,AQ636,AQ645,AQ654,AQ663,AQ672,AQ681,AQ690,AQ699,AQ708,AQ717,AQ726,AQ735,AQ744,AQ753,AQ762,AQ771,AQ780,AQ789,AQ798,AQ807,AQ816,AQ825,AQ834,AQ843,AQ852,AQ861,AQ870,AQ879,AQ888,AQ897,AQ906,AQ915,AQ924,AQ933,AQ942,AQ951,AQ960,AQ969,AQ978,AQ987,AQ996,AQ1005,AQ1014,AQ1023,AQ1032)</f>
        <v>0</v>
      </c>
      <c r="AR1043" s="34">
        <f t="shared" si="3172"/>
        <v>0</v>
      </c>
      <c r="AU1043" s="34">
        <f t="shared" ref="AU1043:AV1043" si="3173">SUM(AU15,AU24,AU33,AU42,AU51,AU60,AU69,AU78,AU87,AU96,AU105,AU114,AU123,AU132,AU141,AU150,AU159,AU168,AU177,AU186,AU195,AU204,AU213,AU222,AU231,AU240,AU249,AU258,AU267,AU276,AU285,AU294,AU303,AU312,AU321,AU330,AU339,AU348,AU357,AU366,AU375,AU384,AU393,AU402,AU411,AU420,AU429,AU438,AU447,AU456,AU465,AU474,AU483,AU492,AU501,AU510,AU519,AU528,AU537,AU546,AU555,AU564,AU573,AU582,AU591,AU600,AU609,AU618,AU627,AU636,AU645,AU654,AU663,AU672,AU681,AU690,AU699,AU708,AU717,AU726,AU735,AU744,AU753,AU762,AU771,AU780,AU789,AU798,AU807,AU816,AU825,AU834,AU843,AU852,AU861,AU870,AU879,AU888,AU897,AU906,AU915,AU924,AU933,AU942,AU951,AU960,AU969,AU978,AU987,AU996,AU1005,AU1014,AU1023,AU1032)</f>
        <v>0</v>
      </c>
      <c r="AV1043" s="34">
        <f t="shared" si="3173"/>
        <v>0</v>
      </c>
      <c r="AY1043" s="34">
        <f t="shared" ref="AY1043:AZ1043" si="3174">SUM(AY15,AY24,AY33,AY42,AY51,AY60,AY69,AY78,AY87,AY96,AY105,AY114,AY123,AY132,AY141,AY150,AY159,AY168,AY177,AY186,AY195,AY204,AY213,AY222,AY231,AY240,AY249,AY258,AY267,AY276,AY285,AY294,AY303,AY312,AY321,AY330,AY339,AY348,AY357,AY366,AY375,AY384,AY393,AY402,AY411,AY420,AY429,AY438,AY447,AY456,AY465,AY474,AY483,AY492,AY501,AY510,AY519,AY528,AY537,AY546,AY555,AY564,AY573,AY582,AY591,AY600,AY609,AY618,AY627,AY636,AY645,AY654,AY663,AY672,AY681,AY690,AY699,AY708,AY717,AY726,AY735,AY744,AY753,AY762,AY771,AY780,AY789,AY798,AY807,AY816,AY825,AY834,AY843,AY852,AY861,AY870,AY879,AY888,AY897,AY906,AY915,AY924,AY933,AY942,AY951,AY960,AY969,AY978,AY987,AY996,AY1005,AY1014,AY1023,AY1032)</f>
        <v>0</v>
      </c>
      <c r="AZ1043" s="34">
        <f t="shared" si="3174"/>
        <v>0</v>
      </c>
      <c r="BC1043" s="34">
        <f t="shared" ref="BC1043:BD1043" si="3175">SUM(BC15,BC24,BC33,BC42,BC51,BC60,BC69,BC78,BC87,BC96,BC105,BC114,BC123,BC132,BC141,BC150,BC159,BC168,BC177,BC186,BC195,BC204,BC213,BC222,BC231,BC240,BC249,BC258,BC267,BC276,BC285,BC294,BC303,BC312,BC321,BC330,BC339,BC348,BC357,BC366,BC375,BC384,BC393,BC402,BC411,BC420,BC429,BC438,BC447,BC456,BC465,BC474,BC483,BC492,BC501,BC510,BC519,BC528,BC537,BC546,BC555,BC564,BC573,BC582,BC591,BC600,BC609,BC618,BC627,BC636,BC645,BC654,BC663,BC672,BC681,BC690,BC699,BC708,BC717,BC726,BC735,BC744,BC753,BC762,BC771,BC780,BC789,BC798,BC807,BC816,BC825,BC834,BC843,BC852,BC861,BC870,BC879,BC888,BC897,BC906,BC915,BC924,BC933,BC942,BC951,BC960,BC969,BC978,BC987,BC996,BC1005,BC1014,BC1023,BC1032)</f>
        <v>0</v>
      </c>
      <c r="BD1043" s="34">
        <f t="shared" si="3175"/>
        <v>0</v>
      </c>
      <c r="BE1043" s="109"/>
      <c r="BF1043" s="110">
        <f t="shared" ref="BF1043:BH1043" si="3176">SUM(BF15,BF24,BF33,BF42,BF51,BF60,BF69,BF78,BF87,BF96,BF105,BF114,BF123,BF132,BF141,BF150,BF159,BF168,BF177,BF186,BF195,BF204,BF213,BF222,BF231,BF240,BF249,BF258,BF267,BF276,BF285,BF294,BF303,BF312,BF321,BF330,BF339,BF348,BF357,BF366,BF375,BF384,BF393,BF402,BF411,BF420,BF429,BF438,BF447,BF456,BF465,BF474,BF483,BF492,BF501,BF510,BF519,BF528,BF537,BF546,BF555,BF564,BF573,BF582,BF591,BF600,BF609,BF618,BF627,BF636,BF645,BF654,BF663,BF672,BF681,BF690,BF699,BF708,BF717,BF726,BF735,BF744,BF753,BF762,BF771,BF780,BF789,BF798,BF807,BF816,BF825,BF834,BF843,BF852,BF861,BF870,BF879,BF888,BF897,BF906,BF915,BF924,BF933,BF942,BF951,BF960,BF969,BF978,BF987,BF996,BF1005,BF1014,BF1023,BF1032)</f>
        <v>0</v>
      </c>
      <c r="BG1043" s="110">
        <f t="shared" si="3176"/>
        <v>1500</v>
      </c>
      <c r="BH1043" s="111">
        <f t="shared" si="3176"/>
        <v>9650</v>
      </c>
    </row>
    <row r="1044" ht="15.75" customHeight="1" spans="3:56" x14ac:dyDescent="0.25">
      <c r="C1044" s="60" t="s">
        <v>351</v>
      </c>
      <c r="D1044" s="264" t="s">
        <v>518</v>
      </c>
      <c r="L1044" s="62"/>
      <c r="P1044" s="60"/>
      <c r="T1044" s="60"/>
      <c r="X1044" s="62"/>
      <c r="AB1044" s="60"/>
      <c r="AC1044" s="342"/>
      <c r="AF1044" s="265">
        <v>37805.35</v>
      </c>
      <c r="AJ1044" s="266">
        <v>93329.55</v>
      </c>
      <c r="AN1044" s="266">
        <v>75134.98</v>
      </c>
      <c r="AR1044" s="266">
        <v>109822.48</v>
      </c>
      <c r="AV1044" s="267"/>
      <c r="AZ1044" s="153"/>
      <c r="BD1044" s="62"/>
    </row>
    <row r="1045" ht="15.75" customHeight="1" spans="4:49" x14ac:dyDescent="0.25">
      <c r="D1045" s="268" t="s">
        <v>519</v>
      </c>
      <c r="AC1045" s="342"/>
      <c r="AF1045" s="269">
        <f>AF1035-AF1044</f>
        <v>189225.32</v>
      </c>
      <c r="AJ1045" s="269">
        <f>AJ1035-AJ1044</f>
        <v>100739.1</v>
      </c>
      <c r="AN1045" s="269">
        <f>AN1035-AN1044</f>
        <v>98873.75</v>
      </c>
      <c r="AR1045" s="106">
        <f>AR1035-AR1044</f>
        <v>61465.66</v>
      </c>
      <c r="AV1045" s="117"/>
      <c r="AW1045" s="34"/>
    </row>
    <row r="1046" ht="15.75" customHeight="1" spans="4:40" x14ac:dyDescent="0.25">
      <c r="D1046" s="270" t="s">
        <v>44</v>
      </c>
      <c r="AC1046" s="342"/>
      <c r="AF1046" s="270"/>
      <c r="AG1046" s="270"/>
      <c r="AJ1046" s="335"/>
      <c r="AN1046" s="270"/>
    </row>
    <row r="1047" ht="15.75" customHeight="1" spans="4:40" x14ac:dyDescent="0.25">
      <c r="D1047" s="270" t="s">
        <v>47</v>
      </c>
      <c r="E1047" s="270" t="s">
        <v>48</v>
      </c>
      <c r="AC1047" s="342"/>
      <c r="AE1047" s="272"/>
      <c r="AF1047" s="272"/>
      <c r="AI1047" s="273"/>
      <c r="AJ1047" s="273"/>
      <c r="AN1047" s="273"/>
    </row>
    <row r="1048" ht="15.75" customHeight="1" spans="4:40" x14ac:dyDescent="0.25">
      <c r="D1048" s="270" t="s">
        <v>47</v>
      </c>
      <c r="E1048" s="270" t="s">
        <v>49</v>
      </c>
      <c r="AC1048" s="342"/>
      <c r="AF1048" s="272"/>
      <c r="AG1048" s="270"/>
      <c r="AJ1048" s="272"/>
      <c r="AN1048" s="272"/>
    </row>
    <row r="1049" ht="15.75" customHeight="1" spans="4:40" x14ac:dyDescent="0.25">
      <c r="D1049" s="270" t="s">
        <v>50</v>
      </c>
      <c r="AC1049" s="342"/>
      <c r="AF1049" s="270"/>
      <c r="AG1049" s="270"/>
      <c r="AJ1049" s="270"/>
      <c r="AN1049" s="270"/>
    </row>
    <row r="1050" ht="15.75" customHeight="1" spans="4:40" x14ac:dyDescent="0.25">
      <c r="D1050" s="270" t="s">
        <v>51</v>
      </c>
      <c r="AC1050" s="342"/>
      <c r="AF1050" s="275"/>
      <c r="AG1050" s="270"/>
      <c r="AJ1050" s="275"/>
      <c r="AN1050" s="275"/>
    </row>
    <row r="1051" ht="15.75" customHeight="1" spans="4:40" x14ac:dyDescent="0.25">
      <c r="D1051" s="270" t="s">
        <v>52</v>
      </c>
      <c r="AC1051" s="342"/>
      <c r="AF1051" s="275"/>
      <c r="AG1051" s="270"/>
      <c r="AJ1051" s="275"/>
      <c r="AN1051" s="275"/>
    </row>
    <row r="1052" ht="15.75" customHeight="1" spans="4:40" x14ac:dyDescent="0.25">
      <c r="D1052" s="270" t="s">
        <v>486</v>
      </c>
      <c r="AC1052" s="342"/>
      <c r="AJ1052" s="275"/>
      <c r="AN1052" s="275"/>
    </row>
    <row r="1053" ht="15.75" customHeight="1" spans="29:36" x14ac:dyDescent="0.25">
      <c r="AC1053" s="342"/>
      <c r="AF1053" s="34"/>
      <c r="AJ1053" s="89"/>
    </row>
    <row r="1054" ht="15.75" customHeight="1" spans="8:40" x14ac:dyDescent="0.25">
      <c r="H1054" s="34">
        <f>H1035-'2021'!BH1035</f>
        <v>0</v>
      </c>
      <c r="AC1054" s="342"/>
      <c r="AJ1054" s="89"/>
      <c r="AN1054" s="2" t="s">
        <v>566</v>
      </c>
    </row>
  </sheetData>
  <autoFilter ref="$A$6:$BK$1052"/>
  <mergeCells count="15">
    <mergeCell ref="F3:G3"/>
    <mergeCell ref="I3:L3"/>
    <mergeCell ref="M3:P3"/>
    <mergeCell ref="Q3:T3"/>
    <mergeCell ref="U3:X3"/>
    <mergeCell ref="Y3:AB3"/>
    <mergeCell ref="AC3:AF3"/>
    <mergeCell ref="AG3:AJ3"/>
    <mergeCell ref="AK3:AN3"/>
    <mergeCell ref="AO3:AR3"/>
    <mergeCell ref="AS3:AV3"/>
    <mergeCell ref="AW3:AZ3"/>
    <mergeCell ref="BA3:BD3"/>
    <mergeCell ref="BE3:BH3"/>
    <mergeCell ref="BI3:BK5"/>
  </mergeCells>
  <conditionalFormatting sqref="AU8:AU1027">
    <cfRule type="cellIs" dxfId="2" priority="1" operator="lessThan">
      <formula>0</formula>
    </cfRule>
  </conditionalFormatting>
  <pageMargins left="0.196527777777778" right="0" top="0.7875" bottom="0.196527777777778" header="0" footer="0"/>
  <pageSetup paperSize="9" orientation="portrait" horizontalDpi="4294967295" verticalDpi="4294967295" scale="95" fitToWidth="1" fitToHeight="1" firstPageNumber="1" useFirstPageNumber="1" copies="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V1006"/>
  <sheetViews>
    <sheetView workbookViewId="0" zoomScale="100" zoomScaleNormal="100">
      <pane xSplit="4" topLeftCell="E1" activePane="topRight" state="frozen"/>
      <selection pane="topRight" activeCell="F2" sqref="F2"/>
    </sheetView>
  </sheetViews>
  <sheetFormatPr defaultRowHeight="15" outlineLevelRow="1" outlineLevelCol="1" x14ac:dyDescent="0" defaultColWidth="14.43"/>
  <cols>
    <col min="1" max="1" width="9.14" customWidth="1"/>
    <col min="2" max="2" width="8.43" customWidth="1"/>
    <col min="3" max="3" width="6.43" hidden="1" outlineLevel="1" collapsed="1" customWidth="1"/>
    <col min="4" max="4" width="14.86" hidden="1" outlineLevel="1" collapsed="1" customWidth="1"/>
    <col min="5" max="6" width="9.86" customWidth="1"/>
    <col min="7" max="7" width="8.57" customWidth="1"/>
    <col min="8" max="8" width="8.43" customWidth="1"/>
    <col min="9" max="9" width="9.43" customWidth="1"/>
    <col min="10" max="10" width="9.57" customWidth="1"/>
    <col min="11" max="12" width="9.43" customWidth="1"/>
    <col min="13" max="13" width="12" customWidth="1"/>
    <col min="14" max="14" width="12" outlineLevel="1" collapsed="1" customWidth="1"/>
    <col min="15" max="15" width="5.57" outlineLevel="1" collapsed="1" customWidth="1"/>
    <col min="16" max="16" width="6.86" outlineLevel="1" collapsed="1" customWidth="1"/>
    <col min="17" max="17" width="9.43" outlineLevel="1" collapsed="1" customWidth="1"/>
    <col min="18" max="18" width="12.14" outlineLevel="1" collapsed="1" customWidth="1"/>
    <col min="19" max="19" width="5.86" outlineLevel="1" collapsed="1" customWidth="1"/>
    <col min="20" max="20" width="6.14" outlineLevel="1" collapsed="1" customWidth="1"/>
    <col min="21" max="22" width="8.86" outlineLevel="1" collapsed="1" customWidth="1"/>
    <col min="23" max="23" width="5.86" outlineLevel="1" collapsed="1" customWidth="1"/>
    <col min="24" max="24" width="9.86" outlineLevel="1" collapsed="1" customWidth="1"/>
    <col min="25" max="25" width="12.57" outlineLevel="1" collapsed="1" customWidth="1"/>
    <col min="26" max="26" width="12.14" outlineLevel="1" collapsed="1" customWidth="1"/>
    <col min="27" max="28" width="8.86" outlineLevel="1" collapsed="1" customWidth="1"/>
    <col min="29" max="29" width="8.86" customWidth="1"/>
    <col min="30" max="30" width="10.14" customWidth="1"/>
    <col min="31" max="48" width="8.86" customWidth="1"/>
  </cols>
  <sheetData>
    <row r="1" spans="1:28" x14ac:dyDescent="0.25">
      <c r="A1" s="15"/>
      <c r="B1" s="112"/>
      <c r="C1" s="112"/>
      <c r="E1" s="1" t="str">
        <f>'2020'!B1</f>
        <v>СВОДНАЯ ВЕДОМОСТЬ СНТ "СОЛНЫШКО"</v>
      </c>
      <c r="J1" s="2" t="str">
        <f>'2022'!F1</f>
        <v>на 01 октября 2022года</v>
      </c>
      <c r="O1" s="154">
        <v>30</v>
      </c>
      <c r="AB1" s="154" t="s">
        <v>520</v>
      </c>
    </row>
    <row r="2" spans="1:28" x14ac:dyDescent="0.25">
      <c r="A2" s="15"/>
      <c r="B2" s="112"/>
      <c r="C2" s="112"/>
      <c r="E2" s="2" t="s">
        <v>352</v>
      </c>
      <c r="P2" s="155" t="s">
        <v>464</v>
      </c>
      <c r="Y2" s="2" t="s">
        <v>521</v>
      </c>
      <c r="AB2" s="154" t="s">
        <v>522</v>
      </c>
    </row>
    <row r="3" spans="1:30" x14ac:dyDescent="0.25">
      <c r="A3" s="3"/>
      <c r="B3" s="17" t="s">
        <v>353</v>
      </c>
      <c r="C3" s="17" t="s">
        <v>354</v>
      </c>
      <c r="D3" s="16" t="s">
        <v>355</v>
      </c>
      <c r="E3" s="156" t="s">
        <v>465</v>
      </c>
      <c r="F3" s="4" t="s">
        <v>44</v>
      </c>
      <c r="G3" s="4" t="s">
        <v>466</v>
      </c>
      <c r="H3" s="4" t="s">
        <v>467</v>
      </c>
      <c r="I3" s="156" t="s">
        <v>50</v>
      </c>
      <c r="J3" s="156" t="s">
        <v>51</v>
      </c>
      <c r="K3" s="156" t="s">
        <v>523</v>
      </c>
      <c r="L3" s="4" t="s">
        <v>52</v>
      </c>
      <c r="M3" s="4" t="s">
        <v>35</v>
      </c>
      <c r="N3" s="156" t="s">
        <v>468</v>
      </c>
      <c r="O3" s="3"/>
      <c r="P3" s="276" t="s">
        <v>469</v>
      </c>
      <c r="Q3" s="157"/>
      <c r="R3" s="157"/>
      <c r="S3" s="12"/>
      <c r="T3" s="6" t="s">
        <v>470</v>
      </c>
      <c r="U3" s="9"/>
      <c r="V3" s="9"/>
      <c r="W3" s="9"/>
      <c r="X3" s="17" t="s">
        <v>471</v>
      </c>
      <c r="Y3" s="277" t="s">
        <v>524</v>
      </c>
      <c r="Z3" s="156" t="s">
        <v>468</v>
      </c>
      <c r="AA3" s="112" t="s">
        <v>535</v>
      </c>
      <c r="AB3" s="154" t="s">
        <v>525</v>
      </c>
      <c r="AC3" s="6" t="s">
        <v>526</v>
      </c>
      <c r="AD3" s="7"/>
    </row>
    <row r="4" spans="1:30" x14ac:dyDescent="0.25">
      <c r="A4" s="20"/>
      <c r="B4" s="113" t="s">
        <v>23</v>
      </c>
      <c r="C4" s="24"/>
      <c r="D4" s="23"/>
      <c r="E4" s="14" t="s">
        <v>472</v>
      </c>
      <c r="F4" s="14"/>
      <c r="G4" s="14" t="s">
        <v>48</v>
      </c>
      <c r="H4" s="14" t="s">
        <v>354</v>
      </c>
      <c r="I4" s="14"/>
      <c r="J4" s="14"/>
      <c r="K4" s="178" t="s">
        <v>354</v>
      </c>
      <c r="L4" s="14"/>
      <c r="M4" s="14" t="s">
        <v>40</v>
      </c>
      <c r="N4" s="43" t="s">
        <v>567</v>
      </c>
      <c r="O4" s="24" t="s">
        <v>474</v>
      </c>
      <c r="P4" s="115" t="s">
        <v>475</v>
      </c>
      <c r="Q4" s="115" t="s">
        <v>476</v>
      </c>
      <c r="R4" s="115" t="s">
        <v>477</v>
      </c>
      <c r="S4" s="115" t="s">
        <v>474</v>
      </c>
      <c r="T4" s="24" t="s">
        <v>475</v>
      </c>
      <c r="U4" s="24" t="s">
        <v>476</v>
      </c>
      <c r="V4" s="24" t="s">
        <v>477</v>
      </c>
      <c r="W4" s="158" t="s">
        <v>474</v>
      </c>
      <c r="X4" s="24" t="s">
        <v>478</v>
      </c>
      <c r="Y4" s="278" t="s">
        <v>528</v>
      </c>
      <c r="Z4" s="43" t="s">
        <v>568</v>
      </c>
      <c r="AB4" s="279" t="s">
        <v>379</v>
      </c>
      <c r="AC4" s="117" t="s">
        <v>39</v>
      </c>
      <c r="AD4" s="117" t="s">
        <v>49</v>
      </c>
    </row>
    <row r="5" spans="1:30" x14ac:dyDescent="0.25">
      <c r="A5" s="114" t="s">
        <v>41</v>
      </c>
      <c r="B5" s="115">
        <v>1</v>
      </c>
      <c r="C5" s="116">
        <v>4</v>
      </c>
      <c r="D5" s="117" t="s">
        <v>43</v>
      </c>
      <c r="E5" s="106">
        <f>'2022'!BH7</f>
        <v>0</v>
      </c>
      <c r="F5" s="106">
        <f>'2022'!BH8</f>
        <v>1189.35996</v>
      </c>
      <c r="G5" s="106">
        <f>'2022'!BH10</f>
        <v>0</v>
      </c>
      <c r="H5" s="106">
        <f>'2022'!BH11</f>
        <v>0</v>
      </c>
      <c r="I5" s="106">
        <f>'2022'!BH12</f>
        <v>0</v>
      </c>
      <c r="J5" s="106">
        <f>'2022'!BH13</f>
        <v>0</v>
      </c>
      <c r="K5" s="106">
        <f>'2022'!BH14</f>
        <v>0</v>
      </c>
      <c r="L5" s="106">
        <f>'2022'!BH15</f>
        <v>0</v>
      </c>
      <c r="M5" s="106">
        <f t="shared" ref="M5:M38" si="0">SUM(E5:L5)</f>
        <v>1189.35996</v>
      </c>
      <c r="N5" s="106">
        <v>0</v>
      </c>
      <c r="O5" s="37"/>
      <c r="X5" s="280">
        <f t="shared" ref="X5:X38" si="1">ROUND(0.01%*(N5*O5+R5*S5+V5*W5),2)</f>
        <v>0</v>
      </c>
      <c r="Y5" s="281">
        <f t="shared" ref="Y5:Y38" si="2">N5-Q5-U5</f>
        <v>0</v>
      </c>
      <c r="Z5" s="42">
        <f t="shared" ref="Z5:Z8" si="3">(I5+J5+K5)-AC5-AD5</f>
        <v>0</v>
      </c>
      <c r="AA5" s="2" t="b">
        <f>D5='2022'!C8</f>
        <v>1</v>
      </c>
      <c r="AB5" s="2" t="b">
        <f>X5='2022'!AI7</f>
        <v>1</v>
      </c>
      <c r="AC5" s="34"/>
      <c r="AD5" s="34"/>
    </row>
    <row r="6" spans="1:31" x14ac:dyDescent="0.25">
      <c r="A6" s="14"/>
      <c r="B6" s="115">
        <v>2</v>
      </c>
      <c r="C6" s="115">
        <v>4.12</v>
      </c>
      <c r="D6" s="117" t="s">
        <v>359</v>
      </c>
      <c r="E6" s="106">
        <f>'2022'!BH17</f>
        <v>0</v>
      </c>
      <c r="F6" s="106">
        <f>'2022'!BH18</f>
        <v>973.79496</v>
      </c>
      <c r="G6" s="106">
        <f>'2022'!BH19</f>
        <v>21.4</v>
      </c>
      <c r="H6" s="106">
        <f>'2022'!BH20</f>
        <v>0</v>
      </c>
      <c r="I6" s="106">
        <f>'2022'!BH21</f>
        <v>0</v>
      </c>
      <c r="J6" s="106">
        <f>'2022'!BH22</f>
        <v>0</v>
      </c>
      <c r="K6" s="106">
        <f>'2022'!BH23</f>
        <v>0</v>
      </c>
      <c r="L6" s="106">
        <f>'2022'!BH24</f>
        <v>0</v>
      </c>
      <c r="M6" s="106">
        <f t="shared" si="0"/>
        <v>995.19496</v>
      </c>
      <c r="N6" s="106">
        <v>0</v>
      </c>
      <c r="O6" s="37"/>
      <c r="X6" s="280">
        <f t="shared" si="1"/>
        <v>0</v>
      </c>
      <c r="Y6" s="281">
        <f t="shared" si="2"/>
        <v>0</v>
      </c>
      <c r="Z6" s="42">
        <f t="shared" si="3"/>
        <v>0</v>
      </c>
      <c r="AA6" s="2" t="b">
        <f>D6='2022'!C18</f>
        <v>1</v>
      </c>
      <c r="AB6" s="2" t="b">
        <f>X6='2022'!AI17</f>
        <v>1</v>
      </c>
      <c r="AC6" s="34"/>
      <c r="AD6" s="34"/>
      <c r="AE6" s="34"/>
    </row>
    <row r="7" spans="1:31" x14ac:dyDescent="0.25">
      <c r="A7" s="14"/>
      <c r="B7" s="115">
        <v>3</v>
      </c>
      <c r="C7" s="116">
        <v>4</v>
      </c>
      <c r="D7" s="117" t="s">
        <v>60</v>
      </c>
      <c r="E7" s="106">
        <f>'2022'!BH26</f>
        <v>0</v>
      </c>
      <c r="F7" s="106">
        <f>'2022'!BH27</f>
        <v>7.66752</v>
      </c>
      <c r="G7" s="106">
        <f>'2022'!BH28</f>
        <v>107</v>
      </c>
      <c r="H7" s="106">
        <f>'2022'!BH29</f>
        <v>0</v>
      </c>
      <c r="I7" s="106">
        <f>'2022'!BH30</f>
        <v>0</v>
      </c>
      <c r="J7" s="106">
        <f>'2022'!BH31</f>
        <v>0</v>
      </c>
      <c r="K7" s="106">
        <f>'2022'!BH32</f>
        <v>0</v>
      </c>
      <c r="L7" s="106">
        <f>'2022'!BH33</f>
        <v>0</v>
      </c>
      <c r="M7" s="106">
        <f t="shared" si="0"/>
        <v>114.66752</v>
      </c>
      <c r="N7" s="106">
        <v>0</v>
      </c>
      <c r="O7" s="37"/>
      <c r="X7" s="280">
        <f t="shared" si="1"/>
        <v>0</v>
      </c>
      <c r="Y7" s="281">
        <f t="shared" si="2"/>
        <v>0</v>
      </c>
      <c r="Z7" s="42">
        <f t="shared" si="3"/>
        <v>0</v>
      </c>
      <c r="AA7" s="2" t="b">
        <f>D7='2022'!C27</f>
        <v>1</v>
      </c>
      <c r="AB7" s="2" t="b">
        <f>X7='2022'!AI26</f>
        <v>1</v>
      </c>
      <c r="AC7" s="34"/>
      <c r="AD7" s="34"/>
      <c r="AE7" s="34"/>
    </row>
    <row r="8" spans="1:31" x14ac:dyDescent="0.25">
      <c r="A8" s="14"/>
      <c r="B8" s="115">
        <v>4</v>
      </c>
      <c r="C8" s="115">
        <v>3.95</v>
      </c>
      <c r="D8" s="117" t="s">
        <v>64</v>
      </c>
      <c r="E8" s="106">
        <f>'2022'!BH35</f>
        <v>124.8</v>
      </c>
      <c r="F8" s="106">
        <f>'2022'!BH36</f>
        <v>0</v>
      </c>
      <c r="G8" s="106">
        <f>'2022'!BH37</f>
        <v>-38.81</v>
      </c>
      <c r="H8" s="106">
        <f>'2022'!BH38</f>
        <v>0</v>
      </c>
      <c r="I8" s="106">
        <f>'2022'!BH39</f>
        <v>9480</v>
      </c>
      <c r="J8" s="106">
        <f>'2022'!BH40</f>
        <v>1500</v>
      </c>
      <c r="K8" s="106">
        <f>'2022'!BH41</f>
        <v>1975</v>
      </c>
      <c r="L8" s="106">
        <f>'2022'!BH42</f>
        <v>0</v>
      </c>
      <c r="M8" s="106">
        <f t="shared" si="0"/>
        <v>13040.99</v>
      </c>
      <c r="N8" s="106">
        <v>12955</v>
      </c>
      <c r="O8" s="37">
        <f>IF(P8&gt;0,P8-1,$O$1)</f>
        <v>30</v>
      </c>
      <c r="X8" s="282">
        <f t="shared" si="1"/>
        <v>38.87</v>
      </c>
      <c r="Y8" s="281">
        <f t="shared" si="2"/>
        <v>12955</v>
      </c>
      <c r="Z8" s="42">
        <f t="shared" si="3"/>
        <v>12955</v>
      </c>
      <c r="AA8" s="2" t="b">
        <f>D8='2022'!C36</f>
        <v>1</v>
      </c>
      <c r="AB8" s="317" t="b">
        <f>X8='2022'!AI35</f>
        <v>0</v>
      </c>
      <c r="AC8" s="34"/>
      <c r="AD8" s="34"/>
      <c r="AE8" s="34"/>
    </row>
    <row r="9" spans="1:31" x14ac:dyDescent="0.25">
      <c r="A9" s="14"/>
      <c r="B9" s="115">
        <v>5</v>
      </c>
      <c r="C9" s="115">
        <v>5.08</v>
      </c>
      <c r="D9" s="2" t="s">
        <v>488</v>
      </c>
      <c r="E9" s="106">
        <f>'2022'!BH44</f>
        <v>0</v>
      </c>
      <c r="F9" s="106">
        <f>'2022'!BH45</f>
        <v>663.83402</v>
      </c>
      <c r="G9" s="106">
        <f>'2022'!BH46</f>
        <v>0</v>
      </c>
      <c r="H9" s="106">
        <f>'2022'!BH47</f>
        <v>0</v>
      </c>
      <c r="I9" s="106">
        <f>'2022'!BH48</f>
        <v>0</v>
      </c>
      <c r="J9" s="106">
        <f>'2022'!BH49</f>
        <v>0</v>
      </c>
      <c r="K9" s="106">
        <f>'2022'!BH50</f>
        <v>0</v>
      </c>
      <c r="L9" s="106">
        <f>'2022'!BH51</f>
        <v>0</v>
      </c>
      <c r="M9" s="106">
        <f t="shared" si="0"/>
        <v>663.83402</v>
      </c>
      <c r="N9" s="106">
        <v>0</v>
      </c>
      <c r="O9" s="37"/>
      <c r="X9" s="280">
        <f t="shared" si="1"/>
        <v>0</v>
      </c>
      <c r="Y9" s="281">
        <f t="shared" si="2"/>
        <v>0</v>
      </c>
      <c r="Z9" s="42">
        <f>(I9+J9+K9)-AC9-AD9-AM9</f>
        <v>0</v>
      </c>
      <c r="AA9" s="2" t="b">
        <f>D9='2022'!C45</f>
        <v>1</v>
      </c>
      <c r="AB9" s="2" t="b">
        <f>X9='2022'!AI44</f>
        <v>1</v>
      </c>
      <c r="AC9" s="34"/>
      <c r="AD9" s="34"/>
      <c r="AE9" s="34"/>
    </row>
    <row r="10" spans="1:31" x14ac:dyDescent="0.25">
      <c r="A10" s="14"/>
      <c r="B10" s="115">
        <v>6</v>
      </c>
      <c r="C10" s="115">
        <v>4.01</v>
      </c>
      <c r="D10" s="117" t="s">
        <v>70</v>
      </c>
      <c r="E10" s="106">
        <f>'2022'!BH53</f>
        <v>0</v>
      </c>
      <c r="F10" s="106">
        <f>'2022'!BH54</f>
        <v>2.53894</v>
      </c>
      <c r="G10" s="106">
        <f>'2022'!BH55</f>
        <v>0</v>
      </c>
      <c r="H10" s="106">
        <f>'2022'!BH56</f>
        <v>0</v>
      </c>
      <c r="I10" s="106">
        <f>'2022'!BH57</f>
        <v>0</v>
      </c>
      <c r="J10" s="106">
        <f>'2022'!BH58</f>
        <v>0</v>
      </c>
      <c r="K10" s="106">
        <f>'2022'!BH59</f>
        <v>0</v>
      </c>
      <c r="L10" s="106">
        <f>'2022'!BH60</f>
        <v>0</v>
      </c>
      <c r="M10" s="106">
        <f t="shared" si="0"/>
        <v>2.53894</v>
      </c>
      <c r="N10" s="106">
        <v>0</v>
      </c>
      <c r="O10" s="37"/>
      <c r="U10" s="34"/>
      <c r="V10" s="34"/>
      <c r="W10" s="37"/>
      <c r="X10" s="280">
        <f t="shared" si="1"/>
        <v>0</v>
      </c>
      <c r="Y10" s="281">
        <f t="shared" si="2"/>
        <v>0</v>
      </c>
      <c r="Z10" s="42">
        <f t="shared" ref="Z10:Z38" si="4">(I10+J10+K10)-AC10-AD10</f>
        <v>0</v>
      </c>
      <c r="AA10" s="2" t="b">
        <f>D10='2022'!C54</f>
        <v>1</v>
      </c>
      <c r="AB10" s="2" t="b">
        <f>X10='2022'!AI53</f>
        <v>1</v>
      </c>
      <c r="AC10" s="34"/>
      <c r="AD10" s="34"/>
      <c r="AE10" s="34"/>
    </row>
    <row r="11" spans="1:31" x14ac:dyDescent="0.25">
      <c r="A11" s="14"/>
      <c r="B11" s="115">
        <v>7</v>
      </c>
      <c r="C11" s="115">
        <v>4.85</v>
      </c>
      <c r="D11" s="117" t="s">
        <v>74</v>
      </c>
      <c r="E11" s="106">
        <f>'2022'!BH62</f>
        <v>0</v>
      </c>
      <c r="F11" s="106">
        <f>'2022'!BH63</f>
        <v>1252.90284</v>
      </c>
      <c r="G11" s="106">
        <f>'2022'!BH64</f>
        <v>-687</v>
      </c>
      <c r="H11" s="106">
        <f>'2022'!BH65</f>
        <v>0</v>
      </c>
      <c r="I11" s="106">
        <f>'2022'!BH66</f>
        <v>0</v>
      </c>
      <c r="J11" s="106">
        <f>'2022'!BH67</f>
        <v>0</v>
      </c>
      <c r="K11" s="106">
        <f>'2022'!BH68</f>
        <v>0</v>
      </c>
      <c r="L11" s="106">
        <f>'2022'!BH69</f>
        <v>0</v>
      </c>
      <c r="M11" s="106">
        <f t="shared" si="0"/>
        <v>565.90284</v>
      </c>
      <c r="N11" s="106">
        <v>0</v>
      </c>
      <c r="O11" s="37"/>
      <c r="P11" s="15"/>
      <c r="Q11" s="34"/>
      <c r="R11" s="34"/>
      <c r="S11" s="37"/>
      <c r="T11" s="15"/>
      <c r="U11" s="15"/>
      <c r="V11" s="15"/>
      <c r="W11" s="15"/>
      <c r="X11" s="280">
        <f t="shared" si="1"/>
        <v>0</v>
      </c>
      <c r="Y11" s="281">
        <f t="shared" si="2"/>
        <v>0</v>
      </c>
      <c r="Z11" s="42">
        <f t="shared" si="4"/>
        <v>0</v>
      </c>
      <c r="AA11" s="2" t="b">
        <f>D11='2022'!C63</f>
        <v>1</v>
      </c>
      <c r="AB11" s="2" t="b">
        <f>X11='2022'!AI62</f>
        <v>1</v>
      </c>
      <c r="AC11" s="34"/>
      <c r="AD11" s="34"/>
      <c r="AE11" s="34"/>
    </row>
    <row r="12" spans="1:31" x14ac:dyDescent="0.25">
      <c r="A12" s="14"/>
      <c r="B12" s="115">
        <v>8</v>
      </c>
      <c r="C12" s="116">
        <v>4</v>
      </c>
      <c r="D12" s="2" t="s">
        <v>383</v>
      </c>
      <c r="E12" s="106">
        <f>'2022'!BH71</f>
        <v>0</v>
      </c>
      <c r="F12" s="106">
        <f>'2022'!BH72</f>
        <v>-191.3</v>
      </c>
      <c r="G12" s="106">
        <f>'2022'!BH73</f>
        <v>-215.79</v>
      </c>
      <c r="H12" s="106">
        <f>'2022'!BH74</f>
        <v>0</v>
      </c>
      <c r="I12" s="106">
        <f>'2022'!BH75</f>
        <v>0</v>
      </c>
      <c r="J12" s="106">
        <f>'2022'!BH76</f>
        <v>0</v>
      </c>
      <c r="K12" s="106">
        <f>'2022'!BH77</f>
        <v>0</v>
      </c>
      <c r="L12" s="106">
        <f>'2022'!BH78</f>
        <v>0</v>
      </c>
      <c r="M12" s="106">
        <f t="shared" si="0"/>
        <v>-407.09</v>
      </c>
      <c r="N12" s="106">
        <v>0</v>
      </c>
      <c r="O12" s="37"/>
      <c r="X12" s="280">
        <f t="shared" si="1"/>
        <v>0</v>
      </c>
      <c r="Y12" s="281">
        <f t="shared" si="2"/>
        <v>0</v>
      </c>
      <c r="Z12" s="42">
        <f t="shared" si="4"/>
        <v>0</v>
      </c>
      <c r="AA12" s="2" t="b">
        <f>D12='2022'!C72</f>
        <v>1</v>
      </c>
      <c r="AB12" s="2" t="b">
        <f>X12='2022'!AI71</f>
        <v>1</v>
      </c>
      <c r="AC12" s="34"/>
      <c r="AD12" s="34"/>
      <c r="AE12" s="34"/>
    </row>
    <row r="13" spans="1:31" x14ac:dyDescent="0.25">
      <c r="A13" s="14"/>
      <c r="B13" s="115">
        <v>9</v>
      </c>
      <c r="C13" s="115">
        <v>4.03</v>
      </c>
      <c r="D13" s="117" t="s">
        <v>82</v>
      </c>
      <c r="E13" s="106">
        <f>'2022'!BH80</f>
        <v>0</v>
      </c>
      <c r="F13" s="106">
        <f>'2022'!BH81</f>
        <v>-285.03</v>
      </c>
      <c r="G13" s="106">
        <f>'2022'!BH82</f>
        <v>107.15</v>
      </c>
      <c r="H13" s="106">
        <f>'2022'!BH83</f>
        <v>0</v>
      </c>
      <c r="I13" s="106">
        <f>'2022'!BH84</f>
        <v>0</v>
      </c>
      <c r="J13" s="106">
        <f>'2022'!BH85</f>
        <v>0</v>
      </c>
      <c r="K13" s="106">
        <f>'2022'!BH86</f>
        <v>0</v>
      </c>
      <c r="L13" s="106">
        <f>'2022'!BH87</f>
        <v>0</v>
      </c>
      <c r="M13" s="106">
        <f t="shared" si="0"/>
        <v>-177.88</v>
      </c>
      <c r="N13" s="106">
        <v>0</v>
      </c>
      <c r="O13" s="37"/>
      <c r="X13" s="280">
        <f t="shared" si="1"/>
        <v>0</v>
      </c>
      <c r="Y13" s="281">
        <f t="shared" si="2"/>
        <v>0</v>
      </c>
      <c r="Z13" s="42">
        <f t="shared" si="4"/>
        <v>0</v>
      </c>
      <c r="AA13" s="2" t="b">
        <f>D13='2022'!C81</f>
        <v>1</v>
      </c>
      <c r="AB13" s="2" t="b">
        <f>X13='2022'!AI80</f>
        <v>1</v>
      </c>
      <c r="AC13" s="34"/>
      <c r="AD13" s="34"/>
      <c r="AE13" s="34"/>
    </row>
    <row r="14" spans="1:31" x14ac:dyDescent="0.25">
      <c r="A14" s="14"/>
      <c r="B14" s="115">
        <v>10</v>
      </c>
      <c r="C14" s="115">
        <v>4.01</v>
      </c>
      <c r="D14" s="117" t="s">
        <v>86</v>
      </c>
      <c r="E14" s="106">
        <f>'2022'!BH89</f>
        <v>0</v>
      </c>
      <c r="F14" s="106">
        <f>'2022'!BH90</f>
        <v>0</v>
      </c>
      <c r="G14" s="106">
        <f>'2022'!BH91</f>
        <v>-244.79</v>
      </c>
      <c r="H14" s="106">
        <f>'2022'!BH92</f>
        <v>0</v>
      </c>
      <c r="I14" s="106">
        <f>'2022'!BH93</f>
        <v>0</v>
      </c>
      <c r="J14" s="106">
        <f>'2022'!BH94</f>
        <v>0</v>
      </c>
      <c r="K14" s="106">
        <f>'2022'!BH95</f>
        <v>0</v>
      </c>
      <c r="L14" s="106">
        <f>'2022'!BH96</f>
        <v>0</v>
      </c>
      <c r="M14" s="106">
        <f t="shared" si="0"/>
        <v>-244.79</v>
      </c>
      <c r="N14" s="106">
        <v>0</v>
      </c>
      <c r="O14" s="37"/>
      <c r="X14" s="280">
        <f t="shared" si="1"/>
        <v>0</v>
      </c>
      <c r="Y14" s="281">
        <f t="shared" si="2"/>
        <v>0</v>
      </c>
      <c r="Z14" s="42">
        <f t="shared" si="4"/>
        <v>0</v>
      </c>
      <c r="AA14" s="2" t="b">
        <f>D14='2022'!C90</f>
        <v>1</v>
      </c>
      <c r="AB14" s="2" t="b">
        <f>X14='2022'!AI89</f>
        <v>1</v>
      </c>
      <c r="AC14" s="34"/>
      <c r="AD14" s="34"/>
      <c r="AE14" s="34"/>
    </row>
    <row r="15" spans="1:31" x14ac:dyDescent="0.25">
      <c r="A15" s="14"/>
      <c r="B15" s="115">
        <v>11</v>
      </c>
      <c r="C15" s="115">
        <v>4.02</v>
      </c>
      <c r="D15" s="117" t="s">
        <v>545</v>
      </c>
      <c r="E15" s="106">
        <f>'2022'!BH98</f>
        <v>0</v>
      </c>
      <c r="F15" s="106">
        <f>'2022'!BH99</f>
        <v>-78</v>
      </c>
      <c r="G15" s="106">
        <f>'2022'!BH100</f>
        <v>0</v>
      </c>
      <c r="H15" s="106">
        <f>'2022'!BH101</f>
        <v>0</v>
      </c>
      <c r="I15" s="106">
        <f>'2022'!BH102</f>
        <v>5226</v>
      </c>
      <c r="J15" s="106">
        <f>'2022'!BH103</f>
        <v>1000</v>
      </c>
      <c r="K15" s="106">
        <f>'2022'!BH104</f>
        <v>0</v>
      </c>
      <c r="L15" s="106">
        <f>'2022'!BH105</f>
        <v>0</v>
      </c>
      <c r="M15" s="106">
        <f t="shared" si="0"/>
        <v>6148</v>
      </c>
      <c r="N15" s="106">
        <v>6225.999999999999</v>
      </c>
      <c r="O15" s="37">
        <f>IF(P15&gt;0,P15-1,$O$1)</f>
        <v>30</v>
      </c>
      <c r="X15" s="280">
        <f t="shared" si="1"/>
        <v>18.68</v>
      </c>
      <c r="Y15" s="281">
        <f t="shared" si="2"/>
        <v>6226</v>
      </c>
      <c r="Z15" s="42">
        <f t="shared" si="4"/>
        <v>6226</v>
      </c>
      <c r="AA15" s="2" t="b">
        <f>D15='2022'!C99</f>
        <v>1</v>
      </c>
      <c r="AB15" s="2" t="b">
        <f>X15='2022'!AI98</f>
        <v>0</v>
      </c>
      <c r="AC15" s="34"/>
      <c r="AD15" s="34"/>
      <c r="AE15" s="34"/>
    </row>
    <row r="16" spans="1:31" x14ac:dyDescent="0.25">
      <c r="A16" s="14"/>
      <c r="B16" s="115">
        <v>12</v>
      </c>
      <c r="C16" s="115">
        <v>4.02</v>
      </c>
      <c r="D16" s="117" t="s">
        <v>92</v>
      </c>
      <c r="E16" s="106">
        <f>'2022'!BH107</f>
        <v>0</v>
      </c>
      <c r="F16" s="106">
        <f>'2022'!BH108</f>
        <v>0</v>
      </c>
      <c r="G16" s="106">
        <f>'2022'!BH109</f>
        <v>385.2</v>
      </c>
      <c r="H16" s="106">
        <f>'2022'!BH110</f>
        <v>0</v>
      </c>
      <c r="I16" s="106">
        <f>'2022'!BH111</f>
        <v>0</v>
      </c>
      <c r="J16" s="106">
        <f>'2022'!BH112</f>
        <v>0</v>
      </c>
      <c r="K16" s="106">
        <f>'2022'!BH113</f>
        <v>0</v>
      </c>
      <c r="L16" s="106">
        <f>'2022'!BH114</f>
        <v>0</v>
      </c>
      <c r="M16" s="106">
        <f t="shared" si="0"/>
        <v>385.2</v>
      </c>
      <c r="N16" s="106">
        <v>0</v>
      </c>
      <c r="O16" s="37"/>
      <c r="P16" s="15"/>
      <c r="Q16" s="34"/>
      <c r="R16" s="34"/>
      <c r="X16" s="280">
        <f t="shared" si="1"/>
        <v>0</v>
      </c>
      <c r="Y16" s="281">
        <f t="shared" si="2"/>
        <v>0</v>
      </c>
      <c r="Z16" s="42">
        <f t="shared" si="4"/>
        <v>0</v>
      </c>
      <c r="AA16" s="2" t="b">
        <f>D16='2022'!C108</f>
        <v>1</v>
      </c>
      <c r="AB16" s="2" t="b">
        <f>X16='2022'!AI107</f>
        <v>1</v>
      </c>
      <c r="AC16" s="34"/>
      <c r="AD16" s="34"/>
      <c r="AE16" s="34"/>
    </row>
    <row r="17" spans="1:31" x14ac:dyDescent="0.25">
      <c r="A17" s="14"/>
      <c r="B17" s="115" t="s">
        <v>96</v>
      </c>
      <c r="C17" s="115">
        <v>3.94</v>
      </c>
      <c r="D17" s="117" t="s">
        <v>492</v>
      </c>
      <c r="E17" s="106">
        <f>'2022'!BH116</f>
        <v>0</v>
      </c>
      <c r="F17" s="106">
        <f>'2022'!BH117</f>
        <v>509.8313</v>
      </c>
      <c r="G17" s="106">
        <f>'2022'!BH118</f>
        <v>0</v>
      </c>
      <c r="H17" s="106">
        <f>'2022'!BH119</f>
        <v>0</v>
      </c>
      <c r="I17" s="106">
        <f>'2022'!BH120</f>
        <v>0</v>
      </c>
      <c r="J17" s="106">
        <f>'2022'!BH121</f>
        <v>0</v>
      </c>
      <c r="K17" s="106">
        <f>'2022'!BH122</f>
        <v>0</v>
      </c>
      <c r="L17" s="106">
        <f>'2022'!BH123</f>
        <v>0</v>
      </c>
      <c r="M17" s="106">
        <f t="shared" si="0"/>
        <v>509.8313</v>
      </c>
      <c r="N17" s="106">
        <v>0</v>
      </c>
      <c r="O17" s="37"/>
      <c r="P17" s="15"/>
      <c r="Q17" s="15"/>
      <c r="R17" s="34"/>
      <c r="S17" s="37"/>
      <c r="T17" s="15"/>
      <c r="U17" s="15"/>
      <c r="V17" s="15"/>
      <c r="W17" s="15"/>
      <c r="X17" s="280">
        <f t="shared" si="1"/>
        <v>0</v>
      </c>
      <c r="Y17" s="281">
        <f t="shared" si="2"/>
        <v>0</v>
      </c>
      <c r="Z17" s="42">
        <f t="shared" si="4"/>
        <v>0</v>
      </c>
      <c r="AA17" s="2" t="b">
        <f>D17='2022'!C117</f>
        <v>1</v>
      </c>
      <c r="AB17" s="2" t="b">
        <f>X17='2022'!AI116</f>
        <v>1</v>
      </c>
      <c r="AC17" s="34"/>
      <c r="AD17" s="34"/>
      <c r="AE17" s="34"/>
    </row>
    <row r="18" spans="1:31" x14ac:dyDescent="0.25">
      <c r="A18" s="14"/>
      <c r="B18" s="115" t="s">
        <v>96</v>
      </c>
      <c r="C18" s="116">
        <v>4</v>
      </c>
      <c r="D18" s="2" t="s">
        <v>492</v>
      </c>
      <c r="E18" s="106">
        <f>'2022'!BH125</f>
        <v>0</v>
      </c>
      <c r="F18" s="106">
        <f>'2022'!BH126</f>
        <v>0</v>
      </c>
      <c r="G18" s="106">
        <f>'2022'!BH127</f>
        <v>0</v>
      </c>
      <c r="H18" s="106">
        <f>'2022'!BH128</f>
        <v>0</v>
      </c>
      <c r="I18" s="106">
        <f>'2022'!BH129</f>
        <v>0</v>
      </c>
      <c r="J18" s="106">
        <f>'2022'!BH130</f>
        <v>0</v>
      </c>
      <c r="K18" s="106">
        <f>'2022'!BH131</f>
        <v>0</v>
      </c>
      <c r="L18" s="106">
        <f>'2022'!BH132</f>
        <v>0</v>
      </c>
      <c r="M18" s="106">
        <f t="shared" si="0"/>
        <v>0</v>
      </c>
      <c r="N18" s="106">
        <v>0</v>
      </c>
      <c r="O18" s="37"/>
      <c r="P18" s="15"/>
      <c r="Q18" s="15"/>
      <c r="R18" s="34"/>
      <c r="S18" s="37"/>
      <c r="T18" s="15"/>
      <c r="U18" s="15"/>
      <c r="V18" s="15"/>
      <c r="W18" s="15"/>
      <c r="X18" s="280">
        <f t="shared" si="1"/>
        <v>0</v>
      </c>
      <c r="Y18" s="281">
        <f t="shared" si="2"/>
        <v>0</v>
      </c>
      <c r="Z18" s="42">
        <f t="shared" si="4"/>
        <v>0</v>
      </c>
      <c r="AA18" s="2" t="b">
        <f>D18='2022'!C126</f>
        <v>1</v>
      </c>
      <c r="AB18" s="2" t="b">
        <f>X18='2022'!AI125</f>
        <v>1</v>
      </c>
      <c r="AC18" s="34"/>
      <c r="AD18" s="34"/>
      <c r="AE18" s="34"/>
    </row>
    <row r="19" spans="1:31" x14ac:dyDescent="0.25">
      <c r="A19" s="14"/>
      <c r="B19" s="115">
        <v>14</v>
      </c>
      <c r="C19" s="115">
        <v>4.02</v>
      </c>
      <c r="D19" s="117" t="s">
        <v>100</v>
      </c>
      <c r="E19" s="106">
        <f>'2022'!BH134</f>
        <v>0</v>
      </c>
      <c r="F19" s="106">
        <f>'2022'!BH135</f>
        <v>0</v>
      </c>
      <c r="G19" s="106">
        <f>'2022'!BH136</f>
        <v>-22.45</v>
      </c>
      <c r="H19" s="106">
        <f>'2022'!BH137</f>
        <v>0</v>
      </c>
      <c r="I19" s="106">
        <f>'2022'!BH138</f>
        <v>0</v>
      </c>
      <c r="J19" s="106">
        <f>'2022'!BH139</f>
        <v>0</v>
      </c>
      <c r="K19" s="106">
        <f>'2022'!BH140</f>
        <v>0</v>
      </c>
      <c r="L19" s="106">
        <f>'2022'!BH141</f>
        <v>0</v>
      </c>
      <c r="M19" s="106">
        <f t="shared" si="0"/>
        <v>-22.45</v>
      </c>
      <c r="N19" s="106">
        <v>0</v>
      </c>
      <c r="O19" s="37"/>
      <c r="X19" s="280">
        <f t="shared" si="1"/>
        <v>0</v>
      </c>
      <c r="Y19" s="281">
        <f t="shared" si="2"/>
        <v>0</v>
      </c>
      <c r="Z19" s="42">
        <f t="shared" si="4"/>
        <v>0</v>
      </c>
      <c r="AA19" s="2" t="b">
        <f>D19='2022'!C135</f>
        <v>1</v>
      </c>
      <c r="AB19" s="2" t="b">
        <f>X19='2022'!AI134</f>
        <v>1</v>
      </c>
      <c r="AC19" s="34"/>
      <c r="AD19" s="34"/>
      <c r="AE19" s="34"/>
    </row>
    <row r="20" spans="1:31" x14ac:dyDescent="0.25">
      <c r="A20" s="14"/>
      <c r="B20" s="115">
        <v>16</v>
      </c>
      <c r="C20" s="115">
        <v>3.98</v>
      </c>
      <c r="D20" s="117" t="s">
        <v>103</v>
      </c>
      <c r="E20" s="106">
        <f>'2022'!BH143</f>
        <v>1.16</v>
      </c>
      <c r="F20" s="106">
        <f>'2022'!BH144</f>
        <v>-274.36618</v>
      </c>
      <c r="G20" s="106">
        <f>'2022'!BH145</f>
        <v>-492.16</v>
      </c>
      <c r="H20" s="106">
        <f>'2022'!BH146</f>
        <v>0</v>
      </c>
      <c r="I20" s="106">
        <f>'2022'!BH147</f>
        <v>0</v>
      </c>
      <c r="J20" s="106">
        <f>'2022'!BH148</f>
        <v>0</v>
      </c>
      <c r="K20" s="106">
        <f>'2022'!BH149</f>
        <v>0</v>
      </c>
      <c r="L20" s="106">
        <f>'2022'!BH150</f>
        <v>0</v>
      </c>
      <c r="M20" s="106">
        <f t="shared" si="0"/>
        <v>-765.36618</v>
      </c>
      <c r="N20" s="106">
        <v>0</v>
      </c>
      <c r="O20" s="37"/>
      <c r="P20" s="2"/>
      <c r="Q20" s="2"/>
      <c r="R20" s="180"/>
      <c r="S20" s="286"/>
      <c r="X20" s="280">
        <f t="shared" si="1"/>
        <v>0</v>
      </c>
      <c r="Y20" s="281">
        <f t="shared" si="2"/>
        <v>0</v>
      </c>
      <c r="Z20" s="42">
        <f t="shared" si="4"/>
        <v>0</v>
      </c>
      <c r="AA20" s="2" t="b">
        <f>D20='2022'!C144</f>
        <v>1</v>
      </c>
      <c r="AB20" s="317" t="b">
        <f>X20='2022'!AI143</f>
        <v>1</v>
      </c>
      <c r="AC20" s="34"/>
      <c r="AD20" s="34"/>
      <c r="AE20" s="34"/>
    </row>
    <row r="21" ht="15.75" customHeight="1" spans="1:31" x14ac:dyDescent="0.25">
      <c r="A21" s="14"/>
      <c r="B21" s="115">
        <v>17</v>
      </c>
      <c r="C21" s="116">
        <v>4</v>
      </c>
      <c r="D21" s="117" t="s">
        <v>106</v>
      </c>
      <c r="E21" s="106">
        <f>'2022'!BH152</f>
        <v>0</v>
      </c>
      <c r="F21" s="106">
        <f>'2022'!BH153</f>
        <v>-41.04732</v>
      </c>
      <c r="G21" s="106">
        <f>'2022'!BH154</f>
        <v>-62.12</v>
      </c>
      <c r="H21" s="106">
        <f>'2022'!BH155</f>
        <v>0</v>
      </c>
      <c r="I21" s="106">
        <f>'2022'!BH156</f>
        <v>0</v>
      </c>
      <c r="J21" s="106">
        <f>'2022'!BH157</f>
        <v>0</v>
      </c>
      <c r="K21" s="106">
        <f>'2022'!BH158</f>
        <v>0</v>
      </c>
      <c r="L21" s="106">
        <f>'2022'!BH159</f>
        <v>0</v>
      </c>
      <c r="M21" s="106">
        <f t="shared" si="0"/>
        <v>-103.16732</v>
      </c>
      <c r="N21" s="106">
        <v>0</v>
      </c>
      <c r="O21" s="37"/>
      <c r="X21" s="280">
        <f t="shared" si="1"/>
        <v>0</v>
      </c>
      <c r="Y21" s="281">
        <f t="shared" si="2"/>
        <v>0</v>
      </c>
      <c r="Z21" s="42">
        <f t="shared" si="4"/>
        <v>0</v>
      </c>
      <c r="AA21" s="2" t="b">
        <f>D21='2022'!C153</f>
        <v>1</v>
      </c>
      <c r="AB21" s="2" t="b">
        <f>X21='2022'!AI152</f>
        <v>1</v>
      </c>
      <c r="AC21" s="34"/>
      <c r="AD21" s="34"/>
      <c r="AE21" s="34"/>
    </row>
    <row r="22" ht="15.75" customHeight="1" spans="1:31" x14ac:dyDescent="0.25">
      <c r="A22" s="14"/>
      <c r="B22" s="115">
        <v>18</v>
      </c>
      <c r="C22" s="115">
        <v>4.03</v>
      </c>
      <c r="D22" s="117" t="s">
        <v>109</v>
      </c>
      <c r="E22" s="106">
        <f>'2022'!BH161</f>
        <v>0</v>
      </c>
      <c r="F22" s="106">
        <f>'2022'!BH162</f>
        <v>121.94232</v>
      </c>
      <c r="G22" s="106">
        <f>'2022'!BH163</f>
        <v>0</v>
      </c>
      <c r="H22" s="106">
        <f>'2022'!BH164</f>
        <v>0</v>
      </c>
      <c r="I22" s="106">
        <f>'2022'!BH165</f>
        <v>0</v>
      </c>
      <c r="J22" s="106">
        <f>'2022'!BH166</f>
        <v>0</v>
      </c>
      <c r="K22" s="106">
        <f>'2022'!BH167</f>
        <v>0</v>
      </c>
      <c r="L22" s="106">
        <f>'2022'!BH168</f>
        <v>0</v>
      </c>
      <c r="M22" s="106">
        <f t="shared" si="0"/>
        <v>121.94232</v>
      </c>
      <c r="N22" s="106">
        <v>0</v>
      </c>
      <c r="O22" s="37"/>
      <c r="X22" s="280">
        <f t="shared" si="1"/>
        <v>0</v>
      </c>
      <c r="Y22" s="281">
        <f t="shared" si="2"/>
        <v>0</v>
      </c>
      <c r="Z22" s="42">
        <f t="shared" si="4"/>
        <v>0</v>
      </c>
      <c r="AA22" s="2" t="b">
        <f>D22='2022'!C162</f>
        <v>1</v>
      </c>
      <c r="AB22" s="2" t="b">
        <f>X22='2022'!AI161</f>
        <v>1</v>
      </c>
      <c r="AC22" s="34"/>
      <c r="AD22" s="34"/>
      <c r="AE22" s="34"/>
    </row>
    <row r="23" ht="15.75" customHeight="1" spans="1:31" x14ac:dyDescent="0.25">
      <c r="A23" s="21"/>
      <c r="B23" s="115">
        <v>19</v>
      </c>
      <c r="C23" s="116">
        <v>4.1</v>
      </c>
      <c r="D23" s="117" t="s">
        <v>113</v>
      </c>
      <c r="E23" s="106">
        <f>'2022'!BH170</f>
        <v>0.73</v>
      </c>
      <c r="F23" s="106">
        <f>'2022'!BH171</f>
        <v>0</v>
      </c>
      <c r="G23" s="106">
        <f>'2022'!BH172</f>
        <v>0</v>
      </c>
      <c r="H23" s="106">
        <f>'2022'!BH173</f>
        <v>0</v>
      </c>
      <c r="I23" s="106">
        <f>'2022'!BH174</f>
        <v>0</v>
      </c>
      <c r="J23" s="106">
        <f>'2022'!BH175</f>
        <v>1000</v>
      </c>
      <c r="K23" s="106">
        <f>'2022'!BH176</f>
        <v>0</v>
      </c>
      <c r="L23" s="106">
        <f>'2022'!BH177</f>
        <v>0</v>
      </c>
      <c r="M23" s="106">
        <f t="shared" si="0"/>
        <v>1000.73</v>
      </c>
      <c r="N23" s="106">
        <v>1000</v>
      </c>
      <c r="O23" s="37">
        <f>IF(P23&gt;0,P23-1,$O$1)</f>
        <v>30</v>
      </c>
      <c r="X23" s="280">
        <f t="shared" si="1"/>
        <v>3</v>
      </c>
      <c r="Y23" s="281">
        <f t="shared" si="2"/>
        <v>1000</v>
      </c>
      <c r="Z23" s="42">
        <f t="shared" si="4"/>
        <v>1000</v>
      </c>
      <c r="AA23" s="2" t="b">
        <f>D23='2022'!C171</f>
        <v>1</v>
      </c>
      <c r="AB23" s="2" t="b">
        <f>X23='2022'!AI170</f>
        <v>0</v>
      </c>
      <c r="AC23" s="34"/>
      <c r="AD23" s="34"/>
      <c r="AE23" s="34"/>
    </row>
    <row r="24" ht="15.75" customHeight="1" spans="1:31" x14ac:dyDescent="0.25">
      <c r="A24" s="114" t="s">
        <v>116</v>
      </c>
      <c r="B24" s="115" t="s">
        <v>117</v>
      </c>
      <c r="C24" s="283">
        <v>4</v>
      </c>
      <c r="D24" s="15" t="s">
        <v>548</v>
      </c>
      <c r="E24" s="106">
        <f>'2022'!BH179</f>
        <v>0</v>
      </c>
      <c r="F24" s="106">
        <f>'2022'!BH180</f>
        <v>38.74016</v>
      </c>
      <c r="G24" s="106">
        <f>'2022'!BH181</f>
        <v>0</v>
      </c>
      <c r="H24" s="106">
        <f>'2022'!BH182</f>
        <v>0</v>
      </c>
      <c r="I24" s="106">
        <f>'2022'!BH183</f>
        <v>0</v>
      </c>
      <c r="J24" s="106">
        <f>'2022'!BH184</f>
        <v>0</v>
      </c>
      <c r="K24" s="106">
        <f>'2022'!BH185</f>
        <v>0</v>
      </c>
      <c r="L24" s="106">
        <f>'2022'!BH186</f>
        <v>0</v>
      </c>
      <c r="M24" s="106">
        <f t="shared" si="0"/>
        <v>38.74016</v>
      </c>
      <c r="N24" s="106">
        <v>0</v>
      </c>
      <c r="O24" s="37"/>
      <c r="X24" s="280">
        <f t="shared" si="1"/>
        <v>0</v>
      </c>
      <c r="Y24" s="281">
        <f t="shared" si="2"/>
        <v>0</v>
      </c>
      <c r="Z24" s="42">
        <f t="shared" si="4"/>
        <v>0</v>
      </c>
      <c r="AA24" s="2" t="b">
        <f>D24='2022'!C180</f>
        <v>1</v>
      </c>
      <c r="AB24" s="2" t="b">
        <f>X24='2022'!AI179</f>
        <v>1</v>
      </c>
      <c r="AC24" s="34"/>
      <c r="AD24" s="34"/>
      <c r="AE24" s="34"/>
    </row>
    <row r="25" ht="15.75" customHeight="1" spans="1:31" x14ac:dyDescent="0.25">
      <c r="A25" s="27"/>
      <c r="B25" s="115" t="s">
        <v>117</v>
      </c>
      <c r="C25" s="283">
        <v>4</v>
      </c>
      <c r="D25" s="15" t="s">
        <v>548</v>
      </c>
      <c r="E25" s="106">
        <f>'2022'!BH188</f>
        <v>0</v>
      </c>
      <c r="F25" s="106">
        <f>'2022'!BH189</f>
        <v>0</v>
      </c>
      <c r="G25" s="106">
        <f>'2022'!BH190</f>
        <v>0</v>
      </c>
      <c r="H25" s="106">
        <f>'2022'!BH191</f>
        <v>0</v>
      </c>
      <c r="I25" s="106">
        <f>'2022'!BH192</f>
        <v>0</v>
      </c>
      <c r="J25" s="106">
        <f>'2022'!BH193</f>
        <v>0</v>
      </c>
      <c r="K25" s="106">
        <f>'2022'!BH194</f>
        <v>0</v>
      </c>
      <c r="L25" s="106">
        <f>'2022'!BH195</f>
        <v>0</v>
      </c>
      <c r="M25" s="106">
        <f t="shared" si="0"/>
        <v>0</v>
      </c>
      <c r="N25" s="106">
        <v>0</v>
      </c>
      <c r="O25" s="37"/>
      <c r="X25" s="280">
        <f t="shared" si="1"/>
        <v>0</v>
      </c>
      <c r="Y25" s="281">
        <f t="shared" si="2"/>
        <v>0</v>
      </c>
      <c r="Z25" s="42">
        <f t="shared" si="4"/>
        <v>0</v>
      </c>
      <c r="AA25" s="2" t="b">
        <f>D25='2022'!C189</f>
        <v>1</v>
      </c>
      <c r="AB25" s="2" t="b">
        <f>X25='2022'!AI188</f>
        <v>1</v>
      </c>
      <c r="AC25" s="34"/>
      <c r="AD25" s="34"/>
      <c r="AE25" s="34"/>
    </row>
    <row r="26" ht="15.75" customHeight="1" spans="1:31" x14ac:dyDescent="0.25">
      <c r="A26" s="14"/>
      <c r="B26" s="115">
        <v>21</v>
      </c>
      <c r="C26" s="115">
        <v>3.96</v>
      </c>
      <c r="D26" s="117" t="s">
        <v>120</v>
      </c>
      <c r="E26" s="106">
        <f>'2022'!BH197</f>
        <v>0</v>
      </c>
      <c r="F26" s="106">
        <f>'2022'!BH198</f>
        <v>125.84248</v>
      </c>
      <c r="G26" s="106">
        <f>'2022'!BH199</f>
        <v>0.45</v>
      </c>
      <c r="H26" s="106">
        <f>'2022'!BH200</f>
        <v>0</v>
      </c>
      <c r="I26" s="106">
        <f>'2022'!BH201</f>
        <v>0</v>
      </c>
      <c r="J26" s="106">
        <f>'2022'!BH202</f>
        <v>0</v>
      </c>
      <c r="K26" s="106">
        <f>'2022'!BH203</f>
        <v>0</v>
      </c>
      <c r="L26" s="106">
        <f>'2022'!BH204</f>
        <v>0</v>
      </c>
      <c r="M26" s="106">
        <f t="shared" si="0"/>
        <v>126.29248</v>
      </c>
      <c r="N26" s="106">
        <v>0</v>
      </c>
      <c r="O26" s="37"/>
      <c r="P26" s="15"/>
      <c r="Q26" s="34"/>
      <c r="R26" s="34"/>
      <c r="S26" s="37"/>
      <c r="T26" s="15"/>
      <c r="U26" s="15"/>
      <c r="V26" s="15"/>
      <c r="W26" s="15"/>
      <c r="X26" s="280">
        <f t="shared" si="1"/>
        <v>0</v>
      </c>
      <c r="Y26" s="281">
        <f t="shared" si="2"/>
        <v>0</v>
      </c>
      <c r="Z26" s="42">
        <f t="shared" si="4"/>
        <v>0</v>
      </c>
      <c r="AA26" s="2" t="b">
        <f>D26='2022'!C198</f>
        <v>1</v>
      </c>
      <c r="AB26" s="2" t="b">
        <f>X26='2022'!AI197</f>
        <v>1</v>
      </c>
      <c r="AC26" s="34"/>
      <c r="AD26" s="34"/>
      <c r="AE26" s="34"/>
    </row>
    <row r="27" ht="15.75" customHeight="1" spans="1:31" x14ac:dyDescent="0.25">
      <c r="A27" s="14"/>
      <c r="B27" s="115">
        <v>23</v>
      </c>
      <c r="C27" s="115">
        <v>3.98</v>
      </c>
      <c r="D27" s="117" t="s">
        <v>124</v>
      </c>
      <c r="E27" s="106">
        <f>'2022'!BH206</f>
        <v>0</v>
      </c>
      <c r="F27" s="106">
        <f>'2022'!BH207</f>
        <v>244.85276</v>
      </c>
      <c r="G27" s="106">
        <f>'2022'!BH208</f>
        <v>197.21</v>
      </c>
      <c r="H27" s="106">
        <f>'2022'!BH209</f>
        <v>0</v>
      </c>
      <c r="I27" s="106">
        <f>'2022'!BH210</f>
        <v>0</v>
      </c>
      <c r="J27" s="106">
        <f>'2022'!BH211</f>
        <v>0</v>
      </c>
      <c r="K27" s="106">
        <f>'2022'!BH212</f>
        <v>0</v>
      </c>
      <c r="L27" s="106">
        <f>'2022'!BH213</f>
        <v>0</v>
      </c>
      <c r="M27" s="106">
        <f t="shared" si="0"/>
        <v>442.06276</v>
      </c>
      <c r="N27" s="106">
        <v>0</v>
      </c>
      <c r="O27" s="37"/>
      <c r="X27" s="280">
        <f t="shared" si="1"/>
        <v>0</v>
      </c>
      <c r="Y27" s="281">
        <f t="shared" si="2"/>
        <v>0</v>
      </c>
      <c r="Z27" s="42">
        <f t="shared" si="4"/>
        <v>0</v>
      </c>
      <c r="AA27" s="2" t="b">
        <f>D27='2022'!C207</f>
        <v>1</v>
      </c>
      <c r="AB27" s="2" t="b">
        <f>X27='2022'!AI206</f>
        <v>1</v>
      </c>
      <c r="AC27" s="34"/>
      <c r="AD27" s="34"/>
      <c r="AE27" s="34"/>
    </row>
    <row r="28" ht="15.75" customHeight="1" spans="1:31" x14ac:dyDescent="0.25">
      <c r="A28" s="14"/>
      <c r="B28" s="115">
        <v>24</v>
      </c>
      <c r="C28" s="115">
        <v>4.01</v>
      </c>
      <c r="D28" s="117" t="s">
        <v>127</v>
      </c>
      <c r="E28" s="106">
        <f>'2022'!BH215</f>
        <v>0</v>
      </c>
      <c r="F28" s="106">
        <f>'2022'!BH216</f>
        <v>5.16382</v>
      </c>
      <c r="G28" s="106">
        <f>'2022'!BH217</f>
        <v>0</v>
      </c>
      <c r="H28" s="106">
        <f>'2022'!BH218</f>
        <v>0</v>
      </c>
      <c r="I28" s="106">
        <f>'2022'!BH219</f>
        <v>0</v>
      </c>
      <c r="J28" s="106">
        <f>'2022'!BH220</f>
        <v>0</v>
      </c>
      <c r="K28" s="106">
        <f>'2022'!BH221</f>
        <v>0</v>
      </c>
      <c r="L28" s="106">
        <f>'2022'!BH222</f>
        <v>0</v>
      </c>
      <c r="M28" s="106">
        <f t="shared" si="0"/>
        <v>5.16382</v>
      </c>
      <c r="N28" s="106">
        <v>0</v>
      </c>
      <c r="O28" s="37"/>
      <c r="X28" s="280">
        <f t="shared" si="1"/>
        <v>0</v>
      </c>
      <c r="Y28" s="281">
        <f t="shared" si="2"/>
        <v>0</v>
      </c>
      <c r="Z28" s="42">
        <f t="shared" si="4"/>
        <v>0</v>
      </c>
      <c r="AA28" s="2" t="b">
        <f>D28='2022'!C216</f>
        <v>1</v>
      </c>
      <c r="AB28" s="2" t="b">
        <f>X28='2022'!AI215</f>
        <v>1</v>
      </c>
      <c r="AC28" s="34"/>
      <c r="AD28" s="34"/>
      <c r="AE28" s="34"/>
    </row>
    <row r="29" ht="15.75" customHeight="1" spans="1:31" x14ac:dyDescent="0.25">
      <c r="A29" s="14"/>
      <c r="B29" s="115">
        <v>25</v>
      </c>
      <c r="C29" s="116">
        <v>4</v>
      </c>
      <c r="D29" s="117" t="s">
        <v>131</v>
      </c>
      <c r="E29" s="106">
        <f>'2022'!BH224</f>
        <v>21.47</v>
      </c>
      <c r="F29" s="106">
        <f>'2022'!BH225</f>
        <v>39.363</v>
      </c>
      <c r="G29" s="106">
        <f>'2022'!BH226</f>
        <v>0</v>
      </c>
      <c r="H29" s="106">
        <f>'2022'!BH227</f>
        <v>0</v>
      </c>
      <c r="I29" s="106">
        <f>'2022'!BH228</f>
        <v>5200</v>
      </c>
      <c r="J29" s="106">
        <f>'2022'!BH229</f>
        <v>1000</v>
      </c>
      <c r="K29" s="106">
        <f>'2022'!BH230</f>
        <v>0</v>
      </c>
      <c r="L29" s="106">
        <f>'2022'!BH231</f>
        <v>500</v>
      </c>
      <c r="M29" s="106">
        <f t="shared" si="0"/>
        <v>6760.833</v>
      </c>
      <c r="N29" s="106">
        <v>6200</v>
      </c>
      <c r="O29" s="37">
        <f t="shared" ref="O29:O31" si="5">IF(P29&gt;0,P29-1,$O$1)</f>
        <v>30</v>
      </c>
      <c r="P29" s="15"/>
      <c r="Q29" s="34"/>
      <c r="R29" s="34"/>
      <c r="S29" s="37"/>
      <c r="T29" s="15"/>
      <c r="U29" s="15"/>
      <c r="V29" s="15"/>
      <c r="W29" s="15"/>
      <c r="X29" s="280">
        <f t="shared" si="1"/>
        <v>18.6</v>
      </c>
      <c r="Y29" s="281">
        <f t="shared" si="2"/>
        <v>6200</v>
      </c>
      <c r="Z29" s="42">
        <f t="shared" si="4"/>
        <v>6200</v>
      </c>
      <c r="AA29" s="2" t="b">
        <f>D29='2022'!C225</f>
        <v>1</v>
      </c>
      <c r="AB29" s="2" t="b">
        <f>X29='2022'!AI224</f>
        <v>0</v>
      </c>
      <c r="AC29" s="34"/>
      <c r="AD29" s="34"/>
      <c r="AE29" s="34"/>
    </row>
    <row r="30" ht="15.75" customHeight="1" spans="1:31" x14ac:dyDescent="0.25">
      <c r="A30" s="14"/>
      <c r="B30" s="115">
        <v>26</v>
      </c>
      <c r="C30" s="115">
        <v>3.98</v>
      </c>
      <c r="D30" s="117" t="s">
        <v>133</v>
      </c>
      <c r="E30" s="106">
        <f>'2022'!BH233</f>
        <v>8420.62</v>
      </c>
      <c r="F30" s="106">
        <f>'2022'!BH234</f>
        <v>0</v>
      </c>
      <c r="G30" s="106">
        <f>'2022'!BH235</f>
        <v>0</v>
      </c>
      <c r="H30" s="106">
        <f>'2022'!BH236</f>
        <v>0</v>
      </c>
      <c r="I30" s="106">
        <f>'2022'!BH237</f>
        <v>34080.26</v>
      </c>
      <c r="J30" s="106">
        <f>'2022'!BH238</f>
        <v>18027</v>
      </c>
      <c r="K30" s="106">
        <f>'2022'!BH239</f>
        <v>1990</v>
      </c>
      <c r="L30" s="106">
        <f>'2022'!BH240</f>
        <v>2450</v>
      </c>
      <c r="M30" s="106">
        <f t="shared" si="0"/>
        <v>64967.88</v>
      </c>
      <c r="N30" s="106">
        <v>54097.259999999995</v>
      </c>
      <c r="O30" s="37">
        <f t="shared" si="5"/>
        <v>30</v>
      </c>
      <c r="P30" s="15"/>
      <c r="Q30" s="15"/>
      <c r="R30" s="15"/>
      <c r="S30" s="15"/>
      <c r="T30" s="15"/>
      <c r="U30" s="15"/>
      <c r="V30" s="15"/>
      <c r="W30" s="15"/>
      <c r="X30" s="282">
        <f t="shared" si="1"/>
        <v>162.29</v>
      </c>
      <c r="Y30" s="281">
        <f t="shared" si="2"/>
        <v>54097.26</v>
      </c>
      <c r="Z30" s="42">
        <f t="shared" si="4"/>
        <v>54097.26</v>
      </c>
      <c r="AA30" s="2" t="b">
        <f>D30='2022'!C234</f>
        <v>1</v>
      </c>
      <c r="AB30" s="317" t="b">
        <f>X30='2022'!AI233</f>
        <v>0</v>
      </c>
      <c r="AC30" s="34"/>
      <c r="AD30" s="34"/>
      <c r="AE30" s="34"/>
    </row>
    <row r="31" ht="15.75" customHeight="1" spans="1:31" x14ac:dyDescent="0.25">
      <c r="A31" s="14"/>
      <c r="B31" s="115">
        <v>27</v>
      </c>
      <c r="C31" s="115">
        <v>4.04</v>
      </c>
      <c r="D31" s="117" t="s">
        <v>136</v>
      </c>
      <c r="E31" s="106">
        <f>'2022'!BH242</f>
        <v>2188.77</v>
      </c>
      <c r="F31" s="106">
        <f>'2022'!BH243</f>
        <v>0</v>
      </c>
      <c r="G31" s="106">
        <f>'2022'!BH244</f>
        <v>0</v>
      </c>
      <c r="H31" s="106">
        <f>'2022'!BH245</f>
        <v>0</v>
      </c>
      <c r="I31" s="106">
        <f>'2022'!BH246</f>
        <v>32074.03</v>
      </c>
      <c r="J31" s="106">
        <f>'2022'!BH247</f>
        <v>4308</v>
      </c>
      <c r="K31" s="106">
        <f>'2022'!BH248</f>
        <v>2020</v>
      </c>
      <c r="L31" s="106">
        <f>'2022'!BH249</f>
        <v>2200</v>
      </c>
      <c r="M31" s="106">
        <f t="shared" si="0"/>
        <v>42790.8</v>
      </c>
      <c r="N31" s="106">
        <v>38402.03</v>
      </c>
      <c r="O31" s="37">
        <f t="shared" si="5"/>
        <v>30</v>
      </c>
      <c r="P31" s="15"/>
      <c r="Q31" s="15"/>
      <c r="R31" s="15"/>
      <c r="S31" s="15"/>
      <c r="T31" s="15"/>
      <c r="U31" s="15"/>
      <c r="V31" s="15"/>
      <c r="W31" s="15"/>
      <c r="X31" s="282">
        <f t="shared" si="1"/>
        <v>115.21</v>
      </c>
      <c r="Y31" s="281">
        <f t="shared" si="2"/>
        <v>38402.03</v>
      </c>
      <c r="Z31" s="42">
        <f t="shared" si="4"/>
        <v>38402.03</v>
      </c>
      <c r="AA31" s="2" t="b">
        <f>D31='2022'!C243</f>
        <v>1</v>
      </c>
      <c r="AB31" s="317" t="b">
        <f>X31='2022'!AI242</f>
        <v>0</v>
      </c>
      <c r="AC31" s="34"/>
      <c r="AD31" s="34"/>
      <c r="AE31" s="34"/>
    </row>
    <row r="32" ht="15.75" customHeight="1" spans="1:31" x14ac:dyDescent="0.25">
      <c r="A32" s="14"/>
      <c r="B32" s="115">
        <v>28</v>
      </c>
      <c r="C32" s="115">
        <v>3.96</v>
      </c>
      <c r="D32" s="117" t="s">
        <v>140</v>
      </c>
      <c r="E32" s="106">
        <f>'2022'!BH251</f>
        <v>0</v>
      </c>
      <c r="F32" s="106">
        <f>'2022'!BH252</f>
        <v>929.88108</v>
      </c>
      <c r="G32" s="106">
        <f>'2022'!BH253</f>
        <v>0</v>
      </c>
      <c r="H32" s="106">
        <f>'2022'!BH254</f>
        <v>0</v>
      </c>
      <c r="I32" s="106">
        <f>'2022'!BH255</f>
        <v>0</v>
      </c>
      <c r="J32" s="106">
        <f>'2022'!BH256</f>
        <v>0</v>
      </c>
      <c r="K32" s="106">
        <f>'2022'!BH257</f>
        <v>0</v>
      </c>
      <c r="L32" s="106">
        <f>'2022'!BH258</f>
        <v>0</v>
      </c>
      <c r="M32" s="106">
        <f t="shared" si="0"/>
        <v>929.88108</v>
      </c>
      <c r="N32" s="106">
        <v>0</v>
      </c>
      <c r="O32" s="37"/>
      <c r="X32" s="280">
        <f t="shared" si="1"/>
        <v>0</v>
      </c>
      <c r="Y32" s="281">
        <f t="shared" si="2"/>
        <v>0</v>
      </c>
      <c r="Z32" s="42">
        <f t="shared" si="4"/>
        <v>0</v>
      </c>
      <c r="AA32" s="2" t="b">
        <f>D32='2022'!C252</f>
        <v>1</v>
      </c>
      <c r="AB32" s="2" t="b">
        <f>X32='2022'!AI251</f>
        <v>1</v>
      </c>
      <c r="AC32" s="34"/>
      <c r="AD32" s="34"/>
      <c r="AE32" s="34"/>
    </row>
    <row r="33" ht="15.75" customHeight="1" spans="1:31" x14ac:dyDescent="0.25">
      <c r="A33" s="14"/>
      <c r="B33" s="115">
        <v>30</v>
      </c>
      <c r="C33" s="115">
        <v>4.05</v>
      </c>
      <c r="D33" s="117" t="s">
        <v>496</v>
      </c>
      <c r="E33" s="106">
        <f>'2022'!BH260</f>
        <v>0</v>
      </c>
      <c r="F33" s="106">
        <f>'2022'!BH261</f>
        <v>7.75092</v>
      </c>
      <c r="G33" s="106">
        <f>'2022'!BH262</f>
        <v>0</v>
      </c>
      <c r="H33" s="106">
        <f>'2022'!BH263</f>
        <v>0</v>
      </c>
      <c r="I33" s="106">
        <f>'2022'!BH264</f>
        <v>0</v>
      </c>
      <c r="J33" s="106">
        <f>'2022'!BH265</f>
        <v>0</v>
      </c>
      <c r="K33" s="106">
        <f>'2022'!BH266</f>
        <v>0</v>
      </c>
      <c r="L33" s="106">
        <f>'2022'!BH267</f>
        <v>0</v>
      </c>
      <c r="M33" s="106">
        <f t="shared" si="0"/>
        <v>7.75092</v>
      </c>
      <c r="N33" s="106">
        <v>0</v>
      </c>
      <c r="O33" s="37"/>
      <c r="X33" s="280">
        <f t="shared" si="1"/>
        <v>0</v>
      </c>
      <c r="Y33" s="281">
        <f t="shared" si="2"/>
        <v>0</v>
      </c>
      <c r="Z33" s="42">
        <f t="shared" si="4"/>
        <v>0</v>
      </c>
      <c r="AA33" s="2" t="b">
        <f>D33='2022'!C261</f>
        <v>1</v>
      </c>
      <c r="AB33" s="2" t="b">
        <f>X33='2022'!AI260</f>
        <v>1</v>
      </c>
      <c r="AC33" s="34"/>
      <c r="AD33" s="34"/>
      <c r="AE33" s="34"/>
    </row>
    <row r="34" ht="15.75" customHeight="1" spans="1:31" x14ac:dyDescent="0.25">
      <c r="A34" s="14"/>
      <c r="B34" s="115">
        <v>29</v>
      </c>
      <c r="C34" s="115">
        <v>4.02</v>
      </c>
      <c r="D34" s="117" t="s">
        <v>146</v>
      </c>
      <c r="E34" s="106">
        <f>'2022'!BH269</f>
        <v>0</v>
      </c>
      <c r="F34" s="106">
        <f>'2022'!BH270</f>
        <v>0</v>
      </c>
      <c r="G34" s="106">
        <f>'2022'!BH271</f>
        <v>0</v>
      </c>
      <c r="H34" s="106">
        <f>'2022'!BH272</f>
        <v>0</v>
      </c>
      <c r="I34" s="106">
        <f>'2022'!BH273</f>
        <v>0</v>
      </c>
      <c r="J34" s="106">
        <f>'2022'!BH274</f>
        <v>0</v>
      </c>
      <c r="K34" s="106">
        <f>'2022'!BH275</f>
        <v>0</v>
      </c>
      <c r="L34" s="106">
        <f>'2022'!BH276</f>
        <v>0</v>
      </c>
      <c r="M34" s="106">
        <f t="shared" si="0"/>
        <v>0</v>
      </c>
      <c r="N34" s="106">
        <v>0</v>
      </c>
      <c r="O34" s="37"/>
      <c r="X34" s="280">
        <f t="shared" si="1"/>
        <v>0</v>
      </c>
      <c r="Y34" s="281">
        <f t="shared" si="2"/>
        <v>0</v>
      </c>
      <c r="Z34" s="42">
        <f t="shared" si="4"/>
        <v>0</v>
      </c>
      <c r="AA34" s="2" t="b">
        <f>D34='2022'!C270</f>
        <v>1</v>
      </c>
      <c r="AB34" s="2" t="b">
        <f>X34='2022'!AI269</f>
        <v>1</v>
      </c>
      <c r="AC34" s="34"/>
      <c r="AD34" s="34"/>
      <c r="AE34" s="34"/>
    </row>
    <row r="35" ht="15.75" customHeight="1" spans="1:31" x14ac:dyDescent="0.25">
      <c r="A35" s="14"/>
      <c r="B35" s="115">
        <v>31</v>
      </c>
      <c r="C35" s="116">
        <v>4</v>
      </c>
      <c r="D35" s="117" t="s">
        <v>149</v>
      </c>
      <c r="E35" s="106">
        <f>'2022'!BH278</f>
        <v>0</v>
      </c>
      <c r="F35" s="106">
        <f>'2022'!BH279</f>
        <v>0</v>
      </c>
      <c r="G35" s="106">
        <f>'2022'!BH280</f>
        <v>-105.33</v>
      </c>
      <c r="H35" s="106">
        <f>'2022'!BH281</f>
        <v>0</v>
      </c>
      <c r="I35" s="106">
        <f>'2022'!BH282</f>
        <v>0</v>
      </c>
      <c r="J35" s="106">
        <f>'2022'!BH283</f>
        <v>0</v>
      </c>
      <c r="K35" s="106">
        <f>'2022'!BH284</f>
        <v>0</v>
      </c>
      <c r="L35" s="106">
        <f>'2022'!BH285</f>
        <v>0</v>
      </c>
      <c r="M35" s="106">
        <f t="shared" si="0"/>
        <v>-105.33</v>
      </c>
      <c r="N35" s="106">
        <v>0</v>
      </c>
      <c r="O35" s="37"/>
      <c r="X35" s="280">
        <f t="shared" si="1"/>
        <v>0</v>
      </c>
      <c r="Y35" s="281">
        <f t="shared" si="2"/>
        <v>0</v>
      </c>
      <c r="Z35" s="42">
        <f t="shared" si="4"/>
        <v>0</v>
      </c>
      <c r="AA35" s="2" t="b">
        <f>D35='2022'!C279</f>
        <v>1</v>
      </c>
      <c r="AB35" s="2" t="b">
        <f>X35='2022'!AI278</f>
        <v>1</v>
      </c>
      <c r="AC35" s="34"/>
      <c r="AD35" s="34"/>
      <c r="AE35" s="34"/>
    </row>
    <row r="36" ht="15.75" customHeight="1" spans="1:31" x14ac:dyDescent="0.25">
      <c r="A36" s="14"/>
      <c r="B36" s="115">
        <v>32</v>
      </c>
      <c r="C36" s="115">
        <v>3.96</v>
      </c>
      <c r="D36" s="117" t="s">
        <v>152</v>
      </c>
      <c r="E36" s="106">
        <f>'2022'!BH287</f>
        <v>0</v>
      </c>
      <c r="F36" s="106">
        <f>'2022'!BH288</f>
        <v>423.0852</v>
      </c>
      <c r="G36" s="106">
        <f>'2022'!BH289</f>
        <v>577.8</v>
      </c>
      <c r="H36" s="106">
        <f>'2022'!BH290</f>
        <v>0</v>
      </c>
      <c r="I36" s="106">
        <f>'2022'!BH291</f>
        <v>0</v>
      </c>
      <c r="J36" s="106">
        <f>'2022'!BH292</f>
        <v>0</v>
      </c>
      <c r="K36" s="106">
        <f>'2022'!BH293</f>
        <v>0</v>
      </c>
      <c r="L36" s="106">
        <f>'2022'!BH294</f>
        <v>0</v>
      </c>
      <c r="M36" s="106">
        <f t="shared" si="0"/>
        <v>1000.8852</v>
      </c>
      <c r="N36" s="106">
        <v>0</v>
      </c>
      <c r="O36" s="37"/>
      <c r="X36" s="280">
        <f t="shared" si="1"/>
        <v>0</v>
      </c>
      <c r="Y36" s="281">
        <f t="shared" si="2"/>
        <v>0</v>
      </c>
      <c r="Z36" s="42">
        <f t="shared" si="4"/>
        <v>0</v>
      </c>
      <c r="AA36" s="2" t="b">
        <f>D36='2022'!C288</f>
        <v>1</v>
      </c>
      <c r="AB36" s="2" t="b">
        <f>X36='2022'!AI287</f>
        <v>1</v>
      </c>
      <c r="AC36" s="34"/>
      <c r="AD36" s="34"/>
      <c r="AE36" s="34"/>
    </row>
    <row r="37" ht="15.75" customHeight="1" spans="1:31" x14ac:dyDescent="0.25">
      <c r="A37" s="14"/>
      <c r="B37" s="115">
        <v>33</v>
      </c>
      <c r="C37" s="115">
        <v>4.01</v>
      </c>
      <c r="D37" s="117" t="s">
        <v>154</v>
      </c>
      <c r="E37" s="106">
        <f>'2022'!BH296</f>
        <v>148.93</v>
      </c>
      <c r="F37" s="106">
        <f>'2022'!BH297</f>
        <v>0.341</v>
      </c>
      <c r="G37" s="106">
        <f>'2022'!BH298</f>
        <v>0</v>
      </c>
      <c r="H37" s="106">
        <f>'2022'!BH299</f>
        <v>0</v>
      </c>
      <c r="I37" s="106">
        <f>'2022'!BH300</f>
        <v>9624</v>
      </c>
      <c r="J37" s="106">
        <f>'2022'!BH301</f>
        <v>1000</v>
      </c>
      <c r="K37" s="106">
        <f>'2022'!BH302</f>
        <v>0</v>
      </c>
      <c r="L37" s="106">
        <f>'2022'!BH303</f>
        <v>0</v>
      </c>
      <c r="M37" s="106">
        <f t="shared" si="0"/>
        <v>10773.271</v>
      </c>
      <c r="N37" s="106">
        <v>10623.999999999996</v>
      </c>
      <c r="O37" s="37">
        <f>IF(P37&gt;0,P37-1,$O$1)</f>
        <v>30</v>
      </c>
      <c r="T37" s="15"/>
      <c r="U37" s="15"/>
      <c r="V37" s="15"/>
      <c r="W37" s="15"/>
      <c r="X37" s="282">
        <f t="shared" si="1"/>
        <v>31.87</v>
      </c>
      <c r="Y37" s="281">
        <f t="shared" si="2"/>
        <v>10624</v>
      </c>
      <c r="Z37" s="42">
        <f t="shared" si="4"/>
        <v>10624</v>
      </c>
      <c r="AA37" s="2" t="b">
        <f>D37='2022'!C297</f>
        <v>1</v>
      </c>
      <c r="AB37" s="317" t="b">
        <f>X37='2022'!AI296</f>
        <v>0</v>
      </c>
      <c r="AC37" s="34"/>
      <c r="AD37" s="34"/>
      <c r="AE37" s="34"/>
    </row>
    <row r="38" ht="15.75" customHeight="1" spans="1:31" x14ac:dyDescent="0.25">
      <c r="A38" s="14"/>
      <c r="B38" s="115">
        <v>34</v>
      </c>
      <c r="C38" s="115">
        <v>4.01</v>
      </c>
      <c r="D38" s="117" t="s">
        <v>155</v>
      </c>
      <c r="E38" s="106">
        <f>'2022'!BH305</f>
        <v>-71.48</v>
      </c>
      <c r="F38" s="106">
        <f>'2022'!BH306</f>
        <v>2463.59898</v>
      </c>
      <c r="G38" s="106">
        <f>'2022'!BH307</f>
        <v>556.4</v>
      </c>
      <c r="H38" s="106">
        <f>'2022'!BH308</f>
        <v>0</v>
      </c>
      <c r="I38" s="106">
        <f>'2022'!BH309</f>
        <v>0</v>
      </c>
      <c r="J38" s="106">
        <f>'2022'!BH310</f>
        <v>0</v>
      </c>
      <c r="K38" s="106">
        <f>'2022'!BH311</f>
        <v>0</v>
      </c>
      <c r="L38" s="106">
        <f>'2022'!BH312</f>
        <v>0</v>
      </c>
      <c r="M38" s="106">
        <f t="shared" si="0"/>
        <v>2948.51898</v>
      </c>
      <c r="N38" s="106">
        <v>0</v>
      </c>
      <c r="O38" s="37"/>
      <c r="P38" s="15"/>
      <c r="Q38" s="15"/>
      <c r="R38" s="15"/>
      <c r="S38" s="15"/>
      <c r="T38" s="15"/>
      <c r="U38" s="15"/>
      <c r="V38" s="15"/>
      <c r="W38" s="15"/>
      <c r="X38" s="285">
        <f t="shared" si="1"/>
        <v>0</v>
      </c>
      <c r="Y38" s="281">
        <f t="shared" si="2"/>
        <v>0</v>
      </c>
      <c r="Z38" s="42">
        <f t="shared" si="4"/>
        <v>0</v>
      </c>
      <c r="AA38" s="2" t="b">
        <f>D38='2022'!C306</f>
        <v>1</v>
      </c>
      <c r="AB38" s="2" t="b">
        <f>X38='2022'!AI305</f>
        <v>1</v>
      </c>
      <c r="AC38" s="34"/>
      <c r="AD38" s="34"/>
      <c r="AE38" s="34"/>
    </row>
    <row r="39" spans="1:48" x14ac:dyDescent="0.25">
      <c r="A39" s="14"/>
      <c r="B39" s="17" t="s">
        <v>353</v>
      </c>
      <c r="C39" s="17" t="s">
        <v>354</v>
      </c>
      <c r="D39" s="16" t="s">
        <v>355</v>
      </c>
      <c r="E39" s="156" t="s">
        <v>465</v>
      </c>
      <c r="F39" s="4" t="s">
        <v>44</v>
      </c>
      <c r="G39" s="4" t="s">
        <v>466</v>
      </c>
      <c r="H39" s="4" t="s">
        <v>467</v>
      </c>
      <c r="I39" s="156" t="s">
        <v>50</v>
      </c>
      <c r="J39" s="156" t="s">
        <v>51</v>
      </c>
      <c r="K39" s="156" t="s">
        <v>523</v>
      </c>
      <c r="L39" s="4" t="s">
        <v>52</v>
      </c>
      <c r="M39" s="4" t="s">
        <v>35</v>
      </c>
      <c r="N39" s="106"/>
      <c r="O39" s="37"/>
      <c r="P39" s="15"/>
      <c r="Q39" s="15"/>
      <c r="R39" s="15"/>
      <c r="S39" s="15"/>
      <c r="T39" s="15"/>
      <c r="U39" s="15"/>
      <c r="V39" s="15"/>
      <c r="W39" s="15"/>
      <c r="X39" s="285"/>
      <c r="Y39" s="281"/>
      <c r="Z39" s="42"/>
      <c r="AA39" s="2"/>
      <c r="AB39" s="2"/>
      <c r="AC39" s="34"/>
      <c r="AD39" s="34"/>
      <c r="AE39" s="34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</row>
    <row r="40" spans="1:48" x14ac:dyDescent="0.25">
      <c r="A40" s="14"/>
      <c r="B40" s="113" t="s">
        <v>23</v>
      </c>
      <c r="C40" s="24"/>
      <c r="D40" s="23"/>
      <c r="E40" s="14" t="s">
        <v>472</v>
      </c>
      <c r="F40" s="14"/>
      <c r="G40" s="14" t="s">
        <v>48</v>
      </c>
      <c r="H40" s="14" t="s">
        <v>354</v>
      </c>
      <c r="I40" s="14"/>
      <c r="J40" s="14"/>
      <c r="K40" s="178" t="s">
        <v>354</v>
      </c>
      <c r="L40" s="14"/>
      <c r="M40" s="14" t="s">
        <v>40</v>
      </c>
      <c r="N40" s="106"/>
      <c r="O40" s="37"/>
      <c r="P40" s="15"/>
      <c r="Q40" s="15"/>
      <c r="R40" s="15"/>
      <c r="S40" s="15"/>
      <c r="T40" s="15"/>
      <c r="U40" s="15"/>
      <c r="V40" s="15"/>
      <c r="W40" s="15"/>
      <c r="X40" s="285"/>
      <c r="Y40" s="281"/>
      <c r="Z40" s="42"/>
      <c r="AA40" s="2"/>
      <c r="AB40" s="2"/>
      <c r="AC40" s="34"/>
      <c r="AD40" s="34"/>
      <c r="AE40" s="34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</row>
    <row r="41" ht="15.75" customHeight="1" spans="1:31" x14ac:dyDescent="0.25">
      <c r="A41" s="14"/>
      <c r="B41" s="115">
        <v>35</v>
      </c>
      <c r="C41" s="115">
        <v>4.01</v>
      </c>
      <c r="D41" s="117" t="s">
        <v>157</v>
      </c>
      <c r="E41" s="106">
        <f>'2022'!BH314</f>
        <v>0</v>
      </c>
      <c r="F41" s="106">
        <f>'2022'!BH315</f>
        <v>0</v>
      </c>
      <c r="G41" s="106">
        <f>'2022'!BH316</f>
        <v>0</v>
      </c>
      <c r="H41" s="106">
        <f>'2022'!BH317</f>
        <v>0</v>
      </c>
      <c r="I41" s="106">
        <f>'2022'!BH318</f>
        <v>0</v>
      </c>
      <c r="J41" s="106">
        <f>'2022'!BH319</f>
        <v>0</v>
      </c>
      <c r="K41" s="106">
        <f>'2022'!BH320</f>
        <v>0</v>
      </c>
      <c r="L41" s="106">
        <f>'2022'!BH321</f>
        <v>0</v>
      </c>
      <c r="M41" s="106">
        <f t="shared" ref="M41:M75" si="6">SUM(E41:L41)</f>
        <v>0</v>
      </c>
      <c r="N41" s="106">
        <v>0</v>
      </c>
      <c r="O41" s="37"/>
      <c r="X41" s="285">
        <f t="shared" ref="X41:X75" si="7">ROUND(0.01%*(N41*O41+R41*S41+V41*W41),2)</f>
        <v>0</v>
      </c>
      <c r="Y41" s="281">
        <f t="shared" ref="Y41:Y75" si="8">N41-Q41-U41</f>
        <v>0</v>
      </c>
      <c r="Z41" s="42">
        <f t="shared" ref="Z41:Z75" si="9">(I41+J41+K41)-AC41-AD41</f>
        <v>0</v>
      </c>
      <c r="AA41" s="2" t="b">
        <f>D41='2022'!C315</f>
        <v>1</v>
      </c>
      <c r="AB41" s="2" t="b">
        <f>X41='2022'!AI314</f>
        <v>1</v>
      </c>
      <c r="AC41" s="34"/>
      <c r="AD41" s="34"/>
      <c r="AE41" s="34"/>
    </row>
    <row r="42" ht="15.75" customHeight="1" spans="1:31" x14ac:dyDescent="0.25">
      <c r="A42" s="14"/>
      <c r="B42" s="115">
        <v>36</v>
      </c>
      <c r="C42" s="115">
        <v>4.03</v>
      </c>
      <c r="D42" s="117" t="s">
        <v>160</v>
      </c>
      <c r="E42" s="106">
        <f>'2022'!BH323</f>
        <v>46.05</v>
      </c>
      <c r="F42" s="106">
        <f>'2022'!BH324</f>
        <v>-75.01202</v>
      </c>
      <c r="G42" s="106">
        <f>'2022'!BH325</f>
        <v>437.85</v>
      </c>
      <c r="H42" s="106">
        <f>'2022'!BH326</f>
        <v>0</v>
      </c>
      <c r="I42" s="106">
        <f>'2022'!BH327</f>
        <v>5239</v>
      </c>
      <c r="J42" s="106">
        <f>'2022'!BH328</f>
        <v>1500</v>
      </c>
      <c r="K42" s="106">
        <f>'2022'!BH329</f>
        <v>2015</v>
      </c>
      <c r="L42" s="106">
        <f>'2022'!BH330</f>
        <v>0</v>
      </c>
      <c r="M42" s="106">
        <f t="shared" si="6"/>
        <v>9162.88798</v>
      </c>
      <c r="N42" s="106">
        <v>8754</v>
      </c>
      <c r="O42" s="37">
        <f>IF(P42&gt;0,P42-1,$O$1)</f>
        <v>30</v>
      </c>
      <c r="X42" s="284">
        <f t="shared" si="7"/>
        <v>26.26</v>
      </c>
      <c r="Y42" s="281">
        <f t="shared" si="8"/>
        <v>8754</v>
      </c>
      <c r="Z42" s="42">
        <f t="shared" si="9"/>
        <v>8754</v>
      </c>
      <c r="AA42" s="2" t="b">
        <f>D42='2022'!C324</f>
        <v>1</v>
      </c>
      <c r="AB42" s="317" t="b">
        <f>X42='2022'!AI323</f>
        <v>0</v>
      </c>
      <c r="AC42" s="34"/>
      <c r="AD42" s="34"/>
      <c r="AE42" s="34"/>
    </row>
    <row r="43" ht="15.75" customHeight="1" spans="1:31" x14ac:dyDescent="0.25">
      <c r="A43" s="14"/>
      <c r="B43" s="115">
        <v>37</v>
      </c>
      <c r="C43" s="115">
        <v>4.06</v>
      </c>
      <c r="D43" s="117" t="s">
        <v>162</v>
      </c>
      <c r="E43" s="106">
        <f>'2022'!BH332</f>
        <v>1.22</v>
      </c>
      <c r="F43" s="106">
        <f>'2022'!BH333</f>
        <v>0</v>
      </c>
      <c r="G43" s="106">
        <f>'2022'!BH334</f>
        <v>0</v>
      </c>
      <c r="H43" s="106">
        <f>'2022'!BH335</f>
        <v>0</v>
      </c>
      <c r="I43" s="106">
        <f>'2022'!BH336</f>
        <v>0</v>
      </c>
      <c r="J43" s="106">
        <f>'2022'!BH337</f>
        <v>0</v>
      </c>
      <c r="K43" s="106">
        <f>'2022'!BH338</f>
        <v>0</v>
      </c>
      <c r="L43" s="106">
        <f>'2022'!BH339</f>
        <v>0</v>
      </c>
      <c r="M43" s="106">
        <f t="shared" si="6"/>
        <v>1.22</v>
      </c>
      <c r="N43" s="106">
        <v>0</v>
      </c>
      <c r="O43" s="37"/>
      <c r="P43" s="2"/>
      <c r="Q43" s="2"/>
      <c r="R43" s="180"/>
      <c r="S43" s="286"/>
      <c r="X43" s="284">
        <f t="shared" si="7"/>
        <v>0</v>
      </c>
      <c r="Y43" s="281">
        <f t="shared" si="8"/>
        <v>0</v>
      </c>
      <c r="Z43" s="42">
        <f t="shared" si="9"/>
        <v>0</v>
      </c>
      <c r="AA43" s="2" t="b">
        <f>D43='2022'!C333</f>
        <v>1</v>
      </c>
      <c r="AB43" s="317" t="b">
        <f>X43='2022'!AI332</f>
        <v>0</v>
      </c>
      <c r="AC43" s="34"/>
      <c r="AD43" s="34"/>
      <c r="AE43" s="34"/>
    </row>
    <row r="44" ht="15.75" customHeight="1" spans="1:31" x14ac:dyDescent="0.25">
      <c r="A44" s="14"/>
      <c r="B44" s="115">
        <v>38</v>
      </c>
      <c r="C44" s="115">
        <v>4.34</v>
      </c>
      <c r="D44" s="117" t="s">
        <v>167</v>
      </c>
      <c r="E44" s="106">
        <f>'2022'!BH341</f>
        <v>0</v>
      </c>
      <c r="F44" s="106">
        <f>'2022'!BH342</f>
        <v>0</v>
      </c>
      <c r="G44" s="106">
        <f>'2022'!BH343</f>
        <v>0</v>
      </c>
      <c r="H44" s="106">
        <f>'2022'!BH344</f>
        <v>0</v>
      </c>
      <c r="I44" s="106">
        <f>'2022'!BH345</f>
        <v>5642</v>
      </c>
      <c r="J44" s="106">
        <f>'2022'!BH346</f>
        <v>1000</v>
      </c>
      <c r="K44" s="106">
        <f>'2022'!BH347</f>
        <v>0</v>
      </c>
      <c r="L44" s="106">
        <f>'2022'!BH348</f>
        <v>0</v>
      </c>
      <c r="M44" s="106">
        <f t="shared" si="6"/>
        <v>6642</v>
      </c>
      <c r="N44" s="106">
        <v>6642</v>
      </c>
      <c r="O44" s="37">
        <f>IF(P44&gt;0,P44-1,$O$1)</f>
        <v>30</v>
      </c>
      <c r="X44" s="285">
        <f t="shared" si="7"/>
        <v>19.93</v>
      </c>
      <c r="Y44" s="281">
        <f t="shared" si="8"/>
        <v>6642</v>
      </c>
      <c r="Z44" s="42">
        <f t="shared" si="9"/>
        <v>6642</v>
      </c>
      <c r="AA44" s="2" t="b">
        <f>D44='2022'!C342</f>
        <v>1</v>
      </c>
      <c r="AB44" s="2" t="b">
        <f>X44='2022'!AI341</f>
        <v>0</v>
      </c>
      <c r="AC44" s="34"/>
      <c r="AD44" s="34"/>
      <c r="AE44" s="34"/>
    </row>
    <row r="45" ht="15.75" customHeight="1" spans="1:31" x14ac:dyDescent="0.25">
      <c r="A45" s="21"/>
      <c r="B45" s="115">
        <v>39</v>
      </c>
      <c r="C45" s="116">
        <v>4</v>
      </c>
      <c r="D45" s="2" t="s">
        <v>402</v>
      </c>
      <c r="E45" s="106">
        <f>'2022'!BH350</f>
        <v>248.5</v>
      </c>
      <c r="F45" s="106">
        <f>'2022'!BH351</f>
        <v>-3702.35452</v>
      </c>
      <c r="G45" s="106">
        <f>'2022'!BH352</f>
        <v>436.3</v>
      </c>
      <c r="H45" s="106">
        <f>'2022'!BH353</f>
        <v>0</v>
      </c>
      <c r="I45" s="106">
        <f>'2022'!BH354</f>
        <v>0</v>
      </c>
      <c r="J45" s="106">
        <f>'2022'!BH355</f>
        <v>0</v>
      </c>
      <c r="K45" s="106">
        <f>'2022'!BH356</f>
        <v>0</v>
      </c>
      <c r="L45" s="106">
        <f>'2022'!BH357</f>
        <v>-500</v>
      </c>
      <c r="M45" s="106">
        <f t="shared" si="6"/>
        <v>-3517.55452</v>
      </c>
      <c r="N45" s="106">
        <v>0</v>
      </c>
      <c r="O45" s="37"/>
      <c r="P45" s="15"/>
      <c r="Q45" s="15"/>
      <c r="R45" s="34"/>
      <c r="S45" s="37"/>
      <c r="T45" s="15"/>
      <c r="U45" s="15"/>
      <c r="V45" s="15"/>
      <c r="W45" s="15"/>
      <c r="X45" s="285">
        <f t="shared" si="7"/>
        <v>0</v>
      </c>
      <c r="Y45" s="281">
        <f t="shared" si="8"/>
        <v>0</v>
      </c>
      <c r="Z45" s="42">
        <f t="shared" si="9"/>
        <v>0</v>
      </c>
      <c r="AA45" s="2" t="b">
        <f>D45='2022'!C351</f>
        <v>1</v>
      </c>
      <c r="AB45" s="2" t="b">
        <f>X45='2022'!AI350</f>
        <v>1</v>
      </c>
      <c r="AC45" s="34"/>
      <c r="AD45" s="34"/>
      <c r="AE45" s="34"/>
    </row>
    <row r="46" ht="15.75" customHeight="1" spans="1:31" x14ac:dyDescent="0.25">
      <c r="A46" s="114" t="s">
        <v>173</v>
      </c>
      <c r="B46" s="115">
        <v>40</v>
      </c>
      <c r="C46" s="115">
        <v>4.92</v>
      </c>
      <c r="D46" s="117" t="s">
        <v>174</v>
      </c>
      <c r="E46" s="106">
        <f>'2022'!BH359</f>
        <v>-0.26</v>
      </c>
      <c r="F46" s="106">
        <f>'2022'!BH360</f>
        <v>1404.4309</v>
      </c>
      <c r="G46" s="106">
        <f>'2022'!BH361</f>
        <v>-0.78</v>
      </c>
      <c r="H46" s="106">
        <f>'2022'!BH362</f>
        <v>0</v>
      </c>
      <c r="I46" s="106">
        <f>'2022'!BH363</f>
        <v>0</v>
      </c>
      <c r="J46" s="106">
        <f>'2022'!BH364</f>
        <v>0</v>
      </c>
      <c r="K46" s="106">
        <f>'2022'!BH365</f>
        <v>0</v>
      </c>
      <c r="L46" s="106">
        <f>'2022'!BH366</f>
        <v>0</v>
      </c>
      <c r="M46" s="106">
        <f t="shared" si="6"/>
        <v>1403.3909</v>
      </c>
      <c r="N46" s="106">
        <v>2878</v>
      </c>
      <c r="O46" s="37">
        <f>IF(P46&gt;0,P46-1,$O$1)</f>
        <v>30</v>
      </c>
      <c r="X46" s="285">
        <f t="shared" si="7"/>
        <v>8.63</v>
      </c>
      <c r="Y46" s="281">
        <f t="shared" si="8"/>
        <v>2878</v>
      </c>
      <c r="Z46" s="42">
        <f t="shared" si="9"/>
        <v>0</v>
      </c>
      <c r="AA46" s="2" t="b">
        <f>D46='2022'!C360</f>
        <v>1</v>
      </c>
      <c r="AB46" s="2" t="b">
        <f>X46='2022'!AI359</f>
        <v>0</v>
      </c>
      <c r="AC46" s="34"/>
      <c r="AD46" s="34"/>
      <c r="AE46" s="34"/>
    </row>
    <row r="47" ht="15.75" customHeight="1" spans="1:48" x14ac:dyDescent="0.25">
      <c r="A47" s="14"/>
      <c r="B47" s="115">
        <v>41</v>
      </c>
      <c r="C47" s="115">
        <v>4.87</v>
      </c>
      <c r="D47" s="117" t="s">
        <v>177</v>
      </c>
      <c r="E47" s="106">
        <f>'2022'!BH368</f>
        <v>0</v>
      </c>
      <c r="F47" s="106">
        <f>'2022'!BH369</f>
        <v>-20</v>
      </c>
      <c r="G47" s="106">
        <f>'2022'!BH370</f>
        <v>0</v>
      </c>
      <c r="H47" s="106">
        <f>'2022'!BH371</f>
        <v>0</v>
      </c>
      <c r="I47" s="106">
        <f>'2022'!BH372</f>
        <v>0</v>
      </c>
      <c r="J47" s="106">
        <f>'2022'!BH373</f>
        <v>0</v>
      </c>
      <c r="K47" s="106">
        <f>'2022'!BH374</f>
        <v>0</v>
      </c>
      <c r="L47" s="106">
        <f>'2022'!BH375</f>
        <v>0</v>
      </c>
      <c r="M47" s="106">
        <f t="shared" si="6"/>
        <v>-20</v>
      </c>
      <c r="N47" s="106">
        <v>0</v>
      </c>
      <c r="O47" s="37"/>
      <c r="X47" s="284">
        <f t="shared" si="7"/>
        <v>0</v>
      </c>
      <c r="Y47" s="281">
        <f t="shared" si="8"/>
        <v>0</v>
      </c>
      <c r="Z47" s="42">
        <f t="shared" si="9"/>
        <v>0</v>
      </c>
      <c r="AA47" s="2" t="b">
        <f>D47='2022'!C369</f>
        <v>1</v>
      </c>
      <c r="AB47" s="317" t="b">
        <f>X47='2022'!AI368</f>
        <v>0</v>
      </c>
      <c r="AC47" s="34"/>
      <c r="AD47" s="34"/>
      <c r="AE47" s="34"/>
      <c r="AV47" s="34"/>
    </row>
    <row r="48" ht="15.75" customHeight="1" spans="1:31" x14ac:dyDescent="0.25">
      <c r="A48" s="14"/>
      <c r="B48" s="115">
        <v>42</v>
      </c>
      <c r="C48" s="116">
        <v>4.9</v>
      </c>
      <c r="D48" s="2" t="s">
        <v>181</v>
      </c>
      <c r="E48" s="106">
        <f>'2022'!BH377</f>
        <v>354.15</v>
      </c>
      <c r="F48" s="106">
        <f>'2022'!BH378</f>
        <v>3666.1373</v>
      </c>
      <c r="G48" s="106">
        <f>'2022'!BH379</f>
        <v>70.73</v>
      </c>
      <c r="H48" s="106">
        <f>'2022'!BH380</f>
        <v>0</v>
      </c>
      <c r="I48" s="106">
        <f>'2022'!BH381</f>
        <v>11760</v>
      </c>
      <c r="J48" s="106">
        <f>'2022'!BH382</f>
        <v>1000</v>
      </c>
      <c r="K48" s="106">
        <f>'2022'!BH383</f>
        <v>0.5</v>
      </c>
      <c r="L48" s="106">
        <f>'2022'!BH384</f>
        <v>0</v>
      </c>
      <c r="M48" s="106">
        <f t="shared" si="6"/>
        <v>16851.5173</v>
      </c>
      <c r="N48" s="106">
        <v>12760.5</v>
      </c>
      <c r="O48" s="37">
        <f>IF(P48&gt;0,P48-1,$O$1)</f>
        <v>30</v>
      </c>
      <c r="Q48" s="34"/>
      <c r="R48" s="34"/>
      <c r="T48" s="15"/>
      <c r="U48" s="15"/>
      <c r="V48" s="15"/>
      <c r="W48" s="15"/>
      <c r="X48" s="282">
        <f t="shared" si="7"/>
        <v>38.28</v>
      </c>
      <c r="Y48" s="281">
        <f t="shared" si="8"/>
        <v>12760.5</v>
      </c>
      <c r="Z48" s="42">
        <f t="shared" si="9"/>
        <v>12760.5</v>
      </c>
      <c r="AA48" s="2" t="b">
        <f>D48='2022'!C378</f>
        <v>1</v>
      </c>
      <c r="AB48" s="317" t="b">
        <f>X48='2022'!AI377</f>
        <v>0</v>
      </c>
      <c r="AC48" s="34"/>
      <c r="AD48" s="34"/>
      <c r="AE48" s="34"/>
    </row>
    <row r="49" ht="15.75" customHeight="1" spans="1:31" x14ac:dyDescent="0.25">
      <c r="A49" s="14"/>
      <c r="B49" s="115">
        <v>43</v>
      </c>
      <c r="C49" s="115">
        <v>4.96</v>
      </c>
      <c r="D49" s="117" t="s">
        <v>185</v>
      </c>
      <c r="E49" s="106">
        <f>'2022'!BH386</f>
        <v>1.29</v>
      </c>
      <c r="F49" s="106">
        <f>'2022'!BH387</f>
        <v>1302.41652</v>
      </c>
      <c r="G49" s="106">
        <f>'2022'!BH388</f>
        <v>63.8</v>
      </c>
      <c r="H49" s="106">
        <f>'2022'!BH389</f>
        <v>0</v>
      </c>
      <c r="I49" s="106">
        <f>'2022'!BH390</f>
        <v>0</v>
      </c>
      <c r="J49" s="106">
        <f>'2022'!BH391</f>
        <v>0</v>
      </c>
      <c r="K49" s="106">
        <f>'2022'!BH392</f>
        <v>-27</v>
      </c>
      <c r="L49" s="106">
        <f>'2022'!BH393</f>
        <v>0</v>
      </c>
      <c r="M49" s="106">
        <f t="shared" si="6"/>
        <v>1340.50652</v>
      </c>
      <c r="N49" s="106">
        <v>-27</v>
      </c>
      <c r="O49" s="37"/>
      <c r="Q49" s="34"/>
      <c r="R49" s="34"/>
      <c r="X49" s="280">
        <f t="shared" si="7"/>
        <v>0</v>
      </c>
      <c r="Y49" s="281">
        <f t="shared" si="8"/>
        <v>-27</v>
      </c>
      <c r="Z49" s="42">
        <f t="shared" si="9"/>
        <v>-27</v>
      </c>
      <c r="AA49" s="2" t="b">
        <f>D49='2022'!C387</f>
        <v>1</v>
      </c>
      <c r="AB49" s="317" t="b">
        <f>X49='2022'!AI386</f>
        <v>1</v>
      </c>
      <c r="AC49" s="34"/>
      <c r="AD49" s="34"/>
      <c r="AE49" s="34"/>
    </row>
    <row r="50" ht="15.75" customHeight="1" spans="1:31" x14ac:dyDescent="0.25">
      <c r="A50" s="14"/>
      <c r="B50" s="115">
        <v>44</v>
      </c>
      <c r="C50" s="115">
        <v>4.01</v>
      </c>
      <c r="D50" s="15" t="s">
        <v>412</v>
      </c>
      <c r="E50" s="106">
        <f>'2022'!BH395</f>
        <v>3.4</v>
      </c>
      <c r="F50" s="106">
        <f>'2022'!BH396</f>
        <v>29.13606</v>
      </c>
      <c r="G50" s="106">
        <f>'2022'!BH397</f>
        <v>126.3</v>
      </c>
      <c r="H50" s="106">
        <f>'2022'!BH398</f>
        <v>0</v>
      </c>
      <c r="I50" s="106">
        <f>'2022'!BH399</f>
        <v>5213</v>
      </c>
      <c r="J50" s="106">
        <f>'2022'!BH400</f>
        <v>1000</v>
      </c>
      <c r="K50" s="106">
        <f>'2022'!BH401</f>
        <v>0</v>
      </c>
      <c r="L50" s="106">
        <f>'2022'!BH402</f>
        <v>0</v>
      </c>
      <c r="M50" s="106">
        <f t="shared" si="6"/>
        <v>6371.83606</v>
      </c>
      <c r="N50" s="106">
        <v>6213</v>
      </c>
      <c r="O50" s="37">
        <f t="shared" ref="O50:O51" si="10">IF(P50&gt;0,P50-1,$O$1)</f>
        <v>30</v>
      </c>
      <c r="P50" s="15"/>
      <c r="Q50" s="34"/>
      <c r="R50" s="34"/>
      <c r="S50" s="37"/>
      <c r="T50" s="15"/>
      <c r="U50" s="15"/>
      <c r="V50" s="15"/>
      <c r="W50" s="15"/>
      <c r="X50" s="280">
        <f t="shared" si="7"/>
        <v>18.64</v>
      </c>
      <c r="Y50" s="281">
        <f t="shared" si="8"/>
        <v>6213</v>
      </c>
      <c r="Z50" s="42">
        <f t="shared" si="9"/>
        <v>6213</v>
      </c>
      <c r="AA50" s="2" t="b">
        <f>D50='2022'!C396</f>
        <v>1</v>
      </c>
      <c r="AB50" s="317" t="b">
        <f>X50='2022'!AI395</f>
        <v>0</v>
      </c>
      <c r="AC50" s="34"/>
      <c r="AD50" s="34"/>
      <c r="AE50" s="34"/>
    </row>
    <row r="51" ht="15.75" customHeight="1" spans="1:31" x14ac:dyDescent="0.25">
      <c r="A51" s="14"/>
      <c r="B51" s="115">
        <v>45</v>
      </c>
      <c r="C51" s="115">
        <v>5.04</v>
      </c>
      <c r="D51" s="117" t="s">
        <v>189</v>
      </c>
      <c r="E51" s="106">
        <f>'2022'!BH404</f>
        <v>0</v>
      </c>
      <c r="F51" s="106">
        <f>'2022'!BH405</f>
        <v>0</v>
      </c>
      <c r="G51" s="106">
        <f>'2022'!BH406</f>
        <v>0</v>
      </c>
      <c r="H51" s="106">
        <f>'2022'!BH407</f>
        <v>0</v>
      </c>
      <c r="I51" s="106">
        <f>'2022'!BH408</f>
        <v>6552</v>
      </c>
      <c r="J51" s="106">
        <f>'2022'!BH409</f>
        <v>1000</v>
      </c>
      <c r="K51" s="106">
        <f>'2022'!BH410</f>
        <v>0</v>
      </c>
      <c r="L51" s="106">
        <f>'2022'!BH411</f>
        <v>0</v>
      </c>
      <c r="M51" s="106">
        <f t="shared" si="6"/>
        <v>7552</v>
      </c>
      <c r="N51" s="106">
        <v>7552</v>
      </c>
      <c r="O51" s="37">
        <f t="shared" si="10"/>
        <v>30</v>
      </c>
      <c r="X51" s="280">
        <f t="shared" si="7"/>
        <v>22.66</v>
      </c>
      <c r="Y51" s="281">
        <f t="shared" si="8"/>
        <v>7552</v>
      </c>
      <c r="Z51" s="42">
        <f t="shared" si="9"/>
        <v>7552</v>
      </c>
      <c r="AA51" s="2" t="b">
        <f>D51='2022'!C405</f>
        <v>1</v>
      </c>
      <c r="AB51" s="2" t="b">
        <f>X51='2022'!AI404</f>
        <v>0</v>
      </c>
      <c r="AC51" s="34"/>
      <c r="AD51" s="34"/>
      <c r="AE51" s="34"/>
    </row>
    <row r="52" ht="15.75" customHeight="1" spans="1:31" x14ac:dyDescent="0.25">
      <c r="A52" s="14"/>
      <c r="B52" s="115">
        <v>46</v>
      </c>
      <c r="C52" s="116">
        <v>4</v>
      </c>
      <c r="D52" s="117" t="s">
        <v>188</v>
      </c>
      <c r="E52" s="106">
        <f>'2022'!BH413</f>
        <v>0</v>
      </c>
      <c r="F52" s="106">
        <f>'2022'!BH414</f>
        <v>445.0557</v>
      </c>
      <c r="G52" s="106">
        <f>'2022'!BH415</f>
        <v>0</v>
      </c>
      <c r="H52" s="106">
        <f>'2022'!BH416</f>
        <v>0</v>
      </c>
      <c r="I52" s="106">
        <f>'2022'!BH417</f>
        <v>0</v>
      </c>
      <c r="J52" s="106">
        <f>'2022'!BH418</f>
        <v>0</v>
      </c>
      <c r="K52" s="106">
        <f>'2022'!BH419</f>
        <v>0</v>
      </c>
      <c r="L52" s="106">
        <f>'2022'!BH420</f>
        <v>0</v>
      </c>
      <c r="M52" s="106">
        <f t="shared" si="6"/>
        <v>445.0557</v>
      </c>
      <c r="N52" s="106">
        <v>0</v>
      </c>
      <c r="O52" s="37"/>
      <c r="X52" s="280">
        <f t="shared" si="7"/>
        <v>0</v>
      </c>
      <c r="Y52" s="281">
        <f t="shared" si="8"/>
        <v>0</v>
      </c>
      <c r="Z52" s="42">
        <f t="shared" si="9"/>
        <v>0</v>
      </c>
      <c r="AA52" s="2" t="b">
        <f>D52='2022'!C414</f>
        <v>1</v>
      </c>
      <c r="AB52" s="2" t="b">
        <f>X52='2022'!AI413</f>
        <v>1</v>
      </c>
      <c r="AC52" s="34"/>
      <c r="AD52" s="34"/>
      <c r="AE52" s="34"/>
    </row>
    <row r="53" ht="15.75" customHeight="1" spans="1:31" x14ac:dyDescent="0.25">
      <c r="A53" s="14"/>
      <c r="B53" s="115">
        <v>47</v>
      </c>
      <c r="C53" s="116">
        <v>5</v>
      </c>
      <c r="D53" s="117" t="s">
        <v>192</v>
      </c>
      <c r="E53" s="106">
        <f>'2022'!BH422</f>
        <v>10.68</v>
      </c>
      <c r="F53" s="106">
        <f>'2022'!BH423</f>
        <v>0</v>
      </c>
      <c r="G53" s="106">
        <f>'2022'!BH424</f>
        <v>-0.02</v>
      </c>
      <c r="H53" s="106">
        <f>'2022'!BH425</f>
        <v>0</v>
      </c>
      <c r="I53" s="106">
        <f>'2022'!BH426</f>
        <v>7083.82</v>
      </c>
      <c r="J53" s="106">
        <f>'2022'!BH427</f>
        <v>1000</v>
      </c>
      <c r="K53" s="106">
        <f>'2022'!BH428</f>
        <v>0</v>
      </c>
      <c r="L53" s="106">
        <f>'2022'!BH429</f>
        <v>0</v>
      </c>
      <c r="M53" s="106">
        <f t="shared" si="6"/>
        <v>8094.48</v>
      </c>
      <c r="N53" s="106">
        <v>8083.82</v>
      </c>
      <c r="O53" s="37">
        <f t="shared" ref="O53:O54" si="11">IF(P53&gt;0,P53-1,$O$1)</f>
        <v>30</v>
      </c>
      <c r="Q53" s="34"/>
      <c r="R53" s="34"/>
      <c r="X53" s="282">
        <f t="shared" si="7"/>
        <v>24.25</v>
      </c>
      <c r="Y53" s="281">
        <f t="shared" si="8"/>
        <v>8083.82</v>
      </c>
      <c r="Z53" s="42">
        <f t="shared" si="9"/>
        <v>8083.82</v>
      </c>
      <c r="AA53" s="2" t="b">
        <f>D53='2022'!C423</f>
        <v>1</v>
      </c>
      <c r="AB53" s="317" t="b">
        <f>X53='2022'!AI422</f>
        <v>0</v>
      </c>
      <c r="AC53" s="34"/>
      <c r="AD53" s="34"/>
      <c r="AE53" s="34"/>
    </row>
    <row r="54" ht="15.75" customHeight="1" spans="1:31" x14ac:dyDescent="0.25">
      <c r="A54" s="14"/>
      <c r="B54" s="115">
        <v>48</v>
      </c>
      <c r="C54" s="115">
        <v>5.93</v>
      </c>
      <c r="D54" s="117" t="s">
        <v>553</v>
      </c>
      <c r="E54" s="106">
        <f>'2022'!BH431</f>
        <v>0</v>
      </c>
      <c r="F54" s="106">
        <f>'2022'!BH432</f>
        <v>0</v>
      </c>
      <c r="G54" s="106">
        <f>'2022'!BH433</f>
        <v>244</v>
      </c>
      <c r="H54" s="106">
        <f>'2022'!BH434</f>
        <v>0</v>
      </c>
      <c r="I54" s="106">
        <f>'2022'!BH435</f>
        <v>7709</v>
      </c>
      <c r="J54" s="106">
        <f>'2022'!BH436</f>
        <v>0</v>
      </c>
      <c r="K54" s="106">
        <f>'2022'!BH437</f>
        <v>0</v>
      </c>
      <c r="L54" s="106">
        <f>'2022'!BH438</f>
        <v>0</v>
      </c>
      <c r="M54" s="106">
        <f t="shared" si="6"/>
        <v>7953</v>
      </c>
      <c r="N54" s="106">
        <v>7709</v>
      </c>
      <c r="O54" s="37">
        <f t="shared" si="11"/>
        <v>30</v>
      </c>
      <c r="P54" s="15"/>
      <c r="Q54" s="34"/>
      <c r="R54" s="34"/>
      <c r="S54" s="37"/>
      <c r="T54" s="15"/>
      <c r="U54" s="15"/>
      <c r="V54" s="15"/>
      <c r="W54" s="15"/>
      <c r="X54" s="280">
        <f t="shared" si="7"/>
        <v>23.13</v>
      </c>
      <c r="Y54" s="281">
        <f t="shared" si="8"/>
        <v>7709</v>
      </c>
      <c r="Z54" s="42">
        <f t="shared" si="9"/>
        <v>7709</v>
      </c>
      <c r="AA54" s="2" t="b">
        <f>D54='2022'!C432</f>
        <v>1</v>
      </c>
      <c r="AB54" s="2" t="b">
        <f>X54='2022'!AI431</f>
        <v>0</v>
      </c>
      <c r="AC54" s="34"/>
      <c r="AD54" s="34"/>
      <c r="AE54" s="34"/>
    </row>
    <row r="55" ht="15.75" customHeight="1" spans="1:31" x14ac:dyDescent="0.25">
      <c r="A55" s="14"/>
      <c r="B55" s="115">
        <v>49</v>
      </c>
      <c r="C55" s="115">
        <v>5.03</v>
      </c>
      <c r="D55" s="117" t="s">
        <v>197</v>
      </c>
      <c r="E55" s="106">
        <f>'2022'!BH440</f>
        <v>0</v>
      </c>
      <c r="F55" s="106">
        <f>'2022'!BH441</f>
        <v>0</v>
      </c>
      <c r="G55" s="106">
        <f>'2022'!BH442</f>
        <v>0</v>
      </c>
      <c r="H55" s="106">
        <f>'2022'!BH443</f>
        <v>0</v>
      </c>
      <c r="I55" s="106">
        <f>'2022'!BH444</f>
        <v>0</v>
      </c>
      <c r="J55" s="106">
        <f>'2022'!BH445</f>
        <v>0</v>
      </c>
      <c r="K55" s="106">
        <f>'2022'!BH446</f>
        <v>0</v>
      </c>
      <c r="L55" s="106">
        <f>'2022'!BH447</f>
        <v>0</v>
      </c>
      <c r="M55" s="106">
        <f t="shared" si="6"/>
        <v>0</v>
      </c>
      <c r="N55" s="106">
        <v>0</v>
      </c>
      <c r="O55" s="37"/>
      <c r="X55" s="280">
        <f t="shared" si="7"/>
        <v>0</v>
      </c>
      <c r="Y55" s="281">
        <f t="shared" si="8"/>
        <v>0</v>
      </c>
      <c r="Z55" s="42">
        <f t="shared" si="9"/>
        <v>0</v>
      </c>
      <c r="AA55" s="2" t="b">
        <f>D55='2022'!C441</f>
        <v>1</v>
      </c>
      <c r="AB55" s="2" t="b">
        <f>X55='2022'!AI440</f>
        <v>1</v>
      </c>
      <c r="AC55" s="34"/>
      <c r="AD55" s="34"/>
      <c r="AE55" s="34"/>
    </row>
    <row r="56" ht="15.75" customHeight="1" spans="1:31" x14ac:dyDescent="0.25">
      <c r="A56" s="14"/>
      <c r="B56" s="115">
        <v>50</v>
      </c>
      <c r="C56" s="115">
        <v>6.05</v>
      </c>
      <c r="D56" s="117" t="s">
        <v>200</v>
      </c>
      <c r="E56" s="106">
        <f>'2022'!BH449</f>
        <v>248.02</v>
      </c>
      <c r="F56" s="106">
        <f>'2022'!BH450</f>
        <v>1392.23856</v>
      </c>
      <c r="G56" s="106">
        <f>'2022'!BH451</f>
        <v>0</v>
      </c>
      <c r="H56" s="106">
        <f>'2022'!BH452</f>
        <v>0</v>
      </c>
      <c r="I56" s="106">
        <f>'2022'!BH453</f>
        <v>2500</v>
      </c>
      <c r="J56" s="106">
        <f>'2022'!BH454</f>
        <v>0</v>
      </c>
      <c r="K56" s="106">
        <f>'2022'!BH455</f>
        <v>0</v>
      </c>
      <c r="L56" s="106">
        <f>'2022'!BH456</f>
        <v>0</v>
      </c>
      <c r="M56" s="106">
        <f t="shared" si="6"/>
        <v>4140.25856</v>
      </c>
      <c r="N56" s="106">
        <v>5000</v>
      </c>
      <c r="O56" s="37">
        <f>IF(P56&gt;0,P56-1,$O$1)</f>
        <v>30</v>
      </c>
      <c r="X56" s="280">
        <f t="shared" si="7"/>
        <v>15</v>
      </c>
      <c r="Y56" s="281">
        <f t="shared" si="8"/>
        <v>5000</v>
      </c>
      <c r="Z56" s="42">
        <f t="shared" si="9"/>
        <v>2500</v>
      </c>
      <c r="AA56" s="2" t="b">
        <f>D56='2022'!C450</f>
        <v>1</v>
      </c>
      <c r="AB56" s="2" t="b">
        <f>X56='2022'!AI449</f>
        <v>0</v>
      </c>
      <c r="AC56" s="34"/>
      <c r="AD56" s="34"/>
      <c r="AE56" s="34"/>
    </row>
    <row r="57" ht="15.75" customHeight="1" spans="1:31" x14ac:dyDescent="0.25">
      <c r="A57" s="14"/>
      <c r="B57" s="115">
        <v>51</v>
      </c>
      <c r="C57" s="115">
        <v>4.95</v>
      </c>
      <c r="D57" s="117" t="s">
        <v>204</v>
      </c>
      <c r="E57" s="106">
        <f>'2022'!BH458</f>
        <v>0</v>
      </c>
      <c r="F57" s="106">
        <f>'2022'!BH459</f>
        <v>1337.04506</v>
      </c>
      <c r="G57" s="106">
        <f>'2022'!BH460</f>
        <v>0</v>
      </c>
      <c r="H57" s="106">
        <f>'2022'!BH461</f>
        <v>0</v>
      </c>
      <c r="I57" s="106">
        <f>'2022'!BH462</f>
        <v>0</v>
      </c>
      <c r="J57" s="106">
        <f>'2022'!BH463</f>
        <v>0</v>
      </c>
      <c r="K57" s="106">
        <f>'2022'!BH464</f>
        <v>0</v>
      </c>
      <c r="L57" s="106">
        <f>'2022'!BH465</f>
        <v>0</v>
      </c>
      <c r="M57" s="106">
        <f t="shared" si="6"/>
        <v>1337.04506</v>
      </c>
      <c r="N57" s="106">
        <v>0</v>
      </c>
      <c r="O57" s="37"/>
      <c r="P57" s="15"/>
      <c r="Q57" s="34"/>
      <c r="R57" s="34"/>
      <c r="S57" s="37"/>
      <c r="T57" s="15"/>
      <c r="U57" s="15"/>
      <c r="V57" s="15"/>
      <c r="W57" s="15"/>
      <c r="X57" s="280">
        <f t="shared" si="7"/>
        <v>0</v>
      </c>
      <c r="Y57" s="281">
        <f t="shared" si="8"/>
        <v>0</v>
      </c>
      <c r="Z57" s="42">
        <f t="shared" si="9"/>
        <v>0</v>
      </c>
      <c r="AA57" s="2" t="b">
        <f>D57='2022'!C459</f>
        <v>1</v>
      </c>
      <c r="AB57" s="2" t="b">
        <f>X57='2022'!AI458</f>
        <v>1</v>
      </c>
      <c r="AC57" s="34"/>
      <c r="AD57" s="34"/>
      <c r="AE57" s="34"/>
    </row>
    <row r="58" ht="15.75" customHeight="1" spans="1:31" x14ac:dyDescent="0.25">
      <c r="A58" s="14"/>
      <c r="B58" s="115">
        <v>52</v>
      </c>
      <c r="C58" s="116">
        <v>5</v>
      </c>
      <c r="D58" s="117" t="s">
        <v>206</v>
      </c>
      <c r="E58" s="106">
        <f>'2022'!BH467</f>
        <v>0</v>
      </c>
      <c r="F58" s="106">
        <f>'2022'!BH468</f>
        <v>-203.80332</v>
      </c>
      <c r="G58" s="106">
        <f>'2022'!BH469</f>
        <v>256.8</v>
      </c>
      <c r="H58" s="106">
        <f>'2022'!BH470</f>
        <v>0</v>
      </c>
      <c r="I58" s="106">
        <f>'2022'!BH471</f>
        <v>0</v>
      </c>
      <c r="J58" s="106">
        <f>'2022'!BH472</f>
        <v>0</v>
      </c>
      <c r="K58" s="106">
        <f>'2022'!BH473</f>
        <v>0</v>
      </c>
      <c r="L58" s="106">
        <f>'2022'!BH474</f>
        <v>0</v>
      </c>
      <c r="M58" s="106">
        <f t="shared" si="6"/>
        <v>52.99668</v>
      </c>
      <c r="N58" s="106">
        <v>0</v>
      </c>
      <c r="O58" s="37"/>
      <c r="X58" s="280">
        <f t="shared" si="7"/>
        <v>0</v>
      </c>
      <c r="Y58" s="281">
        <f t="shared" si="8"/>
        <v>0</v>
      </c>
      <c r="Z58" s="42">
        <f t="shared" si="9"/>
        <v>0</v>
      </c>
      <c r="AA58" s="2" t="b">
        <f>D58='2022'!C468</f>
        <v>1</v>
      </c>
      <c r="AB58" s="2" t="b">
        <f>X58='2022'!AI467</f>
        <v>1</v>
      </c>
      <c r="AC58" s="34"/>
      <c r="AD58" s="34"/>
      <c r="AE58" s="34"/>
    </row>
    <row r="59" ht="15.75" customHeight="1" spans="1:31" x14ac:dyDescent="0.25">
      <c r="A59" s="14"/>
      <c r="B59" s="115">
        <v>53</v>
      </c>
      <c r="C59" s="115">
        <v>5.05</v>
      </c>
      <c r="D59" s="117" t="s">
        <v>210</v>
      </c>
      <c r="E59" s="106">
        <f>'2022'!BH476</f>
        <v>0</v>
      </c>
      <c r="F59" s="106">
        <f>'2022'!BH477</f>
        <v>4916.17386</v>
      </c>
      <c r="G59" s="106">
        <f>'2022'!BH478</f>
        <v>64.2</v>
      </c>
      <c r="H59" s="106">
        <f>'2022'!BH479</f>
        <v>0</v>
      </c>
      <c r="I59" s="106">
        <f>'2022'!BH480</f>
        <v>0</v>
      </c>
      <c r="J59" s="106">
        <f>'2022'!BH481</f>
        <v>0</v>
      </c>
      <c r="K59" s="106">
        <f>'2022'!BH482</f>
        <v>0</v>
      </c>
      <c r="L59" s="106">
        <f>'2022'!BH483</f>
        <v>0</v>
      </c>
      <c r="M59" s="106">
        <f t="shared" si="6"/>
        <v>4980.37386</v>
      </c>
      <c r="N59" s="106">
        <v>0</v>
      </c>
      <c r="O59" s="37"/>
      <c r="X59" s="280">
        <f t="shared" si="7"/>
        <v>0</v>
      </c>
      <c r="Y59" s="281">
        <f t="shared" si="8"/>
        <v>0</v>
      </c>
      <c r="Z59" s="42">
        <f t="shared" si="9"/>
        <v>0</v>
      </c>
      <c r="AA59" s="2" t="b">
        <f>D59='2022'!C477</f>
        <v>1</v>
      </c>
      <c r="AB59" s="2" t="b">
        <f>X59='2022'!AI476</f>
        <v>1</v>
      </c>
      <c r="AC59" s="34"/>
      <c r="AD59" s="34"/>
      <c r="AE59" s="34"/>
    </row>
    <row r="60" ht="15.75" customHeight="1" spans="1:31" x14ac:dyDescent="0.25">
      <c r="A60" s="14"/>
      <c r="B60" s="115">
        <v>54</v>
      </c>
      <c r="C60" s="115">
        <v>5.54</v>
      </c>
      <c r="D60" s="117" t="s">
        <v>212</v>
      </c>
      <c r="E60" s="106">
        <f>'2022'!BH485</f>
        <v>0</v>
      </c>
      <c r="F60" s="106">
        <f>'2022'!BH486</f>
        <v>-92.04686</v>
      </c>
      <c r="G60" s="106">
        <f>'2022'!BH487</f>
        <v>171.2</v>
      </c>
      <c r="H60" s="106">
        <f>'2022'!BH488</f>
        <v>0</v>
      </c>
      <c r="I60" s="106">
        <f>'2022'!BH489</f>
        <v>0</v>
      </c>
      <c r="J60" s="106">
        <f>'2022'!BH490</f>
        <v>0</v>
      </c>
      <c r="K60" s="106">
        <f>'2022'!BH491</f>
        <v>0</v>
      </c>
      <c r="L60" s="106">
        <f>'2022'!BH492</f>
        <v>0</v>
      </c>
      <c r="M60" s="106">
        <f t="shared" si="6"/>
        <v>79.15314</v>
      </c>
      <c r="N60" s="106">
        <v>0</v>
      </c>
      <c r="O60" s="37"/>
      <c r="P60" s="15"/>
      <c r="Q60" s="15"/>
      <c r="R60" s="34"/>
      <c r="S60" s="37"/>
      <c r="T60" s="15"/>
      <c r="U60" s="15"/>
      <c r="V60" s="15"/>
      <c r="W60" s="15"/>
      <c r="X60" s="280">
        <f t="shared" si="7"/>
        <v>0</v>
      </c>
      <c r="Y60" s="281">
        <f t="shared" si="8"/>
        <v>0</v>
      </c>
      <c r="Z60" s="42">
        <f t="shared" si="9"/>
        <v>0</v>
      </c>
      <c r="AA60" s="2" t="b">
        <f>D60='2022'!C486</f>
        <v>1</v>
      </c>
      <c r="AB60" s="2" t="b">
        <f>X60='2022'!AI485</f>
        <v>1</v>
      </c>
      <c r="AC60" s="34"/>
      <c r="AD60" s="34"/>
      <c r="AE60" s="34"/>
    </row>
    <row r="61" ht="15.75" customHeight="1" spans="1:31" x14ac:dyDescent="0.25">
      <c r="A61" s="21"/>
      <c r="B61" s="115">
        <v>55</v>
      </c>
      <c r="C61" s="116">
        <v>5.5</v>
      </c>
      <c r="D61" s="117" t="s">
        <v>555</v>
      </c>
      <c r="E61" s="106">
        <f>'2022'!BH494</f>
        <v>0</v>
      </c>
      <c r="F61" s="106">
        <f>'2022'!BH495</f>
        <v>0</v>
      </c>
      <c r="G61" s="106">
        <f>'2022'!BH496</f>
        <v>-0.003</v>
      </c>
      <c r="H61" s="106">
        <f>'2022'!BH497</f>
        <v>0</v>
      </c>
      <c r="I61" s="106">
        <f>'2022'!BH498</f>
        <v>0</v>
      </c>
      <c r="J61" s="106">
        <f>'2022'!BH499</f>
        <v>0</v>
      </c>
      <c r="K61" s="106">
        <f>'2022'!BH500</f>
        <v>0</v>
      </c>
      <c r="L61" s="106">
        <f>'2022'!BH501</f>
        <v>0</v>
      </c>
      <c r="M61" s="106">
        <f t="shared" si="6"/>
        <v>-0.003</v>
      </c>
      <c r="N61" s="106">
        <v>0</v>
      </c>
      <c r="O61" s="37"/>
      <c r="X61" s="280">
        <f t="shared" si="7"/>
        <v>0</v>
      </c>
      <c r="Y61" s="281">
        <f t="shared" si="8"/>
        <v>0</v>
      </c>
      <c r="Z61" s="42">
        <f t="shared" si="9"/>
        <v>0</v>
      </c>
      <c r="AA61" s="2" t="b">
        <f>D61='2022'!C495</f>
        <v>1</v>
      </c>
      <c r="AB61" s="2" t="b">
        <f>X61='2022'!AI494</f>
        <v>1</v>
      </c>
      <c r="AC61" s="34"/>
      <c r="AD61" s="34"/>
      <c r="AE61" s="34"/>
    </row>
    <row r="62" ht="15.75" customHeight="1" spans="1:31" x14ac:dyDescent="0.25">
      <c r="A62" s="114" t="s">
        <v>217</v>
      </c>
      <c r="B62" s="115">
        <v>56</v>
      </c>
      <c r="C62" s="115">
        <v>6.23</v>
      </c>
      <c r="D62" s="117" t="s">
        <v>423</v>
      </c>
      <c r="E62" s="106">
        <f>'2022'!BH503</f>
        <v>0</v>
      </c>
      <c r="F62" s="106">
        <f>'2022'!BH504</f>
        <v>2957.53922</v>
      </c>
      <c r="G62" s="106">
        <f>'2022'!BH505</f>
        <v>0</v>
      </c>
      <c r="H62" s="106">
        <f>'2022'!BH506</f>
        <v>0</v>
      </c>
      <c r="I62" s="106">
        <f>'2022'!BH507</f>
        <v>0</v>
      </c>
      <c r="J62" s="106">
        <f>'2022'!BH508</f>
        <v>0</v>
      </c>
      <c r="K62" s="106">
        <f>'2022'!BH509</f>
        <v>0</v>
      </c>
      <c r="L62" s="106">
        <f>'2022'!BH510</f>
        <v>0</v>
      </c>
      <c r="M62" s="106">
        <f t="shared" si="6"/>
        <v>2957.53922</v>
      </c>
      <c r="N62" s="106">
        <v>0</v>
      </c>
      <c r="O62" s="37"/>
      <c r="X62" s="280">
        <f t="shared" si="7"/>
        <v>0</v>
      </c>
      <c r="Y62" s="281">
        <f t="shared" si="8"/>
        <v>0</v>
      </c>
      <c r="Z62" s="42">
        <f t="shared" si="9"/>
        <v>0</v>
      </c>
      <c r="AA62" s="2" t="b">
        <f>D62='2022'!C504</f>
        <v>1</v>
      </c>
      <c r="AB62" s="2" t="b">
        <f>X62='2022'!AI503</f>
        <v>1</v>
      </c>
      <c r="AC62" s="34"/>
      <c r="AD62" s="34"/>
      <c r="AE62" s="34"/>
    </row>
    <row r="63" ht="15.75" customHeight="1" spans="1:31" x14ac:dyDescent="0.25">
      <c r="A63" s="14"/>
      <c r="B63" s="115">
        <v>57</v>
      </c>
      <c r="C63" s="116">
        <v>4</v>
      </c>
      <c r="D63" s="2" t="s">
        <v>502</v>
      </c>
      <c r="E63" s="106">
        <f>'2022'!BH512</f>
        <v>0.5</v>
      </c>
      <c r="F63" s="106">
        <f>'2022'!BH513</f>
        <v>105.2546</v>
      </c>
      <c r="G63" s="106">
        <f>'2022'!BH514</f>
        <v>0.15</v>
      </c>
      <c r="H63" s="106">
        <f>'2022'!BH515</f>
        <v>0</v>
      </c>
      <c r="I63" s="106">
        <f>'2022'!BH516</f>
        <v>0</v>
      </c>
      <c r="J63" s="106">
        <f>'2022'!BH517</f>
        <v>0</v>
      </c>
      <c r="K63" s="106">
        <f>'2022'!BH518</f>
        <v>0</v>
      </c>
      <c r="L63" s="106">
        <f>'2022'!BH519</f>
        <v>0</v>
      </c>
      <c r="M63" s="106">
        <f t="shared" si="6"/>
        <v>105.9046</v>
      </c>
      <c r="N63" s="106">
        <v>5966</v>
      </c>
      <c r="O63" s="37">
        <f t="shared" ref="O63:O64" si="12">IF(P63&gt;0,P63-1,$O$1)</f>
        <v>30</v>
      </c>
      <c r="Q63" s="34"/>
      <c r="R63" s="34"/>
      <c r="T63" s="15"/>
      <c r="U63" s="15"/>
      <c r="V63" s="15"/>
      <c r="W63" s="15"/>
      <c r="X63" s="280">
        <f t="shared" si="7"/>
        <v>17.9</v>
      </c>
      <c r="Y63" s="281">
        <f t="shared" si="8"/>
        <v>5966</v>
      </c>
      <c r="Z63" s="42">
        <f t="shared" si="9"/>
        <v>0</v>
      </c>
      <c r="AA63" s="2" t="b">
        <f>D63='2022'!C513</f>
        <v>1</v>
      </c>
      <c r="AB63" s="2" t="b">
        <f>X63='2022'!AI512</f>
        <v>0</v>
      </c>
      <c r="AC63" s="34"/>
      <c r="AD63" s="34"/>
      <c r="AE63" s="34"/>
    </row>
    <row r="64" ht="15.75" customHeight="1" spans="1:31" x14ac:dyDescent="0.25">
      <c r="A64" s="14"/>
      <c r="B64" s="115">
        <v>59</v>
      </c>
      <c r="C64" s="116">
        <v>4</v>
      </c>
      <c r="D64" s="117" t="s">
        <v>557</v>
      </c>
      <c r="E64" s="106">
        <f>'2022'!BH521</f>
        <v>150.45</v>
      </c>
      <c r="F64" s="106">
        <f>'2022'!BH522</f>
        <v>2653.41348</v>
      </c>
      <c r="G64" s="106">
        <f>'2022'!BH523</f>
        <v>64.2</v>
      </c>
      <c r="H64" s="106">
        <f>'2022'!BH524</f>
        <v>0</v>
      </c>
      <c r="I64" s="106">
        <f>'2022'!BH525</f>
        <v>9600</v>
      </c>
      <c r="J64" s="106">
        <f>'2022'!BH526</f>
        <v>1000</v>
      </c>
      <c r="K64" s="106">
        <f>'2022'!BH527</f>
        <v>0</v>
      </c>
      <c r="L64" s="106">
        <f>'2022'!BH528</f>
        <v>0</v>
      </c>
      <c r="M64" s="106">
        <f t="shared" si="6"/>
        <v>13468.06348</v>
      </c>
      <c r="N64" s="106">
        <v>10600</v>
      </c>
      <c r="O64" s="37">
        <f t="shared" si="12"/>
        <v>30</v>
      </c>
      <c r="P64" s="15"/>
      <c r="Q64" s="15"/>
      <c r="R64" s="15"/>
      <c r="S64" s="15"/>
      <c r="T64" s="15"/>
      <c r="U64" s="15"/>
      <c r="V64" s="15"/>
      <c r="W64" s="15"/>
      <c r="X64" s="282">
        <f t="shared" si="7"/>
        <v>31.8</v>
      </c>
      <c r="Y64" s="281">
        <f t="shared" si="8"/>
        <v>10600</v>
      </c>
      <c r="Z64" s="42">
        <f t="shared" si="9"/>
        <v>10600</v>
      </c>
      <c r="AA64" s="2" t="b">
        <f>D64='2022'!C522</f>
        <v>1</v>
      </c>
      <c r="AB64" s="317" t="b">
        <f>X64='2022'!AI521</f>
        <v>0</v>
      </c>
      <c r="AC64" s="34"/>
      <c r="AD64" s="34"/>
      <c r="AE64" s="34"/>
    </row>
    <row r="65" ht="15.75" customHeight="1" spans="1:31" x14ac:dyDescent="0.25">
      <c r="A65" s="14"/>
      <c r="B65" s="115">
        <v>58</v>
      </c>
      <c r="C65" s="115">
        <v>5.08</v>
      </c>
      <c r="D65" s="117" t="s">
        <v>223</v>
      </c>
      <c r="E65" s="106">
        <f>'2022'!BH530</f>
        <v>0</v>
      </c>
      <c r="F65" s="106">
        <f>'2022'!BH531</f>
        <v>1046.3435</v>
      </c>
      <c r="G65" s="106">
        <f>'2022'!BH532</f>
        <v>-169.55</v>
      </c>
      <c r="H65" s="106">
        <f>'2022'!BH533</f>
        <v>0</v>
      </c>
      <c r="I65" s="106">
        <f>'2022'!BH534</f>
        <v>0</v>
      </c>
      <c r="J65" s="106">
        <f>'2022'!BH535</f>
        <v>0</v>
      </c>
      <c r="K65" s="106">
        <f>'2022'!BH536</f>
        <v>0</v>
      </c>
      <c r="L65" s="106">
        <f>'2022'!BH537</f>
        <v>0</v>
      </c>
      <c r="M65" s="106">
        <f t="shared" si="6"/>
        <v>876.7935</v>
      </c>
      <c r="N65" s="106">
        <v>0</v>
      </c>
      <c r="O65" s="37"/>
      <c r="X65" s="280">
        <f t="shared" si="7"/>
        <v>0</v>
      </c>
      <c r="Y65" s="281">
        <f t="shared" si="8"/>
        <v>0</v>
      </c>
      <c r="Z65" s="42">
        <f t="shared" si="9"/>
        <v>0</v>
      </c>
      <c r="AA65" s="2" t="b">
        <f>D65='2022'!C531</f>
        <v>1</v>
      </c>
      <c r="AB65" s="2" t="b">
        <f>X65='2022'!AI530</f>
        <v>1</v>
      </c>
      <c r="AC65" s="34"/>
      <c r="AD65" s="34"/>
      <c r="AE65" s="34"/>
    </row>
    <row r="66" ht="15.75" customHeight="1" spans="1:31" x14ac:dyDescent="0.25">
      <c r="A66" s="14"/>
      <c r="B66" s="115">
        <v>60</v>
      </c>
      <c r="C66" s="116">
        <v>4.4</v>
      </c>
      <c r="D66" s="117" t="s">
        <v>227</v>
      </c>
      <c r="E66" s="106">
        <f>'2022'!BH539</f>
        <v>0</v>
      </c>
      <c r="F66" s="106">
        <f>'2022'!BH540</f>
        <v>55.15184</v>
      </c>
      <c r="G66" s="106">
        <f>'2022'!BH541</f>
        <v>0</v>
      </c>
      <c r="H66" s="106">
        <f>'2022'!BH542</f>
        <v>0</v>
      </c>
      <c r="I66" s="106">
        <f>'2022'!BH543</f>
        <v>0</v>
      </c>
      <c r="J66" s="106">
        <f>'2022'!BH544</f>
        <v>0</v>
      </c>
      <c r="K66" s="106">
        <f>'2022'!BH545</f>
        <v>0</v>
      </c>
      <c r="L66" s="106">
        <f>'2022'!BH546</f>
        <v>0</v>
      </c>
      <c r="M66" s="106">
        <f t="shared" si="6"/>
        <v>55.15184</v>
      </c>
      <c r="N66" s="106">
        <v>0</v>
      </c>
      <c r="O66" s="37"/>
      <c r="X66" s="280">
        <f t="shared" si="7"/>
        <v>0</v>
      </c>
      <c r="Y66" s="281">
        <f t="shared" si="8"/>
        <v>0</v>
      </c>
      <c r="Z66" s="42">
        <f t="shared" si="9"/>
        <v>0</v>
      </c>
      <c r="AA66" s="2" t="b">
        <f>D66='2022'!C540</f>
        <v>1</v>
      </c>
      <c r="AB66" s="2" t="b">
        <f>X66='2022'!AI539</f>
        <v>1</v>
      </c>
      <c r="AC66" s="34"/>
      <c r="AD66" s="34"/>
      <c r="AE66" s="34"/>
    </row>
    <row r="67" ht="15.75" customHeight="1" spans="1:31" x14ac:dyDescent="0.25">
      <c r="A67" s="14"/>
      <c r="B67" s="115">
        <v>61</v>
      </c>
      <c r="C67" s="115">
        <v>4.71</v>
      </c>
      <c r="D67" s="117" t="s">
        <v>231</v>
      </c>
      <c r="E67" s="106">
        <f>'2022'!BH548</f>
        <v>0</v>
      </c>
      <c r="F67" s="106">
        <f>'2022'!BH549</f>
        <v>68.9417</v>
      </c>
      <c r="G67" s="106">
        <f>'2022'!BH550</f>
        <v>0</v>
      </c>
      <c r="H67" s="106">
        <f>'2022'!BH551</f>
        <v>0</v>
      </c>
      <c r="I67" s="106">
        <f>'2022'!BH552</f>
        <v>0</v>
      </c>
      <c r="J67" s="106">
        <f>'2022'!BH553</f>
        <v>0</v>
      </c>
      <c r="K67" s="106">
        <f>'2022'!BH554</f>
        <v>0</v>
      </c>
      <c r="L67" s="106">
        <f>'2022'!BH555</f>
        <v>0</v>
      </c>
      <c r="M67" s="106">
        <f t="shared" si="6"/>
        <v>68.9417</v>
      </c>
      <c r="N67" s="106">
        <v>0</v>
      </c>
      <c r="O67" s="37"/>
      <c r="X67" s="280">
        <f t="shared" si="7"/>
        <v>0</v>
      </c>
      <c r="Y67" s="281">
        <f t="shared" si="8"/>
        <v>0</v>
      </c>
      <c r="Z67" s="42">
        <f t="shared" si="9"/>
        <v>0</v>
      </c>
      <c r="AA67" s="2" t="b">
        <f>D67='2022'!C549</f>
        <v>1</v>
      </c>
      <c r="AB67" s="2" t="b">
        <f>X67='2022'!AI548</f>
        <v>1</v>
      </c>
      <c r="AC67" s="34"/>
      <c r="AD67" s="34"/>
      <c r="AE67" s="34"/>
    </row>
    <row r="68" ht="15.75" customHeight="1" spans="1:31" x14ac:dyDescent="0.25">
      <c r="A68" s="14"/>
      <c r="B68" s="115">
        <v>62</v>
      </c>
      <c r="C68" s="116">
        <v>4.6</v>
      </c>
      <c r="D68" s="15" t="s">
        <v>236</v>
      </c>
      <c r="E68" s="106">
        <f>'2022'!BH557</f>
        <v>0</v>
      </c>
      <c r="F68" s="106">
        <f>'2022'!BH558</f>
        <v>-91.89388</v>
      </c>
      <c r="G68" s="106">
        <f>'2022'!BH559</f>
        <v>33.9</v>
      </c>
      <c r="H68" s="106">
        <f>'2022'!BH560</f>
        <v>0</v>
      </c>
      <c r="I68" s="106">
        <f>'2022'!BH561</f>
        <v>0</v>
      </c>
      <c r="J68" s="106">
        <f>'2022'!BH562</f>
        <v>0</v>
      </c>
      <c r="K68" s="106">
        <f>'2022'!BH563</f>
        <v>0</v>
      </c>
      <c r="L68" s="106">
        <f>'2022'!BH564</f>
        <v>0</v>
      </c>
      <c r="M68" s="106">
        <f t="shared" si="6"/>
        <v>-57.99388</v>
      </c>
      <c r="N68" s="106">
        <v>0</v>
      </c>
      <c r="O68" s="37"/>
      <c r="X68" s="280">
        <f t="shared" si="7"/>
        <v>0</v>
      </c>
      <c r="Y68" s="281">
        <f t="shared" si="8"/>
        <v>0</v>
      </c>
      <c r="Z68" s="42">
        <f t="shared" si="9"/>
        <v>0</v>
      </c>
      <c r="AA68" s="2" t="b">
        <f>D68='2022'!C558</f>
        <v>1</v>
      </c>
      <c r="AB68" s="2" t="b">
        <f>X68='2022'!AI557</f>
        <v>1</v>
      </c>
      <c r="AC68" s="34"/>
      <c r="AD68" s="34"/>
      <c r="AE68" s="34"/>
    </row>
    <row r="69" ht="15.75" customHeight="1" spans="1:31" x14ac:dyDescent="0.25">
      <c r="A69" s="14"/>
      <c r="B69" s="115" t="s">
        <v>237</v>
      </c>
      <c r="C69" s="115">
        <v>4.01</v>
      </c>
      <c r="D69" s="117" t="s">
        <v>238</v>
      </c>
      <c r="E69" s="106">
        <f>'2022'!BH566</f>
        <v>0</v>
      </c>
      <c r="F69" s="106">
        <f>'2022'!BH567</f>
        <v>-1.71966</v>
      </c>
      <c r="G69" s="106">
        <f>'2022'!BH568</f>
        <v>0</v>
      </c>
      <c r="H69" s="106">
        <f>'2022'!BH569</f>
        <v>0</v>
      </c>
      <c r="I69" s="106">
        <f>'2022'!BH570</f>
        <v>0</v>
      </c>
      <c r="J69" s="106">
        <f>'2022'!BH571</f>
        <v>0</v>
      </c>
      <c r="K69" s="106">
        <f>'2022'!BH572</f>
        <v>0</v>
      </c>
      <c r="L69" s="106">
        <f>'2022'!BH573</f>
        <v>0</v>
      </c>
      <c r="M69" s="106">
        <f t="shared" si="6"/>
        <v>-1.71966</v>
      </c>
      <c r="N69" s="106">
        <v>0</v>
      </c>
      <c r="O69" s="37"/>
      <c r="X69" s="280">
        <f t="shared" si="7"/>
        <v>0</v>
      </c>
      <c r="Y69" s="281">
        <f t="shared" si="8"/>
        <v>0</v>
      </c>
      <c r="Z69" s="42">
        <f t="shared" si="9"/>
        <v>0</v>
      </c>
      <c r="AA69" s="2" t="b">
        <f>D69='2022'!C567</f>
        <v>1</v>
      </c>
      <c r="AB69" s="2" t="b">
        <f>X69='2022'!AI566</f>
        <v>1</v>
      </c>
      <c r="AC69" s="34"/>
      <c r="AD69" s="34"/>
      <c r="AE69" s="34"/>
    </row>
    <row r="70" ht="15.75" customHeight="1" spans="1:31" x14ac:dyDescent="0.25">
      <c r="A70" s="14"/>
      <c r="B70" s="115" t="s">
        <v>237</v>
      </c>
      <c r="C70" s="115">
        <v>4.01</v>
      </c>
      <c r="D70" s="117" t="s">
        <v>238</v>
      </c>
      <c r="E70" s="106">
        <f>'2022'!BH575</f>
        <v>3.53</v>
      </c>
      <c r="F70" s="106">
        <f>'2022'!BH576</f>
        <v>0</v>
      </c>
      <c r="G70" s="106">
        <f>'2022'!BH577</f>
        <v>0</v>
      </c>
      <c r="H70" s="106">
        <f>'2022'!BH578</f>
        <v>0</v>
      </c>
      <c r="I70" s="106">
        <f>'2022'!BH579</f>
        <v>0</v>
      </c>
      <c r="J70" s="106">
        <f>'2022'!BH580</f>
        <v>0</v>
      </c>
      <c r="K70" s="106">
        <f>'2022'!BH581</f>
        <v>0</v>
      </c>
      <c r="L70" s="106">
        <f>'2022'!BH582</f>
        <v>0</v>
      </c>
      <c r="M70" s="106">
        <f t="shared" si="6"/>
        <v>3.53</v>
      </c>
      <c r="N70" s="106">
        <v>0</v>
      </c>
      <c r="O70" s="37"/>
      <c r="X70" s="280">
        <f t="shared" si="7"/>
        <v>0</v>
      </c>
      <c r="Y70" s="281">
        <f t="shared" si="8"/>
        <v>0</v>
      </c>
      <c r="Z70" s="42">
        <f t="shared" si="9"/>
        <v>0</v>
      </c>
      <c r="AA70" s="2" t="b">
        <f>D70='2022'!C576</f>
        <v>1</v>
      </c>
      <c r="AB70" s="2" t="b">
        <f>X70='2022'!AI575</f>
        <v>1</v>
      </c>
      <c r="AC70" s="34"/>
      <c r="AD70" s="34"/>
      <c r="AE70" s="34"/>
    </row>
    <row r="71" ht="15.75" customHeight="1" spans="1:31" x14ac:dyDescent="0.25">
      <c r="A71" s="14"/>
      <c r="B71" s="115">
        <v>64</v>
      </c>
      <c r="C71" s="115">
        <v>4.24</v>
      </c>
      <c r="D71" s="117" t="s">
        <v>241</v>
      </c>
      <c r="E71" s="106">
        <f>'2022'!BH584</f>
        <v>0</v>
      </c>
      <c r="F71" s="106">
        <f>'2022'!BH585</f>
        <v>-154.10566</v>
      </c>
      <c r="G71" s="106">
        <f>'2022'!BH586</f>
        <v>29.98</v>
      </c>
      <c r="H71" s="106">
        <f>'2022'!BH587</f>
        <v>0</v>
      </c>
      <c r="I71" s="106">
        <f>'2022'!BH588</f>
        <v>0</v>
      </c>
      <c r="J71" s="106">
        <f>'2022'!BH589</f>
        <v>0</v>
      </c>
      <c r="K71" s="106">
        <f>'2022'!BH590</f>
        <v>0</v>
      </c>
      <c r="L71" s="106">
        <f>'2022'!BH591</f>
        <v>0</v>
      </c>
      <c r="M71" s="106">
        <f t="shared" si="6"/>
        <v>-124.12566</v>
      </c>
      <c r="N71" s="106">
        <v>0</v>
      </c>
      <c r="O71" s="37"/>
      <c r="P71" s="15"/>
      <c r="Q71" s="15"/>
      <c r="R71" s="15"/>
      <c r="S71" s="15"/>
      <c r="T71" s="15"/>
      <c r="U71" s="15"/>
      <c r="V71" s="15"/>
      <c r="W71" s="15"/>
      <c r="X71" s="285">
        <f t="shared" si="7"/>
        <v>0</v>
      </c>
      <c r="Y71" s="281">
        <f t="shared" si="8"/>
        <v>0</v>
      </c>
      <c r="Z71" s="42">
        <f t="shared" si="9"/>
        <v>0</v>
      </c>
      <c r="AA71" s="2" t="b">
        <f>D71='2022'!C585</f>
        <v>1</v>
      </c>
      <c r="AB71" s="2" t="b">
        <f>X71='2022'!AI584</f>
        <v>1</v>
      </c>
      <c r="AC71" s="34"/>
      <c r="AD71" s="34"/>
      <c r="AE71" s="34"/>
    </row>
    <row r="72" ht="15.75" customHeight="1" spans="1:31" x14ac:dyDescent="0.25">
      <c r="A72" s="14"/>
      <c r="B72" s="115">
        <v>66</v>
      </c>
      <c r="C72" s="115">
        <v>4.66</v>
      </c>
      <c r="D72" s="117" t="s">
        <v>244</v>
      </c>
      <c r="E72" s="106">
        <f>'2022'!BH593</f>
        <v>0</v>
      </c>
      <c r="F72" s="106">
        <f>'2022'!BH594</f>
        <v>2.7</v>
      </c>
      <c r="G72" s="106">
        <f>'2022'!BH595</f>
        <v>208.75</v>
      </c>
      <c r="H72" s="106">
        <f>'2022'!BH596</f>
        <v>0</v>
      </c>
      <c r="I72" s="106">
        <f>'2022'!BH597</f>
        <v>6058</v>
      </c>
      <c r="J72" s="106">
        <f>'2022'!BH598</f>
        <v>1000</v>
      </c>
      <c r="K72" s="106">
        <f>'2022'!BH599</f>
        <v>0</v>
      </c>
      <c r="L72" s="106">
        <f>'2022'!BH600</f>
        <v>0</v>
      </c>
      <c r="M72" s="106">
        <f t="shared" si="6"/>
        <v>7269.45</v>
      </c>
      <c r="N72" s="106">
        <v>7058</v>
      </c>
      <c r="O72" s="37">
        <f>IF(P72&gt;0,P72-1,$O$1)</f>
        <v>30</v>
      </c>
      <c r="P72" s="15"/>
      <c r="Q72" s="15"/>
      <c r="R72" s="15"/>
      <c r="S72" s="15"/>
      <c r="T72" s="15"/>
      <c r="U72" s="15"/>
      <c r="V72" s="15"/>
      <c r="W72" s="15"/>
      <c r="X72" s="280">
        <f t="shared" si="7"/>
        <v>21.17</v>
      </c>
      <c r="Y72" s="281">
        <f t="shared" si="8"/>
        <v>7058</v>
      </c>
      <c r="Z72" s="42">
        <f t="shared" si="9"/>
        <v>7058</v>
      </c>
      <c r="AA72" s="2" t="b">
        <f>D72='2022'!C594</f>
        <v>1</v>
      </c>
      <c r="AB72" s="2" t="b">
        <f>X72='2022'!AI593</f>
        <v>0</v>
      </c>
      <c r="AC72" s="34"/>
      <c r="AD72" s="34"/>
      <c r="AE72" s="34"/>
    </row>
    <row r="73" ht="15.75" customHeight="1" spans="1:31" x14ac:dyDescent="0.25">
      <c r="A73" s="14"/>
      <c r="B73" s="115">
        <v>67</v>
      </c>
      <c r="C73" s="115">
        <v>6.08</v>
      </c>
      <c r="D73" s="117" t="s">
        <v>245</v>
      </c>
      <c r="E73" s="106">
        <f>'2022'!BH602</f>
        <v>0</v>
      </c>
      <c r="F73" s="106">
        <f>'2022'!BH603</f>
        <v>-31.81532</v>
      </c>
      <c r="G73" s="106">
        <f>'2022'!BH604</f>
        <v>-42.8</v>
      </c>
      <c r="H73" s="106">
        <f>'2022'!BH605</f>
        <v>0</v>
      </c>
      <c r="I73" s="106">
        <f>'2022'!BH606</f>
        <v>0</v>
      </c>
      <c r="J73" s="106">
        <f>'2022'!BH607</f>
        <v>0</v>
      </c>
      <c r="K73" s="106">
        <f>'2022'!BH608</f>
        <v>0</v>
      </c>
      <c r="L73" s="106">
        <f>'2022'!BH609</f>
        <v>0</v>
      </c>
      <c r="M73" s="106">
        <f t="shared" si="6"/>
        <v>-74.61532</v>
      </c>
      <c r="N73" s="106">
        <v>0</v>
      </c>
      <c r="O73" s="37"/>
      <c r="X73" s="280">
        <f t="shared" si="7"/>
        <v>0</v>
      </c>
      <c r="Y73" s="281">
        <f t="shared" si="8"/>
        <v>0</v>
      </c>
      <c r="Z73" s="42">
        <f t="shared" si="9"/>
        <v>0</v>
      </c>
      <c r="AA73" s="2" t="b">
        <f>D73='2022'!C603</f>
        <v>1</v>
      </c>
      <c r="AB73" s="2" t="b">
        <f>X73='2022'!AI602</f>
        <v>1</v>
      </c>
      <c r="AC73" s="34"/>
      <c r="AD73" s="34"/>
      <c r="AE73" s="34"/>
    </row>
    <row r="74" ht="15.75" customHeight="1" spans="1:31" x14ac:dyDescent="0.25">
      <c r="A74" s="14"/>
      <c r="B74" s="115" t="s">
        <v>248</v>
      </c>
      <c r="C74" s="115">
        <v>4.01</v>
      </c>
      <c r="D74" s="117" t="s">
        <v>505</v>
      </c>
      <c r="E74" s="106">
        <f>'2022'!BH611</f>
        <v>0</v>
      </c>
      <c r="F74" s="106">
        <f>'2022'!BH612</f>
        <v>533.72396</v>
      </c>
      <c r="G74" s="106">
        <f>'2022'!BH613</f>
        <v>144.95</v>
      </c>
      <c r="H74" s="106">
        <f>'2022'!BH614</f>
        <v>0</v>
      </c>
      <c r="I74" s="106">
        <f>'2022'!BH615</f>
        <v>0</v>
      </c>
      <c r="J74" s="106">
        <f>'2022'!BH616</f>
        <v>0</v>
      </c>
      <c r="K74" s="106">
        <f>'2022'!BH617</f>
        <v>0</v>
      </c>
      <c r="L74" s="106">
        <f>'2022'!BH618</f>
        <v>0</v>
      </c>
      <c r="M74" s="106">
        <f t="shared" si="6"/>
        <v>678.67396</v>
      </c>
      <c r="N74" s="106">
        <v>0</v>
      </c>
      <c r="O74" s="37"/>
      <c r="X74" s="280">
        <f t="shared" si="7"/>
        <v>0</v>
      </c>
      <c r="Y74" s="281">
        <f t="shared" si="8"/>
        <v>0</v>
      </c>
      <c r="Z74" s="42">
        <f t="shared" si="9"/>
        <v>0</v>
      </c>
      <c r="AA74" s="2" t="b">
        <f>D74='2022'!C612</f>
        <v>1</v>
      </c>
      <c r="AB74" s="2" t="b">
        <f>X74='2022'!AI611</f>
        <v>1</v>
      </c>
      <c r="AC74" s="34"/>
      <c r="AD74" s="34"/>
      <c r="AE74" s="34"/>
    </row>
    <row r="75" ht="15.75" customHeight="1" spans="1:31" x14ac:dyDescent="0.25">
      <c r="A75" s="14"/>
      <c r="B75" s="115" t="s">
        <v>248</v>
      </c>
      <c r="C75" s="115">
        <v>4.02</v>
      </c>
      <c r="D75" s="2" t="s">
        <v>505</v>
      </c>
      <c r="E75" s="106">
        <f>'2022'!BH620</f>
        <v>11.06</v>
      </c>
      <c r="F75" s="106">
        <f>'2022'!BH621</f>
        <v>0</v>
      </c>
      <c r="G75" s="106">
        <f>'2022'!BH622</f>
        <v>0</v>
      </c>
      <c r="H75" s="106">
        <f>'2022'!BH623</f>
        <v>0</v>
      </c>
      <c r="I75" s="106">
        <f>'2022'!BH624</f>
        <v>0</v>
      </c>
      <c r="J75" s="106">
        <f>'2022'!BH625</f>
        <v>0</v>
      </c>
      <c r="K75" s="106">
        <f>'2022'!BH626</f>
        <v>0</v>
      </c>
      <c r="L75" s="106">
        <f>'2022'!BH627</f>
        <v>0</v>
      </c>
      <c r="M75" s="106">
        <f t="shared" si="6"/>
        <v>11.06</v>
      </c>
      <c r="N75" s="106">
        <v>0</v>
      </c>
      <c r="O75" s="37"/>
      <c r="X75" s="280">
        <f t="shared" si="7"/>
        <v>0</v>
      </c>
      <c r="Y75" s="281">
        <f t="shared" si="8"/>
        <v>0</v>
      </c>
      <c r="Z75" s="42">
        <f t="shared" si="9"/>
        <v>0</v>
      </c>
      <c r="AA75" s="2" t="b">
        <f>D75='2022'!C621</f>
        <v>1</v>
      </c>
      <c r="AB75" s="2" t="b">
        <f>X75='2022'!AI620</f>
        <v>1</v>
      </c>
      <c r="AC75" s="34"/>
      <c r="AD75" s="34"/>
      <c r="AE75" s="34"/>
    </row>
    <row r="76" ht="15.75" customHeight="1" spans="1:48" x14ac:dyDescent="0.25">
      <c r="A76" s="14"/>
      <c r="B76" s="17" t="s">
        <v>353</v>
      </c>
      <c r="C76" s="17" t="s">
        <v>354</v>
      </c>
      <c r="D76" s="16" t="s">
        <v>355</v>
      </c>
      <c r="E76" s="156" t="s">
        <v>465</v>
      </c>
      <c r="F76" s="4" t="s">
        <v>44</v>
      </c>
      <c r="G76" s="4" t="s">
        <v>466</v>
      </c>
      <c r="H76" s="4" t="s">
        <v>467</v>
      </c>
      <c r="I76" s="156" t="s">
        <v>50</v>
      </c>
      <c r="J76" s="156" t="s">
        <v>51</v>
      </c>
      <c r="K76" s="156" t="s">
        <v>523</v>
      </c>
      <c r="L76" s="4" t="s">
        <v>52</v>
      </c>
      <c r="M76" s="4" t="s">
        <v>35</v>
      </c>
      <c r="N76" s="106"/>
      <c r="O76" s="37"/>
      <c r="P76" s="15"/>
      <c r="Q76" s="15"/>
      <c r="R76" s="15"/>
      <c r="S76" s="15"/>
      <c r="T76" s="15"/>
      <c r="U76" s="15"/>
      <c r="V76" s="15"/>
      <c r="W76" s="15"/>
      <c r="X76" s="280"/>
      <c r="Y76" s="281"/>
      <c r="Z76" s="42"/>
      <c r="AA76" s="2"/>
      <c r="AB76" s="2"/>
      <c r="AC76" s="34"/>
      <c r="AD76" s="34"/>
      <c r="AE76" s="34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</row>
    <row r="77" ht="15.75" customHeight="1" spans="1:48" x14ac:dyDescent="0.25">
      <c r="A77" s="14"/>
      <c r="B77" s="113" t="s">
        <v>23</v>
      </c>
      <c r="C77" s="24"/>
      <c r="D77" s="23"/>
      <c r="E77" s="14" t="s">
        <v>472</v>
      </c>
      <c r="F77" s="14"/>
      <c r="G77" s="14" t="s">
        <v>48</v>
      </c>
      <c r="H77" s="14" t="s">
        <v>354</v>
      </c>
      <c r="I77" s="14"/>
      <c r="J77" s="14"/>
      <c r="K77" s="178" t="s">
        <v>354</v>
      </c>
      <c r="L77" s="14"/>
      <c r="M77" s="14" t="s">
        <v>40</v>
      </c>
      <c r="N77" s="106"/>
      <c r="O77" s="37"/>
      <c r="P77" s="15"/>
      <c r="Q77" s="15"/>
      <c r="R77" s="15"/>
      <c r="S77" s="15"/>
      <c r="T77" s="15"/>
      <c r="U77" s="15"/>
      <c r="V77" s="15"/>
      <c r="W77" s="15"/>
      <c r="X77" s="280"/>
      <c r="Y77" s="281"/>
      <c r="Z77" s="42"/>
      <c r="AA77" s="2"/>
      <c r="AB77" s="2"/>
      <c r="AC77" s="34"/>
      <c r="AD77" s="34"/>
      <c r="AE77" s="34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</row>
    <row r="78" ht="15.75" customHeight="1" spans="1:31" x14ac:dyDescent="0.25">
      <c r="A78" s="14"/>
      <c r="B78" s="115">
        <v>69</v>
      </c>
      <c r="C78" s="115">
        <v>4.03</v>
      </c>
      <c r="D78" s="117" t="s">
        <v>253</v>
      </c>
      <c r="E78" s="106">
        <f>'2022'!BH629</f>
        <v>0</v>
      </c>
      <c r="F78" s="106">
        <f>'2022'!BH630</f>
        <v>-1595.68492</v>
      </c>
      <c r="G78" s="106">
        <f>'2022'!BH631</f>
        <v>0</v>
      </c>
      <c r="H78" s="106">
        <f>'2022'!BH632</f>
        <v>0</v>
      </c>
      <c r="I78" s="106">
        <f>'2022'!BH633</f>
        <v>0</v>
      </c>
      <c r="J78" s="106">
        <f>'2022'!BH634</f>
        <v>0</v>
      </c>
      <c r="K78" s="106">
        <f>'2022'!BH635</f>
        <v>0</v>
      </c>
      <c r="L78" s="106">
        <f>'2022'!BH636</f>
        <v>0</v>
      </c>
      <c r="M78" s="106">
        <f t="shared" ref="M78:M112" si="13">SUM(E78:L78)</f>
        <v>-1595.68492</v>
      </c>
      <c r="N78" s="106">
        <v>0</v>
      </c>
      <c r="O78" s="37"/>
      <c r="P78" s="15"/>
      <c r="Q78" s="34"/>
      <c r="R78" s="34"/>
      <c r="S78" s="37"/>
      <c r="T78" s="15"/>
      <c r="U78" s="15"/>
      <c r="V78" s="15"/>
      <c r="W78" s="15"/>
      <c r="X78" s="282">
        <f t="shared" ref="X78:X112" si="14">ROUND(0.01%*(N78*O78+R78*S78+V78*W78),2)</f>
        <v>0</v>
      </c>
      <c r="Y78" s="281">
        <f t="shared" ref="Y78:Y112" si="15">N78-Q78-U78</f>
        <v>0</v>
      </c>
      <c r="Z78" s="42">
        <f t="shared" ref="Z78:Z112" si="16">(I78+J78+K78)-AC78-AD78</f>
        <v>0</v>
      </c>
      <c r="AA78" s="2" t="b">
        <f>D78='2022'!C630</f>
        <v>1</v>
      </c>
      <c r="AB78" s="317" t="b">
        <f>X78='2022'!AI629</f>
        <v>0</v>
      </c>
      <c r="AC78" s="34"/>
      <c r="AD78" s="34"/>
      <c r="AE78" s="34"/>
    </row>
    <row r="79" ht="15.75" customHeight="1" spans="1:31" x14ac:dyDescent="0.25">
      <c r="A79" s="14"/>
      <c r="B79" s="115">
        <v>71</v>
      </c>
      <c r="C79" s="115">
        <v>5.98</v>
      </c>
      <c r="D79" s="117" t="s">
        <v>255</v>
      </c>
      <c r="E79" s="106">
        <f>'2022'!BH638</f>
        <v>0</v>
      </c>
      <c r="F79" s="106">
        <f>'2022'!BH639</f>
        <v>64.488</v>
      </c>
      <c r="G79" s="106">
        <f>'2022'!BH640</f>
        <v>0</v>
      </c>
      <c r="H79" s="106">
        <f>'2022'!BH641</f>
        <v>0</v>
      </c>
      <c r="I79" s="106">
        <f>'2022'!BH642</f>
        <v>0</v>
      </c>
      <c r="J79" s="106">
        <f>'2022'!BH643</f>
        <v>0</v>
      </c>
      <c r="K79" s="106">
        <f>'2022'!BH644</f>
        <v>0</v>
      </c>
      <c r="L79" s="106">
        <f>'2022'!BH645</f>
        <v>0</v>
      </c>
      <c r="M79" s="106">
        <f t="shared" si="13"/>
        <v>64.488</v>
      </c>
      <c r="N79" s="106">
        <v>0</v>
      </c>
      <c r="O79" s="37"/>
      <c r="X79" s="280">
        <f t="shared" si="14"/>
        <v>0</v>
      </c>
      <c r="Y79" s="281">
        <f t="shared" si="15"/>
        <v>0</v>
      </c>
      <c r="Z79" s="42">
        <f t="shared" si="16"/>
        <v>0</v>
      </c>
      <c r="AA79" s="2" t="b">
        <f>D79='2022'!C639</f>
        <v>1</v>
      </c>
      <c r="AB79" s="2" t="b">
        <f>X79='2022'!AI638</f>
        <v>1</v>
      </c>
      <c r="AC79" s="34"/>
      <c r="AD79" s="34"/>
      <c r="AE79" s="34"/>
    </row>
    <row r="80" ht="15.75" customHeight="1" spans="1:31" x14ac:dyDescent="0.25">
      <c r="A80" s="14"/>
      <c r="B80" s="115">
        <v>72</v>
      </c>
      <c r="C80" s="115">
        <v>4.03</v>
      </c>
      <c r="D80" s="195" t="s">
        <v>506</v>
      </c>
      <c r="E80" s="106">
        <f>'2022'!BH647</f>
        <v>294.55</v>
      </c>
      <c r="F80" s="106">
        <f>'2022'!BH648</f>
        <v>7737.65278</v>
      </c>
      <c r="G80" s="106">
        <f>'2022'!BH649</f>
        <v>830.31</v>
      </c>
      <c r="H80" s="106">
        <f>'2022'!BH650</f>
        <v>0</v>
      </c>
      <c r="I80" s="106">
        <f>'2022'!BH651</f>
        <v>5239</v>
      </c>
      <c r="J80" s="106">
        <f>'2022'!BH652</f>
        <v>1500</v>
      </c>
      <c r="K80" s="106">
        <f>'2022'!BH653</f>
        <v>2015</v>
      </c>
      <c r="L80" s="106">
        <f>'2022'!BH654</f>
        <v>0</v>
      </c>
      <c r="M80" s="106">
        <f t="shared" si="13"/>
        <v>17616.51278</v>
      </c>
      <c r="N80" s="106">
        <v>8754</v>
      </c>
      <c r="O80" s="37">
        <f>IF(P80&gt;0,P80-1,$O$1)</f>
        <v>30</v>
      </c>
      <c r="X80" s="282">
        <f t="shared" si="14"/>
        <v>26.26</v>
      </c>
      <c r="Y80" s="281">
        <f t="shared" si="15"/>
        <v>8754</v>
      </c>
      <c r="Z80" s="42">
        <f t="shared" si="16"/>
        <v>8754</v>
      </c>
      <c r="AA80" s="2" t="b">
        <f>D80='2022'!C648</f>
        <v>1</v>
      </c>
      <c r="AB80" s="317" t="b">
        <f>X80='2022'!AI647</f>
        <v>0</v>
      </c>
      <c r="AC80" s="34"/>
      <c r="AD80" s="34"/>
      <c r="AE80" s="34"/>
    </row>
    <row r="81" ht="15.75" customHeight="1" spans="1:31" x14ac:dyDescent="0.25">
      <c r="A81" s="14"/>
      <c r="B81" s="115">
        <v>73</v>
      </c>
      <c r="C81" s="115">
        <v>4.02</v>
      </c>
      <c r="D81" s="117" t="s">
        <v>259</v>
      </c>
      <c r="E81" s="106">
        <f>'2022'!BH656</f>
        <v>0</v>
      </c>
      <c r="F81" s="106">
        <f>'2022'!BH657</f>
        <v>0</v>
      </c>
      <c r="G81" s="106">
        <f>'2022'!BH658</f>
        <v>0</v>
      </c>
      <c r="H81" s="106">
        <f>'2022'!BH659</f>
        <v>0</v>
      </c>
      <c r="I81" s="106">
        <f>'2022'!BH660</f>
        <v>0</v>
      </c>
      <c r="J81" s="106">
        <f>'2022'!BH661</f>
        <v>0</v>
      </c>
      <c r="K81" s="106">
        <f>'2022'!BH662</f>
        <v>0</v>
      </c>
      <c r="L81" s="106">
        <f>'2022'!BH663</f>
        <v>0</v>
      </c>
      <c r="M81" s="106">
        <f t="shared" si="13"/>
        <v>0</v>
      </c>
      <c r="N81" s="106">
        <v>0</v>
      </c>
      <c r="O81" s="37"/>
      <c r="P81" s="15"/>
      <c r="Q81" s="34"/>
      <c r="R81" s="34"/>
      <c r="S81" s="37"/>
      <c r="T81" s="15"/>
      <c r="U81" s="15"/>
      <c r="V81" s="15"/>
      <c r="W81" s="15"/>
      <c r="X81" s="280">
        <f t="shared" si="14"/>
        <v>0</v>
      </c>
      <c r="Y81" s="281">
        <f t="shared" si="15"/>
        <v>0</v>
      </c>
      <c r="Z81" s="42">
        <f t="shared" si="16"/>
        <v>0</v>
      </c>
      <c r="AA81" s="2" t="b">
        <f>D81='2022'!C657</f>
        <v>1</v>
      </c>
      <c r="AB81" s="2" t="b">
        <f>X81='2022'!AI656</f>
        <v>1</v>
      </c>
      <c r="AC81" s="34"/>
      <c r="AD81" s="34"/>
      <c r="AE81" s="34"/>
    </row>
    <row r="82" ht="15.75" customHeight="1" spans="1:31" x14ac:dyDescent="0.25">
      <c r="A82" s="21"/>
      <c r="B82" s="115">
        <v>74</v>
      </c>
      <c r="C82" s="115">
        <v>4.97</v>
      </c>
      <c r="D82" s="117" t="s">
        <v>262</v>
      </c>
      <c r="E82" s="106">
        <f>'2022'!BH665</f>
        <v>0</v>
      </c>
      <c r="F82" s="106">
        <f>'2022'!BH666</f>
        <v>0</v>
      </c>
      <c r="G82" s="106">
        <f>'2022'!BH667</f>
        <v>0</v>
      </c>
      <c r="H82" s="106">
        <f>'2022'!BH668</f>
        <v>0</v>
      </c>
      <c r="I82" s="106">
        <f>'2022'!BH669</f>
        <v>0</v>
      </c>
      <c r="J82" s="106">
        <f>'2022'!BH670</f>
        <v>0</v>
      </c>
      <c r="K82" s="106">
        <f>'2022'!BH671</f>
        <v>0</v>
      </c>
      <c r="L82" s="106">
        <f>'2022'!BH672</f>
        <v>0</v>
      </c>
      <c r="M82" s="106">
        <f t="shared" si="13"/>
        <v>0</v>
      </c>
      <c r="N82" s="106">
        <v>0</v>
      </c>
      <c r="O82" s="37"/>
      <c r="X82" s="280">
        <f t="shared" si="14"/>
        <v>0</v>
      </c>
      <c r="Y82" s="281">
        <f t="shared" si="15"/>
        <v>0</v>
      </c>
      <c r="Z82" s="42">
        <f t="shared" si="16"/>
        <v>0</v>
      </c>
      <c r="AA82" s="2" t="b">
        <f>D82='2022'!C666</f>
        <v>1</v>
      </c>
      <c r="AB82" s="2" t="b">
        <f>X82='2022'!AI665</f>
        <v>1</v>
      </c>
      <c r="AC82" s="34"/>
      <c r="AD82" s="34"/>
      <c r="AE82" s="34"/>
    </row>
    <row r="83" ht="15.75" customHeight="1" spans="1:31" x14ac:dyDescent="0.25">
      <c r="A83" s="114" t="s">
        <v>264</v>
      </c>
      <c r="B83" s="115">
        <v>75</v>
      </c>
      <c r="C83" s="115">
        <v>4.15</v>
      </c>
      <c r="D83" s="117" t="s">
        <v>265</v>
      </c>
      <c r="E83" s="106">
        <f>'2022'!BH674</f>
        <v>0</v>
      </c>
      <c r="F83" s="106">
        <f>'2022'!BH675</f>
        <v>0</v>
      </c>
      <c r="G83" s="106">
        <f>'2022'!BH676</f>
        <v>0</v>
      </c>
      <c r="H83" s="106">
        <f>'2022'!BH677</f>
        <v>0</v>
      </c>
      <c r="I83" s="106">
        <f>'2022'!BH678</f>
        <v>0</v>
      </c>
      <c r="J83" s="106">
        <f>'2022'!BH679</f>
        <v>0</v>
      </c>
      <c r="K83" s="106">
        <f>'2022'!BH680</f>
        <v>0</v>
      </c>
      <c r="L83" s="106">
        <f>'2022'!BH681</f>
        <v>0</v>
      </c>
      <c r="M83" s="106">
        <f t="shared" si="13"/>
        <v>0</v>
      </c>
      <c r="N83" s="106">
        <v>0</v>
      </c>
      <c r="O83" s="37"/>
      <c r="X83" s="280">
        <f t="shared" si="14"/>
        <v>0</v>
      </c>
      <c r="Y83" s="281">
        <f t="shared" si="15"/>
        <v>0</v>
      </c>
      <c r="Z83" s="42">
        <f t="shared" si="16"/>
        <v>0</v>
      </c>
      <c r="AA83" s="2" t="b">
        <f>D83='2022'!C675</f>
        <v>1</v>
      </c>
      <c r="AB83" s="2" t="b">
        <f>X83='2022'!AI674</f>
        <v>1</v>
      </c>
      <c r="AC83" s="34"/>
      <c r="AD83" s="34"/>
      <c r="AE83" s="34"/>
    </row>
    <row r="84" ht="15.75" customHeight="1" spans="1:31" x14ac:dyDescent="0.25">
      <c r="A84" s="14"/>
      <c r="B84" s="115">
        <v>76</v>
      </c>
      <c r="C84" s="115">
        <v>4.15</v>
      </c>
      <c r="D84" s="117" t="s">
        <v>267</v>
      </c>
      <c r="E84" s="106">
        <f>'2022'!BH683</f>
        <v>0</v>
      </c>
      <c r="F84" s="106">
        <f>'2022'!BH684</f>
        <v>0</v>
      </c>
      <c r="G84" s="106">
        <f>'2022'!BH685</f>
        <v>0</v>
      </c>
      <c r="H84" s="106">
        <f>'2022'!BH686</f>
        <v>0</v>
      </c>
      <c r="I84" s="106">
        <f>'2022'!BH687</f>
        <v>0</v>
      </c>
      <c r="J84" s="106">
        <f>'2022'!BH688</f>
        <v>0</v>
      </c>
      <c r="K84" s="106">
        <f>'2022'!BH689</f>
        <v>0</v>
      </c>
      <c r="L84" s="106">
        <f>'2022'!BH690</f>
        <v>0</v>
      </c>
      <c r="M84" s="106">
        <f t="shared" si="13"/>
        <v>0</v>
      </c>
      <c r="N84" s="106">
        <v>0</v>
      </c>
      <c r="O84" s="37"/>
      <c r="X84" s="280">
        <f t="shared" si="14"/>
        <v>0</v>
      </c>
      <c r="Y84" s="281">
        <f t="shared" si="15"/>
        <v>0</v>
      </c>
      <c r="Z84" s="42">
        <f t="shared" si="16"/>
        <v>0</v>
      </c>
      <c r="AA84" s="2" t="b">
        <f>D84='2022'!C684</f>
        <v>1</v>
      </c>
      <c r="AB84" s="2" t="b">
        <f>X84='2022'!AI683</f>
        <v>1</v>
      </c>
      <c r="AC84" s="34"/>
      <c r="AD84" s="34"/>
      <c r="AE84" s="34"/>
    </row>
    <row r="85" ht="15.75" customHeight="1" spans="1:31" x14ac:dyDescent="0.25">
      <c r="A85" s="14"/>
      <c r="B85" s="115">
        <v>77</v>
      </c>
      <c r="C85" s="115">
        <v>4.12</v>
      </c>
      <c r="D85" s="117" t="s">
        <v>268</v>
      </c>
      <c r="E85" s="106">
        <f>'2022'!BH692</f>
        <v>0</v>
      </c>
      <c r="F85" s="106">
        <f>'2022'!BH693</f>
        <v>198.21388</v>
      </c>
      <c r="G85" s="106">
        <f>'2022'!BH694</f>
        <v>0</v>
      </c>
      <c r="H85" s="106">
        <f>'2022'!BH695</f>
        <v>0</v>
      </c>
      <c r="I85" s="106">
        <f>'2022'!BH696</f>
        <v>0</v>
      </c>
      <c r="J85" s="106">
        <f>'2022'!BH697</f>
        <v>0</v>
      </c>
      <c r="K85" s="106">
        <f>'2022'!BH698</f>
        <v>0</v>
      </c>
      <c r="L85" s="106">
        <f>'2022'!BH699</f>
        <v>0</v>
      </c>
      <c r="M85" s="106">
        <f t="shared" si="13"/>
        <v>198.21388</v>
      </c>
      <c r="N85" s="106">
        <v>0</v>
      </c>
      <c r="O85" s="37"/>
      <c r="X85" s="280">
        <f t="shared" si="14"/>
        <v>0</v>
      </c>
      <c r="Y85" s="281">
        <f t="shared" si="15"/>
        <v>0</v>
      </c>
      <c r="Z85" s="42">
        <f t="shared" si="16"/>
        <v>0</v>
      </c>
      <c r="AA85" s="2" t="b">
        <f>D85='2022'!C693</f>
        <v>1</v>
      </c>
      <c r="AB85" s="2" t="b">
        <f>X85='2022'!AI692</f>
        <v>1</v>
      </c>
      <c r="AC85" s="34"/>
      <c r="AD85" s="34"/>
      <c r="AE85" s="34"/>
    </row>
    <row r="86" ht="15.75" customHeight="1" spans="1:31" x14ac:dyDescent="0.25">
      <c r="A86" s="14"/>
      <c r="B86" s="115">
        <v>78</v>
      </c>
      <c r="C86" s="115">
        <v>4.03</v>
      </c>
      <c r="D86" s="117" t="s">
        <v>271</v>
      </c>
      <c r="E86" s="106">
        <f>'2022'!BH701</f>
        <v>0</v>
      </c>
      <c r="F86" s="106">
        <f>'2022'!BH702</f>
        <v>-0.00392</v>
      </c>
      <c r="G86" s="106">
        <f>'2022'!BH703</f>
        <v>0</v>
      </c>
      <c r="H86" s="106">
        <f>'2022'!BH704</f>
        <v>0</v>
      </c>
      <c r="I86" s="106">
        <f>'2022'!BH705</f>
        <v>0</v>
      </c>
      <c r="J86" s="106">
        <f>'2022'!BH706</f>
        <v>0</v>
      </c>
      <c r="K86" s="106">
        <f>'2022'!BH707</f>
        <v>0</v>
      </c>
      <c r="L86" s="106">
        <f>'2022'!BH708</f>
        <v>0</v>
      </c>
      <c r="M86" s="106">
        <f t="shared" si="13"/>
        <v>-0.003919999999</v>
      </c>
      <c r="N86" s="106">
        <v>0</v>
      </c>
      <c r="O86" s="37"/>
      <c r="X86" s="280">
        <f t="shared" si="14"/>
        <v>0</v>
      </c>
      <c r="Y86" s="281">
        <f t="shared" si="15"/>
        <v>0</v>
      </c>
      <c r="Z86" s="42">
        <f t="shared" si="16"/>
        <v>0</v>
      </c>
      <c r="AA86" s="2" t="b">
        <f>D86='2022'!C702</f>
        <v>1</v>
      </c>
      <c r="AB86" s="2" t="b">
        <f>X86='2022'!AI701</f>
        <v>1</v>
      </c>
      <c r="AC86" s="34"/>
      <c r="AD86" s="34"/>
      <c r="AE86" s="34"/>
    </row>
    <row r="87" ht="15.75" customHeight="1" spans="1:31" x14ac:dyDescent="0.25">
      <c r="A87" s="14"/>
      <c r="B87" s="115">
        <v>79</v>
      </c>
      <c r="C87" s="115">
        <v>4.24</v>
      </c>
      <c r="D87" s="2" t="s">
        <v>508</v>
      </c>
      <c r="E87" s="106">
        <f>'2022'!BH710</f>
        <v>278.92</v>
      </c>
      <c r="F87" s="106">
        <f>'2022'!BH711</f>
        <v>69.89552</v>
      </c>
      <c r="G87" s="106">
        <f>'2022'!BH712</f>
        <v>78.74</v>
      </c>
      <c r="H87" s="106">
        <f>'2022'!BH713</f>
        <v>0</v>
      </c>
      <c r="I87" s="106">
        <f>'2022'!BH714</f>
        <v>11407.86</v>
      </c>
      <c r="J87" s="106">
        <f>'2022'!BH715</f>
        <v>1500</v>
      </c>
      <c r="K87" s="106">
        <f>'2022'!BH716</f>
        <v>2120</v>
      </c>
      <c r="L87" s="106">
        <f>'2022'!BH717</f>
        <v>0</v>
      </c>
      <c r="M87" s="106">
        <f t="shared" si="13"/>
        <v>15455.41552</v>
      </c>
      <c r="N87" s="106">
        <v>15027.86</v>
      </c>
      <c r="O87" s="37">
        <f t="shared" ref="O87:O88" si="17">IF(P87&gt;0,P87-1,$O$1)</f>
        <v>30</v>
      </c>
      <c r="P87" s="15"/>
      <c r="Q87" s="34"/>
      <c r="R87" s="34"/>
      <c r="S87" s="37"/>
      <c r="T87" s="15"/>
      <c r="U87" s="15"/>
      <c r="V87" s="15"/>
      <c r="W87" s="15"/>
      <c r="X87" s="284">
        <f t="shared" si="14"/>
        <v>45.08</v>
      </c>
      <c r="Y87" s="281">
        <f t="shared" si="15"/>
        <v>15027.86</v>
      </c>
      <c r="Z87" s="42">
        <f t="shared" si="16"/>
        <v>15027.86</v>
      </c>
      <c r="AA87" s="2" t="b">
        <f>D87='2022'!C711</f>
        <v>1</v>
      </c>
      <c r="AB87" s="317" t="b">
        <f>X87='2022'!AI710</f>
        <v>0</v>
      </c>
      <c r="AC87" s="34"/>
      <c r="AD87" s="34"/>
      <c r="AE87" s="34"/>
    </row>
    <row r="88" ht="15.75" customHeight="1" spans="1:31" x14ac:dyDescent="0.25">
      <c r="A88" s="14"/>
      <c r="B88" s="115">
        <v>81</v>
      </c>
      <c r="C88" s="116">
        <v>4.3</v>
      </c>
      <c r="D88" s="117" t="s">
        <v>278</v>
      </c>
      <c r="E88" s="106">
        <f>'2022'!BH719</f>
        <v>135.06</v>
      </c>
      <c r="F88" s="106">
        <f>'2022'!BH720</f>
        <v>-30.00436</v>
      </c>
      <c r="G88" s="106">
        <f>'2022'!BH721</f>
        <v>250.5</v>
      </c>
      <c r="H88" s="106">
        <f>'2022'!BH722</f>
        <v>0</v>
      </c>
      <c r="I88" s="106">
        <f>'2022'!BH723</f>
        <v>10320</v>
      </c>
      <c r="J88" s="106">
        <f>'2022'!BH724</f>
        <v>1500</v>
      </c>
      <c r="K88" s="106">
        <f>'2022'!BH725</f>
        <v>2150</v>
      </c>
      <c r="L88" s="106">
        <f>'2022'!BH726</f>
        <v>0</v>
      </c>
      <c r="M88" s="106">
        <f t="shared" si="13"/>
        <v>14325.55564</v>
      </c>
      <c r="N88" s="106">
        <v>13970</v>
      </c>
      <c r="O88" s="37">
        <f t="shared" si="17"/>
        <v>30</v>
      </c>
      <c r="X88" s="284">
        <f t="shared" si="14"/>
        <v>41.91</v>
      </c>
      <c r="Y88" s="281">
        <f t="shared" si="15"/>
        <v>13970</v>
      </c>
      <c r="Z88" s="42">
        <f t="shared" si="16"/>
        <v>13970</v>
      </c>
      <c r="AA88" s="2" t="b">
        <f>D88='2022'!C720</f>
        <v>1</v>
      </c>
      <c r="AB88" s="317" t="b">
        <f>X88='2022'!AI719</f>
        <v>0</v>
      </c>
      <c r="AC88" s="34"/>
      <c r="AD88" s="34"/>
      <c r="AE88" s="34"/>
    </row>
    <row r="89" ht="15.75" customHeight="1" spans="1:31" x14ac:dyDescent="0.25">
      <c r="A89" s="14"/>
      <c r="B89" s="115">
        <v>83</v>
      </c>
      <c r="C89" s="115">
        <v>4.29</v>
      </c>
      <c r="D89" s="117" t="s">
        <v>280</v>
      </c>
      <c r="E89" s="106">
        <f>'2022'!BH728</f>
        <v>0</v>
      </c>
      <c r="F89" s="106">
        <f>'2022'!BH729</f>
        <v>2.58666</v>
      </c>
      <c r="G89" s="106">
        <f>'2022'!BH730</f>
        <v>252.58</v>
      </c>
      <c r="H89" s="106">
        <f>'2022'!BH731</f>
        <v>0</v>
      </c>
      <c r="I89" s="106">
        <f>'2022'!BH732</f>
        <v>0</v>
      </c>
      <c r="J89" s="106">
        <f>'2022'!BH733</f>
        <v>0</v>
      </c>
      <c r="K89" s="106">
        <f>'2022'!BH734</f>
        <v>0</v>
      </c>
      <c r="L89" s="106">
        <f>'2022'!BH735</f>
        <v>0</v>
      </c>
      <c r="M89" s="106">
        <f t="shared" si="13"/>
        <v>255.16666</v>
      </c>
      <c r="N89" s="106">
        <v>0</v>
      </c>
      <c r="O89" s="37"/>
      <c r="X89" s="285">
        <f t="shared" si="14"/>
        <v>0</v>
      </c>
      <c r="Y89" s="281">
        <f t="shared" si="15"/>
        <v>0</v>
      </c>
      <c r="Z89" s="42">
        <f t="shared" si="16"/>
        <v>0</v>
      </c>
      <c r="AA89" s="2" t="b">
        <f>D89='2022'!C729</f>
        <v>1</v>
      </c>
      <c r="AB89" s="2" t="b">
        <f>X89='2022'!AI728</f>
        <v>1</v>
      </c>
      <c r="AC89" s="34"/>
      <c r="AD89" s="34"/>
      <c r="AE89" s="34"/>
    </row>
    <row r="90" ht="15.75" customHeight="1" spans="1:31" x14ac:dyDescent="0.25">
      <c r="A90" s="14"/>
      <c r="B90" s="115">
        <v>85</v>
      </c>
      <c r="C90" s="115">
        <v>4.27</v>
      </c>
      <c r="D90" s="117" t="s">
        <v>282</v>
      </c>
      <c r="E90" s="106">
        <f>'2022'!BH737</f>
        <v>0</v>
      </c>
      <c r="F90" s="106">
        <f>'2022'!BH738</f>
        <v>10.32756</v>
      </c>
      <c r="G90" s="106">
        <f>'2022'!BH739</f>
        <v>0</v>
      </c>
      <c r="H90" s="106">
        <f>'2022'!BH740</f>
        <v>0</v>
      </c>
      <c r="I90" s="106">
        <f>'2022'!BH741</f>
        <v>0</v>
      </c>
      <c r="J90" s="106">
        <f>'2022'!BH742</f>
        <v>0</v>
      </c>
      <c r="K90" s="106">
        <f>'2022'!BH743</f>
        <v>0</v>
      </c>
      <c r="L90" s="106">
        <f>'2022'!BH744</f>
        <v>0</v>
      </c>
      <c r="M90" s="106">
        <f t="shared" si="13"/>
        <v>10.32756</v>
      </c>
      <c r="N90" s="106">
        <v>0</v>
      </c>
      <c r="O90" s="37"/>
      <c r="X90" s="285">
        <f t="shared" si="14"/>
        <v>0</v>
      </c>
      <c r="Y90" s="281">
        <f t="shared" si="15"/>
        <v>0</v>
      </c>
      <c r="Z90" s="42">
        <f t="shared" si="16"/>
        <v>0</v>
      </c>
      <c r="AA90" s="2" t="b">
        <f>D90='2022'!C738</f>
        <v>1</v>
      </c>
      <c r="AB90" s="2" t="b">
        <f>X90='2022'!AI737</f>
        <v>1</v>
      </c>
      <c r="AC90" s="34"/>
      <c r="AD90" s="34"/>
      <c r="AE90" s="34"/>
    </row>
    <row r="91" ht="15.75" customHeight="1" spans="1:31" x14ac:dyDescent="0.25">
      <c r="A91" s="14"/>
      <c r="B91" s="115">
        <v>87</v>
      </c>
      <c r="C91" s="115">
        <v>4.23</v>
      </c>
      <c r="D91" s="117" t="s">
        <v>284</v>
      </c>
      <c r="E91" s="106">
        <f>'2022'!BH746</f>
        <v>0</v>
      </c>
      <c r="F91" s="106">
        <f>'2022'!BH747</f>
        <v>20.66732</v>
      </c>
      <c r="G91" s="106">
        <f>'2022'!BH748</f>
        <v>0</v>
      </c>
      <c r="H91" s="106">
        <f>'2022'!BH749</f>
        <v>0</v>
      </c>
      <c r="I91" s="106">
        <f>'2022'!BH750</f>
        <v>0</v>
      </c>
      <c r="J91" s="106">
        <f>'2022'!BH751</f>
        <v>0</v>
      </c>
      <c r="K91" s="106">
        <f>'2022'!BH752</f>
        <v>0</v>
      </c>
      <c r="L91" s="106">
        <f>'2022'!BH753</f>
        <v>0</v>
      </c>
      <c r="M91" s="106">
        <f t="shared" si="13"/>
        <v>20.66732</v>
      </c>
      <c r="N91" s="106">
        <v>0</v>
      </c>
      <c r="O91" s="37"/>
      <c r="X91" s="285">
        <f t="shared" si="14"/>
        <v>0</v>
      </c>
      <c r="Y91" s="281">
        <f t="shared" si="15"/>
        <v>0</v>
      </c>
      <c r="Z91" s="42">
        <f t="shared" si="16"/>
        <v>0</v>
      </c>
      <c r="AA91" s="2" t="b">
        <f>D91='2022'!C747</f>
        <v>1</v>
      </c>
      <c r="AB91" s="2" t="b">
        <f>X91='2022'!AI746</f>
        <v>1</v>
      </c>
      <c r="AC91" s="34"/>
      <c r="AD91" s="34"/>
      <c r="AE91" s="34"/>
    </row>
    <row r="92" ht="15.75" customHeight="1" spans="1:31" x14ac:dyDescent="0.25">
      <c r="A92" s="14"/>
      <c r="B92" s="115">
        <v>89</v>
      </c>
      <c r="C92" s="115">
        <v>4.25</v>
      </c>
      <c r="D92" s="117" t="s">
        <v>286</v>
      </c>
      <c r="E92" s="106">
        <f>'2022'!BH755</f>
        <v>0</v>
      </c>
      <c r="F92" s="106">
        <f>'2022'!BH756</f>
        <v>0</v>
      </c>
      <c r="G92" s="106">
        <f>'2022'!BH757</f>
        <v>3.5</v>
      </c>
      <c r="H92" s="106">
        <f>'2022'!BH758</f>
        <v>0</v>
      </c>
      <c r="I92" s="106">
        <f>'2022'!BH759</f>
        <v>0</v>
      </c>
      <c r="J92" s="106">
        <f>'2022'!BH760</f>
        <v>0</v>
      </c>
      <c r="K92" s="106">
        <f>'2022'!BH761</f>
        <v>0</v>
      </c>
      <c r="L92" s="106">
        <f>'2022'!BH762</f>
        <v>0</v>
      </c>
      <c r="M92" s="106">
        <f t="shared" si="13"/>
        <v>3.5</v>
      </c>
      <c r="N92" s="106">
        <v>0</v>
      </c>
      <c r="O92" s="37"/>
      <c r="X92" s="285">
        <f t="shared" si="14"/>
        <v>0</v>
      </c>
      <c r="Y92" s="281">
        <f t="shared" si="15"/>
        <v>0</v>
      </c>
      <c r="Z92" s="42">
        <f t="shared" si="16"/>
        <v>0</v>
      </c>
      <c r="AA92" s="2" t="b">
        <f>D92='2022'!C756</f>
        <v>1</v>
      </c>
      <c r="AB92" s="2" t="b">
        <f>X92='2022'!AI755</f>
        <v>1</v>
      </c>
      <c r="AC92" s="34"/>
      <c r="AD92" s="34"/>
      <c r="AE92" s="34"/>
    </row>
    <row r="93" ht="15.75" customHeight="1" spans="1:31" x14ac:dyDescent="0.25">
      <c r="A93" s="14"/>
      <c r="B93" s="115">
        <v>91</v>
      </c>
      <c r="C93" s="115">
        <v>4.23</v>
      </c>
      <c r="D93" s="117" t="s">
        <v>288</v>
      </c>
      <c r="E93" s="106">
        <f>'2022'!BH764</f>
        <v>0</v>
      </c>
      <c r="F93" s="106">
        <f>'2022'!BH765</f>
        <v>38.71962</v>
      </c>
      <c r="G93" s="106">
        <f>'2022'!BH766</f>
        <v>61.05</v>
      </c>
      <c r="H93" s="106">
        <f>'2022'!BH767</f>
        <v>0</v>
      </c>
      <c r="I93" s="106">
        <f>'2022'!BH768</f>
        <v>0</v>
      </c>
      <c r="J93" s="106">
        <f>'2022'!BH769</f>
        <v>0</v>
      </c>
      <c r="K93" s="106">
        <f>'2022'!BH770</f>
        <v>0</v>
      </c>
      <c r="L93" s="106">
        <f>'2022'!BH771</f>
        <v>0</v>
      </c>
      <c r="M93" s="106">
        <f t="shared" si="13"/>
        <v>99.76962</v>
      </c>
      <c r="N93" s="106">
        <v>0</v>
      </c>
      <c r="O93" s="37"/>
      <c r="X93" s="285">
        <f t="shared" si="14"/>
        <v>0</v>
      </c>
      <c r="Y93" s="281">
        <f t="shared" si="15"/>
        <v>0</v>
      </c>
      <c r="Z93" s="42">
        <f t="shared" si="16"/>
        <v>0</v>
      </c>
      <c r="AA93" s="2" t="b">
        <f>D93='2022'!C765</f>
        <v>1</v>
      </c>
      <c r="AB93" s="2" t="b">
        <f>X93='2022'!AI764</f>
        <v>1</v>
      </c>
      <c r="AC93" s="34"/>
      <c r="AD93" s="34"/>
      <c r="AE93" s="34"/>
    </row>
    <row r="94" ht="15.75" customHeight="1" spans="1:31" x14ac:dyDescent="0.25">
      <c r="A94" s="21"/>
      <c r="B94" s="115" t="s">
        <v>292</v>
      </c>
      <c r="C94" s="115">
        <v>4.31</v>
      </c>
      <c r="D94" s="117" t="s">
        <v>562</v>
      </c>
      <c r="E94" s="106">
        <f>'2022'!BH773</f>
        <v>0</v>
      </c>
      <c r="F94" s="106">
        <f>'2022'!BH774</f>
        <v>2138.72588</v>
      </c>
      <c r="G94" s="106">
        <f>'2022'!BH775</f>
        <v>85.6</v>
      </c>
      <c r="H94" s="106">
        <f>'2022'!BH776</f>
        <v>0</v>
      </c>
      <c r="I94" s="106">
        <f>'2022'!BH777</f>
        <v>0</v>
      </c>
      <c r="J94" s="106">
        <f>'2022'!BH778</f>
        <v>0</v>
      </c>
      <c r="K94" s="106">
        <f>'2022'!BH779</f>
        <v>0</v>
      </c>
      <c r="L94" s="106">
        <f>'2022'!BH780</f>
        <v>0</v>
      </c>
      <c r="M94" s="106">
        <f t="shared" si="13"/>
        <v>2224.32588</v>
      </c>
      <c r="N94" s="106">
        <v>0</v>
      </c>
      <c r="O94" s="37"/>
      <c r="X94" s="285">
        <f t="shared" si="14"/>
        <v>0</v>
      </c>
      <c r="Y94" s="281">
        <f t="shared" si="15"/>
        <v>0</v>
      </c>
      <c r="Z94" s="42">
        <f t="shared" si="16"/>
        <v>0</v>
      </c>
      <c r="AA94" s="2" t="b">
        <f>D94='2022'!C774</f>
        <v>1</v>
      </c>
      <c r="AB94" s="2" t="b">
        <f>X94='2022'!AI773</f>
        <v>1</v>
      </c>
      <c r="AC94" s="34"/>
      <c r="AD94" s="34"/>
      <c r="AE94" s="34"/>
    </row>
    <row r="95" ht="15.75" customHeight="1" spans="1:31" x14ac:dyDescent="0.25">
      <c r="A95" s="21"/>
      <c r="B95" s="115" t="s">
        <v>292</v>
      </c>
      <c r="C95" s="115">
        <v>4.25</v>
      </c>
      <c r="D95" s="15" t="s">
        <v>562</v>
      </c>
      <c r="E95" s="106">
        <f>'2022'!BH782</f>
        <v>0</v>
      </c>
      <c r="F95" s="106">
        <f>'2022'!BH783</f>
        <v>751.65716</v>
      </c>
      <c r="G95" s="106">
        <f>'2022'!BH784</f>
        <v>0</v>
      </c>
      <c r="H95" s="106">
        <f>'2022'!BH785</f>
        <v>0</v>
      </c>
      <c r="I95" s="106">
        <f>'2022'!BH786</f>
        <v>0</v>
      </c>
      <c r="J95" s="106">
        <f>'2022'!BH787</f>
        <v>0</v>
      </c>
      <c r="K95" s="106">
        <f>'2022'!BH788</f>
        <v>0</v>
      </c>
      <c r="L95" s="106">
        <f>'2022'!BH789</f>
        <v>0</v>
      </c>
      <c r="M95" s="106">
        <f t="shared" si="13"/>
        <v>751.65716</v>
      </c>
      <c r="N95" s="106">
        <v>0</v>
      </c>
      <c r="O95" s="37"/>
      <c r="X95" s="285">
        <f t="shared" si="14"/>
        <v>0</v>
      </c>
      <c r="Y95" s="281">
        <f t="shared" si="15"/>
        <v>0</v>
      </c>
      <c r="Z95" s="42">
        <f t="shared" si="16"/>
        <v>0</v>
      </c>
      <c r="AA95" s="2" t="b">
        <f>D95='2022'!C783</f>
        <v>1</v>
      </c>
      <c r="AB95" s="2" t="b">
        <f>X95='2022'!AI782</f>
        <v>1</v>
      </c>
      <c r="AC95" s="34"/>
      <c r="AD95" s="34"/>
      <c r="AE95" s="34"/>
    </row>
    <row r="96" ht="15.75" customHeight="1" spans="1:31" x14ac:dyDescent="0.25">
      <c r="A96" s="114" t="s">
        <v>297</v>
      </c>
      <c r="B96" s="115">
        <v>80</v>
      </c>
      <c r="C96" s="115">
        <v>4.28</v>
      </c>
      <c r="D96" s="117" t="s">
        <v>298</v>
      </c>
      <c r="E96" s="106">
        <f>'2022'!BH791</f>
        <v>0</v>
      </c>
      <c r="F96" s="106">
        <f>'2022'!BH792</f>
        <v>348.81986</v>
      </c>
      <c r="G96" s="106">
        <f>'2022'!BH793</f>
        <v>0</v>
      </c>
      <c r="H96" s="106">
        <f>'2022'!BH794</f>
        <v>0</v>
      </c>
      <c r="I96" s="106">
        <f>'2022'!BH795</f>
        <v>0</v>
      </c>
      <c r="J96" s="106">
        <f>'2022'!BH796</f>
        <v>0</v>
      </c>
      <c r="K96" s="106">
        <f>'2022'!BH797</f>
        <v>0</v>
      </c>
      <c r="L96" s="106">
        <f>'2022'!BH798</f>
        <v>0</v>
      </c>
      <c r="M96" s="106">
        <f t="shared" si="13"/>
        <v>348.81986</v>
      </c>
      <c r="N96" s="106">
        <v>0</v>
      </c>
      <c r="O96" s="37"/>
      <c r="Q96" s="34"/>
      <c r="R96" s="34"/>
      <c r="X96" s="285">
        <f t="shared" si="14"/>
        <v>0</v>
      </c>
      <c r="Y96" s="281">
        <f t="shared" si="15"/>
        <v>0</v>
      </c>
      <c r="Z96" s="42">
        <f t="shared" si="16"/>
        <v>0</v>
      </c>
      <c r="AA96" s="2" t="b">
        <f>D96='2022'!C792</f>
        <v>1</v>
      </c>
      <c r="AB96" s="2" t="b">
        <f>X96='2022'!AI791</f>
        <v>1</v>
      </c>
      <c r="AC96" s="34"/>
      <c r="AD96" s="34"/>
      <c r="AE96" s="34"/>
    </row>
    <row r="97" ht="15.75" customHeight="1" spans="1:31" x14ac:dyDescent="0.25">
      <c r="A97" s="14"/>
      <c r="B97" s="115">
        <v>82</v>
      </c>
      <c r="C97" s="115">
        <v>4.28</v>
      </c>
      <c r="D97" s="117" t="s">
        <v>300</v>
      </c>
      <c r="E97" s="106">
        <f>'2022'!BH800</f>
        <v>0</v>
      </c>
      <c r="F97" s="106">
        <f>'2022'!BH801</f>
        <v>0</v>
      </c>
      <c r="G97" s="106">
        <f>'2022'!BH802</f>
        <v>-77.09</v>
      </c>
      <c r="H97" s="106">
        <f>'2022'!BH803</f>
        <v>0</v>
      </c>
      <c r="I97" s="106">
        <f>'2022'!BH804</f>
        <v>0</v>
      </c>
      <c r="J97" s="106">
        <f>'2022'!BH805</f>
        <v>0</v>
      </c>
      <c r="K97" s="106">
        <f>'2022'!BH806</f>
        <v>0</v>
      </c>
      <c r="L97" s="106">
        <f>'2022'!BH807</f>
        <v>0</v>
      </c>
      <c r="M97" s="106">
        <f t="shared" si="13"/>
        <v>-77.09</v>
      </c>
      <c r="N97" s="106">
        <v>0</v>
      </c>
      <c r="O97" s="37"/>
      <c r="Q97" s="34"/>
      <c r="R97" s="34"/>
      <c r="X97" s="285">
        <f t="shared" si="14"/>
        <v>0</v>
      </c>
      <c r="Y97" s="281">
        <f t="shared" si="15"/>
        <v>0</v>
      </c>
      <c r="Z97" s="42">
        <f t="shared" si="16"/>
        <v>0</v>
      </c>
      <c r="AA97" s="2" t="b">
        <f>D97='2022'!C801</f>
        <v>1</v>
      </c>
      <c r="AB97" s="2" t="b">
        <f>X97='2022'!AI800</f>
        <v>1</v>
      </c>
      <c r="AC97" s="34"/>
      <c r="AD97" s="34"/>
      <c r="AE97" s="34"/>
    </row>
    <row r="98" ht="15.75" customHeight="1" spans="1:31" x14ac:dyDescent="0.25">
      <c r="A98" s="14"/>
      <c r="B98" s="115">
        <v>84</v>
      </c>
      <c r="C98" s="115">
        <v>4.18</v>
      </c>
      <c r="D98" s="117" t="s">
        <v>301</v>
      </c>
      <c r="E98" s="106">
        <f>'2022'!BH809</f>
        <v>0</v>
      </c>
      <c r="F98" s="106">
        <f>'2022'!BH810</f>
        <v>49.07516</v>
      </c>
      <c r="G98" s="106">
        <f>'2022'!BH811</f>
        <v>0</v>
      </c>
      <c r="H98" s="106">
        <f>'2022'!BH812</f>
        <v>0</v>
      </c>
      <c r="I98" s="106">
        <f>'2022'!BH813</f>
        <v>0</v>
      </c>
      <c r="J98" s="106">
        <f>'2022'!BH814</f>
        <v>0</v>
      </c>
      <c r="K98" s="106">
        <f>'2022'!BH815</f>
        <v>40</v>
      </c>
      <c r="L98" s="106">
        <f>'2022'!BH816</f>
        <v>0</v>
      </c>
      <c r="M98" s="106">
        <f t="shared" si="13"/>
        <v>89.07516</v>
      </c>
      <c r="N98" s="106">
        <v>40</v>
      </c>
      <c r="O98" s="37">
        <f t="shared" ref="O98:O105" si="18">IF(P98&gt;0,P98-1,$O$1)</f>
        <v>30</v>
      </c>
      <c r="P98" s="15"/>
      <c r="Q98" s="34"/>
      <c r="R98" s="34"/>
      <c r="S98" s="37"/>
      <c r="T98" s="15"/>
      <c r="U98" s="34"/>
      <c r="V98" s="34"/>
      <c r="W98" s="37"/>
      <c r="X98" s="285">
        <f t="shared" si="14"/>
        <v>0.12</v>
      </c>
      <c r="Y98" s="281">
        <f t="shared" si="15"/>
        <v>40</v>
      </c>
      <c r="Z98" s="42">
        <f t="shared" si="16"/>
        <v>40</v>
      </c>
      <c r="AA98" s="2" t="b">
        <f>D98='2022'!C810</f>
        <v>1</v>
      </c>
      <c r="AB98" s="317" t="b">
        <f>X98='2022'!AI809</f>
        <v>0</v>
      </c>
      <c r="AC98" s="34"/>
      <c r="AD98" s="34"/>
      <c r="AE98" s="34"/>
    </row>
    <row r="99" ht="15.75" customHeight="1" spans="1:31" x14ac:dyDescent="0.25">
      <c r="A99" s="14"/>
      <c r="B99" s="115">
        <v>86</v>
      </c>
      <c r="C99" s="115">
        <v>4.23</v>
      </c>
      <c r="D99" s="117" t="s">
        <v>304</v>
      </c>
      <c r="E99" s="106">
        <f>'2022'!BH818</f>
        <v>910.12</v>
      </c>
      <c r="F99" s="106">
        <f>'2022'!BH819</f>
        <v>0</v>
      </c>
      <c r="G99" s="106">
        <f>'2022'!BH820</f>
        <v>0</v>
      </c>
      <c r="H99" s="106">
        <f>'2022'!BH821</f>
        <v>0</v>
      </c>
      <c r="I99" s="106">
        <f>'2022'!BH822</f>
        <v>19881</v>
      </c>
      <c r="J99" s="106">
        <f>'2022'!BH823</f>
        <v>2500</v>
      </c>
      <c r="K99" s="106">
        <f>'2022'!BH824</f>
        <v>2115</v>
      </c>
      <c r="L99" s="106">
        <f>'2022'!BH825</f>
        <v>1000</v>
      </c>
      <c r="M99" s="106">
        <f t="shared" si="13"/>
        <v>26406.12</v>
      </c>
      <c r="N99" s="106">
        <v>24496.000000000004</v>
      </c>
      <c r="O99" s="37">
        <f t="shared" si="18"/>
        <v>30</v>
      </c>
      <c r="P99" s="15"/>
      <c r="Q99" s="15"/>
      <c r="R99" s="15"/>
      <c r="S99" s="15"/>
      <c r="T99" s="15"/>
      <c r="U99" s="15"/>
      <c r="V99" s="15"/>
      <c r="W99" s="15"/>
      <c r="X99" s="284">
        <f t="shared" si="14"/>
        <v>73.49</v>
      </c>
      <c r="Y99" s="281">
        <f t="shared" si="15"/>
        <v>24496</v>
      </c>
      <c r="Z99" s="42">
        <f t="shared" si="16"/>
        <v>24496</v>
      </c>
      <c r="AA99" s="2" t="b">
        <f>D99='2022'!C819</f>
        <v>1</v>
      </c>
      <c r="AB99" s="317" t="b">
        <f>X99='2022'!AI818</f>
        <v>0</v>
      </c>
      <c r="AC99" s="34"/>
      <c r="AD99" s="34"/>
      <c r="AE99" s="34"/>
    </row>
    <row r="100" ht="15.75" customHeight="1" spans="1:31" x14ac:dyDescent="0.25">
      <c r="A100" s="14"/>
      <c r="B100" s="115">
        <v>88</v>
      </c>
      <c r="C100" s="115">
        <v>4.23</v>
      </c>
      <c r="D100" s="117" t="s">
        <v>308</v>
      </c>
      <c r="E100" s="106">
        <f>'2022'!BH827</f>
        <v>-0.04</v>
      </c>
      <c r="F100" s="106">
        <f>'2022'!BH828</f>
        <v>0</v>
      </c>
      <c r="G100" s="106">
        <f>'2022'!BH829</f>
        <v>0</v>
      </c>
      <c r="H100" s="106">
        <f>'2022'!BH830</f>
        <v>0</v>
      </c>
      <c r="I100" s="106">
        <f>'2022'!BH831</f>
        <v>5499</v>
      </c>
      <c r="J100" s="106">
        <f>'2022'!BH832</f>
        <v>1000</v>
      </c>
      <c r="K100" s="106">
        <f>'2022'!BH833</f>
        <v>0</v>
      </c>
      <c r="L100" s="106">
        <f>'2022'!BH834</f>
        <v>0</v>
      </c>
      <c r="M100" s="106">
        <f t="shared" si="13"/>
        <v>6498.96</v>
      </c>
      <c r="N100" s="106">
        <v>6499.000000000001</v>
      </c>
      <c r="O100" s="37">
        <f t="shared" si="18"/>
        <v>30</v>
      </c>
      <c r="P100" s="15"/>
      <c r="Q100" s="34"/>
      <c r="R100" s="34"/>
      <c r="T100" s="15"/>
      <c r="U100" s="15"/>
      <c r="V100" s="15"/>
      <c r="W100" s="15"/>
      <c r="X100" s="285">
        <f t="shared" si="14"/>
        <v>19.5</v>
      </c>
      <c r="Y100" s="281">
        <f t="shared" si="15"/>
        <v>6499</v>
      </c>
      <c r="Z100" s="42">
        <f t="shared" si="16"/>
        <v>6499</v>
      </c>
      <c r="AA100" s="2" t="b">
        <f>D100='2022'!C828</f>
        <v>1</v>
      </c>
      <c r="AB100" s="2" t="b">
        <f>X100='2022'!AI827</f>
        <v>0</v>
      </c>
      <c r="AC100" s="34"/>
      <c r="AD100" s="34"/>
      <c r="AE100" s="34"/>
    </row>
    <row r="101" ht="15.75" customHeight="1" spans="1:31" x14ac:dyDescent="0.25">
      <c r="A101" s="14"/>
      <c r="B101" s="115">
        <v>90</v>
      </c>
      <c r="C101" s="115">
        <v>4.23</v>
      </c>
      <c r="D101" s="117" t="s">
        <v>311</v>
      </c>
      <c r="E101" s="106">
        <f>'2022'!BH836</f>
        <v>-0.04</v>
      </c>
      <c r="F101" s="106">
        <f>'2022'!BH837</f>
        <v>0</v>
      </c>
      <c r="G101" s="106">
        <f>'2022'!BH838</f>
        <v>0</v>
      </c>
      <c r="H101" s="106">
        <f>'2022'!BH839</f>
        <v>0</v>
      </c>
      <c r="I101" s="106">
        <f>'2022'!BH840</f>
        <v>5499</v>
      </c>
      <c r="J101" s="106">
        <f>'2022'!BH841</f>
        <v>1000</v>
      </c>
      <c r="K101" s="106">
        <f>'2022'!BH842</f>
        <v>0</v>
      </c>
      <c r="L101" s="106">
        <f>'2022'!BH843</f>
        <v>0</v>
      </c>
      <c r="M101" s="106">
        <f t="shared" si="13"/>
        <v>6498.96</v>
      </c>
      <c r="N101" s="106">
        <v>6499.000000000001</v>
      </c>
      <c r="O101" s="37">
        <f t="shared" si="18"/>
        <v>30</v>
      </c>
      <c r="P101" s="15"/>
      <c r="Q101" s="34"/>
      <c r="R101" s="34"/>
      <c r="T101" s="15"/>
      <c r="U101" s="15"/>
      <c r="V101" s="15"/>
      <c r="W101" s="15"/>
      <c r="X101" s="285">
        <f t="shared" si="14"/>
        <v>19.5</v>
      </c>
      <c r="Y101" s="281">
        <f t="shared" si="15"/>
        <v>6499</v>
      </c>
      <c r="Z101" s="42">
        <f t="shared" si="16"/>
        <v>6499</v>
      </c>
      <c r="AA101" s="2" t="b">
        <f>D101='2022'!C837</f>
        <v>1</v>
      </c>
      <c r="AB101" s="2" t="b">
        <f>X101='2022'!AI836</f>
        <v>0</v>
      </c>
      <c r="AC101" s="34"/>
      <c r="AD101" s="34"/>
      <c r="AE101" s="34"/>
    </row>
    <row r="102" ht="15.75" customHeight="1" spans="1:31" x14ac:dyDescent="0.25">
      <c r="A102" s="14"/>
      <c r="B102" s="115">
        <v>92</v>
      </c>
      <c r="C102" s="115">
        <v>4.28</v>
      </c>
      <c r="D102" s="117" t="s">
        <v>312</v>
      </c>
      <c r="E102" s="106">
        <f>'2022'!BH845</f>
        <v>44.37</v>
      </c>
      <c r="F102" s="106">
        <f>'2022'!BH846</f>
        <v>1761.62312</v>
      </c>
      <c r="G102" s="106">
        <f>'2022'!BH847</f>
        <v>0</v>
      </c>
      <c r="H102" s="106">
        <f>'2022'!BH848</f>
        <v>0</v>
      </c>
      <c r="I102" s="106">
        <f>'2022'!BH849</f>
        <v>8786.88</v>
      </c>
      <c r="J102" s="106">
        <f>'2022'!BH850</f>
        <v>1500</v>
      </c>
      <c r="K102" s="106">
        <f>'2022'!BH851</f>
        <v>2140</v>
      </c>
      <c r="L102" s="106">
        <f>'2022'!BH852</f>
        <v>500</v>
      </c>
      <c r="M102" s="106">
        <f t="shared" si="13"/>
        <v>14732.87312</v>
      </c>
      <c r="N102" s="106">
        <v>12426.88</v>
      </c>
      <c r="O102" s="37">
        <f t="shared" si="18"/>
        <v>30</v>
      </c>
      <c r="P102" s="15"/>
      <c r="Q102" s="34"/>
      <c r="R102" s="34"/>
      <c r="S102" s="37"/>
      <c r="T102" s="15"/>
      <c r="U102" s="15"/>
      <c r="V102" s="15"/>
      <c r="W102" s="15"/>
      <c r="X102" s="284">
        <f t="shared" si="14"/>
        <v>37.28</v>
      </c>
      <c r="Y102" s="281">
        <f t="shared" si="15"/>
        <v>12426.88</v>
      </c>
      <c r="Z102" s="42">
        <f t="shared" si="16"/>
        <v>12426.88</v>
      </c>
      <c r="AA102" s="2" t="b">
        <f>D102='2022'!C846</f>
        <v>1</v>
      </c>
      <c r="AB102" s="317" t="b">
        <f>X102='2022'!AI845</f>
        <v>0</v>
      </c>
      <c r="AC102" s="34"/>
      <c r="AD102" s="34"/>
      <c r="AE102" s="34"/>
    </row>
    <row r="103" ht="15.75" customHeight="1" spans="1:31" x14ac:dyDescent="0.25">
      <c r="A103" s="14"/>
      <c r="B103" s="115" t="s">
        <v>315</v>
      </c>
      <c r="C103" s="115">
        <v>4.36</v>
      </c>
      <c r="D103" s="117" t="s">
        <v>316</v>
      </c>
      <c r="E103" s="106">
        <f>'2022'!BH854</f>
        <v>-7.44</v>
      </c>
      <c r="F103" s="106">
        <f>'2022'!BH855</f>
        <v>3008.48458</v>
      </c>
      <c r="G103" s="106">
        <f>'2022'!BH856</f>
        <v>12.25</v>
      </c>
      <c r="H103" s="106">
        <f>'2022'!BH857</f>
        <v>0</v>
      </c>
      <c r="I103" s="106">
        <f>'2022'!BH858</f>
        <v>5668</v>
      </c>
      <c r="J103" s="106">
        <f>'2022'!BH859</f>
        <v>0</v>
      </c>
      <c r="K103" s="106">
        <f>'2022'!BH860</f>
        <v>0</v>
      </c>
      <c r="L103" s="106">
        <f>'2022'!BH861</f>
        <v>0</v>
      </c>
      <c r="M103" s="106">
        <f t="shared" si="13"/>
        <v>8681.29458</v>
      </c>
      <c r="N103" s="106">
        <v>5668</v>
      </c>
      <c r="O103" s="37">
        <f t="shared" si="18"/>
        <v>30</v>
      </c>
      <c r="P103" s="2"/>
      <c r="Q103" s="2"/>
      <c r="R103" s="180"/>
      <c r="S103" s="286"/>
      <c r="X103" s="285">
        <f t="shared" si="14"/>
        <v>17</v>
      </c>
      <c r="Y103" s="281">
        <f t="shared" si="15"/>
        <v>5668</v>
      </c>
      <c r="Z103" s="42">
        <f t="shared" si="16"/>
        <v>5668</v>
      </c>
      <c r="AA103" s="2" t="b">
        <f>D103='2022'!C855</f>
        <v>1</v>
      </c>
      <c r="AB103" s="317" t="b">
        <f>X103='2022'!AI854</f>
        <v>0</v>
      </c>
      <c r="AC103" s="34"/>
      <c r="AD103" s="34"/>
      <c r="AE103" s="34"/>
    </row>
    <row r="104" ht="15.75" customHeight="1" spans="1:31" x14ac:dyDescent="0.25">
      <c r="A104" s="14"/>
      <c r="B104" s="115" t="s">
        <v>315</v>
      </c>
      <c r="C104" s="116">
        <v>4.4</v>
      </c>
      <c r="D104" s="117" t="s">
        <v>316</v>
      </c>
      <c r="E104" s="106">
        <f>'2022'!BH863</f>
        <v>2.42</v>
      </c>
      <c r="F104" s="106">
        <f>'2022'!BH864</f>
        <v>0</v>
      </c>
      <c r="G104" s="106">
        <f>'2022'!BH865</f>
        <v>21.4</v>
      </c>
      <c r="H104" s="106">
        <f>'2022'!BH866</f>
        <v>0</v>
      </c>
      <c r="I104" s="106">
        <f>'2022'!BH867</f>
        <v>5720</v>
      </c>
      <c r="J104" s="106">
        <f>'2022'!BH868</f>
        <v>0</v>
      </c>
      <c r="K104" s="106">
        <f>'2022'!BH869</f>
        <v>0</v>
      </c>
      <c r="L104" s="106">
        <f>'2022'!BH870</f>
        <v>0</v>
      </c>
      <c r="M104" s="106">
        <f t="shared" si="13"/>
        <v>5743.82</v>
      </c>
      <c r="N104" s="106">
        <v>5720</v>
      </c>
      <c r="O104" s="37">
        <f t="shared" si="18"/>
        <v>30</v>
      </c>
      <c r="P104" s="2"/>
      <c r="Q104" s="34"/>
      <c r="R104" s="34"/>
      <c r="S104" s="286"/>
      <c r="X104" s="285">
        <f t="shared" si="14"/>
        <v>17.16</v>
      </c>
      <c r="Y104" s="281">
        <f t="shared" si="15"/>
        <v>5720</v>
      </c>
      <c r="Z104" s="42">
        <f t="shared" si="16"/>
        <v>5720</v>
      </c>
      <c r="AA104" s="2" t="b">
        <f>D104='2022'!C864</f>
        <v>1</v>
      </c>
      <c r="AB104" s="317" t="b">
        <f>X104='2022'!AI863</f>
        <v>0</v>
      </c>
      <c r="AC104" s="34"/>
      <c r="AD104" s="34"/>
      <c r="AE104" s="34"/>
    </row>
    <row r="105" ht="15.75" customHeight="1" spans="1:31" x14ac:dyDescent="0.25">
      <c r="A105" s="14"/>
      <c r="B105" s="115">
        <v>99</v>
      </c>
      <c r="C105" s="115">
        <v>4.53</v>
      </c>
      <c r="D105" s="117" t="s">
        <v>319</v>
      </c>
      <c r="E105" s="106">
        <f>'2022'!BH872</f>
        <v>117.64</v>
      </c>
      <c r="F105" s="106">
        <f>'2022'!BH873</f>
        <v>41.65892</v>
      </c>
      <c r="G105" s="106">
        <f>'2022'!BH874</f>
        <v>2177.27</v>
      </c>
      <c r="H105" s="106">
        <f>'2022'!BH875</f>
        <v>0</v>
      </c>
      <c r="I105" s="106">
        <f>'2022'!BH876</f>
        <v>3748</v>
      </c>
      <c r="J105" s="106">
        <f>'2022'!BH877</f>
        <v>0</v>
      </c>
      <c r="K105" s="106">
        <f>'2022'!BH878</f>
        <v>0</v>
      </c>
      <c r="L105" s="106">
        <f>'2022'!BH879</f>
        <v>0</v>
      </c>
      <c r="M105" s="106">
        <f t="shared" si="13"/>
        <v>6084.56892</v>
      </c>
      <c r="N105" s="106">
        <v>3748</v>
      </c>
      <c r="O105" s="37">
        <f t="shared" si="18"/>
        <v>30</v>
      </c>
      <c r="P105" s="2"/>
      <c r="Q105" s="34"/>
      <c r="R105" s="34"/>
      <c r="S105" s="286"/>
      <c r="T105" s="15"/>
      <c r="U105" s="15"/>
      <c r="V105" s="15"/>
      <c r="W105" s="15"/>
      <c r="X105" s="280">
        <f t="shared" si="14"/>
        <v>11.24</v>
      </c>
      <c r="Y105" s="281">
        <f t="shared" si="15"/>
        <v>3748</v>
      </c>
      <c r="Z105" s="42">
        <f t="shared" si="16"/>
        <v>3748</v>
      </c>
      <c r="AA105" s="2" t="b">
        <f>D105='2022'!C873</f>
        <v>1</v>
      </c>
      <c r="AB105" s="317" t="b">
        <f>X105='2022'!AI872</f>
        <v>0</v>
      </c>
      <c r="AC105" s="34"/>
      <c r="AD105" s="34"/>
      <c r="AE105" s="34"/>
    </row>
    <row r="106" ht="15.75" customHeight="1" spans="1:31" x14ac:dyDescent="0.25">
      <c r="A106" s="14"/>
      <c r="B106" s="115">
        <v>101</v>
      </c>
      <c r="C106" s="115">
        <v>4.46</v>
      </c>
      <c r="D106" s="117" t="s">
        <v>321</v>
      </c>
      <c r="E106" s="106">
        <f>'2022'!BH881</f>
        <v>0</v>
      </c>
      <c r="F106" s="106">
        <f>'2022'!BH882</f>
        <v>5.08228</v>
      </c>
      <c r="G106" s="106">
        <f>'2022'!BH883</f>
        <v>47.92</v>
      </c>
      <c r="H106" s="106">
        <f>'2022'!BH884</f>
        <v>0</v>
      </c>
      <c r="I106" s="106">
        <f>'2022'!BH885</f>
        <v>0</v>
      </c>
      <c r="J106" s="106">
        <f>'2022'!BH886</f>
        <v>0</v>
      </c>
      <c r="K106" s="106">
        <f>'2022'!BH887</f>
        <v>0</v>
      </c>
      <c r="L106" s="106">
        <f>'2022'!BH888</f>
        <v>0</v>
      </c>
      <c r="M106" s="106">
        <f t="shared" si="13"/>
        <v>53.00228</v>
      </c>
      <c r="N106" s="106">
        <v>0</v>
      </c>
      <c r="O106" s="37"/>
      <c r="X106" s="280">
        <f t="shared" si="14"/>
        <v>0</v>
      </c>
      <c r="Y106" s="281">
        <f t="shared" si="15"/>
        <v>0</v>
      </c>
      <c r="Z106" s="42">
        <f t="shared" si="16"/>
        <v>0</v>
      </c>
      <c r="AA106" s="2" t="b">
        <f>D106='2022'!C882</f>
        <v>1</v>
      </c>
      <c r="AB106" s="2" t="b">
        <f>X106='2022'!AI881</f>
        <v>1</v>
      </c>
      <c r="AC106" s="34"/>
      <c r="AD106" s="34"/>
      <c r="AE106" s="34"/>
    </row>
    <row r="107" ht="15.75" customHeight="1" spans="1:31" x14ac:dyDescent="0.25">
      <c r="A107" s="14"/>
      <c r="B107" s="115">
        <v>103</v>
      </c>
      <c r="C107" s="115">
        <v>4.42</v>
      </c>
      <c r="D107" s="117" t="s">
        <v>322</v>
      </c>
      <c r="E107" s="106">
        <f>'2022'!BH890</f>
        <v>0</v>
      </c>
      <c r="F107" s="106">
        <f>'2022'!BH891</f>
        <v>0</v>
      </c>
      <c r="G107" s="106">
        <f>'2022'!BH892</f>
        <v>107</v>
      </c>
      <c r="H107" s="106">
        <f>'2022'!BH893</f>
        <v>0</v>
      </c>
      <c r="I107" s="106">
        <f>'2022'!BH894</f>
        <v>0</v>
      </c>
      <c r="J107" s="106">
        <f>'2022'!BH895</f>
        <v>0</v>
      </c>
      <c r="K107" s="106">
        <f>'2022'!BH896</f>
        <v>0</v>
      </c>
      <c r="L107" s="106">
        <f>'2022'!BH897</f>
        <v>0</v>
      </c>
      <c r="M107" s="106">
        <f t="shared" si="13"/>
        <v>107</v>
      </c>
      <c r="N107" s="106">
        <v>0</v>
      </c>
      <c r="O107" s="37"/>
      <c r="P107" s="15"/>
      <c r="Q107" s="15"/>
      <c r="R107" s="34"/>
      <c r="S107" s="37"/>
      <c r="T107" s="15"/>
      <c r="U107" s="15"/>
      <c r="V107" s="15"/>
      <c r="W107" s="15"/>
      <c r="X107" s="285">
        <f t="shared" si="14"/>
        <v>0</v>
      </c>
      <c r="Y107" s="281">
        <f t="shared" si="15"/>
        <v>0</v>
      </c>
      <c r="Z107" s="42">
        <f t="shared" si="16"/>
        <v>0</v>
      </c>
      <c r="AA107" s="2" t="b">
        <f>D107='2022'!C891</f>
        <v>1</v>
      </c>
      <c r="AB107" s="2" t="b">
        <f>X107='2022'!AI890</f>
        <v>1</v>
      </c>
      <c r="AC107" s="34"/>
      <c r="AD107" s="34"/>
      <c r="AE107" s="34"/>
    </row>
    <row r="108" ht="15.75" customHeight="1" spans="1:31" x14ac:dyDescent="0.25">
      <c r="A108" s="14"/>
      <c r="B108" s="115">
        <v>105</v>
      </c>
      <c r="C108" s="115">
        <v>4.41</v>
      </c>
      <c r="D108" s="117" t="s">
        <v>323</v>
      </c>
      <c r="E108" s="106">
        <f>'2022'!BH899</f>
        <v>1.5</v>
      </c>
      <c r="F108" s="106">
        <f>'2022'!BH900</f>
        <v>-70.8321</v>
      </c>
      <c r="G108" s="106">
        <f>'2022'!BH901</f>
        <v>64.2</v>
      </c>
      <c r="H108" s="106">
        <f>'2022'!BH902</f>
        <v>0</v>
      </c>
      <c r="I108" s="106">
        <f>'2022'!BH903</f>
        <v>0</v>
      </c>
      <c r="J108" s="106">
        <f>'2022'!BH904</f>
        <v>0</v>
      </c>
      <c r="K108" s="106">
        <f>'2022'!BH905</f>
        <v>0</v>
      </c>
      <c r="L108" s="106">
        <f>'2022'!BH906</f>
        <v>0</v>
      </c>
      <c r="M108" s="106">
        <f t="shared" si="13"/>
        <v>-5.1321</v>
      </c>
      <c r="N108" s="106">
        <v>0</v>
      </c>
      <c r="O108" s="37"/>
      <c r="P108" s="15"/>
      <c r="Q108" s="34"/>
      <c r="R108" s="34"/>
      <c r="S108" s="286"/>
      <c r="T108" s="15"/>
      <c r="U108" s="15"/>
      <c r="V108" s="15"/>
      <c r="W108" s="15"/>
      <c r="X108" s="284">
        <f t="shared" si="14"/>
        <v>0</v>
      </c>
      <c r="Y108" s="281">
        <f t="shared" si="15"/>
        <v>0</v>
      </c>
      <c r="Z108" s="42">
        <f t="shared" si="16"/>
        <v>0</v>
      </c>
      <c r="AA108" s="2" t="b">
        <f>D108='2022'!C900</f>
        <v>1</v>
      </c>
      <c r="AB108" s="317" t="b">
        <f>X108='2022'!AI899</f>
        <v>0</v>
      </c>
      <c r="AC108" s="34"/>
      <c r="AD108" s="34"/>
      <c r="AE108" s="34"/>
    </row>
    <row r="109" ht="15.75" customHeight="1" spans="1:31" x14ac:dyDescent="0.25">
      <c r="A109" s="21"/>
      <c r="B109" s="115">
        <v>107</v>
      </c>
      <c r="C109" s="115">
        <v>4.37</v>
      </c>
      <c r="D109" s="117" t="s">
        <v>325</v>
      </c>
      <c r="E109" s="106">
        <f>'2022'!BH908</f>
        <v>0</v>
      </c>
      <c r="F109" s="106">
        <f>'2022'!BH909</f>
        <v>183.26242</v>
      </c>
      <c r="G109" s="106">
        <f>'2022'!BH910</f>
        <v>21.4</v>
      </c>
      <c r="H109" s="106">
        <f>'2022'!BH911</f>
        <v>0</v>
      </c>
      <c r="I109" s="106">
        <f>'2022'!BH912</f>
        <v>0</v>
      </c>
      <c r="J109" s="106">
        <f>'2022'!BH913</f>
        <v>0</v>
      </c>
      <c r="K109" s="106">
        <f>'2022'!BH914</f>
        <v>0</v>
      </c>
      <c r="L109" s="106">
        <f>'2022'!BH915</f>
        <v>0</v>
      </c>
      <c r="M109" s="106">
        <f t="shared" si="13"/>
        <v>204.66242</v>
      </c>
      <c r="N109" s="106">
        <v>0</v>
      </c>
      <c r="O109" s="37"/>
      <c r="X109" s="285">
        <f t="shared" si="14"/>
        <v>0</v>
      </c>
      <c r="Y109" s="281">
        <f t="shared" si="15"/>
        <v>0</v>
      </c>
      <c r="Z109" s="42">
        <f t="shared" si="16"/>
        <v>0</v>
      </c>
      <c r="AA109" s="2" t="b">
        <f>D109='2022'!C909</f>
        <v>1</v>
      </c>
      <c r="AB109" s="2" t="b">
        <f>X109='2022'!AI908</f>
        <v>1</v>
      </c>
      <c r="AC109" s="34"/>
      <c r="AD109" s="34"/>
      <c r="AE109" s="34"/>
    </row>
    <row r="110" ht="15.75" customHeight="1" spans="1:31" x14ac:dyDescent="0.25">
      <c r="A110" s="114" t="s">
        <v>327</v>
      </c>
      <c r="B110" s="115">
        <v>96</v>
      </c>
      <c r="C110" s="115">
        <v>4.46</v>
      </c>
      <c r="D110" s="117" t="s">
        <v>450</v>
      </c>
      <c r="E110" s="106">
        <f>'2022'!BH917</f>
        <v>0</v>
      </c>
      <c r="F110" s="106">
        <f>'2022'!BH918</f>
        <v>0</v>
      </c>
      <c r="G110" s="106">
        <f>'2022'!BH919</f>
        <v>0</v>
      </c>
      <c r="H110" s="106">
        <f>'2022'!BH920</f>
        <v>0</v>
      </c>
      <c r="I110" s="106">
        <f>'2022'!BH921</f>
        <v>5798</v>
      </c>
      <c r="J110" s="106">
        <f>'2022'!BH922</f>
        <v>0</v>
      </c>
      <c r="K110" s="106">
        <f>'2022'!BH923</f>
        <v>0</v>
      </c>
      <c r="L110" s="106">
        <f>'2022'!BH924</f>
        <v>0</v>
      </c>
      <c r="M110" s="106">
        <f t="shared" si="13"/>
        <v>5798</v>
      </c>
      <c r="N110" s="106">
        <v>5798</v>
      </c>
      <c r="O110" s="37">
        <f t="shared" ref="O110:O112" si="19">IF(P110&gt;0,P110-1,$O$1)</f>
        <v>30</v>
      </c>
      <c r="X110" s="285">
        <f t="shared" si="14"/>
        <v>17.39</v>
      </c>
      <c r="Y110" s="281">
        <f t="shared" si="15"/>
        <v>5798</v>
      </c>
      <c r="Z110" s="42">
        <f t="shared" si="16"/>
        <v>5798</v>
      </c>
      <c r="AA110" s="2" t="b">
        <f>D110='2022'!C918</f>
        <v>1</v>
      </c>
      <c r="AB110" s="2" t="b">
        <f>X110='2022'!AI917</f>
        <v>0</v>
      </c>
      <c r="AC110" s="34"/>
      <c r="AD110" s="34"/>
      <c r="AE110" s="34"/>
    </row>
    <row r="111" ht="15.75" customHeight="1" spans="1:31" x14ac:dyDescent="0.25">
      <c r="A111" s="14"/>
      <c r="B111" s="115">
        <v>98</v>
      </c>
      <c r="C111" s="115">
        <v>4.45</v>
      </c>
      <c r="D111" s="117" t="s">
        <v>328</v>
      </c>
      <c r="E111" s="106">
        <f>'2022'!BH926</f>
        <v>89.55</v>
      </c>
      <c r="F111" s="106">
        <f>'2022'!BH927</f>
        <v>-332.68</v>
      </c>
      <c r="G111" s="106">
        <f>'2022'!BH928</f>
        <v>215.05</v>
      </c>
      <c r="H111" s="106">
        <f>'2022'!BH929</f>
        <v>0</v>
      </c>
      <c r="I111" s="106">
        <f>'2022'!BH930</f>
        <v>10680</v>
      </c>
      <c r="J111" s="106">
        <f>'2022'!BH931</f>
        <v>999.997</v>
      </c>
      <c r="K111" s="106">
        <f>'2022'!BH932</f>
        <v>0</v>
      </c>
      <c r="L111" s="106">
        <f>'2022'!BH933</f>
        <v>0</v>
      </c>
      <c r="M111" s="106">
        <f t="shared" si="13"/>
        <v>11651.917</v>
      </c>
      <c r="N111" s="106">
        <v>11679.997</v>
      </c>
      <c r="O111" s="37">
        <f t="shared" si="19"/>
        <v>30</v>
      </c>
      <c r="P111" s="15"/>
      <c r="Q111" s="34"/>
      <c r="R111" s="34"/>
      <c r="S111" s="37"/>
      <c r="T111" s="15"/>
      <c r="U111" s="15"/>
      <c r="V111" s="15"/>
      <c r="W111" s="15"/>
      <c r="X111" s="284">
        <f t="shared" si="14"/>
        <v>35.04</v>
      </c>
      <c r="Y111" s="281">
        <f t="shared" si="15"/>
        <v>11679.997</v>
      </c>
      <c r="Z111" s="42">
        <f t="shared" si="16"/>
        <v>11679.997</v>
      </c>
      <c r="AA111" s="2" t="b">
        <f>D111='2022'!C927</f>
        <v>1</v>
      </c>
      <c r="AB111" s="317" t="b">
        <f>X111='2022'!AI926</f>
        <v>0</v>
      </c>
      <c r="AC111" s="34"/>
      <c r="AD111" s="34"/>
      <c r="AE111" s="34"/>
    </row>
    <row r="112" ht="15.75" customHeight="1" spans="1:31" x14ac:dyDescent="0.25">
      <c r="A112" s="14"/>
      <c r="B112" s="115">
        <v>100</v>
      </c>
      <c r="C112" s="115">
        <v>4.47</v>
      </c>
      <c r="D112" s="117" t="s">
        <v>330</v>
      </c>
      <c r="E112" s="106">
        <f>'2022'!BH935</f>
        <v>318.43</v>
      </c>
      <c r="F112" s="106">
        <f>'2022'!BH936</f>
        <v>903.57186</v>
      </c>
      <c r="G112" s="106">
        <f>'2022'!BH937</f>
        <v>0</v>
      </c>
      <c r="H112" s="106">
        <f>'2022'!BH938</f>
        <v>0</v>
      </c>
      <c r="I112" s="106">
        <f>'2022'!BH939</f>
        <v>10228</v>
      </c>
      <c r="J112" s="106">
        <f>'2022'!BH940</f>
        <v>2500</v>
      </c>
      <c r="K112" s="106">
        <f>'2022'!BH941</f>
        <v>2235</v>
      </c>
      <c r="L112" s="106">
        <f>'2022'!BH942</f>
        <v>500</v>
      </c>
      <c r="M112" s="106">
        <f t="shared" si="13"/>
        <v>16685.00186</v>
      </c>
      <c r="N112" s="106">
        <v>14963</v>
      </c>
      <c r="O112" s="37">
        <f t="shared" si="19"/>
        <v>30</v>
      </c>
      <c r="P112" s="15"/>
      <c r="Q112" s="34"/>
      <c r="R112" s="34"/>
      <c r="T112" s="15"/>
      <c r="U112" s="15"/>
      <c r="V112" s="15"/>
      <c r="W112" s="15"/>
      <c r="X112" s="284">
        <f t="shared" si="14"/>
        <v>44.89</v>
      </c>
      <c r="Y112" s="281">
        <f t="shared" si="15"/>
        <v>14963</v>
      </c>
      <c r="Z112" s="42">
        <f t="shared" si="16"/>
        <v>14963</v>
      </c>
      <c r="AA112" s="2" t="b">
        <f>D112='2022'!C936</f>
        <v>1</v>
      </c>
      <c r="AB112" s="317" t="b">
        <f>X112='2022'!AI935</f>
        <v>0</v>
      </c>
      <c r="AC112" s="34"/>
      <c r="AD112" s="34"/>
      <c r="AE112" s="34"/>
    </row>
    <row r="113" ht="15.75" customHeight="1" spans="1:48" x14ac:dyDescent="0.25">
      <c r="A113" s="14"/>
      <c r="B113" s="17" t="s">
        <v>353</v>
      </c>
      <c r="C113" s="17" t="s">
        <v>354</v>
      </c>
      <c r="D113" s="16" t="s">
        <v>355</v>
      </c>
      <c r="E113" s="156" t="s">
        <v>465</v>
      </c>
      <c r="F113" s="4" t="s">
        <v>44</v>
      </c>
      <c r="G113" s="4" t="s">
        <v>466</v>
      </c>
      <c r="H113" s="4" t="s">
        <v>467</v>
      </c>
      <c r="I113" s="156" t="s">
        <v>50</v>
      </c>
      <c r="J113" s="156" t="s">
        <v>51</v>
      </c>
      <c r="K113" s="156" t="s">
        <v>523</v>
      </c>
      <c r="L113" s="4" t="s">
        <v>52</v>
      </c>
      <c r="M113" s="4" t="s">
        <v>35</v>
      </c>
      <c r="N113" s="106"/>
      <c r="O113" s="37"/>
      <c r="P113" s="15"/>
      <c r="Q113" s="34"/>
      <c r="R113" s="34"/>
      <c r="S113" s="15"/>
      <c r="T113" s="15"/>
      <c r="U113" s="15"/>
      <c r="V113" s="15"/>
      <c r="W113" s="15"/>
      <c r="X113" s="284"/>
      <c r="Y113" s="281"/>
      <c r="Z113" s="42"/>
      <c r="AA113" s="2"/>
      <c r="AB113" s="317"/>
      <c r="AC113" s="34"/>
      <c r="AD113" s="34"/>
      <c r="AE113" s="34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</row>
    <row r="114" ht="15.75" customHeight="1" spans="1:48" x14ac:dyDescent="0.25">
      <c r="A114" s="14"/>
      <c r="B114" s="113" t="s">
        <v>23</v>
      </c>
      <c r="C114" s="24"/>
      <c r="D114" s="23"/>
      <c r="E114" s="14" t="s">
        <v>472</v>
      </c>
      <c r="F114" s="14"/>
      <c r="G114" s="14" t="s">
        <v>48</v>
      </c>
      <c r="H114" s="14" t="s">
        <v>354</v>
      </c>
      <c r="I114" s="14"/>
      <c r="J114" s="14"/>
      <c r="K114" s="178" t="s">
        <v>354</v>
      </c>
      <c r="L114" s="14"/>
      <c r="M114" s="14" t="s">
        <v>40</v>
      </c>
      <c r="N114" s="106"/>
      <c r="O114" s="37"/>
      <c r="P114" s="15"/>
      <c r="Q114" s="34"/>
      <c r="R114" s="34"/>
      <c r="S114" s="15"/>
      <c r="T114" s="15"/>
      <c r="U114" s="15"/>
      <c r="V114" s="15"/>
      <c r="W114" s="15"/>
      <c r="X114" s="284"/>
      <c r="Y114" s="281"/>
      <c r="Z114" s="42"/>
      <c r="AA114" s="2"/>
      <c r="AB114" s="317"/>
      <c r="AC114" s="34"/>
      <c r="AD114" s="34"/>
      <c r="AE114" s="34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</row>
    <row r="115" ht="15.75" customHeight="1" spans="1:31" x14ac:dyDescent="0.25">
      <c r="A115" s="14"/>
      <c r="B115" s="115">
        <v>102</v>
      </c>
      <c r="C115" s="115">
        <v>4.45</v>
      </c>
      <c r="D115" s="117" t="s">
        <v>331</v>
      </c>
      <c r="E115" s="106">
        <f>'2022'!BH944</f>
        <v>248.5</v>
      </c>
      <c r="F115" s="106">
        <f>'2022'!BH945</f>
        <v>962.4576</v>
      </c>
      <c r="G115" s="106">
        <f>'2022'!BH946</f>
        <v>-134.05</v>
      </c>
      <c r="H115" s="106">
        <f>'2022'!BH947</f>
        <v>0</v>
      </c>
      <c r="I115" s="106">
        <f>'2022'!BH948</f>
        <v>0</v>
      </c>
      <c r="J115" s="106">
        <f>'2022'!BH949</f>
        <v>0</v>
      </c>
      <c r="K115" s="106">
        <f>'2022'!BH950</f>
        <v>0</v>
      </c>
      <c r="L115" s="106">
        <f>'2022'!BH951</f>
        <v>0</v>
      </c>
      <c r="M115" s="106">
        <f t="shared" ref="M115:M124" si="20">SUM(E115:L115)</f>
        <v>1076.9076</v>
      </c>
      <c r="N115" s="106">
        <v>0</v>
      </c>
      <c r="O115" s="37"/>
      <c r="P115" s="15"/>
      <c r="Q115" s="34"/>
      <c r="R115" s="34"/>
      <c r="T115" s="15"/>
      <c r="U115" s="15"/>
      <c r="V115" s="15"/>
      <c r="W115" s="15"/>
      <c r="X115" s="285">
        <f t="shared" ref="X115:X124" si="21">ROUND(0.01%*(N115*O115+R115*S115+V115*W115),2)</f>
        <v>0</v>
      </c>
      <c r="Y115" s="281">
        <f t="shared" ref="Y115:Y124" si="22">N115-Q115-U115</f>
        <v>0</v>
      </c>
      <c r="Z115" s="42">
        <f t="shared" ref="Z115:Z124" si="23">(I115+J115+K115)-AC115-AD115</f>
        <v>0</v>
      </c>
      <c r="AA115" s="2" t="b">
        <f>D115='2022'!C945</f>
        <v>1</v>
      </c>
      <c r="AB115" s="2" t="b">
        <f>X115='2022'!AI944</f>
        <v>1</v>
      </c>
      <c r="AC115" s="34"/>
      <c r="AD115" s="34"/>
      <c r="AE115" s="34"/>
    </row>
    <row r="116" ht="15.75" customHeight="1" spans="1:31" x14ac:dyDescent="0.25">
      <c r="A116" s="14"/>
      <c r="B116" s="115">
        <v>104</v>
      </c>
      <c r="C116" s="115">
        <v>4.42</v>
      </c>
      <c r="D116" s="117" t="s">
        <v>333</v>
      </c>
      <c r="E116" s="106">
        <f>'2022'!BH953</f>
        <v>0</v>
      </c>
      <c r="F116" s="106">
        <f>'2022'!BH954</f>
        <v>20.00904</v>
      </c>
      <c r="G116" s="106">
        <f>'2022'!BH955</f>
        <v>0</v>
      </c>
      <c r="H116" s="106">
        <f>'2022'!BH956</f>
        <v>0</v>
      </c>
      <c r="I116" s="106">
        <f>'2022'!BH957</f>
        <v>0</v>
      </c>
      <c r="J116" s="106">
        <f>'2022'!BH958</f>
        <v>0</v>
      </c>
      <c r="K116" s="106">
        <f>'2022'!BH959</f>
        <v>0</v>
      </c>
      <c r="L116" s="106">
        <f>'2022'!BH960</f>
        <v>0</v>
      </c>
      <c r="M116" s="106">
        <f t="shared" si="20"/>
        <v>20.00904</v>
      </c>
      <c r="N116" s="106">
        <v>0</v>
      </c>
      <c r="O116" s="37"/>
      <c r="X116" s="285">
        <f t="shared" si="21"/>
        <v>0</v>
      </c>
      <c r="Y116" s="281">
        <f t="shared" si="22"/>
        <v>0</v>
      </c>
      <c r="Z116" s="42">
        <f t="shared" si="23"/>
        <v>0</v>
      </c>
      <c r="AA116" s="2" t="b">
        <f>D116='2022'!C954</f>
        <v>1</v>
      </c>
      <c r="AB116" s="2" t="b">
        <f>X116='2022'!AI953</f>
        <v>1</v>
      </c>
      <c r="AC116" s="34"/>
      <c r="AD116" s="34"/>
      <c r="AE116" s="34"/>
    </row>
    <row r="117" ht="15.75" customHeight="1" spans="1:31" x14ac:dyDescent="0.25">
      <c r="A117" s="14"/>
      <c r="B117" s="115">
        <v>106</v>
      </c>
      <c r="C117" s="115">
        <v>4.57</v>
      </c>
      <c r="D117" s="117" t="s">
        <v>336</v>
      </c>
      <c r="E117" s="106">
        <f>'2022'!BH962</f>
        <v>91.68</v>
      </c>
      <c r="F117" s="106">
        <f>'2022'!BH963</f>
        <v>0</v>
      </c>
      <c r="G117" s="106">
        <f>'2022'!BH964</f>
        <v>669.41</v>
      </c>
      <c r="H117" s="106">
        <f>'2022'!BH965</f>
        <v>16</v>
      </c>
      <c r="I117" s="106">
        <f>'2022'!BH966</f>
        <v>10952</v>
      </c>
      <c r="J117" s="106">
        <f>'2022'!BH967</f>
        <v>1000</v>
      </c>
      <c r="K117" s="106">
        <f>'2022'!BH968</f>
        <v>0</v>
      </c>
      <c r="L117" s="106">
        <f>'2022'!BH969</f>
        <v>0</v>
      </c>
      <c r="M117" s="106">
        <f t="shared" si="20"/>
        <v>12729.09</v>
      </c>
      <c r="N117" s="106">
        <v>11952.000000000002</v>
      </c>
      <c r="O117" s="37">
        <f t="shared" ref="O117:O120" si="24">IF(P117&gt;0,P117-1,$O$1)</f>
        <v>30</v>
      </c>
      <c r="X117" s="284">
        <f t="shared" si="21"/>
        <v>35.86</v>
      </c>
      <c r="Y117" s="281">
        <f t="shared" si="22"/>
        <v>11952</v>
      </c>
      <c r="Z117" s="42">
        <f t="shared" si="23"/>
        <v>11952</v>
      </c>
      <c r="AA117" s="2" t="b">
        <f>D117='2022'!C963</f>
        <v>1</v>
      </c>
      <c r="AB117" s="317" t="b">
        <f>X117='2022'!AI962</f>
        <v>0</v>
      </c>
      <c r="AC117" s="34"/>
      <c r="AD117" s="34"/>
      <c r="AE117" s="34"/>
    </row>
    <row r="118" ht="15.75" customHeight="1" spans="1:31" x14ac:dyDescent="0.25">
      <c r="A118" s="14"/>
      <c r="B118" s="115">
        <v>108</v>
      </c>
      <c r="C118" s="115">
        <v>4.32</v>
      </c>
      <c r="D118" s="117" t="s">
        <v>511</v>
      </c>
      <c r="E118" s="106">
        <f>'2022'!BH971</f>
        <v>2091.87</v>
      </c>
      <c r="F118" s="106">
        <f>'2022'!BH972</f>
        <v>0</v>
      </c>
      <c r="G118" s="106">
        <f>'2022'!BH973</f>
        <v>0</v>
      </c>
      <c r="H118" s="106">
        <f>'2022'!BH974</f>
        <v>0</v>
      </c>
      <c r="I118" s="106">
        <f>'2022'!BH975</f>
        <v>10368</v>
      </c>
      <c r="J118" s="106">
        <f>'2022'!BH976</f>
        <v>5399.64</v>
      </c>
      <c r="K118" s="106">
        <f>'2022'!BH977</f>
        <v>0</v>
      </c>
      <c r="L118" s="106">
        <f>'2022'!BH978</f>
        <v>1650</v>
      </c>
      <c r="M118" s="106">
        <f t="shared" si="20"/>
        <v>19509.51</v>
      </c>
      <c r="N118" s="106">
        <v>15767.640000000003</v>
      </c>
      <c r="O118" s="37">
        <f t="shared" si="24"/>
        <v>30</v>
      </c>
      <c r="P118" s="15"/>
      <c r="Q118" s="15"/>
      <c r="R118" s="15"/>
      <c r="S118" s="15"/>
      <c r="T118" s="15"/>
      <c r="U118" s="15"/>
      <c r="V118" s="15"/>
      <c r="W118" s="15"/>
      <c r="X118" s="284">
        <f t="shared" si="21"/>
        <v>47.3</v>
      </c>
      <c r="Y118" s="281">
        <f t="shared" si="22"/>
        <v>15767.64</v>
      </c>
      <c r="Z118" s="42">
        <f t="shared" si="23"/>
        <v>15767.64</v>
      </c>
      <c r="AA118" s="2" t="b">
        <f>D118='2022'!C972</f>
        <v>1</v>
      </c>
      <c r="AB118" s="317" t="b">
        <f>X118='2022'!AI971</f>
        <v>0</v>
      </c>
      <c r="AC118" s="34"/>
      <c r="AD118" s="34"/>
      <c r="AE118" s="34"/>
    </row>
    <row r="119" ht="15.75" customHeight="1" spans="1:31" x14ac:dyDescent="0.25">
      <c r="A119" s="14"/>
      <c r="B119" s="115">
        <v>109</v>
      </c>
      <c r="C119" s="115">
        <v>6.22</v>
      </c>
      <c r="D119" s="2" t="s">
        <v>455</v>
      </c>
      <c r="E119" s="106">
        <f>'2022'!BH980</f>
        <v>13</v>
      </c>
      <c r="F119" s="106">
        <f>'2022'!BH981</f>
        <v>7.14</v>
      </c>
      <c r="G119" s="106">
        <f>'2022'!BH982</f>
        <v>41.75</v>
      </c>
      <c r="H119" s="106">
        <f>'2022'!BH983</f>
        <v>0</v>
      </c>
      <c r="I119" s="106">
        <f>'2022'!BH984</f>
        <v>8086</v>
      </c>
      <c r="J119" s="106">
        <f>'2022'!BH985</f>
        <v>1000</v>
      </c>
      <c r="K119" s="106">
        <f>'2022'!BH986</f>
        <v>0</v>
      </c>
      <c r="L119" s="106">
        <f>'2022'!BH987</f>
        <v>0</v>
      </c>
      <c r="M119" s="106">
        <f t="shared" si="20"/>
        <v>9147.89</v>
      </c>
      <c r="N119" s="106">
        <v>9086</v>
      </c>
      <c r="O119" s="37">
        <f t="shared" si="24"/>
        <v>30</v>
      </c>
      <c r="P119" s="15"/>
      <c r="Q119" s="34"/>
      <c r="R119" s="15"/>
      <c r="S119" s="15"/>
      <c r="T119" s="15"/>
      <c r="U119" s="15"/>
      <c r="V119" s="15"/>
      <c r="W119" s="15"/>
      <c r="X119" s="285">
        <f t="shared" si="21"/>
        <v>27.26</v>
      </c>
      <c r="Y119" s="281">
        <f t="shared" si="22"/>
        <v>9086</v>
      </c>
      <c r="Z119" s="42">
        <f t="shared" si="23"/>
        <v>9086</v>
      </c>
      <c r="AA119" s="2" t="b">
        <f>D119='2022'!C981</f>
        <v>1</v>
      </c>
      <c r="AB119" s="2" t="b">
        <f>X119='2022'!AI980</f>
        <v>0</v>
      </c>
      <c r="AC119" s="34"/>
      <c r="AD119" s="34"/>
      <c r="AE119" s="34"/>
    </row>
    <row r="120" ht="15.75" customHeight="1" spans="1:31" x14ac:dyDescent="0.25">
      <c r="A120" s="14"/>
      <c r="B120" s="115">
        <v>110</v>
      </c>
      <c r="C120" s="115">
        <v>4.91</v>
      </c>
      <c r="D120" s="15" t="s">
        <v>564</v>
      </c>
      <c r="E120" s="106">
        <f>'2022'!BH989</f>
        <v>0</v>
      </c>
      <c r="F120" s="106">
        <f>'2022'!BH990</f>
        <v>462.24988</v>
      </c>
      <c r="G120" s="106">
        <f>'2022'!BH991</f>
        <v>-0.85</v>
      </c>
      <c r="H120" s="106">
        <f>'2022'!BH992</f>
        <v>0</v>
      </c>
      <c r="I120" s="106">
        <f>'2022'!BH993</f>
        <v>6383</v>
      </c>
      <c r="J120" s="106">
        <f>'2022'!BH994</f>
        <v>1000</v>
      </c>
      <c r="K120" s="106">
        <f>'2022'!BH995</f>
        <v>0</v>
      </c>
      <c r="L120" s="106">
        <f>'2022'!BH996</f>
        <v>0</v>
      </c>
      <c r="M120" s="106">
        <f t="shared" si="20"/>
        <v>7844.39988</v>
      </c>
      <c r="N120" s="106">
        <v>7383</v>
      </c>
      <c r="O120" s="37">
        <f t="shared" si="24"/>
        <v>30</v>
      </c>
      <c r="P120" s="15"/>
      <c r="Q120" s="34"/>
      <c r="R120" s="34"/>
      <c r="S120" s="37"/>
      <c r="T120" s="15"/>
      <c r="U120" s="15"/>
      <c r="V120" s="15"/>
      <c r="W120" s="15"/>
      <c r="X120" s="285">
        <f t="shared" si="21"/>
        <v>22.15</v>
      </c>
      <c r="Y120" s="281">
        <f t="shared" si="22"/>
        <v>7383</v>
      </c>
      <c r="Z120" s="42">
        <f t="shared" si="23"/>
        <v>7383</v>
      </c>
      <c r="AA120" s="2" t="b">
        <f>D120='2022'!C990</f>
        <v>1</v>
      </c>
      <c r="AB120" s="2" t="b">
        <f>X120='2022'!AI989</f>
        <v>0</v>
      </c>
      <c r="AC120" s="34"/>
      <c r="AD120" s="34"/>
      <c r="AE120" s="34"/>
    </row>
    <row r="121" ht="15.75" customHeight="1" spans="1:31" x14ac:dyDescent="0.25">
      <c r="A121" s="14"/>
      <c r="B121" s="115">
        <v>111</v>
      </c>
      <c r="C121" s="116">
        <v>6.8</v>
      </c>
      <c r="D121" s="2" t="s">
        <v>513</v>
      </c>
      <c r="E121" s="106">
        <f>'2022'!BH998</f>
        <v>0</v>
      </c>
      <c r="F121" s="106">
        <f>'2022'!BH999</f>
        <v>4657.26538</v>
      </c>
      <c r="G121" s="106">
        <f>'2022'!BH1000</f>
        <v>-58.66</v>
      </c>
      <c r="H121" s="106">
        <f>'2022'!BH1001</f>
        <v>0</v>
      </c>
      <c r="I121" s="106">
        <f>'2022'!BH1002</f>
        <v>0</v>
      </c>
      <c r="J121" s="106">
        <f>'2022'!BH1003</f>
        <v>0</v>
      </c>
      <c r="K121" s="106">
        <f>'2022'!BH1004</f>
        <v>0</v>
      </c>
      <c r="L121" s="106">
        <f>'2022'!BH1005</f>
        <v>0</v>
      </c>
      <c r="M121" s="106">
        <f t="shared" si="20"/>
        <v>4598.60538</v>
      </c>
      <c r="N121" s="106">
        <v>0</v>
      </c>
      <c r="O121" s="37"/>
      <c r="P121" s="15"/>
      <c r="Q121" s="34"/>
      <c r="R121" s="34"/>
      <c r="S121" s="37"/>
      <c r="T121" s="15"/>
      <c r="U121" s="15"/>
      <c r="V121" s="15"/>
      <c r="W121" s="15"/>
      <c r="X121" s="285">
        <f t="shared" si="21"/>
        <v>0</v>
      </c>
      <c r="Y121" s="281">
        <f t="shared" si="22"/>
        <v>0</v>
      </c>
      <c r="Z121" s="42">
        <f t="shared" si="23"/>
        <v>0</v>
      </c>
      <c r="AA121" s="2" t="b">
        <f>D121='2022'!C999</f>
        <v>1</v>
      </c>
      <c r="AB121" s="2" t="b">
        <f>X121='2022'!AI998</f>
        <v>1</v>
      </c>
      <c r="AC121" s="34"/>
      <c r="AD121" s="34"/>
      <c r="AE121" s="34"/>
    </row>
    <row r="122" ht="15.75" customHeight="1" spans="1:31" x14ac:dyDescent="0.25">
      <c r="A122" s="14"/>
      <c r="B122" s="115">
        <v>112</v>
      </c>
      <c r="C122" s="115">
        <v>4.94</v>
      </c>
      <c r="D122" s="117" t="s">
        <v>347</v>
      </c>
      <c r="E122" s="106">
        <f>'2022'!BH1007</f>
        <v>0</v>
      </c>
      <c r="F122" s="106">
        <f>'2022'!BH1008</f>
        <v>5.12746</v>
      </c>
      <c r="G122" s="106">
        <f>'2022'!BH1009</f>
        <v>0</v>
      </c>
      <c r="H122" s="106">
        <f>'2022'!BH1010</f>
        <v>0</v>
      </c>
      <c r="I122" s="106">
        <f>'2022'!BH1011</f>
        <v>0</v>
      </c>
      <c r="J122" s="106">
        <f>'2022'!BH1012</f>
        <v>0</v>
      </c>
      <c r="K122" s="106">
        <f>'2022'!BH1013</f>
        <v>0</v>
      </c>
      <c r="L122" s="106">
        <f>'2022'!BH1014</f>
        <v>0</v>
      </c>
      <c r="M122" s="106">
        <f t="shared" si="20"/>
        <v>5.12746</v>
      </c>
      <c r="N122" s="106">
        <v>0</v>
      </c>
      <c r="O122" s="37"/>
      <c r="Q122" s="34"/>
      <c r="R122" s="34"/>
      <c r="X122" s="285">
        <f t="shared" si="21"/>
        <v>0</v>
      </c>
      <c r="Y122" s="281">
        <f t="shared" si="22"/>
        <v>0</v>
      </c>
      <c r="Z122" s="42">
        <f t="shared" si="23"/>
        <v>0</v>
      </c>
      <c r="AA122" s="2" t="b">
        <f>D122='2022'!C1008</f>
        <v>1</v>
      </c>
      <c r="AB122" s="2" t="b">
        <f>X122='2022'!AI1007</f>
        <v>1</v>
      </c>
      <c r="AC122" s="34"/>
      <c r="AD122" s="34"/>
      <c r="AE122" s="34"/>
    </row>
    <row r="123" ht="15.75" customHeight="1" spans="1:31" x14ac:dyDescent="0.25">
      <c r="A123" s="14"/>
      <c r="B123" s="115">
        <v>113</v>
      </c>
      <c r="C123" s="115">
        <v>4.98</v>
      </c>
      <c r="D123" s="117" t="s">
        <v>348</v>
      </c>
      <c r="E123" s="106">
        <f>'2022'!BH1016</f>
        <v>1341.33</v>
      </c>
      <c r="F123" s="106">
        <f>'2022'!BH1017</f>
        <v>5.4</v>
      </c>
      <c r="G123" s="106">
        <f>'2022'!BH1018</f>
        <v>0</v>
      </c>
      <c r="H123" s="106">
        <f>'2022'!BH1019</f>
        <v>0</v>
      </c>
      <c r="I123" s="106">
        <f>'2022'!BH1020</f>
        <v>23221.14</v>
      </c>
      <c r="J123" s="106">
        <f>'2022'!BH1021</f>
        <v>2500</v>
      </c>
      <c r="K123" s="106">
        <f>'2022'!BH1022</f>
        <v>2490</v>
      </c>
      <c r="L123" s="106">
        <f>'2022'!BH1023</f>
        <v>1350</v>
      </c>
      <c r="M123" s="106">
        <f t="shared" si="20"/>
        <v>30907.87</v>
      </c>
      <c r="N123" s="106">
        <v>28211.140000000003</v>
      </c>
      <c r="O123" s="37">
        <f>IF(P123&gt;0,P123-1,$O$1)</f>
        <v>30</v>
      </c>
      <c r="P123" s="15"/>
      <c r="Q123" s="15"/>
      <c r="R123" s="34"/>
      <c r="S123" s="37"/>
      <c r="T123" s="15"/>
      <c r="U123" s="15"/>
      <c r="V123" s="15"/>
      <c r="W123" s="15"/>
      <c r="X123" s="284">
        <f t="shared" si="21"/>
        <v>84.63</v>
      </c>
      <c r="Y123" s="281">
        <f t="shared" si="22"/>
        <v>28211.14</v>
      </c>
      <c r="Z123" s="42">
        <f t="shared" si="23"/>
        <v>28211.14</v>
      </c>
      <c r="AA123" s="2" t="b">
        <f>D123='2022'!C1017</f>
        <v>1</v>
      </c>
      <c r="AB123" s="317" t="b">
        <f>X123='2022'!AI1016</f>
        <v>0</v>
      </c>
      <c r="AC123" s="34"/>
      <c r="AD123" s="34"/>
      <c r="AE123" s="34"/>
    </row>
    <row r="124" ht="15.75" customHeight="1" spans="1:31" x14ac:dyDescent="0.25">
      <c r="A124" s="14"/>
      <c r="B124" s="118">
        <v>114</v>
      </c>
      <c r="C124" s="115">
        <v>4.86</v>
      </c>
      <c r="D124" s="2" t="s">
        <v>515</v>
      </c>
      <c r="E124" s="106">
        <f>'2022'!BH1025</f>
        <v>0</v>
      </c>
      <c r="F124" s="106">
        <f>'2022'!BH1026</f>
        <v>170.84158</v>
      </c>
      <c r="G124" s="106">
        <f>'2022'!BH1027</f>
        <v>-0.41</v>
      </c>
      <c r="H124" s="106">
        <f>'2022'!BH1028</f>
        <v>0</v>
      </c>
      <c r="I124" s="106">
        <f>'2022'!BH1029</f>
        <v>0</v>
      </c>
      <c r="J124" s="106">
        <f>'2022'!BH1030</f>
        <v>0</v>
      </c>
      <c r="K124" s="106">
        <f>'2022'!BH1031</f>
        <v>0</v>
      </c>
      <c r="L124" s="106">
        <f>'2022'!BH1032</f>
        <v>0</v>
      </c>
      <c r="M124" s="106">
        <f t="shared" si="20"/>
        <v>170.43158</v>
      </c>
      <c r="N124" s="106">
        <v>0</v>
      </c>
      <c r="O124" s="287"/>
      <c r="P124" s="15"/>
      <c r="Q124" s="34"/>
      <c r="R124" s="34"/>
      <c r="T124" s="15"/>
      <c r="U124" s="34"/>
      <c r="V124" s="34"/>
      <c r="W124" s="37"/>
      <c r="X124" s="285">
        <f t="shared" si="21"/>
        <v>0</v>
      </c>
      <c r="Y124" s="281">
        <f t="shared" si="22"/>
        <v>0</v>
      </c>
      <c r="Z124" s="42">
        <f t="shared" si="23"/>
        <v>0</v>
      </c>
      <c r="AA124" s="2" t="b">
        <f>D124='2022'!C1026</f>
        <v>1</v>
      </c>
      <c r="AB124" s="2" t="b">
        <f>X124='2022'!AI1025</f>
        <v>1</v>
      </c>
      <c r="AC124" s="34"/>
      <c r="AD124" s="34"/>
      <c r="AE124" s="34"/>
    </row>
    <row r="125" ht="15.75" customHeight="1" spans="1:30" x14ac:dyDescent="0.25">
      <c r="A125" s="117"/>
      <c r="B125" s="115" t="s">
        <v>350</v>
      </c>
      <c r="C125" s="116">
        <f>SUM(C5:C124)</f>
        <v>505.74</v>
      </c>
      <c r="D125" s="117"/>
      <c r="E125" s="106">
        <f t="shared" ref="E125:N125" si="25">SUM(E5:E124)</f>
        <v>17885.01</v>
      </c>
      <c r="F125" s="106">
        <f t="shared" si="25"/>
        <v>47269.497</v>
      </c>
      <c r="G125" s="106">
        <f t="shared" si="25"/>
        <v>6892.987</v>
      </c>
      <c r="H125" s="106">
        <f t="shared" si="25"/>
        <v>16</v>
      </c>
      <c r="I125" s="106">
        <f t="shared" si="25"/>
        <v>330525.99</v>
      </c>
      <c r="J125" s="106">
        <f t="shared" si="25"/>
        <v>61234.637</v>
      </c>
      <c r="K125" s="106">
        <f t="shared" si="25"/>
        <v>23278.5</v>
      </c>
      <c r="L125" s="106">
        <f t="shared" si="25"/>
        <v>9650</v>
      </c>
      <c r="M125" s="288">
        <f t="shared" si="25"/>
        <v>496752.621</v>
      </c>
      <c r="N125" s="106">
        <f t="shared" si="25"/>
        <v>426383.127</v>
      </c>
      <c r="O125" s="106"/>
      <c r="P125" s="117"/>
      <c r="Q125" s="289">
        <f>SUM(Q5:Q124)</f>
        <v>0</v>
      </c>
      <c r="R125" s="117"/>
      <c r="S125" s="117"/>
      <c r="T125" s="117"/>
      <c r="U125" s="106">
        <f>SUM(U5:U124)</f>
        <v>0</v>
      </c>
      <c r="V125" s="117"/>
      <c r="W125" s="117"/>
      <c r="X125" s="290">
        <f>SUBTOTAL(9,X5:X124)</f>
        <v>1279.23</v>
      </c>
      <c r="Y125" s="291">
        <f t="shared" ref="Y125:Z125" si="26">SUM(Y5:Y124)</f>
        <v>426383.127</v>
      </c>
      <c r="Z125" s="106">
        <f t="shared" si="26"/>
        <v>415039.127</v>
      </c>
      <c r="AB125" s="292" t="b">
        <f>X125='2022'!AI1036</f>
        <v>0</v>
      </c>
      <c r="AC125" s="291"/>
      <c r="AD125" s="291"/>
    </row>
    <row r="126" ht="15.75" customHeight="1" spans="1:17" x14ac:dyDescent="0.25">
      <c r="A126" s="15"/>
      <c r="B126" s="112"/>
      <c r="C126" s="112"/>
      <c r="Q126" s="34"/>
    </row>
    <row r="127" ht="15.75" customHeight="1" spans="1:30" x14ac:dyDescent="0.25" outlineLevel="1" collapsed="1">
      <c r="A127" s="15"/>
      <c r="B127" s="112"/>
      <c r="C127" s="112"/>
      <c r="E127" s="120" t="b">
        <f>E125='2022'!BH1036</f>
        <v>1</v>
      </c>
      <c r="F127" s="120" t="b">
        <f>F125='2022'!BH1037</f>
        <v>1</v>
      </c>
      <c r="G127" s="120" t="b">
        <f>G125='2022'!BH1038</f>
        <v>1</v>
      </c>
      <c r="H127" s="120" t="b">
        <f>H125='2022'!BH1039</f>
        <v>1</v>
      </c>
      <c r="I127" s="120" t="b">
        <f>I125='2022'!BH1040</f>
        <v>1</v>
      </c>
      <c r="J127" s="120" t="b">
        <f>J125='2022'!BH1041</f>
        <v>1</v>
      </c>
      <c r="K127" s="120" t="b">
        <f>K125='2022'!BH1042</f>
        <v>1</v>
      </c>
      <c r="L127" s="120" t="b">
        <f>L125='2022'!BH1043</f>
        <v>1</v>
      </c>
      <c r="M127" s="293" t="b">
        <f>M125='2022'!BH1035</f>
        <v>1</v>
      </c>
      <c r="N127" s="112"/>
      <c r="Y127" s="34" t="b">
        <f>Y125=N125-Q125-U125</f>
        <v>1</v>
      </c>
      <c r="Z127" s="2" t="b">
        <f>Z125=('2022'!BH1040+'2022'!BH1041+'2022'!BH1042)-AC125-AD125</f>
        <v>1</v>
      </c>
      <c r="AC127" s="34" t="b">
        <f>AC125='2021'!S1041</f>
        <v>1</v>
      </c>
      <c r="AD127" s="34" t="b">
        <f>AD125='2021'!S1042</f>
        <v>1</v>
      </c>
    </row>
    <row r="128" ht="15.75" customHeight="1" spans="1:25" x14ac:dyDescent="0.25">
      <c r="A128" s="15"/>
      <c r="B128" s="112"/>
      <c r="C128" s="112"/>
      <c r="Y128" s="154"/>
    </row>
    <row r="129" ht="15.75" customHeight="1" spans="1:14" x14ac:dyDescent="0.25">
      <c r="A129" s="15"/>
      <c r="B129" s="112"/>
      <c r="C129" s="112"/>
      <c r="I129" s="2" t="s">
        <v>538</v>
      </c>
      <c r="N129" s="34"/>
    </row>
    <row r="130" ht="15.75" customHeight="1" spans="1:3" x14ac:dyDescent="0.25">
      <c r="A130" s="15"/>
      <c r="B130" s="112"/>
      <c r="C130" s="112"/>
    </row>
    <row r="131" ht="15.75" customHeight="1" spans="1:14" x14ac:dyDescent="0.25">
      <c r="A131" s="15"/>
      <c r="B131" s="112"/>
      <c r="C131" s="112"/>
      <c r="N131" s="34"/>
    </row>
    <row r="132" ht="15.75" customHeight="1" spans="1:14" x14ac:dyDescent="0.25">
      <c r="A132" s="15"/>
      <c r="B132" s="112"/>
      <c r="C132" s="112"/>
      <c r="N132" s="34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spans="1:3" x14ac:dyDescent="0.25">
      <c r="A316" s="15"/>
      <c r="B316" s="112"/>
      <c r="C316" s="112"/>
    </row>
    <row r="317" ht="15.75" customHeight="1" spans="1:3" x14ac:dyDescent="0.25">
      <c r="A317" s="15"/>
      <c r="B317" s="112"/>
      <c r="C317" s="112"/>
    </row>
    <row r="318" ht="15.75" customHeight="1" spans="1:3" x14ac:dyDescent="0.25">
      <c r="A318" s="15"/>
      <c r="B318" s="112"/>
      <c r="C318" s="112"/>
    </row>
    <row r="319" ht="15.75" customHeight="1" spans="1:3" x14ac:dyDescent="0.25">
      <c r="A319" s="15"/>
      <c r="B319" s="112"/>
      <c r="C319" s="112"/>
    </row>
    <row r="320" ht="15.75" customHeight="1" spans="1:3" x14ac:dyDescent="0.25">
      <c r="A320" s="15"/>
      <c r="B320" s="112"/>
      <c r="C320" s="112"/>
    </row>
    <row r="321" ht="15.75" customHeight="1" spans="1:3" x14ac:dyDescent="0.25">
      <c r="A321" s="15"/>
      <c r="B321" s="112"/>
      <c r="C321" s="112"/>
    </row>
    <row r="322" ht="15.75" customHeight="1" spans="1:3" x14ac:dyDescent="0.25">
      <c r="A322" s="15"/>
      <c r="B322" s="112"/>
      <c r="C322" s="112"/>
    </row>
    <row r="323" ht="15.75" customHeight="1" spans="1:3" x14ac:dyDescent="0.25">
      <c r="A323" s="15"/>
      <c r="B323" s="112"/>
      <c r="C323" s="112"/>
    </row>
    <row r="324" ht="15.75" customHeight="1" spans="1:3" x14ac:dyDescent="0.25">
      <c r="A324" s="15"/>
      <c r="B324" s="112"/>
      <c r="C324" s="112"/>
    </row>
    <row r="325" ht="15.75" customHeight="1" spans="1:3" x14ac:dyDescent="0.25">
      <c r="A325" s="15"/>
      <c r="B325" s="112"/>
      <c r="C325" s="112"/>
    </row>
    <row r="326" ht="15.75" customHeight="1" spans="1:3" x14ac:dyDescent="0.25">
      <c r="A326" s="15"/>
      <c r="B326" s="112"/>
      <c r="C326" s="112"/>
    </row>
    <row r="327" ht="15.75" customHeight="1" spans="1:3" x14ac:dyDescent="0.25">
      <c r="A327" s="15"/>
      <c r="B327" s="112"/>
      <c r="C327" s="112"/>
    </row>
    <row r="328" ht="15.75" customHeight="1" spans="1:3" x14ac:dyDescent="0.25">
      <c r="A328" s="15"/>
      <c r="B328" s="112"/>
      <c r="C328" s="112"/>
    </row>
    <row r="329" ht="15.75" customHeight="1" spans="1:3" x14ac:dyDescent="0.25">
      <c r="A329" s="15"/>
      <c r="B329" s="112"/>
      <c r="C329" s="112"/>
    </row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</sheetData>
  <autoFilter ref="$A$1:$AD$124"/>
  <mergeCells count="3">
    <mergeCell ref="P3:S3"/>
    <mergeCell ref="T3:W3"/>
    <mergeCell ref="AC3:AD3"/>
  </mergeCells>
  <conditionalFormatting sqref="N5:N124">
    <cfRule type="cellIs" dxfId="3" priority="1" operator="greaterThan">
      <formula>0.1</formula>
    </cfRule>
  </conditionalFormatting>
  <pageMargins left="0.3937007874015748" right="0" top="0.1968503937007874" bottom="0.1968503937007874" header="0" footer="0"/>
  <pageSetup paperSize="9" orientation="landscape" horizontalDpi="4294967295" verticalDpi="4294967295" scale="100" fitToWidth="1" fitToHeight="1" firstPageNumber="1" useFirstPageNumber="1" copies="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F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14" customWidth="1"/>
    <col min="2" max="2" width="7.14" customWidth="1"/>
    <col min="3" max="3" width="6.43" outlineLevel="1" collapsed="1" customWidth="1"/>
    <col min="4" max="4" width="13.86" outlineLevel="1" collapsed="1" customWidth="1"/>
    <col min="5" max="6" width="7.14" customWidth="1"/>
    <col min="7" max="7" width="7.14" outlineLevel="1" collapsed="1" customWidth="1"/>
    <col min="8" max="8" width="7.14" customWidth="1"/>
    <col min="9" max="9" width="7.14" outlineLevel="1" collapsed="1" customWidth="1"/>
    <col min="10" max="10" width="7.14" customWidth="1"/>
    <col min="11" max="11" width="7.14" outlineLevel="1" collapsed="1" customWidth="1"/>
    <col min="12" max="12" width="7.14" customWidth="1"/>
    <col min="13" max="13" width="7.14" outlineLevel="1" collapsed="1" customWidth="1"/>
    <col min="14" max="14" width="7.14" customWidth="1"/>
    <col min="15" max="15" width="7.14" outlineLevel="1" collapsed="1" customWidth="1"/>
    <col min="16" max="16" width="7.14" customWidth="1"/>
    <col min="17" max="17" width="7.14" outlineLevel="1" collapsed="1" customWidth="1"/>
    <col min="18" max="18" width="7.14" customWidth="1"/>
    <col min="19" max="19" width="7.14" outlineLevel="1" collapsed="1" customWidth="1"/>
    <col min="20" max="20" width="7.14" customWidth="1"/>
    <col min="21" max="21" width="7.14" outlineLevel="1" collapsed="1" customWidth="1"/>
    <col min="22" max="22" width="7.14" customWidth="1"/>
    <col min="23" max="23" width="7.14" outlineLevel="1" collapsed="1" customWidth="1"/>
    <col min="24" max="24" width="7.14" customWidth="1"/>
    <col min="25" max="25" width="7.14" outlineLevel="1" collapsed="1" customWidth="1"/>
    <col min="26" max="26" width="7.14" customWidth="1"/>
    <col min="27" max="27" width="8.43" outlineLevel="1" collapsed="1" customWidth="1"/>
    <col min="28" max="28" width="7.14" outlineLevel="1" collapsed="1" customWidth="1"/>
    <col min="29" max="29" width="7.14" customWidth="1"/>
    <col min="30" max="30" width="7.14" outlineLevel="1" collapsed="1" customWidth="1"/>
    <col min="31" max="31" width="7.43" customWidth="1"/>
    <col min="32" max="32" width="8.86" outlineLevel="1" collapsed="1" customWidth="1"/>
  </cols>
  <sheetData>
    <row r="1" spans="1:16" x14ac:dyDescent="0.25">
      <c r="A1" s="1" t="s">
        <v>365</v>
      </c>
      <c r="B1" s="112"/>
      <c r="C1" s="112"/>
      <c r="E1" s="2" t="str">
        <f>'2022'!F1</f>
        <v>на 01 октября 2022года</v>
      </c>
      <c r="F1" s="1"/>
      <c r="G1" s="1"/>
      <c r="H1" s="1"/>
      <c r="I1" s="1"/>
      <c r="J1" s="1"/>
      <c r="L1" s="1"/>
      <c r="M1" s="1"/>
      <c r="N1" s="1"/>
      <c r="O1" s="1"/>
      <c r="P1" s="1"/>
    </row>
    <row r="2" spans="1:3" x14ac:dyDescent="0.25">
      <c r="A2" s="15" t="s">
        <v>366</v>
      </c>
      <c r="B2" s="112"/>
      <c r="C2" s="112"/>
    </row>
    <row r="3" spans="1:32" x14ac:dyDescent="0.25">
      <c r="A3" s="4"/>
      <c r="B3" s="17" t="s">
        <v>2</v>
      </c>
      <c r="C3" s="17" t="s">
        <v>354</v>
      </c>
      <c r="D3" s="16" t="s">
        <v>355</v>
      </c>
      <c r="E3" s="11" t="s">
        <v>9</v>
      </c>
      <c r="F3" s="12"/>
      <c r="G3" s="11" t="s">
        <v>10</v>
      </c>
      <c r="H3" s="12"/>
      <c r="I3" s="11" t="s">
        <v>11</v>
      </c>
      <c r="J3" s="12"/>
      <c r="K3" s="11" t="s">
        <v>12</v>
      </c>
      <c r="L3" s="12"/>
      <c r="M3" s="11" t="s">
        <v>13</v>
      </c>
      <c r="N3" s="12"/>
      <c r="O3" s="11" t="s">
        <v>14</v>
      </c>
      <c r="P3" s="12"/>
      <c r="Q3" s="11" t="s">
        <v>15</v>
      </c>
      <c r="R3" s="12"/>
      <c r="S3" s="11" t="s">
        <v>16</v>
      </c>
      <c r="T3" s="12"/>
      <c r="U3" s="11" t="s">
        <v>17</v>
      </c>
      <c r="V3" s="12"/>
      <c r="W3" s="11" t="s">
        <v>18</v>
      </c>
      <c r="X3" s="12"/>
      <c r="Y3" s="6" t="s">
        <v>19</v>
      </c>
      <c r="Z3" s="9"/>
      <c r="AA3" s="7"/>
      <c r="AB3" s="6" t="s">
        <v>20</v>
      </c>
      <c r="AC3" s="9"/>
      <c r="AD3" s="7"/>
      <c r="AE3" s="17" t="s">
        <v>367</v>
      </c>
      <c r="AF3" s="17" t="s">
        <v>368</v>
      </c>
    </row>
    <row r="4" spans="1:32" x14ac:dyDescent="0.25">
      <c r="A4" s="21"/>
      <c r="B4" s="24" t="s">
        <v>23</v>
      </c>
      <c r="C4" s="24"/>
      <c r="D4" s="23"/>
      <c r="E4" s="4" t="s">
        <v>30</v>
      </c>
      <c r="F4" s="4" t="s">
        <v>3</v>
      </c>
      <c r="G4" s="4" t="s">
        <v>30</v>
      </c>
      <c r="H4" s="4" t="s">
        <v>3</v>
      </c>
      <c r="I4" s="4" t="s">
        <v>30</v>
      </c>
      <c r="J4" s="4" t="s">
        <v>3</v>
      </c>
      <c r="K4" s="4" t="s">
        <v>30</v>
      </c>
      <c r="L4" s="4" t="s">
        <v>3</v>
      </c>
      <c r="M4" s="4" t="s">
        <v>30</v>
      </c>
      <c r="N4" s="4" t="s">
        <v>3</v>
      </c>
      <c r="O4" s="4" t="s">
        <v>30</v>
      </c>
      <c r="P4" s="4" t="s">
        <v>3</v>
      </c>
      <c r="Q4" s="4" t="s">
        <v>30</v>
      </c>
      <c r="R4" s="4" t="s">
        <v>3</v>
      </c>
      <c r="S4" s="4" t="s">
        <v>30</v>
      </c>
      <c r="T4" s="4" t="s">
        <v>3</v>
      </c>
      <c r="U4" s="4" t="s">
        <v>30</v>
      </c>
      <c r="V4" s="4" t="s">
        <v>3</v>
      </c>
      <c r="W4" s="4" t="s">
        <v>30</v>
      </c>
      <c r="X4" s="4" t="s">
        <v>3</v>
      </c>
      <c r="Y4" s="4" t="s">
        <v>30</v>
      </c>
      <c r="Z4" s="4" t="s">
        <v>3</v>
      </c>
      <c r="AA4" s="4" t="s">
        <v>369</v>
      </c>
      <c r="AB4" s="4" t="s">
        <v>30</v>
      </c>
      <c r="AC4" s="4" t="s">
        <v>3</v>
      </c>
      <c r="AD4" s="4" t="s">
        <v>369</v>
      </c>
      <c r="AE4" s="113" t="s">
        <v>370</v>
      </c>
      <c r="AF4" s="113" t="s">
        <v>370</v>
      </c>
    </row>
    <row r="5" spans="1:32" x14ac:dyDescent="0.25">
      <c r="A5" s="114" t="s">
        <v>41</v>
      </c>
      <c r="B5" s="115">
        <v>1</v>
      </c>
      <c r="C5" s="116">
        <v>4</v>
      </c>
      <c r="D5" s="117" t="s">
        <v>43</v>
      </c>
      <c r="E5" s="119">
        <f>'2022'!I8</f>
        <v>6315</v>
      </c>
      <c r="F5" s="21">
        <f>'2022'!J8</f>
        <v>100</v>
      </c>
      <c r="G5" s="119">
        <f>'2022'!M8</f>
        <v>6344</v>
      </c>
      <c r="H5" s="119">
        <f>'2022'!N8</f>
        <v>29</v>
      </c>
      <c r="I5" s="119">
        <f>'2022'!Q8</f>
        <v>6378</v>
      </c>
      <c r="J5" s="119">
        <f>'2022'!R8</f>
        <v>34</v>
      </c>
      <c r="K5" s="119">
        <f>'2022'!U8</f>
        <v>6409</v>
      </c>
      <c r="L5" s="119">
        <f>'2022'!V8</f>
        <v>31</v>
      </c>
      <c r="M5" s="119">
        <f>'2022'!Y8</f>
        <v>6441</v>
      </c>
      <c r="N5" s="119">
        <f>'2022'!Z8</f>
        <v>32</v>
      </c>
      <c r="O5" s="119">
        <f>'2022'!AC8</f>
        <v>6480</v>
      </c>
      <c r="P5" s="119">
        <f>'2022'!AD8</f>
        <v>39</v>
      </c>
      <c r="Q5" s="119">
        <f>'2022'!AG8</f>
        <v>6517</v>
      </c>
      <c r="R5" s="119">
        <f>'2022'!AH8</f>
        <v>39.072</v>
      </c>
      <c r="S5" s="119">
        <f>'2022'!AK8</f>
        <v>6570</v>
      </c>
      <c r="T5" s="119">
        <f>'2022'!AL8</f>
        <v>54.484</v>
      </c>
      <c r="U5" s="119">
        <f>'2022'!AO8</f>
        <v>6610</v>
      </c>
      <c r="V5" s="119">
        <f>'2022'!AP8</f>
        <v>41.32</v>
      </c>
      <c r="W5" s="119">
        <f>'2022'!AS8</f>
        <v>6665</v>
      </c>
      <c r="X5" s="119">
        <f>'2022'!AT8</f>
        <v>57.75</v>
      </c>
      <c r="Y5" s="119">
        <f>'2022'!AW8</f>
      </c>
      <c r="Z5" s="119">
        <f>'2022'!AX8</f>
        <v>0</v>
      </c>
      <c r="AA5" s="119"/>
      <c r="AB5" s="119">
        <f>'2022'!BA8</f>
      </c>
      <c r="AC5" s="119">
        <f>'2022'!BB8</f>
      </c>
      <c r="AD5" s="119"/>
      <c r="AE5" s="119">
        <f>'2022'!BE8</f>
        <v>457.626</v>
      </c>
      <c r="AF5" s="119">
        <f t="shared" ref="AF5:AF118" si="0">AA5+AD5</f>
        <v>0</v>
      </c>
    </row>
    <row r="6" spans="1:32" x14ac:dyDescent="0.25">
      <c r="A6" s="14"/>
      <c r="B6" s="115">
        <v>2</v>
      </c>
      <c r="C6" s="115">
        <v>4.12</v>
      </c>
      <c r="D6" s="117" t="s">
        <v>359</v>
      </c>
      <c r="E6" s="119">
        <f>'2022'!I18</f>
        <v>36199</v>
      </c>
      <c r="F6" s="119">
        <f>'2022'!J18</f>
        <v>606</v>
      </c>
      <c r="G6" s="119">
        <f>'2022'!M18</f>
        <v>36837</v>
      </c>
      <c r="H6" s="119">
        <f>'2022'!N18</f>
        <v>638</v>
      </c>
      <c r="I6" s="119">
        <f>'2022'!Q18</f>
        <v>37235</v>
      </c>
      <c r="J6" s="119">
        <f>'2022'!R18</f>
        <v>398</v>
      </c>
      <c r="K6" s="119">
        <f>'2022'!U18</f>
        <v>37659</v>
      </c>
      <c r="L6" s="119">
        <f>'2022'!V18</f>
        <v>424</v>
      </c>
      <c r="M6" s="119">
        <f>'2022'!Y18</f>
        <v>38097</v>
      </c>
      <c r="N6" s="119">
        <f>'2022'!Z18</f>
        <v>438</v>
      </c>
      <c r="O6" s="119">
        <f>'2022'!AC18</f>
        <v>38548</v>
      </c>
      <c r="P6" s="119">
        <f>'2022'!AD18</f>
        <v>451</v>
      </c>
      <c r="Q6" s="119">
        <f>'2022'!AG18</f>
        <v>38872</v>
      </c>
      <c r="R6" s="119">
        <f>'2022'!AH18</f>
        <v>342.144</v>
      </c>
      <c r="S6" s="119">
        <f>'2022'!AK18</f>
        <v>39303</v>
      </c>
      <c r="T6" s="119">
        <f>'2022'!AL18</f>
        <v>443.068</v>
      </c>
      <c r="U6" s="119">
        <f>'2022'!AO18</f>
        <v>39661</v>
      </c>
      <c r="V6" s="119">
        <f>'2022'!AP18</f>
        <v>369.814</v>
      </c>
      <c r="W6" s="119">
        <f>'2022'!AS18</f>
        <v>40038</v>
      </c>
      <c r="X6" s="119">
        <f>'2022'!AT18</f>
        <v>395.85</v>
      </c>
      <c r="Y6" s="119">
        <f>'2022'!AW18</f>
      </c>
      <c r="Z6" s="119">
        <f>'2022'!AX18</f>
        <v>0</v>
      </c>
      <c r="AA6" s="119"/>
      <c r="AB6" s="119">
        <f>'2022'!BA18</f>
      </c>
      <c r="AC6" s="119">
        <f>'2022'!BB18</f>
      </c>
      <c r="AD6" s="119"/>
      <c r="AE6" s="119">
        <f>'2022'!BE18</f>
        <v>4505.876</v>
      </c>
      <c r="AF6" s="119">
        <f t="shared" si="0"/>
        <v>0</v>
      </c>
    </row>
    <row r="7" spans="1:32" x14ac:dyDescent="0.25">
      <c r="A7" s="14"/>
      <c r="B7" s="115">
        <v>3</v>
      </c>
      <c r="C7" s="116">
        <v>4</v>
      </c>
      <c r="D7" s="117" t="s">
        <v>60</v>
      </c>
      <c r="E7" s="119">
        <f>'2022'!I27</f>
        <v>63</v>
      </c>
      <c r="F7" s="119">
        <f>'2022'!J27</f>
        <v>0</v>
      </c>
      <c r="G7" s="119">
        <f>'2022'!M27</f>
        <v>63</v>
      </c>
      <c r="H7" s="119">
        <f>'2022'!N27</f>
        <v>0</v>
      </c>
      <c r="I7" s="119">
        <f>'2022'!Q27</f>
        <v>63</v>
      </c>
      <c r="J7" s="119">
        <f>'2022'!R27</f>
        <v>0</v>
      </c>
      <c r="K7" s="119">
        <f>'2022'!U27</f>
        <v>63</v>
      </c>
      <c r="L7" s="119">
        <f>'2022'!V27</f>
        <v>0</v>
      </c>
      <c r="M7" s="119">
        <f>'2022'!Y27</f>
        <v>65</v>
      </c>
      <c r="N7" s="119">
        <f>'2022'!Z27</f>
        <v>2</v>
      </c>
      <c r="O7" s="119">
        <f>'2022'!AC27</f>
        <v>87</v>
      </c>
      <c r="P7" s="119">
        <f>'2022'!AD27</f>
        <v>22</v>
      </c>
      <c r="Q7" s="119">
        <f>'2022'!AG27</f>
        <v>89</v>
      </c>
      <c r="R7" s="119">
        <f>'2022'!AH27</f>
        <v>2.112</v>
      </c>
      <c r="S7" s="119">
        <f>'2022'!AK27</f>
        <v>92</v>
      </c>
      <c r="T7" s="119">
        <f>'2022'!AL27</f>
        <v>3.084</v>
      </c>
      <c r="U7" s="119">
        <f>'2022'!AO27</f>
        <v>94</v>
      </c>
      <c r="V7" s="119">
        <f>'2022'!AP27</f>
        <v>2.066</v>
      </c>
      <c r="W7" s="119">
        <f>'2022'!AS27</f>
        <v>95</v>
      </c>
      <c r="X7" s="119">
        <f>'2022'!AT27</f>
        <v>1.05</v>
      </c>
      <c r="Y7" s="119">
        <f>'2022'!AW27</f>
      </c>
      <c r="Z7" s="119">
        <f>'2022'!AX27</f>
        <v>0</v>
      </c>
      <c r="AA7" s="119"/>
      <c r="AB7" s="119">
        <f>'2022'!BA27</f>
      </c>
      <c r="AC7" s="119">
        <f>'2022'!BB27</f>
      </c>
      <c r="AD7" s="119"/>
      <c r="AE7" s="119">
        <f>'2022'!BE27</f>
        <v>32.312</v>
      </c>
      <c r="AF7" s="119">
        <f t="shared" si="0"/>
        <v>0</v>
      </c>
    </row>
    <row r="8" spans="1:32" x14ac:dyDescent="0.25">
      <c r="A8" s="14"/>
      <c r="B8" s="115">
        <v>4</v>
      </c>
      <c r="C8" s="115">
        <v>3.95</v>
      </c>
      <c r="D8" s="117" t="s">
        <v>64</v>
      </c>
      <c r="E8" s="119">
        <f>'2022'!I36</f>
      </c>
      <c r="F8" s="119">
        <f>'2022'!J36</f>
        <v>0</v>
      </c>
      <c r="G8" s="119">
        <f>'2022'!M36</f>
      </c>
      <c r="H8" s="119">
        <f>'2022'!N36</f>
        <v>0</v>
      </c>
      <c r="I8" s="119">
        <f>'2022'!Q36</f>
      </c>
      <c r="J8" s="119">
        <f>'2022'!R36</f>
        <v>0</v>
      </c>
      <c r="K8" s="119">
        <f>'2022'!U36</f>
        <v>0</v>
      </c>
      <c r="L8" s="119">
        <f>'2022'!V36</f>
        <v>0</v>
      </c>
      <c r="M8" s="119">
        <f>'2022'!Y36</f>
        <v>0</v>
      </c>
      <c r="N8" s="119">
        <f>'2022'!Z36</f>
        <v>0</v>
      </c>
      <c r="O8" s="119">
        <f>'2022'!AC36</f>
        <v>0</v>
      </c>
      <c r="P8" s="119">
        <f>'2022'!AD36</f>
        <v>0</v>
      </c>
      <c r="Q8" s="119">
        <f>'2022'!AG36</f>
        <v>0</v>
      </c>
      <c r="R8" s="119">
        <f>'2022'!AH36</f>
        <v>0</v>
      </c>
      <c r="S8" s="119">
        <f>'2022'!AK36</f>
        <v>0</v>
      </c>
      <c r="T8" s="119">
        <f>'2022'!AL36</f>
        <v>0</v>
      </c>
      <c r="U8" s="119">
        <f>'2022'!AO36</f>
        <v>0</v>
      </c>
      <c r="V8" s="119">
        <f>'2022'!AP36</f>
        <v>0</v>
      </c>
      <c r="W8" s="119">
        <f>'2022'!AS36</f>
        <v>0</v>
      </c>
      <c r="X8" s="119">
        <f>'2022'!AT36</f>
        <v>0</v>
      </c>
      <c r="Y8" s="119">
        <f>'2022'!AW36</f>
      </c>
      <c r="Z8" s="119">
        <f>'2022'!AX36</f>
        <v>0</v>
      </c>
      <c r="AA8" s="119"/>
      <c r="AB8" s="119">
        <f>'2022'!BA36</f>
      </c>
      <c r="AC8" s="119">
        <f>'2022'!BB36</f>
      </c>
      <c r="AD8" s="119"/>
      <c r="AE8" s="119">
        <f>'2022'!BE36</f>
        <v>0</v>
      </c>
      <c r="AF8" s="119">
        <f t="shared" si="0"/>
        <v>0</v>
      </c>
    </row>
    <row r="9" spans="1:32" x14ac:dyDescent="0.25">
      <c r="A9" s="14"/>
      <c r="B9" s="115">
        <v>5</v>
      </c>
      <c r="C9" s="115">
        <v>5.08</v>
      </c>
      <c r="D9" s="2" t="s">
        <v>488</v>
      </c>
      <c r="E9" s="119">
        <f>'2022'!I45</f>
        <v>1005</v>
      </c>
      <c r="F9" s="119">
        <f>'2022'!J45</f>
        <v>0</v>
      </c>
      <c r="G9" s="119">
        <f>'2022'!M45</f>
        <v>1005</v>
      </c>
      <c r="H9" s="119">
        <f>'2022'!N45</f>
        <v>0</v>
      </c>
      <c r="I9" s="119">
        <f>'2022'!Q45</f>
        <v>1005</v>
      </c>
      <c r="J9" s="119">
        <f>'2022'!R45</f>
        <v>0</v>
      </c>
      <c r="K9" s="119">
        <f>'2022'!U45</f>
        <v>1005</v>
      </c>
      <c r="L9" s="119">
        <f>'2022'!V45</f>
        <v>0</v>
      </c>
      <c r="M9" s="119">
        <f>'2022'!Y45</f>
        <v>1011</v>
      </c>
      <c r="N9" s="119">
        <f>'2022'!Z45</f>
        <v>6</v>
      </c>
      <c r="O9" s="119">
        <f>'2022'!AC45</f>
        <v>1266</v>
      </c>
      <c r="P9" s="119">
        <f>'2022'!AD45</f>
        <v>255</v>
      </c>
      <c r="Q9" s="119">
        <f>'2022'!AG45</f>
        <v>1623</v>
      </c>
      <c r="R9" s="119">
        <f>'2022'!AH45</f>
        <v>376.992</v>
      </c>
      <c r="S9" s="119">
        <f>'2022'!AK45</f>
        <v>2010</v>
      </c>
      <c r="T9" s="119">
        <f>'2022'!AL45</f>
        <v>397.836</v>
      </c>
      <c r="U9" s="119">
        <f>'2022'!AO45</f>
        <v>2583</v>
      </c>
      <c r="V9" s="119">
        <f>'2022'!AP45</f>
        <v>591.909</v>
      </c>
      <c r="W9" s="119">
        <f>'2022'!AS45</f>
        <v>2840</v>
      </c>
      <c r="X9" s="119">
        <f>'2022'!AT45</f>
        <v>269.85</v>
      </c>
      <c r="Y9" s="119">
        <f>'2022'!AW45</f>
      </c>
      <c r="Z9" s="119">
        <f>'2022'!AX45</f>
        <v>0</v>
      </c>
      <c r="AA9" s="119"/>
      <c r="AB9" s="119">
        <f>'2022'!BA45</f>
      </c>
      <c r="AC9" s="119">
        <f>'2022'!BB45</f>
      </c>
      <c r="AD9" s="119"/>
      <c r="AE9" s="119">
        <f>'2022'!BE45</f>
        <v>1897.587</v>
      </c>
      <c r="AF9" s="119">
        <f t="shared" si="0"/>
        <v>0</v>
      </c>
    </row>
    <row r="10" spans="1:32" x14ac:dyDescent="0.25">
      <c r="A10" s="14"/>
      <c r="B10" s="115">
        <v>6</v>
      </c>
      <c r="C10" s="115">
        <v>4.01</v>
      </c>
      <c r="D10" s="117" t="s">
        <v>70</v>
      </c>
      <c r="E10" s="119">
        <f>'2022'!I54</f>
        <v>23</v>
      </c>
      <c r="F10" s="119">
        <f>'2022'!J54</f>
        <v>0</v>
      </c>
      <c r="G10" s="119">
        <f>'2022'!M54</f>
        <v>23</v>
      </c>
      <c r="H10" s="119">
        <f>'2022'!N54</f>
        <v>0</v>
      </c>
      <c r="I10" s="119">
        <f>'2022'!Q54</f>
        <v>23</v>
      </c>
      <c r="J10" s="119">
        <f>'2022'!R54</f>
        <v>0</v>
      </c>
      <c r="K10" s="119">
        <f>'2022'!U54</f>
        <v>23</v>
      </c>
      <c r="L10" s="119">
        <f>'2022'!V54</f>
        <v>0</v>
      </c>
      <c r="M10" s="119">
        <f>'2022'!Y54</f>
        <v>24</v>
      </c>
      <c r="N10" s="119">
        <f>'2022'!Z54</f>
        <v>1</v>
      </c>
      <c r="O10" s="119">
        <f>'2022'!AC54</f>
        <v>25</v>
      </c>
      <c r="P10" s="119">
        <f>'2022'!AD54</f>
        <v>1</v>
      </c>
      <c r="Q10" s="119">
        <f>'2022'!AG54</f>
        <v>26</v>
      </c>
      <c r="R10" s="119">
        <f>'2022'!AH54</f>
        <v>1.056</v>
      </c>
      <c r="S10" s="119">
        <f>'2022'!AK54</f>
        <v>26</v>
      </c>
      <c r="T10" s="119">
        <f>'2022'!AL54</f>
        <v>0</v>
      </c>
      <c r="U10" s="119">
        <f>'2022'!AO54</f>
        <v>27</v>
      </c>
      <c r="V10" s="119">
        <f>'2022'!AP54</f>
        <v>1.033</v>
      </c>
      <c r="W10" s="119">
        <f>'2022'!AS54</f>
        <v>27</v>
      </c>
      <c r="X10" s="119">
        <f>'2022'!AT54</f>
        <v>0</v>
      </c>
      <c r="Y10" s="119">
        <f>'2022'!AW54</f>
      </c>
      <c r="Z10" s="119">
        <f>'2022'!AX54</f>
        <v>0</v>
      </c>
      <c r="AA10" s="119"/>
      <c r="AB10" s="119">
        <f>'2022'!BA54</f>
      </c>
      <c r="AC10" s="119">
        <f>'2022'!BB54</f>
      </c>
      <c r="AD10" s="119"/>
      <c r="AE10" s="119">
        <f>'2022'!BE54</f>
        <v>4.089</v>
      </c>
      <c r="AF10" s="119">
        <f t="shared" si="0"/>
        <v>0</v>
      </c>
    </row>
    <row r="11" spans="1:32" x14ac:dyDescent="0.25">
      <c r="A11" s="14"/>
      <c r="B11" s="115">
        <v>7</v>
      </c>
      <c r="C11" s="115">
        <v>4.85</v>
      </c>
      <c r="D11" s="117" t="s">
        <v>74</v>
      </c>
      <c r="E11" s="119">
        <f>'2022'!I63</f>
        <v>562</v>
      </c>
      <c r="F11" s="119">
        <f>'2022'!J63</f>
        <v>0</v>
      </c>
      <c r="G11" s="119">
        <f>'2022'!M63</f>
        <v>562</v>
      </c>
      <c r="H11" s="119">
        <f>'2022'!N63</f>
        <v>0</v>
      </c>
      <c r="I11" s="119">
        <f>'2022'!Q63</f>
        <v>562</v>
      </c>
      <c r="J11" s="119">
        <f>'2022'!R63</f>
        <v>0</v>
      </c>
      <c r="K11" s="119">
        <f>'2022'!U63</f>
        <v>562</v>
      </c>
      <c r="L11" s="119">
        <f>'2022'!V63</f>
        <v>0</v>
      </c>
      <c r="M11" s="119">
        <f>'2022'!Y63</f>
        <v>601</v>
      </c>
      <c r="N11" s="119">
        <f>'2022'!Z63</f>
        <v>39</v>
      </c>
      <c r="O11" s="119">
        <f>'2022'!AC63</f>
        <v>680</v>
      </c>
      <c r="P11" s="119">
        <f>'2022'!AD63</f>
        <v>79</v>
      </c>
      <c r="Q11" s="119">
        <f>'2022'!AG63</f>
        <v>749</v>
      </c>
      <c r="R11" s="119">
        <f>'2022'!AH63</f>
        <v>72.864</v>
      </c>
      <c r="S11" s="119">
        <f>'2022'!AK63</f>
        <v>829</v>
      </c>
      <c r="T11" s="119">
        <f>'2022'!AL63</f>
        <v>82.24</v>
      </c>
      <c r="U11" s="119">
        <f>'2022'!AO63</f>
        <v>979</v>
      </c>
      <c r="V11" s="119">
        <f>'2022'!AP63</f>
        <v>154.95</v>
      </c>
      <c r="W11" s="119">
        <f>'2022'!AS63</f>
        <v>1119</v>
      </c>
      <c r="X11" s="119">
        <f>'2022'!AT63</f>
        <v>147</v>
      </c>
      <c r="Y11" s="119">
        <f>'2022'!AW63</f>
      </c>
      <c r="Z11" s="119">
        <f>'2022'!AX63</f>
        <v>0</v>
      </c>
      <c r="AA11" s="119"/>
      <c r="AB11" s="119">
        <f>'2022'!BA63</f>
      </c>
      <c r="AC11" s="119">
        <f>'2022'!BB63</f>
      </c>
      <c r="AD11" s="119"/>
      <c r="AE11" s="119">
        <f>'2022'!BE63</f>
        <v>575.054</v>
      </c>
      <c r="AF11" s="119">
        <f t="shared" si="0"/>
        <v>0</v>
      </c>
    </row>
    <row r="12" spans="1:32" x14ac:dyDescent="0.25">
      <c r="A12" s="14"/>
      <c r="B12" s="115">
        <v>8</v>
      </c>
      <c r="C12" s="116">
        <v>4</v>
      </c>
      <c r="D12" s="2" t="s">
        <v>383</v>
      </c>
      <c r="E12" s="119">
        <f>'2022'!I72</f>
        <v>731</v>
      </c>
      <c r="F12" s="119">
        <f>'2022'!J72</f>
        <v>0</v>
      </c>
      <c r="G12" s="119">
        <f>'2022'!M72</f>
        <v>731</v>
      </c>
      <c r="H12" s="119">
        <f>'2022'!N72</f>
        <v>0</v>
      </c>
      <c r="I12" s="119">
        <f>'2022'!Q72</f>
        <v>731</v>
      </c>
      <c r="J12" s="119">
        <f>'2022'!R72</f>
        <v>0</v>
      </c>
      <c r="K12" s="119">
        <f>'2022'!U72</f>
        <v>731</v>
      </c>
      <c r="L12" s="119">
        <f>'2022'!V72</f>
        <v>0</v>
      </c>
      <c r="M12" s="119">
        <f>'2022'!Y72</f>
        <v>731</v>
      </c>
      <c r="N12" s="119">
        <f>'2022'!Z72</f>
        <v>0</v>
      </c>
      <c r="O12" s="119">
        <f>'2022'!AC72</f>
        <v>736</v>
      </c>
      <c r="P12" s="119">
        <f>'2022'!AD72</f>
        <v>5</v>
      </c>
      <c r="Q12" s="119">
        <f>'2022'!AG72</f>
        <v>736</v>
      </c>
      <c r="R12" s="119">
        <f>'2022'!AH72</f>
        <v>0</v>
      </c>
      <c r="S12" s="119">
        <f>'2022'!AK72</f>
        <v>736</v>
      </c>
      <c r="T12" s="119">
        <f>'2022'!AL72</f>
        <v>0</v>
      </c>
      <c r="U12" s="119">
        <f>'2022'!AO72</f>
        <v>736</v>
      </c>
      <c r="V12" s="119">
        <f>'2022'!AP72</f>
        <v>0</v>
      </c>
      <c r="W12" s="119">
        <f>'2022'!AS72</f>
        <v>736</v>
      </c>
      <c r="X12" s="119">
        <f>'2022'!AT72</f>
        <v>0</v>
      </c>
      <c r="Y12" s="119">
        <f>'2022'!AW72</f>
      </c>
      <c r="Z12" s="119">
        <f>'2022'!AX72</f>
        <v>0</v>
      </c>
      <c r="AA12" s="119"/>
      <c r="AB12" s="119">
        <f>'2022'!BA72</f>
      </c>
      <c r="AC12" s="119">
        <f>'2022'!BB72</f>
      </c>
      <c r="AD12" s="119"/>
      <c r="AE12" s="119">
        <f>'2022'!BE72</f>
        <v>5</v>
      </c>
      <c r="AF12" s="119">
        <f t="shared" si="0"/>
        <v>0</v>
      </c>
    </row>
    <row r="13" spans="1:32" x14ac:dyDescent="0.25">
      <c r="A13" s="14"/>
      <c r="B13" s="115">
        <v>9</v>
      </c>
      <c r="C13" s="115">
        <v>4.03</v>
      </c>
      <c r="D13" s="117" t="s">
        <v>82</v>
      </c>
      <c r="E13" s="119">
        <f>'2022'!I81</f>
        <v>46</v>
      </c>
      <c r="F13" s="119">
        <f>'2022'!J81</f>
        <v>0</v>
      </c>
      <c r="G13" s="119">
        <f>'2022'!M81</f>
        <v>46</v>
      </c>
      <c r="H13" s="119">
        <f>'2022'!N81</f>
        <v>0</v>
      </c>
      <c r="I13" s="119">
        <f>'2022'!Q81</f>
        <v>46</v>
      </c>
      <c r="J13" s="119">
        <f>'2022'!R81</f>
        <v>0</v>
      </c>
      <c r="K13" s="119">
        <f>'2022'!U81</f>
        <v>46</v>
      </c>
      <c r="L13" s="119">
        <f>'2022'!V81</f>
        <v>0</v>
      </c>
      <c r="M13" s="119">
        <f>'2022'!Y81</f>
        <v>46</v>
      </c>
      <c r="N13" s="119">
        <f>'2022'!Z81</f>
        <v>0</v>
      </c>
      <c r="O13" s="119">
        <f>'2022'!AC81</f>
        <v>46</v>
      </c>
      <c r="P13" s="119">
        <f>'2022'!AD81</f>
        <v>0</v>
      </c>
      <c r="Q13" s="119">
        <f>'2022'!AG81</f>
        <v>46</v>
      </c>
      <c r="R13" s="119">
        <f>'2022'!AH81</f>
        <v>0</v>
      </c>
      <c r="S13" s="119">
        <f>'2022'!AK81</f>
        <v>46</v>
      </c>
      <c r="T13" s="119">
        <f>'2022'!AL81</f>
        <v>0</v>
      </c>
      <c r="U13" s="119">
        <f>'2022'!AO81</f>
        <v>46</v>
      </c>
      <c r="V13" s="119">
        <f>'2022'!AP81</f>
        <v>0</v>
      </c>
      <c r="W13" s="119">
        <f>'2022'!AS81</f>
        <v>46</v>
      </c>
      <c r="X13" s="119">
        <f>'2022'!AT81</f>
        <v>0</v>
      </c>
      <c r="Y13" s="119">
        <f>'2022'!AW81</f>
      </c>
      <c r="Z13" s="119">
        <f>'2022'!AX81</f>
        <v>0</v>
      </c>
      <c r="AA13" s="119"/>
      <c r="AB13" s="119">
        <f>'2022'!BA81</f>
      </c>
      <c r="AC13" s="119">
        <f>'2022'!BB81</f>
      </c>
      <c r="AD13" s="119"/>
      <c r="AE13" s="119">
        <f>'2022'!BE81</f>
        <v>0</v>
      </c>
      <c r="AF13" s="119">
        <f t="shared" si="0"/>
        <v>0</v>
      </c>
    </row>
    <row r="14" spans="1:32" x14ac:dyDescent="0.25">
      <c r="A14" s="14"/>
      <c r="B14" s="115">
        <v>10</v>
      </c>
      <c r="C14" s="115">
        <v>4.01</v>
      </c>
      <c r="D14" s="117" t="s">
        <v>86</v>
      </c>
      <c r="E14" s="119">
        <f>'2022'!I90</f>
      </c>
      <c r="F14" s="119">
        <f>'2022'!J90</f>
        <v>0</v>
      </c>
      <c r="G14" s="119">
        <f>'2022'!M90</f>
      </c>
      <c r="H14" s="119">
        <f>'2022'!N90</f>
        <v>0</v>
      </c>
      <c r="I14" s="119">
        <f>'2022'!Q90</f>
      </c>
      <c r="J14" s="119">
        <f>'2022'!R90</f>
        <v>0</v>
      </c>
      <c r="K14" s="119">
        <f>'2022'!U90</f>
      </c>
      <c r="L14" s="119">
        <f>'2022'!V90</f>
        <v>0</v>
      </c>
      <c r="M14" s="119">
        <f>'2022'!Y90</f>
      </c>
      <c r="N14" s="119">
        <f>'2022'!Z90</f>
        <v>0</v>
      </c>
      <c r="O14" s="119">
        <f>'2022'!AC90</f>
      </c>
      <c r="P14" s="119">
        <f>'2022'!AD90</f>
        <v>0</v>
      </c>
      <c r="Q14" s="119">
        <f>'2022'!AG90</f>
      </c>
      <c r="R14" s="119">
        <f>'2022'!AH90</f>
        <v>0</v>
      </c>
      <c r="S14" s="119">
        <f>'2022'!AK90</f>
      </c>
      <c r="T14" s="119">
        <f>'2022'!AL90</f>
        <v>0</v>
      </c>
      <c r="U14" s="119">
        <f>'2022'!AO90</f>
      </c>
      <c r="V14" s="119">
        <f>'2022'!AP90</f>
        <v>0</v>
      </c>
      <c r="W14" s="119">
        <f>'2022'!AS90</f>
      </c>
      <c r="X14" s="119">
        <f>'2022'!AT90</f>
        <v>0</v>
      </c>
      <c r="Y14" s="119">
        <f>'2022'!AW90</f>
      </c>
      <c r="Z14" s="119">
        <f>'2022'!AX90</f>
        <v>0</v>
      </c>
      <c r="AA14" s="119"/>
      <c r="AB14" s="119">
        <f>'2022'!BA90</f>
      </c>
      <c r="AC14" s="119">
        <f>'2022'!BB90</f>
      </c>
      <c r="AD14" s="119"/>
      <c r="AE14" s="119">
        <f>'2022'!BE90</f>
        <v>0</v>
      </c>
      <c r="AF14" s="119">
        <f t="shared" si="0"/>
        <v>0</v>
      </c>
    </row>
    <row r="15" spans="1:32" x14ac:dyDescent="0.25">
      <c r="A15" s="14"/>
      <c r="B15" s="115">
        <v>11</v>
      </c>
      <c r="C15" s="115">
        <v>4.02</v>
      </c>
      <c r="D15" s="117" t="s">
        <v>89</v>
      </c>
      <c r="E15" s="119">
        <f>'2022'!I99</f>
        <v>36</v>
      </c>
      <c r="F15" s="119">
        <f>'2022'!J99</f>
        <v>0</v>
      </c>
      <c r="G15" s="119">
        <f>'2022'!M99</f>
        <v>36</v>
      </c>
      <c r="H15" s="119">
        <f>'2022'!N99</f>
        <v>0</v>
      </c>
      <c r="I15" s="119">
        <f>'2022'!Q99</f>
        <v>36</v>
      </c>
      <c r="J15" s="119">
        <f>'2022'!R99</f>
        <v>0</v>
      </c>
      <c r="K15" s="119">
        <f>'2022'!U99</f>
        <v>36</v>
      </c>
      <c r="L15" s="119">
        <f>'2022'!V99</f>
        <v>0</v>
      </c>
      <c r="M15" s="119">
        <f>'2022'!Y99</f>
        <v>36</v>
      </c>
      <c r="N15" s="119">
        <f>'2022'!Z99</f>
        <v>0</v>
      </c>
      <c r="O15" s="119">
        <f>'2022'!AC99</f>
        <v>36</v>
      </c>
      <c r="P15" s="119">
        <f>'2022'!AD99</f>
        <v>0</v>
      </c>
      <c r="Q15" s="119">
        <f>'2022'!AG99</f>
        <v>36</v>
      </c>
      <c r="R15" s="119">
        <f>'2022'!AH99</f>
        <v>0</v>
      </c>
      <c r="S15" s="119">
        <f>'2022'!AK99</f>
        <v>36</v>
      </c>
      <c r="T15" s="119">
        <f>'2022'!AL99</f>
        <v>0</v>
      </c>
      <c r="U15" s="119">
        <f>'2022'!AO99</f>
        <v>36</v>
      </c>
      <c r="V15" s="119">
        <f>'2022'!AP99</f>
        <v>0</v>
      </c>
      <c r="W15" s="119">
        <f>'2022'!AS99</f>
        <v>36</v>
      </c>
      <c r="X15" s="119">
        <f>'2022'!AT99</f>
        <v>0</v>
      </c>
      <c r="Y15" s="119">
        <f>'2022'!AW99</f>
      </c>
      <c r="Z15" s="119">
        <f>'2022'!AX99</f>
        <v>0</v>
      </c>
      <c r="AA15" s="119"/>
      <c r="AB15" s="119">
        <f>'2022'!BA99</f>
      </c>
      <c r="AC15" s="119">
        <f>'2022'!BB99</f>
      </c>
      <c r="AD15" s="119"/>
      <c r="AE15" s="119">
        <f>'2022'!BE99</f>
        <v>0</v>
      </c>
      <c r="AF15" s="119">
        <f t="shared" si="0"/>
        <v>0</v>
      </c>
    </row>
    <row r="16" spans="1:32" x14ac:dyDescent="0.25">
      <c r="A16" s="14"/>
      <c r="B16" s="115">
        <v>12</v>
      </c>
      <c r="C16" s="115">
        <v>4.02</v>
      </c>
      <c r="D16" s="117" t="s">
        <v>92</v>
      </c>
      <c r="E16" s="119">
        <f>'2022'!I108</f>
      </c>
      <c r="F16" s="119">
        <f>'2022'!J108</f>
        <v>0</v>
      </c>
      <c r="G16" s="119">
        <f>'2022'!M108</f>
      </c>
      <c r="H16" s="119">
        <f>'2022'!N108</f>
        <v>0</v>
      </c>
      <c r="I16" s="119">
        <f>'2022'!Q108</f>
      </c>
      <c r="J16" s="119">
        <f>'2022'!R108</f>
        <v>0</v>
      </c>
      <c r="K16" s="119">
        <f>'2022'!U108</f>
      </c>
      <c r="L16" s="119">
        <f>'2022'!V108</f>
        <v>0</v>
      </c>
      <c r="M16" s="119">
        <f>'2022'!Y108</f>
      </c>
      <c r="N16" s="119">
        <f>'2022'!Z108</f>
        <v>0</v>
      </c>
      <c r="O16" s="119">
        <f>'2022'!AC108</f>
      </c>
      <c r="P16" s="119">
        <f>'2022'!AD108</f>
        <v>0</v>
      </c>
      <c r="Q16" s="119">
        <f>'2022'!AG108</f>
      </c>
      <c r="R16" s="119">
        <f>'2022'!AH108</f>
        <v>0</v>
      </c>
      <c r="S16" s="119">
        <f>'2022'!AK108</f>
      </c>
      <c r="T16" s="119">
        <f>'2022'!AL108</f>
        <v>0</v>
      </c>
      <c r="U16" s="119">
        <f>'2022'!AO108</f>
      </c>
      <c r="V16" s="119">
        <f>'2022'!AP108</f>
        <v>0</v>
      </c>
      <c r="W16" s="119">
        <f>'2022'!AS108</f>
      </c>
      <c r="X16" s="119">
        <f>'2022'!AT108</f>
        <v>0</v>
      </c>
      <c r="Y16" s="119">
        <f>'2022'!AW108</f>
      </c>
      <c r="Z16" s="119">
        <f>'2022'!AX108</f>
        <v>0</v>
      </c>
      <c r="AA16" s="119"/>
      <c r="AB16" s="119">
        <f>'2022'!BA108</f>
      </c>
      <c r="AC16" s="119">
        <f>'2022'!BB108</f>
      </c>
      <c r="AD16" s="119"/>
      <c r="AE16" s="119">
        <f>'2022'!BE108</f>
        <v>0</v>
      </c>
      <c r="AF16" s="119">
        <f t="shared" si="0"/>
        <v>0</v>
      </c>
    </row>
    <row r="17" spans="1:32" x14ac:dyDescent="0.25">
      <c r="A17" s="14"/>
      <c r="B17" s="115" t="s">
        <v>96</v>
      </c>
      <c r="C17" s="115">
        <v>3.94</v>
      </c>
      <c r="D17" s="117" t="s">
        <v>97</v>
      </c>
      <c r="E17" s="119">
        <f>'2022'!I117</f>
        <v>8068</v>
      </c>
      <c r="F17" s="119">
        <f>'2022'!J117</f>
        <v>0</v>
      </c>
      <c r="G17" s="119">
        <f>'2022'!M117</f>
        <v>8068</v>
      </c>
      <c r="H17" s="119">
        <f>'2022'!N117</f>
        <v>0</v>
      </c>
      <c r="I17" s="119">
        <f>'2022'!Q117</f>
        <v>8075</v>
      </c>
      <c r="J17" s="119">
        <f>'2022'!R117</f>
        <v>7</v>
      </c>
      <c r="K17" s="119">
        <f>'2022'!U117</f>
        <v>8107</v>
      </c>
      <c r="L17" s="119">
        <f>'2022'!V117</f>
        <v>32</v>
      </c>
      <c r="M17" s="119">
        <f>'2022'!Y117</f>
        <v>8172</v>
      </c>
      <c r="N17" s="119">
        <f>'2022'!Z117</f>
        <v>65</v>
      </c>
      <c r="O17" s="119">
        <f>'2022'!AC117</f>
        <v>8286</v>
      </c>
      <c r="P17" s="119">
        <f>'2022'!AD117</f>
        <v>114</v>
      </c>
      <c r="Q17" s="119">
        <f>'2022'!AG117</f>
        <v>8450</v>
      </c>
      <c r="R17" s="119">
        <f>'2022'!AH117</f>
        <v>173.184</v>
      </c>
      <c r="S17" s="119">
        <f>'2022'!AK117</f>
        <v>8718</v>
      </c>
      <c r="T17" s="119">
        <f>'2022'!AL117</f>
        <v>275.504</v>
      </c>
      <c r="U17" s="119">
        <f>'2022'!AO117</f>
        <v>9017</v>
      </c>
      <c r="V17" s="119">
        <f>'2022'!AP117</f>
        <v>308.867</v>
      </c>
      <c r="W17" s="119">
        <f>'2022'!AS117</f>
        <v>9569</v>
      </c>
      <c r="X17" s="119">
        <f>'2022'!AT117</f>
        <v>579.6</v>
      </c>
      <c r="Y17" s="119">
        <f>'2022'!AW117</f>
      </c>
      <c r="Z17" s="119">
        <f>'2022'!AX117</f>
        <v>0</v>
      </c>
      <c r="AA17" s="119"/>
      <c r="AB17" s="119">
        <f>'2022'!BA117</f>
      </c>
      <c r="AC17" s="119">
        <f>'2022'!BB117</f>
      </c>
      <c r="AD17" s="119"/>
      <c r="AE17" s="119">
        <f>'2022'!BE117</f>
        <v>1555.155</v>
      </c>
      <c r="AF17" s="119">
        <f t="shared" si="0"/>
        <v>0</v>
      </c>
    </row>
    <row r="18" spans="1:32" x14ac:dyDescent="0.25">
      <c r="A18" s="14"/>
      <c r="B18" s="115" t="s">
        <v>96</v>
      </c>
      <c r="C18" s="116">
        <v>4</v>
      </c>
      <c r="D18" s="117" t="s">
        <v>97</v>
      </c>
      <c r="E18" s="119">
        <f>'2022'!I126</f>
      </c>
      <c r="F18" s="119">
        <f>'2022'!J126</f>
        <v>0</v>
      </c>
      <c r="G18" s="119">
        <f>'2022'!M126</f>
      </c>
      <c r="H18" s="119">
        <f>'2022'!N126</f>
        <v>0</v>
      </c>
      <c r="I18" s="119">
        <f>'2022'!Q126</f>
      </c>
      <c r="J18" s="119">
        <f>'2022'!R126</f>
        <v>0</v>
      </c>
      <c r="K18" s="119">
        <f>'2022'!U126</f>
      </c>
      <c r="L18" s="119">
        <f>'2022'!V126</f>
        <v>0</v>
      </c>
      <c r="M18" s="119">
        <f>'2022'!Y126</f>
      </c>
      <c r="N18" s="119">
        <f>'2022'!Z126</f>
        <v>0</v>
      </c>
      <c r="O18" s="119">
        <f>'2022'!AC126</f>
      </c>
      <c r="P18" s="119">
        <f>'2022'!AD126</f>
        <v>0</v>
      </c>
      <c r="Q18" s="119">
        <f>'2022'!AG126</f>
      </c>
      <c r="R18" s="119">
        <f>'2022'!AH126</f>
        <v>0</v>
      </c>
      <c r="S18" s="119">
        <f>'2022'!AK126</f>
      </c>
      <c r="T18" s="119">
        <f>'2022'!AL126</f>
        <v>0</v>
      </c>
      <c r="U18" s="119">
        <f>'2022'!AO126</f>
      </c>
      <c r="V18" s="119">
        <f>'2022'!AP126</f>
        <v>0</v>
      </c>
      <c r="W18" s="119">
        <f>'2022'!AS126</f>
      </c>
      <c r="X18" s="119">
        <f>'2022'!AT126</f>
        <v>0</v>
      </c>
      <c r="Y18" s="119">
        <f>'2022'!AW126</f>
      </c>
      <c r="Z18" s="119">
        <f>'2022'!AX126</f>
        <v>0</v>
      </c>
      <c r="AA18" s="119"/>
      <c r="AB18" s="119">
        <f>'2022'!BA126</f>
      </c>
      <c r="AC18" s="119">
        <f>'2022'!BB126</f>
      </c>
      <c r="AD18" s="119"/>
      <c r="AE18" s="119">
        <f>'2022'!BE126</f>
        <v>0</v>
      </c>
      <c r="AF18" s="119">
        <f t="shared" si="0"/>
        <v>0</v>
      </c>
    </row>
    <row r="19" spans="1:32" x14ac:dyDescent="0.25">
      <c r="A19" s="14"/>
      <c r="B19" s="115">
        <v>14</v>
      </c>
      <c r="C19" s="115">
        <v>4.02</v>
      </c>
      <c r="D19" s="117" t="s">
        <v>100</v>
      </c>
      <c r="E19" s="119">
        <f>'2022'!I135</f>
      </c>
      <c r="F19" s="119">
        <f>'2022'!J135</f>
        <v>0</v>
      </c>
      <c r="G19" s="119">
        <f>'2022'!M135</f>
      </c>
      <c r="H19" s="119">
        <f>'2022'!N135</f>
        <v>0</v>
      </c>
      <c r="I19" s="119">
        <f>'2022'!Q135</f>
      </c>
      <c r="J19" s="119">
        <f>'2022'!R135</f>
        <v>0</v>
      </c>
      <c r="K19" s="119">
        <f>'2022'!U135</f>
      </c>
      <c r="L19" s="119">
        <f>'2022'!V135</f>
        <v>0</v>
      </c>
      <c r="M19" s="119">
        <f>'2022'!Y135</f>
      </c>
      <c r="N19" s="119">
        <f>'2022'!Z135</f>
        <v>0</v>
      </c>
      <c r="O19" s="119">
        <f>'2022'!AC135</f>
      </c>
      <c r="P19" s="119">
        <f>'2022'!AD135</f>
        <v>0</v>
      </c>
      <c r="Q19" s="119">
        <f>'2022'!AG135</f>
      </c>
      <c r="R19" s="119">
        <f>'2022'!AH135</f>
        <v>0</v>
      </c>
      <c r="S19" s="119">
        <f>'2022'!AK135</f>
      </c>
      <c r="T19" s="119">
        <f>'2022'!AL135</f>
        <v>0</v>
      </c>
      <c r="U19" s="119">
        <f>'2022'!AO135</f>
      </c>
      <c r="V19" s="119">
        <f>'2022'!AP135</f>
        <v>0</v>
      </c>
      <c r="W19" s="119">
        <f>'2022'!AS135</f>
      </c>
      <c r="X19" s="119">
        <f>'2022'!AT135</f>
        <v>0</v>
      </c>
      <c r="Y19" s="119">
        <f>'2022'!AW135</f>
      </c>
      <c r="Z19" s="119">
        <f>'2022'!AX135</f>
        <v>0</v>
      </c>
      <c r="AA19" s="119"/>
      <c r="AB19" s="119">
        <f>'2022'!BA135</f>
      </c>
      <c r="AC19" s="119">
        <f>'2022'!BB135</f>
      </c>
      <c r="AD19" s="119"/>
      <c r="AE19" s="119">
        <f>'2022'!BE135</f>
        <v>0</v>
      </c>
      <c r="AF19" s="119">
        <f t="shared" si="0"/>
        <v>0</v>
      </c>
    </row>
    <row r="20" spans="1:32" x14ac:dyDescent="0.25">
      <c r="A20" s="14"/>
      <c r="B20" s="115">
        <v>16</v>
      </c>
      <c r="C20" s="115">
        <v>3.98</v>
      </c>
      <c r="D20" s="117" t="s">
        <v>103</v>
      </c>
      <c r="E20" s="119">
        <f>'2022'!I144</f>
        <v>1328</v>
      </c>
      <c r="F20" s="119">
        <f>'2022'!J144</f>
        <v>0</v>
      </c>
      <c r="G20" s="119">
        <f>'2022'!M144</f>
        <v>1328</v>
      </c>
      <c r="H20" s="119">
        <f>'2022'!N144</f>
        <v>0</v>
      </c>
      <c r="I20" s="119">
        <f>'2022'!Q144</f>
        <v>1328</v>
      </c>
      <c r="J20" s="119">
        <f>'2022'!R144</f>
        <v>0</v>
      </c>
      <c r="K20" s="119">
        <f>'2022'!U144</f>
        <v>1328</v>
      </c>
      <c r="L20" s="119">
        <f>'2022'!V144</f>
        <v>0</v>
      </c>
      <c r="M20" s="119">
        <f>'2022'!Y144</f>
        <v>1335</v>
      </c>
      <c r="N20" s="119">
        <f>'2022'!Z144</f>
        <v>7</v>
      </c>
      <c r="O20" s="119">
        <f>'2022'!AC144</f>
        <v>1392</v>
      </c>
      <c r="P20" s="119">
        <f>'2022'!AD144</f>
        <v>57</v>
      </c>
      <c r="Q20" s="119">
        <f>'2022'!AG144</f>
        <v>1431</v>
      </c>
      <c r="R20" s="119">
        <f>'2022'!AH144</f>
        <v>41.184</v>
      </c>
      <c r="S20" s="119">
        <f>'2022'!AK144</f>
        <v>1461</v>
      </c>
      <c r="T20" s="119">
        <f>'2022'!AL144</f>
        <v>30.84</v>
      </c>
      <c r="U20" s="119">
        <f>'2022'!AO144</f>
        <v>1482</v>
      </c>
      <c r="V20" s="119">
        <f>'2022'!AP144</f>
        <v>21.693</v>
      </c>
      <c r="W20" s="119">
        <f>'2022'!AS144</f>
        <v>1502</v>
      </c>
      <c r="X20" s="119">
        <f>'2022'!AT144</f>
        <v>21</v>
      </c>
      <c r="Y20" s="119">
        <f>'2022'!AW144</f>
      </c>
      <c r="Z20" s="119">
        <f>'2022'!AX144</f>
        <v>0</v>
      </c>
      <c r="AA20" s="119"/>
      <c r="AB20" s="119">
        <f>'2022'!BA144</f>
      </c>
      <c r="AC20" s="119">
        <f>'2022'!BB144</f>
      </c>
      <c r="AD20" s="119"/>
      <c r="AE20" s="119">
        <f>'2022'!BE144</f>
        <v>178.717</v>
      </c>
      <c r="AF20" s="119">
        <f t="shared" si="0"/>
        <v>0</v>
      </c>
    </row>
    <row r="21" ht="15.75" customHeight="1" spans="1:32" x14ac:dyDescent="0.25">
      <c r="A21" s="14"/>
      <c r="B21" s="115">
        <v>17</v>
      </c>
      <c r="C21" s="116">
        <v>4</v>
      </c>
      <c r="D21" s="117" t="s">
        <v>106</v>
      </c>
      <c r="E21" s="119">
        <f>'2022'!I153</f>
        <v>192</v>
      </c>
      <c r="F21" s="119">
        <f>'2022'!J153</f>
        <v>0</v>
      </c>
      <c r="G21" s="119">
        <f>'2022'!M153</f>
        <v>192</v>
      </c>
      <c r="H21" s="119">
        <f>'2022'!N153</f>
        <v>0</v>
      </c>
      <c r="I21" s="119">
        <f>'2022'!Q153</f>
        <v>192</v>
      </c>
      <c r="J21" s="119">
        <f>'2022'!R153</f>
        <v>0</v>
      </c>
      <c r="K21" s="119">
        <f>'2022'!U153</f>
        <v>192</v>
      </c>
      <c r="L21" s="119">
        <f>'2022'!V153</f>
        <v>0</v>
      </c>
      <c r="M21" s="119">
        <f>'2022'!Y153</f>
        <v>203</v>
      </c>
      <c r="N21" s="119">
        <f>'2022'!Z153</f>
        <v>11</v>
      </c>
      <c r="O21" s="119">
        <f>'2022'!AC153</f>
        <v>241</v>
      </c>
      <c r="P21" s="119">
        <f>'2022'!AD153</f>
        <v>38</v>
      </c>
      <c r="Q21" s="119">
        <f>'2022'!AG153</f>
        <v>271</v>
      </c>
      <c r="R21" s="119">
        <f>'2022'!AH153</f>
        <v>31.68</v>
      </c>
      <c r="S21" s="119">
        <f>'2022'!AK153</f>
        <v>300</v>
      </c>
      <c r="T21" s="119">
        <f>'2022'!AL153</f>
        <v>29.812</v>
      </c>
      <c r="U21" s="119">
        <f>'2022'!AO153</f>
        <v>302</v>
      </c>
      <c r="V21" s="119">
        <f>'2022'!AP153</f>
        <v>2.066</v>
      </c>
      <c r="W21" s="119">
        <f>'2022'!AS153</f>
        <v>302</v>
      </c>
      <c r="X21" s="119">
        <f>'2022'!AT153</f>
        <v>0</v>
      </c>
      <c r="Y21" s="119">
        <f>'2022'!AW153</f>
      </c>
      <c r="Z21" s="119">
        <f>'2022'!AX153</f>
        <v>0</v>
      </c>
      <c r="AA21" s="119"/>
      <c r="AB21" s="119">
        <f>'2022'!BA153</f>
      </c>
      <c r="AC21" s="119">
        <f>'2022'!BB153</f>
      </c>
      <c r="AD21" s="119"/>
      <c r="AE21" s="119">
        <f>'2022'!BE153</f>
        <v>112.558</v>
      </c>
      <c r="AF21" s="119">
        <f t="shared" si="0"/>
        <v>0</v>
      </c>
    </row>
    <row r="22" ht="15.75" customHeight="1" spans="1:32" x14ac:dyDescent="0.25">
      <c r="A22" s="14"/>
      <c r="B22" s="115">
        <v>18</v>
      </c>
      <c r="C22" s="115">
        <v>4.03</v>
      </c>
      <c r="D22" s="117" t="s">
        <v>109</v>
      </c>
      <c r="E22" s="119">
        <f>'2022'!I162</f>
        <v>489</v>
      </c>
      <c r="F22" s="119">
        <f>'2022'!J162</f>
        <v>0</v>
      </c>
      <c r="G22" s="119">
        <f>'2022'!M162</f>
        <v>489</v>
      </c>
      <c r="H22" s="119">
        <f>'2022'!N162</f>
        <v>0</v>
      </c>
      <c r="I22" s="119">
        <f>'2022'!Q162</f>
        <v>489</v>
      </c>
      <c r="J22" s="119">
        <f>'2022'!R162</f>
        <v>0</v>
      </c>
      <c r="K22" s="119">
        <f>'2022'!U162</f>
        <v>489</v>
      </c>
      <c r="L22" s="119">
        <f>'2022'!V162</f>
        <v>0</v>
      </c>
      <c r="M22" s="119">
        <f>'2022'!Y162</f>
        <v>514</v>
      </c>
      <c r="N22" s="119">
        <f>'2022'!Z162</f>
        <v>25</v>
      </c>
      <c r="O22" s="119">
        <f>'2022'!AC162</f>
        <v>523</v>
      </c>
      <c r="P22" s="119">
        <f>'2022'!AD162</f>
        <v>9</v>
      </c>
      <c r="Q22" s="119">
        <f>'2022'!AG162</f>
        <v>529</v>
      </c>
      <c r="R22" s="119">
        <f>'2022'!AH162</f>
        <v>6.336</v>
      </c>
      <c r="S22" s="119">
        <f>'2022'!AK162</f>
        <v>537</v>
      </c>
      <c r="T22" s="119">
        <f>'2022'!AL162</f>
        <v>8.224</v>
      </c>
      <c r="U22" s="119">
        <f>'2022'!AO162</f>
        <v>541</v>
      </c>
      <c r="V22" s="119">
        <f>'2022'!AP162</f>
        <v>4.132</v>
      </c>
      <c r="W22" s="119">
        <f>'2022'!AS162</f>
        <v>561</v>
      </c>
      <c r="X22" s="119">
        <f>'2022'!AT162</f>
        <v>21</v>
      </c>
      <c r="Y22" s="119">
        <f>'2022'!AW162</f>
      </c>
      <c r="Z22" s="119">
        <f>'2022'!AX162</f>
        <v>0</v>
      </c>
      <c r="AA22" s="119"/>
      <c r="AB22" s="119">
        <f>'2022'!BA162</f>
      </c>
      <c r="AC22" s="119">
        <f>'2022'!BB162</f>
      </c>
      <c r="AD22" s="119"/>
      <c r="AE22" s="119">
        <f>'2022'!BE162</f>
        <v>73.692</v>
      </c>
      <c r="AF22" s="119">
        <f t="shared" si="0"/>
        <v>0</v>
      </c>
    </row>
    <row r="23" ht="15.75" customHeight="1" spans="1:32" x14ac:dyDescent="0.25">
      <c r="A23" s="21"/>
      <c r="B23" s="115">
        <v>19</v>
      </c>
      <c r="C23" s="116">
        <v>4.1</v>
      </c>
      <c r="D23" s="117" t="s">
        <v>113</v>
      </c>
      <c r="E23" s="119">
        <f>'2022'!I171</f>
        <v>1</v>
      </c>
      <c r="F23" s="119">
        <f>'2022'!J171</f>
        <v>0</v>
      </c>
      <c r="G23" s="119">
        <f>'2022'!M171</f>
        <v>1</v>
      </c>
      <c r="H23" s="119">
        <f>'2022'!N171</f>
        <v>0</v>
      </c>
      <c r="I23" s="119">
        <f>'2022'!Q171</f>
        <v>1</v>
      </c>
      <c r="J23" s="119">
        <f>'2022'!R171</f>
        <v>0</v>
      </c>
      <c r="K23" s="119">
        <f>'2022'!U171</f>
        <v>1</v>
      </c>
      <c r="L23" s="119">
        <f>'2022'!V171</f>
        <v>0</v>
      </c>
      <c r="M23" s="119">
        <f>'2022'!Y171</f>
        <v>1</v>
      </c>
      <c r="N23" s="119">
        <f>'2022'!Z171</f>
        <v>0</v>
      </c>
      <c r="O23" s="119">
        <f>'2022'!AC171</f>
        <v>1</v>
      </c>
      <c r="P23" s="119">
        <f>'2022'!AD171</f>
        <v>0</v>
      </c>
      <c r="Q23" s="119">
        <f>'2022'!AG171</f>
        <v>1</v>
      </c>
      <c r="R23" s="119">
        <f>'2022'!AH171</f>
        <v>0</v>
      </c>
      <c r="S23" s="119">
        <f>'2022'!AK171</f>
        <v>1</v>
      </c>
      <c r="T23" s="119">
        <f>'2022'!AL171</f>
        <v>0</v>
      </c>
      <c r="U23" s="119">
        <f>'2022'!AO171</f>
        <v>1</v>
      </c>
      <c r="V23" s="119">
        <f>'2022'!AP171</f>
        <v>0</v>
      </c>
      <c r="W23" s="119">
        <f>'2022'!AS171</f>
        <v>1</v>
      </c>
      <c r="X23" s="119">
        <f>'2022'!AT171</f>
        <v>0</v>
      </c>
      <c r="Y23" s="119">
        <f>'2022'!AW171</f>
      </c>
      <c r="Z23" s="119">
        <f>'2022'!AX171</f>
        <v>0</v>
      </c>
      <c r="AA23" s="119"/>
      <c r="AB23" s="119">
        <f>'2022'!BA171</f>
      </c>
      <c r="AC23" s="119">
        <f>'2022'!BB171</f>
      </c>
      <c r="AD23" s="119"/>
      <c r="AE23" s="119">
        <f>'2022'!BE171</f>
        <v>0</v>
      </c>
      <c r="AF23" s="119">
        <f t="shared" si="0"/>
        <v>0</v>
      </c>
    </row>
    <row r="24" ht="15.75" customHeight="1" spans="1:32" x14ac:dyDescent="0.25">
      <c r="A24" s="114" t="s">
        <v>116</v>
      </c>
      <c r="B24" s="115" t="s">
        <v>117</v>
      </c>
      <c r="C24" s="283">
        <v>4</v>
      </c>
      <c r="D24" s="117" t="s">
        <v>118</v>
      </c>
      <c r="E24" s="119">
        <f>'2022'!I180</f>
        <v>3271</v>
      </c>
      <c r="F24" s="119">
        <f>'2022'!J180</f>
        <v>0</v>
      </c>
      <c r="G24" s="119">
        <f>'2022'!M180</f>
        <v>3271</v>
      </c>
      <c r="H24" s="119">
        <f>'2022'!N180</f>
        <v>0</v>
      </c>
      <c r="I24" s="119">
        <f>'2022'!Q180</f>
        <v>3271</v>
      </c>
      <c r="J24" s="119">
        <f>'2022'!R180</f>
        <v>0</v>
      </c>
      <c r="K24" s="119">
        <f>'2022'!U180</f>
        <v>3271</v>
      </c>
      <c r="L24" s="119">
        <f>'2022'!V180</f>
        <v>0</v>
      </c>
      <c r="M24" s="119">
        <f>'2022'!Y180</f>
        <v>3271</v>
      </c>
      <c r="N24" s="119">
        <f>'2022'!Z180</f>
        <v>0</v>
      </c>
      <c r="O24" s="119">
        <f>'2022'!AC180</f>
        <v>3271</v>
      </c>
      <c r="P24" s="119">
        <f>'2022'!AD180</f>
        <v>150</v>
      </c>
      <c r="Q24" s="119">
        <f>'2022'!AG180</f>
        <v>3271</v>
      </c>
      <c r="R24" s="119">
        <f>'2022'!AH180</f>
        <v>150</v>
      </c>
      <c r="S24" s="119">
        <f>'2022'!AK180</f>
        <v>55</v>
      </c>
      <c r="T24" s="119">
        <f>'2022'!AL180</f>
        <v>56.54</v>
      </c>
      <c r="U24" s="119">
        <f>'2022'!AO180</f>
        <v>137</v>
      </c>
      <c r="V24" s="119">
        <f>'2022'!AP180</f>
        <v>84.706</v>
      </c>
      <c r="W24" s="119">
        <f>'2022'!AS180</f>
        <v>152</v>
      </c>
      <c r="X24" s="119">
        <f>'2022'!AT180</f>
        <v>15.75</v>
      </c>
      <c r="Y24" s="119">
        <f>'2022'!AW180</f>
      </c>
      <c r="Z24" s="119">
        <f>'2022'!AX180</f>
        <v>0</v>
      </c>
      <c r="AA24" s="119"/>
      <c r="AB24" s="119">
        <f>'2022'!BA180</f>
      </c>
      <c r="AC24" s="119">
        <f>'2022'!BB180</f>
      </c>
      <c r="AD24" s="119"/>
      <c r="AE24" s="119">
        <f>'2022'!BE180</f>
        <v>456.996</v>
      </c>
      <c r="AF24" s="119">
        <f t="shared" si="0"/>
        <v>0</v>
      </c>
    </row>
    <row r="25" ht="15.75" customHeight="1" spans="1:32" x14ac:dyDescent="0.25">
      <c r="A25" s="27"/>
      <c r="B25" s="115" t="s">
        <v>530</v>
      </c>
      <c r="C25" s="283">
        <v>4</v>
      </c>
      <c r="D25" s="117" t="s">
        <v>118</v>
      </c>
      <c r="E25" s="119">
        <f>'2022'!I189</f>
      </c>
      <c r="F25" s="119">
        <f>'2022'!J189</f>
        <v>0</v>
      </c>
      <c r="G25" s="119">
        <f>'2022'!M189</f>
      </c>
      <c r="H25" s="119">
        <f>'2022'!N189</f>
        <v>0</v>
      </c>
      <c r="I25" s="119">
        <f>'2022'!Q189</f>
      </c>
      <c r="J25" s="119">
        <f>'2022'!R189</f>
        <v>0</v>
      </c>
      <c r="K25" s="119">
        <f>'2022'!U189</f>
      </c>
      <c r="L25" s="119">
        <f>'2022'!V189</f>
        <v>0</v>
      </c>
      <c r="M25" s="119">
        <f>'2022'!Y189</f>
      </c>
      <c r="N25" s="119">
        <f>'2022'!Z189</f>
        <v>0</v>
      </c>
      <c r="O25" s="119">
        <f>'2022'!AC189</f>
      </c>
      <c r="P25" s="119">
        <f>'2022'!AD189</f>
        <v>0</v>
      </c>
      <c r="Q25" s="119">
        <f>'2022'!AG189</f>
      </c>
      <c r="R25" s="119">
        <f>'2022'!AH189</f>
        <v>0</v>
      </c>
      <c r="S25" s="119">
        <f>'2022'!AK189</f>
      </c>
      <c r="T25" s="119">
        <f>'2022'!AL189</f>
        <v>0</v>
      </c>
      <c r="U25" s="119">
        <f>'2022'!AO189</f>
      </c>
      <c r="V25" s="119">
        <f>'2022'!AP189</f>
        <v>0</v>
      </c>
      <c r="W25" s="119">
        <f>'2022'!AS189</f>
      </c>
      <c r="X25" s="119">
        <f>'2022'!AT189</f>
        <v>0</v>
      </c>
      <c r="Y25" s="119">
        <f>'2022'!AW189</f>
      </c>
      <c r="Z25" s="119">
        <f>'2022'!AX189</f>
        <v>0</v>
      </c>
      <c r="AA25" s="119"/>
      <c r="AB25" s="119">
        <f>'2022'!BA189</f>
      </c>
      <c r="AC25" s="119">
        <f>'2022'!BB189</f>
      </c>
      <c r="AD25" s="119"/>
      <c r="AE25" s="119">
        <f>'2022'!BE189</f>
        <v>0</v>
      </c>
      <c r="AF25" s="119">
        <f t="shared" si="0"/>
        <v>0</v>
      </c>
    </row>
    <row r="26" ht="15.75" customHeight="1" spans="1:32" x14ac:dyDescent="0.25">
      <c r="A26" s="14"/>
      <c r="B26" s="115">
        <v>21</v>
      </c>
      <c r="C26" s="115">
        <v>3.96</v>
      </c>
      <c r="D26" s="117" t="s">
        <v>120</v>
      </c>
      <c r="E26" s="119">
        <f>'2022'!I198</f>
        <v>2745</v>
      </c>
      <c r="F26" s="119">
        <f>'2022'!J198</f>
        <v>19</v>
      </c>
      <c r="G26" s="119">
        <f>'2022'!M198</f>
        <v>2765</v>
      </c>
      <c r="H26" s="119">
        <f>'2022'!N198</f>
        <v>20</v>
      </c>
      <c r="I26" s="119">
        <f>'2022'!Q198</f>
        <v>2781</v>
      </c>
      <c r="J26" s="119">
        <f>'2022'!R198</f>
        <v>16</v>
      </c>
      <c r="K26" s="119">
        <f>'2022'!U198</f>
        <v>2822</v>
      </c>
      <c r="L26" s="119">
        <f>'2022'!V198</f>
        <v>41</v>
      </c>
      <c r="M26" s="119">
        <f>'2022'!Y198</f>
        <v>2925</v>
      </c>
      <c r="N26" s="119">
        <f>'2022'!Z198</f>
        <v>103</v>
      </c>
      <c r="O26" s="119">
        <f>'2022'!AC198</f>
        <v>3038</v>
      </c>
      <c r="P26" s="119">
        <f>'2022'!AD198</f>
        <v>113</v>
      </c>
      <c r="Q26" s="119">
        <f>'2022'!AG198</f>
        <v>3124</v>
      </c>
      <c r="R26" s="119">
        <f>'2022'!AH198</f>
        <v>90.816</v>
      </c>
      <c r="S26" s="119">
        <f>'2022'!AK198</f>
        <v>3191</v>
      </c>
      <c r="T26" s="119">
        <f>'2022'!AL198</f>
        <v>68.876</v>
      </c>
      <c r="U26" s="119">
        <f>'2022'!AO198</f>
        <v>3253</v>
      </c>
      <c r="V26" s="119">
        <f>'2022'!AP198</f>
        <v>64.046</v>
      </c>
      <c r="W26" s="119">
        <f>'2022'!AS198</f>
        <v>3302</v>
      </c>
      <c r="X26" s="119">
        <f>'2022'!AT198</f>
        <v>51.45</v>
      </c>
      <c r="Y26" s="119">
        <f>'2022'!AW198</f>
      </c>
      <c r="Z26" s="119">
        <f>'2022'!AX198</f>
        <v>0</v>
      </c>
      <c r="AA26" s="119"/>
      <c r="AB26" s="119">
        <f>'2022'!BA198</f>
      </c>
      <c r="AC26" s="119">
        <f>'2022'!BB198</f>
      </c>
      <c r="AD26" s="119"/>
      <c r="AE26" s="119">
        <f>'2022'!BE198</f>
        <v>587.188</v>
      </c>
      <c r="AF26" s="119">
        <f t="shared" si="0"/>
        <v>0</v>
      </c>
    </row>
    <row r="27" ht="15.75" customHeight="1" spans="1:32" x14ac:dyDescent="0.25">
      <c r="A27" s="14"/>
      <c r="B27" s="115">
        <v>23</v>
      </c>
      <c r="C27" s="115">
        <v>3.98</v>
      </c>
      <c r="D27" s="117" t="s">
        <v>124</v>
      </c>
      <c r="E27" s="119">
        <f>'2022'!I207</f>
        <v>7944</v>
      </c>
      <c r="F27" s="119">
        <f>'2022'!J207</f>
        <v>0</v>
      </c>
      <c r="G27" s="119">
        <f>'2022'!M207</f>
        <v>7944</v>
      </c>
      <c r="H27" s="119">
        <f>'2022'!N207</f>
        <v>0</v>
      </c>
      <c r="I27" s="119">
        <f>'2022'!Q207</f>
        <v>7944</v>
      </c>
      <c r="J27" s="119">
        <f>'2022'!R207</f>
        <v>0</v>
      </c>
      <c r="K27" s="119">
        <f>'2022'!U207</f>
        <v>7944</v>
      </c>
      <c r="L27" s="119">
        <f>'2022'!V207</f>
        <v>0</v>
      </c>
      <c r="M27" s="119">
        <f>'2022'!Y207</f>
        <v>8551</v>
      </c>
      <c r="N27" s="119">
        <f>'2022'!Z207</f>
        <v>607</v>
      </c>
      <c r="O27" s="119">
        <f>'2022'!AC207</f>
        <v>8930</v>
      </c>
      <c r="P27" s="119">
        <f>'2022'!AD207</f>
        <v>379</v>
      </c>
      <c r="Q27" s="119">
        <f>'2022'!AG207</f>
        <v>9098</v>
      </c>
      <c r="R27" s="119">
        <f>'2022'!AH207</f>
        <v>177.408</v>
      </c>
      <c r="S27" s="119">
        <f>'2022'!AK207</f>
        <v>9340</v>
      </c>
      <c r="T27" s="119">
        <f>'2022'!AL207</f>
        <v>248.776</v>
      </c>
      <c r="U27" s="119">
        <f>'2022'!AO207</f>
        <v>10074</v>
      </c>
      <c r="V27" s="119">
        <f>'2022'!AP207</f>
        <v>758.222</v>
      </c>
      <c r="W27" s="119">
        <f>'2022'!AS207</f>
        <v>10372</v>
      </c>
      <c r="X27" s="119">
        <f>'2022'!AT207</f>
        <v>312.9</v>
      </c>
      <c r="Y27" s="119">
        <f>'2022'!AW207</f>
      </c>
      <c r="Z27" s="119">
        <f>'2022'!AX207</f>
        <v>0</v>
      </c>
      <c r="AA27" s="119"/>
      <c r="AB27" s="119">
        <f>'2022'!BA207</f>
      </c>
      <c r="AC27" s="119">
        <f>'2022'!BB207</f>
      </c>
      <c r="AD27" s="119"/>
      <c r="AE27" s="119">
        <f>'2022'!BE207</f>
        <v>2483.306</v>
      </c>
      <c r="AF27" s="119">
        <f t="shared" si="0"/>
        <v>0</v>
      </c>
    </row>
    <row r="28" ht="15.75" customHeight="1" spans="1:32" x14ac:dyDescent="0.25">
      <c r="A28" s="14"/>
      <c r="B28" s="115">
        <v>24</v>
      </c>
      <c r="C28" s="115">
        <v>4.01</v>
      </c>
      <c r="D28" s="117" t="s">
        <v>127</v>
      </c>
      <c r="E28" s="119">
        <f>'2022'!I216</f>
        <v>774</v>
      </c>
      <c r="F28" s="119">
        <f>'2022'!J216</f>
        <v>0</v>
      </c>
      <c r="G28" s="119">
        <f>'2022'!M216</f>
        <v>774</v>
      </c>
      <c r="H28" s="119">
        <f>'2022'!N216</f>
        <v>0</v>
      </c>
      <c r="I28" s="119">
        <f>'2022'!Q216</f>
        <v>774</v>
      </c>
      <c r="J28" s="119">
        <f>'2022'!R216</f>
        <v>0</v>
      </c>
      <c r="K28" s="119">
        <f>'2022'!U216</f>
        <v>774</v>
      </c>
      <c r="L28" s="119">
        <f>'2022'!V216</f>
        <v>0</v>
      </c>
      <c r="M28" s="119">
        <f>'2022'!Y216</f>
        <v>918</v>
      </c>
      <c r="N28" s="119">
        <f>'2022'!Z216</f>
        <v>144</v>
      </c>
      <c r="O28" s="119">
        <f>'2022'!AC216</f>
        <v>1104</v>
      </c>
      <c r="P28" s="119">
        <f>'2022'!AD216</f>
        <v>186</v>
      </c>
      <c r="Q28" s="119">
        <f>'2022'!AG216</f>
        <v>1217</v>
      </c>
      <c r="R28" s="119">
        <f>'2022'!AH216</f>
        <v>119.328</v>
      </c>
      <c r="S28" s="119">
        <f>'2022'!AK216</f>
        <v>1336</v>
      </c>
      <c r="T28" s="119">
        <f>'2022'!AL216</f>
        <v>122.332</v>
      </c>
      <c r="U28" s="119">
        <f>'2022'!AO216</f>
        <v>1365</v>
      </c>
      <c r="V28" s="119">
        <f>'2022'!AP216</f>
        <v>29.957</v>
      </c>
      <c r="W28" s="119">
        <f>'2022'!AS216</f>
        <v>1367</v>
      </c>
      <c r="X28" s="119">
        <f>'2022'!AT216</f>
        <v>2.1</v>
      </c>
      <c r="Y28" s="119">
        <f>'2022'!AW216</f>
      </c>
      <c r="Z28" s="119">
        <f>'2022'!AX216</f>
        <v>0</v>
      </c>
      <c r="AA28" s="119"/>
      <c r="AB28" s="119">
        <f>'2022'!BA216</f>
      </c>
      <c r="AC28" s="119">
        <f>'2022'!BB216</f>
      </c>
      <c r="AD28" s="119"/>
      <c r="AE28" s="119">
        <f>'2022'!BE216</f>
        <v>603.717</v>
      </c>
      <c r="AF28" s="119">
        <f t="shared" si="0"/>
        <v>0</v>
      </c>
    </row>
    <row r="29" ht="15.75" customHeight="1" spans="1:32" x14ac:dyDescent="0.25">
      <c r="A29" s="14"/>
      <c r="B29" s="115">
        <v>25</v>
      </c>
      <c r="C29" s="116">
        <v>4</v>
      </c>
      <c r="D29" s="117" t="s">
        <v>131</v>
      </c>
      <c r="E29" s="119">
        <f>'2022'!I225</f>
        <v>48</v>
      </c>
      <c r="F29" s="119">
        <f>'2022'!J225</f>
        <v>0</v>
      </c>
      <c r="G29" s="119">
        <f>'2022'!M225</f>
        <v>48</v>
      </c>
      <c r="H29" s="119">
        <f>'2022'!N225</f>
        <v>0</v>
      </c>
      <c r="I29" s="119">
        <f>'2022'!Q225</f>
        <v>48</v>
      </c>
      <c r="J29" s="119">
        <f>'2022'!R225</f>
        <v>0</v>
      </c>
      <c r="K29" s="119">
        <f>'2022'!U225</f>
        <v>48</v>
      </c>
      <c r="L29" s="119">
        <f>'2022'!V225</f>
        <v>0</v>
      </c>
      <c r="M29" s="119">
        <f>'2022'!Y225</f>
        <v>50</v>
      </c>
      <c r="N29" s="119">
        <f>'2022'!Z225</f>
        <v>2</v>
      </c>
      <c r="O29" s="119">
        <f>'2022'!AC225</f>
        <v>50</v>
      </c>
      <c r="P29" s="119">
        <f>'2022'!AD225</f>
        <v>0</v>
      </c>
      <c r="Q29" s="119">
        <f>'2022'!AG225</f>
        <v>50</v>
      </c>
      <c r="R29" s="119">
        <f>'2022'!AH225</f>
        <v>0</v>
      </c>
      <c r="S29" s="119">
        <f>'2022'!AK225</f>
        <v>50</v>
      </c>
      <c r="T29" s="119">
        <f>'2022'!AL225</f>
        <v>0</v>
      </c>
      <c r="U29" s="119">
        <f>'2022'!AO225</f>
        <v>50</v>
      </c>
      <c r="V29" s="119">
        <f>'2022'!AP225</f>
        <v>0</v>
      </c>
      <c r="W29" s="119">
        <f>'2022'!AS225</f>
        <v>61</v>
      </c>
      <c r="X29" s="119">
        <f>'2022'!AT225</f>
        <v>11.55</v>
      </c>
      <c r="Y29" s="119">
        <f>'2022'!AW225</f>
      </c>
      <c r="Z29" s="119">
        <f>'2022'!AX225</f>
        <v>0</v>
      </c>
      <c r="AA29" s="119"/>
      <c r="AB29" s="119">
        <f>'2022'!BA225</f>
      </c>
      <c r="AC29" s="119">
        <f>'2022'!BB225</f>
      </c>
      <c r="AD29" s="119"/>
      <c r="AE29" s="119">
        <f>'2022'!BE225</f>
        <v>13.55</v>
      </c>
      <c r="AF29" s="119">
        <f t="shared" si="0"/>
        <v>0</v>
      </c>
    </row>
    <row r="30" ht="15.75" customHeight="1" spans="1:32" x14ac:dyDescent="0.25">
      <c r="A30" s="14"/>
      <c r="B30" s="115">
        <v>26</v>
      </c>
      <c r="C30" s="115">
        <v>3.98</v>
      </c>
      <c r="D30" s="117" t="s">
        <v>133</v>
      </c>
      <c r="E30" s="119">
        <f>'2022'!I234</f>
      </c>
      <c r="F30" s="119">
        <f>'2022'!J234</f>
        <v>0</v>
      </c>
      <c r="G30" s="119">
        <f>'2022'!M234</f>
      </c>
      <c r="H30" s="119">
        <f>'2022'!N234</f>
        <v>0</v>
      </c>
      <c r="I30" s="119">
        <f>'2022'!Q234</f>
      </c>
      <c r="J30" s="119">
        <f>'2022'!R234</f>
        <v>0</v>
      </c>
      <c r="K30" s="119">
        <f>'2022'!U234</f>
      </c>
      <c r="L30" s="119">
        <f>'2022'!V234</f>
        <v>0</v>
      </c>
      <c r="M30" s="119">
        <f>'2022'!Y234</f>
      </c>
      <c r="N30" s="119">
        <f>'2022'!Z234</f>
        <v>0</v>
      </c>
      <c r="O30" s="119">
        <f>'2022'!AC234</f>
      </c>
      <c r="P30" s="119">
        <f>'2022'!AD234</f>
        <v>0</v>
      </c>
      <c r="Q30" s="119">
        <f>'2022'!AG234</f>
      </c>
      <c r="R30" s="119">
        <f>'2022'!AH234</f>
        <v>0</v>
      </c>
      <c r="S30" s="119">
        <f>'2022'!AK234</f>
      </c>
      <c r="T30" s="119">
        <f>'2022'!AL234</f>
        <v>0</v>
      </c>
      <c r="U30" s="119">
        <f>'2022'!AO234</f>
      </c>
      <c r="V30" s="119">
        <f>'2022'!AP234</f>
        <v>0</v>
      </c>
      <c r="W30" s="119">
        <f>'2022'!AS234</f>
      </c>
      <c r="X30" s="119">
        <f>'2022'!AT234</f>
        <v>0</v>
      </c>
      <c r="Y30" s="119">
        <f>'2022'!AW234</f>
      </c>
      <c r="Z30" s="119">
        <f>'2022'!AX234</f>
        <v>0</v>
      </c>
      <c r="AA30" s="119"/>
      <c r="AB30" s="119">
        <f>'2022'!BA234</f>
      </c>
      <c r="AC30" s="119">
        <f>'2022'!BB234</f>
      </c>
      <c r="AD30" s="119"/>
      <c r="AE30" s="119">
        <f>'2022'!BE234</f>
        <v>0</v>
      </c>
      <c r="AF30" s="119">
        <f t="shared" si="0"/>
        <v>0</v>
      </c>
    </row>
    <row r="31" ht="15.75" customHeight="1" spans="1:32" x14ac:dyDescent="0.25">
      <c r="A31" s="14"/>
      <c r="B31" s="115">
        <v>27</v>
      </c>
      <c r="C31" s="115">
        <v>4.04</v>
      </c>
      <c r="D31" s="117" t="s">
        <v>136</v>
      </c>
      <c r="E31" s="119">
        <f>'2022'!I243</f>
      </c>
      <c r="F31" s="119">
        <f>'2022'!J243</f>
        <v>0</v>
      </c>
      <c r="G31" s="119">
        <f>'2022'!M243</f>
      </c>
      <c r="H31" s="119">
        <f>'2022'!N243</f>
        <v>0</v>
      </c>
      <c r="I31" s="119">
        <f>'2022'!Q243</f>
      </c>
      <c r="J31" s="119">
        <f>'2022'!R243</f>
        <v>0</v>
      </c>
      <c r="K31" s="119">
        <f>'2022'!U243</f>
      </c>
      <c r="L31" s="119">
        <f>'2022'!V243</f>
        <v>0</v>
      </c>
      <c r="M31" s="119">
        <f>'2022'!Y243</f>
      </c>
      <c r="N31" s="119">
        <f>'2022'!Z243</f>
        <v>0</v>
      </c>
      <c r="O31" s="119">
        <f>'2022'!AC243</f>
      </c>
      <c r="P31" s="119">
        <f>'2022'!AD243</f>
        <v>0</v>
      </c>
      <c r="Q31" s="119">
        <f>'2022'!AG243</f>
      </c>
      <c r="R31" s="119">
        <f>'2022'!AH243</f>
        <v>0</v>
      </c>
      <c r="S31" s="119">
        <f>'2022'!AK243</f>
      </c>
      <c r="T31" s="119">
        <f>'2022'!AL243</f>
        <v>0</v>
      </c>
      <c r="U31" s="119">
        <f>'2022'!AO243</f>
      </c>
      <c r="V31" s="119">
        <f>'2022'!AP243</f>
        <v>0</v>
      </c>
      <c r="W31" s="119">
        <f>'2022'!AS243</f>
      </c>
      <c r="X31" s="119">
        <f>'2022'!AT243</f>
        <v>0</v>
      </c>
      <c r="Y31" s="119">
        <f>'2022'!AW243</f>
      </c>
      <c r="Z31" s="119">
        <f>'2022'!AX243</f>
        <v>0</v>
      </c>
      <c r="AA31" s="119"/>
      <c r="AB31" s="119">
        <f>'2022'!BA243</f>
      </c>
      <c r="AC31" s="119">
        <f>'2022'!BB243</f>
      </c>
      <c r="AD31" s="119"/>
      <c r="AE31" s="119">
        <f>'2022'!BE243</f>
        <v>0</v>
      </c>
      <c r="AF31" s="119">
        <f t="shared" si="0"/>
        <v>0</v>
      </c>
    </row>
    <row r="32" ht="15.75" customHeight="1" spans="1:32" x14ac:dyDescent="0.25">
      <c r="A32" s="14"/>
      <c r="B32" s="115">
        <v>28</v>
      </c>
      <c r="C32" s="115">
        <v>3.96</v>
      </c>
      <c r="D32" s="117" t="s">
        <v>140</v>
      </c>
      <c r="E32" s="119">
        <f>'2022'!I252</f>
        <v>7502</v>
      </c>
      <c r="F32" s="119">
        <f>'2022'!J252</f>
        <v>931</v>
      </c>
      <c r="G32" s="119">
        <f>'2022'!M252</f>
        <v>8470</v>
      </c>
      <c r="H32" s="119">
        <f>'2022'!N252</f>
        <v>968</v>
      </c>
      <c r="I32" s="119">
        <f>'2022'!Q252</f>
        <v>9159</v>
      </c>
      <c r="J32" s="119">
        <f>'2022'!R252</f>
        <v>689</v>
      </c>
      <c r="K32" s="119">
        <f>'2022'!U252</f>
        <v>9624</v>
      </c>
      <c r="L32" s="119">
        <f>'2022'!V252</f>
        <v>465</v>
      </c>
      <c r="M32" s="119">
        <f>'2022'!Y252</f>
        <v>9807</v>
      </c>
      <c r="N32" s="119">
        <f>'2022'!Z252</f>
        <v>183</v>
      </c>
      <c r="O32" s="119">
        <f>'2022'!AC252</f>
        <v>9907</v>
      </c>
      <c r="P32" s="119">
        <f>'2022'!AD252</f>
        <v>100</v>
      </c>
      <c r="Q32" s="119">
        <f>'2022'!AG252</f>
        <v>10009</v>
      </c>
      <c r="R32" s="119">
        <f>'2022'!AH252</f>
        <v>107.712</v>
      </c>
      <c r="S32" s="119">
        <f>'2022'!AK252</f>
        <v>10098</v>
      </c>
      <c r="T32" s="119">
        <f>'2022'!AL252</f>
        <v>91.492</v>
      </c>
      <c r="U32" s="119">
        <f>'2022'!AO252</f>
        <v>10216</v>
      </c>
      <c r="V32" s="119">
        <f>'2022'!AP252</f>
        <v>121.894</v>
      </c>
      <c r="W32" s="119">
        <f>'2022'!AS252</f>
        <v>10576</v>
      </c>
      <c r="X32" s="119">
        <f>'2022'!AT252</f>
        <v>378</v>
      </c>
      <c r="Y32" s="119">
        <f>'2022'!AW252</f>
      </c>
      <c r="Z32" s="119">
        <f>'2022'!AX252</f>
        <v>0</v>
      </c>
      <c r="AA32" s="119"/>
      <c r="AB32" s="119">
        <f>'2022'!BA252</f>
      </c>
      <c r="AC32" s="119">
        <f>'2022'!BB252</f>
      </c>
      <c r="AD32" s="119"/>
      <c r="AE32" s="119">
        <f>'2022'!BE252</f>
        <v>4035.098</v>
      </c>
      <c r="AF32" s="119">
        <f t="shared" si="0"/>
        <v>0</v>
      </c>
    </row>
    <row r="33" ht="15.75" customHeight="1" spans="1:32" x14ac:dyDescent="0.25">
      <c r="A33" s="14"/>
      <c r="B33" s="115">
        <v>30</v>
      </c>
      <c r="C33" s="115">
        <v>4.05</v>
      </c>
      <c r="D33" s="117" t="s">
        <v>496</v>
      </c>
      <c r="E33" s="119">
        <f>'2022'!I261</f>
        <v>206</v>
      </c>
      <c r="F33" s="119">
        <f>'2022'!J261</f>
        <v>0</v>
      </c>
      <c r="G33" s="119">
        <f>'2022'!M261</f>
        <v>206</v>
      </c>
      <c r="H33" s="119">
        <f>'2022'!N261</f>
        <v>0</v>
      </c>
      <c r="I33" s="119">
        <f>'2022'!Q261</f>
        <v>206</v>
      </c>
      <c r="J33" s="119">
        <f>'2022'!R261</f>
        <v>0</v>
      </c>
      <c r="K33" s="119">
        <f>'2022'!U261</f>
        <v>206</v>
      </c>
      <c r="L33" s="119">
        <f>'2022'!V261</f>
        <v>0</v>
      </c>
      <c r="M33" s="119">
        <f>'2022'!Y261</f>
        <v>226</v>
      </c>
      <c r="N33" s="119">
        <f>'2022'!Z261</f>
        <v>20</v>
      </c>
      <c r="O33" s="119">
        <f>'2022'!AC261</f>
        <v>315</v>
      </c>
      <c r="P33" s="119">
        <f>'2022'!AD261</f>
        <v>89</v>
      </c>
      <c r="Q33" s="119">
        <f>'2022'!AG261</f>
        <v>355</v>
      </c>
      <c r="R33" s="119">
        <f>'2022'!AH261</f>
        <v>42.24</v>
      </c>
      <c r="S33" s="119">
        <f>'2022'!AK261</f>
        <v>401</v>
      </c>
      <c r="T33" s="119">
        <f>'2022'!AL261</f>
        <v>47.288</v>
      </c>
      <c r="U33" s="119">
        <f>'2022'!AO261</f>
        <v>429</v>
      </c>
      <c r="V33" s="119">
        <f>'2022'!AP261</f>
        <v>28.924</v>
      </c>
      <c r="W33" s="119">
        <f>'2022'!AS261</f>
        <v>432</v>
      </c>
      <c r="X33" s="119">
        <f>'2022'!AT261</f>
        <v>3.15</v>
      </c>
      <c r="Y33" s="119">
        <f>'2022'!AW261</f>
      </c>
      <c r="Z33" s="119">
        <f>'2022'!AX261</f>
        <v>0</v>
      </c>
      <c r="AA33" s="119"/>
      <c r="AB33" s="119">
        <f>'2022'!BA261</f>
      </c>
      <c r="AC33" s="119">
        <f>'2022'!BB261</f>
      </c>
      <c r="AD33" s="119"/>
      <c r="AE33" s="119">
        <f>'2022'!BE261</f>
        <v>230.602</v>
      </c>
      <c r="AF33" s="119">
        <f t="shared" si="0"/>
        <v>0</v>
      </c>
    </row>
    <row r="34" ht="15.75" customHeight="1" spans="1:32" x14ac:dyDescent="0.25">
      <c r="A34" s="14"/>
      <c r="B34" s="115">
        <v>29</v>
      </c>
      <c r="C34" s="115">
        <v>4.02</v>
      </c>
      <c r="D34" s="117" t="s">
        <v>146</v>
      </c>
      <c r="E34" s="119">
        <f>'2022'!I270</f>
      </c>
      <c r="F34" s="119">
        <f>'2022'!J270</f>
      </c>
      <c r="G34" s="119">
        <f>'2022'!M270</f>
      </c>
      <c r="H34" s="119">
        <f>'2022'!N270</f>
        <v>0</v>
      </c>
      <c r="I34" s="119">
        <f>'2022'!Q270</f>
      </c>
      <c r="J34" s="119">
        <f>'2022'!R270</f>
        <v>0</v>
      </c>
      <c r="K34" s="119">
        <f>'2022'!U270</f>
      </c>
      <c r="L34" s="119">
        <f>'2022'!V270</f>
        <v>0</v>
      </c>
      <c r="M34" s="119">
        <f>'2022'!Y270</f>
      </c>
      <c r="N34" s="119">
        <f>'2022'!Z270</f>
        <v>0</v>
      </c>
      <c r="O34" s="119">
        <f>'2022'!AC270</f>
      </c>
      <c r="P34" s="119">
        <f>'2022'!AD270</f>
        <v>0</v>
      </c>
      <c r="Q34" s="119">
        <f>'2022'!AG270</f>
      </c>
      <c r="R34" s="119">
        <f>'2022'!AH270</f>
        <v>0</v>
      </c>
      <c r="S34" s="119">
        <f>'2022'!AK270</f>
      </c>
      <c r="T34" s="119">
        <f>'2022'!AL270</f>
        <v>0</v>
      </c>
      <c r="U34" s="119">
        <f>'2022'!AO270</f>
      </c>
      <c r="V34" s="119">
        <f>'2022'!AP270</f>
        <v>0</v>
      </c>
      <c r="W34" s="119">
        <f>'2022'!AS270</f>
      </c>
      <c r="X34" s="119">
        <f>'2022'!AT270</f>
        <v>0</v>
      </c>
      <c r="Y34" s="119">
        <f>'2022'!AW270</f>
      </c>
      <c r="Z34" s="119">
        <f>'2022'!AX270</f>
        <v>0</v>
      </c>
      <c r="AA34" s="119"/>
      <c r="AB34" s="119">
        <f>'2022'!BA270</f>
      </c>
      <c r="AC34" s="119">
        <f>'2022'!BB270</f>
      </c>
      <c r="AD34" s="119"/>
      <c r="AE34" s="119">
        <f>'2022'!BE270</f>
        <v>0</v>
      </c>
      <c r="AF34" s="119">
        <f t="shared" si="0"/>
        <v>0</v>
      </c>
    </row>
    <row r="35" ht="15.75" customHeight="1" spans="1:32" x14ac:dyDescent="0.25">
      <c r="A35" s="14"/>
      <c r="B35" s="115">
        <v>31</v>
      </c>
      <c r="C35" s="116">
        <v>4</v>
      </c>
      <c r="D35" s="117" t="s">
        <v>149</v>
      </c>
      <c r="E35" s="119">
        <f>'2022'!I279</f>
        <v>5</v>
      </c>
      <c r="F35" s="119">
        <f>'2022'!J279</f>
        <v>0</v>
      </c>
      <c r="G35" s="119">
        <f>'2022'!M279</f>
        <v>5</v>
      </c>
      <c r="H35" s="119">
        <f>'2022'!N279</f>
        <v>0</v>
      </c>
      <c r="I35" s="119">
        <f>'2022'!Q279</f>
        <v>5</v>
      </c>
      <c r="J35" s="119">
        <f>'2022'!R279</f>
        <v>0</v>
      </c>
      <c r="K35" s="119">
        <f>'2022'!U279</f>
        <v>5</v>
      </c>
      <c r="L35" s="119">
        <f>'2022'!V279</f>
        <v>0</v>
      </c>
      <c r="M35" s="119">
        <f>'2022'!Y279</f>
        <v>5</v>
      </c>
      <c r="N35" s="119">
        <f>'2022'!Z279</f>
        <v>0</v>
      </c>
      <c r="O35" s="119">
        <f>'2022'!AC279</f>
        <v>5</v>
      </c>
      <c r="P35" s="119">
        <f>'2022'!AD279</f>
        <v>0</v>
      </c>
      <c r="Q35" s="119">
        <f>'2022'!AG279</f>
        <v>5</v>
      </c>
      <c r="R35" s="119">
        <f>'2022'!AH279</f>
        <v>0</v>
      </c>
      <c r="S35" s="119">
        <f>'2022'!AK279</f>
        <v>5</v>
      </c>
      <c r="T35" s="119">
        <f>'2022'!AL279</f>
        <v>0</v>
      </c>
      <c r="U35" s="119">
        <f>'2022'!AO279</f>
        <v>5</v>
      </c>
      <c r="V35" s="119">
        <f>'2022'!AP279</f>
        <v>0</v>
      </c>
      <c r="W35" s="119">
        <f>'2022'!AS279</f>
        <v>5</v>
      </c>
      <c r="X35" s="119">
        <f>'2022'!AT279</f>
        <v>0</v>
      </c>
      <c r="Y35" s="119">
        <f>'2022'!AW279</f>
      </c>
      <c r="Z35" s="119">
        <f>'2022'!AX279</f>
        <v>0</v>
      </c>
      <c r="AA35" s="119"/>
      <c r="AB35" s="119">
        <f>'2022'!BA279</f>
      </c>
      <c r="AC35" s="119">
        <f>'2022'!BB279</f>
      </c>
      <c r="AD35" s="119"/>
      <c r="AE35" s="119">
        <f>'2022'!BE279</f>
        <v>0</v>
      </c>
      <c r="AF35" s="119">
        <f t="shared" si="0"/>
        <v>0</v>
      </c>
    </row>
    <row r="36" ht="15.75" customHeight="1" spans="1:32" x14ac:dyDescent="0.25">
      <c r="A36" s="14"/>
      <c r="B36" s="115">
        <v>32</v>
      </c>
      <c r="C36" s="115">
        <v>3.96</v>
      </c>
      <c r="D36" s="117" t="s">
        <v>152</v>
      </c>
      <c r="E36" s="119">
        <f>'2022'!I288</f>
        <v>1282</v>
      </c>
      <c r="F36" s="119">
        <f>'2022'!J288</f>
        <v>0</v>
      </c>
      <c r="G36" s="119">
        <f>'2022'!M288</f>
        <v>1282</v>
      </c>
      <c r="H36" s="119">
        <f>'2022'!N288</f>
        <v>0</v>
      </c>
      <c r="I36" s="119">
        <f>'2022'!Q288</f>
        <v>1282</v>
      </c>
      <c r="J36" s="119">
        <f>'2022'!R288</f>
        <v>0</v>
      </c>
      <c r="K36" s="119">
        <f>'2022'!U288</f>
        <v>1282</v>
      </c>
      <c r="L36" s="119">
        <f>'2022'!V288</f>
        <v>0</v>
      </c>
      <c r="M36" s="119">
        <f>'2022'!Y288</f>
        <v>1328</v>
      </c>
      <c r="N36" s="119">
        <f>'2022'!Z288</f>
        <v>46</v>
      </c>
      <c r="O36" s="119">
        <f>'2022'!AC288</f>
        <v>1382</v>
      </c>
      <c r="P36" s="119">
        <f>'2022'!AD288</f>
        <v>54</v>
      </c>
      <c r="Q36" s="119">
        <f>'2022'!AG288</f>
        <v>1438</v>
      </c>
      <c r="R36" s="119">
        <f>'2022'!AH288</f>
        <v>59.136</v>
      </c>
      <c r="S36" s="119">
        <f>'2022'!AK288</f>
        <v>1500</v>
      </c>
      <c r="T36" s="119">
        <f>'2022'!AL288</f>
        <v>63.736</v>
      </c>
      <c r="U36" s="119">
        <f>'2022'!AO288</f>
        <v>1556</v>
      </c>
      <c r="V36" s="119">
        <f>'2022'!AP288</f>
        <v>57.848</v>
      </c>
      <c r="W36" s="119">
        <f>'2022'!AS288</f>
        <v>1604</v>
      </c>
      <c r="X36" s="119">
        <f>'2022'!AT288</f>
        <v>50.4</v>
      </c>
      <c r="Y36" s="119">
        <f>'2022'!AW288</f>
      </c>
      <c r="Z36" s="119">
        <f>'2022'!AX288</f>
        <v>0</v>
      </c>
      <c r="AA36" s="119"/>
      <c r="AB36" s="119">
        <f>'2022'!BA288</f>
      </c>
      <c r="AC36" s="119">
        <f>'2022'!BB288</f>
      </c>
      <c r="AD36" s="119"/>
      <c r="AE36" s="119">
        <f>'2022'!BE288</f>
        <v>331.12</v>
      </c>
      <c r="AF36" s="119">
        <f t="shared" si="0"/>
        <v>0</v>
      </c>
    </row>
    <row r="37" ht="15.75" customHeight="1" spans="1:32" x14ac:dyDescent="0.25">
      <c r="A37" s="14"/>
      <c r="B37" s="115">
        <v>33</v>
      </c>
      <c r="C37" s="115">
        <v>4.01</v>
      </c>
      <c r="D37" s="117" t="s">
        <v>154</v>
      </c>
      <c r="E37" s="119">
        <f>'2022'!I297</f>
        <v>33</v>
      </c>
      <c r="F37" s="119">
        <f>'2022'!J297</f>
        <v>0</v>
      </c>
      <c r="G37" s="119">
        <f>'2022'!M297</f>
        <v>33</v>
      </c>
      <c r="H37" s="119">
        <f>'2022'!N297</f>
        <v>0</v>
      </c>
      <c r="I37" s="119">
        <f>'2022'!Q297</f>
        <v>33</v>
      </c>
      <c r="J37" s="119">
        <f>'2022'!R297</f>
        <v>0</v>
      </c>
      <c r="K37" s="119">
        <f>'2022'!U297</f>
        <v>33</v>
      </c>
      <c r="L37" s="119">
        <f>'2022'!V297</f>
        <v>0</v>
      </c>
      <c r="M37" s="119">
        <f>'2022'!Y297</f>
        <v>33</v>
      </c>
      <c r="N37" s="119">
        <f>'2022'!Z297</f>
        <v>0</v>
      </c>
      <c r="O37" s="119">
        <f>'2022'!AC297</f>
        <v>33</v>
      </c>
      <c r="P37" s="119">
        <f>'2022'!AD297</f>
        <v>0</v>
      </c>
      <c r="Q37" s="119">
        <f>'2022'!AG297</f>
        <v>33</v>
      </c>
      <c r="R37" s="119">
        <f>'2022'!AH297</f>
        <v>0</v>
      </c>
      <c r="S37" s="119">
        <f>'2022'!AK297</f>
        <v>33</v>
      </c>
      <c r="T37" s="119">
        <f>'2022'!AL297</f>
        <v>0</v>
      </c>
      <c r="U37" s="119">
        <f>'2022'!AO297</f>
        <v>33</v>
      </c>
      <c r="V37" s="119">
        <f>'2022'!AP297</f>
        <v>0</v>
      </c>
      <c r="W37" s="119">
        <f>'2022'!AS297</f>
        <v>33</v>
      </c>
      <c r="X37" s="119">
        <f>'2022'!AT297</f>
        <v>0</v>
      </c>
      <c r="Y37" s="119">
        <f>'2022'!AW297</f>
      </c>
      <c r="Z37" s="119">
        <f>'2022'!AX297</f>
        <v>0</v>
      </c>
      <c r="AA37" s="119"/>
      <c r="AB37" s="119">
        <f>'2022'!BA297</f>
      </c>
      <c r="AC37" s="119">
        <f>'2022'!BB297</f>
      </c>
      <c r="AD37" s="119"/>
      <c r="AE37" s="119">
        <f>'2022'!BE297</f>
        <v>0</v>
      </c>
      <c r="AF37" s="119">
        <f t="shared" si="0"/>
        <v>0</v>
      </c>
    </row>
    <row r="38" ht="15.75" customHeight="1" spans="1:32" x14ac:dyDescent="0.25">
      <c r="A38" s="14"/>
      <c r="B38" s="115">
        <v>34</v>
      </c>
      <c r="C38" s="115">
        <v>4.01</v>
      </c>
      <c r="D38" s="117" t="s">
        <v>155</v>
      </c>
      <c r="E38" s="119">
        <f>'2022'!I306</f>
        <v>5082</v>
      </c>
      <c r="F38" s="119">
        <f>'2022'!J306</f>
        <v>0</v>
      </c>
      <c r="G38" s="119">
        <f>'2022'!M306</f>
        <v>5082</v>
      </c>
      <c r="H38" s="119">
        <f>'2022'!N306</f>
        <v>0</v>
      </c>
      <c r="I38" s="119">
        <f>'2022'!Q306</f>
        <v>5082</v>
      </c>
      <c r="J38" s="119">
        <f>'2022'!R306</f>
        <v>0</v>
      </c>
      <c r="K38" s="119">
        <f>'2022'!U306</f>
        <v>5082</v>
      </c>
      <c r="L38" s="119">
        <f>'2022'!V306</f>
        <v>0</v>
      </c>
      <c r="M38" s="119">
        <f>'2022'!Y306</f>
        <v>5127</v>
      </c>
      <c r="N38" s="119">
        <f>'2022'!Z306</f>
        <v>45</v>
      </c>
      <c r="O38" s="119">
        <f>'2022'!AC306</f>
        <v>5684</v>
      </c>
      <c r="P38" s="119">
        <f>'2022'!AD306</f>
        <v>557</v>
      </c>
      <c r="Q38" s="119">
        <f>'2022'!AG306</f>
        <v>6277</v>
      </c>
      <c r="R38" s="119">
        <f>'2022'!AH306</f>
        <v>626.208</v>
      </c>
      <c r="S38" s="119">
        <f>'2022'!AK306</f>
        <v>6635</v>
      </c>
      <c r="T38" s="119">
        <f>'2022'!AL306</f>
        <v>368.024</v>
      </c>
      <c r="U38" s="119">
        <f>'2022'!AO306</f>
        <v>6642</v>
      </c>
      <c r="V38" s="119">
        <f>'2022'!AP306</f>
        <v>7.231</v>
      </c>
      <c r="W38" s="119">
        <f>'2022'!AS306</f>
        <v>6642</v>
      </c>
      <c r="X38" s="119">
        <f>'2022'!AT306</f>
        <v>0</v>
      </c>
      <c r="Y38" s="119">
        <f>'2022'!AW306</f>
      </c>
      <c r="Z38" s="119">
        <f>'2022'!AX306</f>
        <v>0</v>
      </c>
      <c r="AA38" s="119"/>
      <c r="AB38" s="119">
        <f>'2022'!BA306</f>
      </c>
      <c r="AC38" s="119">
        <f>'2022'!BB306</f>
      </c>
      <c r="AD38" s="119"/>
      <c r="AE38" s="119">
        <f>'2022'!BE306</f>
        <v>1603.463</v>
      </c>
      <c r="AF38" s="119">
        <f t="shared" si="0"/>
        <v>0</v>
      </c>
    </row>
    <row r="39" ht="15.75" customHeight="1" spans="1:32" x14ac:dyDescent="0.25">
      <c r="A39" s="14"/>
      <c r="B39" s="115">
        <v>35</v>
      </c>
      <c r="C39" s="115">
        <v>4.01</v>
      </c>
      <c r="D39" s="117" t="s">
        <v>157</v>
      </c>
      <c r="E39" s="119">
        <f>'2022'!I315</f>
        <v>33</v>
      </c>
      <c r="F39" s="119">
        <f>'2022'!J315</f>
        <v>0</v>
      </c>
      <c r="G39" s="119">
        <f>'2022'!M315</f>
        <v>33</v>
      </c>
      <c r="H39" s="119">
        <f>'2022'!N315</f>
        <v>0</v>
      </c>
      <c r="I39" s="119">
        <f>'2022'!Q315</f>
        <v>33</v>
      </c>
      <c r="J39" s="119">
        <f>'2022'!R315</f>
        <v>0</v>
      </c>
      <c r="K39" s="119">
        <f>'2022'!U315</f>
        <v>33</v>
      </c>
      <c r="L39" s="119">
        <f>'2022'!V315</f>
        <v>0</v>
      </c>
      <c r="M39" s="119">
        <f>'2022'!Y315</f>
        <v>33</v>
      </c>
      <c r="N39" s="119">
        <f>'2022'!Z315</f>
        <v>0</v>
      </c>
      <c r="O39" s="119">
        <f>'2022'!AC315</f>
        <v>33</v>
      </c>
      <c r="P39" s="119">
        <f>'2022'!AD315</f>
        <v>0</v>
      </c>
      <c r="Q39" s="119">
        <f>'2022'!AG315</f>
        <v>33</v>
      </c>
      <c r="R39" s="119">
        <f>'2022'!AH315</f>
        <v>0</v>
      </c>
      <c r="S39" s="119">
        <f>'2022'!AK315</f>
        <v>33</v>
      </c>
      <c r="T39" s="119">
        <f>'2022'!AL315</f>
        <v>0</v>
      </c>
      <c r="U39" s="119">
        <f>'2022'!AO315</f>
        <v>33</v>
      </c>
      <c r="V39" s="119">
        <f>'2022'!AP315</f>
        <v>0</v>
      </c>
      <c r="W39" s="119">
        <f>'2022'!AS315</f>
        <v>33</v>
      </c>
      <c r="X39" s="119">
        <f>'2022'!AT315</f>
        <v>0</v>
      </c>
      <c r="Y39" s="119">
        <f>'2022'!AW315</f>
      </c>
      <c r="Z39" s="119">
        <f>'2022'!AX315</f>
        <v>0</v>
      </c>
      <c r="AA39" s="119"/>
      <c r="AB39" s="119">
        <f>'2022'!BA315</f>
      </c>
      <c r="AC39" s="119">
        <f>'2022'!BB315</f>
      </c>
      <c r="AD39" s="119"/>
      <c r="AE39" s="119">
        <f>'2022'!BE315</f>
        <v>0</v>
      </c>
      <c r="AF39" s="119">
        <f t="shared" si="0"/>
        <v>0</v>
      </c>
    </row>
    <row r="40" ht="15.75" customHeight="1" spans="1:32" x14ac:dyDescent="0.25">
      <c r="A40" s="14"/>
      <c r="B40" s="115">
        <v>36</v>
      </c>
      <c r="C40" s="115">
        <v>4.03</v>
      </c>
      <c r="D40" s="117" t="s">
        <v>160</v>
      </c>
      <c r="E40" s="119">
        <f>'2022'!I324</f>
        <v>622</v>
      </c>
      <c r="F40" s="119">
        <f>'2022'!J324</f>
        <v>0</v>
      </c>
      <c r="G40" s="119">
        <f>'2022'!M324</f>
        <v>622</v>
      </c>
      <c r="H40" s="119">
        <f>'2022'!N324</f>
        <v>0</v>
      </c>
      <c r="I40" s="119">
        <f>'2022'!Q324</f>
        <v>622</v>
      </c>
      <c r="J40" s="119">
        <f>'2022'!R324</f>
        <v>0</v>
      </c>
      <c r="K40" s="119">
        <f>'2022'!U324</f>
        <v>622</v>
      </c>
      <c r="L40" s="119">
        <f>'2022'!V324</f>
        <v>0</v>
      </c>
      <c r="M40" s="119">
        <f>'2022'!Y324</f>
        <v>631</v>
      </c>
      <c r="N40" s="119">
        <f>'2022'!Z324</f>
        <v>9</v>
      </c>
      <c r="O40" s="119">
        <f>'2022'!AC324</f>
        <v>639</v>
      </c>
      <c r="P40" s="119">
        <f>'2022'!AD324</f>
        <v>8</v>
      </c>
      <c r="Q40" s="119">
        <f>'2022'!AG324</f>
        <v>643</v>
      </c>
      <c r="R40" s="119">
        <f>'2022'!AH324</f>
        <v>4.224</v>
      </c>
      <c r="S40" s="119">
        <f>'2022'!AK324</f>
        <v>645</v>
      </c>
      <c r="T40" s="119">
        <f>'2022'!AL324</f>
        <v>2.056</v>
      </c>
      <c r="U40" s="119">
        <f>'2022'!AO324</f>
        <v>646</v>
      </c>
      <c r="V40" s="119">
        <f>'2022'!AP324</f>
        <v>1.033</v>
      </c>
      <c r="W40" s="119">
        <f>'2022'!AS324</f>
        <v>652</v>
      </c>
      <c r="X40" s="119">
        <f>'2022'!AT324</f>
        <v>6.3</v>
      </c>
      <c r="Y40" s="119">
        <f>'2022'!AW324</f>
      </c>
      <c r="Z40" s="119">
        <f>'2022'!AX324</f>
        <v>0</v>
      </c>
      <c r="AA40" s="119"/>
      <c r="AB40" s="119">
        <f>'2022'!BA324</f>
      </c>
      <c r="AC40" s="119">
        <f>'2022'!BB324</f>
      </c>
      <c r="AD40" s="119"/>
      <c r="AE40" s="119">
        <f>'2022'!BE324</f>
        <v>30.613</v>
      </c>
      <c r="AF40" s="119">
        <f t="shared" si="0"/>
        <v>0</v>
      </c>
    </row>
    <row r="41" ht="15.75" customHeight="1" spans="1:32" x14ac:dyDescent="0.25">
      <c r="A41" s="14"/>
      <c r="B41" s="115">
        <v>37</v>
      </c>
      <c r="C41" s="115">
        <v>4.06</v>
      </c>
      <c r="D41" s="117" t="s">
        <v>162</v>
      </c>
      <c r="E41" s="119">
        <f>'2022'!I333</f>
      </c>
      <c r="F41" s="119">
        <f>'2022'!J333</f>
        <v>0</v>
      </c>
      <c r="G41" s="119">
        <f>'2022'!M333</f>
      </c>
      <c r="H41" s="119">
        <f>'2022'!N333</f>
        <v>0</v>
      </c>
      <c r="I41" s="119">
        <f>'2022'!Q333</f>
      </c>
      <c r="J41" s="119">
        <f>'2022'!R333</f>
        <v>0</v>
      </c>
      <c r="K41" s="119">
        <f>'2022'!U333</f>
      </c>
      <c r="L41" s="119">
        <f>'2022'!V333</f>
        <v>0</v>
      </c>
      <c r="M41" s="119">
        <f>'2022'!Y333</f>
      </c>
      <c r="N41" s="119">
        <f>'2022'!Z333</f>
        <v>0</v>
      </c>
      <c r="O41" s="119">
        <f>'2022'!AC333</f>
      </c>
      <c r="P41" s="119">
        <f>'2022'!AD333</f>
        <v>0</v>
      </c>
      <c r="Q41" s="119">
        <f>'2022'!AG333</f>
      </c>
      <c r="R41" s="119">
        <f>'2022'!AH333</f>
        <v>0</v>
      </c>
      <c r="S41" s="119">
        <f>'2022'!AK333</f>
      </c>
      <c r="T41" s="119">
        <f>'2022'!AL333</f>
        <v>0</v>
      </c>
      <c r="U41" s="119">
        <f>'2022'!AO333</f>
      </c>
      <c r="V41" s="119">
        <f>'2022'!AP333</f>
        <v>0</v>
      </c>
      <c r="W41" s="119">
        <f>'2022'!AS333</f>
      </c>
      <c r="X41" s="119">
        <f>'2022'!AT333</f>
        <v>0</v>
      </c>
      <c r="Y41" s="119">
        <f>'2022'!AW333</f>
      </c>
      <c r="Z41" s="119">
        <f>'2022'!AX333</f>
        <v>0</v>
      </c>
      <c r="AA41" s="119"/>
      <c r="AB41" s="119">
        <f>'2022'!BA333</f>
      </c>
      <c r="AC41" s="119">
        <f>'2022'!BB333</f>
      </c>
      <c r="AD41" s="119"/>
      <c r="AE41" s="119">
        <f>'2022'!BE333</f>
        <v>0</v>
      </c>
      <c r="AF41" s="119">
        <f t="shared" si="0"/>
        <v>0</v>
      </c>
    </row>
    <row r="42" ht="15.75" customHeight="1" spans="1:32" x14ac:dyDescent="0.25">
      <c r="A42" s="14"/>
      <c r="B42" s="115">
        <v>38</v>
      </c>
      <c r="C42" s="115">
        <v>4.34</v>
      </c>
      <c r="D42" s="117" t="s">
        <v>167</v>
      </c>
      <c r="E42" s="119">
        <f>'2022'!I342</f>
        <v>19</v>
      </c>
      <c r="F42" s="119">
        <f>'2022'!J342</f>
        <v>0</v>
      </c>
      <c r="G42" s="119">
        <f>'2022'!M342</f>
        <v>19</v>
      </c>
      <c r="H42" s="119">
        <f>'2022'!N342</f>
        <v>0</v>
      </c>
      <c r="I42" s="119">
        <f>'2022'!Q342</f>
        <v>19</v>
      </c>
      <c r="J42" s="119">
        <f>'2022'!R342</f>
        <v>0</v>
      </c>
      <c r="K42" s="119">
        <f>'2022'!U342</f>
        <v>19</v>
      </c>
      <c r="L42" s="119">
        <f>'2022'!V342</f>
        <v>0</v>
      </c>
      <c r="M42" s="119">
        <f>'2022'!Y342</f>
        <v>19</v>
      </c>
      <c r="N42" s="119">
        <f>'2022'!Z342</f>
        <v>0</v>
      </c>
      <c r="O42" s="119">
        <f>'2022'!AC342</f>
        <v>19</v>
      </c>
      <c r="P42" s="119">
        <f>'2022'!AD342</f>
        <v>0</v>
      </c>
      <c r="Q42" s="119">
        <f>'2022'!AG342</f>
        <v>19</v>
      </c>
      <c r="R42" s="119">
        <f>'2022'!AH342</f>
        <v>0</v>
      </c>
      <c r="S42" s="119">
        <f>'2022'!AK342</f>
        <v>19</v>
      </c>
      <c r="T42" s="119">
        <f>'2022'!AL342</f>
        <v>0</v>
      </c>
      <c r="U42" s="119">
        <f>'2022'!AO342</f>
        <v>19</v>
      </c>
      <c r="V42" s="119">
        <f>'2022'!AP342</f>
        <v>0</v>
      </c>
      <c r="W42" s="119">
        <f>'2022'!AS342</f>
        <v>19</v>
      </c>
      <c r="X42" s="119">
        <f>'2022'!AT342</f>
        <v>0</v>
      </c>
      <c r="Y42" s="119">
        <f>'2022'!AW342</f>
      </c>
      <c r="Z42" s="119">
        <f>'2022'!AX342</f>
        <v>0</v>
      </c>
      <c r="AA42" s="119"/>
      <c r="AB42" s="119">
        <f>'2022'!BA342</f>
      </c>
      <c r="AC42" s="119">
        <f>'2022'!BB342</f>
      </c>
      <c r="AD42" s="119"/>
      <c r="AE42" s="119">
        <f>'2022'!BE342</f>
        <v>0</v>
      </c>
      <c r="AF42" s="119">
        <f t="shared" si="0"/>
        <v>0</v>
      </c>
    </row>
    <row r="43" ht="15.75" customHeight="1" spans="1:32" x14ac:dyDescent="0.25">
      <c r="A43" s="21"/>
      <c r="B43" s="115">
        <v>39</v>
      </c>
      <c r="C43" s="116">
        <v>4</v>
      </c>
      <c r="D43" s="117" t="s">
        <v>169</v>
      </c>
      <c r="E43" s="119">
        <f>'2022'!I351</f>
        <v>1170</v>
      </c>
      <c r="F43" s="119">
        <f>'2022'!J351</f>
        <v>77</v>
      </c>
      <c r="G43" s="119">
        <f>'2022'!M351</f>
        <v>1170</v>
      </c>
      <c r="H43" s="119">
        <f>'2022'!N351</f>
        <v>0</v>
      </c>
      <c r="I43" s="119">
        <f>'2022'!Q351</f>
        <v>1170</v>
      </c>
      <c r="J43" s="119">
        <f>'2022'!R351</f>
        <v>0</v>
      </c>
      <c r="K43" s="119">
        <f>'2022'!U351</f>
        <v>1170</v>
      </c>
      <c r="L43" s="119">
        <f>'2022'!V351</f>
        <v>0</v>
      </c>
      <c r="M43" s="119">
        <f>'2022'!Y351</f>
        <v>1838</v>
      </c>
      <c r="N43" s="119">
        <f>'2022'!Z351</f>
        <v>668</v>
      </c>
      <c r="O43" s="119">
        <f>'2022'!AC351</f>
        <v>2640</v>
      </c>
      <c r="P43" s="119">
        <f>'2022'!AD351</f>
        <v>802</v>
      </c>
      <c r="Q43" s="119">
        <f>'2022'!AG351</f>
        <v>3391</v>
      </c>
      <c r="R43" s="119">
        <f>'2022'!AH351</f>
        <v>793.056</v>
      </c>
      <c r="S43" s="119">
        <f>'2022'!AK351</f>
        <v>4330</v>
      </c>
      <c r="T43" s="119">
        <f>'2022'!AL351</f>
        <v>965.292</v>
      </c>
      <c r="U43" s="119">
        <f>'2022'!AO351</f>
        <v>5544</v>
      </c>
      <c r="V43" s="119">
        <f>'2022'!AP351</f>
        <v>1254.062</v>
      </c>
      <c r="W43" s="119">
        <f>'2022'!AS351</f>
        <v>5718</v>
      </c>
      <c r="X43" s="119">
        <f>'2022'!AT351</f>
        <v>182.7</v>
      </c>
      <c r="Y43" s="119">
        <f>'2022'!AW351</f>
      </c>
      <c r="Z43" s="119">
        <f>'2022'!AX351</f>
        <v>0</v>
      </c>
      <c r="AA43" s="119"/>
      <c r="AB43" s="119">
        <f>'2022'!BA351</f>
      </c>
      <c r="AC43" s="119">
        <f>'2022'!BB351</f>
      </c>
      <c r="AD43" s="119"/>
      <c r="AE43" s="119">
        <f>'2022'!BE351</f>
        <v>4742.11</v>
      </c>
      <c r="AF43" s="119">
        <f t="shared" si="0"/>
        <v>0</v>
      </c>
    </row>
    <row r="44" ht="15.75" customHeight="1" spans="1:32" x14ac:dyDescent="0.25">
      <c r="A44" s="114" t="s">
        <v>173</v>
      </c>
      <c r="B44" s="115">
        <v>40</v>
      </c>
      <c r="C44" s="115">
        <v>4.92</v>
      </c>
      <c r="D44" s="117" t="s">
        <v>174</v>
      </c>
      <c r="E44" s="119">
        <f>'2022'!I360</f>
        <v>42357</v>
      </c>
      <c r="F44" s="119">
        <f>'2022'!J360</f>
        <v>1520</v>
      </c>
      <c r="G44" s="119">
        <f>'2022'!M360</f>
        <v>44356</v>
      </c>
      <c r="H44" s="119">
        <f>'2022'!N360</f>
        <v>1999</v>
      </c>
      <c r="I44" s="119">
        <f>'2022'!Q360</f>
        <v>45731</v>
      </c>
      <c r="J44" s="119">
        <f>'2022'!R360</f>
        <v>1375</v>
      </c>
      <c r="K44" s="119">
        <f>'2022'!U360</f>
        <v>47122</v>
      </c>
      <c r="L44" s="119">
        <f>'2022'!V360</f>
        <v>1391</v>
      </c>
      <c r="M44" s="119">
        <f>'2022'!Y360</f>
        <v>47681</v>
      </c>
      <c r="N44" s="119">
        <f>'2022'!Z360</f>
        <v>559</v>
      </c>
      <c r="O44" s="119">
        <f>'2022'!AC360</f>
        <v>48011</v>
      </c>
      <c r="P44" s="119">
        <f>'2022'!AD360</f>
        <v>330</v>
      </c>
      <c r="Q44" s="119">
        <f>'2022'!AG360</f>
        <v>48205</v>
      </c>
      <c r="R44" s="119">
        <f>'2022'!AH360</f>
        <v>204.864</v>
      </c>
      <c r="S44" s="119">
        <f>'2022'!AK360</f>
        <v>48531</v>
      </c>
      <c r="T44" s="119">
        <f>'2022'!AL360</f>
        <v>335.128</v>
      </c>
      <c r="U44" s="119">
        <f>'2022'!AO360</f>
        <v>48912</v>
      </c>
      <c r="V44" s="119">
        <f>'2022'!AP360</f>
        <v>393.573</v>
      </c>
      <c r="W44" s="119">
        <f>'2022'!AS360</f>
        <v>49469</v>
      </c>
      <c r="X44" s="119">
        <f>'2022'!AT360</f>
        <v>584.85</v>
      </c>
      <c r="Y44" s="119">
        <f>'2022'!AW360</f>
      </c>
      <c r="Z44" s="119">
        <f>'2022'!AX360</f>
        <v>0</v>
      </c>
      <c r="AA44" s="119"/>
      <c r="AB44" s="119">
        <f>'2022'!BA360</f>
      </c>
      <c r="AC44" s="119">
        <f>'2022'!BB360</f>
      </c>
      <c r="AD44" s="119"/>
      <c r="AE44" s="119">
        <f>'2022'!BE360</f>
        <v>8692.415</v>
      </c>
      <c r="AF44" s="119">
        <f t="shared" si="0"/>
        <v>0</v>
      </c>
    </row>
    <row r="45" ht="15.75" customHeight="1" spans="1:32" x14ac:dyDescent="0.25">
      <c r="A45" s="14"/>
      <c r="B45" s="115">
        <v>41</v>
      </c>
      <c r="C45" s="115">
        <v>4.87</v>
      </c>
      <c r="D45" s="117" t="s">
        <v>177</v>
      </c>
      <c r="E45" s="119">
        <f>'2022'!I369</f>
        <v>300</v>
      </c>
      <c r="F45" s="119">
        <f>'2022'!J369</f>
        <v>0</v>
      </c>
      <c r="G45" s="119">
        <f>'2022'!M369</f>
        <v>300</v>
      </c>
      <c r="H45" s="119">
        <f>'2022'!N369</f>
        <v>0</v>
      </c>
      <c r="I45" s="119">
        <f>'2022'!Q369</f>
        <v>300</v>
      </c>
      <c r="J45" s="119">
        <f>'2022'!R369</f>
        <v>0</v>
      </c>
      <c r="K45" s="119">
        <f>'2022'!U369</f>
        <v>300</v>
      </c>
      <c r="L45" s="119">
        <f>'2022'!V369</f>
        <v>0</v>
      </c>
      <c r="M45" s="119">
        <f>'2022'!Y369</f>
        <v>300</v>
      </c>
      <c r="N45" s="119">
        <f>'2022'!Z369</f>
        <v>0</v>
      </c>
      <c r="O45" s="119">
        <f>'2022'!AC369</f>
        <v>300</v>
      </c>
      <c r="P45" s="119">
        <f>'2022'!AD369</f>
        <v>0</v>
      </c>
      <c r="Q45" s="119">
        <f>'2022'!AG369</f>
        <v>300</v>
      </c>
      <c r="R45" s="119">
        <f>'2022'!AH369</f>
        <v>0</v>
      </c>
      <c r="S45" s="119">
        <f>'2022'!AK369</f>
        <v>300</v>
      </c>
      <c r="T45" s="119">
        <f>'2022'!AL369</f>
        <v>0</v>
      </c>
      <c r="U45" s="119">
        <f>'2022'!AO369</f>
        <v>300</v>
      </c>
      <c r="V45" s="119">
        <f>'2022'!AP369</f>
        <v>0</v>
      </c>
      <c r="W45" s="119">
        <f>'2022'!AS369</f>
        <v>300</v>
      </c>
      <c r="X45" s="119">
        <f>'2022'!AT369</f>
        <v>0</v>
      </c>
      <c r="Y45" s="119">
        <f>'2022'!AW369</f>
      </c>
      <c r="Z45" s="119">
        <f>'2022'!AX369</f>
        <v>0</v>
      </c>
      <c r="AA45" s="119"/>
      <c r="AB45" s="119">
        <f>'2022'!BA369</f>
      </c>
      <c r="AC45" s="119">
        <f>'2022'!BB369</f>
      </c>
      <c r="AD45" s="119"/>
      <c r="AE45" s="119">
        <f>'2022'!BE369</f>
        <v>0</v>
      </c>
      <c r="AF45" s="119">
        <f t="shared" si="0"/>
        <v>0</v>
      </c>
    </row>
    <row r="46" ht="15.75" customHeight="1" spans="1:32" x14ac:dyDescent="0.25">
      <c r="A46" s="14"/>
      <c r="B46" s="115">
        <v>42</v>
      </c>
      <c r="C46" s="116">
        <v>4.9</v>
      </c>
      <c r="D46" s="2" t="s">
        <v>181</v>
      </c>
      <c r="E46" s="119">
        <f>'2022'!I378</f>
        <v>26347</v>
      </c>
      <c r="F46" s="119">
        <f>'2022'!J378</f>
        <v>2652</v>
      </c>
      <c r="G46" s="119">
        <f>'2022'!M378</f>
        <v>28992</v>
      </c>
      <c r="H46" s="119">
        <f>'2022'!N378</f>
        <v>2645</v>
      </c>
      <c r="I46" s="119">
        <f>'2022'!Q378</f>
        <v>30863</v>
      </c>
      <c r="J46" s="119">
        <f>'2022'!R378</f>
        <v>1871</v>
      </c>
      <c r="K46" s="119">
        <f>'2022'!U378</f>
        <v>32194</v>
      </c>
      <c r="L46" s="119">
        <f>'2022'!V378</f>
        <v>1331</v>
      </c>
      <c r="M46" s="119">
        <f>'2022'!Y378</f>
        <v>32548</v>
      </c>
      <c r="N46" s="119">
        <f>'2022'!Z378</f>
        <v>354</v>
      </c>
      <c r="O46" s="119">
        <f>'2022'!AC378</f>
        <v>32743</v>
      </c>
      <c r="P46" s="119">
        <f>'2022'!AD378</f>
        <v>195</v>
      </c>
      <c r="Q46" s="119">
        <f>'2022'!AG378</f>
        <v>32882</v>
      </c>
      <c r="R46" s="119">
        <f>'2022'!AH378</f>
        <v>146.784</v>
      </c>
      <c r="S46" s="119">
        <f>'2022'!AK378</f>
        <v>33048</v>
      </c>
      <c r="T46" s="119">
        <f>'2022'!AL378</f>
        <v>170.648</v>
      </c>
      <c r="U46" s="119">
        <f>'2022'!AO378</f>
        <v>33279</v>
      </c>
      <c r="V46" s="119">
        <f>'2022'!AP378</f>
        <v>238.623</v>
      </c>
      <c r="W46" s="119">
        <f>'2022'!AS378</f>
        <v>34473</v>
      </c>
      <c r="X46" s="119">
        <f>'2022'!AT378</f>
        <v>1253.7</v>
      </c>
      <c r="Y46" s="119">
        <f>'2022'!AW378</f>
      </c>
      <c r="Z46" s="119">
        <f>'2022'!AX378</f>
        <v>0</v>
      </c>
      <c r="AA46" s="119"/>
      <c r="AB46" s="119">
        <f>'2022'!BA378</f>
      </c>
      <c r="AC46" s="119">
        <f>'2022'!BB378</f>
      </c>
      <c r="AD46" s="119"/>
      <c r="AE46" s="119">
        <f>'2022'!BE378</f>
        <v>10857.755</v>
      </c>
      <c r="AF46" s="119">
        <f t="shared" si="0"/>
        <v>0</v>
      </c>
    </row>
    <row r="47" ht="15.75" customHeight="1" spans="1:32" x14ac:dyDescent="0.25">
      <c r="A47" s="14"/>
      <c r="B47" s="115">
        <v>43</v>
      </c>
      <c r="C47" s="115">
        <v>4.96</v>
      </c>
      <c r="D47" s="117" t="s">
        <v>185</v>
      </c>
      <c r="E47" s="119">
        <f>'2022'!I387</f>
        <v>2170</v>
      </c>
      <c r="F47" s="119">
        <f>'2022'!J387</f>
        <v>1811</v>
      </c>
      <c r="G47" s="119">
        <f>'2022'!M387</f>
        <v>4199</v>
      </c>
      <c r="H47" s="119">
        <f>'2022'!N387</f>
        <v>2029</v>
      </c>
      <c r="I47" s="119">
        <f>'2022'!Q387</f>
        <v>5252</v>
      </c>
      <c r="J47" s="119">
        <f>'2022'!R387</f>
        <v>1053</v>
      </c>
      <c r="K47" s="119">
        <f>'2022'!U387</f>
        <v>6252</v>
      </c>
      <c r="L47" s="119">
        <f>'2022'!V387</f>
        <v>1000</v>
      </c>
      <c r="M47" s="119">
        <f>'2022'!Y387</f>
        <v>6719</v>
      </c>
      <c r="N47" s="119">
        <f>'2022'!Z387</f>
        <v>467</v>
      </c>
      <c r="O47" s="119">
        <f>'2022'!AC387</f>
        <v>7052</v>
      </c>
      <c r="P47" s="119">
        <f>'2022'!AD387</f>
        <v>333</v>
      </c>
      <c r="Q47" s="119">
        <f>'2022'!AG387</f>
        <v>7330</v>
      </c>
      <c r="R47" s="119">
        <f>'2022'!AH387</f>
        <v>293.568</v>
      </c>
      <c r="S47" s="119">
        <f>'2022'!AK387</f>
        <v>7540</v>
      </c>
      <c r="T47" s="119">
        <f>'2022'!AL387</f>
        <v>215.88</v>
      </c>
      <c r="U47" s="119">
        <f>'2022'!AO387</f>
        <v>7648</v>
      </c>
      <c r="V47" s="119">
        <f>'2022'!AP387</f>
        <v>111.564</v>
      </c>
      <c r="W47" s="119">
        <f>'2022'!AS387</f>
        <v>8217</v>
      </c>
      <c r="X47" s="119">
        <f>'2022'!AT387</f>
        <v>597.45</v>
      </c>
      <c r="Y47" s="119">
        <f>'2022'!AW387</f>
      </c>
      <c r="Z47" s="119">
        <f>'2022'!AX387</f>
        <v>0</v>
      </c>
      <c r="AA47" s="119"/>
      <c r="AB47" s="119">
        <f>'2022'!BA387</f>
      </c>
      <c r="AC47" s="119">
        <f>'2022'!BB387</f>
      </c>
      <c r="AD47" s="119"/>
      <c r="AE47" s="119">
        <f>'2022'!BE387</f>
        <v>7911.462</v>
      </c>
      <c r="AF47" s="119">
        <f t="shared" si="0"/>
        <v>0</v>
      </c>
    </row>
    <row r="48" ht="15.75" customHeight="1" spans="1:32" x14ac:dyDescent="0.25">
      <c r="A48" s="14"/>
      <c r="B48" s="115">
        <v>44</v>
      </c>
      <c r="C48" s="115">
        <v>4.01</v>
      </c>
      <c r="D48" s="15" t="s">
        <v>412</v>
      </c>
      <c r="E48" s="119">
        <f>'2022'!I396</f>
        <v>34</v>
      </c>
      <c r="F48" s="119">
        <f>'2022'!J396</f>
        <v>0</v>
      </c>
      <c r="G48" s="119">
        <f>'2022'!M396</f>
        <v>34</v>
      </c>
      <c r="H48" s="119">
        <f>'2022'!N396</f>
        <v>0</v>
      </c>
      <c r="I48" s="119">
        <f>'2022'!Q396</f>
        <v>34</v>
      </c>
      <c r="J48" s="119">
        <f>'2022'!R396</f>
        <v>0</v>
      </c>
      <c r="K48" s="119">
        <f>'2022'!U396</f>
        <v>34</v>
      </c>
      <c r="L48" s="119">
        <f>'2022'!V396</f>
        <v>0</v>
      </c>
      <c r="M48" s="119">
        <f>'2022'!Y396</f>
        <v>36</v>
      </c>
      <c r="N48" s="119">
        <f>'2022'!Z396</f>
        <v>2</v>
      </c>
      <c r="O48" s="119">
        <f>'2022'!AC396</f>
        <v>43</v>
      </c>
      <c r="P48" s="119">
        <f>'2022'!AD396</f>
        <v>7</v>
      </c>
      <c r="Q48" s="119">
        <f>'2022'!AG396</f>
        <v>43</v>
      </c>
      <c r="R48" s="119">
        <f>'2022'!AH396</f>
        <v>0</v>
      </c>
      <c r="S48" s="119">
        <f>'2022'!AK396</f>
        <v>44</v>
      </c>
      <c r="T48" s="119">
        <f>'2022'!AL396</f>
        <v>1.028</v>
      </c>
      <c r="U48" s="119">
        <f>'2022'!AO396</f>
        <v>45</v>
      </c>
      <c r="V48" s="119">
        <f>'2022'!AP396</f>
        <v>1.033</v>
      </c>
      <c r="W48" s="119">
        <f>'2022'!AS396</f>
        <v>47</v>
      </c>
      <c r="X48" s="119">
        <f>'2022'!AT396</f>
        <v>2.1</v>
      </c>
      <c r="Y48" s="119">
        <f>'2022'!AW396</f>
      </c>
      <c r="Z48" s="119">
        <f>'2022'!AX396</f>
        <v>0</v>
      </c>
      <c r="AA48" s="119"/>
      <c r="AB48" s="119">
        <f>'2022'!BA396</f>
      </c>
      <c r="AC48" s="119">
        <f>'2022'!BB396</f>
      </c>
      <c r="AD48" s="119"/>
      <c r="AE48" s="119">
        <f>'2022'!BE396</f>
        <v>13.161</v>
      </c>
      <c r="AF48" s="119">
        <f t="shared" si="0"/>
        <v>0</v>
      </c>
    </row>
    <row r="49" ht="15.75" customHeight="1" spans="1:32" x14ac:dyDescent="0.25">
      <c r="A49" s="14"/>
      <c r="B49" s="115">
        <v>45</v>
      </c>
      <c r="C49" s="115">
        <v>5.04</v>
      </c>
      <c r="D49" s="117" t="s">
        <v>189</v>
      </c>
      <c r="E49" s="119">
        <f>'2022'!I405</f>
        <v>13</v>
      </c>
      <c r="F49" s="119">
        <f>'2022'!J405</f>
        <v>0</v>
      </c>
      <c r="G49" s="119">
        <f>'2022'!M405</f>
        <v>13</v>
      </c>
      <c r="H49" s="119">
        <f>'2022'!N405</f>
        <v>0</v>
      </c>
      <c r="I49" s="119">
        <f>'2022'!Q405</f>
        <v>13</v>
      </c>
      <c r="J49" s="119">
        <f>'2022'!R405</f>
        <v>0</v>
      </c>
      <c r="K49" s="119">
        <f>'2022'!U405</f>
        <v>13</v>
      </c>
      <c r="L49" s="119">
        <f>'2022'!V405</f>
        <v>0</v>
      </c>
      <c r="M49" s="119">
        <f>'2022'!Y405</f>
        <v>13</v>
      </c>
      <c r="N49" s="119">
        <f>'2022'!Z405</f>
        <v>0</v>
      </c>
      <c r="O49" s="119">
        <f>'2022'!AC405</f>
        <v>13</v>
      </c>
      <c r="P49" s="119">
        <f>'2022'!AD405</f>
        <v>0</v>
      </c>
      <c r="Q49" s="119">
        <f>'2022'!AG405</f>
        <v>13</v>
      </c>
      <c r="R49" s="119">
        <f>'2022'!AH405</f>
        <v>0</v>
      </c>
      <c r="S49" s="119">
        <f>'2022'!AK405</f>
        <v>13</v>
      </c>
      <c r="T49" s="119">
        <f>'2022'!AL405</f>
        <v>0</v>
      </c>
      <c r="U49" s="119">
        <f>'2022'!AO405</f>
        <v>13</v>
      </c>
      <c r="V49" s="119">
        <f>'2022'!AP405</f>
        <v>0</v>
      </c>
      <c r="W49" s="119">
        <f>'2022'!AS405</f>
        <v>13</v>
      </c>
      <c r="X49" s="119">
        <f>'2022'!AT405</f>
        <v>0</v>
      </c>
      <c r="Y49" s="119">
        <f>'2022'!AW405</f>
      </c>
      <c r="Z49" s="119">
        <f>'2022'!AX405</f>
        <v>0</v>
      </c>
      <c r="AA49" s="119"/>
      <c r="AB49" s="119">
        <f>'2022'!BA405</f>
      </c>
      <c r="AC49" s="119">
        <f>'2022'!BB405</f>
      </c>
      <c r="AD49" s="119"/>
      <c r="AE49" s="119">
        <f>'2022'!BE405</f>
        <v>0</v>
      </c>
      <c r="AF49" s="119">
        <f t="shared" si="0"/>
        <v>0</v>
      </c>
    </row>
    <row r="50" ht="15.75" customHeight="1" spans="1:32" x14ac:dyDescent="0.25">
      <c r="A50" s="14"/>
      <c r="B50" s="115">
        <v>46</v>
      </c>
      <c r="C50" s="116">
        <v>4</v>
      </c>
      <c r="D50" s="117" t="s">
        <v>188</v>
      </c>
      <c r="E50" s="119">
        <f>'2022'!I414</f>
        <v>4198</v>
      </c>
      <c r="F50" s="119">
        <f>'2022'!J414</f>
        <v>0</v>
      </c>
      <c r="G50" s="119">
        <f>'2022'!M414</f>
        <v>4198</v>
      </c>
      <c r="H50" s="119">
        <f>'2022'!N414</f>
        <v>0</v>
      </c>
      <c r="I50" s="119">
        <f>'2022'!Q414</f>
        <v>4198</v>
      </c>
      <c r="J50" s="119">
        <f>'2022'!R414</f>
        <v>0</v>
      </c>
      <c r="K50" s="119">
        <f>'2022'!U414</f>
        <v>4198</v>
      </c>
      <c r="L50" s="119">
        <f>'2022'!V414</f>
        <v>0</v>
      </c>
      <c r="M50" s="119">
        <f>'2022'!Y414</f>
        <v>4336</v>
      </c>
      <c r="N50" s="119">
        <f>'2022'!Z414</f>
        <v>138</v>
      </c>
      <c r="O50" s="119">
        <f>'2022'!AC414</f>
        <v>4454</v>
      </c>
      <c r="P50" s="119">
        <f>'2022'!AD414</f>
        <v>118</v>
      </c>
      <c r="Q50" s="119">
        <f>'2022'!AG414</f>
        <v>4563</v>
      </c>
      <c r="R50" s="119">
        <f>'2022'!AH414</f>
        <v>115.104</v>
      </c>
      <c r="S50" s="119">
        <f>'2022'!AK414</f>
        <v>4680</v>
      </c>
      <c r="T50" s="119">
        <f>'2022'!AL414</f>
        <v>120.276</v>
      </c>
      <c r="U50" s="119">
        <f>'2022'!AO414</f>
        <v>4785</v>
      </c>
      <c r="V50" s="119">
        <f>'2022'!AP414</f>
        <v>108.465</v>
      </c>
      <c r="W50" s="119">
        <f>'2022'!AS414</f>
        <v>4854</v>
      </c>
      <c r="X50" s="119">
        <f>'2022'!AT414</f>
        <v>72.45</v>
      </c>
      <c r="Y50" s="119">
        <f>'2022'!AW414</f>
      </c>
      <c r="Z50" s="119">
        <f>'2022'!AX414</f>
        <v>0</v>
      </c>
      <c r="AA50" s="119"/>
      <c r="AB50" s="119">
        <f>'2022'!BA414</f>
      </c>
      <c r="AC50" s="119">
        <f>'2022'!BB414</f>
      </c>
      <c r="AD50" s="119"/>
      <c r="AE50" s="119">
        <f>'2022'!BE414</f>
        <v>672.295</v>
      </c>
      <c r="AF50" s="119">
        <f t="shared" si="0"/>
        <v>0</v>
      </c>
    </row>
    <row r="51" ht="15.75" customHeight="1" spans="1:32" x14ac:dyDescent="0.25">
      <c r="A51" s="14"/>
      <c r="B51" s="115">
        <v>47</v>
      </c>
      <c r="C51" s="116">
        <v>5</v>
      </c>
      <c r="D51" s="117" t="s">
        <v>192</v>
      </c>
      <c r="E51" s="119">
        <f>'2022'!I423</f>
        <v>165</v>
      </c>
      <c r="F51" s="119">
        <f>'2022'!J423</f>
        <v>0</v>
      </c>
      <c r="G51" s="119">
        <f>'2022'!M423</f>
        <v>165</v>
      </c>
      <c r="H51" s="119">
        <f>'2022'!N423</f>
        <v>0</v>
      </c>
      <c r="I51" s="119">
        <f>'2022'!Q423</f>
        <v>165</v>
      </c>
      <c r="J51" s="119">
        <f>'2022'!R423</f>
        <v>0</v>
      </c>
      <c r="K51" s="119">
        <f>'2022'!U423</f>
        <v>165</v>
      </c>
      <c r="L51" s="119">
        <f>'2022'!V423</f>
        <v>0</v>
      </c>
      <c r="M51" s="119">
        <f>'2022'!Y423</f>
        <v>165</v>
      </c>
      <c r="N51" s="119">
        <f>'2022'!Z423</f>
        <v>0</v>
      </c>
      <c r="O51" s="119">
        <f>'2022'!AC423</f>
        <v>165</v>
      </c>
      <c r="P51" s="119">
        <f>'2022'!AD423</f>
        <v>0</v>
      </c>
      <c r="Q51" s="119">
        <f>'2022'!AG423</f>
        <v>165</v>
      </c>
      <c r="R51" s="119">
        <f>'2022'!AH423</f>
        <v>0</v>
      </c>
      <c r="S51" s="119">
        <f>'2022'!AK423</f>
        <v>165</v>
      </c>
      <c r="T51" s="119">
        <f>'2022'!AL423</f>
        <v>0</v>
      </c>
      <c r="U51" s="119">
        <f>'2022'!AO423</f>
        <v>165</v>
      </c>
      <c r="V51" s="119">
        <f>'2022'!AP423</f>
        <v>0</v>
      </c>
      <c r="W51" s="119">
        <f>'2022'!AS423</f>
        <v>165</v>
      </c>
      <c r="X51" s="119">
        <f>'2022'!AT423</f>
        <v>0</v>
      </c>
      <c r="Y51" s="119">
        <f>'2022'!AW423</f>
      </c>
      <c r="Z51" s="119">
        <f>'2022'!AX423</f>
        <v>0</v>
      </c>
      <c r="AA51" s="119"/>
      <c r="AB51" s="119">
        <f>'2022'!BA423</f>
      </c>
      <c r="AC51" s="119">
        <f>'2022'!BB423</f>
      </c>
      <c r="AD51" s="119"/>
      <c r="AE51" s="119">
        <f>'2022'!BE423</f>
        <v>0</v>
      </c>
      <c r="AF51" s="119">
        <f t="shared" si="0"/>
        <v>0</v>
      </c>
    </row>
    <row r="52" ht="15.75" customHeight="1" spans="1:32" x14ac:dyDescent="0.25">
      <c r="A52" s="14"/>
      <c r="B52" s="115">
        <v>48</v>
      </c>
      <c r="C52" s="115">
        <v>5.93</v>
      </c>
      <c r="D52" s="117" t="s">
        <v>97</v>
      </c>
      <c r="E52" s="119">
        <f>'2022'!I432</f>
      </c>
      <c r="F52" s="119">
        <f>'2022'!J432</f>
        <v>0</v>
      </c>
      <c r="G52" s="119">
        <f>'2022'!M432</f>
      </c>
      <c r="H52" s="119">
        <f>'2022'!N432</f>
        <v>0</v>
      </c>
      <c r="I52" s="119">
        <f>'2022'!Q432</f>
      </c>
      <c r="J52" s="119">
        <f>'2022'!R432</f>
        <v>0</v>
      </c>
      <c r="K52" s="119">
        <f>'2022'!U432</f>
      </c>
      <c r="L52" s="119">
        <f>'2022'!V432</f>
        <v>0</v>
      </c>
      <c r="M52" s="119">
        <f>'2022'!Y432</f>
      </c>
      <c r="N52" s="119">
        <f>'2022'!Z432</f>
        <v>0</v>
      </c>
      <c r="O52" s="119">
        <f>'2022'!AC432</f>
      </c>
      <c r="P52" s="119">
        <f>'2022'!AD432</f>
        <v>0</v>
      </c>
      <c r="Q52" s="119">
        <f>'2022'!AG432</f>
      </c>
      <c r="R52" s="119">
        <f>'2022'!AH432</f>
        <v>0</v>
      </c>
      <c r="S52" s="119">
        <f>'2022'!AK432</f>
      </c>
      <c r="T52" s="119">
        <f>'2022'!AL432</f>
        <v>0</v>
      </c>
      <c r="U52" s="119">
        <f>'2022'!AO432</f>
      </c>
      <c r="V52" s="119">
        <f>'2022'!AP432</f>
        <v>0</v>
      </c>
      <c r="W52" s="119">
        <f>'2022'!AS432</f>
      </c>
      <c r="X52" s="119">
        <f>'2022'!AT432</f>
        <v>0</v>
      </c>
      <c r="Y52" s="119">
        <f>'2022'!AW432</f>
      </c>
      <c r="Z52" s="119">
        <f>'2022'!AX432</f>
        <v>0</v>
      </c>
      <c r="AA52" s="119"/>
      <c r="AB52" s="119">
        <f>'2022'!BA432</f>
      </c>
      <c r="AC52" s="119">
        <f>'2022'!BB432</f>
      </c>
      <c r="AD52" s="119"/>
      <c r="AE52" s="119">
        <f>'2022'!BE432</f>
        <v>0</v>
      </c>
      <c r="AF52" s="119">
        <f t="shared" si="0"/>
        <v>0</v>
      </c>
    </row>
    <row r="53" ht="15.75" customHeight="1" spans="1:32" x14ac:dyDescent="0.25">
      <c r="A53" s="14"/>
      <c r="B53" s="115">
        <v>49</v>
      </c>
      <c r="C53" s="115">
        <v>5.03</v>
      </c>
      <c r="D53" s="117" t="s">
        <v>197</v>
      </c>
      <c r="E53" s="119">
        <f>'2022'!I441</f>
      </c>
      <c r="F53" s="119">
        <f>'2022'!J441</f>
        <v>0</v>
      </c>
      <c r="G53" s="119">
        <f>'2022'!M441</f>
      </c>
      <c r="H53" s="119">
        <f>'2022'!N441</f>
        <v>0</v>
      </c>
      <c r="I53" s="119">
        <f>'2022'!Q441</f>
      </c>
      <c r="J53" s="119">
        <f>'2022'!R441</f>
        <v>0</v>
      </c>
      <c r="K53" s="119">
        <f>'2022'!U441</f>
      </c>
      <c r="L53" s="119">
        <f>'2022'!V441</f>
        <v>0</v>
      </c>
      <c r="M53" s="119">
        <f>'2022'!Y441</f>
      </c>
      <c r="N53" s="119">
        <f>'2022'!Z441</f>
        <v>0</v>
      </c>
      <c r="O53" s="119">
        <f>'2022'!AC441</f>
      </c>
      <c r="P53" s="119">
        <f>'2022'!AD441</f>
        <v>0</v>
      </c>
      <c r="Q53" s="119">
        <f>'2022'!AG441</f>
      </c>
      <c r="R53" s="119">
        <f>'2022'!AH441</f>
        <v>0</v>
      </c>
      <c r="S53" s="119">
        <f>'2022'!AK441</f>
      </c>
      <c r="T53" s="119">
        <f>'2022'!AL441</f>
        <v>0</v>
      </c>
      <c r="U53" s="119">
        <f>'2022'!AO441</f>
      </c>
      <c r="V53" s="119">
        <f>'2022'!AP441</f>
        <v>0</v>
      </c>
      <c r="W53" s="119">
        <f>'2022'!AS441</f>
      </c>
      <c r="X53" s="119">
        <f>'2022'!AT441</f>
        <v>0</v>
      </c>
      <c r="Y53" s="119">
        <f>'2022'!AW441</f>
      </c>
      <c r="Z53" s="119">
        <f>'2022'!AX441</f>
        <v>0</v>
      </c>
      <c r="AA53" s="119"/>
      <c r="AB53" s="119">
        <f>'2022'!BA441</f>
      </c>
      <c r="AC53" s="119">
        <f>'2022'!BB441</f>
      </c>
      <c r="AD53" s="119"/>
      <c r="AE53" s="119">
        <f>'2022'!BE441</f>
        <v>0</v>
      </c>
      <c r="AF53" s="119">
        <f t="shared" si="0"/>
        <v>0</v>
      </c>
    </row>
    <row r="54" ht="15.75" customHeight="1" spans="1:32" x14ac:dyDescent="0.25">
      <c r="A54" s="14"/>
      <c r="B54" s="115">
        <v>50</v>
      </c>
      <c r="C54" s="115">
        <v>6.05</v>
      </c>
      <c r="D54" s="117" t="s">
        <v>200</v>
      </c>
      <c r="E54" s="119">
        <f>'2022'!I450</f>
        <v>10471</v>
      </c>
      <c r="F54" s="119">
        <f>'2022'!J450</f>
        <v>563</v>
      </c>
      <c r="G54" s="119">
        <f>'2022'!M450</f>
        <v>10937</v>
      </c>
      <c r="H54" s="119">
        <f>'2022'!N450</f>
        <v>466</v>
      </c>
      <c r="I54" s="119">
        <f>'2022'!Q450</f>
        <v>11401</v>
      </c>
      <c r="J54" s="119">
        <f>'2022'!R450</f>
        <v>464</v>
      </c>
      <c r="K54" s="119">
        <f>'2022'!U450</f>
        <v>11870</v>
      </c>
      <c r="L54" s="119">
        <f>'2022'!V450</f>
        <v>469</v>
      </c>
      <c r="M54" s="119">
        <f>'2022'!Y450</f>
        <v>12263</v>
      </c>
      <c r="N54" s="119">
        <f>'2022'!Z450</f>
        <v>393</v>
      </c>
      <c r="O54" s="119">
        <f>'2022'!AC450</f>
        <v>12733</v>
      </c>
      <c r="P54" s="119">
        <f>'2022'!AD450</f>
        <v>470</v>
      </c>
      <c r="Q54" s="119">
        <f>'2022'!AG450</f>
        <v>13123</v>
      </c>
      <c r="R54" s="119">
        <f>'2022'!AH450</f>
        <v>411.84</v>
      </c>
      <c r="S54" s="119">
        <f>'2022'!AK450</f>
        <v>13531</v>
      </c>
      <c r="T54" s="119">
        <f>'2022'!AL450</f>
        <v>419.424</v>
      </c>
      <c r="U54" s="119">
        <f>'2022'!AO450</f>
        <v>13965</v>
      </c>
      <c r="V54" s="119">
        <f>'2022'!AP450</f>
        <v>448.322</v>
      </c>
      <c r="W54" s="119">
        <f>'2022'!AS450</f>
        <v>14504</v>
      </c>
      <c r="X54" s="119">
        <f>'2022'!AT450</f>
        <v>565.95</v>
      </c>
      <c r="Y54" s="119">
        <f>'2022'!AW450</f>
      </c>
      <c r="Z54" s="119">
        <f>'2022'!AX450</f>
        <v>0</v>
      </c>
      <c r="AA54" s="119"/>
      <c r="AB54" s="119">
        <f>'2022'!BA450</f>
      </c>
      <c r="AC54" s="119">
        <f>'2022'!BB450</f>
      </c>
      <c r="AD54" s="119"/>
      <c r="AE54" s="119">
        <f>'2022'!BE450</f>
        <v>4670.536</v>
      </c>
      <c r="AF54" s="119">
        <f t="shared" si="0"/>
        <v>0</v>
      </c>
    </row>
    <row r="55" ht="15.75" customHeight="1" spans="1:32" x14ac:dyDescent="0.25">
      <c r="A55" s="14"/>
      <c r="B55" s="115">
        <v>51</v>
      </c>
      <c r="C55" s="115">
        <v>4.95</v>
      </c>
      <c r="D55" s="117" t="s">
        <v>204</v>
      </c>
      <c r="E55" s="119">
        <f>'2022'!I459</f>
        <v>1968</v>
      </c>
      <c r="F55" s="119">
        <f>'2022'!J459</f>
        <v>0</v>
      </c>
      <c r="G55" s="119">
        <f>'2022'!M459</f>
        <v>1968</v>
      </c>
      <c r="H55" s="119">
        <f>'2022'!N459</f>
        <v>0</v>
      </c>
      <c r="I55" s="119">
        <f>'2022'!Q459</f>
        <v>1968</v>
      </c>
      <c r="J55" s="119">
        <f>'2022'!R459</f>
        <v>0</v>
      </c>
      <c r="K55" s="119">
        <f>'2022'!U459</f>
        <v>2053</v>
      </c>
      <c r="L55" s="119">
        <f>'2022'!V459</f>
        <v>85</v>
      </c>
      <c r="M55" s="119">
        <f>'2022'!Y459</f>
        <v>2217</v>
      </c>
      <c r="N55" s="119">
        <f>'2022'!Z459</f>
        <v>164</v>
      </c>
      <c r="O55" s="119">
        <f>'2022'!AC459</f>
        <v>2864</v>
      </c>
      <c r="P55" s="119">
        <f>'2022'!AD459</f>
        <v>647</v>
      </c>
      <c r="Q55" s="119">
        <f>'2022'!AG459</f>
        <v>3120</v>
      </c>
      <c r="R55" s="119">
        <f>'2022'!AH459</f>
        <v>270.336</v>
      </c>
      <c r="S55" s="119">
        <f>'2022'!AK459</f>
        <v>3690</v>
      </c>
      <c r="T55" s="119">
        <f>'2022'!AL459</f>
        <v>585.96</v>
      </c>
      <c r="U55" s="119">
        <f>'2022'!AO459</f>
        <v>4145</v>
      </c>
      <c r="V55" s="119">
        <f>'2022'!AP459</f>
        <v>470.015</v>
      </c>
      <c r="W55" s="119">
        <f>'2022'!AS459</f>
        <v>4215</v>
      </c>
      <c r="X55" s="119">
        <f>'2022'!AT459</f>
        <v>73.5</v>
      </c>
      <c r="Y55" s="119">
        <f>'2022'!AW459</f>
      </c>
      <c r="Z55" s="119">
        <f>'2022'!AX459</f>
        <v>0</v>
      </c>
      <c r="AA55" s="119"/>
      <c r="AB55" s="119">
        <f>'2022'!BA459</f>
      </c>
      <c r="AC55" s="119">
        <f>'2022'!BB459</f>
      </c>
      <c r="AD55" s="119"/>
      <c r="AE55" s="119">
        <f>'2022'!BE459</f>
        <v>2295.811</v>
      </c>
      <c r="AF55" s="119">
        <f t="shared" si="0"/>
        <v>0</v>
      </c>
    </row>
    <row r="56" ht="15.75" customHeight="1" spans="1:32" x14ac:dyDescent="0.25">
      <c r="A56" s="14"/>
      <c r="B56" s="115">
        <v>52</v>
      </c>
      <c r="C56" s="116">
        <v>5</v>
      </c>
      <c r="D56" s="117" t="s">
        <v>206</v>
      </c>
      <c r="E56" s="119">
        <f>'2022'!I468</f>
        <v>180</v>
      </c>
      <c r="F56" s="119">
        <f>'2022'!J468</f>
        <v>0</v>
      </c>
      <c r="G56" s="119">
        <f>'2022'!M468</f>
        <v>180</v>
      </c>
      <c r="H56" s="119">
        <f>'2022'!N468</f>
        <v>0</v>
      </c>
      <c r="I56" s="119">
        <f>'2022'!Q468</f>
        <v>180</v>
      </c>
      <c r="J56" s="119">
        <f>'2022'!R468</f>
        <v>0</v>
      </c>
      <c r="K56" s="119">
        <f>'2022'!U468</f>
        <v>180</v>
      </c>
      <c r="L56" s="119">
        <f>'2022'!V468</f>
        <v>0</v>
      </c>
      <c r="M56" s="119">
        <f>'2022'!Y468</f>
        <v>189</v>
      </c>
      <c r="N56" s="119">
        <f>'2022'!Z468</f>
        <v>9</v>
      </c>
      <c r="O56" s="119">
        <f>'2022'!AC468</f>
        <v>198</v>
      </c>
      <c r="P56" s="119">
        <f>'2022'!AD468</f>
        <v>9</v>
      </c>
      <c r="Q56" s="119">
        <f>'2022'!AG468</f>
        <v>205</v>
      </c>
      <c r="R56" s="119">
        <f>'2022'!AH468</f>
        <v>7.392</v>
      </c>
      <c r="S56" s="119">
        <f>'2022'!AK468</f>
        <v>211</v>
      </c>
      <c r="T56" s="119">
        <f>'2022'!AL468</f>
        <v>6.168</v>
      </c>
      <c r="U56" s="119">
        <f>'2022'!AO468</f>
        <v>217</v>
      </c>
      <c r="V56" s="119">
        <f>'2022'!AP468</f>
        <v>6.198</v>
      </c>
      <c r="W56" s="119">
        <f>'2022'!AS468</f>
        <v>221</v>
      </c>
      <c r="X56" s="119">
        <f>'2022'!AT468</f>
        <v>4.2</v>
      </c>
      <c r="Y56" s="119">
        <f>'2022'!AW468</f>
      </c>
      <c r="Z56" s="119">
        <f>'2022'!AX468</f>
        <v>0</v>
      </c>
      <c r="AA56" s="119"/>
      <c r="AB56" s="119">
        <f>'2022'!BA468</f>
      </c>
      <c r="AC56" s="119">
        <f>'2022'!BB468</f>
      </c>
      <c r="AD56" s="119"/>
      <c r="AE56" s="119">
        <f>'2022'!BE468</f>
        <v>41.958</v>
      </c>
      <c r="AF56" s="119">
        <f t="shared" si="0"/>
        <v>0</v>
      </c>
    </row>
    <row r="57" ht="15.75" customHeight="1" spans="1:32" x14ac:dyDescent="0.25">
      <c r="A57" s="14"/>
      <c r="B57" s="115">
        <v>53</v>
      </c>
      <c r="C57" s="115">
        <v>5.05</v>
      </c>
      <c r="D57" s="117" t="s">
        <v>210</v>
      </c>
      <c r="E57" s="119">
        <f>'2022'!I477</f>
        <v>27202</v>
      </c>
      <c r="F57" s="119">
        <f>'2022'!J477</f>
        <v>3345</v>
      </c>
      <c r="G57" s="119">
        <f>'2022'!M477</f>
        <v>2250</v>
      </c>
      <c r="H57" s="119">
        <f>'2022'!N477</f>
        <v>2250</v>
      </c>
      <c r="I57" s="119">
        <f>'2022'!Q477</f>
        <v>4895</v>
      </c>
      <c r="J57" s="119">
        <f>'2022'!R477</f>
        <v>2645</v>
      </c>
      <c r="K57" s="119">
        <f>'2022'!U477</f>
        <v>6809</v>
      </c>
      <c r="L57" s="119">
        <f>'2022'!V477</f>
        <v>1914</v>
      </c>
      <c r="M57" s="119">
        <f>'2022'!Y477</f>
        <v>7826</v>
      </c>
      <c r="N57" s="119">
        <f>'2022'!Z477</f>
        <v>1017</v>
      </c>
      <c r="O57" s="119">
        <f>'2022'!AC477</f>
        <v>8381</v>
      </c>
      <c r="P57" s="119">
        <f>'2022'!AD477</f>
        <v>555</v>
      </c>
      <c r="Q57" s="119">
        <f>'2022'!AG477</f>
        <v>8874</v>
      </c>
      <c r="R57" s="119">
        <f>'2022'!AH477</f>
        <v>520.608</v>
      </c>
      <c r="S57" s="119">
        <f>'2022'!AK477</f>
        <v>9534</v>
      </c>
      <c r="T57" s="119">
        <f>'2022'!AL477</f>
        <v>678.48</v>
      </c>
      <c r="U57" s="119">
        <f>'2022'!AO477</f>
        <v>10475</v>
      </c>
      <c r="V57" s="119">
        <f>'2022'!AP477</f>
        <v>972.053</v>
      </c>
      <c r="W57" s="119">
        <f>'2022'!AS477</f>
        <v>12624</v>
      </c>
      <c r="X57" s="119">
        <f>'2022'!AT477</f>
        <v>2256.45</v>
      </c>
      <c r="Y57" s="119">
        <f>'2022'!AW477</f>
      </c>
      <c r="Z57" s="119">
        <f>'2022'!AX477</f>
        <v>0</v>
      </c>
      <c r="AA57" s="119"/>
      <c r="AB57" s="119">
        <f>'2022'!BA477</f>
      </c>
      <c r="AC57" s="119">
        <f>'2022'!BB477</f>
      </c>
      <c r="AD57" s="119"/>
      <c r="AE57" s="119">
        <f>'2022'!BE477</f>
        <v>16153.591</v>
      </c>
      <c r="AF57" s="119">
        <f t="shared" si="0"/>
        <v>0</v>
      </c>
    </row>
    <row r="58" ht="15.75" customHeight="1" spans="1:32" x14ac:dyDescent="0.25">
      <c r="A58" s="14"/>
      <c r="B58" s="115">
        <v>54</v>
      </c>
      <c r="C58" s="115">
        <v>5.54</v>
      </c>
      <c r="D58" s="117" t="s">
        <v>212</v>
      </c>
      <c r="E58" s="119">
        <f>'2022'!I486</f>
        <v>502</v>
      </c>
      <c r="F58" s="119">
        <f>'2022'!J486</f>
        <v>15</v>
      </c>
      <c r="G58" s="119">
        <f>'2022'!M486</f>
        <v>509</v>
      </c>
      <c r="H58" s="119">
        <f>'2022'!N486</f>
        <v>7</v>
      </c>
      <c r="I58" s="119">
        <f>'2022'!Q486</f>
        <v>509</v>
      </c>
      <c r="J58" s="119">
        <f>'2022'!R486</f>
        <v>0</v>
      </c>
      <c r="K58" s="119">
        <f>'2022'!U486</f>
        <v>509</v>
      </c>
      <c r="L58" s="119">
        <f>'2022'!V486</f>
        <v>0</v>
      </c>
      <c r="M58" s="119">
        <f>'2022'!Y486</f>
        <v>533</v>
      </c>
      <c r="N58" s="119">
        <f>'2022'!Z486</f>
        <v>24</v>
      </c>
      <c r="O58" s="119">
        <f>'2022'!AC486</f>
        <v>542</v>
      </c>
      <c r="P58" s="119">
        <f>'2022'!AD486</f>
        <v>9</v>
      </c>
      <c r="Q58" s="119">
        <f>'2022'!AG486</f>
        <v>550</v>
      </c>
      <c r="R58" s="119">
        <f>'2022'!AH486</f>
        <v>8.448</v>
      </c>
      <c r="S58" s="119">
        <f>'2022'!AK486</f>
        <v>554</v>
      </c>
      <c r="T58" s="119">
        <f>'2022'!AL486</f>
        <v>4.112</v>
      </c>
      <c r="U58" s="119">
        <f>'2022'!AO486</f>
        <v>557</v>
      </c>
      <c r="V58" s="119">
        <f>'2022'!AP486</f>
        <v>3.099</v>
      </c>
      <c r="W58" s="119">
        <f>'2022'!AS486</f>
        <v>561</v>
      </c>
      <c r="X58" s="119">
        <f>'2022'!AT486</f>
        <v>4.2</v>
      </c>
      <c r="Y58" s="119">
        <f>'2022'!AW486</f>
      </c>
      <c r="Z58" s="119">
        <f>'2022'!AX486</f>
        <v>0</v>
      </c>
      <c r="AA58" s="119"/>
      <c r="AB58" s="119">
        <f>'2022'!BA486</f>
      </c>
      <c r="AC58" s="119">
        <f>'2022'!BB486</f>
      </c>
      <c r="AD58" s="119"/>
      <c r="AE58" s="119">
        <f>'2022'!BE486</f>
        <v>74.859</v>
      </c>
      <c r="AF58" s="119">
        <f t="shared" si="0"/>
        <v>0</v>
      </c>
    </row>
    <row r="59" ht="15.75" customHeight="1" spans="1:32" x14ac:dyDescent="0.25">
      <c r="A59" s="21"/>
      <c r="B59" s="115">
        <v>55</v>
      </c>
      <c r="C59" s="116">
        <v>5.5</v>
      </c>
      <c r="D59" s="117" t="s">
        <v>214</v>
      </c>
      <c r="E59" s="119">
        <f>'2022'!I495</f>
        <v>617</v>
      </c>
      <c r="F59" s="119">
        <f>'2022'!J495</f>
        <v>0</v>
      </c>
      <c r="G59" s="119">
        <f>'2022'!M495</f>
        <v>617</v>
      </c>
      <c r="H59" s="119">
        <f>'2022'!N495</f>
        <v>0</v>
      </c>
      <c r="I59" s="119">
        <f>'2022'!Q495</f>
        <v>617</v>
      </c>
      <c r="J59" s="119">
        <f>'2022'!R495</f>
        <v>0</v>
      </c>
      <c r="K59" s="119">
        <f>'2022'!U495</f>
        <v>617</v>
      </c>
      <c r="L59" s="119">
        <f>'2022'!V495</f>
        <v>0</v>
      </c>
      <c r="M59" s="119">
        <f>'2022'!Y495</f>
        <v>617</v>
      </c>
      <c r="N59" s="119">
        <f>'2022'!Z495</f>
        <v>0</v>
      </c>
      <c r="O59" s="119">
        <f>'2022'!AC495</f>
        <v>617</v>
      </c>
      <c r="P59" s="119">
        <f>'2022'!AD495</f>
        <v>0</v>
      </c>
      <c r="Q59" s="119">
        <f>'2022'!AG495</f>
        <v>617</v>
      </c>
      <c r="R59" s="119">
        <f>'2022'!AH495</f>
        <v>0</v>
      </c>
      <c r="S59" s="119">
        <f>'2022'!AK495</f>
        <v>617</v>
      </c>
      <c r="T59" s="119">
        <f>'2022'!AL495</f>
        <v>0</v>
      </c>
      <c r="U59" s="119">
        <f>'2022'!AO495</f>
        <v>617</v>
      </c>
      <c r="V59" s="119">
        <f>'2022'!AP495</f>
        <v>0</v>
      </c>
      <c r="W59" s="119">
        <f>'2022'!AS495</f>
        <v>617</v>
      </c>
      <c r="X59" s="119">
        <f>'2022'!AT495</f>
        <v>0</v>
      </c>
      <c r="Y59" s="119">
        <f>'2022'!AW495</f>
      </c>
      <c r="Z59" s="119">
        <f>'2022'!AX495</f>
        <v>0</v>
      </c>
      <c r="AA59" s="119"/>
      <c r="AB59" s="119">
        <f>'2022'!BA495</f>
      </c>
      <c r="AC59" s="119">
        <f>'2022'!BB495</f>
      </c>
      <c r="AD59" s="119"/>
      <c r="AE59" s="119">
        <f>'2022'!BE495</f>
        <v>0</v>
      </c>
      <c r="AF59" s="119">
        <f t="shared" si="0"/>
        <v>0</v>
      </c>
    </row>
    <row r="60" ht="15.75" customHeight="1" spans="1:32" x14ac:dyDescent="0.25">
      <c r="A60" s="114" t="s">
        <v>217</v>
      </c>
      <c r="B60" s="115">
        <v>56</v>
      </c>
      <c r="C60" s="115">
        <v>6.23</v>
      </c>
      <c r="D60" s="117" t="s">
        <v>423</v>
      </c>
      <c r="E60" s="119">
        <f>'2022'!I504</f>
        <v>29454</v>
      </c>
      <c r="F60" s="119">
        <f>'2022'!J504</f>
        <v>857</v>
      </c>
      <c r="G60" s="119">
        <f>'2022'!M504</f>
        <v>29720</v>
      </c>
      <c r="H60" s="119">
        <f>'2022'!N504</f>
        <v>266</v>
      </c>
      <c r="I60" s="119">
        <f>'2022'!Q504</f>
        <v>30222</v>
      </c>
      <c r="J60" s="119">
        <f>'2022'!R504</f>
        <v>502</v>
      </c>
      <c r="K60" s="119">
        <f>'2022'!U504</f>
        <v>30777</v>
      </c>
      <c r="L60" s="119">
        <f>'2022'!V504</f>
        <v>555</v>
      </c>
      <c r="M60" s="119">
        <f>'2022'!Y504</f>
        <v>31328</v>
      </c>
      <c r="N60" s="119">
        <f>'2022'!Z504</f>
        <v>551</v>
      </c>
      <c r="O60" s="119">
        <f>'2022'!AC504</f>
        <v>31905</v>
      </c>
      <c r="P60" s="119">
        <f>'2022'!AD504</f>
        <v>577</v>
      </c>
      <c r="Q60" s="119">
        <f>'2022'!AG504</f>
        <v>32422</v>
      </c>
      <c r="R60" s="119">
        <f>'2022'!AH504</f>
        <v>545.952</v>
      </c>
      <c r="S60" s="119">
        <f>'2022'!AK504</f>
        <v>32943</v>
      </c>
      <c r="T60" s="119">
        <f>'2022'!AL504</f>
        <v>535.588</v>
      </c>
      <c r="U60" s="119">
        <f>'2022'!AO504</f>
        <v>33592</v>
      </c>
      <c r="V60" s="119">
        <f>'2022'!AP504</f>
        <v>670.417</v>
      </c>
      <c r="W60" s="119">
        <f>'2022'!AS504</f>
        <v>34737</v>
      </c>
      <c r="X60" s="119">
        <f>'2022'!AT504</f>
        <v>1202.25</v>
      </c>
      <c r="Y60" s="119">
        <f>'2022'!AW504</f>
      </c>
      <c r="Z60" s="119">
        <f>'2022'!AX504</f>
        <v>0</v>
      </c>
      <c r="AA60" s="119"/>
      <c r="AB60" s="119">
        <f>'2022'!BA504</f>
      </c>
      <c r="AC60" s="119">
        <f>'2022'!BB504</f>
      </c>
      <c r="AD60" s="119"/>
      <c r="AE60" s="119">
        <f>'2022'!BE504</f>
        <v>6262.207</v>
      </c>
      <c r="AF60" s="119">
        <f t="shared" si="0"/>
        <v>0</v>
      </c>
    </row>
    <row r="61" ht="15.75" customHeight="1" spans="1:32" x14ac:dyDescent="0.25">
      <c r="A61" s="14"/>
      <c r="B61" s="115">
        <v>57</v>
      </c>
      <c r="C61" s="116">
        <v>4</v>
      </c>
      <c r="D61" s="2" t="s">
        <v>502</v>
      </c>
      <c r="E61" s="119">
        <f>'2022'!I513</f>
        <v>720</v>
      </c>
      <c r="F61" s="119">
        <f>'2022'!J513</f>
        <v>2</v>
      </c>
      <c r="G61" s="119">
        <f>'2022'!M513</f>
        <v>720</v>
      </c>
      <c r="H61" s="119">
        <f>'2022'!N513</f>
        <v>0</v>
      </c>
      <c r="I61" s="119">
        <f>'2022'!Q513</f>
        <v>720</v>
      </c>
      <c r="J61" s="119">
        <f>'2022'!R513</f>
        <v>0</v>
      </c>
      <c r="K61" s="119">
        <f>'2022'!U513</f>
        <v>720</v>
      </c>
      <c r="L61" s="119">
        <f>'2022'!V513</f>
        <v>0</v>
      </c>
      <c r="M61" s="119">
        <f>'2022'!Y513</f>
        <v>748</v>
      </c>
      <c r="N61" s="119">
        <f>'2022'!Z513</f>
        <v>28</v>
      </c>
      <c r="O61" s="119">
        <f>'2022'!AC513</f>
        <v>773</v>
      </c>
      <c r="P61" s="119">
        <f>'2022'!AD513</f>
        <v>25</v>
      </c>
      <c r="Q61" s="119">
        <f>'2022'!AG513</f>
        <v>803</v>
      </c>
      <c r="R61" s="119">
        <f>'2022'!AH513</f>
        <v>31.68</v>
      </c>
      <c r="S61" s="119">
        <f>'2022'!AK513</f>
        <v>842</v>
      </c>
      <c r="T61" s="119">
        <f>'2022'!AL513</f>
        <v>40.092</v>
      </c>
      <c r="U61" s="119">
        <f>'2022'!AO513</f>
        <v>878</v>
      </c>
      <c r="V61" s="119">
        <f>'2022'!AP513</f>
        <v>37.188</v>
      </c>
      <c r="W61" s="119">
        <f>'2022'!AS513</f>
        <v>919</v>
      </c>
      <c r="X61" s="119">
        <f>'2022'!AT513</f>
        <v>43.05</v>
      </c>
      <c r="Y61" s="119">
        <f>'2022'!AW513</f>
      </c>
      <c r="Z61" s="119">
        <f>'2022'!AX513</f>
        <v>0</v>
      </c>
      <c r="AA61" s="119"/>
      <c r="AB61" s="119">
        <f>'2022'!BA513</f>
      </c>
      <c r="AC61" s="119">
        <f>'2022'!BB513</f>
      </c>
      <c r="AD61" s="119"/>
      <c r="AE61" s="119">
        <f>'2022'!BE513</f>
        <v>207.01</v>
      </c>
      <c r="AF61" s="119">
        <f t="shared" si="0"/>
        <v>0</v>
      </c>
    </row>
    <row r="62" ht="15.75" customHeight="1" spans="1:32" x14ac:dyDescent="0.25">
      <c r="A62" s="14"/>
      <c r="B62" s="115">
        <v>59</v>
      </c>
      <c r="C62" s="116">
        <v>4</v>
      </c>
      <c r="D62" s="117" t="s">
        <v>221</v>
      </c>
      <c r="E62" s="119">
        <f>'2022'!I522</f>
        <v>2407</v>
      </c>
      <c r="F62" s="119">
        <f>'2022'!J522</f>
        <v>0</v>
      </c>
      <c r="G62" s="119">
        <f>'2022'!M522</f>
        <v>2407</v>
      </c>
      <c r="H62" s="119">
        <f>'2022'!N522</f>
        <v>0</v>
      </c>
      <c r="I62" s="119">
        <f>'2022'!Q522</f>
        <v>2407</v>
      </c>
      <c r="J62" s="119">
        <f>'2022'!R522</f>
        <v>0</v>
      </c>
      <c r="K62" s="119">
        <f>'2022'!U522</f>
        <v>2407</v>
      </c>
      <c r="L62" s="119">
        <f>'2022'!V522</f>
        <v>0</v>
      </c>
      <c r="M62" s="119">
        <f>'2022'!Y522</f>
        <v>2412</v>
      </c>
      <c r="N62" s="119">
        <f>'2022'!Z522</f>
        <v>5</v>
      </c>
      <c r="O62" s="119">
        <f>'2022'!AC522</f>
        <v>2415</v>
      </c>
      <c r="P62" s="119">
        <f>'2022'!AD522</f>
        <v>3</v>
      </c>
      <c r="Q62" s="119">
        <f>'2022'!AG522</f>
        <v>2416</v>
      </c>
      <c r="R62" s="119">
        <f>'2022'!AH522</f>
        <v>1.056</v>
      </c>
      <c r="S62" s="119">
        <f>'2022'!AK522</f>
        <v>2422</v>
      </c>
      <c r="T62" s="119">
        <f>'2022'!AL522</f>
        <v>6.168</v>
      </c>
      <c r="U62" s="119">
        <f>'2022'!AO522</f>
        <v>2430</v>
      </c>
      <c r="V62" s="119">
        <f>'2022'!AP522</f>
        <v>8.264</v>
      </c>
      <c r="W62" s="119">
        <f>'2022'!AS522</f>
        <v>3241</v>
      </c>
      <c r="X62" s="119">
        <f>'2022'!AT522</f>
        <v>851.55</v>
      </c>
      <c r="Y62" s="119">
        <f>'2022'!AW522</f>
      </c>
      <c r="Z62" s="119">
        <f>'2022'!AX522</f>
        <v>0</v>
      </c>
      <c r="AA62" s="119"/>
      <c r="AB62" s="119">
        <f>'2022'!BA522</f>
      </c>
      <c r="AC62" s="119">
        <f>'2022'!BB522</f>
      </c>
      <c r="AD62" s="119"/>
      <c r="AE62" s="119">
        <f>'2022'!BE522</f>
        <v>875.038</v>
      </c>
      <c r="AF62" s="119">
        <f t="shared" si="0"/>
        <v>0</v>
      </c>
    </row>
    <row r="63" ht="15.75" customHeight="1" spans="1:32" x14ac:dyDescent="0.25">
      <c r="A63" s="14"/>
      <c r="B63" s="115">
        <v>58</v>
      </c>
      <c r="C63" s="115">
        <v>5.08</v>
      </c>
      <c r="D63" s="117" t="s">
        <v>223</v>
      </c>
      <c r="E63" s="119">
        <f>'2022'!I531</f>
        <v>2097</v>
      </c>
      <c r="F63" s="119">
        <f>'2022'!J531</f>
        <v>42</v>
      </c>
      <c r="G63" s="119">
        <f>'2022'!M531</f>
        <v>2138</v>
      </c>
      <c r="H63" s="119">
        <f>'2022'!N531</f>
        <v>41</v>
      </c>
      <c r="I63" s="119">
        <f>'2022'!Q531</f>
        <v>2182</v>
      </c>
      <c r="J63" s="119">
        <f>'2022'!R531</f>
        <v>44</v>
      </c>
      <c r="K63" s="119">
        <f>'2022'!U531</f>
        <v>2414</v>
      </c>
      <c r="L63" s="119">
        <f>'2022'!V531</f>
        <v>232</v>
      </c>
      <c r="M63" s="119">
        <f>'2022'!Y531</f>
        <v>2708</v>
      </c>
      <c r="N63" s="119">
        <f>'2022'!Z531</f>
        <v>294</v>
      </c>
      <c r="O63" s="119">
        <f>'2022'!AC531</f>
        <v>2820</v>
      </c>
      <c r="P63" s="119">
        <f>'2022'!AD531</f>
        <v>112</v>
      </c>
      <c r="Q63" s="119">
        <f>'2022'!AG531</f>
        <v>2866</v>
      </c>
      <c r="R63" s="119">
        <f>'2022'!AH531</f>
        <v>48.576</v>
      </c>
      <c r="S63" s="119">
        <f>'2022'!AK531</f>
        <v>2979</v>
      </c>
      <c r="T63" s="119">
        <f>'2022'!AL531</f>
        <v>116.164</v>
      </c>
      <c r="U63" s="119">
        <f>'2022'!AO531</f>
        <v>3174</v>
      </c>
      <c r="V63" s="119">
        <f>'2022'!AP531</f>
        <v>201.435</v>
      </c>
      <c r="W63" s="119">
        <f>'2022'!AS531</f>
        <v>3965</v>
      </c>
      <c r="X63" s="119">
        <f>'2022'!AT531</f>
        <v>830.55</v>
      </c>
      <c r="Y63" s="119">
        <f>'2022'!AW531</f>
      </c>
      <c r="Z63" s="119">
        <f>'2022'!AX531</f>
        <v>0</v>
      </c>
      <c r="AA63" s="119"/>
      <c r="AB63" s="119">
        <f>'2022'!BA531</f>
      </c>
      <c r="AC63" s="119">
        <f>'2022'!BB531</f>
      </c>
      <c r="AD63" s="119"/>
      <c r="AE63" s="119">
        <f>'2022'!BE531</f>
        <v>1961.725</v>
      </c>
      <c r="AF63" s="119">
        <f t="shared" si="0"/>
        <v>0</v>
      </c>
    </row>
    <row r="64" ht="15.75" customHeight="1" spans="1:32" x14ac:dyDescent="0.25">
      <c r="A64" s="14"/>
      <c r="B64" s="115">
        <v>60</v>
      </c>
      <c r="C64" s="116">
        <v>4.4</v>
      </c>
      <c r="D64" s="117" t="s">
        <v>227</v>
      </c>
      <c r="E64" s="119">
        <f>'2022'!I540</f>
        <v>10566</v>
      </c>
      <c r="F64" s="119">
        <f>'2022'!J540</f>
        <v>1596</v>
      </c>
      <c r="G64" s="119">
        <f>'2022'!M540</f>
        <v>11040</v>
      </c>
      <c r="H64" s="119">
        <f>'2022'!N540</f>
        <v>474</v>
      </c>
      <c r="I64" s="119">
        <f>'2022'!Q540</f>
        <v>11770</v>
      </c>
      <c r="J64" s="119">
        <f>'2022'!R540</f>
        <v>730</v>
      </c>
      <c r="K64" s="119">
        <f>'2022'!U540</f>
        <v>12160</v>
      </c>
      <c r="L64" s="119">
        <f>'2022'!V540</f>
        <v>390</v>
      </c>
      <c r="M64" s="119">
        <f>'2022'!Y540</f>
        <v>12290</v>
      </c>
      <c r="N64" s="119">
        <f>'2022'!Z540</f>
        <v>130</v>
      </c>
      <c r="O64" s="119">
        <f>'2022'!AC540</f>
        <v>12372</v>
      </c>
      <c r="P64" s="119">
        <f>'2022'!AD540</f>
        <v>82</v>
      </c>
      <c r="Q64" s="119">
        <f>'2022'!AG540</f>
        <v>12422</v>
      </c>
      <c r="R64" s="119">
        <f>'2022'!AH540</f>
        <v>52.8</v>
      </c>
      <c r="S64" s="119">
        <f>'2022'!AK540</f>
        <v>12518</v>
      </c>
      <c r="T64" s="119">
        <f>'2022'!AL540</f>
        <v>98.688</v>
      </c>
      <c r="U64" s="119">
        <f>'2022'!AO540</f>
        <v>12670</v>
      </c>
      <c r="V64" s="119">
        <f>'2022'!AP540</f>
        <v>157.016</v>
      </c>
      <c r="W64" s="119">
        <f>'2022'!AS540</f>
        <v>13214</v>
      </c>
      <c r="X64" s="119">
        <f>'2022'!AT540</f>
        <v>571.2</v>
      </c>
      <c r="Y64" s="119">
        <f>'2022'!AW540</f>
      </c>
      <c r="Z64" s="119">
        <f>'2022'!AX540</f>
        <v>0</v>
      </c>
      <c r="AA64" s="119"/>
      <c r="AB64" s="119">
        <f>'2022'!BA540</f>
      </c>
      <c r="AC64" s="119">
        <f>'2022'!BB540</f>
      </c>
      <c r="AD64" s="119"/>
      <c r="AE64" s="119">
        <f>'2022'!BE540</f>
        <v>4281.704</v>
      </c>
      <c r="AF64" s="119">
        <f t="shared" si="0"/>
        <v>0</v>
      </c>
    </row>
    <row r="65" ht="15.75" customHeight="1" spans="1:32" x14ac:dyDescent="0.25">
      <c r="A65" s="14"/>
      <c r="B65" s="115">
        <v>61</v>
      </c>
      <c r="C65" s="115">
        <v>4.71</v>
      </c>
      <c r="D65" s="117" t="s">
        <v>231</v>
      </c>
      <c r="E65" s="119">
        <f>'2022'!I549</f>
        <v>641</v>
      </c>
      <c r="F65" s="119">
        <f>'2022'!J549</f>
        <v>0</v>
      </c>
      <c r="G65" s="119">
        <f>'2022'!M549</f>
        <v>641</v>
      </c>
      <c r="H65" s="119">
        <f>'2022'!N549</f>
        <v>0</v>
      </c>
      <c r="I65" s="119">
        <f>'2022'!Q549</f>
        <v>641</v>
      </c>
      <c r="J65" s="119">
        <f>'2022'!R549</f>
        <v>0</v>
      </c>
      <c r="K65" s="119">
        <f>'2022'!U549</f>
        <v>641</v>
      </c>
      <c r="L65" s="119">
        <f>'2022'!V549</f>
        <v>0</v>
      </c>
      <c r="M65" s="119">
        <f>'2022'!Y549</f>
        <v>693</v>
      </c>
      <c r="N65" s="119">
        <f>'2022'!Z549</f>
        <v>52</v>
      </c>
      <c r="O65" s="119">
        <f>'2022'!AC549</f>
        <v>756</v>
      </c>
      <c r="P65" s="119">
        <f>'2022'!AD549</f>
        <v>63</v>
      </c>
      <c r="Q65" s="119">
        <f>'2022'!AG549</f>
        <v>805</v>
      </c>
      <c r="R65" s="119">
        <f>'2022'!AH549</f>
        <v>51.744</v>
      </c>
      <c r="S65" s="119">
        <f>'2022'!AK549</f>
        <v>863</v>
      </c>
      <c r="T65" s="119">
        <f>'2022'!AL549</f>
        <v>59.624</v>
      </c>
      <c r="U65" s="119">
        <f>'2022'!AO549</f>
        <v>882</v>
      </c>
      <c r="V65" s="119">
        <f>'2022'!AP549</f>
        <v>19.627</v>
      </c>
      <c r="W65" s="119">
        <f>'2022'!AS549</f>
        <v>890</v>
      </c>
      <c r="X65" s="119">
        <f>'2022'!AT549</f>
        <v>8.4</v>
      </c>
      <c r="Y65" s="119">
        <f>'2022'!AW549</f>
      </c>
      <c r="Z65" s="119">
        <f>'2022'!AX549</f>
        <v>0</v>
      </c>
      <c r="AA65" s="119"/>
      <c r="AB65" s="119">
        <f>'2022'!BA549</f>
      </c>
      <c r="AC65" s="119">
        <f>'2022'!BB549</f>
      </c>
      <c r="AD65" s="119"/>
      <c r="AE65" s="119">
        <f>'2022'!BE549</f>
        <v>254.395</v>
      </c>
      <c r="AF65" s="119">
        <f t="shared" si="0"/>
        <v>0</v>
      </c>
    </row>
    <row r="66" ht="15.75" customHeight="1" spans="1:32" x14ac:dyDescent="0.25">
      <c r="A66" s="14"/>
      <c r="B66" s="115">
        <v>62</v>
      </c>
      <c r="C66" s="116">
        <v>4.6</v>
      </c>
      <c r="D66" s="15" t="s">
        <v>236</v>
      </c>
      <c r="E66" s="119">
        <f>'2022'!I558</f>
        <v>479</v>
      </c>
      <c r="F66" s="119">
        <f>'2022'!J558</f>
        <v>0</v>
      </c>
      <c r="G66" s="119">
        <f>'2022'!M558</f>
        <v>479</v>
      </c>
      <c r="H66" s="119">
        <f>'2022'!N558</f>
        <v>0</v>
      </c>
      <c r="I66" s="119">
        <f>'2022'!Q558</f>
        <v>479</v>
      </c>
      <c r="J66" s="119">
        <f>'2022'!R558</f>
        <v>0</v>
      </c>
      <c r="K66" s="119">
        <f>'2022'!U558</f>
        <v>479</v>
      </c>
      <c r="L66" s="119">
        <f>'2022'!V558</f>
        <v>0</v>
      </c>
      <c r="M66" s="119">
        <f>'2022'!Y558</f>
        <v>479</v>
      </c>
      <c r="N66" s="119">
        <f>'2022'!Z558</f>
        <v>0</v>
      </c>
      <c r="O66" s="119">
        <f>'2022'!AC558</f>
        <v>479</v>
      </c>
      <c r="P66" s="119">
        <f>'2022'!AD558</f>
        <v>0</v>
      </c>
      <c r="Q66" s="119">
        <f>'2022'!AG558</f>
        <v>479</v>
      </c>
      <c r="R66" s="119">
        <f>'2022'!AH558</f>
        <v>0</v>
      </c>
      <c r="S66" s="119">
        <f>'2022'!AK558</f>
        <v>2</v>
      </c>
      <c r="T66" s="119">
        <f>'2022'!AL558</f>
        <v>2.056</v>
      </c>
      <c r="U66" s="119">
        <f>'2022'!AO558</f>
        <v>4</v>
      </c>
      <c r="V66" s="119">
        <f>'2022'!AP558</f>
        <v>2.066</v>
      </c>
      <c r="W66" s="119">
        <f>'2022'!AS558</f>
        <v>5</v>
      </c>
      <c r="X66" s="119">
        <f>'2022'!AT558</f>
        <v>2.1</v>
      </c>
      <c r="Y66" s="119">
        <f>'2022'!AW558</f>
      </c>
      <c r="Z66" s="119">
        <f>'2022'!AX558</f>
        <v>0</v>
      </c>
      <c r="AA66" s="119"/>
      <c r="AB66" s="119">
        <f>'2022'!BA558</f>
      </c>
      <c r="AC66" s="119">
        <f>'2022'!BB558</f>
      </c>
      <c r="AD66" s="119"/>
      <c r="AE66" s="119">
        <f>'2022'!BE558</f>
        <v>6.222</v>
      </c>
      <c r="AF66" s="119">
        <f t="shared" si="0"/>
        <v>0</v>
      </c>
    </row>
    <row r="67" ht="15.75" customHeight="1" spans="1:32" x14ac:dyDescent="0.25">
      <c r="A67" s="14"/>
      <c r="B67" s="115" t="s">
        <v>237</v>
      </c>
      <c r="C67" s="115">
        <v>4.01</v>
      </c>
      <c r="D67" s="117" t="s">
        <v>238</v>
      </c>
      <c r="E67" s="119">
        <f>'2022'!I567</f>
        <v>193</v>
      </c>
      <c r="F67" s="119">
        <f>'2022'!J567</f>
        <v>0</v>
      </c>
      <c r="G67" s="119">
        <f>'2022'!M567</f>
        <v>193</v>
      </c>
      <c r="H67" s="119">
        <f>'2022'!N567</f>
        <v>0</v>
      </c>
      <c r="I67" s="119">
        <f>'2022'!Q567</f>
        <v>193</v>
      </c>
      <c r="J67" s="119">
        <f>'2022'!R567</f>
        <v>0</v>
      </c>
      <c r="K67" s="119">
        <f>'2022'!U567</f>
        <v>193</v>
      </c>
      <c r="L67" s="119">
        <f>'2022'!V567</f>
        <v>0</v>
      </c>
      <c r="M67" s="119">
        <f>'2022'!Y567</f>
        <v>196</v>
      </c>
      <c r="N67" s="119">
        <f>'2022'!Z567</f>
        <v>3</v>
      </c>
      <c r="O67" s="119">
        <f>'2022'!AC567</f>
        <v>219</v>
      </c>
      <c r="P67" s="119">
        <f>'2022'!AD567</f>
        <v>23</v>
      </c>
      <c r="Q67" s="119">
        <f>'2022'!AG567</f>
        <v>255</v>
      </c>
      <c r="R67" s="119">
        <f>'2022'!AH567</f>
        <v>38.016</v>
      </c>
      <c r="S67" s="119">
        <f>'2022'!AK567</f>
        <v>292</v>
      </c>
      <c r="T67" s="119">
        <f>'2022'!AL567</f>
        <v>38.036</v>
      </c>
      <c r="U67" s="119">
        <f>'2022'!AO567</f>
        <v>311</v>
      </c>
      <c r="V67" s="119">
        <f>'2022'!AP567</f>
        <v>19.627</v>
      </c>
      <c r="W67" s="119">
        <f>'2022'!AS567</f>
        <v>311</v>
      </c>
      <c r="X67" s="119">
        <f>'2022'!AT567</f>
        <v>0</v>
      </c>
      <c r="Y67" s="119">
        <f>'2022'!AW567</f>
      </c>
      <c r="Z67" s="119">
        <f>'2022'!AX567</f>
        <v>0</v>
      </c>
      <c r="AA67" s="119"/>
      <c r="AB67" s="119">
        <f>'2022'!BA567</f>
      </c>
      <c r="AC67" s="119">
        <f>'2022'!BB567</f>
      </c>
      <c r="AD67" s="119"/>
      <c r="AE67" s="119">
        <f>'2022'!BE567</f>
        <v>121.679</v>
      </c>
      <c r="AF67" s="119">
        <f t="shared" si="0"/>
        <v>0</v>
      </c>
    </row>
    <row r="68" ht="15.75" customHeight="1" spans="1:32" x14ac:dyDescent="0.25">
      <c r="A68" s="14"/>
      <c r="B68" s="115" t="s">
        <v>237</v>
      </c>
      <c r="C68" s="115">
        <v>4.01</v>
      </c>
      <c r="D68" s="117" t="s">
        <v>238</v>
      </c>
      <c r="E68" s="119">
        <f>'2022'!I576</f>
      </c>
      <c r="F68" s="119">
        <f>'2022'!J576</f>
        <v>0</v>
      </c>
      <c r="G68" s="119">
        <f>'2022'!M576</f>
      </c>
      <c r="H68" s="119">
        <f>'2022'!N576</f>
        <v>0</v>
      </c>
      <c r="I68" s="119">
        <f>'2022'!Q576</f>
      </c>
      <c r="J68" s="119">
        <f>'2022'!R576</f>
        <v>0</v>
      </c>
      <c r="K68" s="119">
        <f>'2022'!U576</f>
      </c>
      <c r="L68" s="119">
        <f>'2022'!V576</f>
        <v>0</v>
      </c>
      <c r="M68" s="119">
        <f>'2022'!Y576</f>
      </c>
      <c r="N68" s="119">
        <f>'2022'!Z576</f>
        <v>0</v>
      </c>
      <c r="O68" s="119">
        <f>'2022'!AC576</f>
      </c>
      <c r="P68" s="119">
        <f>'2022'!AD576</f>
        <v>0</v>
      </c>
      <c r="Q68" s="119">
        <f>'2022'!AG576</f>
      </c>
      <c r="R68" s="119">
        <f>'2022'!AH576</f>
        <v>0</v>
      </c>
      <c r="S68" s="119">
        <f>'2022'!AK576</f>
      </c>
      <c r="T68" s="119">
        <f>'2022'!AL576</f>
        <v>0</v>
      </c>
      <c r="U68" s="119">
        <f>'2022'!AO576</f>
      </c>
      <c r="V68" s="119">
        <f>'2022'!AP576</f>
        <v>0</v>
      </c>
      <c r="W68" s="119">
        <f>'2022'!AS576</f>
      </c>
      <c r="X68" s="119">
        <f>'2022'!AT576</f>
        <v>0</v>
      </c>
      <c r="Y68" s="119">
        <f>'2022'!AW576</f>
      </c>
      <c r="Z68" s="119">
        <f>'2022'!AX576</f>
        <v>0</v>
      </c>
      <c r="AA68" s="119"/>
      <c r="AB68" s="119">
        <f>'2022'!BA576</f>
      </c>
      <c r="AC68" s="119">
        <f>'2022'!BB576</f>
      </c>
      <c r="AD68" s="119"/>
      <c r="AE68" s="119">
        <f>'2022'!BE576</f>
        <v>0</v>
      </c>
      <c r="AF68" s="119">
        <f t="shared" si="0"/>
        <v>0</v>
      </c>
    </row>
    <row r="69" ht="15.75" customHeight="1" spans="1:32" x14ac:dyDescent="0.25">
      <c r="A69" s="14"/>
      <c r="B69" s="115">
        <v>64</v>
      </c>
      <c r="C69" s="115">
        <v>4.24</v>
      </c>
      <c r="D69" s="117" t="s">
        <v>241</v>
      </c>
      <c r="E69" s="119">
        <f>'2022'!I585</f>
        <v>467</v>
      </c>
      <c r="F69" s="119">
        <f>'2022'!J585</f>
        <v>0</v>
      </c>
      <c r="G69" s="119">
        <f>'2022'!M585</f>
        <v>467</v>
      </c>
      <c r="H69" s="119">
        <f>'2022'!N585</f>
        <v>0</v>
      </c>
      <c r="I69" s="119">
        <f>'2022'!Q585</f>
        <v>467</v>
      </c>
      <c r="J69" s="119">
        <f>'2022'!R585</f>
        <v>0</v>
      </c>
      <c r="K69" s="119">
        <f>'2022'!U585</f>
        <v>467</v>
      </c>
      <c r="L69" s="119">
        <f>'2022'!V585</f>
        <v>0</v>
      </c>
      <c r="M69" s="119">
        <f>'2022'!Y585</f>
        <v>481</v>
      </c>
      <c r="N69" s="119">
        <f>'2022'!Z585</f>
        <v>14</v>
      </c>
      <c r="O69" s="119">
        <f>'2022'!AC585</f>
        <v>498</v>
      </c>
      <c r="P69" s="119">
        <f>'2022'!AD585</f>
        <v>17</v>
      </c>
      <c r="Q69" s="119">
        <f>'2022'!AG585</f>
        <v>512</v>
      </c>
      <c r="R69" s="119">
        <f>'2022'!AH585</f>
        <v>14.784</v>
      </c>
      <c r="S69" s="119">
        <f>'2022'!AK585</f>
        <v>528</v>
      </c>
      <c r="T69" s="119">
        <f>'2022'!AL585</f>
        <v>16.448</v>
      </c>
      <c r="U69" s="119">
        <f>'2022'!AO585</f>
        <v>537</v>
      </c>
      <c r="V69" s="119">
        <f>'2022'!AP585</f>
        <v>9.297</v>
      </c>
      <c r="W69" s="119">
        <f>'2022'!AS585</f>
        <v>538</v>
      </c>
      <c r="X69" s="119">
        <f>'2022'!AT585</f>
        <v>1.05</v>
      </c>
      <c r="Y69" s="119">
        <f>'2022'!AW585</f>
      </c>
      <c r="Z69" s="119">
        <f>'2022'!AX585</f>
        <v>0</v>
      </c>
      <c r="AA69" s="119"/>
      <c r="AB69" s="119">
        <f>'2022'!BA585</f>
      </c>
      <c r="AC69" s="119">
        <f>'2022'!BB585</f>
      </c>
      <c r="AD69" s="119"/>
      <c r="AE69" s="119">
        <f>'2022'!BE585</f>
        <v>72.579</v>
      </c>
      <c r="AF69" s="119">
        <f t="shared" si="0"/>
        <v>0</v>
      </c>
    </row>
    <row r="70" ht="15.75" customHeight="1" spans="1:32" x14ac:dyDescent="0.25">
      <c r="A70" s="14"/>
      <c r="B70" s="115">
        <v>66</v>
      </c>
      <c r="C70" s="115">
        <v>4.66</v>
      </c>
      <c r="D70" s="117" t="s">
        <v>244</v>
      </c>
      <c r="E70" s="119">
        <f>'2022'!I594</f>
        <v>2</v>
      </c>
      <c r="F70" s="119">
        <f>'2022'!J594</f>
        <v>0</v>
      </c>
      <c r="G70" s="119">
        <f>'2022'!M594</f>
        <v>2</v>
      </c>
      <c r="H70" s="119">
        <f>'2022'!N594</f>
        <v>0</v>
      </c>
      <c r="I70" s="119">
        <f>'2022'!Q594</f>
        <v>2</v>
      </c>
      <c r="J70" s="119">
        <f>'2022'!R594</f>
        <v>0</v>
      </c>
      <c r="K70" s="119">
        <f>'2022'!U594</f>
        <v>2</v>
      </c>
      <c r="L70" s="119">
        <f>'2022'!V594</f>
        <v>0</v>
      </c>
      <c r="M70" s="119">
        <f>'2022'!Y594</f>
        <v>2</v>
      </c>
      <c r="N70" s="119">
        <f>'2022'!Z594</f>
        <v>0</v>
      </c>
      <c r="O70" s="119">
        <f>'2022'!AC594</f>
        <v>2</v>
      </c>
      <c r="P70" s="119">
        <f>'2022'!AD594</f>
        <v>0</v>
      </c>
      <c r="Q70" s="119">
        <f>'2022'!AG594</f>
        <v>2</v>
      </c>
      <c r="R70" s="119">
        <f>'2022'!AH594</f>
        <v>0</v>
      </c>
      <c r="S70" s="119">
        <f>'2022'!AK594</f>
        <v>2</v>
      </c>
      <c r="T70" s="119">
        <f>'2022'!AL594</f>
        <v>0</v>
      </c>
      <c r="U70" s="119">
        <f>'2022'!AO594</f>
        <v>2</v>
      </c>
      <c r="V70" s="119">
        <f>'2022'!AP594</f>
        <v>0</v>
      </c>
      <c r="W70" s="119">
        <f>'2022'!AS594</f>
        <v>2</v>
      </c>
      <c r="X70" s="119">
        <f>'2022'!AT594</f>
        <v>0</v>
      </c>
      <c r="Y70" s="119">
        <f>'2022'!AW594</f>
      </c>
      <c r="Z70" s="119">
        <f>'2022'!AX594</f>
        <v>0</v>
      </c>
      <c r="AA70" s="119"/>
      <c r="AB70" s="119">
        <f>'2022'!BA594</f>
      </c>
      <c r="AC70" s="119">
        <f>'2022'!BB594</f>
      </c>
      <c r="AD70" s="119"/>
      <c r="AE70" s="119">
        <f>'2022'!BE594</f>
        <v>0</v>
      </c>
      <c r="AF70" s="119">
        <f t="shared" si="0"/>
        <v>0</v>
      </c>
    </row>
    <row r="71" ht="15.75" customHeight="1" spans="1:32" x14ac:dyDescent="0.25">
      <c r="A71" s="14"/>
      <c r="B71" s="115">
        <v>67</v>
      </c>
      <c r="C71" s="115">
        <v>6.08</v>
      </c>
      <c r="D71" s="117" t="s">
        <v>245</v>
      </c>
      <c r="E71" s="119">
        <f>'2022'!I603</f>
        <v>2734</v>
      </c>
      <c r="F71" s="119">
        <f>'2022'!J603</f>
        <v>0</v>
      </c>
      <c r="G71" s="119">
        <f>'2022'!M603</f>
        <v>2734</v>
      </c>
      <c r="H71" s="119">
        <f>'2022'!N603</f>
        <v>0</v>
      </c>
      <c r="I71" s="119">
        <f>'2022'!Q603</f>
        <v>2734</v>
      </c>
      <c r="J71" s="119">
        <f>'2022'!R603</f>
        <v>0</v>
      </c>
      <c r="K71" s="119">
        <f>'2022'!U603</f>
        <v>2734</v>
      </c>
      <c r="L71" s="119">
        <f>'2022'!V603</f>
        <v>0</v>
      </c>
      <c r="M71" s="119">
        <f>'2022'!Y603</f>
        <v>2802</v>
      </c>
      <c r="N71" s="119">
        <f>'2022'!Z603</f>
        <v>68</v>
      </c>
      <c r="O71" s="119">
        <f>'2022'!AC603</f>
        <v>2928</v>
      </c>
      <c r="P71" s="119">
        <f>'2022'!AD603</f>
        <v>126</v>
      </c>
      <c r="Q71" s="119">
        <f>'2022'!AG603</f>
        <v>3009</v>
      </c>
      <c r="R71" s="119">
        <f>'2022'!AH603</f>
        <v>85.536</v>
      </c>
      <c r="S71" s="119">
        <f>'2022'!AK603</f>
        <v>3118</v>
      </c>
      <c r="T71" s="119">
        <f>'2022'!AL603</f>
        <v>112.052</v>
      </c>
      <c r="U71" s="119">
        <f>'2022'!AO603</f>
        <v>3208</v>
      </c>
      <c r="V71" s="119">
        <f>'2022'!AP603</f>
        <v>92.97</v>
      </c>
      <c r="W71" s="119">
        <f>'2022'!AS603</f>
        <v>3262</v>
      </c>
      <c r="X71" s="119">
        <f>'2022'!AT603</f>
        <v>56.7</v>
      </c>
      <c r="Y71" s="119">
        <f>'2022'!AW603</f>
      </c>
      <c r="Z71" s="119">
        <f>'2022'!AX603</f>
        <v>0</v>
      </c>
      <c r="AA71" s="119"/>
      <c r="AB71" s="119">
        <f>'2022'!BA603</f>
      </c>
      <c r="AC71" s="119">
        <f>'2022'!BB603</f>
      </c>
      <c r="AD71" s="119"/>
      <c r="AE71" s="119">
        <f>'2022'!BE603</f>
        <v>541.258</v>
      </c>
      <c r="AF71" s="119">
        <f t="shared" si="0"/>
        <v>0</v>
      </c>
    </row>
    <row r="72" ht="15.75" customHeight="1" spans="1:32" x14ac:dyDescent="0.25">
      <c r="A72" s="14"/>
      <c r="B72" s="115" t="s">
        <v>248</v>
      </c>
      <c r="C72" s="115">
        <v>4.01</v>
      </c>
      <c r="D72" s="117" t="s">
        <v>249</v>
      </c>
      <c r="E72" s="119">
        <f>'2022'!I612</f>
        <v>4097</v>
      </c>
      <c r="F72" s="119">
        <f>'2022'!J612</f>
        <v>0</v>
      </c>
      <c r="G72" s="119">
        <f>'2022'!M612</f>
        <v>4097</v>
      </c>
      <c r="H72" s="119">
        <f>'2022'!N612</f>
        <v>0</v>
      </c>
      <c r="I72" s="119">
        <f>'2022'!Q612</f>
        <v>4097</v>
      </c>
      <c r="J72" s="119">
        <f>'2022'!R612</f>
        <v>0</v>
      </c>
      <c r="K72" s="119">
        <f>'2022'!U612</f>
        <v>4097</v>
      </c>
      <c r="L72" s="119">
        <f>'2022'!V612</f>
        <v>0</v>
      </c>
      <c r="M72" s="119">
        <f>'2022'!Y612</f>
        <v>4130</v>
      </c>
      <c r="N72" s="119">
        <f>'2022'!Z612</f>
        <v>33</v>
      </c>
      <c r="O72" s="119">
        <f>'2022'!AC612</f>
        <v>4418</v>
      </c>
      <c r="P72" s="119">
        <f>'2022'!AD612</f>
        <v>288</v>
      </c>
      <c r="Q72" s="119">
        <f>'2022'!AG612</f>
        <v>4534</v>
      </c>
      <c r="R72" s="119">
        <f>'2022'!AH612</f>
        <v>122.496</v>
      </c>
      <c r="S72" s="119">
        <f>'2022'!AK612</f>
        <v>4726</v>
      </c>
      <c r="T72" s="119">
        <f>'2022'!AL612</f>
        <v>197.376</v>
      </c>
      <c r="U72" s="119">
        <f>'2022'!AO612</f>
        <v>4914</v>
      </c>
      <c r="V72" s="119">
        <f>'2022'!AP612</f>
        <v>194.204</v>
      </c>
      <c r="W72" s="119">
        <f>'2022'!AS612</f>
        <v>4973</v>
      </c>
      <c r="X72" s="119">
        <f>'2022'!AT612</f>
        <v>61.95</v>
      </c>
      <c r="Y72" s="119">
        <f>'2022'!AW612</f>
      </c>
      <c r="Z72" s="119">
        <f>'2022'!AX612</f>
        <v>0</v>
      </c>
      <c r="AA72" s="119"/>
      <c r="AB72" s="119">
        <f>'2022'!BA612</f>
      </c>
      <c r="AC72" s="119">
        <f>'2022'!BB612</f>
      </c>
      <c r="AD72" s="119"/>
      <c r="AE72" s="119">
        <f>'2022'!BE612</f>
        <v>897.026</v>
      </c>
      <c r="AF72" s="119">
        <f t="shared" si="0"/>
        <v>0</v>
      </c>
    </row>
    <row r="73" ht="15.75" customHeight="1" spans="1:32" x14ac:dyDescent="0.25">
      <c r="A73" s="14"/>
      <c r="B73" s="115" t="s">
        <v>248</v>
      </c>
      <c r="C73" s="115">
        <v>4.02</v>
      </c>
      <c r="D73" s="117" t="s">
        <v>249</v>
      </c>
      <c r="E73" s="119">
        <f>'2022'!I621</f>
      </c>
      <c r="F73" s="119">
        <f>'2022'!J621</f>
        <v>0</v>
      </c>
      <c r="G73" s="119">
        <f>'2022'!M621</f>
      </c>
      <c r="H73" s="119">
        <f>'2022'!N621</f>
        <v>0</v>
      </c>
      <c r="I73" s="119">
        <f>'2022'!Q621</f>
      </c>
      <c r="J73" s="119">
        <f>'2022'!R621</f>
        <v>0</v>
      </c>
      <c r="K73" s="119">
        <f>'2022'!U621</f>
      </c>
      <c r="L73" s="119">
        <f>'2022'!V621</f>
        <v>0</v>
      </c>
      <c r="M73" s="119">
        <f>'2022'!Y621</f>
      </c>
      <c r="N73" s="119">
        <f>'2022'!Z621</f>
        <v>0</v>
      </c>
      <c r="O73" s="119">
        <f>'2022'!AC621</f>
      </c>
      <c r="P73" s="119">
        <f>'2022'!AD621</f>
        <v>0</v>
      </c>
      <c r="Q73" s="119">
        <f>'2022'!AG621</f>
      </c>
      <c r="R73" s="119">
        <f>'2022'!AH621</f>
        <v>0</v>
      </c>
      <c r="S73" s="119">
        <f>'2022'!AK621</f>
      </c>
      <c r="T73" s="119">
        <f>'2022'!AL621</f>
        <v>0</v>
      </c>
      <c r="U73" s="119">
        <f>'2022'!AO621</f>
      </c>
      <c r="V73" s="119">
        <f>'2022'!AP621</f>
        <v>0</v>
      </c>
      <c r="W73" s="119">
        <f>'2022'!AS621</f>
      </c>
      <c r="X73" s="119">
        <f>'2022'!AT621</f>
        <v>0</v>
      </c>
      <c r="Y73" s="119">
        <f>'2022'!AW621</f>
      </c>
      <c r="Z73" s="119">
        <f>'2022'!AX621</f>
        <v>0</v>
      </c>
      <c r="AA73" s="119"/>
      <c r="AB73" s="119">
        <f>'2022'!BA621</f>
      </c>
      <c r="AC73" s="119">
        <f>'2022'!BB621</f>
      </c>
      <c r="AD73" s="119"/>
      <c r="AE73" s="119">
        <f>'2022'!BE621</f>
        <v>0</v>
      </c>
      <c r="AF73" s="119">
        <f t="shared" si="0"/>
        <v>0</v>
      </c>
    </row>
    <row r="74" ht="15.75" customHeight="1" spans="1:32" x14ac:dyDescent="0.25">
      <c r="A74" s="14"/>
      <c r="B74" s="115">
        <v>69</v>
      </c>
      <c r="C74" s="115">
        <v>4.03</v>
      </c>
      <c r="D74" s="117" t="s">
        <v>253</v>
      </c>
      <c r="E74" s="119">
        <f>'2022'!I630</f>
        <v>33219</v>
      </c>
      <c r="F74" s="119">
        <f>'2022'!J630</f>
        <v>668</v>
      </c>
      <c r="G74" s="119">
        <f>'2022'!M630</f>
        <v>33857</v>
      </c>
      <c r="H74" s="119">
        <f>'2022'!N630</f>
        <v>638</v>
      </c>
      <c r="I74" s="119">
        <f>'2022'!Q630</f>
        <v>34435</v>
      </c>
      <c r="J74" s="119">
        <f>'2022'!R630</f>
        <v>578</v>
      </c>
      <c r="K74" s="119">
        <f>'2022'!U630</f>
        <v>34966</v>
      </c>
      <c r="L74" s="119">
        <f>'2022'!V630</f>
        <v>531</v>
      </c>
      <c r="M74" s="119">
        <f>'2022'!Y630</f>
        <v>35285</v>
      </c>
      <c r="N74" s="119">
        <f>'2022'!Z630</f>
        <v>319</v>
      </c>
      <c r="O74" s="119">
        <f>'2022'!AC630</f>
        <v>35600</v>
      </c>
      <c r="P74" s="119">
        <f>'2022'!AD630</f>
        <v>315</v>
      </c>
      <c r="Q74" s="119">
        <f>'2022'!AG630</f>
        <v>35879</v>
      </c>
      <c r="R74" s="119">
        <f>'2022'!AH630</f>
        <v>294.624</v>
      </c>
      <c r="S74" s="119">
        <f>'2022'!AK630</f>
        <v>36191</v>
      </c>
      <c r="T74" s="119">
        <f>'2022'!AL630</f>
        <v>320.736</v>
      </c>
      <c r="U74" s="119">
        <f>'2022'!AO630</f>
        <v>36477</v>
      </c>
      <c r="V74" s="119">
        <f>'2022'!AP630</f>
        <v>295.438</v>
      </c>
      <c r="W74" s="119">
        <f>'2022'!AS630</f>
        <v>36931</v>
      </c>
      <c r="X74" s="119">
        <f>'2022'!AT630</f>
        <v>476.7</v>
      </c>
      <c r="Y74" s="119">
        <f>'2022'!AW630</f>
      </c>
      <c r="Z74" s="119">
        <f>'2022'!AX630</f>
        <v>0</v>
      </c>
      <c r="AA74" s="119"/>
      <c r="AB74" s="119">
        <f>'2022'!BA630</f>
      </c>
      <c r="AC74" s="119">
        <f>'2022'!BB630</f>
      </c>
      <c r="AD74" s="119"/>
      <c r="AE74" s="119">
        <f>'2022'!BE630</f>
        <v>4436.498</v>
      </c>
      <c r="AF74" s="119">
        <f t="shared" si="0"/>
        <v>0</v>
      </c>
    </row>
    <row r="75" ht="15.75" customHeight="1" spans="1:32" x14ac:dyDescent="0.25">
      <c r="A75" s="14"/>
      <c r="B75" s="115">
        <v>71</v>
      </c>
      <c r="C75" s="115">
        <v>5.98</v>
      </c>
      <c r="D75" s="117" t="s">
        <v>255</v>
      </c>
      <c r="E75" s="119">
        <f>'2022'!I639</f>
        <v>174</v>
      </c>
      <c r="F75" s="119">
        <f>'2022'!J639</f>
        <v>0</v>
      </c>
      <c r="G75" s="119">
        <f>'2022'!M639</f>
        <v>174</v>
      </c>
      <c r="H75" s="119">
        <f>'2022'!N639</f>
        <v>0</v>
      </c>
      <c r="I75" s="119">
        <f>'2022'!Q639</f>
        <v>174</v>
      </c>
      <c r="J75" s="119">
        <f>'2022'!R639</f>
        <v>0</v>
      </c>
      <c r="K75" s="119">
        <f>'2022'!U639</f>
        <v>174</v>
      </c>
      <c r="L75" s="119">
        <f>'2022'!V639</f>
        <v>0</v>
      </c>
      <c r="M75" s="119">
        <f>'2022'!Y639</f>
        <v>176</v>
      </c>
      <c r="N75" s="119">
        <f>'2022'!Z639</f>
        <v>2</v>
      </c>
      <c r="O75" s="119">
        <f>'2022'!AC639</f>
        <v>177</v>
      </c>
      <c r="P75" s="119">
        <f>'2022'!AD639</f>
        <v>1</v>
      </c>
      <c r="Q75" s="119">
        <f>'2022'!AG639</f>
        <v>178</v>
      </c>
      <c r="R75" s="119">
        <f>'2022'!AH639</f>
        <v>1.056</v>
      </c>
      <c r="S75" s="119">
        <f>'2022'!AK639</f>
        <v>179</v>
      </c>
      <c r="T75" s="119">
        <f>'2022'!AL639</f>
        <v>1.028</v>
      </c>
      <c r="U75" s="119">
        <f>'2022'!AO639</f>
        <v>181</v>
      </c>
      <c r="V75" s="119">
        <f>'2022'!AP639</f>
        <v>2.066</v>
      </c>
      <c r="W75" s="119">
        <f>'2022'!AS639</f>
        <v>204</v>
      </c>
      <c r="X75" s="119">
        <f>'2022'!AT639</f>
        <v>24.15</v>
      </c>
      <c r="Y75" s="119">
        <f>'2022'!AW639</f>
      </c>
      <c r="Z75" s="119">
        <f>'2022'!AX639</f>
        <v>0</v>
      </c>
      <c r="AA75" s="119"/>
      <c r="AB75" s="119">
        <f>'2022'!BA639</f>
      </c>
      <c r="AC75" s="119">
        <f>'2022'!BB639</f>
      </c>
      <c r="AD75" s="119"/>
      <c r="AE75" s="119">
        <f>'2022'!BE639</f>
        <v>31.3</v>
      </c>
      <c r="AF75" s="119">
        <f t="shared" si="0"/>
        <v>0</v>
      </c>
    </row>
    <row r="76" ht="15.75" customHeight="1" spans="1:32" x14ac:dyDescent="0.25">
      <c r="A76" s="14"/>
      <c r="B76" s="115">
        <v>72</v>
      </c>
      <c r="C76" s="115">
        <v>4.03</v>
      </c>
      <c r="D76" s="117" t="s">
        <v>257</v>
      </c>
      <c r="E76" s="119">
        <f>'2022'!I648</f>
        <v>6520</v>
      </c>
      <c r="F76" s="119">
        <f>'2022'!J648</f>
        <v>1042</v>
      </c>
      <c r="G76" s="119">
        <f>'2022'!M648</f>
        <v>7010</v>
      </c>
      <c r="H76" s="119">
        <f>'2022'!N648</f>
        <v>490</v>
      </c>
      <c r="I76" s="119">
        <f>'2022'!Q648</f>
        <v>7338</v>
      </c>
      <c r="J76" s="119">
        <f>'2022'!R648</f>
        <v>328</v>
      </c>
      <c r="K76" s="119">
        <f>'2022'!U648</f>
        <v>7831</v>
      </c>
      <c r="L76" s="119">
        <f>'2022'!V648</f>
        <v>493</v>
      </c>
      <c r="M76" s="119">
        <f>'2022'!Y648</f>
        <v>8082</v>
      </c>
      <c r="N76" s="119">
        <f>'2022'!Z648</f>
        <v>251</v>
      </c>
      <c r="O76" s="119">
        <f>'2022'!AC648</f>
        <v>8331</v>
      </c>
      <c r="P76" s="119">
        <f>'2022'!AD648</f>
        <v>249</v>
      </c>
      <c r="Q76" s="119">
        <f>'2022'!AG648</f>
        <v>8576</v>
      </c>
      <c r="R76" s="119">
        <f>'2022'!AH648</f>
        <v>258.72</v>
      </c>
      <c r="S76" s="119">
        <f>'2022'!AK648</f>
        <v>8768</v>
      </c>
      <c r="T76" s="119">
        <f>'2022'!AL648</f>
        <v>197.376</v>
      </c>
      <c r="U76" s="119">
        <f>'2022'!AO648</f>
        <v>9127</v>
      </c>
      <c r="V76" s="119">
        <f>'2022'!AP648</f>
        <v>370.847</v>
      </c>
      <c r="W76" s="119">
        <f>'2022'!AS648</f>
        <v>9658</v>
      </c>
      <c r="X76" s="119">
        <f>'2022'!AT648</f>
        <v>557.55</v>
      </c>
      <c r="Y76" s="119">
        <f>'2022'!AW648</f>
      </c>
      <c r="Z76" s="119">
        <f>'2022'!AX648</f>
        <v>0</v>
      </c>
      <c r="AA76" s="119"/>
      <c r="AB76" s="119">
        <f>'2022'!BA648</f>
      </c>
      <c r="AC76" s="119">
        <f>'2022'!BB648</f>
      </c>
      <c r="AD76" s="119"/>
      <c r="AE76" s="119">
        <f>'2022'!BE648</f>
        <v>4237.493</v>
      </c>
      <c r="AF76" s="119">
        <f t="shared" si="0"/>
        <v>0</v>
      </c>
    </row>
    <row r="77" ht="15.75" customHeight="1" spans="1:32" x14ac:dyDescent="0.25">
      <c r="A77" s="14"/>
      <c r="B77" s="115">
        <v>73</v>
      </c>
      <c r="C77" s="115">
        <v>4.02</v>
      </c>
      <c r="D77" s="117" t="s">
        <v>259</v>
      </c>
      <c r="E77" s="119">
        <f>'2022'!I657</f>
      </c>
      <c r="F77" s="119">
        <f>'2022'!J657</f>
        <v>0</v>
      </c>
      <c r="G77" s="119">
        <f>'2022'!M657</f>
      </c>
      <c r="H77" s="119">
        <f>'2022'!N657</f>
        <v>0</v>
      </c>
      <c r="I77" s="119">
        <f>'2022'!Q657</f>
      </c>
      <c r="J77" s="119">
        <f>'2022'!R657</f>
        <v>0</v>
      </c>
      <c r="K77" s="119">
        <f>'2022'!U657</f>
      </c>
      <c r="L77" s="119">
        <f>'2022'!V657</f>
        <v>0</v>
      </c>
      <c r="M77" s="119">
        <f>'2022'!Y657</f>
      </c>
      <c r="N77" s="119">
        <f>'2022'!Z657</f>
        <v>0</v>
      </c>
      <c r="O77" s="119">
        <f>'2022'!AC657</f>
      </c>
      <c r="P77" s="119">
        <f>'2022'!AD657</f>
        <v>0</v>
      </c>
      <c r="Q77" s="119">
        <f>'2022'!AG657</f>
      </c>
      <c r="R77" s="119">
        <f>'2022'!AH657</f>
        <v>0</v>
      </c>
      <c r="S77" s="119">
        <f>'2022'!AK657</f>
      </c>
      <c r="T77" s="119">
        <f>'2022'!AL657</f>
        <v>0</v>
      </c>
      <c r="U77" s="119">
        <f>'2022'!AO657</f>
      </c>
      <c r="V77" s="119">
        <f>'2022'!AP657</f>
        <v>0</v>
      </c>
      <c r="W77" s="119">
        <f>'2022'!AS657</f>
      </c>
      <c r="X77" s="119">
        <f>'2022'!AT657</f>
        <v>0</v>
      </c>
      <c r="Y77" s="119">
        <f>'2022'!AW657</f>
      </c>
      <c r="Z77" s="119">
        <f>'2022'!AX657</f>
        <v>0</v>
      </c>
      <c r="AA77" s="119"/>
      <c r="AB77" s="119">
        <f>'2022'!BA657</f>
      </c>
      <c r="AC77" s="119">
        <f>'2022'!BB657</f>
      </c>
      <c r="AD77" s="119"/>
      <c r="AE77" s="119">
        <f>'2022'!BE657</f>
        <v>0</v>
      </c>
      <c r="AF77" s="119">
        <f t="shared" si="0"/>
        <v>0</v>
      </c>
    </row>
    <row r="78" ht="15.75" customHeight="1" spans="1:32" x14ac:dyDescent="0.25">
      <c r="A78" s="21"/>
      <c r="B78" s="115">
        <v>74</v>
      </c>
      <c r="C78" s="115">
        <v>4.97</v>
      </c>
      <c r="D78" s="117" t="s">
        <v>262</v>
      </c>
      <c r="E78" s="119">
        <f>'2022'!I666</f>
      </c>
      <c r="F78" s="119">
        <f>'2022'!J666</f>
        <v>0</v>
      </c>
      <c r="G78" s="119">
        <f>'2022'!M666</f>
      </c>
      <c r="H78" s="119">
        <f>'2022'!N666</f>
        <v>0</v>
      </c>
      <c r="I78" s="119">
        <f>'2022'!Q666</f>
      </c>
      <c r="J78" s="119">
        <f>'2022'!R666</f>
        <v>0</v>
      </c>
      <c r="K78" s="119">
        <f>'2022'!U666</f>
      </c>
      <c r="L78" s="119">
        <f>'2022'!V666</f>
        <v>0</v>
      </c>
      <c r="M78" s="119">
        <f>'2022'!Y666</f>
      </c>
      <c r="N78" s="119">
        <f>'2022'!Z666</f>
        <v>0</v>
      </c>
      <c r="O78" s="119">
        <f>'2022'!AC666</f>
      </c>
      <c r="P78" s="119">
        <f>'2022'!AD666</f>
        <v>0</v>
      </c>
      <c r="Q78" s="119">
        <f>'2022'!AG666</f>
      </c>
      <c r="R78" s="119">
        <f>'2022'!AH666</f>
        <v>0</v>
      </c>
      <c r="S78" s="119">
        <f>'2022'!AK666</f>
      </c>
      <c r="T78" s="119">
        <f>'2022'!AL666</f>
        <v>0</v>
      </c>
      <c r="U78" s="119">
        <f>'2022'!AO666</f>
      </c>
      <c r="V78" s="119">
        <f>'2022'!AP666</f>
        <v>0</v>
      </c>
      <c r="W78" s="119">
        <f>'2022'!AS666</f>
      </c>
      <c r="X78" s="119">
        <f>'2022'!AT666</f>
        <v>0</v>
      </c>
      <c r="Y78" s="119">
        <f>'2022'!AW666</f>
      </c>
      <c r="Z78" s="119">
        <f>'2022'!AX666</f>
        <v>0</v>
      </c>
      <c r="AA78" s="119"/>
      <c r="AB78" s="119">
        <f>'2022'!BA666</f>
      </c>
      <c r="AC78" s="119">
        <f>'2022'!BB666</f>
      </c>
      <c r="AD78" s="119"/>
      <c r="AE78" s="119">
        <f>'2022'!BE666</f>
        <v>0</v>
      </c>
      <c r="AF78" s="119">
        <f t="shared" si="0"/>
        <v>0</v>
      </c>
    </row>
    <row r="79" ht="15.75" customHeight="1" spans="1:32" x14ac:dyDescent="0.25">
      <c r="A79" s="114" t="s">
        <v>264</v>
      </c>
      <c r="B79" s="115">
        <v>75</v>
      </c>
      <c r="C79" s="115">
        <v>4.15</v>
      </c>
      <c r="D79" s="117" t="s">
        <v>265</v>
      </c>
      <c r="E79" s="119">
        <f>'2022'!I675</f>
      </c>
      <c r="F79" s="119">
        <f>'2022'!J675</f>
        <v>0</v>
      </c>
      <c r="G79" s="119">
        <f>'2022'!M675</f>
      </c>
      <c r="H79" s="119">
        <f>'2022'!N675</f>
        <v>0</v>
      </c>
      <c r="I79" s="119">
        <f>'2022'!Q675</f>
      </c>
      <c r="J79" s="119">
        <f>'2022'!R675</f>
        <v>0</v>
      </c>
      <c r="K79" s="119">
        <f>'2022'!U675</f>
      </c>
      <c r="L79" s="119">
        <f>'2022'!V675</f>
        <v>0</v>
      </c>
      <c r="M79" s="119">
        <f>'2022'!Y675</f>
      </c>
      <c r="N79" s="119">
        <f>'2022'!Z675</f>
        <v>0</v>
      </c>
      <c r="O79" s="119">
        <f>'2022'!AC675</f>
      </c>
      <c r="P79" s="119">
        <f>'2022'!AD675</f>
        <v>0</v>
      </c>
      <c r="Q79" s="119">
        <f>'2022'!AG675</f>
      </c>
      <c r="R79" s="119">
        <f>'2022'!AH675</f>
        <v>0</v>
      </c>
      <c r="S79" s="119">
        <f>'2022'!AK675</f>
      </c>
      <c r="T79" s="119">
        <f>'2022'!AL675</f>
        <v>0</v>
      </c>
      <c r="U79" s="119">
        <f>'2022'!AO675</f>
      </c>
      <c r="V79" s="119">
        <f>'2022'!AP675</f>
        <v>0</v>
      </c>
      <c r="W79" s="119">
        <f>'2022'!AS675</f>
      </c>
      <c r="X79" s="119">
        <f>'2022'!AT675</f>
        <v>0</v>
      </c>
      <c r="Y79" s="119">
        <f>'2022'!AW675</f>
      </c>
      <c r="Z79" s="119">
        <f>'2022'!AX675</f>
        <v>0</v>
      </c>
      <c r="AA79" s="119"/>
      <c r="AB79" s="119">
        <f>'2022'!BA675</f>
      </c>
      <c r="AC79" s="119">
        <f>'2022'!BB675</f>
      </c>
      <c r="AD79" s="119"/>
      <c r="AE79" s="119">
        <f>'2022'!BE675</f>
        <v>0</v>
      </c>
      <c r="AF79" s="119">
        <f t="shared" si="0"/>
        <v>0</v>
      </c>
    </row>
    <row r="80" ht="15.75" customHeight="1" spans="1:32" x14ac:dyDescent="0.25">
      <c r="A80" s="14"/>
      <c r="B80" s="115">
        <v>76</v>
      </c>
      <c r="C80" s="115">
        <v>4.15</v>
      </c>
      <c r="D80" s="117" t="s">
        <v>267</v>
      </c>
      <c r="E80" s="119">
        <f>'2022'!I684</f>
      </c>
      <c r="F80" s="119">
        <f>'2022'!J684</f>
        <v>0</v>
      </c>
      <c r="G80" s="119">
        <f>'2022'!M684</f>
      </c>
      <c r="H80" s="119">
        <f>'2022'!N684</f>
        <v>0</v>
      </c>
      <c r="I80" s="119">
        <f>'2022'!Q684</f>
      </c>
      <c r="J80" s="119">
        <f>'2022'!R684</f>
        <v>0</v>
      </c>
      <c r="K80" s="119">
        <f>'2022'!U684</f>
      </c>
      <c r="L80" s="119">
        <f>'2022'!V684</f>
        <v>0</v>
      </c>
      <c r="M80" s="119">
        <f>'2022'!Y684</f>
      </c>
      <c r="N80" s="119">
        <f>'2022'!Z684</f>
        <v>0</v>
      </c>
      <c r="O80" s="119">
        <f>'2022'!AC684</f>
      </c>
      <c r="P80" s="119">
        <f>'2022'!AD684</f>
        <v>0</v>
      </c>
      <c r="Q80" s="119">
        <f>'2022'!AG684</f>
      </c>
      <c r="R80" s="119">
        <f>'2022'!AH684</f>
        <v>0</v>
      </c>
      <c r="S80" s="119">
        <f>'2022'!AK684</f>
      </c>
      <c r="T80" s="119">
        <f>'2022'!AL684</f>
        <v>0</v>
      </c>
      <c r="U80" s="119">
        <f>'2022'!AO684</f>
      </c>
      <c r="V80" s="119">
        <f>'2022'!AP684</f>
        <v>0</v>
      </c>
      <c r="W80" s="119">
        <f>'2022'!AS684</f>
      </c>
      <c r="X80" s="119">
        <f>'2022'!AT684</f>
        <v>0</v>
      </c>
      <c r="Y80" s="119">
        <f>'2022'!AW684</f>
      </c>
      <c r="Z80" s="119">
        <f>'2022'!AX684</f>
        <v>0</v>
      </c>
      <c r="AA80" s="119"/>
      <c r="AB80" s="119">
        <f>'2022'!BA684</f>
      </c>
      <c r="AC80" s="119">
        <f>'2022'!BB684</f>
      </c>
      <c r="AD80" s="119"/>
      <c r="AE80" s="119">
        <f>'2022'!BE684</f>
        <v>0</v>
      </c>
      <c r="AF80" s="119">
        <f t="shared" si="0"/>
        <v>0</v>
      </c>
    </row>
    <row r="81" ht="15.75" customHeight="1" spans="1:32" x14ac:dyDescent="0.25">
      <c r="A81" s="14"/>
      <c r="B81" s="115">
        <v>77</v>
      </c>
      <c r="C81" s="115">
        <v>4.12</v>
      </c>
      <c r="D81" s="117" t="s">
        <v>268</v>
      </c>
      <c r="E81" s="119">
        <f>'2022'!I693</f>
        <v>2667</v>
      </c>
      <c r="F81" s="119">
        <f>'2022'!J693</f>
        <v>0</v>
      </c>
      <c r="G81" s="119">
        <f>'2022'!M693</f>
        <v>2667</v>
      </c>
      <c r="H81" s="119">
        <f>'2022'!N693</f>
        <v>0</v>
      </c>
      <c r="I81" s="119">
        <f>'2022'!Q693</f>
        <v>2667</v>
      </c>
      <c r="J81" s="119">
        <f>'2022'!R693</f>
        <v>0</v>
      </c>
      <c r="K81" s="119">
        <f>'2022'!U693</f>
        <v>2667</v>
      </c>
      <c r="L81" s="119">
        <f>'2022'!V693</f>
        <v>0</v>
      </c>
      <c r="M81" s="119">
        <f>'2022'!Y693</f>
        <v>2755</v>
      </c>
      <c r="N81" s="119">
        <f>'2022'!Z693</f>
        <v>88</v>
      </c>
      <c r="O81" s="119">
        <f>'2022'!AC693</f>
        <v>2863</v>
      </c>
      <c r="P81" s="119">
        <f>'2022'!AD693</f>
        <v>108</v>
      </c>
      <c r="Q81" s="119">
        <f>'2022'!AG693</f>
        <v>2962</v>
      </c>
      <c r="R81" s="119">
        <f>'2022'!AH693</f>
        <v>104.544</v>
      </c>
      <c r="S81" s="119">
        <f>'2022'!AK693</f>
        <v>3057</v>
      </c>
      <c r="T81" s="119">
        <f>'2022'!AL693</f>
        <v>97.66</v>
      </c>
      <c r="U81" s="119">
        <f>'2022'!AO693</f>
        <v>3135</v>
      </c>
      <c r="V81" s="119">
        <f>'2022'!AP693</f>
        <v>80.574</v>
      </c>
      <c r="W81" s="119">
        <f>'2022'!AS693</f>
        <v>3135</v>
      </c>
      <c r="X81" s="119">
        <f>'2022'!AT693</f>
        <v>0</v>
      </c>
      <c r="Y81" s="119">
        <f>'2022'!AW693</f>
      </c>
      <c r="Z81" s="119">
        <f>'2022'!AX693</f>
        <v>0</v>
      </c>
      <c r="AA81" s="119"/>
      <c r="AB81" s="119">
        <f>'2022'!BA693</f>
      </c>
      <c r="AC81" s="119">
        <f>'2022'!BB693</f>
      </c>
      <c r="AD81" s="119"/>
      <c r="AE81" s="119">
        <f>'2022'!BE693</f>
        <v>478.778</v>
      </c>
      <c r="AF81" s="119">
        <f t="shared" si="0"/>
        <v>0</v>
      </c>
    </row>
    <row r="82" ht="15.75" customHeight="1" spans="1:32" x14ac:dyDescent="0.25">
      <c r="A82" s="14"/>
      <c r="B82" s="115">
        <v>78</v>
      </c>
      <c r="C82" s="115">
        <v>4.03</v>
      </c>
      <c r="D82" s="117" t="s">
        <v>271</v>
      </c>
      <c r="E82" s="119">
        <f>'2022'!I702</f>
        <v>121</v>
      </c>
      <c r="F82" s="119">
        <f>'2022'!J702</f>
        <v>0</v>
      </c>
      <c r="G82" s="119">
        <f>'2022'!M702</f>
        <v>121</v>
      </c>
      <c r="H82" s="119">
        <f>'2022'!N702</f>
        <v>0</v>
      </c>
      <c r="I82" s="119">
        <f>'2022'!Q702</f>
        <v>121</v>
      </c>
      <c r="J82" s="119">
        <f>'2022'!R702</f>
        <v>0</v>
      </c>
      <c r="K82" s="119">
        <f>'2022'!U702</f>
        <v>121</v>
      </c>
      <c r="L82" s="119">
        <f>'2022'!V702</f>
        <v>0</v>
      </c>
      <c r="M82" s="119">
        <f>'2022'!Y702</f>
        <v>123</v>
      </c>
      <c r="N82" s="119">
        <f>'2022'!Z702</f>
        <v>2</v>
      </c>
      <c r="O82" s="119">
        <f>'2022'!AC702</f>
        <v>126</v>
      </c>
      <c r="P82" s="119">
        <f>'2022'!AD702</f>
        <v>3</v>
      </c>
      <c r="Q82" s="119">
        <f>'2022'!AG702</f>
        <v>127</v>
      </c>
      <c r="R82" s="119">
        <f>'2022'!AH702</f>
        <v>1.056</v>
      </c>
      <c r="S82" s="119">
        <f>'2022'!AK702</f>
        <v>128</v>
      </c>
      <c r="T82" s="119">
        <f>'2022'!AL702</f>
        <v>1.028</v>
      </c>
      <c r="U82" s="119">
        <f>'2022'!AO702</f>
        <v>136</v>
      </c>
      <c r="V82" s="119">
        <f>'2022'!AP702</f>
        <v>8.264</v>
      </c>
      <c r="W82" s="119">
        <f>'2022'!AS702</f>
        <v>136</v>
      </c>
      <c r="X82" s="119">
        <f>'2022'!AT702</f>
        <v>0</v>
      </c>
      <c r="Y82" s="119">
        <f>'2022'!AW702</f>
      </c>
      <c r="Z82" s="119">
        <f>'2022'!AX702</f>
        <v>0</v>
      </c>
      <c r="AA82" s="119"/>
      <c r="AB82" s="119">
        <f>'2022'!BA702</f>
      </c>
      <c r="AC82" s="119">
        <f>'2022'!BB702</f>
      </c>
      <c r="AD82" s="119"/>
      <c r="AE82" s="119">
        <f>'2022'!BE702</f>
        <v>15.348</v>
      </c>
      <c r="AF82" s="119">
        <f t="shared" si="0"/>
        <v>0</v>
      </c>
    </row>
    <row r="83" ht="15.75" customHeight="1" spans="1:32" x14ac:dyDescent="0.25">
      <c r="A83" s="14"/>
      <c r="B83" s="115">
        <v>79</v>
      </c>
      <c r="C83" s="115">
        <v>4.24</v>
      </c>
      <c r="D83" s="117" t="s">
        <v>275</v>
      </c>
      <c r="E83" s="119">
        <f>'2022'!I711</f>
        <v>43</v>
      </c>
      <c r="F83" s="119">
        <f>'2022'!J711</f>
        <v>0</v>
      </c>
      <c r="G83" s="119">
        <f>'2022'!M711</f>
        <v>43</v>
      </c>
      <c r="H83" s="119">
        <f>'2022'!N711</f>
        <v>0</v>
      </c>
      <c r="I83" s="119">
        <f>'2022'!Q711</f>
        <v>43</v>
      </c>
      <c r="J83" s="119">
        <f>'2022'!R711</f>
        <v>0</v>
      </c>
      <c r="K83" s="119">
        <f>'2022'!U711</f>
        <v>43</v>
      </c>
      <c r="L83" s="119">
        <f>'2022'!V711</f>
        <v>0</v>
      </c>
      <c r="M83" s="119">
        <f>'2022'!Y711</f>
        <v>52</v>
      </c>
      <c r="N83" s="119">
        <f>'2022'!Z711</f>
        <v>9</v>
      </c>
      <c r="O83" s="119">
        <f>'2022'!AC711</f>
        <v>52</v>
      </c>
      <c r="P83" s="119">
        <f>'2022'!AD711</f>
        <v>0</v>
      </c>
      <c r="Q83" s="119">
        <f>'2022'!AG711</f>
        <v>54</v>
      </c>
      <c r="R83" s="119">
        <f>'2022'!AH711</f>
        <v>2.112</v>
      </c>
      <c r="S83" s="119">
        <f>'2022'!AK711</f>
        <v>54</v>
      </c>
      <c r="T83" s="119">
        <f>'2022'!AL711</f>
        <v>0</v>
      </c>
      <c r="U83" s="119">
        <f>'2022'!AO711</f>
        <v>54</v>
      </c>
      <c r="V83" s="119">
        <f>'2022'!AP711</f>
        <v>0</v>
      </c>
      <c r="W83" s="119">
        <f>'2022'!AS711</f>
        <v>54</v>
      </c>
      <c r="X83" s="119">
        <f>'2022'!AT711</f>
        <v>0</v>
      </c>
      <c r="Y83" s="119">
        <f>'2022'!AW711</f>
      </c>
      <c r="Z83" s="119">
        <f>'2022'!AX711</f>
        <v>0</v>
      </c>
      <c r="AA83" s="119"/>
      <c r="AB83" s="119">
        <f>'2022'!BA711</f>
      </c>
      <c r="AC83" s="119">
        <f>'2022'!BB711</f>
      </c>
      <c r="AD83" s="119"/>
      <c r="AE83" s="119">
        <f>'2022'!BE711</f>
        <v>11.112</v>
      </c>
      <c r="AF83" s="119">
        <f t="shared" si="0"/>
        <v>0</v>
      </c>
    </row>
    <row r="84" ht="15.75" customHeight="1" spans="1:32" x14ac:dyDescent="0.25">
      <c r="A84" s="14"/>
      <c r="B84" s="115">
        <v>81</v>
      </c>
      <c r="C84" s="116">
        <v>4.3</v>
      </c>
      <c r="D84" s="117" t="s">
        <v>278</v>
      </c>
      <c r="E84" s="119">
        <f>'2022'!I720</f>
        <v>13</v>
      </c>
      <c r="F84" s="119">
        <f>'2022'!J720</f>
        <v>0</v>
      </c>
      <c r="G84" s="119">
        <f>'2022'!M720</f>
        <v>13</v>
      </c>
      <c r="H84" s="119">
        <f>'2022'!N720</f>
        <v>0</v>
      </c>
      <c r="I84" s="119">
        <f>'2022'!Q720</f>
        <v>13</v>
      </c>
      <c r="J84" s="119">
        <f>'2022'!R720</f>
        <v>0</v>
      </c>
      <c r="K84" s="119">
        <f>'2022'!U720</f>
        <v>13</v>
      </c>
      <c r="L84" s="119">
        <f>'2022'!V720</f>
        <v>0</v>
      </c>
      <c r="M84" s="119">
        <f>'2022'!Y720</f>
        <v>13</v>
      </c>
      <c r="N84" s="119">
        <f>'2022'!Z720</f>
        <v>0</v>
      </c>
      <c r="O84" s="119">
        <f>'2022'!AC720</f>
        <v>19</v>
      </c>
      <c r="P84" s="119">
        <f>'2022'!AD720</f>
        <v>6</v>
      </c>
      <c r="Q84" s="119">
        <f>'2022'!AG720</f>
        <v>21</v>
      </c>
      <c r="R84" s="119">
        <f>'2022'!AH720</f>
        <v>2.112</v>
      </c>
      <c r="S84" s="119">
        <f>'2022'!AK720</f>
        <v>23</v>
      </c>
      <c r="T84" s="119">
        <f>'2022'!AL720</f>
        <v>2.056</v>
      </c>
      <c r="U84" s="119">
        <f>'2022'!AO720</f>
        <v>25</v>
      </c>
      <c r="V84" s="119">
        <f>'2022'!AP720</f>
        <v>2.066</v>
      </c>
      <c r="W84" s="119">
        <f>'2022'!AS720</f>
        <v>25</v>
      </c>
      <c r="X84" s="119">
        <f>'2022'!AT720</f>
        <v>0</v>
      </c>
      <c r="Y84" s="119">
        <f>'2022'!AW720</f>
      </c>
      <c r="Z84" s="119">
        <f>'2022'!AX720</f>
        <v>0</v>
      </c>
      <c r="AA84" s="119"/>
      <c r="AB84" s="119">
        <f>'2022'!BA720</f>
      </c>
      <c r="AC84" s="119">
        <f>'2022'!BB720</f>
      </c>
      <c r="AD84" s="119"/>
      <c r="AE84" s="119">
        <f>'2022'!BE720</f>
        <v>12.234</v>
      </c>
      <c r="AF84" s="119">
        <f t="shared" si="0"/>
        <v>0</v>
      </c>
    </row>
    <row r="85" ht="15.75" customHeight="1" spans="1:32" x14ac:dyDescent="0.25">
      <c r="A85" s="14"/>
      <c r="B85" s="115">
        <v>83</v>
      </c>
      <c r="C85" s="115">
        <v>4.29</v>
      </c>
      <c r="D85" s="117" t="s">
        <v>280</v>
      </c>
      <c r="E85" s="119">
        <f>'2022'!I729</f>
        <v>231</v>
      </c>
      <c r="F85" s="119">
        <f>'2022'!J729</f>
        <v>0</v>
      </c>
      <c r="G85" s="119">
        <f>'2022'!M729</f>
        <v>231</v>
      </c>
      <c r="H85" s="119">
        <f>'2022'!N729</f>
        <v>0</v>
      </c>
      <c r="I85" s="119">
        <f>'2022'!Q729</f>
        <v>231</v>
      </c>
      <c r="J85" s="119">
        <f>'2022'!R729</f>
        <v>0</v>
      </c>
      <c r="K85" s="119">
        <f>'2022'!U729</f>
        <v>231</v>
      </c>
      <c r="L85" s="119">
        <f>'2022'!V729</f>
        <v>0</v>
      </c>
      <c r="M85" s="119">
        <f>'2022'!Y729</f>
        <v>231</v>
      </c>
      <c r="N85" s="119">
        <f>'2022'!Z729</f>
        <v>0</v>
      </c>
      <c r="O85" s="119">
        <f>'2022'!AC729</f>
        <v>231</v>
      </c>
      <c r="P85" s="119">
        <f>'2022'!AD729</f>
        <v>0</v>
      </c>
      <c r="Q85" s="119">
        <f>'2022'!AG729</f>
        <v>231</v>
      </c>
      <c r="R85" s="119">
        <f>'2022'!AH729</f>
        <v>30</v>
      </c>
      <c r="S85" s="119">
        <f>'2022'!AK729</f>
        <v>0</v>
      </c>
      <c r="T85" s="119">
        <f>'2022'!AL729</f>
        <v>30</v>
      </c>
      <c r="U85" s="119">
        <f>'2022'!AO729</f>
        <v>37</v>
      </c>
      <c r="V85" s="119">
        <f>'2022'!AP729</f>
        <v>38.221</v>
      </c>
      <c r="W85" s="119">
        <f>'2022'!AS729</f>
        <v>38</v>
      </c>
      <c r="X85" s="119">
        <f>'2022'!AT729</f>
        <v>1.05</v>
      </c>
      <c r="Y85" s="119">
        <f>'2022'!AW729</f>
      </c>
      <c r="Z85" s="119">
        <f>'2022'!AX729</f>
        <v>0</v>
      </c>
      <c r="AA85" s="119"/>
      <c r="AB85" s="119">
        <f>'2022'!BA729</f>
      </c>
      <c r="AC85" s="119">
        <f>'2022'!BB729</f>
      </c>
      <c r="AD85" s="119"/>
      <c r="AE85" s="119">
        <f>'2022'!BE729</f>
        <v>99.271</v>
      </c>
      <c r="AF85" s="119">
        <f t="shared" si="0"/>
        <v>0</v>
      </c>
    </row>
    <row r="86" ht="15.75" customHeight="1" spans="1:32" x14ac:dyDescent="0.25">
      <c r="A86" s="14"/>
      <c r="B86" s="115">
        <v>85</v>
      </c>
      <c r="C86" s="115">
        <v>4.27</v>
      </c>
      <c r="D86" s="117" t="s">
        <v>282</v>
      </c>
      <c r="E86" s="119">
        <f>'2022'!I738</f>
        <v>4753</v>
      </c>
      <c r="F86" s="119">
        <f>'2022'!J738</f>
        <v>0</v>
      </c>
      <c r="G86" s="119">
        <f>'2022'!M738</f>
        <v>4753</v>
      </c>
      <c r="H86" s="119">
        <f>'2022'!N738</f>
        <v>0</v>
      </c>
      <c r="I86" s="119">
        <f>'2022'!Q738</f>
        <v>4753</v>
      </c>
      <c r="J86" s="119">
        <f>'2022'!R738</f>
        <v>0</v>
      </c>
      <c r="K86" s="119">
        <f>'2022'!U738</f>
        <v>4753</v>
      </c>
      <c r="L86" s="119">
        <f>'2022'!V738</f>
        <v>0</v>
      </c>
      <c r="M86" s="119">
        <f>'2022'!Y738</f>
        <v>4801</v>
      </c>
      <c r="N86" s="119">
        <f>'2022'!Z738</f>
        <v>48</v>
      </c>
      <c r="O86" s="119">
        <f>'2022'!AC738</f>
        <v>4971</v>
      </c>
      <c r="P86" s="119">
        <f>'2022'!AD738</f>
        <v>170</v>
      </c>
      <c r="Q86" s="119">
        <f>'2022'!AG738</f>
        <v>5185</v>
      </c>
      <c r="R86" s="119">
        <f>'2022'!AH738</f>
        <v>225.984</v>
      </c>
      <c r="S86" s="119">
        <f>'2022'!AK738</f>
        <v>5537</v>
      </c>
      <c r="T86" s="119">
        <f>'2022'!AL738</f>
        <v>361.856</v>
      </c>
      <c r="U86" s="119">
        <f>'2022'!AO738</f>
        <v>5799</v>
      </c>
      <c r="V86" s="119">
        <f>'2022'!AP738</f>
        <v>270.646</v>
      </c>
      <c r="W86" s="119">
        <f>'2022'!AS738</f>
        <v>5803</v>
      </c>
      <c r="X86" s="119">
        <f>'2022'!AT738</f>
        <v>4.2</v>
      </c>
      <c r="Y86" s="119">
        <f>'2022'!AW738</f>
      </c>
      <c r="Z86" s="119">
        <f>'2022'!AX738</f>
        <v>0</v>
      </c>
      <c r="AA86" s="119"/>
      <c r="AB86" s="119">
        <f>'2022'!BA738</f>
      </c>
      <c r="AC86" s="119">
        <f>'2022'!BB738</f>
      </c>
      <c r="AD86" s="119"/>
      <c r="AE86" s="119">
        <f>'2022'!BE738</f>
        <v>1080.686</v>
      </c>
      <c r="AF86" s="119">
        <f t="shared" si="0"/>
        <v>0</v>
      </c>
    </row>
    <row r="87" ht="15.75" customHeight="1" spans="1:32" x14ac:dyDescent="0.25">
      <c r="A87" s="14"/>
      <c r="B87" s="115">
        <v>87</v>
      </c>
      <c r="C87" s="115">
        <v>4.23</v>
      </c>
      <c r="D87" s="117" t="s">
        <v>284</v>
      </c>
      <c r="E87" s="119">
        <f>'2022'!I747</f>
        <v>719</v>
      </c>
      <c r="F87" s="119">
        <f>'2022'!J747</f>
        <v>0</v>
      </c>
      <c r="G87" s="119">
        <f>'2022'!M747</f>
        <v>719</v>
      </c>
      <c r="H87" s="119">
        <f>'2022'!N747</f>
        <v>0</v>
      </c>
      <c r="I87" s="119">
        <f>'2022'!Q747</f>
        <v>719</v>
      </c>
      <c r="J87" s="119">
        <f>'2022'!R747</f>
        <v>0</v>
      </c>
      <c r="K87" s="119">
        <f>'2022'!U747</f>
        <v>719</v>
      </c>
      <c r="L87" s="119">
        <f>'2022'!V747</f>
        <v>0</v>
      </c>
      <c r="M87" s="119">
        <f>'2022'!Y747</f>
        <v>740</v>
      </c>
      <c r="N87" s="119">
        <f>'2022'!Z747</f>
        <v>21</v>
      </c>
      <c r="O87" s="119">
        <f>'2022'!AC747</f>
        <v>773</v>
      </c>
      <c r="P87" s="119">
        <f>'2022'!AD747</f>
        <v>33</v>
      </c>
      <c r="Q87" s="119">
        <f>'2022'!AG747</f>
        <v>812</v>
      </c>
      <c r="R87" s="119">
        <f>'2022'!AH747</f>
        <v>41.184</v>
      </c>
      <c r="S87" s="119">
        <f>'2022'!AK747</f>
        <v>844</v>
      </c>
      <c r="T87" s="119">
        <f>'2022'!AL747</f>
        <v>32.896</v>
      </c>
      <c r="U87" s="119">
        <f>'2022'!AO747</f>
        <v>858</v>
      </c>
      <c r="V87" s="119">
        <f>'2022'!AP747</f>
        <v>14.462</v>
      </c>
      <c r="W87" s="119">
        <f>'2022'!AS747</f>
        <v>866</v>
      </c>
      <c r="X87" s="119">
        <f>'2022'!AT747</f>
        <v>8.4</v>
      </c>
      <c r="Y87" s="119">
        <f>'2022'!AW747</f>
      </c>
      <c r="Z87" s="119">
        <f>'2022'!AX747</f>
        <v>0</v>
      </c>
      <c r="AA87" s="119"/>
      <c r="AB87" s="119">
        <f>'2022'!BA747</f>
      </c>
      <c r="AC87" s="119">
        <f>'2022'!BB747</f>
      </c>
      <c r="AD87" s="119"/>
      <c r="AE87" s="119">
        <f>'2022'!BE747</f>
        <v>150.942</v>
      </c>
      <c r="AF87" s="119">
        <f t="shared" si="0"/>
        <v>0</v>
      </c>
    </row>
    <row r="88" ht="15.75" customHeight="1" spans="1:32" x14ac:dyDescent="0.25">
      <c r="A88" s="14"/>
      <c r="B88" s="115">
        <v>89</v>
      </c>
      <c r="C88" s="115">
        <v>4.25</v>
      </c>
      <c r="D88" s="117" t="s">
        <v>286</v>
      </c>
      <c r="E88" s="119">
        <f>'2022'!I756</f>
      </c>
      <c r="F88" s="119">
        <f>'2022'!J756</f>
        <v>0</v>
      </c>
      <c r="G88" s="119">
        <f>'2022'!M756</f>
      </c>
      <c r="H88" s="119">
        <f>'2022'!N756</f>
        <v>0</v>
      </c>
      <c r="I88" s="119">
        <f>'2022'!Q756</f>
      </c>
      <c r="J88" s="119">
        <f>'2022'!R756</f>
        <v>0</v>
      </c>
      <c r="K88" s="119">
        <f>'2022'!U756</f>
      </c>
      <c r="L88" s="119">
        <f>'2022'!V756</f>
        <v>0</v>
      </c>
      <c r="M88" s="119">
        <f>'2022'!Y756</f>
      </c>
      <c r="N88" s="119">
        <f>'2022'!Z756</f>
        <v>0</v>
      </c>
      <c r="O88" s="119">
        <f>'2022'!AC756</f>
      </c>
      <c r="P88" s="119">
        <f>'2022'!AD756</f>
        <v>0</v>
      </c>
      <c r="Q88" s="119">
        <f>'2022'!AG756</f>
      </c>
      <c r="R88" s="119">
        <f>'2022'!AH756</f>
        <v>0</v>
      </c>
      <c r="S88" s="119">
        <f>'2022'!AK756</f>
      </c>
      <c r="T88" s="119">
        <f>'2022'!AL756</f>
        <v>0</v>
      </c>
      <c r="U88" s="119">
        <f>'2022'!AO756</f>
      </c>
      <c r="V88" s="119">
        <f>'2022'!AP756</f>
        <v>0</v>
      </c>
      <c r="W88" s="119">
        <f>'2022'!AS756</f>
      </c>
      <c r="X88" s="119">
        <f>'2022'!AT756</f>
        <v>0</v>
      </c>
      <c r="Y88" s="119">
        <f>'2022'!AW756</f>
      </c>
      <c r="Z88" s="119">
        <f>'2022'!AX756</f>
        <v>0</v>
      </c>
      <c r="AA88" s="119"/>
      <c r="AB88" s="119">
        <f>'2022'!BA756</f>
      </c>
      <c r="AC88" s="119">
        <f>'2022'!BB756</f>
      </c>
      <c r="AD88" s="119"/>
      <c r="AE88" s="119">
        <f>'2022'!BE756</f>
        <v>0</v>
      </c>
      <c r="AF88" s="119">
        <f t="shared" si="0"/>
        <v>0</v>
      </c>
    </row>
    <row r="89" ht="15.75" customHeight="1" spans="1:32" x14ac:dyDescent="0.25">
      <c r="A89" s="14"/>
      <c r="B89" s="115">
        <v>91</v>
      </c>
      <c r="C89" s="115">
        <v>4.23</v>
      </c>
      <c r="D89" s="117" t="s">
        <v>288</v>
      </c>
      <c r="E89" s="119">
        <f>'2022'!I765</f>
        <v>183</v>
      </c>
      <c r="F89" s="119">
        <f>'2022'!J765</f>
        <v>0</v>
      </c>
      <c r="G89" s="119">
        <f>'2022'!M765</f>
        <v>183</v>
      </c>
      <c r="H89" s="119">
        <f>'2022'!N765</f>
        <v>0</v>
      </c>
      <c r="I89" s="119">
        <f>'2022'!Q765</f>
        <v>183</v>
      </c>
      <c r="J89" s="119">
        <f>'2022'!R765</f>
        <v>0</v>
      </c>
      <c r="K89" s="119">
        <f>'2022'!U765</f>
        <v>183</v>
      </c>
      <c r="L89" s="119">
        <f>'2022'!V765</f>
        <v>0</v>
      </c>
      <c r="M89" s="119">
        <f>'2022'!Y765</f>
        <v>184</v>
      </c>
      <c r="N89" s="119">
        <f>'2022'!Z765</f>
        <v>1</v>
      </c>
      <c r="O89" s="119">
        <f>'2022'!AC765</f>
        <v>187</v>
      </c>
      <c r="P89" s="119">
        <f>'2022'!AD765</f>
        <v>3</v>
      </c>
      <c r="Q89" s="119">
        <f>'2022'!AG765</f>
        <v>190</v>
      </c>
      <c r="R89" s="119">
        <f>'2022'!AH765</f>
        <v>3.168</v>
      </c>
      <c r="S89" s="119">
        <f>'2022'!AK765</f>
        <v>197</v>
      </c>
      <c r="T89" s="119">
        <f>'2022'!AL765</f>
        <v>7.196</v>
      </c>
      <c r="U89" s="119">
        <f>'2022'!AO765</f>
        <v>198</v>
      </c>
      <c r="V89" s="119">
        <f>'2022'!AP765</f>
        <v>1.033</v>
      </c>
      <c r="W89" s="119">
        <f>'2022'!AS765</f>
        <v>199</v>
      </c>
      <c r="X89" s="119">
        <f>'2022'!AT765</f>
        <v>1.05</v>
      </c>
      <c r="Y89" s="119">
        <f>'2022'!AW765</f>
      </c>
      <c r="Z89" s="119">
        <f>'2022'!AX765</f>
        <v>0</v>
      </c>
      <c r="AA89" s="119"/>
      <c r="AB89" s="119">
        <f>'2022'!BA765</f>
      </c>
      <c r="AC89" s="119">
        <f>'2022'!BB765</f>
      </c>
      <c r="AD89" s="119"/>
      <c r="AE89" s="119">
        <f>'2022'!BE765</f>
        <v>16.447</v>
      </c>
      <c r="AF89" s="119">
        <f t="shared" si="0"/>
        <v>0</v>
      </c>
    </row>
    <row r="90" ht="15.75" customHeight="1" spans="1:32" x14ac:dyDescent="0.25">
      <c r="A90" s="14"/>
      <c r="B90" s="115" t="s">
        <v>292</v>
      </c>
      <c r="C90" s="115">
        <v>4.31</v>
      </c>
      <c r="D90" s="117" t="s">
        <v>436</v>
      </c>
      <c r="E90" s="119">
        <f>'2022'!I774</f>
        <v>7638</v>
      </c>
      <c r="F90" s="119">
        <f>'2022'!J774</f>
        <v>13</v>
      </c>
      <c r="G90" s="119">
        <f>'2022'!M774</f>
        <v>7804</v>
      </c>
      <c r="H90" s="119">
        <f>'2022'!N774</f>
        <v>166</v>
      </c>
      <c r="I90" s="119">
        <f>'2022'!Q774</f>
        <v>9088</v>
      </c>
      <c r="J90" s="119">
        <f>'2022'!R774</f>
        <v>1284</v>
      </c>
      <c r="K90" s="119">
        <f>'2022'!U774</f>
        <v>10217</v>
      </c>
      <c r="L90" s="119">
        <f>'2022'!V774</f>
        <v>1129</v>
      </c>
      <c r="M90" s="119">
        <f>'2022'!Y774</f>
        <v>10669</v>
      </c>
      <c r="N90" s="119">
        <f>'2022'!Z774</f>
        <v>452</v>
      </c>
      <c r="O90" s="119">
        <f>'2022'!AC774</f>
        <v>11040</v>
      </c>
      <c r="P90" s="119">
        <f>'2022'!AD774</f>
        <v>371</v>
      </c>
      <c r="Q90" s="119">
        <f>'2022'!AG774</f>
        <v>11291</v>
      </c>
      <c r="R90" s="119">
        <f>'2022'!AH774</f>
        <v>265.056</v>
      </c>
      <c r="S90" s="119">
        <f>'2022'!AK774</f>
        <v>11600</v>
      </c>
      <c r="T90" s="119">
        <f>'2022'!AL774</f>
        <v>317.652</v>
      </c>
      <c r="U90" s="119">
        <f>'2022'!AO774</f>
        <v>11990</v>
      </c>
      <c r="V90" s="119">
        <f>'2022'!AP774</f>
        <v>402.87</v>
      </c>
      <c r="W90" s="119">
        <f>'2022'!AS774</f>
        <v>12818</v>
      </c>
      <c r="X90" s="119">
        <f>'2022'!AT774</f>
        <v>869.4</v>
      </c>
      <c r="Y90" s="119">
        <f>'2022'!AW774</f>
      </c>
      <c r="Z90" s="119">
        <f>'2022'!AX774</f>
        <v>0</v>
      </c>
      <c r="AA90" s="119"/>
      <c r="AB90" s="119">
        <f>'2022'!BA774</f>
      </c>
      <c r="AC90" s="119">
        <f>'2022'!BB774</f>
      </c>
      <c r="AD90" s="119"/>
      <c r="AE90" s="119">
        <f>'2022'!BE774</f>
        <v>5269.978</v>
      </c>
      <c r="AF90" s="119">
        <f t="shared" si="0"/>
        <v>0</v>
      </c>
    </row>
    <row r="91" ht="15.75" customHeight="1" spans="1:32" x14ac:dyDescent="0.25">
      <c r="A91" s="21"/>
      <c r="B91" s="115" t="s">
        <v>292</v>
      </c>
      <c r="C91" s="115">
        <v>4.25</v>
      </c>
      <c r="D91" s="15" t="s">
        <v>436</v>
      </c>
      <c r="E91" s="119">
        <f>'2022'!I783</f>
        <v>1182</v>
      </c>
      <c r="F91" s="119">
        <f>'2022'!J783</f>
        <v>0</v>
      </c>
      <c r="G91" s="119">
        <f>'2022'!M783</f>
        <v>1182</v>
      </c>
      <c r="H91" s="119">
        <f>'2022'!N783</f>
        <v>0</v>
      </c>
      <c r="I91" s="119">
        <f>'2022'!Q783</f>
        <v>1198</v>
      </c>
      <c r="J91" s="119">
        <f>'2022'!R783</f>
        <v>16</v>
      </c>
      <c r="K91" s="119">
        <f>'2022'!U783</f>
        <v>1392</v>
      </c>
      <c r="L91" s="119">
        <f>'2022'!V783</f>
        <v>194</v>
      </c>
      <c r="M91" s="119">
        <f>'2022'!Y783</f>
        <v>1481</v>
      </c>
      <c r="N91" s="119">
        <f>'2022'!Z783</f>
        <v>89</v>
      </c>
      <c r="O91" s="119">
        <f>'2022'!AC783</f>
        <v>1565</v>
      </c>
      <c r="P91" s="119">
        <f>'2022'!AD783</f>
        <v>84</v>
      </c>
      <c r="Q91" s="119">
        <f>'2022'!AG783</f>
        <v>1661</v>
      </c>
      <c r="R91" s="119">
        <f>'2022'!AH783</f>
        <v>101.376</v>
      </c>
      <c r="S91" s="119">
        <f>'2022'!AK783</f>
        <v>1823</v>
      </c>
      <c r="T91" s="119">
        <f>'2022'!AL783</f>
        <v>166.536</v>
      </c>
      <c r="U91" s="119">
        <f>'2022'!AO783</f>
        <v>2171</v>
      </c>
      <c r="V91" s="119">
        <f>'2022'!AP783</f>
        <v>359.484</v>
      </c>
      <c r="W91" s="119">
        <f>'2022'!AS783</f>
        <v>2462</v>
      </c>
      <c r="X91" s="119">
        <f>'2022'!AT783</f>
        <v>305.55</v>
      </c>
      <c r="Y91" s="119">
        <f>'2022'!AW783</f>
      </c>
      <c r="Z91" s="119">
        <f>'2022'!AX783</f>
        <v>0</v>
      </c>
      <c r="AA91" s="119"/>
      <c r="AB91" s="119">
        <f>'2022'!BA783</f>
      </c>
      <c r="AC91" s="119">
        <f>'2022'!BB783</f>
      </c>
      <c r="AD91" s="119"/>
      <c r="AE91" s="119">
        <f>'2022'!BE783</f>
        <v>1315.946</v>
      </c>
      <c r="AF91" s="119">
        <f t="shared" si="0"/>
        <v>0</v>
      </c>
    </row>
    <row r="92" ht="15.75" customHeight="1" spans="1:32" x14ac:dyDescent="0.25">
      <c r="A92" s="114" t="s">
        <v>297</v>
      </c>
      <c r="B92" s="115">
        <v>80</v>
      </c>
      <c r="C92" s="115">
        <v>4.28</v>
      </c>
      <c r="D92" s="117" t="s">
        <v>298</v>
      </c>
      <c r="E92" s="119">
        <f>'2022'!I792</f>
        <v>1657</v>
      </c>
      <c r="F92" s="119">
        <f>'2022'!J792</f>
        <v>0</v>
      </c>
      <c r="G92" s="119">
        <f>'2022'!M792</f>
        <v>1657</v>
      </c>
      <c r="H92" s="119">
        <f>'2022'!N792</f>
        <v>0</v>
      </c>
      <c r="I92" s="119">
        <f>'2022'!Q792</f>
        <v>1657</v>
      </c>
      <c r="J92" s="119">
        <f>'2022'!R792</f>
        <v>0</v>
      </c>
      <c r="K92" s="119">
        <f>'2022'!U792</f>
        <v>1657</v>
      </c>
      <c r="L92" s="119">
        <f>'2022'!V792</f>
        <v>0</v>
      </c>
      <c r="M92" s="119">
        <f>'2022'!Y792</f>
        <v>1727</v>
      </c>
      <c r="N92" s="119">
        <f>'2022'!Z792</f>
        <v>70</v>
      </c>
      <c r="O92" s="119">
        <f>'2022'!AC792</f>
        <v>1913</v>
      </c>
      <c r="P92" s="119">
        <f>'2022'!AD792</f>
        <v>186</v>
      </c>
      <c r="Q92" s="119">
        <f>'2022'!AG792</f>
        <v>2119</v>
      </c>
      <c r="R92" s="119">
        <f>'2022'!AH792</f>
        <v>217.536</v>
      </c>
      <c r="S92" s="119">
        <f>'2022'!AK792</f>
        <v>2293</v>
      </c>
      <c r="T92" s="119">
        <f>'2022'!AL792</f>
        <v>178.872</v>
      </c>
      <c r="U92" s="119">
        <f>'2022'!AO792</f>
        <v>2394</v>
      </c>
      <c r="V92" s="119">
        <f>'2022'!AP792</f>
        <v>104.333</v>
      </c>
      <c r="W92" s="119">
        <f>'2022'!AS792</f>
        <v>2423</v>
      </c>
      <c r="X92" s="119">
        <f>'2022'!AT792</f>
        <v>30.45</v>
      </c>
      <c r="Y92" s="119">
        <f>'2022'!AW792</f>
      </c>
      <c r="Z92" s="119">
        <f>'2022'!AX792</f>
        <v>0</v>
      </c>
      <c r="AA92" s="119"/>
      <c r="AB92" s="119">
        <f>'2022'!BA792</f>
      </c>
      <c r="AC92" s="119">
        <f>'2022'!BB792</f>
      </c>
      <c r="AD92" s="119"/>
      <c r="AE92" s="119">
        <f>'2022'!BE792</f>
        <v>787.191</v>
      </c>
      <c r="AF92" s="119">
        <f t="shared" si="0"/>
        <v>0</v>
      </c>
    </row>
    <row r="93" ht="15.75" customHeight="1" spans="1:32" x14ac:dyDescent="0.25">
      <c r="A93" s="14"/>
      <c r="B93" s="115">
        <v>82</v>
      </c>
      <c r="C93" s="115">
        <v>4.28</v>
      </c>
      <c r="D93" s="117" t="s">
        <v>300</v>
      </c>
      <c r="E93" s="119">
        <f>'2022'!I801</f>
      </c>
      <c r="F93" s="119">
        <f>'2022'!J801</f>
        <v>0</v>
      </c>
      <c r="G93" s="119">
        <f>'2022'!M801</f>
      </c>
      <c r="H93" s="119">
        <f>'2022'!N801</f>
        <v>0</v>
      </c>
      <c r="I93" s="119">
        <f>'2022'!Q801</f>
      </c>
      <c r="J93" s="119">
        <f>'2022'!R801</f>
        <v>0</v>
      </c>
      <c r="K93" s="119">
        <f>'2022'!U801</f>
      </c>
      <c r="L93" s="119">
        <f>'2022'!V801</f>
        <v>0</v>
      </c>
      <c r="M93" s="119">
        <f>'2022'!Y801</f>
      </c>
      <c r="N93" s="119">
        <f>'2022'!Z801</f>
        <v>0</v>
      </c>
      <c r="O93" s="119">
        <f>'2022'!AC801</f>
      </c>
      <c r="P93" s="119">
        <f>'2022'!AD801</f>
        <v>0</v>
      </c>
      <c r="Q93" s="119">
        <f>'2022'!AG801</f>
      </c>
      <c r="R93" s="119">
        <f>'2022'!AH801</f>
        <v>0</v>
      </c>
      <c r="S93" s="119">
        <f>'2022'!AK801</f>
      </c>
      <c r="T93" s="119">
        <f>'2022'!AL801</f>
        <v>0</v>
      </c>
      <c r="U93" s="119">
        <f>'2022'!AO801</f>
      </c>
      <c r="V93" s="119">
        <f>'2022'!AP801</f>
        <v>0</v>
      </c>
      <c r="W93" s="119">
        <f>'2022'!AS801</f>
      </c>
      <c r="X93" s="119">
        <f>'2022'!AT801</f>
        <v>0</v>
      </c>
      <c r="Y93" s="119">
        <f>'2022'!AW801</f>
      </c>
      <c r="Z93" s="119">
        <f>'2022'!AX801</f>
        <v>0</v>
      </c>
      <c r="AA93" s="119"/>
      <c r="AB93" s="119">
        <f>'2022'!BA801</f>
      </c>
      <c r="AC93" s="119">
        <f>'2022'!BB801</f>
      </c>
      <c r="AD93" s="119"/>
      <c r="AE93" s="119">
        <f>'2022'!BE801</f>
        <v>0</v>
      </c>
      <c r="AF93" s="119">
        <f t="shared" si="0"/>
        <v>0</v>
      </c>
    </row>
    <row r="94" ht="15.75" customHeight="1" spans="1:32" x14ac:dyDescent="0.25">
      <c r="A94" s="14"/>
      <c r="B94" s="115">
        <v>84</v>
      </c>
      <c r="C94" s="115">
        <v>4.18</v>
      </c>
      <c r="D94" s="117" t="s">
        <v>301</v>
      </c>
      <c r="E94" s="119">
        <f>'2022'!I810</f>
        <v>102</v>
      </c>
      <c r="F94" s="119">
        <f>'2022'!J810</f>
        <v>0</v>
      </c>
      <c r="G94" s="119">
        <f>'2022'!M810</f>
        <v>102</v>
      </c>
      <c r="H94" s="119">
        <f>'2022'!N810</f>
        <v>0</v>
      </c>
      <c r="I94" s="119">
        <f>'2022'!Q810</f>
        <v>102</v>
      </c>
      <c r="J94" s="119">
        <f>'2022'!R810</f>
        <v>0</v>
      </c>
      <c r="K94" s="119">
        <f>'2022'!U810</f>
        <v>102</v>
      </c>
      <c r="L94" s="119">
        <f>'2022'!V810</f>
        <v>0</v>
      </c>
      <c r="M94" s="119">
        <f>'2022'!Y810</f>
        <v>153</v>
      </c>
      <c r="N94" s="119">
        <f>'2022'!Z810</f>
        <v>51</v>
      </c>
      <c r="O94" s="119">
        <f>'2022'!AC810</f>
        <v>171</v>
      </c>
      <c r="P94" s="119">
        <f>'2022'!AD810</f>
        <v>18</v>
      </c>
      <c r="Q94" s="119">
        <f>'2022'!AG810</f>
        <v>178</v>
      </c>
      <c r="R94" s="119">
        <f>'2022'!AH810</f>
        <v>7.392</v>
      </c>
      <c r="S94" s="119">
        <f>'2022'!AK810</f>
        <v>214</v>
      </c>
      <c r="T94" s="119">
        <f>'2022'!AL810</f>
        <v>37.008</v>
      </c>
      <c r="U94" s="119">
        <f>'2022'!AO810</f>
        <v>226</v>
      </c>
      <c r="V94" s="119">
        <f>'2022'!AP810</f>
        <v>12.396</v>
      </c>
      <c r="W94" s="119">
        <f>'2022'!AS810</f>
        <v>245</v>
      </c>
      <c r="X94" s="119">
        <f>'2022'!AT810</f>
        <v>19.95</v>
      </c>
      <c r="Y94" s="119">
        <f>'2022'!AW810</f>
      </c>
      <c r="Z94" s="119">
        <f>'2022'!AX810</f>
        <v>0</v>
      </c>
      <c r="AA94" s="119"/>
      <c r="AB94" s="119">
        <f>'2022'!BA810</f>
      </c>
      <c r="AC94" s="119">
        <f>'2022'!BB810</f>
      </c>
      <c r="AD94" s="119"/>
      <c r="AE94" s="119">
        <f>'2022'!BE810</f>
        <v>145.746</v>
      </c>
      <c r="AF94" s="119">
        <f t="shared" si="0"/>
        <v>0</v>
      </c>
    </row>
    <row r="95" ht="15.75" customHeight="1" spans="1:32" x14ac:dyDescent="0.25">
      <c r="A95" s="14"/>
      <c r="B95" s="115">
        <v>86</v>
      </c>
      <c r="C95" s="115">
        <v>4.23</v>
      </c>
      <c r="D95" s="117" t="s">
        <v>304</v>
      </c>
      <c r="E95" s="119">
        <f>'2022'!I819</f>
      </c>
      <c r="F95" s="119">
        <f>'2022'!J819</f>
        <v>0</v>
      </c>
      <c r="G95" s="119">
        <f>'2022'!M819</f>
      </c>
      <c r="H95" s="119">
        <f>'2022'!N819</f>
        <v>0</v>
      </c>
      <c r="I95" s="119">
        <f>'2022'!Q819</f>
      </c>
      <c r="J95" s="119">
        <f>'2022'!R819</f>
        <v>0</v>
      </c>
      <c r="K95" s="119">
        <f>'2022'!U819</f>
      </c>
      <c r="L95" s="119">
        <f>'2022'!V819</f>
        <v>0</v>
      </c>
      <c r="M95" s="119">
        <f>'2022'!Y819</f>
      </c>
      <c r="N95" s="119">
        <f>'2022'!Z819</f>
        <v>0</v>
      </c>
      <c r="O95" s="119">
        <f>'2022'!AC819</f>
      </c>
      <c r="P95" s="119">
        <f>'2022'!AD819</f>
        <v>0</v>
      </c>
      <c r="Q95" s="119">
        <f>'2022'!AG819</f>
      </c>
      <c r="R95" s="119">
        <f>'2022'!AH819</f>
        <v>0</v>
      </c>
      <c r="S95" s="119">
        <f>'2022'!AK819</f>
      </c>
      <c r="T95" s="119">
        <f>'2022'!AL819</f>
        <v>0</v>
      </c>
      <c r="U95" s="119">
        <f>'2022'!AO819</f>
      </c>
      <c r="V95" s="119">
        <f>'2022'!AP819</f>
        <v>0</v>
      </c>
      <c r="W95" s="119">
        <f>'2022'!AS819</f>
      </c>
      <c r="X95" s="119">
        <f>'2022'!AT819</f>
        <v>0</v>
      </c>
      <c r="Y95" s="119">
        <f>'2022'!AW819</f>
      </c>
      <c r="Z95" s="119">
        <f>'2022'!AX819</f>
        <v>0</v>
      </c>
      <c r="AA95" s="119"/>
      <c r="AB95" s="119">
        <f>'2022'!BA819</f>
      </c>
      <c r="AC95" s="119">
        <f>'2022'!BB819</f>
      </c>
      <c r="AD95" s="119"/>
      <c r="AE95" s="119">
        <f>'2022'!BE819</f>
        <v>0</v>
      </c>
      <c r="AF95" s="119">
        <f t="shared" si="0"/>
        <v>0</v>
      </c>
    </row>
    <row r="96" ht="15.75" customHeight="1" spans="1:32" x14ac:dyDescent="0.25">
      <c r="A96" s="14"/>
      <c r="B96" s="115">
        <v>88</v>
      </c>
      <c r="C96" s="115">
        <v>4.23</v>
      </c>
      <c r="D96" s="117" t="s">
        <v>308</v>
      </c>
      <c r="E96" s="119">
        <f>'2022'!I828</f>
      </c>
      <c r="F96" s="119">
        <f>'2022'!J828</f>
        <v>0</v>
      </c>
      <c r="G96" s="119">
        <f>'2022'!M828</f>
      </c>
      <c r="H96" s="119">
        <f>'2022'!N828</f>
        <v>0</v>
      </c>
      <c r="I96" s="119">
        <f>'2022'!Q828</f>
      </c>
      <c r="J96" s="119">
        <f>'2022'!R828</f>
        <v>0</v>
      </c>
      <c r="K96" s="119">
        <f>'2022'!U828</f>
      </c>
      <c r="L96" s="119">
        <f>'2022'!V828</f>
        <v>0</v>
      </c>
      <c r="M96" s="119">
        <f>'2022'!Y828</f>
      </c>
      <c r="N96" s="119">
        <f>'2022'!Z828</f>
        <v>0</v>
      </c>
      <c r="O96" s="119">
        <f>'2022'!AC828</f>
      </c>
      <c r="P96" s="119">
        <f>'2022'!AD828</f>
        <v>0</v>
      </c>
      <c r="Q96" s="119">
        <f>'2022'!AG828</f>
      </c>
      <c r="R96" s="119">
        <f>'2022'!AH828</f>
        <v>0</v>
      </c>
      <c r="S96" s="119">
        <f>'2022'!AK828</f>
      </c>
      <c r="T96" s="119">
        <f>'2022'!AL828</f>
        <v>0</v>
      </c>
      <c r="U96" s="119">
        <f>'2022'!AO828</f>
      </c>
      <c r="V96" s="119">
        <f>'2022'!AP828</f>
        <v>0</v>
      </c>
      <c r="W96" s="119">
        <f>'2022'!AS828</f>
      </c>
      <c r="X96" s="119">
        <f>'2022'!AT828</f>
        <v>0</v>
      </c>
      <c r="Y96" s="119">
        <f>'2022'!AW828</f>
      </c>
      <c r="Z96" s="119">
        <f>'2022'!AX828</f>
        <v>0</v>
      </c>
      <c r="AA96" s="119"/>
      <c r="AB96" s="119">
        <f>'2022'!BA828</f>
      </c>
      <c r="AC96" s="119">
        <f>'2022'!BB828</f>
      </c>
      <c r="AD96" s="119"/>
      <c r="AE96" s="119">
        <f>'2022'!BE828</f>
        <v>0</v>
      </c>
      <c r="AF96" s="119">
        <f t="shared" si="0"/>
        <v>0</v>
      </c>
    </row>
    <row r="97" ht="15.75" customHeight="1" spans="1:32" x14ac:dyDescent="0.25">
      <c r="A97" s="14"/>
      <c r="B97" s="115">
        <v>90</v>
      </c>
      <c r="C97" s="115">
        <v>4.23</v>
      </c>
      <c r="D97" s="117" t="s">
        <v>311</v>
      </c>
      <c r="E97" s="119">
        <f>'2022'!I837</f>
      </c>
      <c r="F97" s="119">
        <f>'2022'!J837</f>
        <v>0</v>
      </c>
      <c r="G97" s="119">
        <f>'2022'!M837</f>
      </c>
      <c r="H97" s="119">
        <f>'2022'!N837</f>
        <v>0</v>
      </c>
      <c r="I97" s="119">
        <f>'2022'!Q837</f>
      </c>
      <c r="J97" s="119">
        <f>'2022'!R837</f>
        <v>0</v>
      </c>
      <c r="K97" s="119">
        <f>'2022'!U837</f>
      </c>
      <c r="L97" s="119">
        <f>'2022'!V837</f>
        <v>0</v>
      </c>
      <c r="M97" s="119">
        <f>'2022'!Y837</f>
      </c>
      <c r="N97" s="119">
        <f>'2022'!Z837</f>
        <v>0</v>
      </c>
      <c r="O97" s="119">
        <f>'2022'!AC837</f>
      </c>
      <c r="P97" s="119">
        <f>'2022'!AD837</f>
        <v>0</v>
      </c>
      <c r="Q97" s="119">
        <f>'2022'!AG837</f>
      </c>
      <c r="R97" s="119">
        <f>'2022'!AH837</f>
        <v>0</v>
      </c>
      <c r="S97" s="119">
        <f>'2022'!AK837</f>
      </c>
      <c r="T97" s="119">
        <f>'2022'!AL837</f>
        <v>0</v>
      </c>
      <c r="U97" s="119">
        <f>'2022'!AO837</f>
      </c>
      <c r="V97" s="119">
        <f>'2022'!AP837</f>
        <v>0</v>
      </c>
      <c r="W97" s="119">
        <f>'2022'!AS837</f>
      </c>
      <c r="X97" s="119">
        <f>'2022'!AT837</f>
        <v>0</v>
      </c>
      <c r="Y97" s="119">
        <f>'2022'!AW837</f>
      </c>
      <c r="Z97" s="119">
        <f>'2022'!AX837</f>
        <v>0</v>
      </c>
      <c r="AA97" s="119"/>
      <c r="AB97" s="119">
        <f>'2022'!BA837</f>
      </c>
      <c r="AC97" s="119">
        <f>'2022'!BB837</f>
      </c>
      <c r="AD97" s="119"/>
      <c r="AE97" s="119">
        <f>'2022'!BE837</f>
        <v>0</v>
      </c>
      <c r="AF97" s="119">
        <f t="shared" si="0"/>
        <v>0</v>
      </c>
    </row>
    <row r="98" ht="15.75" customHeight="1" spans="1:32" x14ac:dyDescent="0.25">
      <c r="A98" s="14"/>
      <c r="B98" s="115">
        <v>92</v>
      </c>
      <c r="C98" s="115">
        <v>4.28</v>
      </c>
      <c r="D98" s="117" t="s">
        <v>312</v>
      </c>
      <c r="E98" s="119">
        <f>'2022'!I846</f>
        <v>15636</v>
      </c>
      <c r="F98" s="119">
        <f>'2022'!J846</f>
        <v>921</v>
      </c>
      <c r="G98" s="119">
        <f>'2022'!M846</f>
        <v>15918</v>
      </c>
      <c r="H98" s="119">
        <f>'2022'!N846</f>
        <v>282</v>
      </c>
      <c r="I98" s="119">
        <f>'2022'!Q846</f>
        <v>16320</v>
      </c>
      <c r="J98" s="119">
        <f>'2022'!R846</f>
        <v>402</v>
      </c>
      <c r="K98" s="119">
        <f>'2022'!U846</f>
        <v>16568</v>
      </c>
      <c r="L98" s="119">
        <f>'2022'!V846</f>
        <v>248</v>
      </c>
      <c r="M98" s="119">
        <f>'2022'!Y846</f>
        <v>16716</v>
      </c>
      <c r="N98" s="119">
        <f>'2022'!Z846</f>
        <v>148</v>
      </c>
      <c r="O98" s="119">
        <f>'2022'!AC846</f>
        <v>17004</v>
      </c>
      <c r="P98" s="119">
        <f>'2022'!AD846</f>
        <v>288</v>
      </c>
      <c r="Q98" s="119">
        <f>'2022'!AG846</f>
        <v>17148</v>
      </c>
      <c r="R98" s="119">
        <f>'2022'!AH846</f>
        <v>152.064</v>
      </c>
      <c r="S98" s="119">
        <f>'2022'!AK846</f>
        <v>17361</v>
      </c>
      <c r="T98" s="119">
        <f>'2022'!AL846</f>
        <v>218.964</v>
      </c>
      <c r="U98" s="119">
        <f>'2022'!AO846</f>
        <v>17579</v>
      </c>
      <c r="V98" s="119">
        <f>'2022'!AP846</f>
        <v>225.194</v>
      </c>
      <c r="W98" s="119">
        <f>'2022'!AS846</f>
        <v>17838</v>
      </c>
      <c r="X98" s="119">
        <f>'2022'!AT846</f>
        <v>271.95</v>
      </c>
      <c r="Y98" s="119">
        <f>'2022'!AW846</f>
      </c>
      <c r="Z98" s="119">
        <f>'2022'!AX846</f>
        <v>0</v>
      </c>
      <c r="AA98" s="119"/>
      <c r="AB98" s="119">
        <f>'2022'!BA846</f>
      </c>
      <c r="AC98" s="119">
        <f>'2022'!BB846</f>
      </c>
      <c r="AD98" s="119"/>
      <c r="AE98" s="119">
        <f>'2022'!BE846</f>
        <v>3157.172</v>
      </c>
      <c r="AF98" s="119">
        <f t="shared" si="0"/>
        <v>0</v>
      </c>
    </row>
    <row r="99" ht="15.75" customHeight="1" spans="1:32" x14ac:dyDescent="0.25">
      <c r="A99" s="14"/>
      <c r="B99" s="115" t="s">
        <v>315</v>
      </c>
      <c r="C99" s="115">
        <v>4.36</v>
      </c>
      <c r="D99" s="117" t="s">
        <v>316</v>
      </c>
      <c r="E99" s="119">
        <f>'2022'!I855</f>
        <v>57111</v>
      </c>
      <c r="F99" s="119">
        <f>'2022'!J855</f>
        <v>2151</v>
      </c>
      <c r="G99" s="119">
        <f>'2022'!M855</f>
        <v>59319</v>
      </c>
      <c r="H99" s="119">
        <f>'2022'!N855</f>
        <v>2208</v>
      </c>
      <c r="I99" s="119">
        <f>'2022'!Q855</f>
        <v>61172</v>
      </c>
      <c r="J99" s="119">
        <f>'2022'!R855</f>
        <v>1853</v>
      </c>
      <c r="K99" s="119">
        <f>'2022'!U855</f>
        <v>62594</v>
      </c>
      <c r="L99" s="119">
        <f>'2022'!V855</f>
        <v>1422</v>
      </c>
      <c r="M99" s="119">
        <f>'2022'!Y855</f>
        <v>63249</v>
      </c>
      <c r="N99" s="119">
        <f>'2022'!Z855</f>
        <v>655</v>
      </c>
      <c r="O99" s="119">
        <f>'2022'!AC855</f>
        <v>63735</v>
      </c>
      <c r="P99" s="119">
        <f>'2022'!AD855</f>
        <v>486</v>
      </c>
      <c r="Q99" s="119">
        <f>'2022'!AG855</f>
        <v>64142</v>
      </c>
      <c r="R99" s="119">
        <f>'2022'!AH855</f>
        <v>429.792</v>
      </c>
      <c r="S99" s="119">
        <f>'2022'!AK855</f>
        <v>64553</v>
      </c>
      <c r="T99" s="119">
        <f>'2022'!AL855</f>
        <v>422.508</v>
      </c>
      <c r="U99" s="119">
        <f>'2022'!AO855</f>
        <v>65034</v>
      </c>
      <c r="V99" s="119">
        <f>'2022'!AP855</f>
        <v>496.873</v>
      </c>
      <c r="W99" s="119">
        <f>'2022'!AS855</f>
        <v>66327</v>
      </c>
      <c r="X99" s="119">
        <f>'2022'!AT855</f>
        <v>1357.65</v>
      </c>
      <c r="Y99" s="119">
        <f>'2022'!AW855</f>
      </c>
      <c r="Z99" s="119">
        <f>'2022'!AX855</f>
        <v>0</v>
      </c>
      <c r="AA99" s="119"/>
      <c r="AB99" s="119">
        <f>'2022'!BA855</f>
      </c>
      <c r="AC99" s="119">
        <f>'2022'!BB855</f>
      </c>
      <c r="AD99" s="119"/>
      <c r="AE99" s="119">
        <f>'2022'!BE855</f>
        <v>11481.823</v>
      </c>
      <c r="AF99" s="119">
        <f t="shared" si="0"/>
        <v>0</v>
      </c>
    </row>
    <row r="100" ht="15.75" customHeight="1" spans="1:32" x14ac:dyDescent="0.25">
      <c r="A100" s="14"/>
      <c r="B100" s="115" t="s">
        <v>315</v>
      </c>
      <c r="C100" s="116">
        <v>4.4</v>
      </c>
      <c r="D100" s="117" t="s">
        <v>316</v>
      </c>
      <c r="E100" s="119">
        <f>'2022'!I864</f>
      </c>
      <c r="F100" s="119">
        <f>'2022'!J864</f>
        <v>0</v>
      </c>
      <c r="G100" s="119">
        <f>'2022'!M864</f>
      </c>
      <c r="H100" s="119">
        <f>'2022'!N864</f>
        <v>0</v>
      </c>
      <c r="I100" s="119">
        <f>'2022'!Q864</f>
      </c>
      <c r="J100" s="119">
        <f>'2022'!R864</f>
        <v>0</v>
      </c>
      <c r="K100" s="119">
        <f>'2022'!U864</f>
      </c>
      <c r="L100" s="119">
        <f>'2022'!V864</f>
        <v>0</v>
      </c>
      <c r="M100" s="119">
        <f>'2022'!Y864</f>
      </c>
      <c r="N100" s="119">
        <f>'2022'!Z864</f>
        <v>0</v>
      </c>
      <c r="O100" s="119">
        <f>'2022'!AC864</f>
      </c>
      <c r="P100" s="119">
        <f>'2022'!AD864</f>
        <v>0</v>
      </c>
      <c r="Q100" s="119">
        <f>'2022'!AG864</f>
      </c>
      <c r="R100" s="119">
        <f>'2022'!AH864</f>
        <v>0</v>
      </c>
      <c r="S100" s="119">
        <f>'2022'!AK864</f>
      </c>
      <c r="T100" s="119">
        <f>'2022'!AL864</f>
        <v>0</v>
      </c>
      <c r="U100" s="119">
        <f>'2022'!AO864</f>
      </c>
      <c r="V100" s="119">
        <f>'2022'!AP864</f>
        <v>0</v>
      </c>
      <c r="W100" s="119">
        <f>'2022'!AS864</f>
      </c>
      <c r="X100" s="119">
        <f>'2022'!AT864</f>
        <v>0</v>
      </c>
      <c r="Y100" s="119">
        <f>'2022'!AW864</f>
      </c>
      <c r="Z100" s="119">
        <f>'2022'!AX864</f>
        <v>0</v>
      </c>
      <c r="AA100" s="119"/>
      <c r="AB100" s="119">
        <f>'2022'!BA864</f>
      </c>
      <c r="AC100" s="119">
        <f>'2022'!BB864</f>
      </c>
      <c r="AD100" s="119"/>
      <c r="AE100" s="119">
        <f>'2022'!BE864</f>
        <v>0</v>
      </c>
      <c r="AF100" s="119">
        <f t="shared" si="0"/>
        <v>0</v>
      </c>
    </row>
    <row r="101" ht="15.75" customHeight="1" spans="1:32" x14ac:dyDescent="0.25">
      <c r="A101" s="14"/>
      <c r="B101" s="115">
        <v>99</v>
      </c>
      <c r="C101" s="115">
        <v>4.53</v>
      </c>
      <c r="D101" s="117" t="s">
        <v>319</v>
      </c>
      <c r="E101" s="119">
        <f>'2022'!I873</f>
        <v>245</v>
      </c>
      <c r="F101" s="119">
        <f>'2022'!J873</f>
        <v>0</v>
      </c>
      <c r="G101" s="119">
        <f>'2022'!M873</f>
        <v>245</v>
      </c>
      <c r="H101" s="119">
        <f>'2022'!N873</f>
        <v>0</v>
      </c>
      <c r="I101" s="119">
        <f>'2022'!Q873</f>
        <v>245</v>
      </c>
      <c r="J101" s="119">
        <f>'2022'!R873</f>
        <v>0</v>
      </c>
      <c r="K101" s="119">
        <f>'2022'!U873</f>
        <v>245</v>
      </c>
      <c r="L101" s="119">
        <f>'2022'!V873</f>
        <v>0</v>
      </c>
      <c r="M101" s="119">
        <f>'2022'!Y873</f>
        <v>247</v>
      </c>
      <c r="N101" s="119">
        <f>'2022'!Z873</f>
        <v>2</v>
      </c>
      <c r="O101" s="119">
        <f>'2022'!AC873</f>
        <v>286</v>
      </c>
      <c r="P101" s="119">
        <f>'2022'!AD873</f>
        <v>39</v>
      </c>
      <c r="Q101" s="119">
        <f>'2022'!AG873</f>
        <v>329</v>
      </c>
      <c r="R101" s="119">
        <f>'2022'!AH873</f>
        <v>45.408</v>
      </c>
      <c r="S101" s="119">
        <f>'2022'!AK873</f>
        <v>363</v>
      </c>
      <c r="T101" s="119">
        <f>'2022'!AL873</f>
        <v>34.952</v>
      </c>
      <c r="U101" s="119">
        <f>'2022'!AO873</f>
        <v>387</v>
      </c>
      <c r="V101" s="119">
        <f>'2022'!AP873</f>
        <v>24.792</v>
      </c>
      <c r="W101" s="119">
        <f>'2022'!AS873</f>
        <v>402</v>
      </c>
      <c r="X101" s="119">
        <f>'2022'!AT873</f>
        <v>15.75</v>
      </c>
      <c r="Y101" s="119">
        <f>'2022'!AW873</f>
      </c>
      <c r="Z101" s="119">
        <f>'2022'!AX873</f>
        <v>0</v>
      </c>
      <c r="AA101" s="119"/>
      <c r="AB101" s="119">
        <f>'2022'!BA873</f>
      </c>
      <c r="AC101" s="119">
        <f>'2022'!BB873</f>
      </c>
      <c r="AD101" s="119"/>
      <c r="AE101" s="119">
        <f>'2022'!BE873</f>
        <v>161.902</v>
      </c>
      <c r="AF101" s="119">
        <f t="shared" si="0"/>
        <v>0</v>
      </c>
    </row>
    <row r="102" ht="15.75" customHeight="1" spans="1:32" x14ac:dyDescent="0.25">
      <c r="A102" s="14"/>
      <c r="B102" s="115">
        <v>101</v>
      </c>
      <c r="C102" s="115">
        <v>4.46</v>
      </c>
      <c r="D102" s="117" t="s">
        <v>321</v>
      </c>
      <c r="E102" s="119">
        <f>'2022'!I882</f>
        <v>195</v>
      </c>
      <c r="F102" s="119">
        <f>'2022'!J882</f>
        <v>0</v>
      </c>
      <c r="G102" s="119">
        <f>'2022'!M882</f>
        <v>195</v>
      </c>
      <c r="H102" s="119">
        <f>'2022'!N882</f>
        <v>0</v>
      </c>
      <c r="I102" s="119">
        <f>'2022'!Q882</f>
        <v>195</v>
      </c>
      <c r="J102" s="119">
        <f>'2022'!R882</f>
        <v>0</v>
      </c>
      <c r="K102" s="119">
        <f>'2022'!U882</f>
        <v>195</v>
      </c>
      <c r="L102" s="119">
        <f>'2022'!V882</f>
        <v>0</v>
      </c>
      <c r="M102" s="119">
        <f>'2022'!Y882</f>
        <v>201</v>
      </c>
      <c r="N102" s="119">
        <f>'2022'!Z882</f>
        <v>6</v>
      </c>
      <c r="O102" s="119">
        <f>'2022'!AC882</f>
        <v>203</v>
      </c>
      <c r="P102" s="119">
        <f>'2022'!AD882</f>
        <v>2</v>
      </c>
      <c r="Q102" s="119">
        <f>'2022'!AG882</f>
        <v>207</v>
      </c>
      <c r="R102" s="119">
        <f>'2022'!AH882</f>
        <v>4.224</v>
      </c>
      <c r="S102" s="119">
        <f>'2022'!AK882</f>
        <v>208</v>
      </c>
      <c r="T102" s="119">
        <f>'2022'!AL882</f>
        <v>1.028</v>
      </c>
      <c r="U102" s="119">
        <f>'2022'!AO882</f>
        <v>210</v>
      </c>
      <c r="V102" s="119">
        <f>'2022'!AP882</f>
        <v>2.066</v>
      </c>
      <c r="W102" s="119">
        <f>'2022'!AS882</f>
        <v>210</v>
      </c>
      <c r="X102" s="119">
        <f>'2022'!AT882</f>
        <v>0</v>
      </c>
      <c r="Y102" s="119">
        <f>'2022'!AW882</f>
      </c>
      <c r="Z102" s="119">
        <f>'2022'!AX882</f>
        <v>0</v>
      </c>
      <c r="AA102" s="119"/>
      <c r="AB102" s="119">
        <f>'2022'!BA882</f>
      </c>
      <c r="AC102" s="119">
        <f>'2022'!BB882</f>
      </c>
      <c r="AD102" s="119"/>
      <c r="AE102" s="119">
        <f>'2022'!BE882</f>
        <v>15.318</v>
      </c>
      <c r="AF102" s="119">
        <f t="shared" si="0"/>
        <v>0</v>
      </c>
    </row>
    <row r="103" ht="15.75" customHeight="1" spans="1:32" x14ac:dyDescent="0.25">
      <c r="A103" s="14"/>
      <c r="B103" s="115">
        <v>103</v>
      </c>
      <c r="C103" s="115">
        <v>4.42</v>
      </c>
      <c r="D103" s="117" t="s">
        <v>322</v>
      </c>
      <c r="E103" s="119">
        <f>'2022'!I891</f>
        <v>3</v>
      </c>
      <c r="F103" s="119">
        <f>'2022'!J891</f>
        <v>0</v>
      </c>
      <c r="G103" s="119">
        <f>'2022'!M891</f>
        <v>3</v>
      </c>
      <c r="H103" s="119">
        <f>'2022'!N891</f>
        <v>0</v>
      </c>
      <c r="I103" s="119">
        <f>'2022'!Q891</f>
        <v>3</v>
      </c>
      <c r="J103" s="119">
        <f>'2022'!R891</f>
        <v>0</v>
      </c>
      <c r="K103" s="119">
        <f>'2022'!U891</f>
        <v>3</v>
      </c>
      <c r="L103" s="119">
        <f>'2022'!V891</f>
        <v>0</v>
      </c>
      <c r="M103" s="119">
        <f>'2022'!Y891</f>
        <v>3</v>
      </c>
      <c r="N103" s="119">
        <f>'2022'!Z891</f>
        <v>0</v>
      </c>
      <c r="O103" s="119">
        <f>'2022'!AC891</f>
        <v>3</v>
      </c>
      <c r="P103" s="119">
        <f>'2022'!AD891</f>
        <v>0</v>
      </c>
      <c r="Q103" s="119">
        <f>'2022'!AG891</f>
        <v>3</v>
      </c>
      <c r="R103" s="119">
        <f>'2022'!AH891</f>
        <v>0</v>
      </c>
      <c r="S103" s="119">
        <f>'2022'!AK891</f>
        <v>3</v>
      </c>
      <c r="T103" s="119">
        <f>'2022'!AL891</f>
        <v>0</v>
      </c>
      <c r="U103" s="119">
        <f>'2022'!AO891</f>
        <v>3</v>
      </c>
      <c r="V103" s="119">
        <f>'2022'!AP891</f>
        <v>0</v>
      </c>
      <c r="W103" s="119">
        <f>'2022'!AS891</f>
        <v>3</v>
      </c>
      <c r="X103" s="119">
        <f>'2022'!AT891</f>
        <v>0</v>
      </c>
      <c r="Y103" s="119">
        <f>'2022'!AW891</f>
      </c>
      <c r="Z103" s="119">
        <f>'2022'!AX891</f>
        <v>0</v>
      </c>
      <c r="AA103" s="119"/>
      <c r="AB103" s="119">
        <f>'2022'!BA891</f>
      </c>
      <c r="AC103" s="119">
        <f>'2022'!BB891</f>
      </c>
      <c r="AD103" s="119"/>
      <c r="AE103" s="119">
        <f>'2022'!BE891</f>
        <v>0</v>
      </c>
      <c r="AF103" s="119">
        <f t="shared" si="0"/>
        <v>0</v>
      </c>
    </row>
    <row r="104" ht="15.75" customHeight="1" spans="1:32" x14ac:dyDescent="0.25">
      <c r="A104" s="14"/>
      <c r="B104" s="115">
        <v>105</v>
      </c>
      <c r="C104" s="115">
        <v>4.41</v>
      </c>
      <c r="D104" s="117" t="s">
        <v>323</v>
      </c>
      <c r="E104" s="119">
        <f>'2022'!I900</f>
        <v>2571</v>
      </c>
      <c r="F104" s="119">
        <f>'2022'!J900</f>
        <v>0</v>
      </c>
      <c r="G104" s="119">
        <f>'2022'!M900</f>
        <v>2571</v>
      </c>
      <c r="H104" s="119">
        <f>'2022'!N900</f>
        <v>0</v>
      </c>
      <c r="I104" s="119">
        <f>'2022'!Q900</f>
        <v>2571</v>
      </c>
      <c r="J104" s="119">
        <f>'2022'!R900</f>
        <v>0</v>
      </c>
      <c r="K104" s="119">
        <f>'2022'!U900</f>
        <v>2571</v>
      </c>
      <c r="L104" s="119">
        <f>'2022'!V900</f>
        <v>0</v>
      </c>
      <c r="M104" s="119">
        <f>'2022'!Y900</f>
        <v>2707</v>
      </c>
      <c r="N104" s="119">
        <f>'2022'!Z900</f>
        <v>136</v>
      </c>
      <c r="O104" s="119">
        <f>'2022'!AC900</f>
        <v>2840</v>
      </c>
      <c r="P104" s="119">
        <f>'2022'!AD900</f>
        <v>133</v>
      </c>
      <c r="Q104" s="119">
        <f>'2022'!AG900</f>
        <v>2938</v>
      </c>
      <c r="R104" s="119">
        <f>'2022'!AH900</f>
        <v>103.488</v>
      </c>
      <c r="S104" s="119">
        <f>'2022'!AK900</f>
        <v>3032</v>
      </c>
      <c r="T104" s="119">
        <f>'2022'!AL900</f>
        <v>96.632</v>
      </c>
      <c r="U104" s="119">
        <f>'2022'!AO900</f>
        <v>3097</v>
      </c>
      <c r="V104" s="119">
        <f>'2022'!AP900</f>
        <v>67.145</v>
      </c>
      <c r="W104" s="119">
        <f>'2022'!AS900</f>
        <v>3109</v>
      </c>
      <c r="X104" s="119">
        <f>'2022'!AT900</f>
        <v>12.6</v>
      </c>
      <c r="Y104" s="119">
        <f>'2022'!AW900</f>
      </c>
      <c r="Z104" s="119">
        <f>'2022'!AX900</f>
        <v>0</v>
      </c>
      <c r="AA104" s="119"/>
      <c r="AB104" s="119">
        <f>'2022'!BA900</f>
      </c>
      <c r="AC104" s="119">
        <f>'2022'!BB900</f>
      </c>
      <c r="AD104" s="119"/>
      <c r="AE104" s="119">
        <f>'2022'!BE900</f>
        <v>548.865</v>
      </c>
      <c r="AF104" s="119">
        <f t="shared" si="0"/>
        <v>0</v>
      </c>
    </row>
    <row r="105" ht="15.75" customHeight="1" spans="1:32" x14ac:dyDescent="0.25">
      <c r="A105" s="21"/>
      <c r="B105" s="115">
        <v>107</v>
      </c>
      <c r="C105" s="115">
        <v>4.37</v>
      </c>
      <c r="D105" s="117" t="s">
        <v>325</v>
      </c>
      <c r="E105" s="119">
        <f>'2022'!I909</f>
        <v>695</v>
      </c>
      <c r="F105" s="119">
        <f>'2022'!J909</f>
        <v>0</v>
      </c>
      <c r="G105" s="119">
        <f>'2022'!M909</f>
        <v>695</v>
      </c>
      <c r="H105" s="119">
        <f>'2022'!N909</f>
        <v>0</v>
      </c>
      <c r="I105" s="119">
        <f>'2022'!Q909</f>
        <v>695</v>
      </c>
      <c r="J105" s="119">
        <f>'2022'!R909</f>
        <v>0</v>
      </c>
      <c r="K105" s="119">
        <f>'2022'!U909</f>
        <v>695</v>
      </c>
      <c r="L105" s="119">
        <f>'2022'!V909</f>
        <v>0</v>
      </c>
      <c r="M105" s="119">
        <f>'2022'!Y909</f>
        <v>731</v>
      </c>
      <c r="N105" s="119">
        <f>'2022'!Z909</f>
        <v>36</v>
      </c>
      <c r="O105" s="119">
        <f>'2022'!AC909</f>
        <v>802</v>
      </c>
      <c r="P105" s="119">
        <f>'2022'!AD909</f>
        <v>71</v>
      </c>
      <c r="Q105" s="119">
        <f>'2022'!AG909</f>
        <v>904</v>
      </c>
      <c r="R105" s="119">
        <f>'2022'!AH909</f>
        <v>107.712</v>
      </c>
      <c r="S105" s="119">
        <f>'2022'!AK909</f>
        <v>1044</v>
      </c>
      <c r="T105" s="119">
        <f>'2022'!AL909</f>
        <v>143.92</v>
      </c>
      <c r="U105" s="119">
        <f>'2022'!AO909</f>
        <v>1109</v>
      </c>
      <c r="V105" s="119">
        <f>'2022'!AP909</f>
        <v>67.145</v>
      </c>
      <c r="W105" s="119">
        <f>'2022'!AS909</f>
        <v>1116</v>
      </c>
      <c r="X105" s="119">
        <f>'2022'!AT909</f>
        <v>7.35</v>
      </c>
      <c r="Y105" s="119">
        <f>'2022'!AW909</f>
      </c>
      <c r="Z105" s="119">
        <f>'2022'!AX909</f>
        <v>0</v>
      </c>
      <c r="AA105" s="119"/>
      <c r="AB105" s="119">
        <f>'2022'!BA909</f>
      </c>
      <c r="AC105" s="119">
        <f>'2022'!BB909</f>
      </c>
      <c r="AD105" s="119"/>
      <c r="AE105" s="119">
        <f>'2022'!BE909</f>
        <v>433.127</v>
      </c>
      <c r="AF105" s="119">
        <f t="shared" si="0"/>
        <v>0</v>
      </c>
    </row>
    <row r="106" ht="15.75" customHeight="1" spans="1:32" x14ac:dyDescent="0.25">
      <c r="A106" s="114" t="s">
        <v>327</v>
      </c>
      <c r="B106" s="115">
        <v>96</v>
      </c>
      <c r="C106" s="115">
        <v>4.46</v>
      </c>
      <c r="D106" s="117" t="s">
        <v>450</v>
      </c>
      <c r="E106" s="119">
        <f>'2022'!I918</f>
      </c>
      <c r="F106" s="119">
        <f>'2022'!J918</f>
        <v>0</v>
      </c>
      <c r="G106" s="119">
        <f>'2022'!M918</f>
      </c>
      <c r="H106" s="119">
        <f>'2022'!N918</f>
        <v>0</v>
      </c>
      <c r="I106" s="119">
        <f>'2022'!Q918</f>
      </c>
      <c r="J106" s="119">
        <f>'2022'!R918</f>
        <v>0</v>
      </c>
      <c r="K106" s="119">
        <f>'2022'!U918</f>
      </c>
      <c r="L106" s="119">
        <f>'2022'!V918</f>
        <v>0</v>
      </c>
      <c r="M106" s="119">
        <f>'2022'!Y918</f>
      </c>
      <c r="N106" s="119">
        <f>'2022'!Z918</f>
        <v>0</v>
      </c>
      <c r="O106" s="119">
        <f>'2022'!AC918</f>
      </c>
      <c r="P106" s="119">
        <f>'2022'!AD918</f>
        <v>0</v>
      </c>
      <c r="Q106" s="119">
        <f>'2022'!AG918</f>
      </c>
      <c r="R106" s="119">
        <f>'2022'!AH918</f>
        <v>0</v>
      </c>
      <c r="S106" s="119">
        <f>'2022'!AK918</f>
      </c>
      <c r="T106" s="119">
        <f>'2022'!AL918</f>
        <v>0</v>
      </c>
      <c r="U106" s="119">
        <f>'2022'!AO918</f>
      </c>
      <c r="V106" s="119">
        <f>'2022'!AP918</f>
        <v>0</v>
      </c>
      <c r="W106" s="119">
        <f>'2022'!AS918</f>
      </c>
      <c r="X106" s="119">
        <f>'2022'!AT918</f>
        <v>0</v>
      </c>
      <c r="Y106" s="119">
        <f>'2022'!AW918</f>
      </c>
      <c r="Z106" s="119">
        <f>'2022'!AX918</f>
        <v>0</v>
      </c>
      <c r="AA106" s="119"/>
      <c r="AB106" s="119">
        <f>'2022'!BA918</f>
      </c>
      <c r="AC106" s="119">
        <f>'2022'!BB918</f>
      </c>
      <c r="AD106" s="119"/>
      <c r="AE106" s="119">
        <f>'2022'!BE918</f>
        <v>0</v>
      </c>
      <c r="AF106" s="119">
        <f t="shared" si="0"/>
        <v>0</v>
      </c>
    </row>
    <row r="107" ht="15.75" customHeight="1" spans="1:32" x14ac:dyDescent="0.25">
      <c r="A107" s="14"/>
      <c r="B107" s="115">
        <v>98</v>
      </c>
      <c r="C107" s="115">
        <v>4.45</v>
      </c>
      <c r="D107" s="117" t="s">
        <v>328</v>
      </c>
      <c r="E107" s="119">
        <f>'2022'!I927</f>
      </c>
      <c r="F107" s="119">
        <f>'2022'!J927</f>
        <v>0</v>
      </c>
      <c r="G107" s="119">
        <f>'2022'!M927</f>
      </c>
      <c r="H107" s="119">
        <f>'2022'!N927</f>
        <v>0</v>
      </c>
      <c r="I107" s="119">
        <f>'2022'!Q927</f>
      </c>
      <c r="J107" s="119">
        <f>'2022'!R927</f>
        <v>0</v>
      </c>
      <c r="K107" s="119">
        <f>'2022'!U927</f>
      </c>
      <c r="L107" s="119">
        <f>'2022'!V927</f>
        <v>0</v>
      </c>
      <c r="M107" s="119">
        <f>'2022'!Y927</f>
        <v>0</v>
      </c>
      <c r="N107" s="119">
        <f>'2022'!Z927</f>
        <v>0</v>
      </c>
      <c r="O107" s="119">
        <f>'2022'!AC927</f>
      </c>
      <c r="P107" s="119">
        <f>'2022'!AD927</f>
        <v>0</v>
      </c>
      <c r="Q107" s="119">
        <f>'2022'!AG927</f>
      </c>
      <c r="R107" s="119">
        <f>'2022'!AH927</f>
        <v>0</v>
      </c>
      <c r="S107" s="119">
        <f>'2022'!AK927</f>
      </c>
      <c r="T107" s="119">
        <f>'2022'!AL927</f>
        <v>0</v>
      </c>
      <c r="U107" s="119">
        <f>'2022'!AO927</f>
      </c>
      <c r="V107" s="119">
        <f>'2022'!AP927</f>
        <v>0</v>
      </c>
      <c r="W107" s="119">
        <f>'2022'!AS927</f>
      </c>
      <c r="X107" s="119">
        <f>'2022'!AT927</f>
        <v>0</v>
      </c>
      <c r="Y107" s="119">
        <f>'2022'!AW927</f>
      </c>
      <c r="Z107" s="119">
        <f>'2022'!AX927</f>
        <v>0</v>
      </c>
      <c r="AA107" s="119"/>
      <c r="AB107" s="119">
        <f>'2022'!BA927</f>
      </c>
      <c r="AC107" s="119">
        <f>'2022'!BB927</f>
      </c>
      <c r="AD107" s="119"/>
      <c r="AE107" s="119">
        <f>'2022'!BE927</f>
        <v>0</v>
      </c>
      <c r="AF107" s="119">
        <f t="shared" si="0"/>
        <v>0</v>
      </c>
    </row>
    <row r="108" ht="15.75" customHeight="1" spans="1:32" x14ac:dyDescent="0.25">
      <c r="A108" s="14"/>
      <c r="B108" s="115">
        <v>100</v>
      </c>
      <c r="C108" s="115">
        <v>4.47</v>
      </c>
      <c r="D108" s="117" t="s">
        <v>330</v>
      </c>
      <c r="E108" s="119">
        <f>'2022'!I936</f>
        <v>1129</v>
      </c>
      <c r="F108" s="119">
        <f>'2022'!J936</f>
        <v>0</v>
      </c>
      <c r="G108" s="119">
        <f>'2022'!M936</f>
        <v>1129</v>
      </c>
      <c r="H108" s="119">
        <f>'2022'!N936</f>
        <v>0</v>
      </c>
      <c r="I108" s="119">
        <f>'2022'!Q936</f>
        <v>1129</v>
      </c>
      <c r="J108" s="119">
        <f>'2022'!R936</f>
        <v>0</v>
      </c>
      <c r="K108" s="119">
        <f>'2022'!U936</f>
        <v>1129</v>
      </c>
      <c r="L108" s="119">
        <f>'2022'!V936</f>
        <v>0</v>
      </c>
      <c r="M108" s="119">
        <f>'2022'!Y936</f>
        <v>1198</v>
      </c>
      <c r="N108" s="119">
        <f>'2022'!Z936</f>
        <v>69</v>
      </c>
      <c r="O108" s="119">
        <f>'2022'!AC936</f>
        <v>1298</v>
      </c>
      <c r="P108" s="119">
        <f>'2022'!AD936</f>
        <v>100</v>
      </c>
      <c r="Q108" s="119">
        <f>'2022'!AG936</f>
        <v>1365</v>
      </c>
      <c r="R108" s="119">
        <f>'2022'!AH936</f>
        <v>70.752</v>
      </c>
      <c r="S108" s="119">
        <f>'2022'!AK936</f>
        <v>1404</v>
      </c>
      <c r="T108" s="119">
        <f>'2022'!AL936</f>
        <v>40.092</v>
      </c>
      <c r="U108" s="119">
        <f>'2022'!AO936</f>
        <v>1513</v>
      </c>
      <c r="V108" s="119">
        <f>'2022'!AP936</f>
        <v>112.597</v>
      </c>
      <c r="W108" s="119">
        <f>'2022'!AS936</f>
        <v>1542</v>
      </c>
      <c r="X108" s="119">
        <f>'2022'!AT936</f>
        <v>30.45</v>
      </c>
      <c r="Y108" s="119">
        <f>'2022'!AW936</f>
      </c>
      <c r="Z108" s="119">
        <f>'2022'!AX936</f>
        <v>0</v>
      </c>
      <c r="AA108" s="119"/>
      <c r="AB108" s="119">
        <f>'2022'!BA936</f>
      </c>
      <c r="AC108" s="119">
        <f>'2022'!BB936</f>
      </c>
      <c r="AD108" s="119"/>
      <c r="AE108" s="119">
        <f>'2022'!BE936</f>
        <v>422.891</v>
      </c>
      <c r="AF108" s="119">
        <f t="shared" si="0"/>
        <v>0</v>
      </c>
    </row>
    <row r="109" ht="15.75" customHeight="1" spans="1:32" x14ac:dyDescent="0.25">
      <c r="A109" s="14"/>
      <c r="B109" s="115">
        <v>102</v>
      </c>
      <c r="C109" s="115">
        <v>4.45</v>
      </c>
      <c r="D109" s="117" t="s">
        <v>331</v>
      </c>
      <c r="E109" s="119">
        <f>'2022'!I945</f>
        <v>4062</v>
      </c>
      <c r="F109" s="119">
        <f>'2022'!J945</f>
        <v>16</v>
      </c>
      <c r="G109" s="119">
        <f>'2022'!M945</f>
        <v>4062</v>
      </c>
      <c r="H109" s="119">
        <f>'2022'!N945</f>
        <v>0</v>
      </c>
      <c r="I109" s="119">
        <f>'2022'!Q945</f>
        <v>4062</v>
      </c>
      <c r="J109" s="119">
        <f>'2022'!R945</f>
        <v>0</v>
      </c>
      <c r="K109" s="119">
        <f>'2022'!U945</f>
        <v>4062</v>
      </c>
      <c r="L109" s="119">
        <f>'2022'!V945</f>
        <v>0</v>
      </c>
      <c r="M109" s="119">
        <f>'2022'!Y945</f>
        <v>4425</v>
      </c>
      <c r="N109" s="119">
        <f>'2022'!Z945</f>
        <v>363</v>
      </c>
      <c r="O109" s="119">
        <f>'2022'!AC945</f>
        <v>4712</v>
      </c>
      <c r="P109" s="119">
        <f>'2022'!AD945</f>
        <v>287</v>
      </c>
      <c r="Q109" s="119">
        <f>'2022'!AG945</f>
        <v>5017</v>
      </c>
      <c r="R109" s="119">
        <f>'2022'!AH945</f>
        <v>322.08</v>
      </c>
      <c r="S109" s="119">
        <f>'2022'!AK945</f>
        <v>5373</v>
      </c>
      <c r="T109" s="119">
        <f>'2022'!AL945</f>
        <v>365.968</v>
      </c>
      <c r="U109" s="119">
        <f>'2022'!AO945</f>
        <v>5537</v>
      </c>
      <c r="V109" s="119">
        <f>'2022'!AP945</f>
        <v>169.412</v>
      </c>
      <c r="W109" s="119">
        <f>'2022'!AS945</f>
        <v>5669</v>
      </c>
      <c r="X109" s="119">
        <f>'2022'!AT945</f>
        <v>138.6</v>
      </c>
      <c r="Y109" s="119">
        <f>'2022'!AW945</f>
      </c>
      <c r="Z109" s="119">
        <f>'2022'!AX945</f>
        <v>0</v>
      </c>
      <c r="AA109" s="119"/>
      <c r="AB109" s="119">
        <f>'2022'!BA945</f>
      </c>
      <c r="AC109" s="119">
        <f>'2022'!BB945</f>
      </c>
      <c r="AD109" s="119"/>
      <c r="AE109" s="119">
        <f>'2022'!BE945</f>
        <v>1662.06</v>
      </c>
      <c r="AF109" s="119">
        <f t="shared" si="0"/>
        <v>0</v>
      </c>
    </row>
    <row r="110" ht="15.75" customHeight="1" spans="1:32" x14ac:dyDescent="0.25">
      <c r="A110" s="14"/>
      <c r="B110" s="115">
        <v>104</v>
      </c>
      <c r="C110" s="115">
        <v>4.42</v>
      </c>
      <c r="D110" s="117" t="s">
        <v>333</v>
      </c>
      <c r="E110" s="119">
        <f>'2022'!I954</f>
        <v>1196</v>
      </c>
      <c r="F110" s="119">
        <f>'2022'!J954</f>
        <v>0</v>
      </c>
      <c r="G110" s="119">
        <f>'2022'!M954</f>
        <v>1196</v>
      </c>
      <c r="H110" s="119">
        <f>'2022'!N954</f>
        <v>0</v>
      </c>
      <c r="I110" s="119">
        <f>'2022'!Q954</f>
        <v>1196</v>
      </c>
      <c r="J110" s="119">
        <f>'2022'!R954</f>
        <v>0</v>
      </c>
      <c r="K110" s="119">
        <f>'2022'!U954</f>
        <v>1196</v>
      </c>
      <c r="L110" s="119">
        <f>'2022'!V954</f>
        <v>0</v>
      </c>
      <c r="M110" s="119">
        <f>'2022'!Y954</f>
        <v>1217</v>
      </c>
      <c r="N110" s="119">
        <f>'2022'!Z954</f>
        <v>21</v>
      </c>
      <c r="O110" s="119">
        <f>'2022'!AC954</f>
        <v>1224</v>
      </c>
      <c r="P110" s="119">
        <f>'2022'!AD954</f>
        <v>7</v>
      </c>
      <c r="Q110" s="119">
        <f>'2022'!AG954</f>
        <v>1227</v>
      </c>
      <c r="R110" s="119">
        <f>'2022'!AH954</f>
        <v>3.168</v>
      </c>
      <c r="S110" s="119">
        <f>'2022'!AK954</f>
        <v>1235</v>
      </c>
      <c r="T110" s="119">
        <f>'2022'!AL954</f>
        <v>8.224</v>
      </c>
      <c r="U110" s="119">
        <f>'2022'!AO954</f>
        <v>1239</v>
      </c>
      <c r="V110" s="119">
        <f>'2022'!AP954</f>
        <v>4.132</v>
      </c>
      <c r="W110" s="119">
        <f>'2022'!AS954</f>
        <v>1249</v>
      </c>
      <c r="X110" s="119">
        <f>'2022'!AT954</f>
        <v>10.5</v>
      </c>
      <c r="Y110" s="119">
        <f>'2022'!AW954</f>
      </c>
      <c r="Z110" s="119">
        <f>'2022'!AX954</f>
        <v>0</v>
      </c>
      <c r="AA110" s="119"/>
      <c r="AB110" s="119">
        <f>'2022'!BA954</f>
      </c>
      <c r="AC110" s="119">
        <f>'2022'!BB954</f>
      </c>
      <c r="AD110" s="119"/>
      <c r="AE110" s="119">
        <f>'2022'!BE954</f>
        <v>54.024</v>
      </c>
      <c r="AF110" s="119">
        <f t="shared" si="0"/>
        <v>0</v>
      </c>
    </row>
    <row r="111" ht="15.75" customHeight="1" spans="1:32" x14ac:dyDescent="0.25">
      <c r="A111" s="14"/>
      <c r="B111" s="115">
        <v>106</v>
      </c>
      <c r="C111" s="115">
        <v>4.57</v>
      </c>
      <c r="D111" s="117" t="s">
        <v>336</v>
      </c>
      <c r="E111" s="119">
        <f>'2022'!I963</f>
      </c>
      <c r="F111" s="119">
        <f>'2022'!J963</f>
        <v>0</v>
      </c>
      <c r="G111" s="119">
        <f>'2022'!M963</f>
      </c>
      <c r="H111" s="119">
        <f>'2022'!N963</f>
        <v>0</v>
      </c>
      <c r="I111" s="119">
        <f>'2022'!Q963</f>
      </c>
      <c r="J111" s="119">
        <f>'2022'!R963</f>
        <v>0</v>
      </c>
      <c r="K111" s="119">
        <f>'2022'!U963</f>
      </c>
      <c r="L111" s="119">
        <f>'2022'!V963</f>
        <v>0</v>
      </c>
      <c r="M111" s="119">
        <f>'2022'!Y963</f>
      </c>
      <c r="N111" s="119">
        <f>'2022'!Z963</f>
        <v>0</v>
      </c>
      <c r="O111" s="119">
        <f>'2022'!AC963</f>
      </c>
      <c r="P111" s="119">
        <f>'2022'!AD963</f>
        <v>0</v>
      </c>
      <c r="Q111" s="119">
        <f>'2022'!AG963</f>
      </c>
      <c r="R111" s="119">
        <f>'2022'!AH963</f>
        <v>0</v>
      </c>
      <c r="S111" s="119">
        <f>'2022'!AK963</f>
      </c>
      <c r="T111" s="119">
        <f>'2022'!AL963</f>
        <v>0</v>
      </c>
      <c r="U111" s="119">
        <f>'2022'!AO963</f>
      </c>
      <c r="V111" s="119">
        <f>'2022'!AP963</f>
        <v>0</v>
      </c>
      <c r="W111" s="119">
        <f>'2022'!AS963</f>
      </c>
      <c r="X111" s="119">
        <f>'2022'!AT963</f>
        <v>0</v>
      </c>
      <c r="Y111" s="119">
        <f>'2022'!AW963</f>
      </c>
      <c r="Z111" s="119">
        <f>'2022'!AX963</f>
        <v>0</v>
      </c>
      <c r="AA111" s="119"/>
      <c r="AB111" s="119">
        <f>'2022'!BA963</f>
      </c>
      <c r="AC111" s="119">
        <f>'2022'!BB963</f>
      </c>
      <c r="AD111" s="119"/>
      <c r="AE111" s="119">
        <f>'2022'!BE963</f>
        <v>0</v>
      </c>
      <c r="AF111" s="119">
        <f t="shared" si="0"/>
        <v>0</v>
      </c>
    </row>
    <row r="112" ht="15.75" customHeight="1" spans="1:32" x14ac:dyDescent="0.25">
      <c r="A112" s="14"/>
      <c r="B112" s="115">
        <v>108</v>
      </c>
      <c r="C112" s="115">
        <v>4.32</v>
      </c>
      <c r="D112" s="117" t="s">
        <v>339</v>
      </c>
      <c r="E112" s="119">
        <f>'2022'!I972</f>
      </c>
      <c r="F112" s="119">
        <f>'2022'!J972</f>
        <v>0</v>
      </c>
      <c r="G112" s="119">
        <f>'2022'!M972</f>
      </c>
      <c r="H112" s="119">
        <f>'2022'!N972</f>
        <v>0</v>
      </c>
      <c r="I112" s="119">
        <f>'2022'!Q972</f>
      </c>
      <c r="J112" s="119">
        <f>'2022'!R972</f>
        <v>0</v>
      </c>
      <c r="K112" s="119">
        <f>'2022'!U972</f>
      </c>
      <c r="L112" s="119">
        <f>'2022'!V972</f>
        <v>0</v>
      </c>
      <c r="M112" s="119">
        <f>'2022'!Y972</f>
      </c>
      <c r="N112" s="119">
        <f>'2022'!Z972</f>
        <v>0</v>
      </c>
      <c r="O112" s="119">
        <f>'2022'!AC972</f>
      </c>
      <c r="P112" s="119">
        <f>'2022'!AD972</f>
        <v>0</v>
      </c>
      <c r="Q112" s="119">
        <f>'2022'!AG972</f>
      </c>
      <c r="R112" s="119">
        <f>'2022'!AH972</f>
        <v>0</v>
      </c>
      <c r="S112" s="119">
        <f>'2022'!AK972</f>
      </c>
      <c r="T112" s="119">
        <f>'2022'!AL972</f>
        <v>0</v>
      </c>
      <c r="U112" s="119">
        <f>'2022'!AO972</f>
      </c>
      <c r="V112" s="119">
        <f>'2022'!AP972</f>
        <v>0</v>
      </c>
      <c r="W112" s="119">
        <f>'2022'!AS972</f>
      </c>
      <c r="X112" s="119">
        <f>'2022'!AT972</f>
        <v>0</v>
      </c>
      <c r="Y112" s="119">
        <f>'2022'!AW972</f>
      </c>
      <c r="Z112" s="119">
        <f>'2022'!AX972</f>
        <v>0</v>
      </c>
      <c r="AA112" s="119"/>
      <c r="AB112" s="119">
        <f>'2022'!BA972</f>
      </c>
      <c r="AC112" s="119">
        <f>'2022'!BB972</f>
      </c>
      <c r="AD112" s="119"/>
      <c r="AE112" s="119">
        <f>'2022'!BE972</f>
        <v>0</v>
      </c>
      <c r="AF112" s="119">
        <f t="shared" si="0"/>
        <v>0</v>
      </c>
    </row>
    <row r="113" ht="15.75" customHeight="1" spans="1:32" x14ac:dyDescent="0.25">
      <c r="A113" s="14"/>
      <c r="B113" s="115">
        <v>109</v>
      </c>
      <c r="C113" s="115">
        <v>6.22</v>
      </c>
      <c r="D113" s="2" t="s">
        <v>455</v>
      </c>
      <c r="E113" s="119">
        <f>'2022'!I981</f>
        <v>46</v>
      </c>
      <c r="F113" s="119">
        <f>'2022'!J981</f>
        <v>0</v>
      </c>
      <c r="G113" s="119">
        <f>'2022'!M981</f>
        <v>46</v>
      </c>
      <c r="H113" s="119">
        <f>'2022'!N981</f>
        <v>0</v>
      </c>
      <c r="I113" s="119">
        <f>'2022'!Q981</f>
        <v>46</v>
      </c>
      <c r="J113" s="119">
        <f>'2022'!R981</f>
        <v>0</v>
      </c>
      <c r="K113" s="119">
        <f>'2022'!U981</f>
        <v>46</v>
      </c>
      <c r="L113" s="119">
        <f>'2022'!V981</f>
        <v>0</v>
      </c>
      <c r="M113" s="119">
        <f>'2022'!Y981</f>
        <v>46</v>
      </c>
      <c r="N113" s="119">
        <f>'2022'!Z981</f>
        <v>0</v>
      </c>
      <c r="O113" s="119">
        <f>'2022'!AC981</f>
        <v>49</v>
      </c>
      <c r="P113" s="119">
        <f>'2022'!AD981</f>
        <v>3</v>
      </c>
      <c r="Q113" s="119">
        <f>'2022'!AG981</f>
        <v>49</v>
      </c>
      <c r="R113" s="119">
        <f>'2022'!AH981</f>
        <v>0</v>
      </c>
      <c r="S113" s="119">
        <f>'2022'!AK981</f>
        <v>49</v>
      </c>
      <c r="T113" s="119">
        <f>'2022'!AL981</f>
        <v>0</v>
      </c>
      <c r="U113" s="119">
        <f>'2022'!AO981</f>
        <v>49</v>
      </c>
      <c r="V113" s="119">
        <f>'2022'!AP981</f>
        <v>0</v>
      </c>
      <c r="W113" s="119">
        <f>'2022'!AS981</f>
        <v>49</v>
      </c>
      <c r="X113" s="119">
        <f>'2022'!AT981</f>
        <v>0</v>
      </c>
      <c r="Y113" s="119">
        <f>'2022'!AW981</f>
      </c>
      <c r="Z113" s="119">
        <f>'2022'!AX981</f>
        <v>0</v>
      </c>
      <c r="AA113" s="119"/>
      <c r="AB113" s="119">
        <f>'2022'!BA981</f>
      </c>
      <c r="AC113" s="119">
        <f>'2022'!BB981</f>
      </c>
      <c r="AD113" s="119"/>
      <c r="AE113" s="119">
        <f>'2022'!BE981</f>
        <v>3</v>
      </c>
      <c r="AF113" s="119">
        <f t="shared" si="0"/>
        <v>0</v>
      </c>
    </row>
    <row r="114" ht="15.75" customHeight="1" spans="1:32" x14ac:dyDescent="0.25">
      <c r="A114" s="14"/>
      <c r="B114" s="115">
        <v>110</v>
      </c>
      <c r="C114" s="115">
        <v>4.91</v>
      </c>
      <c r="D114" s="117" t="s">
        <v>342</v>
      </c>
      <c r="E114" s="119">
        <f>'2022'!I990</f>
        <v>154</v>
      </c>
      <c r="F114" s="119">
        <f>'2022'!J990</f>
        <v>0</v>
      </c>
      <c r="G114" s="119">
        <f>'2022'!M990</f>
        <v>154</v>
      </c>
      <c r="H114" s="119">
        <f>'2022'!N990</f>
        <v>0</v>
      </c>
      <c r="I114" s="119">
        <f>'2022'!Q990</f>
        <v>159</v>
      </c>
      <c r="J114" s="119">
        <f>'2022'!R990</f>
        <v>5</v>
      </c>
      <c r="K114" s="119">
        <f>'2022'!U990</f>
        <v>297</v>
      </c>
      <c r="L114" s="119">
        <f>'2022'!V990</f>
        <v>138</v>
      </c>
      <c r="M114" s="119">
        <f>'2022'!Y990</f>
        <v>595</v>
      </c>
      <c r="N114" s="119">
        <f>'2022'!Z990</f>
        <v>298</v>
      </c>
      <c r="O114" s="119">
        <f>'2022'!AC990</f>
        <v>709</v>
      </c>
      <c r="P114" s="119">
        <f>'2022'!AD990</f>
        <v>114</v>
      </c>
      <c r="Q114" s="119">
        <f>'2022'!AG990</f>
        <v>836</v>
      </c>
      <c r="R114" s="119">
        <f>'2022'!AH990</f>
        <v>134.112</v>
      </c>
      <c r="S114" s="119">
        <f>'2022'!AK990</f>
        <v>994</v>
      </c>
      <c r="T114" s="119">
        <f>'2022'!AL990</f>
        <v>162.424</v>
      </c>
      <c r="U114" s="119">
        <f>'2022'!AO990</f>
        <v>1168</v>
      </c>
      <c r="V114" s="119">
        <f>'2022'!AP990</f>
        <v>179.742</v>
      </c>
      <c r="W114" s="119">
        <f>'2022'!AS990</f>
        <v>1350</v>
      </c>
      <c r="X114" s="119">
        <f>'2022'!AT990</f>
        <v>191.1</v>
      </c>
      <c r="Y114" s="119">
        <f>'2022'!AW990</f>
      </c>
      <c r="Z114" s="119">
        <f>'2022'!AX990</f>
        <v>0</v>
      </c>
      <c r="AA114" s="119"/>
      <c r="AB114" s="119">
        <f>'2022'!BA990</f>
      </c>
      <c r="AC114" s="119">
        <f>'2022'!BB990</f>
      </c>
      <c r="AD114" s="119"/>
      <c r="AE114" s="119">
        <f>'2022'!BE990</f>
        <v>1222.378</v>
      </c>
      <c r="AF114" s="119">
        <f t="shared" si="0"/>
        <v>0</v>
      </c>
    </row>
    <row r="115" ht="15.75" customHeight="1" spans="1:32" x14ac:dyDescent="0.25">
      <c r="A115" s="14"/>
      <c r="B115" s="115">
        <v>111</v>
      </c>
      <c r="C115" s="116">
        <v>6.8</v>
      </c>
      <c r="D115" s="117" t="s">
        <v>280</v>
      </c>
      <c r="E115" s="119">
        <f>'2022'!I999</f>
        <v>15801</v>
      </c>
      <c r="F115" s="119">
        <f>'2022'!J999</f>
        <v>2916</v>
      </c>
      <c r="G115" s="119">
        <f>'2022'!M999</f>
        <v>19544</v>
      </c>
      <c r="H115" s="119">
        <f>'2022'!N999</f>
        <v>3743</v>
      </c>
      <c r="I115" s="119">
        <f>'2022'!Q999</f>
        <v>22644</v>
      </c>
      <c r="J115" s="119">
        <f>'2022'!R999</f>
        <v>3100</v>
      </c>
      <c r="K115" s="119">
        <f>'2022'!U999</f>
        <v>24888</v>
      </c>
      <c r="L115" s="119">
        <f>'2022'!V999</f>
        <v>2244</v>
      </c>
      <c r="M115" s="119">
        <f>'2022'!Y999</f>
        <v>25812</v>
      </c>
      <c r="N115" s="119">
        <f>'2022'!Z999</f>
        <v>924</v>
      </c>
      <c r="O115" s="119">
        <f>'2022'!AC999</f>
        <v>26538</v>
      </c>
      <c r="P115" s="119">
        <f>'2022'!AD999</f>
        <v>726</v>
      </c>
      <c r="Q115" s="119">
        <f>'2022'!AG999</f>
        <v>26995</v>
      </c>
      <c r="R115" s="119">
        <f>'2022'!AH999</f>
        <v>482.592</v>
      </c>
      <c r="S115" s="119">
        <f>'2022'!AK999</f>
        <v>27692</v>
      </c>
      <c r="T115" s="119">
        <f>'2022'!AL999</f>
        <v>716.516</v>
      </c>
      <c r="U115" s="119">
        <f>'2022'!AO999</f>
        <v>28507</v>
      </c>
      <c r="V115" s="119">
        <f>'2022'!AP999</f>
        <v>841.895</v>
      </c>
      <c r="W115" s="119">
        <f>'2022'!AS999</f>
        <v>30713</v>
      </c>
      <c r="X115" s="119">
        <f>'2022'!AT999</f>
        <v>2316.3</v>
      </c>
      <c r="Y115" s="119">
        <f>'2022'!AW999</f>
      </c>
      <c r="Z115" s="119">
        <f>'2022'!AX999</f>
        <v>0</v>
      </c>
      <c r="AA115" s="119"/>
      <c r="AB115" s="119">
        <f>'2022'!BA999</f>
      </c>
      <c r="AC115" s="119">
        <f>'2022'!BB999</f>
      </c>
      <c r="AD115" s="119"/>
      <c r="AE115" s="119">
        <f>'2022'!BE999</f>
        <v>18010.303</v>
      </c>
      <c r="AF115" s="119">
        <f t="shared" si="0"/>
        <v>0</v>
      </c>
    </row>
    <row r="116" ht="15.75" customHeight="1" spans="1:32" x14ac:dyDescent="0.25">
      <c r="A116" s="14"/>
      <c r="B116" s="115">
        <v>112</v>
      </c>
      <c r="C116" s="115">
        <v>4.94</v>
      </c>
      <c r="D116" s="117" t="s">
        <v>347</v>
      </c>
      <c r="E116" s="119">
        <f>'2022'!I1008</f>
        <v>186</v>
      </c>
      <c r="F116" s="119">
        <f>'2022'!J1008</f>
        <v>0</v>
      </c>
      <c r="G116" s="119">
        <f>'2022'!M1008</f>
        <v>186</v>
      </c>
      <c r="H116" s="119">
        <f>'2022'!N1008</f>
        <v>0</v>
      </c>
      <c r="I116" s="119">
        <f>'2022'!Q1008</f>
        <v>186</v>
      </c>
      <c r="J116" s="119">
        <f>'2022'!R1008</f>
        <v>0</v>
      </c>
      <c r="K116" s="119">
        <f>'2022'!U1008</f>
        <v>186</v>
      </c>
      <c r="L116" s="119">
        <f>'2022'!V1008</f>
        <v>0</v>
      </c>
      <c r="M116" s="119">
        <f>'2022'!Y1008</f>
        <v>189</v>
      </c>
      <c r="N116" s="119">
        <f>'2022'!Z1008</f>
        <v>3</v>
      </c>
      <c r="O116" s="119">
        <f>'2022'!AC1008</f>
        <v>189</v>
      </c>
      <c r="P116" s="119">
        <f>'2022'!AD1008</f>
        <v>0</v>
      </c>
      <c r="Q116" s="119">
        <f>'2022'!AG1008</f>
        <v>191</v>
      </c>
      <c r="R116" s="119">
        <f>'2022'!AH1008</f>
        <v>2.112</v>
      </c>
      <c r="S116" s="119">
        <f>'2022'!AK1008</f>
        <v>193</v>
      </c>
      <c r="T116" s="119">
        <f>'2022'!AL1008</f>
        <v>2.056</v>
      </c>
      <c r="U116" s="119">
        <f>'2022'!AO1008</f>
        <v>194</v>
      </c>
      <c r="V116" s="119">
        <f>'2022'!AP1008</f>
        <v>1.033</v>
      </c>
      <c r="W116" s="119">
        <f>'2022'!AS1008</f>
        <v>195</v>
      </c>
      <c r="X116" s="119">
        <f>'2022'!AT1008</f>
        <v>1.05</v>
      </c>
      <c r="Y116" s="119">
        <f>'2022'!AW1008</f>
      </c>
      <c r="Z116" s="119">
        <f>'2022'!AX1008</f>
        <v>0</v>
      </c>
      <c r="AA116" s="119"/>
      <c r="AB116" s="119">
        <f>'2022'!BA1008</f>
      </c>
      <c r="AC116" s="119">
        <f>'2022'!BB1008</f>
      </c>
      <c r="AD116" s="119"/>
      <c r="AE116" s="119">
        <f>'2022'!BE1008</f>
        <v>9.251</v>
      </c>
      <c r="AF116" s="119">
        <f t="shared" si="0"/>
        <v>0</v>
      </c>
    </row>
    <row r="117" ht="15.75" customHeight="1" spans="1:32" x14ac:dyDescent="0.25">
      <c r="A117" s="14"/>
      <c r="B117" s="115">
        <v>113</v>
      </c>
      <c r="C117" s="115">
        <v>4.98</v>
      </c>
      <c r="D117" s="117" t="s">
        <v>348</v>
      </c>
      <c r="E117" s="119">
        <f>'2022'!I1017</f>
        <v>2</v>
      </c>
      <c r="F117" s="119">
        <f>'2022'!J1017</f>
        <v>0</v>
      </c>
      <c r="G117" s="119">
        <f>'2022'!M1017</f>
        <v>2</v>
      </c>
      <c r="H117" s="119">
        <f>'2022'!N1017</f>
        <v>0</v>
      </c>
      <c r="I117" s="119">
        <f>'2022'!Q1017</f>
        <v>2</v>
      </c>
      <c r="J117" s="119">
        <f>'2022'!R1017</f>
        <v>0</v>
      </c>
      <c r="K117" s="119">
        <f>'2022'!U1017</f>
        <v>2</v>
      </c>
      <c r="L117" s="119">
        <f>'2022'!V1017</f>
        <v>0</v>
      </c>
      <c r="M117" s="119">
        <f>'2022'!Y1017</f>
        <v>2</v>
      </c>
      <c r="N117" s="119">
        <f>'2022'!Z1017</f>
        <v>0</v>
      </c>
      <c r="O117" s="119">
        <f>'2022'!AC1017</f>
        <v>2</v>
      </c>
      <c r="P117" s="119">
        <f>'2022'!AD1017</f>
        <v>0</v>
      </c>
      <c r="Q117" s="119">
        <f>'2022'!AG1017</f>
        <v>2</v>
      </c>
      <c r="R117" s="119">
        <f>'2022'!AH1017</f>
        <v>0</v>
      </c>
      <c r="S117" s="119">
        <f>'2022'!AK1017</f>
        <v>2</v>
      </c>
      <c r="T117" s="119">
        <f>'2022'!AL1017</f>
        <v>0</v>
      </c>
      <c r="U117" s="119">
        <f>'2022'!AO1017</f>
        <v>2</v>
      </c>
      <c r="V117" s="119">
        <f>'2022'!AP1017</f>
        <v>0</v>
      </c>
      <c r="W117" s="119">
        <f>'2022'!AS1017</f>
        <v>2</v>
      </c>
      <c r="X117" s="119">
        <f>'2022'!AT1017</f>
        <v>0</v>
      </c>
      <c r="Y117" s="119">
        <f>'2022'!AW1017</f>
      </c>
      <c r="Z117" s="119">
        <f>'2022'!AX1017</f>
        <v>0</v>
      </c>
      <c r="AA117" s="119"/>
      <c r="AB117" s="119">
        <f>'2022'!BA1017</f>
      </c>
      <c r="AC117" s="119">
        <f>'2022'!BB1017</f>
      </c>
      <c r="AD117" s="119"/>
      <c r="AE117" s="119">
        <f>'2022'!BE1017</f>
        <v>0</v>
      </c>
      <c r="AF117" s="119">
        <f t="shared" si="0"/>
        <v>0</v>
      </c>
    </row>
    <row r="118" ht="15.75" customHeight="1" spans="1:32" x14ac:dyDescent="0.25">
      <c r="A118" s="14"/>
      <c r="B118" s="118">
        <v>114</v>
      </c>
      <c r="C118" s="115">
        <v>4.86</v>
      </c>
      <c r="D118" s="117" t="s">
        <v>245</v>
      </c>
      <c r="E118" s="119">
        <f>'2022'!I1026</f>
        <v>902</v>
      </c>
      <c r="F118" s="119">
        <f>'2022'!J1026</f>
        <v>0</v>
      </c>
      <c r="G118" s="119">
        <f>'2022'!M1026</f>
        <v>902</v>
      </c>
      <c r="H118" s="119">
        <f>'2022'!N1026</f>
        <v>0</v>
      </c>
      <c r="I118" s="119">
        <f>'2022'!Q1026</f>
        <v>902</v>
      </c>
      <c r="J118" s="119">
        <f>'2022'!R1026</f>
        <v>0</v>
      </c>
      <c r="K118" s="119">
        <f>'2022'!U1026</f>
        <v>902</v>
      </c>
      <c r="L118" s="119">
        <f>'2022'!V1026</f>
        <v>0</v>
      </c>
      <c r="M118" s="119">
        <f>'2022'!Y1026</f>
        <v>1114</v>
      </c>
      <c r="N118" s="119">
        <f>'2022'!Z1026</f>
        <v>212</v>
      </c>
      <c r="O118" s="119">
        <f>'2022'!AC1026</f>
        <v>1182</v>
      </c>
      <c r="P118" s="119">
        <f>'2022'!AD1026</f>
        <v>68</v>
      </c>
      <c r="Q118" s="119">
        <f>'2022'!AG1026</f>
        <v>1255</v>
      </c>
      <c r="R118" s="119">
        <f>'2022'!AH1026</f>
        <v>77.088</v>
      </c>
      <c r="S118" s="119">
        <f>'2022'!AK1026</f>
        <v>1330</v>
      </c>
      <c r="T118" s="119">
        <f>'2022'!AL1026</f>
        <v>77.1</v>
      </c>
      <c r="U118" s="119">
        <f>'2022'!AO1026</f>
        <v>1425</v>
      </c>
      <c r="V118" s="119">
        <f>'2022'!AP1026</f>
        <v>98.135</v>
      </c>
      <c r="W118" s="119">
        <f>'2022'!AS1026</f>
        <v>1494</v>
      </c>
      <c r="X118" s="119">
        <f>'2022'!AT1026</f>
        <v>72.45</v>
      </c>
      <c r="Y118" s="119">
        <f>'2022'!AW1026</f>
      </c>
      <c r="Z118" s="119">
        <f>'2022'!AX1026</f>
        <v>0</v>
      </c>
      <c r="AA118" s="119"/>
      <c r="AB118" s="119">
        <f>'2022'!BA1026</f>
      </c>
      <c r="AC118" s="119">
        <f>'2022'!BB1026</f>
      </c>
      <c r="AD118" s="119"/>
      <c r="AE118" s="119">
        <f>'2022'!BE1026</f>
        <v>604.773</v>
      </c>
      <c r="AF118" s="119">
        <f t="shared" si="0"/>
        <v>0</v>
      </c>
    </row>
    <row r="119" ht="15.75" customHeight="1" spans="1:32" x14ac:dyDescent="0.25">
      <c r="A119" s="117"/>
      <c r="B119" s="115" t="s">
        <v>350</v>
      </c>
      <c r="C119" s="116">
        <f>SUM(C5:C118)</f>
        <v>505.74</v>
      </c>
      <c r="D119" s="117"/>
      <c r="E119" s="119">
        <f t="shared" ref="E119:AF119" si="1">SUM(E5:E118)</f>
        <v>415331</v>
      </c>
      <c r="F119" s="119">
        <f t="shared" si="1"/>
        <v>21863</v>
      </c>
      <c r="G119" s="119">
        <f t="shared" si="1"/>
        <v>407488</v>
      </c>
      <c r="H119" s="119">
        <f t="shared" si="1"/>
        <v>19359</v>
      </c>
      <c r="I119" s="119">
        <f t="shared" si="1"/>
        <v>424882</v>
      </c>
      <c r="J119" s="119">
        <f t="shared" si="1"/>
        <v>17394</v>
      </c>
      <c r="K119" s="119">
        <f t="shared" si="1"/>
        <v>439641</v>
      </c>
      <c r="L119" s="119">
        <f t="shared" si="1"/>
        <v>14759</v>
      </c>
      <c r="M119" s="119">
        <f t="shared" si="1"/>
        <v>450675</v>
      </c>
      <c r="N119" s="119">
        <f t="shared" si="1"/>
        <v>11034</v>
      </c>
      <c r="O119" s="119">
        <f t="shared" si="1"/>
        <v>461893</v>
      </c>
      <c r="P119" s="119">
        <f t="shared" si="1"/>
        <v>11368</v>
      </c>
      <c r="Q119" s="119">
        <f t="shared" si="1"/>
        <v>470926</v>
      </c>
      <c r="R119" s="119">
        <f t="shared" si="1"/>
        <v>9718.848</v>
      </c>
      <c r="S119" s="119">
        <f t="shared" si="1"/>
        <v>477773</v>
      </c>
      <c r="T119" s="119">
        <f t="shared" si="1"/>
        <v>11161.184</v>
      </c>
      <c r="U119" s="119">
        <f t="shared" si="1"/>
        <v>489703</v>
      </c>
      <c r="V119" s="119">
        <f t="shared" si="1"/>
        <v>12323.69</v>
      </c>
      <c r="W119" s="119">
        <f t="shared" si="1"/>
        <v>507107</v>
      </c>
      <c r="X119" s="119">
        <f t="shared" si="1"/>
        <v>18275.25</v>
      </c>
      <c r="Y119" s="119">
        <f t="shared" si="1"/>
        <v>0</v>
      </c>
      <c r="Z119" s="119">
        <f t="shared" si="1"/>
        <v>0</v>
      </c>
      <c r="AA119" s="119">
        <f t="shared" si="1"/>
        <v>0</v>
      </c>
      <c r="AB119" s="119">
        <f t="shared" si="1"/>
        <v>0</v>
      </c>
      <c r="AC119" s="119">
        <f t="shared" si="1"/>
        <v>0</v>
      </c>
      <c r="AD119" s="119">
        <f t="shared" si="1"/>
        <v>0</v>
      </c>
      <c r="AE119" s="119">
        <f t="shared" si="1"/>
        <v>147255.972</v>
      </c>
      <c r="AF119" s="119">
        <f t="shared" si="1"/>
        <v>0</v>
      </c>
    </row>
    <row r="120" ht="15.75" customHeight="1" spans="1:3" x14ac:dyDescent="0.25">
      <c r="A120" s="15"/>
      <c r="B120" s="112"/>
      <c r="C120" s="112"/>
    </row>
    <row r="121" ht="15.75" customHeight="1" spans="1:31" x14ac:dyDescent="0.25" outlineLevel="1" collapsed="1">
      <c r="A121" s="15"/>
      <c r="B121" s="112"/>
      <c r="C121" s="112"/>
      <c r="E121" s="120" t="b">
        <f>E119='2022'!I1037</f>
        <v>1</v>
      </c>
      <c r="F121" s="120" t="b">
        <f>F119='2022'!J1037</f>
        <v>1</v>
      </c>
      <c r="G121" s="120" t="b">
        <f>G119='2022'!M1037</f>
        <v>1</v>
      </c>
      <c r="H121" s="120" t="b">
        <f>H119='2022'!N1037</f>
        <v>1</v>
      </c>
      <c r="I121" s="120" t="b">
        <f>I119='2022'!Q1037</f>
        <v>1</v>
      </c>
      <c r="J121" s="120" t="b">
        <f>J119='2022'!R1037</f>
        <v>1</v>
      </c>
      <c r="K121" s="120" t="b">
        <f>K119='2022'!U1037</f>
        <v>1</v>
      </c>
      <c r="L121" s="120" t="b">
        <f>L119='2022'!V1037</f>
        <v>1</v>
      </c>
      <c r="M121" s="120" t="b">
        <f>M119='2022'!Y1037</f>
        <v>1</v>
      </c>
      <c r="N121" s="120" t="b">
        <f>N119='2022'!Z1037</f>
        <v>1</v>
      </c>
      <c r="O121" s="120" t="b">
        <f>O119='2022'!AC1037</f>
        <v>1</v>
      </c>
      <c r="P121" s="120" t="b">
        <f>P119='2022'!AD1037</f>
        <v>1</v>
      </c>
      <c r="Q121" s="120" t="b">
        <f>Q119='2022'!AG1037</f>
        <v>1</v>
      </c>
      <c r="R121" s="120" t="b">
        <f>R119='2022'!AH1037</f>
        <v>1</v>
      </c>
      <c r="S121" s="120" t="b">
        <f>S119='2022'!AK1037</f>
        <v>1</v>
      </c>
      <c r="T121" s="120" t="b">
        <f>T119='2022'!AL1037</f>
        <v>1</v>
      </c>
      <c r="U121" s="120" t="b">
        <f>U119='2022'!AO1037</f>
        <v>1</v>
      </c>
      <c r="V121" s="120" t="b">
        <f>V119='2022'!AP1037</f>
        <v>1</v>
      </c>
      <c r="W121" s="120" t="b">
        <f>W119='2022'!AS1037</f>
        <v>1</v>
      </c>
      <c r="X121" s="120" t="b">
        <f>X119='2022'!AT1037</f>
        <v>1</v>
      </c>
      <c r="Y121" s="120" t="b">
        <f>Y119='2022'!AW1037</f>
        <v>1</v>
      </c>
      <c r="Z121" s="120" t="b">
        <f>Z119='2022'!AX1037</f>
        <v>1</v>
      </c>
      <c r="AA121" s="121"/>
      <c r="AB121" s="120" t="b">
        <f>AB119='2022'!BA1037</f>
        <v>1</v>
      </c>
      <c r="AC121" s="120" t="b">
        <f>AC119='2022'!BB1037</f>
        <v>1</v>
      </c>
      <c r="AD121" s="120"/>
      <c r="AE121" s="120" t="b">
        <f>AE119='2022'!BE1037</f>
        <v>1</v>
      </c>
    </row>
    <row r="122" ht="15.75" customHeight="1" spans="1:31" x14ac:dyDescent="0.25">
      <c r="A122" s="15"/>
      <c r="B122" s="112"/>
      <c r="C122" s="112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 t="b">
        <f>AE119=F119+H119+J119+L119+N119+P119+R119+T119+V119+X119+Z119+AC119</f>
        <v>1</v>
      </c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spans="1:3" x14ac:dyDescent="0.25">
      <c r="A316" s="15"/>
      <c r="B316" s="112"/>
      <c r="C316" s="112"/>
    </row>
    <row r="317" ht="15.75" customHeight="1" spans="1:3" x14ac:dyDescent="0.25">
      <c r="A317" s="15"/>
      <c r="B317" s="112"/>
      <c r="C317" s="112"/>
    </row>
    <row r="318" ht="15.75" customHeight="1" spans="1:3" x14ac:dyDescent="0.25">
      <c r="A318" s="15"/>
      <c r="B318" s="112"/>
      <c r="C318" s="112"/>
    </row>
    <row r="319" ht="15.75" customHeight="1" spans="1:3" x14ac:dyDescent="0.25">
      <c r="A319" s="15"/>
      <c r="B319" s="112"/>
      <c r="C319" s="112"/>
    </row>
    <row r="320" ht="15.75" customHeight="1" spans="1:3" x14ac:dyDescent="0.25">
      <c r="A320" s="15"/>
      <c r="B320" s="112"/>
      <c r="C320" s="112"/>
    </row>
    <row r="321" ht="15.75" customHeight="1" spans="1:3" x14ac:dyDescent="0.25">
      <c r="A321" s="15"/>
      <c r="B321" s="112"/>
      <c r="C321" s="112"/>
    </row>
    <row r="322" ht="15.75" customHeight="1" spans="1:3" x14ac:dyDescent="0.25">
      <c r="A322" s="15"/>
      <c r="B322" s="112"/>
      <c r="C322" s="112"/>
    </row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B$4:$AE$121"/>
  <mergeCells count="12"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AA3"/>
    <mergeCell ref="AB3:AD3"/>
  </mergeCells>
  <pageMargins left="0.196527777777778" right="0" top="0.196527777777778" bottom="0.196527777777778" header="0" footer="0"/>
  <pageSetup paperSize="9" orientation="landscape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1000"/>
  <sheetViews>
    <sheetView workbookViewId="0" zoomScale="100" zoomScaleNormal="100">
      <pane xSplit="4" ySplit="2" topLeftCell="E3" activePane="bottomRight" state="frozen"/>
      <selection pane="bottomRight" activeCell="E3" sqref="E3"/>
    </sheetView>
  </sheetViews>
  <sheetFormatPr defaultRowHeight="15" outlineLevelRow="1" outlineLevelCol="1" x14ac:dyDescent="0" defaultColWidth="14.43"/>
  <cols>
    <col min="1" max="1" width="9.14" customWidth="1"/>
    <col min="2" max="2" width="7.14" customWidth="1"/>
    <col min="3" max="3" width="6.43" hidden="1" outlineLevel="1" collapsed="1" customWidth="1"/>
    <col min="4" max="4" width="13.86" hidden="1" outlineLevel="1" collapsed="1" customWidth="1"/>
    <col min="5" max="5" width="8.86" customWidth="1"/>
    <col min="6" max="6" width="17.86" customWidth="1"/>
    <col min="7" max="7" width="9.14" customWidth="1"/>
    <col min="8" max="8" width="8.43" customWidth="1"/>
    <col min="9" max="9" width="8.86" hidden="1" outlineLevel="1" collapsed="1" customWidth="1"/>
    <col min="10" max="10" width="14.43" hidden="1" outlineLevel="1" collapsed="1" customWidth="1"/>
    <col min="11" max="11" width="8.43" customWidth="1"/>
    <col min="12" max="12" width="16.57" customWidth="1"/>
  </cols>
  <sheetData>
    <row r="1" spans="1:12" x14ac:dyDescent="0.25">
      <c r="A1" s="1" t="s">
        <v>365</v>
      </c>
      <c r="B1" s="112"/>
      <c r="C1" s="112"/>
      <c r="E1" s="2" t="s">
        <v>366</v>
      </c>
      <c r="K1" s="81" t="str">
        <f>'2022'!F1</f>
        <v>на 01 октября 2022года</v>
      </c>
      <c r="L1" s="81"/>
    </row>
    <row r="2" spans="1:12" x14ac:dyDescent="0.25">
      <c r="A2" s="4"/>
      <c r="B2" s="17" t="s">
        <v>480</v>
      </c>
      <c r="C2" s="17" t="s">
        <v>354</v>
      </c>
      <c r="D2" s="16" t="s">
        <v>355</v>
      </c>
      <c r="E2" s="294" t="s">
        <v>17</v>
      </c>
      <c r="F2" s="295" t="s">
        <v>18</v>
      </c>
      <c r="G2" s="16"/>
      <c r="H2" s="17" t="s">
        <v>480</v>
      </c>
      <c r="I2" s="17" t="s">
        <v>354</v>
      </c>
      <c r="J2" s="16" t="s">
        <v>355</v>
      </c>
      <c r="K2" s="294" t="s">
        <v>17</v>
      </c>
      <c r="L2" s="295" t="s">
        <v>18</v>
      </c>
    </row>
    <row r="3" spans="1:12" x14ac:dyDescent="0.25">
      <c r="A3" s="114" t="s">
        <v>41</v>
      </c>
      <c r="B3" s="115">
        <f>'2019'!A8</f>
        <v>1</v>
      </c>
      <c r="C3" s="116">
        <v>4</v>
      </c>
      <c r="D3" s="117" t="s">
        <v>43</v>
      </c>
      <c r="E3" s="119">
        <f>'Эл.энергия (расход)_22'!U5</f>
        <v>6610</v>
      </c>
      <c r="F3" s="296"/>
      <c r="G3" s="114" t="s">
        <v>217</v>
      </c>
      <c r="H3" s="115">
        <v>58</v>
      </c>
      <c r="I3" s="115">
        <v>5.08</v>
      </c>
      <c r="J3" s="117" t="s">
        <v>223</v>
      </c>
      <c r="K3" s="119">
        <f>'Эл.энергия (расход)_22'!U63</f>
        <v>3174</v>
      </c>
      <c r="L3" s="119"/>
    </row>
    <row r="4" spans="1:12" x14ac:dyDescent="0.25">
      <c r="A4" s="14"/>
      <c r="B4" s="115">
        <v>2</v>
      </c>
      <c r="C4" s="115">
        <v>4.12</v>
      </c>
      <c r="D4" s="117" t="s">
        <v>359</v>
      </c>
      <c r="E4" s="119">
        <f>'Эл.энергия (расход)_22'!U6</f>
        <v>39661</v>
      </c>
      <c r="F4" s="296"/>
      <c r="G4" s="14"/>
      <c r="H4" s="115">
        <v>60</v>
      </c>
      <c r="I4" s="116">
        <v>4.4</v>
      </c>
      <c r="J4" s="117" t="s">
        <v>227</v>
      </c>
      <c r="K4" s="119">
        <f>'Эл.энергия (расход)_22'!U64</f>
        <v>12670</v>
      </c>
      <c r="L4" s="119"/>
    </row>
    <row r="5" spans="1:12" x14ac:dyDescent="0.25">
      <c r="A5" s="14"/>
      <c r="B5" s="115">
        <v>3</v>
      </c>
      <c r="C5" s="116">
        <v>4</v>
      </c>
      <c r="D5" s="117" t="s">
        <v>60</v>
      </c>
      <c r="E5" s="119">
        <f>'Эл.энергия (расход)_22'!U7</f>
        <v>94</v>
      </c>
      <c r="F5" s="296"/>
      <c r="G5" s="14"/>
      <c r="H5" s="115">
        <v>61</v>
      </c>
      <c r="I5" s="115">
        <v>4.71</v>
      </c>
      <c r="J5" s="117" t="s">
        <v>231</v>
      </c>
      <c r="K5" s="119">
        <f>'Эл.энергия (расход)_22'!U65</f>
        <v>882</v>
      </c>
      <c r="L5" s="119"/>
    </row>
    <row r="6" spans="1:12" x14ac:dyDescent="0.25">
      <c r="A6" s="14"/>
      <c r="B6" s="115">
        <v>4</v>
      </c>
      <c r="C6" s="115">
        <v>3.95</v>
      </c>
      <c r="D6" s="117" t="s">
        <v>64</v>
      </c>
      <c r="E6" s="119">
        <f>'Эл.энергия (расход)_22'!U8</f>
        <v>0</v>
      </c>
      <c r="F6" s="296"/>
      <c r="G6" s="14"/>
      <c r="H6" s="115">
        <v>62</v>
      </c>
      <c r="I6" s="116">
        <v>4.6</v>
      </c>
      <c r="J6" s="15" t="s">
        <v>236</v>
      </c>
      <c r="K6" s="119">
        <f>'Эл.энергия (расход)_22'!U66</f>
        <v>4</v>
      </c>
      <c r="L6" s="119"/>
    </row>
    <row r="7" spans="1:12" x14ac:dyDescent="0.25">
      <c r="A7" s="14"/>
      <c r="B7" s="115">
        <v>5</v>
      </c>
      <c r="C7" s="115">
        <v>5.08</v>
      </c>
      <c r="D7" s="2" t="s">
        <v>488</v>
      </c>
      <c r="E7" s="119">
        <f>'Эл.энергия (расход)_22'!U9</f>
        <v>2583</v>
      </c>
      <c r="F7" s="296"/>
      <c r="H7" s="115" t="s">
        <v>237</v>
      </c>
      <c r="I7" s="115">
        <v>4.01</v>
      </c>
      <c r="J7" s="117" t="s">
        <v>238</v>
      </c>
      <c r="K7" s="119">
        <f>'Эл.энергия (расход)_22'!U67</f>
        <v>311</v>
      </c>
      <c r="L7" s="119"/>
    </row>
    <row r="8" spans="1:12" x14ac:dyDescent="0.25">
      <c r="A8" s="14"/>
      <c r="B8" s="115">
        <v>6</v>
      </c>
      <c r="C8" s="115">
        <v>4.01</v>
      </c>
      <c r="D8" s="117" t="s">
        <v>70</v>
      </c>
      <c r="E8" s="119">
        <f>'Эл.энергия (расход)_22'!U10</f>
        <v>27</v>
      </c>
      <c r="F8" s="296"/>
      <c r="G8" s="14"/>
      <c r="H8" s="115" t="s">
        <v>237</v>
      </c>
      <c r="I8" s="115">
        <v>4.01</v>
      </c>
      <c r="J8" s="117" t="s">
        <v>238</v>
      </c>
      <c r="K8" s="119">
        <f>'Эл.энергия (расход)_22'!U68</f>
      </c>
      <c r="L8" s="119"/>
    </row>
    <row r="9" spans="1:12" x14ac:dyDescent="0.25">
      <c r="A9" s="14"/>
      <c r="B9" s="115">
        <v>7</v>
      </c>
      <c r="C9" s="115">
        <v>4.85</v>
      </c>
      <c r="D9" s="117" t="s">
        <v>74</v>
      </c>
      <c r="E9" s="119">
        <f>'Эл.энергия (расход)_22'!U11</f>
        <v>979</v>
      </c>
      <c r="F9" s="296"/>
      <c r="G9" s="14"/>
      <c r="H9" s="115">
        <v>64</v>
      </c>
      <c r="I9" s="115">
        <v>4.24</v>
      </c>
      <c r="J9" s="117" t="s">
        <v>241</v>
      </c>
      <c r="K9" s="119">
        <f>'Эл.энергия (расход)_22'!U69</f>
        <v>537</v>
      </c>
      <c r="L9" s="119"/>
    </row>
    <row r="10" spans="1:12" x14ac:dyDescent="0.25">
      <c r="A10" s="14"/>
      <c r="B10" s="115">
        <v>8</v>
      </c>
      <c r="C10" s="116">
        <v>4</v>
      </c>
      <c r="D10" s="2" t="s">
        <v>383</v>
      </c>
      <c r="E10" s="119">
        <f>'Эл.энергия (расход)_22'!U12</f>
        <v>736</v>
      </c>
      <c r="F10" s="296"/>
      <c r="G10" s="14"/>
      <c r="H10" s="115">
        <v>66</v>
      </c>
      <c r="I10" s="115">
        <v>4.66</v>
      </c>
      <c r="J10" s="117" t="s">
        <v>244</v>
      </c>
      <c r="K10" s="119">
        <f>'Эл.энергия (расход)_22'!U70</f>
        <v>2</v>
      </c>
      <c r="L10" s="119"/>
    </row>
    <row r="11" spans="1:12" x14ac:dyDescent="0.25">
      <c r="A11" s="14"/>
      <c r="B11" s="115">
        <v>9</v>
      </c>
      <c r="C11" s="115">
        <v>4.03</v>
      </c>
      <c r="D11" s="117" t="s">
        <v>82</v>
      </c>
      <c r="E11" s="119">
        <f>'Эл.энергия (расход)_22'!U13</f>
        <v>46</v>
      </c>
      <c r="F11" s="296"/>
      <c r="G11" s="14"/>
      <c r="H11" s="115">
        <v>67</v>
      </c>
      <c r="I11" s="115">
        <v>6.08</v>
      </c>
      <c r="J11" s="117" t="s">
        <v>245</v>
      </c>
      <c r="K11" s="119">
        <f>'Эл.энергия (расход)_22'!U71</f>
        <v>3208</v>
      </c>
      <c r="L11" s="119"/>
    </row>
    <row r="12" spans="1:12" x14ac:dyDescent="0.25">
      <c r="A12" s="14"/>
      <c r="B12" s="115">
        <v>10</v>
      </c>
      <c r="C12" s="115">
        <v>4.01</v>
      </c>
      <c r="D12" s="117" t="s">
        <v>86</v>
      </c>
      <c r="E12" s="119">
        <f>'Эл.энергия (расход)_22'!U14</f>
      </c>
      <c r="F12" s="296"/>
      <c r="G12" s="14"/>
      <c r="H12" s="115" t="s">
        <v>248</v>
      </c>
      <c r="I12" s="115">
        <v>4.01</v>
      </c>
      <c r="J12" s="117" t="s">
        <v>249</v>
      </c>
      <c r="K12" s="119">
        <f>'Эл.энергия (расход)_22'!U72</f>
        <v>4914</v>
      </c>
      <c r="L12" s="119"/>
    </row>
    <row r="13" spans="1:12" x14ac:dyDescent="0.25">
      <c r="A13" s="14"/>
      <c r="B13" s="115">
        <v>11</v>
      </c>
      <c r="C13" s="115">
        <v>4.02</v>
      </c>
      <c r="D13" s="117" t="s">
        <v>89</v>
      </c>
      <c r="E13" s="119">
        <f>'Эл.энергия (расход)_22'!U15</f>
        <v>36</v>
      </c>
      <c r="F13" s="296"/>
      <c r="H13" s="115" t="s">
        <v>248</v>
      </c>
      <c r="I13" s="115">
        <v>4.02</v>
      </c>
      <c r="J13" s="117" t="s">
        <v>249</v>
      </c>
      <c r="K13" s="119">
        <f>'Эл.энергия (расход)_22'!U73</f>
      </c>
      <c r="L13" s="119"/>
    </row>
    <row r="14" spans="1:12" x14ac:dyDescent="0.25">
      <c r="A14" s="14"/>
      <c r="B14" s="115">
        <v>12</v>
      </c>
      <c r="C14" s="115">
        <v>4.02</v>
      </c>
      <c r="D14" s="117" t="s">
        <v>92</v>
      </c>
      <c r="E14" s="119">
        <f>'Эл.энергия (расход)_22'!U16</f>
      </c>
      <c r="F14" s="296"/>
      <c r="G14" s="14"/>
      <c r="H14" s="115">
        <v>69</v>
      </c>
      <c r="I14" s="115">
        <v>4.03</v>
      </c>
      <c r="J14" s="117" t="s">
        <v>253</v>
      </c>
      <c r="K14" s="119">
        <f>'Эл.энергия (расход)_22'!U74</f>
        <v>36477</v>
      </c>
      <c r="L14" s="119"/>
    </row>
    <row r="15" spans="1:12" x14ac:dyDescent="0.25">
      <c r="A15" s="14"/>
      <c r="B15" s="115" t="s">
        <v>96</v>
      </c>
      <c r="C15" s="115">
        <v>3.94</v>
      </c>
      <c r="D15" s="117" t="s">
        <v>97</v>
      </c>
      <c r="E15" s="119">
        <f>'Эл.энергия (расход)_22'!U17</f>
        <v>9017</v>
      </c>
      <c r="F15" s="296"/>
      <c r="G15" s="14"/>
      <c r="H15" s="115">
        <v>71</v>
      </c>
      <c r="I15" s="115">
        <v>5.98</v>
      </c>
      <c r="J15" s="117" t="s">
        <v>255</v>
      </c>
      <c r="K15" s="119">
        <f>'Эл.энергия (расход)_22'!U75</f>
        <v>181</v>
      </c>
      <c r="L15" s="119"/>
    </row>
    <row r="16" spans="1:12" x14ac:dyDescent="0.25">
      <c r="A16" s="14"/>
      <c r="B16" s="115" t="s">
        <v>96</v>
      </c>
      <c r="C16" s="116">
        <v>4</v>
      </c>
      <c r="D16" s="117" t="s">
        <v>97</v>
      </c>
      <c r="E16" s="119">
        <f>'Эл.энергия (расход)_22'!U18</f>
      </c>
      <c r="F16" s="296"/>
      <c r="G16" s="14"/>
      <c r="H16" s="115">
        <v>72</v>
      </c>
      <c r="I16" s="115">
        <v>4.03</v>
      </c>
      <c r="J16" s="117" t="s">
        <v>257</v>
      </c>
      <c r="K16" s="119">
        <f>'Эл.энергия (расход)_22'!U76</f>
        <v>9127</v>
      </c>
      <c r="L16" s="119"/>
    </row>
    <row r="17" spans="1:12" x14ac:dyDescent="0.25">
      <c r="A17" s="14"/>
      <c r="B17" s="115">
        <v>14</v>
      </c>
      <c r="C17" s="115">
        <v>4.02</v>
      </c>
      <c r="D17" s="117" t="s">
        <v>100</v>
      </c>
      <c r="E17" s="119">
        <f>'Эл.энергия (расход)_22'!U19</f>
      </c>
      <c r="F17" s="296"/>
      <c r="G17" s="14"/>
      <c r="H17" s="115">
        <v>73</v>
      </c>
      <c r="I17" s="115">
        <v>4.02</v>
      </c>
      <c r="J17" s="117" t="s">
        <v>259</v>
      </c>
      <c r="K17" s="119">
        <f>'Эл.энергия (расход)_22'!U77</f>
      </c>
      <c r="L17" s="119"/>
    </row>
    <row r="18" spans="1:12" x14ac:dyDescent="0.25">
      <c r="A18" s="14"/>
      <c r="B18" s="115">
        <v>16</v>
      </c>
      <c r="C18" s="115">
        <v>3.98</v>
      </c>
      <c r="D18" s="117" t="s">
        <v>103</v>
      </c>
      <c r="E18" s="119">
        <f>'Эл.энергия (расход)_22'!U20</f>
        <v>1482</v>
      </c>
      <c r="F18" s="296"/>
      <c r="G18" s="21"/>
      <c r="H18" s="115">
        <v>74</v>
      </c>
      <c r="I18" s="115">
        <v>4.97</v>
      </c>
      <c r="J18" s="117" t="s">
        <v>262</v>
      </c>
      <c r="K18" s="119">
        <f>'Эл.энергия (расход)_22'!U78</f>
      </c>
      <c r="L18" s="119"/>
    </row>
    <row r="19" spans="1:12" x14ac:dyDescent="0.25">
      <c r="A19" s="14"/>
      <c r="B19" s="115">
        <v>17</v>
      </c>
      <c r="C19" s="116">
        <v>4</v>
      </c>
      <c r="D19" s="117" t="s">
        <v>106</v>
      </c>
      <c r="E19" s="119">
        <f>'Эл.энергия (расход)_22'!U21</f>
        <v>302</v>
      </c>
      <c r="F19" s="296"/>
      <c r="G19" s="114" t="s">
        <v>264</v>
      </c>
      <c r="H19" s="115">
        <v>75</v>
      </c>
      <c r="I19" s="115">
        <v>4.15</v>
      </c>
      <c r="J19" s="117" t="s">
        <v>265</v>
      </c>
      <c r="K19" s="119">
        <f>'Эл.энергия (расход)_22'!U79</f>
      </c>
      <c r="L19" s="119"/>
    </row>
    <row r="20" spans="1:12" x14ac:dyDescent="0.25">
      <c r="A20" s="14"/>
      <c r="B20" s="115">
        <v>18</v>
      </c>
      <c r="C20" s="115">
        <v>4.03</v>
      </c>
      <c r="D20" s="117" t="s">
        <v>109</v>
      </c>
      <c r="E20" s="119">
        <f>'Эл.энергия (расход)_22'!U22</f>
        <v>541</v>
      </c>
      <c r="F20" s="296"/>
      <c r="G20" s="14"/>
      <c r="H20" s="115">
        <v>76</v>
      </c>
      <c r="I20" s="115">
        <v>4.15</v>
      </c>
      <c r="J20" s="117" t="s">
        <v>267</v>
      </c>
      <c r="K20" s="119">
        <f>'Эл.энергия (расход)_22'!U80</f>
      </c>
      <c r="L20" s="119"/>
    </row>
    <row r="21" ht="15.75" customHeight="1" spans="1:12" x14ac:dyDescent="0.25">
      <c r="A21" s="21"/>
      <c r="B21" s="115">
        <v>19</v>
      </c>
      <c r="C21" s="116">
        <v>4.1</v>
      </c>
      <c r="D21" s="117" t="s">
        <v>113</v>
      </c>
      <c r="E21" s="119">
        <f>'Эл.энергия (расход)_22'!U23</f>
        <v>1</v>
      </c>
      <c r="F21" s="296"/>
      <c r="G21" s="14"/>
      <c r="H21" s="115">
        <v>77</v>
      </c>
      <c r="I21" s="115">
        <v>4.12</v>
      </c>
      <c r="J21" s="117" t="s">
        <v>268</v>
      </c>
      <c r="K21" s="119">
        <f>'Эл.энергия (расход)_22'!U81</f>
        <v>3135</v>
      </c>
      <c r="L21" s="119"/>
    </row>
    <row r="22" ht="15.75" customHeight="1" spans="1:12" x14ac:dyDescent="0.25">
      <c r="A22" s="114" t="s">
        <v>116</v>
      </c>
      <c r="B22" s="115" t="s">
        <v>117</v>
      </c>
      <c r="C22" s="283">
        <v>4</v>
      </c>
      <c r="D22" s="117" t="s">
        <v>118</v>
      </c>
      <c r="E22" s="119">
        <f>'Эл.энергия (расход)_22'!U24</f>
        <v>137</v>
      </c>
      <c r="F22" s="296"/>
      <c r="G22" s="14"/>
      <c r="H22" s="115">
        <v>78</v>
      </c>
      <c r="I22" s="115">
        <v>4.03</v>
      </c>
      <c r="J22" s="117" t="s">
        <v>271</v>
      </c>
      <c r="K22" s="119">
        <f>'Эл.энергия (расход)_22'!U82</f>
        <v>136</v>
      </c>
      <c r="L22" s="119"/>
    </row>
    <row r="23" ht="15.75" customHeight="1" spans="1:12" x14ac:dyDescent="0.25">
      <c r="A23" s="14"/>
      <c r="B23" s="115" t="s">
        <v>117</v>
      </c>
      <c r="C23" s="283">
        <v>4</v>
      </c>
      <c r="D23" s="117" t="s">
        <v>118</v>
      </c>
      <c r="E23" s="119">
        <f>'Эл.энергия (расход)_22'!U25</f>
      </c>
      <c r="F23" s="296"/>
      <c r="G23" s="14"/>
      <c r="H23" s="115">
        <v>79</v>
      </c>
      <c r="I23" s="115">
        <v>4.24</v>
      </c>
      <c r="J23" s="117" t="s">
        <v>275</v>
      </c>
      <c r="K23" s="119">
        <f>'Эл.энергия (расход)_22'!U83</f>
        <v>54</v>
      </c>
      <c r="L23" s="119"/>
    </row>
    <row r="24" ht="15.75" customHeight="1" spans="1:12" x14ac:dyDescent="0.25">
      <c r="A24" s="14"/>
      <c r="B24" s="115">
        <v>21</v>
      </c>
      <c r="C24" s="115">
        <v>3.96</v>
      </c>
      <c r="D24" s="117" t="s">
        <v>120</v>
      </c>
      <c r="E24" s="119">
        <f>'Эл.энергия (расход)_22'!U26</f>
        <v>3253</v>
      </c>
      <c r="F24" s="296"/>
      <c r="G24" s="14"/>
      <c r="H24" s="115">
        <v>81</v>
      </c>
      <c r="I24" s="116">
        <v>4.3</v>
      </c>
      <c r="J24" s="117" t="s">
        <v>278</v>
      </c>
      <c r="K24" s="119">
        <f>'Эл.энергия (расход)_22'!U84</f>
        <v>25</v>
      </c>
      <c r="L24" s="119"/>
    </row>
    <row r="25" ht="15.75" customHeight="1" spans="1:12" x14ac:dyDescent="0.25">
      <c r="A25" s="14"/>
      <c r="B25" s="115">
        <v>23</v>
      </c>
      <c r="C25" s="115">
        <v>3.98</v>
      </c>
      <c r="D25" s="117" t="s">
        <v>124</v>
      </c>
      <c r="E25" s="119">
        <f>'Эл.энергия (расход)_22'!U27</f>
        <v>10074</v>
      </c>
      <c r="F25" s="296"/>
      <c r="G25" s="14"/>
      <c r="H25" s="115">
        <v>83</v>
      </c>
      <c r="I25" s="115">
        <v>4.29</v>
      </c>
      <c r="J25" s="117" t="s">
        <v>280</v>
      </c>
      <c r="K25" s="119">
        <f>'Эл.энергия (расход)_22'!U85</f>
        <v>37</v>
      </c>
      <c r="L25" s="119"/>
    </row>
    <row r="26" ht="15.75" customHeight="1" spans="1:12" x14ac:dyDescent="0.25">
      <c r="A26" s="14"/>
      <c r="B26" s="115">
        <v>24</v>
      </c>
      <c r="C26" s="115">
        <v>4.01</v>
      </c>
      <c r="D26" s="117" t="s">
        <v>127</v>
      </c>
      <c r="E26" s="119">
        <f>'Эл.энергия (расход)_22'!U28</f>
        <v>1365</v>
      </c>
      <c r="F26" s="296"/>
      <c r="G26" s="14"/>
      <c r="H26" s="115">
        <v>85</v>
      </c>
      <c r="I26" s="115">
        <v>4.27</v>
      </c>
      <c r="J26" s="117" t="s">
        <v>282</v>
      </c>
      <c r="K26" s="119">
        <f>'Эл.энергия (расход)_22'!U86</f>
        <v>5799</v>
      </c>
      <c r="L26" s="119"/>
    </row>
    <row r="27" ht="15.75" customHeight="1" spans="1:12" x14ac:dyDescent="0.25">
      <c r="A27" s="14"/>
      <c r="B27" s="115">
        <v>25</v>
      </c>
      <c r="C27" s="116">
        <v>4</v>
      </c>
      <c r="D27" s="117" t="s">
        <v>131</v>
      </c>
      <c r="E27" s="119">
        <f>'Эл.энергия (расход)_22'!U29</f>
        <v>50</v>
      </c>
      <c r="F27" s="296"/>
      <c r="G27" s="14"/>
      <c r="H27" s="115">
        <v>87</v>
      </c>
      <c r="I27" s="115">
        <v>4.23</v>
      </c>
      <c r="J27" s="117" t="s">
        <v>284</v>
      </c>
      <c r="K27" s="119">
        <f>'Эл.энергия (расход)_22'!U87</f>
        <v>858</v>
      </c>
      <c r="L27" s="119"/>
    </row>
    <row r="28" ht="15.75" customHeight="1" spans="1:12" x14ac:dyDescent="0.25">
      <c r="A28" s="14"/>
      <c r="B28" s="115">
        <v>26</v>
      </c>
      <c r="C28" s="115">
        <v>3.98</v>
      </c>
      <c r="D28" s="117" t="s">
        <v>133</v>
      </c>
      <c r="E28" s="119">
        <f>'Эл.энергия (расход)_22'!U30</f>
      </c>
      <c r="F28" s="296"/>
      <c r="G28" s="14"/>
      <c r="H28" s="115">
        <v>89</v>
      </c>
      <c r="I28" s="115">
        <v>4.25</v>
      </c>
      <c r="J28" s="117" t="s">
        <v>286</v>
      </c>
      <c r="K28" s="119">
        <f>'Эл.энергия (расход)_22'!U88</f>
      </c>
      <c r="L28" s="119"/>
    </row>
    <row r="29" ht="15.75" customHeight="1" spans="1:12" x14ac:dyDescent="0.25">
      <c r="A29" s="14"/>
      <c r="B29" s="115">
        <v>27</v>
      </c>
      <c r="C29" s="115">
        <v>4.04</v>
      </c>
      <c r="D29" s="117" t="s">
        <v>136</v>
      </c>
      <c r="E29" s="119">
        <f>'Эл.энергия (расход)_22'!U31</f>
      </c>
      <c r="F29" s="296"/>
      <c r="G29" s="14"/>
      <c r="H29" s="115">
        <v>91</v>
      </c>
      <c r="I29" s="115">
        <v>4.23</v>
      </c>
      <c r="J29" s="117" t="s">
        <v>288</v>
      </c>
      <c r="K29" s="119">
        <f>'Эл.энергия (расход)_22'!U89</f>
        <v>198</v>
      </c>
      <c r="L29" s="119"/>
    </row>
    <row r="30" ht="15.75" customHeight="1" spans="1:12" x14ac:dyDescent="0.25">
      <c r="A30" s="14"/>
      <c r="B30" s="115">
        <v>28</v>
      </c>
      <c r="C30" s="115">
        <v>3.96</v>
      </c>
      <c r="D30" s="117" t="s">
        <v>140</v>
      </c>
      <c r="E30" s="119">
        <f>'Эл.энергия (расход)_22'!U32</f>
        <v>10216</v>
      </c>
      <c r="F30" s="296"/>
      <c r="G30" s="21"/>
      <c r="H30" s="115" t="s">
        <v>292</v>
      </c>
      <c r="I30" s="115">
        <v>4.31</v>
      </c>
      <c r="J30" s="297" t="s">
        <v>436</v>
      </c>
      <c r="K30" s="119">
        <f>'Эл.энергия (расход)_22'!U90</f>
        <v>11990</v>
      </c>
      <c r="L30" s="119"/>
    </row>
    <row r="31" ht="15.75" customHeight="1" spans="1:12" x14ac:dyDescent="0.25">
      <c r="A31" s="14"/>
      <c r="B31" s="115">
        <v>30</v>
      </c>
      <c r="C31" s="115">
        <v>4.05</v>
      </c>
      <c r="D31" s="117" t="s">
        <v>496</v>
      </c>
      <c r="E31" s="119">
        <f>'Эл.энергия (расход)_22'!U33</f>
        <v>429</v>
      </c>
      <c r="F31" s="296"/>
      <c r="H31" s="115" t="s">
        <v>292</v>
      </c>
      <c r="I31" s="115">
        <v>4.25</v>
      </c>
      <c r="J31" s="297" t="s">
        <v>436</v>
      </c>
      <c r="K31" s="119">
        <f>'Эл.энергия (расход)_22'!U91</f>
        <v>2171</v>
      </c>
      <c r="L31" s="119"/>
    </row>
    <row r="32" ht="15.75" customHeight="1" spans="1:12" x14ac:dyDescent="0.25">
      <c r="A32" s="14"/>
      <c r="B32" s="115">
        <v>29</v>
      </c>
      <c r="C32" s="115">
        <v>4.02</v>
      </c>
      <c r="D32" s="117" t="s">
        <v>146</v>
      </c>
      <c r="E32" s="119">
        <f>'Эл.энергия (расход)_22'!U34</f>
      </c>
      <c r="F32" s="296"/>
      <c r="G32" s="114" t="s">
        <v>297</v>
      </c>
      <c r="H32" s="115">
        <v>80</v>
      </c>
      <c r="I32" s="115">
        <v>4.28</v>
      </c>
      <c r="J32" s="117" t="s">
        <v>298</v>
      </c>
      <c r="K32" s="119">
        <f>'Эл.энергия (расход)_22'!U92</f>
        <v>2394</v>
      </c>
      <c r="L32" s="119"/>
    </row>
    <row r="33" ht="15.75" customHeight="1" spans="1:12" x14ac:dyDescent="0.25">
      <c r="A33" s="14"/>
      <c r="B33" s="115">
        <v>31</v>
      </c>
      <c r="C33" s="116">
        <v>4</v>
      </c>
      <c r="D33" s="117" t="s">
        <v>149</v>
      </c>
      <c r="E33" s="119">
        <f>'Эл.энергия (расход)_22'!U35</f>
        <v>5</v>
      </c>
      <c r="F33" s="296"/>
      <c r="G33" s="14"/>
      <c r="H33" s="115">
        <v>82</v>
      </c>
      <c r="I33" s="115">
        <v>4.28</v>
      </c>
      <c r="J33" s="117" t="s">
        <v>300</v>
      </c>
      <c r="K33" s="119">
        <f>'Эл.энергия (расход)_22'!U93</f>
      </c>
      <c r="L33" s="119"/>
    </row>
    <row r="34" ht="15.75" customHeight="1" spans="1:12" x14ac:dyDescent="0.25">
      <c r="A34" s="14"/>
      <c r="B34" s="115">
        <v>32</v>
      </c>
      <c r="C34" s="115">
        <v>3.96</v>
      </c>
      <c r="D34" s="117" t="s">
        <v>152</v>
      </c>
      <c r="E34" s="119">
        <f>'Эл.энергия (расход)_22'!U36</f>
        <v>1556</v>
      </c>
      <c r="F34" s="296"/>
      <c r="G34" s="14"/>
      <c r="H34" s="115">
        <v>84</v>
      </c>
      <c r="I34" s="115">
        <v>4.18</v>
      </c>
      <c r="J34" s="117" t="s">
        <v>301</v>
      </c>
      <c r="K34" s="119">
        <f>'Эл.энергия (расход)_22'!U94</f>
        <v>226</v>
      </c>
      <c r="L34" s="119"/>
    </row>
    <row r="35" ht="15.75" customHeight="1" spans="1:12" x14ac:dyDescent="0.25">
      <c r="A35" s="14"/>
      <c r="B35" s="115">
        <v>33</v>
      </c>
      <c r="C35" s="115">
        <v>4.01</v>
      </c>
      <c r="D35" s="117" t="s">
        <v>154</v>
      </c>
      <c r="E35" s="119">
        <f>'Эл.энергия (расход)_22'!U37</f>
        <v>33</v>
      </c>
      <c r="F35" s="296"/>
      <c r="G35" s="14"/>
      <c r="H35" s="115">
        <v>86</v>
      </c>
      <c r="I35" s="115">
        <v>4.23</v>
      </c>
      <c r="J35" s="117" t="s">
        <v>304</v>
      </c>
      <c r="K35" s="119">
        <f>'Эл.энергия (расход)_22'!U95</f>
      </c>
      <c r="L35" s="119"/>
    </row>
    <row r="36" ht="15.75" customHeight="1" spans="1:12" x14ac:dyDescent="0.25">
      <c r="A36" s="14"/>
      <c r="B36" s="115">
        <v>34</v>
      </c>
      <c r="C36" s="115">
        <v>4.01</v>
      </c>
      <c r="D36" s="117" t="s">
        <v>155</v>
      </c>
      <c r="E36" s="119">
        <f>'Эл.энергия (расход)_22'!U38</f>
        <v>6642</v>
      </c>
      <c r="F36" s="296"/>
      <c r="G36" s="14"/>
      <c r="H36" s="115">
        <v>88</v>
      </c>
      <c r="I36" s="115">
        <v>4.23</v>
      </c>
      <c r="J36" s="117" t="s">
        <v>308</v>
      </c>
      <c r="K36" s="119">
        <f>'Эл.энергия (расход)_22'!U96</f>
      </c>
      <c r="L36" s="119"/>
    </row>
    <row r="37" ht="15.75" customHeight="1" spans="1:12" x14ac:dyDescent="0.25">
      <c r="A37" s="14"/>
      <c r="B37" s="115">
        <v>35</v>
      </c>
      <c r="C37" s="115">
        <v>4.01</v>
      </c>
      <c r="D37" s="117" t="s">
        <v>157</v>
      </c>
      <c r="E37" s="119">
        <f>'Эл.энергия (расход)_22'!U39</f>
        <v>33</v>
      </c>
      <c r="F37" s="296"/>
      <c r="G37" s="14"/>
      <c r="H37" s="115">
        <v>90</v>
      </c>
      <c r="I37" s="115">
        <v>4.23</v>
      </c>
      <c r="J37" s="117" t="s">
        <v>311</v>
      </c>
      <c r="K37" s="119">
        <f>'Эл.энергия (расход)_22'!U97</f>
      </c>
      <c r="L37" s="119"/>
    </row>
    <row r="38" ht="15.75" customHeight="1" spans="1:12" x14ac:dyDescent="0.25">
      <c r="A38" s="14"/>
      <c r="B38" s="115">
        <v>36</v>
      </c>
      <c r="C38" s="115">
        <v>4.03</v>
      </c>
      <c r="D38" s="117" t="s">
        <v>160</v>
      </c>
      <c r="E38" s="119">
        <f>'Эл.энергия (расход)_22'!U40</f>
        <v>646</v>
      </c>
      <c r="F38" s="296"/>
      <c r="G38" s="14"/>
      <c r="H38" s="115">
        <v>92</v>
      </c>
      <c r="I38" s="115">
        <v>4.28</v>
      </c>
      <c r="J38" s="117" t="s">
        <v>312</v>
      </c>
      <c r="K38" s="119">
        <f>'Эл.энергия (расход)_22'!U98</f>
        <v>17579</v>
      </c>
      <c r="L38" s="119"/>
    </row>
    <row r="39" ht="15.75" customHeight="1" spans="1:12" x14ac:dyDescent="0.25">
      <c r="A39" s="14"/>
      <c r="B39" s="115">
        <v>37</v>
      </c>
      <c r="C39" s="115">
        <v>4.06</v>
      </c>
      <c r="D39" s="117" t="s">
        <v>162</v>
      </c>
      <c r="E39" s="119">
        <f>'Эл.энергия (расход)_22'!U41</f>
      </c>
      <c r="F39" s="296"/>
      <c r="G39" s="14"/>
      <c r="H39" s="115" t="s">
        <v>315</v>
      </c>
      <c r="I39" s="115">
        <v>4.36</v>
      </c>
      <c r="J39" s="117" t="s">
        <v>316</v>
      </c>
      <c r="K39" s="119">
        <f>'Эл.энергия (расход)_22'!U99</f>
        <v>65034</v>
      </c>
      <c r="L39" s="119"/>
    </row>
    <row r="40" ht="15.75" customHeight="1" spans="1:12" x14ac:dyDescent="0.25">
      <c r="A40" s="14"/>
      <c r="B40" s="115">
        <v>38</v>
      </c>
      <c r="C40" s="115">
        <v>4.34</v>
      </c>
      <c r="D40" s="117" t="s">
        <v>167</v>
      </c>
      <c r="E40" s="119">
        <f>'Эл.энергия (расход)_22'!U42</f>
        <v>19</v>
      </c>
      <c r="F40" s="296"/>
      <c r="H40" s="115" t="s">
        <v>315</v>
      </c>
      <c r="I40" s="116">
        <v>4.4</v>
      </c>
      <c r="J40" s="117" t="s">
        <v>316</v>
      </c>
      <c r="K40" s="119">
        <f>'Эл.энергия (расход)_22'!U100</f>
      </c>
      <c r="L40" s="119"/>
    </row>
    <row r="41" ht="15.75" customHeight="1" spans="1:12" x14ac:dyDescent="0.25">
      <c r="A41" s="21"/>
      <c r="B41" s="115">
        <v>39</v>
      </c>
      <c r="C41" s="116">
        <v>4</v>
      </c>
      <c r="D41" s="117" t="s">
        <v>169</v>
      </c>
      <c r="E41" s="119">
        <f>'Эл.энергия (расход)_22'!U43</f>
        <v>5544</v>
      </c>
      <c r="F41" s="296"/>
      <c r="G41" s="14"/>
      <c r="H41" s="115">
        <v>99</v>
      </c>
      <c r="I41" s="115">
        <v>4.53</v>
      </c>
      <c r="J41" s="117" t="s">
        <v>319</v>
      </c>
      <c r="K41" s="119">
        <f>'Эл.энергия (расход)_22'!U101</f>
        <v>387</v>
      </c>
      <c r="L41" s="119"/>
    </row>
    <row r="42" ht="15.75" customHeight="1" spans="1:12" x14ac:dyDescent="0.25">
      <c r="A42" s="114" t="s">
        <v>173</v>
      </c>
      <c r="B42" s="115">
        <v>40</v>
      </c>
      <c r="C42" s="115">
        <v>4.92</v>
      </c>
      <c r="D42" s="117" t="s">
        <v>174</v>
      </c>
      <c r="E42" s="119">
        <f>'Эл.энергия (расход)_22'!U44</f>
        <v>48912</v>
      </c>
      <c r="F42" s="296"/>
      <c r="G42" s="14"/>
      <c r="H42" s="115">
        <v>101</v>
      </c>
      <c r="I42" s="115">
        <v>4.46</v>
      </c>
      <c r="J42" s="117" t="s">
        <v>321</v>
      </c>
      <c r="K42" s="119">
        <f>'Эл.энергия (расход)_22'!U102</f>
        <v>210</v>
      </c>
      <c r="L42" s="119"/>
    </row>
    <row r="43" ht="15.75" customHeight="1" spans="1:12" x14ac:dyDescent="0.25">
      <c r="A43" s="14"/>
      <c r="B43" s="115">
        <v>41</v>
      </c>
      <c r="C43" s="115">
        <v>4.87</v>
      </c>
      <c r="D43" s="117" t="s">
        <v>177</v>
      </c>
      <c r="E43" s="119">
        <f>'Эл.энергия (расход)_22'!U45</f>
        <v>300</v>
      </c>
      <c r="F43" s="296"/>
      <c r="G43" s="14"/>
      <c r="H43" s="115">
        <v>103</v>
      </c>
      <c r="I43" s="115">
        <v>4.42</v>
      </c>
      <c r="J43" s="117" t="s">
        <v>322</v>
      </c>
      <c r="K43" s="119">
        <f>'Эл.энергия (расход)_22'!U103</f>
        <v>3</v>
      </c>
      <c r="L43" s="119"/>
    </row>
    <row r="44" ht="15.75" customHeight="1" spans="1:12" x14ac:dyDescent="0.25">
      <c r="A44" s="14"/>
      <c r="B44" s="115">
        <v>42</v>
      </c>
      <c r="C44" s="116">
        <v>4.9</v>
      </c>
      <c r="D44" s="2" t="s">
        <v>181</v>
      </c>
      <c r="E44" s="119">
        <f>'Эл.энергия (расход)_22'!U46</f>
        <v>33279</v>
      </c>
      <c r="F44" s="296"/>
      <c r="G44" s="14"/>
      <c r="H44" s="115">
        <v>105</v>
      </c>
      <c r="I44" s="115">
        <v>4.41</v>
      </c>
      <c r="J44" s="117" t="s">
        <v>323</v>
      </c>
      <c r="K44" s="119">
        <f>'Эл.энергия (расход)_22'!U104</f>
        <v>3097</v>
      </c>
      <c r="L44" s="119"/>
    </row>
    <row r="45" ht="15.75" customHeight="1" spans="1:12" x14ac:dyDescent="0.25">
      <c r="A45" s="14"/>
      <c r="B45" s="115">
        <v>43</v>
      </c>
      <c r="C45" s="115">
        <v>4.96</v>
      </c>
      <c r="D45" s="117" t="s">
        <v>185</v>
      </c>
      <c r="E45" s="119">
        <f>'Эл.энергия (расход)_22'!U47</f>
        <v>7648</v>
      </c>
      <c r="F45" s="296"/>
      <c r="G45" s="21"/>
      <c r="H45" s="115">
        <v>107</v>
      </c>
      <c r="I45" s="115">
        <v>4.37</v>
      </c>
      <c r="J45" s="117" t="s">
        <v>325</v>
      </c>
      <c r="K45" s="119">
        <f>'Эл.энергия (расход)_22'!U105</f>
        <v>1109</v>
      </c>
      <c r="L45" s="119"/>
    </row>
    <row r="46" ht="15.75" customHeight="1" spans="1:12" x14ac:dyDescent="0.25">
      <c r="A46" s="14"/>
      <c r="B46" s="115">
        <v>44</v>
      </c>
      <c r="C46" s="115">
        <v>4.01</v>
      </c>
      <c r="D46" s="15" t="s">
        <v>412</v>
      </c>
      <c r="E46" s="119">
        <f>'Эл.энергия (расход)_22'!U48</f>
        <v>45</v>
      </c>
      <c r="F46" s="296"/>
      <c r="G46" s="114" t="s">
        <v>327</v>
      </c>
      <c r="H46" s="115">
        <v>96</v>
      </c>
      <c r="I46" s="115">
        <v>4.46</v>
      </c>
      <c r="J46" s="117" t="s">
        <v>450</v>
      </c>
      <c r="K46" s="119">
        <f>'Эл.энергия (расход)_22'!U106</f>
      </c>
      <c r="L46" s="119"/>
    </row>
    <row r="47" ht="15.75" customHeight="1" spans="1:12" x14ac:dyDescent="0.25">
      <c r="A47" s="14"/>
      <c r="B47" s="115">
        <v>45</v>
      </c>
      <c r="C47" s="115">
        <v>5.04</v>
      </c>
      <c r="D47" s="117" t="s">
        <v>189</v>
      </c>
      <c r="E47" s="119">
        <f>'Эл.энергия (расход)_22'!U49</f>
        <v>13</v>
      </c>
      <c r="F47" s="296"/>
      <c r="G47" s="14"/>
      <c r="H47" s="115">
        <v>98</v>
      </c>
      <c r="I47" s="115">
        <v>4.45</v>
      </c>
      <c r="J47" s="117" t="s">
        <v>328</v>
      </c>
      <c r="K47" s="119">
        <f>'Эл.энергия (расход)_22'!U107</f>
      </c>
      <c r="L47" s="119"/>
    </row>
    <row r="48" ht="15.75" customHeight="1" spans="1:12" x14ac:dyDescent="0.25">
      <c r="A48" s="14"/>
      <c r="B48" s="115">
        <v>46</v>
      </c>
      <c r="C48" s="116">
        <v>4</v>
      </c>
      <c r="D48" s="117" t="s">
        <v>188</v>
      </c>
      <c r="E48" s="119">
        <f>'Эл.энергия (расход)_22'!U50</f>
        <v>4785</v>
      </c>
      <c r="F48" s="296"/>
      <c r="G48" s="14"/>
      <c r="H48" s="115">
        <v>100</v>
      </c>
      <c r="I48" s="115">
        <v>4.47</v>
      </c>
      <c r="J48" s="117" t="s">
        <v>330</v>
      </c>
      <c r="K48" s="119">
        <f>'Эл.энергия (расход)_22'!U108</f>
        <v>1513</v>
      </c>
      <c r="L48" s="119"/>
    </row>
    <row r="49" ht="15.75" customHeight="1" spans="1:12" x14ac:dyDescent="0.25">
      <c r="A49" s="14"/>
      <c r="B49" s="115">
        <v>47</v>
      </c>
      <c r="C49" s="116">
        <v>5</v>
      </c>
      <c r="D49" s="117" t="s">
        <v>192</v>
      </c>
      <c r="E49" s="119">
        <f>'Эл.энергия (расход)_22'!U51</f>
        <v>165</v>
      </c>
      <c r="F49" s="296"/>
      <c r="G49" s="14"/>
      <c r="H49" s="115">
        <v>102</v>
      </c>
      <c r="I49" s="115">
        <v>4.45</v>
      </c>
      <c r="J49" s="117" t="s">
        <v>331</v>
      </c>
      <c r="K49" s="119">
        <f>'Эл.энергия (расход)_22'!U109</f>
        <v>5537</v>
      </c>
      <c r="L49" s="119"/>
    </row>
    <row r="50" ht="15.75" customHeight="1" spans="1:12" x14ac:dyDescent="0.25">
      <c r="A50" s="14"/>
      <c r="B50" s="115">
        <v>48</v>
      </c>
      <c r="C50" s="115">
        <v>5.93</v>
      </c>
      <c r="D50" s="117" t="s">
        <v>97</v>
      </c>
      <c r="E50" s="119">
        <f>'Эл.энергия (расход)_22'!U52</f>
      </c>
      <c r="F50" s="296"/>
      <c r="G50" s="14"/>
      <c r="H50" s="115">
        <v>104</v>
      </c>
      <c r="I50" s="115">
        <v>4.42</v>
      </c>
      <c r="J50" s="117" t="s">
        <v>333</v>
      </c>
      <c r="K50" s="119">
        <f>'Эл.энергия (расход)_22'!U110</f>
        <v>1239</v>
      </c>
      <c r="L50" s="119"/>
    </row>
    <row r="51" ht="15.75" customHeight="1" spans="1:12" x14ac:dyDescent="0.25">
      <c r="A51" s="14"/>
      <c r="B51" s="115">
        <v>49</v>
      </c>
      <c r="C51" s="115">
        <v>5.03</v>
      </c>
      <c r="D51" s="117" t="s">
        <v>197</v>
      </c>
      <c r="E51" s="119">
        <f>'Эл.энергия (расход)_22'!U53</f>
      </c>
      <c r="F51" s="296"/>
      <c r="G51" s="14"/>
      <c r="H51" s="115">
        <v>106</v>
      </c>
      <c r="I51" s="115">
        <v>4.57</v>
      </c>
      <c r="J51" s="117" t="s">
        <v>336</v>
      </c>
      <c r="K51" s="119">
        <f>'Эл.энергия (расход)_22'!U111</f>
      </c>
      <c r="L51" s="119"/>
    </row>
    <row r="52" ht="15.75" customHeight="1" spans="1:12" x14ac:dyDescent="0.25">
      <c r="A52" s="14"/>
      <c r="B52" s="115">
        <v>50</v>
      </c>
      <c r="C52" s="115">
        <v>6.05</v>
      </c>
      <c r="D52" s="117" t="s">
        <v>200</v>
      </c>
      <c r="E52" s="119">
        <f>'Эл.энергия (расход)_22'!U54</f>
        <v>13965</v>
      </c>
      <c r="F52" s="296"/>
      <c r="G52" s="14"/>
      <c r="H52" s="115">
        <v>108</v>
      </c>
      <c r="I52" s="115">
        <v>4.32</v>
      </c>
      <c r="J52" s="117" t="s">
        <v>339</v>
      </c>
      <c r="K52" s="119">
        <f>'Эл.энергия (расход)_22'!U112</f>
      </c>
      <c r="L52" s="119"/>
    </row>
    <row r="53" ht="15.75" customHeight="1" spans="1:12" x14ac:dyDescent="0.25">
      <c r="A53" s="14"/>
      <c r="B53" s="115">
        <v>51</v>
      </c>
      <c r="C53" s="115">
        <v>4.95</v>
      </c>
      <c r="D53" s="117" t="s">
        <v>204</v>
      </c>
      <c r="E53" s="119">
        <f>'Эл.энергия (расход)_22'!U55</f>
        <v>4145</v>
      </c>
      <c r="F53" s="296"/>
      <c r="G53" s="14"/>
      <c r="H53" s="115">
        <v>109</v>
      </c>
      <c r="I53" s="115">
        <v>6.22</v>
      </c>
      <c r="J53" s="2" t="s">
        <v>455</v>
      </c>
      <c r="K53" s="119">
        <f>'Эл.энергия (расход)_22'!U113</f>
        <v>49</v>
      </c>
      <c r="L53" s="119"/>
    </row>
    <row r="54" ht="15.75" customHeight="1" spans="1:12" x14ac:dyDescent="0.25">
      <c r="A54" s="14"/>
      <c r="B54" s="115">
        <v>52</v>
      </c>
      <c r="C54" s="116">
        <v>5</v>
      </c>
      <c r="D54" s="117" t="s">
        <v>206</v>
      </c>
      <c r="E54" s="119">
        <f>'Эл.энергия (расход)_22'!U56</f>
        <v>217</v>
      </c>
      <c r="F54" s="296"/>
      <c r="G54" s="14"/>
      <c r="H54" s="115">
        <v>110</v>
      </c>
      <c r="I54" s="115">
        <v>4.91</v>
      </c>
      <c r="J54" s="117" t="s">
        <v>342</v>
      </c>
      <c r="K54" s="119">
        <f>'Эл.энергия (расход)_22'!U114</f>
        <v>1168</v>
      </c>
      <c r="L54" s="119"/>
    </row>
    <row r="55" ht="15.75" customHeight="1" spans="1:12" x14ac:dyDescent="0.25">
      <c r="A55" s="14"/>
      <c r="B55" s="115">
        <v>53</v>
      </c>
      <c r="C55" s="115">
        <v>5.05</v>
      </c>
      <c r="D55" s="117" t="s">
        <v>210</v>
      </c>
      <c r="E55" s="119">
        <f>'Эл.энергия (расход)_22'!U57</f>
        <v>10475</v>
      </c>
      <c r="F55" s="296"/>
      <c r="G55" s="14"/>
      <c r="H55" s="115">
        <v>111</v>
      </c>
      <c r="I55" s="116">
        <v>6.8</v>
      </c>
      <c r="J55" s="117" t="s">
        <v>280</v>
      </c>
      <c r="K55" s="119">
        <f>'Эл.энергия (расход)_22'!U115</f>
        <v>28507</v>
      </c>
      <c r="L55" s="119"/>
    </row>
    <row r="56" ht="15.75" customHeight="1" spans="1:12" x14ac:dyDescent="0.25">
      <c r="A56" s="14"/>
      <c r="B56" s="115">
        <v>54</v>
      </c>
      <c r="C56" s="115">
        <v>5.54</v>
      </c>
      <c r="D56" s="117" t="s">
        <v>212</v>
      </c>
      <c r="E56" s="119">
        <f>'Эл.энергия (расход)_22'!U58</f>
        <v>557</v>
      </c>
      <c r="F56" s="296"/>
      <c r="G56" s="14"/>
      <c r="H56" s="115">
        <v>112</v>
      </c>
      <c r="I56" s="115">
        <v>4.94</v>
      </c>
      <c r="J56" s="117" t="s">
        <v>347</v>
      </c>
      <c r="K56" s="119">
        <f>'Эл.энергия (расход)_22'!U116</f>
        <v>194</v>
      </c>
      <c r="L56" s="119"/>
    </row>
    <row r="57" ht="15.75" customHeight="1" spans="1:12" x14ac:dyDescent="0.25">
      <c r="A57" s="21"/>
      <c r="B57" s="115">
        <v>55</v>
      </c>
      <c r="C57" s="116">
        <v>5.5</v>
      </c>
      <c r="D57" s="117" t="s">
        <v>214</v>
      </c>
      <c r="E57" s="119">
        <f>'Эл.энергия (расход)_22'!U59</f>
        <v>617</v>
      </c>
      <c r="F57" s="296"/>
      <c r="G57" s="14"/>
      <c r="H57" s="115">
        <v>113</v>
      </c>
      <c r="I57" s="115">
        <v>4.98</v>
      </c>
      <c r="J57" s="117" t="s">
        <v>348</v>
      </c>
      <c r="K57" s="119">
        <f>'Эл.энергия (расход)_22'!U117</f>
        <v>2</v>
      </c>
      <c r="L57" s="119"/>
    </row>
    <row r="58" ht="15.75" customHeight="1" spans="1:12" x14ac:dyDescent="0.25">
      <c r="A58" s="114" t="s">
        <v>217</v>
      </c>
      <c r="B58" s="115">
        <v>56</v>
      </c>
      <c r="C58" s="115">
        <v>6.23</v>
      </c>
      <c r="D58" s="117" t="s">
        <v>423</v>
      </c>
      <c r="E58" s="119">
        <f>'Эл.энергия (расход)_22'!U60</f>
        <v>33592</v>
      </c>
      <c r="F58" s="296"/>
      <c r="G58" s="14"/>
      <c r="H58" s="118">
        <v>114</v>
      </c>
      <c r="I58" s="115">
        <v>4.86</v>
      </c>
      <c r="J58" s="117" t="s">
        <v>245</v>
      </c>
      <c r="K58" s="119">
        <f>'Эл.энергия (расход)_22'!U118</f>
        <v>1425</v>
      </c>
      <c r="L58" s="119"/>
    </row>
    <row r="59" ht="15.75" customHeight="1" spans="1:6" x14ac:dyDescent="0.25">
      <c r="A59" s="14"/>
      <c r="B59" s="115">
        <v>57</v>
      </c>
      <c r="C59" s="116">
        <v>4</v>
      </c>
      <c r="D59" s="2" t="s">
        <v>502</v>
      </c>
      <c r="E59" s="119">
        <f>'Эл.энергия (расход)_22'!U61</f>
        <v>878</v>
      </c>
      <c r="F59" s="296"/>
    </row>
    <row r="60" ht="15.75" customHeight="1" spans="1:12" x14ac:dyDescent="0.25">
      <c r="A60" s="21"/>
      <c r="B60" s="115">
        <v>59</v>
      </c>
      <c r="C60" s="116">
        <v>4</v>
      </c>
      <c r="D60" s="117" t="s">
        <v>221</v>
      </c>
      <c r="E60" s="119">
        <f>'Эл.энергия (расход)_22'!U62</f>
        <v>2430</v>
      </c>
      <c r="F60" s="296"/>
      <c r="G60" s="115" t="s">
        <v>350</v>
      </c>
      <c r="H60" s="117"/>
      <c r="I60" s="117"/>
      <c r="J60" s="117"/>
      <c r="K60" s="119">
        <f>SUM(E3:E60,K3:K58)</f>
        <v>489703</v>
      </c>
      <c r="L60" s="117"/>
    </row>
    <row r="61" ht="15.75" customHeight="1" spans="1:11" x14ac:dyDescent="0.25">
      <c r="A61" s="15"/>
      <c r="B61" s="112"/>
      <c r="C61" s="112"/>
      <c r="K61" s="2" t="b">
        <f>K60='Эл.энергия (расход)_22'!U119</f>
        <v>1</v>
      </c>
    </row>
    <row r="62" ht="15.75" customHeight="1" spans="1:3" x14ac:dyDescent="0.25">
      <c r="A62" s="15"/>
      <c r="B62" s="112"/>
      <c r="C62" s="112"/>
    </row>
    <row r="63" ht="15.75" customHeight="1" spans="1:3" x14ac:dyDescent="0.25">
      <c r="A63" s="15"/>
      <c r="B63" s="112"/>
      <c r="C63" s="112"/>
    </row>
    <row r="64" ht="15.75" customHeight="1" spans="1:3" x14ac:dyDescent="0.25">
      <c r="A64" s="15"/>
      <c r="B64" s="112"/>
      <c r="C64" s="112"/>
    </row>
    <row r="65" ht="15.75" customHeight="1" spans="1:3" x14ac:dyDescent="0.25">
      <c r="A65" s="15"/>
      <c r="B65" s="112"/>
      <c r="C65" s="112"/>
    </row>
    <row r="66" ht="15.75" customHeight="1" spans="1:3" x14ac:dyDescent="0.25">
      <c r="A66" s="15"/>
      <c r="B66" s="112"/>
      <c r="C66" s="112"/>
    </row>
    <row r="67" ht="15.75" customHeight="1" spans="1:3" x14ac:dyDescent="0.25">
      <c r="A67" s="15"/>
      <c r="B67" s="112"/>
      <c r="C67" s="112"/>
    </row>
    <row r="68" ht="15.75" customHeight="1" spans="1:3" x14ac:dyDescent="0.25">
      <c r="A68" s="15"/>
      <c r="B68" s="112"/>
      <c r="C68" s="112"/>
    </row>
    <row r="69" ht="15.75" customHeight="1" spans="1:3" x14ac:dyDescent="0.25">
      <c r="A69" s="15"/>
      <c r="B69" s="112"/>
      <c r="C69" s="112"/>
    </row>
    <row r="70" ht="15.75" customHeight="1" spans="1:3" x14ac:dyDescent="0.25">
      <c r="A70" s="15"/>
      <c r="B70" s="112"/>
      <c r="C70" s="112"/>
    </row>
    <row r="71" ht="15.75" customHeight="1" spans="1:3" x14ac:dyDescent="0.25">
      <c r="A71" s="15"/>
      <c r="B71" s="112"/>
      <c r="C71" s="112"/>
    </row>
    <row r="72" ht="15.75" customHeight="1" spans="1:3" x14ac:dyDescent="0.25">
      <c r="A72" s="15"/>
      <c r="B72" s="112"/>
      <c r="C72" s="112"/>
    </row>
    <row r="73" ht="15.75" customHeight="1" spans="1:3" x14ac:dyDescent="0.25">
      <c r="A73" s="15"/>
      <c r="B73" s="112"/>
      <c r="C73" s="112"/>
    </row>
    <row r="74" ht="15.75" customHeight="1" spans="1:3" x14ac:dyDescent="0.25">
      <c r="A74" s="15"/>
      <c r="B74" s="112"/>
      <c r="C74" s="112"/>
    </row>
    <row r="75" ht="15.75" customHeight="1" spans="1:3" x14ac:dyDescent="0.25">
      <c r="A75" s="15"/>
      <c r="B75" s="112"/>
      <c r="C75" s="112"/>
    </row>
    <row r="76" ht="15.75" customHeight="1" spans="1:3" x14ac:dyDescent="0.25">
      <c r="A76" s="15"/>
      <c r="B76" s="112"/>
      <c r="C76" s="112"/>
    </row>
    <row r="77" ht="15.75" customHeight="1" spans="1:3" x14ac:dyDescent="0.25">
      <c r="A77" s="15"/>
      <c r="B77" s="112"/>
      <c r="C77" s="112"/>
    </row>
    <row r="78" ht="15.75" customHeight="1" spans="1:3" x14ac:dyDescent="0.25">
      <c r="A78" s="15"/>
      <c r="B78" s="112"/>
      <c r="C78" s="112"/>
    </row>
    <row r="79" ht="15.75" customHeight="1" spans="1:3" x14ac:dyDescent="0.25">
      <c r="A79" s="15"/>
      <c r="B79" s="112"/>
      <c r="C79" s="112"/>
    </row>
    <row r="80" ht="15.75" customHeight="1" spans="1:3" x14ac:dyDescent="0.25">
      <c r="A80" s="15"/>
      <c r="B80" s="112"/>
      <c r="C80" s="112"/>
    </row>
    <row r="81" ht="15.75" customHeight="1" spans="1:3" x14ac:dyDescent="0.25">
      <c r="A81" s="15"/>
      <c r="B81" s="112"/>
      <c r="C81" s="112"/>
    </row>
    <row r="82" ht="15.75" customHeight="1" spans="1:3" x14ac:dyDescent="0.25">
      <c r="A82" s="15"/>
      <c r="B82" s="112"/>
      <c r="C82" s="112"/>
    </row>
    <row r="83" ht="15.75" customHeight="1" spans="1:3" x14ac:dyDescent="0.25">
      <c r="A83" s="15"/>
      <c r="B83" s="112"/>
      <c r="C83" s="112"/>
    </row>
    <row r="84" ht="15.75" customHeight="1" spans="1:3" x14ac:dyDescent="0.25">
      <c r="A84" s="15"/>
      <c r="B84" s="112"/>
      <c r="C84" s="112"/>
    </row>
    <row r="85" ht="15.75" customHeight="1" spans="1:3" x14ac:dyDescent="0.25">
      <c r="A85" s="15"/>
      <c r="B85" s="112"/>
      <c r="C85" s="112"/>
    </row>
    <row r="86" ht="15.75" customHeight="1" spans="1:3" x14ac:dyDescent="0.25">
      <c r="A86" s="15"/>
      <c r="B86" s="112"/>
      <c r="C86" s="112"/>
    </row>
    <row r="87" ht="15.75" customHeight="1" spans="1:3" x14ac:dyDescent="0.25">
      <c r="A87" s="15"/>
      <c r="B87" s="112"/>
      <c r="C87" s="112"/>
    </row>
    <row r="88" ht="15.75" customHeight="1" spans="1:3" x14ac:dyDescent="0.25">
      <c r="A88" s="15"/>
      <c r="B88" s="112"/>
      <c r="C88" s="112"/>
    </row>
    <row r="89" ht="15.75" customHeight="1" spans="1:3" x14ac:dyDescent="0.25">
      <c r="A89" s="15"/>
      <c r="B89" s="112"/>
      <c r="C89" s="112"/>
    </row>
    <row r="90" ht="15.75" customHeight="1" spans="1:3" x14ac:dyDescent="0.25">
      <c r="A90" s="15"/>
      <c r="B90" s="112"/>
      <c r="C90" s="112"/>
    </row>
    <row r="91" ht="15.75" customHeight="1" spans="1:3" x14ac:dyDescent="0.25">
      <c r="A91" s="15"/>
      <c r="B91" s="112"/>
      <c r="C91" s="112"/>
    </row>
    <row r="92" ht="15.75" customHeight="1" spans="1:3" x14ac:dyDescent="0.25">
      <c r="A92" s="15"/>
      <c r="B92" s="112"/>
      <c r="C92" s="112"/>
    </row>
    <row r="93" ht="15.75" customHeight="1" spans="1:3" x14ac:dyDescent="0.25">
      <c r="A93" s="15"/>
      <c r="B93" s="112"/>
      <c r="C93" s="112"/>
    </row>
    <row r="94" ht="15.75" customHeight="1" spans="1:3" x14ac:dyDescent="0.25">
      <c r="A94" s="15"/>
      <c r="B94" s="112"/>
      <c r="C94" s="112"/>
    </row>
    <row r="95" ht="15.75" customHeight="1" spans="1:3" x14ac:dyDescent="0.25">
      <c r="A95" s="15"/>
      <c r="B95" s="112"/>
      <c r="C95" s="112"/>
    </row>
    <row r="96" ht="15.75" customHeight="1" spans="1:3" x14ac:dyDescent="0.25">
      <c r="A96" s="15"/>
      <c r="B96" s="112"/>
      <c r="C96" s="112"/>
    </row>
    <row r="97" ht="15.75" customHeight="1" spans="1:3" x14ac:dyDescent="0.25">
      <c r="A97" s="15"/>
      <c r="B97" s="112"/>
      <c r="C97" s="112"/>
    </row>
    <row r="98" ht="15.75" customHeight="1" spans="1:3" x14ac:dyDescent="0.25">
      <c r="A98" s="15"/>
      <c r="B98" s="112"/>
      <c r="C98" s="112"/>
    </row>
    <row r="99" ht="15.75" customHeight="1" spans="1:3" x14ac:dyDescent="0.25">
      <c r="A99" s="15"/>
      <c r="B99" s="112"/>
      <c r="C99" s="112"/>
    </row>
    <row r="100" ht="15.75" customHeight="1" spans="1:3" x14ac:dyDescent="0.25">
      <c r="A100" s="15"/>
      <c r="B100" s="112"/>
      <c r="C100" s="112"/>
    </row>
    <row r="101" ht="15.75" customHeight="1" spans="1:3" x14ac:dyDescent="0.25">
      <c r="A101" s="15"/>
      <c r="B101" s="112"/>
      <c r="C101" s="112"/>
    </row>
    <row r="102" ht="15.75" customHeight="1" spans="1:3" x14ac:dyDescent="0.25">
      <c r="A102" s="15"/>
      <c r="B102" s="112"/>
      <c r="C102" s="112"/>
    </row>
    <row r="103" ht="15.75" customHeight="1" spans="1:3" x14ac:dyDescent="0.25">
      <c r="A103" s="15"/>
      <c r="B103" s="112"/>
      <c r="C103" s="112"/>
    </row>
    <row r="104" ht="15.75" customHeight="1" spans="1:3" x14ac:dyDescent="0.25">
      <c r="A104" s="15"/>
      <c r="B104" s="112"/>
      <c r="C104" s="112"/>
    </row>
    <row r="105" ht="15.75" customHeight="1" spans="1:3" x14ac:dyDescent="0.25">
      <c r="A105" s="15"/>
      <c r="B105" s="112"/>
      <c r="C105" s="112"/>
    </row>
    <row r="106" ht="15.75" customHeight="1" spans="1:3" x14ac:dyDescent="0.25">
      <c r="A106" s="15"/>
      <c r="B106" s="112"/>
      <c r="C106" s="112"/>
    </row>
    <row r="107" ht="15.75" customHeight="1" spans="1:3" x14ac:dyDescent="0.25">
      <c r="A107" s="15"/>
      <c r="B107" s="112"/>
      <c r="C107" s="112"/>
    </row>
    <row r="108" ht="15.75" customHeight="1" spans="1:3" x14ac:dyDescent="0.25">
      <c r="A108" s="15"/>
      <c r="B108" s="112"/>
      <c r="C108" s="112"/>
    </row>
    <row r="109" ht="15.75" customHeight="1" spans="1:3" x14ac:dyDescent="0.25">
      <c r="A109" s="15"/>
      <c r="B109" s="112"/>
      <c r="C109" s="112"/>
    </row>
    <row r="110" ht="15.75" customHeight="1" spans="1:3" x14ac:dyDescent="0.25">
      <c r="A110" s="15"/>
      <c r="B110" s="112"/>
      <c r="C110" s="112"/>
    </row>
    <row r="111" ht="15.75" customHeight="1" spans="1:3" x14ac:dyDescent="0.25">
      <c r="A111" s="15"/>
      <c r="B111" s="112"/>
      <c r="C111" s="112"/>
    </row>
    <row r="112" ht="15.75" customHeight="1" spans="1:3" x14ac:dyDescent="0.25">
      <c r="A112" s="15"/>
      <c r="B112" s="112"/>
      <c r="C112" s="112"/>
    </row>
    <row r="113" ht="15.75" customHeight="1" hidden="1" spans="1:5" x14ac:dyDescent="0.25" outlineLevel="1" collapsed="1">
      <c r="A113" s="15"/>
      <c r="B113" s="112"/>
      <c r="C113" s="112"/>
      <c r="E113" s="120" t="b">
        <f>G101='2019'!Y867</f>
        <v>0</v>
      </c>
    </row>
    <row r="114" ht="15.75" customHeight="1" spans="1:5" x14ac:dyDescent="0.25">
      <c r="A114" s="15"/>
      <c r="B114" s="112"/>
      <c r="C114" s="112"/>
      <c r="E114" s="120"/>
    </row>
    <row r="115" ht="15.75" customHeight="1" spans="1:3" x14ac:dyDescent="0.25">
      <c r="A115" s="15"/>
      <c r="B115" s="112"/>
      <c r="C115" s="112"/>
    </row>
    <row r="116" ht="15.75" customHeight="1" spans="1:3" x14ac:dyDescent="0.25">
      <c r="A116" s="15"/>
      <c r="B116" s="112"/>
      <c r="C116" s="112"/>
    </row>
    <row r="117" ht="15.75" customHeight="1" spans="1:3" x14ac:dyDescent="0.25">
      <c r="A117" s="15"/>
      <c r="B117" s="112"/>
      <c r="C117" s="112"/>
    </row>
    <row r="118" ht="15.75" customHeight="1" spans="1:3" x14ac:dyDescent="0.25">
      <c r="A118" s="15"/>
      <c r="B118" s="112"/>
      <c r="C118" s="112"/>
    </row>
    <row r="119" ht="15.75" customHeight="1" spans="1:3" x14ac:dyDescent="0.25">
      <c r="A119" s="15"/>
      <c r="B119" s="112"/>
      <c r="C119" s="112"/>
    </row>
    <row r="120" ht="15.75" customHeight="1" spans="1:3" x14ac:dyDescent="0.25">
      <c r="A120" s="15"/>
      <c r="B120" s="112"/>
      <c r="C120" s="112"/>
    </row>
    <row r="121" ht="15.75" customHeight="1" spans="1:3" x14ac:dyDescent="0.25">
      <c r="A121" s="15"/>
      <c r="B121" s="112"/>
      <c r="C121" s="112"/>
    </row>
    <row r="122" ht="15.75" customHeight="1" spans="1:3" x14ac:dyDescent="0.25">
      <c r="A122" s="15"/>
      <c r="B122" s="112"/>
      <c r="C122" s="112"/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875" right="0" top="0.196527777777778" bottom="0" header="0" footer="0"/>
  <pageSetup paperSize="9"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L1000"/>
  <sheetViews>
    <sheetView workbookViewId="0" zoomScale="100" zoomScaleNormal="100">
      <pane xSplit="4" topLeftCell="E1" activePane="topRight" state="frozen"/>
      <selection pane="topRight" activeCell="F2" sqref="F2"/>
    </sheetView>
  </sheetViews>
  <sheetFormatPr defaultRowHeight="15" outlineLevelRow="1" outlineLevelCol="1" x14ac:dyDescent="0" defaultColWidth="14.43"/>
  <cols>
    <col min="1" max="1" width="9.14" outlineLevel="1" collapsed="1" customWidth="1"/>
    <col min="2" max="2" width="9.86" customWidth="1"/>
    <col min="3" max="3" width="6.43" hidden="1" outlineLevel="1" collapsed="1" customWidth="1"/>
    <col min="4" max="4" width="13.86" hidden="1" outlineLevel="1" collapsed="1" customWidth="1"/>
    <col min="5" max="6" width="7.14" hidden="1" customWidth="1"/>
    <col min="7" max="8" width="8.86" hidden="1" customWidth="1"/>
    <col min="9" max="10" width="7.14" hidden="1" customWidth="1"/>
    <col min="11" max="11" width="8.86" hidden="1" customWidth="1"/>
    <col min="12" max="12" width="11.14" hidden="1" customWidth="1"/>
    <col min="13" max="13" width="9.43" hidden="1" outlineLevel="1" collapsed="1" customWidth="1"/>
    <col min="14" max="14" width="9.14" hidden="1" outlineLevel="1" collapsed="1" customWidth="1"/>
    <col min="15" max="15" width="12" hidden="1" outlineLevel="1" collapsed="1" customWidth="1"/>
    <col min="16" max="16" width="11.14" hidden="1" outlineLevel="1" collapsed="1" customWidth="1"/>
    <col min="17" max="17" width="10" hidden="1" outlineLevel="1" collapsed="1" customWidth="1"/>
    <col min="18" max="18" width="9" hidden="1" outlineLevel="1" collapsed="1" customWidth="1"/>
    <col min="19" max="19" width="12" hidden="1" outlineLevel="1" collapsed="1" customWidth="1"/>
    <col min="20" max="20" width="11.14" hidden="1" outlineLevel="1" collapsed="1" customWidth="1"/>
    <col min="21" max="21" width="9.43" hidden="1" outlineLevel="1" collapsed="1" customWidth="1"/>
    <col min="22" max="22" width="9" hidden="1" outlineLevel="1" collapsed="1" customWidth="1"/>
    <col min="23" max="23" width="12" hidden="1" outlineLevel="1" collapsed="1" customWidth="1"/>
    <col min="24" max="24" width="11.14" hidden="1" outlineLevel="1" collapsed="1" customWidth="1"/>
    <col min="25" max="25" width="9.43" hidden="1" outlineLevel="1" collapsed="1" customWidth="1"/>
    <col min="26" max="26" width="9" hidden="1" outlineLevel="1" collapsed="1" customWidth="1"/>
    <col min="27" max="27" width="12" hidden="1" outlineLevel="1" collapsed="1" customWidth="1"/>
    <col min="28" max="28" width="11.14" hidden="1" outlineLevel="1" collapsed="1" customWidth="1"/>
    <col min="29" max="29" width="9.43" hidden="1" outlineLevel="1" collapsed="1" customWidth="1"/>
    <col min="30" max="30" width="9" hidden="1" outlineLevel="1" collapsed="1" customWidth="1"/>
    <col min="31" max="31" width="12" hidden="1" outlineLevel="1" collapsed="1" customWidth="1"/>
    <col min="32" max="32" width="11.86" hidden="1" outlineLevel="1" collapsed="1" customWidth="1"/>
    <col min="33" max="33" width="9.14" hidden="1" outlineLevel="1" collapsed="1" customWidth="1"/>
    <col min="34" max="34" width="9" hidden="1" outlineLevel="1" collapsed="1" customWidth="1"/>
    <col min="35" max="35" width="12" hidden="1" outlineLevel="1" collapsed="1" customWidth="1"/>
    <col min="36" max="36" width="11.14" hidden="1" outlineLevel="1" collapsed="1" customWidth="1"/>
    <col min="37" max="37" width="9.43" hidden="1" outlineLevel="1" collapsed="1" customWidth="1"/>
    <col min="38" max="38" width="9" hidden="1" outlineLevel="1" collapsed="1" customWidth="1"/>
    <col min="39" max="39" width="12" hidden="1" outlineLevel="1" collapsed="1" customWidth="1"/>
    <col min="40" max="40" width="11.14" hidden="1" outlineLevel="1" collapsed="1" customWidth="1"/>
    <col min="41" max="41" width="9.14" outlineLevel="1" collapsed="1" customWidth="1"/>
    <col min="42" max="42" width="9" outlineLevel="1" collapsed="1" customWidth="1"/>
    <col min="43" max="43" width="12" outlineLevel="1" collapsed="1" customWidth="1"/>
    <col min="44" max="44" width="11.14" outlineLevel="1" collapsed="1" customWidth="1"/>
    <col min="45" max="45" width="9.43" hidden="1" outlineLevel="1" collapsed="1" customWidth="1"/>
    <col min="46" max="46" width="9" hidden="1" outlineLevel="1" collapsed="1" customWidth="1"/>
    <col min="47" max="47" width="12" hidden="1" outlineLevel="1" collapsed="1" customWidth="1"/>
    <col min="48" max="48" width="11.14" hidden="1" outlineLevel="1" collapsed="1" customWidth="1"/>
    <col min="49" max="49" width="8.14" hidden="1" outlineLevel="1" collapsed="1" customWidth="1"/>
    <col min="50" max="50" width="9.14" hidden="1" outlineLevel="1" collapsed="1" customWidth="1"/>
    <col min="51" max="51" width="11.43" hidden="1" outlineLevel="1" collapsed="1" customWidth="1"/>
    <col min="52" max="52" width="9" hidden="1" outlineLevel="1" collapsed="1" customWidth="1"/>
    <col min="53" max="53" width="12" hidden="1" outlineLevel="1" collapsed="1" customWidth="1"/>
    <col min="54" max="54" width="11.14" hidden="1" outlineLevel="1" collapsed="1" customWidth="1"/>
    <col min="55" max="55" width="9" hidden="1" outlineLevel="1" collapsed="1" customWidth="1"/>
    <col min="56" max="56" width="12" hidden="1" outlineLevel="1" collapsed="1" customWidth="1"/>
    <col min="57" max="57" width="9.43" hidden="1" customWidth="1"/>
    <col min="58" max="59" width="9.86" hidden="1" customWidth="1"/>
    <col min="60" max="60" width="9.14" customWidth="1"/>
    <col min="61" max="61" width="9.14" hidden="1" outlineLevel="1" collapsed="1" customWidth="1"/>
    <col min="62" max="62" width="9.43" hidden="1" outlineLevel="1" collapsed="1" customWidth="1"/>
    <col min="63" max="63" width="8.86" customWidth="1"/>
    <col min="64" max="64" width="8.43" customWidth="1"/>
  </cols>
  <sheetData>
    <row r="1" spans="1:57" x14ac:dyDescent="0.25">
      <c r="A1" s="15"/>
      <c r="B1" s="15" t="s">
        <v>569</v>
      </c>
      <c r="C1" s="112"/>
      <c r="D1" s="2" t="s">
        <v>542</v>
      </c>
      <c r="G1" s="1"/>
      <c r="H1" s="1"/>
      <c r="I1" s="1"/>
      <c r="J1" s="1"/>
      <c r="K1" s="1"/>
      <c r="L1" s="1"/>
      <c r="M1" s="1"/>
      <c r="N1" s="1"/>
      <c r="O1" s="1"/>
      <c r="P1" s="1"/>
      <c r="R1" s="1"/>
      <c r="S1" s="1"/>
      <c r="T1" s="1"/>
      <c r="V1" s="1"/>
      <c r="W1" s="1"/>
      <c r="X1" s="1"/>
      <c r="Y1" s="1"/>
      <c r="Z1" s="1"/>
      <c r="AB1" s="1"/>
      <c r="BE1" s="2" t="str">
        <f>'2022'!F1</f>
        <v>на 01 октября 2022года</v>
      </c>
    </row>
    <row r="2" spans="1:50" x14ac:dyDescent="0.25">
      <c r="A2" s="15"/>
      <c r="B2" s="15" t="s">
        <v>366</v>
      </c>
      <c r="C2" s="112"/>
      <c r="AX2" s="182">
        <v>2.7</v>
      </c>
    </row>
    <row r="3" ht="15" customHeight="1" spans="1:62" x14ac:dyDescent="0.25">
      <c r="A3" s="4"/>
      <c r="B3" s="15" t="s">
        <v>2</v>
      </c>
      <c r="C3" s="17" t="s">
        <v>354</v>
      </c>
      <c r="D3" s="16" t="s">
        <v>355</v>
      </c>
      <c r="E3" s="6" t="s">
        <v>9</v>
      </c>
      <c r="F3" s="9"/>
      <c r="G3" s="9"/>
      <c r="H3" s="7"/>
      <c r="I3" s="6" t="s">
        <v>10</v>
      </c>
      <c r="J3" s="9"/>
      <c r="K3" s="9"/>
      <c r="L3" s="7"/>
      <c r="M3" s="6" t="s">
        <v>11</v>
      </c>
      <c r="N3" s="9"/>
      <c r="O3" s="9"/>
      <c r="P3" s="7"/>
      <c r="Q3" s="6" t="s">
        <v>12</v>
      </c>
      <c r="R3" s="9"/>
      <c r="S3" s="9"/>
      <c r="T3" s="7"/>
      <c r="U3" s="6" t="s">
        <v>13</v>
      </c>
      <c r="V3" s="9"/>
      <c r="W3" s="9"/>
      <c r="X3" s="7"/>
      <c r="Y3" s="6" t="s">
        <v>14</v>
      </c>
      <c r="Z3" s="9"/>
      <c r="AA3" s="9"/>
      <c r="AB3" s="7"/>
      <c r="AC3" s="6" t="s">
        <v>15</v>
      </c>
      <c r="AD3" s="9"/>
      <c r="AE3" s="9"/>
      <c r="AF3" s="7"/>
      <c r="AG3" s="6" t="s">
        <v>16</v>
      </c>
      <c r="AH3" s="9"/>
      <c r="AI3" s="9"/>
      <c r="AJ3" s="7"/>
      <c r="AK3" s="6" t="s">
        <v>17</v>
      </c>
      <c r="AL3" s="9"/>
      <c r="AM3" s="9"/>
      <c r="AN3" s="7"/>
      <c r="AO3" s="6" t="s">
        <v>18</v>
      </c>
      <c r="AP3" s="9"/>
      <c r="AQ3" s="9"/>
      <c r="AR3" s="7"/>
      <c r="AS3" s="6" t="s">
        <v>19</v>
      </c>
      <c r="AT3" s="9"/>
      <c r="AU3" s="9"/>
      <c r="AV3" s="7"/>
      <c r="AW3" s="6" t="s">
        <v>372</v>
      </c>
      <c r="AX3" s="7"/>
      <c r="AY3" s="6" t="s">
        <v>20</v>
      </c>
      <c r="AZ3" s="9"/>
      <c r="BA3" s="9"/>
      <c r="BB3" s="7"/>
      <c r="BC3" s="6" t="s">
        <v>372</v>
      </c>
      <c r="BD3" s="7"/>
      <c r="BE3" s="8" t="s">
        <v>540</v>
      </c>
      <c r="BF3" s="9"/>
      <c r="BG3" s="9"/>
      <c r="BH3" s="7"/>
      <c r="BI3" s="17" t="s">
        <v>33</v>
      </c>
      <c r="BJ3" s="336" t="s">
        <v>373</v>
      </c>
    </row>
    <row r="4" ht="15" customHeight="1" spans="1:62" x14ac:dyDescent="0.25">
      <c r="A4" s="21"/>
      <c r="B4" s="15" t="s">
        <v>23</v>
      </c>
      <c r="C4" s="24"/>
      <c r="D4" s="23"/>
      <c r="E4" s="4" t="s">
        <v>30</v>
      </c>
      <c r="F4" s="4" t="s">
        <v>3</v>
      </c>
      <c r="G4" s="17" t="s">
        <v>374</v>
      </c>
      <c r="H4" s="17" t="s">
        <v>32</v>
      </c>
      <c r="I4" s="4" t="s">
        <v>30</v>
      </c>
      <c r="J4" s="4" t="s">
        <v>3</v>
      </c>
      <c r="K4" s="17" t="s">
        <v>374</v>
      </c>
      <c r="L4" s="17" t="s">
        <v>32</v>
      </c>
      <c r="M4" s="4" t="s">
        <v>30</v>
      </c>
      <c r="N4" s="4" t="s">
        <v>3</v>
      </c>
      <c r="O4" s="17" t="s">
        <v>374</v>
      </c>
      <c r="P4" s="17" t="s">
        <v>32</v>
      </c>
      <c r="Q4" s="4" t="s">
        <v>30</v>
      </c>
      <c r="R4" s="4" t="s">
        <v>3</v>
      </c>
      <c r="S4" s="17" t="s">
        <v>374</v>
      </c>
      <c r="T4" s="17" t="s">
        <v>32</v>
      </c>
      <c r="U4" s="4" t="s">
        <v>30</v>
      </c>
      <c r="V4" s="4" t="s">
        <v>3</v>
      </c>
      <c r="W4" s="17" t="s">
        <v>374</v>
      </c>
      <c r="X4" s="17" t="s">
        <v>32</v>
      </c>
      <c r="Y4" s="4" t="s">
        <v>30</v>
      </c>
      <c r="Z4" s="4" t="s">
        <v>3</v>
      </c>
      <c r="AA4" s="17" t="s">
        <v>374</v>
      </c>
      <c r="AB4" s="17" t="s">
        <v>32</v>
      </c>
      <c r="AC4" s="4" t="s">
        <v>30</v>
      </c>
      <c r="AD4" s="4" t="s">
        <v>3</v>
      </c>
      <c r="AE4" s="17" t="s">
        <v>374</v>
      </c>
      <c r="AF4" s="17" t="s">
        <v>32</v>
      </c>
      <c r="AG4" s="4" t="s">
        <v>30</v>
      </c>
      <c r="AH4" s="4" t="s">
        <v>3</v>
      </c>
      <c r="AI4" s="17" t="s">
        <v>374</v>
      </c>
      <c r="AJ4" s="17" t="s">
        <v>32</v>
      </c>
      <c r="AK4" s="4" t="s">
        <v>30</v>
      </c>
      <c r="AL4" s="4" t="s">
        <v>3</v>
      </c>
      <c r="AM4" s="17" t="s">
        <v>374</v>
      </c>
      <c r="AN4" s="17" t="s">
        <v>32</v>
      </c>
      <c r="AO4" s="4" t="s">
        <v>30</v>
      </c>
      <c r="AP4" s="4" t="s">
        <v>3</v>
      </c>
      <c r="AQ4" s="17" t="s">
        <v>374</v>
      </c>
      <c r="AR4" s="17" t="s">
        <v>32</v>
      </c>
      <c r="AS4" s="4" t="s">
        <v>30</v>
      </c>
      <c r="AT4" s="4" t="s">
        <v>3</v>
      </c>
      <c r="AU4" s="17" t="s">
        <v>374</v>
      </c>
      <c r="AV4" s="17" t="s">
        <v>32</v>
      </c>
      <c r="AW4" s="4" t="s">
        <v>3</v>
      </c>
      <c r="AX4" s="17" t="s">
        <v>374</v>
      </c>
      <c r="AY4" s="4" t="s">
        <v>30</v>
      </c>
      <c r="AZ4" s="4" t="s">
        <v>3</v>
      </c>
      <c r="BA4" s="17" t="s">
        <v>374</v>
      </c>
      <c r="BB4" s="17" t="s">
        <v>32</v>
      </c>
      <c r="BC4" s="4" t="s">
        <v>3</v>
      </c>
      <c r="BD4" s="17" t="s">
        <v>374</v>
      </c>
      <c r="BE4" s="4" t="s">
        <v>3</v>
      </c>
      <c r="BF4" s="17" t="s">
        <v>33</v>
      </c>
      <c r="BG4" s="17" t="s">
        <v>34</v>
      </c>
      <c r="BH4" s="115" t="s">
        <v>35</v>
      </c>
      <c r="BI4" s="24" t="s">
        <v>369</v>
      </c>
      <c r="BJ4" s="337" t="s">
        <v>369</v>
      </c>
    </row>
    <row r="5" ht="15" customHeight="1" spans="1:62" x14ac:dyDescent="0.25">
      <c r="A5" s="114" t="s">
        <v>41</v>
      </c>
      <c r="B5" s="15">
        <v>1</v>
      </c>
      <c r="C5" s="116">
        <v>4</v>
      </c>
      <c r="D5" s="117" t="s">
        <v>43</v>
      </c>
      <c r="E5" s="119">
        <f>'2022'!I8</f>
        <v>6315</v>
      </c>
      <c r="F5" s="21">
        <f>'2022'!J8</f>
        <v>100</v>
      </c>
      <c r="G5" s="124">
        <f>'2022'!K8</f>
        <v>270</v>
      </c>
      <c r="H5" s="124">
        <f>'2022'!L8</f>
        <v>3737.11</v>
      </c>
      <c r="I5" s="119">
        <f>'2022'!M8</f>
        <v>6344</v>
      </c>
      <c r="J5" s="119">
        <f>'2022'!N8</f>
        <v>29</v>
      </c>
      <c r="K5" s="106">
        <f>'2022'!O8</f>
        <v>78.3</v>
      </c>
      <c r="L5" s="106">
        <f>'2022'!P8</f>
      </c>
      <c r="M5" s="119">
        <f>'2022'!Q8</f>
        <v>6378</v>
      </c>
      <c r="N5" s="119">
        <f>'2022'!R8</f>
        <v>34</v>
      </c>
      <c r="O5" s="106">
        <f>'2022'!S8</f>
        <v>91.8</v>
      </c>
      <c r="P5" s="106">
        <f>'2022'!T8</f>
      </c>
      <c r="Q5" s="119">
        <f>'2022'!U8</f>
        <v>6409</v>
      </c>
      <c r="R5" s="119">
        <f>'2022'!V8</f>
        <v>31</v>
      </c>
      <c r="S5" s="106">
        <f>'2022'!W8</f>
        <v>83.7</v>
      </c>
      <c r="T5" s="106">
        <f>'2022'!X8</f>
      </c>
      <c r="U5" s="119">
        <f>'2022'!Y8</f>
        <v>6441</v>
      </c>
      <c r="V5" s="119">
        <f>'2022'!Z8</f>
        <v>32</v>
      </c>
      <c r="W5" s="106">
        <f>'2022'!AA8</f>
        <v>86.4</v>
      </c>
      <c r="X5" s="106">
        <f>'2022'!AB8</f>
      </c>
      <c r="Y5" s="119">
        <f>'2022'!AC8</f>
        <v>6480</v>
      </c>
      <c r="Z5" s="119">
        <f>'2022'!AD8</f>
        <v>39</v>
      </c>
      <c r="AA5" s="106">
        <f>'2022'!AE8</f>
        <v>105.3</v>
      </c>
      <c r="AB5" s="106">
        <f>'2022'!AF8</f>
      </c>
      <c r="AC5" s="119">
        <f>'2022'!AG8</f>
        <v>6517</v>
      </c>
      <c r="AD5" s="106">
        <f>'2022'!AH8</f>
        <v>39.072</v>
      </c>
      <c r="AE5" s="106">
        <f>'2022'!AI8</f>
        <v>96.11712</v>
      </c>
      <c r="AF5" s="106">
        <f>'2022'!AJ8</f>
      </c>
      <c r="AG5" s="119">
        <f>'2022'!AK8</f>
        <v>6570</v>
      </c>
      <c r="AH5" s="119">
        <f>'2022'!AL8</f>
        <v>54.484</v>
      </c>
      <c r="AI5" s="106">
        <f>'2022'!AM8</f>
        <v>134.03064</v>
      </c>
      <c r="AJ5" s="106">
        <f>'2022'!AN8</f>
      </c>
      <c r="AK5" s="119">
        <f>'2022'!AO8</f>
        <v>6610</v>
      </c>
      <c r="AL5" s="119">
        <f>'2022'!AP8</f>
        <v>41.32</v>
      </c>
      <c r="AM5" s="106">
        <f>'2022'!AQ8</f>
        <v>101.6472</v>
      </c>
      <c r="AN5" s="106">
        <f>'2022'!AR8</f>
      </c>
      <c r="AO5" s="119">
        <f>'2022'!AS8</f>
        <v>6665</v>
      </c>
      <c r="AP5" s="119">
        <f>'2022'!AT8</f>
        <v>57.75</v>
      </c>
      <c r="AQ5" s="106">
        <f>'2022'!AU8</f>
        <v>142.065</v>
      </c>
      <c r="AR5" s="106">
        <f>'2022'!AV8</f>
      </c>
      <c r="AS5" s="119">
        <f>'2022'!AW8</f>
      </c>
      <c r="AT5" s="119">
        <f>'2022'!AX8</f>
        <v>0</v>
      </c>
      <c r="AU5" s="106">
        <f>'2022'!AY8</f>
        <v>0</v>
      </c>
      <c r="AV5" s="106">
        <f>'2022'!AZ8</f>
      </c>
      <c r="AW5" s="106"/>
      <c r="AX5" s="106">
        <f t="shared" ref="AX5:AX118" si="0">AW5*$AX$2</f>
        <v>0</v>
      </c>
      <c r="AY5" s="119">
        <f>'2022'!BA8</f>
      </c>
      <c r="AZ5" s="119">
        <f>'2022'!BB8</f>
      </c>
      <c r="BA5" s="106">
        <f>'2022'!BC8</f>
        <v>0</v>
      </c>
      <c r="BB5" s="106">
        <f>'2022'!BD8</f>
      </c>
      <c r="BC5" s="106"/>
      <c r="BD5" s="106">
        <f t="shared" ref="BD5:BD118" si="1">BC5*$AX$2</f>
        <v>0</v>
      </c>
      <c r="BE5" s="119">
        <f>'2022'!BE8</f>
        <v>457.626</v>
      </c>
      <c r="BF5" s="106">
        <f>'2022'!BF8</f>
        <v>1189.35996</v>
      </c>
      <c r="BG5" s="106">
        <f>'2022'!BG8</f>
        <v>3737.11</v>
      </c>
      <c r="BH5" s="106">
        <f>'2022'!BH8</f>
        <v>1189.35996</v>
      </c>
      <c r="BI5" s="106">
        <f t="shared" ref="BI5:BI118" si="2">AX5+BD5</f>
        <v>0</v>
      </c>
      <c r="BJ5" s="338">
        <f t="shared" ref="BJ5:BJ118" si="3">BH5+BI5</f>
        <v>1189.35996</v>
      </c>
    </row>
    <row r="6" ht="15" customHeight="1" spans="1:62" x14ac:dyDescent="0.25">
      <c r="A6" s="14"/>
      <c r="B6" s="15">
        <v>2</v>
      </c>
      <c r="C6" s="115">
        <v>4.12</v>
      </c>
      <c r="D6" s="117" t="s">
        <v>359</v>
      </c>
      <c r="E6" s="119">
        <f>'2022'!I18</f>
        <v>36199</v>
      </c>
      <c r="F6" s="119">
        <f>'2022'!J18</f>
        <v>606</v>
      </c>
      <c r="G6" s="106">
        <f>'2022'!K18</f>
        <v>1636.2</v>
      </c>
      <c r="H6" s="106">
        <f>'2022'!L18</f>
        <v>2000</v>
      </c>
      <c r="I6" s="119">
        <f>'2022'!M18</f>
        <v>36837</v>
      </c>
      <c r="J6" s="119">
        <f>'2022'!N18</f>
        <v>638</v>
      </c>
      <c r="K6" s="106">
        <f>'2022'!O18</f>
        <v>1722.6</v>
      </c>
      <c r="L6" s="106">
        <f>'2022'!P18</f>
      </c>
      <c r="M6" s="119">
        <f>'2022'!Q18</f>
        <v>37235</v>
      </c>
      <c r="N6" s="119">
        <f>'2022'!R18</f>
        <v>398</v>
      </c>
      <c r="O6" s="106">
        <f>'2022'!S18</f>
        <v>1074.6</v>
      </c>
      <c r="P6" s="106">
        <f>'2022'!T18</f>
        <v>3500</v>
      </c>
      <c r="Q6" s="119">
        <f>'2022'!U18</f>
        <v>37659</v>
      </c>
      <c r="R6" s="119">
        <f>'2022'!V18</f>
        <v>424</v>
      </c>
      <c r="S6" s="106">
        <f>'2022'!W18</f>
        <v>1144.8</v>
      </c>
      <c r="T6" s="106">
        <f>'2022'!X18</f>
        <v>78.2</v>
      </c>
      <c r="U6" s="119">
        <f>'2022'!Y18</f>
        <v>38097</v>
      </c>
      <c r="V6" s="119">
        <f>'2022'!Z18</f>
        <v>438</v>
      </c>
      <c r="W6" s="106">
        <f>'2022'!AA18</f>
        <v>1182.6</v>
      </c>
      <c r="X6" s="106">
        <f>'2022'!AB18</f>
        <v>1182.6</v>
      </c>
      <c r="Y6" s="119">
        <f>'2022'!AC18</f>
        <v>38548</v>
      </c>
      <c r="Z6" s="119">
        <f>'2022'!AD18</f>
        <v>451</v>
      </c>
      <c r="AA6" s="106">
        <f>'2022'!AE18</f>
        <v>1217.7</v>
      </c>
      <c r="AB6" s="106">
        <f>'2022'!AF18</f>
      </c>
      <c r="AC6" s="119">
        <f>'2022'!AG18</f>
        <v>38872</v>
      </c>
      <c r="AD6" s="106">
        <f>'2022'!AH18</f>
        <v>342.144</v>
      </c>
      <c r="AE6" s="106">
        <f>'2022'!AI18</f>
        <v>841.67424</v>
      </c>
      <c r="AF6" s="106">
        <f>'2022'!AJ18</f>
        <v>1217.7</v>
      </c>
      <c r="AG6" s="119">
        <f>'2022'!AK18</f>
        <v>39303</v>
      </c>
      <c r="AH6" s="119">
        <f>'2022'!AL18</f>
        <v>443.068</v>
      </c>
      <c r="AI6" s="106">
        <f>'2022'!AM18</f>
        <v>1089.94728</v>
      </c>
      <c r="AJ6" s="106">
        <f>'2022'!AN18</f>
        <v>1931.62</v>
      </c>
      <c r="AK6" s="119">
        <f>'2022'!AO18</f>
        <v>39661</v>
      </c>
      <c r="AL6" s="119">
        <f>'2022'!AP18</f>
        <v>369.814</v>
      </c>
      <c r="AM6" s="106">
        <f>'2022'!AQ18</f>
        <v>909.74244</v>
      </c>
      <c r="AN6" s="106">
        <f>'2022'!AR18</f>
        <v>909.74</v>
      </c>
      <c r="AO6" s="119">
        <f>'2022'!AS18</f>
        <v>40038</v>
      </c>
      <c r="AP6" s="119">
        <f>'2022'!AT18</f>
        <v>395.85</v>
      </c>
      <c r="AQ6" s="106">
        <f>'2022'!AU18</f>
        <v>973.791</v>
      </c>
      <c r="AR6" s="106">
        <f>'2022'!AV18</f>
      </c>
      <c r="AS6" s="126">
        <f>'2022'!AW18</f>
      </c>
      <c r="AT6" s="119">
        <f>'2022'!AX18</f>
        <v>0</v>
      </c>
      <c r="AU6" s="106">
        <f>'2022'!AY18</f>
        <v>0</v>
      </c>
      <c r="AV6" s="106">
        <f>'2022'!AZ18</f>
      </c>
      <c r="AW6" s="119"/>
      <c r="AX6" s="106">
        <f t="shared" si="0"/>
        <v>0</v>
      </c>
      <c r="AY6" s="119">
        <f>'2022'!BA18</f>
      </c>
      <c r="AZ6" s="119">
        <f>'2022'!BB18</f>
      </c>
      <c r="BA6" s="106">
        <f>'2022'!BC18</f>
        <v>0</v>
      </c>
      <c r="BB6" s="106">
        <f>'2022'!BD18</f>
      </c>
      <c r="BC6" s="106"/>
      <c r="BD6" s="106">
        <f t="shared" si="1"/>
        <v>0</v>
      </c>
      <c r="BE6" s="119">
        <f>'2022'!BE18</f>
        <v>4505.876</v>
      </c>
      <c r="BF6" s="106">
        <f>'2022'!BF18</f>
        <v>11793.65496</v>
      </c>
      <c r="BG6" s="106">
        <f>'2022'!BG18</f>
        <v>10819.86</v>
      </c>
      <c r="BH6" s="106">
        <f>'2022'!BH18</f>
        <v>973.79496</v>
      </c>
      <c r="BI6" s="106">
        <f t="shared" si="2"/>
        <v>0</v>
      </c>
      <c r="BJ6" s="338">
        <f t="shared" si="3"/>
        <v>973.79496</v>
      </c>
    </row>
    <row r="7" ht="15" customHeight="1" spans="1:62" x14ac:dyDescent="0.25">
      <c r="A7" s="14"/>
      <c r="B7" s="15">
        <v>3</v>
      </c>
      <c r="C7" s="116">
        <v>4</v>
      </c>
      <c r="D7" s="117" t="s">
        <v>60</v>
      </c>
      <c r="E7" s="119">
        <f>'2022'!I27</f>
        <v>63</v>
      </c>
      <c r="F7" s="119">
        <f>'2022'!J27</f>
        <v>0</v>
      </c>
      <c r="G7" s="106">
        <f>'2022'!K27</f>
        <v>0</v>
      </c>
      <c r="H7" s="106">
        <f>'2022'!L27</f>
      </c>
      <c r="I7" s="119">
        <f>'2022'!M27</f>
        <v>63</v>
      </c>
      <c r="J7" s="119">
        <f>'2022'!N27</f>
        <v>0</v>
      </c>
      <c r="K7" s="106">
        <f>'2022'!O27</f>
        <v>0</v>
      </c>
      <c r="L7" s="106">
        <f>'2022'!P27</f>
      </c>
      <c r="M7" s="119">
        <f>'2022'!Q27</f>
        <v>63</v>
      </c>
      <c r="N7" s="119">
        <f>'2022'!R27</f>
        <v>0</v>
      </c>
      <c r="O7" s="106">
        <f>'2022'!S27</f>
        <v>0</v>
      </c>
      <c r="P7" s="106">
        <f>'2022'!T27</f>
      </c>
      <c r="Q7" s="119">
        <f>'2022'!U27</f>
        <v>63</v>
      </c>
      <c r="R7" s="119">
        <f>'2022'!V27</f>
        <v>0</v>
      </c>
      <c r="S7" s="106">
        <f>'2022'!W27</f>
        <v>0</v>
      </c>
      <c r="T7" s="106">
        <f>'2022'!X27</f>
      </c>
      <c r="U7" s="119">
        <f>'2022'!Y27</f>
        <v>65</v>
      </c>
      <c r="V7" s="119">
        <f>'2022'!Z27</f>
        <v>2</v>
      </c>
      <c r="W7" s="106">
        <f>'2022'!AA27</f>
        <v>5.4</v>
      </c>
      <c r="X7" s="106">
        <f>'2022'!AB27</f>
      </c>
      <c r="Y7" s="119">
        <f>'2022'!AC27</f>
        <v>87</v>
      </c>
      <c r="Z7" s="119">
        <f>'2022'!AD27</f>
        <v>22</v>
      </c>
      <c r="AA7" s="106">
        <f>'2022'!AE27</f>
        <v>59.4</v>
      </c>
      <c r="AB7" s="106">
        <f>'2022'!AF27</f>
        <v>8.1</v>
      </c>
      <c r="AC7" s="119">
        <f>'2022'!AG27</f>
        <v>89</v>
      </c>
      <c r="AD7" s="106">
        <f>'2022'!AH27</f>
        <v>2.112</v>
      </c>
      <c r="AE7" s="106">
        <f>'2022'!AI27</f>
        <v>5.19552</v>
      </c>
      <c r="AF7" s="106">
        <f>'2022'!AJ27</f>
      </c>
      <c r="AG7" s="119">
        <f>'2022'!AK27</f>
        <v>92</v>
      </c>
      <c r="AH7" s="119">
        <f>'2022'!AL27</f>
        <v>3.084</v>
      </c>
      <c r="AI7" s="106">
        <f>'2022'!AM27</f>
        <v>7.58664</v>
      </c>
      <c r="AJ7" s="106">
        <f>'2022'!AN27</f>
        <v>64.6</v>
      </c>
      <c r="AK7" s="119">
        <f>'2022'!AO27</f>
        <v>94</v>
      </c>
      <c r="AL7" s="119">
        <f>'2022'!AP27</f>
        <v>2.066</v>
      </c>
      <c r="AM7" s="106">
        <f>'2022'!AQ27</f>
        <v>5.08236</v>
      </c>
      <c r="AN7" s="106">
        <f>'2022'!AR27</f>
        <v>7.58</v>
      </c>
      <c r="AO7" s="119">
        <f>'2022'!AS27</f>
        <v>95</v>
      </c>
      <c r="AP7" s="119">
        <f>'2022'!AT27</f>
        <v>1.05</v>
      </c>
      <c r="AQ7" s="106">
        <f>'2022'!AU27</f>
        <v>2.583</v>
      </c>
      <c r="AR7" s="106">
        <f>'2022'!AV27</f>
      </c>
      <c r="AS7" s="119">
        <f>'2022'!AW27</f>
      </c>
      <c r="AT7" s="119">
        <f>'2022'!AX27</f>
        <v>0</v>
      </c>
      <c r="AU7" s="106">
        <f>'2022'!AY27</f>
        <v>0</v>
      </c>
      <c r="AV7" s="106">
        <f>'2022'!AZ27</f>
      </c>
      <c r="AW7" s="106"/>
      <c r="AX7" s="106">
        <f t="shared" si="0"/>
        <v>0</v>
      </c>
      <c r="AY7" s="119">
        <f>'2022'!BA27</f>
      </c>
      <c r="AZ7" s="119">
        <f>'2022'!BB27</f>
      </c>
      <c r="BA7" s="106">
        <f>'2022'!BC27</f>
        <v>0</v>
      </c>
      <c r="BB7" s="106">
        <f>'2022'!BD27</f>
      </c>
      <c r="BC7" s="106"/>
      <c r="BD7" s="106">
        <f t="shared" si="1"/>
        <v>0</v>
      </c>
      <c r="BE7" s="119">
        <f>'2022'!BE27</f>
        <v>32.312</v>
      </c>
      <c r="BF7" s="106">
        <f>'2022'!BF27</f>
        <v>85.24752</v>
      </c>
      <c r="BG7" s="106">
        <f>'2022'!BG27</f>
        <v>80.28</v>
      </c>
      <c r="BH7" s="106">
        <f>'2022'!BH27</f>
        <v>7.66752</v>
      </c>
      <c r="BI7" s="106">
        <f t="shared" si="2"/>
        <v>0</v>
      </c>
      <c r="BJ7" s="338">
        <f t="shared" si="3"/>
        <v>7.66752</v>
      </c>
    </row>
    <row r="8" ht="15" customHeight="1" spans="1:62" x14ac:dyDescent="0.25">
      <c r="A8" s="14"/>
      <c r="B8" s="15">
        <v>4</v>
      </c>
      <c r="C8" s="115">
        <v>3.95</v>
      </c>
      <c r="D8" s="117" t="s">
        <v>64</v>
      </c>
      <c r="E8" s="119">
        <f>'2022'!I36</f>
      </c>
      <c r="F8" s="119">
        <f>'2022'!J36</f>
        <v>0</v>
      </c>
      <c r="G8" s="106">
        <f>'2022'!K36</f>
        <v>0</v>
      </c>
      <c r="H8" s="106">
        <f>'2022'!L36</f>
      </c>
      <c r="I8" s="119">
        <f>'2022'!M36</f>
      </c>
      <c r="J8" s="119">
        <f>'2022'!N36</f>
        <v>0</v>
      </c>
      <c r="K8" s="106">
        <f>'2022'!O36</f>
        <v>0</v>
      </c>
      <c r="L8" s="106">
        <f>'2022'!P36</f>
      </c>
      <c r="M8" s="119">
        <f>'2022'!Q36</f>
      </c>
      <c r="N8" s="119">
        <f>'2022'!R36</f>
        <v>0</v>
      </c>
      <c r="O8" s="106">
        <f>'2022'!S36</f>
        <v>0</v>
      </c>
      <c r="P8" s="106">
        <f>'2022'!T36</f>
      </c>
      <c r="Q8" s="119">
        <f>'2022'!U36</f>
        <v>0</v>
      </c>
      <c r="R8" s="119">
        <f>'2022'!V36</f>
        <v>0</v>
      </c>
      <c r="S8" s="106">
        <f>'2022'!W36</f>
        <v>0</v>
      </c>
      <c r="T8" s="106">
        <f>'2022'!X36</f>
      </c>
      <c r="U8" s="119">
        <f>'2022'!Y36</f>
        <v>0</v>
      </c>
      <c r="V8" s="119">
        <f>'2022'!Z36</f>
        <v>0</v>
      </c>
      <c r="W8" s="106">
        <f>'2022'!AA36</f>
        <v>0</v>
      </c>
      <c r="X8" s="106">
        <f>'2022'!AB36</f>
      </c>
      <c r="Y8" s="119">
        <f>'2022'!AC36</f>
        <v>0</v>
      </c>
      <c r="Z8" s="119">
        <f>'2022'!AD36</f>
        <v>0</v>
      </c>
      <c r="AA8" s="106">
        <f>'2022'!AE36</f>
        <v>0</v>
      </c>
      <c r="AB8" s="106">
        <f>'2022'!AF36</f>
      </c>
      <c r="AC8" s="119">
        <f>'2022'!AG36</f>
        <v>0</v>
      </c>
      <c r="AD8" s="106">
        <f>'2022'!AH36</f>
        <v>0</v>
      </c>
      <c r="AE8" s="106">
        <f>'2022'!AI36</f>
        <v>0</v>
      </c>
      <c r="AF8" s="106">
        <f>'2022'!AJ36</f>
      </c>
      <c r="AG8" s="119">
        <f>'2022'!AK36</f>
        <v>0</v>
      </c>
      <c r="AH8" s="119">
        <f>'2022'!AL36</f>
        <v>0</v>
      </c>
      <c r="AI8" s="106">
        <f>'2022'!AM36</f>
        <v>0</v>
      </c>
      <c r="AJ8" s="106">
        <f>'2022'!AN36</f>
      </c>
      <c r="AK8" s="119">
        <f>'2022'!AO36</f>
        <v>0</v>
      </c>
      <c r="AL8" s="119">
        <f>'2022'!AP36</f>
        <v>0</v>
      </c>
      <c r="AM8" s="106">
        <f>'2022'!AQ36</f>
        <v>0</v>
      </c>
      <c r="AN8" s="106">
        <f>'2022'!AR36</f>
      </c>
      <c r="AO8" s="119">
        <f>'2022'!AS36</f>
        <v>0</v>
      </c>
      <c r="AP8" s="119">
        <f>'2022'!AT36</f>
        <v>0</v>
      </c>
      <c r="AQ8" s="106">
        <f>'2022'!AU36</f>
        <v>0</v>
      </c>
      <c r="AR8" s="106">
        <f>'2022'!AV36</f>
      </c>
      <c r="AS8" s="119">
        <f>'2022'!AW36</f>
      </c>
      <c r="AT8" s="119">
        <f>'2022'!AX36</f>
        <v>0</v>
      </c>
      <c r="AU8" s="106">
        <f>'2022'!AY36</f>
        <v>0</v>
      </c>
      <c r="AV8" s="106">
        <f>'2022'!AZ36</f>
      </c>
      <c r="AW8" s="106"/>
      <c r="AX8" s="106">
        <f t="shared" si="0"/>
        <v>0</v>
      </c>
      <c r="AY8" s="119">
        <f>'2022'!BA36</f>
      </c>
      <c r="AZ8" s="119">
        <f>'2022'!BB36</f>
      </c>
      <c r="BA8" s="106">
        <f>'2022'!BC36</f>
        <v>0</v>
      </c>
      <c r="BB8" s="106">
        <f>'2022'!BD36</f>
      </c>
      <c r="BC8" s="106"/>
      <c r="BD8" s="106">
        <f t="shared" si="1"/>
        <v>0</v>
      </c>
      <c r="BE8" s="119">
        <f>'2022'!BE36</f>
        <v>0</v>
      </c>
      <c r="BF8" s="106">
        <f>'2022'!BF36</f>
        <v>0</v>
      </c>
      <c r="BG8" s="106">
        <f>'2022'!BG36</f>
        <v>0</v>
      </c>
      <c r="BH8" s="106">
        <f>'2022'!BH36</f>
        <v>0</v>
      </c>
      <c r="BI8" s="106">
        <f t="shared" si="2"/>
        <v>0</v>
      </c>
      <c r="BJ8" s="338">
        <f t="shared" si="3"/>
        <v>0</v>
      </c>
    </row>
    <row r="9" ht="15" customHeight="1" spans="1:62" x14ac:dyDescent="0.25">
      <c r="A9" s="14"/>
      <c r="B9" s="15">
        <v>5</v>
      </c>
      <c r="C9" s="115">
        <v>5.08</v>
      </c>
      <c r="D9" s="2" t="s">
        <v>488</v>
      </c>
      <c r="E9" s="119">
        <f>'2022'!I45</f>
        <v>1005</v>
      </c>
      <c r="F9" s="119">
        <f>'2022'!J45</f>
        <v>0</v>
      </c>
      <c r="G9" s="106">
        <f>'2022'!K45</f>
        <v>0</v>
      </c>
      <c r="H9" s="106">
        <f>'2022'!L45</f>
      </c>
      <c r="I9" s="119">
        <f>'2022'!M45</f>
        <v>1005</v>
      </c>
      <c r="J9" s="119">
        <f>'2022'!N45</f>
        <v>0</v>
      </c>
      <c r="K9" s="106">
        <f>'2022'!O45</f>
        <v>0</v>
      </c>
      <c r="L9" s="106">
        <f>'2022'!P45</f>
      </c>
      <c r="M9" s="119">
        <f>'2022'!Q45</f>
        <v>1005</v>
      </c>
      <c r="N9" s="119">
        <f>'2022'!R45</f>
        <v>0</v>
      </c>
      <c r="O9" s="106">
        <f>'2022'!S45</f>
        <v>0</v>
      </c>
      <c r="P9" s="106">
        <f>'2022'!T45</f>
      </c>
      <c r="Q9" s="119">
        <f>'2022'!U45</f>
        <v>1005</v>
      </c>
      <c r="R9" s="119">
        <f>'2022'!V45</f>
        <v>0</v>
      </c>
      <c r="S9" s="106">
        <f>'2022'!W45</f>
        <v>0</v>
      </c>
      <c r="T9" s="106">
        <f>'2022'!X45</f>
      </c>
      <c r="U9" s="119">
        <f>'2022'!Y45</f>
        <v>1011</v>
      </c>
      <c r="V9" s="119">
        <f>'2022'!Z45</f>
        <v>6</v>
      </c>
      <c r="W9" s="106">
        <f>'2022'!AA45</f>
        <v>16.2</v>
      </c>
      <c r="X9" s="106">
        <f>'2022'!AB45</f>
      </c>
      <c r="Y9" s="119">
        <f>'2022'!AC45</f>
        <v>1266</v>
      </c>
      <c r="Z9" s="119">
        <f>'2022'!AD45</f>
        <v>255</v>
      </c>
      <c r="AA9" s="106">
        <f>'2022'!AE45</f>
        <v>688.5</v>
      </c>
      <c r="AB9" s="106">
        <f>'2022'!AF45</f>
        <v>16.2</v>
      </c>
      <c r="AC9" s="119">
        <f>'2022'!AG45</f>
        <v>1623</v>
      </c>
      <c r="AD9" s="106">
        <f>'2022'!AH45</f>
        <v>376.992</v>
      </c>
      <c r="AE9" s="106">
        <f>'2022'!AI45</f>
        <v>927.40032</v>
      </c>
      <c r="AF9" s="106">
        <f>'2022'!AJ45</f>
        <v>688.5</v>
      </c>
      <c r="AG9" s="119">
        <f>'2022'!AK45</f>
        <v>2010</v>
      </c>
      <c r="AH9" s="119">
        <f>'2022'!AL45</f>
        <v>397.836</v>
      </c>
      <c r="AI9" s="106">
        <f>'2022'!AM45</f>
        <v>978.67656</v>
      </c>
      <c r="AJ9" s="106">
        <f>'2022'!AN45</f>
        <v>927.4</v>
      </c>
      <c r="AK9" s="119">
        <f>'2022'!AO45</f>
        <v>2583</v>
      </c>
      <c r="AL9" s="119">
        <f>'2022'!AP45</f>
        <v>591.909</v>
      </c>
      <c r="AM9" s="106">
        <f>'2022'!AQ45</f>
        <v>1456.09614</v>
      </c>
      <c r="AN9" s="106">
        <f>'2022'!AR45</f>
        <v>2434.77</v>
      </c>
      <c r="AO9" s="119">
        <f>'2022'!AS45</f>
        <v>2840</v>
      </c>
      <c r="AP9" s="119">
        <f>'2022'!AT45</f>
        <v>269.85</v>
      </c>
      <c r="AQ9" s="106">
        <f>'2022'!AU45</f>
        <v>663.831</v>
      </c>
      <c r="AR9" s="106">
        <f>'2022'!AV45</f>
      </c>
      <c r="AS9" s="119">
        <f>'2022'!AW45</f>
      </c>
      <c r="AT9" s="119">
        <f>'2022'!AX45</f>
        <v>0</v>
      </c>
      <c r="AU9" s="106">
        <f>'2022'!AY45</f>
        <v>0</v>
      </c>
      <c r="AV9" s="106">
        <f>'2022'!AZ45</f>
      </c>
      <c r="AW9" s="119"/>
      <c r="AX9" s="106">
        <f t="shared" si="0"/>
        <v>0</v>
      </c>
      <c r="AY9" s="119">
        <f>'2022'!BA45</f>
      </c>
      <c r="AZ9" s="119">
        <f>'2022'!BB45</f>
      </c>
      <c r="BA9" s="106">
        <f>'2022'!BC45</f>
        <v>0</v>
      </c>
      <c r="BB9" s="106">
        <f>'2022'!BD45</f>
      </c>
      <c r="BC9" s="119"/>
      <c r="BD9" s="106">
        <f t="shared" si="1"/>
        <v>0</v>
      </c>
      <c r="BE9" s="119">
        <f>'2022'!BE45</f>
        <v>1897.587</v>
      </c>
      <c r="BF9" s="106">
        <f>'2022'!BF45</f>
        <v>4730.70402</v>
      </c>
      <c r="BG9" s="106">
        <f>'2022'!BG45</f>
        <v>4066.87</v>
      </c>
      <c r="BH9" s="106">
        <f>'2022'!BH45</f>
        <v>663.83402</v>
      </c>
      <c r="BI9" s="106">
        <f t="shared" si="2"/>
        <v>0</v>
      </c>
      <c r="BJ9" s="338">
        <f t="shared" si="3"/>
        <v>663.83402</v>
      </c>
    </row>
    <row r="10" ht="15" customHeight="1" spans="1:62" x14ac:dyDescent="0.25">
      <c r="A10" s="14"/>
      <c r="B10" s="15">
        <v>6</v>
      </c>
      <c r="C10" s="115">
        <v>4.01</v>
      </c>
      <c r="D10" s="117" t="s">
        <v>70</v>
      </c>
      <c r="E10" s="119">
        <f>'2022'!I54</f>
        <v>23</v>
      </c>
      <c r="F10" s="119">
        <f>'2022'!J54</f>
        <v>0</v>
      </c>
      <c r="G10" s="106">
        <f>'2022'!K54</f>
        <v>0</v>
      </c>
      <c r="H10" s="106">
        <f>'2022'!L54</f>
      </c>
      <c r="I10" s="119">
        <f>'2022'!M54</f>
        <v>23</v>
      </c>
      <c r="J10" s="119">
        <f>'2022'!N54</f>
        <v>0</v>
      </c>
      <c r="K10" s="106">
        <f>'2022'!O54</f>
        <v>0</v>
      </c>
      <c r="L10" s="106">
        <f>'2022'!P54</f>
      </c>
      <c r="M10" s="119">
        <f>'2022'!Q54</f>
        <v>23</v>
      </c>
      <c r="N10" s="119">
        <f>'2022'!R54</f>
        <v>0</v>
      </c>
      <c r="O10" s="106">
        <f>'2022'!S54</f>
        <v>0</v>
      </c>
      <c r="P10" s="106">
        <f>'2022'!T54</f>
      </c>
      <c r="Q10" s="119">
        <f>'2022'!U54</f>
        <v>23</v>
      </c>
      <c r="R10" s="119">
        <f>'2022'!V54</f>
        <v>0</v>
      </c>
      <c r="S10" s="106">
        <f>'2022'!W54</f>
        <v>0</v>
      </c>
      <c r="T10" s="106">
        <f>'2022'!X54</f>
      </c>
      <c r="U10" s="119">
        <f>'2022'!Y54</f>
        <v>24</v>
      </c>
      <c r="V10" s="119">
        <f>'2022'!Z54</f>
        <v>1</v>
      </c>
      <c r="W10" s="106">
        <f>'2022'!AA54</f>
        <v>2.7</v>
      </c>
      <c r="X10" s="106">
        <f>'2022'!AB54</f>
      </c>
      <c r="Y10" s="119">
        <f>'2022'!AC54</f>
        <v>25</v>
      </c>
      <c r="Z10" s="119">
        <f>'2022'!AD54</f>
        <v>1</v>
      </c>
      <c r="AA10" s="106">
        <f>'2022'!AE54</f>
        <v>2.7</v>
      </c>
      <c r="AB10" s="106">
        <f>'2022'!AF54</f>
      </c>
      <c r="AC10" s="119">
        <f>'2022'!AG54</f>
        <v>26</v>
      </c>
      <c r="AD10" s="106">
        <f>'2022'!AH54</f>
        <v>1.056</v>
      </c>
      <c r="AE10" s="106">
        <f>'2022'!AI54</f>
        <v>2.59776</v>
      </c>
      <c r="AF10" s="106">
        <f>'2022'!AJ54</f>
      </c>
      <c r="AG10" s="119">
        <f>'2022'!AK54</f>
        <v>26</v>
      </c>
      <c r="AH10" s="119">
        <f>'2022'!AL54</f>
        <v>0</v>
      </c>
      <c r="AI10" s="106">
        <f>'2022'!AM54</f>
        <v>0</v>
      </c>
      <c r="AJ10" s="106">
        <f>'2022'!AN54</f>
        <v>8</v>
      </c>
      <c r="AK10" s="119">
        <f>'2022'!AO54</f>
        <v>27</v>
      </c>
      <c r="AL10" s="119">
        <f>'2022'!AP54</f>
        <v>1.033</v>
      </c>
      <c r="AM10" s="106">
        <f>'2022'!AQ54</f>
        <v>2.54118</v>
      </c>
      <c r="AN10" s="106">
        <f>'2022'!AR54</f>
      </c>
      <c r="AO10" s="119">
        <f>'2022'!AS54</f>
        <v>27</v>
      </c>
      <c r="AP10" s="119">
        <f>'2022'!AT54</f>
        <v>0</v>
      </c>
      <c r="AQ10" s="106">
        <f>'2022'!AU54</f>
        <v>0</v>
      </c>
      <c r="AR10" s="106">
        <f>'2022'!AV54</f>
      </c>
      <c r="AS10" s="119">
        <f>'2022'!AW54</f>
      </c>
      <c r="AT10" s="119">
        <f>'2022'!AX54</f>
        <v>0</v>
      </c>
      <c r="AU10" s="106">
        <f>'2022'!AY54</f>
        <v>0</v>
      </c>
      <c r="AV10" s="106">
        <f>'2022'!AZ54</f>
      </c>
      <c r="AW10" s="106"/>
      <c r="AX10" s="106">
        <f t="shared" si="0"/>
        <v>0</v>
      </c>
      <c r="AY10" s="119">
        <f>'2022'!BA54</f>
      </c>
      <c r="AZ10" s="119">
        <f>'2022'!BB54</f>
      </c>
      <c r="BA10" s="106">
        <f>'2022'!BC54</f>
        <v>0</v>
      </c>
      <c r="BB10" s="106">
        <f>'2022'!BD54</f>
      </c>
      <c r="BC10" s="106"/>
      <c r="BD10" s="106">
        <f t="shared" si="1"/>
        <v>0</v>
      </c>
      <c r="BE10" s="119">
        <f>'2022'!BE54</f>
        <v>4.089</v>
      </c>
      <c r="BF10" s="106">
        <f>'2022'!BF54</f>
        <v>10.53894</v>
      </c>
      <c r="BG10" s="106">
        <f>'2022'!BG54</f>
        <v>8</v>
      </c>
      <c r="BH10" s="106">
        <f>'2022'!BH54</f>
        <v>2.53894</v>
      </c>
      <c r="BI10" s="106">
        <f t="shared" si="2"/>
        <v>0</v>
      </c>
      <c r="BJ10" s="338">
        <f t="shared" si="3"/>
        <v>2.53894</v>
      </c>
    </row>
    <row r="11" ht="15" customHeight="1" spans="1:62" x14ac:dyDescent="0.25">
      <c r="A11" s="14"/>
      <c r="B11" s="15">
        <v>7</v>
      </c>
      <c r="C11" s="115">
        <v>4.85</v>
      </c>
      <c r="D11" s="117" t="s">
        <v>74</v>
      </c>
      <c r="E11" s="119">
        <f>'2022'!I63</f>
        <v>562</v>
      </c>
      <c r="F11" s="119">
        <f>'2022'!J63</f>
        <v>0</v>
      </c>
      <c r="G11" s="106">
        <f>'2022'!K63</f>
        <v>0</v>
      </c>
      <c r="H11" s="106">
        <f>'2022'!L63</f>
      </c>
      <c r="I11" s="119">
        <f>'2022'!M63</f>
        <v>562</v>
      </c>
      <c r="J11" s="119">
        <f>'2022'!N63</f>
        <v>0</v>
      </c>
      <c r="K11" s="106">
        <f>'2022'!O63</f>
        <v>0</v>
      </c>
      <c r="L11" s="106">
        <f>'2022'!P63</f>
      </c>
      <c r="M11" s="119">
        <f>'2022'!Q63</f>
        <v>562</v>
      </c>
      <c r="N11" s="119">
        <f>'2022'!R63</f>
        <v>0</v>
      </c>
      <c r="O11" s="106">
        <f>'2022'!S63</f>
        <v>0</v>
      </c>
      <c r="P11" s="106">
        <f>'2022'!T63</f>
      </c>
      <c r="Q11" s="119">
        <f>'2022'!U63</f>
        <v>562</v>
      </c>
      <c r="R11" s="119">
        <f>'2022'!V63</f>
        <v>0</v>
      </c>
      <c r="S11" s="106">
        <f>'2022'!W63</f>
        <v>0</v>
      </c>
      <c r="T11" s="106">
        <f>'2022'!X63</f>
      </c>
      <c r="U11" s="119">
        <f>'2022'!Y63</f>
        <v>601</v>
      </c>
      <c r="V11" s="119">
        <f>'2022'!Z63</f>
        <v>39</v>
      </c>
      <c r="W11" s="106">
        <f>'2022'!AA63</f>
        <v>105.3</v>
      </c>
      <c r="X11" s="106">
        <f>'2022'!AB63</f>
      </c>
      <c r="Y11" s="119">
        <f>'2022'!AC63</f>
        <v>680</v>
      </c>
      <c r="Z11" s="119">
        <f>'2022'!AD63</f>
        <v>79</v>
      </c>
      <c r="AA11" s="106">
        <f>'2022'!AE63</f>
        <v>213.3</v>
      </c>
      <c r="AB11" s="106">
        <f>'2022'!AF63</f>
      </c>
      <c r="AC11" s="119">
        <f>'2022'!AG63</f>
        <v>749</v>
      </c>
      <c r="AD11" s="106">
        <f>'2022'!AH63</f>
        <v>72.864</v>
      </c>
      <c r="AE11" s="106">
        <f>'2022'!AI63</f>
        <v>179.24544</v>
      </c>
      <c r="AF11" s="106">
        <f>'2022'!AJ63</f>
        <v>200.85</v>
      </c>
      <c r="AG11" s="119">
        <f>'2022'!AK63</f>
        <v>829</v>
      </c>
      <c r="AH11" s="119">
        <f>'2022'!AL63</f>
        <v>82.24</v>
      </c>
      <c r="AI11" s="106">
        <f>'2022'!AM63</f>
        <v>202.3104</v>
      </c>
      <c r="AJ11" s="106">
        <f>'2022'!AN63</f>
      </c>
      <c r="AK11" s="119">
        <f>'2022'!AO63</f>
        <v>979</v>
      </c>
      <c r="AL11" s="119">
        <f>'2022'!AP63</f>
        <v>154.95</v>
      </c>
      <c r="AM11" s="106">
        <f>'2022'!AQ63</f>
        <v>381.177</v>
      </c>
      <c r="AN11" s="106">
        <f>'2022'!AR63</f>
      </c>
      <c r="AO11" s="119">
        <f>'2022'!AS63</f>
        <v>1119</v>
      </c>
      <c r="AP11" s="119">
        <f>'2022'!AT63</f>
        <v>147</v>
      </c>
      <c r="AQ11" s="106">
        <f>'2022'!AU63</f>
        <v>361.62</v>
      </c>
      <c r="AR11" s="106">
        <f>'2022'!AV63</f>
      </c>
      <c r="AS11" s="119">
        <f>'2022'!AW63</f>
      </c>
      <c r="AT11" s="119">
        <f>'2022'!AX63</f>
        <v>0</v>
      </c>
      <c r="AU11" s="106">
        <f>'2022'!AY63</f>
        <v>0</v>
      </c>
      <c r="AV11" s="106">
        <f>'2022'!AZ63</f>
      </c>
      <c r="AW11" s="106"/>
      <c r="AX11" s="106">
        <f t="shared" si="0"/>
        <v>0</v>
      </c>
      <c r="AY11" s="119">
        <f>'2022'!BA63</f>
      </c>
      <c r="AZ11" s="119">
        <f>'2022'!BB63</f>
      </c>
      <c r="BA11" s="106">
        <f>'2022'!BC63</f>
        <v>0</v>
      </c>
      <c r="BB11" s="106">
        <f>'2022'!BD63</f>
      </c>
      <c r="BC11" s="106"/>
      <c r="BD11" s="106">
        <f t="shared" si="1"/>
        <v>0</v>
      </c>
      <c r="BE11" s="119">
        <f>'2022'!BE63</f>
        <v>575.054</v>
      </c>
      <c r="BF11" s="106">
        <f>'2022'!BF63</f>
        <v>1442.95284</v>
      </c>
      <c r="BG11" s="106">
        <f>'2022'!BG63</f>
        <v>200.85</v>
      </c>
      <c r="BH11" s="106">
        <f>'2022'!BH63</f>
        <v>1252.90284</v>
      </c>
      <c r="BI11" s="106">
        <f t="shared" si="2"/>
        <v>0</v>
      </c>
      <c r="BJ11" s="338">
        <f t="shared" si="3"/>
        <v>1252.90284</v>
      </c>
    </row>
    <row r="12" ht="15" customHeight="1" spans="1:62" x14ac:dyDescent="0.25">
      <c r="A12" s="14"/>
      <c r="B12" s="15">
        <v>8</v>
      </c>
      <c r="C12" s="116">
        <v>4</v>
      </c>
      <c r="D12" s="2" t="s">
        <v>383</v>
      </c>
      <c r="E12" s="119">
        <f>'2022'!I72</f>
        <v>731</v>
      </c>
      <c r="F12" s="119">
        <f>'2022'!J72</f>
        <v>0</v>
      </c>
      <c r="G12" s="106">
        <f>'2022'!K72</f>
        <v>0</v>
      </c>
      <c r="H12" s="106">
        <f>'2022'!L72</f>
      </c>
      <c r="I12" s="119">
        <f>'2022'!M72</f>
        <v>731</v>
      </c>
      <c r="J12" s="119">
        <f>'2022'!N72</f>
        <v>0</v>
      </c>
      <c r="K12" s="106">
        <f>'2022'!O72</f>
        <v>0</v>
      </c>
      <c r="L12" s="106">
        <f>'2022'!P72</f>
      </c>
      <c r="M12" s="119">
        <f>'2022'!Q72</f>
        <v>731</v>
      </c>
      <c r="N12" s="119">
        <f>'2022'!R72</f>
        <v>0</v>
      </c>
      <c r="O12" s="106">
        <f>'2022'!S72</f>
        <v>0</v>
      </c>
      <c r="P12" s="106">
        <f>'2022'!T72</f>
      </c>
      <c r="Q12" s="119">
        <f>'2022'!U72</f>
        <v>731</v>
      </c>
      <c r="R12" s="119">
        <f>'2022'!V72</f>
        <v>0</v>
      </c>
      <c r="S12" s="106">
        <f>'2022'!W72</f>
        <v>0</v>
      </c>
      <c r="T12" s="106">
        <f>'2022'!X72</f>
      </c>
      <c r="U12" s="119">
        <f>'2022'!Y72</f>
        <v>731</v>
      </c>
      <c r="V12" s="119">
        <f>'2022'!Z72</f>
        <v>0</v>
      </c>
      <c r="W12" s="106">
        <f>'2022'!AA72</f>
        <v>0</v>
      </c>
      <c r="X12" s="106">
        <f>'2022'!AB72</f>
      </c>
      <c r="Y12" s="119">
        <f>'2022'!AC72</f>
        <v>736</v>
      </c>
      <c r="Z12" s="119">
        <f>'2022'!AD72</f>
        <v>5</v>
      </c>
      <c r="AA12" s="106">
        <f>'2022'!AE72</f>
        <v>13.5</v>
      </c>
      <c r="AB12" s="106">
        <f>'2022'!AF72</f>
      </c>
      <c r="AC12" s="119">
        <f>'2022'!AG72</f>
        <v>736</v>
      </c>
      <c r="AD12" s="106">
        <f>'2022'!AH72</f>
        <v>0</v>
      </c>
      <c r="AE12" s="106">
        <f>'2022'!AI72</f>
        <v>0</v>
      </c>
      <c r="AF12" s="106">
        <f>'2022'!AJ72</f>
      </c>
      <c r="AG12" s="119">
        <f>'2022'!AK72</f>
        <v>736</v>
      </c>
      <c r="AH12" s="119">
        <f>'2022'!AL72</f>
        <v>0</v>
      </c>
      <c r="AI12" s="106">
        <f>'2022'!AM72</f>
        <v>0</v>
      </c>
      <c r="AJ12" s="106">
        <f>'2022'!AN72</f>
      </c>
      <c r="AK12" s="119">
        <f>'2022'!AO72</f>
        <v>736</v>
      </c>
      <c r="AL12" s="119">
        <f>'2022'!AP72</f>
        <v>0</v>
      </c>
      <c r="AM12" s="106">
        <f>'2022'!AQ72</f>
        <v>0</v>
      </c>
      <c r="AN12" s="106">
        <f>'2022'!AR72</f>
      </c>
      <c r="AO12" s="119">
        <f>'2022'!AS72</f>
        <v>736</v>
      </c>
      <c r="AP12" s="119">
        <f>'2022'!AT72</f>
        <v>0</v>
      </c>
      <c r="AQ12" s="106">
        <f>'2022'!AU72</f>
        <v>0</v>
      </c>
      <c r="AR12" s="106">
        <f>'2022'!AV72</f>
      </c>
      <c r="AS12" s="119">
        <f>'2022'!AW72</f>
      </c>
      <c r="AT12" s="119">
        <f>'2022'!AX72</f>
        <v>0</v>
      </c>
      <c r="AU12" s="106">
        <f>'2022'!AY72</f>
        <v>0</v>
      </c>
      <c r="AV12" s="106">
        <f>'2022'!AZ72</f>
      </c>
      <c r="AW12" s="106"/>
      <c r="AX12" s="106">
        <f t="shared" si="0"/>
        <v>0</v>
      </c>
      <c r="AY12" s="119">
        <f>'2022'!BA72</f>
      </c>
      <c r="AZ12" s="119">
        <f>'2022'!BB72</f>
      </c>
      <c r="BA12" s="106">
        <f>'2022'!BC72</f>
        <v>0</v>
      </c>
      <c r="BB12" s="106">
        <f>'2022'!BD72</f>
      </c>
      <c r="BC12" s="106"/>
      <c r="BD12" s="106">
        <f t="shared" si="1"/>
        <v>0</v>
      </c>
      <c r="BE12" s="119">
        <f>'2022'!BE72</f>
        <v>5</v>
      </c>
      <c r="BF12" s="106">
        <f>'2022'!BF72</f>
        <v>13.5</v>
      </c>
      <c r="BG12" s="106">
        <f>'2022'!BG72</f>
        <v>0</v>
      </c>
      <c r="BH12" s="106">
        <f>'2022'!BH72</f>
        <v>-191.3</v>
      </c>
      <c r="BI12" s="106">
        <f t="shared" si="2"/>
        <v>0</v>
      </c>
      <c r="BJ12" s="338">
        <f t="shared" si="3"/>
        <v>-191.3</v>
      </c>
    </row>
    <row r="13" ht="15" customHeight="1" spans="1:62" x14ac:dyDescent="0.25">
      <c r="A13" s="14"/>
      <c r="B13" s="15">
        <v>9</v>
      </c>
      <c r="C13" s="115">
        <v>4.03</v>
      </c>
      <c r="D13" s="117" t="s">
        <v>82</v>
      </c>
      <c r="E13" s="119">
        <f>'2022'!I81</f>
        <v>46</v>
      </c>
      <c r="F13" s="119">
        <f>'2022'!J81</f>
        <v>0</v>
      </c>
      <c r="G13" s="106">
        <f>'2022'!K81</f>
        <v>0</v>
      </c>
      <c r="H13" s="106">
        <f>'2022'!L81</f>
      </c>
      <c r="I13" s="119">
        <f>'2022'!M81</f>
        <v>46</v>
      </c>
      <c r="J13" s="119">
        <f>'2022'!N81</f>
        <v>0</v>
      </c>
      <c r="K13" s="106">
        <f>'2022'!O81</f>
        <v>0</v>
      </c>
      <c r="L13" s="106">
        <f>'2022'!P81</f>
      </c>
      <c r="M13" s="119">
        <f>'2022'!Q81</f>
        <v>46</v>
      </c>
      <c r="N13" s="119">
        <f>'2022'!R81</f>
        <v>0</v>
      </c>
      <c r="O13" s="106">
        <f>'2022'!S81</f>
        <v>0</v>
      </c>
      <c r="P13" s="106">
        <f>'2022'!T81</f>
      </c>
      <c r="Q13" s="119">
        <f>'2022'!U81</f>
        <v>46</v>
      </c>
      <c r="R13" s="119">
        <f>'2022'!V81</f>
        <v>0</v>
      </c>
      <c r="S13" s="106">
        <f>'2022'!W81</f>
        <v>0</v>
      </c>
      <c r="T13" s="106">
        <f>'2022'!X81</f>
      </c>
      <c r="U13" s="119">
        <f>'2022'!Y81</f>
        <v>46</v>
      </c>
      <c r="V13" s="119">
        <f>'2022'!Z81</f>
        <v>0</v>
      </c>
      <c r="W13" s="106">
        <f>'2022'!AA81</f>
        <v>0</v>
      </c>
      <c r="X13" s="106">
        <f>'2022'!AB81</f>
      </c>
      <c r="Y13" s="119">
        <f>'2022'!AC81</f>
        <v>46</v>
      </c>
      <c r="Z13" s="119">
        <f>'2022'!AD81</f>
        <v>0</v>
      </c>
      <c r="AA13" s="106">
        <f>'2022'!AE81</f>
        <v>0</v>
      </c>
      <c r="AB13" s="106">
        <f>'2022'!AF81</f>
      </c>
      <c r="AC13" s="119">
        <f>'2022'!AG81</f>
        <v>46</v>
      </c>
      <c r="AD13" s="106">
        <f>'2022'!AH81</f>
        <v>0</v>
      </c>
      <c r="AE13" s="106">
        <f>'2022'!AI81</f>
        <v>0</v>
      </c>
      <c r="AF13" s="106">
        <f>'2022'!AJ81</f>
      </c>
      <c r="AG13" s="119">
        <f>'2022'!AK81</f>
        <v>46</v>
      </c>
      <c r="AH13" s="119">
        <f>'2022'!AL81</f>
        <v>0</v>
      </c>
      <c r="AI13" s="106">
        <f>'2022'!AM81</f>
        <v>0</v>
      </c>
      <c r="AJ13" s="106">
        <f>'2022'!AN81</f>
      </c>
      <c r="AK13" s="119">
        <f>'2022'!AO81</f>
        <v>46</v>
      </c>
      <c r="AL13" s="119">
        <f>'2022'!AP81</f>
        <v>0</v>
      </c>
      <c r="AM13" s="106">
        <f>'2022'!AQ81</f>
        <v>0</v>
      </c>
      <c r="AN13" s="106">
        <f>'2022'!AR81</f>
      </c>
      <c r="AO13" s="119">
        <f>'2022'!AS81</f>
        <v>46</v>
      </c>
      <c r="AP13" s="119">
        <f>'2022'!AT81</f>
        <v>0</v>
      </c>
      <c r="AQ13" s="106">
        <f>'2022'!AU81</f>
        <v>0</v>
      </c>
      <c r="AR13" s="106">
        <f>'2022'!AV81</f>
      </c>
      <c r="AS13" s="119">
        <f>'2022'!AW81</f>
      </c>
      <c r="AT13" s="119">
        <f>'2022'!AX81</f>
        <v>0</v>
      </c>
      <c r="AU13" s="106">
        <f>'2022'!AY81</f>
        <v>0</v>
      </c>
      <c r="AV13" s="106">
        <f>'2022'!AZ81</f>
      </c>
      <c r="AW13" s="106"/>
      <c r="AX13" s="106">
        <f t="shared" si="0"/>
        <v>0</v>
      </c>
      <c r="AY13" s="119">
        <f>'2022'!BA81</f>
      </c>
      <c r="AZ13" s="119">
        <f>'2022'!BB81</f>
      </c>
      <c r="BA13" s="106">
        <f>'2022'!BC81</f>
        <v>0</v>
      </c>
      <c r="BB13" s="106">
        <f>'2022'!BD81</f>
      </c>
      <c r="BC13" s="106"/>
      <c r="BD13" s="106">
        <f t="shared" si="1"/>
        <v>0</v>
      </c>
      <c r="BE13" s="119">
        <f>'2022'!BE81</f>
        <v>0</v>
      </c>
      <c r="BF13" s="106">
        <f>'2022'!BF81</f>
        <v>0</v>
      </c>
      <c r="BG13" s="106">
        <f>'2022'!BG81</f>
        <v>0</v>
      </c>
      <c r="BH13" s="106">
        <f>'2022'!BH81</f>
        <v>-285.03</v>
      </c>
      <c r="BI13" s="106">
        <f t="shared" si="2"/>
        <v>0</v>
      </c>
      <c r="BJ13" s="338">
        <f t="shared" si="3"/>
        <v>-285.03</v>
      </c>
    </row>
    <row r="14" ht="15" customHeight="1" spans="1:62" x14ac:dyDescent="0.25">
      <c r="A14" s="14"/>
      <c r="B14" s="15">
        <v>10</v>
      </c>
      <c r="C14" s="115">
        <v>4.01</v>
      </c>
      <c r="D14" s="117" t="s">
        <v>86</v>
      </c>
      <c r="E14" s="119">
        <f>'2022'!I90</f>
      </c>
      <c r="F14" s="119">
        <f>'2022'!J90</f>
        <v>0</v>
      </c>
      <c r="G14" s="106">
        <f>'2022'!K90</f>
        <v>0</v>
      </c>
      <c r="H14" s="106">
        <f>'2022'!L90</f>
      </c>
      <c r="I14" s="119">
        <f>'2022'!M90</f>
      </c>
      <c r="J14" s="119">
        <f>'2022'!N90</f>
        <v>0</v>
      </c>
      <c r="K14" s="106">
        <f>'2022'!O90</f>
        <v>0</v>
      </c>
      <c r="L14" s="106">
        <f>'2022'!P90</f>
      </c>
      <c r="M14" s="119">
        <f>'2022'!Q90</f>
      </c>
      <c r="N14" s="119">
        <f>'2022'!R90</f>
        <v>0</v>
      </c>
      <c r="O14" s="106">
        <f>'2022'!S90</f>
        <v>0</v>
      </c>
      <c r="P14" s="106">
        <f>'2022'!T90</f>
      </c>
      <c r="Q14" s="119">
        <f>'2022'!U90</f>
      </c>
      <c r="R14" s="119">
        <f>'2022'!V90</f>
        <v>0</v>
      </c>
      <c r="S14" s="106">
        <f>'2022'!W90</f>
        <v>0</v>
      </c>
      <c r="T14" s="106">
        <f>'2022'!X90</f>
      </c>
      <c r="U14" s="119">
        <f>'2022'!Y90</f>
      </c>
      <c r="V14" s="119">
        <f>'2022'!Z90</f>
        <v>0</v>
      </c>
      <c r="W14" s="106">
        <f>'2022'!AA90</f>
        <v>0</v>
      </c>
      <c r="X14" s="106">
        <f>'2022'!AB90</f>
      </c>
      <c r="Y14" s="119">
        <f>'2022'!AC90</f>
      </c>
      <c r="Z14" s="119">
        <f>'2022'!AD90</f>
        <v>0</v>
      </c>
      <c r="AA14" s="106">
        <f>'2022'!AE90</f>
        <v>0</v>
      </c>
      <c r="AB14" s="106">
        <f>'2022'!AF90</f>
      </c>
      <c r="AC14" s="119">
        <f>'2022'!AG90</f>
      </c>
      <c r="AD14" s="106">
        <f>'2022'!AH90</f>
        <v>0</v>
      </c>
      <c r="AE14" s="106">
        <f>'2022'!AI90</f>
        <v>0</v>
      </c>
      <c r="AF14" s="106">
        <f>'2022'!AJ90</f>
      </c>
      <c r="AG14" s="119">
        <f>'2022'!AK90</f>
      </c>
      <c r="AH14" s="119">
        <f>'2022'!AL90</f>
        <v>0</v>
      </c>
      <c r="AI14" s="106">
        <f>'2022'!AM90</f>
        <v>0</v>
      </c>
      <c r="AJ14" s="106">
        <f>'2022'!AN90</f>
      </c>
      <c r="AK14" s="119">
        <f>'2022'!AO90</f>
      </c>
      <c r="AL14" s="119">
        <f>'2022'!AP90</f>
        <v>0</v>
      </c>
      <c r="AM14" s="106">
        <f>'2022'!AQ90</f>
        <v>0</v>
      </c>
      <c r="AN14" s="106">
        <f>'2022'!AR90</f>
      </c>
      <c r="AO14" s="119">
        <f>'2022'!AS90</f>
      </c>
      <c r="AP14" s="119">
        <f>'2022'!AT90</f>
        <v>0</v>
      </c>
      <c r="AQ14" s="106">
        <f>'2022'!AU90</f>
        <v>0</v>
      </c>
      <c r="AR14" s="106">
        <f>'2022'!AV90</f>
      </c>
      <c r="AS14" s="119">
        <f>'2022'!AW90</f>
      </c>
      <c r="AT14" s="119">
        <f>'2022'!AX90</f>
        <v>0</v>
      </c>
      <c r="AU14" s="106">
        <f>'2022'!AY90</f>
        <v>0</v>
      </c>
      <c r="AV14" s="106">
        <f>'2022'!AZ90</f>
      </c>
      <c r="AW14" s="106"/>
      <c r="AX14" s="106">
        <f t="shared" si="0"/>
        <v>0</v>
      </c>
      <c r="AY14" s="119">
        <f>'2022'!BA90</f>
      </c>
      <c r="AZ14" s="119">
        <f>'2022'!BB90</f>
      </c>
      <c r="BA14" s="106">
        <f>'2022'!BC90</f>
        <v>0</v>
      </c>
      <c r="BB14" s="106">
        <f>'2022'!BD90</f>
      </c>
      <c r="BC14" s="106"/>
      <c r="BD14" s="106">
        <f t="shared" si="1"/>
        <v>0</v>
      </c>
      <c r="BE14" s="119">
        <f>'2022'!BE90</f>
        <v>0</v>
      </c>
      <c r="BF14" s="106">
        <f>'2022'!BF90</f>
        <v>0</v>
      </c>
      <c r="BG14" s="106">
        <f>'2022'!BG90</f>
        <v>0</v>
      </c>
      <c r="BH14" s="106">
        <f>'2022'!BH90</f>
        <v>0</v>
      </c>
      <c r="BI14" s="106">
        <f t="shared" si="2"/>
        <v>0</v>
      </c>
      <c r="BJ14" s="338">
        <f t="shared" si="3"/>
        <v>0</v>
      </c>
    </row>
    <row r="15" ht="15" customHeight="1" spans="1:64" x14ac:dyDescent="0.25">
      <c r="A15" s="14"/>
      <c r="B15" s="15">
        <v>11</v>
      </c>
      <c r="C15" s="115">
        <v>4.02</v>
      </c>
      <c r="D15" s="117" t="s">
        <v>89</v>
      </c>
      <c r="E15" s="119">
        <f>'2022'!I99</f>
        <v>36</v>
      </c>
      <c r="F15" s="119">
        <f>'2022'!J99</f>
        <v>0</v>
      </c>
      <c r="G15" s="106">
        <f>'2022'!K99</f>
        <v>0</v>
      </c>
      <c r="H15" s="106">
        <f>'2022'!L99</f>
      </c>
      <c r="I15" s="119">
        <f>'2022'!M99</f>
        <v>36</v>
      </c>
      <c r="J15" s="119">
        <f>'2022'!N99</f>
        <v>0</v>
      </c>
      <c r="K15" s="106">
        <f>'2022'!O99</f>
        <v>0</v>
      </c>
      <c r="L15" s="106">
        <f>'2022'!P99</f>
      </c>
      <c r="M15" s="119">
        <f>'2022'!Q99</f>
        <v>36</v>
      </c>
      <c r="N15" s="119">
        <f>'2022'!R99</f>
        <v>0</v>
      </c>
      <c r="O15" s="106">
        <f>'2022'!S99</f>
        <v>0</v>
      </c>
      <c r="P15" s="106">
        <f>'2022'!T99</f>
      </c>
      <c r="Q15" s="119">
        <f>'2022'!U99</f>
        <v>36</v>
      </c>
      <c r="R15" s="119">
        <f>'2022'!V99</f>
        <v>0</v>
      </c>
      <c r="S15" s="106">
        <f>'2022'!W99</f>
        <v>0</v>
      </c>
      <c r="T15" s="106">
        <f>'2022'!X99</f>
      </c>
      <c r="U15" s="119">
        <f>'2022'!Y99</f>
        <v>36</v>
      </c>
      <c r="V15" s="119">
        <f>'2022'!Z99</f>
        <v>0</v>
      </c>
      <c r="W15" s="106">
        <f>'2022'!AA99</f>
        <v>0</v>
      </c>
      <c r="X15" s="106">
        <f>'2022'!AB99</f>
      </c>
      <c r="Y15" s="119">
        <f>'2022'!AC99</f>
        <v>36</v>
      </c>
      <c r="Z15" s="119">
        <f>'2022'!AD99</f>
        <v>0</v>
      </c>
      <c r="AA15" s="106">
        <f>'2022'!AE99</f>
        <v>0</v>
      </c>
      <c r="AB15" s="106">
        <f>'2022'!AF99</f>
      </c>
      <c r="AC15" s="119">
        <f>'2022'!AG99</f>
        <v>36</v>
      </c>
      <c r="AD15" s="106">
        <f>'2022'!AH99</f>
        <v>0</v>
      </c>
      <c r="AE15" s="106">
        <f>'2022'!AI99</f>
        <v>0</v>
      </c>
      <c r="AF15" s="106">
        <f>'2022'!AJ99</f>
      </c>
      <c r="AG15" s="119">
        <f>'2022'!AK99</f>
        <v>36</v>
      </c>
      <c r="AH15" s="119">
        <f>'2022'!AL99</f>
        <v>0</v>
      </c>
      <c r="AI15" s="106">
        <f>'2022'!AM99</f>
        <v>0</v>
      </c>
      <c r="AJ15" s="106">
        <f>'2022'!AN99</f>
      </c>
      <c r="AK15" s="119">
        <f>'2022'!AO99</f>
        <v>36</v>
      </c>
      <c r="AL15" s="119">
        <f>'2022'!AP99</f>
        <v>0</v>
      </c>
      <c r="AM15" s="106">
        <f>'2022'!AQ99</f>
        <v>0</v>
      </c>
      <c r="AN15" s="106">
        <f>'2022'!AR99</f>
      </c>
      <c r="AO15" s="119">
        <f>'2022'!AS99</f>
        <v>36</v>
      </c>
      <c r="AP15" s="119">
        <f>'2022'!AT99</f>
        <v>0</v>
      </c>
      <c r="AQ15" s="106">
        <f>'2022'!AU99</f>
        <v>0</v>
      </c>
      <c r="AR15" s="106">
        <f>'2022'!AV99</f>
      </c>
      <c r="AS15" s="119">
        <f>'2022'!AW99</f>
      </c>
      <c r="AT15" s="119">
        <f>'2022'!AX99</f>
        <v>0</v>
      </c>
      <c r="AU15" s="106">
        <f>'2022'!AY99</f>
        <v>0</v>
      </c>
      <c r="AV15" s="106">
        <f>'2022'!AZ99</f>
      </c>
      <c r="AW15" s="106"/>
      <c r="AX15" s="106">
        <f t="shared" si="0"/>
        <v>0</v>
      </c>
      <c r="AY15" s="119">
        <f>'2022'!BA99</f>
      </c>
      <c r="AZ15" s="119">
        <f>'2022'!BB99</f>
      </c>
      <c r="BA15" s="106">
        <f>'2022'!BC99</f>
        <v>0</v>
      </c>
      <c r="BB15" s="106">
        <f>'2022'!BD99</f>
      </c>
      <c r="BC15" s="106"/>
      <c r="BD15" s="106">
        <f t="shared" si="1"/>
        <v>0</v>
      </c>
      <c r="BE15" s="119">
        <f>'2022'!BE99</f>
        <v>0</v>
      </c>
      <c r="BF15" s="106">
        <f>'2022'!BF99</f>
        <v>0</v>
      </c>
      <c r="BG15" s="106">
        <f>'2022'!BG99</f>
        <v>0</v>
      </c>
      <c r="BH15" s="106">
        <f>'2022'!BH99</f>
        <v>-78</v>
      </c>
      <c r="BI15" s="106">
        <f t="shared" si="2"/>
        <v>0</v>
      </c>
      <c r="BJ15" s="338">
        <f t="shared" si="3"/>
        <v>-78</v>
      </c>
      <c r="BL15" s="34"/>
    </row>
    <row r="16" ht="15" customHeight="1" spans="1:62" x14ac:dyDescent="0.25">
      <c r="A16" s="14"/>
      <c r="B16" s="15">
        <v>12</v>
      </c>
      <c r="C16" s="115">
        <v>4.02</v>
      </c>
      <c r="D16" s="117" t="s">
        <v>92</v>
      </c>
      <c r="E16" s="119">
        <f>'2022'!I108</f>
      </c>
      <c r="F16" s="119">
        <f>'2022'!J108</f>
        <v>0</v>
      </c>
      <c r="G16" s="106">
        <f>'2022'!K108</f>
        <v>0</v>
      </c>
      <c r="H16" s="106">
        <f>'2022'!L108</f>
      </c>
      <c r="I16" s="119">
        <f>'2022'!M108</f>
      </c>
      <c r="J16" s="119">
        <f>'2022'!N108</f>
        <v>0</v>
      </c>
      <c r="K16" s="106">
        <f>'2022'!O108</f>
        <v>0</v>
      </c>
      <c r="L16" s="106">
        <f>'2022'!P108</f>
      </c>
      <c r="M16" s="119">
        <f>'2022'!Q108</f>
      </c>
      <c r="N16" s="119">
        <f>'2022'!R108</f>
        <v>0</v>
      </c>
      <c r="O16" s="106">
        <f>'2022'!S108</f>
        <v>0</v>
      </c>
      <c r="P16" s="106">
        <f>'2022'!T108</f>
      </c>
      <c r="Q16" s="119">
        <f>'2022'!U108</f>
      </c>
      <c r="R16" s="119">
        <f>'2022'!V108</f>
        <v>0</v>
      </c>
      <c r="S16" s="106">
        <f>'2022'!W108</f>
        <v>0</v>
      </c>
      <c r="T16" s="106">
        <f>'2022'!X108</f>
      </c>
      <c r="U16" s="119">
        <f>'2022'!Y108</f>
      </c>
      <c r="V16" s="119">
        <f>'2022'!Z108</f>
        <v>0</v>
      </c>
      <c r="W16" s="106">
        <f>'2022'!AA108</f>
        <v>0</v>
      </c>
      <c r="X16" s="106">
        <f>'2022'!AB108</f>
      </c>
      <c r="Y16" s="119">
        <f>'2022'!AC108</f>
      </c>
      <c r="Z16" s="119">
        <f>'2022'!AD108</f>
        <v>0</v>
      </c>
      <c r="AA16" s="106">
        <f>'2022'!AE108</f>
        <v>0</v>
      </c>
      <c r="AB16" s="106">
        <f>'2022'!AF108</f>
      </c>
      <c r="AC16" s="119">
        <f>'2022'!AG108</f>
      </c>
      <c r="AD16" s="106">
        <f>'2022'!AH108</f>
        <v>0</v>
      </c>
      <c r="AE16" s="106">
        <f>'2022'!AI108</f>
        <v>0</v>
      </c>
      <c r="AF16" s="106">
        <f>'2022'!AJ108</f>
      </c>
      <c r="AG16" s="119">
        <f>'2022'!AK108</f>
      </c>
      <c r="AH16" s="119">
        <f>'2022'!AL108</f>
        <v>0</v>
      </c>
      <c r="AI16" s="106">
        <f>'2022'!AM108</f>
        <v>0</v>
      </c>
      <c r="AJ16" s="106">
        <f>'2022'!AN108</f>
      </c>
      <c r="AK16" s="119">
        <f>'2022'!AO108</f>
      </c>
      <c r="AL16" s="119">
        <f>'2022'!AP108</f>
        <v>0</v>
      </c>
      <c r="AM16" s="106">
        <f>'2022'!AQ108</f>
        <v>0</v>
      </c>
      <c r="AN16" s="106">
        <f>'2022'!AR108</f>
      </c>
      <c r="AO16" s="119">
        <f>'2022'!AS108</f>
      </c>
      <c r="AP16" s="119">
        <f>'2022'!AT108</f>
        <v>0</v>
      </c>
      <c r="AQ16" s="106">
        <f>'2022'!AU108</f>
        <v>0</v>
      </c>
      <c r="AR16" s="106">
        <f>'2022'!AV108</f>
      </c>
      <c r="AS16" s="119">
        <f>'2022'!AW108</f>
      </c>
      <c r="AT16" s="119">
        <f>'2022'!AX108</f>
        <v>0</v>
      </c>
      <c r="AU16" s="106">
        <f>'2022'!AY108</f>
        <v>0</v>
      </c>
      <c r="AV16" s="106">
        <f>'2022'!AZ108</f>
      </c>
      <c r="AW16" s="106"/>
      <c r="AX16" s="106">
        <f t="shared" si="0"/>
        <v>0</v>
      </c>
      <c r="AY16" s="119">
        <f>'2022'!BA108</f>
      </c>
      <c r="AZ16" s="119">
        <f>'2022'!BB108</f>
      </c>
      <c r="BA16" s="106">
        <f>'2022'!BC108</f>
        <v>0</v>
      </c>
      <c r="BB16" s="106">
        <f>'2022'!BD108</f>
      </c>
      <c r="BC16" s="106"/>
      <c r="BD16" s="106">
        <f t="shared" si="1"/>
        <v>0</v>
      </c>
      <c r="BE16" s="119">
        <f>'2022'!BE108</f>
        <v>0</v>
      </c>
      <c r="BF16" s="106">
        <f>'2022'!BF108</f>
        <v>0</v>
      </c>
      <c r="BG16" s="106">
        <f>'2022'!BG108</f>
        <v>0</v>
      </c>
      <c r="BH16" s="106">
        <f>'2022'!BH108</f>
        <v>0</v>
      </c>
      <c r="BI16" s="106">
        <f t="shared" si="2"/>
        <v>0</v>
      </c>
      <c r="BJ16" s="338">
        <f t="shared" si="3"/>
        <v>0</v>
      </c>
    </row>
    <row r="17" ht="15" customHeight="1" spans="1:62" x14ac:dyDescent="0.25">
      <c r="A17" s="14"/>
      <c r="B17" s="15" t="s">
        <v>96</v>
      </c>
      <c r="C17" s="115">
        <v>3.94</v>
      </c>
      <c r="D17" s="117" t="s">
        <v>97</v>
      </c>
      <c r="E17" s="119">
        <f>'2022'!I117</f>
        <v>8068</v>
      </c>
      <c r="F17" s="119">
        <f>'2022'!J117</f>
        <v>0</v>
      </c>
      <c r="G17" s="106">
        <f>'2022'!K117</f>
        <v>0</v>
      </c>
      <c r="H17" s="106">
        <f>'2022'!L117</f>
      </c>
      <c r="I17" s="119">
        <f>'2022'!M117</f>
        <v>8068</v>
      </c>
      <c r="J17" s="119">
        <f>'2022'!N117</f>
        <v>0</v>
      </c>
      <c r="K17" s="106">
        <f>'2022'!O117</f>
        <v>0</v>
      </c>
      <c r="L17" s="106">
        <f>'2022'!P117</f>
      </c>
      <c r="M17" s="119">
        <f>'2022'!Q117</f>
        <v>8075</v>
      </c>
      <c r="N17" s="119">
        <f>'2022'!R117</f>
        <v>7</v>
      </c>
      <c r="O17" s="106">
        <f>'2022'!S117</f>
        <v>18.9</v>
      </c>
      <c r="P17" s="106">
        <f>'2022'!T117</f>
      </c>
      <c r="Q17" s="119">
        <f>'2022'!U117</f>
        <v>8107</v>
      </c>
      <c r="R17" s="119">
        <f>'2022'!V117</f>
        <v>32</v>
      </c>
      <c r="S17" s="106">
        <f>'2022'!W117</f>
        <v>86.4</v>
      </c>
      <c r="T17" s="106">
        <f>'2022'!X117</f>
      </c>
      <c r="U17" s="119">
        <f>'2022'!Y117</f>
        <v>8172</v>
      </c>
      <c r="V17" s="119">
        <f>'2022'!Z117</f>
        <v>65</v>
      </c>
      <c r="W17" s="106">
        <f>'2022'!AA117</f>
        <v>175.5</v>
      </c>
      <c r="X17" s="106">
        <f>'2022'!AB117</f>
      </c>
      <c r="Y17" s="119">
        <f>'2022'!AC117</f>
        <v>8286</v>
      </c>
      <c r="Z17" s="119">
        <f>'2022'!AD117</f>
        <v>114</v>
      </c>
      <c r="AA17" s="106">
        <f>'2022'!AE117</f>
        <v>307.8</v>
      </c>
      <c r="AB17" s="106">
        <f>'2022'!AF117</f>
        <v>251.5</v>
      </c>
      <c r="AC17" s="119">
        <f>'2022'!AG117</f>
        <v>8450</v>
      </c>
      <c r="AD17" s="106">
        <f>'2022'!AH117</f>
        <v>173.184</v>
      </c>
      <c r="AE17" s="106">
        <f>'2022'!AI117</f>
        <v>426.03264</v>
      </c>
      <c r="AF17" s="106">
        <f>'2022'!AJ117</f>
      </c>
      <c r="AG17" s="119">
        <f>'2022'!AK117</f>
        <v>8718</v>
      </c>
      <c r="AH17" s="119">
        <f>'2022'!AL117</f>
        <v>275.504</v>
      </c>
      <c r="AI17" s="106">
        <f>'2022'!AM117</f>
        <v>677.73984</v>
      </c>
      <c r="AJ17" s="106">
        <f>'2022'!AN117</f>
      </c>
      <c r="AK17" s="119">
        <f>'2022'!AO117</f>
        <v>9017</v>
      </c>
      <c r="AL17" s="119">
        <f>'2022'!AP117</f>
        <v>308.867</v>
      </c>
      <c r="AM17" s="106">
        <f>'2022'!AQ117</f>
        <v>759.81282</v>
      </c>
      <c r="AN17" s="106">
        <f>'2022'!AR117</f>
        <v>944.85</v>
      </c>
      <c r="AO17" s="119">
        <f>'2022'!AS117</f>
        <v>9569</v>
      </c>
      <c r="AP17" s="119">
        <f>'2022'!AT117</f>
        <v>579.6</v>
      </c>
      <c r="AQ17" s="106">
        <f>'2022'!AU117</f>
        <v>1425.816</v>
      </c>
      <c r="AR17" s="106">
        <f>'2022'!AV117</f>
        <v>2000</v>
      </c>
      <c r="AS17" s="119">
        <f>'2022'!AW117</f>
      </c>
      <c r="AT17" s="119">
        <f>'2022'!AX117</f>
        <v>0</v>
      </c>
      <c r="AU17" s="106">
        <f>'2022'!AY117</f>
        <v>0</v>
      </c>
      <c r="AV17" s="106">
        <f>'2022'!AZ117</f>
      </c>
      <c r="AW17" s="106"/>
      <c r="AX17" s="106">
        <f t="shared" si="0"/>
        <v>0</v>
      </c>
      <c r="AY17" s="119">
        <f>'2022'!BA117</f>
      </c>
      <c r="AZ17" s="119">
        <f>'2022'!BB117</f>
      </c>
      <c r="BA17" s="106">
        <f>'2022'!BC117</f>
        <v>0</v>
      </c>
      <c r="BB17" s="106">
        <f>'2022'!BD117</f>
      </c>
      <c r="BC17" s="106"/>
      <c r="BD17" s="106">
        <f t="shared" si="1"/>
        <v>0</v>
      </c>
      <c r="BE17" s="119">
        <f>'2022'!BE117</f>
        <v>1555.155</v>
      </c>
      <c r="BF17" s="106">
        <f>'2022'!BF117</f>
        <v>3878.0013</v>
      </c>
      <c r="BG17" s="106">
        <f>'2022'!BG117</f>
        <v>3196.35</v>
      </c>
      <c r="BH17" s="106">
        <f>'2022'!BH117</f>
        <v>509.8313</v>
      </c>
      <c r="BI17" s="106">
        <f t="shared" si="2"/>
        <v>0</v>
      </c>
      <c r="BJ17" s="338">
        <f t="shared" si="3"/>
        <v>509.8313</v>
      </c>
    </row>
    <row r="18" ht="15" customHeight="1" spans="1:62" x14ac:dyDescent="0.25">
      <c r="A18" s="14"/>
      <c r="B18" s="15" t="s">
        <v>96</v>
      </c>
      <c r="C18" s="116">
        <v>4</v>
      </c>
      <c r="D18" s="117" t="s">
        <v>97</v>
      </c>
      <c r="E18" s="119">
        <f>'2022'!I126</f>
      </c>
      <c r="F18" s="119">
        <f>'2022'!J126</f>
        <v>0</v>
      </c>
      <c r="G18" s="106">
        <f>'2022'!K126</f>
        <v>0</v>
      </c>
      <c r="H18" s="106">
        <f>'2022'!L126</f>
      </c>
      <c r="I18" s="119">
        <f>'2022'!M126</f>
      </c>
      <c r="J18" s="119">
        <f>'2022'!N126</f>
        <v>0</v>
      </c>
      <c r="K18" s="106">
        <f>'2022'!O126</f>
        <v>0</v>
      </c>
      <c r="L18" s="106">
        <f>'2022'!P126</f>
      </c>
      <c r="M18" s="119">
        <f>'2022'!Q126</f>
      </c>
      <c r="N18" s="119">
        <f>'2022'!R126</f>
        <v>0</v>
      </c>
      <c r="O18" s="106">
        <f>'2022'!S126</f>
        <v>0</v>
      </c>
      <c r="P18" s="106">
        <f>'2022'!T126</f>
      </c>
      <c r="Q18" s="119">
        <f>'2022'!U126</f>
      </c>
      <c r="R18" s="119">
        <f>'2022'!V126</f>
        <v>0</v>
      </c>
      <c r="S18" s="106">
        <f>'2022'!W126</f>
        <v>0</v>
      </c>
      <c r="T18" s="106">
        <f>'2022'!X126</f>
      </c>
      <c r="U18" s="119">
        <f>'2022'!Y126</f>
      </c>
      <c r="V18" s="119">
        <f>'2022'!Z126</f>
        <v>0</v>
      </c>
      <c r="W18" s="106">
        <f>'2022'!AA126</f>
        <v>0</v>
      </c>
      <c r="X18" s="106">
        <f>'2022'!AB126</f>
      </c>
      <c r="Y18" s="119">
        <f>'2022'!AC126</f>
      </c>
      <c r="Z18" s="119">
        <f>'2022'!AD126</f>
        <v>0</v>
      </c>
      <c r="AA18" s="106">
        <f>'2022'!AE126</f>
        <v>0</v>
      </c>
      <c r="AB18" s="106">
        <f>'2022'!AF126</f>
      </c>
      <c r="AC18" s="119">
        <f>'2022'!AG126</f>
      </c>
      <c r="AD18" s="106">
        <f>'2022'!AH126</f>
        <v>0</v>
      </c>
      <c r="AE18" s="106">
        <f>'2022'!AI126</f>
        <v>0</v>
      </c>
      <c r="AF18" s="106">
        <f>'2022'!AJ126</f>
      </c>
      <c r="AG18" s="119">
        <f>'2022'!AK126</f>
      </c>
      <c r="AH18" s="119">
        <f>'2022'!AL126</f>
        <v>0</v>
      </c>
      <c r="AI18" s="106">
        <f>'2022'!AM126</f>
        <v>0</v>
      </c>
      <c r="AJ18" s="106">
        <f>'2022'!AN126</f>
      </c>
      <c r="AK18" s="119">
        <f>'2022'!AO126</f>
      </c>
      <c r="AL18" s="119">
        <f>'2022'!AP126</f>
        <v>0</v>
      </c>
      <c r="AM18" s="106">
        <f>'2022'!AQ126</f>
        <v>0</v>
      </c>
      <c r="AN18" s="106">
        <f>'2022'!AR126</f>
      </c>
      <c r="AO18" s="119">
        <f>'2022'!AS126</f>
      </c>
      <c r="AP18" s="119">
        <f>'2022'!AT126</f>
        <v>0</v>
      </c>
      <c r="AQ18" s="106">
        <f>'2022'!AU126</f>
        <v>0</v>
      </c>
      <c r="AR18" s="106">
        <f>'2022'!AV126</f>
      </c>
      <c r="AS18" s="119">
        <f>'2022'!AW126</f>
      </c>
      <c r="AT18" s="119">
        <f>'2022'!AX126</f>
        <v>0</v>
      </c>
      <c r="AU18" s="106">
        <f>'2022'!AY126</f>
        <v>0</v>
      </c>
      <c r="AV18" s="106">
        <f>'2022'!AZ126</f>
      </c>
      <c r="AW18" s="106"/>
      <c r="AX18" s="106">
        <f t="shared" si="0"/>
        <v>0</v>
      </c>
      <c r="AY18" s="119">
        <f>'2022'!BA126</f>
      </c>
      <c r="AZ18" s="119">
        <f>'2022'!BB126</f>
      </c>
      <c r="BA18" s="106">
        <f>'2022'!BC126</f>
        <v>0</v>
      </c>
      <c r="BB18" s="106">
        <f>'2022'!BD126</f>
      </c>
      <c r="BC18" s="106"/>
      <c r="BD18" s="106">
        <f t="shared" si="1"/>
        <v>0</v>
      </c>
      <c r="BE18" s="119">
        <f>'2022'!BE126</f>
        <v>0</v>
      </c>
      <c r="BF18" s="106">
        <f>'2022'!BF126</f>
        <v>0</v>
      </c>
      <c r="BG18" s="106">
        <f>'2022'!BG126</f>
        <v>0</v>
      </c>
      <c r="BH18" s="106">
        <f>'2022'!BH126</f>
        <v>0</v>
      </c>
      <c r="BI18" s="106">
        <f t="shared" si="2"/>
        <v>0</v>
      </c>
      <c r="BJ18" s="338">
        <f t="shared" si="3"/>
        <v>0</v>
      </c>
    </row>
    <row r="19" ht="15" customHeight="1" spans="1:62" x14ac:dyDescent="0.25">
      <c r="A19" s="14"/>
      <c r="B19" s="15">
        <v>14</v>
      </c>
      <c r="C19" s="115">
        <v>4.02</v>
      </c>
      <c r="D19" s="117" t="s">
        <v>100</v>
      </c>
      <c r="E19" s="119">
        <f>'2022'!I135</f>
      </c>
      <c r="F19" s="119">
        <f>'2022'!J135</f>
        <v>0</v>
      </c>
      <c r="G19" s="106">
        <f>'2022'!K135</f>
        <v>0</v>
      </c>
      <c r="H19" s="106">
        <f>'2022'!L135</f>
      </c>
      <c r="I19" s="119">
        <f>'2022'!M135</f>
      </c>
      <c r="J19" s="119">
        <f>'2022'!N135</f>
        <v>0</v>
      </c>
      <c r="K19" s="106">
        <f>'2022'!O135</f>
        <v>0</v>
      </c>
      <c r="L19" s="106">
        <f>'2022'!P135</f>
      </c>
      <c r="M19" s="119">
        <f>'2022'!Q135</f>
      </c>
      <c r="N19" s="119">
        <f>'2022'!R135</f>
        <v>0</v>
      </c>
      <c r="O19" s="106">
        <f>'2022'!S135</f>
        <v>0</v>
      </c>
      <c r="P19" s="106">
        <f>'2022'!T135</f>
      </c>
      <c r="Q19" s="119">
        <f>'2022'!U135</f>
      </c>
      <c r="R19" s="119">
        <f>'2022'!V135</f>
        <v>0</v>
      </c>
      <c r="S19" s="106">
        <f>'2022'!W135</f>
        <v>0</v>
      </c>
      <c r="T19" s="106">
        <f>'2022'!X135</f>
      </c>
      <c r="U19" s="119">
        <f>'2022'!Y135</f>
      </c>
      <c r="V19" s="119">
        <f>'2022'!Z135</f>
        <v>0</v>
      </c>
      <c r="W19" s="106">
        <f>'2022'!AA135</f>
        <v>0</v>
      </c>
      <c r="X19" s="106">
        <f>'2022'!AB135</f>
      </c>
      <c r="Y19" s="119">
        <f>'2022'!AC135</f>
      </c>
      <c r="Z19" s="119">
        <f>'2022'!AD135</f>
        <v>0</v>
      </c>
      <c r="AA19" s="106">
        <f>'2022'!AE135</f>
        <v>0</v>
      </c>
      <c r="AB19" s="106">
        <f>'2022'!AF135</f>
      </c>
      <c r="AC19" s="119">
        <f>'2022'!AG135</f>
      </c>
      <c r="AD19" s="106">
        <f>'2022'!AH135</f>
        <v>0</v>
      </c>
      <c r="AE19" s="106">
        <f>'2022'!AI135</f>
        <v>0</v>
      </c>
      <c r="AF19" s="106">
        <f>'2022'!AJ135</f>
      </c>
      <c r="AG19" s="119">
        <f>'2022'!AK135</f>
      </c>
      <c r="AH19" s="119">
        <f>'2022'!AL135</f>
        <v>0</v>
      </c>
      <c r="AI19" s="106">
        <f>'2022'!AM135</f>
        <v>0</v>
      </c>
      <c r="AJ19" s="106">
        <f>'2022'!AN135</f>
      </c>
      <c r="AK19" s="119">
        <f>'2022'!AO135</f>
      </c>
      <c r="AL19" s="119">
        <f>'2022'!AP135</f>
        <v>0</v>
      </c>
      <c r="AM19" s="106">
        <f>'2022'!AQ135</f>
        <v>0</v>
      </c>
      <c r="AN19" s="106">
        <f>'2022'!AR135</f>
      </c>
      <c r="AO19" s="119">
        <f>'2022'!AS135</f>
      </c>
      <c r="AP19" s="119">
        <f>'2022'!AT135</f>
        <v>0</v>
      </c>
      <c r="AQ19" s="106">
        <f>'2022'!AU135</f>
        <v>0</v>
      </c>
      <c r="AR19" s="106">
        <f>'2022'!AV135</f>
      </c>
      <c r="AS19" s="119">
        <f>'2022'!AW135</f>
      </c>
      <c r="AT19" s="119">
        <f>'2022'!AX135</f>
        <v>0</v>
      </c>
      <c r="AU19" s="106">
        <f>'2022'!AY135</f>
        <v>0</v>
      </c>
      <c r="AV19" s="106">
        <f>'2022'!AZ135</f>
      </c>
      <c r="AW19" s="106"/>
      <c r="AX19" s="106">
        <f t="shared" si="0"/>
        <v>0</v>
      </c>
      <c r="AY19" s="119">
        <f>'2022'!BA135</f>
      </c>
      <c r="AZ19" s="119">
        <f>'2022'!BB135</f>
      </c>
      <c r="BA19" s="106">
        <f>'2022'!BC135</f>
        <v>0</v>
      </c>
      <c r="BB19" s="106">
        <f>'2022'!BD135</f>
      </c>
      <c r="BC19" s="106"/>
      <c r="BD19" s="106">
        <f t="shared" si="1"/>
        <v>0</v>
      </c>
      <c r="BE19" s="119">
        <f>'2022'!BE135</f>
        <v>0</v>
      </c>
      <c r="BF19" s="106">
        <f>'2022'!BF135</f>
        <v>0</v>
      </c>
      <c r="BG19" s="106">
        <f>'2022'!BG135</f>
        <v>0</v>
      </c>
      <c r="BH19" s="106">
        <f>'2022'!BH135</f>
        <v>0</v>
      </c>
      <c r="BI19" s="106">
        <f t="shared" si="2"/>
        <v>0</v>
      </c>
      <c r="BJ19" s="338">
        <f t="shared" si="3"/>
        <v>0</v>
      </c>
    </row>
    <row r="20" ht="15" customHeight="1" spans="1:62" x14ac:dyDescent="0.25">
      <c r="A20" s="14"/>
      <c r="B20" s="15">
        <v>16</v>
      </c>
      <c r="C20" s="115">
        <v>3.98</v>
      </c>
      <c r="D20" s="117" t="s">
        <v>103</v>
      </c>
      <c r="E20" s="119">
        <f>'2022'!I144</f>
        <v>1328</v>
      </c>
      <c r="F20" s="119">
        <f>'2022'!J144</f>
        <v>0</v>
      </c>
      <c r="G20" s="106">
        <f>'2022'!K144</f>
        <v>0</v>
      </c>
      <c r="H20" s="106">
        <f>'2022'!L144</f>
      </c>
      <c r="I20" s="119">
        <f>'2022'!M144</f>
        <v>1328</v>
      </c>
      <c r="J20" s="119">
        <f>'2022'!N144</f>
        <v>0</v>
      </c>
      <c r="K20" s="106">
        <f>'2022'!O144</f>
        <v>0</v>
      </c>
      <c r="L20" s="106">
        <f>'2022'!P144</f>
      </c>
      <c r="M20" s="119">
        <f>'2022'!Q144</f>
        <v>1328</v>
      </c>
      <c r="N20" s="119">
        <f>'2022'!R144</f>
        <v>0</v>
      </c>
      <c r="O20" s="106">
        <f>'2022'!S144</f>
        <v>0</v>
      </c>
      <c r="P20" s="106">
        <f>'2022'!T144</f>
      </c>
      <c r="Q20" s="119">
        <f>'2022'!U144</f>
        <v>1328</v>
      </c>
      <c r="R20" s="119">
        <f>'2022'!V144</f>
        <v>0</v>
      </c>
      <c r="S20" s="106">
        <f>'2022'!W144</f>
        <v>0</v>
      </c>
      <c r="T20" s="106">
        <f>'2022'!X144</f>
      </c>
      <c r="U20" s="119">
        <f>'2022'!Y144</f>
        <v>1335</v>
      </c>
      <c r="V20" s="119">
        <f>'2022'!Z144</f>
        <v>7</v>
      </c>
      <c r="W20" s="106">
        <f>'2022'!AA144</f>
        <v>18.9</v>
      </c>
      <c r="X20" s="106">
        <f>'2022'!AB144</f>
      </c>
      <c r="Y20" s="119">
        <f>'2022'!AC144</f>
        <v>1392</v>
      </c>
      <c r="Z20" s="119">
        <f>'2022'!AD144</f>
        <v>57</v>
      </c>
      <c r="AA20" s="106">
        <f>'2022'!AE144</f>
        <v>153.9</v>
      </c>
      <c r="AB20" s="106">
        <f>'2022'!AF144</f>
      </c>
      <c r="AC20" s="119">
        <f>'2022'!AG144</f>
        <v>1431</v>
      </c>
      <c r="AD20" s="106">
        <f>'2022'!AH144</f>
        <v>41.184</v>
      </c>
      <c r="AE20" s="106">
        <f>'2022'!AI144</f>
        <v>101.31264</v>
      </c>
      <c r="AF20" s="106">
        <f>'2022'!AJ144</f>
      </c>
      <c r="AG20" s="119">
        <f>'2022'!AK144</f>
        <v>1461</v>
      </c>
      <c r="AH20" s="119">
        <f>'2022'!AL144</f>
        <v>30.84</v>
      </c>
      <c r="AI20" s="106">
        <f>'2022'!AM144</f>
        <v>75.8664</v>
      </c>
      <c r="AJ20" s="106">
        <f>'2022'!AN144</f>
        <v>326</v>
      </c>
      <c r="AK20" s="119">
        <f>'2022'!AO144</f>
        <v>1482</v>
      </c>
      <c r="AL20" s="119">
        <f>'2022'!AP144</f>
        <v>21.693</v>
      </c>
      <c r="AM20" s="106">
        <f>'2022'!AQ144</f>
        <v>53.36478</v>
      </c>
      <c r="AN20" s="106">
        <f>'2022'!AR144</f>
      </c>
      <c r="AO20" s="119">
        <f>'2022'!AS144</f>
        <v>1502</v>
      </c>
      <c r="AP20" s="119">
        <f>'2022'!AT144</f>
        <v>21</v>
      </c>
      <c r="AQ20" s="106">
        <f>'2022'!AU144</f>
        <v>51.66</v>
      </c>
      <c r="AR20" s="106">
        <f>'2022'!AV144</f>
      </c>
      <c r="AS20" s="119">
        <f>'2022'!AW144</f>
      </c>
      <c r="AT20" s="119">
        <f>'2022'!AX144</f>
        <v>0</v>
      </c>
      <c r="AU20" s="106">
        <f>'2022'!AY144</f>
        <v>0</v>
      </c>
      <c r="AV20" s="106">
        <f>'2022'!AZ144</f>
      </c>
      <c r="AW20" s="106"/>
      <c r="AX20" s="106">
        <f t="shared" si="0"/>
        <v>0</v>
      </c>
      <c r="AY20" s="119">
        <f>'2022'!BA144</f>
      </c>
      <c r="AZ20" s="119">
        <f>'2022'!BB144</f>
      </c>
      <c r="BA20" s="106">
        <f>'2022'!BC144</f>
        <v>0</v>
      </c>
      <c r="BB20" s="106">
        <f>'2022'!BD144</f>
      </c>
      <c r="BC20" s="106"/>
      <c r="BD20" s="106">
        <f t="shared" si="1"/>
        <v>0</v>
      </c>
      <c r="BE20" s="119">
        <f>'2022'!BE144</f>
        <v>178.717</v>
      </c>
      <c r="BF20" s="106">
        <f>'2022'!BF144</f>
        <v>455.00382</v>
      </c>
      <c r="BG20" s="106">
        <f>'2022'!BG144</f>
        <v>326</v>
      </c>
      <c r="BH20" s="106">
        <f>'2022'!BH144</f>
        <v>-274.36618</v>
      </c>
      <c r="BI20" s="106">
        <f t="shared" si="2"/>
        <v>0</v>
      </c>
      <c r="BJ20" s="338">
        <f t="shared" si="3"/>
        <v>-274.36618</v>
      </c>
    </row>
    <row r="21" ht="15" customHeight="1" spans="1:62" x14ac:dyDescent="0.25">
      <c r="A21" s="14"/>
      <c r="B21" s="15">
        <v>17</v>
      </c>
      <c r="C21" s="116">
        <v>4</v>
      </c>
      <c r="D21" s="117" t="s">
        <v>106</v>
      </c>
      <c r="E21" s="119">
        <f>'2022'!I153</f>
        <v>192</v>
      </c>
      <c r="F21" s="119">
        <f>'2022'!J153</f>
        <v>0</v>
      </c>
      <c r="G21" s="106">
        <f>'2022'!K153</f>
        <v>0</v>
      </c>
      <c r="H21" s="106">
        <f>'2022'!L153</f>
      </c>
      <c r="I21" s="119">
        <f>'2022'!M153</f>
        <v>192</v>
      </c>
      <c r="J21" s="119">
        <f>'2022'!N153</f>
        <v>0</v>
      </c>
      <c r="K21" s="106">
        <f>'2022'!O153</f>
        <v>0</v>
      </c>
      <c r="L21" s="106">
        <f>'2022'!P153</f>
      </c>
      <c r="M21" s="119">
        <f>'2022'!Q153</f>
        <v>192</v>
      </c>
      <c r="N21" s="119">
        <f>'2022'!R153</f>
        <v>0</v>
      </c>
      <c r="O21" s="106">
        <f>'2022'!S153</f>
        <v>0</v>
      </c>
      <c r="P21" s="106">
        <f>'2022'!T153</f>
      </c>
      <c r="Q21" s="119">
        <f>'2022'!U153</f>
        <v>192</v>
      </c>
      <c r="R21" s="119">
        <f>'2022'!V153</f>
        <v>0</v>
      </c>
      <c r="S21" s="106">
        <f>'2022'!W153</f>
        <v>0</v>
      </c>
      <c r="T21" s="106">
        <f>'2022'!X153</f>
      </c>
      <c r="U21" s="119">
        <f>'2022'!Y153</f>
        <v>203</v>
      </c>
      <c r="V21" s="119">
        <f>'2022'!Z153</f>
        <v>11</v>
      </c>
      <c r="W21" s="106">
        <f>'2022'!AA153</f>
        <v>29.7</v>
      </c>
      <c r="X21" s="106">
        <f>'2022'!AB153</f>
      </c>
      <c r="Y21" s="119">
        <f>'2022'!AC153</f>
        <v>241</v>
      </c>
      <c r="Z21" s="119">
        <f>'2022'!AD153</f>
        <v>38</v>
      </c>
      <c r="AA21" s="106">
        <f>'2022'!AE153</f>
        <v>102.6</v>
      </c>
      <c r="AB21" s="106">
        <f>'2022'!AF153</f>
        <v>18.21</v>
      </c>
      <c r="AC21" s="119">
        <f>'2022'!AG153</f>
        <v>271</v>
      </c>
      <c r="AD21" s="106">
        <f>'2022'!AH153</f>
        <v>31.68</v>
      </c>
      <c r="AE21" s="106">
        <f>'2022'!AI153</f>
        <v>77.9328</v>
      </c>
      <c r="AF21" s="106">
        <f>'2022'!AJ153</f>
        <v>300</v>
      </c>
      <c r="AG21" s="119">
        <f>'2022'!AK153</f>
        <v>300</v>
      </c>
      <c r="AH21" s="119">
        <f>'2022'!AL153</f>
        <v>29.812</v>
      </c>
      <c r="AI21" s="106">
        <f>'2022'!AM153</f>
        <v>73.33752</v>
      </c>
      <c r="AJ21" s="106">
        <f>'2022'!AN153</f>
      </c>
      <c r="AK21" s="119">
        <f>'2022'!AO153</f>
        <v>302</v>
      </c>
      <c r="AL21" s="119">
        <f>'2022'!AP153</f>
        <v>2.066</v>
      </c>
      <c r="AM21" s="106">
        <f>'2022'!AQ153</f>
        <v>5.08236</v>
      </c>
      <c r="AN21" s="106">
        <f>'2022'!AR153</f>
      </c>
      <c r="AO21" s="119">
        <f>'2022'!AS153</f>
        <v>302</v>
      </c>
      <c r="AP21" s="119">
        <f>'2022'!AT153</f>
        <v>0</v>
      </c>
      <c r="AQ21" s="106">
        <f>'2022'!AU153</f>
        <v>0</v>
      </c>
      <c r="AR21" s="106">
        <f>'2022'!AV153</f>
      </c>
      <c r="AS21" s="119">
        <f>'2022'!AW153</f>
      </c>
      <c r="AT21" s="119">
        <f>'2022'!AX153</f>
        <v>0</v>
      </c>
      <c r="AU21" s="106">
        <f>'2022'!AY153</f>
        <v>0</v>
      </c>
      <c r="AV21" s="106">
        <f>'2022'!AZ153</f>
      </c>
      <c r="AW21" s="106"/>
      <c r="AX21" s="106">
        <f t="shared" si="0"/>
        <v>0</v>
      </c>
      <c r="AY21" s="119">
        <f>'2022'!BA153</f>
      </c>
      <c r="AZ21" s="119">
        <f>'2022'!BB153</f>
      </c>
      <c r="BA21" s="106">
        <f>'2022'!BC153</f>
        <v>0</v>
      </c>
      <c r="BB21" s="106">
        <f>'2022'!BD153</f>
      </c>
      <c r="BC21" s="106"/>
      <c r="BD21" s="106">
        <f t="shared" si="1"/>
        <v>0</v>
      </c>
      <c r="BE21" s="119">
        <f>'2022'!BE153</f>
        <v>112.558</v>
      </c>
      <c r="BF21" s="106">
        <f>'2022'!BF153</f>
        <v>288.65268</v>
      </c>
      <c r="BG21" s="106">
        <f>'2022'!BG153</f>
        <v>318.21</v>
      </c>
      <c r="BH21" s="106">
        <f>'2022'!BH153</f>
        <v>-41.04732</v>
      </c>
      <c r="BI21" s="106">
        <f t="shared" si="2"/>
        <v>0</v>
      </c>
      <c r="BJ21" s="338">
        <f t="shared" si="3"/>
        <v>-41.04732</v>
      </c>
    </row>
    <row r="22" ht="15" customHeight="1" spans="1:62" x14ac:dyDescent="0.25">
      <c r="A22" s="14"/>
      <c r="B22" s="15">
        <v>18</v>
      </c>
      <c r="C22" s="115">
        <v>4.03</v>
      </c>
      <c r="D22" s="117" t="s">
        <v>109</v>
      </c>
      <c r="E22" s="119">
        <f>'2022'!I162</f>
        <v>489</v>
      </c>
      <c r="F22" s="119">
        <f>'2022'!J162</f>
        <v>0</v>
      </c>
      <c r="G22" s="106">
        <f>'2022'!K162</f>
        <v>0</v>
      </c>
      <c r="H22" s="106">
        <f>'2022'!L162</f>
      </c>
      <c r="I22" s="119">
        <f>'2022'!M162</f>
        <v>489</v>
      </c>
      <c r="J22" s="119">
        <f>'2022'!N162</f>
        <v>0</v>
      </c>
      <c r="K22" s="106">
        <f>'2022'!O162</f>
        <v>0</v>
      </c>
      <c r="L22" s="106">
        <f>'2022'!P162</f>
      </c>
      <c r="M22" s="119">
        <f>'2022'!Q162</f>
        <v>489</v>
      </c>
      <c r="N22" s="119">
        <f>'2022'!R162</f>
        <v>0</v>
      </c>
      <c r="O22" s="106">
        <f>'2022'!S162</f>
        <v>0</v>
      </c>
      <c r="P22" s="106">
        <f>'2022'!T162</f>
      </c>
      <c r="Q22" s="119">
        <f>'2022'!U162</f>
        <v>489</v>
      </c>
      <c r="R22" s="119">
        <f>'2022'!V162</f>
        <v>0</v>
      </c>
      <c r="S22" s="106">
        <f>'2022'!W162</f>
        <v>0</v>
      </c>
      <c r="T22" s="106">
        <f>'2022'!X162</f>
      </c>
      <c r="U22" s="119">
        <f>'2022'!Y162</f>
        <v>514</v>
      </c>
      <c r="V22" s="119">
        <f>'2022'!Z162</f>
        <v>25</v>
      </c>
      <c r="W22" s="106">
        <f>'2022'!AA162</f>
        <v>67.5</v>
      </c>
      <c r="X22" s="106">
        <f>'2022'!AB162</f>
      </c>
      <c r="Y22" s="119">
        <f>'2022'!AC162</f>
        <v>523</v>
      </c>
      <c r="Z22" s="119">
        <f>'2022'!AD162</f>
        <v>9</v>
      </c>
      <c r="AA22" s="106">
        <f>'2022'!AE162</f>
        <v>24.3</v>
      </c>
      <c r="AB22" s="106">
        <f>'2022'!AF162</f>
        <v>296.28</v>
      </c>
      <c r="AC22" s="119">
        <f>'2022'!AG162</f>
        <v>529</v>
      </c>
      <c r="AD22" s="106">
        <f>'2022'!AH162</f>
        <v>6.336</v>
      </c>
      <c r="AE22" s="106">
        <f>'2022'!AI162</f>
        <v>15.58656</v>
      </c>
      <c r="AF22" s="106">
        <f>'2022'!AJ162</f>
      </c>
      <c r="AG22" s="119">
        <f>'2022'!AK162</f>
        <v>537</v>
      </c>
      <c r="AH22" s="119">
        <f>'2022'!AL162</f>
        <v>8.224</v>
      </c>
      <c r="AI22" s="106">
        <f>'2022'!AM162</f>
        <v>20.23104</v>
      </c>
      <c r="AJ22" s="106">
        <f>'2022'!AN162</f>
      </c>
      <c r="AK22" s="119">
        <f>'2022'!AO162</f>
        <v>541</v>
      </c>
      <c r="AL22" s="119">
        <f>'2022'!AP162</f>
        <v>4.132</v>
      </c>
      <c r="AM22" s="106">
        <f>'2022'!AQ162</f>
        <v>10.16472</v>
      </c>
      <c r="AN22" s="106">
        <f>'2022'!AR162</f>
      </c>
      <c r="AO22" s="119">
        <f>'2022'!AS162</f>
        <v>561</v>
      </c>
      <c r="AP22" s="119">
        <f>'2022'!AT162</f>
        <v>21</v>
      </c>
      <c r="AQ22" s="106">
        <f>'2022'!AU162</f>
        <v>51.66</v>
      </c>
      <c r="AR22" s="106">
        <f>'2022'!AV162</f>
      </c>
      <c r="AS22" s="119">
        <f>'2022'!AW162</f>
      </c>
      <c r="AT22" s="119">
        <f>'2022'!AX162</f>
        <v>0</v>
      </c>
      <c r="AU22" s="106">
        <f>'2022'!AY162</f>
        <v>0</v>
      </c>
      <c r="AV22" s="106">
        <f>'2022'!AZ162</f>
      </c>
      <c r="AW22" s="106"/>
      <c r="AX22" s="106">
        <f t="shared" si="0"/>
        <v>0</v>
      </c>
      <c r="AY22" s="119">
        <f>'2022'!BA162</f>
      </c>
      <c r="AZ22" s="119">
        <f>'2022'!BB162</f>
      </c>
      <c r="BA22" s="106">
        <f>'2022'!BC162</f>
        <v>0</v>
      </c>
      <c r="BB22" s="106">
        <f>'2022'!BD162</f>
      </c>
      <c r="BC22" s="106"/>
      <c r="BD22" s="106">
        <f t="shared" si="1"/>
        <v>0</v>
      </c>
      <c r="BE22" s="119">
        <f>'2022'!BE162</f>
        <v>73.692</v>
      </c>
      <c r="BF22" s="106">
        <f>'2022'!BF162</f>
        <v>189.44232</v>
      </c>
      <c r="BG22" s="106">
        <f>'2022'!BG162</f>
        <v>296.28</v>
      </c>
      <c r="BH22" s="106">
        <f>'2022'!BH162</f>
        <v>121.94232</v>
      </c>
      <c r="BI22" s="106">
        <f t="shared" si="2"/>
        <v>0</v>
      </c>
      <c r="BJ22" s="338">
        <f t="shared" si="3"/>
        <v>121.94232</v>
      </c>
    </row>
    <row r="23" ht="15" customHeight="1" spans="1:62" x14ac:dyDescent="0.25">
      <c r="A23" s="21"/>
      <c r="B23" s="15">
        <v>19</v>
      </c>
      <c r="C23" s="116">
        <v>4.1</v>
      </c>
      <c r="D23" s="117" t="s">
        <v>113</v>
      </c>
      <c r="E23" s="119">
        <f>'2022'!I171</f>
        <v>1</v>
      </c>
      <c r="F23" s="119">
        <f>'2022'!J171</f>
        <v>0</v>
      </c>
      <c r="G23" s="106">
        <f>'2022'!K171</f>
        <v>0</v>
      </c>
      <c r="H23" s="106">
        <f>'2022'!L171</f>
      </c>
      <c r="I23" s="119">
        <f>'2022'!M171</f>
        <v>1</v>
      </c>
      <c r="J23" s="119">
        <f>'2022'!N171</f>
        <v>0</v>
      </c>
      <c r="K23" s="106">
        <f>'2022'!O171</f>
        <v>0</v>
      </c>
      <c r="L23" s="106">
        <f>'2022'!P171</f>
      </c>
      <c r="M23" s="119">
        <f>'2022'!Q171</f>
        <v>1</v>
      </c>
      <c r="N23" s="119">
        <f>'2022'!R171</f>
        <v>0</v>
      </c>
      <c r="O23" s="106">
        <f>'2022'!S171</f>
        <v>0</v>
      </c>
      <c r="P23" s="106">
        <f>'2022'!T171</f>
      </c>
      <c r="Q23" s="119">
        <f>'2022'!U171</f>
        <v>1</v>
      </c>
      <c r="R23" s="119">
        <f>'2022'!V171</f>
        <v>0</v>
      </c>
      <c r="S23" s="106">
        <f>'2022'!W171</f>
        <v>0</v>
      </c>
      <c r="T23" s="106">
        <f>'2022'!X171</f>
      </c>
      <c r="U23" s="119">
        <f>'2022'!Y171</f>
        <v>1</v>
      </c>
      <c r="V23" s="119">
        <f>'2022'!Z171</f>
        <v>0</v>
      </c>
      <c r="W23" s="106">
        <f>'2022'!AA171</f>
        <v>0</v>
      </c>
      <c r="X23" s="106">
        <f>'2022'!AB171</f>
      </c>
      <c r="Y23" s="119">
        <f>'2022'!AC171</f>
        <v>1</v>
      </c>
      <c r="Z23" s="119">
        <f>'2022'!AD171</f>
        <v>0</v>
      </c>
      <c r="AA23" s="106">
        <f>'2022'!AE171</f>
        <v>0</v>
      </c>
      <c r="AB23" s="106">
        <f>'2022'!AF171</f>
      </c>
      <c r="AC23" s="119">
        <f>'2022'!AG171</f>
        <v>1</v>
      </c>
      <c r="AD23" s="106">
        <f>'2022'!AH171</f>
        <v>0</v>
      </c>
      <c r="AE23" s="106">
        <f>'2022'!AI171</f>
        <v>0</v>
      </c>
      <c r="AF23" s="106">
        <f>'2022'!AJ171</f>
      </c>
      <c r="AG23" s="119">
        <f>'2022'!AK171</f>
        <v>1</v>
      </c>
      <c r="AH23" s="119">
        <f>'2022'!AL171</f>
        <v>0</v>
      </c>
      <c r="AI23" s="106">
        <f>'2022'!AM171</f>
        <v>0</v>
      </c>
      <c r="AJ23" s="106">
        <f>'2022'!AN171</f>
      </c>
      <c r="AK23" s="119">
        <f>'2022'!AO171</f>
        <v>1</v>
      </c>
      <c r="AL23" s="119">
        <f>'2022'!AP171</f>
        <v>0</v>
      </c>
      <c r="AM23" s="106">
        <f>'2022'!AQ171</f>
        <v>0</v>
      </c>
      <c r="AN23" s="106">
        <f>'2022'!AR171</f>
      </c>
      <c r="AO23" s="119">
        <f>'2022'!AS171</f>
        <v>1</v>
      </c>
      <c r="AP23" s="119">
        <f>'2022'!AT171</f>
        <v>0</v>
      </c>
      <c r="AQ23" s="106">
        <f>'2022'!AU171</f>
        <v>0</v>
      </c>
      <c r="AR23" s="106">
        <f>'2022'!AV171</f>
      </c>
      <c r="AS23" s="119">
        <f>'2022'!AW171</f>
      </c>
      <c r="AT23" s="119">
        <f>'2022'!AX171</f>
        <v>0</v>
      </c>
      <c r="AU23" s="106">
        <f>'2022'!AY171</f>
        <v>0</v>
      </c>
      <c r="AV23" s="106">
        <f>'2022'!AZ171</f>
      </c>
      <c r="AW23" s="106"/>
      <c r="AX23" s="106">
        <f t="shared" si="0"/>
        <v>0</v>
      </c>
      <c r="AY23" s="119">
        <f>'2022'!BA171</f>
      </c>
      <c r="AZ23" s="119">
        <f>'2022'!BB171</f>
      </c>
      <c r="BA23" s="106">
        <f>'2022'!BC171</f>
        <v>0</v>
      </c>
      <c r="BB23" s="106">
        <f>'2022'!BD171</f>
      </c>
      <c r="BC23" s="106"/>
      <c r="BD23" s="106">
        <f t="shared" si="1"/>
        <v>0</v>
      </c>
      <c r="BE23" s="119">
        <f>'2022'!BE171</f>
        <v>0</v>
      </c>
      <c r="BF23" s="106">
        <f>'2022'!BF171</f>
        <v>0</v>
      </c>
      <c r="BG23" s="106">
        <f>'2022'!BG171</f>
        <v>0</v>
      </c>
      <c r="BH23" s="106">
        <f>'2022'!BH171</f>
        <v>0</v>
      </c>
      <c r="BI23" s="106">
        <f t="shared" si="2"/>
        <v>0</v>
      </c>
      <c r="BJ23" s="338">
        <f t="shared" si="3"/>
        <v>0</v>
      </c>
    </row>
    <row r="24" ht="15" customHeight="1" spans="1:62" x14ac:dyDescent="0.25">
      <c r="A24" s="114" t="s">
        <v>116</v>
      </c>
      <c r="B24" s="15" t="s">
        <v>117</v>
      </c>
      <c r="C24" s="283">
        <v>4</v>
      </c>
      <c r="D24" s="117" t="s">
        <v>118</v>
      </c>
      <c r="E24" s="119">
        <f>'2022'!I180</f>
        <v>3271</v>
      </c>
      <c r="F24" s="119">
        <f>'2022'!J180</f>
        <v>0</v>
      </c>
      <c r="G24" s="106">
        <f>'2022'!K180</f>
        <v>0</v>
      </c>
      <c r="H24" s="106">
        <f>'2022'!L180</f>
      </c>
      <c r="I24" s="119">
        <f>'2022'!M180</f>
        <v>3271</v>
      </c>
      <c r="J24" s="119">
        <f>'2022'!N180</f>
        <v>0</v>
      </c>
      <c r="K24" s="106">
        <f>'2022'!O180</f>
        <v>0</v>
      </c>
      <c r="L24" s="106">
        <f>'2022'!P180</f>
      </c>
      <c r="M24" s="119">
        <f>'2022'!Q180</f>
        <v>3271</v>
      </c>
      <c r="N24" s="119">
        <f>'2022'!R180</f>
        <v>0</v>
      </c>
      <c r="O24" s="106">
        <f>'2022'!S180</f>
        <v>0</v>
      </c>
      <c r="P24" s="106">
        <f>'2022'!T180</f>
      </c>
      <c r="Q24" s="119">
        <f>'2022'!U180</f>
        <v>3271</v>
      </c>
      <c r="R24" s="119">
        <f>'2022'!V180</f>
        <v>0</v>
      </c>
      <c r="S24" s="106">
        <f>'2022'!W180</f>
        <v>0</v>
      </c>
      <c r="T24" s="106">
        <f>'2022'!X180</f>
      </c>
      <c r="U24" s="119">
        <f>'2022'!Y180</f>
        <v>3271</v>
      </c>
      <c r="V24" s="119">
        <f>'2022'!Z180</f>
        <v>0</v>
      </c>
      <c r="W24" s="106">
        <f>'2022'!AA180</f>
        <v>0</v>
      </c>
      <c r="X24" s="106">
        <f>'2022'!AB180</f>
      </c>
      <c r="Y24" s="119">
        <f>'2022'!AC180</f>
        <v>3271</v>
      </c>
      <c r="Z24" s="119">
        <f>'2022'!AD180</f>
        <v>150</v>
      </c>
      <c r="AA24" s="106">
        <f>'2022'!AE180</f>
        <v>405</v>
      </c>
      <c r="AB24" s="106">
        <f>'2022'!AF180</f>
      </c>
      <c r="AC24" s="119">
        <f>'2022'!AG180</f>
        <v>3271</v>
      </c>
      <c r="AD24" s="106">
        <f>'2022'!AH180</f>
        <v>150</v>
      </c>
      <c r="AE24" s="106">
        <f>'2022'!AI180</f>
        <v>369</v>
      </c>
      <c r="AF24" s="106">
        <f>'2022'!AJ180</f>
      </c>
      <c r="AG24" s="119">
        <f>'2022'!AK180</f>
        <v>55</v>
      </c>
      <c r="AH24" s="119">
        <f>'2022'!AL180</f>
        <v>56.54</v>
      </c>
      <c r="AI24" s="106">
        <f>'2022'!AM180</f>
        <v>139.0884</v>
      </c>
      <c r="AJ24" s="106">
        <f>'2022'!AN180</f>
      </c>
      <c r="AK24" s="119">
        <f>'2022'!AO180</f>
        <v>137</v>
      </c>
      <c r="AL24" s="119">
        <f>'2022'!AP180</f>
        <v>84.706</v>
      </c>
      <c r="AM24" s="106">
        <f>'2022'!AQ180</f>
        <v>208.37676</v>
      </c>
      <c r="AN24" s="106">
        <f>'2022'!AR180</f>
        <v>913.09</v>
      </c>
      <c r="AO24" s="119">
        <f>'2022'!AS180</f>
        <v>152</v>
      </c>
      <c r="AP24" s="119">
        <f>'2022'!AT180</f>
        <v>15.75</v>
      </c>
      <c r="AQ24" s="106">
        <f>'2022'!AU180</f>
        <v>38.745</v>
      </c>
      <c r="AR24" s="106">
        <f>'2022'!AV180</f>
        <v>208.38</v>
      </c>
      <c r="AS24" s="119">
        <f>'2022'!AW180</f>
      </c>
      <c r="AT24" s="119">
        <f>'2022'!AX180</f>
        <v>0</v>
      </c>
      <c r="AU24" s="106">
        <f>'2022'!AY180</f>
        <v>0</v>
      </c>
      <c r="AV24" s="106">
        <f>'2022'!AZ180</f>
      </c>
      <c r="AW24" s="106"/>
      <c r="AX24" s="106">
        <f t="shared" si="0"/>
        <v>0</v>
      </c>
      <c r="AY24" s="119">
        <f>'2022'!BA180</f>
      </c>
      <c r="AZ24" s="119">
        <f>'2022'!BB180</f>
      </c>
      <c r="BA24" s="106">
        <f>'2022'!BC180</f>
        <v>0</v>
      </c>
      <c r="BB24" s="106">
        <f>'2022'!BD180</f>
      </c>
      <c r="BC24" s="106"/>
      <c r="BD24" s="106">
        <f t="shared" si="1"/>
        <v>0</v>
      </c>
      <c r="BE24" s="119">
        <f>'2022'!BE180</f>
        <v>456.996</v>
      </c>
      <c r="BF24" s="106">
        <f>'2022'!BF180</f>
        <v>1160.21016</v>
      </c>
      <c r="BG24" s="106">
        <f>'2022'!BG180</f>
        <v>1121.47</v>
      </c>
      <c r="BH24" s="106">
        <f>'2022'!BH180</f>
        <v>38.74016</v>
      </c>
      <c r="BI24" s="106">
        <f t="shared" si="2"/>
        <v>0</v>
      </c>
      <c r="BJ24" s="338">
        <f t="shared" si="3"/>
        <v>38.74016</v>
      </c>
    </row>
    <row r="25" ht="15" customHeight="1" spans="1:62" x14ac:dyDescent="0.25">
      <c r="A25" s="27"/>
      <c r="B25" s="15" t="s">
        <v>117</v>
      </c>
      <c r="C25" s="283">
        <v>4</v>
      </c>
      <c r="D25" s="117" t="s">
        <v>118</v>
      </c>
      <c r="E25" s="119">
        <f>'2022'!I189</f>
      </c>
      <c r="F25" s="119">
        <f>'2022'!J189</f>
        <v>0</v>
      </c>
      <c r="G25" s="106">
        <f>'2022'!K189</f>
        <v>0</v>
      </c>
      <c r="H25" s="106">
        <f>'2022'!L189</f>
      </c>
      <c r="I25" s="119">
        <f>'2022'!M189</f>
      </c>
      <c r="J25" s="119">
        <f>'2022'!N189</f>
        <v>0</v>
      </c>
      <c r="K25" s="106">
        <f>'2022'!O189</f>
        <v>0</v>
      </c>
      <c r="L25" s="106">
        <f>'2022'!P189</f>
      </c>
      <c r="M25" s="119">
        <f>'2022'!Q189</f>
      </c>
      <c r="N25" s="119">
        <f>'2022'!R189</f>
        <v>0</v>
      </c>
      <c r="O25" s="106">
        <f>'2022'!S189</f>
        <v>0</v>
      </c>
      <c r="P25" s="106">
        <f>'2022'!T189</f>
      </c>
      <c r="Q25" s="119">
        <f>'2022'!U189</f>
      </c>
      <c r="R25" s="119">
        <f>'2022'!V189</f>
        <v>0</v>
      </c>
      <c r="S25" s="106">
        <f>'2022'!W189</f>
        <v>0</v>
      </c>
      <c r="T25" s="106">
        <f>'2022'!X189</f>
      </c>
      <c r="U25" s="119">
        <f>'2022'!Y189</f>
      </c>
      <c r="V25" s="119">
        <f>'2022'!Z189</f>
        <v>0</v>
      </c>
      <c r="W25" s="106">
        <f>'2022'!AA189</f>
        <v>0</v>
      </c>
      <c r="X25" s="106">
        <f>'2022'!AB189</f>
      </c>
      <c r="Y25" s="119">
        <f>'2022'!AC189</f>
      </c>
      <c r="Z25" s="119">
        <f>'2022'!AD189</f>
        <v>0</v>
      </c>
      <c r="AA25" s="106">
        <f>'2022'!AE189</f>
        <v>0</v>
      </c>
      <c r="AB25" s="106">
        <f>'2022'!AF189</f>
      </c>
      <c r="AC25" s="119">
        <f>'2022'!AG189</f>
      </c>
      <c r="AD25" s="106">
        <f>'2022'!AH189</f>
        <v>0</v>
      </c>
      <c r="AE25" s="106">
        <f>'2022'!AI189</f>
        <v>0</v>
      </c>
      <c r="AF25" s="106">
        <f>'2022'!AJ189</f>
      </c>
      <c r="AG25" s="119">
        <f>'2022'!AK189</f>
      </c>
      <c r="AH25" s="119">
        <f>'2022'!AL189</f>
        <v>0</v>
      </c>
      <c r="AI25" s="106">
        <f>'2022'!AM189</f>
        <v>0</v>
      </c>
      <c r="AJ25" s="106">
        <f>'2022'!AN189</f>
      </c>
      <c r="AK25" s="119">
        <f>'2022'!AO189</f>
      </c>
      <c r="AL25" s="119">
        <f>'2022'!AP189</f>
        <v>0</v>
      </c>
      <c r="AM25" s="106">
        <f>'2022'!AQ189</f>
        <v>0</v>
      </c>
      <c r="AN25" s="106">
        <f>'2022'!AR189</f>
      </c>
      <c r="AO25" s="119">
        <f>'2022'!AS189</f>
      </c>
      <c r="AP25" s="119">
        <f>'2022'!AT189</f>
        <v>0</v>
      </c>
      <c r="AQ25" s="106">
        <f>'2022'!AU189</f>
        <v>0</v>
      </c>
      <c r="AR25" s="106">
        <f>'2022'!AV189</f>
      </c>
      <c r="AS25" s="119">
        <f>'2022'!AW189</f>
      </c>
      <c r="AT25" s="119">
        <f>'2022'!AX189</f>
        <v>0</v>
      </c>
      <c r="AU25" s="106">
        <f>'2022'!AY189</f>
        <v>0</v>
      </c>
      <c r="AV25" s="106">
        <f>'2022'!AZ189</f>
      </c>
      <c r="AW25" s="106"/>
      <c r="AX25" s="106">
        <f t="shared" si="0"/>
        <v>0</v>
      </c>
      <c r="AY25" s="119">
        <f>'2022'!BA189</f>
      </c>
      <c r="AZ25" s="119">
        <f>'2022'!BB189</f>
      </c>
      <c r="BA25" s="106">
        <f>'2022'!BC189</f>
        <v>0</v>
      </c>
      <c r="BB25" s="106">
        <f>'2022'!BD189</f>
      </c>
      <c r="BC25" s="106"/>
      <c r="BD25" s="106">
        <f t="shared" si="1"/>
        <v>0</v>
      </c>
      <c r="BE25" s="119">
        <f>'2022'!BE189</f>
        <v>0</v>
      </c>
      <c r="BF25" s="106">
        <f>'2022'!BF189</f>
        <v>0</v>
      </c>
      <c r="BG25" s="106">
        <f>'2022'!BG189</f>
        <v>0</v>
      </c>
      <c r="BH25" s="106">
        <f>'2022'!BH189</f>
        <v>0</v>
      </c>
      <c r="BI25" s="106">
        <f t="shared" si="2"/>
        <v>0</v>
      </c>
      <c r="BJ25" s="338">
        <f t="shared" si="3"/>
        <v>0</v>
      </c>
    </row>
    <row r="26" ht="15" customHeight="1" spans="1:62" x14ac:dyDescent="0.25">
      <c r="A26" s="14"/>
      <c r="B26" s="15">
        <v>21</v>
      </c>
      <c r="C26" s="115">
        <v>3.96</v>
      </c>
      <c r="D26" s="117" t="s">
        <v>120</v>
      </c>
      <c r="E26" s="119">
        <f>'2022'!I198</f>
        <v>2745</v>
      </c>
      <c r="F26" s="119">
        <f>'2022'!J198</f>
        <v>19</v>
      </c>
      <c r="G26" s="106">
        <f>'2022'!K198</f>
        <v>51.3</v>
      </c>
      <c r="H26" s="106">
        <f>'2022'!L198</f>
        <v>100</v>
      </c>
      <c r="I26" s="119">
        <f>'2022'!M198</f>
        <v>2765</v>
      </c>
      <c r="J26" s="119">
        <f>'2022'!N198</f>
        <v>20</v>
      </c>
      <c r="K26" s="106">
        <f>'2022'!O198</f>
        <v>54</v>
      </c>
      <c r="L26" s="106">
        <f>'2022'!P198</f>
      </c>
      <c r="M26" s="119">
        <f>'2022'!Q198</f>
        <v>2781</v>
      </c>
      <c r="N26" s="119">
        <f>'2022'!R198</f>
        <v>16</v>
      </c>
      <c r="O26" s="106">
        <f>'2022'!S198</f>
        <v>43.2</v>
      </c>
      <c r="P26" s="106">
        <f>'2022'!T198</f>
        <v>150</v>
      </c>
      <c r="Q26" s="119">
        <f>'2022'!U198</f>
        <v>2822</v>
      </c>
      <c r="R26" s="119">
        <f>'2022'!V198</f>
        <v>41</v>
      </c>
      <c r="S26" s="106">
        <f>'2022'!W198</f>
        <v>110.7</v>
      </c>
      <c r="T26" s="106">
        <f>'2022'!X198</f>
      </c>
      <c r="U26" s="119">
        <f>'2022'!Y198</f>
        <v>2925</v>
      </c>
      <c r="V26" s="119">
        <f>'2022'!Z198</f>
        <v>103</v>
      </c>
      <c r="W26" s="106">
        <f>'2022'!AA198</f>
        <v>278.1</v>
      </c>
      <c r="X26" s="106">
        <f>'2022'!AB198</f>
        <v>328.22</v>
      </c>
      <c r="Y26" s="119">
        <f>'2022'!AC198</f>
        <v>3038</v>
      </c>
      <c r="Z26" s="119">
        <f>'2022'!AD198</f>
        <v>113</v>
      </c>
      <c r="AA26" s="106">
        <f>'2022'!AE198</f>
        <v>305.1</v>
      </c>
      <c r="AB26" s="106">
        <f>'2022'!AF198</f>
        <v>1.6</v>
      </c>
      <c r="AC26" s="119">
        <f>'2022'!AG198</f>
        <v>3124</v>
      </c>
      <c r="AD26" s="106">
        <f>'2022'!AH198</f>
        <v>90.816</v>
      </c>
      <c r="AE26" s="106">
        <f>'2022'!AI198</f>
        <v>223.40736</v>
      </c>
      <c r="AF26" s="106">
        <f>'2022'!AJ198</f>
        <v>303</v>
      </c>
      <c r="AG26" s="119">
        <f>'2022'!AK198</f>
        <v>3191</v>
      </c>
      <c r="AH26" s="119">
        <f>'2022'!AL198</f>
        <v>68.876</v>
      </c>
      <c r="AI26" s="106">
        <f>'2022'!AM198</f>
        <v>169.43496</v>
      </c>
      <c r="AJ26" s="106">
        <f>'2022'!AN198</f>
        <v>393</v>
      </c>
      <c r="AK26" s="119">
        <f>'2022'!AO198</f>
        <v>3253</v>
      </c>
      <c r="AL26" s="119">
        <f>'2022'!AP198</f>
        <v>64.046</v>
      </c>
      <c r="AM26" s="106">
        <f>'2022'!AQ198</f>
        <v>157.55316</v>
      </c>
      <c r="AN26" s="106">
        <f>'2022'!AR198</f>
        <v>158</v>
      </c>
      <c r="AO26" s="119">
        <f>'2022'!AS198</f>
        <v>3302</v>
      </c>
      <c r="AP26" s="119">
        <f>'2022'!AT198</f>
        <v>51.45</v>
      </c>
      <c r="AQ26" s="106">
        <f>'2022'!AU198</f>
        <v>126.567</v>
      </c>
      <c r="AR26" s="106">
        <f>'2022'!AV198</f>
      </c>
      <c r="AS26" s="126">
        <f>'2022'!AW198</f>
      </c>
      <c r="AT26" s="119">
        <f>'2022'!AX198</f>
        <v>0</v>
      </c>
      <c r="AU26" s="106">
        <f>'2022'!AY198</f>
        <v>0</v>
      </c>
      <c r="AV26" s="106">
        <f>'2022'!AZ198</f>
      </c>
      <c r="AW26" s="119"/>
      <c r="AX26" s="106">
        <f t="shared" si="0"/>
        <v>0</v>
      </c>
      <c r="AY26" s="119">
        <f>'2022'!BA198</f>
      </c>
      <c r="AZ26" s="119">
        <f>'2022'!BB198</f>
      </c>
      <c r="BA26" s="106">
        <f>'2022'!BC198</f>
        <v>0</v>
      </c>
      <c r="BB26" s="106">
        <f>'2022'!BD198</f>
      </c>
      <c r="BC26" s="106"/>
      <c r="BD26" s="106">
        <f t="shared" si="1"/>
        <v>0</v>
      </c>
      <c r="BE26" s="119">
        <f>'2022'!BE198</f>
        <v>587.188</v>
      </c>
      <c r="BF26" s="106">
        <f>'2022'!BF198</f>
        <v>1519.36248</v>
      </c>
      <c r="BG26" s="106">
        <f>'2022'!BG198</f>
        <v>1433.82</v>
      </c>
      <c r="BH26" s="106">
        <f>'2022'!BH198</f>
        <v>125.84248</v>
      </c>
      <c r="BI26" s="106">
        <f t="shared" si="2"/>
        <v>0</v>
      </c>
      <c r="BJ26" s="338">
        <f t="shared" si="3"/>
        <v>125.84248</v>
      </c>
    </row>
    <row r="27" ht="15" customHeight="1" spans="1:62" x14ac:dyDescent="0.25">
      <c r="A27" s="14"/>
      <c r="B27" s="15">
        <v>23</v>
      </c>
      <c r="C27" s="115">
        <v>3.98</v>
      </c>
      <c r="D27" s="117" t="s">
        <v>124</v>
      </c>
      <c r="E27" s="119">
        <f>'2022'!I207</f>
        <v>7944</v>
      </c>
      <c r="F27" s="119">
        <f>'2022'!J207</f>
        <v>0</v>
      </c>
      <c r="G27" s="106">
        <f>'2022'!K207</f>
        <v>0</v>
      </c>
      <c r="H27" s="106">
        <f>'2022'!L207</f>
      </c>
      <c r="I27" s="119">
        <f>'2022'!M207</f>
        <v>7944</v>
      </c>
      <c r="J27" s="119">
        <f>'2022'!N207</f>
        <v>0</v>
      </c>
      <c r="K27" s="106">
        <f>'2022'!O207</f>
        <v>0</v>
      </c>
      <c r="L27" s="106">
        <f>'2022'!P207</f>
      </c>
      <c r="M27" s="119">
        <f>'2022'!Q207</f>
        <v>7944</v>
      </c>
      <c r="N27" s="119">
        <f>'2022'!R207</f>
        <v>0</v>
      </c>
      <c r="O27" s="106">
        <f>'2022'!S207</f>
        <v>0</v>
      </c>
      <c r="P27" s="106">
        <f>'2022'!T207</f>
      </c>
      <c r="Q27" s="119">
        <f>'2022'!U207</f>
        <v>7944</v>
      </c>
      <c r="R27" s="119">
        <f>'2022'!V207</f>
        <v>0</v>
      </c>
      <c r="S27" s="106">
        <f>'2022'!W207</f>
        <v>0</v>
      </c>
      <c r="T27" s="106">
        <f>'2022'!X207</f>
      </c>
      <c r="U27" s="119">
        <f>'2022'!Y207</f>
        <v>8551</v>
      </c>
      <c r="V27" s="119">
        <f>'2022'!Z207</f>
        <v>607</v>
      </c>
      <c r="W27" s="106">
        <f>'2022'!AA207</f>
        <v>1638.9</v>
      </c>
      <c r="X27" s="106">
        <f>'2022'!AB207</f>
        <v>2500</v>
      </c>
      <c r="Y27" s="119">
        <f>'2022'!AC207</f>
        <v>8930</v>
      </c>
      <c r="Z27" s="119">
        <f>'2022'!AD207</f>
        <v>379</v>
      </c>
      <c r="AA27" s="106">
        <f>'2022'!AE207</f>
        <v>1023.3</v>
      </c>
      <c r="AB27" s="106">
        <f>'2022'!AF207</f>
      </c>
      <c r="AC27" s="119">
        <f>'2022'!AG207</f>
        <v>9098</v>
      </c>
      <c r="AD27" s="106">
        <f>'2022'!AH207</f>
        <v>177.408</v>
      </c>
      <c r="AE27" s="106">
        <f>'2022'!AI207</f>
        <v>436.42368</v>
      </c>
      <c r="AF27" s="106">
        <f>'2022'!AJ207</f>
        <v>2500</v>
      </c>
      <c r="AG27" s="119">
        <f>'2022'!AK207</f>
        <v>9340</v>
      </c>
      <c r="AH27" s="119">
        <f>'2022'!AL207</f>
        <v>248.776</v>
      </c>
      <c r="AI27" s="106">
        <f>'2022'!AM207</f>
        <v>611.98896</v>
      </c>
      <c r="AJ27" s="106">
        <f>'2022'!AN207</f>
        <v>420</v>
      </c>
      <c r="AK27" s="119">
        <f>'2022'!AO207</f>
        <v>10074</v>
      </c>
      <c r="AL27" s="119">
        <f>'2022'!AP207</f>
        <v>758.222</v>
      </c>
      <c r="AM27" s="106">
        <f>'2022'!AQ207</f>
        <v>1865.22612</v>
      </c>
      <c r="AN27" s="106">
        <f>'2022'!AR207</f>
        <v>1000</v>
      </c>
      <c r="AO27" s="119">
        <f>'2022'!AS207</f>
        <v>10372</v>
      </c>
      <c r="AP27" s="119">
        <f>'2022'!AT207</f>
        <v>312.9</v>
      </c>
      <c r="AQ27" s="106">
        <f>'2022'!AU207</f>
        <v>769.734</v>
      </c>
      <c r="AR27" s="106">
        <f>'2022'!AV207</f>
        <v>2000</v>
      </c>
      <c r="AS27" s="119">
        <f>'2022'!AW207</f>
      </c>
      <c r="AT27" s="119">
        <f>'2022'!AX207</f>
        <v>0</v>
      </c>
      <c r="AU27" s="106">
        <f>'2022'!AY207</f>
        <v>0</v>
      </c>
      <c r="AV27" s="106">
        <f>'2022'!AZ207</f>
      </c>
      <c r="AW27" s="106"/>
      <c r="AX27" s="106">
        <f t="shared" si="0"/>
        <v>0</v>
      </c>
      <c r="AY27" s="119">
        <f>'2022'!BA207</f>
      </c>
      <c r="AZ27" s="119">
        <f>'2022'!BB207</f>
      </c>
      <c r="BA27" s="106">
        <f>'2022'!BC207</f>
        <v>0</v>
      </c>
      <c r="BB27" s="106">
        <f>'2022'!BD207</f>
      </c>
      <c r="BC27" s="106"/>
      <c r="BD27" s="106">
        <f t="shared" si="1"/>
        <v>0</v>
      </c>
      <c r="BE27" s="119">
        <f>'2022'!BE207</f>
        <v>2483.306</v>
      </c>
      <c r="BF27" s="106">
        <f>'2022'!BF207</f>
        <v>6345.57276</v>
      </c>
      <c r="BG27" s="106">
        <f>'2022'!BG207</f>
        <v>8420</v>
      </c>
      <c r="BH27" s="106">
        <f>'2022'!BH207</f>
        <v>244.85276</v>
      </c>
      <c r="BI27" s="106">
        <f t="shared" si="2"/>
        <v>0</v>
      </c>
      <c r="BJ27" s="338">
        <f t="shared" si="3"/>
        <v>244.85276</v>
      </c>
    </row>
    <row r="28" ht="15" customHeight="1" spans="1:62" x14ac:dyDescent="0.25">
      <c r="A28" s="14"/>
      <c r="B28" s="15">
        <v>24</v>
      </c>
      <c r="C28" s="115">
        <v>4.01</v>
      </c>
      <c r="D28" s="117" t="s">
        <v>127</v>
      </c>
      <c r="E28" s="119">
        <f>'2022'!I216</f>
        <v>774</v>
      </c>
      <c r="F28" s="119">
        <f>'2022'!J216</f>
        <v>0</v>
      </c>
      <c r="G28" s="106">
        <f>'2022'!K216</f>
        <v>0</v>
      </c>
      <c r="H28" s="106">
        <f>'2022'!L216</f>
      </c>
      <c r="I28" s="119">
        <f>'2022'!M216</f>
        <v>774</v>
      </c>
      <c r="J28" s="119">
        <f>'2022'!N216</f>
        <v>0</v>
      </c>
      <c r="K28" s="106">
        <f>'2022'!O216</f>
        <v>0</v>
      </c>
      <c r="L28" s="106">
        <f>'2022'!P216</f>
      </c>
      <c r="M28" s="119">
        <f>'2022'!Q216</f>
        <v>774</v>
      </c>
      <c r="N28" s="119">
        <f>'2022'!R216</f>
        <v>0</v>
      </c>
      <c r="O28" s="106">
        <f>'2022'!S216</f>
        <v>0</v>
      </c>
      <c r="P28" s="106">
        <f>'2022'!T216</f>
      </c>
      <c r="Q28" s="119">
        <f>'2022'!U216</f>
        <v>774</v>
      </c>
      <c r="R28" s="119">
        <f>'2022'!V216</f>
        <v>0</v>
      </c>
      <c r="S28" s="106">
        <f>'2022'!W216</f>
        <v>0</v>
      </c>
      <c r="T28" s="106">
        <f>'2022'!X216</f>
      </c>
      <c r="U28" s="119">
        <f>'2022'!Y216</f>
        <v>918</v>
      </c>
      <c r="V28" s="119">
        <f>'2022'!Z216</f>
        <v>144</v>
      </c>
      <c r="W28" s="106">
        <f>'2022'!AA216</f>
        <v>388.8</v>
      </c>
      <c r="X28" s="106">
        <f>'2022'!AB216</f>
      </c>
      <c r="Y28" s="119">
        <f>'2022'!AC216</f>
        <v>1104</v>
      </c>
      <c r="Z28" s="119">
        <f>'2022'!AD216</f>
        <v>186</v>
      </c>
      <c r="AA28" s="106">
        <f>'2022'!AE216</f>
        <v>502.2</v>
      </c>
      <c r="AB28" s="106">
        <f>'2022'!AF216</f>
        <v>388.8</v>
      </c>
      <c r="AC28" s="119">
        <f>'2022'!AG216</f>
        <v>1217</v>
      </c>
      <c r="AD28" s="106">
        <f>'2022'!AH216</f>
        <v>119.328</v>
      </c>
      <c r="AE28" s="106">
        <f>'2022'!AI216</f>
        <v>293.54688</v>
      </c>
      <c r="AF28" s="106">
        <f>'2022'!AJ216</f>
        <v>502.2</v>
      </c>
      <c r="AG28" s="119">
        <f>'2022'!AK216</f>
        <v>1336</v>
      </c>
      <c r="AH28" s="119">
        <f>'2022'!AL216</f>
        <v>122.332</v>
      </c>
      <c r="AI28" s="106">
        <f>'2022'!AM216</f>
        <v>300.93672</v>
      </c>
      <c r="AJ28" s="106">
        <f>'2022'!AN216</f>
        <v>293.55</v>
      </c>
      <c r="AK28" s="119">
        <f>'2022'!AO216</f>
        <v>1365</v>
      </c>
      <c r="AL28" s="119">
        <f>'2022'!AP216</f>
        <v>29.957</v>
      </c>
      <c r="AM28" s="106">
        <f>'2022'!AQ216</f>
        <v>73.69422</v>
      </c>
      <c r="AN28" s="106">
        <f>'2022'!AR216</f>
      </c>
      <c r="AO28" s="119">
        <f>'2022'!AS216</f>
        <v>1367</v>
      </c>
      <c r="AP28" s="119">
        <f>'2022'!AT216</f>
        <v>2.1</v>
      </c>
      <c r="AQ28" s="106">
        <f>'2022'!AU216</f>
        <v>5.166</v>
      </c>
      <c r="AR28" s="106">
        <f>'2022'!AV216</f>
        <v>374.63</v>
      </c>
      <c r="AS28" s="119">
        <f>'2022'!AW216</f>
      </c>
      <c r="AT28" s="119">
        <f>'2022'!AX216</f>
        <v>0</v>
      </c>
      <c r="AU28" s="106">
        <f>'2022'!AY216</f>
        <v>0</v>
      </c>
      <c r="AV28" s="106">
        <f>'2022'!AZ216</f>
      </c>
      <c r="AW28" s="106"/>
      <c r="AX28" s="106">
        <f t="shared" si="0"/>
        <v>0</v>
      </c>
      <c r="AY28" s="119">
        <f>'2022'!BA216</f>
      </c>
      <c r="AZ28" s="119">
        <f>'2022'!BB216</f>
      </c>
      <c r="BA28" s="106">
        <f>'2022'!BC216</f>
        <v>0</v>
      </c>
      <c r="BB28" s="106">
        <f>'2022'!BD216</f>
      </c>
      <c r="BC28" s="106"/>
      <c r="BD28" s="106">
        <f t="shared" si="1"/>
        <v>0</v>
      </c>
      <c r="BE28" s="119">
        <f>'2022'!BE216</f>
        <v>603.717</v>
      </c>
      <c r="BF28" s="106">
        <f>'2022'!BF216</f>
        <v>1564.34382</v>
      </c>
      <c r="BG28" s="106">
        <f>'2022'!BG216</f>
        <v>1559.18</v>
      </c>
      <c r="BH28" s="106">
        <f>'2022'!BH216</f>
        <v>5.16382</v>
      </c>
      <c r="BI28" s="106">
        <f t="shared" si="2"/>
        <v>0</v>
      </c>
      <c r="BJ28" s="338">
        <f t="shared" si="3"/>
        <v>5.16382</v>
      </c>
    </row>
    <row r="29" ht="15" customHeight="1" spans="1:62" x14ac:dyDescent="0.25">
      <c r="A29" s="14"/>
      <c r="B29" s="15">
        <v>25</v>
      </c>
      <c r="C29" s="116">
        <v>4</v>
      </c>
      <c r="D29" s="117" t="s">
        <v>131</v>
      </c>
      <c r="E29" s="119">
        <f>'2022'!I225</f>
        <v>48</v>
      </c>
      <c r="F29" s="119">
        <f>'2022'!J225</f>
        <v>0</v>
      </c>
      <c r="G29" s="106">
        <f>'2022'!K225</f>
        <v>0</v>
      </c>
      <c r="H29" s="106">
        <f>'2022'!L225</f>
      </c>
      <c r="I29" s="119">
        <f>'2022'!M225</f>
        <v>48</v>
      </c>
      <c r="J29" s="119">
        <f>'2022'!N225</f>
        <v>0</v>
      </c>
      <c r="K29" s="106">
        <f>'2022'!O225</f>
        <v>0</v>
      </c>
      <c r="L29" s="106">
        <f>'2022'!P225</f>
      </c>
      <c r="M29" s="119">
        <f>'2022'!Q225</f>
        <v>48</v>
      </c>
      <c r="N29" s="119">
        <f>'2022'!R225</f>
        <v>0</v>
      </c>
      <c r="O29" s="106">
        <f>'2022'!S225</f>
        <v>0</v>
      </c>
      <c r="P29" s="106">
        <f>'2022'!T225</f>
      </c>
      <c r="Q29" s="119">
        <f>'2022'!U225</f>
        <v>48</v>
      </c>
      <c r="R29" s="119">
        <f>'2022'!V225</f>
        <v>0</v>
      </c>
      <c r="S29" s="106">
        <f>'2022'!W225</f>
        <v>0</v>
      </c>
      <c r="T29" s="106">
        <f>'2022'!X225</f>
      </c>
      <c r="U29" s="119">
        <f>'2022'!Y225</f>
        <v>50</v>
      </c>
      <c r="V29" s="119">
        <f>'2022'!Z225</f>
        <v>2</v>
      </c>
      <c r="W29" s="106">
        <f>'2022'!AA225</f>
        <v>5.4</v>
      </c>
      <c r="X29" s="106">
        <f>'2022'!AB225</f>
        <v>19.84</v>
      </c>
      <c r="Y29" s="119">
        <f>'2022'!AC225</f>
        <v>50</v>
      </c>
      <c r="Z29" s="119">
        <f>'2022'!AD225</f>
        <v>0</v>
      </c>
      <c r="AA29" s="106">
        <f>'2022'!AE225</f>
        <v>0</v>
      </c>
      <c r="AB29" s="106">
        <f>'2022'!AF225</f>
      </c>
      <c r="AC29" s="119">
        <f>'2022'!AG225</f>
        <v>50</v>
      </c>
      <c r="AD29" s="106">
        <f>'2022'!AH225</f>
        <v>0</v>
      </c>
      <c r="AE29" s="106">
        <f>'2022'!AI225</f>
        <v>0</v>
      </c>
      <c r="AF29" s="106">
        <f>'2022'!AJ225</f>
      </c>
      <c r="AG29" s="119">
        <f>'2022'!AK225</f>
        <v>50</v>
      </c>
      <c r="AH29" s="119">
        <f>'2022'!AL225</f>
        <v>0</v>
      </c>
      <c r="AI29" s="106">
        <f>'2022'!AM225</f>
        <v>0</v>
      </c>
      <c r="AJ29" s="106">
        <f>'2022'!AN225</f>
      </c>
      <c r="AK29" s="119">
        <f>'2022'!AO225</f>
        <v>50</v>
      </c>
      <c r="AL29" s="119">
        <f>'2022'!AP225</f>
        <v>0</v>
      </c>
      <c r="AM29" s="106">
        <f>'2022'!AQ225</f>
        <v>0</v>
      </c>
      <c r="AN29" s="106">
        <f>'2022'!AR225</f>
      </c>
      <c r="AO29" s="119">
        <f>'2022'!AS225</f>
        <v>61</v>
      </c>
      <c r="AP29" s="119">
        <f>'2022'!AT225</f>
        <v>11.55</v>
      </c>
      <c r="AQ29" s="106">
        <f>'2022'!AU225</f>
        <v>28.413</v>
      </c>
      <c r="AR29" s="106">
        <f>'2022'!AV225</f>
      </c>
      <c r="AS29" s="119">
        <f>'2022'!AW225</f>
      </c>
      <c r="AT29" s="119">
        <f>'2022'!AX225</f>
        <v>0</v>
      </c>
      <c r="AU29" s="106">
        <f>'2022'!AY225</f>
        <v>0</v>
      </c>
      <c r="AV29" s="106">
        <f>'2022'!AZ225</f>
      </c>
      <c r="AW29" s="106"/>
      <c r="AX29" s="106">
        <f t="shared" si="0"/>
        <v>0</v>
      </c>
      <c r="AY29" s="119">
        <f>'2022'!BA225</f>
      </c>
      <c r="AZ29" s="119">
        <f>'2022'!BB225</f>
      </c>
      <c r="BA29" s="106">
        <f>'2022'!BC225</f>
        <v>0</v>
      </c>
      <c r="BB29" s="106">
        <f>'2022'!BD225</f>
      </c>
      <c r="BC29" s="106"/>
      <c r="BD29" s="106">
        <f t="shared" si="1"/>
        <v>0</v>
      </c>
      <c r="BE29" s="119">
        <f>'2022'!BE225</f>
        <v>13.55</v>
      </c>
      <c r="BF29" s="106">
        <f>'2022'!BF225</f>
        <v>33.813</v>
      </c>
      <c r="BG29" s="106">
        <f>'2022'!BG225</f>
        <v>19.84</v>
      </c>
      <c r="BH29" s="106">
        <f>'2022'!BH225</f>
        <v>39.363</v>
      </c>
      <c r="BI29" s="106">
        <f t="shared" si="2"/>
        <v>0</v>
      </c>
      <c r="BJ29" s="338">
        <f t="shared" si="3"/>
        <v>39.363</v>
      </c>
    </row>
    <row r="30" ht="15" customHeight="1" spans="1:62" x14ac:dyDescent="0.25">
      <c r="A30" s="14"/>
      <c r="B30" s="15">
        <v>26</v>
      </c>
      <c r="C30" s="115">
        <v>3.98</v>
      </c>
      <c r="D30" s="117" t="s">
        <v>133</v>
      </c>
      <c r="E30" s="119">
        <f>'2022'!I234</f>
      </c>
      <c r="F30" s="119">
        <f>'2022'!J234</f>
        <v>0</v>
      </c>
      <c r="G30" s="106">
        <f>'2022'!K234</f>
        <v>0</v>
      </c>
      <c r="H30" s="106">
        <f>'2022'!L234</f>
      </c>
      <c r="I30" s="119">
        <f>'2022'!M234</f>
      </c>
      <c r="J30" s="119">
        <f>'2022'!N234</f>
        <v>0</v>
      </c>
      <c r="K30" s="106">
        <f>'2022'!O234</f>
        <v>0</v>
      </c>
      <c r="L30" s="106">
        <f>'2022'!P234</f>
      </c>
      <c r="M30" s="119">
        <f>'2022'!Q234</f>
      </c>
      <c r="N30" s="119">
        <f>'2022'!R234</f>
        <v>0</v>
      </c>
      <c r="O30" s="106">
        <f>'2022'!S234</f>
        <v>0</v>
      </c>
      <c r="P30" s="106">
        <f>'2022'!T234</f>
      </c>
      <c r="Q30" s="119">
        <f>'2022'!U234</f>
      </c>
      <c r="R30" s="119">
        <f>'2022'!V234</f>
        <v>0</v>
      </c>
      <c r="S30" s="106">
        <f>'2022'!W234</f>
        <v>0</v>
      </c>
      <c r="T30" s="106">
        <f>'2022'!X234</f>
      </c>
      <c r="U30" s="119">
        <f>'2022'!Y234</f>
      </c>
      <c r="V30" s="119">
        <f>'2022'!Z234</f>
        <v>0</v>
      </c>
      <c r="W30" s="106">
        <f>'2022'!AA234</f>
        <v>0</v>
      </c>
      <c r="X30" s="106">
        <f>'2022'!AB234</f>
      </c>
      <c r="Y30" s="119">
        <f>'2022'!AC234</f>
      </c>
      <c r="Z30" s="119">
        <f>'2022'!AD234</f>
        <v>0</v>
      </c>
      <c r="AA30" s="106">
        <f>'2022'!AE234</f>
        <v>0</v>
      </c>
      <c r="AB30" s="106">
        <f>'2022'!AF234</f>
      </c>
      <c r="AC30" s="119">
        <f>'2022'!AG234</f>
      </c>
      <c r="AD30" s="106">
        <f>'2022'!AH234</f>
        <v>0</v>
      </c>
      <c r="AE30" s="106">
        <f>'2022'!AI234</f>
        <v>0</v>
      </c>
      <c r="AF30" s="106">
        <f>'2022'!AJ234</f>
      </c>
      <c r="AG30" s="119">
        <f>'2022'!AK234</f>
      </c>
      <c r="AH30" s="119">
        <f>'2022'!AL234</f>
        <v>0</v>
      </c>
      <c r="AI30" s="106">
        <f>'2022'!AM234</f>
        <v>0</v>
      </c>
      <c r="AJ30" s="106">
        <f>'2022'!AN234</f>
      </c>
      <c r="AK30" s="119">
        <f>'2022'!AO234</f>
      </c>
      <c r="AL30" s="119">
        <f>'2022'!AP234</f>
        <v>0</v>
      </c>
      <c r="AM30" s="106">
        <f>'2022'!AQ234</f>
        <v>0</v>
      </c>
      <c r="AN30" s="106">
        <f>'2022'!AR234</f>
      </c>
      <c r="AO30" s="119">
        <f>'2022'!AS234</f>
      </c>
      <c r="AP30" s="119">
        <f>'2022'!AT234</f>
        <v>0</v>
      </c>
      <c r="AQ30" s="106">
        <f>'2022'!AU234</f>
        <v>0</v>
      </c>
      <c r="AR30" s="106">
        <f>'2022'!AV234</f>
      </c>
      <c r="AS30" s="119">
        <f>'2022'!AW234</f>
      </c>
      <c r="AT30" s="119">
        <f>'2022'!AX234</f>
        <v>0</v>
      </c>
      <c r="AU30" s="106">
        <f>'2022'!AY234</f>
        <v>0</v>
      </c>
      <c r="AV30" s="106">
        <f>'2022'!AZ234</f>
      </c>
      <c r="AW30" s="106"/>
      <c r="AX30" s="106">
        <f t="shared" si="0"/>
        <v>0</v>
      </c>
      <c r="AY30" s="119">
        <f>'2022'!BA234</f>
      </c>
      <c r="AZ30" s="119">
        <f>'2022'!BB234</f>
      </c>
      <c r="BA30" s="106">
        <f>'2022'!BC234</f>
        <v>0</v>
      </c>
      <c r="BB30" s="106">
        <f>'2022'!BD234</f>
      </c>
      <c r="BC30" s="106"/>
      <c r="BD30" s="106">
        <f t="shared" si="1"/>
        <v>0</v>
      </c>
      <c r="BE30" s="119">
        <f>'2022'!BE234</f>
        <v>0</v>
      </c>
      <c r="BF30" s="106">
        <f>'2022'!BF234</f>
        <v>0</v>
      </c>
      <c r="BG30" s="106">
        <f>'2022'!BG234</f>
        <v>0</v>
      </c>
      <c r="BH30" s="106">
        <f>'2022'!BH234</f>
        <v>0</v>
      </c>
      <c r="BI30" s="106">
        <f t="shared" si="2"/>
        <v>0</v>
      </c>
      <c r="BJ30" s="338">
        <f t="shared" si="3"/>
        <v>0</v>
      </c>
    </row>
    <row r="31" ht="15" customHeight="1" spans="1:62" x14ac:dyDescent="0.25">
      <c r="A31" s="14"/>
      <c r="B31" s="15">
        <v>27</v>
      </c>
      <c r="C31" s="115">
        <v>4.04</v>
      </c>
      <c r="D31" s="117" t="s">
        <v>136</v>
      </c>
      <c r="E31" s="119">
        <f>'2022'!I243</f>
      </c>
      <c r="F31" s="119">
        <f>'2022'!J243</f>
        <v>0</v>
      </c>
      <c r="G31" s="106">
        <f>'2022'!K243</f>
        <v>0</v>
      </c>
      <c r="H31" s="106">
        <f>'2022'!L243</f>
      </c>
      <c r="I31" s="119">
        <f>'2022'!M243</f>
      </c>
      <c r="J31" s="119">
        <f>'2022'!N243</f>
        <v>0</v>
      </c>
      <c r="K31" s="106">
        <f>'2022'!O243</f>
        <v>0</v>
      </c>
      <c r="L31" s="106">
        <f>'2022'!P243</f>
      </c>
      <c r="M31" s="119">
        <f>'2022'!Q243</f>
      </c>
      <c r="N31" s="119">
        <f>'2022'!R243</f>
        <v>0</v>
      </c>
      <c r="O31" s="106">
        <f>'2022'!S243</f>
        <v>0</v>
      </c>
      <c r="P31" s="106">
        <f>'2022'!T243</f>
      </c>
      <c r="Q31" s="119">
        <f>'2022'!U243</f>
      </c>
      <c r="R31" s="119">
        <f>'2022'!V243</f>
        <v>0</v>
      </c>
      <c r="S31" s="106">
        <f>'2022'!W243</f>
        <v>0</v>
      </c>
      <c r="T31" s="106">
        <f>'2022'!X243</f>
      </c>
      <c r="U31" s="119">
        <f>'2022'!Y243</f>
      </c>
      <c r="V31" s="119">
        <f>'2022'!Z243</f>
        <v>0</v>
      </c>
      <c r="W31" s="106">
        <f>'2022'!AA243</f>
        <v>0</v>
      </c>
      <c r="X31" s="106">
        <f>'2022'!AB243</f>
      </c>
      <c r="Y31" s="119">
        <f>'2022'!AC243</f>
      </c>
      <c r="Z31" s="119">
        <f>'2022'!AD243</f>
        <v>0</v>
      </c>
      <c r="AA31" s="106">
        <f>'2022'!AE243</f>
        <v>0</v>
      </c>
      <c r="AB31" s="106">
        <f>'2022'!AF243</f>
      </c>
      <c r="AC31" s="119">
        <f>'2022'!AG243</f>
      </c>
      <c r="AD31" s="106">
        <f>'2022'!AH243</f>
        <v>0</v>
      </c>
      <c r="AE31" s="106">
        <f>'2022'!AI243</f>
        <v>0</v>
      </c>
      <c r="AF31" s="106">
        <f>'2022'!AJ243</f>
      </c>
      <c r="AG31" s="119">
        <f>'2022'!AK243</f>
      </c>
      <c r="AH31" s="119">
        <f>'2022'!AL243</f>
        <v>0</v>
      </c>
      <c r="AI31" s="106">
        <f>'2022'!AM243</f>
        <v>0</v>
      </c>
      <c r="AJ31" s="106">
        <f>'2022'!AN243</f>
      </c>
      <c r="AK31" s="119">
        <f>'2022'!AO243</f>
      </c>
      <c r="AL31" s="119">
        <f>'2022'!AP243</f>
        <v>0</v>
      </c>
      <c r="AM31" s="106">
        <f>'2022'!AQ243</f>
        <v>0</v>
      </c>
      <c r="AN31" s="106">
        <f>'2022'!AR243</f>
      </c>
      <c r="AO31" s="119">
        <f>'2022'!AS243</f>
      </c>
      <c r="AP31" s="119">
        <f>'2022'!AT243</f>
        <v>0</v>
      </c>
      <c r="AQ31" s="106">
        <f>'2022'!AU243</f>
        <v>0</v>
      </c>
      <c r="AR31" s="106">
        <f>'2022'!AV243</f>
      </c>
      <c r="AS31" s="119">
        <f>'2022'!AW243</f>
      </c>
      <c r="AT31" s="119">
        <f>'2022'!AX243</f>
        <v>0</v>
      </c>
      <c r="AU31" s="106">
        <f>'2022'!AY243</f>
        <v>0</v>
      </c>
      <c r="AV31" s="106">
        <f>'2022'!AZ243</f>
      </c>
      <c r="AW31" s="106"/>
      <c r="AX31" s="106">
        <f t="shared" si="0"/>
        <v>0</v>
      </c>
      <c r="AY31" s="119">
        <f>'2022'!BA243</f>
      </c>
      <c r="AZ31" s="119">
        <f>'2022'!BB243</f>
      </c>
      <c r="BA31" s="106">
        <f>'2022'!BC243</f>
        <v>0</v>
      </c>
      <c r="BB31" s="106">
        <f>'2022'!BD243</f>
      </c>
      <c r="BC31" s="106"/>
      <c r="BD31" s="106">
        <f t="shared" si="1"/>
        <v>0</v>
      </c>
      <c r="BE31" s="119">
        <f>'2022'!BE243</f>
        <v>0</v>
      </c>
      <c r="BF31" s="106">
        <f>'2022'!BF243</f>
        <v>0</v>
      </c>
      <c r="BG31" s="106">
        <f>'2022'!BG243</f>
        <v>0</v>
      </c>
      <c r="BH31" s="106">
        <f>'2022'!BH243</f>
        <v>0</v>
      </c>
      <c r="BI31" s="106">
        <f t="shared" si="2"/>
        <v>0</v>
      </c>
      <c r="BJ31" s="338">
        <f t="shared" si="3"/>
        <v>0</v>
      </c>
    </row>
    <row r="32" ht="15" customHeight="1" spans="1:62" x14ac:dyDescent="0.25">
      <c r="A32" s="14"/>
      <c r="B32" s="15">
        <v>28</v>
      </c>
      <c r="C32" s="115">
        <v>3.96</v>
      </c>
      <c r="D32" s="117" t="s">
        <v>140</v>
      </c>
      <c r="E32" s="119">
        <f>'2022'!I252</f>
        <v>7502</v>
      </c>
      <c r="F32" s="119">
        <f>'2022'!J252</f>
        <v>931</v>
      </c>
      <c r="G32" s="106">
        <f>'2022'!K252</f>
        <v>2513.7</v>
      </c>
      <c r="H32" s="106">
        <f>'2022'!L252</f>
        <v>2003.4</v>
      </c>
      <c r="I32" s="119">
        <f>'2022'!M252</f>
        <v>8470</v>
      </c>
      <c r="J32" s="119">
        <f>'2022'!N252</f>
        <v>968</v>
      </c>
      <c r="K32" s="106">
        <f>'2022'!O252</f>
        <v>2613.6</v>
      </c>
      <c r="L32" s="106">
        <f>'2022'!P252</f>
        <v>1500</v>
      </c>
      <c r="M32" s="119">
        <f>'2022'!Q252</f>
        <v>9159</v>
      </c>
      <c r="N32" s="119">
        <f>'2022'!R252</f>
        <v>689</v>
      </c>
      <c r="O32" s="106">
        <f>'2022'!S252</f>
        <v>1860.3</v>
      </c>
      <c r="P32" s="106">
        <f>'2022'!T252</f>
        <v>3627.3</v>
      </c>
      <c r="Q32" s="119">
        <f>'2022'!U252</f>
        <v>9624</v>
      </c>
      <c r="R32" s="119">
        <f>'2022'!V252</f>
        <v>465</v>
      </c>
      <c r="S32" s="106">
        <f>'2022'!W252</f>
        <v>1255.5</v>
      </c>
      <c r="T32" s="106">
        <f>'2022'!X252</f>
        <v>1860.3</v>
      </c>
      <c r="U32" s="119">
        <f>'2022'!Y252</f>
        <v>9807</v>
      </c>
      <c r="V32" s="119">
        <f>'2022'!Z252</f>
        <v>183</v>
      </c>
      <c r="W32" s="106">
        <f>'2022'!AA252</f>
        <v>494.1</v>
      </c>
      <c r="X32" s="106">
        <f>'2022'!AB252</f>
        <v>1255.5</v>
      </c>
      <c r="Y32" s="119">
        <f>'2022'!AC252</f>
        <v>9907</v>
      </c>
      <c r="Z32" s="119">
        <f>'2022'!AD252</f>
        <v>100</v>
      </c>
      <c r="AA32" s="106">
        <f>'2022'!AE252</f>
        <v>270</v>
      </c>
      <c r="AB32" s="106">
        <f>'2022'!AF252</f>
      </c>
      <c r="AC32" s="119">
        <f>'2022'!AG252</f>
        <v>10009</v>
      </c>
      <c r="AD32" s="106">
        <f>'2022'!AH252</f>
        <v>107.712</v>
      </c>
      <c r="AE32" s="106">
        <f>'2022'!AI252</f>
        <v>264.97152</v>
      </c>
      <c r="AF32" s="106">
        <f>'2022'!AJ252</f>
      </c>
      <c r="AG32" s="119">
        <f>'2022'!AK252</f>
        <v>10098</v>
      </c>
      <c r="AH32" s="119">
        <f>'2022'!AL252</f>
        <v>91.492</v>
      </c>
      <c r="AI32" s="106">
        <f>'2022'!AM252</f>
        <v>225.07032</v>
      </c>
      <c r="AJ32" s="106">
        <f>'2022'!AN252</f>
        <v>1029.07</v>
      </c>
      <c r="AK32" s="119">
        <f>'2022'!AO252</f>
        <v>10216</v>
      </c>
      <c r="AL32" s="119">
        <f>'2022'!AP252</f>
        <v>121.894</v>
      </c>
      <c r="AM32" s="106">
        <f>'2022'!AQ252</f>
        <v>299.85924</v>
      </c>
      <c r="AN32" s="106">
        <f>'2022'!AR252</f>
        <v>225.07</v>
      </c>
      <c r="AO32" s="119">
        <f>'2022'!AS252</f>
        <v>10576</v>
      </c>
      <c r="AP32" s="119">
        <f>'2022'!AT252</f>
        <v>378</v>
      </c>
      <c r="AQ32" s="106">
        <f>'2022'!AU252</f>
        <v>929.88</v>
      </c>
      <c r="AR32" s="106">
        <f>'2022'!AV252</f>
        <v>299.86</v>
      </c>
      <c r="AS32" s="126">
        <f>'2022'!AW252</f>
      </c>
      <c r="AT32" s="119">
        <f>'2022'!AX252</f>
        <v>0</v>
      </c>
      <c r="AU32" s="106">
        <f>'2022'!AY252</f>
        <v>0</v>
      </c>
      <c r="AV32" s="106">
        <f>'2022'!AZ252</f>
      </c>
      <c r="AW32" s="119"/>
      <c r="AX32" s="106">
        <f t="shared" si="0"/>
        <v>0</v>
      </c>
      <c r="AY32" s="119">
        <f>'2022'!BA252</f>
      </c>
      <c r="AZ32" s="119">
        <f>'2022'!BB252</f>
      </c>
      <c r="BA32" s="106">
        <f>'2022'!BC252</f>
        <v>0</v>
      </c>
      <c r="BB32" s="106">
        <f>'2022'!BD252</f>
      </c>
      <c r="BC32" s="119"/>
      <c r="BD32" s="106">
        <f t="shared" si="1"/>
        <v>0</v>
      </c>
      <c r="BE32" s="119">
        <f>'2022'!BE252</f>
        <v>4035.098</v>
      </c>
      <c r="BF32" s="106">
        <f>'2022'!BF252</f>
        <v>10726.98108</v>
      </c>
      <c r="BG32" s="106">
        <f>'2022'!BG252</f>
        <v>11800.5</v>
      </c>
      <c r="BH32" s="106">
        <f>'2022'!BH252</f>
        <v>929.88108</v>
      </c>
      <c r="BI32" s="106">
        <f t="shared" si="2"/>
        <v>0</v>
      </c>
      <c r="BJ32" s="338">
        <f t="shared" si="3"/>
        <v>929.88108</v>
      </c>
    </row>
    <row r="33" ht="15" customHeight="1" spans="1:62" x14ac:dyDescent="0.25">
      <c r="A33" s="14"/>
      <c r="B33" s="15">
        <v>30</v>
      </c>
      <c r="C33" s="115">
        <v>4.05</v>
      </c>
      <c r="D33" s="117" t="s">
        <v>496</v>
      </c>
      <c r="E33" s="119">
        <f>'2022'!I261</f>
        <v>206</v>
      </c>
      <c r="F33" s="119">
        <f>'2022'!J261</f>
        <v>0</v>
      </c>
      <c r="G33" s="106">
        <f>'2022'!K261</f>
        <v>0</v>
      </c>
      <c r="H33" s="106">
        <f>'2022'!L261</f>
      </c>
      <c r="I33" s="119">
        <f>'2022'!M261</f>
        <v>206</v>
      </c>
      <c r="J33" s="119">
        <f>'2022'!N261</f>
        <v>0</v>
      </c>
      <c r="K33" s="106">
        <f>'2022'!O261</f>
        <v>0</v>
      </c>
      <c r="L33" s="106">
        <f>'2022'!P261</f>
      </c>
      <c r="M33" s="119">
        <f>'2022'!Q261</f>
        <v>206</v>
      </c>
      <c r="N33" s="119">
        <f>'2022'!R261</f>
        <v>0</v>
      </c>
      <c r="O33" s="106">
        <f>'2022'!S261</f>
        <v>0</v>
      </c>
      <c r="P33" s="106">
        <f>'2022'!T261</f>
      </c>
      <c r="Q33" s="119">
        <f>'2022'!U261</f>
        <v>206</v>
      </c>
      <c r="R33" s="119">
        <f>'2022'!V261</f>
        <v>0</v>
      </c>
      <c r="S33" s="106">
        <f>'2022'!W261</f>
        <v>0</v>
      </c>
      <c r="T33" s="106">
        <f>'2022'!X261</f>
      </c>
      <c r="U33" s="119">
        <f>'2022'!Y261</f>
        <v>226</v>
      </c>
      <c r="V33" s="119">
        <f>'2022'!Z261</f>
        <v>20</v>
      </c>
      <c r="W33" s="106">
        <f>'2022'!AA261</f>
        <v>54</v>
      </c>
      <c r="X33" s="106">
        <f>'2022'!AB261</f>
        <v>54</v>
      </c>
      <c r="Y33" s="119">
        <f>'2022'!AC261</f>
        <v>315</v>
      </c>
      <c r="Z33" s="119">
        <f>'2022'!AD261</f>
        <v>89</v>
      </c>
      <c r="AA33" s="106">
        <f>'2022'!AE261</f>
        <v>240.3</v>
      </c>
      <c r="AB33" s="106">
        <f>'2022'!AF261</f>
      </c>
      <c r="AC33" s="119">
        <f>'2022'!AG261</f>
        <v>355</v>
      </c>
      <c r="AD33" s="106">
        <f>'2022'!AH261</f>
        <v>42.24</v>
      </c>
      <c r="AE33" s="106">
        <f>'2022'!AI261</f>
        <v>103.9104</v>
      </c>
      <c r="AF33" s="106">
        <f>'2022'!AJ261</f>
        <v>240.3</v>
      </c>
      <c r="AG33" s="119">
        <f>'2022'!AK261</f>
        <v>401</v>
      </c>
      <c r="AH33" s="119">
        <f>'2022'!AL261</f>
        <v>47.288</v>
      </c>
      <c r="AI33" s="106">
        <f>'2022'!AM261</f>
        <v>116.32848</v>
      </c>
      <c r="AJ33" s="106">
        <f>'2022'!AN261</f>
        <v>220.24</v>
      </c>
      <c r="AK33" s="119">
        <f>'2022'!AO261</f>
        <v>429</v>
      </c>
      <c r="AL33" s="119">
        <f>'2022'!AP261</f>
        <v>28.924</v>
      </c>
      <c r="AM33" s="106">
        <f>'2022'!AQ261</f>
        <v>71.15304</v>
      </c>
      <c r="AN33" s="106">
        <f>'2022'!AR261</f>
        <v>71.15</v>
      </c>
      <c r="AO33" s="119">
        <f>'2022'!AS261</f>
        <v>432</v>
      </c>
      <c r="AP33" s="119">
        <f>'2022'!AT261</f>
        <v>3.15</v>
      </c>
      <c r="AQ33" s="106">
        <f>'2022'!AU261</f>
        <v>7.749</v>
      </c>
      <c r="AR33" s="106">
        <f>'2022'!AV261</f>
      </c>
      <c r="AS33" s="126">
        <f>'2022'!AW261</f>
      </c>
      <c r="AT33" s="119">
        <f>'2022'!AX261</f>
        <v>0</v>
      </c>
      <c r="AU33" s="106">
        <f>'2022'!AY261</f>
        <v>0</v>
      </c>
      <c r="AV33" s="106">
        <f>'2022'!AZ261</f>
      </c>
      <c r="AW33" s="119"/>
      <c r="AX33" s="106">
        <f t="shared" si="0"/>
        <v>0</v>
      </c>
      <c r="AY33" s="119">
        <f>'2022'!BA261</f>
      </c>
      <c r="AZ33" s="119">
        <f>'2022'!BB261</f>
      </c>
      <c r="BA33" s="106">
        <f>'2022'!BC261</f>
        <v>0</v>
      </c>
      <c r="BB33" s="106">
        <f>'2022'!BD261</f>
      </c>
      <c r="BC33" s="106"/>
      <c r="BD33" s="106">
        <f t="shared" si="1"/>
        <v>0</v>
      </c>
      <c r="BE33" s="119">
        <f>'2022'!BE261</f>
        <v>230.602</v>
      </c>
      <c r="BF33" s="106">
        <f>'2022'!BF261</f>
        <v>593.44092</v>
      </c>
      <c r="BG33" s="106">
        <f>'2022'!BG261</f>
        <v>585.69</v>
      </c>
      <c r="BH33" s="106">
        <f>'2022'!BH261</f>
        <v>7.75092</v>
      </c>
      <c r="BI33" s="106">
        <f t="shared" si="2"/>
        <v>0</v>
      </c>
      <c r="BJ33" s="338">
        <f t="shared" si="3"/>
        <v>7.75092</v>
      </c>
    </row>
    <row r="34" ht="15" customHeight="1" spans="1:62" x14ac:dyDescent="0.25">
      <c r="A34" s="14"/>
      <c r="B34" s="15">
        <v>29</v>
      </c>
      <c r="C34" s="115">
        <v>4.02</v>
      </c>
      <c r="D34" s="117" t="s">
        <v>146</v>
      </c>
      <c r="E34" s="119">
        <f>'2022'!I270</f>
      </c>
      <c r="F34" s="119">
        <f>'2022'!J270</f>
      </c>
      <c r="G34" s="106">
        <f>'2022'!K270</f>
        <v>0</v>
      </c>
      <c r="H34" s="106">
        <f>'2022'!L270</f>
      </c>
      <c r="I34" s="119">
        <f>'2022'!M270</f>
      </c>
      <c r="J34" s="119">
        <f>'2022'!N270</f>
        <v>0</v>
      </c>
      <c r="K34" s="106">
        <f>'2022'!O270</f>
        <v>0</v>
      </c>
      <c r="L34" s="106">
        <f>'2022'!P270</f>
      </c>
      <c r="M34" s="119">
        <f>'2022'!Q270</f>
      </c>
      <c r="N34" s="119">
        <f>'2022'!R270</f>
        <v>0</v>
      </c>
      <c r="O34" s="106">
        <f>'2022'!S270</f>
        <v>0</v>
      </c>
      <c r="P34" s="106">
        <f>'2022'!T270</f>
      </c>
      <c r="Q34" s="119">
        <f>'2022'!U270</f>
      </c>
      <c r="R34" s="119">
        <f>'2022'!V270</f>
        <v>0</v>
      </c>
      <c r="S34" s="106">
        <f>'2022'!W270</f>
        <v>0</v>
      </c>
      <c r="T34" s="106">
        <f>'2022'!X270</f>
      </c>
      <c r="U34" s="119">
        <f>'2022'!Y270</f>
      </c>
      <c r="V34" s="119">
        <f>'2022'!Z270</f>
        <v>0</v>
      </c>
      <c r="W34" s="106">
        <f>'2022'!AA270</f>
        <v>0</v>
      </c>
      <c r="X34" s="106">
        <f>'2022'!AB270</f>
      </c>
      <c r="Y34" s="119">
        <f>'2022'!AC270</f>
      </c>
      <c r="Z34" s="119">
        <f>'2022'!AD270</f>
        <v>0</v>
      </c>
      <c r="AA34" s="106">
        <f>'2022'!AE270</f>
        <v>0</v>
      </c>
      <c r="AB34" s="106">
        <f>'2022'!AF270</f>
      </c>
      <c r="AC34" s="119">
        <f>'2022'!AG270</f>
      </c>
      <c r="AD34" s="106">
        <f>'2022'!AH270</f>
        <v>0</v>
      </c>
      <c r="AE34" s="106">
        <f>'2022'!AI270</f>
        <v>0</v>
      </c>
      <c r="AF34" s="106">
        <f>'2022'!AJ270</f>
      </c>
      <c r="AG34" s="119">
        <f>'2022'!AK270</f>
      </c>
      <c r="AH34" s="119">
        <f>'2022'!AL270</f>
        <v>0</v>
      </c>
      <c r="AI34" s="106">
        <f>'2022'!AM270</f>
        <v>0</v>
      </c>
      <c r="AJ34" s="106">
        <f>'2022'!AN270</f>
      </c>
      <c r="AK34" s="119">
        <f>'2022'!AO270</f>
      </c>
      <c r="AL34" s="119">
        <f>'2022'!AP270</f>
        <v>0</v>
      </c>
      <c r="AM34" s="106">
        <f>'2022'!AQ270</f>
        <v>0</v>
      </c>
      <c r="AN34" s="106">
        <f>'2022'!AR270</f>
      </c>
      <c r="AO34" s="119">
        <f>'2022'!AS270</f>
      </c>
      <c r="AP34" s="119">
        <f>'2022'!AT270</f>
        <v>0</v>
      </c>
      <c r="AQ34" s="106">
        <f>'2022'!AU270</f>
        <v>0</v>
      </c>
      <c r="AR34" s="106">
        <f>'2022'!AV270</f>
      </c>
      <c r="AS34" s="119">
        <f>'2022'!AW270</f>
      </c>
      <c r="AT34" s="119">
        <f>'2022'!AX270</f>
        <v>0</v>
      </c>
      <c r="AU34" s="106">
        <f>'2022'!AY270</f>
        <v>0</v>
      </c>
      <c r="AV34" s="106">
        <f>'2022'!AZ270</f>
      </c>
      <c r="AW34" s="106"/>
      <c r="AX34" s="106">
        <f t="shared" si="0"/>
        <v>0</v>
      </c>
      <c r="AY34" s="119">
        <f>'2022'!BA270</f>
      </c>
      <c r="AZ34" s="119">
        <f>'2022'!BB270</f>
      </c>
      <c r="BA34" s="106">
        <f>'2022'!BC270</f>
        <v>0</v>
      </c>
      <c r="BB34" s="106">
        <f>'2022'!BD270</f>
      </c>
      <c r="BC34" s="106"/>
      <c r="BD34" s="106">
        <f t="shared" si="1"/>
        <v>0</v>
      </c>
      <c r="BE34" s="119">
        <f>'2022'!BE270</f>
        <v>0</v>
      </c>
      <c r="BF34" s="106">
        <f>'2022'!BF270</f>
        <v>0</v>
      </c>
      <c r="BG34" s="106">
        <f>'2022'!BG270</f>
        <v>0</v>
      </c>
      <c r="BH34" s="106">
        <f>'2022'!BH270</f>
        <v>0</v>
      </c>
      <c r="BI34" s="106">
        <f t="shared" si="2"/>
        <v>0</v>
      </c>
      <c r="BJ34" s="338">
        <f t="shared" si="3"/>
        <v>0</v>
      </c>
    </row>
    <row r="35" ht="15" customHeight="1" spans="1:62" x14ac:dyDescent="0.25">
      <c r="A35" s="14"/>
      <c r="B35" s="15">
        <v>31</v>
      </c>
      <c r="C35" s="116">
        <v>4</v>
      </c>
      <c r="D35" s="117" t="s">
        <v>149</v>
      </c>
      <c r="E35" s="119">
        <f>'2022'!I279</f>
        <v>5</v>
      </c>
      <c r="F35" s="119">
        <f>'2022'!J279</f>
        <v>0</v>
      </c>
      <c r="G35" s="106">
        <f>'2022'!K279</f>
        <v>0</v>
      </c>
      <c r="H35" s="106">
        <f>'2022'!L279</f>
      </c>
      <c r="I35" s="119">
        <f>'2022'!M279</f>
        <v>5</v>
      </c>
      <c r="J35" s="119">
        <f>'2022'!N279</f>
        <v>0</v>
      </c>
      <c r="K35" s="106">
        <f>'2022'!O279</f>
        <v>0</v>
      </c>
      <c r="L35" s="106">
        <f>'2022'!P279</f>
      </c>
      <c r="M35" s="119">
        <f>'2022'!Q279</f>
        <v>5</v>
      </c>
      <c r="N35" s="119">
        <f>'2022'!R279</f>
        <v>0</v>
      </c>
      <c r="O35" s="106">
        <f>'2022'!S279</f>
        <v>0</v>
      </c>
      <c r="P35" s="106">
        <f>'2022'!T279</f>
      </c>
      <c r="Q35" s="119">
        <f>'2022'!U279</f>
        <v>5</v>
      </c>
      <c r="R35" s="119">
        <f>'2022'!V279</f>
        <v>0</v>
      </c>
      <c r="S35" s="106">
        <f>'2022'!W279</f>
        <v>0</v>
      </c>
      <c r="T35" s="106">
        <f>'2022'!X279</f>
      </c>
      <c r="U35" s="119">
        <f>'2022'!Y279</f>
        <v>5</v>
      </c>
      <c r="V35" s="119">
        <f>'2022'!Z279</f>
        <v>0</v>
      </c>
      <c r="W35" s="106">
        <f>'2022'!AA279</f>
        <v>0</v>
      </c>
      <c r="X35" s="106">
        <f>'2022'!AB279</f>
      </c>
      <c r="Y35" s="119">
        <f>'2022'!AC279</f>
        <v>5</v>
      </c>
      <c r="Z35" s="119">
        <f>'2022'!AD279</f>
        <v>0</v>
      </c>
      <c r="AA35" s="106">
        <f>'2022'!AE279</f>
        <v>0</v>
      </c>
      <c r="AB35" s="106">
        <f>'2022'!AF279</f>
      </c>
      <c r="AC35" s="119">
        <f>'2022'!AG279</f>
        <v>5</v>
      </c>
      <c r="AD35" s="106">
        <f>'2022'!AH279</f>
        <v>0</v>
      </c>
      <c r="AE35" s="106">
        <f>'2022'!AI279</f>
        <v>0</v>
      </c>
      <c r="AF35" s="106">
        <f>'2022'!AJ279</f>
      </c>
      <c r="AG35" s="119">
        <f>'2022'!AK279</f>
        <v>5</v>
      </c>
      <c r="AH35" s="119">
        <f>'2022'!AL279</f>
        <v>0</v>
      </c>
      <c r="AI35" s="106">
        <f>'2022'!AM279</f>
        <v>0</v>
      </c>
      <c r="AJ35" s="106">
        <f>'2022'!AN279</f>
      </c>
      <c r="AK35" s="119">
        <f>'2022'!AO279</f>
        <v>5</v>
      </c>
      <c r="AL35" s="119">
        <f>'2022'!AP279</f>
        <v>0</v>
      </c>
      <c r="AM35" s="106">
        <f>'2022'!AQ279</f>
        <v>0</v>
      </c>
      <c r="AN35" s="106">
        <f>'2022'!AR279</f>
      </c>
      <c r="AO35" s="119">
        <f>'2022'!AS279</f>
        <v>5</v>
      </c>
      <c r="AP35" s="119">
        <f>'2022'!AT279</f>
        <v>0</v>
      </c>
      <c r="AQ35" s="106">
        <f>'2022'!AU279</f>
        <v>0</v>
      </c>
      <c r="AR35" s="106">
        <f>'2022'!AV279</f>
      </c>
      <c r="AS35" s="119">
        <f>'2022'!AW279</f>
      </c>
      <c r="AT35" s="119">
        <f>'2022'!AX279</f>
        <v>0</v>
      </c>
      <c r="AU35" s="106">
        <f>'2022'!AY279</f>
        <v>0</v>
      </c>
      <c r="AV35" s="106">
        <f>'2022'!AZ279</f>
      </c>
      <c r="AW35" s="106"/>
      <c r="AX35" s="106">
        <f t="shared" si="0"/>
        <v>0</v>
      </c>
      <c r="AY35" s="119">
        <f>'2022'!BA279</f>
      </c>
      <c r="AZ35" s="119">
        <f>'2022'!BB279</f>
      </c>
      <c r="BA35" s="106">
        <f>'2022'!BC279</f>
        <v>0</v>
      </c>
      <c r="BB35" s="106">
        <f>'2022'!BD279</f>
      </c>
      <c r="BC35" s="106"/>
      <c r="BD35" s="106">
        <f t="shared" si="1"/>
        <v>0</v>
      </c>
      <c r="BE35" s="119">
        <f>'2022'!BE279</f>
        <v>0</v>
      </c>
      <c r="BF35" s="106">
        <f>'2022'!BF279</f>
        <v>0</v>
      </c>
      <c r="BG35" s="106">
        <f>'2022'!BG279</f>
        <v>0</v>
      </c>
      <c r="BH35" s="106">
        <f>'2022'!BH279</f>
        <v>0</v>
      </c>
      <c r="BI35" s="106">
        <f t="shared" si="2"/>
        <v>0</v>
      </c>
      <c r="BJ35" s="338">
        <f t="shared" si="3"/>
        <v>0</v>
      </c>
    </row>
    <row r="36" ht="15" customHeight="1" spans="1:62" x14ac:dyDescent="0.25">
      <c r="A36" s="14"/>
      <c r="B36" s="15">
        <v>32</v>
      </c>
      <c r="C36" s="115">
        <v>3.96</v>
      </c>
      <c r="D36" s="117" t="s">
        <v>152</v>
      </c>
      <c r="E36" s="119">
        <f>'2022'!I288</f>
        <v>1282</v>
      </c>
      <c r="F36" s="119">
        <f>'2022'!J288</f>
        <v>0</v>
      </c>
      <c r="G36" s="106">
        <f>'2022'!K288</f>
        <v>0</v>
      </c>
      <c r="H36" s="106">
        <f>'2022'!L288</f>
      </c>
      <c r="I36" s="119">
        <f>'2022'!M288</f>
        <v>1282</v>
      </c>
      <c r="J36" s="119">
        <f>'2022'!N288</f>
        <v>0</v>
      </c>
      <c r="K36" s="106">
        <f>'2022'!O288</f>
        <v>0</v>
      </c>
      <c r="L36" s="106">
        <f>'2022'!P288</f>
      </c>
      <c r="M36" s="119">
        <f>'2022'!Q288</f>
        <v>1282</v>
      </c>
      <c r="N36" s="119">
        <f>'2022'!R288</f>
        <v>0</v>
      </c>
      <c r="O36" s="106">
        <f>'2022'!S288</f>
        <v>0</v>
      </c>
      <c r="P36" s="106">
        <f>'2022'!T288</f>
      </c>
      <c r="Q36" s="119">
        <f>'2022'!U288</f>
        <v>1282</v>
      </c>
      <c r="R36" s="119">
        <f>'2022'!V288</f>
        <v>0</v>
      </c>
      <c r="S36" s="106">
        <f>'2022'!W288</f>
        <v>0</v>
      </c>
      <c r="T36" s="106">
        <f>'2022'!X288</f>
      </c>
      <c r="U36" s="119">
        <f>'2022'!Y288</f>
        <v>1328</v>
      </c>
      <c r="V36" s="119">
        <f>'2022'!Z288</f>
        <v>46</v>
      </c>
      <c r="W36" s="106">
        <f>'2022'!AA288</f>
        <v>124.2</v>
      </c>
      <c r="X36" s="106">
        <f>'2022'!AB288</f>
      </c>
      <c r="Y36" s="119">
        <f>'2022'!AC288</f>
        <v>1382</v>
      </c>
      <c r="Z36" s="119">
        <f>'2022'!AD288</f>
        <v>54</v>
      </c>
      <c r="AA36" s="106">
        <f>'2022'!AE288</f>
        <v>145.8</v>
      </c>
      <c r="AB36" s="106">
        <f>'2022'!AF288</f>
      </c>
      <c r="AC36" s="119">
        <f>'2022'!AG288</f>
        <v>1438</v>
      </c>
      <c r="AD36" s="106">
        <f>'2022'!AH288</f>
        <v>59.136</v>
      </c>
      <c r="AE36" s="106">
        <f>'2022'!AI288</f>
        <v>145.47456</v>
      </c>
      <c r="AF36" s="106">
        <f>'2022'!AJ288</f>
      </c>
      <c r="AG36" s="119">
        <f>'2022'!AK288</f>
        <v>1500</v>
      </c>
      <c r="AH36" s="119">
        <f>'2022'!AL288</f>
        <v>63.736</v>
      </c>
      <c r="AI36" s="106">
        <f>'2022'!AM288</f>
        <v>156.79056</v>
      </c>
      <c r="AJ36" s="106">
        <f>'2022'!AN288</f>
        <v>725.97</v>
      </c>
      <c r="AK36" s="119">
        <f>'2022'!AO288</f>
        <v>1556</v>
      </c>
      <c r="AL36" s="119">
        <f>'2022'!AP288</f>
        <v>57.848</v>
      </c>
      <c r="AM36" s="106">
        <f>'2022'!AQ288</f>
        <v>142.30608</v>
      </c>
      <c r="AN36" s="106">
        <f>'2022'!AR288</f>
      </c>
      <c r="AO36" s="119">
        <f>'2022'!AS288</f>
        <v>1604</v>
      </c>
      <c r="AP36" s="119">
        <f>'2022'!AT288</f>
        <v>50.4</v>
      </c>
      <c r="AQ36" s="106">
        <f>'2022'!AU288</f>
        <v>123.984</v>
      </c>
      <c r="AR36" s="106">
        <f>'2022'!AV288</f>
      </c>
      <c r="AS36" s="119">
        <f>'2022'!AW288</f>
      </c>
      <c r="AT36" s="119">
        <f>'2022'!AX288</f>
        <v>0</v>
      </c>
      <c r="AU36" s="106">
        <f>'2022'!AY288</f>
        <v>0</v>
      </c>
      <c r="AV36" s="106">
        <f>'2022'!AZ288</f>
      </c>
      <c r="AW36" s="106"/>
      <c r="AX36" s="106">
        <f t="shared" si="0"/>
        <v>0</v>
      </c>
      <c r="AY36" s="119">
        <f>'2022'!BA288</f>
      </c>
      <c r="AZ36" s="119">
        <f>'2022'!BB288</f>
      </c>
      <c r="BA36" s="106">
        <f>'2022'!BC288</f>
        <v>0</v>
      </c>
      <c r="BB36" s="106">
        <f>'2022'!BD288</f>
      </c>
      <c r="BC36" s="106"/>
      <c r="BD36" s="106">
        <f t="shared" si="1"/>
        <v>0</v>
      </c>
      <c r="BE36" s="119">
        <f>'2022'!BE288</f>
        <v>331.12</v>
      </c>
      <c r="BF36" s="106">
        <f>'2022'!BF288</f>
        <v>838.5552</v>
      </c>
      <c r="BG36" s="106">
        <f>'2022'!BG288</f>
        <v>725.97</v>
      </c>
      <c r="BH36" s="106">
        <f>'2022'!BH288</f>
        <v>423.0852</v>
      </c>
      <c r="BI36" s="106">
        <f t="shared" si="2"/>
        <v>0</v>
      </c>
      <c r="BJ36" s="338">
        <f t="shared" si="3"/>
        <v>423.0852</v>
      </c>
    </row>
    <row r="37" ht="15" customHeight="1" spans="1:62" x14ac:dyDescent="0.25">
      <c r="A37" s="14"/>
      <c r="B37" s="15">
        <v>33</v>
      </c>
      <c r="C37" s="115">
        <v>4.01</v>
      </c>
      <c r="D37" s="117" t="s">
        <v>154</v>
      </c>
      <c r="E37" s="119">
        <f>'2022'!I297</f>
        <v>33</v>
      </c>
      <c r="F37" s="119">
        <f>'2022'!J297</f>
        <v>0</v>
      </c>
      <c r="G37" s="106">
        <f>'2022'!K297</f>
        <v>0</v>
      </c>
      <c r="H37" s="106">
        <f>'2022'!L297</f>
      </c>
      <c r="I37" s="119">
        <f>'2022'!M297</f>
        <v>33</v>
      </c>
      <c r="J37" s="119">
        <f>'2022'!N297</f>
        <v>0</v>
      </c>
      <c r="K37" s="106">
        <f>'2022'!O297</f>
        <v>0</v>
      </c>
      <c r="L37" s="106">
        <f>'2022'!P297</f>
      </c>
      <c r="M37" s="119">
        <f>'2022'!Q297</f>
        <v>33</v>
      </c>
      <c r="N37" s="119">
        <f>'2022'!R297</f>
        <v>0</v>
      </c>
      <c r="O37" s="106">
        <f>'2022'!S297</f>
        <v>0</v>
      </c>
      <c r="P37" s="106">
        <f>'2022'!T297</f>
      </c>
      <c r="Q37" s="119">
        <f>'2022'!U297</f>
        <v>33</v>
      </c>
      <c r="R37" s="119">
        <f>'2022'!V297</f>
        <v>0</v>
      </c>
      <c r="S37" s="106">
        <f>'2022'!W297</f>
        <v>0</v>
      </c>
      <c r="T37" s="106">
        <f>'2022'!X297</f>
      </c>
      <c r="U37" s="119">
        <f>'2022'!Y297</f>
        <v>33</v>
      </c>
      <c r="V37" s="119">
        <f>'2022'!Z297</f>
        <v>0</v>
      </c>
      <c r="W37" s="106">
        <f>'2022'!AA297</f>
        <v>0</v>
      </c>
      <c r="X37" s="106">
        <f>'2022'!AB297</f>
      </c>
      <c r="Y37" s="119">
        <f>'2022'!AC297</f>
        <v>33</v>
      </c>
      <c r="Z37" s="119">
        <f>'2022'!AD297</f>
        <v>0</v>
      </c>
      <c r="AA37" s="106">
        <f>'2022'!AE297</f>
        <v>0</v>
      </c>
      <c r="AB37" s="106">
        <f>'2022'!AF297</f>
      </c>
      <c r="AC37" s="119">
        <f>'2022'!AG297</f>
        <v>33</v>
      </c>
      <c r="AD37" s="106">
        <f>'2022'!AH297</f>
        <v>0</v>
      </c>
      <c r="AE37" s="106">
        <f>'2022'!AI297</f>
        <v>0</v>
      </c>
      <c r="AF37" s="106">
        <f>'2022'!AJ297</f>
      </c>
      <c r="AG37" s="119">
        <f>'2022'!AK297</f>
        <v>33</v>
      </c>
      <c r="AH37" s="119">
        <f>'2022'!AL297</f>
        <v>0</v>
      </c>
      <c r="AI37" s="106">
        <f>'2022'!AM297</f>
        <v>0</v>
      </c>
      <c r="AJ37" s="106">
        <f>'2022'!AN297</f>
      </c>
      <c r="AK37" s="119">
        <f>'2022'!AO297</f>
        <v>33</v>
      </c>
      <c r="AL37" s="119">
        <f>'2022'!AP297</f>
        <v>0</v>
      </c>
      <c r="AM37" s="106">
        <f>'2022'!AQ297</f>
        <v>0</v>
      </c>
      <c r="AN37" s="106">
        <f>'2022'!AR297</f>
      </c>
      <c r="AO37" s="119">
        <f>'2022'!AS297</f>
        <v>33</v>
      </c>
      <c r="AP37" s="119">
        <f>'2022'!AT297</f>
        <v>0</v>
      </c>
      <c r="AQ37" s="106">
        <f>'2022'!AU297</f>
        <v>0</v>
      </c>
      <c r="AR37" s="106">
        <f>'2022'!AV297</f>
      </c>
      <c r="AS37" s="119">
        <f>'2022'!AW297</f>
      </c>
      <c r="AT37" s="119">
        <f>'2022'!AX297</f>
        <v>0</v>
      </c>
      <c r="AU37" s="106">
        <f>'2022'!AY297</f>
        <v>0</v>
      </c>
      <c r="AV37" s="106">
        <f>'2022'!AZ297</f>
      </c>
      <c r="AW37" s="106"/>
      <c r="AX37" s="106">
        <f t="shared" si="0"/>
        <v>0</v>
      </c>
      <c r="AY37" s="119">
        <f>'2022'!BA297</f>
      </c>
      <c r="AZ37" s="119">
        <f>'2022'!BB297</f>
      </c>
      <c r="BA37" s="106">
        <f>'2022'!BC297</f>
        <v>0</v>
      </c>
      <c r="BB37" s="106">
        <f>'2022'!BD297</f>
      </c>
      <c r="BC37" s="106"/>
      <c r="BD37" s="106">
        <f t="shared" si="1"/>
        <v>0</v>
      </c>
      <c r="BE37" s="119">
        <f>'2022'!BE297</f>
        <v>0</v>
      </c>
      <c r="BF37" s="106">
        <f>'2022'!BF297</f>
        <v>0</v>
      </c>
      <c r="BG37" s="106">
        <f>'2022'!BG297</f>
        <v>0</v>
      </c>
      <c r="BH37" s="106">
        <f>'2022'!BH297</f>
        <v>0.341</v>
      </c>
      <c r="BI37" s="106">
        <f t="shared" si="2"/>
        <v>0</v>
      </c>
      <c r="BJ37" s="338">
        <f t="shared" si="3"/>
        <v>0.341</v>
      </c>
    </row>
    <row r="38" ht="15" customHeight="1" spans="1:62" x14ac:dyDescent="0.25">
      <c r="A38" s="14"/>
      <c r="B38" s="15">
        <v>34</v>
      </c>
      <c r="C38" s="115">
        <v>4.01</v>
      </c>
      <c r="D38" s="117" t="s">
        <v>155</v>
      </c>
      <c r="E38" s="119">
        <f>'2022'!I306</f>
        <v>5082</v>
      </c>
      <c r="F38" s="119">
        <f>'2022'!J306</f>
        <v>0</v>
      </c>
      <c r="G38" s="106">
        <f>'2022'!K306</f>
        <v>0</v>
      </c>
      <c r="H38" s="106">
        <f>'2022'!L306</f>
      </c>
      <c r="I38" s="119">
        <f>'2022'!M306</f>
        <v>5082</v>
      </c>
      <c r="J38" s="119">
        <f>'2022'!N306</f>
        <v>0</v>
      </c>
      <c r="K38" s="106">
        <f>'2022'!O306</f>
        <v>0</v>
      </c>
      <c r="L38" s="106">
        <f>'2022'!P306</f>
      </c>
      <c r="M38" s="119">
        <f>'2022'!Q306</f>
        <v>5082</v>
      </c>
      <c r="N38" s="119">
        <f>'2022'!R306</f>
        <v>0</v>
      </c>
      <c r="O38" s="106">
        <f>'2022'!S306</f>
        <v>0</v>
      </c>
      <c r="P38" s="106">
        <f>'2022'!T306</f>
      </c>
      <c r="Q38" s="119">
        <f>'2022'!U306</f>
        <v>5082</v>
      </c>
      <c r="R38" s="119">
        <f>'2022'!V306</f>
        <v>0</v>
      </c>
      <c r="S38" s="106">
        <f>'2022'!W306</f>
        <v>0</v>
      </c>
      <c r="T38" s="106">
        <f>'2022'!X306</f>
        <v>3333.1</v>
      </c>
      <c r="U38" s="119">
        <f>'2022'!Y306</f>
        <v>5127</v>
      </c>
      <c r="V38" s="119">
        <f>'2022'!Z306</f>
        <v>45</v>
      </c>
      <c r="W38" s="106">
        <f>'2022'!AA306</f>
        <v>121.5</v>
      </c>
      <c r="X38" s="106">
        <f>'2022'!AB306</f>
        <v>300</v>
      </c>
      <c r="Y38" s="119">
        <f>'2022'!AC306</f>
        <v>5684</v>
      </c>
      <c r="Z38" s="119">
        <f>'2022'!AD306</f>
        <v>557</v>
      </c>
      <c r="AA38" s="106">
        <f>'2022'!AE306</f>
        <v>1503.9</v>
      </c>
      <c r="AB38" s="106">
        <f>'2022'!AF306</f>
      </c>
      <c r="AC38" s="119">
        <f>'2022'!AG306</f>
        <v>6277</v>
      </c>
      <c r="AD38" s="106">
        <f>'2022'!AH306</f>
        <v>626.208</v>
      </c>
      <c r="AE38" s="106">
        <f>'2022'!AI306</f>
        <v>1540.47168</v>
      </c>
      <c r="AF38" s="106">
        <f>'2022'!AJ306</f>
        <v>1325.4</v>
      </c>
      <c r="AG38" s="119">
        <f>'2022'!AK306</f>
        <v>6635</v>
      </c>
      <c r="AH38" s="119">
        <f>'2022'!AL306</f>
        <v>368.024</v>
      </c>
      <c r="AI38" s="106">
        <f>'2022'!AM306</f>
        <v>905.33904</v>
      </c>
      <c r="AJ38" s="106">
        <f>'2022'!AN306</f>
      </c>
      <c r="AK38" s="119">
        <f>'2022'!AO306</f>
        <v>6642</v>
      </c>
      <c r="AL38" s="119">
        <f>'2022'!AP306</f>
        <v>7.231</v>
      </c>
      <c r="AM38" s="106">
        <f>'2022'!AQ306</f>
        <v>17.78826</v>
      </c>
      <c r="AN38" s="106">
        <f>'2022'!AR306</f>
      </c>
      <c r="AO38" s="119">
        <f>'2022'!AS306</f>
        <v>6642</v>
      </c>
      <c r="AP38" s="119">
        <f>'2022'!AT306</f>
        <v>0</v>
      </c>
      <c r="AQ38" s="106">
        <f>'2022'!AU306</f>
        <v>0</v>
      </c>
      <c r="AR38" s="106">
        <f>'2022'!AV306</f>
      </c>
      <c r="AS38" s="119">
        <f>'2022'!AW306</f>
      </c>
      <c r="AT38" s="119">
        <f>'2022'!AX306</f>
        <v>0</v>
      </c>
      <c r="AU38" s="106">
        <f>'2022'!AY306</f>
        <v>0</v>
      </c>
      <c r="AV38" s="106">
        <f>'2022'!AZ306</f>
      </c>
      <c r="AW38" s="106"/>
      <c r="AX38" s="106">
        <f t="shared" si="0"/>
        <v>0</v>
      </c>
      <c r="AY38" s="119">
        <f>'2022'!BA306</f>
      </c>
      <c r="AZ38" s="119">
        <f>'2022'!BB306</f>
      </c>
      <c r="BA38" s="106">
        <f>'2022'!BC306</f>
        <v>0</v>
      </c>
      <c r="BB38" s="106">
        <f>'2022'!BD306</f>
      </c>
      <c r="BC38" s="106"/>
      <c r="BD38" s="106">
        <f t="shared" si="1"/>
        <v>0</v>
      </c>
      <c r="BE38" s="119">
        <f>'2022'!BE306</f>
        <v>1603.463</v>
      </c>
      <c r="BF38" s="106">
        <f>'2022'!BF306</f>
        <v>4088.99898</v>
      </c>
      <c r="BG38" s="106">
        <f>'2022'!BG306</f>
        <v>4958.5</v>
      </c>
      <c r="BH38" s="106">
        <f>'2022'!BH306</f>
        <v>2463.59898</v>
      </c>
      <c r="BI38" s="106">
        <f t="shared" si="2"/>
        <v>0</v>
      </c>
      <c r="BJ38" s="338">
        <f t="shared" si="3"/>
        <v>2463.59898</v>
      </c>
    </row>
    <row r="39" ht="15" customHeight="1" spans="1:62" x14ac:dyDescent="0.25">
      <c r="A39" s="14"/>
      <c r="B39" s="15">
        <v>35</v>
      </c>
      <c r="C39" s="115">
        <v>4.01</v>
      </c>
      <c r="D39" s="117" t="s">
        <v>157</v>
      </c>
      <c r="E39" s="119">
        <f>'2022'!I315</f>
        <v>33</v>
      </c>
      <c r="F39" s="119">
        <f>'2022'!J315</f>
        <v>0</v>
      </c>
      <c r="G39" s="106">
        <f>'2022'!K315</f>
        <v>0</v>
      </c>
      <c r="H39" s="106">
        <f>'2022'!L315</f>
      </c>
      <c r="I39" s="119">
        <f>'2022'!M315</f>
        <v>33</v>
      </c>
      <c r="J39" s="119">
        <f>'2022'!N315</f>
        <v>0</v>
      </c>
      <c r="K39" s="106">
        <f>'2022'!O315</f>
        <v>0</v>
      </c>
      <c r="L39" s="106">
        <f>'2022'!P315</f>
      </c>
      <c r="M39" s="119">
        <f>'2022'!Q315</f>
        <v>33</v>
      </c>
      <c r="N39" s="119">
        <f>'2022'!R315</f>
        <v>0</v>
      </c>
      <c r="O39" s="106">
        <f>'2022'!S315</f>
        <v>0</v>
      </c>
      <c r="P39" s="106">
        <f>'2022'!T315</f>
      </c>
      <c r="Q39" s="119">
        <f>'2022'!U315</f>
        <v>33</v>
      </c>
      <c r="R39" s="119">
        <f>'2022'!V315</f>
        <v>0</v>
      </c>
      <c r="S39" s="106">
        <f>'2022'!W315</f>
        <v>0</v>
      </c>
      <c r="T39" s="106">
        <f>'2022'!X315</f>
      </c>
      <c r="U39" s="119">
        <f>'2022'!Y315</f>
        <v>33</v>
      </c>
      <c r="V39" s="119">
        <f>'2022'!Z315</f>
        <v>0</v>
      </c>
      <c r="W39" s="106">
        <f>'2022'!AA315</f>
        <v>0</v>
      </c>
      <c r="X39" s="106">
        <f>'2022'!AB315</f>
      </c>
      <c r="Y39" s="119">
        <f>'2022'!AC315</f>
        <v>33</v>
      </c>
      <c r="Z39" s="119">
        <f>'2022'!AD315</f>
        <v>0</v>
      </c>
      <c r="AA39" s="106">
        <f>'2022'!AE315</f>
        <v>0</v>
      </c>
      <c r="AB39" s="106">
        <f>'2022'!AF315</f>
      </c>
      <c r="AC39" s="119">
        <f>'2022'!AG315</f>
        <v>33</v>
      </c>
      <c r="AD39" s="106">
        <f>'2022'!AH315</f>
        <v>0</v>
      </c>
      <c r="AE39" s="106">
        <f>'2022'!AI315</f>
        <v>0</v>
      </c>
      <c r="AF39" s="106">
        <f>'2022'!AJ315</f>
      </c>
      <c r="AG39" s="119">
        <f>'2022'!AK315</f>
        <v>33</v>
      </c>
      <c r="AH39" s="119">
        <f>'2022'!AL315</f>
        <v>0</v>
      </c>
      <c r="AI39" s="106">
        <f>'2022'!AM315</f>
        <v>0</v>
      </c>
      <c r="AJ39" s="106">
        <f>'2022'!AN315</f>
      </c>
      <c r="AK39" s="119">
        <f>'2022'!AO315</f>
        <v>33</v>
      </c>
      <c r="AL39" s="119">
        <f>'2022'!AP315</f>
        <v>0</v>
      </c>
      <c r="AM39" s="106">
        <f>'2022'!AQ315</f>
        <v>0</v>
      </c>
      <c r="AN39" s="106">
        <f>'2022'!AR315</f>
      </c>
      <c r="AO39" s="119">
        <f>'2022'!AS315</f>
        <v>33</v>
      </c>
      <c r="AP39" s="119">
        <f>'2022'!AT315</f>
        <v>0</v>
      </c>
      <c r="AQ39" s="106">
        <f>'2022'!AU315</f>
        <v>0</v>
      </c>
      <c r="AR39" s="106">
        <f>'2022'!AV315</f>
      </c>
      <c r="AS39" s="119">
        <f>'2022'!AW315</f>
      </c>
      <c r="AT39" s="119">
        <f>'2022'!AX315</f>
        <v>0</v>
      </c>
      <c r="AU39" s="106">
        <f>'2022'!AY315</f>
        <v>0</v>
      </c>
      <c r="AV39" s="106">
        <f>'2022'!AZ315</f>
      </c>
      <c r="AW39" s="106"/>
      <c r="AX39" s="106">
        <f t="shared" si="0"/>
        <v>0</v>
      </c>
      <c r="AY39" s="119">
        <f>'2022'!BA315</f>
      </c>
      <c r="AZ39" s="119">
        <f>'2022'!BB315</f>
      </c>
      <c r="BA39" s="106">
        <f>'2022'!BC315</f>
        <v>0</v>
      </c>
      <c r="BB39" s="106">
        <f>'2022'!BD315</f>
      </c>
      <c r="BC39" s="106"/>
      <c r="BD39" s="106">
        <f t="shared" si="1"/>
        <v>0</v>
      </c>
      <c r="BE39" s="119">
        <f>'2022'!BE315</f>
        <v>0</v>
      </c>
      <c r="BF39" s="106">
        <f>'2022'!BF315</f>
        <v>0</v>
      </c>
      <c r="BG39" s="106">
        <f>'2022'!BG315</f>
        <v>0</v>
      </c>
      <c r="BH39" s="106">
        <f>'2022'!BH315</f>
        <v>0</v>
      </c>
      <c r="BI39" s="106">
        <f t="shared" si="2"/>
        <v>0</v>
      </c>
      <c r="BJ39" s="338">
        <f t="shared" si="3"/>
        <v>0</v>
      </c>
    </row>
    <row r="40" ht="15" customHeight="1" spans="1:62" x14ac:dyDescent="0.25">
      <c r="A40" s="14"/>
      <c r="B40" s="15">
        <v>36</v>
      </c>
      <c r="C40" s="115">
        <v>4.03</v>
      </c>
      <c r="D40" s="117" t="s">
        <v>160</v>
      </c>
      <c r="E40" s="119">
        <f>'2022'!I324</f>
        <v>622</v>
      </c>
      <c r="F40" s="119">
        <f>'2022'!J324</f>
        <v>0</v>
      </c>
      <c r="G40" s="106">
        <f>'2022'!K324</f>
        <v>0</v>
      </c>
      <c r="H40" s="106">
        <f>'2022'!L324</f>
      </c>
      <c r="I40" s="119">
        <f>'2022'!M324</f>
        <v>622</v>
      </c>
      <c r="J40" s="119">
        <f>'2022'!N324</f>
        <v>0</v>
      </c>
      <c r="K40" s="106">
        <f>'2022'!O324</f>
        <v>0</v>
      </c>
      <c r="L40" s="106">
        <f>'2022'!P324</f>
      </c>
      <c r="M40" s="119">
        <f>'2022'!Q324</f>
        <v>622</v>
      </c>
      <c r="N40" s="119">
        <f>'2022'!R324</f>
        <v>0</v>
      </c>
      <c r="O40" s="106">
        <f>'2022'!S324</f>
        <v>0</v>
      </c>
      <c r="P40" s="106">
        <f>'2022'!T324</f>
      </c>
      <c r="Q40" s="119">
        <f>'2022'!U324</f>
        <v>622</v>
      </c>
      <c r="R40" s="119">
        <f>'2022'!V324</f>
        <v>0</v>
      </c>
      <c r="S40" s="106">
        <f>'2022'!W324</f>
        <v>0</v>
      </c>
      <c r="T40" s="106">
        <f>'2022'!X324</f>
      </c>
      <c r="U40" s="119">
        <f>'2022'!Y324</f>
        <v>631</v>
      </c>
      <c r="V40" s="119">
        <f>'2022'!Z324</f>
        <v>9</v>
      </c>
      <c r="W40" s="106">
        <f>'2022'!AA324</f>
        <v>24.3</v>
      </c>
      <c r="X40" s="106">
        <f>'2022'!AB324</f>
        <v>500</v>
      </c>
      <c r="Y40" s="119">
        <f>'2022'!AC324</f>
        <v>639</v>
      </c>
      <c r="Z40" s="119">
        <f>'2022'!AD324</f>
        <v>8</v>
      </c>
      <c r="AA40" s="106">
        <f>'2022'!AE324</f>
        <v>21.6</v>
      </c>
      <c r="AB40" s="106">
        <f>'2022'!AF324</f>
      </c>
      <c r="AC40" s="119">
        <f>'2022'!AG324</f>
        <v>643</v>
      </c>
      <c r="AD40" s="106">
        <f>'2022'!AH324</f>
        <v>4.224</v>
      </c>
      <c r="AE40" s="106">
        <f>'2022'!AI324</f>
        <v>10.39104</v>
      </c>
      <c r="AF40" s="106">
        <f>'2022'!AJ324</f>
      </c>
      <c r="AG40" s="119">
        <f>'2022'!AK324</f>
        <v>645</v>
      </c>
      <c r="AH40" s="119">
        <f>'2022'!AL324</f>
        <v>2.056</v>
      </c>
      <c r="AI40" s="106">
        <f>'2022'!AM324</f>
        <v>5.05776</v>
      </c>
      <c r="AJ40" s="106">
        <f>'2022'!AN324</f>
      </c>
      <c r="AK40" s="119">
        <f>'2022'!AO324</f>
        <v>646</v>
      </c>
      <c r="AL40" s="119">
        <f>'2022'!AP324</f>
        <v>1.033</v>
      </c>
      <c r="AM40" s="106">
        <f>'2022'!AQ324</f>
        <v>2.54118</v>
      </c>
      <c r="AN40" s="106">
        <f>'2022'!AR324</f>
      </c>
      <c r="AO40" s="119">
        <f>'2022'!AS324</f>
        <v>652</v>
      </c>
      <c r="AP40" s="119">
        <f>'2022'!AT324</f>
        <v>6.3</v>
      </c>
      <c r="AQ40" s="106">
        <f>'2022'!AU324</f>
        <v>15.498</v>
      </c>
      <c r="AR40" s="106">
        <f>'2022'!AV324</f>
      </c>
      <c r="AS40" s="119">
        <f>'2022'!AW324</f>
      </c>
      <c r="AT40" s="119">
        <f>'2022'!AX324</f>
        <v>0</v>
      </c>
      <c r="AU40" s="106">
        <f>'2022'!AY324</f>
        <v>0</v>
      </c>
      <c r="AV40" s="106">
        <f>'2022'!AZ324</f>
      </c>
      <c r="AW40" s="106"/>
      <c r="AX40" s="106">
        <f t="shared" si="0"/>
        <v>0</v>
      </c>
      <c r="AY40" s="119">
        <f>'2022'!BA324</f>
      </c>
      <c r="AZ40" s="119">
        <f>'2022'!BB324</f>
      </c>
      <c r="BA40" s="106">
        <f>'2022'!BC324</f>
        <v>0</v>
      </c>
      <c r="BB40" s="106">
        <f>'2022'!BD324</f>
      </c>
      <c r="BC40" s="106"/>
      <c r="BD40" s="106">
        <f t="shared" si="1"/>
        <v>0</v>
      </c>
      <c r="BE40" s="119">
        <f>'2022'!BE324</f>
        <v>30.613</v>
      </c>
      <c r="BF40" s="106">
        <f>'2022'!BF324</f>
        <v>79.38798</v>
      </c>
      <c r="BG40" s="106">
        <f>'2022'!BG324</f>
        <v>500</v>
      </c>
      <c r="BH40" s="106">
        <f>'2022'!BH324</f>
        <v>-75.01202</v>
      </c>
      <c r="BI40" s="106">
        <f t="shared" si="2"/>
        <v>0</v>
      </c>
      <c r="BJ40" s="338">
        <f t="shared" si="3"/>
        <v>-75.01202</v>
      </c>
    </row>
    <row r="41" ht="15" customHeight="1" spans="1:62" x14ac:dyDescent="0.25">
      <c r="A41" s="14"/>
      <c r="B41" s="15">
        <v>37</v>
      </c>
      <c r="C41" s="115">
        <v>4.06</v>
      </c>
      <c r="D41" s="117" t="s">
        <v>162</v>
      </c>
      <c r="E41" s="119">
        <f>'2022'!I333</f>
      </c>
      <c r="F41" s="119">
        <f>'2022'!J333</f>
        <v>0</v>
      </c>
      <c r="G41" s="106">
        <f>'2022'!K333</f>
        <v>0</v>
      </c>
      <c r="H41" s="106">
        <f>'2022'!L333</f>
      </c>
      <c r="I41" s="119">
        <f>'2022'!M333</f>
      </c>
      <c r="J41" s="119">
        <f>'2022'!N333</f>
        <v>0</v>
      </c>
      <c r="K41" s="106">
        <f>'2022'!O333</f>
        <v>0</v>
      </c>
      <c r="L41" s="106">
        <f>'2022'!P333</f>
      </c>
      <c r="M41" s="119">
        <f>'2022'!Q333</f>
      </c>
      <c r="N41" s="119">
        <f>'2022'!R333</f>
        <v>0</v>
      </c>
      <c r="O41" s="106">
        <f>'2022'!S333</f>
        <v>0</v>
      </c>
      <c r="P41" s="106">
        <f>'2022'!T333</f>
      </c>
      <c r="Q41" s="119">
        <f>'2022'!U333</f>
      </c>
      <c r="R41" s="119">
        <f>'2022'!V333</f>
        <v>0</v>
      </c>
      <c r="S41" s="106">
        <f>'2022'!W333</f>
        <v>0</v>
      </c>
      <c r="T41" s="106">
        <f>'2022'!X333</f>
      </c>
      <c r="U41" s="119">
        <f>'2022'!Y333</f>
      </c>
      <c r="V41" s="119">
        <f>'2022'!Z333</f>
        <v>0</v>
      </c>
      <c r="W41" s="106">
        <f>'2022'!AA333</f>
        <v>0</v>
      </c>
      <c r="X41" s="106">
        <f>'2022'!AB333</f>
      </c>
      <c r="Y41" s="119">
        <f>'2022'!AC333</f>
      </c>
      <c r="Z41" s="119">
        <f>'2022'!AD333</f>
        <v>0</v>
      </c>
      <c r="AA41" s="106">
        <f>'2022'!AE333</f>
        <v>0</v>
      </c>
      <c r="AB41" s="106">
        <f>'2022'!AF333</f>
      </c>
      <c r="AC41" s="119">
        <f>'2022'!AG333</f>
      </c>
      <c r="AD41" s="106">
        <f>'2022'!AH333</f>
        <v>0</v>
      </c>
      <c r="AE41" s="106">
        <f>'2022'!AI333</f>
        <v>0</v>
      </c>
      <c r="AF41" s="106">
        <f>'2022'!AJ333</f>
      </c>
      <c r="AG41" s="119">
        <f>'2022'!AK333</f>
      </c>
      <c r="AH41" s="119">
        <f>'2022'!AL333</f>
        <v>0</v>
      </c>
      <c r="AI41" s="106">
        <f>'2022'!AM333</f>
        <v>0</v>
      </c>
      <c r="AJ41" s="106">
        <f>'2022'!AN333</f>
      </c>
      <c r="AK41" s="119">
        <f>'2022'!AO333</f>
      </c>
      <c r="AL41" s="119">
        <f>'2022'!AP333</f>
        <v>0</v>
      </c>
      <c r="AM41" s="106">
        <f>'2022'!AQ333</f>
        <v>0</v>
      </c>
      <c r="AN41" s="106">
        <f>'2022'!AR333</f>
      </c>
      <c r="AO41" s="119">
        <f>'2022'!AS333</f>
      </c>
      <c r="AP41" s="119">
        <f>'2022'!AT333</f>
        <v>0</v>
      </c>
      <c r="AQ41" s="106">
        <f>'2022'!AU333</f>
        <v>0</v>
      </c>
      <c r="AR41" s="106">
        <f>'2022'!AV333</f>
      </c>
      <c r="AS41" s="119">
        <f>'2022'!AW333</f>
      </c>
      <c r="AT41" s="119">
        <f>'2022'!AX333</f>
        <v>0</v>
      </c>
      <c r="AU41" s="106">
        <f>'2022'!AY333</f>
        <v>0</v>
      </c>
      <c r="AV41" s="106">
        <f>'2022'!AZ333</f>
      </c>
      <c r="AW41" s="106"/>
      <c r="AX41" s="106">
        <f t="shared" si="0"/>
        <v>0</v>
      </c>
      <c r="AY41" s="119">
        <f>'2022'!BA333</f>
      </c>
      <c r="AZ41" s="119">
        <f>'2022'!BB333</f>
      </c>
      <c r="BA41" s="106">
        <f>'2022'!BC333</f>
        <v>0</v>
      </c>
      <c r="BB41" s="106">
        <f>'2022'!BD333</f>
      </c>
      <c r="BC41" s="106"/>
      <c r="BD41" s="106">
        <f t="shared" si="1"/>
        <v>0</v>
      </c>
      <c r="BE41" s="119">
        <f>'2022'!BE333</f>
        <v>0</v>
      </c>
      <c r="BF41" s="106">
        <f>'2022'!BF333</f>
        <v>0</v>
      </c>
      <c r="BG41" s="106">
        <f>'2022'!BG333</f>
        <v>0</v>
      </c>
      <c r="BH41" s="106">
        <f>'2022'!BH333</f>
        <v>0</v>
      </c>
      <c r="BI41" s="106">
        <f t="shared" si="2"/>
        <v>0</v>
      </c>
      <c r="BJ41" s="338">
        <f t="shared" si="3"/>
        <v>0</v>
      </c>
    </row>
    <row r="42" ht="15" customHeight="1" spans="1:62" x14ac:dyDescent="0.25">
      <c r="A42" s="14"/>
      <c r="B42" s="15">
        <v>38</v>
      </c>
      <c r="C42" s="115">
        <v>4.34</v>
      </c>
      <c r="D42" s="117" t="s">
        <v>167</v>
      </c>
      <c r="E42" s="119">
        <f>'2022'!I342</f>
        <v>19</v>
      </c>
      <c r="F42" s="119">
        <f>'2022'!J342</f>
        <v>0</v>
      </c>
      <c r="G42" s="106">
        <f>'2022'!K342</f>
        <v>0</v>
      </c>
      <c r="H42" s="106">
        <f>'2022'!L342</f>
      </c>
      <c r="I42" s="119">
        <f>'2022'!M342</f>
        <v>19</v>
      </c>
      <c r="J42" s="119">
        <f>'2022'!N342</f>
        <v>0</v>
      </c>
      <c r="K42" s="106">
        <f>'2022'!O342</f>
        <v>0</v>
      </c>
      <c r="L42" s="106">
        <f>'2022'!P342</f>
      </c>
      <c r="M42" s="119">
        <f>'2022'!Q342</f>
        <v>19</v>
      </c>
      <c r="N42" s="119">
        <f>'2022'!R342</f>
        <v>0</v>
      </c>
      <c r="O42" s="106">
        <f>'2022'!S342</f>
        <v>0</v>
      </c>
      <c r="P42" s="106">
        <f>'2022'!T342</f>
      </c>
      <c r="Q42" s="119">
        <f>'2022'!U342</f>
        <v>19</v>
      </c>
      <c r="R42" s="119">
        <f>'2022'!V342</f>
        <v>0</v>
      </c>
      <c r="S42" s="106">
        <f>'2022'!W342</f>
        <v>0</v>
      </c>
      <c r="T42" s="106">
        <f>'2022'!X342</f>
      </c>
      <c r="U42" s="119">
        <f>'2022'!Y342</f>
        <v>19</v>
      </c>
      <c r="V42" s="119">
        <f>'2022'!Z342</f>
        <v>0</v>
      </c>
      <c r="W42" s="106">
        <f>'2022'!AA342</f>
        <v>0</v>
      </c>
      <c r="X42" s="106">
        <f>'2022'!AB342</f>
      </c>
      <c r="Y42" s="119">
        <f>'2022'!AC342</f>
        <v>19</v>
      </c>
      <c r="Z42" s="119">
        <f>'2022'!AD342</f>
        <v>0</v>
      </c>
      <c r="AA42" s="106">
        <f>'2022'!AE342</f>
        <v>0</v>
      </c>
      <c r="AB42" s="106">
        <f>'2022'!AF342</f>
      </c>
      <c r="AC42" s="119">
        <f>'2022'!AG342</f>
        <v>19</v>
      </c>
      <c r="AD42" s="106">
        <f>'2022'!AH342</f>
        <v>0</v>
      </c>
      <c r="AE42" s="106">
        <f>'2022'!AI342</f>
        <v>0</v>
      </c>
      <c r="AF42" s="106">
        <f>'2022'!AJ342</f>
      </c>
      <c r="AG42" s="119">
        <f>'2022'!AK342</f>
        <v>19</v>
      </c>
      <c r="AH42" s="119">
        <f>'2022'!AL342</f>
        <v>0</v>
      </c>
      <c r="AI42" s="106">
        <f>'2022'!AM342</f>
        <v>0</v>
      </c>
      <c r="AJ42" s="106">
        <f>'2022'!AN342</f>
      </c>
      <c r="AK42" s="119">
        <f>'2022'!AO342</f>
        <v>19</v>
      </c>
      <c r="AL42" s="119">
        <f>'2022'!AP342</f>
        <v>0</v>
      </c>
      <c r="AM42" s="106">
        <f>'2022'!AQ342</f>
        <v>0</v>
      </c>
      <c r="AN42" s="106">
        <f>'2022'!AR342</f>
      </c>
      <c r="AO42" s="119">
        <f>'2022'!AS342</f>
        <v>19</v>
      </c>
      <c r="AP42" s="119">
        <f>'2022'!AT342</f>
        <v>0</v>
      </c>
      <c r="AQ42" s="106">
        <f>'2022'!AU342</f>
        <v>0</v>
      </c>
      <c r="AR42" s="106">
        <f>'2022'!AV342</f>
      </c>
      <c r="AS42" s="119">
        <f>'2022'!AW342</f>
      </c>
      <c r="AT42" s="119">
        <f>'2022'!AX342</f>
        <v>0</v>
      </c>
      <c r="AU42" s="106">
        <f>'2022'!AY342</f>
        <v>0</v>
      </c>
      <c r="AV42" s="106">
        <f>'2022'!AZ342</f>
      </c>
      <c r="AW42" s="106"/>
      <c r="AX42" s="106">
        <f t="shared" si="0"/>
        <v>0</v>
      </c>
      <c r="AY42" s="119">
        <f>'2022'!BA342</f>
      </c>
      <c r="AZ42" s="119">
        <f>'2022'!BB342</f>
      </c>
      <c r="BA42" s="106">
        <f>'2022'!BC342</f>
        <v>0</v>
      </c>
      <c r="BB42" s="106">
        <f>'2022'!BD342</f>
      </c>
      <c r="BC42" s="106"/>
      <c r="BD42" s="106">
        <f t="shared" si="1"/>
        <v>0</v>
      </c>
      <c r="BE42" s="119">
        <f>'2022'!BE342</f>
        <v>0</v>
      </c>
      <c r="BF42" s="106">
        <f>'2022'!BF342</f>
        <v>0</v>
      </c>
      <c r="BG42" s="106">
        <f>'2022'!BG342</f>
        <v>0</v>
      </c>
      <c r="BH42" s="106">
        <f>'2022'!BH342</f>
        <v>0</v>
      </c>
      <c r="BI42" s="106">
        <f t="shared" si="2"/>
        <v>0</v>
      </c>
      <c r="BJ42" s="338">
        <f t="shared" si="3"/>
        <v>0</v>
      </c>
    </row>
    <row r="43" ht="15" customHeight="1" spans="1:62" x14ac:dyDescent="0.25">
      <c r="A43" s="21"/>
      <c r="B43" s="15">
        <v>39</v>
      </c>
      <c r="C43" s="116">
        <v>4</v>
      </c>
      <c r="D43" s="2" t="s">
        <v>402</v>
      </c>
      <c r="E43" s="119">
        <f>'2022'!I351</f>
        <v>1170</v>
      </c>
      <c r="F43" s="119">
        <f>'2022'!J351</f>
        <v>77</v>
      </c>
      <c r="G43" s="106">
        <f>'2022'!K351</f>
        <v>207.9</v>
      </c>
      <c r="H43" s="106">
        <f>'2022'!L351</f>
      </c>
      <c r="I43" s="119">
        <f>'2022'!M351</f>
        <v>1170</v>
      </c>
      <c r="J43" s="119">
        <f>'2022'!N351</f>
        <v>0</v>
      </c>
      <c r="K43" s="106">
        <f>'2022'!O351</f>
        <v>0</v>
      </c>
      <c r="L43" s="106">
        <f>'2022'!P351</f>
      </c>
      <c r="M43" s="119">
        <f>'2022'!Q351</f>
        <v>1170</v>
      </c>
      <c r="N43" s="119">
        <f>'2022'!R351</f>
        <v>0</v>
      </c>
      <c r="O43" s="106">
        <f>'2022'!S351</f>
        <v>0</v>
      </c>
      <c r="P43" s="106">
        <f>'2022'!T351</f>
      </c>
      <c r="Q43" s="119">
        <f>'2022'!U351</f>
        <v>1170</v>
      </c>
      <c r="R43" s="119">
        <f>'2022'!V351</f>
        <v>0</v>
      </c>
      <c r="S43" s="106">
        <f>'2022'!W351</f>
        <v>0</v>
      </c>
      <c r="T43" s="106">
        <f>'2022'!X351</f>
      </c>
      <c r="U43" s="119">
        <f>'2022'!Y351</f>
        <v>1838</v>
      </c>
      <c r="V43" s="119">
        <f>'2022'!Z351</f>
        <v>668</v>
      </c>
      <c r="W43" s="106">
        <f>'2022'!AA351</f>
        <v>1803.6</v>
      </c>
      <c r="X43" s="106">
        <f>'2022'!AB351</f>
      </c>
      <c r="Y43" s="119">
        <f>'2022'!AC351</f>
        <v>2640</v>
      </c>
      <c r="Z43" s="119">
        <f>'2022'!AD351</f>
        <v>802</v>
      </c>
      <c r="AA43" s="106">
        <f>'2022'!AE351</f>
        <v>2165.4</v>
      </c>
      <c r="AB43" s="106">
        <f>'2022'!AF351</f>
      </c>
      <c r="AC43" s="119">
        <f>'2022'!AG351</f>
        <v>3391</v>
      </c>
      <c r="AD43" s="106">
        <f>'2022'!AH351</f>
        <v>793.056</v>
      </c>
      <c r="AE43" s="106">
        <f>'2022'!AI351</f>
        <v>1950.91776</v>
      </c>
      <c r="AF43" s="106">
        <f>'2022'!AJ351</f>
      </c>
      <c r="AG43" s="119">
        <f>'2022'!AK351</f>
        <v>4330</v>
      </c>
      <c r="AH43" s="119">
        <f>'2022'!AL351</f>
        <v>965.292</v>
      </c>
      <c r="AI43" s="106">
        <f>'2022'!AM351</f>
        <v>2374.61832</v>
      </c>
      <c r="AJ43" s="106">
        <f>'2022'!AN351</f>
        <v>5400</v>
      </c>
      <c r="AK43" s="119">
        <f>'2022'!AO351</f>
        <v>5544</v>
      </c>
      <c r="AL43" s="119">
        <f>'2022'!AP351</f>
        <v>1254.062</v>
      </c>
      <c r="AM43" s="106">
        <f>'2022'!AQ351</f>
        <v>3385.9674</v>
      </c>
      <c r="AN43" s="106">
        <f>'2022'!AR351</f>
      </c>
      <c r="AO43" s="119">
        <f>'2022'!AS351</f>
        <v>5718</v>
      </c>
      <c r="AP43" s="119">
        <f>'2022'!AT351</f>
        <v>182.7</v>
      </c>
      <c r="AQ43" s="106">
        <f>'2022'!AU351</f>
        <v>449.442</v>
      </c>
      <c r="AR43" s="106">
        <f>'2022'!AV351</f>
      </c>
      <c r="AS43" s="119">
        <f>'2022'!AW351</f>
      </c>
      <c r="AT43" s="119">
        <f>'2022'!AX351</f>
        <v>0</v>
      </c>
      <c r="AU43" s="106">
        <f>'2022'!AY351</f>
        <v>0</v>
      </c>
      <c r="AV43" s="106">
        <f>'2022'!AZ351</f>
      </c>
      <c r="AW43" s="106"/>
      <c r="AX43" s="106">
        <f t="shared" si="0"/>
        <v>0</v>
      </c>
      <c r="AY43" s="119">
        <f>'2022'!BA351</f>
      </c>
      <c r="AZ43" s="119">
        <f>'2022'!BB351</f>
      </c>
      <c r="BA43" s="106">
        <f>'2022'!BC351</f>
        <v>0</v>
      </c>
      <c r="BB43" s="106">
        <f>'2022'!BD351</f>
      </c>
      <c r="BC43" s="106"/>
      <c r="BD43" s="106">
        <f t="shared" si="1"/>
        <v>0</v>
      </c>
      <c r="BE43" s="119">
        <f>'2022'!BE351</f>
        <v>4742.11</v>
      </c>
      <c r="BF43" s="106">
        <f>'2022'!BF351</f>
        <v>12337.84548</v>
      </c>
      <c r="BG43" s="106">
        <f>'2022'!BG351</f>
        <v>5400</v>
      </c>
      <c r="BH43" s="106">
        <f>'2022'!BH351</f>
        <v>-3702.35452</v>
      </c>
      <c r="BI43" s="106">
        <f t="shared" si="2"/>
        <v>0</v>
      </c>
      <c r="BJ43" s="338">
        <f t="shared" si="3"/>
        <v>-3702.35452</v>
      </c>
    </row>
    <row r="44" ht="15" customHeight="1" spans="1:62" x14ac:dyDescent="0.25">
      <c r="A44" s="114" t="s">
        <v>173</v>
      </c>
      <c r="B44" s="15">
        <v>40</v>
      </c>
      <c r="C44" s="115">
        <v>4.92</v>
      </c>
      <c r="D44" s="117" t="s">
        <v>174</v>
      </c>
      <c r="E44" s="119">
        <f>'2022'!I360</f>
        <v>42357</v>
      </c>
      <c r="F44" s="119">
        <f>'2022'!J360</f>
        <v>1520</v>
      </c>
      <c r="G44" s="106">
        <f>'2022'!K360</f>
        <v>4104</v>
      </c>
      <c r="H44" s="106">
        <f>'2022'!L360</f>
        <v>4000</v>
      </c>
      <c r="I44" s="119">
        <f>'2022'!M360</f>
        <v>44356</v>
      </c>
      <c r="J44" s="119">
        <f>'2022'!N360</f>
        <v>1999</v>
      </c>
      <c r="K44" s="106">
        <f>'2022'!O360</f>
        <v>5397.3</v>
      </c>
      <c r="L44" s="106">
        <f>'2022'!P360</f>
        <v>3000</v>
      </c>
      <c r="M44" s="119">
        <f>'2022'!Q360</f>
        <v>45731</v>
      </c>
      <c r="N44" s="119">
        <f>'2022'!R360</f>
        <v>1375</v>
      </c>
      <c r="O44" s="106">
        <f>'2022'!S360</f>
        <v>3712.5</v>
      </c>
      <c r="P44" s="106">
        <f>'2022'!T360</f>
        <v>6000</v>
      </c>
      <c r="Q44" s="119">
        <f>'2022'!U360</f>
        <v>47122</v>
      </c>
      <c r="R44" s="119">
        <f>'2022'!V360</f>
        <v>1391</v>
      </c>
      <c r="S44" s="106">
        <f>'2022'!W360</f>
        <v>3755.7</v>
      </c>
      <c r="T44" s="106">
        <f>'2022'!X360</f>
        <v>2000</v>
      </c>
      <c r="U44" s="119">
        <f>'2022'!Y360</f>
        <v>47681</v>
      </c>
      <c r="V44" s="119">
        <f>'2022'!Z360</f>
        <v>559</v>
      </c>
      <c r="W44" s="106">
        <f>'2022'!AA360</f>
        <v>1509.3</v>
      </c>
      <c r="X44" s="106">
        <f>'2022'!AB360</f>
        <v>3000</v>
      </c>
      <c r="Y44" s="119">
        <f>'2022'!AC360</f>
        <v>48011</v>
      </c>
      <c r="Z44" s="119">
        <f>'2022'!AD360</f>
        <v>330</v>
      </c>
      <c r="AA44" s="106">
        <f>'2022'!AE360</f>
        <v>891</v>
      </c>
      <c r="AB44" s="106">
        <f>'2022'!AF360</f>
        <v>2000</v>
      </c>
      <c r="AC44" s="119">
        <f>'2022'!AG360</f>
        <v>48205</v>
      </c>
      <c r="AD44" s="106">
        <f>'2022'!AH360</f>
        <v>204.864</v>
      </c>
      <c r="AE44" s="106">
        <f>'2022'!AI360</f>
        <v>503.96544</v>
      </c>
      <c r="AF44" s="106">
        <f>'2022'!AJ360</f>
        <v>2872</v>
      </c>
      <c r="AG44" s="119">
        <f>'2022'!AK360</f>
        <v>48531</v>
      </c>
      <c r="AH44" s="119">
        <f>'2022'!AL360</f>
        <v>335.128</v>
      </c>
      <c r="AI44" s="106">
        <f>'2022'!AM360</f>
        <v>824.41488</v>
      </c>
      <c r="AJ44" s="106">
        <f>'2022'!AN360</f>
        <v>500</v>
      </c>
      <c r="AK44" s="119">
        <f>'2022'!AO360</f>
        <v>48912</v>
      </c>
      <c r="AL44" s="119">
        <f>'2022'!AP360</f>
        <v>393.573</v>
      </c>
      <c r="AM44" s="106">
        <f>'2022'!AQ360</f>
        <v>968.18958</v>
      </c>
      <c r="AN44" s="106">
        <f>'2022'!AR360</f>
        <v>830</v>
      </c>
      <c r="AO44" s="119">
        <f>'2022'!AS360</f>
        <v>49469</v>
      </c>
      <c r="AP44" s="119">
        <f>'2022'!AT360</f>
        <v>584.85</v>
      </c>
      <c r="AQ44" s="106">
        <f>'2022'!AU360</f>
        <v>1438.731</v>
      </c>
      <c r="AR44" s="106">
        <f>'2022'!AV360</f>
        <v>1000</v>
      </c>
      <c r="AS44" s="126">
        <f>'2022'!AW360</f>
      </c>
      <c r="AT44" s="119">
        <f>'2022'!AX360</f>
        <v>0</v>
      </c>
      <c r="AU44" s="106">
        <f>'2022'!AY360</f>
        <v>0</v>
      </c>
      <c r="AV44" s="106">
        <f>'2022'!AZ360</f>
      </c>
      <c r="AW44" s="119"/>
      <c r="AX44" s="106">
        <f t="shared" si="0"/>
        <v>0</v>
      </c>
      <c r="AY44" s="119">
        <f>'2022'!BA360</f>
      </c>
      <c r="AZ44" s="119">
        <f>'2022'!BB360</f>
      </c>
      <c r="BA44" s="106">
        <f>'2022'!BC360</f>
        <v>0</v>
      </c>
      <c r="BB44" s="106">
        <f>'2022'!BD360</f>
      </c>
      <c r="BC44" s="106"/>
      <c r="BD44" s="106">
        <f t="shared" si="1"/>
        <v>0</v>
      </c>
      <c r="BE44" s="119">
        <f>'2022'!BE360</f>
        <v>8692.415</v>
      </c>
      <c r="BF44" s="106">
        <f>'2022'!BF360</f>
        <v>23105.1009</v>
      </c>
      <c r="BG44" s="106">
        <f>'2022'!BG360</f>
        <v>25202</v>
      </c>
      <c r="BH44" s="106">
        <f>'2022'!BH360</f>
        <v>1404.4309</v>
      </c>
      <c r="BI44" s="106">
        <f t="shared" si="2"/>
        <v>0</v>
      </c>
      <c r="BJ44" s="338">
        <f t="shared" si="3"/>
        <v>1404.4309</v>
      </c>
    </row>
    <row r="45" ht="15" customHeight="1" spans="1:62" x14ac:dyDescent="0.25">
      <c r="A45" s="14"/>
      <c r="B45" s="15">
        <v>41</v>
      </c>
      <c r="C45" s="115">
        <v>4.87</v>
      </c>
      <c r="D45" s="117" t="s">
        <v>177</v>
      </c>
      <c r="E45" s="119">
        <f>'2022'!I369</f>
        <v>300</v>
      </c>
      <c r="F45" s="119">
        <f>'2022'!J369</f>
        <v>0</v>
      </c>
      <c r="G45" s="106">
        <f>'2022'!K369</f>
        <v>0</v>
      </c>
      <c r="H45" s="106">
        <f>'2022'!L369</f>
      </c>
      <c r="I45" s="119">
        <f>'2022'!M369</f>
        <v>300</v>
      </c>
      <c r="J45" s="119">
        <f>'2022'!N369</f>
        <v>0</v>
      </c>
      <c r="K45" s="106">
        <f>'2022'!O369</f>
        <v>0</v>
      </c>
      <c r="L45" s="106">
        <f>'2022'!P369</f>
      </c>
      <c r="M45" s="119">
        <f>'2022'!Q369</f>
        <v>300</v>
      </c>
      <c r="N45" s="119">
        <f>'2022'!R369</f>
        <v>0</v>
      </c>
      <c r="O45" s="106">
        <f>'2022'!S369</f>
        <v>0</v>
      </c>
      <c r="P45" s="106">
        <f>'2022'!T369</f>
      </c>
      <c r="Q45" s="119">
        <f>'2022'!U369</f>
        <v>300</v>
      </c>
      <c r="R45" s="119">
        <f>'2022'!V369</f>
        <v>0</v>
      </c>
      <c r="S45" s="106">
        <f>'2022'!W369</f>
        <v>0</v>
      </c>
      <c r="T45" s="106">
        <f>'2022'!X369</f>
      </c>
      <c r="U45" s="119">
        <f>'2022'!Y369</f>
        <v>300</v>
      </c>
      <c r="V45" s="119">
        <f>'2022'!Z369</f>
        <v>0</v>
      </c>
      <c r="W45" s="106">
        <f>'2022'!AA369</f>
        <v>0</v>
      </c>
      <c r="X45" s="106">
        <f>'2022'!AB369</f>
      </c>
      <c r="Y45" s="119">
        <f>'2022'!AC369</f>
        <v>300</v>
      </c>
      <c r="Z45" s="119">
        <f>'2022'!AD369</f>
        <v>0</v>
      </c>
      <c r="AA45" s="106">
        <f>'2022'!AE369</f>
        <v>0</v>
      </c>
      <c r="AB45" s="106">
        <f>'2022'!AF369</f>
      </c>
      <c r="AC45" s="119">
        <f>'2022'!AG369</f>
        <v>300</v>
      </c>
      <c r="AD45" s="106">
        <f>'2022'!AH369</f>
        <v>0</v>
      </c>
      <c r="AE45" s="106">
        <f>'2022'!AI369</f>
        <v>0</v>
      </c>
      <c r="AF45" s="106">
        <f>'2022'!AJ369</f>
      </c>
      <c r="AG45" s="119">
        <f>'2022'!AK369</f>
        <v>300</v>
      </c>
      <c r="AH45" s="119">
        <f>'2022'!AL369</f>
        <v>0</v>
      </c>
      <c r="AI45" s="106">
        <f>'2022'!AM369</f>
        <v>0</v>
      </c>
      <c r="AJ45" s="106">
        <f>'2022'!AN369</f>
      </c>
      <c r="AK45" s="119">
        <f>'2022'!AO369</f>
        <v>300</v>
      </c>
      <c r="AL45" s="119">
        <f>'2022'!AP369</f>
        <v>0</v>
      </c>
      <c r="AM45" s="106">
        <f>'2022'!AQ369</f>
        <v>0</v>
      </c>
      <c r="AN45" s="106">
        <f>'2022'!AR369</f>
      </c>
      <c r="AO45" s="119">
        <f>'2022'!AS369</f>
        <v>300</v>
      </c>
      <c r="AP45" s="119">
        <f>'2022'!AT369</f>
        <v>0</v>
      </c>
      <c r="AQ45" s="106">
        <f>'2022'!AU369</f>
        <v>0</v>
      </c>
      <c r="AR45" s="106">
        <f>'2022'!AV369</f>
      </c>
      <c r="AS45" s="119">
        <f>'2022'!AW369</f>
      </c>
      <c r="AT45" s="119">
        <f>'2022'!AX369</f>
        <v>0</v>
      </c>
      <c r="AU45" s="106">
        <f>'2022'!AY369</f>
        <v>0</v>
      </c>
      <c r="AV45" s="106">
        <f>'2022'!AZ369</f>
      </c>
      <c r="AW45" s="106"/>
      <c r="AX45" s="106">
        <f t="shared" si="0"/>
        <v>0</v>
      </c>
      <c r="AY45" s="119">
        <f>'2022'!BA369</f>
      </c>
      <c r="AZ45" s="119">
        <f>'2022'!BB369</f>
      </c>
      <c r="BA45" s="106">
        <f>'2022'!BC369</f>
        <v>0</v>
      </c>
      <c r="BB45" s="106">
        <f>'2022'!BD369</f>
      </c>
      <c r="BC45" s="106"/>
      <c r="BD45" s="106">
        <f t="shared" si="1"/>
        <v>0</v>
      </c>
      <c r="BE45" s="119">
        <f>'2022'!BE369</f>
        <v>0</v>
      </c>
      <c r="BF45" s="106">
        <f>'2022'!BF369</f>
        <v>0</v>
      </c>
      <c r="BG45" s="106">
        <f>'2022'!BG369</f>
        <v>0</v>
      </c>
      <c r="BH45" s="106">
        <f>'2022'!BH369</f>
        <v>-20</v>
      </c>
      <c r="BI45" s="106">
        <f t="shared" si="2"/>
        <v>0</v>
      </c>
      <c r="BJ45" s="338">
        <f t="shared" si="3"/>
        <v>-20</v>
      </c>
    </row>
    <row r="46" ht="15" customHeight="1" spans="1:62" x14ac:dyDescent="0.25">
      <c r="A46" s="14"/>
      <c r="B46" s="15">
        <v>42</v>
      </c>
      <c r="C46" s="116">
        <v>4.9</v>
      </c>
      <c r="D46" s="2" t="s">
        <v>181</v>
      </c>
      <c r="E46" s="119">
        <f>'2022'!I378</f>
        <v>26347</v>
      </c>
      <c r="F46" s="119">
        <f>'2022'!J378</f>
        <v>2652</v>
      </c>
      <c r="G46" s="106">
        <f>'2022'!K378</f>
        <v>7160.4</v>
      </c>
      <c r="H46" s="106">
        <f>'2022'!L378</f>
      </c>
      <c r="I46" s="119">
        <f>'2022'!M378</f>
        <v>28992</v>
      </c>
      <c r="J46" s="119">
        <f>'2022'!N378</f>
        <v>2645</v>
      </c>
      <c r="K46" s="106">
        <f>'2022'!O378</f>
        <v>7141.5</v>
      </c>
      <c r="L46" s="106">
        <f>'2022'!P378</f>
      </c>
      <c r="M46" s="119">
        <f>'2022'!Q378</f>
        <v>30863</v>
      </c>
      <c r="N46" s="119">
        <f>'2022'!R378</f>
        <v>1871</v>
      </c>
      <c r="O46" s="106">
        <f>'2022'!S378</f>
        <v>5051.7</v>
      </c>
      <c r="P46" s="106">
        <f>'2022'!T378</f>
        <v>17500</v>
      </c>
      <c r="Q46" s="119">
        <f>'2022'!U378</f>
        <v>32194</v>
      </c>
      <c r="R46" s="119">
        <f>'2022'!V378</f>
        <v>1331</v>
      </c>
      <c r="S46" s="106">
        <f>'2022'!W378</f>
        <v>3593.7</v>
      </c>
      <c r="T46" s="106">
        <f>'2022'!X378</f>
      </c>
      <c r="U46" s="119">
        <f>'2022'!Y378</f>
        <v>32548</v>
      </c>
      <c r="V46" s="119">
        <f>'2022'!Z378</f>
        <v>354</v>
      </c>
      <c r="W46" s="106">
        <f>'2022'!AA378</f>
        <v>955.8</v>
      </c>
      <c r="X46" s="106">
        <f>'2022'!AB378</f>
        <v>10000</v>
      </c>
      <c r="Y46" s="119">
        <f>'2022'!AC378</f>
        <v>32743</v>
      </c>
      <c r="Z46" s="119">
        <f>'2022'!AD378</f>
        <v>195</v>
      </c>
      <c r="AA46" s="106">
        <f>'2022'!AE378</f>
        <v>526.5</v>
      </c>
      <c r="AB46" s="106">
        <f>'2022'!AF378</f>
        <v>7000</v>
      </c>
      <c r="AC46" s="119">
        <f>'2022'!AG378</f>
        <v>32882</v>
      </c>
      <c r="AD46" s="106">
        <f>'2022'!AH378</f>
        <v>146.784</v>
      </c>
      <c r="AE46" s="106">
        <f>'2022'!AI378</f>
        <v>361.08864</v>
      </c>
      <c r="AF46" s="106">
        <f>'2022'!AJ378</f>
      </c>
      <c r="AG46" s="119">
        <f>'2022'!AK378</f>
        <v>33048</v>
      </c>
      <c r="AH46" s="119">
        <f>'2022'!AL378</f>
        <v>170.648</v>
      </c>
      <c r="AI46" s="106">
        <f>'2022'!AM378</f>
        <v>419.79408</v>
      </c>
      <c r="AJ46" s="106">
        <f>'2022'!AN378</f>
        <v>800</v>
      </c>
      <c r="AK46" s="119">
        <f>'2022'!AO378</f>
        <v>33279</v>
      </c>
      <c r="AL46" s="119">
        <f>'2022'!AP378</f>
        <v>238.623</v>
      </c>
      <c r="AM46" s="106">
        <f>'2022'!AQ378</f>
        <v>587.01258</v>
      </c>
      <c r="AN46" s="106">
        <f>'2022'!AR378</f>
        <v>420</v>
      </c>
      <c r="AO46" s="119">
        <f>'2022'!AS378</f>
        <v>34473</v>
      </c>
      <c r="AP46" s="119">
        <f>'2022'!AT378</f>
        <v>1253.7</v>
      </c>
      <c r="AQ46" s="106">
        <f>'2022'!AU378</f>
        <v>3084.102</v>
      </c>
      <c r="AR46" s="106">
        <f>'2022'!AV378</f>
      </c>
      <c r="AS46" s="119">
        <f>'2022'!AW378</f>
      </c>
      <c r="AT46" s="119">
        <f>'2022'!AX378</f>
        <v>0</v>
      </c>
      <c r="AU46" s="106">
        <f>'2022'!AY378</f>
        <v>0</v>
      </c>
      <c r="AV46" s="106">
        <f>'2022'!AZ378</f>
      </c>
      <c r="AW46" s="106"/>
      <c r="AX46" s="106">
        <f t="shared" si="0"/>
        <v>0</v>
      </c>
      <c r="AY46" s="119">
        <f>'2022'!BA378</f>
      </c>
      <c r="AZ46" s="119">
        <f>'2022'!BB378</f>
      </c>
      <c r="BA46" s="106">
        <f>'2022'!BC378</f>
        <v>0</v>
      </c>
      <c r="BB46" s="106">
        <f>'2022'!BD378</f>
      </c>
      <c r="BC46" s="106"/>
      <c r="BD46" s="106">
        <f t="shared" si="1"/>
        <v>0</v>
      </c>
      <c r="BE46" s="119">
        <f>'2022'!BE378</f>
        <v>10857.755</v>
      </c>
      <c r="BF46" s="106">
        <f>'2022'!BF378</f>
        <v>28881.5973</v>
      </c>
      <c r="BG46" s="106">
        <f>'2022'!BG378</f>
        <v>35720</v>
      </c>
      <c r="BH46" s="106">
        <f>'2022'!BH378</f>
        <v>3666.1373</v>
      </c>
      <c r="BI46" s="106">
        <f t="shared" si="2"/>
        <v>0</v>
      </c>
      <c r="BJ46" s="338">
        <f t="shared" si="3"/>
        <v>3666.1373</v>
      </c>
    </row>
    <row r="47" ht="15" customHeight="1" spans="1:62" x14ac:dyDescent="0.25">
      <c r="A47" s="14"/>
      <c r="B47" s="15">
        <v>43</v>
      </c>
      <c r="C47" s="115">
        <v>4.96</v>
      </c>
      <c r="D47" s="117" t="s">
        <v>185</v>
      </c>
      <c r="E47" s="119">
        <f>'2022'!I387</f>
        <v>2170</v>
      </c>
      <c r="F47" s="119">
        <f>'2022'!J387</f>
        <v>1811</v>
      </c>
      <c r="G47" s="106">
        <f>'2022'!K387</f>
        <v>4889.7</v>
      </c>
      <c r="H47" s="106">
        <f>'2022'!L387</f>
        <v>500</v>
      </c>
      <c r="I47" s="119">
        <f>'2022'!M387</f>
        <v>4199</v>
      </c>
      <c r="J47" s="119">
        <f>'2022'!N387</f>
        <v>2029</v>
      </c>
      <c r="K47" s="106">
        <f>'2022'!O387</f>
        <v>5478.3</v>
      </c>
      <c r="L47" s="106">
        <f>'2022'!P387</f>
      </c>
      <c r="M47" s="119">
        <f>'2022'!Q387</f>
        <v>5252</v>
      </c>
      <c r="N47" s="119">
        <f>'2022'!R387</f>
        <v>1053</v>
      </c>
      <c r="O47" s="106">
        <f>'2022'!S387</f>
        <v>2843.1</v>
      </c>
      <c r="P47" s="106">
        <f>'2022'!T387</f>
        <v>11000</v>
      </c>
      <c r="Q47" s="119">
        <f>'2022'!U387</f>
        <v>6252</v>
      </c>
      <c r="R47" s="119">
        <f>'2022'!V387</f>
        <v>1000</v>
      </c>
      <c r="S47" s="106">
        <f>'2022'!W387</f>
        <v>2700</v>
      </c>
      <c r="T47" s="106">
        <f>'2022'!X387</f>
      </c>
      <c r="U47" s="119">
        <f>'2022'!Y387</f>
        <v>6719</v>
      </c>
      <c r="V47" s="119">
        <f>'2022'!Z387</f>
        <v>467</v>
      </c>
      <c r="W47" s="106">
        <f>'2022'!AA387</f>
        <v>1260.9</v>
      </c>
      <c r="X47" s="106">
        <f>'2022'!AB387</f>
        <v>4800</v>
      </c>
      <c r="Y47" s="119">
        <f>'2022'!AC387</f>
        <v>7052</v>
      </c>
      <c r="Z47" s="119">
        <f>'2022'!AD387</f>
        <v>333</v>
      </c>
      <c r="AA47" s="106">
        <f>'2022'!AE387</f>
        <v>899.1</v>
      </c>
      <c r="AB47" s="106">
        <f>'2022'!AF387</f>
        <v>1262.09</v>
      </c>
      <c r="AC47" s="119">
        <f>'2022'!AG387</f>
        <v>7330</v>
      </c>
      <c r="AD47" s="106">
        <f>'2022'!AH387</f>
        <v>293.568</v>
      </c>
      <c r="AE47" s="106">
        <f>'2022'!AI387</f>
        <v>722.17728</v>
      </c>
      <c r="AF47" s="106">
        <f>'2022'!AJ387</f>
        <v>899.1</v>
      </c>
      <c r="AG47" s="119">
        <f>'2022'!AK387</f>
        <v>7540</v>
      </c>
      <c r="AH47" s="119">
        <f>'2022'!AL387</f>
        <v>215.88</v>
      </c>
      <c r="AI47" s="106">
        <f>'2022'!AM387</f>
        <v>531.0648</v>
      </c>
      <c r="AJ47" s="106">
        <f>'2022'!AN387</f>
      </c>
      <c r="AK47" s="119">
        <f>'2022'!AO387</f>
        <v>7648</v>
      </c>
      <c r="AL47" s="119">
        <f>'2022'!AP387</f>
        <v>111.564</v>
      </c>
      <c r="AM47" s="106">
        <f>'2022'!AQ387</f>
        <v>274.44744</v>
      </c>
      <c r="AN47" s="106">
        <f>'2022'!AR387</f>
        <v>1695</v>
      </c>
      <c r="AO47" s="119">
        <f>'2022'!AS387</f>
        <v>8217</v>
      </c>
      <c r="AP47" s="119">
        <f>'2022'!AT387</f>
        <v>597.45</v>
      </c>
      <c r="AQ47" s="106">
        <f>'2022'!AU387</f>
        <v>1469.727</v>
      </c>
      <c r="AR47" s="106">
        <f>'2022'!AV387</f>
      </c>
      <c r="AS47" s="126">
        <f>'2022'!AW387</f>
      </c>
      <c r="AT47" s="119">
        <f>'2022'!AX387</f>
        <v>0</v>
      </c>
      <c r="AU47" s="106">
        <f>'2022'!AY387</f>
        <v>0</v>
      </c>
      <c r="AV47" s="106">
        <f>'2022'!AZ387</f>
      </c>
      <c r="AW47" s="106"/>
      <c r="AX47" s="106">
        <f t="shared" si="0"/>
        <v>0</v>
      </c>
      <c r="AY47" s="119">
        <f>'2022'!BA387</f>
      </c>
      <c r="AZ47" s="119">
        <f>'2022'!BB387</f>
      </c>
      <c r="BA47" s="106">
        <f>'2022'!BC387</f>
        <v>0</v>
      </c>
      <c r="BB47" s="106">
        <f>'2022'!BD387</f>
      </c>
      <c r="BC47" s="106"/>
      <c r="BD47" s="106">
        <f t="shared" si="1"/>
        <v>0</v>
      </c>
      <c r="BE47" s="119">
        <f>'2022'!BE387</f>
        <v>7911.462</v>
      </c>
      <c r="BF47" s="106">
        <f>'2022'!BF387</f>
        <v>21068.51652</v>
      </c>
      <c r="BG47" s="106">
        <f>'2022'!BG387</f>
        <v>20156.19</v>
      </c>
      <c r="BH47" s="106">
        <f>'2022'!BH387</f>
        <v>1302.41652</v>
      </c>
      <c r="BI47" s="106">
        <f t="shared" si="2"/>
        <v>0</v>
      </c>
      <c r="BJ47" s="338">
        <f t="shared" si="3"/>
        <v>1302.41652</v>
      </c>
    </row>
    <row r="48" ht="15" customHeight="1" spans="1:62" x14ac:dyDescent="0.25">
      <c r="A48" s="14"/>
      <c r="B48" s="15">
        <v>44</v>
      </c>
      <c r="C48" s="115">
        <v>4.01</v>
      </c>
      <c r="D48" s="15" t="s">
        <v>412</v>
      </c>
      <c r="E48" s="119">
        <f>'2022'!I396</f>
        <v>34</v>
      </c>
      <c r="F48" s="119">
        <f>'2022'!J396</f>
        <v>0</v>
      </c>
      <c r="G48" s="106">
        <f>'2022'!K396</f>
        <v>0</v>
      </c>
      <c r="H48" s="106">
        <f>'2022'!L396</f>
      </c>
      <c r="I48" s="119">
        <f>'2022'!M396</f>
        <v>34</v>
      </c>
      <c r="J48" s="119">
        <f>'2022'!N396</f>
        <v>0</v>
      </c>
      <c r="K48" s="106">
        <f>'2022'!O396</f>
        <v>0</v>
      </c>
      <c r="L48" s="106">
        <f>'2022'!P396</f>
      </c>
      <c r="M48" s="119">
        <f>'2022'!Q396</f>
        <v>34</v>
      </c>
      <c r="N48" s="119">
        <f>'2022'!R396</f>
        <v>0</v>
      </c>
      <c r="O48" s="106">
        <f>'2022'!S396</f>
        <v>0</v>
      </c>
      <c r="P48" s="106">
        <f>'2022'!T396</f>
      </c>
      <c r="Q48" s="119">
        <f>'2022'!U396</f>
        <v>34</v>
      </c>
      <c r="R48" s="119">
        <f>'2022'!V396</f>
        <v>0</v>
      </c>
      <c r="S48" s="106">
        <f>'2022'!W396</f>
        <v>0</v>
      </c>
      <c r="T48" s="106">
        <f>'2022'!X396</f>
      </c>
      <c r="U48" s="119">
        <f>'2022'!Y396</f>
        <v>36</v>
      </c>
      <c r="V48" s="119">
        <f>'2022'!Z396</f>
        <v>2</v>
      </c>
      <c r="W48" s="106">
        <f>'2022'!AA396</f>
        <v>5.4</v>
      </c>
      <c r="X48" s="106">
        <f>'2022'!AB396</f>
      </c>
      <c r="Y48" s="119">
        <f>'2022'!AC396</f>
        <v>43</v>
      </c>
      <c r="Z48" s="119">
        <f>'2022'!AD396</f>
        <v>7</v>
      </c>
      <c r="AA48" s="106">
        <f>'2022'!AE396</f>
        <v>18.9</v>
      </c>
      <c r="AB48" s="106">
        <f>'2022'!AF396</f>
        <v>92.6</v>
      </c>
      <c r="AC48" s="119">
        <f>'2022'!AG396</f>
        <v>43</v>
      </c>
      <c r="AD48" s="106">
        <f>'2022'!AH396</f>
        <v>0</v>
      </c>
      <c r="AE48" s="106">
        <f>'2022'!AI396</f>
        <v>0</v>
      </c>
      <c r="AF48" s="106">
        <f>'2022'!AJ396</f>
      </c>
      <c r="AG48" s="119">
        <f>'2022'!AK396</f>
        <v>44</v>
      </c>
      <c r="AH48" s="119">
        <f>'2022'!AL396</f>
        <v>1.028</v>
      </c>
      <c r="AI48" s="106">
        <f>'2022'!AM396</f>
        <v>2.52888</v>
      </c>
      <c r="AJ48" s="106">
        <f>'2022'!AN396</f>
      </c>
      <c r="AK48" s="119">
        <f>'2022'!AO396</f>
        <v>45</v>
      </c>
      <c r="AL48" s="119">
        <f>'2022'!AP396</f>
        <v>1.033</v>
      </c>
      <c r="AM48" s="106">
        <f>'2022'!AQ396</f>
        <v>2.54118</v>
      </c>
      <c r="AN48" s="106">
        <f>'2022'!AR396</f>
      </c>
      <c r="AO48" s="119">
        <f>'2022'!AS396</f>
        <v>47</v>
      </c>
      <c r="AP48" s="119">
        <f>'2022'!AT396</f>
        <v>2.1</v>
      </c>
      <c r="AQ48" s="106">
        <f>'2022'!AU396</f>
        <v>5.166</v>
      </c>
      <c r="AR48" s="106">
        <f>'2022'!AV396</f>
      </c>
      <c r="AS48" s="119">
        <f>'2022'!AW396</f>
      </c>
      <c r="AT48" s="119">
        <f>'2022'!AX396</f>
        <v>0</v>
      </c>
      <c r="AU48" s="106">
        <f>'2022'!AY396</f>
        <v>0</v>
      </c>
      <c r="AV48" s="106">
        <f>'2022'!AZ396</f>
      </c>
      <c r="AW48" s="106"/>
      <c r="AX48" s="106">
        <f t="shared" si="0"/>
        <v>0</v>
      </c>
      <c r="AY48" s="119">
        <f>'2022'!BA396</f>
      </c>
      <c r="AZ48" s="119">
        <f>'2022'!BB396</f>
      </c>
      <c r="BA48" s="106">
        <f>'2022'!BC396</f>
        <v>0</v>
      </c>
      <c r="BB48" s="106">
        <f>'2022'!BD396</f>
      </c>
      <c r="BC48" s="106"/>
      <c r="BD48" s="106">
        <f t="shared" si="1"/>
        <v>0</v>
      </c>
      <c r="BE48" s="119">
        <f>'2022'!BE396</f>
        <v>13.161</v>
      </c>
      <c r="BF48" s="106">
        <f>'2022'!BF396</f>
        <v>34.53606</v>
      </c>
      <c r="BG48" s="106">
        <f>'2022'!BG396</f>
        <v>92.6</v>
      </c>
      <c r="BH48" s="106">
        <f>'2022'!BH396</f>
        <v>29.13606</v>
      </c>
      <c r="BI48" s="106">
        <f t="shared" si="2"/>
        <v>0</v>
      </c>
      <c r="BJ48" s="338">
        <f t="shared" si="3"/>
        <v>29.13606</v>
      </c>
    </row>
    <row r="49" ht="15" customHeight="1" spans="1:62" x14ac:dyDescent="0.25">
      <c r="A49" s="14"/>
      <c r="B49" s="15">
        <v>45</v>
      </c>
      <c r="C49" s="115">
        <v>5.04</v>
      </c>
      <c r="D49" s="117" t="s">
        <v>189</v>
      </c>
      <c r="E49" s="119">
        <f>'2022'!I405</f>
        <v>13</v>
      </c>
      <c r="F49" s="119">
        <f>'2022'!J405</f>
        <v>0</v>
      </c>
      <c r="G49" s="106">
        <f>'2022'!K405</f>
        <v>0</v>
      </c>
      <c r="H49" s="106">
        <f>'2022'!L405</f>
      </c>
      <c r="I49" s="119">
        <f>'2022'!M405</f>
        <v>13</v>
      </c>
      <c r="J49" s="119">
        <f>'2022'!N405</f>
        <v>0</v>
      </c>
      <c r="K49" s="106">
        <f>'2022'!O405</f>
        <v>0</v>
      </c>
      <c r="L49" s="106">
        <f>'2022'!P405</f>
      </c>
      <c r="M49" s="119">
        <f>'2022'!Q405</f>
        <v>13</v>
      </c>
      <c r="N49" s="119">
        <f>'2022'!R405</f>
        <v>0</v>
      </c>
      <c r="O49" s="106">
        <f>'2022'!S405</f>
        <v>0</v>
      </c>
      <c r="P49" s="106">
        <f>'2022'!T405</f>
      </c>
      <c r="Q49" s="119">
        <f>'2022'!U405</f>
        <v>13</v>
      </c>
      <c r="R49" s="119">
        <f>'2022'!V405</f>
        <v>0</v>
      </c>
      <c r="S49" s="106">
        <f>'2022'!W405</f>
        <v>0</v>
      </c>
      <c r="T49" s="106">
        <f>'2022'!X405</f>
      </c>
      <c r="U49" s="119">
        <f>'2022'!Y405</f>
        <v>13</v>
      </c>
      <c r="V49" s="119">
        <f>'2022'!Z405</f>
        <v>0</v>
      </c>
      <c r="W49" s="106">
        <f>'2022'!AA405</f>
        <v>0</v>
      </c>
      <c r="X49" s="106">
        <f>'2022'!AB405</f>
      </c>
      <c r="Y49" s="119">
        <f>'2022'!AC405</f>
        <v>13</v>
      </c>
      <c r="Z49" s="119">
        <f>'2022'!AD405</f>
        <v>0</v>
      </c>
      <c r="AA49" s="106">
        <f>'2022'!AE405</f>
        <v>0</v>
      </c>
      <c r="AB49" s="106">
        <f>'2022'!AF405</f>
      </c>
      <c r="AC49" s="119">
        <f>'2022'!AG405</f>
        <v>13</v>
      </c>
      <c r="AD49" s="106">
        <f>'2022'!AH405</f>
        <v>0</v>
      </c>
      <c r="AE49" s="106">
        <f>'2022'!AI405</f>
        <v>0</v>
      </c>
      <c r="AF49" s="106">
        <f>'2022'!AJ405</f>
      </c>
      <c r="AG49" s="119">
        <f>'2022'!AK405</f>
        <v>13</v>
      </c>
      <c r="AH49" s="119">
        <f>'2022'!AL405</f>
        <v>0</v>
      </c>
      <c r="AI49" s="106">
        <f>'2022'!AM405</f>
        <v>0</v>
      </c>
      <c r="AJ49" s="106">
        <f>'2022'!AN405</f>
      </c>
      <c r="AK49" s="119">
        <f>'2022'!AO405</f>
        <v>13</v>
      </c>
      <c r="AL49" s="119">
        <f>'2022'!AP405</f>
        <v>0</v>
      </c>
      <c r="AM49" s="106">
        <f>'2022'!AQ405</f>
        <v>0</v>
      </c>
      <c r="AN49" s="106">
        <f>'2022'!AR405</f>
      </c>
      <c r="AO49" s="119">
        <f>'2022'!AS405</f>
        <v>13</v>
      </c>
      <c r="AP49" s="119">
        <f>'2022'!AT405</f>
        <v>0</v>
      </c>
      <c r="AQ49" s="106">
        <f>'2022'!AU405</f>
        <v>0</v>
      </c>
      <c r="AR49" s="106">
        <f>'2022'!AV405</f>
      </c>
      <c r="AS49" s="119">
        <f>'2022'!AW405</f>
      </c>
      <c r="AT49" s="119">
        <f>'2022'!AX405</f>
        <v>0</v>
      </c>
      <c r="AU49" s="106">
        <f>'2022'!AY405</f>
        <v>0</v>
      </c>
      <c r="AV49" s="106">
        <f>'2022'!AZ405</f>
      </c>
      <c r="AW49" s="106"/>
      <c r="AX49" s="106">
        <f t="shared" si="0"/>
        <v>0</v>
      </c>
      <c r="AY49" s="119">
        <f>'2022'!BA405</f>
      </c>
      <c r="AZ49" s="119">
        <f>'2022'!BB405</f>
      </c>
      <c r="BA49" s="106">
        <f>'2022'!BC405</f>
        <v>0</v>
      </c>
      <c r="BB49" s="106">
        <f>'2022'!BD405</f>
      </c>
      <c r="BC49" s="106"/>
      <c r="BD49" s="106">
        <f t="shared" si="1"/>
        <v>0</v>
      </c>
      <c r="BE49" s="119">
        <f>'2022'!BE405</f>
        <v>0</v>
      </c>
      <c r="BF49" s="106">
        <f>'2022'!BF405</f>
        <v>0</v>
      </c>
      <c r="BG49" s="106">
        <f>'2022'!BG405</f>
        <v>0</v>
      </c>
      <c r="BH49" s="106">
        <f>'2022'!BH405</f>
        <v>0</v>
      </c>
      <c r="BI49" s="106">
        <f t="shared" si="2"/>
        <v>0</v>
      </c>
      <c r="BJ49" s="338">
        <f t="shared" si="3"/>
        <v>0</v>
      </c>
    </row>
    <row r="50" ht="15" customHeight="1" spans="1:62" x14ac:dyDescent="0.25">
      <c r="A50" s="14"/>
      <c r="B50" s="15">
        <v>46</v>
      </c>
      <c r="C50" s="116">
        <v>4</v>
      </c>
      <c r="D50" s="117" t="s">
        <v>188</v>
      </c>
      <c r="E50" s="119">
        <f>'2022'!I414</f>
        <v>4198</v>
      </c>
      <c r="F50" s="119">
        <f>'2022'!J414</f>
        <v>0</v>
      </c>
      <c r="G50" s="106">
        <f>'2022'!K414</f>
        <v>0</v>
      </c>
      <c r="H50" s="106">
        <f>'2022'!L414</f>
      </c>
      <c r="I50" s="119">
        <f>'2022'!M414</f>
        <v>4198</v>
      </c>
      <c r="J50" s="119">
        <f>'2022'!N414</f>
        <v>0</v>
      </c>
      <c r="K50" s="106">
        <f>'2022'!O414</f>
        <v>0</v>
      </c>
      <c r="L50" s="106">
        <f>'2022'!P414</f>
      </c>
      <c r="M50" s="119">
        <f>'2022'!Q414</f>
        <v>4198</v>
      </c>
      <c r="N50" s="119">
        <f>'2022'!R414</f>
        <v>0</v>
      </c>
      <c r="O50" s="106">
        <f>'2022'!S414</f>
        <v>0</v>
      </c>
      <c r="P50" s="106">
        <f>'2022'!T414</f>
      </c>
      <c r="Q50" s="119">
        <f>'2022'!U414</f>
        <v>4198</v>
      </c>
      <c r="R50" s="119">
        <f>'2022'!V414</f>
        <v>0</v>
      </c>
      <c r="S50" s="106">
        <f>'2022'!W414</f>
        <v>0</v>
      </c>
      <c r="T50" s="106">
        <f>'2022'!X414</f>
      </c>
      <c r="U50" s="119">
        <f>'2022'!Y414</f>
        <v>4336</v>
      </c>
      <c r="V50" s="119">
        <f>'2022'!Z414</f>
        <v>138</v>
      </c>
      <c r="W50" s="106">
        <f>'2022'!AA414</f>
        <v>372.6</v>
      </c>
      <c r="X50" s="106">
        <f>'2022'!AB414</f>
      </c>
      <c r="Y50" s="119">
        <f>'2022'!AC414</f>
        <v>4454</v>
      </c>
      <c r="Z50" s="119">
        <f>'2022'!AD414</f>
        <v>118</v>
      </c>
      <c r="AA50" s="106">
        <f>'2022'!AE414</f>
        <v>318.6</v>
      </c>
      <c r="AB50" s="106">
        <f>'2022'!AF414</f>
        <v>575.1</v>
      </c>
      <c r="AC50" s="119">
        <f>'2022'!AG414</f>
        <v>4563</v>
      </c>
      <c r="AD50" s="106">
        <f>'2022'!AH414</f>
        <v>115.104</v>
      </c>
      <c r="AE50" s="106">
        <f>'2022'!AI414</f>
        <v>283.15584</v>
      </c>
      <c r="AF50" s="106">
        <f>'2022'!AJ414</f>
        <v>318.6</v>
      </c>
      <c r="AG50" s="119">
        <f>'2022'!AK414</f>
        <v>4680</v>
      </c>
      <c r="AH50" s="119">
        <f>'2022'!AL414</f>
        <v>120.276</v>
      </c>
      <c r="AI50" s="106">
        <f>'2022'!AM414</f>
        <v>295.87896</v>
      </c>
      <c r="AJ50" s="106">
        <f>'2022'!AN414</f>
        <v>283.16</v>
      </c>
      <c r="AK50" s="119">
        <f>'2022'!AO414</f>
        <v>4785</v>
      </c>
      <c r="AL50" s="119">
        <f>'2022'!AP414</f>
        <v>108.465</v>
      </c>
      <c r="AM50" s="106">
        <f>'2022'!AQ414</f>
        <v>266.8239</v>
      </c>
      <c r="AN50" s="106">
        <f>'2022'!AR414</f>
        <v>295.87</v>
      </c>
      <c r="AO50" s="119">
        <f>'2022'!AS414</f>
        <v>4854</v>
      </c>
      <c r="AP50" s="119">
        <f>'2022'!AT414</f>
        <v>72.45</v>
      </c>
      <c r="AQ50" s="106">
        <f>'2022'!AU414</f>
        <v>178.227</v>
      </c>
      <c r="AR50" s="106">
        <f>'2022'!AV414</f>
      </c>
      <c r="AS50" s="119">
        <f>'2022'!AW414</f>
      </c>
      <c r="AT50" s="119">
        <f>'2022'!AX414</f>
        <v>0</v>
      </c>
      <c r="AU50" s="106">
        <f>'2022'!AY414</f>
        <v>0</v>
      </c>
      <c r="AV50" s="106">
        <f>'2022'!AZ414</f>
      </c>
      <c r="AW50" s="106"/>
      <c r="AX50" s="106">
        <f t="shared" si="0"/>
        <v>0</v>
      </c>
      <c r="AY50" s="119">
        <f>'2022'!BA414</f>
      </c>
      <c r="AZ50" s="119">
        <f>'2022'!BB414</f>
      </c>
      <c r="BA50" s="106">
        <f>'2022'!BC414</f>
        <v>0</v>
      </c>
      <c r="BB50" s="106">
        <f>'2022'!BD414</f>
      </c>
      <c r="BC50" s="106"/>
      <c r="BD50" s="106">
        <f t="shared" si="1"/>
        <v>0</v>
      </c>
      <c r="BE50" s="119">
        <f>'2022'!BE414</f>
        <v>672.295</v>
      </c>
      <c r="BF50" s="106">
        <f>'2022'!BF414</f>
        <v>1715.2857</v>
      </c>
      <c r="BG50" s="106">
        <f>'2022'!BG414</f>
        <v>1472.73</v>
      </c>
      <c r="BH50" s="106">
        <f>'2022'!BH414</f>
        <v>445.0557</v>
      </c>
      <c r="BI50" s="106">
        <f t="shared" si="2"/>
        <v>0</v>
      </c>
      <c r="BJ50" s="338">
        <f t="shared" si="3"/>
        <v>445.0557</v>
      </c>
    </row>
    <row r="51" ht="15" customHeight="1" spans="1:62" x14ac:dyDescent="0.25">
      <c r="A51" s="14"/>
      <c r="B51" s="15">
        <v>47</v>
      </c>
      <c r="C51" s="116">
        <v>5</v>
      </c>
      <c r="D51" s="117" t="s">
        <v>192</v>
      </c>
      <c r="E51" s="119">
        <f>'2022'!I423</f>
        <v>165</v>
      </c>
      <c r="F51" s="119">
        <f>'2022'!J423</f>
        <v>0</v>
      </c>
      <c r="G51" s="106">
        <f>'2022'!K423</f>
        <v>0</v>
      </c>
      <c r="H51" s="106">
        <f>'2022'!L423</f>
      </c>
      <c r="I51" s="119">
        <f>'2022'!M423</f>
        <v>165</v>
      </c>
      <c r="J51" s="119">
        <f>'2022'!N423</f>
        <v>0</v>
      </c>
      <c r="K51" s="106">
        <f>'2022'!O423</f>
        <v>0</v>
      </c>
      <c r="L51" s="106">
        <f>'2022'!P423</f>
      </c>
      <c r="M51" s="119">
        <f>'2022'!Q423</f>
        <v>165</v>
      </c>
      <c r="N51" s="119">
        <f>'2022'!R423</f>
        <v>0</v>
      </c>
      <c r="O51" s="106">
        <f>'2022'!S423</f>
        <v>0</v>
      </c>
      <c r="P51" s="106">
        <f>'2022'!T423</f>
      </c>
      <c r="Q51" s="119">
        <f>'2022'!U423</f>
        <v>165</v>
      </c>
      <c r="R51" s="119">
        <f>'2022'!V423</f>
        <v>0</v>
      </c>
      <c r="S51" s="106">
        <f>'2022'!W423</f>
        <v>0</v>
      </c>
      <c r="T51" s="106">
        <f>'2022'!X423</f>
      </c>
      <c r="U51" s="119">
        <f>'2022'!Y423</f>
        <v>165</v>
      </c>
      <c r="V51" s="119">
        <f>'2022'!Z423</f>
        <v>0</v>
      </c>
      <c r="W51" s="106">
        <f>'2022'!AA423</f>
        <v>0</v>
      </c>
      <c r="X51" s="106">
        <f>'2022'!AB423</f>
      </c>
      <c r="Y51" s="119">
        <f>'2022'!AC423</f>
        <v>165</v>
      </c>
      <c r="Z51" s="119">
        <f>'2022'!AD423</f>
        <v>0</v>
      </c>
      <c r="AA51" s="106">
        <f>'2022'!AE423</f>
        <v>0</v>
      </c>
      <c r="AB51" s="106">
        <f>'2022'!AF423</f>
      </c>
      <c r="AC51" s="119">
        <f>'2022'!AG423</f>
        <v>165</v>
      </c>
      <c r="AD51" s="106">
        <f>'2022'!AH423</f>
        <v>0</v>
      </c>
      <c r="AE51" s="106">
        <f>'2022'!AI423</f>
        <v>0</v>
      </c>
      <c r="AF51" s="106">
        <f>'2022'!AJ423</f>
      </c>
      <c r="AG51" s="119">
        <f>'2022'!AK423</f>
        <v>165</v>
      </c>
      <c r="AH51" s="119">
        <f>'2022'!AL423</f>
        <v>0</v>
      </c>
      <c r="AI51" s="106">
        <f>'2022'!AM423</f>
        <v>0</v>
      </c>
      <c r="AJ51" s="106">
        <f>'2022'!AN423</f>
      </c>
      <c r="AK51" s="119">
        <f>'2022'!AO423</f>
        <v>165</v>
      </c>
      <c r="AL51" s="119">
        <f>'2022'!AP423</f>
        <v>0</v>
      </c>
      <c r="AM51" s="106">
        <f>'2022'!AQ423</f>
        <v>0</v>
      </c>
      <c r="AN51" s="106">
        <f>'2022'!AR423</f>
      </c>
      <c r="AO51" s="119">
        <f>'2022'!AS423</f>
        <v>165</v>
      </c>
      <c r="AP51" s="119">
        <f>'2022'!AT423</f>
        <v>0</v>
      </c>
      <c r="AQ51" s="106">
        <f>'2022'!AU423</f>
        <v>0</v>
      </c>
      <c r="AR51" s="106">
        <f>'2022'!AV423</f>
      </c>
      <c r="AS51" s="119">
        <f>'2022'!AW423</f>
      </c>
      <c r="AT51" s="119">
        <f>'2022'!AX423</f>
        <v>0</v>
      </c>
      <c r="AU51" s="106">
        <f>'2022'!AY423</f>
        <v>0</v>
      </c>
      <c r="AV51" s="106">
        <f>'2022'!AZ423</f>
      </c>
      <c r="AW51" s="106"/>
      <c r="AX51" s="106">
        <f t="shared" si="0"/>
        <v>0</v>
      </c>
      <c r="AY51" s="119">
        <f>'2022'!BA423</f>
      </c>
      <c r="AZ51" s="119">
        <f>'2022'!BB423</f>
      </c>
      <c r="BA51" s="106">
        <f>'2022'!BC423</f>
        <v>0</v>
      </c>
      <c r="BB51" s="106">
        <f>'2022'!BD423</f>
      </c>
      <c r="BC51" s="106"/>
      <c r="BD51" s="106">
        <f t="shared" si="1"/>
        <v>0</v>
      </c>
      <c r="BE51" s="119">
        <f>'2022'!BE423</f>
        <v>0</v>
      </c>
      <c r="BF51" s="106">
        <f>'2022'!BF423</f>
        <v>0</v>
      </c>
      <c r="BG51" s="106">
        <f>'2022'!BG423</f>
        <v>0</v>
      </c>
      <c r="BH51" s="106">
        <f>'2022'!BH423</f>
        <v>0</v>
      </c>
      <c r="BI51" s="106">
        <f t="shared" si="2"/>
        <v>0</v>
      </c>
      <c r="BJ51" s="338">
        <f t="shared" si="3"/>
        <v>0</v>
      </c>
    </row>
    <row r="52" ht="15" customHeight="1" spans="1:62" x14ac:dyDescent="0.25">
      <c r="A52" s="14"/>
      <c r="B52" s="15">
        <v>48</v>
      </c>
      <c r="C52" s="115">
        <v>5.93</v>
      </c>
      <c r="D52" s="117" t="s">
        <v>97</v>
      </c>
      <c r="E52" s="119">
        <f>'2022'!I432</f>
      </c>
      <c r="F52" s="119">
        <f>'2022'!J432</f>
        <v>0</v>
      </c>
      <c r="G52" s="106">
        <f>'2022'!K432</f>
        <v>0</v>
      </c>
      <c r="H52" s="106">
        <f>'2022'!L432</f>
      </c>
      <c r="I52" s="119">
        <f>'2022'!M432</f>
      </c>
      <c r="J52" s="119">
        <f>'2022'!N432</f>
        <v>0</v>
      </c>
      <c r="K52" s="106">
        <f>'2022'!O432</f>
        <v>0</v>
      </c>
      <c r="L52" s="106">
        <f>'2022'!P432</f>
      </c>
      <c r="M52" s="119">
        <f>'2022'!Q432</f>
      </c>
      <c r="N52" s="119">
        <f>'2022'!R432</f>
        <v>0</v>
      </c>
      <c r="O52" s="106">
        <f>'2022'!S432</f>
        <v>0</v>
      </c>
      <c r="P52" s="106">
        <f>'2022'!T432</f>
      </c>
      <c r="Q52" s="119">
        <f>'2022'!U432</f>
      </c>
      <c r="R52" s="119">
        <f>'2022'!V432</f>
        <v>0</v>
      </c>
      <c r="S52" s="106">
        <f>'2022'!W432</f>
        <v>0</v>
      </c>
      <c r="T52" s="106">
        <f>'2022'!X432</f>
      </c>
      <c r="U52" s="119">
        <f>'2022'!Y432</f>
      </c>
      <c r="V52" s="119">
        <f>'2022'!Z432</f>
        <v>0</v>
      </c>
      <c r="W52" s="106">
        <f>'2022'!AA432</f>
        <v>0</v>
      </c>
      <c r="X52" s="106">
        <f>'2022'!AB432</f>
      </c>
      <c r="Y52" s="119">
        <f>'2022'!AC432</f>
      </c>
      <c r="Z52" s="119">
        <f>'2022'!AD432</f>
        <v>0</v>
      </c>
      <c r="AA52" s="106">
        <f>'2022'!AE432</f>
        <v>0</v>
      </c>
      <c r="AB52" s="106">
        <f>'2022'!AF432</f>
      </c>
      <c r="AC52" s="119">
        <f>'2022'!AG432</f>
      </c>
      <c r="AD52" s="106">
        <f>'2022'!AH432</f>
        <v>0</v>
      </c>
      <c r="AE52" s="106">
        <f>'2022'!AI432</f>
        <v>0</v>
      </c>
      <c r="AF52" s="106">
        <f>'2022'!AJ432</f>
      </c>
      <c r="AG52" s="119">
        <f>'2022'!AK432</f>
      </c>
      <c r="AH52" s="119">
        <f>'2022'!AL432</f>
        <v>0</v>
      </c>
      <c r="AI52" s="106">
        <f>'2022'!AM432</f>
        <v>0</v>
      </c>
      <c r="AJ52" s="106">
        <f>'2022'!AN432</f>
      </c>
      <c r="AK52" s="119">
        <f>'2022'!AO432</f>
      </c>
      <c r="AL52" s="119">
        <f>'2022'!AP432</f>
        <v>0</v>
      </c>
      <c r="AM52" s="106">
        <f>'2022'!AQ432</f>
        <v>0</v>
      </c>
      <c r="AN52" s="106">
        <f>'2022'!AR432</f>
      </c>
      <c r="AO52" s="119">
        <f>'2022'!AS432</f>
      </c>
      <c r="AP52" s="119">
        <f>'2022'!AT432</f>
        <v>0</v>
      </c>
      <c r="AQ52" s="106">
        <f>'2022'!AU432</f>
        <v>0</v>
      </c>
      <c r="AR52" s="106">
        <f>'2022'!AV432</f>
      </c>
      <c r="AS52" s="119">
        <f>'2022'!AW432</f>
      </c>
      <c r="AT52" s="119">
        <f>'2022'!AX432</f>
        <v>0</v>
      </c>
      <c r="AU52" s="106">
        <f>'2022'!AY432</f>
        <v>0</v>
      </c>
      <c r="AV52" s="106">
        <f>'2022'!AZ432</f>
      </c>
      <c r="AW52" s="106"/>
      <c r="AX52" s="106">
        <f t="shared" si="0"/>
        <v>0</v>
      </c>
      <c r="AY52" s="119">
        <f>'2022'!BA432</f>
      </c>
      <c r="AZ52" s="119">
        <f>'2022'!BB432</f>
      </c>
      <c r="BA52" s="106">
        <f>'2022'!BC432</f>
        <v>0</v>
      </c>
      <c r="BB52" s="106">
        <f>'2022'!BD432</f>
      </c>
      <c r="BC52" s="106"/>
      <c r="BD52" s="106">
        <f t="shared" si="1"/>
        <v>0</v>
      </c>
      <c r="BE52" s="119">
        <f>'2022'!BE432</f>
        <v>0</v>
      </c>
      <c r="BF52" s="106">
        <f>'2022'!BF432</f>
        <v>0</v>
      </c>
      <c r="BG52" s="106">
        <f>'2022'!BG432</f>
        <v>0</v>
      </c>
      <c r="BH52" s="106">
        <f>'2022'!BH432</f>
        <v>0</v>
      </c>
      <c r="BI52" s="106">
        <f t="shared" si="2"/>
        <v>0</v>
      </c>
      <c r="BJ52" s="338">
        <f t="shared" si="3"/>
        <v>0</v>
      </c>
    </row>
    <row r="53" ht="15" customHeight="1" spans="1:62" x14ac:dyDescent="0.25">
      <c r="A53" s="14"/>
      <c r="B53" s="15">
        <v>49</v>
      </c>
      <c r="C53" s="115">
        <v>5.03</v>
      </c>
      <c r="D53" s="117" t="s">
        <v>197</v>
      </c>
      <c r="E53" s="119">
        <f>'2022'!I441</f>
      </c>
      <c r="F53" s="119">
        <f>'2022'!J441</f>
        <v>0</v>
      </c>
      <c r="G53" s="106">
        <f>'2022'!K441</f>
        <v>0</v>
      </c>
      <c r="H53" s="106">
        <f>'2022'!L441</f>
      </c>
      <c r="I53" s="119">
        <f>'2022'!M441</f>
      </c>
      <c r="J53" s="119">
        <f>'2022'!N441</f>
        <v>0</v>
      </c>
      <c r="K53" s="106">
        <f>'2022'!O441</f>
        <v>0</v>
      </c>
      <c r="L53" s="106">
        <f>'2022'!P441</f>
      </c>
      <c r="M53" s="119">
        <f>'2022'!Q441</f>
      </c>
      <c r="N53" s="119">
        <f>'2022'!R441</f>
        <v>0</v>
      </c>
      <c r="O53" s="106">
        <f>'2022'!S441</f>
        <v>0</v>
      </c>
      <c r="P53" s="106">
        <f>'2022'!T441</f>
      </c>
      <c r="Q53" s="119">
        <f>'2022'!U441</f>
      </c>
      <c r="R53" s="119">
        <f>'2022'!V441</f>
        <v>0</v>
      </c>
      <c r="S53" s="106">
        <f>'2022'!W441</f>
        <v>0</v>
      </c>
      <c r="T53" s="106">
        <f>'2022'!X441</f>
      </c>
      <c r="U53" s="119">
        <f>'2022'!Y441</f>
      </c>
      <c r="V53" s="119">
        <f>'2022'!Z441</f>
        <v>0</v>
      </c>
      <c r="W53" s="106">
        <f>'2022'!AA441</f>
        <v>0</v>
      </c>
      <c r="X53" s="106">
        <f>'2022'!AB441</f>
      </c>
      <c r="Y53" s="119">
        <f>'2022'!AC441</f>
      </c>
      <c r="Z53" s="119">
        <f>'2022'!AD441</f>
        <v>0</v>
      </c>
      <c r="AA53" s="106">
        <f>'2022'!AE441</f>
        <v>0</v>
      </c>
      <c r="AB53" s="106">
        <f>'2022'!AF441</f>
      </c>
      <c r="AC53" s="119">
        <f>'2022'!AG441</f>
      </c>
      <c r="AD53" s="106">
        <f>'2022'!AH441</f>
        <v>0</v>
      </c>
      <c r="AE53" s="106">
        <f>'2022'!AI441</f>
        <v>0</v>
      </c>
      <c r="AF53" s="106">
        <f>'2022'!AJ441</f>
      </c>
      <c r="AG53" s="119">
        <f>'2022'!AK441</f>
      </c>
      <c r="AH53" s="119">
        <f>'2022'!AL441</f>
        <v>0</v>
      </c>
      <c r="AI53" s="106">
        <f>'2022'!AM441</f>
        <v>0</v>
      </c>
      <c r="AJ53" s="106">
        <f>'2022'!AN441</f>
      </c>
      <c r="AK53" s="119">
        <f>'2022'!AO441</f>
      </c>
      <c r="AL53" s="119">
        <f>'2022'!AP441</f>
        <v>0</v>
      </c>
      <c r="AM53" s="106">
        <f>'2022'!AQ441</f>
        <v>0</v>
      </c>
      <c r="AN53" s="106">
        <f>'2022'!AR441</f>
      </c>
      <c r="AO53" s="119">
        <f>'2022'!AS441</f>
      </c>
      <c r="AP53" s="119">
        <f>'2022'!AT441</f>
        <v>0</v>
      </c>
      <c r="AQ53" s="106">
        <f>'2022'!AU441</f>
        <v>0</v>
      </c>
      <c r="AR53" s="106">
        <f>'2022'!AV441</f>
      </c>
      <c r="AS53" s="119">
        <f>'2022'!AW441</f>
      </c>
      <c r="AT53" s="119">
        <f>'2022'!AX441</f>
        <v>0</v>
      </c>
      <c r="AU53" s="106">
        <f>'2022'!AY441</f>
        <v>0</v>
      </c>
      <c r="AV53" s="106">
        <f>'2022'!AZ441</f>
      </c>
      <c r="AW53" s="106"/>
      <c r="AX53" s="106">
        <f t="shared" si="0"/>
        <v>0</v>
      </c>
      <c r="AY53" s="119">
        <f>'2022'!BA441</f>
      </c>
      <c r="AZ53" s="119">
        <f>'2022'!BB441</f>
      </c>
      <c r="BA53" s="106">
        <f>'2022'!BC441</f>
        <v>0</v>
      </c>
      <c r="BB53" s="106">
        <f>'2022'!BD441</f>
      </c>
      <c r="BC53" s="106"/>
      <c r="BD53" s="106">
        <f t="shared" si="1"/>
        <v>0</v>
      </c>
      <c r="BE53" s="119">
        <f>'2022'!BE441</f>
        <v>0</v>
      </c>
      <c r="BF53" s="106">
        <f>'2022'!BF441</f>
        <v>0</v>
      </c>
      <c r="BG53" s="106">
        <f>'2022'!BG441</f>
        <v>0</v>
      </c>
      <c r="BH53" s="106">
        <f>'2022'!BH441</f>
        <v>0</v>
      </c>
      <c r="BI53" s="106">
        <f t="shared" si="2"/>
        <v>0</v>
      </c>
      <c r="BJ53" s="338">
        <f t="shared" si="3"/>
        <v>0</v>
      </c>
    </row>
    <row r="54" ht="15" customHeight="1" spans="1:62" x14ac:dyDescent="0.25">
      <c r="A54" s="14"/>
      <c r="B54" s="15">
        <v>50</v>
      </c>
      <c r="C54" s="115">
        <v>6.05</v>
      </c>
      <c r="D54" s="117" t="s">
        <v>200</v>
      </c>
      <c r="E54" s="119">
        <f>'2022'!I450</f>
        <v>10471</v>
      </c>
      <c r="F54" s="119">
        <f>'2022'!J450</f>
        <v>563</v>
      </c>
      <c r="G54" s="106">
        <f>'2022'!K450</f>
        <v>1520.1</v>
      </c>
      <c r="H54" s="106">
        <f>'2022'!L450</f>
      </c>
      <c r="I54" s="119">
        <f>'2022'!M450</f>
        <v>10937</v>
      </c>
      <c r="J54" s="119">
        <f>'2022'!N450</f>
        <v>466</v>
      </c>
      <c r="K54" s="106">
        <f>'2022'!O450</f>
        <v>1258.2</v>
      </c>
      <c r="L54" s="106">
        <f>'2022'!P450</f>
      </c>
      <c r="M54" s="119">
        <f>'2022'!Q450</f>
        <v>11401</v>
      </c>
      <c r="N54" s="119">
        <f>'2022'!R450</f>
        <v>464</v>
      </c>
      <c r="O54" s="106">
        <f>'2022'!S450</f>
        <v>1252.8</v>
      </c>
      <c r="P54" s="106">
        <f>'2022'!T450</f>
        <v>3000</v>
      </c>
      <c r="Q54" s="119">
        <f>'2022'!U450</f>
        <v>11870</v>
      </c>
      <c r="R54" s="119">
        <f>'2022'!V450</f>
        <v>469</v>
      </c>
      <c r="S54" s="106">
        <f>'2022'!W450</f>
        <v>1266.3</v>
      </c>
      <c r="T54" s="106">
        <f>'2022'!X450</f>
        <v>3473</v>
      </c>
      <c r="U54" s="119">
        <f>'2022'!Y450</f>
        <v>12263</v>
      </c>
      <c r="V54" s="119">
        <f>'2022'!Z450</f>
        <v>393</v>
      </c>
      <c r="W54" s="106">
        <f>'2022'!AA450</f>
        <v>1061.1</v>
      </c>
      <c r="X54" s="106">
        <f>'2022'!AB450</f>
      </c>
      <c r="Y54" s="119">
        <f>'2022'!AC450</f>
        <v>12733</v>
      </c>
      <c r="Z54" s="119">
        <f>'2022'!AD450</f>
        <v>470</v>
      </c>
      <c r="AA54" s="106">
        <f>'2022'!AE450</f>
        <v>1269</v>
      </c>
      <c r="AB54" s="106">
        <f>'2022'!AF450</f>
      </c>
      <c r="AC54" s="119">
        <f>'2022'!AG450</f>
        <v>13123</v>
      </c>
      <c r="AD54" s="106">
        <f>'2022'!AH450</f>
        <v>411.84</v>
      </c>
      <c r="AE54" s="106">
        <f>'2022'!AI450</f>
        <v>1013.1264</v>
      </c>
      <c r="AF54" s="106">
        <f>'2022'!AJ450</f>
        <v>3000</v>
      </c>
      <c r="AG54" s="119">
        <f>'2022'!AK450</f>
        <v>13531</v>
      </c>
      <c r="AH54" s="119">
        <f>'2022'!AL450</f>
        <v>419.424</v>
      </c>
      <c r="AI54" s="106">
        <f>'2022'!AM450</f>
        <v>1031.78304</v>
      </c>
      <c r="AJ54" s="106">
        <f>'2022'!AN450</f>
        <v>1609.43</v>
      </c>
      <c r="AK54" s="119">
        <f>'2022'!AO450</f>
        <v>13965</v>
      </c>
      <c r="AL54" s="119">
        <f>'2022'!AP450</f>
        <v>448.322</v>
      </c>
      <c r="AM54" s="106">
        <f>'2022'!AQ450</f>
        <v>1102.87212</v>
      </c>
      <c r="AN54" s="106">
        <f>'2022'!AR450</f>
        <v>1031.78</v>
      </c>
      <c r="AO54" s="119">
        <f>'2022'!AS450</f>
        <v>14504</v>
      </c>
      <c r="AP54" s="119">
        <f>'2022'!AT450</f>
        <v>565.95</v>
      </c>
      <c r="AQ54" s="106">
        <f>'2022'!AU450</f>
        <v>1392.237</v>
      </c>
      <c r="AR54" s="106">
        <f>'2022'!AV450</f>
        <v>1102.87</v>
      </c>
      <c r="AS54" s="119">
        <f>'2022'!AW450</f>
      </c>
      <c r="AT54" s="119">
        <f>'2022'!AX450</f>
        <v>0</v>
      </c>
      <c r="AU54" s="106">
        <f>'2022'!AY450</f>
        <v>0</v>
      </c>
      <c r="AV54" s="106">
        <f>'2022'!AZ450</f>
      </c>
      <c r="AW54" s="106"/>
      <c r="AX54" s="106">
        <f t="shared" si="0"/>
        <v>0</v>
      </c>
      <c r="AY54" s="119">
        <f>'2022'!BA450</f>
      </c>
      <c r="AZ54" s="119">
        <f>'2022'!BB450</f>
      </c>
      <c r="BA54" s="106">
        <f>'2022'!BC450</f>
        <v>0</v>
      </c>
      <c r="BB54" s="106">
        <f>'2022'!BD450</f>
      </c>
      <c r="BC54" s="106"/>
      <c r="BD54" s="106">
        <f t="shared" si="1"/>
        <v>0</v>
      </c>
      <c r="BE54" s="119">
        <f>'2022'!BE450</f>
        <v>4670.536</v>
      </c>
      <c r="BF54" s="106">
        <f>'2022'!BF450</f>
        <v>12167.51856</v>
      </c>
      <c r="BG54" s="106">
        <f>'2022'!BG450</f>
        <v>13217.08</v>
      </c>
      <c r="BH54" s="106">
        <f>'2022'!BH450</f>
        <v>1392.23856</v>
      </c>
      <c r="BI54" s="106">
        <f t="shared" si="2"/>
        <v>0</v>
      </c>
      <c r="BJ54" s="338">
        <f t="shared" si="3"/>
        <v>1392.23856</v>
      </c>
    </row>
    <row r="55" ht="15" customHeight="1" spans="1:62" x14ac:dyDescent="0.25">
      <c r="A55" s="14"/>
      <c r="B55" s="15">
        <v>51</v>
      </c>
      <c r="C55" s="115">
        <v>4.95</v>
      </c>
      <c r="D55" s="117" t="s">
        <v>204</v>
      </c>
      <c r="E55" s="119">
        <f>'2022'!I459</f>
        <v>1968</v>
      </c>
      <c r="F55" s="119">
        <f>'2022'!J459</f>
        <v>0</v>
      </c>
      <c r="G55" s="106">
        <f>'2022'!K459</f>
        <v>0</v>
      </c>
      <c r="H55" s="106">
        <f>'2022'!L459</f>
      </c>
      <c r="I55" s="119">
        <f>'2022'!M459</f>
        <v>1968</v>
      </c>
      <c r="J55" s="119">
        <f>'2022'!N459</f>
        <v>0</v>
      </c>
      <c r="K55" s="106">
        <f>'2022'!O459</f>
        <v>0</v>
      </c>
      <c r="L55" s="106">
        <f>'2022'!P459</f>
      </c>
      <c r="M55" s="119">
        <f>'2022'!Q459</f>
        <v>1968</v>
      </c>
      <c r="N55" s="119">
        <f>'2022'!R459</f>
        <v>0</v>
      </c>
      <c r="O55" s="106">
        <f>'2022'!S459</f>
        <v>0</v>
      </c>
      <c r="P55" s="106">
        <f>'2022'!T459</f>
      </c>
      <c r="Q55" s="119">
        <f>'2022'!U459</f>
        <v>2053</v>
      </c>
      <c r="R55" s="119">
        <f>'2022'!V459</f>
        <v>85</v>
      </c>
      <c r="S55" s="106">
        <f>'2022'!W459</f>
        <v>229.5</v>
      </c>
      <c r="T55" s="106">
        <f>'2022'!X459</f>
      </c>
      <c r="U55" s="119">
        <f>'2022'!Y459</f>
        <v>2217</v>
      </c>
      <c r="V55" s="119">
        <f>'2022'!Z459</f>
        <v>164</v>
      </c>
      <c r="W55" s="106">
        <f>'2022'!AA459</f>
        <v>442.8</v>
      </c>
      <c r="X55" s="106">
        <f>'2022'!AB459</f>
      </c>
      <c r="Y55" s="119">
        <f>'2022'!AC459</f>
        <v>2864</v>
      </c>
      <c r="Z55" s="119">
        <f>'2022'!AD459</f>
        <v>647</v>
      </c>
      <c r="AA55" s="106">
        <f>'2022'!AE459</f>
        <v>1746.9</v>
      </c>
      <c r="AB55" s="106">
        <f>'2022'!AF459</f>
      </c>
      <c r="AC55" s="119">
        <f>'2022'!AG459</f>
        <v>3120</v>
      </c>
      <c r="AD55" s="106">
        <f>'2022'!AH459</f>
        <v>270.336</v>
      </c>
      <c r="AE55" s="106">
        <f>'2022'!AI459</f>
        <v>665.02656</v>
      </c>
      <c r="AF55" s="106">
        <f>'2022'!AJ459</f>
      </c>
      <c r="AG55" s="119">
        <f>'2022'!AK459</f>
        <v>3690</v>
      </c>
      <c r="AH55" s="119">
        <f>'2022'!AL459</f>
        <v>585.96</v>
      </c>
      <c r="AI55" s="106">
        <f>'2022'!AM459</f>
        <v>1441.4616</v>
      </c>
      <c r="AJ55" s="106">
        <f>'2022'!AN459</f>
      </c>
      <c r="AK55" s="119">
        <f>'2022'!AO459</f>
        <v>4145</v>
      </c>
      <c r="AL55" s="119">
        <f>'2022'!AP459</f>
        <v>470.015</v>
      </c>
      <c r="AM55" s="106">
        <f>'2022'!AQ459</f>
        <v>1156.2369</v>
      </c>
      <c r="AN55" s="106">
        <f>'2022'!AR459</f>
        <v>3111.69</v>
      </c>
      <c r="AO55" s="119">
        <f>'2022'!AS459</f>
        <v>4215</v>
      </c>
      <c r="AP55" s="119">
        <f>'2022'!AT459</f>
        <v>73.5</v>
      </c>
      <c r="AQ55" s="106">
        <f>'2022'!AU459</f>
        <v>180.81</v>
      </c>
      <c r="AR55" s="106">
        <f>'2022'!AV459</f>
      </c>
      <c r="AS55" s="119">
        <f>'2022'!AW459</f>
      </c>
      <c r="AT55" s="119">
        <f>'2022'!AX459</f>
        <v>0</v>
      </c>
      <c r="AU55" s="106">
        <f>'2022'!AY459</f>
        <v>0</v>
      </c>
      <c r="AV55" s="106">
        <f>'2022'!AZ459</f>
      </c>
      <c r="AW55" s="106"/>
      <c r="AX55" s="106">
        <f t="shared" si="0"/>
        <v>0</v>
      </c>
      <c r="AY55" s="119">
        <f>'2022'!BA459</f>
      </c>
      <c r="AZ55" s="119">
        <f>'2022'!BB459</f>
      </c>
      <c r="BA55" s="106">
        <f>'2022'!BC459</f>
        <v>0</v>
      </c>
      <c r="BB55" s="106">
        <f>'2022'!BD459</f>
      </c>
      <c r="BC55" s="106"/>
      <c r="BD55" s="106">
        <f t="shared" si="1"/>
        <v>0</v>
      </c>
      <c r="BE55" s="119">
        <f>'2022'!BE459</f>
        <v>2295.811</v>
      </c>
      <c r="BF55" s="106">
        <f>'2022'!BF459</f>
        <v>5862.73506</v>
      </c>
      <c r="BG55" s="106">
        <f>'2022'!BG459</f>
        <v>3111.69</v>
      </c>
      <c r="BH55" s="106">
        <f>'2022'!BH459</f>
        <v>1337.04506</v>
      </c>
      <c r="BI55" s="106">
        <f t="shared" si="2"/>
        <v>0</v>
      </c>
      <c r="BJ55" s="338">
        <f t="shared" si="3"/>
        <v>1337.04506</v>
      </c>
    </row>
    <row r="56" ht="15" customHeight="1" spans="1:62" x14ac:dyDescent="0.25">
      <c r="A56" s="14"/>
      <c r="B56" s="15">
        <v>52</v>
      </c>
      <c r="C56" s="116">
        <v>5</v>
      </c>
      <c r="D56" s="117" t="s">
        <v>206</v>
      </c>
      <c r="E56" s="119">
        <f>'2022'!I468</f>
        <v>180</v>
      </c>
      <c r="F56" s="119">
        <f>'2022'!J468</f>
        <v>0</v>
      </c>
      <c r="G56" s="106">
        <f>'2022'!K468</f>
        <v>0</v>
      </c>
      <c r="H56" s="106">
        <f>'2022'!L468</f>
      </c>
      <c r="I56" s="119">
        <f>'2022'!M468</f>
        <v>180</v>
      </c>
      <c r="J56" s="119">
        <f>'2022'!N468</f>
        <v>0</v>
      </c>
      <c r="K56" s="106">
        <f>'2022'!O468</f>
        <v>0</v>
      </c>
      <c r="L56" s="106">
        <f>'2022'!P468</f>
      </c>
      <c r="M56" s="119">
        <f>'2022'!Q468</f>
        <v>180</v>
      </c>
      <c r="N56" s="119">
        <f>'2022'!R468</f>
        <v>0</v>
      </c>
      <c r="O56" s="106">
        <f>'2022'!S468</f>
        <v>0</v>
      </c>
      <c r="P56" s="106">
        <f>'2022'!T468</f>
      </c>
      <c r="Q56" s="119">
        <f>'2022'!U468</f>
        <v>180</v>
      </c>
      <c r="R56" s="119">
        <f>'2022'!V468</f>
        <v>0</v>
      </c>
      <c r="S56" s="106">
        <f>'2022'!W468</f>
        <v>0</v>
      </c>
      <c r="T56" s="106">
        <f>'2022'!X468</f>
      </c>
      <c r="U56" s="119">
        <f>'2022'!Y468</f>
        <v>189</v>
      </c>
      <c r="V56" s="119">
        <f>'2022'!Z468</f>
        <v>9</v>
      </c>
      <c r="W56" s="106">
        <f>'2022'!AA468</f>
        <v>24.3</v>
      </c>
      <c r="X56" s="106">
        <f>'2022'!AB468</f>
      </c>
      <c r="Y56" s="119">
        <f>'2022'!AC468</f>
        <v>198</v>
      </c>
      <c r="Z56" s="119">
        <f>'2022'!AD468</f>
        <v>9</v>
      </c>
      <c r="AA56" s="106">
        <f>'2022'!AE468</f>
        <v>24.3</v>
      </c>
      <c r="AB56" s="106">
        <f>'2022'!AF468</f>
        <v>200</v>
      </c>
      <c r="AC56" s="119">
        <f>'2022'!AG468</f>
        <v>205</v>
      </c>
      <c r="AD56" s="106">
        <f>'2022'!AH468</f>
        <v>7.392</v>
      </c>
      <c r="AE56" s="106">
        <f>'2022'!AI468</f>
        <v>18.18432</v>
      </c>
      <c r="AF56" s="106">
        <f>'2022'!AJ468</f>
      </c>
      <c r="AG56" s="119">
        <f>'2022'!AK468</f>
        <v>211</v>
      </c>
      <c r="AH56" s="119">
        <f>'2022'!AL468</f>
        <v>6.168</v>
      </c>
      <c r="AI56" s="106">
        <f>'2022'!AM468</f>
        <v>15.17328</v>
      </c>
      <c r="AJ56" s="106">
        <f>'2022'!AN468</f>
      </c>
      <c r="AK56" s="119">
        <f>'2022'!AO468</f>
        <v>217</v>
      </c>
      <c r="AL56" s="119">
        <f>'2022'!AP468</f>
        <v>6.198</v>
      </c>
      <c r="AM56" s="106">
        <f>'2022'!AQ468</f>
        <v>15.24708</v>
      </c>
      <c r="AN56" s="106">
        <f>'2022'!AR468</f>
      </c>
      <c r="AO56" s="119">
        <f>'2022'!AS468</f>
        <v>221</v>
      </c>
      <c r="AP56" s="119">
        <f>'2022'!AT468</f>
        <v>4.2</v>
      </c>
      <c r="AQ56" s="106">
        <f>'2022'!AU468</f>
        <v>10.332</v>
      </c>
      <c r="AR56" s="106">
        <f>'2022'!AV468</f>
      </c>
      <c r="AS56" s="119">
        <f>'2022'!AW468</f>
      </c>
      <c r="AT56" s="119">
        <f>'2022'!AX468</f>
        <v>0</v>
      </c>
      <c r="AU56" s="106">
        <f>'2022'!AY468</f>
        <v>0</v>
      </c>
      <c r="AV56" s="106">
        <f>'2022'!AZ468</f>
      </c>
      <c r="AW56" s="106"/>
      <c r="AX56" s="106">
        <f t="shared" si="0"/>
        <v>0</v>
      </c>
      <c r="AY56" s="119">
        <f>'2022'!BA468</f>
      </c>
      <c r="AZ56" s="119">
        <f>'2022'!BB468</f>
      </c>
      <c r="BA56" s="106">
        <f>'2022'!BC468</f>
        <v>0</v>
      </c>
      <c r="BB56" s="106">
        <f>'2022'!BD468</f>
      </c>
      <c r="BC56" s="106"/>
      <c r="BD56" s="106">
        <f t="shared" si="1"/>
        <v>0</v>
      </c>
      <c r="BE56" s="119">
        <f>'2022'!BE468</f>
        <v>41.958</v>
      </c>
      <c r="BF56" s="106">
        <f>'2022'!BF468</f>
        <v>107.53668</v>
      </c>
      <c r="BG56" s="106">
        <f>'2022'!BG468</f>
        <v>200</v>
      </c>
      <c r="BH56" s="106">
        <f>'2022'!BH468</f>
        <v>-203.80332</v>
      </c>
      <c r="BI56" s="106">
        <f t="shared" si="2"/>
        <v>0</v>
      </c>
      <c r="BJ56" s="338">
        <f t="shared" si="3"/>
        <v>-203.80332</v>
      </c>
    </row>
    <row r="57" ht="15" customHeight="1" spans="1:62" x14ac:dyDescent="0.25">
      <c r="A57" s="14"/>
      <c r="B57" s="15">
        <v>53</v>
      </c>
      <c r="C57" s="115">
        <v>5.05</v>
      </c>
      <c r="D57" s="117" t="s">
        <v>210</v>
      </c>
      <c r="E57" s="119">
        <f>'2022'!I477</f>
        <v>27202</v>
      </c>
      <c r="F57" s="119">
        <f>'2022'!J477</f>
        <v>3345</v>
      </c>
      <c r="G57" s="106">
        <f>'2022'!K477</f>
        <v>9031.5</v>
      </c>
      <c r="H57" s="106">
        <f>'2022'!L477</f>
      </c>
      <c r="I57" s="119">
        <f>'2022'!M477</f>
        <v>2250</v>
      </c>
      <c r="J57" s="119">
        <f>'2022'!N477</f>
        <v>2250</v>
      </c>
      <c r="K57" s="106">
        <f>'2022'!O477</f>
        <v>6075</v>
      </c>
      <c r="L57" s="106">
        <f>'2022'!P477</f>
        <v>5000</v>
      </c>
      <c r="M57" s="119">
        <f>'2022'!Q477</f>
        <v>4895</v>
      </c>
      <c r="N57" s="119">
        <f>'2022'!R477</f>
        <v>2645</v>
      </c>
      <c r="O57" s="106">
        <f>'2022'!S477</f>
        <v>7141.5</v>
      </c>
      <c r="P57" s="106">
        <f>'2022'!T477</f>
        <v>12000</v>
      </c>
      <c r="Q57" s="119">
        <f>'2022'!U477</f>
        <v>6809</v>
      </c>
      <c r="R57" s="119">
        <f>'2022'!V477</f>
        <v>1914</v>
      </c>
      <c r="S57" s="106">
        <f>'2022'!W477</f>
        <v>5167.8</v>
      </c>
      <c r="T57" s="106">
        <f>'2022'!X477</f>
        <v>5000</v>
      </c>
      <c r="U57" s="119">
        <f>'2022'!Y477</f>
        <v>7826</v>
      </c>
      <c r="V57" s="119">
        <f>'2022'!Z477</f>
        <v>1017</v>
      </c>
      <c r="W57" s="106">
        <f>'2022'!AA477</f>
        <v>2745.9</v>
      </c>
      <c r="X57" s="106">
        <f>'2022'!AB477</f>
        <v>4000</v>
      </c>
      <c r="Y57" s="119">
        <f>'2022'!AC477</f>
        <v>8381</v>
      </c>
      <c r="Z57" s="119">
        <f>'2022'!AD477</f>
        <v>555</v>
      </c>
      <c r="AA57" s="106">
        <f>'2022'!AE477</f>
        <v>1498.5</v>
      </c>
      <c r="AB57" s="106">
        <f>'2022'!AF477</f>
        <v>3000</v>
      </c>
      <c r="AC57" s="119">
        <f>'2022'!AG477</f>
        <v>8874</v>
      </c>
      <c r="AD57" s="106">
        <f>'2022'!AH477</f>
        <v>520.608</v>
      </c>
      <c r="AE57" s="106">
        <f>'2022'!AI477</f>
        <v>1280.69568</v>
      </c>
      <c r="AF57" s="106">
        <f>'2022'!AJ477</f>
        <v>5000</v>
      </c>
      <c r="AG57" s="119">
        <f>'2022'!AK477</f>
        <v>9534</v>
      </c>
      <c r="AH57" s="119">
        <f>'2022'!AL477</f>
        <v>678.48</v>
      </c>
      <c r="AI57" s="106">
        <f>'2022'!AM477</f>
        <v>1669.0608</v>
      </c>
      <c r="AJ57" s="106">
        <f>'2022'!AN477</f>
        <v>666.43</v>
      </c>
      <c r="AK57" s="119">
        <f>'2022'!AO477</f>
        <v>10475</v>
      </c>
      <c r="AL57" s="119">
        <f>'2022'!AP477</f>
        <v>972.053</v>
      </c>
      <c r="AM57" s="106">
        <f>'2022'!AQ477</f>
        <v>2391.25038</v>
      </c>
      <c r="AN57" s="106">
        <f>'2022'!AR477</f>
        <v>1700</v>
      </c>
      <c r="AO57" s="119">
        <f>'2022'!AS477</f>
        <v>12624</v>
      </c>
      <c r="AP57" s="119">
        <f>'2022'!AT477</f>
        <v>2256.45</v>
      </c>
      <c r="AQ57" s="106">
        <f>'2022'!AU477</f>
        <v>5550.867</v>
      </c>
      <c r="AR57" s="106">
        <f>'2022'!AV477</f>
        <v>3000</v>
      </c>
      <c r="AS57" s="126">
        <f>'2022'!AW477</f>
      </c>
      <c r="AT57" s="119">
        <f>'2022'!AX477</f>
        <v>0</v>
      </c>
      <c r="AU57" s="106">
        <f>'2022'!AY477</f>
        <v>0</v>
      </c>
      <c r="AV57" s="106">
        <f>'2022'!AZ477</f>
      </c>
      <c r="AW57" s="119"/>
      <c r="AX57" s="106">
        <f t="shared" si="0"/>
        <v>0</v>
      </c>
      <c r="AY57" s="119">
        <f>'2022'!BA477</f>
      </c>
      <c r="AZ57" s="119">
        <f>'2022'!BB477</f>
      </c>
      <c r="BA57" s="106">
        <f>'2022'!BC477</f>
        <v>0</v>
      </c>
      <c r="BB57" s="106">
        <f>'2022'!BD477</f>
      </c>
      <c r="BC57" s="106"/>
      <c r="BD57" s="106">
        <f t="shared" si="1"/>
        <v>0</v>
      </c>
      <c r="BE57" s="119">
        <f>'2022'!BE477</f>
        <v>16153.591</v>
      </c>
      <c r="BF57" s="106">
        <f>'2022'!BF477</f>
        <v>42552.07386</v>
      </c>
      <c r="BG57" s="106">
        <f>'2022'!BG477</f>
        <v>39366.43</v>
      </c>
      <c r="BH57" s="106">
        <f>'2022'!BH477</f>
        <v>4916.17386</v>
      </c>
      <c r="BI57" s="106">
        <f t="shared" si="2"/>
        <v>0</v>
      </c>
      <c r="BJ57" s="338">
        <f t="shared" si="3"/>
        <v>4916.17386</v>
      </c>
    </row>
    <row r="58" ht="15" customHeight="1" spans="1:62" x14ac:dyDescent="0.25">
      <c r="A58" s="14"/>
      <c r="B58" s="15">
        <v>54</v>
      </c>
      <c r="C58" s="115">
        <v>5.54</v>
      </c>
      <c r="D58" s="117" t="s">
        <v>212</v>
      </c>
      <c r="E58" s="119">
        <f>'2022'!I486</f>
        <v>502</v>
      </c>
      <c r="F58" s="119">
        <f>'2022'!J486</f>
        <v>15</v>
      </c>
      <c r="G58" s="106">
        <f>'2022'!K486</f>
        <v>40.5</v>
      </c>
      <c r="H58" s="106">
        <f>'2022'!L486</f>
      </c>
      <c r="I58" s="119">
        <f>'2022'!M486</f>
        <v>509</v>
      </c>
      <c r="J58" s="119">
        <f>'2022'!N486</f>
        <v>7</v>
      </c>
      <c r="K58" s="106">
        <f>'2022'!O486</f>
        <v>18.9</v>
      </c>
      <c r="L58" s="106">
        <f>'2022'!P486</f>
      </c>
      <c r="M58" s="119">
        <f>'2022'!Q486</f>
        <v>509</v>
      </c>
      <c r="N58" s="119">
        <f>'2022'!R486</f>
        <v>0</v>
      </c>
      <c r="O58" s="106">
        <f>'2022'!S486</f>
        <v>0</v>
      </c>
      <c r="P58" s="106">
        <f>'2022'!T486</f>
        <v>500</v>
      </c>
      <c r="Q58" s="119">
        <f>'2022'!U486</f>
        <v>509</v>
      </c>
      <c r="R58" s="119">
        <f>'2022'!V486</f>
        <v>0</v>
      </c>
      <c r="S58" s="106">
        <f>'2022'!W486</f>
        <v>0</v>
      </c>
      <c r="T58" s="106">
        <f>'2022'!X486</f>
      </c>
      <c r="U58" s="119">
        <f>'2022'!Y486</f>
        <v>533</v>
      </c>
      <c r="V58" s="119">
        <f>'2022'!Z486</f>
        <v>24</v>
      </c>
      <c r="W58" s="106">
        <f>'2022'!AA486</f>
        <v>64.8</v>
      </c>
      <c r="X58" s="106">
        <f>'2022'!AB486</f>
      </c>
      <c r="Y58" s="119">
        <f>'2022'!AC486</f>
        <v>542</v>
      </c>
      <c r="Z58" s="119">
        <f>'2022'!AD486</f>
        <v>9</v>
      </c>
      <c r="AA58" s="106">
        <f>'2022'!AE486</f>
        <v>24.3</v>
      </c>
      <c r="AB58" s="106">
        <f>'2022'!AF486</f>
      </c>
      <c r="AC58" s="119">
        <f>'2022'!AG486</f>
        <v>550</v>
      </c>
      <c r="AD58" s="106">
        <f>'2022'!AH486</f>
        <v>8.448</v>
      </c>
      <c r="AE58" s="106">
        <f>'2022'!AI486</f>
        <v>20.78208</v>
      </c>
      <c r="AF58" s="106">
        <f>'2022'!AJ486</f>
      </c>
      <c r="AG58" s="119">
        <f>'2022'!AK486</f>
        <v>554</v>
      </c>
      <c r="AH58" s="119">
        <f>'2022'!AL486</f>
        <v>4.112</v>
      </c>
      <c r="AI58" s="106">
        <f>'2022'!AM486</f>
        <v>10.11552</v>
      </c>
      <c r="AJ58" s="106">
        <f>'2022'!AN486</f>
      </c>
      <c r="AK58" s="119">
        <f>'2022'!AO486</f>
        <v>557</v>
      </c>
      <c r="AL58" s="119">
        <f>'2022'!AP486</f>
        <v>3.099</v>
      </c>
      <c r="AM58" s="106">
        <f>'2022'!AQ486</f>
        <v>7.62354</v>
      </c>
      <c r="AN58" s="106">
        <f>'2022'!AR486</f>
      </c>
      <c r="AO58" s="119">
        <f>'2022'!AS486</f>
        <v>561</v>
      </c>
      <c r="AP58" s="119">
        <f>'2022'!AT486</f>
        <v>4.2</v>
      </c>
      <c r="AQ58" s="106">
        <f>'2022'!AU486</f>
        <v>10.332</v>
      </c>
      <c r="AR58" s="106">
        <f>'2022'!AV486</f>
      </c>
      <c r="AS58" s="119">
        <f>'2022'!AW486</f>
      </c>
      <c r="AT58" s="119">
        <f>'2022'!AX486</f>
        <v>0</v>
      </c>
      <c r="AU58" s="106">
        <f>'2022'!AY486</f>
        <v>0</v>
      </c>
      <c r="AV58" s="106">
        <f>'2022'!AZ486</f>
      </c>
      <c r="AW58" s="106"/>
      <c r="AX58" s="106">
        <f t="shared" si="0"/>
        <v>0</v>
      </c>
      <c r="AY58" s="119">
        <f>'2022'!BA486</f>
      </c>
      <c r="AZ58" s="119">
        <f>'2022'!BB486</f>
      </c>
      <c r="BA58" s="106">
        <f>'2022'!BC486</f>
        <v>0</v>
      </c>
      <c r="BB58" s="106">
        <f>'2022'!BD486</f>
      </c>
      <c r="BC58" s="106"/>
      <c r="BD58" s="106">
        <f t="shared" si="1"/>
        <v>0</v>
      </c>
      <c r="BE58" s="119">
        <f>'2022'!BE486</f>
        <v>74.859</v>
      </c>
      <c r="BF58" s="106">
        <f>'2022'!BF486</f>
        <v>197.35314</v>
      </c>
      <c r="BG58" s="106">
        <f>'2022'!BG486</f>
        <v>500</v>
      </c>
      <c r="BH58" s="106">
        <f>'2022'!BH486</f>
        <v>-92.04686</v>
      </c>
      <c r="BI58" s="106">
        <f t="shared" si="2"/>
        <v>0</v>
      </c>
      <c r="BJ58" s="338">
        <f t="shared" si="3"/>
        <v>-92.04686</v>
      </c>
    </row>
    <row r="59" ht="15" customHeight="1" spans="1:62" x14ac:dyDescent="0.25">
      <c r="A59" s="21"/>
      <c r="B59" s="15">
        <v>55</v>
      </c>
      <c r="C59" s="116">
        <v>5.5</v>
      </c>
      <c r="D59" s="117" t="s">
        <v>214</v>
      </c>
      <c r="E59" s="119">
        <f>'2022'!I495</f>
        <v>617</v>
      </c>
      <c r="F59" s="119">
        <f>'2022'!J495</f>
        <v>0</v>
      </c>
      <c r="G59" s="106">
        <f>'2022'!K495</f>
        <v>0</v>
      </c>
      <c r="H59" s="106">
        <f>'2022'!L495</f>
      </c>
      <c r="I59" s="119">
        <f>'2022'!M495</f>
        <v>617</v>
      </c>
      <c r="J59" s="119">
        <f>'2022'!N495</f>
        <v>0</v>
      </c>
      <c r="K59" s="106">
        <f>'2022'!O495</f>
        <v>0</v>
      </c>
      <c r="L59" s="106">
        <f>'2022'!P495</f>
      </c>
      <c r="M59" s="119">
        <f>'2022'!Q495</f>
        <v>617</v>
      </c>
      <c r="N59" s="119">
        <f>'2022'!R495</f>
        <v>0</v>
      </c>
      <c r="O59" s="106">
        <f>'2022'!S495</f>
        <v>0</v>
      </c>
      <c r="P59" s="106">
        <f>'2022'!T495</f>
      </c>
      <c r="Q59" s="119">
        <f>'2022'!U495</f>
        <v>617</v>
      </c>
      <c r="R59" s="119">
        <f>'2022'!V495</f>
        <v>0</v>
      </c>
      <c r="S59" s="106">
        <f>'2022'!W495</f>
        <v>0</v>
      </c>
      <c r="T59" s="106">
        <f>'2022'!X495</f>
      </c>
      <c r="U59" s="119">
        <f>'2022'!Y495</f>
        <v>617</v>
      </c>
      <c r="V59" s="119">
        <f>'2022'!Z495</f>
        <v>0</v>
      </c>
      <c r="W59" s="106">
        <f>'2022'!AA495</f>
        <v>0</v>
      </c>
      <c r="X59" s="106">
        <f>'2022'!AB495</f>
        <v>2.7</v>
      </c>
      <c r="Y59" s="119">
        <f>'2022'!AC495</f>
        <v>617</v>
      </c>
      <c r="Z59" s="119">
        <f>'2022'!AD495</f>
        <v>0</v>
      </c>
      <c r="AA59" s="106">
        <f>'2022'!AE495</f>
        <v>0</v>
      </c>
      <c r="AB59" s="106">
        <f>'2022'!AF495</f>
      </c>
      <c r="AC59" s="119">
        <f>'2022'!AG495</f>
        <v>617</v>
      </c>
      <c r="AD59" s="106">
        <f>'2022'!AH495</f>
        <v>0</v>
      </c>
      <c r="AE59" s="106">
        <f>'2022'!AI495</f>
        <v>0</v>
      </c>
      <c r="AF59" s="106">
        <f>'2022'!AJ495</f>
      </c>
      <c r="AG59" s="119">
        <f>'2022'!AK495</f>
        <v>617</v>
      </c>
      <c r="AH59" s="119">
        <f>'2022'!AL495</f>
        <v>0</v>
      </c>
      <c r="AI59" s="106">
        <f>'2022'!AM495</f>
        <v>0</v>
      </c>
      <c r="AJ59" s="106">
        <f>'2022'!AN495</f>
      </c>
      <c r="AK59" s="119">
        <f>'2022'!AO495</f>
        <v>617</v>
      </c>
      <c r="AL59" s="119">
        <f>'2022'!AP495</f>
        <v>0</v>
      </c>
      <c r="AM59" s="106">
        <f>'2022'!AQ495</f>
        <v>0</v>
      </c>
      <c r="AN59" s="106">
        <f>'2022'!AR495</f>
      </c>
      <c r="AO59" s="119">
        <f>'2022'!AS495</f>
        <v>617</v>
      </c>
      <c r="AP59" s="119">
        <f>'2022'!AT495</f>
        <v>0</v>
      </c>
      <c r="AQ59" s="106">
        <f>'2022'!AU495</f>
        <v>0</v>
      </c>
      <c r="AR59" s="106">
        <f>'2022'!AV495</f>
      </c>
      <c r="AS59" s="126">
        <f>'2022'!AW495</f>
      </c>
      <c r="AT59" s="119">
        <f>'2022'!AX495</f>
        <v>0</v>
      </c>
      <c r="AU59" s="106">
        <f>'2022'!AY495</f>
        <v>0</v>
      </c>
      <c r="AV59" s="106">
        <f>'2022'!AZ495</f>
      </c>
      <c r="AW59" s="106"/>
      <c r="AX59" s="106">
        <f t="shared" si="0"/>
        <v>0</v>
      </c>
      <c r="AY59" s="119">
        <f>'2022'!BA495</f>
      </c>
      <c r="AZ59" s="119">
        <f>'2022'!BB495</f>
      </c>
      <c r="BA59" s="106">
        <f>'2022'!BC495</f>
        <v>0</v>
      </c>
      <c r="BB59" s="106">
        <f>'2022'!BD495</f>
      </c>
      <c r="BC59" s="106"/>
      <c r="BD59" s="106">
        <f t="shared" si="1"/>
        <v>0</v>
      </c>
      <c r="BE59" s="119">
        <f>'2022'!BE495</f>
        <v>0</v>
      </c>
      <c r="BF59" s="106">
        <f>'2022'!BF495</f>
        <v>0</v>
      </c>
      <c r="BG59" s="106">
        <f>'2022'!BG495</f>
        <v>2.7</v>
      </c>
      <c r="BH59" s="106">
        <f>'2022'!BH495</f>
        <v>0</v>
      </c>
      <c r="BI59" s="106">
        <f t="shared" si="2"/>
        <v>0</v>
      </c>
      <c r="BJ59" s="338">
        <f t="shared" si="3"/>
        <v>0</v>
      </c>
    </row>
    <row r="60" ht="15" customHeight="1" spans="1:62" x14ac:dyDescent="0.25">
      <c r="A60" s="114" t="s">
        <v>217</v>
      </c>
      <c r="B60" s="15">
        <v>56</v>
      </c>
      <c r="C60" s="115">
        <v>6.23</v>
      </c>
      <c r="D60" s="117" t="s">
        <v>423</v>
      </c>
      <c r="E60" s="119">
        <f>'2022'!I504</f>
        <v>29454</v>
      </c>
      <c r="F60" s="119">
        <f>'2022'!J504</f>
        <v>857</v>
      </c>
      <c r="G60" s="106">
        <f>'2022'!K504</f>
        <v>2313.9</v>
      </c>
      <c r="H60" s="106">
        <f>'2022'!L504</f>
      </c>
      <c r="I60" s="119">
        <f>'2022'!M504</f>
        <v>29720</v>
      </c>
      <c r="J60" s="119">
        <f>'2022'!N504</f>
        <v>266</v>
      </c>
      <c r="K60" s="106">
        <f>'2022'!O504</f>
        <v>718.2</v>
      </c>
      <c r="L60" s="106">
        <f>'2022'!P504</f>
        <v>2313.9</v>
      </c>
      <c r="M60" s="119">
        <f>'2022'!Q504</f>
        <v>30222</v>
      </c>
      <c r="N60" s="119">
        <f>'2022'!R504</f>
        <v>502</v>
      </c>
      <c r="O60" s="106">
        <f>'2022'!S504</f>
        <v>1355.4</v>
      </c>
      <c r="P60" s="106">
        <f>'2022'!T504</f>
        <v>2073.6</v>
      </c>
      <c r="Q60" s="119">
        <f>'2022'!U504</f>
        <v>30777</v>
      </c>
      <c r="R60" s="119">
        <f>'2022'!V504</f>
        <v>555</v>
      </c>
      <c r="S60" s="106">
        <f>'2022'!W504</f>
        <v>1498.5</v>
      </c>
      <c r="T60" s="106">
        <f>'2022'!X504</f>
      </c>
      <c r="U60" s="119">
        <f>'2022'!Y504</f>
        <v>31328</v>
      </c>
      <c r="V60" s="119">
        <f>'2022'!Z504</f>
        <v>551</v>
      </c>
      <c r="W60" s="106">
        <f>'2022'!AA504</f>
        <v>1487.7</v>
      </c>
      <c r="X60" s="106">
        <f>'2022'!AB504</f>
        <v>1498.5</v>
      </c>
      <c r="Y60" s="119">
        <f>'2022'!AC504</f>
        <v>31905</v>
      </c>
      <c r="Z60" s="119">
        <f>'2022'!AD504</f>
        <v>577</v>
      </c>
      <c r="AA60" s="106">
        <f>'2022'!AE504</f>
        <v>1557.9</v>
      </c>
      <c r="AB60" s="106">
        <f>'2022'!AF504</f>
      </c>
      <c r="AC60" s="119">
        <f>'2022'!AG504</f>
        <v>32422</v>
      </c>
      <c r="AD60" s="106">
        <f>'2022'!AH504</f>
        <v>545.952</v>
      </c>
      <c r="AE60" s="106">
        <f>'2022'!AI504</f>
        <v>1343.04192</v>
      </c>
      <c r="AF60" s="106">
        <f>'2022'!AJ504</f>
        <v>3045.6</v>
      </c>
      <c r="AG60" s="119">
        <f>'2022'!AK504</f>
        <v>32943</v>
      </c>
      <c r="AH60" s="119">
        <f>'2022'!AL504</f>
        <v>535.588</v>
      </c>
      <c r="AI60" s="106">
        <f>'2022'!AM504</f>
        <v>1317.54648</v>
      </c>
      <c r="AJ60" s="106">
        <f>'2022'!AN504</f>
        <v>2184.7</v>
      </c>
      <c r="AK60" s="119">
        <f>'2022'!AO504</f>
        <v>33592</v>
      </c>
      <c r="AL60" s="119">
        <f>'2022'!AP504</f>
        <v>670.417</v>
      </c>
      <c r="AM60" s="106">
        <f>'2022'!AQ504</f>
        <v>1649.22582</v>
      </c>
      <c r="AN60" s="106">
        <f>'2022'!AR504</f>
      </c>
      <c r="AO60" s="119">
        <f>'2022'!AS504</f>
        <v>34737</v>
      </c>
      <c r="AP60" s="119">
        <f>'2022'!AT504</f>
        <v>1202.25</v>
      </c>
      <c r="AQ60" s="106">
        <f>'2022'!AU504</f>
        <v>2957.535</v>
      </c>
      <c r="AR60" s="106">
        <f>'2022'!AV504</f>
        <v>2125.11</v>
      </c>
      <c r="AS60" s="126">
        <f>'2022'!AW504</f>
      </c>
      <c r="AT60" s="119">
        <f>'2022'!AX504</f>
        <v>0</v>
      </c>
      <c r="AU60" s="106">
        <f>'2022'!AY504</f>
        <v>0</v>
      </c>
      <c r="AV60" s="106">
        <f>'2022'!AZ504</f>
      </c>
      <c r="AW60" s="106"/>
      <c r="AX60" s="106">
        <f t="shared" si="0"/>
        <v>0</v>
      </c>
      <c r="AY60" s="119">
        <f>'2022'!BA504</f>
      </c>
      <c r="AZ60" s="119">
        <f>'2022'!BB504</f>
      </c>
      <c r="BA60" s="106">
        <f>'2022'!BC504</f>
        <v>0</v>
      </c>
      <c r="BB60" s="106">
        <f>'2022'!BD504</f>
      </c>
      <c r="BC60" s="106"/>
      <c r="BD60" s="106">
        <f t="shared" si="1"/>
        <v>0</v>
      </c>
      <c r="BE60" s="119">
        <f>'2022'!BE504</f>
        <v>6262.207</v>
      </c>
      <c r="BF60" s="106">
        <f>'2022'!BF504</f>
        <v>16198.94922</v>
      </c>
      <c r="BG60" s="106">
        <f>'2022'!BG504</f>
        <v>13241.41</v>
      </c>
      <c r="BH60" s="106">
        <f>'2022'!BH504</f>
        <v>2957.53922</v>
      </c>
      <c r="BI60" s="106">
        <f t="shared" si="2"/>
        <v>0</v>
      </c>
      <c r="BJ60" s="338">
        <f t="shared" si="3"/>
        <v>2957.53922</v>
      </c>
    </row>
    <row r="61" ht="15" customHeight="1" spans="1:62" x14ac:dyDescent="0.25">
      <c r="A61" s="14"/>
      <c r="B61" s="15">
        <v>57</v>
      </c>
      <c r="C61" s="116">
        <v>4</v>
      </c>
      <c r="D61" s="2" t="s">
        <v>502</v>
      </c>
      <c r="E61" s="119">
        <f>'2022'!I513</f>
        <v>720</v>
      </c>
      <c r="F61" s="119">
        <f>'2022'!J513</f>
        <v>2</v>
      </c>
      <c r="G61" s="106">
        <f>'2022'!K513</f>
        <v>5.4</v>
      </c>
      <c r="H61" s="106">
        <f>'2022'!L513</f>
      </c>
      <c r="I61" s="119">
        <f>'2022'!M513</f>
        <v>720</v>
      </c>
      <c r="J61" s="119">
        <f>'2022'!N513</f>
        <v>0</v>
      </c>
      <c r="K61" s="106">
        <f>'2022'!O513</f>
        <v>0</v>
      </c>
      <c r="L61" s="106">
        <f>'2022'!P513</f>
        <v>200</v>
      </c>
      <c r="M61" s="119">
        <f>'2022'!Q513</f>
        <v>720</v>
      </c>
      <c r="N61" s="119">
        <f>'2022'!R513</f>
        <v>0</v>
      </c>
      <c r="O61" s="106">
        <f>'2022'!S513</f>
        <v>0</v>
      </c>
      <c r="P61" s="106">
        <f>'2022'!T513</f>
      </c>
      <c r="Q61" s="119">
        <f>'2022'!U513</f>
        <v>720</v>
      </c>
      <c r="R61" s="119">
        <f>'2022'!V513</f>
        <v>0</v>
      </c>
      <c r="S61" s="106">
        <f>'2022'!W513</f>
        <v>0</v>
      </c>
      <c r="T61" s="106">
        <f>'2022'!X513</f>
      </c>
      <c r="U61" s="119">
        <f>'2022'!Y513</f>
        <v>748</v>
      </c>
      <c r="V61" s="119">
        <f>'2022'!Z513</f>
        <v>28</v>
      </c>
      <c r="W61" s="106">
        <f>'2022'!AA513</f>
        <v>75.6</v>
      </c>
      <c r="X61" s="106">
        <f>'2022'!AB513</f>
      </c>
      <c r="Y61" s="119">
        <f>'2022'!AC513</f>
        <v>773</v>
      </c>
      <c r="Z61" s="119">
        <f>'2022'!AD513</f>
        <v>25</v>
      </c>
      <c r="AA61" s="106">
        <f>'2022'!AE513</f>
        <v>67.5</v>
      </c>
      <c r="AB61" s="106">
        <f>'2022'!AF513</f>
      </c>
      <c r="AC61" s="119">
        <f>'2022'!AG513</f>
        <v>803</v>
      </c>
      <c r="AD61" s="106">
        <f>'2022'!AH513</f>
        <v>31.68</v>
      </c>
      <c r="AE61" s="106">
        <f>'2022'!AI513</f>
        <v>77.9328</v>
      </c>
      <c r="AF61" s="106">
        <f>'2022'!AJ513</f>
      </c>
      <c r="AG61" s="119">
        <f>'2022'!AK513</f>
        <v>842</v>
      </c>
      <c r="AH61" s="119">
        <f>'2022'!AL513</f>
        <v>40.092</v>
      </c>
      <c r="AI61" s="106">
        <f>'2022'!AM513</f>
        <v>98.62632</v>
      </c>
      <c r="AJ61" s="106">
        <f>'2022'!AN513</f>
      </c>
      <c r="AK61" s="119">
        <f>'2022'!AO513</f>
        <v>878</v>
      </c>
      <c r="AL61" s="119">
        <f>'2022'!AP513</f>
        <v>37.188</v>
      </c>
      <c r="AM61" s="106">
        <f>'2022'!AQ513</f>
        <v>91.48248</v>
      </c>
      <c r="AN61" s="106">
        <f>'2022'!AR513</f>
      </c>
      <c r="AO61" s="119">
        <f>'2022'!AS513</f>
        <v>919</v>
      </c>
      <c r="AP61" s="119">
        <f>'2022'!AT513</f>
        <v>43.05</v>
      </c>
      <c r="AQ61" s="106">
        <f>'2022'!AU513</f>
        <v>105.903</v>
      </c>
      <c r="AR61" s="106">
        <f>'2022'!AV513</f>
        <v>246.89</v>
      </c>
      <c r="AS61" s="119">
        <f>'2022'!AW513</f>
      </c>
      <c r="AT61" s="119">
        <f>'2022'!AX513</f>
        <v>0</v>
      </c>
      <c r="AU61" s="106">
        <f>'2022'!AY513</f>
        <v>0</v>
      </c>
      <c r="AV61" s="106">
        <f>'2022'!AZ513</f>
      </c>
      <c r="AW61" s="106"/>
      <c r="AX61" s="106">
        <f t="shared" si="0"/>
        <v>0</v>
      </c>
      <c r="AY61" s="119">
        <f>'2022'!BA513</f>
      </c>
      <c r="AZ61" s="119">
        <f>'2022'!BB513</f>
      </c>
      <c r="BA61" s="106">
        <f>'2022'!BC513</f>
        <v>0</v>
      </c>
      <c r="BB61" s="106">
        <f>'2022'!BD513</f>
      </c>
      <c r="BC61" s="106"/>
      <c r="BD61" s="106">
        <f t="shared" si="1"/>
        <v>0</v>
      </c>
      <c r="BE61" s="119">
        <f>'2022'!BE513</f>
        <v>207.01</v>
      </c>
      <c r="BF61" s="106">
        <f>'2022'!BF513</f>
        <v>522.4446</v>
      </c>
      <c r="BG61" s="106">
        <f>'2022'!BG513</f>
        <v>446.89</v>
      </c>
      <c r="BH61" s="106">
        <f>'2022'!BH513</f>
        <v>105.2546</v>
      </c>
      <c r="BI61" s="106">
        <f t="shared" si="2"/>
        <v>0</v>
      </c>
      <c r="BJ61" s="338">
        <f t="shared" si="3"/>
        <v>105.2546</v>
      </c>
    </row>
    <row r="62" ht="15" customHeight="1" spans="1:62" x14ac:dyDescent="0.25">
      <c r="A62" s="14"/>
      <c r="B62" s="15">
        <v>59</v>
      </c>
      <c r="C62" s="116">
        <v>4</v>
      </c>
      <c r="D62" s="117" t="s">
        <v>221</v>
      </c>
      <c r="E62" s="119">
        <f>'2022'!I522</f>
        <v>2407</v>
      </c>
      <c r="F62" s="119">
        <f>'2022'!J522</f>
        <v>0</v>
      </c>
      <c r="G62" s="106">
        <f>'2022'!K522</f>
        <v>0</v>
      </c>
      <c r="H62" s="106">
        <f>'2022'!L522</f>
      </c>
      <c r="I62" s="119">
        <f>'2022'!M522</f>
        <v>2407</v>
      </c>
      <c r="J62" s="119">
        <f>'2022'!N522</f>
        <v>0</v>
      </c>
      <c r="K62" s="106">
        <f>'2022'!O522</f>
        <v>0</v>
      </c>
      <c r="L62" s="106">
        <f>'2022'!P522</f>
      </c>
      <c r="M62" s="119">
        <f>'2022'!Q522</f>
        <v>2407</v>
      </c>
      <c r="N62" s="119">
        <f>'2022'!R522</f>
        <v>0</v>
      </c>
      <c r="O62" s="106">
        <f>'2022'!S522</f>
        <v>0</v>
      </c>
      <c r="P62" s="106">
        <f>'2022'!T522</f>
      </c>
      <c r="Q62" s="119">
        <f>'2022'!U522</f>
        <v>2407</v>
      </c>
      <c r="R62" s="119">
        <f>'2022'!V522</f>
        <v>0</v>
      </c>
      <c r="S62" s="106">
        <f>'2022'!W522</f>
        <v>0</v>
      </c>
      <c r="T62" s="106">
        <f>'2022'!X522</f>
      </c>
      <c r="U62" s="119">
        <f>'2022'!Y522</f>
        <v>2412</v>
      </c>
      <c r="V62" s="119">
        <f>'2022'!Z522</f>
        <v>5</v>
      </c>
      <c r="W62" s="106">
        <f>'2022'!AA522</f>
        <v>13.5</v>
      </c>
      <c r="X62" s="106">
        <f>'2022'!AB522</f>
        <v>6000</v>
      </c>
      <c r="Y62" s="119">
        <f>'2022'!AC522</f>
        <v>2415</v>
      </c>
      <c r="Z62" s="119">
        <f>'2022'!AD522</f>
        <v>3</v>
      </c>
      <c r="AA62" s="106">
        <f>'2022'!AE522</f>
        <v>8.1</v>
      </c>
      <c r="AB62" s="106">
        <f>'2022'!AF522</f>
      </c>
      <c r="AC62" s="119">
        <f>'2022'!AG522</f>
        <v>2416</v>
      </c>
      <c r="AD62" s="106">
        <f>'2022'!AH522</f>
        <v>1.056</v>
      </c>
      <c r="AE62" s="106">
        <f>'2022'!AI522</f>
        <v>2.59776</v>
      </c>
      <c r="AF62" s="106">
        <f>'2022'!AJ522</f>
      </c>
      <c r="AG62" s="119">
        <f>'2022'!AK522</f>
        <v>2422</v>
      </c>
      <c r="AH62" s="119">
        <f>'2022'!AL522</f>
        <v>6.168</v>
      </c>
      <c r="AI62" s="106">
        <f>'2022'!AM522</f>
        <v>15.17328</v>
      </c>
      <c r="AJ62" s="106">
        <f>'2022'!AN522</f>
      </c>
      <c r="AK62" s="119">
        <f>'2022'!AO522</f>
        <v>2430</v>
      </c>
      <c r="AL62" s="119">
        <f>'2022'!AP522</f>
        <v>8.264</v>
      </c>
      <c r="AM62" s="106">
        <f>'2022'!AQ522</f>
        <v>20.32944</v>
      </c>
      <c r="AN62" s="106">
        <f>'2022'!AR522</f>
      </c>
      <c r="AO62" s="119">
        <f>'2022'!AS522</f>
        <v>3241</v>
      </c>
      <c r="AP62" s="119">
        <f>'2022'!AT522</f>
        <v>851.55</v>
      </c>
      <c r="AQ62" s="106">
        <f>'2022'!AU522</f>
        <v>2094.813</v>
      </c>
      <c r="AR62" s="106">
        <f>'2022'!AV522</f>
      </c>
      <c r="AS62" s="119">
        <f>'2022'!AW522</f>
      </c>
      <c r="AT62" s="119">
        <f>'2022'!AX522</f>
        <v>0</v>
      </c>
      <c r="AU62" s="106">
        <f>'2022'!AY522</f>
        <v>0</v>
      </c>
      <c r="AV62" s="106">
        <f>'2022'!AZ522</f>
      </c>
      <c r="AW62" s="106"/>
      <c r="AX62" s="106">
        <f t="shared" si="0"/>
        <v>0</v>
      </c>
      <c r="AY62" s="119">
        <f>'2022'!BA522</f>
      </c>
      <c r="AZ62" s="119">
        <f>'2022'!BB522</f>
      </c>
      <c r="BA62" s="106">
        <f>'2022'!BC522</f>
        <v>0</v>
      </c>
      <c r="BB62" s="106">
        <f>'2022'!BD522</f>
      </c>
      <c r="BC62" s="106"/>
      <c r="BD62" s="106">
        <f t="shared" si="1"/>
        <v>0</v>
      </c>
      <c r="BE62" s="119">
        <f>'2022'!BE522</f>
        <v>875.038</v>
      </c>
      <c r="BF62" s="106">
        <f>'2022'!BF522</f>
        <v>2154.51348</v>
      </c>
      <c r="BG62" s="106">
        <f>'2022'!BG522</f>
        <v>6000</v>
      </c>
      <c r="BH62" s="106">
        <f>'2022'!BH522</f>
        <v>2653.41348</v>
      </c>
      <c r="BI62" s="106">
        <f t="shared" si="2"/>
        <v>0</v>
      </c>
      <c r="BJ62" s="338">
        <f t="shared" si="3"/>
        <v>2653.41348</v>
      </c>
    </row>
    <row r="63" ht="15" customHeight="1" spans="1:62" x14ac:dyDescent="0.25">
      <c r="A63" s="14"/>
      <c r="B63" s="15">
        <v>58</v>
      </c>
      <c r="C63" s="115">
        <v>5.08</v>
      </c>
      <c r="D63" s="117" t="s">
        <v>223</v>
      </c>
      <c r="E63" s="119">
        <f>'2022'!I531</f>
        <v>2097</v>
      </c>
      <c r="F63" s="119">
        <f>'2022'!J531</f>
        <v>42</v>
      </c>
      <c r="G63" s="106">
        <f>'2022'!K531</f>
        <v>113.4</v>
      </c>
      <c r="H63" s="106">
        <f>'2022'!L531</f>
      </c>
      <c r="I63" s="119">
        <f>'2022'!M531</f>
        <v>2138</v>
      </c>
      <c r="J63" s="119">
        <f>'2022'!N531</f>
        <v>41</v>
      </c>
      <c r="K63" s="106">
        <f>'2022'!O531</f>
        <v>110.7</v>
      </c>
      <c r="L63" s="106">
        <f>'2022'!P531</f>
      </c>
      <c r="M63" s="119">
        <f>'2022'!Q531</f>
        <v>2182</v>
      </c>
      <c r="N63" s="119">
        <f>'2022'!R531</f>
        <v>44</v>
      </c>
      <c r="O63" s="106">
        <f>'2022'!S531</f>
        <v>118.8</v>
      </c>
      <c r="P63" s="106">
        <f>'2022'!T531</f>
      </c>
      <c r="Q63" s="119">
        <f>'2022'!U531</f>
        <v>2414</v>
      </c>
      <c r="R63" s="119">
        <f>'2022'!V531</f>
        <v>232</v>
      </c>
      <c r="S63" s="106">
        <f>'2022'!W531</f>
        <v>626.4</v>
      </c>
      <c r="T63" s="106">
        <f>'2022'!X531</f>
      </c>
      <c r="U63" s="119">
        <f>'2022'!Y531</f>
        <v>2708</v>
      </c>
      <c r="V63" s="119">
        <f>'2022'!Z531</f>
        <v>294</v>
      </c>
      <c r="W63" s="106">
        <f>'2022'!AA531</f>
        <v>793.8</v>
      </c>
      <c r="X63" s="106">
        <f>'2022'!AB531</f>
      </c>
      <c r="Y63" s="119">
        <f>'2022'!AC531</f>
        <v>2820</v>
      </c>
      <c r="Z63" s="119">
        <f>'2022'!AD531</f>
        <v>112</v>
      </c>
      <c r="AA63" s="106">
        <f>'2022'!AE531</f>
        <v>302.4</v>
      </c>
      <c r="AB63" s="106">
        <f>'2022'!AF531</f>
        <v>1288.56</v>
      </c>
      <c r="AC63" s="119">
        <f>'2022'!AG531</f>
        <v>2866</v>
      </c>
      <c r="AD63" s="106">
        <f>'2022'!AH531</f>
        <v>48.576</v>
      </c>
      <c r="AE63" s="106">
        <f>'2022'!AI531</f>
        <v>119.49696</v>
      </c>
      <c r="AF63" s="106">
        <f>'2022'!AJ531</f>
      </c>
      <c r="AG63" s="119">
        <f>'2022'!AK531</f>
        <v>2979</v>
      </c>
      <c r="AH63" s="119">
        <f>'2022'!AL531</f>
        <v>116.164</v>
      </c>
      <c r="AI63" s="106">
        <f>'2022'!AM531</f>
        <v>285.76344</v>
      </c>
      <c r="AJ63" s="106">
        <f>'2022'!AN531</f>
      </c>
      <c r="AK63" s="119">
        <f>'2022'!AO531</f>
        <v>3174</v>
      </c>
      <c r="AL63" s="119">
        <f>'2022'!AP531</f>
        <v>201.435</v>
      </c>
      <c r="AM63" s="106">
        <f>'2022'!AQ531</f>
        <v>495.5301</v>
      </c>
      <c r="AN63" s="106">
        <f>'2022'!AR531</f>
        <v>2200</v>
      </c>
      <c r="AO63" s="119">
        <f>'2022'!AS531</f>
        <v>3965</v>
      </c>
      <c r="AP63" s="119">
        <f>'2022'!AT531</f>
        <v>830.55</v>
      </c>
      <c r="AQ63" s="106">
        <f>'2022'!AU531</f>
        <v>2043.153</v>
      </c>
      <c r="AR63" s="106">
        <f>'2022'!AV531</f>
      </c>
      <c r="AS63" s="126">
        <f>'2022'!AW531</f>
      </c>
      <c r="AT63" s="119">
        <f>'2022'!AX531</f>
        <v>0</v>
      </c>
      <c r="AU63" s="106">
        <f>'2022'!AY531</f>
        <v>0</v>
      </c>
      <c r="AV63" s="106">
        <f>'2022'!AZ531</f>
      </c>
      <c r="AW63" s="119"/>
      <c r="AX63" s="106">
        <f t="shared" si="0"/>
        <v>0</v>
      </c>
      <c r="AY63" s="119">
        <f>'2022'!BA531</f>
      </c>
      <c r="AZ63" s="119">
        <f>'2022'!BB531</f>
      </c>
      <c r="BA63" s="106">
        <f>'2022'!BC531</f>
        <v>0</v>
      </c>
      <c r="BB63" s="106">
        <f>'2022'!BD531</f>
      </c>
      <c r="BC63" s="106"/>
      <c r="BD63" s="106">
        <f t="shared" si="1"/>
        <v>0</v>
      </c>
      <c r="BE63" s="119">
        <f>'2022'!BE531</f>
        <v>1961.725</v>
      </c>
      <c r="BF63" s="106">
        <f>'2022'!BF531</f>
        <v>5009.4435</v>
      </c>
      <c r="BG63" s="106">
        <f>'2022'!BG531</f>
        <v>3488.56</v>
      </c>
      <c r="BH63" s="106">
        <f>'2022'!BH531</f>
        <v>1046.3435</v>
      </c>
      <c r="BI63" s="106">
        <f t="shared" si="2"/>
        <v>0</v>
      </c>
      <c r="BJ63" s="338">
        <f t="shared" si="3"/>
        <v>1046.3435</v>
      </c>
    </row>
    <row r="64" ht="15" customHeight="1" spans="1:62" x14ac:dyDescent="0.25">
      <c r="A64" s="14"/>
      <c r="B64" s="15">
        <v>60</v>
      </c>
      <c r="C64" s="116">
        <v>4.4</v>
      </c>
      <c r="D64" s="117" t="s">
        <v>227</v>
      </c>
      <c r="E64" s="119">
        <f>'2022'!I540</f>
        <v>10566</v>
      </c>
      <c r="F64" s="119">
        <f>'2022'!J540</f>
        <v>1596</v>
      </c>
      <c r="G64" s="106">
        <f>'2022'!K540</f>
        <v>4309.2</v>
      </c>
      <c r="H64" s="106">
        <f>'2022'!L540</f>
        <v>2800</v>
      </c>
      <c r="I64" s="119">
        <f>'2022'!M540</f>
        <v>11040</v>
      </c>
      <c r="J64" s="119">
        <f>'2022'!N540</f>
        <v>474</v>
      </c>
      <c r="K64" s="106">
        <f>'2022'!O540</f>
        <v>1279.8</v>
      </c>
      <c r="L64" s="106">
        <f>'2022'!P540</f>
        <v>2800</v>
      </c>
      <c r="M64" s="119">
        <f>'2022'!Q540</f>
        <v>11770</v>
      </c>
      <c r="N64" s="119">
        <f>'2022'!R540</f>
        <v>730</v>
      </c>
      <c r="O64" s="106">
        <f>'2022'!S540</f>
        <v>1971</v>
      </c>
      <c r="P64" s="106">
        <f>'2022'!T540</f>
        <v>2000</v>
      </c>
      <c r="Q64" s="119">
        <f>'2022'!U540</f>
        <v>12160</v>
      </c>
      <c r="R64" s="119">
        <f>'2022'!V540</f>
        <v>390</v>
      </c>
      <c r="S64" s="106">
        <f>'2022'!W540</f>
        <v>1053</v>
      </c>
      <c r="T64" s="106">
        <f>'2022'!X540</f>
        <v>850</v>
      </c>
      <c r="U64" s="119">
        <f>'2022'!Y540</f>
        <v>12290</v>
      </c>
      <c r="V64" s="119">
        <f>'2022'!Z540</f>
        <v>130</v>
      </c>
      <c r="W64" s="106">
        <f>'2022'!AA540</f>
        <v>351</v>
      </c>
      <c r="X64" s="106">
        <f>'2022'!AB540</f>
        <v>300</v>
      </c>
      <c r="Y64" s="119">
        <f>'2022'!AC540</f>
        <v>12372</v>
      </c>
      <c r="Z64" s="119">
        <f>'2022'!AD540</f>
        <v>82</v>
      </c>
      <c r="AA64" s="106">
        <f>'2022'!AE540</f>
        <v>221.4</v>
      </c>
      <c r="AB64" s="106">
        <f>'2022'!AF540</f>
        <v>260</v>
      </c>
      <c r="AC64" s="119">
        <f>'2022'!AG540</f>
        <v>12422</v>
      </c>
      <c r="AD64" s="106">
        <f>'2022'!AH540</f>
        <v>52.8</v>
      </c>
      <c r="AE64" s="106">
        <f>'2022'!AI540</f>
        <v>129.888</v>
      </c>
      <c r="AF64" s="106">
        <f>'2022'!AJ540</f>
        <v>70</v>
      </c>
      <c r="AG64" s="119">
        <f>'2022'!AK540</f>
        <v>12518</v>
      </c>
      <c r="AH64" s="119">
        <f>'2022'!AL540</f>
        <v>98.688</v>
      </c>
      <c r="AI64" s="106">
        <f>'2022'!AM540</f>
        <v>242.77248</v>
      </c>
      <c r="AJ64" s="106">
        <f>'2022'!AN540</f>
        <v>339.04</v>
      </c>
      <c r="AK64" s="119">
        <f>'2022'!AO540</f>
        <v>12670</v>
      </c>
      <c r="AL64" s="119">
        <f>'2022'!AP540</f>
        <v>157.016</v>
      </c>
      <c r="AM64" s="106">
        <f>'2022'!AQ540</f>
        <v>386.25936</v>
      </c>
      <c r="AN64" s="106">
        <f>'2022'!AR540</f>
        <v>288.28</v>
      </c>
      <c r="AO64" s="119">
        <f>'2022'!AS540</f>
        <v>13214</v>
      </c>
      <c r="AP64" s="119">
        <f>'2022'!AT540</f>
        <v>571.2</v>
      </c>
      <c r="AQ64" s="106">
        <f>'2022'!AU540</f>
        <v>1405.152</v>
      </c>
      <c r="AR64" s="106">
        <f>'2022'!AV540</f>
        <v>1350</v>
      </c>
      <c r="AS64" s="126">
        <f>'2022'!AW540</f>
      </c>
      <c r="AT64" s="119">
        <f>'2022'!AX540</f>
        <v>0</v>
      </c>
      <c r="AU64" s="106">
        <f>'2022'!AY540</f>
        <v>0</v>
      </c>
      <c r="AV64" s="106">
        <f>'2022'!AZ540</f>
      </c>
      <c r="AW64" s="119"/>
      <c r="AX64" s="106">
        <f t="shared" si="0"/>
        <v>0</v>
      </c>
      <c r="AY64" s="119">
        <f>'2022'!BA540</f>
      </c>
      <c r="AZ64" s="119">
        <f>'2022'!BB540</f>
      </c>
      <c r="BA64" s="106">
        <f>'2022'!BC540</f>
        <v>0</v>
      </c>
      <c r="BB64" s="106">
        <f>'2022'!BD540</f>
      </c>
      <c r="BC64" s="119"/>
      <c r="BD64" s="106">
        <f t="shared" si="1"/>
        <v>0</v>
      </c>
      <c r="BE64" s="119">
        <f>'2022'!BE540</f>
        <v>4281.704</v>
      </c>
      <c r="BF64" s="106">
        <f>'2022'!BF540</f>
        <v>11349.47184</v>
      </c>
      <c r="BG64" s="106">
        <f>'2022'!BG540</f>
        <v>11057.32</v>
      </c>
      <c r="BH64" s="106">
        <f>'2022'!BH540</f>
        <v>55.15184</v>
      </c>
      <c r="BI64" s="106">
        <f t="shared" si="2"/>
        <v>0</v>
      </c>
      <c r="BJ64" s="338">
        <f t="shared" si="3"/>
        <v>55.15184</v>
      </c>
    </row>
    <row r="65" ht="15" customHeight="1" spans="1:62" x14ac:dyDescent="0.25">
      <c r="A65" s="14"/>
      <c r="B65" s="15">
        <v>61</v>
      </c>
      <c r="C65" s="115">
        <v>4.71</v>
      </c>
      <c r="D65" s="117" t="s">
        <v>231</v>
      </c>
      <c r="E65" s="119">
        <f>'2022'!I549</f>
        <v>641</v>
      </c>
      <c r="F65" s="119">
        <f>'2022'!J549</f>
        <v>0</v>
      </c>
      <c r="G65" s="106">
        <f>'2022'!K549</f>
        <v>0</v>
      </c>
      <c r="H65" s="106">
        <f>'2022'!L549</f>
      </c>
      <c r="I65" s="119">
        <f>'2022'!M549</f>
        <v>641</v>
      </c>
      <c r="J65" s="119">
        <f>'2022'!N549</f>
        <v>0</v>
      </c>
      <c r="K65" s="106">
        <f>'2022'!O549</f>
        <v>0</v>
      </c>
      <c r="L65" s="106">
        <f>'2022'!P549</f>
      </c>
      <c r="M65" s="119">
        <f>'2022'!Q549</f>
        <v>641</v>
      </c>
      <c r="N65" s="119">
        <f>'2022'!R549</f>
        <v>0</v>
      </c>
      <c r="O65" s="106">
        <f>'2022'!S549</f>
        <v>0</v>
      </c>
      <c r="P65" s="106">
        <f>'2022'!T549</f>
      </c>
      <c r="Q65" s="119">
        <f>'2022'!U549</f>
        <v>641</v>
      </c>
      <c r="R65" s="119">
        <f>'2022'!V549</f>
        <v>0</v>
      </c>
      <c r="S65" s="106">
        <f>'2022'!W549</f>
        <v>0</v>
      </c>
      <c r="T65" s="106">
        <f>'2022'!X549</f>
      </c>
      <c r="U65" s="119">
        <f>'2022'!Y549</f>
        <v>693</v>
      </c>
      <c r="V65" s="119">
        <f>'2022'!Z549</f>
        <v>52</v>
      </c>
      <c r="W65" s="106">
        <f>'2022'!AA549</f>
        <v>140.4</v>
      </c>
      <c r="X65" s="106">
        <f>'2022'!AB549</f>
      </c>
      <c r="Y65" s="119">
        <f>'2022'!AC549</f>
        <v>756</v>
      </c>
      <c r="Z65" s="119">
        <f>'2022'!AD549</f>
        <v>63</v>
      </c>
      <c r="AA65" s="106">
        <f>'2022'!AE549</f>
        <v>170.1</v>
      </c>
      <c r="AB65" s="106">
        <f>'2022'!AF549</f>
        <v>240.1</v>
      </c>
      <c r="AC65" s="119">
        <f>'2022'!AG549</f>
        <v>805</v>
      </c>
      <c r="AD65" s="106">
        <f>'2022'!AH549</f>
        <v>51.744</v>
      </c>
      <c r="AE65" s="106">
        <f>'2022'!AI549</f>
        <v>127.29024</v>
      </c>
      <c r="AF65" s="106">
        <f>'2022'!AJ549</f>
      </c>
      <c r="AG65" s="119">
        <f>'2022'!AK549</f>
        <v>863</v>
      </c>
      <c r="AH65" s="119">
        <f>'2022'!AL549</f>
        <v>59.624</v>
      </c>
      <c r="AI65" s="106">
        <f>'2022'!AM549</f>
        <v>146.67504</v>
      </c>
      <c r="AJ65" s="106">
        <f>'2022'!AN549</f>
        <v>444.07</v>
      </c>
      <c r="AK65" s="119">
        <f>'2022'!AO549</f>
        <v>882</v>
      </c>
      <c r="AL65" s="119">
        <f>'2022'!AP549</f>
        <v>19.627</v>
      </c>
      <c r="AM65" s="106">
        <f>'2022'!AQ549</f>
        <v>48.28242</v>
      </c>
      <c r="AN65" s="106">
        <f>'2022'!AR549</f>
      </c>
      <c r="AO65" s="119">
        <f>'2022'!AS549</f>
        <v>890</v>
      </c>
      <c r="AP65" s="119">
        <f>'2022'!AT549</f>
        <v>8.4</v>
      </c>
      <c r="AQ65" s="106">
        <f>'2022'!AU549</f>
        <v>20.664</v>
      </c>
      <c r="AR65" s="106">
        <f>'2022'!AV549</f>
      </c>
      <c r="AS65" s="119">
        <f>'2022'!AW549</f>
      </c>
      <c r="AT65" s="119">
        <f>'2022'!AX549</f>
        <v>0</v>
      </c>
      <c r="AU65" s="106">
        <f>'2022'!AY549</f>
        <v>0</v>
      </c>
      <c r="AV65" s="106">
        <f>'2022'!AZ549</f>
      </c>
      <c r="AW65" s="106"/>
      <c r="AX65" s="106">
        <f t="shared" si="0"/>
        <v>0</v>
      </c>
      <c r="AY65" s="119">
        <f>'2022'!BA549</f>
      </c>
      <c r="AZ65" s="119">
        <f>'2022'!BB549</f>
      </c>
      <c r="BA65" s="106">
        <f>'2022'!BC549</f>
        <v>0</v>
      </c>
      <c r="BB65" s="106">
        <f>'2022'!BD549</f>
      </c>
      <c r="BC65" s="106"/>
      <c r="BD65" s="106">
        <f t="shared" si="1"/>
        <v>0</v>
      </c>
      <c r="BE65" s="119">
        <f>'2022'!BE549</f>
        <v>254.395</v>
      </c>
      <c r="BF65" s="106">
        <f>'2022'!BF549</f>
        <v>653.4117</v>
      </c>
      <c r="BG65" s="106">
        <f>'2022'!BG549</f>
        <v>684.17</v>
      </c>
      <c r="BH65" s="106">
        <f>'2022'!BH549</f>
        <v>68.9417</v>
      </c>
      <c r="BI65" s="106">
        <f t="shared" si="2"/>
        <v>0</v>
      </c>
      <c r="BJ65" s="338">
        <f t="shared" si="3"/>
        <v>68.9417</v>
      </c>
    </row>
    <row r="66" ht="15" customHeight="1" spans="1:62" x14ac:dyDescent="0.25">
      <c r="A66" s="14"/>
      <c r="B66" s="15">
        <v>62</v>
      </c>
      <c r="C66" s="116">
        <v>4.6</v>
      </c>
      <c r="D66" s="15" t="s">
        <v>236</v>
      </c>
      <c r="E66" s="119">
        <f>'2022'!I558</f>
        <v>479</v>
      </c>
      <c r="F66" s="119">
        <f>'2022'!J558</f>
        <v>0</v>
      </c>
      <c r="G66" s="106">
        <f>'2022'!K558</f>
        <v>0</v>
      </c>
      <c r="H66" s="106">
        <f>'2022'!L558</f>
      </c>
      <c r="I66" s="119">
        <f>'2022'!M558</f>
        <v>479</v>
      </c>
      <c r="J66" s="119">
        <f>'2022'!N558</f>
        <v>0</v>
      </c>
      <c r="K66" s="106">
        <f>'2022'!O558</f>
        <v>0</v>
      </c>
      <c r="L66" s="106">
        <f>'2022'!P558</f>
      </c>
      <c r="M66" s="119">
        <f>'2022'!Q558</f>
        <v>479</v>
      </c>
      <c r="N66" s="119">
        <f>'2022'!R558</f>
        <v>0</v>
      </c>
      <c r="O66" s="106">
        <f>'2022'!S558</f>
        <v>0</v>
      </c>
      <c r="P66" s="106">
        <f>'2022'!T558</f>
      </c>
      <c r="Q66" s="119">
        <f>'2022'!U558</f>
        <v>479</v>
      </c>
      <c r="R66" s="119">
        <f>'2022'!V558</f>
        <v>0</v>
      </c>
      <c r="S66" s="106">
        <f>'2022'!W558</f>
        <v>0</v>
      </c>
      <c r="T66" s="106">
        <f>'2022'!X558</f>
      </c>
      <c r="U66" s="119">
        <f>'2022'!Y558</f>
        <v>479</v>
      </c>
      <c r="V66" s="119">
        <f>'2022'!Z558</f>
        <v>0</v>
      </c>
      <c r="W66" s="106">
        <f>'2022'!AA558</f>
        <v>0</v>
      </c>
      <c r="X66" s="106">
        <f>'2022'!AB558</f>
      </c>
      <c r="Y66" s="119">
        <f>'2022'!AC558</f>
        <v>479</v>
      </c>
      <c r="Z66" s="119">
        <f>'2022'!AD558</f>
        <v>0</v>
      </c>
      <c r="AA66" s="106">
        <f>'2022'!AE558</f>
        <v>0</v>
      </c>
      <c r="AB66" s="106">
        <f>'2022'!AF558</f>
      </c>
      <c r="AC66" s="119">
        <f>'2022'!AG558</f>
        <v>479</v>
      </c>
      <c r="AD66" s="106">
        <f>'2022'!AH558</f>
        <v>0</v>
      </c>
      <c r="AE66" s="106">
        <f>'2022'!AI558</f>
        <v>0</v>
      </c>
      <c r="AF66" s="106">
        <f>'2022'!AJ558</f>
      </c>
      <c r="AG66" s="119">
        <f>'2022'!AK558</f>
        <v>2</v>
      </c>
      <c r="AH66" s="119">
        <f>'2022'!AL558</f>
        <v>2.056</v>
      </c>
      <c r="AI66" s="106">
        <f>'2022'!AM558</f>
        <v>5.05776</v>
      </c>
      <c r="AJ66" s="106">
        <f>'2022'!AN558</f>
      </c>
      <c r="AK66" s="119">
        <f>'2022'!AO558</f>
        <v>4</v>
      </c>
      <c r="AL66" s="119">
        <f>'2022'!AP558</f>
        <v>2.066</v>
      </c>
      <c r="AM66" s="106">
        <f>'2022'!AQ558</f>
        <v>5.08236</v>
      </c>
      <c r="AN66" s="106">
        <f>'2022'!AR558</f>
      </c>
      <c r="AO66" s="119">
        <f>'2022'!AS558</f>
        <v>5</v>
      </c>
      <c r="AP66" s="119">
        <f>'2022'!AT558</f>
        <v>2.1</v>
      </c>
      <c r="AQ66" s="106">
        <f>'2022'!AU558</f>
        <v>5.166</v>
      </c>
      <c r="AR66" s="106">
        <f>'2022'!AV558</f>
      </c>
      <c r="AS66" s="119">
        <f>'2022'!AW558</f>
      </c>
      <c r="AT66" s="119">
        <f>'2022'!AX558</f>
        <v>0</v>
      </c>
      <c r="AU66" s="106">
        <f>'2022'!AY558</f>
        <v>0</v>
      </c>
      <c r="AV66" s="106">
        <f>'2022'!AZ558</f>
      </c>
      <c r="AW66" s="106"/>
      <c r="AX66" s="106">
        <f t="shared" si="0"/>
        <v>0</v>
      </c>
      <c r="AY66" s="119">
        <f>'2022'!BA558</f>
      </c>
      <c r="AZ66" s="119">
        <f>'2022'!BB558</f>
      </c>
      <c r="BA66" s="106">
        <f>'2022'!BC558</f>
        <v>0</v>
      </c>
      <c r="BB66" s="106">
        <f>'2022'!BD558</f>
      </c>
      <c r="BC66" s="106"/>
      <c r="BD66" s="106">
        <f t="shared" si="1"/>
        <v>0</v>
      </c>
      <c r="BE66" s="119">
        <f>'2022'!BE558</f>
        <v>6.222</v>
      </c>
      <c r="BF66" s="106">
        <f>'2022'!BF558</f>
        <v>15.30612</v>
      </c>
      <c r="BG66" s="106">
        <f>'2022'!BG558</f>
        <v>0</v>
      </c>
      <c r="BH66" s="106">
        <f>'2022'!BH558</f>
        <v>-91.89388</v>
      </c>
      <c r="BI66" s="106">
        <f t="shared" si="2"/>
        <v>0</v>
      </c>
      <c r="BJ66" s="338">
        <f t="shared" si="3"/>
        <v>-91.89388</v>
      </c>
    </row>
    <row r="67" ht="15" customHeight="1" spans="1:62" x14ac:dyDescent="0.25">
      <c r="A67" s="14"/>
      <c r="B67" s="15" t="s">
        <v>237</v>
      </c>
      <c r="C67" s="115">
        <v>4.01</v>
      </c>
      <c r="D67" s="117" t="s">
        <v>238</v>
      </c>
      <c r="E67" s="119">
        <f>'2022'!I567</f>
        <v>193</v>
      </c>
      <c r="F67" s="119">
        <f>'2022'!J567</f>
        <v>0</v>
      </c>
      <c r="G67" s="106">
        <f>'2022'!K567</f>
        <v>0</v>
      </c>
      <c r="H67" s="106">
        <f>'2022'!L567</f>
      </c>
      <c r="I67" s="119">
        <f>'2022'!M567</f>
        <v>193</v>
      </c>
      <c r="J67" s="119">
        <f>'2022'!N567</f>
        <v>0</v>
      </c>
      <c r="K67" s="106">
        <f>'2022'!O567</f>
        <v>0</v>
      </c>
      <c r="L67" s="106">
        <f>'2022'!P567</f>
      </c>
      <c r="M67" s="119">
        <f>'2022'!Q567</f>
        <v>193</v>
      </c>
      <c r="N67" s="119">
        <f>'2022'!R567</f>
        <v>0</v>
      </c>
      <c r="O67" s="106">
        <f>'2022'!S567</f>
        <v>0</v>
      </c>
      <c r="P67" s="106">
        <f>'2022'!T567</f>
      </c>
      <c r="Q67" s="119">
        <f>'2022'!U567</f>
        <v>193</v>
      </c>
      <c r="R67" s="119">
        <f>'2022'!V567</f>
        <v>0</v>
      </c>
      <c r="S67" s="106">
        <f>'2022'!W567</f>
        <v>0</v>
      </c>
      <c r="T67" s="106">
        <f>'2022'!X567</f>
      </c>
      <c r="U67" s="119">
        <f>'2022'!Y567</f>
        <v>196</v>
      </c>
      <c r="V67" s="119">
        <f>'2022'!Z567</f>
        <v>3</v>
      </c>
      <c r="W67" s="106">
        <f>'2022'!AA567</f>
        <v>8.1</v>
      </c>
      <c r="X67" s="106">
        <f>'2022'!AB567</f>
      </c>
      <c r="Y67" s="119">
        <f>'2022'!AC567</f>
        <v>219</v>
      </c>
      <c r="Z67" s="119">
        <f>'2022'!AD567</f>
        <v>23</v>
      </c>
      <c r="AA67" s="106">
        <f>'2022'!AE567</f>
        <v>62.1</v>
      </c>
      <c r="AB67" s="106">
        <f>'2022'!AF567</f>
        <v>50</v>
      </c>
      <c r="AC67" s="119">
        <f>'2022'!AG567</f>
        <v>255</v>
      </c>
      <c r="AD67" s="106">
        <f>'2022'!AH567</f>
        <v>38.016</v>
      </c>
      <c r="AE67" s="106">
        <f>'2022'!AI567</f>
        <v>93.51936</v>
      </c>
      <c r="AF67" s="106">
        <f>'2022'!AJ567</f>
        <v>45.7</v>
      </c>
      <c r="AG67" s="119">
        <f>'2022'!AK567</f>
        <v>292</v>
      </c>
      <c r="AH67" s="119">
        <f>'2022'!AL567</f>
        <v>38.036</v>
      </c>
      <c r="AI67" s="106">
        <f>'2022'!AM567</f>
        <v>93.56856</v>
      </c>
      <c r="AJ67" s="106">
        <f>'2022'!AN567</f>
        <v>187.09</v>
      </c>
      <c r="AK67" s="119">
        <f>'2022'!AO567</f>
        <v>311</v>
      </c>
      <c r="AL67" s="119">
        <f>'2022'!AP567</f>
        <v>19.627</v>
      </c>
      <c r="AM67" s="106">
        <f>'2022'!AQ567</f>
        <v>48.28242</v>
      </c>
      <c r="AN67" s="106">
        <f>'2022'!AR567</f>
        <v>50</v>
      </c>
      <c r="AO67" s="119">
        <f>'2022'!AS567</f>
        <v>311</v>
      </c>
      <c r="AP67" s="119">
        <f>'2022'!AT567</f>
        <v>0</v>
      </c>
      <c r="AQ67" s="106">
        <f>'2022'!AU567</f>
        <v>0</v>
      </c>
      <c r="AR67" s="106">
        <f>'2022'!AV567</f>
      </c>
      <c r="AS67" s="119">
        <f>'2022'!AW567</f>
      </c>
      <c r="AT67" s="119">
        <f>'2022'!AX567</f>
        <v>0</v>
      </c>
      <c r="AU67" s="106">
        <f>'2022'!AY567</f>
        <v>0</v>
      </c>
      <c r="AV67" s="106">
        <f>'2022'!AZ567</f>
      </c>
      <c r="AW67" s="106"/>
      <c r="AX67" s="106">
        <f t="shared" si="0"/>
        <v>0</v>
      </c>
      <c r="AY67" s="119">
        <f>'2022'!BA567</f>
      </c>
      <c r="AZ67" s="119">
        <f>'2022'!BB567</f>
      </c>
      <c r="BA67" s="106">
        <f>'2022'!BC567</f>
        <v>0</v>
      </c>
      <c r="BB67" s="106">
        <f>'2022'!BD567</f>
      </c>
      <c r="BC67" s="106"/>
      <c r="BD67" s="106">
        <f t="shared" si="1"/>
        <v>0</v>
      </c>
      <c r="BE67" s="119">
        <f>'2022'!BE567</f>
        <v>121.679</v>
      </c>
      <c r="BF67" s="106">
        <f>'2022'!BF567</f>
        <v>305.57034</v>
      </c>
      <c r="BG67" s="106">
        <f>'2022'!BG567</f>
        <v>332.79</v>
      </c>
      <c r="BH67" s="106">
        <f>'2022'!BH567</f>
        <v>-1.71966</v>
      </c>
      <c r="BI67" s="106">
        <f t="shared" si="2"/>
        <v>0</v>
      </c>
      <c r="BJ67" s="338">
        <f t="shared" si="3"/>
        <v>-1.71966</v>
      </c>
    </row>
    <row r="68" ht="15" customHeight="1" spans="1:62" x14ac:dyDescent="0.25">
      <c r="A68" s="14"/>
      <c r="B68" s="15" t="s">
        <v>237</v>
      </c>
      <c r="C68" s="115">
        <v>4.01</v>
      </c>
      <c r="D68" s="117" t="s">
        <v>238</v>
      </c>
      <c r="E68" s="119">
        <f>'2022'!I576</f>
      </c>
      <c r="F68" s="119">
        <f>'2022'!J576</f>
        <v>0</v>
      </c>
      <c r="G68" s="106">
        <f>'2022'!K576</f>
        <v>0</v>
      </c>
      <c r="H68" s="106">
        <f>'2022'!L576</f>
      </c>
      <c r="I68" s="119">
        <f>'2022'!M576</f>
      </c>
      <c r="J68" s="119">
        <f>'2022'!N576</f>
        <v>0</v>
      </c>
      <c r="K68" s="106">
        <f>'2022'!O576</f>
        <v>0</v>
      </c>
      <c r="L68" s="106">
        <f>'2022'!P576</f>
      </c>
      <c r="M68" s="119">
        <f>'2022'!Q576</f>
      </c>
      <c r="N68" s="119">
        <f>'2022'!R576</f>
        <v>0</v>
      </c>
      <c r="O68" s="106">
        <f>'2022'!S576</f>
        <v>0</v>
      </c>
      <c r="P68" s="106">
        <f>'2022'!T576</f>
      </c>
      <c r="Q68" s="119">
        <f>'2022'!U576</f>
      </c>
      <c r="R68" s="119">
        <f>'2022'!V576</f>
        <v>0</v>
      </c>
      <c r="S68" s="106">
        <f>'2022'!W576</f>
        <v>0</v>
      </c>
      <c r="T68" s="106">
        <f>'2022'!X576</f>
      </c>
      <c r="U68" s="119">
        <f>'2022'!Y576</f>
      </c>
      <c r="V68" s="119">
        <f>'2022'!Z576</f>
        <v>0</v>
      </c>
      <c r="W68" s="106">
        <f>'2022'!AA576</f>
        <v>0</v>
      </c>
      <c r="X68" s="106">
        <f>'2022'!AB576</f>
      </c>
      <c r="Y68" s="119">
        <f>'2022'!AC576</f>
      </c>
      <c r="Z68" s="119">
        <f>'2022'!AD576</f>
        <v>0</v>
      </c>
      <c r="AA68" s="106">
        <f>'2022'!AE576</f>
        <v>0</v>
      </c>
      <c r="AB68" s="106">
        <f>'2022'!AF576</f>
      </c>
      <c r="AC68" s="119">
        <f>'2022'!AG576</f>
      </c>
      <c r="AD68" s="106">
        <f>'2022'!AH576</f>
        <v>0</v>
      </c>
      <c r="AE68" s="106">
        <f>'2022'!AI576</f>
        <v>0</v>
      </c>
      <c r="AF68" s="106">
        <f>'2022'!AJ576</f>
      </c>
      <c r="AG68" s="119">
        <f>'2022'!AK576</f>
      </c>
      <c r="AH68" s="119">
        <f>'2022'!AL576</f>
        <v>0</v>
      </c>
      <c r="AI68" s="106">
        <f>'2022'!AM576</f>
        <v>0</v>
      </c>
      <c r="AJ68" s="106">
        <f>'2022'!AN576</f>
      </c>
      <c r="AK68" s="119">
        <f>'2022'!AO576</f>
      </c>
      <c r="AL68" s="119">
        <f>'2022'!AP576</f>
        <v>0</v>
      </c>
      <c r="AM68" s="106">
        <f>'2022'!AQ576</f>
        <v>0</v>
      </c>
      <c r="AN68" s="106">
        <f>'2022'!AR576</f>
      </c>
      <c r="AO68" s="119">
        <f>'2022'!AS576</f>
      </c>
      <c r="AP68" s="119">
        <f>'2022'!AT576</f>
        <v>0</v>
      </c>
      <c r="AQ68" s="106">
        <f>'2022'!AU576</f>
        <v>0</v>
      </c>
      <c r="AR68" s="106">
        <f>'2022'!AV576</f>
      </c>
      <c r="AS68" s="119">
        <f>'2022'!AW576</f>
      </c>
      <c r="AT68" s="119">
        <f>'2022'!AX576</f>
        <v>0</v>
      </c>
      <c r="AU68" s="106">
        <f>'2022'!AY576</f>
        <v>0</v>
      </c>
      <c r="AV68" s="106">
        <f>'2022'!AZ576</f>
      </c>
      <c r="AW68" s="106"/>
      <c r="AX68" s="106">
        <f t="shared" si="0"/>
        <v>0</v>
      </c>
      <c r="AY68" s="119">
        <f>'2022'!BA576</f>
      </c>
      <c r="AZ68" s="119">
        <f>'2022'!BB576</f>
      </c>
      <c r="BA68" s="106">
        <f>'2022'!BC576</f>
        <v>0</v>
      </c>
      <c r="BB68" s="106">
        <f>'2022'!BD576</f>
      </c>
      <c r="BC68" s="106"/>
      <c r="BD68" s="106">
        <f t="shared" si="1"/>
        <v>0</v>
      </c>
      <c r="BE68" s="119">
        <f>'2022'!BE576</f>
        <v>0</v>
      </c>
      <c r="BF68" s="106">
        <f>'2022'!BF576</f>
        <v>0</v>
      </c>
      <c r="BG68" s="106">
        <f>'2022'!BG576</f>
        <v>0</v>
      </c>
      <c r="BH68" s="106">
        <f>'2022'!BH576</f>
        <v>0</v>
      </c>
      <c r="BI68" s="106">
        <f t="shared" si="2"/>
        <v>0</v>
      </c>
      <c r="BJ68" s="338">
        <f t="shared" si="3"/>
        <v>0</v>
      </c>
    </row>
    <row r="69" ht="15" customHeight="1" spans="1:62" x14ac:dyDescent="0.25">
      <c r="A69" s="14"/>
      <c r="B69" s="15">
        <v>64</v>
      </c>
      <c r="C69" s="115">
        <v>4.24</v>
      </c>
      <c r="D69" s="117" t="s">
        <v>241</v>
      </c>
      <c r="E69" s="119">
        <f>'2022'!I585</f>
        <v>467</v>
      </c>
      <c r="F69" s="119">
        <f>'2022'!J585</f>
        <v>0</v>
      </c>
      <c r="G69" s="106">
        <f>'2022'!K585</f>
        <v>0</v>
      </c>
      <c r="H69" s="106">
        <f>'2022'!L585</f>
      </c>
      <c r="I69" s="119">
        <f>'2022'!M585</f>
        <v>467</v>
      </c>
      <c r="J69" s="119">
        <f>'2022'!N585</f>
        <v>0</v>
      </c>
      <c r="K69" s="106">
        <f>'2022'!O585</f>
        <v>0</v>
      </c>
      <c r="L69" s="106">
        <f>'2022'!P585</f>
      </c>
      <c r="M69" s="119">
        <f>'2022'!Q585</f>
        <v>467</v>
      </c>
      <c r="N69" s="119">
        <f>'2022'!R585</f>
        <v>0</v>
      </c>
      <c r="O69" s="106">
        <f>'2022'!S585</f>
        <v>0</v>
      </c>
      <c r="P69" s="106">
        <f>'2022'!T585</f>
      </c>
      <c r="Q69" s="119">
        <f>'2022'!U585</f>
        <v>467</v>
      </c>
      <c r="R69" s="119">
        <f>'2022'!V585</f>
        <v>0</v>
      </c>
      <c r="S69" s="106">
        <f>'2022'!W585</f>
        <v>0</v>
      </c>
      <c r="T69" s="106">
        <f>'2022'!X585</f>
      </c>
      <c r="U69" s="119">
        <f>'2022'!Y585</f>
        <v>481</v>
      </c>
      <c r="V69" s="119">
        <f>'2022'!Z585</f>
        <v>14</v>
      </c>
      <c r="W69" s="106">
        <f>'2022'!AA585</f>
        <v>37.8</v>
      </c>
      <c r="X69" s="106">
        <f>'2022'!AB585</f>
      </c>
      <c r="Y69" s="119">
        <f>'2022'!AC585</f>
        <v>498</v>
      </c>
      <c r="Z69" s="119">
        <f>'2022'!AD585</f>
        <v>17</v>
      </c>
      <c r="AA69" s="106">
        <f>'2022'!AE585</f>
        <v>45.9</v>
      </c>
      <c r="AB69" s="106">
        <f>'2022'!AF585</f>
        <v>300</v>
      </c>
      <c r="AC69" s="119">
        <f>'2022'!AG585</f>
        <v>512</v>
      </c>
      <c r="AD69" s="106">
        <f>'2022'!AH585</f>
        <v>14.784</v>
      </c>
      <c r="AE69" s="106">
        <f>'2022'!AI585</f>
        <v>36.36864</v>
      </c>
      <c r="AF69" s="106">
        <f>'2022'!AJ585</f>
      </c>
      <c r="AG69" s="119">
        <f>'2022'!AK585</f>
        <v>528</v>
      </c>
      <c r="AH69" s="119">
        <f>'2022'!AL585</f>
        <v>16.448</v>
      </c>
      <c r="AI69" s="106">
        <f>'2022'!AM585</f>
        <v>40.46208</v>
      </c>
      <c r="AJ69" s="106">
        <f>'2022'!AN585</f>
      </c>
      <c r="AK69" s="119">
        <f>'2022'!AO585</f>
        <v>537</v>
      </c>
      <c r="AL69" s="119">
        <f>'2022'!AP585</f>
        <v>9.297</v>
      </c>
      <c r="AM69" s="106">
        <f>'2022'!AQ585</f>
        <v>22.87062</v>
      </c>
      <c r="AN69" s="106">
        <f>'2022'!AR585</f>
      </c>
      <c r="AO69" s="119">
        <f>'2022'!AS585</f>
        <v>538</v>
      </c>
      <c r="AP69" s="119">
        <f>'2022'!AT585</f>
        <v>1.05</v>
      </c>
      <c r="AQ69" s="106">
        <f>'2022'!AU585</f>
        <v>2.583</v>
      </c>
      <c r="AR69" s="106">
        <f>'2022'!AV585</f>
      </c>
      <c r="AS69" s="119">
        <f>'2022'!AW585</f>
      </c>
      <c r="AT69" s="119">
        <f>'2022'!AX585</f>
        <v>0</v>
      </c>
      <c r="AU69" s="106">
        <f>'2022'!AY585</f>
        <v>0</v>
      </c>
      <c r="AV69" s="106">
        <f>'2022'!AZ585</f>
      </c>
      <c r="AW69" s="106"/>
      <c r="AX69" s="106">
        <f t="shared" si="0"/>
        <v>0</v>
      </c>
      <c r="AY69" s="119">
        <f>'2022'!BA585</f>
      </c>
      <c r="AZ69" s="119">
        <f>'2022'!BB585</f>
      </c>
      <c r="BA69" s="106">
        <f>'2022'!BC585</f>
        <v>0</v>
      </c>
      <c r="BB69" s="106">
        <f>'2022'!BD585</f>
      </c>
      <c r="BC69" s="106"/>
      <c r="BD69" s="106">
        <f t="shared" si="1"/>
        <v>0</v>
      </c>
      <c r="BE69" s="119">
        <f>'2022'!BE585</f>
        <v>72.579</v>
      </c>
      <c r="BF69" s="106">
        <f>'2022'!BF585</f>
        <v>185.98434</v>
      </c>
      <c r="BG69" s="106">
        <f>'2022'!BG585</f>
        <v>300</v>
      </c>
      <c r="BH69" s="106">
        <f>'2022'!BH585</f>
        <v>-154.10566</v>
      </c>
      <c r="BI69" s="106">
        <f t="shared" si="2"/>
        <v>0</v>
      </c>
      <c r="BJ69" s="338">
        <f t="shared" si="3"/>
        <v>-154.10566</v>
      </c>
    </row>
    <row r="70" ht="15" customHeight="1" spans="1:62" x14ac:dyDescent="0.25">
      <c r="A70" s="14"/>
      <c r="B70" s="15">
        <v>66</v>
      </c>
      <c r="C70" s="115">
        <v>4.66</v>
      </c>
      <c r="D70" s="117" t="s">
        <v>244</v>
      </c>
      <c r="E70" s="119">
        <f>'2022'!I594</f>
        <v>2</v>
      </c>
      <c r="F70" s="119">
        <f>'2022'!J594</f>
        <v>0</v>
      </c>
      <c r="G70" s="106">
        <f>'2022'!K594</f>
        <v>0</v>
      </c>
      <c r="H70" s="106">
        <f>'2022'!L594</f>
      </c>
      <c r="I70" s="119">
        <f>'2022'!M594</f>
        <v>2</v>
      </c>
      <c r="J70" s="119">
        <f>'2022'!N594</f>
        <v>0</v>
      </c>
      <c r="K70" s="106">
        <f>'2022'!O594</f>
        <v>0</v>
      </c>
      <c r="L70" s="106">
        <f>'2022'!P594</f>
      </c>
      <c r="M70" s="119">
        <f>'2022'!Q594</f>
        <v>2</v>
      </c>
      <c r="N70" s="119">
        <f>'2022'!R594</f>
        <v>0</v>
      </c>
      <c r="O70" s="106">
        <f>'2022'!S594</f>
        <v>0</v>
      </c>
      <c r="P70" s="106">
        <f>'2022'!T594</f>
      </c>
      <c r="Q70" s="119">
        <f>'2022'!U594</f>
        <v>2</v>
      </c>
      <c r="R70" s="119">
        <f>'2022'!V594</f>
        <v>0</v>
      </c>
      <c r="S70" s="106">
        <f>'2022'!W594</f>
        <v>0</v>
      </c>
      <c r="T70" s="106">
        <f>'2022'!X594</f>
      </c>
      <c r="U70" s="119">
        <f>'2022'!Y594</f>
        <v>2</v>
      </c>
      <c r="V70" s="119">
        <f>'2022'!Z594</f>
        <v>0</v>
      </c>
      <c r="W70" s="106">
        <f>'2022'!AA594</f>
        <v>0</v>
      </c>
      <c r="X70" s="106">
        <f>'2022'!AB594</f>
      </c>
      <c r="Y70" s="119">
        <f>'2022'!AC594</f>
        <v>2</v>
      </c>
      <c r="Z70" s="119">
        <f>'2022'!AD594</f>
        <v>0</v>
      </c>
      <c r="AA70" s="106">
        <f>'2022'!AE594</f>
        <v>0</v>
      </c>
      <c r="AB70" s="106">
        <f>'2022'!AF594</f>
      </c>
      <c r="AC70" s="119">
        <f>'2022'!AG594</f>
        <v>2</v>
      </c>
      <c r="AD70" s="106">
        <f>'2022'!AH594</f>
        <v>0</v>
      </c>
      <c r="AE70" s="106">
        <f>'2022'!AI594</f>
        <v>0</v>
      </c>
      <c r="AF70" s="106">
        <f>'2022'!AJ594</f>
      </c>
      <c r="AG70" s="119">
        <f>'2022'!AK594</f>
        <v>2</v>
      </c>
      <c r="AH70" s="119">
        <f>'2022'!AL594</f>
        <v>0</v>
      </c>
      <c r="AI70" s="106">
        <f>'2022'!AM594</f>
        <v>0</v>
      </c>
      <c r="AJ70" s="106">
        <f>'2022'!AN594</f>
      </c>
      <c r="AK70" s="119">
        <f>'2022'!AO594</f>
        <v>2</v>
      </c>
      <c r="AL70" s="119">
        <f>'2022'!AP594</f>
        <v>0</v>
      </c>
      <c r="AM70" s="106">
        <f>'2022'!AQ594</f>
        <v>0</v>
      </c>
      <c r="AN70" s="106">
        <f>'2022'!AR594</f>
      </c>
      <c r="AO70" s="119">
        <f>'2022'!AS594</f>
        <v>2</v>
      </c>
      <c r="AP70" s="119">
        <f>'2022'!AT594</f>
        <v>0</v>
      </c>
      <c r="AQ70" s="106">
        <f>'2022'!AU594</f>
        <v>0</v>
      </c>
      <c r="AR70" s="106">
        <f>'2022'!AV594</f>
      </c>
      <c r="AS70" s="119">
        <f>'2022'!AW594</f>
      </c>
      <c r="AT70" s="119">
        <f>'2022'!AX594</f>
        <v>0</v>
      </c>
      <c r="AU70" s="106">
        <f>'2022'!AY594</f>
        <v>0</v>
      </c>
      <c r="AV70" s="106">
        <f>'2022'!AZ594</f>
      </c>
      <c r="AW70" s="106"/>
      <c r="AX70" s="106">
        <f t="shared" si="0"/>
        <v>0</v>
      </c>
      <c r="AY70" s="119">
        <f>'2022'!BA594</f>
      </c>
      <c r="AZ70" s="119">
        <f>'2022'!BB594</f>
      </c>
      <c r="BA70" s="106">
        <f>'2022'!BC594</f>
        <v>0</v>
      </c>
      <c r="BB70" s="106">
        <f>'2022'!BD594</f>
      </c>
      <c r="BC70" s="106"/>
      <c r="BD70" s="106">
        <f t="shared" si="1"/>
        <v>0</v>
      </c>
      <c r="BE70" s="119">
        <f>'2022'!BE594</f>
        <v>0</v>
      </c>
      <c r="BF70" s="106">
        <f>'2022'!BF594</f>
        <v>0</v>
      </c>
      <c r="BG70" s="106">
        <f>'2022'!BG594</f>
        <v>0</v>
      </c>
      <c r="BH70" s="106">
        <f>'2022'!BH594</f>
        <v>2.7</v>
      </c>
      <c r="BI70" s="106">
        <f t="shared" si="2"/>
        <v>0</v>
      </c>
      <c r="BJ70" s="338">
        <f t="shared" si="3"/>
        <v>2.7</v>
      </c>
    </row>
    <row r="71" ht="15" customHeight="1" spans="1:62" x14ac:dyDescent="0.25">
      <c r="A71" s="14"/>
      <c r="B71" s="15">
        <v>67</v>
      </c>
      <c r="C71" s="115">
        <v>6.08</v>
      </c>
      <c r="D71" s="117" t="s">
        <v>245</v>
      </c>
      <c r="E71" s="119">
        <f>'2022'!I603</f>
        <v>2734</v>
      </c>
      <c r="F71" s="119">
        <f>'2022'!J603</f>
        <v>0</v>
      </c>
      <c r="G71" s="106">
        <f>'2022'!K603</f>
        <v>0</v>
      </c>
      <c r="H71" s="106">
        <f>'2022'!L603</f>
      </c>
      <c r="I71" s="119">
        <f>'2022'!M603</f>
        <v>2734</v>
      </c>
      <c r="J71" s="119">
        <f>'2022'!N603</f>
        <v>0</v>
      </c>
      <c r="K71" s="106">
        <f>'2022'!O603</f>
        <v>0</v>
      </c>
      <c r="L71" s="106">
        <f>'2022'!P603</f>
      </c>
      <c r="M71" s="119">
        <f>'2022'!Q603</f>
        <v>2734</v>
      </c>
      <c r="N71" s="119">
        <f>'2022'!R603</f>
        <v>0</v>
      </c>
      <c r="O71" s="106">
        <f>'2022'!S603</f>
        <v>0</v>
      </c>
      <c r="P71" s="106">
        <f>'2022'!T603</f>
      </c>
      <c r="Q71" s="119">
        <f>'2022'!U603</f>
        <v>2734</v>
      </c>
      <c r="R71" s="119">
        <f>'2022'!V603</f>
        <v>0</v>
      </c>
      <c r="S71" s="106">
        <f>'2022'!W603</f>
        <v>0</v>
      </c>
      <c r="T71" s="106">
        <f>'2022'!X603</f>
      </c>
      <c r="U71" s="119">
        <f>'2022'!Y603</f>
        <v>2802</v>
      </c>
      <c r="V71" s="119">
        <f>'2022'!Z603</f>
        <v>68</v>
      </c>
      <c r="W71" s="106">
        <f>'2022'!AA603</f>
        <v>183.6</v>
      </c>
      <c r="X71" s="106">
        <f>'2022'!AB603</f>
      </c>
      <c r="Y71" s="119">
        <f>'2022'!AC603</f>
        <v>2928</v>
      </c>
      <c r="Z71" s="119">
        <f>'2022'!AD603</f>
        <v>126</v>
      </c>
      <c r="AA71" s="106">
        <f>'2022'!AE603</f>
        <v>340.2</v>
      </c>
      <c r="AB71" s="106">
        <f>'2022'!AF603</f>
        <v>350</v>
      </c>
      <c r="AC71" s="119">
        <f>'2022'!AG603</f>
        <v>3009</v>
      </c>
      <c r="AD71" s="106">
        <f>'2022'!AH603</f>
        <v>85.536</v>
      </c>
      <c r="AE71" s="106">
        <f>'2022'!AI603</f>
        <v>210.41856</v>
      </c>
      <c r="AF71" s="106">
        <f>'2022'!AJ603</f>
        <v>192.3</v>
      </c>
      <c r="AG71" s="119">
        <f>'2022'!AK603</f>
        <v>3118</v>
      </c>
      <c r="AH71" s="119">
        <f>'2022'!AL603</f>
        <v>112.052</v>
      </c>
      <c r="AI71" s="106">
        <f>'2022'!AM603</f>
        <v>275.64792</v>
      </c>
      <c r="AJ71" s="106">
        <f>'2022'!AN603</f>
        <v>486.07</v>
      </c>
      <c r="AK71" s="119">
        <f>'2022'!AO603</f>
        <v>3208</v>
      </c>
      <c r="AL71" s="119">
        <f>'2022'!AP603</f>
        <v>92.97</v>
      </c>
      <c r="AM71" s="106">
        <f>'2022'!AQ603</f>
        <v>228.7062</v>
      </c>
      <c r="AN71" s="106">
        <f>'2022'!AR603</f>
        <v>400</v>
      </c>
      <c r="AO71" s="119">
        <f>'2022'!AS603</f>
        <v>3262</v>
      </c>
      <c r="AP71" s="119">
        <f>'2022'!AT603</f>
        <v>56.7</v>
      </c>
      <c r="AQ71" s="106">
        <f>'2022'!AU603</f>
        <v>139.482</v>
      </c>
      <c r="AR71" s="106">
        <f>'2022'!AV603</f>
      </c>
      <c r="AS71" s="126">
        <f>'2022'!AW603</f>
      </c>
      <c r="AT71" s="119">
        <f>'2022'!AX603</f>
        <v>0</v>
      </c>
      <c r="AU71" s="106">
        <f>'2022'!AY603</f>
        <v>0</v>
      </c>
      <c r="AV71" s="106">
        <f>'2022'!AZ603</f>
      </c>
      <c r="AW71" s="106"/>
      <c r="AX71" s="106">
        <f t="shared" si="0"/>
        <v>0</v>
      </c>
      <c r="AY71" s="119">
        <f>'2022'!BA603</f>
      </c>
      <c r="AZ71" s="119">
        <f>'2022'!BB603</f>
      </c>
      <c r="BA71" s="106">
        <f>'2022'!BC603</f>
        <v>0</v>
      </c>
      <c r="BB71" s="106">
        <f>'2022'!BD603</f>
      </c>
      <c r="BC71" s="106"/>
      <c r="BD71" s="106">
        <f t="shared" si="1"/>
        <v>0</v>
      </c>
      <c r="BE71" s="119">
        <f>'2022'!BE603</f>
        <v>541.258</v>
      </c>
      <c r="BF71" s="106">
        <f>'2022'!BF603</f>
        <v>1378.05468</v>
      </c>
      <c r="BG71" s="106">
        <f>'2022'!BG603</f>
        <v>1428.37</v>
      </c>
      <c r="BH71" s="106">
        <f>'2022'!BH603</f>
        <v>-31.81532</v>
      </c>
      <c r="BI71" s="106">
        <f t="shared" si="2"/>
        <v>0</v>
      </c>
      <c r="BJ71" s="338">
        <f t="shared" si="3"/>
        <v>-31.81532</v>
      </c>
    </row>
    <row r="72" ht="15" customHeight="1" spans="1:62" x14ac:dyDescent="0.25">
      <c r="A72" s="14"/>
      <c r="B72" s="15" t="s">
        <v>248</v>
      </c>
      <c r="C72" s="115">
        <v>4.01</v>
      </c>
      <c r="D72" s="117" t="s">
        <v>249</v>
      </c>
      <c r="E72" s="119">
        <f>'2022'!I612</f>
        <v>4097</v>
      </c>
      <c r="F72" s="119">
        <f>'2022'!J612</f>
        <v>0</v>
      </c>
      <c r="G72" s="106">
        <f>'2022'!K612</f>
        <v>0</v>
      </c>
      <c r="H72" s="106">
        <f>'2022'!L612</f>
      </c>
      <c r="I72" s="119">
        <f>'2022'!M612</f>
        <v>4097</v>
      </c>
      <c r="J72" s="119">
        <f>'2022'!N612</f>
        <v>0</v>
      </c>
      <c r="K72" s="106">
        <f>'2022'!O612</f>
        <v>0</v>
      </c>
      <c r="L72" s="106">
        <f>'2022'!P612</f>
      </c>
      <c r="M72" s="119">
        <f>'2022'!Q612</f>
        <v>4097</v>
      </c>
      <c r="N72" s="119">
        <f>'2022'!R612</f>
        <v>0</v>
      </c>
      <c r="O72" s="106">
        <f>'2022'!S612</f>
        <v>0</v>
      </c>
      <c r="P72" s="106">
        <f>'2022'!T612</f>
        <v>523.8</v>
      </c>
      <c r="Q72" s="119">
        <f>'2022'!U612</f>
        <v>4097</v>
      </c>
      <c r="R72" s="119">
        <f>'2022'!V612</f>
        <v>0</v>
      </c>
      <c r="S72" s="106">
        <f>'2022'!W612</f>
        <v>0</v>
      </c>
      <c r="T72" s="106">
        <f>'2022'!X612</f>
      </c>
      <c r="U72" s="119">
        <f>'2022'!Y612</f>
        <v>4130</v>
      </c>
      <c r="V72" s="119">
        <f>'2022'!Z612</f>
        <v>33</v>
      </c>
      <c r="W72" s="106">
        <f>'2022'!AA612</f>
        <v>89.1</v>
      </c>
      <c r="X72" s="106">
        <f>'2022'!AB612</f>
      </c>
      <c r="Y72" s="119">
        <f>'2022'!AC612</f>
        <v>4418</v>
      </c>
      <c r="Z72" s="119">
        <f>'2022'!AD612</f>
        <v>288</v>
      </c>
      <c r="AA72" s="106">
        <f>'2022'!AE612</f>
        <v>777.6</v>
      </c>
      <c r="AB72" s="106">
        <f>'2022'!AF612</f>
      </c>
      <c r="AC72" s="119">
        <f>'2022'!AG612</f>
        <v>4534</v>
      </c>
      <c r="AD72" s="106">
        <f>'2022'!AH612</f>
        <v>122.496</v>
      </c>
      <c r="AE72" s="106">
        <f>'2022'!AI612</f>
        <v>301.34016</v>
      </c>
      <c r="AF72" s="106">
        <f>'2022'!AJ612</f>
      </c>
      <c r="AG72" s="119">
        <f>'2022'!AK612</f>
        <v>4726</v>
      </c>
      <c r="AH72" s="119">
        <f>'2022'!AL612</f>
        <v>197.376</v>
      </c>
      <c r="AI72" s="106">
        <f>'2022'!AM612</f>
        <v>485.54496</v>
      </c>
      <c r="AJ72" s="106">
        <f>'2022'!AN612</f>
        <v>1000</v>
      </c>
      <c r="AK72" s="119">
        <f>'2022'!AO612</f>
        <v>4914</v>
      </c>
      <c r="AL72" s="119">
        <f>'2022'!AP612</f>
        <v>194.204</v>
      </c>
      <c r="AM72" s="106">
        <f>'2022'!AQ612</f>
        <v>477.74184</v>
      </c>
      <c r="AN72" s="106">
        <f>'2022'!AR612</f>
        <v>750</v>
      </c>
      <c r="AO72" s="119">
        <f>'2022'!AS612</f>
        <v>4973</v>
      </c>
      <c r="AP72" s="119">
        <f>'2022'!AT612</f>
        <v>61.95</v>
      </c>
      <c r="AQ72" s="106">
        <f>'2022'!AU612</f>
        <v>152.397</v>
      </c>
      <c r="AR72" s="106">
        <f>'2022'!AV612</f>
      </c>
      <c r="AS72" s="119">
        <f>'2022'!AW612</f>
      </c>
      <c r="AT72" s="119">
        <f>'2022'!AX612</f>
        <v>0</v>
      </c>
      <c r="AU72" s="106">
        <f>'2022'!AY612</f>
        <v>0</v>
      </c>
      <c r="AV72" s="106">
        <f>'2022'!AZ612</f>
      </c>
      <c r="AW72" s="106"/>
      <c r="AX72" s="106">
        <f t="shared" si="0"/>
        <v>0</v>
      </c>
      <c r="AY72" s="119">
        <f>'2022'!BA612</f>
      </c>
      <c r="AZ72" s="119">
        <f>'2022'!BB612</f>
      </c>
      <c r="BA72" s="106">
        <f>'2022'!BC612</f>
        <v>0</v>
      </c>
      <c r="BB72" s="106">
        <f>'2022'!BD612</f>
      </c>
      <c r="BC72" s="106"/>
      <c r="BD72" s="106">
        <f t="shared" si="1"/>
        <v>0</v>
      </c>
      <c r="BE72" s="119">
        <f>'2022'!BE612</f>
        <v>897.026</v>
      </c>
      <c r="BF72" s="106">
        <f>'2022'!BF612</f>
        <v>2283.72396</v>
      </c>
      <c r="BG72" s="106">
        <f>'2022'!BG612</f>
        <v>2273.8</v>
      </c>
      <c r="BH72" s="106">
        <f>'2022'!BH612</f>
        <v>533.72396</v>
      </c>
      <c r="BI72" s="106">
        <f t="shared" si="2"/>
        <v>0</v>
      </c>
      <c r="BJ72" s="338">
        <f t="shared" si="3"/>
        <v>533.72396</v>
      </c>
    </row>
    <row r="73" ht="15" customHeight="1" spans="1:62" x14ac:dyDescent="0.25">
      <c r="A73" s="14"/>
      <c r="B73" s="15" t="s">
        <v>248</v>
      </c>
      <c r="C73" s="115">
        <v>4.02</v>
      </c>
      <c r="D73" s="117" t="s">
        <v>249</v>
      </c>
      <c r="E73" s="119">
        <f>'2022'!I621</f>
      </c>
      <c r="F73" s="119">
        <f>'2022'!J621</f>
        <v>0</v>
      </c>
      <c r="G73" s="106">
        <f>'2022'!K621</f>
        <v>0</v>
      </c>
      <c r="H73" s="106">
        <f>'2022'!L621</f>
      </c>
      <c r="I73" s="119">
        <f>'2022'!M621</f>
      </c>
      <c r="J73" s="119">
        <f>'2022'!N621</f>
        <v>0</v>
      </c>
      <c r="K73" s="106">
        <f>'2022'!O621</f>
        <v>0</v>
      </c>
      <c r="L73" s="106">
        <f>'2022'!P621</f>
      </c>
      <c r="M73" s="119">
        <f>'2022'!Q621</f>
      </c>
      <c r="N73" s="119">
        <f>'2022'!R621</f>
        <v>0</v>
      </c>
      <c r="O73" s="106">
        <f>'2022'!S621</f>
        <v>0</v>
      </c>
      <c r="P73" s="106">
        <f>'2022'!T621</f>
      </c>
      <c r="Q73" s="119">
        <f>'2022'!U621</f>
      </c>
      <c r="R73" s="119">
        <f>'2022'!V621</f>
        <v>0</v>
      </c>
      <c r="S73" s="106">
        <f>'2022'!W621</f>
        <v>0</v>
      </c>
      <c r="T73" s="106">
        <f>'2022'!X621</f>
      </c>
      <c r="U73" s="119">
        <f>'2022'!Y621</f>
      </c>
      <c r="V73" s="119">
        <f>'2022'!Z621</f>
        <v>0</v>
      </c>
      <c r="W73" s="106">
        <f>'2022'!AA621</f>
        <v>0</v>
      </c>
      <c r="X73" s="106">
        <f>'2022'!AB621</f>
      </c>
      <c r="Y73" s="119">
        <f>'2022'!AC621</f>
      </c>
      <c r="Z73" s="119">
        <f>'2022'!AD621</f>
        <v>0</v>
      </c>
      <c r="AA73" s="106">
        <f>'2022'!AE621</f>
        <v>0</v>
      </c>
      <c r="AB73" s="106">
        <f>'2022'!AF621</f>
      </c>
      <c r="AC73" s="119">
        <f>'2022'!AG621</f>
      </c>
      <c r="AD73" s="106">
        <f>'2022'!AH621</f>
        <v>0</v>
      </c>
      <c r="AE73" s="106">
        <f>'2022'!AI621</f>
        <v>0</v>
      </c>
      <c r="AF73" s="106">
        <f>'2022'!AJ621</f>
      </c>
      <c r="AG73" s="119">
        <f>'2022'!AK621</f>
      </c>
      <c r="AH73" s="119">
        <f>'2022'!AL621</f>
        <v>0</v>
      </c>
      <c r="AI73" s="106">
        <f>'2022'!AM621</f>
        <v>0</v>
      </c>
      <c r="AJ73" s="106">
        <f>'2022'!AN621</f>
      </c>
      <c r="AK73" s="119">
        <f>'2022'!AO621</f>
      </c>
      <c r="AL73" s="119">
        <f>'2022'!AP621</f>
        <v>0</v>
      </c>
      <c r="AM73" s="106">
        <f>'2022'!AQ621</f>
        <v>0</v>
      </c>
      <c r="AN73" s="106">
        <f>'2022'!AR621</f>
      </c>
      <c r="AO73" s="119">
        <f>'2022'!AS621</f>
      </c>
      <c r="AP73" s="119">
        <f>'2022'!AT621</f>
        <v>0</v>
      </c>
      <c r="AQ73" s="106">
        <f>'2022'!AU621</f>
        <v>0</v>
      </c>
      <c r="AR73" s="106">
        <f>'2022'!AV621</f>
      </c>
      <c r="AS73" s="119">
        <f>'2022'!AW621</f>
      </c>
      <c r="AT73" s="119">
        <f>'2022'!AX621</f>
        <v>0</v>
      </c>
      <c r="AU73" s="106">
        <f>'2022'!AY621</f>
        <v>0</v>
      </c>
      <c r="AV73" s="106">
        <f>'2022'!AZ621</f>
      </c>
      <c r="AW73" s="106"/>
      <c r="AX73" s="106">
        <f t="shared" si="0"/>
        <v>0</v>
      </c>
      <c r="AY73" s="119">
        <f>'2022'!BA621</f>
      </c>
      <c r="AZ73" s="119">
        <f>'2022'!BB621</f>
      </c>
      <c r="BA73" s="106">
        <f>'2022'!BC621</f>
        <v>0</v>
      </c>
      <c r="BB73" s="106">
        <f>'2022'!BD621</f>
      </c>
      <c r="BC73" s="106"/>
      <c r="BD73" s="106">
        <f t="shared" si="1"/>
        <v>0</v>
      </c>
      <c r="BE73" s="119">
        <f>'2022'!BE621</f>
        <v>0</v>
      </c>
      <c r="BF73" s="106">
        <f>'2022'!BF621</f>
        <v>0</v>
      </c>
      <c r="BG73" s="106">
        <f>'2022'!BG621</f>
        <v>0</v>
      </c>
      <c r="BH73" s="106">
        <f>'2022'!BH621</f>
        <v>0</v>
      </c>
      <c r="BI73" s="106">
        <f t="shared" si="2"/>
        <v>0</v>
      </c>
      <c r="BJ73" s="338">
        <f t="shared" si="3"/>
        <v>0</v>
      </c>
    </row>
    <row r="74" ht="15" customHeight="1" spans="1:62" x14ac:dyDescent="0.25">
      <c r="A74" s="14"/>
      <c r="B74" s="15">
        <v>69</v>
      </c>
      <c r="C74" s="115">
        <v>4.03</v>
      </c>
      <c r="D74" s="117" t="s">
        <v>253</v>
      </c>
      <c r="E74" s="119">
        <f>'2022'!I630</f>
        <v>33219</v>
      </c>
      <c r="F74" s="119">
        <f>'2022'!J630</f>
        <v>668</v>
      </c>
      <c r="G74" s="106">
        <f>'2022'!K630</f>
        <v>1803.6</v>
      </c>
      <c r="H74" s="106">
        <f>'2022'!L630</f>
        <v>1998</v>
      </c>
      <c r="I74" s="119">
        <f>'2022'!M630</f>
        <v>33857</v>
      </c>
      <c r="J74" s="119">
        <f>'2022'!N630</f>
        <v>638</v>
      </c>
      <c r="K74" s="106">
        <f>'2022'!O630</f>
        <v>1722.6</v>
      </c>
      <c r="L74" s="106">
        <f>'2022'!P630</f>
        <v>2700</v>
      </c>
      <c r="M74" s="119">
        <f>'2022'!Q630</f>
        <v>34435</v>
      </c>
      <c r="N74" s="119">
        <f>'2022'!R630</f>
        <v>578</v>
      </c>
      <c r="O74" s="106">
        <f>'2022'!S630</f>
        <v>1560.6</v>
      </c>
      <c r="P74" s="106">
        <f>'2022'!T630</f>
        <v>1998</v>
      </c>
      <c r="Q74" s="119">
        <f>'2022'!U630</f>
        <v>34966</v>
      </c>
      <c r="R74" s="119">
        <f>'2022'!V630</f>
        <v>531</v>
      </c>
      <c r="S74" s="106">
        <f>'2022'!W630</f>
        <v>1433.7</v>
      </c>
      <c r="T74" s="106">
        <f>'2022'!X630</f>
      </c>
      <c r="U74" s="119">
        <f>'2022'!Y630</f>
        <v>35285</v>
      </c>
      <c r="V74" s="119">
        <f>'2022'!Z630</f>
        <v>319</v>
      </c>
      <c r="W74" s="106">
        <f>'2022'!AA630</f>
        <v>861.3</v>
      </c>
      <c r="X74" s="106">
        <f>'2022'!AB630</f>
      </c>
      <c r="Y74" s="119">
        <f>'2022'!AC630</f>
        <v>35600</v>
      </c>
      <c r="Z74" s="119">
        <f>'2022'!AD630</f>
        <v>315</v>
      </c>
      <c r="AA74" s="106">
        <f>'2022'!AE630</f>
        <v>850.5</v>
      </c>
      <c r="AB74" s="106">
        <f>'2022'!AF630</f>
        <v>1723.91</v>
      </c>
      <c r="AC74" s="119">
        <f>'2022'!AG630</f>
        <v>35879</v>
      </c>
      <c r="AD74" s="106">
        <f>'2022'!AH630</f>
        <v>294.624</v>
      </c>
      <c r="AE74" s="106">
        <f>'2022'!AI630</f>
        <v>724.77504</v>
      </c>
      <c r="AF74" s="106">
        <f>'2022'!AJ630</f>
        <v>1736.52</v>
      </c>
      <c r="AG74" s="119">
        <f>'2022'!AK630</f>
        <v>36191</v>
      </c>
      <c r="AH74" s="119">
        <f>'2022'!AL630</f>
        <v>320.736</v>
      </c>
      <c r="AI74" s="106">
        <f>'2022'!AM630</f>
        <v>789.01056</v>
      </c>
      <c r="AJ74" s="106">
        <f>'2022'!AN630</f>
      </c>
      <c r="AK74" s="119">
        <f>'2022'!AO630</f>
        <v>36477</v>
      </c>
      <c r="AL74" s="119">
        <f>'2022'!AP630</f>
        <v>295.438</v>
      </c>
      <c r="AM74" s="106">
        <f>'2022'!AQ630</f>
        <v>726.77748</v>
      </c>
      <c r="AN74" s="106">
        <f>'2022'!AR630</f>
        <v>2000</v>
      </c>
      <c r="AO74" s="119">
        <f>'2022'!AS630</f>
        <v>36931</v>
      </c>
      <c r="AP74" s="119">
        <f>'2022'!AT630</f>
        <v>476.7</v>
      </c>
      <c r="AQ74" s="106">
        <f>'2022'!AU630</f>
        <v>1172.682</v>
      </c>
      <c r="AR74" s="106">
        <f>'2022'!AV630</f>
        <v>2100</v>
      </c>
      <c r="AS74" s="126">
        <f>'2022'!AW630</f>
      </c>
      <c r="AT74" s="119">
        <f>'2022'!AX630</f>
        <v>0</v>
      </c>
      <c r="AU74" s="106">
        <f>'2022'!AY630</f>
        <v>0</v>
      </c>
      <c r="AV74" s="106">
        <f>'2022'!AZ630</f>
      </c>
      <c r="AW74" s="119"/>
      <c r="AX74" s="106">
        <f t="shared" si="0"/>
        <v>0</v>
      </c>
      <c r="AY74" s="119">
        <f>'2022'!BA630</f>
      </c>
      <c r="AZ74" s="119">
        <f>'2022'!BB630</f>
      </c>
      <c r="BA74" s="106">
        <f>'2022'!BC630</f>
        <v>0</v>
      </c>
      <c r="BB74" s="106">
        <f>'2022'!BD630</f>
      </c>
      <c r="BC74" s="106"/>
      <c r="BD74" s="106">
        <f t="shared" si="1"/>
        <v>0</v>
      </c>
      <c r="BE74" s="119">
        <f>'2022'!BE630</f>
        <v>4436.498</v>
      </c>
      <c r="BF74" s="106">
        <f>'2022'!BF630</f>
        <v>11645.54508</v>
      </c>
      <c r="BG74" s="106">
        <f>'2022'!BG630</f>
        <v>14256.43</v>
      </c>
      <c r="BH74" s="106">
        <f>'2022'!BH630</f>
        <v>-1595.68492</v>
      </c>
      <c r="BI74" s="106">
        <f t="shared" si="2"/>
        <v>0</v>
      </c>
      <c r="BJ74" s="338">
        <f t="shared" si="3"/>
        <v>-1595.68492</v>
      </c>
    </row>
    <row r="75" ht="15" customHeight="1" spans="1:62" x14ac:dyDescent="0.25">
      <c r="A75" s="14"/>
      <c r="B75" s="15">
        <v>71</v>
      </c>
      <c r="C75" s="115">
        <v>5.98</v>
      </c>
      <c r="D75" s="117" t="s">
        <v>255</v>
      </c>
      <c r="E75" s="119">
        <f>'2022'!I639</f>
        <v>174</v>
      </c>
      <c r="F75" s="119">
        <f>'2022'!J639</f>
        <v>0</v>
      </c>
      <c r="G75" s="106">
        <f>'2022'!K639</f>
        <v>0</v>
      </c>
      <c r="H75" s="106">
        <f>'2022'!L639</f>
      </c>
      <c r="I75" s="119">
        <f>'2022'!M639</f>
        <v>174</v>
      </c>
      <c r="J75" s="119">
        <f>'2022'!N639</f>
        <v>0</v>
      </c>
      <c r="K75" s="106">
        <f>'2022'!O639</f>
        <v>0</v>
      </c>
      <c r="L75" s="106">
        <f>'2022'!P639</f>
      </c>
      <c r="M75" s="119">
        <f>'2022'!Q639</f>
        <v>174</v>
      </c>
      <c r="N75" s="119">
        <f>'2022'!R639</f>
        <v>0</v>
      </c>
      <c r="O75" s="106">
        <f>'2022'!S639</f>
        <v>0</v>
      </c>
      <c r="P75" s="106">
        <f>'2022'!T639</f>
      </c>
      <c r="Q75" s="119">
        <f>'2022'!U639</f>
        <v>174</v>
      </c>
      <c r="R75" s="119">
        <f>'2022'!V639</f>
        <v>0</v>
      </c>
      <c r="S75" s="106">
        <f>'2022'!W639</f>
        <v>0</v>
      </c>
      <c r="T75" s="106">
        <f>'2022'!X639</f>
      </c>
      <c r="U75" s="119">
        <f>'2022'!Y639</f>
        <v>176</v>
      </c>
      <c r="V75" s="119">
        <f>'2022'!Z639</f>
        <v>2</v>
      </c>
      <c r="W75" s="106">
        <f>'2022'!AA639</f>
        <v>5.4</v>
      </c>
      <c r="X75" s="106">
        <f>'2022'!AB639</f>
      </c>
      <c r="Y75" s="119">
        <f>'2022'!AC639</f>
        <v>177</v>
      </c>
      <c r="Z75" s="119">
        <f>'2022'!AD639</f>
        <v>1</v>
      </c>
      <c r="AA75" s="106">
        <f>'2022'!AE639</f>
        <v>2.7</v>
      </c>
      <c r="AB75" s="106">
        <f>'2022'!AF639</f>
        <v>48.6</v>
      </c>
      <c r="AC75" s="119">
        <f>'2022'!AG639</f>
        <v>178</v>
      </c>
      <c r="AD75" s="106">
        <f>'2022'!AH639</f>
        <v>1.056</v>
      </c>
      <c r="AE75" s="106">
        <f>'2022'!AI639</f>
        <v>2.59776</v>
      </c>
      <c r="AF75" s="106">
        <f>'2022'!AJ639</f>
      </c>
      <c r="AG75" s="119">
        <f>'2022'!AK639</f>
        <v>179</v>
      </c>
      <c r="AH75" s="119">
        <f>'2022'!AL639</f>
        <v>1.028</v>
      </c>
      <c r="AI75" s="106">
        <f>'2022'!AM639</f>
        <v>2.52888</v>
      </c>
      <c r="AJ75" s="106">
        <f>'2022'!AN639</f>
        <v>7.83</v>
      </c>
      <c r="AK75" s="119">
        <f>'2022'!AO639</f>
        <v>181</v>
      </c>
      <c r="AL75" s="119">
        <f>'2022'!AP639</f>
        <v>2.066</v>
      </c>
      <c r="AM75" s="106">
        <f>'2022'!AQ639</f>
        <v>5.08236</v>
      </c>
      <c r="AN75" s="106">
        <f>'2022'!AR639</f>
      </c>
      <c r="AO75" s="119">
        <f>'2022'!AS639</f>
        <v>204</v>
      </c>
      <c r="AP75" s="119">
        <f>'2022'!AT639</f>
        <v>24.15</v>
      </c>
      <c r="AQ75" s="106">
        <f>'2022'!AU639</f>
        <v>59.409</v>
      </c>
      <c r="AR75" s="106">
        <f>'2022'!AV639</f>
      </c>
      <c r="AS75" s="119">
        <f>'2022'!AW639</f>
      </c>
      <c r="AT75" s="119">
        <f>'2022'!AX639</f>
        <v>0</v>
      </c>
      <c r="AU75" s="106">
        <f>'2022'!AY639</f>
        <v>0</v>
      </c>
      <c r="AV75" s="106">
        <f>'2022'!AZ639</f>
      </c>
      <c r="AW75" s="106"/>
      <c r="AX75" s="106">
        <f t="shared" si="0"/>
        <v>0</v>
      </c>
      <c r="AY75" s="119">
        <f>'2022'!BA639</f>
      </c>
      <c r="AZ75" s="119">
        <f>'2022'!BB639</f>
      </c>
      <c r="BA75" s="106">
        <f>'2022'!BC639</f>
        <v>0</v>
      </c>
      <c r="BB75" s="106">
        <f>'2022'!BD639</f>
      </c>
      <c r="BC75" s="106"/>
      <c r="BD75" s="106">
        <f t="shared" si="1"/>
        <v>0</v>
      </c>
      <c r="BE75" s="119">
        <f>'2022'!BE639</f>
        <v>31.3</v>
      </c>
      <c r="BF75" s="106">
        <f>'2022'!BF639</f>
        <v>77.718</v>
      </c>
      <c r="BG75" s="106">
        <f>'2022'!BG639</f>
        <v>56.43</v>
      </c>
      <c r="BH75" s="106">
        <f>'2022'!BH639</f>
        <v>64.488</v>
      </c>
      <c r="BI75" s="106">
        <f t="shared" si="2"/>
        <v>0</v>
      </c>
      <c r="BJ75" s="338">
        <f t="shared" si="3"/>
        <v>64.488</v>
      </c>
    </row>
    <row r="76" ht="15" customHeight="1" spans="1:62" x14ac:dyDescent="0.25">
      <c r="A76" s="14"/>
      <c r="B76" s="15">
        <v>72</v>
      </c>
      <c r="C76" s="115">
        <v>4.03</v>
      </c>
      <c r="D76" s="117" t="s">
        <v>257</v>
      </c>
      <c r="E76" s="119">
        <f>'2022'!I648</f>
        <v>6520</v>
      </c>
      <c r="F76" s="119">
        <f>'2022'!J648</f>
        <v>1042</v>
      </c>
      <c r="G76" s="106">
        <f>'2022'!K648</f>
        <v>2813.4</v>
      </c>
      <c r="H76" s="106">
        <f>'2022'!L648</f>
      </c>
      <c r="I76" s="119">
        <f>'2022'!M648</f>
        <v>7010</v>
      </c>
      <c r="J76" s="119">
        <f>'2022'!N648</f>
        <v>490</v>
      </c>
      <c r="K76" s="106">
        <f>'2022'!O648</f>
        <v>1323</v>
      </c>
      <c r="L76" s="106">
        <f>'2022'!P648</f>
      </c>
      <c r="M76" s="119">
        <f>'2022'!Q648</f>
        <v>7338</v>
      </c>
      <c r="N76" s="119">
        <f>'2022'!R648</f>
        <v>328</v>
      </c>
      <c r="O76" s="106">
        <f>'2022'!S648</f>
        <v>885.6</v>
      </c>
      <c r="P76" s="106">
        <f>'2022'!T648</f>
      </c>
      <c r="Q76" s="119">
        <f>'2022'!U648</f>
        <v>7831</v>
      </c>
      <c r="R76" s="119">
        <f>'2022'!V648</f>
        <v>493</v>
      </c>
      <c r="S76" s="106">
        <f>'2022'!W648</f>
        <v>1331.1</v>
      </c>
      <c r="T76" s="106">
        <f>'2022'!X648</f>
      </c>
      <c r="U76" s="119">
        <f>'2022'!Y648</f>
        <v>8082</v>
      </c>
      <c r="V76" s="119">
        <f>'2022'!Z648</f>
        <v>251</v>
      </c>
      <c r="W76" s="106">
        <f>'2022'!AA648</f>
        <v>677.7</v>
      </c>
      <c r="X76" s="106">
        <f>'2022'!AB648</f>
      </c>
      <c r="Y76" s="119">
        <f>'2022'!AC648</f>
        <v>8331</v>
      </c>
      <c r="Z76" s="119">
        <f>'2022'!AD648</f>
        <v>249</v>
      </c>
      <c r="AA76" s="106">
        <f>'2022'!AE648</f>
        <v>672.3</v>
      </c>
      <c r="AB76" s="106">
        <f>'2022'!AF648</f>
      </c>
      <c r="AC76" s="119">
        <f>'2022'!AG648</f>
        <v>8576</v>
      </c>
      <c r="AD76" s="106">
        <f>'2022'!AH648</f>
        <v>258.72</v>
      </c>
      <c r="AE76" s="106">
        <f>'2022'!AI648</f>
        <v>636.4512</v>
      </c>
      <c r="AF76" s="106">
        <f>'2022'!AJ648</f>
      </c>
      <c r="AG76" s="119">
        <f>'2022'!AK648</f>
        <v>8768</v>
      </c>
      <c r="AH76" s="119">
        <f>'2022'!AL648</f>
        <v>197.376</v>
      </c>
      <c r="AI76" s="106">
        <f>'2022'!AM648</f>
        <v>485.54496</v>
      </c>
      <c r="AJ76" s="106">
        <f>'2022'!AN648</f>
        <v>7500</v>
      </c>
      <c r="AK76" s="119">
        <f>'2022'!AO648</f>
        <v>9127</v>
      </c>
      <c r="AL76" s="119">
        <f>'2022'!AP648</f>
        <v>370.847</v>
      </c>
      <c r="AM76" s="106">
        <f>'2022'!AQ648</f>
        <v>912.28362</v>
      </c>
      <c r="AN76" s="106">
        <f>'2022'!AR648</f>
        <v>5000</v>
      </c>
      <c r="AO76" s="119">
        <f>'2022'!AS648</f>
        <v>9658</v>
      </c>
      <c r="AP76" s="119">
        <f>'2022'!AT648</f>
        <v>557.55</v>
      </c>
      <c r="AQ76" s="106">
        <f>'2022'!AU648</f>
        <v>1371.573</v>
      </c>
      <c r="AR76" s="106">
        <f>'2022'!AV648</f>
      </c>
      <c r="AS76" s="119">
        <f>'2022'!AW648</f>
      </c>
      <c r="AT76" s="119">
        <f>'2022'!AX648</f>
        <v>0</v>
      </c>
      <c r="AU76" s="106">
        <f>'2022'!AY648</f>
        <v>0</v>
      </c>
      <c r="AV76" s="106">
        <f>'2022'!AZ648</f>
      </c>
      <c r="AW76" s="106"/>
      <c r="AX76" s="106">
        <f t="shared" si="0"/>
        <v>0</v>
      </c>
      <c r="AY76" s="119">
        <f>'2022'!BA648</f>
      </c>
      <c r="AZ76" s="119">
        <f>'2022'!BB648</f>
      </c>
      <c r="BA76" s="106">
        <f>'2022'!BC648</f>
        <v>0</v>
      </c>
      <c r="BB76" s="106">
        <f>'2022'!BD648</f>
      </c>
      <c r="BC76" s="106"/>
      <c r="BD76" s="106">
        <f t="shared" si="1"/>
        <v>0</v>
      </c>
      <c r="BE76" s="119">
        <f>'2022'!BE648</f>
        <v>4237.493</v>
      </c>
      <c r="BF76" s="106">
        <f>'2022'!BF648</f>
        <v>11108.95278</v>
      </c>
      <c r="BG76" s="106">
        <f>'2022'!BG648</f>
        <v>12500</v>
      </c>
      <c r="BH76" s="106">
        <f>'2022'!BH648</f>
        <v>7737.65278</v>
      </c>
      <c r="BI76" s="106">
        <f t="shared" si="2"/>
        <v>0</v>
      </c>
      <c r="BJ76" s="338">
        <f t="shared" si="3"/>
        <v>7737.65278</v>
      </c>
    </row>
    <row r="77" ht="15" customHeight="1" spans="1:62" x14ac:dyDescent="0.25">
      <c r="A77" s="14"/>
      <c r="B77" s="15">
        <v>73</v>
      </c>
      <c r="C77" s="115">
        <v>4.02</v>
      </c>
      <c r="D77" s="117" t="s">
        <v>259</v>
      </c>
      <c r="E77" s="119">
        <f>'2022'!I657</f>
      </c>
      <c r="F77" s="119">
        <f>'2022'!J657</f>
        <v>0</v>
      </c>
      <c r="G77" s="106">
        <f>'2022'!K657</f>
        <v>0</v>
      </c>
      <c r="H77" s="106">
        <f>'2022'!L657</f>
      </c>
      <c r="I77" s="119">
        <f>'2022'!M657</f>
      </c>
      <c r="J77" s="119">
        <f>'2022'!N657</f>
        <v>0</v>
      </c>
      <c r="K77" s="106">
        <f>'2022'!O657</f>
        <v>0</v>
      </c>
      <c r="L77" s="106">
        <f>'2022'!P657</f>
      </c>
      <c r="M77" s="119">
        <f>'2022'!Q657</f>
      </c>
      <c r="N77" s="119">
        <f>'2022'!R657</f>
        <v>0</v>
      </c>
      <c r="O77" s="106">
        <f>'2022'!S657</f>
        <v>0</v>
      </c>
      <c r="P77" s="106">
        <f>'2022'!T657</f>
      </c>
      <c r="Q77" s="119">
        <f>'2022'!U657</f>
      </c>
      <c r="R77" s="119">
        <f>'2022'!V657</f>
        <v>0</v>
      </c>
      <c r="S77" s="106">
        <f>'2022'!W657</f>
        <v>0</v>
      </c>
      <c r="T77" s="106">
        <f>'2022'!X657</f>
      </c>
      <c r="U77" s="119">
        <f>'2022'!Y657</f>
      </c>
      <c r="V77" s="119">
        <f>'2022'!Z657</f>
        <v>0</v>
      </c>
      <c r="W77" s="106">
        <f>'2022'!AA657</f>
        <v>0</v>
      </c>
      <c r="X77" s="106">
        <f>'2022'!AB657</f>
      </c>
      <c r="Y77" s="119">
        <f>'2022'!AC657</f>
      </c>
      <c r="Z77" s="119">
        <f>'2022'!AD657</f>
        <v>0</v>
      </c>
      <c r="AA77" s="106">
        <f>'2022'!AE657</f>
        <v>0</v>
      </c>
      <c r="AB77" s="106">
        <f>'2022'!AF657</f>
      </c>
      <c r="AC77" s="119">
        <f>'2022'!AG657</f>
      </c>
      <c r="AD77" s="106">
        <f>'2022'!AH657</f>
        <v>0</v>
      </c>
      <c r="AE77" s="106">
        <f>'2022'!AI657</f>
        <v>0</v>
      </c>
      <c r="AF77" s="106">
        <f>'2022'!AJ657</f>
      </c>
      <c r="AG77" s="119">
        <f>'2022'!AK657</f>
      </c>
      <c r="AH77" s="119">
        <f>'2022'!AL657</f>
        <v>0</v>
      </c>
      <c r="AI77" s="106">
        <f>'2022'!AM657</f>
        <v>0</v>
      </c>
      <c r="AJ77" s="106">
        <f>'2022'!AN657</f>
      </c>
      <c r="AK77" s="119">
        <f>'2022'!AO657</f>
      </c>
      <c r="AL77" s="119">
        <f>'2022'!AP657</f>
        <v>0</v>
      </c>
      <c r="AM77" s="106">
        <f>'2022'!AQ657</f>
        <v>0</v>
      </c>
      <c r="AN77" s="106">
        <f>'2022'!AR657</f>
      </c>
      <c r="AO77" s="119">
        <f>'2022'!AS657</f>
      </c>
      <c r="AP77" s="119">
        <f>'2022'!AT657</f>
        <v>0</v>
      </c>
      <c r="AQ77" s="106">
        <f>'2022'!AU657</f>
        <v>0</v>
      </c>
      <c r="AR77" s="106">
        <f>'2022'!AV657</f>
      </c>
      <c r="AS77" s="119">
        <f>'2022'!AW657</f>
      </c>
      <c r="AT77" s="119">
        <f>'2022'!AX657</f>
        <v>0</v>
      </c>
      <c r="AU77" s="106">
        <f>'2022'!AY657</f>
        <v>0</v>
      </c>
      <c r="AV77" s="106">
        <f>'2022'!AZ657</f>
      </c>
      <c r="AW77" s="106"/>
      <c r="AX77" s="106">
        <f t="shared" si="0"/>
        <v>0</v>
      </c>
      <c r="AY77" s="119">
        <f>'2022'!BA657</f>
      </c>
      <c r="AZ77" s="119">
        <f>'2022'!BB657</f>
      </c>
      <c r="BA77" s="106">
        <f>'2022'!BC657</f>
        <v>0</v>
      </c>
      <c r="BB77" s="106">
        <f>'2022'!BD657</f>
      </c>
      <c r="BC77" s="106"/>
      <c r="BD77" s="106">
        <f t="shared" si="1"/>
        <v>0</v>
      </c>
      <c r="BE77" s="119">
        <f>'2022'!BE657</f>
        <v>0</v>
      </c>
      <c r="BF77" s="106">
        <f>'2022'!BF657</f>
        <v>0</v>
      </c>
      <c r="BG77" s="106">
        <f>'2022'!BG657</f>
        <v>0</v>
      </c>
      <c r="BH77" s="106">
        <f>'2022'!BH657</f>
        <v>0</v>
      </c>
      <c r="BI77" s="106">
        <f t="shared" si="2"/>
        <v>0</v>
      </c>
      <c r="BJ77" s="338">
        <f t="shared" si="3"/>
        <v>0</v>
      </c>
    </row>
    <row r="78" ht="15" customHeight="1" spans="1:62" x14ac:dyDescent="0.25">
      <c r="A78" s="21"/>
      <c r="B78" s="15">
        <v>74</v>
      </c>
      <c r="C78" s="115">
        <v>4.97</v>
      </c>
      <c r="D78" s="117" t="s">
        <v>262</v>
      </c>
      <c r="E78" s="119">
        <f>'2022'!I666</f>
      </c>
      <c r="F78" s="119">
        <f>'2022'!J666</f>
        <v>0</v>
      </c>
      <c r="G78" s="106">
        <f>'2022'!K666</f>
        <v>0</v>
      </c>
      <c r="H78" s="106">
        <f>'2022'!L666</f>
      </c>
      <c r="I78" s="119">
        <f>'2022'!M666</f>
      </c>
      <c r="J78" s="119">
        <f>'2022'!N666</f>
        <v>0</v>
      </c>
      <c r="K78" s="106">
        <f>'2022'!O666</f>
        <v>0</v>
      </c>
      <c r="L78" s="106">
        <f>'2022'!P666</f>
      </c>
      <c r="M78" s="119">
        <f>'2022'!Q666</f>
      </c>
      <c r="N78" s="119">
        <f>'2022'!R666</f>
        <v>0</v>
      </c>
      <c r="O78" s="106">
        <f>'2022'!S666</f>
        <v>0</v>
      </c>
      <c r="P78" s="106">
        <f>'2022'!T666</f>
      </c>
      <c r="Q78" s="119">
        <f>'2022'!U666</f>
      </c>
      <c r="R78" s="119">
        <f>'2022'!V666</f>
        <v>0</v>
      </c>
      <c r="S78" s="106">
        <f>'2022'!W666</f>
        <v>0</v>
      </c>
      <c r="T78" s="106">
        <f>'2022'!X666</f>
      </c>
      <c r="U78" s="119">
        <f>'2022'!Y666</f>
      </c>
      <c r="V78" s="119">
        <f>'2022'!Z666</f>
        <v>0</v>
      </c>
      <c r="W78" s="106">
        <f>'2022'!AA666</f>
        <v>0</v>
      </c>
      <c r="X78" s="106">
        <f>'2022'!AB666</f>
      </c>
      <c r="Y78" s="119">
        <f>'2022'!AC666</f>
      </c>
      <c r="Z78" s="119">
        <f>'2022'!AD666</f>
        <v>0</v>
      </c>
      <c r="AA78" s="106">
        <f>'2022'!AE666</f>
        <v>0</v>
      </c>
      <c r="AB78" s="106">
        <f>'2022'!AF666</f>
      </c>
      <c r="AC78" s="119">
        <f>'2022'!AG666</f>
      </c>
      <c r="AD78" s="106">
        <f>'2022'!AH666</f>
        <v>0</v>
      </c>
      <c r="AE78" s="106">
        <f>'2022'!AI666</f>
        <v>0</v>
      </c>
      <c r="AF78" s="106">
        <f>'2022'!AJ666</f>
      </c>
      <c r="AG78" s="119">
        <f>'2022'!AK666</f>
      </c>
      <c r="AH78" s="119">
        <f>'2022'!AL666</f>
        <v>0</v>
      </c>
      <c r="AI78" s="106">
        <f>'2022'!AM666</f>
        <v>0</v>
      </c>
      <c r="AJ78" s="106">
        <f>'2022'!AN666</f>
      </c>
      <c r="AK78" s="119">
        <f>'2022'!AO666</f>
      </c>
      <c r="AL78" s="119">
        <f>'2022'!AP666</f>
        <v>0</v>
      </c>
      <c r="AM78" s="106">
        <f>'2022'!AQ666</f>
        <v>0</v>
      </c>
      <c r="AN78" s="106">
        <f>'2022'!AR666</f>
      </c>
      <c r="AO78" s="119">
        <f>'2022'!AS666</f>
      </c>
      <c r="AP78" s="119">
        <f>'2022'!AT666</f>
        <v>0</v>
      </c>
      <c r="AQ78" s="106">
        <f>'2022'!AU666</f>
        <v>0</v>
      </c>
      <c r="AR78" s="106">
        <f>'2022'!AV666</f>
      </c>
      <c r="AS78" s="119">
        <f>'2022'!AW666</f>
      </c>
      <c r="AT78" s="119">
        <f>'2022'!AX666</f>
        <v>0</v>
      </c>
      <c r="AU78" s="106">
        <f>'2022'!AY666</f>
        <v>0</v>
      </c>
      <c r="AV78" s="106">
        <f>'2022'!AZ666</f>
      </c>
      <c r="AW78" s="106"/>
      <c r="AX78" s="106">
        <f t="shared" si="0"/>
        <v>0</v>
      </c>
      <c r="AY78" s="119">
        <f>'2022'!BA666</f>
      </c>
      <c r="AZ78" s="119">
        <f>'2022'!BB666</f>
      </c>
      <c r="BA78" s="106">
        <f>'2022'!BC666</f>
        <v>0</v>
      </c>
      <c r="BB78" s="106">
        <f>'2022'!BD666</f>
      </c>
      <c r="BC78" s="106"/>
      <c r="BD78" s="106">
        <f t="shared" si="1"/>
        <v>0</v>
      </c>
      <c r="BE78" s="119">
        <f>'2022'!BE666</f>
        <v>0</v>
      </c>
      <c r="BF78" s="106">
        <f>'2022'!BF666</f>
        <v>0</v>
      </c>
      <c r="BG78" s="106">
        <f>'2022'!BG666</f>
        <v>0</v>
      </c>
      <c r="BH78" s="106">
        <f>'2022'!BH666</f>
        <v>0</v>
      </c>
      <c r="BI78" s="106">
        <f t="shared" si="2"/>
        <v>0</v>
      </c>
      <c r="BJ78" s="338">
        <f t="shared" si="3"/>
        <v>0</v>
      </c>
    </row>
    <row r="79" ht="15" customHeight="1" spans="1:62" x14ac:dyDescent="0.25">
      <c r="A79" s="114" t="s">
        <v>264</v>
      </c>
      <c r="B79" s="15">
        <v>75</v>
      </c>
      <c r="C79" s="115">
        <v>4.15</v>
      </c>
      <c r="D79" s="117" t="s">
        <v>265</v>
      </c>
      <c r="E79" s="119">
        <f>'2022'!I675</f>
      </c>
      <c r="F79" s="119">
        <f>'2022'!J675</f>
        <v>0</v>
      </c>
      <c r="G79" s="106">
        <f>'2022'!K675</f>
        <v>0</v>
      </c>
      <c r="H79" s="106">
        <f>'2022'!L675</f>
      </c>
      <c r="I79" s="119">
        <f>'2022'!M675</f>
      </c>
      <c r="J79" s="119">
        <f>'2022'!N675</f>
        <v>0</v>
      </c>
      <c r="K79" s="106">
        <f>'2022'!O675</f>
        <v>0</v>
      </c>
      <c r="L79" s="106">
        <f>'2022'!P675</f>
      </c>
      <c r="M79" s="119">
        <f>'2022'!Q675</f>
      </c>
      <c r="N79" s="119">
        <f>'2022'!R675</f>
        <v>0</v>
      </c>
      <c r="O79" s="106">
        <f>'2022'!S675</f>
        <v>0</v>
      </c>
      <c r="P79" s="106">
        <f>'2022'!T675</f>
      </c>
      <c r="Q79" s="119">
        <f>'2022'!U675</f>
      </c>
      <c r="R79" s="119">
        <f>'2022'!V675</f>
        <v>0</v>
      </c>
      <c r="S79" s="106">
        <f>'2022'!W675</f>
        <v>0</v>
      </c>
      <c r="T79" s="106">
        <f>'2022'!X675</f>
      </c>
      <c r="U79" s="119">
        <f>'2022'!Y675</f>
      </c>
      <c r="V79" s="119">
        <f>'2022'!Z675</f>
        <v>0</v>
      </c>
      <c r="W79" s="106">
        <f>'2022'!AA675</f>
        <v>0</v>
      </c>
      <c r="X79" s="106">
        <f>'2022'!AB675</f>
      </c>
      <c r="Y79" s="119">
        <f>'2022'!AC675</f>
      </c>
      <c r="Z79" s="119">
        <f>'2022'!AD675</f>
        <v>0</v>
      </c>
      <c r="AA79" s="106">
        <f>'2022'!AE675</f>
        <v>0</v>
      </c>
      <c r="AB79" s="106">
        <f>'2022'!AF675</f>
      </c>
      <c r="AC79" s="119">
        <f>'2022'!AG675</f>
      </c>
      <c r="AD79" s="106">
        <f>'2022'!AH675</f>
        <v>0</v>
      </c>
      <c r="AE79" s="106">
        <f>'2022'!AI675</f>
        <v>0</v>
      </c>
      <c r="AF79" s="106">
        <f>'2022'!AJ675</f>
      </c>
      <c r="AG79" s="119">
        <f>'2022'!AK675</f>
      </c>
      <c r="AH79" s="119">
        <f>'2022'!AL675</f>
        <v>0</v>
      </c>
      <c r="AI79" s="106">
        <f>'2022'!AM675</f>
        <v>0</v>
      </c>
      <c r="AJ79" s="106">
        <f>'2022'!AN675</f>
      </c>
      <c r="AK79" s="119">
        <f>'2022'!AO675</f>
      </c>
      <c r="AL79" s="119">
        <f>'2022'!AP675</f>
        <v>0</v>
      </c>
      <c r="AM79" s="106">
        <f>'2022'!AQ675</f>
        <v>0</v>
      </c>
      <c r="AN79" s="106">
        <f>'2022'!AR675</f>
      </c>
      <c r="AO79" s="119">
        <f>'2022'!AS675</f>
      </c>
      <c r="AP79" s="119">
        <f>'2022'!AT675</f>
        <v>0</v>
      </c>
      <c r="AQ79" s="106">
        <f>'2022'!AU675</f>
        <v>0</v>
      </c>
      <c r="AR79" s="106">
        <f>'2022'!AV675</f>
      </c>
      <c r="AS79" s="119">
        <f>'2022'!AW675</f>
      </c>
      <c r="AT79" s="119">
        <f>'2022'!AX675</f>
        <v>0</v>
      </c>
      <c r="AU79" s="106">
        <f>'2022'!AY675</f>
        <v>0</v>
      </c>
      <c r="AV79" s="106">
        <f>'2022'!AZ675</f>
      </c>
      <c r="AW79" s="106"/>
      <c r="AX79" s="106">
        <f t="shared" si="0"/>
        <v>0</v>
      </c>
      <c r="AY79" s="119">
        <f>'2022'!BA675</f>
      </c>
      <c r="AZ79" s="119">
        <f>'2022'!BB675</f>
      </c>
      <c r="BA79" s="106">
        <f>'2022'!BC675</f>
        <v>0</v>
      </c>
      <c r="BB79" s="106">
        <f>'2022'!BD675</f>
      </c>
      <c r="BC79" s="106"/>
      <c r="BD79" s="106">
        <f t="shared" si="1"/>
        <v>0</v>
      </c>
      <c r="BE79" s="119">
        <f>'2022'!BE675</f>
        <v>0</v>
      </c>
      <c r="BF79" s="106">
        <f>'2022'!BF675</f>
        <v>0</v>
      </c>
      <c r="BG79" s="106">
        <f>'2022'!BG675</f>
        <v>0</v>
      </c>
      <c r="BH79" s="106">
        <f>'2022'!BH675</f>
        <v>0</v>
      </c>
      <c r="BI79" s="106">
        <f t="shared" si="2"/>
        <v>0</v>
      </c>
      <c r="BJ79" s="338">
        <f t="shared" si="3"/>
        <v>0</v>
      </c>
    </row>
    <row r="80" ht="15" customHeight="1" spans="1:62" x14ac:dyDescent="0.25">
      <c r="A80" s="14"/>
      <c r="B80" s="15">
        <v>76</v>
      </c>
      <c r="C80" s="115">
        <v>4.15</v>
      </c>
      <c r="D80" s="117" t="s">
        <v>267</v>
      </c>
      <c r="E80" s="119">
        <f>'2022'!I684</f>
      </c>
      <c r="F80" s="119">
        <f>'2022'!J684</f>
        <v>0</v>
      </c>
      <c r="G80" s="106">
        <f>'2022'!K684</f>
        <v>0</v>
      </c>
      <c r="H80" s="106">
        <f>'2022'!L684</f>
      </c>
      <c r="I80" s="119">
        <f>'2022'!M684</f>
      </c>
      <c r="J80" s="119">
        <f>'2022'!N684</f>
        <v>0</v>
      </c>
      <c r="K80" s="106">
        <f>'2022'!O684</f>
        <v>0</v>
      </c>
      <c r="L80" s="106">
        <f>'2022'!P684</f>
      </c>
      <c r="M80" s="119">
        <f>'2022'!Q684</f>
      </c>
      <c r="N80" s="119">
        <f>'2022'!R684</f>
        <v>0</v>
      </c>
      <c r="O80" s="106">
        <f>'2022'!S684</f>
        <v>0</v>
      </c>
      <c r="P80" s="106">
        <f>'2022'!T684</f>
      </c>
      <c r="Q80" s="119">
        <f>'2022'!U684</f>
      </c>
      <c r="R80" s="119">
        <f>'2022'!V684</f>
        <v>0</v>
      </c>
      <c r="S80" s="106">
        <f>'2022'!W684</f>
        <v>0</v>
      </c>
      <c r="T80" s="106">
        <f>'2022'!X684</f>
      </c>
      <c r="U80" s="119">
        <f>'2022'!Y684</f>
      </c>
      <c r="V80" s="119">
        <f>'2022'!Z684</f>
        <v>0</v>
      </c>
      <c r="W80" s="106">
        <f>'2022'!AA684</f>
        <v>0</v>
      </c>
      <c r="X80" s="106">
        <f>'2022'!AB684</f>
      </c>
      <c r="Y80" s="119">
        <f>'2022'!AC684</f>
      </c>
      <c r="Z80" s="119">
        <f>'2022'!AD684</f>
        <v>0</v>
      </c>
      <c r="AA80" s="106">
        <f>'2022'!AE684</f>
        <v>0</v>
      </c>
      <c r="AB80" s="106">
        <f>'2022'!AF684</f>
      </c>
      <c r="AC80" s="119">
        <f>'2022'!AG684</f>
      </c>
      <c r="AD80" s="106">
        <f>'2022'!AH684</f>
        <v>0</v>
      </c>
      <c r="AE80" s="106">
        <f>'2022'!AI684</f>
        <v>0</v>
      </c>
      <c r="AF80" s="106">
        <f>'2022'!AJ684</f>
      </c>
      <c r="AG80" s="119">
        <f>'2022'!AK684</f>
      </c>
      <c r="AH80" s="119">
        <f>'2022'!AL684</f>
        <v>0</v>
      </c>
      <c r="AI80" s="106">
        <f>'2022'!AM684</f>
        <v>0</v>
      </c>
      <c r="AJ80" s="106">
        <f>'2022'!AN684</f>
      </c>
      <c r="AK80" s="119">
        <f>'2022'!AO684</f>
      </c>
      <c r="AL80" s="119">
        <f>'2022'!AP684</f>
        <v>0</v>
      </c>
      <c r="AM80" s="106">
        <f>'2022'!AQ684</f>
        <v>0</v>
      </c>
      <c r="AN80" s="106">
        <f>'2022'!AR684</f>
      </c>
      <c r="AO80" s="119">
        <f>'2022'!AS684</f>
      </c>
      <c r="AP80" s="119">
        <f>'2022'!AT684</f>
        <v>0</v>
      </c>
      <c r="AQ80" s="106">
        <f>'2022'!AU684</f>
        <v>0</v>
      </c>
      <c r="AR80" s="106">
        <f>'2022'!AV684</f>
      </c>
      <c r="AS80" s="119">
        <f>'2022'!AW684</f>
      </c>
      <c r="AT80" s="119">
        <f>'2022'!AX684</f>
        <v>0</v>
      </c>
      <c r="AU80" s="106">
        <f>'2022'!AY684</f>
        <v>0</v>
      </c>
      <c r="AV80" s="106">
        <f>'2022'!AZ684</f>
      </c>
      <c r="AW80" s="106"/>
      <c r="AX80" s="106">
        <f t="shared" si="0"/>
        <v>0</v>
      </c>
      <c r="AY80" s="119">
        <f>'2022'!BA684</f>
      </c>
      <c r="AZ80" s="119">
        <f>'2022'!BB684</f>
      </c>
      <c r="BA80" s="106">
        <f>'2022'!BC684</f>
        <v>0</v>
      </c>
      <c r="BB80" s="106">
        <f>'2022'!BD684</f>
      </c>
      <c r="BC80" s="106"/>
      <c r="BD80" s="106">
        <f t="shared" si="1"/>
        <v>0</v>
      </c>
      <c r="BE80" s="119">
        <f>'2022'!BE684</f>
        <v>0</v>
      </c>
      <c r="BF80" s="106">
        <f>'2022'!BF684</f>
        <v>0</v>
      </c>
      <c r="BG80" s="106">
        <f>'2022'!BG684</f>
        <v>0</v>
      </c>
      <c r="BH80" s="106">
        <f>'2022'!BH684</f>
        <v>0</v>
      </c>
      <c r="BI80" s="106">
        <f t="shared" si="2"/>
        <v>0</v>
      </c>
      <c r="BJ80" s="338">
        <f t="shared" si="3"/>
        <v>0</v>
      </c>
    </row>
    <row r="81" ht="15" customHeight="1" spans="1:62" x14ac:dyDescent="0.25">
      <c r="A81" s="14"/>
      <c r="B81" s="15">
        <v>77</v>
      </c>
      <c r="C81" s="115">
        <v>4.12</v>
      </c>
      <c r="D81" s="117" t="s">
        <v>268</v>
      </c>
      <c r="E81" s="119">
        <f>'2022'!I693</f>
        <v>2667</v>
      </c>
      <c r="F81" s="119">
        <f>'2022'!J693</f>
        <v>0</v>
      </c>
      <c r="G81" s="106">
        <f>'2022'!K693</f>
        <v>0</v>
      </c>
      <c r="H81" s="106">
        <f>'2022'!L693</f>
      </c>
      <c r="I81" s="119">
        <f>'2022'!M693</f>
        <v>2667</v>
      </c>
      <c r="J81" s="119">
        <f>'2022'!N693</f>
        <v>0</v>
      </c>
      <c r="K81" s="106">
        <f>'2022'!O693</f>
        <v>0</v>
      </c>
      <c r="L81" s="106">
        <f>'2022'!P693</f>
      </c>
      <c r="M81" s="119">
        <f>'2022'!Q693</f>
        <v>2667</v>
      </c>
      <c r="N81" s="119">
        <f>'2022'!R693</f>
        <v>0</v>
      </c>
      <c r="O81" s="106">
        <f>'2022'!S693</f>
        <v>0</v>
      </c>
      <c r="P81" s="106">
        <f>'2022'!T693</f>
      </c>
      <c r="Q81" s="119">
        <f>'2022'!U693</f>
        <v>2667</v>
      </c>
      <c r="R81" s="119">
        <f>'2022'!V693</f>
        <v>0</v>
      </c>
      <c r="S81" s="106">
        <f>'2022'!W693</f>
        <v>0</v>
      </c>
      <c r="T81" s="106">
        <f>'2022'!X693</f>
      </c>
      <c r="U81" s="119">
        <f>'2022'!Y693</f>
        <v>2755</v>
      </c>
      <c r="V81" s="119">
        <f>'2022'!Z693</f>
        <v>88</v>
      </c>
      <c r="W81" s="106">
        <f>'2022'!AA693</f>
        <v>237.6</v>
      </c>
      <c r="X81" s="106">
        <f>'2022'!AB693</f>
      </c>
      <c r="Y81" s="119">
        <f>'2022'!AC693</f>
        <v>2863</v>
      </c>
      <c r="Z81" s="119">
        <f>'2022'!AD693</f>
        <v>108</v>
      </c>
      <c r="AA81" s="106">
        <f>'2022'!AE693</f>
        <v>291.6</v>
      </c>
      <c r="AB81" s="106">
        <f>'2022'!AF693</f>
        <v>432</v>
      </c>
      <c r="AC81" s="119">
        <f>'2022'!AG693</f>
        <v>2962</v>
      </c>
      <c r="AD81" s="106">
        <f>'2022'!AH693</f>
        <v>104.544</v>
      </c>
      <c r="AE81" s="106">
        <f>'2022'!AI693</f>
        <v>257.17824</v>
      </c>
      <c r="AF81" s="106">
        <f>'2022'!AJ693</f>
        <v>291.6</v>
      </c>
      <c r="AG81" s="119">
        <f>'2022'!AK693</f>
        <v>3057</v>
      </c>
      <c r="AH81" s="119">
        <f>'2022'!AL693</f>
        <v>97.66</v>
      </c>
      <c r="AI81" s="106">
        <f>'2022'!AM693</f>
        <v>240.2436</v>
      </c>
      <c r="AJ81" s="106">
        <f>'2022'!AN693</f>
        <v>257.18</v>
      </c>
      <c r="AK81" s="119">
        <f>'2022'!AO693</f>
        <v>3135</v>
      </c>
      <c r="AL81" s="119">
        <f>'2022'!AP693</f>
        <v>80.574</v>
      </c>
      <c r="AM81" s="106">
        <f>'2022'!AQ693</f>
        <v>198.21204</v>
      </c>
      <c r="AN81" s="106">
        <f>'2022'!AR693</f>
        <v>240.24</v>
      </c>
      <c r="AO81" s="119">
        <f>'2022'!AS693</f>
        <v>3135</v>
      </c>
      <c r="AP81" s="119">
        <f>'2022'!AT693</f>
        <v>0</v>
      </c>
      <c r="AQ81" s="106">
        <f>'2022'!AU693</f>
        <v>0</v>
      </c>
      <c r="AR81" s="106">
        <f>'2022'!AV693</f>
      </c>
      <c r="AS81" s="119">
        <f>'2022'!AW693</f>
      </c>
      <c r="AT81" s="119">
        <f>'2022'!AX693</f>
        <v>0</v>
      </c>
      <c r="AU81" s="106">
        <f>'2022'!AY693</f>
        <v>0</v>
      </c>
      <c r="AV81" s="106">
        <f>'2022'!AZ693</f>
      </c>
      <c r="AW81" s="106"/>
      <c r="AX81" s="106">
        <f t="shared" si="0"/>
        <v>0</v>
      </c>
      <c r="AY81" s="119">
        <f>'2022'!BA693</f>
      </c>
      <c r="AZ81" s="119">
        <f>'2022'!BB693</f>
      </c>
      <c r="BA81" s="106">
        <f>'2022'!BC693</f>
        <v>0</v>
      </c>
      <c r="BB81" s="106">
        <f>'2022'!BD693</f>
      </c>
      <c r="BC81" s="106"/>
      <c r="BD81" s="106">
        <f t="shared" si="1"/>
        <v>0</v>
      </c>
      <c r="BE81" s="119">
        <f>'2022'!BE693</f>
        <v>478.778</v>
      </c>
      <c r="BF81" s="106">
        <f>'2022'!BF693</f>
        <v>1224.83388</v>
      </c>
      <c r="BG81" s="106">
        <f>'2022'!BG693</f>
        <v>1221.02</v>
      </c>
      <c r="BH81" s="106">
        <f>'2022'!BH693</f>
        <v>198.21388</v>
      </c>
      <c r="BI81" s="106">
        <f t="shared" si="2"/>
        <v>0</v>
      </c>
      <c r="BJ81" s="338">
        <f t="shared" si="3"/>
        <v>198.21388</v>
      </c>
    </row>
    <row r="82" ht="15" customHeight="1" spans="1:62" x14ac:dyDescent="0.25">
      <c r="A82" s="14"/>
      <c r="B82" s="15">
        <v>78</v>
      </c>
      <c r="C82" s="115">
        <v>4.03</v>
      </c>
      <c r="D82" s="117" t="s">
        <v>271</v>
      </c>
      <c r="E82" s="119">
        <f>'2022'!I702</f>
        <v>121</v>
      </c>
      <c r="F82" s="119">
        <f>'2022'!J702</f>
        <v>0</v>
      </c>
      <c r="G82" s="106">
        <f>'2022'!K702</f>
        <v>0</v>
      </c>
      <c r="H82" s="106">
        <f>'2022'!L702</f>
      </c>
      <c r="I82" s="119">
        <f>'2022'!M702</f>
        <v>121</v>
      </c>
      <c r="J82" s="119">
        <f>'2022'!N702</f>
        <v>0</v>
      </c>
      <c r="K82" s="106">
        <f>'2022'!O702</f>
        <v>0</v>
      </c>
      <c r="L82" s="106">
        <f>'2022'!P702</f>
      </c>
      <c r="M82" s="119">
        <f>'2022'!Q702</f>
        <v>121</v>
      </c>
      <c r="N82" s="119">
        <f>'2022'!R702</f>
        <v>0</v>
      </c>
      <c r="O82" s="106">
        <f>'2022'!S702</f>
        <v>0</v>
      </c>
      <c r="P82" s="106">
        <f>'2022'!T702</f>
      </c>
      <c r="Q82" s="119">
        <f>'2022'!U702</f>
        <v>121</v>
      </c>
      <c r="R82" s="119">
        <f>'2022'!V702</f>
        <v>0</v>
      </c>
      <c r="S82" s="106">
        <f>'2022'!W702</f>
        <v>0</v>
      </c>
      <c r="T82" s="106">
        <f>'2022'!X702</f>
      </c>
      <c r="U82" s="119">
        <f>'2022'!Y702</f>
        <v>123</v>
      </c>
      <c r="V82" s="119">
        <f>'2022'!Z702</f>
        <v>2</v>
      </c>
      <c r="W82" s="106">
        <f>'2022'!AA702</f>
        <v>5.4</v>
      </c>
      <c r="X82" s="106">
        <f>'2022'!AB702</f>
      </c>
      <c r="Y82" s="119">
        <f>'2022'!AC702</f>
        <v>126</v>
      </c>
      <c r="Z82" s="119">
        <f>'2022'!AD702</f>
        <v>3</v>
      </c>
      <c r="AA82" s="106">
        <f>'2022'!AE702</f>
        <v>8.1</v>
      </c>
      <c r="AB82" s="106">
        <f>'2022'!AF702</f>
        <v>91.8</v>
      </c>
      <c r="AC82" s="119">
        <f>'2022'!AG702</f>
        <v>127</v>
      </c>
      <c r="AD82" s="106">
        <f>'2022'!AH702</f>
        <v>1.056</v>
      </c>
      <c r="AE82" s="106">
        <f>'2022'!AI702</f>
        <v>2.59776</v>
      </c>
      <c r="AF82" s="106">
        <f>'2022'!AJ702</f>
      </c>
      <c r="AG82" s="119">
        <f>'2022'!AK702</f>
        <v>128</v>
      </c>
      <c r="AH82" s="119">
        <f>'2022'!AL702</f>
        <v>1.028</v>
      </c>
      <c r="AI82" s="106">
        <f>'2022'!AM702</f>
        <v>2.52888</v>
      </c>
      <c r="AJ82" s="106">
        <f>'2022'!AN702</f>
        <v>13.23</v>
      </c>
      <c r="AK82" s="119">
        <f>'2022'!AO702</f>
        <v>136</v>
      </c>
      <c r="AL82" s="119">
        <f>'2022'!AP702</f>
        <v>8.264</v>
      </c>
      <c r="AM82" s="106">
        <f>'2022'!AQ702</f>
        <v>20.32944</v>
      </c>
      <c r="AN82" s="106">
        <f>'2022'!AR702</f>
        <v>20.33</v>
      </c>
      <c r="AO82" s="119">
        <f>'2022'!AS702</f>
        <v>136</v>
      </c>
      <c r="AP82" s="119">
        <f>'2022'!AT702</f>
        <v>0</v>
      </c>
      <c r="AQ82" s="106">
        <f>'2022'!AU702</f>
        <v>0</v>
      </c>
      <c r="AR82" s="106">
        <f>'2022'!AV702</f>
      </c>
      <c r="AS82" s="119">
        <f>'2022'!AW702</f>
      </c>
      <c r="AT82" s="119">
        <f>'2022'!AX702</f>
        <v>0</v>
      </c>
      <c r="AU82" s="106">
        <f>'2022'!AY702</f>
        <v>0</v>
      </c>
      <c r="AV82" s="106">
        <f>'2022'!AZ702</f>
      </c>
      <c r="AW82" s="106"/>
      <c r="AX82" s="106">
        <f t="shared" si="0"/>
        <v>0</v>
      </c>
      <c r="AY82" s="119">
        <f>'2022'!BA702</f>
      </c>
      <c r="AZ82" s="119">
        <f>'2022'!BB702</f>
      </c>
      <c r="BA82" s="106">
        <f>'2022'!BC702</f>
        <v>0</v>
      </c>
      <c r="BB82" s="106">
        <f>'2022'!BD702</f>
      </c>
      <c r="BC82" s="106"/>
      <c r="BD82" s="106">
        <f t="shared" si="1"/>
        <v>0</v>
      </c>
      <c r="BE82" s="119">
        <f>'2022'!BE702</f>
        <v>15.348</v>
      </c>
      <c r="BF82" s="106">
        <f>'2022'!BF702</f>
        <v>38.95608</v>
      </c>
      <c r="BG82" s="106">
        <f>'2022'!BG702</f>
        <v>125.36</v>
      </c>
      <c r="BH82" s="106">
        <f>'2022'!BH702</f>
        <v>-0.00392</v>
      </c>
      <c r="BI82" s="106">
        <f t="shared" si="2"/>
        <v>0</v>
      </c>
      <c r="BJ82" s="338">
        <f t="shared" si="3"/>
        <v>-0.00392</v>
      </c>
    </row>
    <row r="83" ht="15" customHeight="1" spans="1:62" x14ac:dyDescent="0.25">
      <c r="A83" s="14"/>
      <c r="B83" s="15">
        <v>79</v>
      </c>
      <c r="C83" s="115">
        <v>4.24</v>
      </c>
      <c r="D83" s="117" t="s">
        <v>275</v>
      </c>
      <c r="E83" s="119">
        <f>'2022'!I711</f>
        <v>43</v>
      </c>
      <c r="F83" s="119">
        <f>'2022'!J711</f>
        <v>0</v>
      </c>
      <c r="G83" s="106">
        <f>'2022'!K711</f>
        <v>0</v>
      </c>
      <c r="H83" s="106">
        <f>'2022'!L711</f>
      </c>
      <c r="I83" s="119">
        <f>'2022'!M711</f>
        <v>43</v>
      </c>
      <c r="J83" s="119">
        <f>'2022'!N711</f>
        <v>0</v>
      </c>
      <c r="K83" s="106">
        <f>'2022'!O711</f>
        <v>0</v>
      </c>
      <c r="L83" s="106">
        <f>'2022'!P711</f>
      </c>
      <c r="M83" s="119">
        <f>'2022'!Q711</f>
        <v>43</v>
      </c>
      <c r="N83" s="119">
        <f>'2022'!R711</f>
        <v>0</v>
      </c>
      <c r="O83" s="106">
        <f>'2022'!S711</f>
        <v>0</v>
      </c>
      <c r="P83" s="106">
        <f>'2022'!T711</f>
      </c>
      <c r="Q83" s="119">
        <f>'2022'!U711</f>
        <v>43</v>
      </c>
      <c r="R83" s="119">
        <f>'2022'!V711</f>
        <v>0</v>
      </c>
      <c r="S83" s="106">
        <f>'2022'!W711</f>
        <v>0</v>
      </c>
      <c r="T83" s="106">
        <f>'2022'!X711</f>
      </c>
      <c r="U83" s="119">
        <f>'2022'!Y711</f>
        <v>52</v>
      </c>
      <c r="V83" s="119">
        <f>'2022'!Z711</f>
        <v>9</v>
      </c>
      <c r="W83" s="106">
        <f>'2022'!AA711</f>
        <v>24.3</v>
      </c>
      <c r="X83" s="106">
        <f>'2022'!AB711</f>
      </c>
      <c r="Y83" s="119">
        <f>'2022'!AC711</f>
        <v>52</v>
      </c>
      <c r="Z83" s="119">
        <f>'2022'!AD711</f>
        <v>0</v>
      </c>
      <c r="AA83" s="106">
        <f>'2022'!AE711</f>
        <v>0</v>
      </c>
      <c r="AB83" s="106">
        <f>'2022'!AF711</f>
      </c>
      <c r="AC83" s="119">
        <f>'2022'!AG711</f>
        <v>54</v>
      </c>
      <c r="AD83" s="106">
        <f>'2022'!AH711</f>
        <v>2.112</v>
      </c>
      <c r="AE83" s="106">
        <f>'2022'!AI711</f>
        <v>5.19552</v>
      </c>
      <c r="AF83" s="106">
        <f>'2022'!AJ711</f>
      </c>
      <c r="AG83" s="119">
        <f>'2022'!AK711</f>
        <v>54</v>
      </c>
      <c r="AH83" s="119">
        <f>'2022'!AL711</f>
        <v>0</v>
      </c>
      <c r="AI83" s="106">
        <f>'2022'!AM711</f>
        <v>0</v>
      </c>
      <c r="AJ83" s="106">
        <f>'2022'!AN711</f>
      </c>
      <c r="AK83" s="119">
        <f>'2022'!AO711</f>
        <v>54</v>
      </c>
      <c r="AL83" s="119">
        <f>'2022'!AP711</f>
        <v>0</v>
      </c>
      <c r="AM83" s="106">
        <f>'2022'!AQ711</f>
        <v>0</v>
      </c>
      <c r="AN83" s="106">
        <f>'2022'!AR711</f>
      </c>
      <c r="AO83" s="119">
        <f>'2022'!AS711</f>
        <v>54</v>
      </c>
      <c r="AP83" s="119">
        <f>'2022'!AT711</f>
        <v>0</v>
      </c>
      <c r="AQ83" s="106">
        <f>'2022'!AU711</f>
        <v>0</v>
      </c>
      <c r="AR83" s="106">
        <f>'2022'!AV711</f>
      </c>
      <c r="AS83" s="119">
        <f>'2022'!AW711</f>
      </c>
      <c r="AT83" s="119">
        <f>'2022'!AX711</f>
        <v>0</v>
      </c>
      <c r="AU83" s="106">
        <f>'2022'!AY711</f>
        <v>0</v>
      </c>
      <c r="AV83" s="106">
        <f>'2022'!AZ711</f>
      </c>
      <c r="AW83" s="106"/>
      <c r="AX83" s="106">
        <f t="shared" si="0"/>
        <v>0</v>
      </c>
      <c r="AY83" s="119">
        <f>'2022'!BA711</f>
      </c>
      <c r="AZ83" s="119">
        <f>'2022'!BB711</f>
      </c>
      <c r="BA83" s="106">
        <f>'2022'!BC711</f>
        <v>0</v>
      </c>
      <c r="BB83" s="106">
        <f>'2022'!BD711</f>
      </c>
      <c r="BC83" s="106"/>
      <c r="BD83" s="106">
        <f t="shared" si="1"/>
        <v>0</v>
      </c>
      <c r="BE83" s="119">
        <f>'2022'!BE711</f>
        <v>11.112</v>
      </c>
      <c r="BF83" s="106">
        <f>'2022'!BF711</f>
        <v>29.49552</v>
      </c>
      <c r="BG83" s="106">
        <f>'2022'!BG711</f>
        <v>0</v>
      </c>
      <c r="BH83" s="106">
        <f>'2022'!BH711</f>
        <v>69.89552</v>
      </c>
      <c r="BI83" s="106">
        <f t="shared" si="2"/>
        <v>0</v>
      </c>
      <c r="BJ83" s="338">
        <f t="shared" si="3"/>
        <v>69.89552</v>
      </c>
    </row>
    <row r="84" ht="15" customHeight="1" spans="1:62" x14ac:dyDescent="0.25">
      <c r="A84" s="14"/>
      <c r="B84" s="15">
        <v>81</v>
      </c>
      <c r="C84" s="116">
        <v>4.3</v>
      </c>
      <c r="D84" s="117" t="s">
        <v>278</v>
      </c>
      <c r="E84" s="119">
        <f>'2022'!I720</f>
        <v>13</v>
      </c>
      <c r="F84" s="119">
        <f>'2022'!J720</f>
        <v>0</v>
      </c>
      <c r="G84" s="106">
        <f>'2022'!K720</f>
        <v>0</v>
      </c>
      <c r="H84" s="106">
        <f>'2022'!L720</f>
      </c>
      <c r="I84" s="119">
        <f>'2022'!M720</f>
        <v>13</v>
      </c>
      <c r="J84" s="119">
        <f>'2022'!N720</f>
        <v>0</v>
      </c>
      <c r="K84" s="106">
        <f>'2022'!O720</f>
        <v>0</v>
      </c>
      <c r="L84" s="106">
        <f>'2022'!P720</f>
      </c>
      <c r="M84" s="119">
        <f>'2022'!Q720</f>
        <v>13</v>
      </c>
      <c r="N84" s="119">
        <f>'2022'!R720</f>
        <v>0</v>
      </c>
      <c r="O84" s="106">
        <f>'2022'!S720</f>
        <v>0</v>
      </c>
      <c r="P84" s="106">
        <f>'2022'!T720</f>
      </c>
      <c r="Q84" s="119">
        <f>'2022'!U720</f>
        <v>13</v>
      </c>
      <c r="R84" s="119">
        <f>'2022'!V720</f>
        <v>0</v>
      </c>
      <c r="S84" s="106">
        <f>'2022'!W720</f>
        <v>0</v>
      </c>
      <c r="T84" s="106">
        <f>'2022'!X720</f>
      </c>
      <c r="U84" s="119">
        <f>'2022'!Y720</f>
        <v>13</v>
      </c>
      <c r="V84" s="119">
        <f>'2022'!Z720</f>
        <v>0</v>
      </c>
      <c r="W84" s="106">
        <f>'2022'!AA720</f>
        <v>0</v>
      </c>
      <c r="X84" s="106">
        <f>'2022'!AB720</f>
        <v>95.94</v>
      </c>
      <c r="Y84" s="119">
        <f>'2022'!AC720</f>
        <v>19</v>
      </c>
      <c r="Z84" s="119">
        <f>'2022'!AD720</f>
        <v>6</v>
      </c>
      <c r="AA84" s="106">
        <f>'2022'!AE720</f>
        <v>16.2</v>
      </c>
      <c r="AB84" s="106">
        <f>'2022'!AF720</f>
      </c>
      <c r="AC84" s="119">
        <f>'2022'!AG720</f>
        <v>21</v>
      </c>
      <c r="AD84" s="106">
        <f>'2022'!AH720</f>
        <v>2.112</v>
      </c>
      <c r="AE84" s="106">
        <f>'2022'!AI720</f>
        <v>5.19552</v>
      </c>
      <c r="AF84" s="106">
        <f>'2022'!AJ720</f>
      </c>
      <c r="AG84" s="119">
        <f>'2022'!AK720</f>
        <v>23</v>
      </c>
      <c r="AH84" s="119">
        <f>'2022'!AL720</f>
        <v>2.056</v>
      </c>
      <c r="AI84" s="106">
        <f>'2022'!AM720</f>
        <v>5.05776</v>
      </c>
      <c r="AJ84" s="106">
        <f>'2022'!AN720</f>
      </c>
      <c r="AK84" s="119">
        <f>'2022'!AO720</f>
        <v>25</v>
      </c>
      <c r="AL84" s="119">
        <f>'2022'!AP720</f>
        <v>2.066</v>
      </c>
      <c r="AM84" s="106">
        <f>'2022'!AQ720</f>
        <v>5.08236</v>
      </c>
      <c r="AN84" s="106">
        <f>'2022'!AR720</f>
      </c>
      <c r="AO84" s="119">
        <f>'2022'!AS720</f>
        <v>25</v>
      </c>
      <c r="AP84" s="119">
        <f>'2022'!AT720</f>
        <v>0</v>
      </c>
      <c r="AQ84" s="106">
        <f>'2022'!AU720</f>
        <v>0</v>
      </c>
      <c r="AR84" s="106">
        <f>'2022'!AV720</f>
      </c>
      <c r="AS84" s="119">
        <f>'2022'!AW720</f>
      </c>
      <c r="AT84" s="119">
        <f>'2022'!AX720</f>
        <v>0</v>
      </c>
      <c r="AU84" s="106">
        <f>'2022'!AY720</f>
        <v>0</v>
      </c>
      <c r="AV84" s="106">
        <f>'2022'!AZ720</f>
      </c>
      <c r="AW84" s="106"/>
      <c r="AX84" s="106">
        <f t="shared" si="0"/>
        <v>0</v>
      </c>
      <c r="AY84" s="119">
        <f>'2022'!BA720</f>
      </c>
      <c r="AZ84" s="119">
        <f>'2022'!BB720</f>
      </c>
      <c r="BA84" s="106">
        <f>'2022'!BC720</f>
        <v>0</v>
      </c>
      <c r="BB84" s="106">
        <f>'2022'!BD720</f>
      </c>
      <c r="BC84" s="106"/>
      <c r="BD84" s="106">
        <f t="shared" si="1"/>
        <v>0</v>
      </c>
      <c r="BE84" s="119">
        <f>'2022'!BE720</f>
        <v>12.234</v>
      </c>
      <c r="BF84" s="106">
        <f>'2022'!BF720</f>
        <v>31.53564</v>
      </c>
      <c r="BG84" s="106">
        <f>'2022'!BG720</f>
        <v>95.94</v>
      </c>
      <c r="BH84" s="106">
        <f>'2022'!BH720</f>
        <v>-30.00436</v>
      </c>
      <c r="BI84" s="106">
        <f t="shared" si="2"/>
        <v>0</v>
      </c>
      <c r="BJ84" s="338">
        <f t="shared" si="3"/>
        <v>-30.00436</v>
      </c>
    </row>
    <row r="85" ht="15" customHeight="1" spans="1:62" x14ac:dyDescent="0.25">
      <c r="A85" s="14"/>
      <c r="B85" s="15">
        <v>83</v>
      </c>
      <c r="C85" s="115">
        <v>4.29</v>
      </c>
      <c r="D85" s="117" t="s">
        <v>280</v>
      </c>
      <c r="E85" s="119">
        <f>'2022'!I729</f>
        <v>231</v>
      </c>
      <c r="F85" s="119">
        <f>'2022'!J729</f>
        <v>0</v>
      </c>
      <c r="G85" s="106">
        <f>'2022'!K729</f>
        <v>0</v>
      </c>
      <c r="H85" s="106">
        <f>'2022'!L729</f>
      </c>
      <c r="I85" s="119">
        <f>'2022'!M729</f>
        <v>231</v>
      </c>
      <c r="J85" s="119">
        <f>'2022'!N729</f>
        <v>0</v>
      </c>
      <c r="K85" s="106">
        <f>'2022'!O729</f>
        <v>0</v>
      </c>
      <c r="L85" s="106">
        <f>'2022'!P729</f>
      </c>
      <c r="M85" s="119">
        <f>'2022'!Q729</f>
        <v>231</v>
      </c>
      <c r="N85" s="119">
        <f>'2022'!R729</f>
        <v>0</v>
      </c>
      <c r="O85" s="106">
        <f>'2022'!S729</f>
        <v>0</v>
      </c>
      <c r="P85" s="106">
        <f>'2022'!T729</f>
      </c>
      <c r="Q85" s="119">
        <f>'2022'!U729</f>
        <v>231</v>
      </c>
      <c r="R85" s="119">
        <f>'2022'!V729</f>
        <v>0</v>
      </c>
      <c r="S85" s="106">
        <f>'2022'!W729</f>
        <v>0</v>
      </c>
      <c r="T85" s="106">
        <f>'2022'!X729</f>
      </c>
      <c r="U85" s="119">
        <f>'2022'!Y729</f>
        <v>231</v>
      </c>
      <c r="V85" s="119">
        <f>'2022'!Z729</f>
        <v>0</v>
      </c>
      <c r="W85" s="106">
        <f>'2022'!AA729</f>
        <v>0</v>
      </c>
      <c r="X85" s="106">
        <f>'2022'!AB729</f>
      </c>
      <c r="Y85" s="119">
        <f>'2022'!AC729</f>
        <v>231</v>
      </c>
      <c r="Z85" s="119">
        <f>'2022'!AD729</f>
        <v>0</v>
      </c>
      <c r="AA85" s="106">
        <f>'2022'!AE729</f>
        <v>0</v>
      </c>
      <c r="AB85" s="106">
        <f>'2022'!AF729</f>
      </c>
      <c r="AC85" s="119">
        <f>'2022'!AG729</f>
        <v>231</v>
      </c>
      <c r="AD85" s="106">
        <f>'2022'!AH729</f>
        <v>30</v>
      </c>
      <c r="AE85" s="106">
        <f>'2022'!AI729</f>
        <v>73.8</v>
      </c>
      <c r="AF85" s="106">
        <f>'2022'!AJ729</f>
      </c>
      <c r="AG85" s="119">
        <f>'2022'!AK729</f>
        <v>0</v>
      </c>
      <c r="AH85" s="119">
        <f>'2022'!AL729</f>
        <v>30</v>
      </c>
      <c r="AI85" s="106">
        <f>'2022'!AM729</f>
        <v>73.8</v>
      </c>
      <c r="AJ85" s="106">
        <f>'2022'!AN729</f>
      </c>
      <c r="AK85" s="119">
        <f>'2022'!AO729</f>
        <v>37</v>
      </c>
      <c r="AL85" s="119">
        <f>'2022'!AP729</f>
        <v>38.221</v>
      </c>
      <c r="AM85" s="106">
        <f>'2022'!AQ729</f>
        <v>94.02366</v>
      </c>
      <c r="AN85" s="106">
        <f>'2022'!AR729</f>
        <v>241.62</v>
      </c>
      <c r="AO85" s="119">
        <f>'2022'!AS729</f>
        <v>38</v>
      </c>
      <c r="AP85" s="119">
        <f>'2022'!AT729</f>
        <v>1.05</v>
      </c>
      <c r="AQ85" s="106">
        <f>'2022'!AU729</f>
        <v>2.583</v>
      </c>
      <c r="AR85" s="106">
        <f>'2022'!AV729</f>
      </c>
      <c r="AS85" s="119">
        <f>'2022'!AW729</f>
      </c>
      <c r="AT85" s="119">
        <f>'2022'!AX729</f>
        <v>0</v>
      </c>
      <c r="AU85" s="106">
        <f>'2022'!AY729</f>
        <v>0</v>
      </c>
      <c r="AV85" s="106">
        <f>'2022'!AZ729</f>
      </c>
      <c r="AW85" s="106"/>
      <c r="AX85" s="106">
        <f t="shared" si="0"/>
        <v>0</v>
      </c>
      <c r="AY85" s="119">
        <f>'2022'!BA729</f>
      </c>
      <c r="AZ85" s="119">
        <f>'2022'!BB729</f>
      </c>
      <c r="BA85" s="106">
        <f>'2022'!BC729</f>
        <v>0</v>
      </c>
      <c r="BB85" s="106">
        <f>'2022'!BD729</f>
      </c>
      <c r="BC85" s="106"/>
      <c r="BD85" s="106">
        <f t="shared" si="1"/>
        <v>0</v>
      </c>
      <c r="BE85" s="119">
        <f>'2022'!BE729</f>
        <v>99.271</v>
      </c>
      <c r="BF85" s="106">
        <f>'2022'!BF729</f>
        <v>244.20666</v>
      </c>
      <c r="BG85" s="106">
        <f>'2022'!BG729</f>
        <v>241.62</v>
      </c>
      <c r="BH85" s="106">
        <f>'2022'!BH729</f>
        <v>2.58666</v>
      </c>
      <c r="BI85" s="106">
        <f t="shared" si="2"/>
        <v>0</v>
      </c>
      <c r="BJ85" s="338">
        <f t="shared" si="3"/>
        <v>2.58666</v>
      </c>
    </row>
    <row r="86" ht="15" customHeight="1" spans="1:62" x14ac:dyDescent="0.25">
      <c r="A86" s="14"/>
      <c r="B86" s="15">
        <v>85</v>
      </c>
      <c r="C86" s="115">
        <v>4.27</v>
      </c>
      <c r="D86" s="117" t="s">
        <v>282</v>
      </c>
      <c r="E86" s="119">
        <f>'2022'!I738</f>
        <v>4753</v>
      </c>
      <c r="F86" s="119">
        <f>'2022'!J738</f>
        <v>0</v>
      </c>
      <c r="G86" s="106">
        <f>'2022'!K738</f>
        <v>0</v>
      </c>
      <c r="H86" s="106">
        <f>'2022'!L738</f>
      </c>
      <c r="I86" s="119">
        <f>'2022'!M738</f>
        <v>4753</v>
      </c>
      <c r="J86" s="119">
        <f>'2022'!N738</f>
        <v>0</v>
      </c>
      <c r="K86" s="106">
        <f>'2022'!O738</f>
        <v>0</v>
      </c>
      <c r="L86" s="106">
        <f>'2022'!P738</f>
      </c>
      <c r="M86" s="119">
        <f>'2022'!Q738</f>
        <v>4753</v>
      </c>
      <c r="N86" s="119">
        <f>'2022'!R738</f>
        <v>0</v>
      </c>
      <c r="O86" s="106">
        <f>'2022'!S738</f>
        <v>0</v>
      </c>
      <c r="P86" s="106">
        <f>'2022'!T738</f>
      </c>
      <c r="Q86" s="119">
        <f>'2022'!U738</f>
        <v>4753</v>
      </c>
      <c r="R86" s="119">
        <f>'2022'!V738</f>
        <v>0</v>
      </c>
      <c r="S86" s="106">
        <f>'2022'!W738</f>
        <v>0</v>
      </c>
      <c r="T86" s="106">
        <f>'2022'!X738</f>
      </c>
      <c r="U86" s="119">
        <f>'2022'!Y738</f>
        <v>4801</v>
      </c>
      <c r="V86" s="119">
        <f>'2022'!Z738</f>
        <v>48</v>
      </c>
      <c r="W86" s="106">
        <f>'2022'!AA738</f>
        <v>129.6</v>
      </c>
      <c r="X86" s="106">
        <f>'2022'!AB738</f>
      </c>
      <c r="Y86" s="119">
        <f>'2022'!AC738</f>
        <v>4971</v>
      </c>
      <c r="Z86" s="119">
        <f>'2022'!AD738</f>
        <v>170</v>
      </c>
      <c r="AA86" s="106">
        <f>'2022'!AE738</f>
        <v>459</v>
      </c>
      <c r="AB86" s="106">
        <f>'2022'!AF738</f>
        <v>1473.48</v>
      </c>
      <c r="AC86" s="119">
        <f>'2022'!AG738</f>
        <v>5185</v>
      </c>
      <c r="AD86" s="106">
        <f>'2022'!AH738</f>
        <v>225.984</v>
      </c>
      <c r="AE86" s="106">
        <f>'2022'!AI738</f>
        <v>555.92064</v>
      </c>
      <c r="AF86" s="106">
        <f>'2022'!AJ738</f>
        <v>459</v>
      </c>
      <c r="AG86" s="119">
        <f>'2022'!AK738</f>
        <v>5537</v>
      </c>
      <c r="AH86" s="119">
        <f>'2022'!AL738</f>
        <v>361.856</v>
      </c>
      <c r="AI86" s="106">
        <f>'2022'!AM738</f>
        <v>890.16576</v>
      </c>
      <c r="AJ86" s="106">
        <f>'2022'!AN738</f>
        <v>555.92</v>
      </c>
      <c r="AK86" s="119">
        <f>'2022'!AO738</f>
        <v>5799</v>
      </c>
      <c r="AL86" s="119">
        <f>'2022'!AP738</f>
        <v>270.646</v>
      </c>
      <c r="AM86" s="106">
        <f>'2022'!AQ738</f>
        <v>665.78916</v>
      </c>
      <c r="AN86" s="106">
        <f>'2022'!AR738</f>
        <v>1555.96</v>
      </c>
      <c r="AO86" s="119">
        <f>'2022'!AS738</f>
        <v>5803</v>
      </c>
      <c r="AP86" s="119">
        <f>'2022'!AT738</f>
        <v>4.2</v>
      </c>
      <c r="AQ86" s="106">
        <f>'2022'!AU738</f>
        <v>10.332</v>
      </c>
      <c r="AR86" s="106">
        <f>'2022'!AV738</f>
      </c>
      <c r="AS86" s="119">
        <f>'2022'!AW738</f>
      </c>
      <c r="AT86" s="119">
        <f>'2022'!AX738</f>
        <v>0</v>
      </c>
      <c r="AU86" s="106">
        <f>'2022'!AY738</f>
        <v>0</v>
      </c>
      <c r="AV86" s="106">
        <f>'2022'!AZ738</f>
      </c>
      <c r="AW86" s="106"/>
      <c r="AX86" s="106">
        <f t="shared" si="0"/>
        <v>0</v>
      </c>
      <c r="AY86" s="119">
        <f>'2022'!BA738</f>
      </c>
      <c r="AZ86" s="119">
        <f>'2022'!BB738</f>
      </c>
      <c r="BA86" s="106">
        <f>'2022'!BC738</f>
        <v>0</v>
      </c>
      <c r="BB86" s="106">
        <f>'2022'!BD738</f>
      </c>
      <c r="BC86" s="106"/>
      <c r="BD86" s="106">
        <f t="shared" si="1"/>
        <v>0</v>
      </c>
      <c r="BE86" s="119">
        <f>'2022'!BE738</f>
        <v>1080.686</v>
      </c>
      <c r="BF86" s="106">
        <f>'2022'!BF738</f>
        <v>2710.80756</v>
      </c>
      <c r="BG86" s="106">
        <f>'2022'!BG738</f>
        <v>4044.36</v>
      </c>
      <c r="BH86" s="106">
        <f>'2022'!BH738</f>
        <v>10.32756</v>
      </c>
      <c r="BI86" s="106">
        <f t="shared" si="2"/>
        <v>0</v>
      </c>
      <c r="BJ86" s="338">
        <f t="shared" si="3"/>
        <v>10.32756</v>
      </c>
    </row>
    <row r="87" ht="15" customHeight="1" spans="1:62" x14ac:dyDescent="0.25">
      <c r="A87" s="14"/>
      <c r="B87" s="15">
        <v>87</v>
      </c>
      <c r="C87" s="115">
        <v>4.23</v>
      </c>
      <c r="D87" s="117" t="s">
        <v>284</v>
      </c>
      <c r="E87" s="119">
        <f>'2022'!I747</f>
        <v>719</v>
      </c>
      <c r="F87" s="119">
        <f>'2022'!J747</f>
        <v>0</v>
      </c>
      <c r="G87" s="106">
        <f>'2022'!K747</f>
        <v>0</v>
      </c>
      <c r="H87" s="106">
        <f>'2022'!L747</f>
      </c>
      <c r="I87" s="119">
        <f>'2022'!M747</f>
        <v>719</v>
      </c>
      <c r="J87" s="119">
        <f>'2022'!N747</f>
        <v>0</v>
      </c>
      <c r="K87" s="106">
        <f>'2022'!O747</f>
        <v>0</v>
      </c>
      <c r="L87" s="106">
        <f>'2022'!P747</f>
      </c>
      <c r="M87" s="119">
        <f>'2022'!Q747</f>
        <v>719</v>
      </c>
      <c r="N87" s="119">
        <f>'2022'!R747</f>
        <v>0</v>
      </c>
      <c r="O87" s="106">
        <f>'2022'!S747</f>
        <v>0</v>
      </c>
      <c r="P87" s="106">
        <f>'2022'!T747</f>
      </c>
      <c r="Q87" s="119">
        <f>'2022'!U747</f>
        <v>719</v>
      </c>
      <c r="R87" s="119">
        <f>'2022'!V747</f>
        <v>0</v>
      </c>
      <c r="S87" s="106">
        <f>'2022'!W747</f>
        <v>0</v>
      </c>
      <c r="T87" s="106">
        <f>'2022'!X747</f>
      </c>
      <c r="U87" s="119">
        <f>'2022'!Y747</f>
        <v>740</v>
      </c>
      <c r="V87" s="119">
        <f>'2022'!Z747</f>
        <v>21</v>
      </c>
      <c r="W87" s="106">
        <f>'2022'!AA747</f>
        <v>56.7</v>
      </c>
      <c r="X87" s="106">
        <f>'2022'!AB747</f>
      </c>
      <c r="Y87" s="119">
        <f>'2022'!AC747</f>
        <v>773</v>
      </c>
      <c r="Z87" s="119">
        <f>'2022'!AD747</f>
        <v>33</v>
      </c>
      <c r="AA87" s="106">
        <f>'2022'!AE747</f>
        <v>89.1</v>
      </c>
      <c r="AB87" s="106">
        <f>'2022'!AF747</f>
        <v>410.4</v>
      </c>
      <c r="AC87" s="119">
        <f>'2022'!AG747</f>
        <v>812</v>
      </c>
      <c r="AD87" s="106">
        <f>'2022'!AH747</f>
        <v>41.184</v>
      </c>
      <c r="AE87" s="106">
        <f>'2022'!AI747</f>
        <v>101.31264</v>
      </c>
      <c r="AF87" s="106">
        <f>'2022'!AJ747</f>
      </c>
      <c r="AG87" s="119">
        <f>'2022'!AK747</f>
        <v>844</v>
      </c>
      <c r="AH87" s="119">
        <f>'2022'!AL747</f>
        <v>32.896</v>
      </c>
      <c r="AI87" s="106">
        <f>'2022'!AM747</f>
        <v>80.92416</v>
      </c>
      <c r="AJ87" s="106">
        <f>'2022'!AN747</f>
      </c>
      <c r="AK87" s="119">
        <f>'2022'!AO747</f>
        <v>858</v>
      </c>
      <c r="AL87" s="119">
        <f>'2022'!AP747</f>
        <v>14.462</v>
      </c>
      <c r="AM87" s="106">
        <f>'2022'!AQ747</f>
        <v>35.57652</v>
      </c>
      <c r="AN87" s="106">
        <f>'2022'!AR747</f>
        <v>306.91</v>
      </c>
      <c r="AO87" s="119">
        <f>'2022'!AS747</f>
        <v>866</v>
      </c>
      <c r="AP87" s="119">
        <f>'2022'!AT747</f>
        <v>8.4</v>
      </c>
      <c r="AQ87" s="106">
        <f>'2022'!AU747</f>
        <v>20.664</v>
      </c>
      <c r="AR87" s="106">
        <f>'2022'!AV747</f>
      </c>
      <c r="AS87" s="119">
        <f>'2022'!AW747</f>
      </c>
      <c r="AT87" s="119">
        <f>'2022'!AX747</f>
        <v>0</v>
      </c>
      <c r="AU87" s="106">
        <f>'2022'!AY747</f>
        <v>0</v>
      </c>
      <c r="AV87" s="106">
        <f>'2022'!AZ747</f>
      </c>
      <c r="AW87" s="106"/>
      <c r="AX87" s="106">
        <f t="shared" si="0"/>
        <v>0</v>
      </c>
      <c r="AY87" s="119">
        <f>'2022'!BA747</f>
      </c>
      <c r="AZ87" s="119">
        <f>'2022'!BB747</f>
      </c>
      <c r="BA87" s="106">
        <f>'2022'!BC747</f>
        <v>0</v>
      </c>
      <c r="BB87" s="106">
        <f>'2022'!BD747</f>
      </c>
      <c r="BC87" s="106"/>
      <c r="BD87" s="106">
        <f t="shared" si="1"/>
        <v>0</v>
      </c>
      <c r="BE87" s="119">
        <f>'2022'!BE747</f>
        <v>150.942</v>
      </c>
      <c r="BF87" s="106">
        <f>'2022'!BF747</f>
        <v>384.27732</v>
      </c>
      <c r="BG87" s="106">
        <f>'2022'!BG747</f>
        <v>717.31</v>
      </c>
      <c r="BH87" s="106">
        <f>'2022'!BH747</f>
        <v>20.66732</v>
      </c>
      <c r="BI87" s="106">
        <f t="shared" si="2"/>
        <v>0</v>
      </c>
      <c r="BJ87" s="338">
        <f t="shared" si="3"/>
        <v>20.66732</v>
      </c>
    </row>
    <row r="88" ht="15" customHeight="1" spans="1:62" x14ac:dyDescent="0.25">
      <c r="A88" s="14"/>
      <c r="B88" s="15">
        <v>89</v>
      </c>
      <c r="C88" s="115">
        <v>4.25</v>
      </c>
      <c r="D88" s="117" t="s">
        <v>286</v>
      </c>
      <c r="E88" s="119">
        <f>'2022'!I756</f>
      </c>
      <c r="F88" s="119">
        <f>'2022'!J756</f>
        <v>0</v>
      </c>
      <c r="G88" s="106">
        <f>'2022'!K756</f>
        <v>0</v>
      </c>
      <c r="H88" s="106">
        <f>'2022'!L756</f>
      </c>
      <c r="I88" s="119">
        <f>'2022'!M756</f>
      </c>
      <c r="J88" s="119">
        <f>'2022'!N756</f>
        <v>0</v>
      </c>
      <c r="K88" s="106">
        <f>'2022'!O756</f>
        <v>0</v>
      </c>
      <c r="L88" s="106">
        <f>'2022'!P756</f>
      </c>
      <c r="M88" s="119">
        <f>'2022'!Q756</f>
      </c>
      <c r="N88" s="119">
        <f>'2022'!R756</f>
        <v>0</v>
      </c>
      <c r="O88" s="106">
        <f>'2022'!S756</f>
        <v>0</v>
      </c>
      <c r="P88" s="106">
        <f>'2022'!T756</f>
      </c>
      <c r="Q88" s="119">
        <f>'2022'!U756</f>
      </c>
      <c r="R88" s="119">
        <f>'2022'!V756</f>
        <v>0</v>
      </c>
      <c r="S88" s="106">
        <f>'2022'!W756</f>
        <v>0</v>
      </c>
      <c r="T88" s="106">
        <f>'2022'!X756</f>
      </c>
      <c r="U88" s="119">
        <f>'2022'!Y756</f>
      </c>
      <c r="V88" s="119">
        <f>'2022'!Z756</f>
        <v>0</v>
      </c>
      <c r="W88" s="106">
        <f>'2022'!AA756</f>
        <v>0</v>
      </c>
      <c r="X88" s="106">
        <f>'2022'!AB756</f>
      </c>
      <c r="Y88" s="119">
        <f>'2022'!AC756</f>
      </c>
      <c r="Z88" s="119">
        <f>'2022'!AD756</f>
        <v>0</v>
      </c>
      <c r="AA88" s="106">
        <f>'2022'!AE756</f>
        <v>0</v>
      </c>
      <c r="AB88" s="106">
        <f>'2022'!AF756</f>
      </c>
      <c r="AC88" s="119">
        <f>'2022'!AG756</f>
      </c>
      <c r="AD88" s="106">
        <f>'2022'!AH756</f>
        <v>0</v>
      </c>
      <c r="AE88" s="106">
        <f>'2022'!AI756</f>
        <v>0</v>
      </c>
      <c r="AF88" s="106">
        <f>'2022'!AJ756</f>
      </c>
      <c r="AG88" s="119">
        <f>'2022'!AK756</f>
      </c>
      <c r="AH88" s="119">
        <f>'2022'!AL756</f>
        <v>0</v>
      </c>
      <c r="AI88" s="106">
        <f>'2022'!AM756</f>
        <v>0</v>
      </c>
      <c r="AJ88" s="106">
        <f>'2022'!AN756</f>
      </c>
      <c r="AK88" s="119">
        <f>'2022'!AO756</f>
      </c>
      <c r="AL88" s="119">
        <f>'2022'!AP756</f>
        <v>0</v>
      </c>
      <c r="AM88" s="106">
        <f>'2022'!AQ756</f>
        <v>0</v>
      </c>
      <c r="AN88" s="106">
        <f>'2022'!AR756</f>
      </c>
      <c r="AO88" s="119">
        <f>'2022'!AS756</f>
      </c>
      <c r="AP88" s="119">
        <f>'2022'!AT756</f>
        <v>0</v>
      </c>
      <c r="AQ88" s="106">
        <f>'2022'!AU756</f>
        <v>0</v>
      </c>
      <c r="AR88" s="106">
        <f>'2022'!AV756</f>
      </c>
      <c r="AS88" s="119">
        <f>'2022'!AW756</f>
      </c>
      <c r="AT88" s="119">
        <f>'2022'!AX756</f>
        <v>0</v>
      </c>
      <c r="AU88" s="106">
        <f>'2022'!AY756</f>
        <v>0</v>
      </c>
      <c r="AV88" s="106">
        <f>'2022'!AZ756</f>
      </c>
      <c r="AW88" s="106"/>
      <c r="AX88" s="106">
        <f t="shared" si="0"/>
        <v>0</v>
      </c>
      <c r="AY88" s="119">
        <f>'2022'!BA756</f>
      </c>
      <c r="AZ88" s="119">
        <f>'2022'!BB756</f>
      </c>
      <c r="BA88" s="106">
        <f>'2022'!BC756</f>
        <v>0</v>
      </c>
      <c r="BB88" s="106">
        <f>'2022'!BD756</f>
      </c>
      <c r="BC88" s="106"/>
      <c r="BD88" s="106">
        <f t="shared" si="1"/>
        <v>0</v>
      </c>
      <c r="BE88" s="119">
        <f>'2022'!BE756</f>
        <v>0</v>
      </c>
      <c r="BF88" s="106">
        <f>'2022'!BF756</f>
        <v>0</v>
      </c>
      <c r="BG88" s="106">
        <f>'2022'!BG756</f>
        <v>0</v>
      </c>
      <c r="BH88" s="106">
        <f>'2022'!BH756</f>
        <v>0</v>
      </c>
      <c r="BI88" s="106">
        <f t="shared" si="2"/>
        <v>0</v>
      </c>
      <c r="BJ88" s="338">
        <f t="shared" si="3"/>
        <v>0</v>
      </c>
    </row>
    <row r="89" ht="15" customHeight="1" spans="1:62" x14ac:dyDescent="0.25">
      <c r="A89" s="14"/>
      <c r="B89" s="15">
        <v>91</v>
      </c>
      <c r="C89" s="115">
        <v>4.23</v>
      </c>
      <c r="D89" s="117" t="s">
        <v>288</v>
      </c>
      <c r="E89" s="119">
        <f>'2022'!I765</f>
        <v>183</v>
      </c>
      <c r="F89" s="119">
        <f>'2022'!J765</f>
        <v>0</v>
      </c>
      <c r="G89" s="106">
        <f>'2022'!K765</f>
        <v>0</v>
      </c>
      <c r="H89" s="106">
        <f>'2022'!L765</f>
      </c>
      <c r="I89" s="119">
        <f>'2022'!M765</f>
        <v>183</v>
      </c>
      <c r="J89" s="119">
        <f>'2022'!N765</f>
        <v>0</v>
      </c>
      <c r="K89" s="106">
        <f>'2022'!O765</f>
        <v>0</v>
      </c>
      <c r="L89" s="106">
        <f>'2022'!P765</f>
      </c>
      <c r="M89" s="119">
        <f>'2022'!Q765</f>
        <v>183</v>
      </c>
      <c r="N89" s="119">
        <f>'2022'!R765</f>
        <v>0</v>
      </c>
      <c r="O89" s="106">
        <f>'2022'!S765</f>
        <v>0</v>
      </c>
      <c r="P89" s="106">
        <f>'2022'!T765</f>
      </c>
      <c r="Q89" s="119">
        <f>'2022'!U765</f>
        <v>183</v>
      </c>
      <c r="R89" s="119">
        <f>'2022'!V765</f>
        <v>0</v>
      </c>
      <c r="S89" s="106">
        <f>'2022'!W765</f>
        <v>0</v>
      </c>
      <c r="T89" s="106">
        <f>'2022'!X765</f>
      </c>
      <c r="U89" s="119">
        <f>'2022'!Y765</f>
        <v>184</v>
      </c>
      <c r="V89" s="119">
        <f>'2022'!Z765</f>
        <v>1</v>
      </c>
      <c r="W89" s="106">
        <f>'2022'!AA765</f>
        <v>2.7</v>
      </c>
      <c r="X89" s="106">
        <f>'2022'!AB765</f>
      </c>
      <c r="Y89" s="119">
        <f>'2022'!AC765</f>
        <v>187</v>
      </c>
      <c r="Z89" s="119">
        <f>'2022'!AD765</f>
        <v>3</v>
      </c>
      <c r="AA89" s="106">
        <f>'2022'!AE765</f>
        <v>8.1</v>
      </c>
      <c r="AB89" s="106">
        <f>'2022'!AF765</f>
        <v>5.4</v>
      </c>
      <c r="AC89" s="119">
        <f>'2022'!AG765</f>
        <v>190</v>
      </c>
      <c r="AD89" s="106">
        <f>'2022'!AH765</f>
        <v>3.168</v>
      </c>
      <c r="AE89" s="106">
        <f>'2022'!AI765</f>
        <v>7.79328</v>
      </c>
      <c r="AF89" s="106">
        <f>'2022'!AJ765</f>
      </c>
      <c r="AG89" s="119">
        <f>'2022'!AK765</f>
        <v>197</v>
      </c>
      <c r="AH89" s="119">
        <f>'2022'!AL765</f>
        <v>7.196</v>
      </c>
      <c r="AI89" s="106">
        <f>'2022'!AM765</f>
        <v>17.70216</v>
      </c>
      <c r="AJ89" s="106">
        <f>'2022'!AN765</f>
      </c>
      <c r="AK89" s="119">
        <f>'2022'!AO765</f>
        <v>198</v>
      </c>
      <c r="AL89" s="119">
        <f>'2022'!AP765</f>
        <v>1.033</v>
      </c>
      <c r="AM89" s="106">
        <f>'2022'!AQ765</f>
        <v>2.54118</v>
      </c>
      <c r="AN89" s="106">
        <f>'2022'!AR765</f>
      </c>
      <c r="AO89" s="119">
        <f>'2022'!AS765</f>
        <v>199</v>
      </c>
      <c r="AP89" s="119">
        <f>'2022'!AT765</f>
        <v>1.05</v>
      </c>
      <c r="AQ89" s="106">
        <f>'2022'!AU765</f>
        <v>2.583</v>
      </c>
      <c r="AR89" s="106">
        <f>'2022'!AV765</f>
      </c>
      <c r="AS89" s="119">
        <f>'2022'!AW765</f>
      </c>
      <c r="AT89" s="119">
        <f>'2022'!AX765</f>
        <v>0</v>
      </c>
      <c r="AU89" s="106">
        <f>'2022'!AY765</f>
        <v>0</v>
      </c>
      <c r="AV89" s="106">
        <f>'2022'!AZ765</f>
      </c>
      <c r="AW89" s="106"/>
      <c r="AX89" s="106">
        <f t="shared" si="0"/>
        <v>0</v>
      </c>
      <c r="AY89" s="119">
        <f>'2022'!BA765</f>
      </c>
      <c r="AZ89" s="119">
        <f>'2022'!BB765</f>
      </c>
      <c r="BA89" s="106">
        <f>'2022'!BC765</f>
        <v>0</v>
      </c>
      <c r="BB89" s="106">
        <f>'2022'!BD765</f>
      </c>
      <c r="BC89" s="106"/>
      <c r="BD89" s="106">
        <f t="shared" si="1"/>
        <v>0</v>
      </c>
      <c r="BE89" s="119">
        <f>'2022'!BE765</f>
        <v>16.447</v>
      </c>
      <c r="BF89" s="106">
        <f>'2022'!BF765</f>
        <v>41.41962</v>
      </c>
      <c r="BG89" s="106">
        <f>'2022'!BG765</f>
        <v>5.4</v>
      </c>
      <c r="BH89" s="106">
        <f>'2022'!BH765</f>
        <v>38.71962</v>
      </c>
      <c r="BI89" s="106">
        <f t="shared" si="2"/>
        <v>0</v>
      </c>
      <c r="BJ89" s="338">
        <f t="shared" si="3"/>
        <v>38.71962</v>
      </c>
    </row>
    <row r="90" ht="15" customHeight="1" spans="1:62" x14ac:dyDescent="0.25">
      <c r="A90" s="14"/>
      <c r="B90" s="15" t="s">
        <v>292</v>
      </c>
      <c r="C90" s="115">
        <v>4.31</v>
      </c>
      <c r="D90" s="117" t="s">
        <v>436</v>
      </c>
      <c r="E90" s="119">
        <f>'2022'!I774</f>
        <v>7638</v>
      </c>
      <c r="F90" s="119">
        <f>'2022'!J774</f>
        <v>13</v>
      </c>
      <c r="G90" s="106">
        <f>'2022'!K774</f>
        <v>35.1</v>
      </c>
      <c r="H90" s="106">
        <f>'2022'!L774</f>
      </c>
      <c r="I90" s="119">
        <f>'2022'!M774</f>
        <v>7804</v>
      </c>
      <c r="J90" s="119">
        <f>'2022'!N774</f>
        <v>166</v>
      </c>
      <c r="K90" s="106">
        <f>'2022'!O774</f>
        <v>448.2</v>
      </c>
      <c r="L90" s="106">
        <f>'2022'!P774</f>
      </c>
      <c r="M90" s="119">
        <f>'2022'!Q774</f>
        <v>9088</v>
      </c>
      <c r="N90" s="119">
        <f>'2022'!R774</f>
        <v>1284</v>
      </c>
      <c r="O90" s="106">
        <f>'2022'!S774</f>
        <v>3466.8</v>
      </c>
      <c r="P90" s="106">
        <f>'2022'!T774</f>
        <v>600</v>
      </c>
      <c r="Q90" s="119">
        <f>'2022'!U774</f>
        <v>10217</v>
      </c>
      <c r="R90" s="119">
        <f>'2022'!V774</f>
        <v>1129</v>
      </c>
      <c r="S90" s="106">
        <f>'2022'!W774</f>
        <v>3048.3</v>
      </c>
      <c r="T90" s="106">
        <f>'2022'!X774</f>
        <v>3500</v>
      </c>
      <c r="U90" s="119">
        <f>'2022'!Y774</f>
        <v>10669</v>
      </c>
      <c r="V90" s="119">
        <f>'2022'!Z774</f>
        <v>452</v>
      </c>
      <c r="W90" s="106">
        <f>'2022'!AA774</f>
        <v>1220.4</v>
      </c>
      <c r="X90" s="106">
        <f>'2022'!AB774</f>
        <v>4196.8</v>
      </c>
      <c r="Y90" s="119">
        <f>'2022'!AC774</f>
        <v>11040</v>
      </c>
      <c r="Z90" s="119">
        <f>'2022'!AD774</f>
        <v>371</v>
      </c>
      <c r="AA90" s="106">
        <f>'2022'!AE774</f>
        <v>1001.7</v>
      </c>
      <c r="AB90" s="106">
        <f>'2022'!AF774</f>
      </c>
      <c r="AC90" s="119">
        <f>'2022'!AG774</f>
        <v>11291</v>
      </c>
      <c r="AD90" s="106">
        <f>'2022'!AH774</f>
        <v>265.056</v>
      </c>
      <c r="AE90" s="106">
        <f>'2022'!AI774</f>
        <v>652.03776</v>
      </c>
      <c r="AF90" s="106">
        <f>'2022'!AJ774</f>
        <v>1001.7</v>
      </c>
      <c r="AG90" s="119">
        <f>'2022'!AK774</f>
        <v>11600</v>
      </c>
      <c r="AH90" s="119">
        <f>'2022'!AL774</f>
        <v>317.652</v>
      </c>
      <c r="AI90" s="106">
        <f>'2022'!AM774</f>
        <v>781.42392</v>
      </c>
      <c r="AJ90" s="106">
        <f>'2022'!AN774</f>
        <v>652.04</v>
      </c>
      <c r="AK90" s="119">
        <f>'2022'!AO774</f>
        <v>11990</v>
      </c>
      <c r="AL90" s="119">
        <f>'2022'!AP774</f>
        <v>402.87</v>
      </c>
      <c r="AM90" s="106">
        <f>'2022'!AQ774</f>
        <v>991.0602</v>
      </c>
      <c r="AN90" s="106">
        <f>'2022'!AR774</f>
        <v>1772.48</v>
      </c>
      <c r="AO90" s="119">
        <f>'2022'!AS774</f>
        <v>12818</v>
      </c>
      <c r="AP90" s="119">
        <f>'2022'!AT774</f>
        <v>869.4</v>
      </c>
      <c r="AQ90" s="106">
        <f>'2022'!AU774</f>
        <v>2138.724</v>
      </c>
      <c r="AR90" s="106">
        <f>'2022'!AV774</f>
      </c>
      <c r="AS90" s="119">
        <f>'2022'!AW774</f>
      </c>
      <c r="AT90" s="119">
        <f>'2022'!AX774</f>
        <v>0</v>
      </c>
      <c r="AU90" s="106">
        <f>'2022'!AY774</f>
        <v>0</v>
      </c>
      <c r="AV90" s="106">
        <f>'2022'!AZ774</f>
      </c>
      <c r="AW90" s="106"/>
      <c r="AX90" s="106">
        <f t="shared" si="0"/>
        <v>0</v>
      </c>
      <c r="AY90" s="119">
        <f>'2022'!BA774</f>
      </c>
      <c r="AZ90" s="119">
        <f>'2022'!BB774</f>
      </c>
      <c r="BA90" s="106">
        <f>'2022'!BC774</f>
        <v>0</v>
      </c>
      <c r="BB90" s="106">
        <f>'2022'!BD774</f>
      </c>
      <c r="BC90" s="106"/>
      <c r="BD90" s="106">
        <f t="shared" si="1"/>
        <v>0</v>
      </c>
      <c r="BE90" s="119">
        <f>'2022'!BE774</f>
        <v>5269.978</v>
      </c>
      <c r="BF90" s="106">
        <f>'2022'!BF774</f>
        <v>13783.74588</v>
      </c>
      <c r="BG90" s="106">
        <f>'2022'!BG774</f>
        <v>11723.02</v>
      </c>
      <c r="BH90" s="106">
        <f>'2022'!BH774</f>
        <v>2138.72588</v>
      </c>
      <c r="BI90" s="106">
        <f t="shared" si="2"/>
        <v>0</v>
      </c>
      <c r="BJ90" s="338">
        <f t="shared" si="3"/>
        <v>2138.72588</v>
      </c>
    </row>
    <row r="91" ht="15" customHeight="1" spans="1:62" x14ac:dyDescent="0.25">
      <c r="A91" s="21"/>
      <c r="B91" s="15" t="s">
        <v>292</v>
      </c>
      <c r="C91" s="115">
        <v>4.25</v>
      </c>
      <c r="D91" s="15" t="s">
        <v>436</v>
      </c>
      <c r="E91" s="119">
        <f>'2022'!I783</f>
        <v>1182</v>
      </c>
      <c r="F91" s="119">
        <f>'2022'!J783</f>
        <v>0</v>
      </c>
      <c r="G91" s="106">
        <f>'2022'!K783</f>
        <v>0</v>
      </c>
      <c r="H91" s="106">
        <f>'2022'!L783</f>
      </c>
      <c r="I91" s="119">
        <f>'2022'!M783</f>
        <v>1182</v>
      </c>
      <c r="J91" s="119">
        <f>'2022'!N783</f>
        <v>0</v>
      </c>
      <c r="K91" s="106">
        <f>'2022'!O783</f>
        <v>0</v>
      </c>
      <c r="L91" s="106">
        <f>'2022'!P783</f>
      </c>
      <c r="M91" s="119">
        <f>'2022'!Q783</f>
        <v>1198</v>
      </c>
      <c r="N91" s="119">
        <f>'2022'!R783</f>
        <v>16</v>
      </c>
      <c r="O91" s="106">
        <f>'2022'!S783</f>
        <v>43.2</v>
      </c>
      <c r="P91" s="106">
        <f>'2022'!T783</f>
      </c>
      <c r="Q91" s="119">
        <f>'2022'!U783</f>
        <v>1392</v>
      </c>
      <c r="R91" s="119">
        <f>'2022'!V783</f>
        <v>194</v>
      </c>
      <c r="S91" s="106">
        <f>'2022'!W783</f>
        <v>523.8</v>
      </c>
      <c r="T91" s="106">
        <f>'2022'!X783</f>
      </c>
      <c r="U91" s="119">
        <f>'2022'!Y783</f>
        <v>1481</v>
      </c>
      <c r="V91" s="119">
        <f>'2022'!Z783</f>
        <v>89</v>
      </c>
      <c r="W91" s="106">
        <f>'2022'!AA783</f>
        <v>240.3</v>
      </c>
      <c r="X91" s="106">
        <f>'2022'!AB783</f>
        <v>3238.3</v>
      </c>
      <c r="Y91" s="119">
        <f>'2022'!AC783</f>
        <v>1565</v>
      </c>
      <c r="Z91" s="119">
        <f>'2022'!AD783</f>
        <v>84</v>
      </c>
      <c r="AA91" s="106">
        <f>'2022'!AE783</f>
        <v>226.8</v>
      </c>
      <c r="AB91" s="106">
        <f>'2022'!AF783</f>
      </c>
      <c r="AC91" s="119">
        <f>'2022'!AG783</f>
        <v>1661</v>
      </c>
      <c r="AD91" s="106">
        <f>'2022'!AH783</f>
        <v>101.376</v>
      </c>
      <c r="AE91" s="106">
        <f>'2022'!AI783</f>
        <v>249.38496</v>
      </c>
      <c r="AF91" s="106">
        <f>'2022'!AJ783</f>
        <v>226.8</v>
      </c>
      <c r="AG91" s="119">
        <f>'2022'!AK783</f>
        <v>1823</v>
      </c>
      <c r="AH91" s="119">
        <f>'2022'!AL783</f>
        <v>166.536</v>
      </c>
      <c r="AI91" s="106">
        <f>'2022'!AM783</f>
        <v>409.67856</v>
      </c>
      <c r="AJ91" s="106">
        <f>'2022'!AN783</f>
        <v>249.38</v>
      </c>
      <c r="AK91" s="119">
        <f>'2022'!AO783</f>
        <v>2171</v>
      </c>
      <c r="AL91" s="119">
        <f>'2022'!AP783</f>
        <v>359.484</v>
      </c>
      <c r="AM91" s="106">
        <f>'2022'!AQ783</f>
        <v>884.33064</v>
      </c>
      <c r="AN91" s="106">
        <f>'2022'!AR783</f>
        <v>1294.01</v>
      </c>
      <c r="AO91" s="119">
        <f>'2022'!AS783</f>
        <v>2462</v>
      </c>
      <c r="AP91" s="119">
        <f>'2022'!AT783</f>
        <v>305.55</v>
      </c>
      <c r="AQ91" s="106">
        <f>'2022'!AU783</f>
        <v>751.653</v>
      </c>
      <c r="AR91" s="106">
        <f>'2022'!AV783</f>
      </c>
      <c r="AS91" s="119">
        <f>'2022'!AW783</f>
      </c>
      <c r="AT91" s="119">
        <f>'2022'!AX783</f>
        <v>0</v>
      </c>
      <c r="AU91" s="106">
        <f>'2022'!AY783</f>
        <v>0</v>
      </c>
      <c r="AV91" s="106">
        <f>'2022'!AZ783</f>
      </c>
      <c r="AW91" s="106"/>
      <c r="AX91" s="106">
        <f t="shared" si="0"/>
        <v>0</v>
      </c>
      <c r="AY91" s="119">
        <f>'2022'!BA783</f>
      </c>
      <c r="AZ91" s="119">
        <f>'2022'!BB783</f>
      </c>
      <c r="BA91" s="106">
        <f>'2022'!BC783</f>
        <v>0</v>
      </c>
      <c r="BB91" s="106">
        <f>'2022'!BD783</f>
      </c>
      <c r="BC91" s="106"/>
      <c r="BD91" s="106">
        <f t="shared" si="1"/>
        <v>0</v>
      </c>
      <c r="BE91" s="119">
        <f>'2022'!BE783</f>
        <v>1315.946</v>
      </c>
      <c r="BF91" s="106">
        <f>'2022'!BF783</f>
        <v>3329.14716</v>
      </c>
      <c r="BG91" s="106">
        <f>'2022'!BG783</f>
        <v>5008.49</v>
      </c>
      <c r="BH91" s="106">
        <f>'2022'!BH783</f>
        <v>751.65716</v>
      </c>
      <c r="BI91" s="106">
        <f t="shared" si="2"/>
        <v>0</v>
      </c>
      <c r="BJ91" s="338">
        <f t="shared" si="3"/>
        <v>751.65716</v>
      </c>
    </row>
    <row r="92" ht="15" customHeight="1" spans="1:62" x14ac:dyDescent="0.25">
      <c r="A92" s="114" t="s">
        <v>297</v>
      </c>
      <c r="B92" s="15">
        <v>80</v>
      </c>
      <c r="C92" s="115">
        <v>4.28</v>
      </c>
      <c r="D92" s="117" t="s">
        <v>298</v>
      </c>
      <c r="E92" s="119">
        <f>'2022'!I792</f>
        <v>1657</v>
      </c>
      <c r="F92" s="119">
        <f>'2022'!J792</f>
        <v>0</v>
      </c>
      <c r="G92" s="106">
        <f>'2022'!K792</f>
        <v>0</v>
      </c>
      <c r="H92" s="106">
        <f>'2022'!L792</f>
      </c>
      <c r="I92" s="119">
        <f>'2022'!M792</f>
        <v>1657</v>
      </c>
      <c r="J92" s="119">
        <f>'2022'!N792</f>
        <v>0</v>
      </c>
      <c r="K92" s="106">
        <f>'2022'!O792</f>
        <v>0</v>
      </c>
      <c r="L92" s="106">
        <f>'2022'!P792</f>
      </c>
      <c r="M92" s="119">
        <f>'2022'!Q792</f>
        <v>1657</v>
      </c>
      <c r="N92" s="119">
        <f>'2022'!R792</f>
        <v>0</v>
      </c>
      <c r="O92" s="106">
        <f>'2022'!S792</f>
        <v>0</v>
      </c>
      <c r="P92" s="106">
        <f>'2022'!T792</f>
      </c>
      <c r="Q92" s="119">
        <f>'2022'!U792</f>
        <v>1657</v>
      </c>
      <c r="R92" s="119">
        <f>'2022'!V792</f>
        <v>0</v>
      </c>
      <c r="S92" s="106">
        <f>'2022'!W792</f>
        <v>0</v>
      </c>
      <c r="T92" s="106">
        <f>'2022'!X792</f>
      </c>
      <c r="U92" s="119">
        <f>'2022'!Y792</f>
        <v>1727</v>
      </c>
      <c r="V92" s="119">
        <f>'2022'!Z792</f>
        <v>70</v>
      </c>
      <c r="W92" s="106">
        <f>'2022'!AA792</f>
        <v>189</v>
      </c>
      <c r="X92" s="106">
        <f>'2022'!AB792</f>
      </c>
      <c r="Y92" s="119">
        <f>'2022'!AC792</f>
        <v>1913</v>
      </c>
      <c r="Z92" s="119">
        <f>'2022'!AD792</f>
        <v>186</v>
      </c>
      <c r="AA92" s="106">
        <f>'2022'!AE792</f>
        <v>502.2</v>
      </c>
      <c r="AB92" s="106">
        <f>'2022'!AF792</f>
        <v>300</v>
      </c>
      <c r="AC92" s="119">
        <f>'2022'!AG792</f>
        <v>2119</v>
      </c>
      <c r="AD92" s="106">
        <f>'2022'!AH792</f>
        <v>217.536</v>
      </c>
      <c r="AE92" s="106">
        <f>'2022'!AI792</f>
        <v>535.13856</v>
      </c>
      <c r="AF92" s="106">
        <f>'2022'!AJ792</f>
        <v>711</v>
      </c>
      <c r="AG92" s="119">
        <f>'2022'!AK792</f>
        <v>2293</v>
      </c>
      <c r="AH92" s="119">
        <f>'2022'!AL792</f>
        <v>178.872</v>
      </c>
      <c r="AI92" s="106">
        <f>'2022'!AM792</f>
        <v>440.02512</v>
      </c>
      <c r="AJ92" s="106">
        <f>'2022'!AN792</f>
      </c>
      <c r="AK92" s="119">
        <f>'2022'!AO792</f>
        <v>2394</v>
      </c>
      <c r="AL92" s="119">
        <f>'2022'!AP792</f>
        <v>104.333</v>
      </c>
      <c r="AM92" s="106">
        <f>'2022'!AQ792</f>
        <v>256.65918</v>
      </c>
      <c r="AN92" s="106">
        <f>'2022'!AR792</f>
        <v>605.65</v>
      </c>
      <c r="AO92" s="119">
        <f>'2022'!AS792</f>
        <v>2423</v>
      </c>
      <c r="AP92" s="119">
        <f>'2022'!AT792</f>
        <v>30.45</v>
      </c>
      <c r="AQ92" s="106">
        <f>'2022'!AU792</f>
        <v>74.907</v>
      </c>
      <c r="AR92" s="106">
        <f>'2022'!AV792</f>
      </c>
      <c r="AS92" s="119">
        <f>'2022'!AW792</f>
      </c>
      <c r="AT92" s="119">
        <f>'2022'!AX792</f>
        <v>0</v>
      </c>
      <c r="AU92" s="106">
        <f>'2022'!AY792</f>
        <v>0</v>
      </c>
      <c r="AV92" s="106">
        <f>'2022'!AZ792</f>
      </c>
      <c r="AW92" s="106"/>
      <c r="AX92" s="106">
        <f t="shared" si="0"/>
        <v>0</v>
      </c>
      <c r="AY92" s="119">
        <f>'2022'!BA792</f>
      </c>
      <c r="AZ92" s="119">
        <f>'2022'!BB792</f>
      </c>
      <c r="BA92" s="106">
        <f>'2022'!BC792</f>
        <v>0</v>
      </c>
      <c r="BB92" s="106">
        <f>'2022'!BD792</f>
      </c>
      <c r="BC92" s="106"/>
      <c r="BD92" s="106">
        <f t="shared" si="1"/>
        <v>0</v>
      </c>
      <c r="BE92" s="119">
        <f>'2022'!BE792</f>
        <v>787.191</v>
      </c>
      <c r="BF92" s="106">
        <f>'2022'!BF792</f>
        <v>1997.92986</v>
      </c>
      <c r="BG92" s="106">
        <f>'2022'!BG792</f>
        <v>1616.65</v>
      </c>
      <c r="BH92" s="106">
        <f>'2022'!BH792</f>
        <v>348.81986</v>
      </c>
      <c r="BI92" s="106">
        <f t="shared" si="2"/>
        <v>0</v>
      </c>
      <c r="BJ92" s="338">
        <f t="shared" si="3"/>
        <v>348.81986</v>
      </c>
    </row>
    <row r="93" ht="15" customHeight="1" spans="1:62" x14ac:dyDescent="0.25">
      <c r="A93" s="14"/>
      <c r="B93" s="15">
        <v>82</v>
      </c>
      <c r="C93" s="115">
        <v>4.28</v>
      </c>
      <c r="D93" s="117" t="s">
        <v>300</v>
      </c>
      <c r="E93" s="119">
        <f>'2022'!I801</f>
      </c>
      <c r="F93" s="119">
        <f>'2022'!J801</f>
        <v>0</v>
      </c>
      <c r="G93" s="106">
        <f>'2022'!K801</f>
        <v>0</v>
      </c>
      <c r="H93" s="106">
        <f>'2022'!L801</f>
      </c>
      <c r="I93" s="119">
        <f>'2022'!M801</f>
      </c>
      <c r="J93" s="119">
        <f>'2022'!N801</f>
        <v>0</v>
      </c>
      <c r="K93" s="106">
        <f>'2022'!O801</f>
        <v>0</v>
      </c>
      <c r="L93" s="106">
        <f>'2022'!P801</f>
      </c>
      <c r="M93" s="119">
        <f>'2022'!Q801</f>
      </c>
      <c r="N93" s="119">
        <f>'2022'!R801</f>
        <v>0</v>
      </c>
      <c r="O93" s="106">
        <f>'2022'!S801</f>
        <v>0</v>
      </c>
      <c r="P93" s="106">
        <f>'2022'!T801</f>
      </c>
      <c r="Q93" s="119">
        <f>'2022'!U801</f>
      </c>
      <c r="R93" s="119">
        <f>'2022'!V801</f>
        <v>0</v>
      </c>
      <c r="S93" s="106">
        <f>'2022'!W801</f>
        <v>0</v>
      </c>
      <c r="T93" s="106">
        <f>'2022'!X801</f>
      </c>
      <c r="U93" s="119">
        <f>'2022'!Y801</f>
      </c>
      <c r="V93" s="119">
        <f>'2022'!Z801</f>
        <v>0</v>
      </c>
      <c r="W93" s="106">
        <f>'2022'!AA801</f>
        <v>0</v>
      </c>
      <c r="X93" s="106">
        <f>'2022'!AB801</f>
      </c>
      <c r="Y93" s="119">
        <f>'2022'!AC801</f>
      </c>
      <c r="Z93" s="119">
        <f>'2022'!AD801</f>
        <v>0</v>
      </c>
      <c r="AA93" s="106">
        <f>'2022'!AE801</f>
        <v>0</v>
      </c>
      <c r="AB93" s="106">
        <f>'2022'!AF801</f>
      </c>
      <c r="AC93" s="119">
        <f>'2022'!AG801</f>
      </c>
      <c r="AD93" s="106">
        <f>'2022'!AH801</f>
        <v>0</v>
      </c>
      <c r="AE93" s="106">
        <f>'2022'!AI801</f>
        <v>0</v>
      </c>
      <c r="AF93" s="106">
        <f>'2022'!AJ801</f>
      </c>
      <c r="AG93" s="119">
        <f>'2022'!AK801</f>
      </c>
      <c r="AH93" s="119">
        <f>'2022'!AL801</f>
        <v>0</v>
      </c>
      <c r="AI93" s="106">
        <f>'2022'!AM801</f>
        <v>0</v>
      </c>
      <c r="AJ93" s="106">
        <f>'2022'!AN801</f>
      </c>
      <c r="AK93" s="119">
        <f>'2022'!AO801</f>
      </c>
      <c r="AL93" s="119">
        <f>'2022'!AP801</f>
        <v>0</v>
      </c>
      <c r="AM93" s="106">
        <f>'2022'!AQ801</f>
        <v>0</v>
      </c>
      <c r="AN93" s="106">
        <f>'2022'!AR801</f>
      </c>
      <c r="AO93" s="119">
        <f>'2022'!AS801</f>
      </c>
      <c r="AP93" s="119">
        <f>'2022'!AT801</f>
        <v>0</v>
      </c>
      <c r="AQ93" s="106">
        <f>'2022'!AU801</f>
        <v>0</v>
      </c>
      <c r="AR93" s="106">
        <f>'2022'!AV801</f>
      </c>
      <c r="AS93" s="119">
        <f>'2022'!AW801</f>
      </c>
      <c r="AT93" s="119">
        <f>'2022'!AX801</f>
        <v>0</v>
      </c>
      <c r="AU93" s="106">
        <f>'2022'!AY801</f>
        <v>0</v>
      </c>
      <c r="AV93" s="106">
        <f>'2022'!AZ801</f>
      </c>
      <c r="AW93" s="106"/>
      <c r="AX93" s="106">
        <f t="shared" si="0"/>
        <v>0</v>
      </c>
      <c r="AY93" s="119">
        <f>'2022'!BA801</f>
      </c>
      <c r="AZ93" s="119">
        <f>'2022'!BB801</f>
      </c>
      <c r="BA93" s="106">
        <f>'2022'!BC801</f>
        <v>0</v>
      </c>
      <c r="BB93" s="106">
        <f>'2022'!BD801</f>
      </c>
      <c r="BC93" s="106"/>
      <c r="BD93" s="106">
        <f t="shared" si="1"/>
        <v>0</v>
      </c>
      <c r="BE93" s="119">
        <f>'2022'!BE801</f>
        <v>0</v>
      </c>
      <c r="BF93" s="106">
        <f>'2022'!BF801</f>
        <v>0</v>
      </c>
      <c r="BG93" s="106">
        <f>'2022'!BG801</f>
        <v>0</v>
      </c>
      <c r="BH93" s="106">
        <f>'2022'!BH801</f>
        <v>0</v>
      </c>
      <c r="BI93" s="106">
        <f t="shared" si="2"/>
        <v>0</v>
      </c>
      <c r="BJ93" s="338">
        <f t="shared" si="3"/>
        <v>0</v>
      </c>
    </row>
    <row r="94" ht="15" customHeight="1" spans="1:62" x14ac:dyDescent="0.25">
      <c r="A94" s="14"/>
      <c r="B94" s="15">
        <v>84</v>
      </c>
      <c r="C94" s="115">
        <v>4.18</v>
      </c>
      <c r="D94" s="117" t="s">
        <v>301</v>
      </c>
      <c r="E94" s="119">
        <f>'2022'!I810</f>
        <v>102</v>
      </c>
      <c r="F94" s="119">
        <f>'2022'!J810</f>
        <v>0</v>
      </c>
      <c r="G94" s="106">
        <f>'2022'!K810</f>
        <v>0</v>
      </c>
      <c r="H94" s="106">
        <f>'2022'!L810</f>
      </c>
      <c r="I94" s="119">
        <f>'2022'!M810</f>
        <v>102</v>
      </c>
      <c r="J94" s="119">
        <f>'2022'!N810</f>
        <v>0</v>
      </c>
      <c r="K94" s="106">
        <f>'2022'!O810</f>
        <v>0</v>
      </c>
      <c r="L94" s="106">
        <f>'2022'!P810</f>
      </c>
      <c r="M94" s="119">
        <f>'2022'!Q810</f>
        <v>102</v>
      </c>
      <c r="N94" s="119">
        <f>'2022'!R810</f>
        <v>0</v>
      </c>
      <c r="O94" s="106">
        <f>'2022'!S810</f>
        <v>0</v>
      </c>
      <c r="P94" s="106">
        <f>'2022'!T810</f>
      </c>
      <c r="Q94" s="119">
        <f>'2022'!U810</f>
        <v>102</v>
      </c>
      <c r="R94" s="119">
        <f>'2022'!V810</f>
        <v>0</v>
      </c>
      <c r="S94" s="106">
        <f>'2022'!W810</f>
        <v>0</v>
      </c>
      <c r="T94" s="106">
        <f>'2022'!X810</f>
      </c>
      <c r="U94" s="119">
        <f>'2022'!Y810</f>
        <v>153</v>
      </c>
      <c r="V94" s="119">
        <f>'2022'!Z810</f>
        <v>51</v>
      </c>
      <c r="W94" s="106">
        <f>'2022'!AA810</f>
        <v>137.7</v>
      </c>
      <c r="X94" s="106">
        <f>'2022'!AB810</f>
      </c>
      <c r="Y94" s="119">
        <f>'2022'!AC810</f>
        <v>171</v>
      </c>
      <c r="Z94" s="119">
        <f>'2022'!AD810</f>
        <v>18</v>
      </c>
      <c r="AA94" s="106">
        <f>'2022'!AE810</f>
        <v>48.6</v>
      </c>
      <c r="AB94" s="106">
        <f>'2022'!AF810</f>
      </c>
      <c r="AC94" s="119">
        <f>'2022'!AG810</f>
        <v>178</v>
      </c>
      <c r="AD94" s="106">
        <f>'2022'!AH810</f>
        <v>7.392</v>
      </c>
      <c r="AE94" s="106">
        <f>'2022'!AI810</f>
        <v>18.18432</v>
      </c>
      <c r="AF94" s="106">
        <f>'2022'!AJ810</f>
      </c>
      <c r="AG94" s="119">
        <f>'2022'!AK810</f>
        <v>214</v>
      </c>
      <c r="AH94" s="119">
        <f>'2022'!AL810</f>
        <v>37.008</v>
      </c>
      <c r="AI94" s="106">
        <f>'2022'!AM810</f>
        <v>91.03968</v>
      </c>
      <c r="AJ94" s="106">
        <f>'2022'!AN810</f>
        <v>26.92</v>
      </c>
      <c r="AK94" s="119">
        <f>'2022'!AO810</f>
        <v>226</v>
      </c>
      <c r="AL94" s="119">
        <f>'2022'!AP810</f>
        <v>12.396</v>
      </c>
      <c r="AM94" s="106">
        <f>'2022'!AQ810</f>
        <v>30.49416</v>
      </c>
      <c r="AN94" s="106">
        <f>'2022'!AR810</f>
        <v>121.54</v>
      </c>
      <c r="AO94" s="119">
        <f>'2022'!AS810</f>
        <v>245</v>
      </c>
      <c r="AP94" s="119">
        <f>'2022'!AT810</f>
        <v>19.95</v>
      </c>
      <c r="AQ94" s="106">
        <f>'2022'!AU810</f>
        <v>49.077</v>
      </c>
      <c r="AR94" s="106">
        <f>'2022'!AV810</f>
      </c>
      <c r="AS94" s="119">
        <f>'2022'!AW810</f>
      </c>
      <c r="AT94" s="119">
        <f>'2022'!AX810</f>
        <v>0</v>
      </c>
      <c r="AU94" s="106">
        <f>'2022'!AY810</f>
        <v>0</v>
      </c>
      <c r="AV94" s="106">
        <f>'2022'!AZ810</f>
      </c>
      <c r="AW94" s="106"/>
      <c r="AX94" s="106">
        <f t="shared" si="0"/>
        <v>0</v>
      </c>
      <c r="AY94" s="119">
        <f>'2022'!BA810</f>
      </c>
      <c r="AZ94" s="119">
        <f>'2022'!BB810</f>
      </c>
      <c r="BA94" s="106">
        <f>'2022'!BC810</f>
        <v>0</v>
      </c>
      <c r="BB94" s="106">
        <f>'2022'!BD810</f>
      </c>
      <c r="BC94" s="106"/>
      <c r="BD94" s="106">
        <f t="shared" si="1"/>
        <v>0</v>
      </c>
      <c r="BE94" s="119">
        <f>'2022'!BE810</f>
        <v>145.746</v>
      </c>
      <c r="BF94" s="106">
        <f>'2022'!BF810</f>
        <v>375.09516</v>
      </c>
      <c r="BG94" s="106">
        <f>'2022'!BG810</f>
        <v>148.46</v>
      </c>
      <c r="BH94" s="106">
        <f>'2022'!BH810</f>
        <v>49.07516</v>
      </c>
      <c r="BI94" s="106">
        <f t="shared" si="2"/>
        <v>0</v>
      </c>
      <c r="BJ94" s="338">
        <f t="shared" si="3"/>
        <v>49.07516</v>
      </c>
    </row>
    <row r="95" ht="15" customHeight="1" spans="1:62" x14ac:dyDescent="0.25">
      <c r="A95" s="14"/>
      <c r="B95" s="15">
        <v>86</v>
      </c>
      <c r="C95" s="115">
        <v>4.23</v>
      </c>
      <c r="D95" s="117" t="s">
        <v>304</v>
      </c>
      <c r="E95" s="119">
        <f>'2022'!I819</f>
      </c>
      <c r="F95" s="119">
        <f>'2022'!J819</f>
        <v>0</v>
      </c>
      <c r="G95" s="106">
        <f>'2022'!K819</f>
        <v>0</v>
      </c>
      <c r="H95" s="106">
        <f>'2022'!L819</f>
      </c>
      <c r="I95" s="119">
        <f>'2022'!M819</f>
      </c>
      <c r="J95" s="119">
        <f>'2022'!N819</f>
        <v>0</v>
      </c>
      <c r="K95" s="106">
        <f>'2022'!O819</f>
        <v>0</v>
      </c>
      <c r="L95" s="106">
        <f>'2022'!P819</f>
      </c>
      <c r="M95" s="119">
        <f>'2022'!Q819</f>
      </c>
      <c r="N95" s="119">
        <f>'2022'!R819</f>
        <v>0</v>
      </c>
      <c r="O95" s="106">
        <f>'2022'!S819</f>
        <v>0</v>
      </c>
      <c r="P95" s="106">
        <f>'2022'!T819</f>
      </c>
      <c r="Q95" s="119">
        <f>'2022'!U819</f>
      </c>
      <c r="R95" s="119">
        <f>'2022'!V819</f>
        <v>0</v>
      </c>
      <c r="S95" s="106">
        <f>'2022'!W819</f>
        <v>0</v>
      </c>
      <c r="T95" s="106">
        <f>'2022'!X819</f>
      </c>
      <c r="U95" s="119">
        <f>'2022'!Y819</f>
      </c>
      <c r="V95" s="119">
        <f>'2022'!Z819</f>
        <v>0</v>
      </c>
      <c r="W95" s="106">
        <f>'2022'!AA819</f>
        <v>0</v>
      </c>
      <c r="X95" s="106">
        <f>'2022'!AB819</f>
      </c>
      <c r="Y95" s="119">
        <f>'2022'!AC819</f>
      </c>
      <c r="Z95" s="119">
        <f>'2022'!AD819</f>
        <v>0</v>
      </c>
      <c r="AA95" s="106">
        <f>'2022'!AE819</f>
        <v>0</v>
      </c>
      <c r="AB95" s="106">
        <f>'2022'!AF819</f>
      </c>
      <c r="AC95" s="119">
        <f>'2022'!AG819</f>
      </c>
      <c r="AD95" s="106">
        <f>'2022'!AH819</f>
        <v>0</v>
      </c>
      <c r="AE95" s="106">
        <f>'2022'!AI819</f>
        <v>0</v>
      </c>
      <c r="AF95" s="106">
        <f>'2022'!AJ819</f>
      </c>
      <c r="AG95" s="119">
        <f>'2022'!AK819</f>
      </c>
      <c r="AH95" s="119">
        <f>'2022'!AL819</f>
        <v>0</v>
      </c>
      <c r="AI95" s="106">
        <f>'2022'!AM819</f>
        <v>0</v>
      </c>
      <c r="AJ95" s="106">
        <f>'2022'!AN819</f>
      </c>
      <c r="AK95" s="119">
        <f>'2022'!AO819</f>
      </c>
      <c r="AL95" s="119">
        <f>'2022'!AP819</f>
        <v>0</v>
      </c>
      <c r="AM95" s="106">
        <f>'2022'!AQ819</f>
        <v>0</v>
      </c>
      <c r="AN95" s="106">
        <f>'2022'!AR819</f>
      </c>
      <c r="AO95" s="119">
        <f>'2022'!AS819</f>
      </c>
      <c r="AP95" s="119">
        <f>'2022'!AT819</f>
        <v>0</v>
      </c>
      <c r="AQ95" s="106">
        <f>'2022'!AU819</f>
        <v>0</v>
      </c>
      <c r="AR95" s="106">
        <f>'2022'!AV819</f>
      </c>
      <c r="AS95" s="119">
        <f>'2022'!AW819</f>
      </c>
      <c r="AT95" s="119">
        <f>'2022'!AX819</f>
        <v>0</v>
      </c>
      <c r="AU95" s="106">
        <f>'2022'!AY819</f>
        <v>0</v>
      </c>
      <c r="AV95" s="106">
        <f>'2022'!AZ819</f>
      </c>
      <c r="AW95" s="106"/>
      <c r="AX95" s="106">
        <f t="shared" si="0"/>
        <v>0</v>
      </c>
      <c r="AY95" s="119">
        <f>'2022'!BA819</f>
      </c>
      <c r="AZ95" s="119">
        <f>'2022'!BB819</f>
      </c>
      <c r="BA95" s="106">
        <f>'2022'!BC819</f>
        <v>0</v>
      </c>
      <c r="BB95" s="106">
        <f>'2022'!BD819</f>
      </c>
      <c r="BC95" s="106"/>
      <c r="BD95" s="106">
        <f t="shared" si="1"/>
        <v>0</v>
      </c>
      <c r="BE95" s="119">
        <f>'2022'!BE819</f>
        <v>0</v>
      </c>
      <c r="BF95" s="106">
        <f>'2022'!BF819</f>
        <v>0</v>
      </c>
      <c r="BG95" s="106">
        <f>'2022'!BG819</f>
        <v>0</v>
      </c>
      <c r="BH95" s="106">
        <f>'2022'!BH819</f>
        <v>0</v>
      </c>
      <c r="BI95" s="106">
        <f t="shared" si="2"/>
        <v>0</v>
      </c>
      <c r="BJ95" s="338">
        <f t="shared" si="3"/>
        <v>0</v>
      </c>
    </row>
    <row r="96" ht="15" customHeight="1" spans="1:62" x14ac:dyDescent="0.25">
      <c r="A96" s="14"/>
      <c r="B96" s="15">
        <v>88</v>
      </c>
      <c r="C96" s="115">
        <v>4.23</v>
      </c>
      <c r="D96" s="117" t="s">
        <v>308</v>
      </c>
      <c r="E96" s="119">
        <f>'2022'!I828</f>
      </c>
      <c r="F96" s="119">
        <f>'2022'!J828</f>
        <v>0</v>
      </c>
      <c r="G96" s="106">
        <f>'2022'!K828</f>
        <v>0</v>
      </c>
      <c r="H96" s="106">
        <f>'2022'!L828</f>
      </c>
      <c r="I96" s="119">
        <f>'2022'!M828</f>
      </c>
      <c r="J96" s="119">
        <f>'2022'!N828</f>
        <v>0</v>
      </c>
      <c r="K96" s="106">
        <f>'2022'!O828</f>
        <v>0</v>
      </c>
      <c r="L96" s="106">
        <f>'2022'!P828</f>
      </c>
      <c r="M96" s="119">
        <f>'2022'!Q828</f>
      </c>
      <c r="N96" s="119">
        <f>'2022'!R828</f>
        <v>0</v>
      </c>
      <c r="O96" s="106">
        <f>'2022'!S828</f>
        <v>0</v>
      </c>
      <c r="P96" s="106">
        <f>'2022'!T828</f>
      </c>
      <c r="Q96" s="119">
        <f>'2022'!U828</f>
      </c>
      <c r="R96" s="119">
        <f>'2022'!V828</f>
        <v>0</v>
      </c>
      <c r="S96" s="106">
        <f>'2022'!W828</f>
        <v>0</v>
      </c>
      <c r="T96" s="106">
        <f>'2022'!X828</f>
      </c>
      <c r="U96" s="119">
        <f>'2022'!Y828</f>
      </c>
      <c r="V96" s="119">
        <f>'2022'!Z828</f>
        <v>0</v>
      </c>
      <c r="W96" s="106">
        <f>'2022'!AA828</f>
        <v>0</v>
      </c>
      <c r="X96" s="106">
        <f>'2022'!AB828</f>
      </c>
      <c r="Y96" s="119">
        <f>'2022'!AC828</f>
      </c>
      <c r="Z96" s="119">
        <f>'2022'!AD828</f>
        <v>0</v>
      </c>
      <c r="AA96" s="106">
        <f>'2022'!AE828</f>
        <v>0</v>
      </c>
      <c r="AB96" s="106">
        <f>'2022'!AF828</f>
      </c>
      <c r="AC96" s="119">
        <f>'2022'!AG828</f>
      </c>
      <c r="AD96" s="106">
        <f>'2022'!AH828</f>
        <v>0</v>
      </c>
      <c r="AE96" s="106">
        <f>'2022'!AI828</f>
        <v>0</v>
      </c>
      <c r="AF96" s="106">
        <f>'2022'!AJ828</f>
      </c>
      <c r="AG96" s="119">
        <f>'2022'!AK828</f>
      </c>
      <c r="AH96" s="119">
        <f>'2022'!AL828</f>
        <v>0</v>
      </c>
      <c r="AI96" s="106">
        <f>'2022'!AM828</f>
        <v>0</v>
      </c>
      <c r="AJ96" s="106">
        <f>'2022'!AN828</f>
      </c>
      <c r="AK96" s="119">
        <f>'2022'!AO828</f>
      </c>
      <c r="AL96" s="119">
        <f>'2022'!AP828</f>
        <v>0</v>
      </c>
      <c r="AM96" s="106">
        <f>'2022'!AQ828</f>
        <v>0</v>
      </c>
      <c r="AN96" s="106">
        <f>'2022'!AR828</f>
      </c>
      <c r="AO96" s="119">
        <f>'2022'!AS828</f>
      </c>
      <c r="AP96" s="119">
        <f>'2022'!AT828</f>
        <v>0</v>
      </c>
      <c r="AQ96" s="106">
        <f>'2022'!AU828</f>
        <v>0</v>
      </c>
      <c r="AR96" s="106">
        <f>'2022'!AV828</f>
      </c>
      <c r="AS96" s="119">
        <f>'2022'!AW828</f>
      </c>
      <c r="AT96" s="119">
        <f>'2022'!AX828</f>
        <v>0</v>
      </c>
      <c r="AU96" s="106">
        <f>'2022'!AY828</f>
        <v>0</v>
      </c>
      <c r="AV96" s="106">
        <f>'2022'!AZ828</f>
      </c>
      <c r="AW96" s="106"/>
      <c r="AX96" s="106">
        <f t="shared" si="0"/>
        <v>0</v>
      </c>
      <c r="AY96" s="119">
        <f>'2022'!BA828</f>
      </c>
      <c r="AZ96" s="119">
        <f>'2022'!BB828</f>
      </c>
      <c r="BA96" s="106">
        <f>'2022'!BC828</f>
        <v>0</v>
      </c>
      <c r="BB96" s="106">
        <f>'2022'!BD828</f>
      </c>
      <c r="BC96" s="106"/>
      <c r="BD96" s="106">
        <f t="shared" si="1"/>
        <v>0</v>
      </c>
      <c r="BE96" s="119">
        <f>'2022'!BE828</f>
        <v>0</v>
      </c>
      <c r="BF96" s="106">
        <f>'2022'!BF828</f>
        <v>0</v>
      </c>
      <c r="BG96" s="106">
        <f>'2022'!BG828</f>
        <v>0</v>
      </c>
      <c r="BH96" s="106">
        <f>'2022'!BH828</f>
        <v>0</v>
      </c>
      <c r="BI96" s="106">
        <f t="shared" si="2"/>
        <v>0</v>
      </c>
      <c r="BJ96" s="338">
        <f t="shared" si="3"/>
        <v>0</v>
      </c>
    </row>
    <row r="97" ht="15" customHeight="1" spans="1:62" x14ac:dyDescent="0.25">
      <c r="A97" s="14"/>
      <c r="B97" s="15">
        <v>90</v>
      </c>
      <c r="C97" s="115">
        <v>4.23</v>
      </c>
      <c r="D97" s="117" t="s">
        <v>311</v>
      </c>
      <c r="E97" s="119">
        <f>'2022'!I837</f>
      </c>
      <c r="F97" s="119">
        <f>'2022'!J837</f>
        <v>0</v>
      </c>
      <c r="G97" s="106">
        <f>'2022'!K837</f>
        <v>0</v>
      </c>
      <c r="H97" s="106">
        <f>'2022'!L837</f>
      </c>
      <c r="I97" s="119">
        <f>'2022'!M837</f>
      </c>
      <c r="J97" s="119">
        <f>'2022'!N837</f>
        <v>0</v>
      </c>
      <c r="K97" s="106">
        <f>'2022'!O837</f>
        <v>0</v>
      </c>
      <c r="L97" s="106">
        <f>'2022'!P837</f>
      </c>
      <c r="M97" s="119">
        <f>'2022'!Q837</f>
      </c>
      <c r="N97" s="119">
        <f>'2022'!R837</f>
        <v>0</v>
      </c>
      <c r="O97" s="106">
        <f>'2022'!S837</f>
        <v>0</v>
      </c>
      <c r="P97" s="106">
        <f>'2022'!T837</f>
      </c>
      <c r="Q97" s="119">
        <f>'2022'!U837</f>
      </c>
      <c r="R97" s="119">
        <f>'2022'!V837</f>
        <v>0</v>
      </c>
      <c r="S97" s="106">
        <f>'2022'!W837</f>
        <v>0</v>
      </c>
      <c r="T97" s="106">
        <f>'2022'!X837</f>
      </c>
      <c r="U97" s="119">
        <f>'2022'!Y837</f>
      </c>
      <c r="V97" s="119">
        <f>'2022'!Z837</f>
        <v>0</v>
      </c>
      <c r="W97" s="106">
        <f>'2022'!AA837</f>
        <v>0</v>
      </c>
      <c r="X97" s="106">
        <f>'2022'!AB837</f>
      </c>
      <c r="Y97" s="119">
        <f>'2022'!AC837</f>
      </c>
      <c r="Z97" s="119">
        <f>'2022'!AD837</f>
        <v>0</v>
      </c>
      <c r="AA97" s="106">
        <f>'2022'!AE837</f>
        <v>0</v>
      </c>
      <c r="AB97" s="106">
        <f>'2022'!AF837</f>
      </c>
      <c r="AC97" s="119">
        <f>'2022'!AG837</f>
      </c>
      <c r="AD97" s="106">
        <f>'2022'!AH837</f>
        <v>0</v>
      </c>
      <c r="AE97" s="106">
        <f>'2022'!AI837</f>
        <v>0</v>
      </c>
      <c r="AF97" s="106">
        <f>'2022'!AJ837</f>
      </c>
      <c r="AG97" s="119">
        <f>'2022'!AK837</f>
      </c>
      <c r="AH97" s="119">
        <f>'2022'!AL837</f>
        <v>0</v>
      </c>
      <c r="AI97" s="106">
        <f>'2022'!AM837</f>
        <v>0</v>
      </c>
      <c r="AJ97" s="106">
        <f>'2022'!AN837</f>
      </c>
      <c r="AK97" s="119">
        <f>'2022'!AO837</f>
      </c>
      <c r="AL97" s="119">
        <f>'2022'!AP837</f>
        <v>0</v>
      </c>
      <c r="AM97" s="106">
        <f>'2022'!AQ837</f>
        <v>0</v>
      </c>
      <c r="AN97" s="106">
        <f>'2022'!AR837</f>
      </c>
      <c r="AO97" s="119">
        <f>'2022'!AS837</f>
      </c>
      <c r="AP97" s="119">
        <f>'2022'!AT837</f>
        <v>0</v>
      </c>
      <c r="AQ97" s="106">
        <f>'2022'!AU837</f>
        <v>0</v>
      </c>
      <c r="AR97" s="106">
        <f>'2022'!AV837</f>
      </c>
      <c r="AS97" s="119">
        <f>'2022'!AW837</f>
      </c>
      <c r="AT97" s="119">
        <f>'2022'!AX837</f>
        <v>0</v>
      </c>
      <c r="AU97" s="106">
        <f>'2022'!AY837</f>
        <v>0</v>
      </c>
      <c r="AV97" s="106">
        <f>'2022'!AZ837</f>
      </c>
      <c r="AW97" s="106"/>
      <c r="AX97" s="106">
        <f t="shared" si="0"/>
        <v>0</v>
      </c>
      <c r="AY97" s="119">
        <f>'2022'!BA837</f>
      </c>
      <c r="AZ97" s="119">
        <f>'2022'!BB837</f>
      </c>
      <c r="BA97" s="106">
        <f>'2022'!BC837</f>
        <v>0</v>
      </c>
      <c r="BB97" s="106">
        <f>'2022'!BD837</f>
      </c>
      <c r="BC97" s="106"/>
      <c r="BD97" s="106">
        <f t="shared" si="1"/>
        <v>0</v>
      </c>
      <c r="BE97" s="119">
        <f>'2022'!BE837</f>
        <v>0</v>
      </c>
      <c r="BF97" s="106">
        <f>'2022'!BF837</f>
        <v>0</v>
      </c>
      <c r="BG97" s="106">
        <f>'2022'!BG837</f>
        <v>0</v>
      </c>
      <c r="BH97" s="106">
        <f>'2022'!BH837</f>
        <v>0</v>
      </c>
      <c r="BI97" s="106">
        <f t="shared" si="2"/>
        <v>0</v>
      </c>
      <c r="BJ97" s="338">
        <f t="shared" si="3"/>
        <v>0</v>
      </c>
    </row>
    <row r="98" ht="15" customHeight="1" spans="1:62" x14ac:dyDescent="0.25">
      <c r="A98" s="14"/>
      <c r="B98" s="15">
        <v>92</v>
      </c>
      <c r="C98" s="115">
        <v>4.28</v>
      </c>
      <c r="D98" s="117" t="s">
        <v>312</v>
      </c>
      <c r="E98" s="119">
        <f>'2022'!I846</f>
        <v>15636</v>
      </c>
      <c r="F98" s="119">
        <f>'2022'!J846</f>
        <v>921</v>
      </c>
      <c r="G98" s="106">
        <f>'2022'!K846</f>
        <v>2486.7</v>
      </c>
      <c r="H98" s="106">
        <f>'2022'!L846</f>
      </c>
      <c r="I98" s="119">
        <f>'2022'!M846</f>
        <v>15918</v>
      </c>
      <c r="J98" s="119">
        <f>'2022'!N846</f>
        <v>282</v>
      </c>
      <c r="K98" s="106">
        <f>'2022'!O846</f>
        <v>761.4</v>
      </c>
      <c r="L98" s="106">
        <f>'2022'!P846</f>
      </c>
      <c r="M98" s="119">
        <f>'2022'!Q846</f>
        <v>16320</v>
      </c>
      <c r="N98" s="119">
        <f>'2022'!R846</f>
        <v>402</v>
      </c>
      <c r="O98" s="106">
        <f>'2022'!S846</f>
        <v>1085.4</v>
      </c>
      <c r="P98" s="106">
        <f>'2022'!T846</f>
        <v>6000</v>
      </c>
      <c r="Q98" s="119">
        <f>'2022'!U846</f>
        <v>16568</v>
      </c>
      <c r="R98" s="119">
        <f>'2022'!V846</f>
        <v>248</v>
      </c>
      <c r="S98" s="106">
        <f>'2022'!W846</f>
        <v>669.6</v>
      </c>
      <c r="T98" s="106">
        <f>'2022'!X846</f>
      </c>
      <c r="U98" s="119">
        <f>'2022'!Y846</f>
        <v>16716</v>
      </c>
      <c r="V98" s="119">
        <f>'2022'!Z846</f>
        <v>148</v>
      </c>
      <c r="W98" s="106">
        <f>'2022'!AA846</f>
        <v>399.6</v>
      </c>
      <c r="X98" s="106">
        <f>'2022'!AB846</f>
      </c>
      <c r="Y98" s="119">
        <f>'2022'!AC846</f>
        <v>17004</v>
      </c>
      <c r="Z98" s="119">
        <f>'2022'!AD846</f>
        <v>288</v>
      </c>
      <c r="AA98" s="106">
        <f>'2022'!AE846</f>
        <v>777.6</v>
      </c>
      <c r="AB98" s="106">
        <f>'2022'!AF846</f>
      </c>
      <c r="AC98" s="119">
        <f>'2022'!AG846</f>
        <v>17148</v>
      </c>
      <c r="AD98" s="106">
        <f>'2022'!AH846</f>
        <v>152.064</v>
      </c>
      <c r="AE98" s="106">
        <f>'2022'!AI846</f>
        <v>374.07744</v>
      </c>
      <c r="AF98" s="106">
        <f>'2022'!AJ846</f>
        <v>3208.6</v>
      </c>
      <c r="AG98" s="119">
        <f>'2022'!AK846</f>
        <v>17361</v>
      </c>
      <c r="AH98" s="119">
        <f>'2022'!AL846</f>
        <v>218.964</v>
      </c>
      <c r="AI98" s="106">
        <f>'2022'!AM846</f>
        <v>538.65144</v>
      </c>
      <c r="AJ98" s="106">
        <f>'2022'!AN846</f>
        <v>374.08</v>
      </c>
      <c r="AK98" s="119">
        <f>'2022'!AO846</f>
        <v>17579</v>
      </c>
      <c r="AL98" s="119">
        <f>'2022'!AP846</f>
        <v>225.194</v>
      </c>
      <c r="AM98" s="106">
        <f>'2022'!AQ846</f>
        <v>553.97724</v>
      </c>
      <c r="AN98" s="106">
        <f>'2022'!AR846</f>
      </c>
      <c r="AO98" s="119">
        <f>'2022'!AS846</f>
        <v>17838</v>
      </c>
      <c r="AP98" s="119">
        <f>'2022'!AT846</f>
        <v>271.95</v>
      </c>
      <c r="AQ98" s="106">
        <f>'2022'!AU846</f>
        <v>668.997</v>
      </c>
      <c r="AR98" s="106">
        <f>'2022'!AV846</f>
      </c>
      <c r="AS98" s="126">
        <f>'2022'!AW846</f>
      </c>
      <c r="AT98" s="119">
        <f>'2022'!AX846</f>
        <v>0</v>
      </c>
      <c r="AU98" s="106">
        <f>'2022'!AY846</f>
        <v>0</v>
      </c>
      <c r="AV98" s="106">
        <f>'2022'!AZ846</f>
      </c>
      <c r="AW98" s="119"/>
      <c r="AX98" s="106">
        <f t="shared" si="0"/>
        <v>0</v>
      </c>
      <c r="AY98" s="119">
        <f>'2022'!BA846</f>
      </c>
      <c r="AZ98" s="119">
        <f>'2022'!BB846</f>
      </c>
      <c r="BA98" s="106">
        <f>'2022'!BC846</f>
        <v>0</v>
      </c>
      <c r="BB98" s="106">
        <f>'2022'!BD846</f>
      </c>
      <c r="BC98" s="106"/>
      <c r="BD98" s="106">
        <f t="shared" si="1"/>
        <v>0</v>
      </c>
      <c r="BE98" s="119">
        <f>'2022'!BE846</f>
        <v>3157.172</v>
      </c>
      <c r="BF98" s="106">
        <f>'2022'!BF846</f>
        <v>8316.00312</v>
      </c>
      <c r="BG98" s="106">
        <f>'2022'!BG846</f>
        <v>9582.68</v>
      </c>
      <c r="BH98" s="106">
        <f>'2022'!BH846</f>
        <v>1761.62312</v>
      </c>
      <c r="BI98" s="106">
        <f t="shared" si="2"/>
        <v>0</v>
      </c>
      <c r="BJ98" s="338">
        <f t="shared" si="3"/>
        <v>1761.62312</v>
      </c>
    </row>
    <row r="99" ht="15" customHeight="1" spans="1:62" x14ac:dyDescent="0.25">
      <c r="A99" s="14"/>
      <c r="B99" s="15" t="s">
        <v>315</v>
      </c>
      <c r="C99" s="115">
        <v>4.36</v>
      </c>
      <c r="D99" s="117" t="s">
        <v>316</v>
      </c>
      <c r="E99" s="119">
        <f>'2022'!I855</f>
        <v>57111</v>
      </c>
      <c r="F99" s="119">
        <f>'2022'!J855</f>
        <v>2151</v>
      </c>
      <c r="G99" s="106">
        <f>'2022'!K855</f>
        <v>5807.7</v>
      </c>
      <c r="H99" s="106">
        <f>'2022'!L855</f>
        <v>5900</v>
      </c>
      <c r="I99" s="119">
        <f>'2022'!M855</f>
        <v>59319</v>
      </c>
      <c r="J99" s="119">
        <f>'2022'!N855</f>
        <v>2208</v>
      </c>
      <c r="K99" s="106">
        <f>'2022'!O855</f>
        <v>5961.6</v>
      </c>
      <c r="L99" s="106">
        <f>'2022'!P855</f>
        <v>6000</v>
      </c>
      <c r="M99" s="119">
        <f>'2022'!Q855</f>
        <v>61172</v>
      </c>
      <c r="N99" s="119">
        <f>'2022'!R855</f>
        <v>1853</v>
      </c>
      <c r="O99" s="106">
        <f>'2022'!S855</f>
        <v>5003.1</v>
      </c>
      <c r="P99" s="106">
        <f>'2022'!T855</f>
        <v>5500</v>
      </c>
      <c r="Q99" s="119">
        <f>'2022'!U855</f>
        <v>62594</v>
      </c>
      <c r="R99" s="119">
        <f>'2022'!V855</f>
        <v>1422</v>
      </c>
      <c r="S99" s="106">
        <f>'2022'!W855</f>
        <v>3839.4</v>
      </c>
      <c r="T99" s="106">
        <f>'2022'!X855</f>
        <v>4000</v>
      </c>
      <c r="U99" s="119">
        <f>'2022'!Y855</f>
        <v>63249</v>
      </c>
      <c r="V99" s="119">
        <f>'2022'!Z855</f>
        <v>655</v>
      </c>
      <c r="W99" s="106">
        <f>'2022'!AA855</f>
        <v>1768.5</v>
      </c>
      <c r="X99" s="106">
        <f>'2022'!AB855</f>
        <v>950</v>
      </c>
      <c r="Y99" s="119">
        <f>'2022'!AC855</f>
        <v>63735</v>
      </c>
      <c r="Z99" s="119">
        <f>'2022'!AD855</f>
        <v>486</v>
      </c>
      <c r="AA99" s="106">
        <f>'2022'!AE855</f>
        <v>1312.2</v>
      </c>
      <c r="AB99" s="106">
        <f>'2022'!AF855</f>
      </c>
      <c r="AC99" s="119">
        <f>'2022'!AG855</f>
        <v>64142</v>
      </c>
      <c r="AD99" s="106">
        <f>'2022'!AH855</f>
        <v>429.792</v>
      </c>
      <c r="AE99" s="106">
        <f>'2022'!AI855</f>
        <v>1057.28832</v>
      </c>
      <c r="AF99" s="106">
        <f>'2022'!AJ855</f>
        <v>1311</v>
      </c>
      <c r="AG99" s="119">
        <f>'2022'!AK855</f>
        <v>64553</v>
      </c>
      <c r="AH99" s="119">
        <f>'2022'!AL855</f>
        <v>422.508</v>
      </c>
      <c r="AI99" s="106">
        <f>'2022'!AM855</f>
        <v>1039.36968</v>
      </c>
      <c r="AJ99" s="106">
        <f>'2022'!AN855</f>
        <v>2150</v>
      </c>
      <c r="AK99" s="119">
        <f>'2022'!AO855</f>
        <v>65034</v>
      </c>
      <c r="AL99" s="119">
        <f>'2022'!AP855</f>
        <v>496.873</v>
      </c>
      <c r="AM99" s="106">
        <f>'2022'!AQ855</f>
        <v>1222.30758</v>
      </c>
      <c r="AN99" s="106">
        <f>'2022'!AR855</f>
        <v>1500</v>
      </c>
      <c r="AO99" s="119">
        <f>'2022'!AS855</f>
        <v>66327</v>
      </c>
      <c r="AP99" s="119">
        <f>'2022'!AT855</f>
        <v>1357.65</v>
      </c>
      <c r="AQ99" s="106">
        <f>'2022'!AU855</f>
        <v>3339.819</v>
      </c>
      <c r="AR99" s="106">
        <f>'2022'!AV855</f>
      </c>
      <c r="AS99" s="126">
        <f>'2022'!AW855</f>
      </c>
      <c r="AT99" s="119">
        <f>'2022'!AX855</f>
        <v>0</v>
      </c>
      <c r="AU99" s="106">
        <f>'2022'!AY855</f>
        <v>0</v>
      </c>
      <c r="AV99" s="106">
        <f>'2022'!AZ855</f>
      </c>
      <c r="AW99" s="119"/>
      <c r="AX99" s="106">
        <f t="shared" si="0"/>
        <v>0</v>
      </c>
      <c r="AY99" s="119">
        <f>'2022'!BA855</f>
      </c>
      <c r="AZ99" s="119">
        <f>'2022'!BB855</f>
      </c>
      <c r="BA99" s="106">
        <f>'2022'!BC855</f>
        <v>0</v>
      </c>
      <c r="BB99" s="106">
        <f>'2022'!BD855</f>
      </c>
      <c r="BC99" s="106"/>
      <c r="BD99" s="106">
        <f t="shared" si="1"/>
        <v>0</v>
      </c>
      <c r="BE99" s="119">
        <f>'2022'!BE855</f>
        <v>11481.823</v>
      </c>
      <c r="BF99" s="106">
        <f>'2022'!BF855</f>
        <v>30351.28458</v>
      </c>
      <c r="BG99" s="106">
        <f>'2022'!BG855</f>
        <v>27311</v>
      </c>
      <c r="BH99" s="106">
        <f>'2022'!BH855</f>
        <v>3008.48458</v>
      </c>
      <c r="BI99" s="106">
        <f t="shared" si="2"/>
        <v>0</v>
      </c>
      <c r="BJ99" s="338">
        <f t="shared" si="3"/>
        <v>3008.48458</v>
      </c>
    </row>
    <row r="100" ht="15" customHeight="1" spans="1:62" x14ac:dyDescent="0.25">
      <c r="A100" s="14"/>
      <c r="B100" s="15" t="s">
        <v>315</v>
      </c>
      <c r="C100" s="116">
        <v>4.4</v>
      </c>
      <c r="D100" s="117" t="s">
        <v>316</v>
      </c>
      <c r="E100" s="119">
        <f>'2022'!I864</f>
      </c>
      <c r="F100" s="119">
        <f>'2022'!J864</f>
        <v>0</v>
      </c>
      <c r="G100" s="106">
        <f>'2022'!K864</f>
        <v>0</v>
      </c>
      <c r="H100" s="106">
        <f>'2022'!L864</f>
      </c>
      <c r="I100" s="119">
        <f>'2022'!M864</f>
      </c>
      <c r="J100" s="119">
        <f>'2022'!N864</f>
        <v>0</v>
      </c>
      <c r="K100" s="106">
        <f>'2022'!O864</f>
        <v>0</v>
      </c>
      <c r="L100" s="106">
        <f>'2022'!P864</f>
      </c>
      <c r="M100" s="119">
        <f>'2022'!Q864</f>
      </c>
      <c r="N100" s="119">
        <f>'2022'!R864</f>
        <v>0</v>
      </c>
      <c r="O100" s="106">
        <f>'2022'!S864</f>
        <v>0</v>
      </c>
      <c r="P100" s="106">
        <f>'2022'!T864</f>
      </c>
      <c r="Q100" s="119">
        <f>'2022'!U864</f>
      </c>
      <c r="R100" s="119">
        <f>'2022'!V864</f>
        <v>0</v>
      </c>
      <c r="S100" s="106">
        <f>'2022'!W864</f>
        <v>0</v>
      </c>
      <c r="T100" s="106">
        <f>'2022'!X864</f>
      </c>
      <c r="U100" s="119">
        <f>'2022'!Y864</f>
      </c>
      <c r="V100" s="119">
        <f>'2022'!Z864</f>
        <v>0</v>
      </c>
      <c r="W100" s="106">
        <f>'2022'!AA864</f>
        <v>0</v>
      </c>
      <c r="X100" s="106">
        <f>'2022'!AB864</f>
      </c>
      <c r="Y100" s="119">
        <f>'2022'!AC864</f>
      </c>
      <c r="Z100" s="119">
        <f>'2022'!AD864</f>
        <v>0</v>
      </c>
      <c r="AA100" s="106">
        <f>'2022'!AE864</f>
        <v>0</v>
      </c>
      <c r="AB100" s="106">
        <f>'2022'!AF864</f>
      </c>
      <c r="AC100" s="119">
        <f>'2022'!AG864</f>
      </c>
      <c r="AD100" s="106">
        <f>'2022'!AH864</f>
        <v>0</v>
      </c>
      <c r="AE100" s="106">
        <f>'2022'!AI864</f>
        <v>0</v>
      </c>
      <c r="AF100" s="106">
        <f>'2022'!AJ864</f>
      </c>
      <c r="AG100" s="119">
        <f>'2022'!AK864</f>
      </c>
      <c r="AH100" s="119">
        <f>'2022'!AL864</f>
        <v>0</v>
      </c>
      <c r="AI100" s="106">
        <f>'2022'!AM864</f>
        <v>0</v>
      </c>
      <c r="AJ100" s="106">
        <f>'2022'!AN864</f>
      </c>
      <c r="AK100" s="119">
        <f>'2022'!AO864</f>
      </c>
      <c r="AL100" s="119">
        <f>'2022'!AP864</f>
        <v>0</v>
      </c>
      <c r="AM100" s="106">
        <f>'2022'!AQ864</f>
        <v>0</v>
      </c>
      <c r="AN100" s="106">
        <f>'2022'!AR864</f>
      </c>
      <c r="AO100" s="119">
        <f>'2022'!AS864</f>
      </c>
      <c r="AP100" s="119">
        <f>'2022'!AT864</f>
        <v>0</v>
      </c>
      <c r="AQ100" s="106">
        <f>'2022'!AU864</f>
        <v>0</v>
      </c>
      <c r="AR100" s="106">
        <f>'2022'!AV864</f>
      </c>
      <c r="AS100" s="126">
        <f>'2022'!AW864</f>
      </c>
      <c r="AT100" s="119">
        <f>'2022'!AX864</f>
        <v>0</v>
      </c>
      <c r="AU100" s="106">
        <f>'2022'!AY864</f>
        <v>0</v>
      </c>
      <c r="AV100" s="106">
        <f>'2022'!AZ864</f>
      </c>
      <c r="AW100" s="119"/>
      <c r="AX100" s="106">
        <f t="shared" si="0"/>
        <v>0</v>
      </c>
      <c r="AY100" s="119">
        <f>'2022'!BA864</f>
      </c>
      <c r="AZ100" s="119">
        <f>'2022'!BB864</f>
      </c>
      <c r="BA100" s="106">
        <f>'2022'!BC864</f>
        <v>0</v>
      </c>
      <c r="BB100" s="106">
        <f>'2022'!BD864</f>
      </c>
      <c r="BC100" s="106"/>
      <c r="BD100" s="106">
        <f t="shared" si="1"/>
        <v>0</v>
      </c>
      <c r="BE100" s="119">
        <f>'2022'!BE864</f>
        <v>0</v>
      </c>
      <c r="BF100" s="106">
        <f>'2022'!BF864</f>
        <v>0</v>
      </c>
      <c r="BG100" s="106">
        <f>'2022'!BG864</f>
        <v>0</v>
      </c>
      <c r="BH100" s="106">
        <f>'2022'!BH864</f>
        <v>0</v>
      </c>
      <c r="BI100" s="106">
        <f t="shared" si="2"/>
        <v>0</v>
      </c>
      <c r="BJ100" s="338">
        <f t="shared" si="3"/>
        <v>0</v>
      </c>
    </row>
    <row r="101" ht="15" customHeight="1" spans="1:62" x14ac:dyDescent="0.25">
      <c r="A101" s="14"/>
      <c r="B101" s="15">
        <v>99</v>
      </c>
      <c r="C101" s="115">
        <v>4.53</v>
      </c>
      <c r="D101" s="117" t="s">
        <v>319</v>
      </c>
      <c r="E101" s="119">
        <f>'2022'!I873</f>
        <v>245</v>
      </c>
      <c r="F101" s="119">
        <f>'2022'!J873</f>
        <v>0</v>
      </c>
      <c r="G101" s="106">
        <f>'2022'!K873</f>
        <v>0</v>
      </c>
      <c r="H101" s="106">
        <f>'2022'!L873</f>
      </c>
      <c r="I101" s="119">
        <f>'2022'!M873</f>
        <v>245</v>
      </c>
      <c r="J101" s="119">
        <f>'2022'!N873</f>
        <v>0</v>
      </c>
      <c r="K101" s="106">
        <f>'2022'!O873</f>
        <v>0</v>
      </c>
      <c r="L101" s="106">
        <f>'2022'!P873</f>
      </c>
      <c r="M101" s="119">
        <f>'2022'!Q873</f>
        <v>245</v>
      </c>
      <c r="N101" s="119">
        <f>'2022'!R873</f>
        <v>0</v>
      </c>
      <c r="O101" s="106">
        <f>'2022'!S873</f>
        <v>0</v>
      </c>
      <c r="P101" s="106">
        <f>'2022'!T873</f>
      </c>
      <c r="Q101" s="119">
        <f>'2022'!U873</f>
        <v>245</v>
      </c>
      <c r="R101" s="119">
        <f>'2022'!V873</f>
        <v>0</v>
      </c>
      <c r="S101" s="106">
        <f>'2022'!W873</f>
        <v>0</v>
      </c>
      <c r="T101" s="106">
        <f>'2022'!X873</f>
      </c>
      <c r="U101" s="119">
        <f>'2022'!Y873</f>
        <v>247</v>
      </c>
      <c r="V101" s="119">
        <f>'2022'!Z873</f>
        <v>2</v>
      </c>
      <c r="W101" s="106">
        <f>'2022'!AA873</f>
        <v>5.4</v>
      </c>
      <c r="X101" s="106">
        <f>'2022'!AB873</f>
      </c>
      <c r="Y101" s="119">
        <f>'2022'!AC873</f>
        <v>286</v>
      </c>
      <c r="Z101" s="119">
        <f>'2022'!AD873</f>
        <v>39</v>
      </c>
      <c r="AA101" s="106">
        <f>'2022'!AE873</f>
        <v>105.3</v>
      </c>
      <c r="AB101" s="106">
        <f>'2022'!AF873</f>
      </c>
      <c r="AC101" s="119">
        <f>'2022'!AG873</f>
        <v>329</v>
      </c>
      <c r="AD101" s="106">
        <f>'2022'!AH873</f>
        <v>45.408</v>
      </c>
      <c r="AE101" s="106">
        <f>'2022'!AI873</f>
        <v>111.70368</v>
      </c>
      <c r="AF101" s="106">
        <f>'2022'!AJ873</f>
        <v>293</v>
      </c>
      <c r="AG101" s="119">
        <f>'2022'!AK873</f>
        <v>363</v>
      </c>
      <c r="AH101" s="119">
        <f>'2022'!AL873</f>
        <v>34.952</v>
      </c>
      <c r="AI101" s="106">
        <f>'2022'!AM873</f>
        <v>85.98192</v>
      </c>
      <c r="AJ101" s="106">
        <f>'2022'!AN873</f>
      </c>
      <c r="AK101" s="119">
        <f>'2022'!AO873</f>
        <v>387</v>
      </c>
      <c r="AL101" s="119">
        <f>'2022'!AP873</f>
        <v>24.792</v>
      </c>
      <c r="AM101" s="106">
        <f>'2022'!AQ873</f>
        <v>60.98832</v>
      </c>
      <c r="AN101" s="106">
        <f>'2022'!AR873</f>
      </c>
      <c r="AO101" s="119">
        <f>'2022'!AS873</f>
        <v>402</v>
      </c>
      <c r="AP101" s="119">
        <f>'2022'!AT873</f>
        <v>15.75</v>
      </c>
      <c r="AQ101" s="106">
        <f>'2022'!AU873</f>
        <v>38.745</v>
      </c>
      <c r="AR101" s="106">
        <f>'2022'!AV873</f>
      </c>
      <c r="AS101" s="119">
        <f>'2022'!AW873</f>
      </c>
      <c r="AT101" s="119">
        <f>'2022'!AX873</f>
        <v>0</v>
      </c>
      <c r="AU101" s="106">
        <f>'2022'!AY873</f>
        <v>0</v>
      </c>
      <c r="AV101" s="106">
        <f>'2022'!AZ873</f>
      </c>
      <c r="AW101" s="106"/>
      <c r="AX101" s="106">
        <f t="shared" si="0"/>
        <v>0</v>
      </c>
      <c r="AY101" s="119">
        <f>'2022'!BA873</f>
      </c>
      <c r="AZ101" s="119">
        <f>'2022'!BB873</f>
      </c>
      <c r="BA101" s="106">
        <f>'2022'!BC873</f>
        <v>0</v>
      </c>
      <c r="BB101" s="106">
        <f>'2022'!BD873</f>
      </c>
      <c r="BC101" s="106"/>
      <c r="BD101" s="106">
        <f t="shared" si="1"/>
        <v>0</v>
      </c>
      <c r="BE101" s="119">
        <f>'2022'!BE873</f>
        <v>161.902</v>
      </c>
      <c r="BF101" s="106">
        <f>'2022'!BF873</f>
        <v>408.11892</v>
      </c>
      <c r="BG101" s="106">
        <f>'2022'!BG873</f>
        <v>293</v>
      </c>
      <c r="BH101" s="106">
        <f>'2022'!BH873</f>
        <v>41.65892</v>
      </c>
      <c r="BI101" s="106">
        <f t="shared" si="2"/>
        <v>0</v>
      </c>
      <c r="BJ101" s="338">
        <f t="shared" si="3"/>
        <v>41.65892</v>
      </c>
    </row>
    <row r="102" ht="15" customHeight="1" spans="1:62" x14ac:dyDescent="0.25">
      <c r="A102" s="14"/>
      <c r="B102" s="15">
        <v>101</v>
      </c>
      <c r="C102" s="115">
        <v>4.46</v>
      </c>
      <c r="D102" s="117" t="s">
        <v>321</v>
      </c>
      <c r="E102" s="119">
        <f>'2022'!I882</f>
        <v>195</v>
      </c>
      <c r="F102" s="119">
        <f>'2022'!J882</f>
        <v>0</v>
      </c>
      <c r="G102" s="106">
        <f>'2022'!K882</f>
        <v>0</v>
      </c>
      <c r="H102" s="106">
        <f>'2022'!L882</f>
      </c>
      <c r="I102" s="119">
        <f>'2022'!M882</f>
        <v>195</v>
      </c>
      <c r="J102" s="119">
        <f>'2022'!N882</f>
        <v>0</v>
      </c>
      <c r="K102" s="106">
        <f>'2022'!O882</f>
        <v>0</v>
      </c>
      <c r="L102" s="106">
        <f>'2022'!P882</f>
      </c>
      <c r="M102" s="119">
        <f>'2022'!Q882</f>
        <v>195</v>
      </c>
      <c r="N102" s="119">
        <f>'2022'!R882</f>
        <v>0</v>
      </c>
      <c r="O102" s="106">
        <f>'2022'!S882</f>
        <v>0</v>
      </c>
      <c r="P102" s="106">
        <f>'2022'!T882</f>
      </c>
      <c r="Q102" s="119">
        <f>'2022'!U882</f>
        <v>195</v>
      </c>
      <c r="R102" s="119">
        <f>'2022'!V882</f>
        <v>0</v>
      </c>
      <c r="S102" s="106">
        <f>'2022'!W882</f>
        <v>0</v>
      </c>
      <c r="T102" s="106">
        <f>'2022'!X882</f>
      </c>
      <c r="U102" s="119">
        <f>'2022'!Y882</f>
        <v>201</v>
      </c>
      <c r="V102" s="119">
        <f>'2022'!Z882</f>
        <v>6</v>
      </c>
      <c r="W102" s="106">
        <f>'2022'!AA882</f>
        <v>16.2</v>
      </c>
      <c r="X102" s="106">
        <f>'2022'!AB882</f>
      </c>
      <c r="Y102" s="119">
        <f>'2022'!AC882</f>
        <v>203</v>
      </c>
      <c r="Z102" s="119">
        <f>'2022'!AD882</f>
        <v>2</v>
      </c>
      <c r="AA102" s="106">
        <f>'2022'!AE882</f>
        <v>5.4</v>
      </c>
      <c r="AB102" s="106">
        <f>'2022'!AF882</f>
      </c>
      <c r="AC102" s="119">
        <f>'2022'!AG882</f>
        <v>207</v>
      </c>
      <c r="AD102" s="106">
        <f>'2022'!AH882</f>
        <v>4.224</v>
      </c>
      <c r="AE102" s="106">
        <f>'2022'!AI882</f>
        <v>10.39104</v>
      </c>
      <c r="AF102" s="106">
        <f>'2022'!AJ882</f>
        <v>32.4</v>
      </c>
      <c r="AG102" s="119">
        <f>'2022'!AK882</f>
        <v>208</v>
      </c>
      <c r="AH102" s="119">
        <f>'2022'!AL882</f>
        <v>1.028</v>
      </c>
      <c r="AI102" s="106">
        <f>'2022'!AM882</f>
        <v>2.52888</v>
      </c>
      <c r="AJ102" s="106">
        <f>'2022'!AN882</f>
      </c>
      <c r="AK102" s="119">
        <f>'2022'!AO882</f>
        <v>210</v>
      </c>
      <c r="AL102" s="119">
        <f>'2022'!AP882</f>
        <v>2.066</v>
      </c>
      <c r="AM102" s="106">
        <f>'2022'!AQ882</f>
        <v>5.08236</v>
      </c>
      <c r="AN102" s="106">
        <f>'2022'!AR882</f>
        <v>12.92</v>
      </c>
      <c r="AO102" s="119">
        <f>'2022'!AS882</f>
        <v>210</v>
      </c>
      <c r="AP102" s="119">
        <f>'2022'!AT882</f>
        <v>0</v>
      </c>
      <c r="AQ102" s="106">
        <f>'2022'!AU882</f>
        <v>0</v>
      </c>
      <c r="AR102" s="106">
        <f>'2022'!AV882</f>
      </c>
      <c r="AS102" s="119">
        <f>'2022'!AW882</f>
      </c>
      <c r="AT102" s="119">
        <f>'2022'!AX882</f>
        <v>0</v>
      </c>
      <c r="AU102" s="106">
        <f>'2022'!AY882</f>
        <v>0</v>
      </c>
      <c r="AV102" s="106">
        <f>'2022'!AZ882</f>
      </c>
      <c r="AW102" s="106"/>
      <c r="AX102" s="106">
        <f t="shared" si="0"/>
        <v>0</v>
      </c>
      <c r="AY102" s="119">
        <f>'2022'!BA882</f>
      </c>
      <c r="AZ102" s="119">
        <f>'2022'!BB882</f>
      </c>
      <c r="BA102" s="106">
        <f>'2022'!BC882</f>
        <v>0</v>
      </c>
      <c r="BB102" s="106">
        <f>'2022'!BD882</f>
      </c>
      <c r="BC102" s="106"/>
      <c r="BD102" s="106">
        <f t="shared" si="1"/>
        <v>0</v>
      </c>
      <c r="BE102" s="119">
        <f>'2022'!BE882</f>
        <v>15.318</v>
      </c>
      <c r="BF102" s="106">
        <f>'2022'!BF882</f>
        <v>39.60228</v>
      </c>
      <c r="BG102" s="106">
        <f>'2022'!BG882</f>
        <v>45.32</v>
      </c>
      <c r="BH102" s="106">
        <f>'2022'!BH882</f>
        <v>5.08228</v>
      </c>
      <c r="BI102" s="106">
        <f t="shared" si="2"/>
        <v>0</v>
      </c>
      <c r="BJ102" s="338">
        <f t="shared" si="3"/>
        <v>5.08228</v>
      </c>
    </row>
    <row r="103" ht="15" customHeight="1" spans="1:62" x14ac:dyDescent="0.25">
      <c r="A103" s="14"/>
      <c r="B103" s="15">
        <v>103</v>
      </c>
      <c r="C103" s="115">
        <v>4.42</v>
      </c>
      <c r="D103" s="117" t="s">
        <v>322</v>
      </c>
      <c r="E103" s="119">
        <f>'2022'!I891</f>
        <v>3</v>
      </c>
      <c r="F103" s="119">
        <f>'2022'!J891</f>
        <v>0</v>
      </c>
      <c r="G103" s="106">
        <f>'2022'!K891</f>
        <v>0</v>
      </c>
      <c r="H103" s="106">
        <f>'2022'!L891</f>
      </c>
      <c r="I103" s="119">
        <f>'2022'!M891</f>
        <v>3</v>
      </c>
      <c r="J103" s="119">
        <f>'2022'!N891</f>
        <v>0</v>
      </c>
      <c r="K103" s="106">
        <f>'2022'!O891</f>
        <v>0</v>
      </c>
      <c r="L103" s="106">
        <f>'2022'!P891</f>
      </c>
      <c r="M103" s="119">
        <f>'2022'!Q891</f>
        <v>3</v>
      </c>
      <c r="N103" s="119">
        <f>'2022'!R891</f>
        <v>0</v>
      </c>
      <c r="O103" s="106">
        <f>'2022'!S891</f>
        <v>0</v>
      </c>
      <c r="P103" s="106">
        <f>'2022'!T891</f>
      </c>
      <c r="Q103" s="119">
        <f>'2022'!U891</f>
        <v>3</v>
      </c>
      <c r="R103" s="119">
        <f>'2022'!V891</f>
        <v>0</v>
      </c>
      <c r="S103" s="106">
        <f>'2022'!W891</f>
        <v>0</v>
      </c>
      <c r="T103" s="106">
        <f>'2022'!X891</f>
      </c>
      <c r="U103" s="119">
        <f>'2022'!Y891</f>
        <v>3</v>
      </c>
      <c r="V103" s="119">
        <f>'2022'!Z891</f>
        <v>0</v>
      </c>
      <c r="W103" s="106">
        <f>'2022'!AA891</f>
        <v>0</v>
      </c>
      <c r="X103" s="106">
        <f>'2022'!AB891</f>
      </c>
      <c r="Y103" s="119">
        <f>'2022'!AC891</f>
        <v>3</v>
      </c>
      <c r="Z103" s="119">
        <f>'2022'!AD891</f>
        <v>0</v>
      </c>
      <c r="AA103" s="106">
        <f>'2022'!AE891</f>
        <v>0</v>
      </c>
      <c r="AB103" s="106">
        <f>'2022'!AF891</f>
      </c>
      <c r="AC103" s="119">
        <f>'2022'!AG891</f>
        <v>3</v>
      </c>
      <c r="AD103" s="106">
        <f>'2022'!AH891</f>
        <v>0</v>
      </c>
      <c r="AE103" s="106">
        <f>'2022'!AI891</f>
        <v>0</v>
      </c>
      <c r="AF103" s="106">
        <f>'2022'!AJ891</f>
      </c>
      <c r="AG103" s="119">
        <f>'2022'!AK891</f>
        <v>3</v>
      </c>
      <c r="AH103" s="119">
        <f>'2022'!AL891</f>
        <v>0</v>
      </c>
      <c r="AI103" s="106">
        <f>'2022'!AM891</f>
        <v>0</v>
      </c>
      <c r="AJ103" s="106">
        <f>'2022'!AN891</f>
      </c>
      <c r="AK103" s="119">
        <f>'2022'!AO891</f>
        <v>3</v>
      </c>
      <c r="AL103" s="119">
        <f>'2022'!AP891</f>
        <v>0</v>
      </c>
      <c r="AM103" s="106">
        <f>'2022'!AQ891</f>
        <v>0</v>
      </c>
      <c r="AN103" s="106">
        <f>'2022'!AR891</f>
        <v>8.1</v>
      </c>
      <c r="AO103" s="119">
        <f>'2022'!AS891</f>
        <v>3</v>
      </c>
      <c r="AP103" s="119">
        <f>'2022'!AT891</f>
        <v>0</v>
      </c>
      <c r="AQ103" s="106">
        <f>'2022'!AU891</f>
        <v>0</v>
      </c>
      <c r="AR103" s="106">
        <f>'2022'!AV891</f>
      </c>
      <c r="AS103" s="119">
        <f>'2022'!AW891</f>
      </c>
      <c r="AT103" s="119">
        <f>'2022'!AX891</f>
        <v>0</v>
      </c>
      <c r="AU103" s="106">
        <f>'2022'!AY891</f>
        <v>0</v>
      </c>
      <c r="AV103" s="106">
        <f>'2022'!AZ891</f>
      </c>
      <c r="AW103" s="106"/>
      <c r="AX103" s="106">
        <f t="shared" si="0"/>
        <v>0</v>
      </c>
      <c r="AY103" s="119">
        <f>'2022'!BA891</f>
      </c>
      <c r="AZ103" s="119">
        <f>'2022'!BB891</f>
      </c>
      <c r="BA103" s="106">
        <f>'2022'!BC891</f>
        <v>0</v>
      </c>
      <c r="BB103" s="106">
        <f>'2022'!BD891</f>
      </c>
      <c r="BC103" s="106"/>
      <c r="BD103" s="106">
        <f t="shared" si="1"/>
        <v>0</v>
      </c>
      <c r="BE103" s="119">
        <f>'2022'!BE891</f>
        <v>0</v>
      </c>
      <c r="BF103" s="106">
        <f>'2022'!BF891</f>
        <v>0</v>
      </c>
      <c r="BG103" s="106">
        <f>'2022'!BG891</f>
        <v>8.1</v>
      </c>
      <c r="BH103" s="106">
        <f>'2022'!BH891</f>
        <v>0</v>
      </c>
      <c r="BI103" s="106">
        <f t="shared" si="2"/>
        <v>0</v>
      </c>
      <c r="BJ103" s="338">
        <f t="shared" si="3"/>
        <v>0</v>
      </c>
    </row>
    <row r="104" ht="15" customHeight="1" spans="1:62" x14ac:dyDescent="0.25">
      <c r="A104" s="14"/>
      <c r="B104" s="15">
        <v>105</v>
      </c>
      <c r="C104" s="115">
        <v>4.41</v>
      </c>
      <c r="D104" s="117" t="s">
        <v>323</v>
      </c>
      <c r="E104" s="119">
        <f>'2022'!I900</f>
        <v>2571</v>
      </c>
      <c r="F104" s="119">
        <f>'2022'!J900</f>
        <v>0</v>
      </c>
      <c r="G104" s="106">
        <f>'2022'!K900</f>
        <v>0</v>
      </c>
      <c r="H104" s="106">
        <f>'2022'!L900</f>
      </c>
      <c r="I104" s="119">
        <f>'2022'!M900</f>
        <v>2571</v>
      </c>
      <c r="J104" s="119">
        <f>'2022'!N900</f>
        <v>0</v>
      </c>
      <c r="K104" s="106">
        <f>'2022'!O900</f>
        <v>0</v>
      </c>
      <c r="L104" s="106">
        <f>'2022'!P900</f>
      </c>
      <c r="M104" s="119">
        <f>'2022'!Q900</f>
        <v>2571</v>
      </c>
      <c r="N104" s="119">
        <f>'2022'!R900</f>
        <v>0</v>
      </c>
      <c r="O104" s="106">
        <f>'2022'!S900</f>
        <v>0</v>
      </c>
      <c r="P104" s="106">
        <f>'2022'!T900</f>
      </c>
      <c r="Q104" s="119">
        <f>'2022'!U900</f>
        <v>2571</v>
      </c>
      <c r="R104" s="119">
        <f>'2022'!V900</f>
        <v>0</v>
      </c>
      <c r="S104" s="106">
        <f>'2022'!W900</f>
        <v>0</v>
      </c>
      <c r="T104" s="106">
        <f>'2022'!X900</f>
      </c>
      <c r="U104" s="119">
        <f>'2022'!Y900</f>
        <v>2707</v>
      </c>
      <c r="V104" s="119">
        <f>'2022'!Z900</f>
        <v>136</v>
      </c>
      <c r="W104" s="106">
        <f>'2022'!AA900</f>
        <v>367.2</v>
      </c>
      <c r="X104" s="106">
        <f>'2022'!AB900</f>
      </c>
      <c r="Y104" s="119">
        <f>'2022'!AC900</f>
        <v>2840</v>
      </c>
      <c r="Z104" s="119">
        <f>'2022'!AD900</f>
        <v>133</v>
      </c>
      <c r="AA104" s="106">
        <f>'2022'!AE900</f>
        <v>359.1</v>
      </c>
      <c r="AB104" s="106">
        <f>'2022'!AF900</f>
        <v>450.9</v>
      </c>
      <c r="AC104" s="119">
        <f>'2022'!AG900</f>
        <v>2938</v>
      </c>
      <c r="AD104" s="106">
        <f>'2022'!AH900</f>
        <v>103.488</v>
      </c>
      <c r="AE104" s="106">
        <f>'2022'!AI900</f>
        <v>254.58048</v>
      </c>
      <c r="AF104" s="106">
        <f>'2022'!AJ900</f>
        <v>359.1</v>
      </c>
      <c r="AG104" s="119">
        <f>'2022'!AK900</f>
        <v>3032</v>
      </c>
      <c r="AH104" s="119">
        <f>'2022'!AL900</f>
        <v>96.632</v>
      </c>
      <c r="AI104" s="106">
        <f>'2022'!AM900</f>
        <v>237.71472</v>
      </c>
      <c r="AJ104" s="106">
        <f>'2022'!AN900</f>
        <v>254.58</v>
      </c>
      <c r="AK104" s="119">
        <f>'2022'!AO900</f>
        <v>3097</v>
      </c>
      <c r="AL104" s="119">
        <f>'2022'!AP900</f>
        <v>67.145</v>
      </c>
      <c r="AM104" s="106">
        <f>'2022'!AQ900</f>
        <v>165.1767</v>
      </c>
      <c r="AN104" s="106">
        <f>'2022'!AR900</f>
        <v>504.72</v>
      </c>
      <c r="AO104" s="119">
        <f>'2022'!AS900</f>
        <v>3109</v>
      </c>
      <c r="AP104" s="119">
        <f>'2022'!AT900</f>
        <v>12.6</v>
      </c>
      <c r="AQ104" s="106">
        <f>'2022'!AU900</f>
        <v>30.996</v>
      </c>
      <c r="AR104" s="106">
        <f>'2022'!AV900</f>
      </c>
      <c r="AS104" s="119">
        <f>'2022'!AW900</f>
      </c>
      <c r="AT104" s="119">
        <f>'2022'!AX900</f>
        <v>0</v>
      </c>
      <c r="AU104" s="106">
        <f>'2022'!AY900</f>
        <v>0</v>
      </c>
      <c r="AV104" s="106">
        <f>'2022'!AZ900</f>
      </c>
      <c r="AW104" s="106"/>
      <c r="AX104" s="106">
        <f t="shared" si="0"/>
        <v>0</v>
      </c>
      <c r="AY104" s="119">
        <f>'2022'!BA900</f>
      </c>
      <c r="AZ104" s="119">
        <f>'2022'!BB900</f>
      </c>
      <c r="BA104" s="106">
        <f>'2022'!BC900</f>
        <v>0</v>
      </c>
      <c r="BB104" s="106">
        <f>'2022'!BD900</f>
      </c>
      <c r="BC104" s="106"/>
      <c r="BD104" s="106">
        <f t="shared" si="1"/>
        <v>0</v>
      </c>
      <c r="BE104" s="119">
        <f>'2022'!BE900</f>
        <v>548.865</v>
      </c>
      <c r="BF104" s="106">
        <f>'2022'!BF900</f>
        <v>1414.7679</v>
      </c>
      <c r="BG104" s="106">
        <f>'2022'!BG900</f>
        <v>1569.3</v>
      </c>
      <c r="BH104" s="106">
        <f>'2022'!BH900</f>
        <v>-70.8321</v>
      </c>
      <c r="BI104" s="106">
        <f t="shared" si="2"/>
        <v>0</v>
      </c>
      <c r="BJ104" s="338">
        <f t="shared" si="3"/>
        <v>-70.8321</v>
      </c>
    </row>
    <row r="105" ht="15" customHeight="1" spans="1:62" x14ac:dyDescent="0.25">
      <c r="A105" s="21"/>
      <c r="B105" s="15">
        <v>107</v>
      </c>
      <c r="C105" s="115">
        <v>4.37</v>
      </c>
      <c r="D105" s="117" t="s">
        <v>325</v>
      </c>
      <c r="E105" s="119">
        <f>'2022'!I909</f>
        <v>695</v>
      </c>
      <c r="F105" s="119">
        <f>'2022'!J909</f>
        <v>0</v>
      </c>
      <c r="G105" s="106">
        <f>'2022'!K909</f>
        <v>0</v>
      </c>
      <c r="H105" s="106">
        <f>'2022'!L909</f>
      </c>
      <c r="I105" s="119">
        <f>'2022'!M909</f>
        <v>695</v>
      </c>
      <c r="J105" s="119">
        <f>'2022'!N909</f>
        <v>0</v>
      </c>
      <c r="K105" s="106">
        <f>'2022'!O909</f>
        <v>0</v>
      </c>
      <c r="L105" s="106">
        <f>'2022'!P909</f>
      </c>
      <c r="M105" s="119">
        <f>'2022'!Q909</f>
        <v>695</v>
      </c>
      <c r="N105" s="119">
        <f>'2022'!R909</f>
        <v>0</v>
      </c>
      <c r="O105" s="106">
        <f>'2022'!S909</f>
        <v>0</v>
      </c>
      <c r="P105" s="106">
        <f>'2022'!T909</f>
      </c>
      <c r="Q105" s="119">
        <f>'2022'!U909</f>
        <v>695</v>
      </c>
      <c r="R105" s="119">
        <f>'2022'!V909</f>
        <v>0</v>
      </c>
      <c r="S105" s="106">
        <f>'2022'!W909</f>
        <v>0</v>
      </c>
      <c r="T105" s="106">
        <f>'2022'!X909</f>
      </c>
      <c r="U105" s="119">
        <f>'2022'!Y909</f>
        <v>731</v>
      </c>
      <c r="V105" s="119">
        <f>'2022'!Z909</f>
        <v>36</v>
      </c>
      <c r="W105" s="106">
        <f>'2022'!AA909</f>
        <v>97.2</v>
      </c>
      <c r="X105" s="106">
        <f>'2022'!AB909</f>
      </c>
      <c r="Y105" s="119">
        <f>'2022'!AC909</f>
        <v>802</v>
      </c>
      <c r="Z105" s="119">
        <f>'2022'!AD909</f>
        <v>71</v>
      </c>
      <c r="AA105" s="106">
        <f>'2022'!AE909</f>
        <v>191.7</v>
      </c>
      <c r="AB105" s="106">
        <f>'2022'!AF909</f>
      </c>
      <c r="AC105" s="119">
        <f>'2022'!AG909</f>
        <v>904</v>
      </c>
      <c r="AD105" s="106">
        <f>'2022'!AH909</f>
        <v>107.712</v>
      </c>
      <c r="AE105" s="106">
        <f>'2022'!AI909</f>
        <v>264.97152</v>
      </c>
      <c r="AF105" s="106">
        <f>'2022'!AJ909</f>
        <v>724.57</v>
      </c>
      <c r="AG105" s="119">
        <f>'2022'!AK909</f>
        <v>1044</v>
      </c>
      <c r="AH105" s="119">
        <f>'2022'!AL909</f>
        <v>143.92</v>
      </c>
      <c r="AI105" s="106">
        <f>'2022'!AM909</f>
        <v>354.0432</v>
      </c>
      <c r="AJ105" s="106">
        <f>'2022'!AN909</f>
      </c>
      <c r="AK105" s="119">
        <f>'2022'!AO909</f>
        <v>1109</v>
      </c>
      <c r="AL105" s="119">
        <f>'2022'!AP909</f>
        <v>67.145</v>
      </c>
      <c r="AM105" s="106">
        <f>'2022'!AQ909</f>
        <v>165.1767</v>
      </c>
      <c r="AN105" s="106">
        <f>'2022'!AR909</f>
        <v>354.04</v>
      </c>
      <c r="AO105" s="119">
        <f>'2022'!AS909</f>
        <v>1116</v>
      </c>
      <c r="AP105" s="119">
        <f>'2022'!AT909</f>
        <v>7.35</v>
      </c>
      <c r="AQ105" s="106">
        <f>'2022'!AU909</f>
        <v>18.081</v>
      </c>
      <c r="AR105" s="106">
        <f>'2022'!AV909</f>
      </c>
      <c r="AS105" s="119">
        <f>'2022'!AW909</f>
      </c>
      <c r="AT105" s="119">
        <f>'2022'!AX909</f>
        <v>0</v>
      </c>
      <c r="AU105" s="106">
        <f>'2022'!AY909</f>
        <v>0</v>
      </c>
      <c r="AV105" s="106">
        <f>'2022'!AZ909</f>
      </c>
      <c r="AW105" s="106"/>
      <c r="AX105" s="106">
        <f t="shared" si="0"/>
        <v>0</v>
      </c>
      <c r="AY105" s="119">
        <f>'2022'!BA909</f>
      </c>
      <c r="AZ105" s="119">
        <f>'2022'!BB909</f>
      </c>
      <c r="BA105" s="106">
        <f>'2022'!BC909</f>
        <v>0</v>
      </c>
      <c r="BB105" s="106">
        <f>'2022'!BD909</f>
      </c>
      <c r="BC105" s="106"/>
      <c r="BD105" s="106">
        <f t="shared" si="1"/>
        <v>0</v>
      </c>
      <c r="BE105" s="119">
        <f>'2022'!BE909</f>
        <v>433.127</v>
      </c>
      <c r="BF105" s="106">
        <f>'2022'!BF909</f>
        <v>1091.17242</v>
      </c>
      <c r="BG105" s="106">
        <f>'2022'!BG909</f>
        <v>1078.61</v>
      </c>
      <c r="BH105" s="106">
        <f>'2022'!BH909</f>
        <v>183.26242</v>
      </c>
      <c r="BI105" s="106">
        <f t="shared" si="2"/>
        <v>0</v>
      </c>
      <c r="BJ105" s="338">
        <f t="shared" si="3"/>
        <v>183.26242</v>
      </c>
    </row>
    <row r="106" ht="15" customHeight="1" spans="1:62" x14ac:dyDescent="0.25">
      <c r="A106" s="114" t="s">
        <v>327</v>
      </c>
      <c r="B106" s="15">
        <v>96</v>
      </c>
      <c r="C106" s="115">
        <v>4.46</v>
      </c>
      <c r="D106" s="117" t="s">
        <v>450</v>
      </c>
      <c r="E106" s="119">
        <f>'2022'!I918</f>
      </c>
      <c r="F106" s="119">
        <f>'2022'!J918</f>
        <v>0</v>
      </c>
      <c r="G106" s="106">
        <f>'2022'!K918</f>
        <v>0</v>
      </c>
      <c r="H106" s="106">
        <f>'2022'!L918</f>
      </c>
      <c r="I106" s="119">
        <f>'2022'!M918</f>
      </c>
      <c r="J106" s="119">
        <f>'2022'!N918</f>
        <v>0</v>
      </c>
      <c r="K106" s="106">
        <f>'2022'!O918</f>
        <v>0</v>
      </c>
      <c r="L106" s="106">
        <f>'2022'!P918</f>
      </c>
      <c r="M106" s="119">
        <f>'2022'!Q918</f>
      </c>
      <c r="N106" s="119">
        <f>'2022'!R918</f>
        <v>0</v>
      </c>
      <c r="O106" s="106">
        <f>'2022'!S918</f>
        <v>0</v>
      </c>
      <c r="P106" s="106">
        <f>'2022'!T918</f>
      </c>
      <c r="Q106" s="119">
        <f>'2022'!U918</f>
      </c>
      <c r="R106" s="119">
        <f>'2022'!V918</f>
        <v>0</v>
      </c>
      <c r="S106" s="106">
        <f>'2022'!W918</f>
        <v>0</v>
      </c>
      <c r="T106" s="106">
        <f>'2022'!X918</f>
      </c>
      <c r="U106" s="119">
        <f>'2022'!Y918</f>
      </c>
      <c r="V106" s="119">
        <f>'2022'!Z918</f>
        <v>0</v>
      </c>
      <c r="W106" s="106">
        <f>'2022'!AA918</f>
        <v>0</v>
      </c>
      <c r="X106" s="106">
        <f>'2022'!AB918</f>
      </c>
      <c r="Y106" s="119">
        <f>'2022'!AC918</f>
      </c>
      <c r="Z106" s="119">
        <f>'2022'!AD918</f>
        <v>0</v>
      </c>
      <c r="AA106" s="106">
        <f>'2022'!AE918</f>
        <v>0</v>
      </c>
      <c r="AB106" s="106">
        <f>'2022'!AF918</f>
      </c>
      <c r="AC106" s="119">
        <f>'2022'!AG918</f>
      </c>
      <c r="AD106" s="106">
        <f>'2022'!AH918</f>
        <v>0</v>
      </c>
      <c r="AE106" s="106">
        <f>'2022'!AI918</f>
        <v>0</v>
      </c>
      <c r="AF106" s="106">
        <f>'2022'!AJ918</f>
      </c>
      <c r="AG106" s="119">
        <f>'2022'!AK918</f>
      </c>
      <c r="AH106" s="119">
        <f>'2022'!AL918</f>
        <v>0</v>
      </c>
      <c r="AI106" s="106">
        <f>'2022'!AM918</f>
        <v>0</v>
      </c>
      <c r="AJ106" s="106">
        <f>'2022'!AN918</f>
      </c>
      <c r="AK106" s="119">
        <f>'2022'!AO918</f>
      </c>
      <c r="AL106" s="119">
        <f>'2022'!AP918</f>
        <v>0</v>
      </c>
      <c r="AM106" s="106">
        <f>'2022'!AQ918</f>
        <v>0</v>
      </c>
      <c r="AN106" s="106">
        <f>'2022'!AR918</f>
      </c>
      <c r="AO106" s="119">
        <f>'2022'!AS918</f>
      </c>
      <c r="AP106" s="119">
        <f>'2022'!AT918</f>
        <v>0</v>
      </c>
      <c r="AQ106" s="106">
        <f>'2022'!AU918</f>
        <v>0</v>
      </c>
      <c r="AR106" s="106">
        <f>'2022'!AV918</f>
      </c>
      <c r="AS106" s="119">
        <f>'2022'!AW918</f>
      </c>
      <c r="AT106" s="119">
        <f>'2022'!AX918</f>
        <v>0</v>
      </c>
      <c r="AU106" s="106">
        <f>'2022'!AY918</f>
        <v>0</v>
      </c>
      <c r="AV106" s="106">
        <f>'2022'!AZ918</f>
      </c>
      <c r="AW106" s="106"/>
      <c r="AX106" s="106">
        <f t="shared" si="0"/>
        <v>0</v>
      </c>
      <c r="AY106" s="119">
        <f>'2022'!BA918</f>
      </c>
      <c r="AZ106" s="119">
        <f>'2022'!BB918</f>
      </c>
      <c r="BA106" s="106">
        <f>'2022'!BC918</f>
        <v>0</v>
      </c>
      <c r="BB106" s="106">
        <f>'2022'!BD918</f>
      </c>
      <c r="BC106" s="106"/>
      <c r="BD106" s="106">
        <f t="shared" si="1"/>
        <v>0</v>
      </c>
      <c r="BE106" s="119">
        <f>'2022'!BE918</f>
        <v>0</v>
      </c>
      <c r="BF106" s="106">
        <f>'2022'!BF918</f>
        <v>0</v>
      </c>
      <c r="BG106" s="106">
        <f>'2022'!BG918</f>
        <v>0</v>
      </c>
      <c r="BH106" s="106">
        <f>'2022'!BH918</f>
        <v>0</v>
      </c>
      <c r="BI106" s="106">
        <f t="shared" si="2"/>
        <v>0</v>
      </c>
      <c r="BJ106" s="338">
        <f t="shared" si="3"/>
        <v>0</v>
      </c>
    </row>
    <row r="107" ht="15" customHeight="1" spans="1:62" x14ac:dyDescent="0.25">
      <c r="A107" s="14"/>
      <c r="B107" s="15">
        <v>98</v>
      </c>
      <c r="C107" s="115">
        <v>4.45</v>
      </c>
      <c r="D107" s="117" t="s">
        <v>328</v>
      </c>
      <c r="E107" s="119">
        <f>'2022'!I927</f>
      </c>
      <c r="F107" s="119">
        <f>'2022'!J927</f>
        <v>0</v>
      </c>
      <c r="G107" s="106">
        <f>'2022'!K927</f>
        <v>0</v>
      </c>
      <c r="H107" s="106">
        <f>'2022'!L927</f>
      </c>
      <c r="I107" s="119">
        <f>'2022'!M927</f>
      </c>
      <c r="J107" s="119">
        <f>'2022'!N927</f>
        <v>0</v>
      </c>
      <c r="K107" s="106">
        <f>'2022'!O927</f>
        <v>0</v>
      </c>
      <c r="L107" s="106">
        <f>'2022'!P927</f>
      </c>
      <c r="M107" s="119">
        <f>'2022'!Q927</f>
      </c>
      <c r="N107" s="119">
        <f>'2022'!R927</f>
        <v>0</v>
      </c>
      <c r="O107" s="106">
        <f>'2022'!S927</f>
        <v>0</v>
      </c>
      <c r="P107" s="106">
        <f>'2022'!T927</f>
      </c>
      <c r="Q107" s="119">
        <f>'2022'!U927</f>
      </c>
      <c r="R107" s="119">
        <f>'2022'!V927</f>
        <v>0</v>
      </c>
      <c r="S107" s="106">
        <f>'2022'!W927</f>
        <v>0</v>
      </c>
      <c r="T107" s="106">
        <f>'2022'!X927</f>
      </c>
      <c r="U107" s="119">
        <f>'2022'!Y927</f>
        <v>0</v>
      </c>
      <c r="V107" s="119">
        <f>'2022'!Z927</f>
        <v>0</v>
      </c>
      <c r="W107" s="106">
        <f>'2022'!AA927</f>
        <v>0</v>
      </c>
      <c r="X107" s="106">
        <f>'2022'!AB927</f>
      </c>
      <c r="Y107" s="119">
        <f>'2022'!AC927</f>
      </c>
      <c r="Z107" s="119">
        <f>'2022'!AD927</f>
        <v>0</v>
      </c>
      <c r="AA107" s="106">
        <f>'2022'!AE927</f>
        <v>0</v>
      </c>
      <c r="AB107" s="106">
        <f>'2022'!AF927</f>
      </c>
      <c r="AC107" s="119">
        <f>'2022'!AG927</f>
      </c>
      <c r="AD107" s="106">
        <f>'2022'!AH927</f>
        <v>0</v>
      </c>
      <c r="AE107" s="106">
        <f>'2022'!AI927</f>
        <v>0</v>
      </c>
      <c r="AF107" s="106">
        <f>'2022'!AJ927</f>
      </c>
      <c r="AG107" s="119">
        <f>'2022'!AK927</f>
      </c>
      <c r="AH107" s="119">
        <f>'2022'!AL927</f>
        <v>0</v>
      </c>
      <c r="AI107" s="106">
        <f>'2022'!AM927</f>
        <v>0</v>
      </c>
      <c r="AJ107" s="106">
        <f>'2022'!AN927</f>
      </c>
      <c r="AK107" s="119">
        <f>'2022'!AO927</f>
      </c>
      <c r="AL107" s="119">
        <f>'2022'!AP927</f>
        <v>0</v>
      </c>
      <c r="AM107" s="106">
        <f>'2022'!AQ927</f>
        <v>0</v>
      </c>
      <c r="AN107" s="106">
        <f>'2022'!AR927</f>
      </c>
      <c r="AO107" s="119">
        <f>'2022'!AS927</f>
      </c>
      <c r="AP107" s="119">
        <f>'2022'!AT927</f>
        <v>0</v>
      </c>
      <c r="AQ107" s="106">
        <f>'2022'!AU927</f>
        <v>0</v>
      </c>
      <c r="AR107" s="106">
        <f>'2022'!AV927</f>
      </c>
      <c r="AS107" s="119">
        <f>'2022'!AW927</f>
      </c>
      <c r="AT107" s="119">
        <f>'2022'!AX927</f>
        <v>0</v>
      </c>
      <c r="AU107" s="106">
        <f>'2022'!AY927</f>
        <v>0</v>
      </c>
      <c r="AV107" s="106">
        <f>'2022'!AZ927</f>
      </c>
      <c r="AW107" s="106"/>
      <c r="AX107" s="106">
        <f t="shared" si="0"/>
        <v>0</v>
      </c>
      <c r="AY107" s="119">
        <f>'2022'!BA927</f>
      </c>
      <c r="AZ107" s="119">
        <f>'2022'!BB927</f>
      </c>
      <c r="BA107" s="106">
        <f>'2022'!BC927</f>
        <v>0</v>
      </c>
      <c r="BB107" s="106">
        <f>'2022'!BD927</f>
      </c>
      <c r="BC107" s="106"/>
      <c r="BD107" s="106">
        <f t="shared" si="1"/>
        <v>0</v>
      </c>
      <c r="BE107" s="119">
        <f>'2022'!BE927</f>
        <v>0</v>
      </c>
      <c r="BF107" s="106">
        <f>'2022'!BF927</f>
        <v>0</v>
      </c>
      <c r="BG107" s="106">
        <f>'2022'!BG927</f>
        <v>0</v>
      </c>
      <c r="BH107" s="106">
        <f>'2022'!BH927</f>
        <v>-332.68</v>
      </c>
      <c r="BI107" s="106">
        <f t="shared" si="2"/>
        <v>0</v>
      </c>
      <c r="BJ107" s="338">
        <f t="shared" si="3"/>
        <v>-332.68</v>
      </c>
    </row>
    <row r="108" ht="15" customHeight="1" spans="1:62" x14ac:dyDescent="0.25">
      <c r="A108" s="14"/>
      <c r="B108" s="15">
        <v>100</v>
      </c>
      <c r="C108" s="115">
        <v>4.47</v>
      </c>
      <c r="D108" s="117" t="s">
        <v>330</v>
      </c>
      <c r="E108" s="119">
        <f>'2022'!I936</f>
        <v>1129</v>
      </c>
      <c r="F108" s="119">
        <f>'2022'!J936</f>
        <v>0</v>
      </c>
      <c r="G108" s="106">
        <f>'2022'!K936</f>
        <v>0</v>
      </c>
      <c r="H108" s="106">
        <f>'2022'!L936</f>
      </c>
      <c r="I108" s="119">
        <f>'2022'!M936</f>
        <v>1129</v>
      </c>
      <c r="J108" s="119">
        <f>'2022'!N936</f>
        <v>0</v>
      </c>
      <c r="K108" s="106">
        <f>'2022'!O936</f>
        <v>0</v>
      </c>
      <c r="L108" s="106">
        <f>'2022'!P936</f>
      </c>
      <c r="M108" s="119">
        <f>'2022'!Q936</f>
        <v>1129</v>
      </c>
      <c r="N108" s="119">
        <f>'2022'!R936</f>
        <v>0</v>
      </c>
      <c r="O108" s="106">
        <f>'2022'!S936</f>
        <v>0</v>
      </c>
      <c r="P108" s="106">
        <f>'2022'!T936</f>
      </c>
      <c r="Q108" s="119">
        <f>'2022'!U936</f>
        <v>1129</v>
      </c>
      <c r="R108" s="119">
        <f>'2022'!V936</f>
        <v>0</v>
      </c>
      <c r="S108" s="106">
        <f>'2022'!W936</f>
        <v>0</v>
      </c>
      <c r="T108" s="106">
        <f>'2022'!X936</f>
      </c>
      <c r="U108" s="119">
        <f>'2022'!Y936</f>
        <v>1198</v>
      </c>
      <c r="V108" s="119">
        <f>'2022'!Z936</f>
        <v>69</v>
      </c>
      <c r="W108" s="106">
        <f>'2022'!AA936</f>
        <v>186.3</v>
      </c>
      <c r="X108" s="106">
        <f>'2022'!AB936</f>
      </c>
      <c r="Y108" s="119">
        <f>'2022'!AC936</f>
        <v>1298</v>
      </c>
      <c r="Z108" s="119">
        <f>'2022'!AD936</f>
        <v>100</v>
      </c>
      <c r="AA108" s="106">
        <f>'2022'!AE936</f>
        <v>270</v>
      </c>
      <c r="AB108" s="106">
        <f>'2022'!AF936</f>
      </c>
      <c r="AC108" s="119">
        <f>'2022'!AG936</f>
        <v>1365</v>
      </c>
      <c r="AD108" s="106">
        <f>'2022'!AH936</f>
        <v>70.752</v>
      </c>
      <c r="AE108" s="106">
        <f>'2022'!AI936</f>
        <v>174.04992</v>
      </c>
      <c r="AF108" s="106">
        <f>'2022'!AJ936</f>
      </c>
      <c r="AG108" s="119">
        <f>'2022'!AK936</f>
        <v>1404</v>
      </c>
      <c r="AH108" s="119">
        <f>'2022'!AL936</f>
        <v>40.092</v>
      </c>
      <c r="AI108" s="106">
        <f>'2022'!AM936</f>
        <v>98.62632</v>
      </c>
      <c r="AJ108" s="106">
        <f>'2022'!AN936</f>
      </c>
      <c r="AK108" s="119">
        <f>'2022'!AO936</f>
        <v>1513</v>
      </c>
      <c r="AL108" s="119">
        <f>'2022'!AP936</f>
        <v>112.597</v>
      </c>
      <c r="AM108" s="106">
        <f>'2022'!AQ936</f>
        <v>276.98862</v>
      </c>
      <c r="AN108" s="106">
        <f>'2022'!AR936</f>
        <v>177.3</v>
      </c>
      <c r="AO108" s="119">
        <f>'2022'!AS936</f>
        <v>1542</v>
      </c>
      <c r="AP108" s="119">
        <f>'2022'!AT936</f>
        <v>30.45</v>
      </c>
      <c r="AQ108" s="106">
        <f>'2022'!AU936</f>
        <v>74.907</v>
      </c>
      <c r="AR108" s="106">
        <f>'2022'!AV936</f>
      </c>
      <c r="AS108" s="119">
        <f>'2022'!AW936</f>
      </c>
      <c r="AT108" s="119">
        <f>'2022'!AX936</f>
        <v>0</v>
      </c>
      <c r="AU108" s="106">
        <f>'2022'!AY936</f>
        <v>0</v>
      </c>
      <c r="AV108" s="106">
        <f>'2022'!AZ936</f>
      </c>
      <c r="AW108" s="106"/>
      <c r="AX108" s="106">
        <f t="shared" si="0"/>
        <v>0</v>
      </c>
      <c r="AY108" s="119">
        <f>'2022'!BA936</f>
      </c>
      <c r="AZ108" s="119">
        <f>'2022'!BB936</f>
      </c>
      <c r="BA108" s="106">
        <f>'2022'!BC936</f>
        <v>0</v>
      </c>
      <c r="BB108" s="106">
        <f>'2022'!BD936</f>
      </c>
      <c r="BC108" s="106"/>
      <c r="BD108" s="106">
        <f t="shared" si="1"/>
        <v>0</v>
      </c>
      <c r="BE108" s="119">
        <f>'2022'!BE936</f>
        <v>422.891</v>
      </c>
      <c r="BF108" s="106">
        <f>'2022'!BF936</f>
        <v>1080.87186</v>
      </c>
      <c r="BG108" s="106">
        <f>'2022'!BG936</f>
        <v>177.3</v>
      </c>
      <c r="BH108" s="106">
        <f>'2022'!BH936</f>
        <v>903.57186</v>
      </c>
      <c r="BI108" s="106">
        <f t="shared" si="2"/>
        <v>0</v>
      </c>
      <c r="BJ108" s="338">
        <f t="shared" si="3"/>
        <v>903.57186</v>
      </c>
    </row>
    <row r="109" ht="15" customHeight="1" spans="1:62" x14ac:dyDescent="0.25">
      <c r="A109" s="14"/>
      <c r="B109" s="15">
        <v>102</v>
      </c>
      <c r="C109" s="115">
        <v>4.45</v>
      </c>
      <c r="D109" s="117" t="s">
        <v>331</v>
      </c>
      <c r="E109" s="119">
        <f>'2022'!I945</f>
        <v>4062</v>
      </c>
      <c r="F109" s="119">
        <f>'2022'!J945</f>
        <v>16</v>
      </c>
      <c r="G109" s="106">
        <f>'2022'!K945</f>
        <v>43.2</v>
      </c>
      <c r="H109" s="106">
        <f>'2022'!L945</f>
      </c>
      <c r="I109" s="119">
        <f>'2022'!M945</f>
        <v>4062</v>
      </c>
      <c r="J109" s="119">
        <f>'2022'!N945</f>
        <v>0</v>
      </c>
      <c r="K109" s="106">
        <f>'2022'!O945</f>
        <v>0</v>
      </c>
      <c r="L109" s="106">
        <f>'2022'!P945</f>
      </c>
      <c r="M109" s="119">
        <f>'2022'!Q945</f>
        <v>4062</v>
      </c>
      <c r="N109" s="119">
        <f>'2022'!R945</f>
        <v>0</v>
      </c>
      <c r="O109" s="106">
        <f>'2022'!S945</f>
        <v>0</v>
      </c>
      <c r="P109" s="106">
        <f>'2022'!T945</f>
      </c>
      <c r="Q109" s="119">
        <f>'2022'!U945</f>
        <v>4062</v>
      </c>
      <c r="R109" s="119">
        <f>'2022'!V945</f>
        <v>0</v>
      </c>
      <c r="S109" s="106">
        <f>'2022'!W945</f>
        <v>0</v>
      </c>
      <c r="T109" s="106">
        <f>'2022'!X945</f>
      </c>
      <c r="U109" s="119">
        <f>'2022'!Y945</f>
        <v>4425</v>
      </c>
      <c r="V109" s="119">
        <f>'2022'!Z945</f>
        <v>363</v>
      </c>
      <c r="W109" s="106">
        <f>'2022'!AA945</f>
        <v>980.1</v>
      </c>
      <c r="X109" s="106">
        <f>'2022'!AB945</f>
      </c>
      <c r="Y109" s="119">
        <f>'2022'!AC945</f>
        <v>4712</v>
      </c>
      <c r="Z109" s="119">
        <f>'2022'!AD945</f>
        <v>287</v>
      </c>
      <c r="AA109" s="106">
        <f>'2022'!AE945</f>
        <v>774.9</v>
      </c>
      <c r="AB109" s="106">
        <f>'2022'!AF945</f>
      </c>
      <c r="AC109" s="119">
        <f>'2022'!AG945</f>
        <v>5017</v>
      </c>
      <c r="AD109" s="106">
        <f>'2022'!AH945</f>
        <v>322.08</v>
      </c>
      <c r="AE109" s="106">
        <f>'2022'!AI945</f>
        <v>792.3168</v>
      </c>
      <c r="AF109" s="106">
        <f>'2022'!AJ945</f>
      </c>
      <c r="AG109" s="119">
        <f>'2022'!AK945</f>
        <v>5373</v>
      </c>
      <c r="AH109" s="119">
        <f>'2022'!AL945</f>
        <v>365.968</v>
      </c>
      <c r="AI109" s="106">
        <f>'2022'!AM945</f>
        <v>900.28128</v>
      </c>
      <c r="AJ109" s="106">
        <f>'2022'!AN945</f>
      </c>
      <c r="AK109" s="119">
        <f>'2022'!AO945</f>
        <v>5537</v>
      </c>
      <c r="AL109" s="119">
        <f>'2022'!AP945</f>
        <v>169.412</v>
      </c>
      <c r="AM109" s="106">
        <f>'2022'!AQ945</f>
        <v>416.75352</v>
      </c>
      <c r="AN109" s="106">
        <f>'2022'!AR945</f>
        <v>1215</v>
      </c>
      <c r="AO109" s="119">
        <f>'2022'!AS945</f>
        <v>5669</v>
      </c>
      <c r="AP109" s="119">
        <f>'2022'!AT945</f>
        <v>138.6</v>
      </c>
      <c r="AQ109" s="106">
        <f>'2022'!AU945</f>
        <v>340.956</v>
      </c>
      <c r="AR109" s="106">
        <f>'2022'!AV945</f>
      </c>
      <c r="AS109" s="126">
        <f>'2022'!AW945</f>
      </c>
      <c r="AT109" s="119">
        <f>'2022'!AX945</f>
        <v>0</v>
      </c>
      <c r="AU109" s="106">
        <f>'2022'!AY945</f>
        <v>0</v>
      </c>
      <c r="AV109" s="106">
        <f>'2022'!AZ945</f>
      </c>
      <c r="AW109" s="119"/>
      <c r="AX109" s="106">
        <f t="shared" si="0"/>
        <v>0</v>
      </c>
      <c r="AY109" s="119">
        <f>'2022'!BA945</f>
      </c>
      <c r="AZ109" s="119">
        <f>'2022'!BB945</f>
      </c>
      <c r="BA109" s="106">
        <f>'2022'!BC945</f>
        <v>0</v>
      </c>
      <c r="BB109" s="106">
        <f>'2022'!BD945</f>
      </c>
      <c r="BC109" s="106"/>
      <c r="BD109" s="106">
        <f t="shared" si="1"/>
        <v>0</v>
      </c>
      <c r="BE109" s="119">
        <f>'2022'!BE945</f>
        <v>1662.06</v>
      </c>
      <c r="BF109" s="106">
        <f>'2022'!BF945</f>
        <v>4248.5076</v>
      </c>
      <c r="BG109" s="106">
        <f>'2022'!BG945</f>
        <v>1215</v>
      </c>
      <c r="BH109" s="106">
        <f>'2022'!BH945</f>
        <v>962.4576</v>
      </c>
      <c r="BI109" s="106">
        <f t="shared" si="2"/>
        <v>0</v>
      </c>
      <c r="BJ109" s="338">
        <f t="shared" si="3"/>
        <v>962.4576</v>
      </c>
    </row>
    <row r="110" ht="15" customHeight="1" spans="1:62" x14ac:dyDescent="0.25">
      <c r="A110" s="14"/>
      <c r="B110" s="15">
        <v>104</v>
      </c>
      <c r="C110" s="115">
        <v>4.42</v>
      </c>
      <c r="D110" s="117" t="s">
        <v>333</v>
      </c>
      <c r="E110" s="119">
        <f>'2022'!I954</f>
        <v>1196</v>
      </c>
      <c r="F110" s="119">
        <f>'2022'!J954</f>
        <v>0</v>
      </c>
      <c r="G110" s="106">
        <f>'2022'!K954</f>
        <v>0</v>
      </c>
      <c r="H110" s="106">
        <f>'2022'!L954</f>
      </c>
      <c r="I110" s="119">
        <f>'2022'!M954</f>
        <v>1196</v>
      </c>
      <c r="J110" s="119">
        <f>'2022'!N954</f>
        <v>0</v>
      </c>
      <c r="K110" s="106">
        <f>'2022'!O954</f>
        <v>0</v>
      </c>
      <c r="L110" s="106">
        <f>'2022'!P954</f>
      </c>
      <c r="M110" s="119">
        <f>'2022'!Q954</f>
        <v>1196</v>
      </c>
      <c r="N110" s="119">
        <f>'2022'!R954</f>
        <v>0</v>
      </c>
      <c r="O110" s="106">
        <f>'2022'!S954</f>
        <v>0</v>
      </c>
      <c r="P110" s="106">
        <f>'2022'!T954</f>
      </c>
      <c r="Q110" s="119">
        <f>'2022'!U954</f>
        <v>1196</v>
      </c>
      <c r="R110" s="119">
        <f>'2022'!V954</f>
        <v>0</v>
      </c>
      <c r="S110" s="106">
        <f>'2022'!W954</f>
        <v>0</v>
      </c>
      <c r="T110" s="106">
        <f>'2022'!X954</f>
      </c>
      <c r="U110" s="119">
        <f>'2022'!Y954</f>
        <v>1217</v>
      </c>
      <c r="V110" s="119">
        <f>'2022'!Z954</f>
        <v>21</v>
      </c>
      <c r="W110" s="106">
        <f>'2022'!AA954</f>
        <v>56.7</v>
      </c>
      <c r="X110" s="106">
        <f>'2022'!AB954</f>
      </c>
      <c r="Y110" s="119">
        <f>'2022'!AC954</f>
        <v>1224</v>
      </c>
      <c r="Z110" s="119">
        <f>'2022'!AD954</f>
        <v>7</v>
      </c>
      <c r="AA110" s="106">
        <f>'2022'!AE954</f>
        <v>18.9</v>
      </c>
      <c r="AB110" s="106">
        <f>'2022'!AF954</f>
      </c>
      <c r="AC110" s="119">
        <f>'2022'!AG954</f>
        <v>1227</v>
      </c>
      <c r="AD110" s="106">
        <f>'2022'!AH954</f>
        <v>3.168</v>
      </c>
      <c r="AE110" s="106">
        <f>'2022'!AI954</f>
        <v>7.79328</v>
      </c>
      <c r="AF110" s="106">
        <f>'2022'!AJ954</f>
      </c>
      <c r="AG110" s="119">
        <f>'2022'!AK954</f>
        <v>1235</v>
      </c>
      <c r="AH110" s="119">
        <f>'2022'!AL954</f>
        <v>8.224</v>
      </c>
      <c r="AI110" s="106">
        <f>'2022'!AM954</f>
        <v>20.23104</v>
      </c>
      <c r="AJ110" s="106">
        <f>'2022'!AN954</f>
      </c>
      <c r="AK110" s="119">
        <f>'2022'!AO954</f>
        <v>1239</v>
      </c>
      <c r="AL110" s="119">
        <f>'2022'!AP954</f>
        <v>4.132</v>
      </c>
      <c r="AM110" s="106">
        <f>'2022'!AQ954</f>
        <v>10.16472</v>
      </c>
      <c r="AN110" s="106">
        <f>'2022'!AR954</f>
        <v>38.21</v>
      </c>
      <c r="AO110" s="119">
        <f>'2022'!AS954</f>
        <v>1249</v>
      </c>
      <c r="AP110" s="119">
        <f>'2022'!AT954</f>
        <v>10.5</v>
      </c>
      <c r="AQ110" s="106">
        <f>'2022'!AU954</f>
        <v>25.83</v>
      </c>
      <c r="AR110" s="106">
        <f>'2022'!AV954</f>
      </c>
      <c r="AS110" s="119">
        <f>'2022'!AW954</f>
      </c>
      <c r="AT110" s="119">
        <f>'2022'!AX954</f>
        <v>0</v>
      </c>
      <c r="AU110" s="106">
        <f>'2022'!AY954</f>
        <v>0</v>
      </c>
      <c r="AV110" s="106">
        <f>'2022'!AZ954</f>
      </c>
      <c r="AW110" s="106"/>
      <c r="AX110" s="106">
        <f t="shared" si="0"/>
        <v>0</v>
      </c>
      <c r="AY110" s="119">
        <f>'2022'!BA954</f>
      </c>
      <c r="AZ110" s="119">
        <f>'2022'!BB954</f>
      </c>
      <c r="BA110" s="106">
        <f>'2022'!BC954</f>
        <v>0</v>
      </c>
      <c r="BB110" s="106">
        <f>'2022'!BD954</f>
      </c>
      <c r="BC110" s="106"/>
      <c r="BD110" s="106">
        <f t="shared" si="1"/>
        <v>0</v>
      </c>
      <c r="BE110" s="119">
        <f>'2022'!BE954</f>
        <v>54.024</v>
      </c>
      <c r="BF110" s="106">
        <f>'2022'!BF954</f>
        <v>139.61904</v>
      </c>
      <c r="BG110" s="106">
        <f>'2022'!BG954</f>
        <v>38.21</v>
      </c>
      <c r="BH110" s="106">
        <f>'2022'!BH954</f>
        <v>20.00904</v>
      </c>
      <c r="BI110" s="106">
        <f t="shared" si="2"/>
        <v>0</v>
      </c>
      <c r="BJ110" s="338">
        <f t="shared" si="3"/>
        <v>20.00904</v>
      </c>
    </row>
    <row r="111" ht="15" customHeight="1" spans="1:62" x14ac:dyDescent="0.25">
      <c r="A111" s="14"/>
      <c r="B111" s="15">
        <v>106</v>
      </c>
      <c r="C111" s="115">
        <v>4.57</v>
      </c>
      <c r="D111" s="117" t="s">
        <v>336</v>
      </c>
      <c r="E111" s="119">
        <f>'2022'!I963</f>
      </c>
      <c r="F111" s="119">
        <f>'2022'!J963</f>
        <v>0</v>
      </c>
      <c r="G111" s="106">
        <f>'2022'!K963</f>
        <v>0</v>
      </c>
      <c r="H111" s="106">
        <f>'2022'!L963</f>
      </c>
      <c r="I111" s="119">
        <f>'2022'!M963</f>
      </c>
      <c r="J111" s="119">
        <f>'2022'!N963</f>
        <v>0</v>
      </c>
      <c r="K111" s="106">
        <f>'2022'!O963</f>
        <v>0</v>
      </c>
      <c r="L111" s="106">
        <f>'2022'!P963</f>
      </c>
      <c r="M111" s="119">
        <f>'2022'!Q963</f>
      </c>
      <c r="N111" s="119">
        <f>'2022'!R963</f>
        <v>0</v>
      </c>
      <c r="O111" s="106">
        <f>'2022'!S963</f>
        <v>0</v>
      </c>
      <c r="P111" s="106">
        <f>'2022'!T963</f>
      </c>
      <c r="Q111" s="119">
        <f>'2022'!U963</f>
      </c>
      <c r="R111" s="119">
        <f>'2022'!V963</f>
        <v>0</v>
      </c>
      <c r="S111" s="106">
        <f>'2022'!W963</f>
        <v>0</v>
      </c>
      <c r="T111" s="106">
        <f>'2022'!X963</f>
      </c>
      <c r="U111" s="119">
        <f>'2022'!Y963</f>
      </c>
      <c r="V111" s="119">
        <f>'2022'!Z963</f>
        <v>0</v>
      </c>
      <c r="W111" s="106">
        <f>'2022'!AA963</f>
        <v>0</v>
      </c>
      <c r="X111" s="106">
        <f>'2022'!AB963</f>
      </c>
      <c r="Y111" s="119">
        <f>'2022'!AC963</f>
      </c>
      <c r="Z111" s="119">
        <f>'2022'!AD963</f>
        <v>0</v>
      </c>
      <c r="AA111" s="106">
        <f>'2022'!AE963</f>
        <v>0</v>
      </c>
      <c r="AB111" s="106">
        <f>'2022'!AF963</f>
      </c>
      <c r="AC111" s="119">
        <f>'2022'!AG963</f>
      </c>
      <c r="AD111" s="106">
        <f>'2022'!AH963</f>
        <v>0</v>
      </c>
      <c r="AE111" s="106">
        <f>'2022'!AI963</f>
        <v>0</v>
      </c>
      <c r="AF111" s="106">
        <f>'2022'!AJ963</f>
      </c>
      <c r="AG111" s="119">
        <f>'2022'!AK963</f>
      </c>
      <c r="AH111" s="119">
        <f>'2022'!AL963</f>
        <v>0</v>
      </c>
      <c r="AI111" s="106">
        <f>'2022'!AM963</f>
        <v>0</v>
      </c>
      <c r="AJ111" s="106">
        <f>'2022'!AN963</f>
      </c>
      <c r="AK111" s="119">
        <f>'2022'!AO963</f>
      </c>
      <c r="AL111" s="119">
        <f>'2022'!AP963</f>
        <v>0</v>
      </c>
      <c r="AM111" s="106">
        <f>'2022'!AQ963</f>
        <v>0</v>
      </c>
      <c r="AN111" s="106">
        <f>'2022'!AR963</f>
      </c>
      <c r="AO111" s="119">
        <f>'2022'!AS963</f>
      </c>
      <c r="AP111" s="119">
        <f>'2022'!AT963</f>
        <v>0</v>
      </c>
      <c r="AQ111" s="106">
        <f>'2022'!AU963</f>
        <v>0</v>
      </c>
      <c r="AR111" s="106">
        <f>'2022'!AV963</f>
      </c>
      <c r="AS111" s="119">
        <f>'2022'!AW963</f>
      </c>
      <c r="AT111" s="119">
        <f>'2022'!AX963</f>
        <v>0</v>
      </c>
      <c r="AU111" s="106">
        <f>'2022'!AY963</f>
        <v>0</v>
      </c>
      <c r="AV111" s="106">
        <f>'2022'!AZ963</f>
      </c>
      <c r="AW111" s="106"/>
      <c r="AX111" s="106">
        <f t="shared" si="0"/>
        <v>0</v>
      </c>
      <c r="AY111" s="119">
        <f>'2022'!BA963</f>
      </c>
      <c r="AZ111" s="119">
        <f>'2022'!BB963</f>
      </c>
      <c r="BA111" s="106">
        <f>'2022'!BC963</f>
        <v>0</v>
      </c>
      <c r="BB111" s="106">
        <f>'2022'!BD963</f>
      </c>
      <c r="BC111" s="106"/>
      <c r="BD111" s="106">
        <f t="shared" si="1"/>
        <v>0</v>
      </c>
      <c r="BE111" s="119">
        <f>'2022'!BE963</f>
        <v>0</v>
      </c>
      <c r="BF111" s="106">
        <f>'2022'!BF963</f>
        <v>0</v>
      </c>
      <c r="BG111" s="106">
        <f>'2022'!BG963</f>
        <v>0</v>
      </c>
      <c r="BH111" s="106">
        <f>'2022'!BH963</f>
        <v>0</v>
      </c>
      <c r="BI111" s="106">
        <f t="shared" si="2"/>
        <v>0</v>
      </c>
      <c r="BJ111" s="338">
        <f t="shared" si="3"/>
        <v>0</v>
      </c>
    </row>
    <row r="112" ht="15" customHeight="1" spans="1:62" x14ac:dyDescent="0.25">
      <c r="A112" s="14"/>
      <c r="B112" s="15">
        <v>108</v>
      </c>
      <c r="C112" s="115">
        <v>4.32</v>
      </c>
      <c r="D112" s="117" t="s">
        <v>339</v>
      </c>
      <c r="E112" s="119">
        <f>'2022'!I972</f>
      </c>
      <c r="F112" s="119">
        <f>'2022'!J972</f>
        <v>0</v>
      </c>
      <c r="G112" s="106">
        <f>'2022'!K972</f>
        <v>0</v>
      </c>
      <c r="H112" s="106">
        <f>'2022'!L972</f>
      </c>
      <c r="I112" s="119">
        <f>'2022'!M972</f>
      </c>
      <c r="J112" s="119">
        <f>'2022'!N972</f>
        <v>0</v>
      </c>
      <c r="K112" s="106">
        <f>'2022'!O972</f>
        <v>0</v>
      </c>
      <c r="L112" s="106">
        <f>'2022'!P972</f>
      </c>
      <c r="M112" s="119">
        <f>'2022'!Q972</f>
      </c>
      <c r="N112" s="119">
        <f>'2022'!R972</f>
        <v>0</v>
      </c>
      <c r="O112" s="106">
        <f>'2022'!S972</f>
        <v>0</v>
      </c>
      <c r="P112" s="106">
        <f>'2022'!T972</f>
      </c>
      <c r="Q112" s="119">
        <f>'2022'!U972</f>
      </c>
      <c r="R112" s="119">
        <f>'2022'!V972</f>
        <v>0</v>
      </c>
      <c r="S112" s="106">
        <f>'2022'!W972</f>
        <v>0</v>
      </c>
      <c r="T112" s="106">
        <f>'2022'!X972</f>
      </c>
      <c r="U112" s="119">
        <f>'2022'!Y972</f>
      </c>
      <c r="V112" s="119">
        <f>'2022'!Z972</f>
        <v>0</v>
      </c>
      <c r="W112" s="106">
        <f>'2022'!AA972</f>
        <v>0</v>
      </c>
      <c r="X112" s="106">
        <f>'2022'!AB972</f>
      </c>
      <c r="Y112" s="119">
        <f>'2022'!AC972</f>
      </c>
      <c r="Z112" s="119">
        <f>'2022'!AD972</f>
        <v>0</v>
      </c>
      <c r="AA112" s="106">
        <f>'2022'!AE972</f>
        <v>0</v>
      </c>
      <c r="AB112" s="106">
        <f>'2022'!AF972</f>
      </c>
      <c r="AC112" s="119">
        <f>'2022'!AG972</f>
      </c>
      <c r="AD112" s="106">
        <f>'2022'!AH972</f>
        <v>0</v>
      </c>
      <c r="AE112" s="106">
        <f>'2022'!AI972</f>
        <v>0</v>
      </c>
      <c r="AF112" s="106">
        <f>'2022'!AJ972</f>
      </c>
      <c r="AG112" s="119">
        <f>'2022'!AK972</f>
      </c>
      <c r="AH112" s="119">
        <f>'2022'!AL972</f>
        <v>0</v>
      </c>
      <c r="AI112" s="106">
        <f>'2022'!AM972</f>
        <v>0</v>
      </c>
      <c r="AJ112" s="106">
        <f>'2022'!AN972</f>
      </c>
      <c r="AK112" s="119">
        <f>'2022'!AO972</f>
      </c>
      <c r="AL112" s="119">
        <f>'2022'!AP972</f>
        <v>0</v>
      </c>
      <c r="AM112" s="106">
        <f>'2022'!AQ972</f>
        <v>0</v>
      </c>
      <c r="AN112" s="106">
        <f>'2022'!AR972</f>
      </c>
      <c r="AO112" s="119">
        <f>'2022'!AS972</f>
      </c>
      <c r="AP112" s="119">
        <f>'2022'!AT972</f>
        <v>0</v>
      </c>
      <c r="AQ112" s="106">
        <f>'2022'!AU972</f>
        <v>0</v>
      </c>
      <c r="AR112" s="106">
        <f>'2022'!AV972</f>
      </c>
      <c r="AS112" s="119">
        <f>'2022'!AW972</f>
      </c>
      <c r="AT112" s="119">
        <f>'2022'!AX972</f>
        <v>0</v>
      </c>
      <c r="AU112" s="106">
        <f>'2022'!AY972</f>
        <v>0</v>
      </c>
      <c r="AV112" s="106">
        <f>'2022'!AZ972</f>
      </c>
      <c r="AW112" s="106"/>
      <c r="AX112" s="106">
        <f t="shared" si="0"/>
        <v>0</v>
      </c>
      <c r="AY112" s="119">
        <f>'2022'!BA972</f>
      </c>
      <c r="AZ112" s="119">
        <f>'2022'!BB972</f>
      </c>
      <c r="BA112" s="106">
        <f>'2022'!BC972</f>
        <v>0</v>
      </c>
      <c r="BB112" s="106">
        <f>'2022'!BD972</f>
      </c>
      <c r="BC112" s="106"/>
      <c r="BD112" s="106">
        <f t="shared" si="1"/>
        <v>0</v>
      </c>
      <c r="BE112" s="119">
        <f>'2022'!BE972</f>
        <v>0</v>
      </c>
      <c r="BF112" s="106">
        <f>'2022'!BF972</f>
        <v>0</v>
      </c>
      <c r="BG112" s="106">
        <f>'2022'!BG972</f>
        <v>0</v>
      </c>
      <c r="BH112" s="106">
        <f>'2022'!BH972</f>
        <v>0</v>
      </c>
      <c r="BI112" s="106">
        <f t="shared" si="2"/>
        <v>0</v>
      </c>
      <c r="BJ112" s="338">
        <f t="shared" si="3"/>
        <v>0</v>
      </c>
    </row>
    <row r="113" ht="15" customHeight="1" spans="1:62" x14ac:dyDescent="0.25">
      <c r="A113" s="14"/>
      <c r="B113" s="15">
        <v>109</v>
      </c>
      <c r="C113" s="115">
        <v>6.22</v>
      </c>
      <c r="D113" s="2" t="s">
        <v>455</v>
      </c>
      <c r="E113" s="119">
        <f>'2022'!I981</f>
        <v>46</v>
      </c>
      <c r="F113" s="119">
        <f>'2022'!J981</f>
        <v>0</v>
      </c>
      <c r="G113" s="106">
        <f>'2022'!K981</f>
        <v>0</v>
      </c>
      <c r="H113" s="106">
        <f>'2022'!L981</f>
      </c>
      <c r="I113" s="119">
        <f>'2022'!M981</f>
        <v>46</v>
      </c>
      <c r="J113" s="119">
        <f>'2022'!N981</f>
        <v>0</v>
      </c>
      <c r="K113" s="106">
        <f>'2022'!O981</f>
        <v>0</v>
      </c>
      <c r="L113" s="106">
        <f>'2022'!P981</f>
      </c>
      <c r="M113" s="119">
        <f>'2022'!Q981</f>
        <v>46</v>
      </c>
      <c r="N113" s="119">
        <f>'2022'!R981</f>
        <v>0</v>
      </c>
      <c r="O113" s="106">
        <f>'2022'!S981</f>
        <v>0</v>
      </c>
      <c r="P113" s="106">
        <f>'2022'!T981</f>
      </c>
      <c r="Q113" s="119">
        <f>'2022'!U981</f>
        <v>46</v>
      </c>
      <c r="R113" s="119">
        <f>'2022'!V981</f>
        <v>0</v>
      </c>
      <c r="S113" s="106">
        <f>'2022'!W981</f>
        <v>0</v>
      </c>
      <c r="T113" s="106">
        <f>'2022'!X981</f>
      </c>
      <c r="U113" s="119">
        <f>'2022'!Y981</f>
        <v>46</v>
      </c>
      <c r="V113" s="119">
        <f>'2022'!Z981</f>
        <v>0</v>
      </c>
      <c r="W113" s="106">
        <f>'2022'!AA981</f>
        <v>0</v>
      </c>
      <c r="X113" s="106">
        <f>'2022'!AB981</f>
        <v>11.66</v>
      </c>
      <c r="Y113" s="119">
        <f>'2022'!AC981</f>
        <v>49</v>
      </c>
      <c r="Z113" s="119">
        <f>'2022'!AD981</f>
        <v>3</v>
      </c>
      <c r="AA113" s="106">
        <f>'2022'!AE981</f>
        <v>8.1</v>
      </c>
      <c r="AB113" s="106">
        <f>'2022'!AF981</f>
      </c>
      <c r="AC113" s="119">
        <f>'2022'!AG981</f>
        <v>49</v>
      </c>
      <c r="AD113" s="106">
        <f>'2022'!AH981</f>
        <v>0</v>
      </c>
      <c r="AE113" s="106">
        <f>'2022'!AI981</f>
        <v>0</v>
      </c>
      <c r="AF113" s="106">
        <f>'2022'!AJ981</f>
      </c>
      <c r="AG113" s="119">
        <f>'2022'!AK981</f>
        <v>49</v>
      </c>
      <c r="AH113" s="119">
        <f>'2022'!AL981</f>
        <v>0</v>
      </c>
      <c r="AI113" s="106">
        <f>'2022'!AM981</f>
        <v>0</v>
      </c>
      <c r="AJ113" s="106">
        <f>'2022'!AN981</f>
      </c>
      <c r="AK113" s="119">
        <f>'2022'!AO981</f>
        <v>49</v>
      </c>
      <c r="AL113" s="119">
        <f>'2022'!AP981</f>
        <v>0</v>
      </c>
      <c r="AM113" s="106">
        <f>'2022'!AQ981</f>
        <v>0</v>
      </c>
      <c r="AN113" s="106">
        <f>'2022'!AR981</f>
      </c>
      <c r="AO113" s="119">
        <f>'2022'!AS981</f>
        <v>49</v>
      </c>
      <c r="AP113" s="119">
        <f>'2022'!AT981</f>
        <v>0</v>
      </c>
      <c r="AQ113" s="106">
        <f>'2022'!AU981</f>
        <v>0</v>
      </c>
      <c r="AR113" s="106">
        <f>'2022'!AV981</f>
      </c>
      <c r="AS113" s="119">
        <f>'2022'!AW981</f>
      </c>
      <c r="AT113" s="119">
        <f>'2022'!AX981</f>
        <v>0</v>
      </c>
      <c r="AU113" s="106">
        <f>'2022'!AY981</f>
        <v>0</v>
      </c>
      <c r="AV113" s="106">
        <f>'2022'!AZ981</f>
      </c>
      <c r="AW113" s="106"/>
      <c r="AX113" s="106">
        <f t="shared" si="0"/>
        <v>0</v>
      </c>
      <c r="AY113" s="119">
        <f>'2022'!BA981</f>
      </c>
      <c r="AZ113" s="119">
        <f>'2022'!BB981</f>
      </c>
      <c r="BA113" s="106">
        <f>'2022'!BC981</f>
        <v>0</v>
      </c>
      <c r="BB113" s="106">
        <f>'2022'!BD981</f>
      </c>
      <c r="BC113" s="106"/>
      <c r="BD113" s="106">
        <f t="shared" si="1"/>
        <v>0</v>
      </c>
      <c r="BE113" s="119">
        <f>'2022'!BE981</f>
        <v>3</v>
      </c>
      <c r="BF113" s="106">
        <f>'2022'!BF981</f>
        <v>8.1</v>
      </c>
      <c r="BG113" s="106">
        <f>'2022'!BG981</f>
        <v>11.66</v>
      </c>
      <c r="BH113" s="106">
        <f>'2022'!BH981</f>
        <v>7.14</v>
      </c>
      <c r="BI113" s="106">
        <f t="shared" si="2"/>
        <v>0</v>
      </c>
      <c r="BJ113" s="338">
        <f t="shared" si="3"/>
        <v>7.14</v>
      </c>
    </row>
    <row r="114" ht="15" customHeight="1" spans="1:62" x14ac:dyDescent="0.25">
      <c r="A114" s="14"/>
      <c r="B114" s="15">
        <v>110</v>
      </c>
      <c r="C114" s="115">
        <v>4.91</v>
      </c>
      <c r="D114" s="117" t="s">
        <v>342</v>
      </c>
      <c r="E114" s="119">
        <f>'2022'!I990</f>
        <v>154</v>
      </c>
      <c r="F114" s="119">
        <f>'2022'!J990</f>
        <v>0</v>
      </c>
      <c r="G114" s="106">
        <f>'2022'!K990</f>
        <v>0</v>
      </c>
      <c r="H114" s="106">
        <f>'2022'!L990</f>
      </c>
      <c r="I114" s="119">
        <f>'2022'!M990</f>
        <v>154</v>
      </c>
      <c r="J114" s="119">
        <f>'2022'!N990</f>
        <v>0</v>
      </c>
      <c r="K114" s="106">
        <f>'2022'!O990</f>
        <v>0</v>
      </c>
      <c r="L114" s="106">
        <f>'2022'!P990</f>
      </c>
      <c r="M114" s="119">
        <f>'2022'!Q990</f>
        <v>159</v>
      </c>
      <c r="N114" s="119">
        <f>'2022'!R990</f>
        <v>5</v>
      </c>
      <c r="O114" s="106">
        <f>'2022'!S990</f>
        <v>13.5</v>
      </c>
      <c r="P114" s="106">
        <f>'2022'!T990</f>
        <v>109.1</v>
      </c>
      <c r="Q114" s="119">
        <f>'2022'!U990</f>
        <v>297</v>
      </c>
      <c r="R114" s="119">
        <f>'2022'!V990</f>
        <v>138</v>
      </c>
      <c r="S114" s="106">
        <f>'2022'!W990</f>
        <v>372.6</v>
      </c>
      <c r="T114" s="106">
        <f>'2022'!X990</f>
        <v>409</v>
      </c>
      <c r="U114" s="119">
        <f>'2022'!Y990</f>
        <v>595</v>
      </c>
      <c r="V114" s="119">
        <f>'2022'!Z990</f>
        <v>298</v>
      </c>
      <c r="W114" s="106">
        <f>'2022'!AA990</f>
        <v>804.6</v>
      </c>
      <c r="X114" s="106">
        <f>'2022'!AB990</f>
        <v>805</v>
      </c>
      <c r="Y114" s="119">
        <f>'2022'!AC990</f>
        <v>709</v>
      </c>
      <c r="Z114" s="119">
        <f>'2022'!AD990</f>
        <v>114</v>
      </c>
      <c r="AA114" s="106">
        <f>'2022'!AE990</f>
        <v>307.8</v>
      </c>
      <c r="AB114" s="106">
        <f>'2022'!AF990</f>
      </c>
      <c r="AC114" s="119">
        <f>'2022'!AG990</f>
        <v>836</v>
      </c>
      <c r="AD114" s="106">
        <f>'2022'!AH990</f>
        <v>134.112</v>
      </c>
      <c r="AE114" s="106">
        <f>'2022'!AI990</f>
        <v>329.91552</v>
      </c>
      <c r="AF114" s="106">
        <f>'2022'!AJ990</f>
        <v>308</v>
      </c>
      <c r="AG114" s="119">
        <f>'2022'!AK990</f>
        <v>994</v>
      </c>
      <c r="AH114" s="119">
        <f>'2022'!AL990</f>
        <v>162.424</v>
      </c>
      <c r="AI114" s="106">
        <f>'2022'!AM990</f>
        <v>399.56304</v>
      </c>
      <c r="AJ114" s="106">
        <f>'2022'!AN990</f>
        <v>310</v>
      </c>
      <c r="AK114" s="119">
        <f>'2022'!AO990</f>
        <v>1168</v>
      </c>
      <c r="AL114" s="119">
        <f>'2022'!AP990</f>
        <v>179.742</v>
      </c>
      <c r="AM114" s="106">
        <f>'2022'!AQ990</f>
        <v>442.16532</v>
      </c>
      <c r="AN114" s="106">
        <f>'2022'!AR990</f>
        <v>396</v>
      </c>
      <c r="AO114" s="119">
        <f>'2022'!AS990</f>
        <v>1350</v>
      </c>
      <c r="AP114" s="119">
        <f>'2022'!AT990</f>
        <v>191.1</v>
      </c>
      <c r="AQ114" s="106">
        <f>'2022'!AU990</f>
        <v>470.106</v>
      </c>
      <c r="AR114" s="106">
        <f>'2022'!AV990</f>
        <v>450</v>
      </c>
      <c r="AS114" s="119">
        <f>'2022'!AW990</f>
      </c>
      <c r="AT114" s="119">
        <f>'2022'!AX990</f>
        <v>0</v>
      </c>
      <c r="AU114" s="106">
        <f>'2022'!AY990</f>
        <v>0</v>
      </c>
      <c r="AV114" s="106">
        <f>'2022'!AZ990</f>
      </c>
      <c r="AW114" s="119"/>
      <c r="AX114" s="106">
        <f t="shared" si="0"/>
        <v>0</v>
      </c>
      <c r="AY114" s="119">
        <f>'2022'!BA990</f>
      </c>
      <c r="AZ114" s="119">
        <f>'2022'!BB990</f>
      </c>
      <c r="BA114" s="106">
        <f>'2022'!BC990</f>
        <v>0</v>
      </c>
      <c r="BB114" s="106">
        <f>'2022'!BD990</f>
      </c>
      <c r="BC114" s="106"/>
      <c r="BD114" s="106">
        <f t="shared" si="1"/>
        <v>0</v>
      </c>
      <c r="BE114" s="119">
        <f>'2022'!BE990</f>
        <v>1222.378</v>
      </c>
      <c r="BF114" s="106">
        <f>'2022'!BF990</f>
        <v>3140.24988</v>
      </c>
      <c r="BG114" s="106">
        <f>'2022'!BG990</f>
        <v>2787.1</v>
      </c>
      <c r="BH114" s="106">
        <f>'2022'!BH990</f>
        <v>462.24988</v>
      </c>
      <c r="BI114" s="106">
        <f t="shared" si="2"/>
        <v>0</v>
      </c>
      <c r="BJ114" s="338">
        <f t="shared" si="3"/>
        <v>462.24988</v>
      </c>
    </row>
    <row r="115" ht="15" customHeight="1" spans="1:62" x14ac:dyDescent="0.25">
      <c r="A115" s="14"/>
      <c r="B115" s="15">
        <v>111</v>
      </c>
      <c r="C115" s="116">
        <v>6.8</v>
      </c>
      <c r="D115" s="117" t="s">
        <v>280</v>
      </c>
      <c r="E115" s="119">
        <f>'2022'!I999</f>
        <v>15801</v>
      </c>
      <c r="F115" s="119">
        <f>'2022'!J999</f>
        <v>2916</v>
      </c>
      <c r="G115" s="106">
        <f>'2022'!K999</f>
        <v>7873.2</v>
      </c>
      <c r="H115" s="106">
        <f>'2022'!L999</f>
      </c>
      <c r="I115" s="119">
        <f>'2022'!M999</f>
        <v>19544</v>
      </c>
      <c r="J115" s="119">
        <f>'2022'!N999</f>
        <v>3743</v>
      </c>
      <c r="K115" s="106">
        <f>'2022'!O999</f>
        <v>10106.1</v>
      </c>
      <c r="L115" s="106">
        <f>'2022'!P999</f>
        <v>18000</v>
      </c>
      <c r="M115" s="119">
        <f>'2022'!Q999</f>
        <v>22644</v>
      </c>
      <c r="N115" s="119">
        <f>'2022'!R999</f>
        <v>3100</v>
      </c>
      <c r="O115" s="106">
        <f>'2022'!S999</f>
        <v>8370</v>
      </c>
      <c r="P115" s="106">
        <f>'2022'!T999</f>
        <v>10000</v>
      </c>
      <c r="Q115" s="119">
        <f>'2022'!U999</f>
        <v>24888</v>
      </c>
      <c r="R115" s="119">
        <f>'2022'!V999</f>
        <v>2244</v>
      </c>
      <c r="S115" s="106">
        <f>'2022'!W999</f>
        <v>6058.8</v>
      </c>
      <c r="T115" s="106">
        <f>'2022'!X999</f>
      </c>
      <c r="U115" s="119">
        <f>'2022'!Y999</f>
        <v>25812</v>
      </c>
      <c r="V115" s="119">
        <f>'2022'!Z999</f>
        <v>924</v>
      </c>
      <c r="W115" s="106">
        <f>'2022'!AA999</f>
        <v>2494.8</v>
      </c>
      <c r="X115" s="106">
        <f>'2022'!AB999</f>
        <v>7000</v>
      </c>
      <c r="Y115" s="119">
        <f>'2022'!AC999</f>
        <v>26538</v>
      </c>
      <c r="Z115" s="119">
        <f>'2022'!AD999</f>
        <v>726</v>
      </c>
      <c r="AA115" s="106">
        <f>'2022'!AE999</f>
        <v>1960.2</v>
      </c>
      <c r="AB115" s="106">
        <f>'2022'!AF999</f>
      </c>
      <c r="AC115" s="119">
        <f>'2022'!AG999</f>
        <v>26995</v>
      </c>
      <c r="AD115" s="106">
        <f>'2022'!AH999</f>
        <v>482.592</v>
      </c>
      <c r="AE115" s="106">
        <f>'2022'!AI999</f>
        <v>1187.17632</v>
      </c>
      <c r="AF115" s="106">
        <f>'2022'!AJ999</f>
      </c>
      <c r="AG115" s="119">
        <f>'2022'!AK999</f>
        <v>27692</v>
      </c>
      <c r="AH115" s="119">
        <f>'2022'!AL999</f>
        <v>716.516</v>
      </c>
      <c r="AI115" s="106">
        <f>'2022'!AM999</f>
        <v>1762.62936</v>
      </c>
      <c r="AJ115" s="106">
        <f>'2022'!AN999</f>
        <v>7911.4</v>
      </c>
      <c r="AK115" s="119">
        <f>'2022'!AO999</f>
        <v>28507</v>
      </c>
      <c r="AL115" s="119">
        <f>'2022'!AP999</f>
        <v>841.895</v>
      </c>
      <c r="AM115" s="106">
        <f>'2022'!AQ999</f>
        <v>2071.0617</v>
      </c>
      <c r="AN115" s="106">
        <f>'2022'!AR999</f>
      </c>
      <c r="AO115" s="119">
        <f>'2022'!AS999</f>
        <v>30713</v>
      </c>
      <c r="AP115" s="119">
        <f>'2022'!AT999</f>
        <v>2316.3</v>
      </c>
      <c r="AQ115" s="106">
        <f>'2022'!AU999</f>
        <v>5698.098</v>
      </c>
      <c r="AR115" s="106">
        <f>'2022'!AV999</f>
      </c>
      <c r="AS115" s="119">
        <f>'2022'!AW999</f>
      </c>
      <c r="AT115" s="119">
        <f>'2022'!AX999</f>
        <v>0</v>
      </c>
      <c r="AU115" s="106">
        <f>'2022'!AY999</f>
        <v>0</v>
      </c>
      <c r="AV115" s="106">
        <f>'2022'!AZ999</f>
      </c>
      <c r="AW115" s="106"/>
      <c r="AX115" s="106">
        <f t="shared" si="0"/>
        <v>0</v>
      </c>
      <c r="AY115" s="119">
        <f>'2022'!BA999</f>
      </c>
      <c r="AZ115" s="119">
        <f>'2022'!BB999</f>
      </c>
      <c r="BA115" s="106">
        <f>'2022'!BC999</f>
        <v>0</v>
      </c>
      <c r="BB115" s="106">
        <f>'2022'!BD999</f>
      </c>
      <c r="BC115" s="106"/>
      <c r="BD115" s="106">
        <f t="shared" si="1"/>
        <v>0</v>
      </c>
      <c r="BE115" s="119">
        <f>'2022'!BE999</f>
        <v>18010.303</v>
      </c>
      <c r="BF115" s="106">
        <f>'2022'!BF999</f>
        <v>47582.06538</v>
      </c>
      <c r="BG115" s="106">
        <f>'2022'!BG999</f>
        <v>42911.4</v>
      </c>
      <c r="BH115" s="106">
        <f>'2022'!BH999</f>
        <v>4657.26538</v>
      </c>
      <c r="BI115" s="106">
        <f t="shared" si="2"/>
        <v>0</v>
      </c>
      <c r="BJ115" s="338">
        <f t="shared" si="3"/>
        <v>4657.26538</v>
      </c>
    </row>
    <row r="116" ht="15" customHeight="1" spans="1:62" x14ac:dyDescent="0.25">
      <c r="A116" s="14"/>
      <c r="B116" s="15">
        <v>112</v>
      </c>
      <c r="C116" s="115">
        <v>4.94</v>
      </c>
      <c r="D116" s="117" t="s">
        <v>347</v>
      </c>
      <c r="E116" s="119">
        <f>'2022'!I1008</f>
        <v>186</v>
      </c>
      <c r="F116" s="119">
        <f>'2022'!J1008</f>
        <v>0</v>
      </c>
      <c r="G116" s="106">
        <f>'2022'!K1008</f>
        <v>0</v>
      </c>
      <c r="H116" s="106">
        <f>'2022'!L1008</f>
      </c>
      <c r="I116" s="119">
        <f>'2022'!M1008</f>
        <v>186</v>
      </c>
      <c r="J116" s="119">
        <f>'2022'!N1008</f>
        <v>0</v>
      </c>
      <c r="K116" s="106">
        <f>'2022'!O1008</f>
        <v>0</v>
      </c>
      <c r="L116" s="106">
        <f>'2022'!P1008</f>
      </c>
      <c r="M116" s="119">
        <f>'2022'!Q1008</f>
        <v>186</v>
      </c>
      <c r="N116" s="119">
        <f>'2022'!R1008</f>
        <v>0</v>
      </c>
      <c r="O116" s="106">
        <f>'2022'!S1008</f>
        <v>0</v>
      </c>
      <c r="P116" s="106">
        <f>'2022'!T1008</f>
      </c>
      <c r="Q116" s="119">
        <f>'2022'!U1008</f>
        <v>186</v>
      </c>
      <c r="R116" s="119">
        <f>'2022'!V1008</f>
        <v>0</v>
      </c>
      <c r="S116" s="106">
        <f>'2022'!W1008</f>
        <v>0</v>
      </c>
      <c r="T116" s="106">
        <f>'2022'!X1008</f>
      </c>
      <c r="U116" s="119">
        <f>'2022'!Y1008</f>
        <v>189</v>
      </c>
      <c r="V116" s="119">
        <f>'2022'!Z1008</f>
        <v>3</v>
      </c>
      <c r="W116" s="106">
        <f>'2022'!AA1008</f>
        <v>8.1</v>
      </c>
      <c r="X116" s="106">
        <f>'2022'!AB1008</f>
      </c>
      <c r="Y116" s="119">
        <f>'2022'!AC1008</f>
        <v>189</v>
      </c>
      <c r="Z116" s="119">
        <f>'2022'!AD1008</f>
        <v>0</v>
      </c>
      <c r="AA116" s="106">
        <f>'2022'!AE1008</f>
        <v>0</v>
      </c>
      <c r="AB116" s="106">
        <f>'2022'!AF1008</f>
      </c>
      <c r="AC116" s="119">
        <f>'2022'!AG1008</f>
        <v>191</v>
      </c>
      <c r="AD116" s="106">
        <f>'2022'!AH1008</f>
        <v>2.112</v>
      </c>
      <c r="AE116" s="106">
        <f>'2022'!AI1008</f>
        <v>5.19552</v>
      </c>
      <c r="AF116" s="106">
        <f>'2022'!AJ1008</f>
      </c>
      <c r="AG116" s="119">
        <f>'2022'!AK1008</f>
        <v>193</v>
      </c>
      <c r="AH116" s="119">
        <f>'2022'!AL1008</f>
        <v>2.056</v>
      </c>
      <c r="AI116" s="106">
        <f>'2022'!AM1008</f>
        <v>5.05776</v>
      </c>
      <c r="AJ116" s="106">
        <f>'2022'!AN1008</f>
      </c>
      <c r="AK116" s="119">
        <f>'2022'!AO1008</f>
        <v>194</v>
      </c>
      <c r="AL116" s="119">
        <f>'2022'!AP1008</f>
        <v>1.033</v>
      </c>
      <c r="AM116" s="106">
        <f>'2022'!AQ1008</f>
        <v>2.54118</v>
      </c>
      <c r="AN116" s="106">
        <f>'2022'!AR1008</f>
        <v>49.76</v>
      </c>
      <c r="AO116" s="119">
        <f>'2022'!AS1008</f>
        <v>195</v>
      </c>
      <c r="AP116" s="119">
        <f>'2022'!AT1008</f>
        <v>1.05</v>
      </c>
      <c r="AQ116" s="106">
        <f>'2022'!AU1008</f>
        <v>2.583</v>
      </c>
      <c r="AR116" s="106">
        <f>'2022'!AV1008</f>
      </c>
      <c r="AS116" s="119">
        <f>'2022'!AW1008</f>
      </c>
      <c r="AT116" s="119">
        <f>'2022'!AX1008</f>
        <v>0</v>
      </c>
      <c r="AU116" s="106">
        <f>'2022'!AY1008</f>
        <v>0</v>
      </c>
      <c r="AV116" s="106">
        <f>'2022'!AZ1008</f>
      </c>
      <c r="AW116" s="106"/>
      <c r="AX116" s="106">
        <f t="shared" si="0"/>
        <v>0</v>
      </c>
      <c r="AY116" s="119">
        <f>'2022'!BA1008</f>
      </c>
      <c r="AZ116" s="119">
        <f>'2022'!BB1008</f>
      </c>
      <c r="BA116" s="106">
        <f>'2022'!BC1008</f>
        <v>0</v>
      </c>
      <c r="BB116" s="106">
        <f>'2022'!BD1008</f>
      </c>
      <c r="BC116" s="106"/>
      <c r="BD116" s="106">
        <f t="shared" si="1"/>
        <v>0</v>
      </c>
      <c r="BE116" s="119">
        <f>'2022'!BE1008</f>
        <v>9.251</v>
      </c>
      <c r="BF116" s="106">
        <f>'2022'!BF1008</f>
        <v>23.47746</v>
      </c>
      <c r="BG116" s="106">
        <f>'2022'!BG1008</f>
        <v>49.76</v>
      </c>
      <c r="BH116" s="106">
        <f>'2022'!BH1008</f>
        <v>5.12746</v>
      </c>
      <c r="BI116" s="106">
        <f t="shared" si="2"/>
        <v>0</v>
      </c>
      <c r="BJ116" s="338">
        <f t="shared" si="3"/>
        <v>5.12746</v>
      </c>
    </row>
    <row r="117" ht="15" customHeight="1" spans="1:62" x14ac:dyDescent="0.25">
      <c r="A117" s="14"/>
      <c r="B117" s="15">
        <v>113</v>
      </c>
      <c r="C117" s="115">
        <v>4.98</v>
      </c>
      <c r="D117" s="117" t="s">
        <v>348</v>
      </c>
      <c r="E117" s="119">
        <f>'2022'!I1017</f>
        <v>2</v>
      </c>
      <c r="F117" s="119">
        <f>'2022'!J1017</f>
        <v>0</v>
      </c>
      <c r="G117" s="106">
        <f>'2022'!K1017</f>
        <v>0</v>
      </c>
      <c r="H117" s="106">
        <f>'2022'!L1017</f>
      </c>
      <c r="I117" s="119">
        <f>'2022'!M1017</f>
        <v>2</v>
      </c>
      <c r="J117" s="119">
        <f>'2022'!N1017</f>
        <v>0</v>
      </c>
      <c r="K117" s="106">
        <f>'2022'!O1017</f>
        <v>0</v>
      </c>
      <c r="L117" s="106">
        <f>'2022'!P1017</f>
      </c>
      <c r="M117" s="119">
        <f>'2022'!Q1017</f>
        <v>2</v>
      </c>
      <c r="N117" s="119">
        <f>'2022'!R1017</f>
        <v>0</v>
      </c>
      <c r="O117" s="106">
        <f>'2022'!S1017</f>
        <v>0</v>
      </c>
      <c r="P117" s="106">
        <f>'2022'!T1017</f>
      </c>
      <c r="Q117" s="119">
        <f>'2022'!U1017</f>
        <v>2</v>
      </c>
      <c r="R117" s="119">
        <f>'2022'!V1017</f>
        <v>0</v>
      </c>
      <c r="S117" s="106">
        <f>'2022'!W1017</f>
        <v>0</v>
      </c>
      <c r="T117" s="106">
        <f>'2022'!X1017</f>
      </c>
      <c r="U117" s="119">
        <f>'2022'!Y1017</f>
        <v>2</v>
      </c>
      <c r="V117" s="119">
        <f>'2022'!Z1017</f>
        <v>0</v>
      </c>
      <c r="W117" s="106">
        <f>'2022'!AA1017</f>
        <v>0</v>
      </c>
      <c r="X117" s="106">
        <f>'2022'!AB1017</f>
      </c>
      <c r="Y117" s="119">
        <f>'2022'!AC1017</f>
        <v>2</v>
      </c>
      <c r="Z117" s="119">
        <f>'2022'!AD1017</f>
        <v>0</v>
      </c>
      <c r="AA117" s="106">
        <f>'2022'!AE1017</f>
        <v>0</v>
      </c>
      <c r="AB117" s="106">
        <f>'2022'!AF1017</f>
      </c>
      <c r="AC117" s="119">
        <f>'2022'!AG1017</f>
        <v>2</v>
      </c>
      <c r="AD117" s="106">
        <f>'2022'!AH1017</f>
        <v>0</v>
      </c>
      <c r="AE117" s="106">
        <f>'2022'!AI1017</f>
        <v>0</v>
      </c>
      <c r="AF117" s="106">
        <f>'2022'!AJ1017</f>
      </c>
      <c r="AG117" s="119">
        <f>'2022'!AK1017</f>
        <v>2</v>
      </c>
      <c r="AH117" s="119">
        <f>'2022'!AL1017</f>
        <v>0</v>
      </c>
      <c r="AI117" s="106">
        <f>'2022'!AM1017</f>
        <v>0</v>
      </c>
      <c r="AJ117" s="106">
        <f>'2022'!AN1017</f>
      </c>
      <c r="AK117" s="119">
        <f>'2022'!AO1017</f>
        <v>2</v>
      </c>
      <c r="AL117" s="119">
        <f>'2022'!AP1017</f>
        <v>0</v>
      </c>
      <c r="AM117" s="106">
        <f>'2022'!AQ1017</f>
        <v>0</v>
      </c>
      <c r="AN117" s="106">
        <f>'2022'!AR1017</f>
      </c>
      <c r="AO117" s="119">
        <f>'2022'!AS1017</f>
        <v>2</v>
      </c>
      <c r="AP117" s="119">
        <f>'2022'!AT1017</f>
        <v>0</v>
      </c>
      <c r="AQ117" s="106">
        <f>'2022'!AU1017</f>
        <v>0</v>
      </c>
      <c r="AR117" s="106">
        <f>'2022'!AV1017</f>
      </c>
      <c r="AS117" s="119">
        <f>'2022'!AW1017</f>
      </c>
      <c r="AT117" s="119">
        <f>'2022'!AX1017</f>
        <v>0</v>
      </c>
      <c r="AU117" s="106">
        <f>'2022'!AY1017</f>
        <v>0</v>
      </c>
      <c r="AV117" s="106">
        <f>'2022'!AZ1017</f>
      </c>
      <c r="AW117" s="106"/>
      <c r="AX117" s="106">
        <f t="shared" si="0"/>
        <v>0</v>
      </c>
      <c r="AY117" s="119">
        <f>'2022'!BA1017</f>
      </c>
      <c r="AZ117" s="119">
        <f>'2022'!BB1017</f>
      </c>
      <c r="BA117" s="106">
        <f>'2022'!BC1017</f>
        <v>0</v>
      </c>
      <c r="BB117" s="106">
        <f>'2022'!BD1017</f>
      </c>
      <c r="BC117" s="106"/>
      <c r="BD117" s="106">
        <f t="shared" si="1"/>
        <v>0</v>
      </c>
      <c r="BE117" s="119">
        <f>'2022'!BE1017</f>
        <v>0</v>
      </c>
      <c r="BF117" s="106">
        <f>'2022'!BF1017</f>
        <v>0</v>
      </c>
      <c r="BG117" s="106">
        <f>'2022'!BG1017</f>
        <v>0</v>
      </c>
      <c r="BH117" s="106">
        <f>'2022'!BH1017</f>
        <v>5.4</v>
      </c>
      <c r="BI117" s="106">
        <f t="shared" si="2"/>
        <v>0</v>
      </c>
      <c r="BJ117" s="338">
        <f t="shared" si="3"/>
        <v>5.4</v>
      </c>
    </row>
    <row r="118" ht="15" customHeight="1" spans="1:62" x14ac:dyDescent="0.25">
      <c r="A118" s="14"/>
      <c r="B118" s="15">
        <v>114</v>
      </c>
      <c r="C118" s="115">
        <v>4.86</v>
      </c>
      <c r="D118" s="117" t="s">
        <v>245</v>
      </c>
      <c r="E118" s="119">
        <f>'2022'!I1026</f>
        <v>902</v>
      </c>
      <c r="F118" s="119">
        <f>'2022'!J1026</f>
        <v>0</v>
      </c>
      <c r="G118" s="106">
        <f>'2022'!K1026</f>
        <v>0</v>
      </c>
      <c r="H118" s="106">
        <f>'2022'!L1026</f>
      </c>
      <c r="I118" s="119">
        <f>'2022'!M1026</f>
        <v>902</v>
      </c>
      <c r="J118" s="119">
        <f>'2022'!N1026</f>
        <v>0</v>
      </c>
      <c r="K118" s="106">
        <f>'2022'!O1026</f>
        <v>0</v>
      </c>
      <c r="L118" s="106">
        <f>'2022'!P1026</f>
      </c>
      <c r="M118" s="119">
        <f>'2022'!Q1026</f>
        <v>902</v>
      </c>
      <c r="N118" s="119">
        <f>'2022'!R1026</f>
        <v>0</v>
      </c>
      <c r="O118" s="106">
        <f>'2022'!S1026</f>
        <v>0</v>
      </c>
      <c r="P118" s="106">
        <f>'2022'!T1026</f>
      </c>
      <c r="Q118" s="119">
        <f>'2022'!U1026</f>
        <v>902</v>
      </c>
      <c r="R118" s="119">
        <f>'2022'!V1026</f>
        <v>0</v>
      </c>
      <c r="S118" s="106">
        <f>'2022'!W1026</f>
        <v>0</v>
      </c>
      <c r="T118" s="106">
        <f>'2022'!X1026</f>
      </c>
      <c r="U118" s="119">
        <f>'2022'!Y1026</f>
        <v>1114</v>
      </c>
      <c r="V118" s="119">
        <f>'2022'!Z1026</f>
        <v>212</v>
      </c>
      <c r="W118" s="106">
        <f>'2022'!AA1026</f>
        <v>572.4</v>
      </c>
      <c r="X118" s="106">
        <f>'2022'!AB1026</f>
        <v>1000</v>
      </c>
      <c r="Y118" s="119">
        <f>'2022'!AC1026</f>
        <v>1182</v>
      </c>
      <c r="Z118" s="119">
        <f>'2022'!AD1026</f>
        <v>68</v>
      </c>
      <c r="AA118" s="106">
        <f>'2022'!AE1026</f>
        <v>183.6</v>
      </c>
      <c r="AB118" s="106">
        <f>'2022'!AF1026</f>
      </c>
      <c r="AC118" s="119">
        <f>'2022'!AG1026</f>
        <v>1255</v>
      </c>
      <c r="AD118" s="106">
        <f>'2022'!AH1026</f>
        <v>77.088</v>
      </c>
      <c r="AE118" s="106">
        <f>'2022'!AI1026</f>
        <v>189.63648</v>
      </c>
      <c r="AF118" s="106">
        <f>'2022'!AJ1026</f>
      </c>
      <c r="AG118" s="119">
        <f>'2022'!AK1026</f>
        <v>1330</v>
      </c>
      <c r="AH118" s="119">
        <f>'2022'!AL1026</f>
        <v>77.1</v>
      </c>
      <c r="AI118" s="106">
        <f>'2022'!AM1026</f>
        <v>189.666</v>
      </c>
      <c r="AJ118" s="106">
        <f>'2022'!AN1026</f>
      </c>
      <c r="AK118" s="119">
        <f>'2022'!AO1026</f>
        <v>1425</v>
      </c>
      <c r="AL118" s="119">
        <f>'2022'!AP1026</f>
        <v>98.135</v>
      </c>
      <c r="AM118" s="106">
        <f>'2022'!AQ1026</f>
        <v>241.4121</v>
      </c>
      <c r="AN118" s="106">
        <f>'2022'!AR1026</f>
        <v>200</v>
      </c>
      <c r="AO118" s="119">
        <f>'2022'!AS1026</f>
        <v>1494</v>
      </c>
      <c r="AP118" s="119">
        <f>'2022'!AT1026</f>
        <v>72.45</v>
      </c>
      <c r="AQ118" s="106">
        <f>'2022'!AU1026</f>
        <v>178.227</v>
      </c>
      <c r="AR118" s="106">
        <f>'2022'!AV1026</f>
      </c>
      <c r="AS118" s="119">
        <f>'2022'!AW1026</f>
      </c>
      <c r="AT118" s="119">
        <f>'2022'!AX1026</f>
        <v>0</v>
      </c>
      <c r="AU118" s="106">
        <f>'2022'!AY1026</f>
        <v>0</v>
      </c>
      <c r="AV118" s="106">
        <f>'2022'!AZ1026</f>
      </c>
      <c r="AW118" s="106"/>
      <c r="AX118" s="106">
        <f t="shared" si="0"/>
        <v>0</v>
      </c>
      <c r="AY118" s="119">
        <f>'2022'!BA1026</f>
      </c>
      <c r="AZ118" s="119">
        <f>'2022'!BB1026</f>
      </c>
      <c r="BA118" s="106">
        <f>'2022'!BC1026</f>
        <v>0</v>
      </c>
      <c r="BB118" s="106">
        <f>'2022'!BD1026</f>
      </c>
      <c r="BC118" s="106"/>
      <c r="BD118" s="106">
        <f t="shared" si="1"/>
        <v>0</v>
      </c>
      <c r="BE118" s="119">
        <f>'2022'!BE1026</f>
        <v>604.773</v>
      </c>
      <c r="BF118" s="106">
        <f>'2022'!BF1026</f>
        <v>1554.94158</v>
      </c>
      <c r="BG118" s="106">
        <f>'2022'!BG1026</f>
        <v>1200</v>
      </c>
      <c r="BH118" s="106">
        <f>'2022'!BH1026</f>
        <v>170.84158</v>
      </c>
      <c r="BI118" s="106">
        <f t="shared" si="2"/>
        <v>0</v>
      </c>
      <c r="BJ118" s="338">
        <f t="shared" si="3"/>
        <v>170.84158</v>
      </c>
    </row>
    <row r="119" ht="15" customHeight="1" spans="1:62" x14ac:dyDescent="0.25">
      <c r="A119" s="117"/>
      <c r="B119" s="15" t="s">
        <v>350</v>
      </c>
      <c r="C119" s="116">
        <f>SUM(C5:C118)</f>
        <v>505.74</v>
      </c>
      <c r="D119" s="117"/>
      <c r="E119" s="119">
        <f t="shared" ref="E119:BI119" si="4">SUM(E5:E118)</f>
        <v>415331</v>
      </c>
      <c r="F119" s="119">
        <f t="shared" si="4"/>
        <v>21863</v>
      </c>
      <c r="G119" s="106">
        <f t="shared" si="4"/>
        <v>59030.1</v>
      </c>
      <c r="H119" s="106">
        <f t="shared" si="4"/>
        <v>23038.51</v>
      </c>
      <c r="I119" s="119">
        <f t="shared" si="4"/>
        <v>407488</v>
      </c>
      <c r="J119" s="119">
        <f t="shared" si="4"/>
        <v>19359</v>
      </c>
      <c r="K119" s="106">
        <f t="shared" si="4"/>
        <v>52269.3</v>
      </c>
      <c r="L119" s="106">
        <f t="shared" si="4"/>
        <v>41513.9</v>
      </c>
      <c r="M119" s="119">
        <f t="shared" si="4"/>
        <v>424882</v>
      </c>
      <c r="N119" s="119">
        <f t="shared" si="4"/>
        <v>17394</v>
      </c>
      <c r="O119" s="106">
        <f t="shared" si="4"/>
        <v>46963.8</v>
      </c>
      <c r="P119" s="106">
        <f t="shared" si="4"/>
        <v>86081.8</v>
      </c>
      <c r="Q119" s="119">
        <f t="shared" si="4"/>
        <v>439641</v>
      </c>
      <c r="R119" s="119">
        <f t="shared" si="4"/>
        <v>14759</v>
      </c>
      <c r="S119" s="106">
        <f t="shared" si="4"/>
        <v>39849.3</v>
      </c>
      <c r="T119" s="106">
        <f t="shared" si="4"/>
        <v>24503.6</v>
      </c>
      <c r="U119" s="119">
        <f t="shared" si="4"/>
        <v>450675</v>
      </c>
      <c r="V119" s="119">
        <f t="shared" si="4"/>
        <v>11034</v>
      </c>
      <c r="W119" s="106">
        <f t="shared" si="4"/>
        <v>29791.8</v>
      </c>
      <c r="X119" s="106">
        <f t="shared" si="4"/>
        <v>53039.06</v>
      </c>
      <c r="Y119" s="119">
        <f t="shared" si="4"/>
        <v>461893</v>
      </c>
      <c r="Z119" s="119">
        <f t="shared" si="4"/>
        <v>11368</v>
      </c>
      <c r="AA119" s="106">
        <f t="shared" si="4"/>
        <v>30693.6</v>
      </c>
      <c r="AB119" s="106">
        <f t="shared" si="4"/>
        <v>22535.63</v>
      </c>
      <c r="AC119" s="119">
        <f t="shared" si="4"/>
        <v>470926</v>
      </c>
      <c r="AD119" s="106">
        <f t="shared" si="4"/>
        <v>9718.848</v>
      </c>
      <c r="AE119" s="106">
        <f t="shared" si="4"/>
        <v>23908.36608</v>
      </c>
      <c r="AF119" s="106">
        <f t="shared" si="4"/>
        <v>33384.54</v>
      </c>
      <c r="AG119" s="119">
        <f t="shared" si="4"/>
        <v>477773</v>
      </c>
      <c r="AH119" s="119">
        <f t="shared" si="4"/>
        <v>11161.184</v>
      </c>
      <c r="AI119" s="106">
        <f t="shared" si="4"/>
        <v>27456.51264</v>
      </c>
      <c r="AJ119" s="106">
        <f t="shared" si="4"/>
        <v>40502</v>
      </c>
      <c r="AK119" s="119">
        <f t="shared" si="4"/>
        <v>489703</v>
      </c>
      <c r="AL119" s="119">
        <f t="shared" si="4"/>
        <v>12323.69</v>
      </c>
      <c r="AM119" s="106">
        <f t="shared" si="4"/>
        <v>30617.25228</v>
      </c>
      <c r="AN119" s="106">
        <f t="shared" si="4"/>
        <v>37051.66</v>
      </c>
      <c r="AO119" s="119">
        <f t="shared" si="4"/>
        <v>507107</v>
      </c>
      <c r="AP119" s="119">
        <f t="shared" si="4"/>
        <v>18275.25</v>
      </c>
      <c r="AQ119" s="106">
        <f t="shared" si="4"/>
        <v>44957.115</v>
      </c>
      <c r="AR119" s="106">
        <f t="shared" si="4"/>
        <v>16257.74</v>
      </c>
      <c r="AS119" s="119">
        <f t="shared" si="4"/>
        <v>0</v>
      </c>
      <c r="AT119" s="119">
        <f t="shared" si="4"/>
        <v>0</v>
      </c>
      <c r="AU119" s="106">
        <f t="shared" si="4"/>
        <v>0</v>
      </c>
      <c r="AV119" s="106">
        <f t="shared" si="4"/>
        <v>0</v>
      </c>
      <c r="AW119" s="119">
        <f t="shared" si="4"/>
        <v>0</v>
      </c>
      <c r="AX119" s="106">
        <f t="shared" si="4"/>
        <v>0</v>
      </c>
      <c r="AY119" s="119">
        <f t="shared" si="4"/>
        <v>0</v>
      </c>
      <c r="AZ119" s="119">
        <f t="shared" si="4"/>
        <v>0</v>
      </c>
      <c r="BA119" s="106">
        <f t="shared" si="4"/>
        <v>0</v>
      </c>
      <c r="BB119" s="106">
        <f t="shared" si="4"/>
        <v>0</v>
      </c>
      <c r="BC119" s="119">
        <f t="shared" si="4"/>
        <v>0</v>
      </c>
      <c r="BD119" s="106">
        <f t="shared" si="4"/>
        <v>0</v>
      </c>
      <c r="BE119" s="119">
        <f t="shared" si="4"/>
        <v>147255.972</v>
      </c>
      <c r="BF119" s="106">
        <f t="shared" si="4"/>
        <v>385537.146</v>
      </c>
      <c r="BG119" s="106">
        <f t="shared" si="4"/>
        <v>377908.44</v>
      </c>
      <c r="BH119" s="106">
        <f t="shared" si="4"/>
        <v>47269.497</v>
      </c>
      <c r="BI119" s="106">
        <f t="shared" si="4"/>
        <v>0</v>
      </c>
      <c r="BJ119" s="106">
        <f>BH119+AX119</f>
        <v>47269.497</v>
      </c>
    </row>
    <row r="120" ht="15.75" customHeight="1" spans="1:3" x14ac:dyDescent="0.25" outlineLevel="1" collapsed="1">
      <c r="A120" s="15"/>
      <c r="B120" s="15"/>
      <c r="C120" s="112"/>
    </row>
    <row r="121" ht="15.75" customHeight="1" spans="1:61" x14ac:dyDescent="0.25" outlineLevel="1" collapsed="1">
      <c r="A121" s="15"/>
      <c r="B121" s="15"/>
      <c r="C121" s="112"/>
      <c r="E121" s="120" t="b">
        <f>E119='2022'!I1037</f>
        <v>1</v>
      </c>
      <c r="F121" s="120" t="b">
        <f>F119='2022'!J1037</f>
        <v>1</v>
      </c>
      <c r="G121" s="120" t="b">
        <f>G119='2022'!K1037</f>
        <v>1</v>
      </c>
      <c r="H121" s="120" t="b">
        <f>H119='2022'!L1037</f>
        <v>1</v>
      </c>
      <c r="I121" s="120" t="b">
        <f>I119='2022'!M1037</f>
        <v>1</v>
      </c>
      <c r="J121" s="120" t="b">
        <f>J119='2022'!N1037</f>
        <v>1</v>
      </c>
      <c r="K121" s="120" t="b">
        <f>K119='2022'!O1037</f>
        <v>1</v>
      </c>
      <c r="L121" s="120" t="b">
        <f>L119='2022'!P1037</f>
        <v>1</v>
      </c>
      <c r="M121" s="120" t="b">
        <f>M119='2022'!Q1037</f>
        <v>1</v>
      </c>
      <c r="N121" s="120" t="b">
        <f>N119='2022'!R1037</f>
        <v>1</v>
      </c>
      <c r="O121" s="120" t="b">
        <f>O119='2022'!S1037</f>
        <v>1</v>
      </c>
      <c r="P121" s="120" t="b">
        <f>P119='2022'!T1037</f>
        <v>1</v>
      </c>
      <c r="Q121" s="120" t="b">
        <f>Q119='2022'!U1037</f>
        <v>1</v>
      </c>
      <c r="R121" s="120" t="b">
        <f>R119='2022'!V1037</f>
        <v>1</v>
      </c>
      <c r="S121" s="120" t="b">
        <f>S119='2022'!W1037</f>
        <v>1</v>
      </c>
      <c r="T121" s="120" t="b">
        <f>T119='2022'!X1037</f>
        <v>1</v>
      </c>
      <c r="U121" s="120" t="b">
        <f>U119='2022'!Y1037</f>
        <v>1</v>
      </c>
      <c r="V121" s="120" t="b">
        <f>V119='2022'!Z1037</f>
        <v>1</v>
      </c>
      <c r="W121" s="120" t="b">
        <f>W119='2022'!AA1037</f>
        <v>1</v>
      </c>
      <c r="X121" s="120" t="b">
        <f>X119='2022'!AB1037</f>
        <v>1</v>
      </c>
      <c r="Y121" s="120" t="b">
        <f>Y119='2022'!AC1037</f>
        <v>1</v>
      </c>
      <c r="Z121" s="120" t="b">
        <f>Z119='2022'!AD1037</f>
        <v>1</v>
      </c>
      <c r="AA121" s="120" t="b">
        <f>AA119='2022'!AE1037</f>
        <v>1</v>
      </c>
      <c r="AB121" s="120" t="b">
        <f>AB119='2022'!AF1037</f>
        <v>1</v>
      </c>
      <c r="AC121" s="120" t="b">
        <f>AC119='2022'!AG1037</f>
        <v>1</v>
      </c>
      <c r="AD121" s="120" t="b">
        <f>AD119='2022'!AH1037</f>
        <v>1</v>
      </c>
      <c r="AE121" s="120" t="b">
        <f>AE119='2022'!AI1037</f>
        <v>1</v>
      </c>
      <c r="AF121" s="120" t="b">
        <f>AF119='2022'!AJ1037</f>
        <v>1</v>
      </c>
      <c r="AG121" s="120" t="b">
        <f>AG119='2022'!AK1037</f>
        <v>1</v>
      </c>
      <c r="AH121" s="120" t="b">
        <f>AH119='2022'!AL1037</f>
        <v>1</v>
      </c>
      <c r="AI121" s="120" t="b">
        <f>AI119='2022'!AM1037</f>
        <v>1</v>
      </c>
      <c r="AJ121" s="120" t="b">
        <f>AJ119='2022'!AN1037</f>
        <v>1</v>
      </c>
      <c r="AK121" s="120" t="b">
        <f>AK119='2022'!AO1037</f>
        <v>1</v>
      </c>
      <c r="AL121" s="120" t="b">
        <f>AL119='2022'!AP1037</f>
        <v>1</v>
      </c>
      <c r="AM121" s="120" t="b">
        <f>AM119='2022'!AQ1037</f>
        <v>1</v>
      </c>
      <c r="AN121" s="120" t="b">
        <f>AN119='2022'!AR1037</f>
        <v>1</v>
      </c>
      <c r="AO121" s="120" t="b">
        <f>AO119='2022'!AS1037</f>
        <v>1</v>
      </c>
      <c r="AP121" s="120" t="b">
        <f>AP119='2022'!AT1037</f>
        <v>1</v>
      </c>
      <c r="AQ121" s="120" t="b">
        <f>AQ119='2022'!AU1037</f>
        <v>1</v>
      </c>
      <c r="AR121" s="120" t="b">
        <f>AR119='2022'!AV1037</f>
        <v>1</v>
      </c>
      <c r="AS121" s="120" t="b">
        <f>AS119='2022'!AW1037</f>
        <v>1</v>
      </c>
      <c r="AT121" s="120" t="b">
        <f>AT119='2022'!AX1037</f>
        <v>1</v>
      </c>
      <c r="AU121" s="120" t="b">
        <f>AU119='2022'!AY1037</f>
        <v>1</v>
      </c>
      <c r="AV121" s="120" t="b">
        <f>AV119='2022'!AZ1037</f>
        <v>1</v>
      </c>
      <c r="AW121" s="120"/>
      <c r="AX121" s="120"/>
      <c r="AY121" s="120" t="b">
        <f>AY119='2022'!BA1037</f>
        <v>1</v>
      </c>
      <c r="AZ121" s="120" t="b">
        <f>AZ119='2022'!BB1037</f>
        <v>1</v>
      </c>
      <c r="BA121" s="120" t="b">
        <f>BA119='2022'!BC1037</f>
        <v>1</v>
      </c>
      <c r="BB121" s="120" t="b">
        <f>BB119='2022'!BD1037</f>
        <v>1</v>
      </c>
      <c r="BC121" s="120"/>
      <c r="BD121" s="120"/>
      <c r="BE121" s="120" t="b">
        <f>BE119='2022'!BE1037</f>
        <v>1</v>
      </c>
      <c r="BF121" s="120" t="b">
        <f>BF119='2022'!BF1037</f>
        <v>1</v>
      </c>
      <c r="BG121" s="120" t="b">
        <f>BG119='2022'!BG1037</f>
        <v>1</v>
      </c>
      <c r="BH121" s="120" t="b">
        <f>BH119='2022'!BH1037</f>
        <v>1</v>
      </c>
      <c r="BI121" s="120"/>
    </row>
    <row r="122" ht="15.75" customHeight="1" spans="1:61" x14ac:dyDescent="0.25" outlineLevel="1" collapsed="1">
      <c r="A122" s="15"/>
      <c r="B122" s="15"/>
      <c r="C122" s="112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  <c r="BC122" s="120"/>
      <c r="BD122" s="120"/>
      <c r="BE122" s="120" t="b">
        <f t="shared" ref="BE122:BG122" si="5">BE119=F119+J119+N119+R119+V119+Z119+AD119+AH119+AL119+AP119+AT119+AZ119</f>
        <v>1</v>
      </c>
      <c r="BF122" s="120" t="b">
        <f t="shared" si="5"/>
        <v>1</v>
      </c>
      <c r="BG122" s="120" t="b">
        <f t="shared" si="5"/>
        <v>1</v>
      </c>
      <c r="BH122" s="120"/>
      <c r="BI122" s="120"/>
    </row>
    <row r="123" ht="18" customHeight="1" spans="1:62" x14ac:dyDescent="0.25">
      <c r="A123" s="15"/>
      <c r="B123" s="15" t="s">
        <v>481</v>
      </c>
      <c r="C123" s="112"/>
      <c r="E123" s="168">
        <f t="shared" ref="E123:AN123" si="6">E5+E6+E9+E17+E26+E32+E38+E43+E44+E46+E47+E54+E55+E57+E58+E60+E61+E63+E64+E74+E90+E98+E99+E109+E115+E118</f>
        <v>356309</v>
      </c>
      <c r="F123" s="168">
        <f t="shared" si="6"/>
        <v>20821</v>
      </c>
      <c r="G123" s="136">
        <f t="shared" si="6"/>
        <v>56216.7</v>
      </c>
      <c r="H123" s="136">
        <f t="shared" si="6"/>
        <v>23038.51</v>
      </c>
      <c r="I123" s="168">
        <f t="shared" si="6"/>
        <v>347976</v>
      </c>
      <c r="J123" s="168">
        <f t="shared" si="6"/>
        <v>18869</v>
      </c>
      <c r="K123" s="136">
        <f t="shared" si="6"/>
        <v>50946.3</v>
      </c>
      <c r="L123" s="136">
        <f t="shared" si="6"/>
        <v>41513.9</v>
      </c>
      <c r="M123" s="168">
        <f t="shared" si="6"/>
        <v>365021</v>
      </c>
      <c r="N123" s="168">
        <f t="shared" si="6"/>
        <v>17045</v>
      </c>
      <c r="O123" s="136">
        <f t="shared" si="6"/>
        <v>46021.5</v>
      </c>
      <c r="P123" s="136">
        <f t="shared" si="6"/>
        <v>85448.9</v>
      </c>
      <c r="Q123" s="168">
        <f t="shared" si="6"/>
        <v>378955</v>
      </c>
      <c r="R123" s="168">
        <f t="shared" si="6"/>
        <v>13934</v>
      </c>
      <c r="S123" s="136">
        <f t="shared" si="6"/>
        <v>37621.8</v>
      </c>
      <c r="T123" s="136">
        <f t="shared" si="6"/>
        <v>24094.6</v>
      </c>
      <c r="U123" s="168">
        <f t="shared" si="6"/>
        <v>387549</v>
      </c>
      <c r="V123" s="168">
        <f t="shared" si="6"/>
        <v>8594</v>
      </c>
      <c r="W123" s="136">
        <f t="shared" si="6"/>
        <v>23203.8</v>
      </c>
      <c r="X123" s="136">
        <f t="shared" si="6"/>
        <v>39811.62</v>
      </c>
      <c r="Y123" s="168">
        <f t="shared" si="6"/>
        <v>395856</v>
      </c>
      <c r="Z123" s="168">
        <f t="shared" si="6"/>
        <v>8307</v>
      </c>
      <c r="AA123" s="136">
        <f t="shared" si="6"/>
        <v>22428.9</v>
      </c>
      <c r="AB123" s="136">
        <f t="shared" si="6"/>
        <v>16803.86</v>
      </c>
      <c r="AC123" s="168">
        <f t="shared" si="6"/>
        <v>402587</v>
      </c>
      <c r="AD123" s="168">
        <f t="shared" si="6"/>
        <v>7107.936</v>
      </c>
      <c r="AE123" s="136">
        <f t="shared" si="6"/>
        <v>17485.52256</v>
      </c>
      <c r="AF123" s="136">
        <f t="shared" si="6"/>
        <v>25679.12</v>
      </c>
      <c r="AG123" s="168">
        <f t="shared" si="6"/>
        <v>410665</v>
      </c>
      <c r="AH123" s="168">
        <f t="shared" si="6"/>
        <v>8304.184</v>
      </c>
      <c r="AI123" s="136">
        <f t="shared" si="6"/>
        <v>20428.29264</v>
      </c>
      <c r="AJ123" s="136">
        <f t="shared" si="6"/>
        <v>26868.21</v>
      </c>
      <c r="AK123" s="168">
        <f t="shared" si="6"/>
        <v>419370</v>
      </c>
      <c r="AL123" s="168">
        <f t="shared" si="6"/>
        <v>8992.265</v>
      </c>
      <c r="AM123" s="136">
        <f t="shared" si="6"/>
        <v>22421.94678</v>
      </c>
      <c r="AN123" s="136">
        <f t="shared" si="6"/>
        <v>22636.66</v>
      </c>
      <c r="AO123" s="168">
        <f>AO5+AO6+AO17+AO26+AO32+AO43+AO44+AO46+AO47+AO54+AO55+AO57+AO58+AO60+AO61+AO63+AO64+AO74+AO76+AO90+AO98+AO99+AO109+AO115+BL98</f>
        <v>432720</v>
      </c>
      <c r="AP123" s="168">
        <f>AP5+AP6+AP17+AP26+AP32+AP43+AP44+AP46+AP47+AP54+AP55+AP57+AP58+AP60+AP61+AP63+AP64+AP74+AP76+AP90+AP98++AP109+AP115</f>
        <v>14259</v>
      </c>
      <c r="AQ123" s="136">
        <f t="shared" ref="AQ123:AR123" si="7">AQ5+AQ6+AQ17+AQ26+AQ32+AQ43+AQ44+AQ46+AQ47+AQ54+AQ55+AQ57+AQ58+AQ60+AQ61+AQ63+AQ64+AQ74+AQ90+AQ98+AQ99+AQ109+AQ115+AQ76</f>
        <v>38416.959</v>
      </c>
      <c r="AR123" s="136">
        <f t="shared" si="7"/>
        <v>13224.73</v>
      </c>
      <c r="AS123" s="168">
        <f t="shared" ref="AS123:AU123" si="8">AS5+AS6+AS17+AS26+AS32+AS43+AS44+AS46+AS47+AS54+AS55+AS57+AS58+AS60+AS61+AS63+AS64+AS74+AS76+AS90+AS98+AS99+AS109+AS115</f>
        <v>0</v>
      </c>
      <c r="AT123" s="168">
        <f t="shared" si="8"/>
        <v>0</v>
      </c>
      <c r="AU123" s="136">
        <f t="shared" si="8"/>
        <v>0</v>
      </c>
      <c r="AV123" s="136">
        <f t="shared" ref="AV123:BG123" si="9">AV5+AV6+AV9+AV17+AV26+AV32+AV38+AV43+AV44+AV46+AV47+AV54+AV55+AV57+AV58+AV60+AV61+AV63+AV64+AV74+AV90+AV98+AV99+AV109+AV115+AV118</f>
        <v>0</v>
      </c>
      <c r="AW123" s="168">
        <f t="shared" si="9"/>
        <v>0</v>
      </c>
      <c r="AX123" s="136">
        <f t="shared" si="9"/>
        <v>0</v>
      </c>
      <c r="AY123" s="168">
        <f t="shared" si="9"/>
        <v>0</v>
      </c>
      <c r="AZ123" s="168">
        <f t="shared" si="9"/>
        <v>0</v>
      </c>
      <c r="BA123" s="136">
        <f t="shared" si="9"/>
        <v>0</v>
      </c>
      <c r="BB123" s="136">
        <f t="shared" si="9"/>
        <v>0</v>
      </c>
      <c r="BC123" s="168">
        <f t="shared" si="9"/>
        <v>0</v>
      </c>
      <c r="BD123" s="136">
        <f t="shared" si="9"/>
        <v>0</v>
      </c>
      <c r="BE123" s="168">
        <f t="shared" si="9"/>
        <v>127375.785</v>
      </c>
      <c r="BF123" s="136">
        <f t="shared" si="9"/>
        <v>334662.206</v>
      </c>
      <c r="BG123" s="136">
        <f t="shared" si="9"/>
        <v>319120.11</v>
      </c>
      <c r="BH123" s="136">
        <f>BH5+BH6+BH17+BH26+BH32+BH43+BH44+BH46+BH47+BH54+BH55+BH57+BH58+BH60+BH61+BH63+BH64+BH74+BH90+BH98+BH99+BH109+BH115+BH76</f>
        <v>36787.56418</v>
      </c>
      <c r="BI123" s="136">
        <f t="shared" ref="BI123:BJ123" si="10">BI5+BI6+BI9+BI17+BI26+BI32+BI38+BI43+BI44+BI46+BI47+BI54+BI55+BI57+BI58+BI60+BI61+BI63+BI64+BI74+BI90+BI98+BI99+BI109+BI115+BI118</f>
        <v>0</v>
      </c>
      <c r="BJ123" s="136">
        <f t="shared" si="10"/>
        <v>32348.18598</v>
      </c>
    </row>
    <row r="124" ht="15.75" customHeight="1" spans="1:3" x14ac:dyDescent="0.25">
      <c r="A124" s="15"/>
      <c r="B124" s="15"/>
      <c r="C124" s="112"/>
    </row>
    <row r="125" ht="15.75" customHeight="1" spans="1:3" x14ac:dyDescent="0.25">
      <c r="A125" s="15"/>
      <c r="B125" s="15"/>
      <c r="C125" s="112"/>
    </row>
    <row r="126" ht="15.75" customHeight="1" spans="1:3" x14ac:dyDescent="0.25">
      <c r="A126" s="15"/>
      <c r="B126" s="15"/>
      <c r="C126" s="112"/>
    </row>
    <row r="127" ht="15.75" customHeight="1" spans="1:3" x14ac:dyDescent="0.25">
      <c r="A127" s="15"/>
      <c r="B127" s="15"/>
      <c r="C127" s="112"/>
    </row>
    <row r="128" ht="15.75" customHeight="1" spans="1:3" x14ac:dyDescent="0.25">
      <c r="A128" s="15"/>
      <c r="B128" s="15"/>
      <c r="C128" s="112"/>
    </row>
    <row r="129" ht="15.75" customHeight="1" spans="1:3" x14ac:dyDescent="0.25">
      <c r="A129" s="15"/>
      <c r="B129" s="15"/>
      <c r="C129" s="112"/>
    </row>
    <row r="130" ht="15.75" customHeight="1" spans="1:3" x14ac:dyDescent="0.25">
      <c r="A130" s="15"/>
      <c r="B130" s="15"/>
      <c r="C130" s="112"/>
    </row>
    <row r="131" ht="15.75" customHeight="1" spans="1:3" x14ac:dyDescent="0.25">
      <c r="A131" s="15"/>
      <c r="B131" s="15"/>
      <c r="C131" s="112"/>
    </row>
    <row r="132" ht="15.75" customHeight="1" spans="1:3" x14ac:dyDescent="0.25">
      <c r="A132" s="15"/>
      <c r="B132" s="15"/>
      <c r="C132" s="112"/>
    </row>
    <row r="133" ht="15.75" customHeight="1" spans="1:3" x14ac:dyDescent="0.25">
      <c r="A133" s="15"/>
      <c r="B133" s="15"/>
      <c r="C133" s="112"/>
    </row>
    <row r="134" ht="15.75" customHeight="1" spans="1:3" x14ac:dyDescent="0.25">
      <c r="A134" s="15"/>
      <c r="B134" s="15"/>
      <c r="C134" s="112"/>
    </row>
    <row r="135" ht="15.75" customHeight="1" spans="1:3" x14ac:dyDescent="0.25">
      <c r="A135" s="15"/>
      <c r="B135" s="15"/>
      <c r="C135" s="112"/>
    </row>
    <row r="136" ht="15.75" customHeight="1" spans="1:3" x14ac:dyDescent="0.25">
      <c r="A136" s="15"/>
      <c r="B136" s="15"/>
      <c r="C136" s="112"/>
    </row>
    <row r="137" ht="15.75" customHeight="1" spans="1:3" x14ac:dyDescent="0.25">
      <c r="A137" s="15"/>
      <c r="B137" s="15"/>
      <c r="C137" s="112"/>
    </row>
    <row r="138" ht="15.75" customHeight="1" spans="1:3" x14ac:dyDescent="0.25">
      <c r="A138" s="15"/>
      <c r="B138" s="15"/>
      <c r="C138" s="112"/>
    </row>
    <row r="139" ht="15.75" customHeight="1" spans="1:3" x14ac:dyDescent="0.25">
      <c r="A139" s="15"/>
      <c r="B139" s="15"/>
      <c r="C139" s="112"/>
    </row>
    <row r="140" ht="15.75" customHeight="1" spans="1:3" x14ac:dyDescent="0.25">
      <c r="A140" s="15"/>
      <c r="B140" s="15"/>
      <c r="C140" s="112"/>
    </row>
    <row r="141" ht="15.75" customHeight="1" spans="1:3" x14ac:dyDescent="0.25">
      <c r="A141" s="15"/>
      <c r="B141" s="15"/>
      <c r="C141" s="112"/>
    </row>
    <row r="142" ht="15.75" customHeight="1" spans="1:3" x14ac:dyDescent="0.25">
      <c r="A142" s="15"/>
      <c r="B142" s="15"/>
      <c r="C142" s="112"/>
    </row>
    <row r="143" ht="15.75" customHeight="1" spans="1:3" x14ac:dyDescent="0.25">
      <c r="A143" s="15"/>
      <c r="B143" s="15"/>
      <c r="C143" s="112"/>
    </row>
    <row r="144" ht="15.75" customHeight="1" spans="1:3" x14ac:dyDescent="0.25">
      <c r="A144" s="15"/>
      <c r="B144" s="15"/>
      <c r="C144" s="112"/>
    </row>
    <row r="145" ht="15.75" customHeight="1" spans="1:3" x14ac:dyDescent="0.25">
      <c r="A145" s="15"/>
      <c r="B145" s="15"/>
      <c r="C145" s="112"/>
    </row>
    <row r="146" ht="15.75" customHeight="1" spans="1:3" x14ac:dyDescent="0.25">
      <c r="A146" s="15"/>
      <c r="B146" s="15"/>
      <c r="C146" s="112"/>
    </row>
    <row r="147" ht="15.75" customHeight="1" spans="1:3" x14ac:dyDescent="0.25">
      <c r="A147" s="15"/>
      <c r="B147" s="15"/>
      <c r="C147" s="112"/>
    </row>
    <row r="148" ht="15.75" customHeight="1" spans="1:3" x14ac:dyDescent="0.25">
      <c r="A148" s="15"/>
      <c r="B148" s="15"/>
      <c r="C148" s="112"/>
    </row>
    <row r="149" ht="15.75" customHeight="1" spans="1:3" x14ac:dyDescent="0.25">
      <c r="A149" s="15"/>
      <c r="B149" s="15"/>
      <c r="C149" s="112"/>
    </row>
    <row r="150" ht="15.75" customHeight="1" spans="1:3" x14ac:dyDescent="0.25">
      <c r="A150" s="15"/>
      <c r="B150" s="15"/>
      <c r="C150" s="112"/>
    </row>
    <row r="151" ht="15.75" customHeight="1" spans="1:3" x14ac:dyDescent="0.25">
      <c r="A151" s="15"/>
      <c r="B151" s="15"/>
      <c r="C151" s="112"/>
    </row>
    <row r="152" ht="15.75" customHeight="1" spans="1:3" x14ac:dyDescent="0.25">
      <c r="A152" s="15"/>
      <c r="B152" s="15"/>
      <c r="C152" s="112"/>
    </row>
    <row r="153" ht="15.75" customHeight="1" spans="1:3" x14ac:dyDescent="0.25">
      <c r="A153" s="15"/>
      <c r="B153" s="15"/>
      <c r="C153" s="112"/>
    </row>
    <row r="154" ht="15.75" customHeight="1" spans="1:3" x14ac:dyDescent="0.25">
      <c r="A154" s="15"/>
      <c r="B154" s="15"/>
      <c r="C154" s="112"/>
    </row>
    <row r="155" ht="15.75" customHeight="1" spans="1:3" x14ac:dyDescent="0.25">
      <c r="A155" s="15"/>
      <c r="B155" s="15"/>
      <c r="C155" s="112"/>
    </row>
    <row r="156" ht="15.75" customHeight="1" spans="1:3" x14ac:dyDescent="0.25">
      <c r="A156" s="15"/>
      <c r="B156" s="15"/>
      <c r="C156" s="112"/>
    </row>
    <row r="157" ht="15.75" customHeight="1" spans="1:3" x14ac:dyDescent="0.25">
      <c r="A157" s="15"/>
      <c r="B157" s="15"/>
      <c r="C157" s="112"/>
    </row>
    <row r="158" ht="15.75" customHeight="1" spans="1:3" x14ac:dyDescent="0.25">
      <c r="A158" s="15"/>
      <c r="B158" s="15"/>
      <c r="C158" s="112"/>
    </row>
    <row r="159" ht="15.75" customHeight="1" spans="1:3" x14ac:dyDescent="0.25">
      <c r="A159" s="15"/>
      <c r="B159" s="15"/>
      <c r="C159" s="112"/>
    </row>
    <row r="160" ht="15.75" customHeight="1" spans="1:3" x14ac:dyDescent="0.25">
      <c r="A160" s="15"/>
      <c r="B160" s="15"/>
      <c r="C160" s="112"/>
    </row>
    <row r="161" ht="15.75" customHeight="1" spans="1:3" x14ac:dyDescent="0.25">
      <c r="A161" s="15"/>
      <c r="B161" s="15"/>
      <c r="C161" s="112"/>
    </row>
    <row r="162" ht="15.75" customHeight="1" spans="1:3" x14ac:dyDescent="0.25">
      <c r="A162" s="15"/>
      <c r="B162" s="15"/>
      <c r="C162" s="112"/>
    </row>
    <row r="163" ht="15.75" customHeight="1" spans="1:3" x14ac:dyDescent="0.25">
      <c r="A163" s="15"/>
      <c r="B163" s="15"/>
      <c r="C163" s="112"/>
    </row>
    <row r="164" ht="15.75" customHeight="1" spans="1:3" x14ac:dyDescent="0.25">
      <c r="A164" s="15"/>
      <c r="B164" s="15"/>
      <c r="C164" s="112"/>
    </row>
    <row r="165" ht="15.75" customHeight="1" spans="1:3" x14ac:dyDescent="0.25">
      <c r="A165" s="15"/>
      <c r="B165" s="15"/>
      <c r="C165" s="112"/>
    </row>
    <row r="166" ht="15.75" customHeight="1" spans="1:3" x14ac:dyDescent="0.25">
      <c r="A166" s="15"/>
      <c r="B166" s="15"/>
      <c r="C166" s="112"/>
    </row>
    <row r="167" ht="15.75" customHeight="1" spans="1:3" x14ac:dyDescent="0.25">
      <c r="A167" s="15"/>
      <c r="B167" s="15"/>
      <c r="C167" s="112"/>
    </row>
    <row r="168" ht="15.75" customHeight="1" spans="1:3" x14ac:dyDescent="0.25">
      <c r="A168" s="15"/>
      <c r="B168" s="15"/>
      <c r="C168" s="112"/>
    </row>
    <row r="169" ht="15.75" customHeight="1" spans="1:3" x14ac:dyDescent="0.25">
      <c r="A169" s="15"/>
      <c r="B169" s="15"/>
      <c r="C169" s="112"/>
    </row>
    <row r="170" ht="15.75" customHeight="1" spans="1:3" x14ac:dyDescent="0.25">
      <c r="A170" s="15"/>
      <c r="B170" s="15"/>
      <c r="C170" s="112"/>
    </row>
    <row r="171" ht="15.75" customHeight="1" spans="1:3" x14ac:dyDescent="0.25">
      <c r="A171" s="15"/>
      <c r="B171" s="15"/>
      <c r="C171" s="112"/>
    </row>
    <row r="172" ht="15.75" customHeight="1" spans="1:3" x14ac:dyDescent="0.25">
      <c r="A172" s="15"/>
      <c r="B172" s="15"/>
      <c r="C172" s="112"/>
    </row>
    <row r="173" ht="15.75" customHeight="1" spans="1:3" x14ac:dyDescent="0.25">
      <c r="A173" s="15"/>
      <c r="B173" s="15"/>
      <c r="C173" s="112"/>
    </row>
    <row r="174" ht="15.75" customHeight="1" spans="1:3" x14ac:dyDescent="0.25">
      <c r="A174" s="15"/>
      <c r="B174" s="15"/>
      <c r="C174" s="112"/>
    </row>
    <row r="175" ht="15.75" customHeight="1" spans="1:3" x14ac:dyDescent="0.25">
      <c r="A175" s="15"/>
      <c r="B175" s="15"/>
      <c r="C175" s="112"/>
    </row>
    <row r="176" ht="15.75" customHeight="1" spans="1:3" x14ac:dyDescent="0.25">
      <c r="A176" s="15"/>
      <c r="B176" s="15"/>
      <c r="C176" s="112"/>
    </row>
    <row r="177" ht="15.75" customHeight="1" spans="1:3" x14ac:dyDescent="0.25">
      <c r="A177" s="15"/>
      <c r="B177" s="15"/>
      <c r="C177" s="112"/>
    </row>
    <row r="178" ht="15.75" customHeight="1" spans="1:3" x14ac:dyDescent="0.25">
      <c r="A178" s="15"/>
      <c r="B178" s="15"/>
      <c r="C178" s="112"/>
    </row>
    <row r="179" ht="15.75" customHeight="1" spans="1:3" x14ac:dyDescent="0.25">
      <c r="A179" s="15"/>
      <c r="B179" s="15"/>
      <c r="C179" s="112"/>
    </row>
    <row r="180" ht="15.75" customHeight="1" spans="1:3" x14ac:dyDescent="0.25">
      <c r="A180" s="15"/>
      <c r="B180" s="15"/>
      <c r="C180" s="112"/>
    </row>
    <row r="181" ht="15.75" customHeight="1" spans="1:3" x14ac:dyDescent="0.25">
      <c r="A181" s="15"/>
      <c r="B181" s="15"/>
      <c r="C181" s="112"/>
    </row>
    <row r="182" ht="15.75" customHeight="1" spans="1:3" x14ac:dyDescent="0.25">
      <c r="A182" s="15"/>
      <c r="B182" s="15"/>
      <c r="C182" s="112"/>
    </row>
    <row r="183" ht="15.75" customHeight="1" spans="1:3" x14ac:dyDescent="0.25">
      <c r="A183" s="15"/>
      <c r="B183" s="15"/>
      <c r="C183" s="112"/>
    </row>
    <row r="184" ht="15.75" customHeight="1" spans="1:3" x14ac:dyDescent="0.25">
      <c r="A184" s="15"/>
      <c r="B184" s="15"/>
      <c r="C184" s="112"/>
    </row>
    <row r="185" ht="15.75" customHeight="1" spans="1:3" x14ac:dyDescent="0.25">
      <c r="A185" s="15"/>
      <c r="B185" s="15"/>
      <c r="C185" s="112"/>
    </row>
    <row r="186" ht="15.75" customHeight="1" spans="1:3" x14ac:dyDescent="0.25">
      <c r="A186" s="15"/>
      <c r="B186" s="15"/>
      <c r="C186" s="112"/>
    </row>
    <row r="187" ht="15.75" customHeight="1" spans="1:3" x14ac:dyDescent="0.25">
      <c r="A187" s="15"/>
      <c r="B187" s="15"/>
      <c r="C187" s="112"/>
    </row>
    <row r="188" ht="15.75" customHeight="1" spans="1:3" x14ac:dyDescent="0.25">
      <c r="A188" s="15"/>
      <c r="B188" s="15"/>
      <c r="C188" s="112"/>
    </row>
    <row r="189" ht="15.75" customHeight="1" spans="1:3" x14ac:dyDescent="0.25">
      <c r="A189" s="15"/>
      <c r="B189" s="15"/>
      <c r="C189" s="112"/>
    </row>
    <row r="190" ht="15.75" customHeight="1" spans="1:3" x14ac:dyDescent="0.25">
      <c r="A190" s="15"/>
      <c r="B190" s="15"/>
      <c r="C190" s="112"/>
    </row>
    <row r="191" ht="15.75" customHeight="1" spans="1:3" x14ac:dyDescent="0.25">
      <c r="A191" s="15"/>
      <c r="B191" s="15"/>
      <c r="C191" s="112"/>
    </row>
    <row r="192" ht="15.75" customHeight="1" spans="1:3" x14ac:dyDescent="0.25">
      <c r="A192" s="15"/>
      <c r="B192" s="15"/>
      <c r="C192" s="112"/>
    </row>
    <row r="193" ht="15.75" customHeight="1" spans="1:3" x14ac:dyDescent="0.25">
      <c r="A193" s="15"/>
      <c r="B193" s="15"/>
      <c r="C193" s="112"/>
    </row>
    <row r="194" ht="15.75" customHeight="1" spans="1:3" x14ac:dyDescent="0.25">
      <c r="A194" s="15"/>
      <c r="B194" s="15"/>
      <c r="C194" s="112"/>
    </row>
    <row r="195" ht="15.75" customHeight="1" spans="1:3" x14ac:dyDescent="0.25">
      <c r="A195" s="15"/>
      <c r="B195" s="15"/>
      <c r="C195" s="112"/>
    </row>
    <row r="196" ht="15.75" customHeight="1" spans="1:3" x14ac:dyDescent="0.25">
      <c r="A196" s="15"/>
      <c r="B196" s="15"/>
      <c r="C196" s="112"/>
    </row>
    <row r="197" ht="15.75" customHeight="1" spans="1:3" x14ac:dyDescent="0.25">
      <c r="A197" s="15"/>
      <c r="B197" s="15"/>
      <c r="C197" s="112"/>
    </row>
    <row r="198" ht="15.75" customHeight="1" spans="1:3" x14ac:dyDescent="0.25">
      <c r="A198" s="15"/>
      <c r="B198" s="15"/>
      <c r="C198" s="112"/>
    </row>
    <row r="199" ht="15.75" customHeight="1" spans="1:3" x14ac:dyDescent="0.25">
      <c r="A199" s="15"/>
      <c r="B199" s="15"/>
      <c r="C199" s="112"/>
    </row>
    <row r="200" ht="15.75" customHeight="1" spans="1:3" x14ac:dyDescent="0.25">
      <c r="A200" s="15"/>
      <c r="B200" s="15"/>
      <c r="C200" s="112"/>
    </row>
    <row r="201" ht="15.75" customHeight="1" spans="1:3" x14ac:dyDescent="0.25">
      <c r="A201" s="15"/>
      <c r="B201" s="15"/>
      <c r="C201" s="112"/>
    </row>
    <row r="202" ht="15.75" customHeight="1" spans="1:3" x14ac:dyDescent="0.25">
      <c r="A202" s="15"/>
      <c r="B202" s="15"/>
      <c r="C202" s="112"/>
    </row>
    <row r="203" ht="15.75" customHeight="1" spans="1:3" x14ac:dyDescent="0.25">
      <c r="A203" s="15"/>
      <c r="B203" s="15"/>
      <c r="C203" s="112"/>
    </row>
    <row r="204" ht="15.75" customHeight="1" spans="1:3" x14ac:dyDescent="0.25">
      <c r="A204" s="15"/>
      <c r="B204" s="15"/>
      <c r="C204" s="112"/>
    </row>
    <row r="205" ht="15.75" customHeight="1" spans="1:3" x14ac:dyDescent="0.25">
      <c r="A205" s="15"/>
      <c r="B205" s="15"/>
      <c r="C205" s="112"/>
    </row>
    <row r="206" ht="15.75" customHeight="1" spans="1:3" x14ac:dyDescent="0.25">
      <c r="A206" s="15"/>
      <c r="B206" s="15"/>
      <c r="C206" s="112"/>
    </row>
    <row r="207" ht="15.75" customHeight="1" spans="1:3" x14ac:dyDescent="0.25">
      <c r="A207" s="15"/>
      <c r="B207" s="15"/>
      <c r="C207" s="112"/>
    </row>
    <row r="208" ht="15.75" customHeight="1" spans="1:3" x14ac:dyDescent="0.25">
      <c r="A208" s="15"/>
      <c r="B208" s="15"/>
      <c r="C208" s="112"/>
    </row>
    <row r="209" ht="15.75" customHeight="1" spans="1:3" x14ac:dyDescent="0.25">
      <c r="A209" s="15"/>
      <c r="B209" s="15"/>
      <c r="C209" s="112"/>
    </row>
    <row r="210" ht="15.75" customHeight="1" spans="1:3" x14ac:dyDescent="0.25">
      <c r="A210" s="15"/>
      <c r="B210" s="15"/>
      <c r="C210" s="112"/>
    </row>
    <row r="211" ht="15.75" customHeight="1" spans="1:3" x14ac:dyDescent="0.25">
      <c r="A211" s="15"/>
      <c r="B211" s="15"/>
      <c r="C211" s="112"/>
    </row>
    <row r="212" ht="15.75" customHeight="1" spans="1:3" x14ac:dyDescent="0.25">
      <c r="A212" s="15"/>
      <c r="B212" s="15"/>
      <c r="C212" s="112"/>
    </row>
    <row r="213" ht="15.75" customHeight="1" spans="1:3" x14ac:dyDescent="0.25">
      <c r="A213" s="15"/>
      <c r="B213" s="15"/>
      <c r="C213" s="112"/>
    </row>
    <row r="214" ht="15.75" customHeight="1" spans="1:3" x14ac:dyDescent="0.25">
      <c r="A214" s="15"/>
      <c r="B214" s="15"/>
      <c r="C214" s="112"/>
    </row>
    <row r="215" ht="15.75" customHeight="1" spans="1:3" x14ac:dyDescent="0.25">
      <c r="A215" s="15"/>
      <c r="B215" s="15"/>
      <c r="C215" s="112"/>
    </row>
    <row r="216" ht="15.75" customHeight="1" spans="1:3" x14ac:dyDescent="0.25">
      <c r="A216" s="15"/>
      <c r="B216" s="15"/>
      <c r="C216" s="112"/>
    </row>
    <row r="217" ht="15.75" customHeight="1" spans="1:3" x14ac:dyDescent="0.25">
      <c r="A217" s="15"/>
      <c r="B217" s="15"/>
      <c r="C217" s="112"/>
    </row>
    <row r="218" ht="15.75" customHeight="1" spans="1:3" x14ac:dyDescent="0.25">
      <c r="A218" s="15"/>
      <c r="B218" s="15"/>
      <c r="C218" s="112"/>
    </row>
    <row r="219" ht="15.75" customHeight="1" spans="1:3" x14ac:dyDescent="0.25">
      <c r="A219" s="15"/>
      <c r="B219" s="15"/>
      <c r="C219" s="112"/>
    </row>
    <row r="220" ht="15.75" customHeight="1" spans="1:3" x14ac:dyDescent="0.25">
      <c r="A220" s="15"/>
      <c r="B220" s="15"/>
      <c r="C220" s="112"/>
    </row>
    <row r="221" ht="15.75" customHeight="1" spans="1:3" x14ac:dyDescent="0.25">
      <c r="A221" s="15"/>
      <c r="B221" s="15"/>
      <c r="C221" s="112"/>
    </row>
    <row r="222" ht="15.75" customHeight="1" spans="1:3" x14ac:dyDescent="0.25">
      <c r="A222" s="15"/>
      <c r="B222" s="15"/>
      <c r="C222" s="112"/>
    </row>
    <row r="223" ht="15.75" customHeight="1" spans="1:3" x14ac:dyDescent="0.25">
      <c r="A223" s="15"/>
      <c r="B223" s="15"/>
      <c r="C223" s="112"/>
    </row>
    <row r="224" ht="15.75" customHeight="1" spans="1:3" x14ac:dyDescent="0.25">
      <c r="A224" s="15"/>
      <c r="B224" s="15"/>
      <c r="C224" s="112"/>
    </row>
    <row r="225" ht="15.75" customHeight="1" spans="1:3" x14ac:dyDescent="0.25">
      <c r="A225" s="15"/>
      <c r="B225" s="15"/>
      <c r="C225" s="112"/>
    </row>
    <row r="226" ht="15.75" customHeight="1" spans="1:3" x14ac:dyDescent="0.25">
      <c r="A226" s="15"/>
      <c r="B226" s="15"/>
      <c r="C226" s="112"/>
    </row>
    <row r="227" ht="15.75" customHeight="1" spans="1:3" x14ac:dyDescent="0.25">
      <c r="A227" s="15"/>
      <c r="B227" s="15"/>
      <c r="C227" s="112"/>
    </row>
    <row r="228" ht="15.75" customHeight="1" spans="1:3" x14ac:dyDescent="0.25">
      <c r="A228" s="15"/>
      <c r="B228" s="15"/>
      <c r="C228" s="112"/>
    </row>
    <row r="229" ht="15.75" customHeight="1" spans="1:3" x14ac:dyDescent="0.25">
      <c r="A229" s="15"/>
      <c r="B229" s="15"/>
      <c r="C229" s="112"/>
    </row>
    <row r="230" ht="15.75" customHeight="1" spans="1:3" x14ac:dyDescent="0.25">
      <c r="A230" s="15"/>
      <c r="B230" s="15"/>
      <c r="C230" s="112"/>
    </row>
    <row r="231" ht="15.75" customHeight="1" spans="1:3" x14ac:dyDescent="0.25">
      <c r="A231" s="15"/>
      <c r="B231" s="15"/>
      <c r="C231" s="112"/>
    </row>
    <row r="232" ht="15.75" customHeight="1" spans="1:3" x14ac:dyDescent="0.25">
      <c r="A232" s="15"/>
      <c r="B232" s="15"/>
      <c r="C232" s="112"/>
    </row>
    <row r="233" ht="15.75" customHeight="1" spans="1:3" x14ac:dyDescent="0.25">
      <c r="A233" s="15"/>
      <c r="B233" s="15"/>
      <c r="C233" s="112"/>
    </row>
    <row r="234" ht="15.75" customHeight="1" spans="1:3" x14ac:dyDescent="0.25">
      <c r="A234" s="15"/>
      <c r="B234" s="15"/>
      <c r="C234" s="112"/>
    </row>
    <row r="235" ht="15.75" customHeight="1" spans="1:3" x14ac:dyDescent="0.25">
      <c r="A235" s="15"/>
      <c r="B235" s="15"/>
      <c r="C235" s="112"/>
    </row>
    <row r="236" ht="15.75" customHeight="1" spans="1:3" x14ac:dyDescent="0.25">
      <c r="A236" s="15"/>
      <c r="B236" s="15"/>
      <c r="C236" s="112"/>
    </row>
    <row r="237" ht="15.75" customHeight="1" spans="1:3" x14ac:dyDescent="0.25">
      <c r="A237" s="15"/>
      <c r="B237" s="15"/>
      <c r="C237" s="112"/>
    </row>
    <row r="238" ht="15.75" customHeight="1" spans="1:3" x14ac:dyDescent="0.25">
      <c r="A238" s="15"/>
      <c r="B238" s="15"/>
      <c r="C238" s="112"/>
    </row>
    <row r="239" ht="15.75" customHeight="1" spans="1:3" x14ac:dyDescent="0.25">
      <c r="A239" s="15"/>
      <c r="B239" s="15"/>
      <c r="C239" s="112"/>
    </row>
    <row r="240" ht="15.75" customHeight="1" spans="1:3" x14ac:dyDescent="0.25">
      <c r="A240" s="15"/>
      <c r="B240" s="15"/>
      <c r="C240" s="112"/>
    </row>
    <row r="241" ht="15.75" customHeight="1" spans="1:3" x14ac:dyDescent="0.25">
      <c r="A241" s="15"/>
      <c r="B241" s="15"/>
      <c r="C241" s="112"/>
    </row>
    <row r="242" ht="15.75" customHeight="1" spans="1:3" x14ac:dyDescent="0.25">
      <c r="A242" s="15"/>
      <c r="B242" s="15"/>
      <c r="C242" s="112"/>
    </row>
    <row r="243" ht="15.75" customHeight="1" spans="1:3" x14ac:dyDescent="0.25">
      <c r="A243" s="15"/>
      <c r="B243" s="15"/>
      <c r="C243" s="112"/>
    </row>
    <row r="244" ht="15.75" customHeight="1" spans="1:3" x14ac:dyDescent="0.25">
      <c r="A244" s="15"/>
      <c r="B244" s="15"/>
      <c r="C244" s="112"/>
    </row>
    <row r="245" ht="15.75" customHeight="1" spans="1:3" x14ac:dyDescent="0.25">
      <c r="A245" s="15"/>
      <c r="B245" s="15"/>
      <c r="C245" s="112"/>
    </row>
    <row r="246" ht="15.75" customHeight="1" spans="1:3" x14ac:dyDescent="0.25">
      <c r="A246" s="15"/>
      <c r="B246" s="15"/>
      <c r="C246" s="112"/>
    </row>
    <row r="247" ht="15.75" customHeight="1" spans="1:3" x14ac:dyDescent="0.25">
      <c r="A247" s="15"/>
      <c r="B247" s="15"/>
      <c r="C247" s="112"/>
    </row>
    <row r="248" ht="15.75" customHeight="1" spans="1:3" x14ac:dyDescent="0.25">
      <c r="A248" s="15"/>
      <c r="B248" s="15"/>
      <c r="C248" s="112"/>
    </row>
    <row r="249" ht="15.75" customHeight="1" spans="1:3" x14ac:dyDescent="0.25">
      <c r="A249" s="15"/>
      <c r="B249" s="15"/>
      <c r="C249" s="112"/>
    </row>
    <row r="250" ht="15.75" customHeight="1" spans="1:3" x14ac:dyDescent="0.25">
      <c r="A250" s="15"/>
      <c r="B250" s="15"/>
      <c r="C250" s="112"/>
    </row>
    <row r="251" ht="15.75" customHeight="1" spans="1:3" x14ac:dyDescent="0.25">
      <c r="A251" s="15"/>
      <c r="B251" s="15"/>
      <c r="C251" s="112"/>
    </row>
    <row r="252" ht="15.75" customHeight="1" spans="1:3" x14ac:dyDescent="0.25">
      <c r="A252" s="15"/>
      <c r="B252" s="15"/>
      <c r="C252" s="112"/>
    </row>
    <row r="253" ht="15.75" customHeight="1" spans="1:3" x14ac:dyDescent="0.25">
      <c r="A253" s="15"/>
      <c r="B253" s="15"/>
      <c r="C253" s="112"/>
    </row>
    <row r="254" ht="15.75" customHeight="1" spans="1:3" x14ac:dyDescent="0.25">
      <c r="A254" s="15"/>
      <c r="B254" s="15"/>
      <c r="C254" s="112"/>
    </row>
    <row r="255" ht="15.75" customHeight="1" spans="1:3" x14ac:dyDescent="0.25">
      <c r="A255" s="15"/>
      <c r="B255" s="15"/>
      <c r="C255" s="112"/>
    </row>
    <row r="256" ht="15.75" customHeight="1" spans="1:3" x14ac:dyDescent="0.25">
      <c r="A256" s="15"/>
      <c r="B256" s="15"/>
      <c r="C256" s="112"/>
    </row>
    <row r="257" ht="15.75" customHeight="1" spans="1:3" x14ac:dyDescent="0.25">
      <c r="A257" s="15"/>
      <c r="B257" s="15"/>
      <c r="C257" s="112"/>
    </row>
    <row r="258" ht="15.75" customHeight="1" spans="1:3" x14ac:dyDescent="0.25">
      <c r="A258" s="15"/>
      <c r="B258" s="15"/>
      <c r="C258" s="112"/>
    </row>
    <row r="259" ht="15.75" customHeight="1" spans="1:3" x14ac:dyDescent="0.25">
      <c r="A259" s="15"/>
      <c r="B259" s="15"/>
      <c r="C259" s="112"/>
    </row>
    <row r="260" ht="15.75" customHeight="1" spans="1:3" x14ac:dyDescent="0.25">
      <c r="A260" s="15"/>
      <c r="B260" s="15"/>
      <c r="C260" s="112"/>
    </row>
    <row r="261" ht="15.75" customHeight="1" spans="1:3" x14ac:dyDescent="0.25">
      <c r="A261" s="15"/>
      <c r="B261" s="15"/>
      <c r="C261" s="112"/>
    </row>
    <row r="262" ht="15.75" customHeight="1" spans="1:3" x14ac:dyDescent="0.25">
      <c r="A262" s="15"/>
      <c r="B262" s="15"/>
      <c r="C262" s="112"/>
    </row>
    <row r="263" ht="15.75" customHeight="1" spans="1:3" x14ac:dyDescent="0.25">
      <c r="A263" s="15"/>
      <c r="B263" s="15"/>
      <c r="C263" s="112"/>
    </row>
    <row r="264" ht="15.75" customHeight="1" spans="1:3" x14ac:dyDescent="0.25">
      <c r="A264" s="15"/>
      <c r="B264" s="15"/>
      <c r="C264" s="112"/>
    </row>
    <row r="265" ht="15.75" customHeight="1" spans="1:3" x14ac:dyDescent="0.25">
      <c r="A265" s="15"/>
      <c r="B265" s="15"/>
      <c r="C265" s="112"/>
    </row>
    <row r="266" ht="15.75" customHeight="1" spans="1:3" x14ac:dyDescent="0.25">
      <c r="A266" s="15"/>
      <c r="B266" s="15"/>
      <c r="C266" s="112"/>
    </row>
    <row r="267" ht="15.75" customHeight="1" spans="1:3" x14ac:dyDescent="0.25">
      <c r="A267" s="15"/>
      <c r="B267" s="15"/>
      <c r="C267" s="112"/>
    </row>
    <row r="268" ht="15.75" customHeight="1" spans="1:3" x14ac:dyDescent="0.25">
      <c r="A268" s="15"/>
      <c r="B268" s="15"/>
      <c r="C268" s="112"/>
    </row>
    <row r="269" ht="15.75" customHeight="1" spans="1:3" x14ac:dyDescent="0.25">
      <c r="A269" s="15"/>
      <c r="B269" s="15"/>
      <c r="C269" s="112"/>
    </row>
    <row r="270" ht="15.75" customHeight="1" spans="1:3" x14ac:dyDescent="0.25">
      <c r="A270" s="15"/>
      <c r="B270" s="15"/>
      <c r="C270" s="112"/>
    </row>
    <row r="271" ht="15.75" customHeight="1" spans="1:3" x14ac:dyDescent="0.25">
      <c r="A271" s="15"/>
      <c r="B271" s="15"/>
      <c r="C271" s="112"/>
    </row>
    <row r="272" ht="15.75" customHeight="1" spans="1:3" x14ac:dyDescent="0.25">
      <c r="A272" s="15"/>
      <c r="B272" s="15"/>
      <c r="C272" s="112"/>
    </row>
    <row r="273" ht="15.75" customHeight="1" spans="1:3" x14ac:dyDescent="0.25">
      <c r="A273" s="15"/>
      <c r="B273" s="15"/>
      <c r="C273" s="112"/>
    </row>
    <row r="274" ht="15.75" customHeight="1" spans="1:3" x14ac:dyDescent="0.25">
      <c r="A274" s="15"/>
      <c r="B274" s="15"/>
      <c r="C274" s="112"/>
    </row>
    <row r="275" ht="15.75" customHeight="1" spans="1:3" x14ac:dyDescent="0.25">
      <c r="A275" s="15"/>
      <c r="B275" s="15"/>
      <c r="C275" s="112"/>
    </row>
    <row r="276" ht="15.75" customHeight="1" spans="1:3" x14ac:dyDescent="0.25">
      <c r="A276" s="15"/>
      <c r="B276" s="15"/>
      <c r="C276" s="112"/>
    </row>
    <row r="277" ht="15.75" customHeight="1" spans="1:3" x14ac:dyDescent="0.25">
      <c r="A277" s="15"/>
      <c r="B277" s="15"/>
      <c r="C277" s="112"/>
    </row>
    <row r="278" ht="15.75" customHeight="1" spans="1:3" x14ac:dyDescent="0.25">
      <c r="A278" s="15"/>
      <c r="B278" s="15"/>
      <c r="C278" s="112"/>
    </row>
    <row r="279" ht="15.75" customHeight="1" spans="1:3" x14ac:dyDescent="0.25">
      <c r="A279" s="15"/>
      <c r="B279" s="15"/>
      <c r="C279" s="112"/>
    </row>
    <row r="280" ht="15.75" customHeight="1" spans="1:3" x14ac:dyDescent="0.25">
      <c r="A280" s="15"/>
      <c r="B280" s="15"/>
      <c r="C280" s="112"/>
    </row>
    <row r="281" ht="15.75" customHeight="1" spans="1:3" x14ac:dyDescent="0.25">
      <c r="A281" s="15"/>
      <c r="B281" s="15"/>
      <c r="C281" s="112"/>
    </row>
    <row r="282" ht="15.75" customHeight="1" spans="1:3" x14ac:dyDescent="0.25">
      <c r="A282" s="15"/>
      <c r="B282" s="15"/>
      <c r="C282" s="112"/>
    </row>
    <row r="283" ht="15.75" customHeight="1" spans="1:3" x14ac:dyDescent="0.25">
      <c r="A283" s="15"/>
      <c r="B283" s="15"/>
      <c r="C283" s="112"/>
    </row>
    <row r="284" ht="15.75" customHeight="1" spans="1:3" x14ac:dyDescent="0.25">
      <c r="A284" s="15"/>
      <c r="B284" s="15"/>
      <c r="C284" s="112"/>
    </row>
    <row r="285" ht="15.75" customHeight="1" spans="1:3" x14ac:dyDescent="0.25">
      <c r="A285" s="15"/>
      <c r="B285" s="15"/>
      <c r="C285" s="112"/>
    </row>
    <row r="286" ht="15.75" customHeight="1" spans="1:3" x14ac:dyDescent="0.25">
      <c r="A286" s="15"/>
      <c r="B286" s="15"/>
      <c r="C286" s="112"/>
    </row>
    <row r="287" ht="15.75" customHeight="1" spans="1:3" x14ac:dyDescent="0.25">
      <c r="A287" s="15"/>
      <c r="B287" s="15"/>
      <c r="C287" s="112"/>
    </row>
    <row r="288" ht="15.75" customHeight="1" spans="1:3" x14ac:dyDescent="0.25">
      <c r="A288" s="15"/>
      <c r="B288" s="15"/>
      <c r="C288" s="112"/>
    </row>
    <row r="289" ht="15.75" customHeight="1" spans="1:3" x14ac:dyDescent="0.25">
      <c r="A289" s="15"/>
      <c r="B289" s="15"/>
      <c r="C289" s="112"/>
    </row>
    <row r="290" ht="15.75" customHeight="1" spans="1:3" x14ac:dyDescent="0.25">
      <c r="A290" s="15"/>
      <c r="B290" s="15"/>
      <c r="C290" s="112"/>
    </row>
    <row r="291" ht="15.75" customHeight="1" spans="1:3" x14ac:dyDescent="0.25">
      <c r="A291" s="15"/>
      <c r="B291" s="15"/>
      <c r="C291" s="112"/>
    </row>
    <row r="292" ht="15.75" customHeight="1" spans="1:3" x14ac:dyDescent="0.25">
      <c r="A292" s="15"/>
      <c r="B292" s="15"/>
      <c r="C292" s="112"/>
    </row>
    <row r="293" ht="15.75" customHeight="1" spans="1:3" x14ac:dyDescent="0.25">
      <c r="A293" s="15"/>
      <c r="B293" s="15"/>
      <c r="C293" s="112"/>
    </row>
    <row r="294" ht="15.75" customHeight="1" spans="1:3" x14ac:dyDescent="0.25">
      <c r="A294" s="15"/>
      <c r="B294" s="15"/>
      <c r="C294" s="112"/>
    </row>
    <row r="295" ht="15.75" customHeight="1" spans="1:3" x14ac:dyDescent="0.25">
      <c r="A295" s="15"/>
      <c r="B295" s="15"/>
      <c r="C295" s="112"/>
    </row>
    <row r="296" ht="15.75" customHeight="1" spans="1:3" x14ac:dyDescent="0.25">
      <c r="A296" s="15"/>
      <c r="B296" s="15"/>
      <c r="C296" s="112"/>
    </row>
    <row r="297" ht="15.75" customHeight="1" spans="1:3" x14ac:dyDescent="0.25">
      <c r="A297" s="15"/>
      <c r="B297" s="15"/>
      <c r="C297" s="112"/>
    </row>
    <row r="298" ht="15.75" customHeight="1" spans="1:3" x14ac:dyDescent="0.25">
      <c r="A298" s="15"/>
      <c r="B298" s="15"/>
      <c r="C298" s="112"/>
    </row>
    <row r="299" ht="15.75" customHeight="1" spans="1:3" x14ac:dyDescent="0.25">
      <c r="A299" s="15"/>
      <c r="B299" s="15"/>
      <c r="C299" s="112"/>
    </row>
    <row r="300" ht="15.75" customHeight="1" spans="1:3" x14ac:dyDescent="0.25">
      <c r="A300" s="15"/>
      <c r="B300" s="15"/>
      <c r="C300" s="112"/>
    </row>
    <row r="301" ht="15.75" customHeight="1" spans="1:3" x14ac:dyDescent="0.25">
      <c r="A301" s="15"/>
      <c r="B301" s="15"/>
      <c r="C301" s="112"/>
    </row>
    <row r="302" ht="15.75" customHeight="1" spans="1:3" x14ac:dyDescent="0.25">
      <c r="A302" s="15"/>
      <c r="B302" s="15"/>
      <c r="C302" s="112"/>
    </row>
    <row r="303" ht="15.75" customHeight="1" spans="1:3" x14ac:dyDescent="0.25">
      <c r="A303" s="15"/>
      <c r="B303" s="15"/>
      <c r="C303" s="112"/>
    </row>
    <row r="304" ht="15.75" customHeight="1" spans="1:3" x14ac:dyDescent="0.25">
      <c r="A304" s="15"/>
      <c r="B304" s="15"/>
      <c r="C304" s="112"/>
    </row>
    <row r="305" ht="15.75" customHeight="1" spans="1:3" x14ac:dyDescent="0.25">
      <c r="A305" s="15"/>
      <c r="B305" s="15"/>
      <c r="C305" s="112"/>
    </row>
    <row r="306" ht="15.75" customHeight="1" spans="1:3" x14ac:dyDescent="0.25">
      <c r="A306" s="15"/>
      <c r="B306" s="15"/>
      <c r="C306" s="112"/>
    </row>
    <row r="307" ht="15.75" customHeight="1" spans="1:3" x14ac:dyDescent="0.25">
      <c r="A307" s="15"/>
      <c r="B307" s="15"/>
      <c r="C307" s="112"/>
    </row>
    <row r="308" ht="15.75" customHeight="1" spans="1:3" x14ac:dyDescent="0.25">
      <c r="A308" s="15"/>
      <c r="B308" s="15"/>
      <c r="C308" s="112"/>
    </row>
    <row r="309" ht="15.75" customHeight="1" spans="1:3" x14ac:dyDescent="0.25">
      <c r="A309" s="15"/>
      <c r="B309" s="15"/>
      <c r="C309" s="112"/>
    </row>
    <row r="310" ht="15.75" customHeight="1" spans="1:3" x14ac:dyDescent="0.25">
      <c r="A310" s="15"/>
      <c r="B310" s="15"/>
      <c r="C310" s="112"/>
    </row>
    <row r="311" ht="15.75" customHeight="1" spans="1:3" x14ac:dyDescent="0.25">
      <c r="A311" s="15"/>
      <c r="B311" s="15"/>
      <c r="C311" s="112"/>
    </row>
    <row r="312" ht="15.75" customHeight="1" spans="1:3" x14ac:dyDescent="0.25">
      <c r="A312" s="15"/>
      <c r="B312" s="15"/>
      <c r="C312" s="112"/>
    </row>
    <row r="313" ht="15.75" customHeight="1" spans="1:3" x14ac:dyDescent="0.25">
      <c r="A313" s="15"/>
      <c r="B313" s="15"/>
      <c r="C313" s="112"/>
    </row>
    <row r="314" ht="15.75" customHeight="1" spans="1:3" x14ac:dyDescent="0.25">
      <c r="A314" s="15"/>
      <c r="B314" s="15"/>
      <c r="C314" s="112"/>
    </row>
    <row r="315" ht="15.75" customHeight="1" spans="1:3" x14ac:dyDescent="0.25">
      <c r="A315" s="15"/>
      <c r="B315" s="15"/>
      <c r="C315" s="112"/>
    </row>
    <row r="316" ht="15.75" customHeight="1" spans="1:3" x14ac:dyDescent="0.25">
      <c r="A316" s="15"/>
      <c r="B316" s="15"/>
      <c r="C316" s="112"/>
    </row>
    <row r="317" ht="15.75" customHeight="1" spans="1:3" x14ac:dyDescent="0.25">
      <c r="A317" s="15"/>
      <c r="B317" s="15"/>
      <c r="C317" s="112"/>
    </row>
    <row r="318" ht="15.75" customHeight="1" spans="1:3" x14ac:dyDescent="0.25">
      <c r="A318" s="15"/>
      <c r="B318" s="15"/>
      <c r="C318" s="112"/>
    </row>
    <row r="319" ht="15.75" customHeight="1" spans="1:3" x14ac:dyDescent="0.25">
      <c r="A319" s="15"/>
      <c r="B319" s="15"/>
      <c r="C319" s="112"/>
    </row>
    <row r="320" ht="15.75" customHeight="1" spans="1:3" x14ac:dyDescent="0.25">
      <c r="A320" s="15"/>
      <c r="B320" s="15"/>
      <c r="C320" s="112"/>
    </row>
    <row r="321" ht="15.75" customHeight="1" spans="1:3" x14ac:dyDescent="0.25">
      <c r="A321" s="15"/>
      <c r="B321" s="15"/>
      <c r="C321" s="112"/>
    </row>
    <row r="322" ht="15.75" customHeight="1" spans="1:3" x14ac:dyDescent="0.25">
      <c r="A322" s="15"/>
      <c r="B322" s="15"/>
      <c r="C322" s="112"/>
    </row>
    <row r="323" ht="15.75" customHeight="1" spans="1:3" x14ac:dyDescent="0.25">
      <c r="A323" s="15"/>
      <c r="B323" s="15"/>
      <c r="C323" s="112"/>
    </row>
    <row r="324" ht="15.75" customHeight="1" spans="2:2" x14ac:dyDescent="0.25">
      <c r="B324" s="15"/>
    </row>
    <row r="325" ht="15.75" customHeight="1" spans="2:2" x14ac:dyDescent="0.25">
      <c r="B325" s="15"/>
    </row>
    <row r="326" ht="15.75" customHeight="1" spans="2:2" x14ac:dyDescent="0.25">
      <c r="B326" s="15"/>
    </row>
    <row r="327" ht="15.75" customHeight="1" spans="2:2" x14ac:dyDescent="0.25">
      <c r="B327" s="15"/>
    </row>
    <row r="328" ht="15.75" customHeight="1" spans="2:2" x14ac:dyDescent="0.25">
      <c r="B328" s="15"/>
    </row>
    <row r="329" ht="15.75" customHeight="1" spans="2:2" x14ac:dyDescent="0.25">
      <c r="B329" s="15"/>
    </row>
    <row r="330" ht="15.75" customHeight="1" spans="2:2" x14ac:dyDescent="0.25">
      <c r="B330" s="15"/>
    </row>
    <row r="331" ht="15.75" customHeight="1" spans="2:2" x14ac:dyDescent="0.25">
      <c r="B331" s="15"/>
    </row>
    <row r="332" ht="15.75" customHeight="1" spans="2:2" x14ac:dyDescent="0.25">
      <c r="B332" s="15"/>
    </row>
    <row r="333" ht="15.75" customHeight="1" spans="2:2" x14ac:dyDescent="0.25">
      <c r="B333" s="15"/>
    </row>
    <row r="334" ht="15.75" customHeight="1" spans="2:2" x14ac:dyDescent="0.25">
      <c r="B334" s="15"/>
    </row>
    <row r="335" ht="15.75" customHeight="1" spans="2:2" x14ac:dyDescent="0.25">
      <c r="B335" s="15"/>
    </row>
    <row r="336" ht="15.75" customHeight="1" spans="2:2" x14ac:dyDescent="0.25">
      <c r="B336" s="15"/>
    </row>
    <row r="337" ht="15.75" customHeight="1" spans="2:2" x14ac:dyDescent="0.25">
      <c r="B337" s="15"/>
    </row>
    <row r="338" ht="15.75" customHeight="1" spans="2:2" x14ac:dyDescent="0.25">
      <c r="B338" s="15"/>
    </row>
    <row r="339" ht="15.75" customHeight="1" spans="2:2" x14ac:dyDescent="0.25">
      <c r="B339" s="15"/>
    </row>
    <row r="340" ht="15.75" customHeight="1" spans="2:2" x14ac:dyDescent="0.25">
      <c r="B340" s="15"/>
    </row>
    <row r="341" ht="15.75" customHeight="1" spans="2:2" x14ac:dyDescent="0.25">
      <c r="B341" s="15"/>
    </row>
    <row r="342" ht="15.75" customHeight="1" spans="2:2" x14ac:dyDescent="0.25">
      <c r="B342" s="15"/>
    </row>
    <row r="343" ht="15.75" customHeight="1" spans="2:2" x14ac:dyDescent="0.25">
      <c r="B343" s="15"/>
    </row>
    <row r="344" ht="15.75" customHeight="1" spans="2:2" x14ac:dyDescent="0.25">
      <c r="B344" s="15"/>
    </row>
    <row r="345" ht="15.75" customHeight="1" spans="2:2" x14ac:dyDescent="0.25">
      <c r="B345" s="15"/>
    </row>
    <row r="346" ht="15.75" customHeight="1" spans="2:2" x14ac:dyDescent="0.25">
      <c r="B346" s="15"/>
    </row>
    <row r="347" ht="15.75" customHeight="1" spans="2:2" x14ac:dyDescent="0.25">
      <c r="B347" s="15"/>
    </row>
    <row r="348" ht="15.75" customHeight="1" spans="2:2" x14ac:dyDescent="0.25">
      <c r="B348" s="15"/>
    </row>
    <row r="349" ht="15.75" customHeight="1" spans="2:2" x14ac:dyDescent="0.25">
      <c r="B349" s="15"/>
    </row>
    <row r="350" ht="15.75" customHeight="1" spans="2:2" x14ac:dyDescent="0.25">
      <c r="B350" s="15"/>
    </row>
    <row r="351" ht="15.75" customHeight="1" spans="2:2" x14ac:dyDescent="0.25">
      <c r="B351" s="15"/>
    </row>
    <row r="352" ht="15.75" customHeight="1" spans="2:2" x14ac:dyDescent="0.25">
      <c r="B352" s="15"/>
    </row>
    <row r="353" ht="15.75" customHeight="1" spans="2:2" x14ac:dyDescent="0.25">
      <c r="B353" s="15"/>
    </row>
    <row r="354" ht="15.75" customHeight="1" spans="2:2" x14ac:dyDescent="0.25">
      <c r="B354" s="15"/>
    </row>
    <row r="355" ht="15.75" customHeight="1" spans="2:2" x14ac:dyDescent="0.25">
      <c r="B355" s="15"/>
    </row>
    <row r="356" ht="15.75" customHeight="1" spans="2:2" x14ac:dyDescent="0.25">
      <c r="B356" s="15"/>
    </row>
    <row r="357" ht="15.75" customHeight="1" spans="2:2" x14ac:dyDescent="0.25">
      <c r="B357" s="15"/>
    </row>
    <row r="358" ht="15.75" customHeight="1" spans="2:2" x14ac:dyDescent="0.25">
      <c r="B358" s="15"/>
    </row>
    <row r="359" ht="15.75" customHeight="1" spans="2:2" x14ac:dyDescent="0.25">
      <c r="B359" s="15"/>
    </row>
    <row r="360" ht="15.75" customHeight="1" spans="2:2" x14ac:dyDescent="0.25">
      <c r="B360" s="15"/>
    </row>
    <row r="361" ht="15.75" customHeight="1" spans="2:2" x14ac:dyDescent="0.25">
      <c r="B361" s="15"/>
    </row>
    <row r="362" ht="15.75" customHeight="1" spans="2:2" x14ac:dyDescent="0.25">
      <c r="B362" s="15"/>
    </row>
    <row r="363" ht="15.75" customHeight="1" spans="2:2" x14ac:dyDescent="0.25">
      <c r="B363" s="15"/>
    </row>
    <row r="364" ht="15.75" customHeight="1" spans="2:2" x14ac:dyDescent="0.25">
      <c r="B364" s="15"/>
    </row>
    <row r="365" ht="15.75" customHeight="1" spans="2:2" x14ac:dyDescent="0.25">
      <c r="B365" s="15"/>
    </row>
    <row r="366" ht="15.75" customHeight="1" spans="2:2" x14ac:dyDescent="0.25">
      <c r="B366" s="15"/>
    </row>
    <row r="367" ht="15.75" customHeight="1" spans="2:2" x14ac:dyDescent="0.25">
      <c r="B367" s="15"/>
    </row>
    <row r="368" ht="15.75" customHeight="1" spans="2:2" x14ac:dyDescent="0.25">
      <c r="B368" s="15"/>
    </row>
    <row r="369" ht="15.75" customHeight="1" spans="2:2" x14ac:dyDescent="0.25">
      <c r="B369" s="15"/>
    </row>
    <row r="370" ht="15.75" customHeight="1" spans="2:2" x14ac:dyDescent="0.25">
      <c r="B370" s="15"/>
    </row>
    <row r="371" ht="15.75" customHeight="1" spans="2:2" x14ac:dyDescent="0.25">
      <c r="B371" s="15"/>
    </row>
    <row r="372" ht="15.75" customHeight="1" spans="2:2" x14ac:dyDescent="0.25">
      <c r="B372" s="15"/>
    </row>
    <row r="373" ht="15.75" customHeight="1" spans="2:2" x14ac:dyDescent="0.25">
      <c r="B373" s="15"/>
    </row>
    <row r="374" ht="15.75" customHeight="1" spans="2:2" x14ac:dyDescent="0.25">
      <c r="B374" s="15"/>
    </row>
    <row r="375" ht="15.75" customHeight="1" spans="2:2" x14ac:dyDescent="0.25">
      <c r="B375" s="15"/>
    </row>
    <row r="376" ht="15.75" customHeight="1" spans="2:2" x14ac:dyDescent="0.25">
      <c r="B376" s="15"/>
    </row>
    <row r="377" ht="15.75" customHeight="1" spans="2:2" x14ac:dyDescent="0.25">
      <c r="B377" s="15"/>
    </row>
    <row r="378" ht="15.75" customHeight="1" spans="2:2" x14ac:dyDescent="0.25">
      <c r="B378" s="15"/>
    </row>
    <row r="379" ht="15.75" customHeight="1" spans="2:2" x14ac:dyDescent="0.25">
      <c r="B379" s="15"/>
    </row>
    <row r="380" ht="15.75" customHeight="1" spans="2:2" x14ac:dyDescent="0.25">
      <c r="B380" s="15"/>
    </row>
    <row r="381" ht="15.75" customHeight="1" spans="2:2" x14ac:dyDescent="0.25">
      <c r="B381" s="15"/>
    </row>
    <row r="382" ht="15.75" customHeight="1" spans="2:2" x14ac:dyDescent="0.25">
      <c r="B382" s="15"/>
    </row>
    <row r="383" ht="15.75" customHeight="1" spans="2:2" x14ac:dyDescent="0.25">
      <c r="B383" s="15"/>
    </row>
    <row r="384" ht="15.75" customHeight="1" spans="2:2" x14ac:dyDescent="0.25">
      <c r="B384" s="15"/>
    </row>
    <row r="385" ht="15.75" customHeight="1" spans="2:2" x14ac:dyDescent="0.25">
      <c r="B385" s="15"/>
    </row>
    <row r="386" ht="15.75" customHeight="1" spans="2:2" x14ac:dyDescent="0.25">
      <c r="B386" s="15"/>
    </row>
    <row r="387" ht="15.75" customHeight="1" spans="2:2" x14ac:dyDescent="0.25">
      <c r="B387" s="15"/>
    </row>
    <row r="388" ht="15.75" customHeight="1" spans="2:2" x14ac:dyDescent="0.25">
      <c r="B388" s="15"/>
    </row>
    <row r="389" ht="15.75" customHeight="1" spans="2:2" x14ac:dyDescent="0.25">
      <c r="B389" s="15"/>
    </row>
    <row r="390" ht="15.75" customHeight="1" spans="2:2" x14ac:dyDescent="0.25">
      <c r="B390" s="15"/>
    </row>
    <row r="391" ht="15.75" customHeight="1" spans="2:2" x14ac:dyDescent="0.25">
      <c r="B391" s="15"/>
    </row>
    <row r="392" ht="15.75" customHeight="1" spans="2:2" x14ac:dyDescent="0.25">
      <c r="B392" s="15"/>
    </row>
    <row r="393" ht="15.75" customHeight="1" spans="2:2" x14ac:dyDescent="0.25">
      <c r="B393" s="15"/>
    </row>
    <row r="394" ht="15.75" customHeight="1" spans="2:2" x14ac:dyDescent="0.25">
      <c r="B394" s="15"/>
    </row>
    <row r="395" ht="15.75" customHeight="1" spans="2:2" x14ac:dyDescent="0.25">
      <c r="B395" s="15"/>
    </row>
    <row r="396" ht="15.75" customHeight="1" spans="2:2" x14ac:dyDescent="0.25">
      <c r="B396" s="15"/>
    </row>
    <row r="397" ht="15.75" customHeight="1" spans="2:2" x14ac:dyDescent="0.25">
      <c r="B397" s="15"/>
    </row>
    <row r="398" ht="15.75" customHeight="1" spans="2:2" x14ac:dyDescent="0.25">
      <c r="B398" s="15"/>
    </row>
    <row r="399" ht="15.75" customHeight="1" spans="2:2" x14ac:dyDescent="0.25">
      <c r="B399" s="15"/>
    </row>
    <row r="400" ht="15.75" customHeight="1" spans="2:2" x14ac:dyDescent="0.25">
      <c r="B400" s="15"/>
    </row>
    <row r="401" ht="15.75" customHeight="1" spans="2:2" x14ac:dyDescent="0.25">
      <c r="B401" s="15"/>
    </row>
    <row r="402" ht="15.75" customHeight="1" spans="2:2" x14ac:dyDescent="0.25">
      <c r="B402" s="15"/>
    </row>
    <row r="403" ht="15.75" customHeight="1" spans="2:2" x14ac:dyDescent="0.25">
      <c r="B403" s="15"/>
    </row>
    <row r="404" ht="15.75" customHeight="1" spans="2:2" x14ac:dyDescent="0.25">
      <c r="B404" s="15"/>
    </row>
    <row r="405" ht="15.75" customHeight="1" spans="2:2" x14ac:dyDescent="0.25">
      <c r="B405" s="15"/>
    </row>
    <row r="406" ht="15.75" customHeight="1" spans="2:2" x14ac:dyDescent="0.25">
      <c r="B406" s="15"/>
    </row>
    <row r="407" ht="15.75" customHeight="1" spans="2:2" x14ac:dyDescent="0.25">
      <c r="B407" s="15"/>
    </row>
    <row r="408" ht="15.75" customHeight="1" spans="2:2" x14ac:dyDescent="0.25">
      <c r="B408" s="15"/>
    </row>
    <row r="409" ht="15.75" customHeight="1" spans="2:2" x14ac:dyDescent="0.25">
      <c r="B409" s="15"/>
    </row>
    <row r="410" ht="15.75" customHeight="1" spans="2:2" x14ac:dyDescent="0.25">
      <c r="B410" s="15"/>
    </row>
    <row r="411" ht="15.75" customHeight="1" spans="2:2" x14ac:dyDescent="0.25">
      <c r="B411" s="15"/>
    </row>
    <row r="412" ht="15.75" customHeight="1" spans="2:2" x14ac:dyDescent="0.25">
      <c r="B412" s="15"/>
    </row>
    <row r="413" ht="15.75" customHeight="1" spans="2:2" x14ac:dyDescent="0.25">
      <c r="B413" s="15"/>
    </row>
    <row r="414" ht="15.75" customHeight="1" spans="2:2" x14ac:dyDescent="0.25">
      <c r="B414" s="15"/>
    </row>
    <row r="415" ht="15.75" customHeight="1" spans="2:2" x14ac:dyDescent="0.25">
      <c r="B415" s="15"/>
    </row>
    <row r="416" ht="15.75" customHeight="1" spans="2:2" x14ac:dyDescent="0.25">
      <c r="B416" s="15"/>
    </row>
    <row r="417" ht="15.75" customHeight="1" spans="2:2" x14ac:dyDescent="0.25">
      <c r="B417" s="15"/>
    </row>
    <row r="418" ht="15.75" customHeight="1" spans="2:2" x14ac:dyDescent="0.25">
      <c r="B418" s="15"/>
    </row>
    <row r="419" ht="15.75" customHeight="1" spans="2:2" x14ac:dyDescent="0.25">
      <c r="B419" s="15"/>
    </row>
    <row r="420" ht="15.75" customHeight="1" spans="2:2" x14ac:dyDescent="0.25">
      <c r="B420" s="15"/>
    </row>
    <row r="421" ht="15.75" customHeight="1" spans="2:2" x14ac:dyDescent="0.25">
      <c r="B421" s="15"/>
    </row>
    <row r="422" ht="15.75" customHeight="1" spans="2:2" x14ac:dyDescent="0.25">
      <c r="B422" s="15"/>
    </row>
    <row r="423" ht="15.75" customHeight="1" spans="2:2" x14ac:dyDescent="0.25">
      <c r="B423" s="15"/>
    </row>
    <row r="424" ht="15.75" customHeight="1" spans="2:2" x14ac:dyDescent="0.25">
      <c r="B424" s="15"/>
    </row>
    <row r="425" ht="15.75" customHeight="1" spans="2:2" x14ac:dyDescent="0.25">
      <c r="B425" s="15"/>
    </row>
    <row r="426" ht="15.75" customHeight="1" spans="2:2" x14ac:dyDescent="0.25">
      <c r="B426" s="15"/>
    </row>
    <row r="427" ht="15.75" customHeight="1" spans="2:2" x14ac:dyDescent="0.25">
      <c r="B427" s="15"/>
    </row>
    <row r="428" ht="15.75" customHeight="1" spans="2:2" x14ac:dyDescent="0.25">
      <c r="B428" s="15"/>
    </row>
    <row r="429" ht="15.75" customHeight="1" spans="2:2" x14ac:dyDescent="0.25">
      <c r="B429" s="15"/>
    </row>
    <row r="430" ht="15.75" customHeight="1" spans="2:2" x14ac:dyDescent="0.25">
      <c r="B430" s="15"/>
    </row>
    <row r="431" ht="15.75" customHeight="1" spans="2:2" x14ac:dyDescent="0.25">
      <c r="B431" s="15"/>
    </row>
    <row r="432" ht="15.75" customHeight="1" spans="2:2" x14ac:dyDescent="0.25">
      <c r="B432" s="15"/>
    </row>
    <row r="433" ht="15.75" customHeight="1" spans="2:2" x14ac:dyDescent="0.25">
      <c r="B433" s="15"/>
    </row>
    <row r="434" ht="15.75" customHeight="1" spans="2:2" x14ac:dyDescent="0.25">
      <c r="B434" s="15"/>
    </row>
    <row r="435" ht="15.75" customHeight="1" spans="2:2" x14ac:dyDescent="0.25">
      <c r="B435" s="15"/>
    </row>
    <row r="436" ht="15.75" customHeight="1" spans="2:2" x14ac:dyDescent="0.25">
      <c r="B436" s="15"/>
    </row>
    <row r="437" ht="15.75" customHeight="1" spans="2:2" x14ac:dyDescent="0.25">
      <c r="B437" s="15"/>
    </row>
    <row r="438" ht="15.75" customHeight="1" spans="2:2" x14ac:dyDescent="0.25">
      <c r="B438" s="15"/>
    </row>
    <row r="439" ht="15.75" customHeight="1" spans="2:2" x14ac:dyDescent="0.25">
      <c r="B439" s="15"/>
    </row>
    <row r="440" ht="15.75" customHeight="1" spans="2:2" x14ac:dyDescent="0.25">
      <c r="B440" s="15"/>
    </row>
    <row r="441" ht="15.75" customHeight="1" spans="2:2" x14ac:dyDescent="0.25">
      <c r="B441" s="15"/>
    </row>
    <row r="442" ht="15.75" customHeight="1" spans="2:2" x14ac:dyDescent="0.25">
      <c r="B442" s="15"/>
    </row>
    <row r="443" ht="15.75" customHeight="1" spans="2:2" x14ac:dyDescent="0.25">
      <c r="B443" s="15"/>
    </row>
    <row r="444" ht="15.75" customHeight="1" spans="2:2" x14ac:dyDescent="0.25">
      <c r="B444" s="15"/>
    </row>
    <row r="445" ht="15.75" customHeight="1" spans="2:2" x14ac:dyDescent="0.25">
      <c r="B445" s="15"/>
    </row>
    <row r="446" ht="15.75" customHeight="1" spans="2:2" x14ac:dyDescent="0.25">
      <c r="B446" s="15"/>
    </row>
    <row r="447" ht="15.75" customHeight="1" spans="2:2" x14ac:dyDescent="0.25">
      <c r="B447" s="15"/>
    </row>
    <row r="448" ht="15.75" customHeight="1" spans="2:2" x14ac:dyDescent="0.25">
      <c r="B448" s="15"/>
    </row>
    <row r="449" ht="15.75" customHeight="1" spans="2:2" x14ac:dyDescent="0.25">
      <c r="B449" s="15"/>
    </row>
    <row r="450" ht="15.75" customHeight="1" spans="2:2" x14ac:dyDescent="0.25">
      <c r="B450" s="15"/>
    </row>
    <row r="451" ht="15.75" customHeight="1" spans="2:2" x14ac:dyDescent="0.25">
      <c r="B451" s="15"/>
    </row>
    <row r="452" ht="15.75" customHeight="1" spans="2:2" x14ac:dyDescent="0.25">
      <c r="B452" s="15"/>
    </row>
    <row r="453" ht="15.75" customHeight="1" spans="2:2" x14ac:dyDescent="0.25">
      <c r="B453" s="15"/>
    </row>
    <row r="454" ht="15.75" customHeight="1" spans="2:2" x14ac:dyDescent="0.25">
      <c r="B454" s="15"/>
    </row>
    <row r="455" ht="15.75" customHeight="1" spans="2:2" x14ac:dyDescent="0.25">
      <c r="B455" s="15"/>
    </row>
    <row r="456" ht="15.75" customHeight="1" spans="2:2" x14ac:dyDescent="0.25">
      <c r="B456" s="15"/>
    </row>
    <row r="457" ht="15.75" customHeight="1" spans="2:2" x14ac:dyDescent="0.25">
      <c r="B457" s="15"/>
    </row>
    <row r="458" ht="15.75" customHeight="1" spans="2:2" x14ac:dyDescent="0.25">
      <c r="B458" s="15"/>
    </row>
    <row r="459" ht="15.75" customHeight="1" spans="2:2" x14ac:dyDescent="0.25">
      <c r="B459" s="15"/>
    </row>
    <row r="460" ht="15.75" customHeight="1" spans="2:2" x14ac:dyDescent="0.25">
      <c r="B460" s="15"/>
    </row>
    <row r="461" ht="15.75" customHeight="1" spans="2:2" x14ac:dyDescent="0.25">
      <c r="B461" s="15"/>
    </row>
    <row r="462" ht="15.75" customHeight="1" spans="2:2" x14ac:dyDescent="0.25">
      <c r="B462" s="15"/>
    </row>
    <row r="463" ht="15.75" customHeight="1" spans="2:2" x14ac:dyDescent="0.25">
      <c r="B463" s="15"/>
    </row>
    <row r="464" ht="15.75" customHeight="1" spans="2:2" x14ac:dyDescent="0.25">
      <c r="B464" s="15"/>
    </row>
    <row r="465" ht="15.75" customHeight="1" spans="2:2" x14ac:dyDescent="0.25">
      <c r="B465" s="15"/>
    </row>
    <row r="466" ht="15.75" customHeight="1" spans="2:2" x14ac:dyDescent="0.25">
      <c r="B466" s="15"/>
    </row>
    <row r="467" ht="15.75" customHeight="1" spans="2:2" x14ac:dyDescent="0.25">
      <c r="B467" s="15"/>
    </row>
    <row r="468" ht="15.75" customHeight="1" spans="2:2" x14ac:dyDescent="0.25">
      <c r="B468" s="15"/>
    </row>
    <row r="469" ht="15.75" customHeight="1" spans="2:2" x14ac:dyDescent="0.25">
      <c r="B469" s="15"/>
    </row>
    <row r="470" ht="15.75" customHeight="1" spans="2:2" x14ac:dyDescent="0.25">
      <c r="B470" s="15"/>
    </row>
    <row r="471" ht="15.75" customHeight="1" spans="2:2" x14ac:dyDescent="0.25">
      <c r="B471" s="15"/>
    </row>
    <row r="472" ht="15.75" customHeight="1" spans="2:2" x14ac:dyDescent="0.25">
      <c r="B472" s="15"/>
    </row>
    <row r="473" ht="15.75" customHeight="1" spans="2:2" x14ac:dyDescent="0.25">
      <c r="B473" s="15"/>
    </row>
    <row r="474" ht="15.75" customHeight="1" spans="2:2" x14ac:dyDescent="0.25">
      <c r="B474" s="15"/>
    </row>
    <row r="475" ht="15.75" customHeight="1" spans="2:2" x14ac:dyDescent="0.25">
      <c r="B475" s="15"/>
    </row>
    <row r="476" ht="15.75" customHeight="1" spans="2:2" x14ac:dyDescent="0.25">
      <c r="B476" s="15"/>
    </row>
    <row r="477" ht="15.75" customHeight="1" spans="2:2" x14ac:dyDescent="0.25">
      <c r="B477" s="15"/>
    </row>
    <row r="478" ht="15.75" customHeight="1" spans="2:2" x14ac:dyDescent="0.25">
      <c r="B478" s="15"/>
    </row>
    <row r="479" ht="15.75" customHeight="1" spans="2:2" x14ac:dyDescent="0.25">
      <c r="B479" s="15"/>
    </row>
    <row r="480" ht="15.75" customHeight="1" spans="2:2" x14ac:dyDescent="0.25">
      <c r="B480" s="15"/>
    </row>
    <row r="481" ht="15.75" customHeight="1" spans="2:2" x14ac:dyDescent="0.25">
      <c r="B481" s="15"/>
    </row>
    <row r="482" ht="15.75" customHeight="1" spans="2:2" x14ac:dyDescent="0.25">
      <c r="B482" s="15"/>
    </row>
    <row r="483" ht="15.75" customHeight="1" spans="2:2" x14ac:dyDescent="0.25">
      <c r="B483" s="15"/>
    </row>
    <row r="484" ht="15.75" customHeight="1" spans="2:2" x14ac:dyDescent="0.25">
      <c r="B484" s="15"/>
    </row>
    <row r="485" ht="15.75" customHeight="1" spans="2:2" x14ac:dyDescent="0.25">
      <c r="B485" s="15"/>
    </row>
    <row r="486" ht="15.75" customHeight="1" spans="2:2" x14ac:dyDescent="0.25">
      <c r="B486" s="15"/>
    </row>
    <row r="487" ht="15.75" customHeight="1" spans="2:2" x14ac:dyDescent="0.25">
      <c r="B487" s="15"/>
    </row>
    <row r="488" ht="15.75" customHeight="1" spans="2:2" x14ac:dyDescent="0.25">
      <c r="B488" s="15"/>
    </row>
    <row r="489" ht="15.75" customHeight="1" spans="2:2" x14ac:dyDescent="0.25">
      <c r="B489" s="15"/>
    </row>
    <row r="490" ht="15.75" customHeight="1" spans="2:2" x14ac:dyDescent="0.25">
      <c r="B490" s="15"/>
    </row>
    <row r="491" ht="15.75" customHeight="1" spans="2:2" x14ac:dyDescent="0.25">
      <c r="B491" s="15"/>
    </row>
    <row r="492" ht="15.75" customHeight="1" spans="2:2" x14ac:dyDescent="0.25">
      <c r="B492" s="15"/>
    </row>
    <row r="493" ht="15.75" customHeight="1" spans="2:2" x14ac:dyDescent="0.25">
      <c r="B493" s="15"/>
    </row>
    <row r="494" ht="15.75" customHeight="1" spans="2:2" x14ac:dyDescent="0.25">
      <c r="B494" s="15"/>
    </row>
    <row r="495" ht="15.75" customHeight="1" spans="2:2" x14ac:dyDescent="0.25">
      <c r="B495" s="15"/>
    </row>
    <row r="496" ht="15.75" customHeight="1" spans="2:2" x14ac:dyDescent="0.25">
      <c r="B496" s="15"/>
    </row>
    <row r="497" ht="15.75" customHeight="1" spans="2:2" x14ac:dyDescent="0.25">
      <c r="B497" s="15"/>
    </row>
    <row r="498" ht="15.75" customHeight="1" spans="2:2" x14ac:dyDescent="0.25">
      <c r="B498" s="15"/>
    </row>
    <row r="499" ht="15.75" customHeight="1" spans="2:2" x14ac:dyDescent="0.25">
      <c r="B499" s="15"/>
    </row>
    <row r="500" ht="15.75" customHeight="1" spans="2:2" x14ac:dyDescent="0.25">
      <c r="B500" s="15"/>
    </row>
    <row r="501" ht="15.75" customHeight="1" spans="2:2" x14ac:dyDescent="0.25">
      <c r="B501" s="15"/>
    </row>
    <row r="502" ht="15.75" customHeight="1" spans="2:2" x14ac:dyDescent="0.25">
      <c r="B502" s="15"/>
    </row>
    <row r="503" ht="15.75" customHeight="1" spans="2:2" x14ac:dyDescent="0.25">
      <c r="B503" s="15"/>
    </row>
    <row r="504" ht="15.75" customHeight="1" spans="2:2" x14ac:dyDescent="0.25">
      <c r="B504" s="15"/>
    </row>
    <row r="505" ht="15.75" customHeight="1" spans="2:2" x14ac:dyDescent="0.25">
      <c r="B505" s="15"/>
    </row>
    <row r="506" ht="15.75" customHeight="1" spans="2:2" x14ac:dyDescent="0.25">
      <c r="B506" s="15"/>
    </row>
    <row r="507" ht="15.75" customHeight="1" spans="2:2" x14ac:dyDescent="0.25">
      <c r="B507" s="15"/>
    </row>
    <row r="508" ht="15.75" customHeight="1" spans="2:2" x14ac:dyDescent="0.25">
      <c r="B508" s="15"/>
    </row>
    <row r="509" ht="15.75" customHeight="1" spans="2:2" x14ac:dyDescent="0.25">
      <c r="B509" s="15"/>
    </row>
    <row r="510" ht="15.75" customHeight="1" spans="2:2" x14ac:dyDescent="0.25">
      <c r="B510" s="15"/>
    </row>
    <row r="511" ht="15.75" customHeight="1" spans="2:2" x14ac:dyDescent="0.25">
      <c r="B511" s="15"/>
    </row>
    <row r="512" ht="15.75" customHeight="1" spans="2:2" x14ac:dyDescent="0.25">
      <c r="B512" s="15"/>
    </row>
    <row r="513" ht="15.75" customHeight="1" spans="2:2" x14ac:dyDescent="0.25">
      <c r="B513" s="15"/>
    </row>
    <row r="514" ht="15.75" customHeight="1" spans="2:2" x14ac:dyDescent="0.25">
      <c r="B514" s="15"/>
    </row>
    <row r="515" ht="15.75" customHeight="1" spans="2:2" x14ac:dyDescent="0.25">
      <c r="B515" s="15"/>
    </row>
    <row r="516" ht="15.75" customHeight="1" spans="2:2" x14ac:dyDescent="0.25">
      <c r="B516" s="15"/>
    </row>
    <row r="517" ht="15.75" customHeight="1" spans="2:2" x14ac:dyDescent="0.25">
      <c r="B517" s="15"/>
    </row>
    <row r="518" ht="15.75" customHeight="1" spans="2:2" x14ac:dyDescent="0.25">
      <c r="B518" s="15"/>
    </row>
    <row r="519" ht="15.75" customHeight="1" spans="2:2" x14ac:dyDescent="0.25">
      <c r="B519" s="15"/>
    </row>
    <row r="520" ht="15.75" customHeight="1" spans="2:2" x14ac:dyDescent="0.25">
      <c r="B520" s="15"/>
    </row>
    <row r="521" ht="15.75" customHeight="1" spans="2:2" x14ac:dyDescent="0.25">
      <c r="B521" s="15"/>
    </row>
    <row r="522" ht="15.75" customHeight="1" spans="2:2" x14ac:dyDescent="0.25">
      <c r="B522" s="15"/>
    </row>
    <row r="523" ht="15.75" customHeight="1" spans="2:2" x14ac:dyDescent="0.25">
      <c r="B523" s="15"/>
    </row>
    <row r="524" ht="15.75" customHeight="1" spans="2:2" x14ac:dyDescent="0.25">
      <c r="B524" s="15"/>
    </row>
    <row r="525" ht="15.75" customHeight="1" spans="2:2" x14ac:dyDescent="0.25">
      <c r="B525" s="15"/>
    </row>
    <row r="526" ht="15.75" customHeight="1" spans="2:2" x14ac:dyDescent="0.25">
      <c r="B526" s="15"/>
    </row>
    <row r="527" ht="15.75" customHeight="1" spans="2:2" x14ac:dyDescent="0.25">
      <c r="B527" s="15"/>
    </row>
    <row r="528" ht="15.75" customHeight="1" spans="2:2" x14ac:dyDescent="0.25">
      <c r="B528" s="15"/>
    </row>
    <row r="529" ht="15.75" customHeight="1" spans="2:2" x14ac:dyDescent="0.25">
      <c r="B529" s="15"/>
    </row>
    <row r="530" ht="15.75" customHeight="1" spans="2:2" x14ac:dyDescent="0.25">
      <c r="B530" s="15"/>
    </row>
    <row r="531" ht="15.75" customHeight="1" spans="2:2" x14ac:dyDescent="0.25">
      <c r="B531" s="15"/>
    </row>
    <row r="532" ht="15.75" customHeight="1" spans="2:2" x14ac:dyDescent="0.25">
      <c r="B532" s="15"/>
    </row>
    <row r="533" ht="15.75" customHeight="1" spans="2:2" x14ac:dyDescent="0.25">
      <c r="B533" s="15"/>
    </row>
    <row r="534" ht="15.75" customHeight="1" spans="2:2" x14ac:dyDescent="0.25">
      <c r="B534" s="15"/>
    </row>
    <row r="535" ht="15.75" customHeight="1" spans="2:2" x14ac:dyDescent="0.25">
      <c r="B535" s="15"/>
    </row>
    <row r="536" ht="15.75" customHeight="1" spans="2:2" x14ac:dyDescent="0.25">
      <c r="B536" s="15"/>
    </row>
    <row r="537" ht="15.75" customHeight="1" spans="2:2" x14ac:dyDescent="0.25">
      <c r="B537" s="15"/>
    </row>
    <row r="538" ht="15.75" customHeight="1" spans="2:2" x14ac:dyDescent="0.25">
      <c r="B538" s="15"/>
    </row>
    <row r="539" ht="15.75" customHeight="1" spans="2:2" x14ac:dyDescent="0.25">
      <c r="B539" s="15"/>
    </row>
    <row r="540" ht="15.75" customHeight="1" spans="2:2" x14ac:dyDescent="0.25">
      <c r="B540" s="15"/>
    </row>
    <row r="541" ht="15.75" customHeight="1" spans="2:2" x14ac:dyDescent="0.25">
      <c r="B541" s="15"/>
    </row>
    <row r="542" ht="15.75" customHeight="1" spans="2:2" x14ac:dyDescent="0.25">
      <c r="B542" s="15"/>
    </row>
    <row r="543" ht="15.75" customHeight="1" spans="2:2" x14ac:dyDescent="0.25">
      <c r="B543" s="15"/>
    </row>
    <row r="544" ht="15.75" customHeight="1" spans="2:2" x14ac:dyDescent="0.25">
      <c r="B544" s="15"/>
    </row>
    <row r="545" ht="15.75" customHeight="1" spans="2:2" x14ac:dyDescent="0.25">
      <c r="B545" s="15"/>
    </row>
    <row r="546" ht="15.75" customHeight="1" spans="2:2" x14ac:dyDescent="0.25">
      <c r="B546" s="15"/>
    </row>
    <row r="547" ht="15.75" customHeight="1" spans="2:2" x14ac:dyDescent="0.25">
      <c r="B547" s="15"/>
    </row>
    <row r="548" ht="15.75" customHeight="1" spans="2:2" x14ac:dyDescent="0.25">
      <c r="B548" s="15"/>
    </row>
    <row r="549" ht="15.75" customHeight="1" spans="2:2" x14ac:dyDescent="0.25">
      <c r="B549" s="15"/>
    </row>
    <row r="550" ht="15.75" customHeight="1" spans="2:2" x14ac:dyDescent="0.25">
      <c r="B550" s="15"/>
    </row>
    <row r="551" ht="15.75" customHeight="1" spans="2:2" x14ac:dyDescent="0.25">
      <c r="B551" s="15"/>
    </row>
    <row r="552" ht="15.75" customHeight="1" spans="2:2" x14ac:dyDescent="0.25">
      <c r="B552" s="15"/>
    </row>
    <row r="553" ht="15.75" customHeight="1" spans="2:2" x14ac:dyDescent="0.25">
      <c r="B553" s="15"/>
    </row>
    <row r="554" ht="15.75" customHeight="1" spans="2:2" x14ac:dyDescent="0.25">
      <c r="B554" s="15"/>
    </row>
    <row r="555" ht="15.75" customHeight="1" spans="2:2" x14ac:dyDescent="0.25">
      <c r="B555" s="15"/>
    </row>
    <row r="556" ht="15.75" customHeight="1" spans="2:2" x14ac:dyDescent="0.25">
      <c r="B556" s="15"/>
    </row>
    <row r="557" ht="15.75" customHeight="1" spans="2:2" x14ac:dyDescent="0.25">
      <c r="B557" s="15"/>
    </row>
    <row r="558" ht="15.75" customHeight="1" spans="2:2" x14ac:dyDescent="0.25">
      <c r="B558" s="15"/>
    </row>
    <row r="559" ht="15.75" customHeight="1" spans="2:2" x14ac:dyDescent="0.25">
      <c r="B559" s="15"/>
    </row>
    <row r="560" ht="15.75" customHeight="1" spans="2:2" x14ac:dyDescent="0.25">
      <c r="B560" s="15"/>
    </row>
    <row r="561" ht="15.75" customHeight="1" spans="2:2" x14ac:dyDescent="0.25">
      <c r="B561" s="15"/>
    </row>
    <row r="562" ht="15.75" customHeight="1" spans="2:2" x14ac:dyDescent="0.25">
      <c r="B562" s="15"/>
    </row>
    <row r="563" ht="15.75" customHeight="1" spans="2:2" x14ac:dyDescent="0.25">
      <c r="B563" s="15"/>
    </row>
    <row r="564" ht="15.75" customHeight="1" spans="2:2" x14ac:dyDescent="0.25">
      <c r="B564" s="15"/>
    </row>
    <row r="565" ht="15.75" customHeight="1" spans="2:2" x14ac:dyDescent="0.25">
      <c r="B565" s="15"/>
    </row>
    <row r="566" ht="15.75" customHeight="1" spans="2:2" x14ac:dyDescent="0.25">
      <c r="B566" s="15"/>
    </row>
    <row r="567" ht="15.75" customHeight="1" spans="2:2" x14ac:dyDescent="0.25">
      <c r="B567" s="15"/>
    </row>
    <row r="568" ht="15.75" customHeight="1" spans="2:2" x14ac:dyDescent="0.25">
      <c r="B568" s="15"/>
    </row>
    <row r="569" ht="15.75" customHeight="1" spans="2:2" x14ac:dyDescent="0.25">
      <c r="B569" s="15"/>
    </row>
    <row r="570" ht="15.75" customHeight="1" spans="2:2" x14ac:dyDescent="0.25">
      <c r="B570" s="15"/>
    </row>
    <row r="571" ht="15.75" customHeight="1" spans="2:2" x14ac:dyDescent="0.25">
      <c r="B571" s="15"/>
    </row>
    <row r="572" ht="15.75" customHeight="1" spans="2:2" x14ac:dyDescent="0.25">
      <c r="B572" s="15"/>
    </row>
    <row r="573" ht="15.75" customHeight="1" spans="2:2" x14ac:dyDescent="0.25">
      <c r="B573" s="15"/>
    </row>
    <row r="574" ht="15.75" customHeight="1" spans="2:2" x14ac:dyDescent="0.25">
      <c r="B574" s="15"/>
    </row>
    <row r="575" ht="15.75" customHeight="1" spans="2:2" x14ac:dyDescent="0.25">
      <c r="B575" s="15"/>
    </row>
    <row r="576" ht="15.75" customHeight="1" spans="2:2" x14ac:dyDescent="0.25">
      <c r="B576" s="15"/>
    </row>
    <row r="577" ht="15.75" customHeight="1" spans="2:2" x14ac:dyDescent="0.25">
      <c r="B577" s="15"/>
    </row>
    <row r="578" ht="15.75" customHeight="1" spans="2:2" x14ac:dyDescent="0.25">
      <c r="B578" s="15"/>
    </row>
    <row r="579" ht="15.75" customHeight="1" spans="2:2" x14ac:dyDescent="0.25">
      <c r="B579" s="15"/>
    </row>
    <row r="580" ht="15.75" customHeight="1" spans="2:2" x14ac:dyDescent="0.25">
      <c r="B580" s="15"/>
    </row>
    <row r="581" ht="15.75" customHeight="1" spans="2:2" x14ac:dyDescent="0.25">
      <c r="B581" s="15"/>
    </row>
    <row r="582" ht="15.75" customHeight="1" spans="2:2" x14ac:dyDescent="0.25">
      <c r="B582" s="15"/>
    </row>
    <row r="583" ht="15.75" customHeight="1" spans="2:2" x14ac:dyDescent="0.25">
      <c r="B583" s="15"/>
    </row>
    <row r="584" ht="15.75" customHeight="1" spans="2:2" x14ac:dyDescent="0.25">
      <c r="B584" s="15"/>
    </row>
    <row r="585" ht="15.75" customHeight="1" spans="2:2" x14ac:dyDescent="0.25">
      <c r="B585" s="15"/>
    </row>
    <row r="586" ht="15.75" customHeight="1" spans="2:2" x14ac:dyDescent="0.25">
      <c r="B586" s="15"/>
    </row>
    <row r="587" ht="15.75" customHeight="1" spans="2:2" x14ac:dyDescent="0.25">
      <c r="B587" s="15"/>
    </row>
    <row r="588" ht="15.75" customHeight="1" spans="2:2" x14ac:dyDescent="0.25">
      <c r="B588" s="15"/>
    </row>
    <row r="589" ht="15.75" customHeight="1" spans="2:2" x14ac:dyDescent="0.25">
      <c r="B589" s="15"/>
    </row>
    <row r="590" ht="15.75" customHeight="1" spans="2:2" x14ac:dyDescent="0.25">
      <c r="B590" s="15"/>
    </row>
    <row r="591" ht="15.75" customHeight="1" spans="2:2" x14ac:dyDescent="0.25">
      <c r="B591" s="15"/>
    </row>
    <row r="592" ht="15.75" customHeight="1" spans="2:2" x14ac:dyDescent="0.25">
      <c r="B592" s="15"/>
    </row>
    <row r="593" ht="15.75" customHeight="1" spans="2:2" x14ac:dyDescent="0.25">
      <c r="B593" s="15"/>
    </row>
    <row r="594" ht="15.75" customHeight="1" spans="2:2" x14ac:dyDescent="0.25">
      <c r="B594" s="15"/>
    </row>
    <row r="595" ht="15.75" customHeight="1" spans="2:2" x14ac:dyDescent="0.25">
      <c r="B595" s="15"/>
    </row>
    <row r="596" ht="15.75" customHeight="1" spans="2:2" x14ac:dyDescent="0.25">
      <c r="B596" s="15"/>
    </row>
    <row r="597" ht="15.75" customHeight="1" spans="2:2" x14ac:dyDescent="0.25">
      <c r="B597" s="15"/>
    </row>
    <row r="598" ht="15.75" customHeight="1" spans="2:2" x14ac:dyDescent="0.25">
      <c r="B598" s="15"/>
    </row>
    <row r="599" ht="15.75" customHeight="1" spans="2:2" x14ac:dyDescent="0.25">
      <c r="B599" s="15"/>
    </row>
    <row r="600" ht="15.75" customHeight="1" spans="2:2" x14ac:dyDescent="0.25">
      <c r="B600" s="15"/>
    </row>
    <row r="601" ht="15.75" customHeight="1" spans="2:2" x14ac:dyDescent="0.25">
      <c r="B601" s="15"/>
    </row>
    <row r="602" ht="15.75" customHeight="1" spans="2:2" x14ac:dyDescent="0.25">
      <c r="B602" s="15"/>
    </row>
    <row r="603" ht="15.75" customHeight="1" spans="2:2" x14ac:dyDescent="0.25">
      <c r="B603" s="15"/>
    </row>
    <row r="604" ht="15.75" customHeight="1" spans="2:2" x14ac:dyDescent="0.25">
      <c r="B604" s="15"/>
    </row>
    <row r="605" ht="15.75" customHeight="1" spans="2:2" x14ac:dyDescent="0.25">
      <c r="B605" s="15"/>
    </row>
    <row r="606" ht="15.75" customHeight="1" spans="2:2" x14ac:dyDescent="0.25">
      <c r="B606" s="15"/>
    </row>
    <row r="607" ht="15.75" customHeight="1" spans="2:2" x14ac:dyDescent="0.25">
      <c r="B607" s="15"/>
    </row>
    <row r="608" ht="15.75" customHeight="1" spans="2:2" x14ac:dyDescent="0.25">
      <c r="B608" s="15"/>
    </row>
    <row r="609" ht="15.75" customHeight="1" spans="2:2" x14ac:dyDescent="0.25">
      <c r="B609" s="15"/>
    </row>
    <row r="610" ht="15.75" customHeight="1" spans="2:2" x14ac:dyDescent="0.25">
      <c r="B610" s="15"/>
    </row>
    <row r="611" ht="15.75" customHeight="1" spans="2:2" x14ac:dyDescent="0.25">
      <c r="B611" s="15"/>
    </row>
    <row r="612" ht="15.75" customHeight="1" spans="2:2" x14ac:dyDescent="0.25">
      <c r="B612" s="15"/>
    </row>
    <row r="613" ht="15.75" customHeight="1" spans="2:2" x14ac:dyDescent="0.25">
      <c r="B613" s="15"/>
    </row>
    <row r="614" ht="15.75" customHeight="1" spans="2:2" x14ac:dyDescent="0.25">
      <c r="B614" s="15"/>
    </row>
    <row r="615" ht="15.75" customHeight="1" spans="2:2" x14ac:dyDescent="0.25">
      <c r="B615" s="15"/>
    </row>
    <row r="616" ht="15.75" customHeight="1" spans="2:2" x14ac:dyDescent="0.25">
      <c r="B616" s="15"/>
    </row>
    <row r="617" ht="15.75" customHeight="1" spans="2:2" x14ac:dyDescent="0.25">
      <c r="B617" s="15"/>
    </row>
    <row r="618" ht="15.75" customHeight="1" spans="2:2" x14ac:dyDescent="0.25">
      <c r="B618" s="15"/>
    </row>
    <row r="619" ht="15.75" customHeight="1" spans="2:2" x14ac:dyDescent="0.25">
      <c r="B619" s="15"/>
    </row>
    <row r="620" ht="15.75" customHeight="1" spans="2:2" x14ac:dyDescent="0.25">
      <c r="B620" s="15"/>
    </row>
    <row r="621" ht="15.75" customHeight="1" spans="2:2" x14ac:dyDescent="0.25">
      <c r="B621" s="15"/>
    </row>
    <row r="622" ht="15.75" customHeight="1" spans="2:2" x14ac:dyDescent="0.25">
      <c r="B622" s="15"/>
    </row>
    <row r="623" ht="15.75" customHeight="1" spans="2:2" x14ac:dyDescent="0.25">
      <c r="B623" s="15"/>
    </row>
    <row r="624" ht="15.75" customHeight="1" spans="2:2" x14ac:dyDescent="0.25">
      <c r="B624" s="15"/>
    </row>
    <row r="625" ht="15.75" customHeight="1" spans="2:2" x14ac:dyDescent="0.25">
      <c r="B625" s="15"/>
    </row>
    <row r="626" ht="15.75" customHeight="1" spans="2:2" x14ac:dyDescent="0.25">
      <c r="B626" s="15"/>
    </row>
    <row r="627" ht="15.75" customHeight="1" spans="2:2" x14ac:dyDescent="0.25">
      <c r="B627" s="15"/>
    </row>
    <row r="628" ht="15.75" customHeight="1" spans="2:2" x14ac:dyDescent="0.25">
      <c r="B628" s="15"/>
    </row>
    <row r="629" ht="15.75" customHeight="1" spans="2:2" x14ac:dyDescent="0.25">
      <c r="B629" s="15"/>
    </row>
    <row r="630" ht="15.75" customHeight="1" spans="2:2" x14ac:dyDescent="0.25">
      <c r="B630" s="15"/>
    </row>
    <row r="631" ht="15.75" customHeight="1" spans="2:2" x14ac:dyDescent="0.25">
      <c r="B631" s="15"/>
    </row>
    <row r="632" ht="15.75" customHeight="1" spans="2:2" x14ac:dyDescent="0.25">
      <c r="B632" s="15"/>
    </row>
    <row r="633" ht="15.75" customHeight="1" spans="2:2" x14ac:dyDescent="0.25">
      <c r="B633" s="15"/>
    </row>
    <row r="634" ht="15.75" customHeight="1" spans="2:2" x14ac:dyDescent="0.25">
      <c r="B634" s="15"/>
    </row>
    <row r="635" ht="15.75" customHeight="1" spans="2:2" x14ac:dyDescent="0.25">
      <c r="B635" s="15"/>
    </row>
    <row r="636" ht="15.75" customHeight="1" spans="2:2" x14ac:dyDescent="0.25">
      <c r="B636" s="15"/>
    </row>
    <row r="637" ht="15.75" customHeight="1" spans="2:2" x14ac:dyDescent="0.25">
      <c r="B637" s="15"/>
    </row>
    <row r="638" ht="15.75" customHeight="1" spans="2:2" x14ac:dyDescent="0.25">
      <c r="B638" s="15"/>
    </row>
    <row r="639" ht="15.75" customHeight="1" spans="2:2" x14ac:dyDescent="0.25">
      <c r="B639" s="15"/>
    </row>
    <row r="640" ht="15.75" customHeight="1" spans="2:2" x14ac:dyDescent="0.25">
      <c r="B640" s="15"/>
    </row>
    <row r="641" ht="15.75" customHeight="1" spans="2:2" x14ac:dyDescent="0.25">
      <c r="B641" s="15"/>
    </row>
    <row r="642" ht="15.75" customHeight="1" spans="2:2" x14ac:dyDescent="0.25">
      <c r="B642" s="15"/>
    </row>
    <row r="643" ht="15.75" customHeight="1" spans="2:2" x14ac:dyDescent="0.25">
      <c r="B643" s="15"/>
    </row>
    <row r="644" ht="15.75" customHeight="1" spans="2:2" x14ac:dyDescent="0.25">
      <c r="B644" s="15"/>
    </row>
    <row r="645" ht="15.75" customHeight="1" spans="2:2" x14ac:dyDescent="0.25">
      <c r="B645" s="15"/>
    </row>
    <row r="646" ht="15.75" customHeight="1" spans="2:2" x14ac:dyDescent="0.25">
      <c r="B646" s="15"/>
    </row>
    <row r="647" ht="15.75" customHeight="1" spans="2:2" x14ac:dyDescent="0.25">
      <c r="B647" s="15"/>
    </row>
    <row r="648" ht="15.75" customHeight="1" spans="2:2" x14ac:dyDescent="0.25">
      <c r="B648" s="15"/>
    </row>
    <row r="649" ht="15.75" customHeight="1" spans="2:2" x14ac:dyDescent="0.25">
      <c r="B649" s="15"/>
    </row>
    <row r="650" ht="15.75" customHeight="1" spans="2:2" x14ac:dyDescent="0.25">
      <c r="B650" s="15"/>
    </row>
    <row r="651" ht="15.75" customHeight="1" spans="2:2" x14ac:dyDescent="0.25">
      <c r="B651" s="15"/>
    </row>
    <row r="652" ht="15.75" customHeight="1" spans="2:2" x14ac:dyDescent="0.25">
      <c r="B652" s="15"/>
    </row>
    <row r="653" ht="15.75" customHeight="1" spans="2:2" x14ac:dyDescent="0.25">
      <c r="B653" s="15"/>
    </row>
    <row r="654" ht="15.75" customHeight="1" spans="2:2" x14ac:dyDescent="0.25">
      <c r="B654" s="15"/>
    </row>
    <row r="655" ht="15.75" customHeight="1" spans="2:2" x14ac:dyDescent="0.25">
      <c r="B655" s="15"/>
    </row>
    <row r="656" ht="15.75" customHeight="1" spans="2:2" x14ac:dyDescent="0.25">
      <c r="B656" s="15"/>
    </row>
    <row r="657" ht="15.75" customHeight="1" spans="2:2" x14ac:dyDescent="0.25">
      <c r="B657" s="15"/>
    </row>
    <row r="658" ht="15.75" customHeight="1" spans="2:2" x14ac:dyDescent="0.25">
      <c r="B658" s="15"/>
    </row>
    <row r="659" ht="15.75" customHeight="1" spans="2:2" x14ac:dyDescent="0.25">
      <c r="B659" s="15"/>
    </row>
    <row r="660" ht="15.75" customHeight="1" spans="2:2" x14ac:dyDescent="0.25">
      <c r="B660" s="15"/>
    </row>
    <row r="661" ht="15.75" customHeight="1" spans="2:2" x14ac:dyDescent="0.25">
      <c r="B661" s="15"/>
    </row>
    <row r="662" ht="15.75" customHeight="1" spans="2:2" x14ac:dyDescent="0.25">
      <c r="B662" s="15"/>
    </row>
    <row r="663" ht="15.75" customHeight="1" spans="2:2" x14ac:dyDescent="0.25">
      <c r="B663" s="15"/>
    </row>
    <row r="664" ht="15.75" customHeight="1" spans="2:2" x14ac:dyDescent="0.25">
      <c r="B664" s="15"/>
    </row>
    <row r="665" ht="15.75" customHeight="1" spans="2:2" x14ac:dyDescent="0.25">
      <c r="B665" s="15"/>
    </row>
    <row r="666" ht="15.75" customHeight="1" spans="2:2" x14ac:dyDescent="0.25">
      <c r="B666" s="15"/>
    </row>
    <row r="667" ht="15.75" customHeight="1" spans="2:2" x14ac:dyDescent="0.25">
      <c r="B667" s="15"/>
    </row>
    <row r="668" ht="15.75" customHeight="1" spans="2:2" x14ac:dyDescent="0.25">
      <c r="B668" s="15"/>
    </row>
    <row r="669" ht="15.75" customHeight="1" spans="2:2" x14ac:dyDescent="0.25">
      <c r="B669" s="15"/>
    </row>
    <row r="670" ht="15.75" customHeight="1" spans="2:2" x14ac:dyDescent="0.25">
      <c r="B670" s="15"/>
    </row>
    <row r="671" ht="15.75" customHeight="1" spans="2:2" x14ac:dyDescent="0.25">
      <c r="B671" s="15"/>
    </row>
    <row r="672" ht="15.75" customHeight="1" spans="2:2" x14ac:dyDescent="0.25">
      <c r="B672" s="15"/>
    </row>
    <row r="673" ht="15.75" customHeight="1" spans="2:2" x14ac:dyDescent="0.25">
      <c r="B673" s="15"/>
    </row>
    <row r="674" ht="15.75" customHeight="1" spans="2:2" x14ac:dyDescent="0.25">
      <c r="B674" s="15"/>
    </row>
    <row r="675" ht="15.75" customHeight="1" spans="2:2" x14ac:dyDescent="0.25">
      <c r="B675" s="15"/>
    </row>
    <row r="676" ht="15.75" customHeight="1" spans="2:2" x14ac:dyDescent="0.25">
      <c r="B676" s="15"/>
    </row>
    <row r="677" ht="15.75" customHeight="1" spans="2:2" x14ac:dyDescent="0.25">
      <c r="B677" s="15"/>
    </row>
    <row r="678" ht="15.75" customHeight="1" spans="2:2" x14ac:dyDescent="0.25">
      <c r="B678" s="15"/>
    </row>
    <row r="679" ht="15.75" customHeight="1" spans="2:2" x14ac:dyDescent="0.25">
      <c r="B679" s="15"/>
    </row>
    <row r="680" ht="15.75" customHeight="1" spans="2:2" x14ac:dyDescent="0.25">
      <c r="B680" s="15"/>
    </row>
    <row r="681" ht="15.75" customHeight="1" spans="2:2" x14ac:dyDescent="0.25">
      <c r="B681" s="15"/>
    </row>
    <row r="682" ht="15.75" customHeight="1" spans="2:2" x14ac:dyDescent="0.25">
      <c r="B682" s="15"/>
    </row>
    <row r="683" ht="15.75" customHeight="1" spans="2:2" x14ac:dyDescent="0.25">
      <c r="B683" s="15"/>
    </row>
    <row r="684" ht="15.75" customHeight="1" spans="2:2" x14ac:dyDescent="0.25">
      <c r="B684" s="15"/>
    </row>
    <row r="685" ht="15.75" customHeight="1" spans="2:2" x14ac:dyDescent="0.25">
      <c r="B685" s="15"/>
    </row>
    <row r="686" ht="15.75" customHeight="1" spans="2:2" x14ac:dyDescent="0.25">
      <c r="B686" s="15"/>
    </row>
    <row r="687" ht="15.75" customHeight="1" spans="2:2" x14ac:dyDescent="0.25">
      <c r="B687" s="15"/>
    </row>
    <row r="688" ht="15.75" customHeight="1" spans="2:2" x14ac:dyDescent="0.25">
      <c r="B688" s="15"/>
    </row>
    <row r="689" ht="15.75" customHeight="1" spans="2:2" x14ac:dyDescent="0.25">
      <c r="B689" s="15"/>
    </row>
    <row r="690" ht="15.75" customHeight="1" spans="2:2" x14ac:dyDescent="0.25">
      <c r="B690" s="15"/>
    </row>
    <row r="691" ht="15.75" customHeight="1" spans="2:2" x14ac:dyDescent="0.25">
      <c r="B691" s="15"/>
    </row>
    <row r="692" ht="15.75" customHeight="1" spans="2:2" x14ac:dyDescent="0.25">
      <c r="B692" s="15"/>
    </row>
    <row r="693" ht="15.75" customHeight="1" spans="2:2" x14ac:dyDescent="0.25">
      <c r="B693" s="15"/>
    </row>
    <row r="694" ht="15.75" customHeight="1" spans="2:2" x14ac:dyDescent="0.25">
      <c r="B694" s="15"/>
    </row>
    <row r="695" ht="15.75" customHeight="1" spans="2:2" x14ac:dyDescent="0.25">
      <c r="B695" s="15"/>
    </row>
    <row r="696" ht="15.75" customHeight="1" spans="2:2" x14ac:dyDescent="0.25">
      <c r="B696" s="15"/>
    </row>
    <row r="697" ht="15.75" customHeight="1" spans="2:2" x14ac:dyDescent="0.25">
      <c r="B697" s="15"/>
    </row>
    <row r="698" ht="15.75" customHeight="1" spans="2:2" x14ac:dyDescent="0.25">
      <c r="B698" s="15"/>
    </row>
    <row r="699" ht="15.75" customHeight="1" spans="2:2" x14ac:dyDescent="0.25">
      <c r="B699" s="15"/>
    </row>
    <row r="700" ht="15.75" customHeight="1" spans="2:2" x14ac:dyDescent="0.25">
      <c r="B700" s="15"/>
    </row>
    <row r="701" ht="15.75" customHeight="1" spans="2:2" x14ac:dyDescent="0.25">
      <c r="B701" s="15"/>
    </row>
    <row r="702" ht="15.75" customHeight="1" spans="2:2" x14ac:dyDescent="0.25">
      <c r="B702" s="15"/>
    </row>
    <row r="703" ht="15.75" customHeight="1" spans="2:2" x14ac:dyDescent="0.25">
      <c r="B703" s="15"/>
    </row>
    <row r="704" ht="15.75" customHeight="1" spans="2:2" x14ac:dyDescent="0.25">
      <c r="B704" s="15"/>
    </row>
    <row r="705" ht="15.75" customHeight="1" spans="2:2" x14ac:dyDescent="0.25">
      <c r="B705" s="15"/>
    </row>
    <row r="706" ht="15.75" customHeight="1" spans="2:2" x14ac:dyDescent="0.25">
      <c r="B706" s="15"/>
    </row>
    <row r="707" ht="15.75" customHeight="1" spans="2:2" x14ac:dyDescent="0.25">
      <c r="B707" s="15"/>
    </row>
    <row r="708" ht="15.75" customHeight="1" spans="2:2" x14ac:dyDescent="0.25">
      <c r="B708" s="15"/>
    </row>
    <row r="709" ht="15.75" customHeight="1" spans="2:2" x14ac:dyDescent="0.25">
      <c r="B709" s="15"/>
    </row>
    <row r="710" ht="15.75" customHeight="1" spans="2:2" x14ac:dyDescent="0.25">
      <c r="B710" s="15"/>
    </row>
    <row r="711" ht="15.75" customHeight="1" spans="2:2" x14ac:dyDescent="0.25">
      <c r="B711" s="15"/>
    </row>
    <row r="712" ht="15.75" customHeight="1" spans="2:2" x14ac:dyDescent="0.25">
      <c r="B712" s="15"/>
    </row>
    <row r="713" ht="15.75" customHeight="1" spans="2:2" x14ac:dyDescent="0.25">
      <c r="B713" s="15"/>
    </row>
    <row r="714" ht="15.75" customHeight="1" spans="2:2" x14ac:dyDescent="0.25">
      <c r="B714" s="15"/>
    </row>
    <row r="715" ht="15.75" customHeight="1" spans="2:2" x14ac:dyDescent="0.25">
      <c r="B715" s="15"/>
    </row>
    <row r="716" ht="15.75" customHeight="1" spans="2:2" x14ac:dyDescent="0.25">
      <c r="B716" s="15"/>
    </row>
    <row r="717" ht="15.75" customHeight="1" spans="2:2" x14ac:dyDescent="0.25">
      <c r="B717" s="15"/>
    </row>
    <row r="718" ht="15.75" customHeight="1" spans="2:2" x14ac:dyDescent="0.25">
      <c r="B718" s="15"/>
    </row>
    <row r="719" ht="15.75" customHeight="1" spans="2:2" x14ac:dyDescent="0.25">
      <c r="B719" s="15"/>
    </row>
    <row r="720" ht="15.75" customHeight="1" spans="2:2" x14ac:dyDescent="0.25">
      <c r="B720" s="15"/>
    </row>
    <row r="721" ht="15.75" customHeight="1" spans="2:2" x14ac:dyDescent="0.25">
      <c r="B721" s="15"/>
    </row>
    <row r="722" ht="15.75" customHeight="1" spans="2:2" x14ac:dyDescent="0.25">
      <c r="B722" s="15"/>
    </row>
    <row r="723" ht="15.75" customHeight="1" spans="2:2" x14ac:dyDescent="0.25">
      <c r="B723" s="15"/>
    </row>
    <row r="724" ht="15.75" customHeight="1" spans="2:2" x14ac:dyDescent="0.25">
      <c r="B724" s="15"/>
    </row>
    <row r="725" ht="15.75" customHeight="1" spans="2:2" x14ac:dyDescent="0.25">
      <c r="B725" s="15"/>
    </row>
    <row r="726" ht="15.75" customHeight="1" spans="2:2" x14ac:dyDescent="0.25">
      <c r="B726" s="15"/>
    </row>
    <row r="727" ht="15.75" customHeight="1" spans="2:2" x14ac:dyDescent="0.25">
      <c r="B727" s="15"/>
    </row>
    <row r="728" ht="15.75" customHeight="1" spans="2:2" x14ac:dyDescent="0.25">
      <c r="B728" s="15"/>
    </row>
    <row r="729" ht="15.75" customHeight="1" spans="2:2" x14ac:dyDescent="0.25">
      <c r="B729" s="15"/>
    </row>
    <row r="730" ht="15.75" customHeight="1" spans="2:2" x14ac:dyDescent="0.25">
      <c r="B730" s="15"/>
    </row>
    <row r="731" ht="15.75" customHeight="1" spans="2:2" x14ac:dyDescent="0.25">
      <c r="B731" s="15"/>
    </row>
    <row r="732" ht="15.75" customHeight="1" spans="2:2" x14ac:dyDescent="0.25">
      <c r="B732" s="15"/>
    </row>
    <row r="733" ht="15.75" customHeight="1" spans="2:2" x14ac:dyDescent="0.25">
      <c r="B733" s="15"/>
    </row>
    <row r="734" ht="15.75" customHeight="1" spans="2:2" x14ac:dyDescent="0.25">
      <c r="B734" s="15"/>
    </row>
    <row r="735" ht="15.75" customHeight="1" spans="2:2" x14ac:dyDescent="0.25">
      <c r="B735" s="15"/>
    </row>
    <row r="736" ht="15.75" customHeight="1" spans="2:2" x14ac:dyDescent="0.25">
      <c r="B736" s="15"/>
    </row>
    <row r="737" ht="15.75" customHeight="1" spans="2:2" x14ac:dyDescent="0.25">
      <c r="B737" s="15"/>
    </row>
    <row r="738" ht="15.75" customHeight="1" spans="2:2" x14ac:dyDescent="0.25">
      <c r="B738" s="15"/>
    </row>
    <row r="739" ht="15.75" customHeight="1" spans="2:2" x14ac:dyDescent="0.25">
      <c r="B739" s="15"/>
    </row>
    <row r="740" ht="15.75" customHeight="1" spans="2:2" x14ac:dyDescent="0.25">
      <c r="B740" s="15"/>
    </row>
    <row r="741" ht="15.75" customHeight="1" spans="2:2" x14ac:dyDescent="0.25">
      <c r="B741" s="15"/>
    </row>
    <row r="742" ht="15.75" customHeight="1" spans="2:2" x14ac:dyDescent="0.25">
      <c r="B742" s="15"/>
    </row>
    <row r="743" ht="15.75" customHeight="1" spans="2:2" x14ac:dyDescent="0.25">
      <c r="B743" s="15"/>
    </row>
    <row r="744" ht="15.75" customHeight="1" spans="2:2" x14ac:dyDescent="0.25">
      <c r="B744" s="15"/>
    </row>
    <row r="745" ht="15.75" customHeight="1" spans="2:2" x14ac:dyDescent="0.25">
      <c r="B745" s="15"/>
    </row>
    <row r="746" ht="15.75" customHeight="1" spans="2:2" x14ac:dyDescent="0.25">
      <c r="B746" s="15"/>
    </row>
    <row r="747" ht="15.75" customHeight="1" spans="2:2" x14ac:dyDescent="0.25">
      <c r="B747" s="15"/>
    </row>
    <row r="748" ht="15.75" customHeight="1" spans="2:2" x14ac:dyDescent="0.25">
      <c r="B748" s="15"/>
    </row>
    <row r="749" ht="15.75" customHeight="1" spans="2:2" x14ac:dyDescent="0.25">
      <c r="B749" s="15"/>
    </row>
    <row r="750" ht="15.75" customHeight="1" spans="2:2" x14ac:dyDescent="0.25">
      <c r="B750" s="15"/>
    </row>
    <row r="751" ht="15.75" customHeight="1" spans="2:2" x14ac:dyDescent="0.25">
      <c r="B751" s="15"/>
    </row>
    <row r="752" ht="15.75" customHeight="1" spans="2:2" x14ac:dyDescent="0.25">
      <c r="B752" s="15"/>
    </row>
    <row r="753" ht="15.75" customHeight="1" spans="2:2" x14ac:dyDescent="0.25">
      <c r="B753" s="15"/>
    </row>
    <row r="754" ht="15.75" customHeight="1" spans="2:2" x14ac:dyDescent="0.25">
      <c r="B754" s="15"/>
    </row>
    <row r="755" ht="15.75" customHeight="1" spans="2:2" x14ac:dyDescent="0.25">
      <c r="B755" s="15"/>
    </row>
    <row r="756" ht="15.75" customHeight="1" spans="2:2" x14ac:dyDescent="0.25">
      <c r="B756" s="15"/>
    </row>
    <row r="757" ht="15.75" customHeight="1" spans="2:2" x14ac:dyDescent="0.25">
      <c r="B757" s="15"/>
    </row>
    <row r="758" ht="15.75" customHeight="1" spans="2:2" x14ac:dyDescent="0.25">
      <c r="B758" s="15"/>
    </row>
    <row r="759" ht="15.75" customHeight="1" spans="2:2" x14ac:dyDescent="0.25">
      <c r="B759" s="15"/>
    </row>
    <row r="760" ht="15.75" customHeight="1" spans="2:2" x14ac:dyDescent="0.25">
      <c r="B760" s="15"/>
    </row>
    <row r="761" ht="15.75" customHeight="1" spans="2:2" x14ac:dyDescent="0.25">
      <c r="B761" s="15"/>
    </row>
    <row r="762" ht="15.75" customHeight="1" spans="2:2" x14ac:dyDescent="0.25">
      <c r="B762" s="15"/>
    </row>
    <row r="763" ht="15.75" customHeight="1" spans="2:2" x14ac:dyDescent="0.25">
      <c r="B763" s="15"/>
    </row>
    <row r="764" ht="15.75" customHeight="1" spans="2:2" x14ac:dyDescent="0.25">
      <c r="B764" s="15"/>
    </row>
    <row r="765" ht="15.75" customHeight="1" spans="2:2" x14ac:dyDescent="0.25">
      <c r="B765" s="15"/>
    </row>
    <row r="766" ht="15.75" customHeight="1" spans="2:2" x14ac:dyDescent="0.25">
      <c r="B766" s="15"/>
    </row>
    <row r="767" ht="15.75" customHeight="1" spans="2:2" x14ac:dyDescent="0.25">
      <c r="B767" s="15"/>
    </row>
    <row r="768" ht="15.75" customHeight="1" spans="2:2" x14ac:dyDescent="0.25">
      <c r="B768" s="15"/>
    </row>
    <row r="769" ht="15.75" customHeight="1" spans="2:2" x14ac:dyDescent="0.25">
      <c r="B769" s="15"/>
    </row>
    <row r="770" ht="15.75" customHeight="1" spans="2:2" x14ac:dyDescent="0.25">
      <c r="B770" s="15"/>
    </row>
    <row r="771" ht="15.75" customHeight="1" spans="2:2" x14ac:dyDescent="0.25">
      <c r="B771" s="15"/>
    </row>
    <row r="772" ht="15.75" customHeight="1" spans="2:2" x14ac:dyDescent="0.25">
      <c r="B772" s="15"/>
    </row>
    <row r="773" ht="15.75" customHeight="1" spans="2:2" x14ac:dyDescent="0.25">
      <c r="B773" s="15"/>
    </row>
    <row r="774" ht="15.75" customHeight="1" spans="2:2" x14ac:dyDescent="0.25">
      <c r="B774" s="15"/>
    </row>
    <row r="775" ht="15.75" customHeight="1" spans="2:2" x14ac:dyDescent="0.25">
      <c r="B775" s="15"/>
    </row>
    <row r="776" ht="15.75" customHeight="1" spans="2:2" x14ac:dyDescent="0.25">
      <c r="B776" s="15"/>
    </row>
    <row r="777" ht="15.75" customHeight="1" spans="2:2" x14ac:dyDescent="0.25">
      <c r="B777" s="15"/>
    </row>
    <row r="778" ht="15.75" customHeight="1" spans="2:2" x14ac:dyDescent="0.25">
      <c r="B778" s="15"/>
    </row>
    <row r="779" ht="15.75" customHeight="1" spans="2:2" x14ac:dyDescent="0.25">
      <c r="B779" s="15"/>
    </row>
    <row r="780" ht="15.75" customHeight="1" spans="2:2" x14ac:dyDescent="0.25">
      <c r="B780" s="15"/>
    </row>
    <row r="781" ht="15.75" customHeight="1" spans="2:2" x14ac:dyDescent="0.25">
      <c r="B781" s="15"/>
    </row>
    <row r="782" ht="15.75" customHeight="1" spans="2:2" x14ac:dyDescent="0.25">
      <c r="B782" s="15"/>
    </row>
    <row r="783" ht="15.75" customHeight="1" spans="2:2" x14ac:dyDescent="0.25">
      <c r="B783" s="15"/>
    </row>
    <row r="784" ht="15.75" customHeight="1" spans="2:2" x14ac:dyDescent="0.25">
      <c r="B784" s="15"/>
    </row>
    <row r="785" ht="15.75" customHeight="1" spans="2:2" x14ac:dyDescent="0.25">
      <c r="B785" s="15"/>
    </row>
    <row r="786" ht="15.75" customHeight="1" spans="2:2" x14ac:dyDescent="0.25">
      <c r="B786" s="15"/>
    </row>
    <row r="787" ht="15.75" customHeight="1" spans="2:2" x14ac:dyDescent="0.25">
      <c r="B787" s="15"/>
    </row>
    <row r="788" ht="15.75" customHeight="1" spans="2:2" x14ac:dyDescent="0.25">
      <c r="B788" s="15"/>
    </row>
    <row r="789" ht="15.75" customHeight="1" spans="2:2" x14ac:dyDescent="0.25">
      <c r="B789" s="15"/>
    </row>
    <row r="790" ht="15.75" customHeight="1" spans="2:2" x14ac:dyDescent="0.25">
      <c r="B790" s="15"/>
    </row>
    <row r="791" ht="15.75" customHeight="1" spans="2:2" x14ac:dyDescent="0.25">
      <c r="B791" s="15"/>
    </row>
    <row r="792" ht="15.75" customHeight="1" spans="2:2" x14ac:dyDescent="0.25">
      <c r="B792" s="15"/>
    </row>
    <row r="793" ht="15.75" customHeight="1" spans="2:2" x14ac:dyDescent="0.25">
      <c r="B793" s="15"/>
    </row>
    <row r="794" ht="15.75" customHeight="1" spans="2:2" x14ac:dyDescent="0.25">
      <c r="B794" s="15"/>
    </row>
    <row r="795" ht="15.75" customHeight="1" spans="2:2" x14ac:dyDescent="0.25">
      <c r="B795" s="15"/>
    </row>
    <row r="796" ht="15.75" customHeight="1" spans="2:2" x14ac:dyDescent="0.25">
      <c r="B796" s="15"/>
    </row>
    <row r="797" ht="15.75" customHeight="1" spans="2:2" x14ac:dyDescent="0.25">
      <c r="B797" s="15"/>
    </row>
    <row r="798" ht="15.75" customHeight="1" spans="2:2" x14ac:dyDescent="0.25">
      <c r="B798" s="15"/>
    </row>
    <row r="799" ht="15.75" customHeight="1" spans="2:2" x14ac:dyDescent="0.25">
      <c r="B799" s="15"/>
    </row>
    <row r="800" ht="15.75" customHeight="1" spans="2:2" x14ac:dyDescent="0.25">
      <c r="B800" s="15"/>
    </row>
    <row r="801" ht="15.75" customHeight="1" spans="2:2" x14ac:dyDescent="0.25">
      <c r="B801" s="15"/>
    </row>
    <row r="802" ht="15.75" customHeight="1" spans="2:2" x14ac:dyDescent="0.25">
      <c r="B802" s="15"/>
    </row>
    <row r="803" ht="15.75" customHeight="1" spans="2:2" x14ac:dyDescent="0.25">
      <c r="B803" s="15"/>
    </row>
    <row r="804" ht="15.75" customHeight="1" spans="2:2" x14ac:dyDescent="0.25">
      <c r="B804" s="15"/>
    </row>
    <row r="805" ht="15.75" customHeight="1" spans="2:2" x14ac:dyDescent="0.25">
      <c r="B805" s="15"/>
    </row>
    <row r="806" ht="15.75" customHeight="1" spans="2:2" x14ac:dyDescent="0.25">
      <c r="B806" s="15"/>
    </row>
    <row r="807" ht="15.75" customHeight="1" spans="2:2" x14ac:dyDescent="0.25">
      <c r="B807" s="15"/>
    </row>
    <row r="808" ht="15.75" customHeight="1" spans="2:2" x14ac:dyDescent="0.25">
      <c r="B808" s="15"/>
    </row>
    <row r="809" ht="15.75" customHeight="1" spans="2:2" x14ac:dyDescent="0.25">
      <c r="B809" s="15"/>
    </row>
    <row r="810" ht="15.75" customHeight="1" spans="2:2" x14ac:dyDescent="0.25">
      <c r="B810" s="15"/>
    </row>
    <row r="811" ht="15.75" customHeight="1" spans="2:2" x14ac:dyDescent="0.25">
      <c r="B811" s="15"/>
    </row>
    <row r="812" ht="15.75" customHeight="1" spans="2:2" x14ac:dyDescent="0.25">
      <c r="B812" s="15"/>
    </row>
    <row r="813" ht="15.75" customHeight="1" spans="2:2" x14ac:dyDescent="0.25">
      <c r="B813" s="15"/>
    </row>
    <row r="814" ht="15.75" customHeight="1" spans="2:2" x14ac:dyDescent="0.25">
      <c r="B814" s="15"/>
    </row>
    <row r="815" ht="15.75" customHeight="1" spans="2:2" x14ac:dyDescent="0.25">
      <c r="B815" s="15"/>
    </row>
    <row r="816" ht="15.75" customHeight="1" spans="2:2" x14ac:dyDescent="0.25">
      <c r="B816" s="15"/>
    </row>
    <row r="817" ht="15.75" customHeight="1" spans="2:2" x14ac:dyDescent="0.25">
      <c r="B817" s="15"/>
    </row>
    <row r="818" ht="15.75" customHeight="1" spans="2:2" x14ac:dyDescent="0.25">
      <c r="B818" s="15"/>
    </row>
    <row r="819" ht="15.75" customHeight="1" spans="2:2" x14ac:dyDescent="0.25">
      <c r="B819" s="15"/>
    </row>
    <row r="820" ht="15.75" customHeight="1" spans="2:2" x14ac:dyDescent="0.25">
      <c r="B820" s="15"/>
    </row>
    <row r="821" ht="15.75" customHeight="1" spans="2:2" x14ac:dyDescent="0.25">
      <c r="B821" s="15"/>
    </row>
    <row r="822" ht="15.75" customHeight="1" spans="2:2" x14ac:dyDescent="0.25">
      <c r="B822" s="15"/>
    </row>
    <row r="823" ht="15.75" customHeight="1" spans="2:2" x14ac:dyDescent="0.25">
      <c r="B823" s="15"/>
    </row>
    <row r="824" ht="15.75" customHeight="1" spans="2:2" x14ac:dyDescent="0.25">
      <c r="B824" s="15"/>
    </row>
    <row r="825" ht="15.75" customHeight="1" spans="2:2" x14ac:dyDescent="0.25">
      <c r="B825" s="15"/>
    </row>
    <row r="826" ht="15.75" customHeight="1" spans="2:2" x14ac:dyDescent="0.25">
      <c r="B826" s="15"/>
    </row>
    <row r="827" ht="15.75" customHeight="1" spans="2:2" x14ac:dyDescent="0.25">
      <c r="B827" s="15"/>
    </row>
    <row r="828" ht="15.75" customHeight="1" spans="2:2" x14ac:dyDescent="0.25">
      <c r="B828" s="15"/>
    </row>
    <row r="829" ht="15.75" customHeight="1" spans="2:2" x14ac:dyDescent="0.25">
      <c r="B829" s="15"/>
    </row>
    <row r="830" ht="15.75" customHeight="1" spans="2:2" x14ac:dyDescent="0.25">
      <c r="B830" s="15"/>
    </row>
    <row r="831" ht="15.75" customHeight="1" spans="2:2" x14ac:dyDescent="0.25">
      <c r="B831" s="15"/>
    </row>
    <row r="832" ht="15.75" customHeight="1" spans="2:2" x14ac:dyDescent="0.25">
      <c r="B832" s="15"/>
    </row>
    <row r="833" ht="15.75" customHeight="1" spans="2:2" x14ac:dyDescent="0.25">
      <c r="B833" s="15"/>
    </row>
    <row r="834" ht="15.75" customHeight="1" spans="2:2" x14ac:dyDescent="0.25">
      <c r="B834" s="15"/>
    </row>
    <row r="835" ht="15.75" customHeight="1" spans="2:2" x14ac:dyDescent="0.25">
      <c r="B835" s="15"/>
    </row>
    <row r="836" ht="15.75" customHeight="1" spans="2:2" x14ac:dyDescent="0.25">
      <c r="B836" s="15"/>
    </row>
    <row r="837" ht="15.75" customHeight="1" spans="2:2" x14ac:dyDescent="0.25">
      <c r="B837" s="15"/>
    </row>
    <row r="838" ht="15.75" customHeight="1" spans="2:2" x14ac:dyDescent="0.25">
      <c r="B838" s="15"/>
    </row>
    <row r="839" ht="15.75" customHeight="1" spans="2:2" x14ac:dyDescent="0.25">
      <c r="B839" s="15"/>
    </row>
    <row r="840" ht="15.75" customHeight="1" spans="2:2" x14ac:dyDescent="0.25">
      <c r="B840" s="15"/>
    </row>
    <row r="841" ht="15.75" customHeight="1" spans="2:2" x14ac:dyDescent="0.25">
      <c r="B841" s="15"/>
    </row>
    <row r="842" ht="15.75" customHeight="1" spans="2:2" x14ac:dyDescent="0.25">
      <c r="B842" s="15"/>
    </row>
    <row r="843" ht="15.75" customHeight="1" spans="2:2" x14ac:dyDescent="0.25">
      <c r="B843" s="15"/>
    </row>
    <row r="844" ht="15.75" customHeight="1" spans="2:2" x14ac:dyDescent="0.25">
      <c r="B844" s="15"/>
    </row>
    <row r="845" ht="15.75" customHeight="1" spans="2:2" x14ac:dyDescent="0.25">
      <c r="B845" s="15"/>
    </row>
    <row r="846" ht="15.75" customHeight="1" spans="2:2" x14ac:dyDescent="0.25">
      <c r="B846" s="15"/>
    </row>
    <row r="847" ht="15.75" customHeight="1" spans="2:2" x14ac:dyDescent="0.25">
      <c r="B847" s="15"/>
    </row>
    <row r="848" ht="15.75" customHeight="1" spans="2:2" x14ac:dyDescent="0.25">
      <c r="B848" s="15"/>
    </row>
    <row r="849" ht="15.75" customHeight="1" spans="2:2" x14ac:dyDescent="0.25">
      <c r="B849" s="15"/>
    </row>
    <row r="850" ht="15.75" customHeight="1" spans="2:2" x14ac:dyDescent="0.25">
      <c r="B850" s="15"/>
    </row>
    <row r="851" ht="15.75" customHeight="1" spans="2:2" x14ac:dyDescent="0.25">
      <c r="B851" s="15"/>
    </row>
    <row r="852" ht="15.75" customHeight="1" spans="2:2" x14ac:dyDescent="0.25">
      <c r="B852" s="15"/>
    </row>
    <row r="853" ht="15.75" customHeight="1" spans="2:2" x14ac:dyDescent="0.25">
      <c r="B853" s="15"/>
    </row>
    <row r="854" ht="15.75" customHeight="1" spans="2:2" x14ac:dyDescent="0.25">
      <c r="B854" s="15"/>
    </row>
    <row r="855" ht="15.75" customHeight="1" spans="2:2" x14ac:dyDescent="0.25">
      <c r="B855" s="15"/>
    </row>
    <row r="856" ht="15.75" customHeight="1" spans="2:2" x14ac:dyDescent="0.25">
      <c r="B856" s="15"/>
    </row>
    <row r="857" ht="15.75" customHeight="1" spans="2:2" x14ac:dyDescent="0.25">
      <c r="B857" s="15"/>
    </row>
    <row r="858" ht="15.75" customHeight="1" spans="2:2" x14ac:dyDescent="0.25">
      <c r="B858" s="15"/>
    </row>
    <row r="859" ht="15.75" customHeight="1" spans="2:2" x14ac:dyDescent="0.25">
      <c r="B859" s="15"/>
    </row>
    <row r="860" ht="15.75" customHeight="1" spans="2:2" x14ac:dyDescent="0.25">
      <c r="B860" s="15"/>
    </row>
    <row r="861" ht="15.75" customHeight="1" spans="2:2" x14ac:dyDescent="0.25">
      <c r="B861" s="15"/>
    </row>
    <row r="862" ht="15.75" customHeight="1" spans="2:2" x14ac:dyDescent="0.25">
      <c r="B862" s="15"/>
    </row>
    <row r="863" ht="15.75" customHeight="1" spans="2:2" x14ac:dyDescent="0.25">
      <c r="B863" s="15"/>
    </row>
    <row r="864" ht="15.75" customHeight="1" spans="2:2" x14ac:dyDescent="0.25">
      <c r="B864" s="15"/>
    </row>
    <row r="865" ht="15.75" customHeight="1" spans="2:2" x14ac:dyDescent="0.25">
      <c r="B865" s="15"/>
    </row>
    <row r="866" ht="15.75" customHeight="1" spans="2:2" x14ac:dyDescent="0.25">
      <c r="B866" s="15"/>
    </row>
    <row r="867" ht="15.75" customHeight="1" spans="2:2" x14ac:dyDescent="0.25">
      <c r="B867" s="15"/>
    </row>
    <row r="868" ht="15.75" customHeight="1" spans="2:2" x14ac:dyDescent="0.25">
      <c r="B868" s="15"/>
    </row>
    <row r="869" ht="15.75" customHeight="1" spans="2:2" x14ac:dyDescent="0.25">
      <c r="B869" s="15"/>
    </row>
    <row r="870" ht="15.75" customHeight="1" spans="2:2" x14ac:dyDescent="0.25">
      <c r="B870" s="15"/>
    </row>
    <row r="871" ht="15.75" customHeight="1" spans="2:2" x14ac:dyDescent="0.25">
      <c r="B871" s="15"/>
    </row>
    <row r="872" ht="15.75" customHeight="1" spans="2:2" x14ac:dyDescent="0.25">
      <c r="B872" s="15"/>
    </row>
    <row r="873" ht="15.75" customHeight="1" spans="2:2" x14ac:dyDescent="0.25">
      <c r="B873" s="15"/>
    </row>
    <row r="874" ht="15.75" customHeight="1" spans="2:2" x14ac:dyDescent="0.25">
      <c r="B874" s="15"/>
    </row>
    <row r="875" ht="15.75" customHeight="1" spans="2:2" x14ac:dyDescent="0.25">
      <c r="B875" s="15"/>
    </row>
    <row r="876" ht="15.75" customHeight="1" spans="2:2" x14ac:dyDescent="0.25">
      <c r="B876" s="15"/>
    </row>
    <row r="877" ht="15.75" customHeight="1" spans="2:2" x14ac:dyDescent="0.25">
      <c r="B877" s="15"/>
    </row>
    <row r="878" ht="15.75" customHeight="1" spans="2:2" x14ac:dyDescent="0.25">
      <c r="B878" s="15"/>
    </row>
    <row r="879" ht="15.75" customHeight="1" spans="2:2" x14ac:dyDescent="0.25">
      <c r="B879" s="15"/>
    </row>
    <row r="880" ht="15.75" customHeight="1" spans="2:2" x14ac:dyDescent="0.25">
      <c r="B880" s="15"/>
    </row>
    <row r="881" ht="15.75" customHeight="1" spans="2:2" x14ac:dyDescent="0.25">
      <c r="B881" s="15"/>
    </row>
    <row r="882" ht="15.75" customHeight="1" spans="2:2" x14ac:dyDescent="0.25">
      <c r="B882" s="15"/>
    </row>
    <row r="883" ht="15.75" customHeight="1" spans="2:2" x14ac:dyDescent="0.25">
      <c r="B883" s="15"/>
    </row>
    <row r="884" ht="15.75" customHeight="1" spans="2:2" x14ac:dyDescent="0.25">
      <c r="B884" s="15"/>
    </row>
    <row r="885" ht="15.75" customHeight="1" spans="2:2" x14ac:dyDescent="0.25">
      <c r="B885" s="15"/>
    </row>
    <row r="886" ht="15.75" customHeight="1" spans="2:2" x14ac:dyDescent="0.25">
      <c r="B886" s="15"/>
    </row>
    <row r="887" ht="15.75" customHeight="1" spans="2:2" x14ac:dyDescent="0.25">
      <c r="B887" s="15"/>
    </row>
    <row r="888" ht="15.75" customHeight="1" spans="2:2" x14ac:dyDescent="0.25">
      <c r="B888" s="15"/>
    </row>
    <row r="889" ht="15.75" customHeight="1" spans="2:2" x14ac:dyDescent="0.25">
      <c r="B889" s="15"/>
    </row>
    <row r="890" ht="15.75" customHeight="1" spans="2:2" x14ac:dyDescent="0.25">
      <c r="B890" s="15"/>
    </row>
    <row r="891" ht="15.75" customHeight="1" spans="2:2" x14ac:dyDescent="0.25">
      <c r="B891" s="15"/>
    </row>
    <row r="892" ht="15.75" customHeight="1" spans="2:2" x14ac:dyDescent="0.25">
      <c r="B892" s="15"/>
    </row>
    <row r="893" ht="15.75" customHeight="1" spans="2:2" x14ac:dyDescent="0.25">
      <c r="B893" s="15"/>
    </row>
    <row r="894" ht="15.75" customHeight="1" spans="2:2" x14ac:dyDescent="0.25">
      <c r="B894" s="15"/>
    </row>
    <row r="895" ht="15.75" customHeight="1" spans="2:2" x14ac:dyDescent="0.25">
      <c r="B895" s="15"/>
    </row>
    <row r="896" ht="15.75" customHeight="1" spans="2:2" x14ac:dyDescent="0.25">
      <c r="B896" s="15"/>
    </row>
    <row r="897" ht="15.75" customHeight="1" spans="2:2" x14ac:dyDescent="0.25">
      <c r="B897" s="15"/>
    </row>
    <row r="898" ht="15.75" customHeight="1" spans="2:2" x14ac:dyDescent="0.25">
      <c r="B898" s="15"/>
    </row>
    <row r="899" ht="15.75" customHeight="1" spans="2:2" x14ac:dyDescent="0.25">
      <c r="B899" s="15"/>
    </row>
    <row r="900" ht="15.75" customHeight="1" spans="2:2" x14ac:dyDescent="0.25">
      <c r="B900" s="15"/>
    </row>
    <row r="901" ht="15.75" customHeight="1" spans="2:2" x14ac:dyDescent="0.25">
      <c r="B901" s="15"/>
    </row>
    <row r="902" ht="15.75" customHeight="1" spans="2:2" x14ac:dyDescent="0.25">
      <c r="B902" s="15"/>
    </row>
    <row r="903" ht="15.75" customHeight="1" spans="2:2" x14ac:dyDescent="0.25">
      <c r="B903" s="15"/>
    </row>
    <row r="904" ht="15.75" customHeight="1" spans="2:2" x14ac:dyDescent="0.25">
      <c r="B904" s="15"/>
    </row>
    <row r="905" ht="15.75" customHeight="1" spans="2:2" x14ac:dyDescent="0.25">
      <c r="B905" s="15"/>
    </row>
    <row r="906" ht="15.75" customHeight="1" spans="2:2" x14ac:dyDescent="0.25">
      <c r="B906" s="15"/>
    </row>
    <row r="907" ht="15.75" customHeight="1" spans="2:2" x14ac:dyDescent="0.25">
      <c r="B907" s="15"/>
    </row>
    <row r="908" ht="15.75" customHeight="1" spans="2:2" x14ac:dyDescent="0.25">
      <c r="B908" s="15"/>
    </row>
    <row r="909" ht="15.75" customHeight="1" spans="2:2" x14ac:dyDescent="0.25">
      <c r="B909" s="15"/>
    </row>
    <row r="910" ht="15.75" customHeight="1" spans="2:2" x14ac:dyDescent="0.25">
      <c r="B910" s="15"/>
    </row>
    <row r="911" ht="15.75" customHeight="1" spans="2:2" x14ac:dyDescent="0.25">
      <c r="B911" s="15"/>
    </row>
    <row r="912" ht="15.75" customHeight="1" spans="2:2" x14ac:dyDescent="0.25">
      <c r="B912" s="15"/>
    </row>
    <row r="913" ht="15.75" customHeight="1" spans="2:2" x14ac:dyDescent="0.25">
      <c r="B913" s="15"/>
    </row>
    <row r="914" ht="15.75" customHeight="1" spans="2:2" x14ac:dyDescent="0.25">
      <c r="B914" s="15"/>
    </row>
    <row r="915" ht="15.75" customHeight="1" spans="2:2" x14ac:dyDescent="0.25">
      <c r="B915" s="15"/>
    </row>
    <row r="916" ht="15.75" customHeight="1" spans="2:2" x14ac:dyDescent="0.25">
      <c r="B916" s="15"/>
    </row>
    <row r="917" ht="15.75" customHeight="1" spans="2:2" x14ac:dyDescent="0.25">
      <c r="B917" s="15"/>
    </row>
    <row r="918" ht="15.75" customHeight="1" spans="2:2" x14ac:dyDescent="0.25">
      <c r="B918" s="15"/>
    </row>
    <row r="919" ht="15.75" customHeight="1" spans="2:2" x14ac:dyDescent="0.25">
      <c r="B919" s="15"/>
    </row>
    <row r="920" ht="15.75" customHeight="1" spans="2:2" x14ac:dyDescent="0.25">
      <c r="B920" s="15"/>
    </row>
    <row r="921" ht="15.75" customHeight="1" spans="2:2" x14ac:dyDescent="0.25">
      <c r="B921" s="15"/>
    </row>
    <row r="922" ht="15.75" customHeight="1" spans="2:2" x14ac:dyDescent="0.25">
      <c r="B922" s="15"/>
    </row>
    <row r="923" ht="15.75" customHeight="1" spans="2:2" x14ac:dyDescent="0.25">
      <c r="B923" s="15"/>
    </row>
    <row r="924" ht="15.75" customHeight="1" spans="2:2" x14ac:dyDescent="0.25">
      <c r="B924" s="15"/>
    </row>
    <row r="925" ht="15.75" customHeight="1" spans="2:2" x14ac:dyDescent="0.25">
      <c r="B925" s="15"/>
    </row>
    <row r="926" ht="15.75" customHeight="1" spans="2:2" x14ac:dyDescent="0.25">
      <c r="B926" s="15"/>
    </row>
    <row r="927" ht="15.75" customHeight="1" spans="2:2" x14ac:dyDescent="0.25">
      <c r="B927" s="15"/>
    </row>
    <row r="928" ht="15.75" customHeight="1" spans="2:2" x14ac:dyDescent="0.25">
      <c r="B928" s="15"/>
    </row>
    <row r="929" ht="15.75" customHeight="1" spans="2:2" x14ac:dyDescent="0.25">
      <c r="B929" s="15"/>
    </row>
    <row r="930" ht="15.75" customHeight="1" spans="2:2" x14ac:dyDescent="0.25">
      <c r="B930" s="15"/>
    </row>
    <row r="931" ht="15.75" customHeight="1" spans="2:2" x14ac:dyDescent="0.25">
      <c r="B931" s="15"/>
    </row>
    <row r="932" ht="15.75" customHeight="1" spans="2:2" x14ac:dyDescent="0.25">
      <c r="B932" s="15"/>
    </row>
    <row r="933" ht="15.75" customHeight="1" spans="2:2" x14ac:dyDescent="0.25">
      <c r="B933" s="15"/>
    </row>
    <row r="934" ht="15.75" customHeight="1" spans="2:2" x14ac:dyDescent="0.25">
      <c r="B934" s="15"/>
    </row>
    <row r="935" ht="15.75" customHeight="1" spans="2:2" x14ac:dyDescent="0.25">
      <c r="B935" s="15"/>
    </row>
    <row r="936" ht="15.75" customHeight="1" spans="2:2" x14ac:dyDescent="0.25">
      <c r="B936" s="15"/>
    </row>
    <row r="937" ht="15.75" customHeight="1" spans="2:2" x14ac:dyDescent="0.25">
      <c r="B937" s="15"/>
    </row>
    <row r="938" ht="15.75" customHeight="1" spans="2:2" x14ac:dyDescent="0.25">
      <c r="B938" s="15"/>
    </row>
    <row r="939" ht="15.75" customHeight="1" spans="2:2" x14ac:dyDescent="0.25">
      <c r="B939" s="15"/>
    </row>
    <row r="940" ht="15.75" customHeight="1" spans="2:2" x14ac:dyDescent="0.25">
      <c r="B940" s="15"/>
    </row>
    <row r="941" ht="15.75" customHeight="1" spans="2:2" x14ac:dyDescent="0.25">
      <c r="B941" s="15"/>
    </row>
    <row r="942" ht="15.75" customHeight="1" spans="2:2" x14ac:dyDescent="0.25">
      <c r="B942" s="15"/>
    </row>
    <row r="943" ht="15.75" customHeight="1" spans="2:2" x14ac:dyDescent="0.25">
      <c r="B943" s="15"/>
    </row>
    <row r="944" ht="15.75" customHeight="1" spans="2:2" x14ac:dyDescent="0.25">
      <c r="B944" s="15"/>
    </row>
    <row r="945" ht="15.75" customHeight="1" spans="2:2" x14ac:dyDescent="0.25">
      <c r="B945" s="15"/>
    </row>
    <row r="946" ht="15.75" customHeight="1" spans="2:2" x14ac:dyDescent="0.25">
      <c r="B946" s="15"/>
    </row>
    <row r="947" ht="15.75" customHeight="1" spans="2:2" x14ac:dyDescent="0.25">
      <c r="B947" s="15"/>
    </row>
    <row r="948" ht="15.75" customHeight="1" spans="2:2" x14ac:dyDescent="0.25">
      <c r="B948" s="15"/>
    </row>
    <row r="949" ht="15.75" customHeight="1" spans="2:2" x14ac:dyDescent="0.25">
      <c r="B949" s="15"/>
    </row>
    <row r="950" ht="15.75" customHeight="1" spans="2:2" x14ac:dyDescent="0.25">
      <c r="B950" s="15"/>
    </row>
    <row r="951" ht="15.75" customHeight="1" spans="2:2" x14ac:dyDescent="0.25">
      <c r="B951" s="15"/>
    </row>
    <row r="952" ht="15.75" customHeight="1" spans="2:2" x14ac:dyDescent="0.25">
      <c r="B952" s="15"/>
    </row>
    <row r="953" ht="15.75" customHeight="1" spans="2:2" x14ac:dyDescent="0.25">
      <c r="B953" s="15"/>
    </row>
    <row r="954" ht="15.75" customHeight="1" spans="2:2" x14ac:dyDescent="0.25">
      <c r="B954" s="15"/>
    </row>
    <row r="955" ht="15.75" customHeight="1" spans="2:2" x14ac:dyDescent="0.25">
      <c r="B955" s="15"/>
    </row>
    <row r="956" ht="15.75" customHeight="1" spans="2:2" x14ac:dyDescent="0.25">
      <c r="B956" s="15"/>
    </row>
    <row r="957" ht="15.75" customHeight="1" spans="2:2" x14ac:dyDescent="0.25">
      <c r="B957" s="15"/>
    </row>
    <row r="958" ht="15.75" customHeight="1" spans="2:2" x14ac:dyDescent="0.25">
      <c r="B958" s="15"/>
    </row>
    <row r="959" ht="15.75" customHeight="1" spans="2:2" x14ac:dyDescent="0.25">
      <c r="B959" s="15"/>
    </row>
    <row r="960" ht="15.75" customHeight="1" spans="2:2" x14ac:dyDescent="0.25">
      <c r="B960" s="15"/>
    </row>
    <row r="961" ht="15.75" customHeight="1" spans="2:2" x14ac:dyDescent="0.25">
      <c r="B961" s="15"/>
    </row>
    <row r="962" ht="15.75" customHeight="1" spans="2:2" x14ac:dyDescent="0.25">
      <c r="B962" s="15"/>
    </row>
    <row r="963" ht="15.75" customHeight="1" spans="2:2" x14ac:dyDescent="0.25">
      <c r="B963" s="15"/>
    </row>
    <row r="964" ht="15.75" customHeight="1" spans="2:2" x14ac:dyDescent="0.25">
      <c r="B964" s="15"/>
    </row>
    <row r="965" ht="15.75" customHeight="1" spans="2:2" x14ac:dyDescent="0.25">
      <c r="B965" s="15"/>
    </row>
    <row r="966" ht="15.75" customHeight="1" spans="2:2" x14ac:dyDescent="0.25">
      <c r="B966" s="15"/>
    </row>
    <row r="967" ht="15.75" customHeight="1" spans="2:2" x14ac:dyDescent="0.25">
      <c r="B967" s="15"/>
    </row>
    <row r="968" ht="15.75" customHeight="1" spans="2:2" x14ac:dyDescent="0.25">
      <c r="B968" s="15"/>
    </row>
    <row r="969" ht="15.75" customHeight="1" spans="2:2" x14ac:dyDescent="0.25">
      <c r="B969" s="15"/>
    </row>
    <row r="970" ht="15.75" customHeight="1" spans="2:2" x14ac:dyDescent="0.25">
      <c r="B970" s="15"/>
    </row>
    <row r="971" ht="15.75" customHeight="1" spans="2:2" x14ac:dyDescent="0.25">
      <c r="B971" s="15"/>
    </row>
    <row r="972" ht="15.75" customHeight="1" spans="2:2" x14ac:dyDescent="0.25">
      <c r="B972" s="15"/>
    </row>
    <row r="973" ht="15.75" customHeight="1" spans="2:2" x14ac:dyDescent="0.25">
      <c r="B973" s="15"/>
    </row>
    <row r="974" ht="15.75" customHeight="1" spans="2:2" x14ac:dyDescent="0.25">
      <c r="B974" s="15"/>
    </row>
    <row r="975" ht="15.75" customHeight="1" spans="2:2" x14ac:dyDescent="0.25">
      <c r="B975" s="15"/>
    </row>
    <row r="976" ht="15.75" customHeight="1" spans="2:2" x14ac:dyDescent="0.25">
      <c r="B976" s="15"/>
    </row>
    <row r="977" ht="15.75" customHeight="1" spans="2:2" x14ac:dyDescent="0.25">
      <c r="B977" s="15"/>
    </row>
    <row r="978" ht="15.75" customHeight="1" spans="2:2" x14ac:dyDescent="0.25">
      <c r="B978" s="15"/>
    </row>
    <row r="979" ht="15.75" customHeight="1" spans="2:2" x14ac:dyDescent="0.25">
      <c r="B979" s="15"/>
    </row>
    <row r="980" ht="15.75" customHeight="1" spans="2:2" x14ac:dyDescent="0.25">
      <c r="B980" s="15"/>
    </row>
    <row r="981" ht="15.75" customHeight="1" spans="2:2" x14ac:dyDescent="0.25">
      <c r="B981" s="15"/>
    </row>
    <row r="982" ht="15.75" customHeight="1" spans="2:2" x14ac:dyDescent="0.25">
      <c r="B982" s="15"/>
    </row>
    <row r="983" ht="15.75" customHeight="1" spans="2:2" x14ac:dyDescent="0.25">
      <c r="B983" s="15"/>
    </row>
    <row r="984" ht="15.75" customHeight="1" spans="2:2" x14ac:dyDescent="0.25">
      <c r="B984" s="15"/>
    </row>
    <row r="985" ht="15.75" customHeight="1" spans="2:2" x14ac:dyDescent="0.25">
      <c r="B985" s="15"/>
    </row>
    <row r="986" ht="15.75" customHeight="1" spans="2:2" x14ac:dyDescent="0.25">
      <c r="B986" s="15"/>
    </row>
    <row r="987" ht="15.75" customHeight="1" spans="2:2" x14ac:dyDescent="0.25">
      <c r="B987" s="15"/>
    </row>
    <row r="988" ht="15.75" customHeight="1" spans="2:2" x14ac:dyDescent="0.25">
      <c r="B988" s="15"/>
    </row>
    <row r="989" ht="15.75" customHeight="1" spans="2:2" x14ac:dyDescent="0.25">
      <c r="B989" s="15"/>
    </row>
    <row r="990" ht="15.75" customHeight="1" spans="2:2" x14ac:dyDescent="0.25">
      <c r="B990" s="15"/>
    </row>
    <row r="991" ht="15.75" customHeight="1" spans="2:2" x14ac:dyDescent="0.25">
      <c r="B991" s="15"/>
    </row>
    <row r="992" ht="15.75" customHeight="1" spans="2:2" x14ac:dyDescent="0.25">
      <c r="B992" s="15"/>
    </row>
    <row r="993" ht="15.75" customHeight="1" spans="2:2" x14ac:dyDescent="0.25">
      <c r="B993" s="15"/>
    </row>
    <row r="994" ht="15.75" customHeight="1" spans="2:2" x14ac:dyDescent="0.25">
      <c r="B994" s="15"/>
    </row>
    <row r="995" ht="15.75" customHeight="1" spans="2:2" x14ac:dyDescent="0.25">
      <c r="B995" s="15"/>
    </row>
    <row r="996" ht="15.75" customHeight="1" spans="2:2" x14ac:dyDescent="0.25">
      <c r="B996" s="15"/>
    </row>
    <row r="997" ht="15.75" customHeight="1" spans="2:2" x14ac:dyDescent="0.25">
      <c r="B997" s="15"/>
    </row>
    <row r="998" ht="15.75" customHeight="1" spans="2:2" x14ac:dyDescent="0.25">
      <c r="B998" s="15"/>
    </row>
    <row r="999" ht="15.75" customHeight="1" spans="2:2" x14ac:dyDescent="0.25">
      <c r="B999" s="15"/>
    </row>
    <row r="1000" ht="15.75" customHeight="1" spans="2:2" x14ac:dyDescent="0.25">
      <c r="B1000" s="15"/>
    </row>
  </sheetData>
  <autoFilter ref="$A$1:$BJ$119"/>
  <mergeCells count="15">
    <mergeCell ref="E3:H3"/>
    <mergeCell ref="I3:L3"/>
    <mergeCell ref="M3:P3"/>
    <mergeCell ref="Q3:T3"/>
    <mergeCell ref="U3:X3"/>
    <mergeCell ref="Y3:AB3"/>
    <mergeCell ref="AC3:AF3"/>
    <mergeCell ref="AG3:AJ3"/>
    <mergeCell ref="AK3:AN3"/>
    <mergeCell ref="AO3:AR3"/>
    <mergeCell ref="AS3:AV3"/>
    <mergeCell ref="AW3:AX3"/>
    <mergeCell ref="AY3:BB3"/>
    <mergeCell ref="BC3:BD3"/>
    <mergeCell ref="BE3:BH3"/>
  </mergeCells>
  <pageMargins left="0.196527777777778" right="0" top="0.196527777777778" bottom="0.196527777777778" header="0" footer="0"/>
  <pageSetup paperSize="9"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C1000"/>
  <sheetViews>
    <sheetView workbookViewId="0" zoomScale="100" zoomScaleNormal="100">
      <pane xSplit="4" ySplit="4" topLeftCell="E5" activePane="bottomRight" state="frozen"/>
      <selection pane="bottomRight" activeCell="E5" sqref="E5"/>
    </sheetView>
  </sheetViews>
  <sheetFormatPr defaultRowHeight="15" outlineLevelRow="1" outlineLevelCol="1" x14ac:dyDescent="0" defaultColWidth="14.43"/>
  <cols>
    <col min="1" max="1" width="9.86" customWidth="1"/>
    <col min="2" max="2" width="7.14" customWidth="1"/>
    <col min="3" max="3" width="6.43" outlineLevel="1" collapsed="1" customWidth="1"/>
    <col min="4" max="4" width="13.86" outlineLevel="1" collapsed="1" customWidth="1"/>
    <col min="5" max="5" width="7.14" hidden="1" outlineLevel="1" collapsed="1" customWidth="1"/>
    <col min="6" max="6" width="7.14" hidden="1" customWidth="1"/>
    <col min="7" max="7" width="7.14" hidden="1" outlineLevel="1" collapsed="1" customWidth="1"/>
    <col min="8" max="8" width="7.14" hidden="1" customWidth="1"/>
    <col min="9" max="9" width="7.14" hidden="1" outlineLevel="1" collapsed="1" customWidth="1"/>
    <col min="10" max="10" width="7.14" hidden="1" customWidth="1"/>
    <col min="11" max="11" width="7.14" hidden="1" outlineLevel="1" collapsed="1" customWidth="1"/>
    <col min="12" max="12" width="7.14" hidden="1" customWidth="1"/>
    <col min="13" max="13" width="7.14" hidden="1" outlineLevel="1" collapsed="1" customWidth="1"/>
    <col min="14" max="14" width="7.14" hidden="1" customWidth="1"/>
    <col min="15" max="15" width="7.14" outlineLevel="1" collapsed="1" customWidth="1"/>
    <col min="16" max="16" width="7.14" customWidth="1"/>
    <col min="17" max="17" width="7.14" outlineLevel="1" collapsed="1" customWidth="1"/>
    <col min="18" max="18" width="7.14" customWidth="1"/>
    <col min="19" max="19" width="7.14" outlineLevel="1" collapsed="1" customWidth="1"/>
    <col min="20" max="20" width="7.14" customWidth="1"/>
    <col min="21" max="21" width="7.14" outlineLevel="1" collapsed="1" customWidth="1"/>
    <col min="22" max="22" width="7.14" customWidth="1"/>
    <col min="23" max="23" width="7.14" outlineLevel="1" collapsed="1" customWidth="1"/>
    <col min="24" max="24" width="7.14" customWidth="1"/>
    <col min="25" max="25" width="7.14" outlineLevel="1" collapsed="1" customWidth="1"/>
    <col min="26" max="26" width="7.14" customWidth="1"/>
    <col min="27" max="27" width="7.14" outlineLevel="1" collapsed="1" customWidth="1"/>
    <col min="28" max="29" width="7.14" customWidth="1"/>
  </cols>
  <sheetData>
    <row r="1" spans="1:16" x14ac:dyDescent="0.25">
      <c r="A1" s="1" t="s">
        <v>375</v>
      </c>
      <c r="B1" s="112" t="str">
        <f>'2022'!F1</f>
        <v>на 01 октября 2022года</v>
      </c>
      <c r="C1" s="112"/>
      <c r="F1" s="1"/>
      <c r="G1" s="1"/>
      <c r="H1" s="1"/>
      <c r="I1" s="1"/>
      <c r="J1" s="1"/>
      <c r="K1" s="1"/>
      <c r="L1" s="1"/>
      <c r="M1" s="1"/>
      <c r="O1" s="1"/>
      <c r="P1" s="1"/>
    </row>
    <row r="2" spans="1:3" x14ac:dyDescent="0.25">
      <c r="A2" s="15" t="s">
        <v>366</v>
      </c>
      <c r="B2" s="112"/>
      <c r="C2" s="112"/>
    </row>
    <row r="3" spans="1:29" x14ac:dyDescent="0.25">
      <c r="A3" s="3"/>
      <c r="B3" s="17" t="s">
        <v>2</v>
      </c>
      <c r="C3" s="17" t="s">
        <v>354</v>
      </c>
      <c r="D3" s="16" t="s">
        <v>355</v>
      </c>
      <c r="E3" s="11" t="s">
        <v>9</v>
      </c>
      <c r="F3" s="12"/>
      <c r="G3" s="11" t="s">
        <v>10</v>
      </c>
      <c r="H3" s="12"/>
      <c r="I3" s="11" t="s">
        <v>11</v>
      </c>
      <c r="J3" s="12"/>
      <c r="K3" s="11" t="s">
        <v>12</v>
      </c>
      <c r="L3" s="12"/>
      <c r="M3" s="11" t="s">
        <v>13</v>
      </c>
      <c r="N3" s="12"/>
      <c r="O3" s="11" t="s">
        <v>14</v>
      </c>
      <c r="P3" s="12"/>
      <c r="Q3" s="11" t="s">
        <v>15</v>
      </c>
      <c r="R3" s="12"/>
      <c r="S3" s="11" t="s">
        <v>16</v>
      </c>
      <c r="T3" s="12"/>
      <c r="U3" s="11" t="s">
        <v>17</v>
      </c>
      <c r="V3" s="12"/>
      <c r="W3" s="11" t="s">
        <v>18</v>
      </c>
      <c r="X3" s="12"/>
      <c r="Y3" s="11" t="s">
        <v>19</v>
      </c>
      <c r="Z3" s="12"/>
      <c r="AA3" s="11" t="s">
        <v>20</v>
      </c>
      <c r="AB3" s="12"/>
      <c r="AC3" s="17" t="s">
        <v>367</v>
      </c>
    </row>
    <row r="4" spans="1:29" x14ac:dyDescent="0.25">
      <c r="A4" s="20"/>
      <c r="B4" s="24" t="s">
        <v>23</v>
      </c>
      <c r="C4" s="24"/>
      <c r="D4" s="23"/>
      <c r="E4" s="4" t="s">
        <v>30</v>
      </c>
      <c r="F4" s="4" t="s">
        <v>3</v>
      </c>
      <c r="G4" s="4" t="s">
        <v>30</v>
      </c>
      <c r="H4" s="4" t="s">
        <v>3</v>
      </c>
      <c r="I4" s="4" t="s">
        <v>30</v>
      </c>
      <c r="J4" s="4" t="s">
        <v>3</v>
      </c>
      <c r="K4" s="4" t="s">
        <v>30</v>
      </c>
      <c r="L4" s="4" t="s">
        <v>3</v>
      </c>
      <c r="M4" s="4" t="s">
        <v>30</v>
      </c>
      <c r="N4" s="4" t="s">
        <v>3</v>
      </c>
      <c r="O4" s="4" t="s">
        <v>30</v>
      </c>
      <c r="P4" s="4" t="s">
        <v>3</v>
      </c>
      <c r="Q4" s="4" t="s">
        <v>30</v>
      </c>
      <c r="R4" s="4" t="s">
        <v>3</v>
      </c>
      <c r="S4" s="4" t="s">
        <v>30</v>
      </c>
      <c r="T4" s="4" t="s">
        <v>3</v>
      </c>
      <c r="U4" s="4" t="s">
        <v>30</v>
      </c>
      <c r="V4" s="4" t="s">
        <v>3</v>
      </c>
      <c r="W4" s="4" t="s">
        <v>30</v>
      </c>
      <c r="X4" s="4" t="s">
        <v>3</v>
      </c>
      <c r="Y4" s="4" t="s">
        <v>30</v>
      </c>
      <c r="Z4" s="4" t="s">
        <v>3</v>
      </c>
      <c r="AA4" s="4" t="s">
        <v>30</v>
      </c>
      <c r="AB4" s="4" t="s">
        <v>3</v>
      </c>
      <c r="AC4" s="113" t="s">
        <v>48</v>
      </c>
    </row>
    <row r="5" spans="1:29" x14ac:dyDescent="0.25">
      <c r="A5" s="114" t="s">
        <v>41</v>
      </c>
      <c r="B5" s="115">
        <v>1</v>
      </c>
      <c r="C5" s="116">
        <v>4</v>
      </c>
      <c r="D5" s="117" t="s">
        <v>43</v>
      </c>
      <c r="E5" s="119">
        <f>'2022'!I10</f>
      </c>
      <c r="F5" s="119">
        <f>'2022'!J10</f>
      </c>
      <c r="G5" s="119">
        <f>'2022'!M10</f>
      </c>
      <c r="H5" s="119">
        <f>'2022'!N10</f>
      </c>
      <c r="I5" s="119">
        <f>'2022'!Q10</f>
      </c>
      <c r="J5" s="119">
        <f>'2022'!R10</f>
      </c>
      <c r="K5" s="119">
        <f>'2022'!U10</f>
      </c>
      <c r="L5" s="119">
        <f>'2022'!V10</f>
      </c>
      <c r="M5" s="119">
        <f>'2022'!Y10</f>
      </c>
      <c r="N5" s="119">
        <f>'2022'!Z10</f>
      </c>
      <c r="O5" s="119">
        <f>'2022'!AC10</f>
      </c>
      <c r="P5" s="119">
        <f>'2022'!AD10</f>
      </c>
      <c r="Q5" s="119">
        <f>'2022'!AG10</f>
      </c>
      <c r="R5" s="119">
        <f>'2022'!AH10</f>
      </c>
      <c r="S5" s="119">
        <f>'2022'!AK10</f>
      </c>
      <c r="T5" s="119">
        <f>'2022'!AL10</f>
      </c>
      <c r="U5" s="119">
        <f>'2022'!AO10</f>
      </c>
      <c r="V5" s="119">
        <f>'2022'!AP10</f>
      </c>
      <c r="W5" s="119">
        <f>'2022'!AS10</f>
      </c>
      <c r="X5" s="119">
        <f>'2022'!AT10</f>
      </c>
      <c r="Y5" s="119">
        <f>'2022'!AW10</f>
      </c>
      <c r="Z5" s="119">
        <f>'2022'!AX10</f>
      </c>
      <c r="AA5" s="119">
        <f>'2022'!BA10</f>
      </c>
      <c r="AB5" s="119">
        <f>'2022'!BB10</f>
      </c>
      <c r="AC5" s="119">
        <f>'2022'!BE10</f>
        <v>0</v>
      </c>
    </row>
    <row r="6" spans="1:29" x14ac:dyDescent="0.25">
      <c r="A6" s="14"/>
      <c r="B6" s="115">
        <v>2</v>
      </c>
      <c r="C6" s="115">
        <v>4.12</v>
      </c>
      <c r="D6" s="117" t="s">
        <v>359</v>
      </c>
      <c r="E6" s="119">
        <f>'2022'!I19</f>
        <v>33</v>
      </c>
      <c r="F6" s="119">
        <f>'2022'!J19</f>
      </c>
      <c r="G6" s="119">
        <f>'2022'!M19</f>
        <v>33</v>
      </c>
      <c r="H6" s="119">
        <f>'2022'!N19</f>
        <v>0</v>
      </c>
      <c r="I6" s="119">
        <f>'2022'!Q19</f>
        <v>33</v>
      </c>
      <c r="J6" s="119">
        <f>'2022'!R19</f>
        <v>0</v>
      </c>
      <c r="K6" s="119">
        <f>'2022'!U19</f>
        <v>33</v>
      </c>
      <c r="L6" s="119">
        <f>'2022'!V19</f>
        <v>0</v>
      </c>
      <c r="M6" s="119">
        <f>'2022'!Y19</f>
        <v>35</v>
      </c>
      <c r="N6" s="119">
        <f>'2022'!Z19</f>
        <v>2</v>
      </c>
      <c r="O6" s="119">
        <f>'2022'!AC19</f>
        <v>39</v>
      </c>
      <c r="P6" s="119">
        <f>'2022'!AD19</f>
        <v>4</v>
      </c>
      <c r="Q6" s="119">
        <f>'2022'!AG19</f>
        <v>41</v>
      </c>
      <c r="R6" s="119">
        <f>'2022'!AH19</f>
        <v>2</v>
      </c>
      <c r="S6" s="119">
        <f>'2022'!AK19</f>
        <v>43</v>
      </c>
      <c r="T6" s="119">
        <f>'2022'!AL19</f>
        <v>2</v>
      </c>
      <c r="U6" s="119">
        <f>'2022'!AO19</f>
        <v>44</v>
      </c>
      <c r="V6" s="119">
        <f>'2022'!AP19</f>
        <v>1</v>
      </c>
      <c r="W6" s="119">
        <f>'2022'!AS19</f>
        <v>44</v>
      </c>
      <c r="X6" s="119">
        <f>'2022'!AT19</f>
        <v>0</v>
      </c>
      <c r="Y6" s="119">
        <f>'2022'!AW19</f>
      </c>
      <c r="Z6" s="119">
        <f>'2022'!AX19</f>
        <v>-44</v>
      </c>
      <c r="AA6" s="119">
        <f>'2022'!BA19</f>
      </c>
      <c r="AB6" s="119">
        <f>'2022'!BB19</f>
      </c>
      <c r="AC6" s="119">
        <f>'2022'!BE19</f>
        <v>-33</v>
      </c>
    </row>
    <row r="7" spans="1:29" x14ac:dyDescent="0.25">
      <c r="A7" s="14"/>
      <c r="B7" s="115">
        <v>3</v>
      </c>
      <c r="C7" s="116">
        <v>4</v>
      </c>
      <c r="D7" s="117" t="s">
        <v>60</v>
      </c>
      <c r="E7" s="119">
        <f>'2022'!I28</f>
        <v>308</v>
      </c>
      <c r="F7" s="119">
        <f>'2022'!J28</f>
      </c>
      <c r="G7" s="119">
        <f>'2022'!M28</f>
        <v>308</v>
      </c>
      <c r="H7" s="119">
        <f>'2022'!N28</f>
        <v>0</v>
      </c>
      <c r="I7" s="119">
        <f>'2022'!Q28</f>
        <v>308</v>
      </c>
      <c r="J7" s="119">
        <f>'2022'!R28</f>
        <v>0</v>
      </c>
      <c r="K7" s="119">
        <f>'2022'!U28</f>
        <v>308</v>
      </c>
      <c r="L7" s="119">
        <f>'2022'!V28</f>
        <v>0</v>
      </c>
      <c r="M7" s="119">
        <f>'2022'!Y28</f>
        <v>313</v>
      </c>
      <c r="N7" s="119">
        <f>'2022'!Z28</f>
        <v>5</v>
      </c>
      <c r="O7" s="119">
        <f>'2022'!AC28</f>
        <v>327</v>
      </c>
      <c r="P7" s="119">
        <f>'2022'!AD28</f>
        <v>14</v>
      </c>
      <c r="Q7" s="119">
        <f>'2022'!AG28</f>
        <v>337</v>
      </c>
      <c r="R7" s="119">
        <f>'2022'!AH28</f>
        <v>10</v>
      </c>
      <c r="S7" s="119">
        <f>'2022'!AK28</f>
        <v>348</v>
      </c>
      <c r="T7" s="119">
        <f>'2022'!AL28</f>
        <v>11</v>
      </c>
      <c r="U7" s="119">
        <f>'2022'!AO28</f>
        <v>353</v>
      </c>
      <c r="V7" s="119">
        <f>'2022'!AP28</f>
        <v>5</v>
      </c>
      <c r="W7" s="119">
        <f>'2022'!AS28</f>
        <v>353</v>
      </c>
      <c r="X7" s="119">
        <f>'2022'!AT28</f>
        <v>0</v>
      </c>
      <c r="Y7" s="119">
        <f>'2022'!AW28</f>
      </c>
      <c r="Z7" s="119">
        <f>'2022'!AX28</f>
        <v>-353</v>
      </c>
      <c r="AA7" s="119">
        <f>'2022'!BA28</f>
      </c>
      <c r="AB7" s="119">
        <f>'2022'!BB28</f>
      </c>
      <c r="AC7" s="119">
        <f>'2022'!BE28</f>
        <v>-308</v>
      </c>
    </row>
    <row r="8" spans="1:29" x14ac:dyDescent="0.25">
      <c r="A8" s="14"/>
      <c r="B8" s="115">
        <v>4</v>
      </c>
      <c r="C8" s="115">
        <v>3.95</v>
      </c>
      <c r="D8" s="117" t="s">
        <v>64</v>
      </c>
      <c r="E8" s="119">
        <f>'2022'!I37</f>
        <v>21</v>
      </c>
      <c r="F8" s="119">
        <f>'2022'!J37</f>
      </c>
      <c r="G8" s="119">
        <f>'2022'!M37</f>
        <v>21</v>
      </c>
      <c r="H8" s="119">
        <f>'2022'!N37</f>
        <v>0</v>
      </c>
      <c r="I8" s="119">
        <f>'2022'!Q37</f>
        <v>21</v>
      </c>
      <c r="J8" s="119">
        <f>'2022'!R37</f>
        <v>0</v>
      </c>
      <c r="K8" s="119">
        <f>'2022'!U37</f>
        <v>21</v>
      </c>
      <c r="L8" s="119">
        <f>'2022'!V37</f>
        <v>0</v>
      </c>
      <c r="M8" s="119">
        <f>'2022'!Y37</f>
        <v>21</v>
      </c>
      <c r="N8" s="119">
        <f>'2022'!Z37</f>
        <v>0</v>
      </c>
      <c r="O8" s="119">
        <f>'2022'!AC37</f>
        <v>21</v>
      </c>
      <c r="P8" s="119">
        <f>'2022'!AD37</f>
        <v>0</v>
      </c>
      <c r="Q8" s="119">
        <f>'2022'!AG37</f>
        <v>21</v>
      </c>
      <c r="R8" s="119">
        <f>'2022'!AH37</f>
        <v>0</v>
      </c>
      <c r="S8" s="119">
        <f>'2022'!AK37</f>
        <v>21</v>
      </c>
      <c r="T8" s="119">
        <f>'2022'!AL37</f>
        <v>0</v>
      </c>
      <c r="U8" s="119">
        <f>'2022'!AO37</f>
        <v>21</v>
      </c>
      <c r="V8" s="119">
        <f>'2022'!AP37</f>
        <v>0</v>
      </c>
      <c r="W8" s="119">
        <f>'2022'!AS37</f>
        <v>21</v>
      </c>
      <c r="X8" s="119">
        <f>'2022'!AT37</f>
        <v>0</v>
      </c>
      <c r="Y8" s="119">
        <f>'2022'!AW37</f>
      </c>
      <c r="Z8" s="119">
        <f>'2022'!AX37</f>
        <v>-21</v>
      </c>
      <c r="AA8" s="119">
        <f>'2022'!BA37</f>
      </c>
      <c r="AB8" s="119">
        <f>'2022'!BB37</f>
      </c>
      <c r="AC8" s="119">
        <f>'2022'!BE37</f>
        <v>-21</v>
      </c>
    </row>
    <row r="9" spans="1:29" x14ac:dyDescent="0.25">
      <c r="A9" s="14"/>
      <c r="B9" s="115">
        <v>5</v>
      </c>
      <c r="C9" s="115">
        <v>5.08</v>
      </c>
      <c r="D9" s="2" t="s">
        <v>488</v>
      </c>
      <c r="E9" s="119">
        <f>'2022'!I46</f>
        <v>244</v>
      </c>
      <c r="F9" s="119">
        <f>'2022'!J46</f>
      </c>
      <c r="G9" s="119">
        <f>'2022'!M46</f>
        <v>244</v>
      </c>
      <c r="H9" s="119">
        <f>'2022'!N46</f>
        <v>0</v>
      </c>
      <c r="I9" s="119">
        <f>'2022'!Q46</f>
        <v>244</v>
      </c>
      <c r="J9" s="119">
        <f>'2022'!R46</f>
        <v>0</v>
      </c>
      <c r="K9" s="119">
        <f>'2022'!U46</f>
        <v>244</v>
      </c>
      <c r="L9" s="119">
        <f>'2022'!V46</f>
        <v>0</v>
      </c>
      <c r="M9" s="119">
        <f>'2022'!Y46</f>
        <v>248</v>
      </c>
      <c r="N9" s="119">
        <f>'2022'!Z46</f>
        <v>4</v>
      </c>
      <c r="O9" s="119">
        <f>'2022'!AC46</f>
        <v>275</v>
      </c>
      <c r="P9" s="119">
        <f>'2022'!AD46</f>
        <v>27</v>
      </c>
      <c r="Q9" s="119">
        <f>'2022'!AG46</f>
        <v>298</v>
      </c>
      <c r="R9" s="119">
        <f>'2022'!AH46</f>
        <v>23</v>
      </c>
      <c r="S9" s="119">
        <f>'2022'!AK46</f>
        <v>316</v>
      </c>
      <c r="T9" s="119">
        <f>'2022'!AL46</f>
        <v>18</v>
      </c>
      <c r="U9" s="119">
        <f>'2022'!AO46</f>
        <v>316</v>
      </c>
      <c r="V9" s="119">
        <f>'2022'!AP46</f>
        <v>0</v>
      </c>
      <c r="W9" s="119">
        <f>'2022'!AS46</f>
        <v>316</v>
      </c>
      <c r="X9" s="119">
        <f>'2022'!AT46</f>
        <v>0</v>
      </c>
      <c r="Y9" s="119">
        <f>'2022'!AW46</f>
      </c>
      <c r="Z9" s="119">
        <f>'2022'!AX46</f>
        <v>-316</v>
      </c>
      <c r="AA9" s="119">
        <f>'2022'!BA46</f>
      </c>
      <c r="AB9" s="119">
        <f>'2022'!BB46</f>
      </c>
      <c r="AC9" s="119">
        <f>'2022'!BE46</f>
        <v>-244</v>
      </c>
    </row>
    <row r="10" spans="1:29" x14ac:dyDescent="0.25">
      <c r="A10" s="14"/>
      <c r="B10" s="115">
        <v>6</v>
      </c>
      <c r="C10" s="115">
        <v>4.01</v>
      </c>
      <c r="D10" s="117" t="s">
        <v>70</v>
      </c>
      <c r="E10" s="119">
        <f>'2022'!I55</f>
        <v>274</v>
      </c>
      <c r="F10" s="119">
        <f>'2022'!J55</f>
      </c>
      <c r="G10" s="119">
        <f>'2022'!M55</f>
        <v>274</v>
      </c>
      <c r="H10" s="119">
        <f>'2022'!N55</f>
        <v>0</v>
      </c>
      <c r="I10" s="119">
        <f>'2022'!Q55</f>
        <v>274</v>
      </c>
      <c r="J10" s="119">
        <f>'2022'!R55</f>
        <v>0</v>
      </c>
      <c r="K10" s="119">
        <f>'2022'!U55</f>
        <v>274</v>
      </c>
      <c r="L10" s="119">
        <f>'2022'!V55</f>
        <v>0</v>
      </c>
      <c r="M10" s="119">
        <f>'2022'!Y55</f>
        <v>295</v>
      </c>
      <c r="N10" s="119">
        <f>'2022'!Z55</f>
        <v>21</v>
      </c>
      <c r="O10" s="119">
        <f>'2022'!AC55</f>
        <v>295</v>
      </c>
      <c r="P10" s="119">
        <f>'2022'!AD55</f>
        <v>0</v>
      </c>
      <c r="Q10" s="119">
        <f>'2022'!AG55</f>
        <v>295</v>
      </c>
      <c r="R10" s="119">
        <f>'2022'!AH55</f>
        <v>0</v>
      </c>
      <c r="S10" s="119">
        <f>'2022'!AK55</f>
        <v>295</v>
      </c>
      <c r="T10" s="119">
        <f>'2022'!AL55</f>
        <v>0</v>
      </c>
      <c r="U10" s="119">
        <f>'2022'!AO55</f>
        <v>295</v>
      </c>
      <c r="V10" s="119">
        <f>'2022'!AP55</f>
        <v>0</v>
      </c>
      <c r="W10" s="119">
        <f>'2022'!AS55</f>
        <v>295</v>
      </c>
      <c r="X10" s="119">
        <f>'2022'!AT55</f>
        <v>0</v>
      </c>
      <c r="Y10" s="119">
        <f>'2022'!AW55</f>
      </c>
      <c r="Z10" s="119">
        <f>'2022'!AX55</f>
        <v>-295</v>
      </c>
      <c r="AA10" s="119">
        <f>'2022'!BA55</f>
      </c>
      <c r="AB10" s="119">
        <f>'2022'!BB55</f>
      </c>
      <c r="AC10" s="119">
        <f>'2022'!BE55</f>
        <v>-274</v>
      </c>
    </row>
    <row r="11" spans="1:29" x14ac:dyDescent="0.25">
      <c r="A11" s="14"/>
      <c r="B11" s="115">
        <v>7</v>
      </c>
      <c r="C11" s="115">
        <v>4.85</v>
      </c>
      <c r="D11" s="117" t="s">
        <v>74</v>
      </c>
      <c r="E11" s="119">
        <f>'2022'!I64</f>
        <v>76</v>
      </c>
      <c r="F11" s="119">
        <f>'2022'!J64</f>
      </c>
      <c r="G11" s="119">
        <f>'2022'!M64</f>
        <v>76</v>
      </c>
      <c r="H11" s="119">
        <f>'2022'!N64</f>
        <v>0</v>
      </c>
      <c r="I11" s="119">
        <f>'2022'!Q64</f>
        <v>76</v>
      </c>
      <c r="J11" s="119">
        <f>'2022'!R64</f>
        <v>0</v>
      </c>
      <c r="K11" s="119">
        <f>'2022'!U64</f>
        <v>76</v>
      </c>
      <c r="L11" s="119">
        <f>'2022'!V64</f>
        <v>0</v>
      </c>
      <c r="M11" s="119">
        <f>'2022'!Y64</f>
        <v>16</v>
      </c>
      <c r="N11" s="119">
        <f>'2022'!Z64</f>
        <v>0</v>
      </c>
      <c r="O11" s="119">
        <f>'2022'!AC64</f>
        <v>16</v>
      </c>
      <c r="P11" s="119">
        <f>'2022'!AD64</f>
        <v>0</v>
      </c>
      <c r="Q11" s="119">
        <f>'2022'!AG64</f>
        <v>16</v>
      </c>
      <c r="R11" s="119">
        <f>'2022'!AH64</f>
        <v>0</v>
      </c>
      <c r="S11" s="119">
        <f>'2022'!AK64</f>
        <v>16</v>
      </c>
      <c r="T11" s="119">
        <f>'2022'!AL64</f>
        <v>0</v>
      </c>
      <c r="U11" s="119">
        <f>'2022'!AO64</f>
        <v>16</v>
      </c>
      <c r="V11" s="119">
        <f>'2022'!AP64</f>
        <v>0</v>
      </c>
      <c r="W11" s="119">
        <f>'2022'!AS64</f>
        <v>16</v>
      </c>
      <c r="X11" s="119">
        <f>'2022'!AT64</f>
        <v>0</v>
      </c>
      <c r="Y11" s="119">
        <f>'2022'!AW64</f>
      </c>
      <c r="Z11" s="119">
        <f>'2022'!AX64</f>
        <v>0</v>
      </c>
      <c r="AA11" s="119">
        <f>'2022'!BA64</f>
      </c>
      <c r="AB11" s="119">
        <f>'2022'!BB64</f>
      </c>
      <c r="AC11" s="119">
        <f>'2022'!BE64</f>
        <v>0</v>
      </c>
    </row>
    <row r="12" spans="1:29" x14ac:dyDescent="0.25">
      <c r="A12" s="14"/>
      <c r="B12" s="115">
        <v>8</v>
      </c>
      <c r="C12" s="116">
        <v>4</v>
      </c>
      <c r="D12" s="2" t="s">
        <v>383</v>
      </c>
      <c r="E12" s="119">
        <f>'2022'!I73</f>
        <v>51</v>
      </c>
      <c r="F12" s="119">
        <f>'2022'!J73</f>
      </c>
      <c r="G12" s="119">
        <f>'2022'!M73</f>
        <v>51</v>
      </c>
      <c r="H12" s="119">
        <f>'2022'!N73</f>
        <v>0</v>
      </c>
      <c r="I12" s="119">
        <f>'2022'!Q73</f>
        <v>51</v>
      </c>
      <c r="J12" s="119">
        <f>'2022'!R73</f>
        <v>0</v>
      </c>
      <c r="K12" s="119">
        <f>'2022'!U73</f>
        <v>51</v>
      </c>
      <c r="L12" s="119">
        <f>'2022'!V73</f>
        <v>0</v>
      </c>
      <c r="M12" s="119">
        <f>'2022'!Y73</f>
        <v>54</v>
      </c>
      <c r="N12" s="119">
        <f>'2022'!Z73</f>
        <v>3</v>
      </c>
      <c r="O12" s="119">
        <f>'2022'!AC73</f>
        <v>62</v>
      </c>
      <c r="P12" s="119">
        <f>'2022'!AD73</f>
        <v>8</v>
      </c>
      <c r="Q12" s="119">
        <f>'2022'!AG73</f>
        <v>67</v>
      </c>
      <c r="R12" s="119">
        <f>'2022'!AH73</f>
        <v>5</v>
      </c>
      <c r="S12" s="119">
        <f>'2022'!AK73</f>
        <v>71</v>
      </c>
      <c r="T12" s="119">
        <f>'2022'!AL73</f>
        <v>4</v>
      </c>
      <c r="U12" s="119">
        <f>'2022'!AO73</f>
        <v>71</v>
      </c>
      <c r="V12" s="119">
        <f>'2022'!AP73</f>
        <v>0</v>
      </c>
      <c r="W12" s="119">
        <f>'2022'!AS73</f>
        <v>71</v>
      </c>
      <c r="X12" s="119">
        <f>'2022'!AT73</f>
        <v>0</v>
      </c>
      <c r="Y12" s="119">
        <f>'2022'!AW73</f>
      </c>
      <c r="Z12" s="119">
        <f>'2022'!AX73</f>
        <v>-71</v>
      </c>
      <c r="AA12" s="119">
        <f>'2022'!BA73</f>
      </c>
      <c r="AB12" s="119">
        <f>'2022'!BB73</f>
      </c>
      <c r="AC12" s="119">
        <f>'2022'!BE73</f>
        <v>-51</v>
      </c>
    </row>
    <row r="13" spans="1:29" x14ac:dyDescent="0.25">
      <c r="A13" s="14"/>
      <c r="B13" s="115">
        <v>9</v>
      </c>
      <c r="C13" s="115">
        <v>4.03</v>
      </c>
      <c r="D13" s="117" t="s">
        <v>82</v>
      </c>
      <c r="E13" s="119">
        <f>'2022'!I82</f>
        <v>161</v>
      </c>
      <c r="F13" s="119">
        <f>'2022'!J82</f>
      </c>
      <c r="G13" s="119">
        <f>'2022'!M82</f>
        <v>161</v>
      </c>
      <c r="H13" s="119">
        <f>'2022'!N82</f>
        <v>0</v>
      </c>
      <c r="I13" s="119">
        <f>'2022'!Q82</f>
        <v>161</v>
      </c>
      <c r="J13" s="119">
        <f>'2022'!R82</f>
        <v>0</v>
      </c>
      <c r="K13" s="119">
        <f>'2022'!U82</f>
        <v>92</v>
      </c>
      <c r="L13" s="119">
        <f>'2022'!V82</f>
        <v>0</v>
      </c>
      <c r="M13" s="119">
        <f>'2022'!Y82</f>
        <v>92</v>
      </c>
      <c r="N13" s="119">
        <f>'2022'!Z82</f>
        <v>8</v>
      </c>
      <c r="O13" s="119">
        <f>'2022'!AC82</f>
        <v>92</v>
      </c>
      <c r="P13" s="119">
        <f>'2022'!AD82</f>
        <v>0</v>
      </c>
      <c r="Q13" s="119">
        <f>'2022'!AG82</f>
        <v>5</v>
      </c>
      <c r="R13" s="119">
        <f>'2022'!AH82</f>
        <v>5</v>
      </c>
      <c r="S13" s="119">
        <f>'2022'!AK82</f>
        <v>5</v>
      </c>
      <c r="T13" s="119">
        <f>'2022'!AL82</f>
        <v>5</v>
      </c>
      <c r="U13" s="119">
        <f>'2022'!AO82</f>
        <v>5</v>
      </c>
      <c r="V13" s="119">
        <f>'2022'!AP82</f>
        <v>5</v>
      </c>
      <c r="W13" s="119">
        <f>'2022'!AS82</f>
        <v>5</v>
      </c>
      <c r="X13" s="119">
        <f>'2022'!AT82</f>
        <v>5</v>
      </c>
      <c r="Y13" s="119">
        <f>'2022'!AW82</f>
      </c>
      <c r="Z13" s="119">
        <f>'2022'!AX82</f>
        <v>5</v>
      </c>
      <c r="AA13" s="119">
        <f>'2022'!BA82</f>
      </c>
      <c r="AB13" s="119">
        <f>'2022'!BB82</f>
      </c>
      <c r="AC13" s="119">
        <f>'2022'!BE82</f>
        <v>33</v>
      </c>
    </row>
    <row r="14" spans="1:29" x14ac:dyDescent="0.25">
      <c r="A14" s="14"/>
      <c r="B14" s="115">
        <v>10</v>
      </c>
      <c r="C14" s="115">
        <v>4.01</v>
      </c>
      <c r="D14" s="117" t="s">
        <v>86</v>
      </c>
      <c r="E14" s="119">
        <f>'2022'!I91</f>
        <v>60</v>
      </c>
      <c r="F14" s="119">
        <f>'2022'!J91</f>
      </c>
      <c r="G14" s="119">
        <f>'2022'!M91</f>
        <v>60</v>
      </c>
      <c r="H14" s="119">
        <f>'2022'!N91</f>
        <v>0</v>
      </c>
      <c r="I14" s="119">
        <f>'2022'!Q91</f>
        <v>60</v>
      </c>
      <c r="J14" s="119">
        <f>'2022'!R91</f>
        <v>0</v>
      </c>
      <c r="K14" s="119">
        <f>'2022'!U91</f>
        <v>60</v>
      </c>
      <c r="L14" s="119">
        <f>'2022'!V91</f>
        <v>0</v>
      </c>
      <c r="M14" s="119">
        <f>'2022'!Y91</f>
        <v>60</v>
      </c>
      <c r="N14" s="119">
        <f>'2022'!Z91</f>
        <v>0</v>
      </c>
      <c r="O14" s="119">
        <f>'2022'!AC91</f>
        <v>60</v>
      </c>
      <c r="P14" s="119">
        <f>'2022'!AD91</f>
        <v>0</v>
      </c>
      <c r="Q14" s="119">
        <f>'2022'!AG91</f>
        <v>60</v>
      </c>
      <c r="R14" s="119">
        <f>'2022'!AH91</f>
        <v>0</v>
      </c>
      <c r="S14" s="119">
        <f>'2022'!AK91</f>
        <v>74</v>
      </c>
      <c r="T14" s="119">
        <f>'2022'!AL91</f>
        <v>14</v>
      </c>
      <c r="U14" s="119">
        <f>'2022'!AO91</f>
        <v>74</v>
      </c>
      <c r="V14" s="119">
        <f>'2022'!AP91</f>
        <v>0</v>
      </c>
      <c r="W14" s="119">
        <f>'2022'!AS91</f>
        <v>74</v>
      </c>
      <c r="X14" s="119">
        <f>'2022'!AT91</f>
        <v>0</v>
      </c>
      <c r="Y14" s="119">
        <f>'2022'!AW91</f>
      </c>
      <c r="Z14" s="119">
        <f>'2022'!AX91</f>
        <v>-74</v>
      </c>
      <c r="AA14" s="119">
        <f>'2022'!BA91</f>
      </c>
      <c r="AB14" s="119">
        <f>'2022'!BB91</f>
      </c>
      <c r="AC14" s="119">
        <f>'2022'!BE91</f>
        <v>-60</v>
      </c>
    </row>
    <row r="15" spans="1:29" x14ac:dyDescent="0.25">
      <c r="A15" s="14"/>
      <c r="B15" s="115">
        <v>11</v>
      </c>
      <c r="C15" s="115">
        <v>4.02</v>
      </c>
      <c r="D15" s="117" t="s">
        <v>89</v>
      </c>
      <c r="E15" s="119">
        <f>'2022'!I100</f>
        <v>10</v>
      </c>
      <c r="F15" s="119">
        <f>'2022'!J100</f>
      </c>
      <c r="G15" s="119">
        <f>'2022'!M100</f>
        <v>10</v>
      </c>
      <c r="H15" s="119">
        <f>'2022'!N100</f>
        <v>0</v>
      </c>
      <c r="I15" s="119">
        <f>'2022'!Q100</f>
        <v>10</v>
      </c>
      <c r="J15" s="119">
        <f>'2022'!R100</f>
        <v>0</v>
      </c>
      <c r="K15" s="119">
        <f>'2022'!U100</f>
        <v>10</v>
      </c>
      <c r="L15" s="119">
        <f>'2022'!V100</f>
        <v>0</v>
      </c>
      <c r="M15" s="119">
        <f>'2022'!Y100</f>
        <v>10</v>
      </c>
      <c r="N15" s="119">
        <f>'2022'!Z100</f>
        <v>0</v>
      </c>
      <c r="O15" s="119">
        <f>'2022'!AC100</f>
        <v>10</v>
      </c>
      <c r="P15" s="119">
        <f>'2022'!AD100</f>
        <v>0</v>
      </c>
      <c r="Q15" s="119">
        <f>'2022'!AG100</f>
        <v>10</v>
      </c>
      <c r="R15" s="119">
        <f>'2022'!AH100</f>
        <v>0</v>
      </c>
      <c r="S15" s="119">
        <f>'2022'!AK100</f>
        <v>10</v>
      </c>
      <c r="T15" s="119">
        <f>'2022'!AL100</f>
        <v>0</v>
      </c>
      <c r="U15" s="119">
        <f>'2022'!AO100</f>
        <v>10</v>
      </c>
      <c r="V15" s="119">
        <f>'2022'!AP100</f>
        <v>0</v>
      </c>
      <c r="W15" s="119">
        <f>'2022'!AS100</f>
        <v>10</v>
      </c>
      <c r="X15" s="119">
        <f>'2022'!AT100</f>
        <v>0</v>
      </c>
      <c r="Y15" s="119">
        <f>'2022'!AW100</f>
      </c>
      <c r="Z15" s="119">
        <f>'2022'!AX100</f>
        <v>-10</v>
      </c>
      <c r="AA15" s="119">
        <f>'2022'!BA100</f>
      </c>
      <c r="AB15" s="119">
        <f>'2022'!BB100</f>
      </c>
      <c r="AC15" s="119">
        <f>'2022'!BE100</f>
        <v>-10</v>
      </c>
    </row>
    <row r="16" spans="1:29" x14ac:dyDescent="0.25">
      <c r="A16" s="14"/>
      <c r="B16" s="115">
        <v>12</v>
      </c>
      <c r="C16" s="115">
        <v>4.02</v>
      </c>
      <c r="D16" s="117" t="s">
        <v>92</v>
      </c>
      <c r="E16" s="119">
        <f>'2022'!I109</f>
      </c>
      <c r="F16" s="119">
        <f>'2022'!J109</f>
      </c>
      <c r="G16" s="119">
        <f>'2022'!M109</f>
      </c>
      <c r="H16" s="119">
        <f>'2022'!N109</f>
        <v>0</v>
      </c>
      <c r="I16" s="119">
        <f>'2022'!Q109</f>
      </c>
      <c r="J16" s="119">
        <f>'2022'!R109</f>
        <v>0</v>
      </c>
      <c r="K16" s="119">
        <f>'2022'!U109</f>
      </c>
      <c r="L16" s="119">
        <f>'2022'!V109</f>
        <v>0</v>
      </c>
      <c r="M16" s="119">
        <f>'2022'!Y109</f>
      </c>
      <c r="N16" s="119">
        <f>'2022'!Z109</f>
        <v>0</v>
      </c>
      <c r="O16" s="119">
        <f>'2022'!AC109</f>
      </c>
      <c r="P16" s="119">
        <f>'2022'!AD109</f>
        <v>9</v>
      </c>
      <c r="Q16" s="119">
        <f>'2022'!AG109</f>
      </c>
      <c r="R16" s="119">
        <f>'2022'!AH109</f>
        <v>9</v>
      </c>
      <c r="S16" s="119">
        <f>'2022'!AK109</f>
      </c>
      <c r="T16" s="119">
        <f>'2022'!AL109</f>
        <v>9</v>
      </c>
      <c r="U16" s="119">
        <f>'2022'!AO109</f>
      </c>
      <c r="V16" s="119">
        <f>'2022'!AP109</f>
        <v>9</v>
      </c>
      <c r="W16" s="119">
        <f>'2022'!AS109</f>
      </c>
      <c r="X16" s="119">
        <f>'2022'!AT109</f>
        <v>9</v>
      </c>
      <c r="Y16" s="119">
        <f>'2022'!AW109</f>
      </c>
      <c r="Z16" s="119">
        <f>'2022'!AX109</f>
        <v>9</v>
      </c>
      <c r="AA16" s="119">
        <f>'2022'!BA109</f>
      </c>
      <c r="AB16" s="119">
        <f>'2022'!BB109</f>
      </c>
      <c r="AC16" s="119">
        <f>'2022'!BE109</f>
        <v>54</v>
      </c>
    </row>
    <row r="17" spans="1:29" x14ac:dyDescent="0.25">
      <c r="A17" s="14"/>
      <c r="B17" s="115" t="s">
        <v>96</v>
      </c>
      <c r="C17" s="115">
        <v>3.94</v>
      </c>
      <c r="D17" s="117" t="s">
        <v>97</v>
      </c>
      <c r="E17" s="119">
        <f>'2022'!I118</f>
        <v>87</v>
      </c>
      <c r="F17" s="119">
        <f>'2022'!J118</f>
      </c>
      <c r="G17" s="119">
        <f>'2022'!M118</f>
        <v>87</v>
      </c>
      <c r="H17" s="119">
        <f>'2022'!N118</f>
        <v>0</v>
      </c>
      <c r="I17" s="119">
        <f>'2022'!Q118</f>
        <v>87</v>
      </c>
      <c r="J17" s="119">
        <f>'2022'!R118</f>
        <v>0</v>
      </c>
      <c r="K17" s="119">
        <f>'2022'!U118</f>
        <v>87</v>
      </c>
      <c r="L17" s="119">
        <f>'2022'!V118</f>
        <v>0</v>
      </c>
      <c r="M17" s="119">
        <f>'2022'!Y118</f>
        <v>94</v>
      </c>
      <c r="N17" s="119">
        <f>'2022'!Z118</f>
        <v>7</v>
      </c>
      <c r="O17" s="119">
        <f>'2022'!AC118</f>
        <v>94</v>
      </c>
      <c r="P17" s="119">
        <f>'2022'!AD118</f>
        <v>0</v>
      </c>
      <c r="Q17" s="119">
        <f>'2022'!AG118</f>
        <v>98</v>
      </c>
      <c r="R17" s="119">
        <f>'2022'!AH118</f>
        <v>4</v>
      </c>
      <c r="S17" s="119">
        <f>'2022'!AK118</f>
        <v>108</v>
      </c>
      <c r="T17" s="119">
        <f>'2022'!AL118</f>
        <v>10</v>
      </c>
      <c r="U17" s="119">
        <f>'2022'!AO118</f>
        <v>113</v>
      </c>
      <c r="V17" s="119">
        <f>'2022'!AP118</f>
        <v>5</v>
      </c>
      <c r="W17" s="119">
        <f>'2022'!AS118</f>
        <v>113</v>
      </c>
      <c r="X17" s="119">
        <f>'2022'!AT118</f>
        <v>0</v>
      </c>
      <c r="Y17" s="119">
        <f>'2022'!AW118</f>
      </c>
      <c r="Z17" s="119">
        <f>'2022'!AX118</f>
        <v>-113</v>
      </c>
      <c r="AA17" s="119">
        <f>'2022'!BA118</f>
      </c>
      <c r="AB17" s="119">
        <f>'2022'!BB118</f>
      </c>
      <c r="AC17" s="119">
        <f>'2022'!BE118</f>
        <v>-87</v>
      </c>
    </row>
    <row r="18" spans="1:29" x14ac:dyDescent="0.25">
      <c r="A18" s="14"/>
      <c r="B18" s="115" t="s">
        <v>96</v>
      </c>
      <c r="C18" s="116">
        <v>4</v>
      </c>
      <c r="D18" s="117" t="s">
        <v>97</v>
      </c>
      <c r="E18" s="119">
        <f>'2022'!I127</f>
        <v>43</v>
      </c>
      <c r="F18" s="119">
        <f>'2022'!J127</f>
      </c>
      <c r="G18" s="119">
        <f>'2022'!M127</f>
        <v>43</v>
      </c>
      <c r="H18" s="119">
        <f>'2022'!N127</f>
        <v>0</v>
      </c>
      <c r="I18" s="119">
        <f>'2022'!Q127</f>
        <v>43</v>
      </c>
      <c r="J18" s="119">
        <f>'2022'!R127</f>
        <v>0</v>
      </c>
      <c r="K18" s="119">
        <f>'2022'!U127</f>
        <v>43</v>
      </c>
      <c r="L18" s="119">
        <f>'2022'!V127</f>
        <v>0</v>
      </c>
      <c r="M18" s="119">
        <f>'2022'!Y127</f>
        <v>76</v>
      </c>
      <c r="N18" s="119">
        <f>'2022'!Z127</f>
        <v>33</v>
      </c>
      <c r="O18" s="119">
        <f>'2022'!AC127</f>
        <v>77</v>
      </c>
      <c r="P18" s="119">
        <f>'2022'!AD127</f>
        <v>1</v>
      </c>
      <c r="Q18" s="119">
        <f>'2022'!AG127</f>
        <v>87</v>
      </c>
      <c r="R18" s="119">
        <f>'2022'!AH127</f>
        <v>10</v>
      </c>
      <c r="S18" s="119">
        <f>'2022'!AK127</f>
        <v>92</v>
      </c>
      <c r="T18" s="119">
        <f>'2022'!AL127</f>
        <v>5</v>
      </c>
      <c r="U18" s="119">
        <f>'2022'!AO127</f>
        <v>100</v>
      </c>
      <c r="V18" s="119">
        <f>'2022'!AP127</f>
        <v>8</v>
      </c>
      <c r="W18" s="119">
        <f>'2022'!AS127</f>
        <v>100</v>
      </c>
      <c r="X18" s="119">
        <f>'2022'!AT127</f>
        <v>0</v>
      </c>
      <c r="Y18" s="119">
        <f>'2022'!AW127</f>
      </c>
      <c r="Z18" s="119">
        <f>'2022'!AX127</f>
        <v>-100</v>
      </c>
      <c r="AA18" s="119">
        <f>'2022'!BA127</f>
      </c>
      <c r="AB18" s="119">
        <f>'2022'!BB127</f>
      </c>
      <c r="AC18" s="119">
        <f>'2022'!BE127</f>
        <v>-43</v>
      </c>
    </row>
    <row r="19" spans="1:29" x14ac:dyDescent="0.25">
      <c r="A19" s="14"/>
      <c r="B19" s="115">
        <v>14</v>
      </c>
      <c r="C19" s="115">
        <v>4.02</v>
      </c>
      <c r="D19" s="117" t="s">
        <v>100</v>
      </c>
      <c r="E19" s="119">
        <f>'2022'!I136</f>
        <v>492</v>
      </c>
      <c r="F19" s="119">
        <f>'2022'!J136</f>
      </c>
      <c r="G19" s="119">
        <f>'2022'!M136</f>
        <v>492</v>
      </c>
      <c r="H19" s="119">
        <f>'2022'!N136</f>
        <v>0</v>
      </c>
      <c r="I19" s="119">
        <f>'2022'!Q136</f>
        <v>492</v>
      </c>
      <c r="J19" s="119">
        <f>'2022'!R136</f>
        <v>0</v>
      </c>
      <c r="K19" s="119">
        <f>'2022'!U136</f>
        <v>492</v>
      </c>
      <c r="L19" s="119">
        <f>'2022'!V136</f>
        <v>0</v>
      </c>
      <c r="M19" s="119">
        <f>'2022'!Y136</f>
        <v>493</v>
      </c>
      <c r="N19" s="119">
        <f>'2022'!Z136</f>
        <v>1</v>
      </c>
      <c r="O19" s="119">
        <f>'2022'!AC136</f>
        <v>496</v>
      </c>
      <c r="P19" s="119">
        <f>'2022'!AD136</f>
        <v>3</v>
      </c>
      <c r="Q19" s="119">
        <f>'2022'!AG136</f>
        <v>499</v>
      </c>
      <c r="R19" s="119">
        <f>'2022'!AH136</f>
        <v>3</v>
      </c>
      <c r="S19" s="119">
        <f>'2022'!AK136</f>
        <v>501</v>
      </c>
      <c r="T19" s="119">
        <f>'2022'!AL136</f>
        <v>2</v>
      </c>
      <c r="U19" s="119">
        <f>'2022'!AO136</f>
        <v>503</v>
      </c>
      <c r="V19" s="119">
        <f>'2022'!AP136</f>
        <v>2</v>
      </c>
      <c r="W19" s="119">
        <f>'2022'!AS136</f>
        <v>503</v>
      </c>
      <c r="X19" s="119">
        <f>'2022'!AT136</f>
        <v>0</v>
      </c>
      <c r="Y19" s="119">
        <f>'2022'!AW136</f>
      </c>
      <c r="Z19" s="119">
        <f>'2022'!AX136</f>
        <v>-503</v>
      </c>
      <c r="AA19" s="119">
        <f>'2022'!BA136</f>
      </c>
      <c r="AB19" s="119">
        <f>'2022'!BB136</f>
      </c>
      <c r="AC19" s="119">
        <f>'2022'!BE136</f>
        <v>-492</v>
      </c>
    </row>
    <row r="20" spans="1:29" x14ac:dyDescent="0.25">
      <c r="A20" s="14"/>
      <c r="B20" s="115">
        <v>16</v>
      </c>
      <c r="C20" s="115">
        <v>3.98</v>
      </c>
      <c r="D20" s="117" t="s">
        <v>103</v>
      </c>
      <c r="E20" s="119">
        <f>'2022'!I145</f>
        <v>132</v>
      </c>
      <c r="F20" s="119">
        <f>'2022'!J145</f>
      </c>
      <c r="G20" s="119">
        <f>'2022'!M145</f>
        <v>132</v>
      </c>
      <c r="H20" s="119">
        <f>'2022'!N145</f>
        <v>0</v>
      </c>
      <c r="I20" s="119">
        <f>'2022'!Q145</f>
        <v>132</v>
      </c>
      <c r="J20" s="119">
        <f>'2022'!R145</f>
        <v>0</v>
      </c>
      <c r="K20" s="119">
        <f>'2022'!U145</f>
        <v>132</v>
      </c>
      <c r="L20" s="119">
        <f>'2022'!V145</f>
        <v>0</v>
      </c>
      <c r="M20" s="119">
        <f>'2022'!Y145</f>
        <v>133</v>
      </c>
      <c r="N20" s="119">
        <f>'2022'!Z145</f>
        <v>1</v>
      </c>
      <c r="O20" s="119">
        <f>'2022'!AC145</f>
        <v>137</v>
      </c>
      <c r="P20" s="119">
        <f>'2022'!AD145</f>
        <v>4</v>
      </c>
      <c r="Q20" s="119">
        <f>'2022'!AG145</f>
        <v>140</v>
      </c>
      <c r="R20" s="119">
        <f>'2022'!AH145</f>
        <v>3</v>
      </c>
      <c r="S20" s="119">
        <f>'2022'!AK145</f>
        <v>142</v>
      </c>
      <c r="T20" s="119">
        <f>'2022'!AL145</f>
        <v>2</v>
      </c>
      <c r="U20" s="119">
        <f>'2022'!AO145</f>
        <v>143</v>
      </c>
      <c r="V20" s="119">
        <f>'2022'!AP145</f>
        <v>1</v>
      </c>
      <c r="W20" s="119">
        <f>'2022'!AS145</f>
        <v>143</v>
      </c>
      <c r="X20" s="119">
        <f>'2022'!AT145</f>
        <v>0</v>
      </c>
      <c r="Y20" s="119">
        <f>'2022'!AW145</f>
      </c>
      <c r="Z20" s="119">
        <f>'2022'!AX145</f>
        <v>-143</v>
      </c>
      <c r="AA20" s="119">
        <f>'2022'!BA145</f>
      </c>
      <c r="AB20" s="119">
        <f>'2022'!BB145</f>
      </c>
      <c r="AC20" s="119">
        <f>'2022'!BE145</f>
        <v>-132</v>
      </c>
    </row>
    <row r="21" ht="15.75" customHeight="1" spans="1:29" x14ac:dyDescent="0.25">
      <c r="A21" s="14"/>
      <c r="B21" s="115">
        <v>17</v>
      </c>
      <c r="C21" s="116">
        <v>4</v>
      </c>
      <c r="D21" s="117" t="s">
        <v>106</v>
      </c>
      <c r="E21" s="119">
        <f>'2022'!I154</f>
        <v>3</v>
      </c>
      <c r="F21" s="119">
        <f>'2022'!J154</f>
      </c>
      <c r="G21" s="119">
        <f>'2022'!M154</f>
        <v>3</v>
      </c>
      <c r="H21" s="119">
        <f>'2022'!N154</f>
        <v>0</v>
      </c>
      <c r="I21" s="119">
        <f>'2022'!Q154</f>
        <v>3</v>
      </c>
      <c r="J21" s="119">
        <f>'2022'!R154</f>
        <v>0</v>
      </c>
      <c r="K21" s="119">
        <f>'2022'!U154</f>
        <v>3</v>
      </c>
      <c r="L21" s="119">
        <f>'2022'!V154</f>
        <v>0</v>
      </c>
      <c r="M21" s="119">
        <f>'2022'!Y154</f>
        <v>0</v>
      </c>
      <c r="N21" s="119">
        <f>'2022'!Z154</f>
        <v>0</v>
      </c>
      <c r="O21" s="119">
        <f>'2022'!AC154</f>
        <v>2</v>
      </c>
      <c r="P21" s="119">
        <f>'2022'!AD154</f>
        <v>2</v>
      </c>
      <c r="Q21" s="119">
        <f>'2022'!AG154</f>
        <v>3</v>
      </c>
      <c r="R21" s="119">
        <f>'2022'!AH154</f>
        <v>1</v>
      </c>
      <c r="S21" s="119">
        <f>'2022'!AK154</f>
        <v>7</v>
      </c>
      <c r="T21" s="119">
        <f>'2022'!AL154</f>
        <v>4</v>
      </c>
      <c r="U21" s="119">
        <f>'2022'!AO154</f>
        <v>7</v>
      </c>
      <c r="V21" s="119">
        <f>'2022'!AP154</f>
        <v>0</v>
      </c>
      <c r="W21" s="119">
        <f>'2022'!AS154</f>
        <v>7</v>
      </c>
      <c r="X21" s="119">
        <f>'2022'!AT154</f>
        <v>0</v>
      </c>
      <c r="Y21" s="119">
        <f>'2022'!AW154</f>
      </c>
      <c r="Z21" s="119">
        <f>'2022'!AX154</f>
        <v>-7</v>
      </c>
      <c r="AA21" s="119">
        <f>'2022'!BA154</f>
      </c>
      <c r="AB21" s="119">
        <f>'2022'!BB154</f>
      </c>
      <c r="AC21" s="119">
        <f>'2022'!BE154</f>
        <v>0</v>
      </c>
    </row>
    <row r="22" ht="15.75" customHeight="1" spans="1:29" x14ac:dyDescent="0.25">
      <c r="A22" s="14"/>
      <c r="B22" s="115">
        <v>18</v>
      </c>
      <c r="C22" s="115">
        <v>4.03</v>
      </c>
      <c r="D22" s="117" t="s">
        <v>109</v>
      </c>
      <c r="E22" s="119">
        <f>'2022'!I163</f>
        <v>34</v>
      </c>
      <c r="F22" s="119">
        <f>'2022'!J163</f>
      </c>
      <c r="G22" s="119">
        <f>'2022'!M163</f>
        <v>34</v>
      </c>
      <c r="H22" s="119">
        <f>'2022'!N163</f>
        <v>0</v>
      </c>
      <c r="I22" s="119">
        <f>'2022'!Q163</f>
        <v>34</v>
      </c>
      <c r="J22" s="119">
        <f>'2022'!R163</f>
        <v>0</v>
      </c>
      <c r="K22" s="119">
        <f>'2022'!U163</f>
        <v>34</v>
      </c>
      <c r="L22" s="119">
        <f>'2022'!V163</f>
        <v>0</v>
      </c>
      <c r="M22" s="119">
        <f>'2022'!Y163</f>
        <v>41</v>
      </c>
      <c r="N22" s="119">
        <f>'2022'!Z163</f>
        <v>7</v>
      </c>
      <c r="O22" s="119">
        <f>'2022'!AC163</f>
        <v>41</v>
      </c>
      <c r="P22" s="119">
        <f>'2022'!AD163</f>
        <v>0</v>
      </c>
      <c r="Q22" s="119">
        <f>'2022'!AG163</f>
        <v>41</v>
      </c>
      <c r="R22" s="119">
        <f>'2022'!AH163</f>
        <v>0</v>
      </c>
      <c r="S22" s="119">
        <f>'2022'!AK163</f>
        <v>41</v>
      </c>
      <c r="T22" s="119">
        <f>'2022'!AL163</f>
        <v>0</v>
      </c>
      <c r="U22" s="119">
        <f>'2022'!AO163</f>
        <v>41</v>
      </c>
      <c r="V22" s="119">
        <f>'2022'!AP163</f>
        <v>0</v>
      </c>
      <c r="W22" s="119">
        <f>'2022'!AS163</f>
        <v>41</v>
      </c>
      <c r="X22" s="119">
        <f>'2022'!AT163</f>
        <v>0</v>
      </c>
      <c r="Y22" s="119">
        <f>'2022'!AW163</f>
      </c>
      <c r="Z22" s="119">
        <f>'2022'!AX163</f>
        <v>-41</v>
      </c>
      <c r="AA22" s="119">
        <f>'2022'!BA163</f>
      </c>
      <c r="AB22" s="119">
        <f>'2022'!BB163</f>
      </c>
      <c r="AC22" s="119">
        <f>'2022'!BE163</f>
        <v>-34</v>
      </c>
    </row>
    <row r="23" ht="15.75" customHeight="1" spans="1:29" x14ac:dyDescent="0.25">
      <c r="A23" s="21"/>
      <c r="B23" s="115">
        <v>19</v>
      </c>
      <c r="C23" s="116">
        <v>4.1</v>
      </c>
      <c r="D23" s="117" t="s">
        <v>113</v>
      </c>
      <c r="E23" s="119">
        <f>'2022'!I172</f>
        <v>210</v>
      </c>
      <c r="F23" s="119">
        <f>'2022'!J172</f>
      </c>
      <c r="G23" s="119">
        <f>'2022'!M172</f>
        <v>210</v>
      </c>
      <c r="H23" s="119">
        <f>'2022'!N172</f>
        <v>0</v>
      </c>
      <c r="I23" s="119">
        <f>'2022'!Q172</f>
        <v>210</v>
      </c>
      <c r="J23" s="119">
        <f>'2022'!R172</f>
        <v>0</v>
      </c>
      <c r="K23" s="119">
        <f>'2022'!U172</f>
        <v>210</v>
      </c>
      <c r="L23" s="119">
        <f>'2022'!V172</f>
        <v>0</v>
      </c>
      <c r="M23" s="119">
        <f>'2022'!Y172</f>
        <v>329</v>
      </c>
      <c r="N23" s="119">
        <f>'2022'!Z172</f>
        <v>119</v>
      </c>
      <c r="O23" s="119">
        <f>'2022'!AC172</f>
        <v>329</v>
      </c>
      <c r="P23" s="119">
        <f>'2022'!AD172</f>
        <v>0</v>
      </c>
      <c r="Q23" s="119">
        <f>'2022'!AG172</f>
        <v>329</v>
      </c>
      <c r="R23" s="119">
        <f>'2022'!AH172</f>
        <v>0</v>
      </c>
      <c r="S23" s="119">
        <f>'2022'!AK172</f>
        <v>329</v>
      </c>
      <c r="T23" s="119">
        <f>'2022'!AL172</f>
        <v>0</v>
      </c>
      <c r="U23" s="119">
        <f>'2022'!AO172</f>
        <v>329</v>
      </c>
      <c r="V23" s="119">
        <f>'2022'!AP172</f>
        <v>0</v>
      </c>
      <c r="W23" s="119">
        <f>'2022'!AS172</f>
        <v>329</v>
      </c>
      <c r="X23" s="119">
        <f>'2022'!AT172</f>
        <v>0</v>
      </c>
      <c r="Y23" s="119">
        <f>'2022'!AW172</f>
      </c>
      <c r="Z23" s="119">
        <f>'2022'!AX172</f>
        <v>-329</v>
      </c>
      <c r="AA23" s="119">
        <f>'2022'!BA172</f>
      </c>
      <c r="AB23" s="119">
        <f>'2022'!BB172</f>
      </c>
      <c r="AC23" s="119">
        <f>'2022'!BE172</f>
        <v>-210</v>
      </c>
    </row>
    <row r="24" ht="15.75" customHeight="1" spans="1:29" x14ac:dyDescent="0.25">
      <c r="A24" s="114" t="s">
        <v>116</v>
      </c>
      <c r="B24" s="115" t="s">
        <v>117</v>
      </c>
      <c r="C24" s="283">
        <v>4</v>
      </c>
      <c r="D24" s="117" t="s">
        <v>118</v>
      </c>
      <c r="E24" s="119">
        <f>'2022'!I181</f>
        <v>83</v>
      </c>
      <c r="F24" s="119">
        <f>'2022'!J181</f>
      </c>
      <c r="G24" s="119">
        <f>'2022'!M181</f>
        <v>83</v>
      </c>
      <c r="H24" s="119">
        <f>'2022'!N181</f>
        <v>0</v>
      </c>
      <c r="I24" s="119">
        <f>'2022'!Q181</f>
        <v>83</v>
      </c>
      <c r="J24" s="119">
        <f>'2022'!R181</f>
        <v>0</v>
      </c>
      <c r="K24" s="119">
        <f>'2022'!U181</f>
        <v>83</v>
      </c>
      <c r="L24" s="119">
        <f>'2022'!V181</f>
        <v>0</v>
      </c>
      <c r="M24" s="119">
        <f>'2022'!Y181</f>
        <v>83</v>
      </c>
      <c r="N24" s="119">
        <f>'2022'!Z181</f>
        <v>0</v>
      </c>
      <c r="O24" s="119">
        <f>'2022'!AC181</f>
        <v>85</v>
      </c>
      <c r="P24" s="119">
        <f>'2022'!AD181</f>
        <v>2</v>
      </c>
      <c r="Q24" s="119">
        <f>'2022'!AG181</f>
        <v>88</v>
      </c>
      <c r="R24" s="119">
        <f>'2022'!AH181</f>
        <v>3</v>
      </c>
      <c r="S24" s="119">
        <f>'2022'!AK181</f>
        <v>91</v>
      </c>
      <c r="T24" s="119">
        <f>'2022'!AL181</f>
        <v>3</v>
      </c>
      <c r="U24" s="119">
        <f>'2022'!AO181</f>
        <v>93</v>
      </c>
      <c r="V24" s="119">
        <f>'2022'!AP181</f>
        <v>2</v>
      </c>
      <c r="W24" s="119">
        <f>'2022'!AS181</f>
        <v>93</v>
      </c>
      <c r="X24" s="119">
        <f>'2022'!AT181</f>
        <v>0</v>
      </c>
      <c r="Y24" s="119">
        <f>'2022'!AW181</f>
      </c>
      <c r="Z24" s="119">
        <f>'2022'!AX181</f>
        <v>-93</v>
      </c>
      <c r="AA24" s="119">
        <f>'2022'!BA181</f>
      </c>
      <c r="AB24" s="119">
        <f>'2022'!BB181</f>
      </c>
      <c r="AC24" s="119">
        <f>'2022'!BE181</f>
        <v>-83</v>
      </c>
    </row>
    <row r="25" ht="15.75" customHeight="1" spans="1:29" x14ac:dyDescent="0.25">
      <c r="A25" s="27"/>
      <c r="B25" s="115" t="s">
        <v>117</v>
      </c>
      <c r="C25" s="283">
        <v>4</v>
      </c>
      <c r="D25" s="117" t="s">
        <v>118</v>
      </c>
      <c r="E25" s="119">
        <f>'2022'!I190</f>
        <v>102</v>
      </c>
      <c r="F25" s="119">
        <f>'2022'!J190</f>
      </c>
      <c r="G25" s="119">
        <f>'2022'!M190</f>
        <v>102</v>
      </c>
      <c r="H25" s="119">
        <f>'2022'!N190</f>
        <v>0</v>
      </c>
      <c r="I25" s="119">
        <f>'2022'!Q190</f>
        <v>102</v>
      </c>
      <c r="J25" s="119">
        <f>'2022'!R190</f>
        <v>0</v>
      </c>
      <c r="K25" s="119">
        <f>'2022'!U190</f>
        <v>102</v>
      </c>
      <c r="L25" s="119">
        <f>'2022'!V190</f>
        <v>0</v>
      </c>
      <c r="M25" s="119">
        <f>'2022'!Y190</f>
        <v>102</v>
      </c>
      <c r="N25" s="119">
        <f>'2022'!Z190</f>
        <v>0</v>
      </c>
      <c r="O25" s="119">
        <f>'2022'!AC190</f>
        <v>111</v>
      </c>
      <c r="P25" s="119">
        <f>'2022'!AD190</f>
        <v>9</v>
      </c>
      <c r="Q25" s="119">
        <f>'2022'!AG190</f>
        <v>132</v>
      </c>
      <c r="R25" s="119">
        <f>'2022'!AH190</f>
        <v>21</v>
      </c>
      <c r="S25" s="119">
        <f>'2022'!AK190</f>
        <v>136</v>
      </c>
      <c r="T25" s="119">
        <f>'2022'!AL190</f>
        <v>4</v>
      </c>
      <c r="U25" s="119">
        <f>'2022'!AO190</f>
        <v>138</v>
      </c>
      <c r="V25" s="119">
        <f>'2022'!AP190</f>
        <v>2</v>
      </c>
      <c r="W25" s="119">
        <f>'2022'!AS190</f>
        <v>138</v>
      </c>
      <c r="X25" s="119">
        <f>'2022'!AT190</f>
        <v>0</v>
      </c>
      <c r="Y25" s="119">
        <f>'2022'!AW190</f>
      </c>
      <c r="Z25" s="119">
        <f>'2022'!AX190</f>
        <v>-138</v>
      </c>
      <c r="AA25" s="119">
        <f>'2022'!BA190</f>
      </c>
      <c r="AB25" s="119">
        <f>'2022'!BB190</f>
      </c>
      <c r="AC25" s="119">
        <f>'2022'!BE190</f>
        <v>-102</v>
      </c>
    </row>
    <row r="26" ht="15.75" customHeight="1" spans="1:29" x14ac:dyDescent="0.25">
      <c r="A26" s="14"/>
      <c r="B26" s="115">
        <v>21</v>
      </c>
      <c r="C26" s="115">
        <v>3.96</v>
      </c>
      <c r="D26" s="117" t="s">
        <v>120</v>
      </c>
      <c r="E26" s="119">
        <f>'2022'!I199</f>
        <v>60</v>
      </c>
      <c r="F26" s="119">
        <f>'2022'!J199</f>
      </c>
      <c r="G26" s="119">
        <f>'2022'!M199</f>
        <v>60</v>
      </c>
      <c r="H26" s="119">
        <f>'2022'!N199</f>
        <v>0</v>
      </c>
      <c r="I26" s="119">
        <f>'2022'!Q199</f>
        <v>60</v>
      </c>
      <c r="J26" s="119">
        <f>'2022'!R199</f>
        <v>0</v>
      </c>
      <c r="K26" s="119">
        <f>'2022'!U199</f>
        <v>60</v>
      </c>
      <c r="L26" s="119">
        <f>'2022'!V199</f>
        <v>0</v>
      </c>
      <c r="M26" s="119">
        <f>'2022'!Y199</f>
        <v>60</v>
      </c>
      <c r="N26" s="119">
        <f>'2022'!Z199</f>
        <v>0</v>
      </c>
      <c r="O26" s="119">
        <f>'2022'!AC199</f>
        <v>63</v>
      </c>
      <c r="P26" s="119">
        <f>'2022'!AD199</f>
        <v>3</v>
      </c>
      <c r="Q26" s="119">
        <f>'2022'!AG199</f>
        <v>65</v>
      </c>
      <c r="R26" s="119">
        <f>'2022'!AH199</f>
        <v>2</v>
      </c>
      <c r="S26" s="119">
        <f>'2022'!AK199</f>
        <v>67</v>
      </c>
      <c r="T26" s="119">
        <f>'2022'!AL199</f>
        <v>2</v>
      </c>
      <c r="U26" s="119">
        <f>'2022'!AO199</f>
        <v>69</v>
      </c>
      <c r="V26" s="119">
        <f>'2022'!AP199</f>
        <v>2</v>
      </c>
      <c r="W26" s="119">
        <f>'2022'!AS199</f>
        <v>69</v>
      </c>
      <c r="X26" s="119">
        <f>'2022'!AT199</f>
        <v>0</v>
      </c>
      <c r="Y26" s="119">
        <f>'2022'!AW199</f>
      </c>
      <c r="Z26" s="119">
        <f>'2022'!AX199</f>
        <v>-69</v>
      </c>
      <c r="AA26" s="119">
        <f>'2022'!BA199</f>
      </c>
      <c r="AB26" s="119">
        <f>'2022'!BB199</f>
      </c>
      <c r="AC26" s="119">
        <f>'2022'!BE199</f>
        <v>-60</v>
      </c>
    </row>
    <row r="27" ht="15.75" customHeight="1" spans="1:29" x14ac:dyDescent="0.25">
      <c r="A27" s="14"/>
      <c r="B27" s="115">
        <v>23</v>
      </c>
      <c r="C27" s="115">
        <v>3.98</v>
      </c>
      <c r="D27" s="117" t="s">
        <v>124</v>
      </c>
      <c r="E27" s="119">
        <f>'2022'!I208</f>
        <v>98</v>
      </c>
      <c r="F27" s="119">
        <f>'2022'!J208</f>
      </c>
      <c r="G27" s="119">
        <f>'2022'!M208</f>
        <v>98</v>
      </c>
      <c r="H27" s="119">
        <f>'2022'!N208</f>
        <v>0</v>
      </c>
      <c r="I27" s="119">
        <f>'2022'!Q208</f>
        <v>98</v>
      </c>
      <c r="J27" s="119">
        <f>'2022'!R208</f>
        <v>0</v>
      </c>
      <c r="K27" s="119">
        <f>'2022'!U208</f>
        <v>98</v>
      </c>
      <c r="L27" s="119">
        <f>'2022'!V208</f>
        <v>0</v>
      </c>
      <c r="M27" s="119">
        <f>'2022'!Y208</f>
        <v>0</v>
      </c>
      <c r="N27" s="119">
        <f>'2022'!Z208</f>
        <v>0</v>
      </c>
      <c r="O27" s="119">
        <f>'2022'!AC208</f>
        <v>9</v>
      </c>
      <c r="P27" s="119">
        <f>'2022'!AD208</f>
        <v>9</v>
      </c>
      <c r="Q27" s="119">
        <f>'2022'!AG208</f>
        <v>12</v>
      </c>
      <c r="R27" s="119">
        <f>'2022'!AH208</f>
        <v>3</v>
      </c>
      <c r="S27" s="119">
        <f>'2022'!AK208</f>
        <v>20</v>
      </c>
      <c r="T27" s="119">
        <f>'2022'!AL208</f>
        <v>8</v>
      </c>
      <c r="U27" s="119">
        <f>'2022'!AO208</f>
        <v>22</v>
      </c>
      <c r="V27" s="119">
        <f>'2022'!AP208</f>
        <v>2</v>
      </c>
      <c r="W27" s="119">
        <f>'2022'!AS208</f>
        <v>22</v>
      </c>
      <c r="X27" s="119">
        <f>'2022'!AT208</f>
        <v>0</v>
      </c>
      <c r="Y27" s="119">
        <f>'2022'!AW208</f>
      </c>
      <c r="Z27" s="119">
        <f>'2022'!AX208</f>
        <v>-22</v>
      </c>
      <c r="AA27" s="119">
        <f>'2022'!BA208</f>
      </c>
      <c r="AB27" s="119">
        <f>'2022'!BB208</f>
      </c>
      <c r="AC27" s="119">
        <f>'2022'!BE208</f>
        <v>0</v>
      </c>
    </row>
    <row r="28" ht="15.75" customHeight="1" spans="1:29" x14ac:dyDescent="0.25">
      <c r="A28" s="14"/>
      <c r="B28" s="115">
        <v>24</v>
      </c>
      <c r="C28" s="115">
        <v>4.01</v>
      </c>
      <c r="D28" s="117" t="s">
        <v>127</v>
      </c>
      <c r="E28" s="119">
        <f>'2022'!I217</f>
        <v>113</v>
      </c>
      <c r="F28" s="119">
        <f>'2022'!J217</f>
      </c>
      <c r="G28" s="119">
        <f>'2022'!M217</f>
        <v>113</v>
      </c>
      <c r="H28" s="119">
        <f>'2022'!N217</f>
        <v>0</v>
      </c>
      <c r="I28" s="119">
        <f>'2022'!Q217</f>
        <v>113</v>
      </c>
      <c r="J28" s="119">
        <f>'2022'!R217</f>
        <v>0</v>
      </c>
      <c r="K28" s="119">
        <f>'2022'!U217</f>
        <v>113</v>
      </c>
      <c r="L28" s="119">
        <f>'2022'!V217</f>
        <v>0</v>
      </c>
      <c r="M28" s="119">
        <f>'2022'!Y217</f>
        <v>116</v>
      </c>
      <c r="N28" s="119">
        <f>'2022'!Z217</f>
        <v>3</v>
      </c>
      <c r="O28" s="119">
        <f>'2022'!AC217</f>
        <v>125</v>
      </c>
      <c r="P28" s="119">
        <f>'2022'!AD217</f>
        <v>9</v>
      </c>
      <c r="Q28" s="119">
        <f>'2022'!AG217</f>
        <v>131</v>
      </c>
      <c r="R28" s="119">
        <f>'2022'!AH217</f>
        <v>6</v>
      </c>
      <c r="S28" s="119">
        <f>'2022'!AK217</f>
        <v>136</v>
      </c>
      <c r="T28" s="119">
        <f>'2022'!AL217</f>
        <v>5</v>
      </c>
      <c r="U28" s="119">
        <f>'2022'!AO217</f>
        <v>141</v>
      </c>
      <c r="V28" s="119">
        <f>'2022'!AP217</f>
        <v>5</v>
      </c>
      <c r="W28" s="119">
        <f>'2022'!AS217</f>
        <v>141</v>
      </c>
      <c r="X28" s="119">
        <f>'2022'!AT217</f>
        <v>0</v>
      </c>
      <c r="Y28" s="119">
        <f>'2022'!AW217</f>
      </c>
      <c r="Z28" s="119">
        <f>'2022'!AX217</f>
        <v>-141</v>
      </c>
      <c r="AA28" s="119">
        <f>'2022'!BA217</f>
      </c>
      <c r="AB28" s="119">
        <f>'2022'!BB217</f>
      </c>
      <c r="AC28" s="119">
        <f>'2022'!BE217</f>
        <v>-113</v>
      </c>
    </row>
    <row r="29" ht="15.75" customHeight="1" spans="1:29" x14ac:dyDescent="0.25">
      <c r="A29" s="14"/>
      <c r="B29" s="115">
        <v>25</v>
      </c>
      <c r="C29" s="116">
        <v>4</v>
      </c>
      <c r="D29" s="117" t="s">
        <v>131</v>
      </c>
      <c r="E29" s="119">
        <f>'2022'!I226</f>
        <v>2</v>
      </c>
      <c r="F29" s="119">
        <f>'2022'!J226</f>
      </c>
      <c r="G29" s="119">
        <f>'2022'!M226</f>
        <v>2</v>
      </c>
      <c r="H29" s="119">
        <f>'2022'!N226</f>
        <v>0</v>
      </c>
      <c r="I29" s="119">
        <f>'2022'!Q226</f>
        <v>2</v>
      </c>
      <c r="J29" s="119">
        <f>'2022'!R226</f>
        <v>0</v>
      </c>
      <c r="K29" s="119">
        <f>'2022'!U226</f>
        <v>2</v>
      </c>
      <c r="L29" s="119">
        <f>'2022'!V226</f>
        <v>0</v>
      </c>
      <c r="M29" s="119">
        <f>'2022'!Y226</f>
        <v>23</v>
      </c>
      <c r="N29" s="119">
        <f>'2022'!Z226</f>
        <v>21</v>
      </c>
      <c r="O29" s="119">
        <f>'2022'!AC226</f>
        <v>23</v>
      </c>
      <c r="P29" s="119">
        <f>'2022'!AD226</f>
        <v>0</v>
      </c>
      <c r="Q29" s="119">
        <f>'2022'!AG226</f>
        <v>23</v>
      </c>
      <c r="R29" s="119">
        <f>'2022'!AH226</f>
        <v>0</v>
      </c>
      <c r="S29" s="119">
        <f>'2022'!AK226</f>
        <v>23</v>
      </c>
      <c r="T29" s="119">
        <f>'2022'!AL226</f>
        <v>0</v>
      </c>
      <c r="U29" s="119">
        <f>'2022'!AO226</f>
        <v>23</v>
      </c>
      <c r="V29" s="119">
        <f>'2022'!AP226</f>
        <v>0</v>
      </c>
      <c r="W29" s="119">
        <f>'2022'!AS226</f>
        <v>23</v>
      </c>
      <c r="X29" s="119">
        <f>'2022'!AT226</f>
        <v>0</v>
      </c>
      <c r="Y29" s="119">
        <f>'2022'!AW226</f>
      </c>
      <c r="Z29" s="119">
        <f>'2022'!AX226</f>
        <v>-23</v>
      </c>
      <c r="AA29" s="119">
        <f>'2022'!BA226</f>
      </c>
      <c r="AB29" s="119">
        <f>'2022'!BB226</f>
      </c>
      <c r="AC29" s="119">
        <f>'2022'!BE226</f>
        <v>-2</v>
      </c>
    </row>
    <row r="30" ht="15.75" customHeight="1" spans="1:29" x14ac:dyDescent="0.25">
      <c r="A30" s="14"/>
      <c r="B30" s="115">
        <v>26</v>
      </c>
      <c r="C30" s="115">
        <v>3.98</v>
      </c>
      <c r="D30" s="117" t="s">
        <v>133</v>
      </c>
      <c r="E30" s="119">
        <f>'2022'!I235</f>
      </c>
      <c r="F30" s="119">
        <f>'2022'!J235</f>
      </c>
      <c r="G30" s="119">
        <f>'2022'!M235</f>
      </c>
      <c r="H30" s="119">
        <f>'2022'!N235</f>
        <v>0</v>
      </c>
      <c r="I30" s="119">
        <f>'2022'!Q235</f>
      </c>
      <c r="J30" s="119">
        <f>'2022'!R235</f>
        <v>0</v>
      </c>
      <c r="K30" s="119">
        <f>'2022'!U235</f>
      </c>
      <c r="L30" s="119">
        <f>'2022'!V235</f>
        <v>0</v>
      </c>
      <c r="M30" s="119">
        <f>'2022'!Y235</f>
      </c>
      <c r="N30" s="119">
        <f>'2022'!Z235</f>
        <v>0</v>
      </c>
      <c r="O30" s="119">
        <f>'2022'!AC235</f>
      </c>
      <c r="P30" s="119">
        <f>'2022'!AD235</f>
        <v>0</v>
      </c>
      <c r="Q30" s="119">
        <f>'2022'!AG235</f>
      </c>
      <c r="R30" s="119">
        <f>'2022'!AH235</f>
        <v>0</v>
      </c>
      <c r="S30" s="119">
        <f>'2022'!AK235</f>
      </c>
      <c r="T30" s="119">
        <f>'2022'!AL235</f>
        <v>0</v>
      </c>
      <c r="U30" s="119">
        <f>'2022'!AO235</f>
      </c>
      <c r="V30" s="119">
        <f>'2022'!AP235</f>
        <v>0</v>
      </c>
      <c r="W30" s="119">
        <f>'2022'!AS235</f>
      </c>
      <c r="X30" s="119">
        <f>'2022'!AT235</f>
        <v>0</v>
      </c>
      <c r="Y30" s="119">
        <f>'2022'!AW235</f>
      </c>
      <c r="Z30" s="119">
        <f>'2022'!AX235</f>
        <v>0</v>
      </c>
      <c r="AA30" s="119">
        <f>'2022'!BA235</f>
      </c>
      <c r="AB30" s="119">
        <f>'2022'!BB235</f>
      </c>
      <c r="AC30" s="119">
        <f>'2022'!BE235</f>
        <v>0</v>
      </c>
    </row>
    <row r="31" ht="15.75" customHeight="1" spans="1:29" x14ac:dyDescent="0.25">
      <c r="A31" s="14"/>
      <c r="B31" s="115">
        <v>27</v>
      </c>
      <c r="C31" s="115">
        <v>4.04</v>
      </c>
      <c r="D31" s="117" t="s">
        <v>136</v>
      </c>
      <c r="E31" s="119">
        <f>'2022'!I244</f>
      </c>
      <c r="F31" s="119">
        <f>'2022'!J244</f>
      </c>
      <c r="G31" s="119">
        <f>'2022'!M244</f>
      </c>
      <c r="H31" s="119">
        <f>'2022'!N244</f>
        <v>0</v>
      </c>
      <c r="I31" s="119">
        <f>'2022'!Q244</f>
      </c>
      <c r="J31" s="119">
        <f>'2022'!R244</f>
        <v>0</v>
      </c>
      <c r="K31" s="119">
        <f>'2022'!U244</f>
      </c>
      <c r="L31" s="119">
        <f>'2022'!V244</f>
        <v>0</v>
      </c>
      <c r="M31" s="119">
        <f>'2022'!Y244</f>
      </c>
      <c r="N31" s="119">
        <f>'2022'!Z244</f>
        <v>0</v>
      </c>
      <c r="O31" s="119">
        <f>'2022'!AC244</f>
      </c>
      <c r="P31" s="119">
        <f>'2022'!AD244</f>
        <v>0</v>
      </c>
      <c r="Q31" s="119">
        <f>'2022'!AG244</f>
      </c>
      <c r="R31" s="119">
        <f>'2022'!AH244</f>
        <v>0</v>
      </c>
      <c r="S31" s="119">
        <f>'2022'!AK244</f>
      </c>
      <c r="T31" s="119">
        <f>'2022'!AL244</f>
        <v>0</v>
      </c>
      <c r="U31" s="119">
        <f>'2022'!AO244</f>
      </c>
      <c r="V31" s="119">
        <f>'2022'!AP244</f>
        <v>0</v>
      </c>
      <c r="W31" s="119">
        <f>'2022'!AS244</f>
      </c>
      <c r="X31" s="119">
        <f>'2022'!AT244</f>
        <v>0</v>
      </c>
      <c r="Y31" s="119">
        <f>'2022'!AW244</f>
      </c>
      <c r="Z31" s="119">
        <f>'2022'!AX244</f>
        <v>0</v>
      </c>
      <c r="AA31" s="119">
        <f>'2022'!BA244</f>
      </c>
      <c r="AB31" s="119">
        <f>'2022'!BB244</f>
      </c>
      <c r="AC31" s="119">
        <f>'2022'!BE244</f>
        <v>0</v>
      </c>
    </row>
    <row r="32" ht="15.75" customHeight="1" spans="1:29" x14ac:dyDescent="0.25">
      <c r="A32" s="14"/>
      <c r="B32" s="115">
        <v>28</v>
      </c>
      <c r="C32" s="115">
        <v>3.96</v>
      </c>
      <c r="D32" s="117" t="s">
        <v>140</v>
      </c>
      <c r="E32" s="119">
        <f>'2022'!I253</f>
        <v>19</v>
      </c>
      <c r="F32" s="119">
        <f>'2022'!J253</f>
      </c>
      <c r="G32" s="119">
        <f>'2022'!M253</f>
        <v>19</v>
      </c>
      <c r="H32" s="119">
        <f>'2022'!N253</f>
        <v>0</v>
      </c>
      <c r="I32" s="119">
        <f>'2022'!Q253</f>
        <v>19</v>
      </c>
      <c r="J32" s="119">
        <f>'2022'!R253</f>
        <v>0</v>
      </c>
      <c r="K32" s="119">
        <f>'2022'!U253</f>
        <v>19</v>
      </c>
      <c r="L32" s="119">
        <f>'2022'!V253</f>
        <v>0</v>
      </c>
      <c r="M32" s="119">
        <f>'2022'!Y253</f>
        <v>21</v>
      </c>
      <c r="N32" s="119">
        <f>'2022'!Z253</f>
        <v>2</v>
      </c>
      <c r="O32" s="119">
        <f>'2022'!AC253</f>
        <v>27</v>
      </c>
      <c r="P32" s="119">
        <f>'2022'!AD253</f>
        <v>6</v>
      </c>
      <c r="Q32" s="119">
        <f>'2022'!AG253</f>
        <v>32</v>
      </c>
      <c r="R32" s="119">
        <f>'2022'!AH253</f>
        <v>5</v>
      </c>
      <c r="S32" s="119">
        <f>'2022'!AK253</f>
        <v>35</v>
      </c>
      <c r="T32" s="119">
        <f>'2022'!AL253</f>
        <v>3</v>
      </c>
      <c r="U32" s="119">
        <f>'2022'!AO253</f>
        <v>39</v>
      </c>
      <c r="V32" s="119">
        <f>'2022'!AP253</f>
        <v>4</v>
      </c>
      <c r="W32" s="119">
        <f>'2022'!AS253</f>
        <v>39</v>
      </c>
      <c r="X32" s="119">
        <f>'2022'!AT253</f>
        <v>0</v>
      </c>
      <c r="Y32" s="119">
        <f>'2022'!AW253</f>
      </c>
      <c r="Z32" s="119">
        <f>'2022'!AX253</f>
        <v>-39</v>
      </c>
      <c r="AA32" s="119">
        <f>'2022'!BA253</f>
      </c>
      <c r="AB32" s="119">
        <f>'2022'!BB253</f>
      </c>
      <c r="AC32" s="119">
        <f>'2022'!BE253</f>
        <v>-19</v>
      </c>
    </row>
    <row r="33" ht="15.75" customHeight="1" spans="1:29" x14ac:dyDescent="0.25">
      <c r="A33" s="14"/>
      <c r="B33" s="115">
        <v>30</v>
      </c>
      <c r="C33" s="115">
        <v>4.05</v>
      </c>
      <c r="D33" s="117" t="s">
        <v>496</v>
      </c>
      <c r="E33" s="119">
        <f>'2022'!I262</f>
        <v>81</v>
      </c>
      <c r="F33" s="119">
        <f>'2022'!J262</f>
      </c>
      <c r="G33" s="119">
        <f>'2022'!M262</f>
        <v>81</v>
      </c>
      <c r="H33" s="119">
        <f>'2022'!N262</f>
        <v>0</v>
      </c>
      <c r="I33" s="119">
        <f>'2022'!Q262</f>
        <v>81</v>
      </c>
      <c r="J33" s="119">
        <f>'2022'!R262</f>
        <v>0</v>
      </c>
      <c r="K33" s="119">
        <f>'2022'!U262</f>
        <v>81</v>
      </c>
      <c r="L33" s="119">
        <f>'2022'!V262</f>
        <v>0</v>
      </c>
      <c r="M33" s="119">
        <f>'2022'!Y262</f>
        <v>0</v>
      </c>
      <c r="N33" s="119">
        <f>'2022'!Z262</f>
        <v>0</v>
      </c>
      <c r="O33" s="119">
        <f>'2022'!AC262</f>
        <v>18</v>
      </c>
      <c r="P33" s="119">
        <f>'2022'!AD262</f>
        <v>18</v>
      </c>
      <c r="Q33" s="119">
        <f>'2022'!AG262</f>
        <v>36</v>
      </c>
      <c r="R33" s="119">
        <f>'2022'!AH262</f>
        <v>18</v>
      </c>
      <c r="S33" s="119">
        <f>'2022'!AK262</f>
        <v>46</v>
      </c>
      <c r="T33" s="119">
        <f>'2022'!AL262</f>
        <v>10</v>
      </c>
      <c r="U33" s="119">
        <f>'2022'!AO262</f>
        <v>56</v>
      </c>
      <c r="V33" s="119">
        <f>'2022'!AP262</f>
        <v>10</v>
      </c>
      <c r="W33" s="119">
        <f>'2022'!AS262</f>
        <v>56</v>
      </c>
      <c r="X33" s="119">
        <f>'2022'!AT262</f>
        <v>0</v>
      </c>
      <c r="Y33" s="119">
        <f>'2022'!AW262</f>
      </c>
      <c r="Z33" s="119">
        <f>'2022'!AX262</f>
        <v>-56</v>
      </c>
      <c r="AA33" s="119">
        <f>'2022'!BA262</f>
      </c>
      <c r="AB33" s="119">
        <f>'2022'!BB262</f>
      </c>
      <c r="AC33" s="119">
        <f>'2022'!BE262</f>
        <v>0</v>
      </c>
    </row>
    <row r="34" ht="15.75" customHeight="1" spans="1:29" x14ac:dyDescent="0.25">
      <c r="A34" s="14"/>
      <c r="B34" s="115">
        <v>29</v>
      </c>
      <c r="C34" s="115">
        <v>4.02</v>
      </c>
      <c r="D34" s="117" t="s">
        <v>146</v>
      </c>
      <c r="E34" s="119">
        <f>'2022'!I271</f>
        <v>25</v>
      </c>
      <c r="F34" s="119">
        <f>'2022'!J271</f>
      </c>
      <c r="G34" s="119">
        <f>'2022'!M271</f>
        <v>25</v>
      </c>
      <c r="H34" s="119">
        <f>'2022'!N271</f>
        <v>0</v>
      </c>
      <c r="I34" s="119">
        <f>'2022'!Q271</f>
        <v>25</v>
      </c>
      <c r="J34" s="119">
        <f>'2022'!R271</f>
        <v>0</v>
      </c>
      <c r="K34" s="119">
        <f>'2022'!U271</f>
        <v>25</v>
      </c>
      <c r="L34" s="119">
        <f>'2022'!V271</f>
        <v>0</v>
      </c>
      <c r="M34" s="119">
        <f>'2022'!Y271</f>
        <v>25</v>
      </c>
      <c r="N34" s="119">
        <f>'2022'!Z271</f>
        <v>0</v>
      </c>
      <c r="O34" s="119">
        <f>'2022'!AC271</f>
        <v>25</v>
      </c>
      <c r="P34" s="119">
        <f>'2022'!AD271</f>
        <v>0</v>
      </c>
      <c r="Q34" s="119">
        <f>'2022'!AG271</f>
        <v>25</v>
      </c>
      <c r="R34" s="119">
        <f>'2022'!AH271</f>
        <v>0</v>
      </c>
      <c r="S34" s="119">
        <f>'2022'!AK271</f>
        <v>25</v>
      </c>
      <c r="T34" s="119">
        <f>'2022'!AL271</f>
        <v>0</v>
      </c>
      <c r="U34" s="119">
        <f>'2022'!AO271</f>
        <v>26</v>
      </c>
      <c r="V34" s="119">
        <f>'2022'!AP271</f>
        <v>1</v>
      </c>
      <c r="W34" s="119">
        <f>'2022'!AS271</f>
        <v>26</v>
      </c>
      <c r="X34" s="119">
        <f>'2022'!AT271</f>
        <v>0</v>
      </c>
      <c r="Y34" s="119">
        <f>'2022'!AW271</f>
      </c>
      <c r="Z34" s="119">
        <f>'2022'!AX271</f>
        <v>-26</v>
      </c>
      <c r="AA34" s="119">
        <f>'2022'!BA271</f>
      </c>
      <c r="AB34" s="119">
        <f>'2022'!BB271</f>
      </c>
      <c r="AC34" s="119">
        <f>'2022'!BE271</f>
        <v>-25</v>
      </c>
    </row>
    <row r="35" ht="15.75" customHeight="1" spans="1:29" x14ac:dyDescent="0.25">
      <c r="A35" s="14"/>
      <c r="B35" s="115">
        <v>31</v>
      </c>
      <c r="C35" s="116">
        <v>4</v>
      </c>
      <c r="D35" s="117" t="s">
        <v>149</v>
      </c>
      <c r="E35" s="119">
        <f>'2022'!I280</f>
        <v>538</v>
      </c>
      <c r="F35" s="119">
        <f>'2022'!J280</f>
      </c>
      <c r="G35" s="119">
        <f>'2022'!M280</f>
        <v>538</v>
      </c>
      <c r="H35" s="119">
        <f>'2022'!N280</f>
        <v>0</v>
      </c>
      <c r="I35" s="119">
        <f>'2022'!Q280</f>
        <v>538</v>
      </c>
      <c r="J35" s="119">
        <f>'2022'!R280</f>
        <v>0</v>
      </c>
      <c r="K35" s="119">
        <f>'2022'!U280</f>
        <v>538</v>
      </c>
      <c r="L35" s="119">
        <f>'2022'!V280</f>
        <v>0</v>
      </c>
      <c r="M35" s="119">
        <f>'2022'!Y280</f>
        <v>543</v>
      </c>
      <c r="N35" s="119">
        <f>'2022'!Z280</f>
        <v>5</v>
      </c>
      <c r="O35" s="119">
        <f>'2022'!AC280</f>
        <v>547</v>
      </c>
      <c r="P35" s="119">
        <f>'2022'!AD280</f>
        <v>4</v>
      </c>
      <c r="Q35" s="119">
        <f>'2022'!AG280</f>
        <v>549</v>
      </c>
      <c r="R35" s="119">
        <f>'2022'!AH280</f>
        <v>2</v>
      </c>
      <c r="S35" s="119">
        <f>'2022'!AK280</f>
        <v>555</v>
      </c>
      <c r="T35" s="119">
        <f>'2022'!AL280</f>
        <v>6</v>
      </c>
      <c r="U35" s="119">
        <f>'2022'!AO280</f>
        <v>557</v>
      </c>
      <c r="V35" s="119">
        <f>'2022'!AP280</f>
        <v>2</v>
      </c>
      <c r="W35" s="119">
        <f>'2022'!AS280</f>
        <v>557</v>
      </c>
      <c r="X35" s="119">
        <f>'2022'!AT280</f>
        <v>0</v>
      </c>
      <c r="Y35" s="119">
        <f>'2022'!AW280</f>
      </c>
      <c r="Z35" s="119">
        <f>'2022'!AX280</f>
        <v>-557</v>
      </c>
      <c r="AA35" s="119">
        <f>'2022'!BA280</f>
      </c>
      <c r="AB35" s="119">
        <f>'2022'!BB280</f>
      </c>
      <c r="AC35" s="119">
        <f>'2022'!BE280</f>
        <v>-538</v>
      </c>
    </row>
    <row r="36" ht="15.75" customHeight="1" spans="1:29" x14ac:dyDescent="0.25">
      <c r="A36" s="14"/>
      <c r="B36" s="115">
        <v>32</v>
      </c>
      <c r="C36" s="115">
        <v>3.96</v>
      </c>
      <c r="D36" s="117" t="s">
        <v>152</v>
      </c>
      <c r="E36" s="119">
        <f>'2022'!I289</f>
      </c>
      <c r="F36" s="119">
        <f>'2022'!J289</f>
      </c>
      <c r="G36" s="119">
        <f>'2022'!M289</f>
      </c>
      <c r="H36" s="119">
        <f>'2022'!N289</f>
        <v>0</v>
      </c>
      <c r="I36" s="119">
        <f>'2022'!Q289</f>
      </c>
      <c r="J36" s="119">
        <f>'2022'!R289</f>
        <v>0</v>
      </c>
      <c r="K36" s="119">
        <f>'2022'!U289</f>
      </c>
      <c r="L36" s="119">
        <f>'2022'!V289</f>
        <v>0</v>
      </c>
      <c r="M36" s="119">
        <f>'2022'!Y289</f>
      </c>
      <c r="N36" s="119">
        <f>'2022'!Z289</f>
        <v>0</v>
      </c>
      <c r="O36" s="119">
        <f>'2022'!AC289</f>
      </c>
      <c r="P36" s="119">
        <f>'2022'!AD289</f>
        <v>9</v>
      </c>
      <c r="Q36" s="119">
        <f>'2022'!AG289</f>
      </c>
      <c r="R36" s="119">
        <f>'2022'!AH289</f>
        <v>9</v>
      </c>
      <c r="S36" s="119">
        <f>'2022'!AK289</f>
      </c>
      <c r="T36" s="119">
        <f>'2022'!AL289</f>
        <v>9</v>
      </c>
      <c r="U36" s="119">
        <f>'2022'!AO289</f>
      </c>
      <c r="V36" s="119">
        <f>'2022'!AP289</f>
        <v>9</v>
      </c>
      <c r="W36" s="119">
        <f>'2022'!AS289</f>
      </c>
      <c r="X36" s="119">
        <f>'2022'!AT289</f>
        <v>9</v>
      </c>
      <c r="Y36" s="119">
        <f>'2022'!AW289</f>
      </c>
      <c r="Z36" s="119">
        <f>'2022'!AX289</f>
        <v>9</v>
      </c>
      <c r="AA36" s="119">
        <f>'2022'!BA289</f>
      </c>
      <c r="AB36" s="119">
        <f>'2022'!BB289</f>
      </c>
      <c r="AC36" s="119">
        <f>'2022'!BE289</f>
        <v>54</v>
      </c>
    </row>
    <row r="37" ht="15.75" customHeight="1" spans="1:29" x14ac:dyDescent="0.25">
      <c r="A37" s="14"/>
      <c r="B37" s="115">
        <v>33</v>
      </c>
      <c r="C37" s="115">
        <v>4.01</v>
      </c>
      <c r="D37" s="117" t="s">
        <v>154</v>
      </c>
      <c r="E37" s="119">
        <f>'2022'!I298</f>
        <v>22</v>
      </c>
      <c r="F37" s="119">
        <f>'2022'!J298</f>
      </c>
      <c r="G37" s="119">
        <f>'2022'!M298</f>
        <v>22</v>
      </c>
      <c r="H37" s="119">
        <f>'2022'!N298</f>
        <v>0</v>
      </c>
      <c r="I37" s="119">
        <f>'2022'!Q298</f>
        <v>22</v>
      </c>
      <c r="J37" s="119">
        <f>'2022'!R298</f>
        <v>0</v>
      </c>
      <c r="K37" s="119">
        <f>'2022'!U298</f>
        <v>22</v>
      </c>
      <c r="L37" s="119">
        <f>'2022'!V298</f>
        <v>0</v>
      </c>
      <c r="M37" s="119">
        <f>'2022'!Y298</f>
        <v>22</v>
      </c>
      <c r="N37" s="119">
        <f>'2022'!Z298</f>
        <v>0</v>
      </c>
      <c r="O37" s="119">
        <f>'2022'!AC298</f>
        <v>22</v>
      </c>
      <c r="P37" s="119">
        <f>'2022'!AD298</f>
        <v>0</v>
      </c>
      <c r="Q37" s="119">
        <f>'2022'!AG298</f>
        <v>22</v>
      </c>
      <c r="R37" s="119">
        <f>'2022'!AH298</f>
        <v>0</v>
      </c>
      <c r="S37" s="119">
        <f>'2022'!AK298</f>
        <v>22</v>
      </c>
      <c r="T37" s="119">
        <f>'2022'!AL298</f>
        <v>0</v>
      </c>
      <c r="U37" s="119">
        <f>'2022'!AO298</f>
        <v>22</v>
      </c>
      <c r="V37" s="119">
        <f>'2022'!AP298</f>
        <v>0</v>
      </c>
      <c r="W37" s="119">
        <f>'2022'!AS298</f>
        <v>22</v>
      </c>
      <c r="X37" s="119">
        <f>'2022'!AT298</f>
        <v>0</v>
      </c>
      <c r="Y37" s="119">
        <f>'2022'!AW298</f>
      </c>
      <c r="Z37" s="119">
        <f>'2022'!AX298</f>
        <v>-22</v>
      </c>
      <c r="AA37" s="119">
        <f>'2022'!BA298</f>
      </c>
      <c r="AB37" s="119">
        <f>'2022'!BB298</f>
      </c>
      <c r="AC37" s="119">
        <f>'2022'!BE298</f>
        <v>-22</v>
      </c>
    </row>
    <row r="38" ht="15.75" customHeight="1" spans="1:29" x14ac:dyDescent="0.25">
      <c r="A38" s="14"/>
      <c r="B38" s="115">
        <v>34</v>
      </c>
      <c r="C38" s="115">
        <v>4.01</v>
      </c>
      <c r="D38" s="117" t="s">
        <v>155</v>
      </c>
      <c r="E38" s="119">
        <f>'2022'!I307</f>
        <v>67</v>
      </c>
      <c r="F38" s="119">
        <f>'2022'!J307</f>
      </c>
      <c r="G38" s="119">
        <f>'2022'!M307</f>
        <v>67</v>
      </c>
      <c r="H38" s="119">
        <f>'2022'!N307</f>
        <v>0</v>
      </c>
      <c r="I38" s="119">
        <f>'2022'!Q307</f>
        <v>67</v>
      </c>
      <c r="J38" s="119">
        <f>'2022'!R307</f>
        <v>0</v>
      </c>
      <c r="K38" s="119">
        <f>'2022'!U307</f>
        <v>67</v>
      </c>
      <c r="L38" s="119">
        <f>'2022'!V307</f>
        <v>0</v>
      </c>
      <c r="M38" s="119">
        <f>'2022'!Y307</f>
        <v>114</v>
      </c>
      <c r="N38" s="119">
        <f>'2022'!Z307</f>
        <v>0</v>
      </c>
      <c r="O38" s="119">
        <f>'2022'!AC307</f>
        <v>124</v>
      </c>
      <c r="P38" s="119">
        <f>'2022'!AD307</f>
        <v>10</v>
      </c>
      <c r="Q38" s="119">
        <f>'2022'!AG307</f>
        <v>139</v>
      </c>
      <c r="R38" s="119">
        <f>'2022'!AH307</f>
        <v>15</v>
      </c>
      <c r="S38" s="119">
        <f>'2022'!AK307</f>
        <v>139</v>
      </c>
      <c r="T38" s="119">
        <f>'2022'!AL307</f>
        <v>0</v>
      </c>
      <c r="U38" s="119">
        <f>'2022'!AO307</f>
        <v>150</v>
      </c>
      <c r="V38" s="119">
        <f>'2022'!AP307</f>
        <v>11</v>
      </c>
      <c r="W38" s="119">
        <f>'2022'!AS307</f>
        <v>150</v>
      </c>
      <c r="X38" s="119">
        <f>'2022'!AT307</f>
        <v>0</v>
      </c>
      <c r="Y38" s="119">
        <f>'2022'!AW307</f>
      </c>
      <c r="Z38" s="119">
        <f>'2022'!AX307</f>
        <v>-150</v>
      </c>
      <c r="AA38" s="119">
        <f>'2022'!BA307</f>
      </c>
      <c r="AB38" s="119">
        <f>'2022'!BB307</f>
      </c>
      <c r="AC38" s="119">
        <f>'2022'!BE307</f>
        <v>-114</v>
      </c>
    </row>
    <row r="39" ht="15.75" customHeight="1" spans="1:29" x14ac:dyDescent="0.25">
      <c r="A39" s="14"/>
      <c r="B39" s="115">
        <v>35</v>
      </c>
      <c r="C39" s="115">
        <v>4.01</v>
      </c>
      <c r="D39" s="117" t="s">
        <v>157</v>
      </c>
      <c r="E39" s="119">
        <f>'2022'!I316</f>
        <v>177</v>
      </c>
      <c r="F39" s="119">
        <f>'2022'!J316</f>
      </c>
      <c r="G39" s="119">
        <f>'2022'!M316</f>
        <v>177</v>
      </c>
      <c r="H39" s="119">
        <f>'2022'!N316</f>
        <v>0</v>
      </c>
      <c r="I39" s="119">
        <f>'2022'!Q316</f>
        <v>177</v>
      </c>
      <c r="J39" s="119">
        <f>'2022'!R316</f>
        <v>0</v>
      </c>
      <c r="K39" s="119">
        <f>'2022'!U316</f>
        <v>177</v>
      </c>
      <c r="L39" s="119">
        <f>'2022'!V316</f>
        <v>0</v>
      </c>
      <c r="M39" s="119">
        <f>'2022'!Y316</f>
        <v>177</v>
      </c>
      <c r="N39" s="119">
        <f>'2022'!Z316</f>
        <v>0</v>
      </c>
      <c r="O39" s="119">
        <f>'2022'!AC316</f>
        <v>184</v>
      </c>
      <c r="P39" s="119">
        <f>'2022'!AD316</f>
        <v>7</v>
      </c>
      <c r="Q39" s="119">
        <f>'2022'!AG316</f>
        <v>184</v>
      </c>
      <c r="R39" s="119">
        <f>'2022'!AH316</f>
        <v>0</v>
      </c>
      <c r="S39" s="119">
        <f>'2022'!AK316</f>
        <v>184</v>
      </c>
      <c r="T39" s="119">
        <f>'2022'!AL316</f>
        <v>0</v>
      </c>
      <c r="U39" s="119">
        <f>'2022'!AO316</f>
        <v>192</v>
      </c>
      <c r="V39" s="119">
        <f>'2022'!AP316</f>
        <v>8</v>
      </c>
      <c r="W39" s="119">
        <f>'2022'!AS316</f>
        <v>192</v>
      </c>
      <c r="X39" s="119">
        <f>'2022'!AT316</f>
        <v>0</v>
      </c>
      <c r="Y39" s="119">
        <f>'2022'!AW316</f>
      </c>
      <c r="Z39" s="119">
        <f>'2022'!AX316</f>
        <v>-192</v>
      </c>
      <c r="AA39" s="119">
        <f>'2022'!BA316</f>
      </c>
      <c r="AB39" s="119">
        <f>'2022'!BB316</f>
      </c>
      <c r="AC39" s="119">
        <f>'2022'!BE316</f>
        <v>-177</v>
      </c>
    </row>
    <row r="40" ht="15.75" customHeight="1" spans="1:29" x14ac:dyDescent="0.25">
      <c r="A40" s="14"/>
      <c r="B40" s="115">
        <v>36</v>
      </c>
      <c r="C40" s="115">
        <v>4.03</v>
      </c>
      <c r="D40" s="117" t="s">
        <v>160</v>
      </c>
      <c r="E40" s="119">
        <f>'2022'!I325</f>
        <v>30</v>
      </c>
      <c r="F40" s="119">
        <f>'2022'!J325</f>
      </c>
      <c r="G40" s="119">
        <f>'2022'!M325</f>
        <v>30</v>
      </c>
      <c r="H40" s="119">
        <f>'2022'!N325</f>
        <v>0</v>
      </c>
      <c r="I40" s="119">
        <f>'2022'!Q325</f>
        <v>30</v>
      </c>
      <c r="J40" s="119">
        <f>'2022'!R325</f>
        <v>0</v>
      </c>
      <c r="K40" s="119">
        <f>'2022'!U325</f>
        <v>30</v>
      </c>
      <c r="L40" s="119">
        <f>'2022'!V325</f>
        <v>0</v>
      </c>
      <c r="M40" s="119">
        <f>'2022'!Y325</f>
        <v>30</v>
      </c>
      <c r="N40" s="119">
        <f>'2022'!Z325</f>
        <v>0</v>
      </c>
      <c r="O40" s="119">
        <f>'2022'!AC325</f>
        <v>81</v>
      </c>
      <c r="P40" s="119">
        <f>'2022'!AD325</f>
        <v>51</v>
      </c>
      <c r="Q40" s="119">
        <f>'2022'!AG325</f>
        <v>81</v>
      </c>
      <c r="R40" s="119">
        <f>'2022'!AH325</f>
        <v>0</v>
      </c>
      <c r="S40" s="119">
        <f>'2022'!AK325</f>
        <v>81</v>
      </c>
      <c r="T40" s="119">
        <f>'2022'!AL325</f>
        <v>0</v>
      </c>
      <c r="U40" s="119">
        <f>'2022'!AO325</f>
        <v>81</v>
      </c>
      <c r="V40" s="119">
        <f>'2022'!AP325</f>
        <v>0</v>
      </c>
      <c r="W40" s="119">
        <f>'2022'!AS325</f>
        <v>81</v>
      </c>
      <c r="X40" s="119">
        <f>'2022'!AT325</f>
        <v>0</v>
      </c>
      <c r="Y40" s="119">
        <f>'2022'!AW325</f>
      </c>
      <c r="Z40" s="119">
        <f>'2022'!AX325</f>
        <v>-81</v>
      </c>
      <c r="AA40" s="119">
        <f>'2022'!BA325</f>
      </c>
      <c r="AB40" s="119">
        <f>'2022'!BB325</f>
      </c>
      <c r="AC40" s="119">
        <f>'2022'!BE325</f>
        <v>-30</v>
      </c>
    </row>
    <row r="41" ht="15.75" customHeight="1" spans="1:29" x14ac:dyDescent="0.25">
      <c r="A41" s="14"/>
      <c r="B41" s="115">
        <v>37</v>
      </c>
      <c r="C41" s="115">
        <v>4.06</v>
      </c>
      <c r="D41" s="117" t="s">
        <v>162</v>
      </c>
      <c r="E41" s="119">
        <f>'2022'!I334</f>
        <v>18</v>
      </c>
      <c r="F41" s="119">
        <f>'2022'!J334</f>
      </c>
      <c r="G41" s="119">
        <f>'2022'!M334</f>
        <v>18</v>
      </c>
      <c r="H41" s="119">
        <f>'2022'!N334</f>
        <v>0</v>
      </c>
      <c r="I41" s="119">
        <f>'2022'!Q334</f>
        <v>18</v>
      </c>
      <c r="J41" s="119">
        <f>'2022'!R334</f>
        <v>0</v>
      </c>
      <c r="K41" s="119">
        <f>'2022'!U334</f>
        <v>18</v>
      </c>
      <c r="L41" s="119">
        <f>'2022'!V334</f>
        <v>0</v>
      </c>
      <c r="M41" s="119">
        <f>'2022'!Y334</f>
        <v>26</v>
      </c>
      <c r="N41" s="119">
        <f>'2022'!Z334</f>
        <v>8</v>
      </c>
      <c r="O41" s="119">
        <f>'2022'!AC334</f>
        <v>36</v>
      </c>
      <c r="P41" s="119">
        <f>'2022'!AD334</f>
        <v>10</v>
      </c>
      <c r="Q41" s="119">
        <f>'2022'!AG334</f>
        <v>48</v>
      </c>
      <c r="R41" s="119">
        <f>'2022'!AH334</f>
        <v>12</v>
      </c>
      <c r="S41" s="119">
        <f>'2022'!AK334</f>
        <v>48</v>
      </c>
      <c r="T41" s="119">
        <f>'2022'!AL334</f>
        <v>0</v>
      </c>
      <c r="U41" s="119">
        <f>'2022'!AO334</f>
        <v>52</v>
      </c>
      <c r="V41" s="119">
        <f>'2022'!AP334</f>
        <v>4</v>
      </c>
      <c r="W41" s="119">
        <f>'2022'!AS334</f>
        <v>52</v>
      </c>
      <c r="X41" s="119">
        <f>'2022'!AT334</f>
        <v>0</v>
      </c>
      <c r="Y41" s="119">
        <f>'2022'!AW334</f>
      </c>
      <c r="Z41" s="119">
        <f>'2022'!AX334</f>
        <v>-52</v>
      </c>
      <c r="AA41" s="119">
        <f>'2022'!BA334</f>
      </c>
      <c r="AB41" s="119">
        <f>'2022'!BB334</f>
      </c>
      <c r="AC41" s="119">
        <f>'2022'!BE334</f>
        <v>-18</v>
      </c>
    </row>
    <row r="42" ht="15.75" customHeight="1" spans="1:29" x14ac:dyDescent="0.25">
      <c r="A42" s="14"/>
      <c r="B42" s="115">
        <v>38</v>
      </c>
      <c r="C42" s="115">
        <v>4.34</v>
      </c>
      <c r="D42" s="117" t="s">
        <v>167</v>
      </c>
      <c r="E42" s="119">
        <f>'2022'!I343</f>
        <v>129</v>
      </c>
      <c r="F42" s="119">
        <f>'2022'!J343</f>
      </c>
      <c r="G42" s="119">
        <f>'2022'!M343</f>
        <v>129</v>
      </c>
      <c r="H42" s="119">
        <f>'2022'!N343</f>
        <v>0</v>
      </c>
      <c r="I42" s="119">
        <f>'2022'!Q343</f>
        <v>129</v>
      </c>
      <c r="J42" s="119">
        <f>'2022'!R343</f>
        <v>0</v>
      </c>
      <c r="K42" s="119">
        <f>'2022'!U343</f>
        <v>129</v>
      </c>
      <c r="L42" s="119">
        <f>'2022'!V343</f>
        <v>0</v>
      </c>
      <c r="M42" s="119">
        <f>'2022'!Y343</f>
        <v>129</v>
      </c>
      <c r="N42" s="119">
        <f>'2022'!Z343</f>
        <v>0</v>
      </c>
      <c r="O42" s="119">
        <f>'2022'!AC343</f>
        <v>129</v>
      </c>
      <c r="P42" s="119">
        <f>'2022'!AD343</f>
        <v>0</v>
      </c>
      <c r="Q42" s="119">
        <f>'2022'!AG343</f>
        <v>129</v>
      </c>
      <c r="R42" s="119">
        <f>'2022'!AH343</f>
        <v>0</v>
      </c>
      <c r="S42" s="119">
        <f>'2022'!AK343</f>
        <v>129</v>
      </c>
      <c r="T42" s="119">
        <f>'2022'!AL343</f>
        <v>0</v>
      </c>
      <c r="U42" s="119">
        <f>'2022'!AO343</f>
        <v>129</v>
      </c>
      <c r="V42" s="119">
        <f>'2022'!AP343</f>
        <v>0</v>
      </c>
      <c r="W42" s="119">
        <f>'2022'!AS343</f>
        <v>129</v>
      </c>
      <c r="X42" s="119">
        <f>'2022'!AT343</f>
        <v>0</v>
      </c>
      <c r="Y42" s="119">
        <f>'2022'!AW343</f>
      </c>
      <c r="Z42" s="119">
        <f>'2022'!AX343</f>
        <v>-129</v>
      </c>
      <c r="AA42" s="119">
        <f>'2022'!BA343</f>
      </c>
      <c r="AB42" s="119">
        <f>'2022'!BB343</f>
      </c>
      <c r="AC42" s="119">
        <f>'2022'!BE343</f>
        <v>-129</v>
      </c>
    </row>
    <row r="43" ht="15.75" customHeight="1" spans="1:29" x14ac:dyDescent="0.25">
      <c r="A43" s="21"/>
      <c r="B43" s="115">
        <v>39</v>
      </c>
      <c r="C43" s="116">
        <v>4</v>
      </c>
      <c r="D43" s="117" t="s">
        <v>169</v>
      </c>
      <c r="E43" s="119">
        <f>'2022'!I352</f>
        <v>97</v>
      </c>
      <c r="F43" s="119">
        <f>'2022'!J352</f>
      </c>
      <c r="G43" s="119">
        <f>'2022'!M352</f>
        <v>97</v>
      </c>
      <c r="H43" s="119">
        <f>'2022'!N352</f>
        <v>0</v>
      </c>
      <c r="I43" s="119">
        <f>'2022'!Q352</f>
        <v>97</v>
      </c>
      <c r="J43" s="119">
        <f>'2022'!R352</f>
        <v>0</v>
      </c>
      <c r="K43" s="119">
        <f>'2022'!U352</f>
        <v>97</v>
      </c>
      <c r="L43" s="119">
        <f>'2022'!V352</f>
        <v>0</v>
      </c>
      <c r="M43" s="119">
        <f>'2022'!Y352</f>
        <v>0</v>
      </c>
      <c r="N43" s="119">
        <f>'2022'!Z352</f>
        <v>0</v>
      </c>
      <c r="O43" s="119">
        <f>'2022'!AC352</f>
        <v>18</v>
      </c>
      <c r="P43" s="119">
        <f>'2022'!AD352</f>
        <v>18</v>
      </c>
      <c r="Q43" s="119">
        <f>'2022'!AG352</f>
        <v>37</v>
      </c>
      <c r="R43" s="119">
        <f>'2022'!AH352</f>
        <v>19</v>
      </c>
      <c r="S43" s="119">
        <f>'2022'!AK352</f>
        <v>57</v>
      </c>
      <c r="T43" s="119">
        <f>'2022'!AL352</f>
        <v>20</v>
      </c>
      <c r="U43" s="119">
        <f>'2022'!AO352</f>
        <v>68</v>
      </c>
      <c r="V43" s="119">
        <f>'2022'!AP352</f>
        <v>11</v>
      </c>
      <c r="W43" s="119">
        <f>'2022'!AS352</f>
        <v>68</v>
      </c>
      <c r="X43" s="119">
        <f>'2022'!AT352</f>
        <v>0</v>
      </c>
      <c r="Y43" s="119">
        <f>'2022'!AW352</f>
      </c>
      <c r="Z43" s="119">
        <f>'2022'!AX352</f>
        <v>-68</v>
      </c>
      <c r="AA43" s="119">
        <f>'2022'!BA352</f>
      </c>
      <c r="AB43" s="119">
        <f>'2022'!BB352</f>
      </c>
      <c r="AC43" s="119">
        <f>'2022'!BE352</f>
        <v>0</v>
      </c>
    </row>
    <row r="44" ht="15.75" customHeight="1" spans="1:29" x14ac:dyDescent="0.25">
      <c r="A44" s="114" t="s">
        <v>173</v>
      </c>
      <c r="B44" s="115">
        <v>40</v>
      </c>
      <c r="C44" s="115">
        <v>4.92</v>
      </c>
      <c r="D44" s="117" t="s">
        <v>174</v>
      </c>
      <c r="E44" s="119">
        <f>'2022'!I361</f>
        <v>166</v>
      </c>
      <c r="F44" s="119">
        <f>'2022'!J361</f>
      </c>
      <c r="G44" s="119">
        <f>'2022'!M361</f>
        <v>166</v>
      </c>
      <c r="H44" s="119">
        <f>'2022'!N361</f>
        <v>0</v>
      </c>
      <c r="I44" s="119">
        <f>'2022'!Q361</f>
        <v>166</v>
      </c>
      <c r="J44" s="119">
        <f>'2022'!R361</f>
        <v>0</v>
      </c>
      <c r="K44" s="119">
        <f>'2022'!U361</f>
        <v>166</v>
      </c>
      <c r="L44" s="119">
        <f>'2022'!V361</f>
        <v>0</v>
      </c>
      <c r="M44" s="119">
        <f>'2022'!Y361</f>
        <v>168</v>
      </c>
      <c r="N44" s="119">
        <f>'2022'!Z361</f>
        <v>2</v>
      </c>
      <c r="O44" s="119">
        <f>'2022'!AC361</f>
        <v>176</v>
      </c>
      <c r="P44" s="119">
        <f>'2022'!AD361</f>
        <v>8</v>
      </c>
      <c r="Q44" s="119">
        <f>'2022'!AG361</f>
        <v>185</v>
      </c>
      <c r="R44" s="119">
        <f>'2022'!AH361</f>
        <v>9</v>
      </c>
      <c r="S44" s="119">
        <f>'2022'!AK361</f>
        <v>191</v>
      </c>
      <c r="T44" s="119">
        <f>'2022'!AL361</f>
        <v>6</v>
      </c>
      <c r="U44" s="119">
        <f>'2022'!AO361</f>
        <v>192</v>
      </c>
      <c r="V44" s="119">
        <f>'2022'!AP361</f>
        <v>1</v>
      </c>
      <c r="W44" s="119">
        <f>'2022'!AS361</f>
        <v>192</v>
      </c>
      <c r="X44" s="119">
        <f>'2022'!AT361</f>
        <v>0</v>
      </c>
      <c r="Y44" s="119">
        <f>'2022'!AW361</f>
      </c>
      <c r="Z44" s="119">
        <f>'2022'!AX361</f>
        <v>-192</v>
      </c>
      <c r="AA44" s="119">
        <f>'2022'!BA361</f>
      </c>
      <c r="AB44" s="119">
        <f>'2022'!BB361</f>
      </c>
      <c r="AC44" s="119">
        <f>'2022'!BE361</f>
        <v>-166</v>
      </c>
    </row>
    <row r="45" ht="15.75" customHeight="1" spans="1:29" x14ac:dyDescent="0.25">
      <c r="A45" s="14"/>
      <c r="B45" s="115">
        <v>41</v>
      </c>
      <c r="C45" s="115">
        <v>4.87</v>
      </c>
      <c r="D45" s="117" t="s">
        <v>177</v>
      </c>
      <c r="E45" s="119">
        <f>'2022'!I370</f>
        <v>38</v>
      </c>
      <c r="F45" s="119">
        <f>'2022'!J370</f>
      </c>
      <c r="G45" s="119">
        <f>'2022'!M370</f>
        <v>38</v>
      </c>
      <c r="H45" s="119">
        <f>'2022'!N370</f>
        <v>0</v>
      </c>
      <c r="I45" s="119">
        <f>'2022'!Q370</f>
        <v>38</v>
      </c>
      <c r="J45" s="119">
        <f>'2022'!R370</f>
        <v>0</v>
      </c>
      <c r="K45" s="119">
        <f>'2022'!U370</f>
        <v>38</v>
      </c>
      <c r="L45" s="119">
        <f>'2022'!V370</f>
        <v>0</v>
      </c>
      <c r="M45" s="119">
        <f>'2022'!Y370</f>
        <v>41</v>
      </c>
      <c r="N45" s="119">
        <f>'2022'!Z370</f>
        <v>3</v>
      </c>
      <c r="O45" s="119">
        <f>'2022'!AC370</f>
        <v>0</v>
      </c>
      <c r="P45" s="119">
        <f>'2022'!AD370</f>
        <v>0</v>
      </c>
      <c r="Q45" s="119">
        <f>'2022'!AG370</f>
        <v>0</v>
      </c>
      <c r="R45" s="119">
        <f>'2022'!AH370</f>
        <v>0</v>
      </c>
      <c r="S45" s="119">
        <f>'2022'!AK370</f>
        <v>0</v>
      </c>
      <c r="T45" s="119">
        <f>'2022'!AL370</f>
        <v>0</v>
      </c>
      <c r="U45" s="119">
        <f>'2022'!AO370</f>
        <v>0</v>
      </c>
      <c r="V45" s="119">
        <f>'2022'!AP370</f>
        <v>0</v>
      </c>
      <c r="W45" s="119">
        <f>'2022'!AS370</f>
        <v>0</v>
      </c>
      <c r="X45" s="119">
        <f>'2022'!AT370</f>
        <v>0</v>
      </c>
      <c r="Y45" s="119">
        <f>'2022'!AW370</f>
      </c>
      <c r="Z45" s="119">
        <f>'2022'!AX370</f>
        <v>0</v>
      </c>
      <c r="AA45" s="119">
        <f>'2022'!BA370</f>
      </c>
      <c r="AB45" s="119">
        <f>'2022'!BB370</f>
      </c>
      <c r="AC45" s="119">
        <f>'2022'!BE370</f>
        <v>3</v>
      </c>
    </row>
    <row r="46" ht="15.75" customHeight="1" spans="1:29" x14ac:dyDescent="0.25">
      <c r="A46" s="14"/>
      <c r="B46" s="115">
        <v>42</v>
      </c>
      <c r="C46" s="116">
        <v>4.9</v>
      </c>
      <c r="D46" s="2" t="s">
        <v>181</v>
      </c>
      <c r="E46" s="119">
        <f>'2022'!I379</f>
        <v>25</v>
      </c>
      <c r="F46" s="119">
        <f>'2022'!J379</f>
      </c>
      <c r="G46" s="119">
        <f>'2022'!M379</f>
        <v>25</v>
      </c>
      <c r="H46" s="119">
        <f>'2022'!N379</f>
        <v>0</v>
      </c>
      <c r="I46" s="119">
        <f>'2022'!Q379</f>
        <v>25</v>
      </c>
      <c r="J46" s="119">
        <f>'2022'!R379</f>
        <v>0</v>
      </c>
      <c r="K46" s="119">
        <f>'2022'!U379</f>
        <v>25</v>
      </c>
      <c r="L46" s="119">
        <f>'2022'!V379</f>
        <v>0</v>
      </c>
      <c r="M46" s="119">
        <f>'2022'!Y379</f>
        <v>30</v>
      </c>
      <c r="N46" s="119">
        <f>'2022'!Z379</f>
        <v>5</v>
      </c>
      <c r="O46" s="119">
        <f>'2022'!AC379</f>
        <v>34</v>
      </c>
      <c r="P46" s="119">
        <f>'2022'!AD379</f>
        <v>4</v>
      </c>
      <c r="Q46" s="119">
        <f>'2022'!AG379</f>
        <v>36</v>
      </c>
      <c r="R46" s="119">
        <f>'2022'!AH379</f>
        <v>2</v>
      </c>
      <c r="S46" s="119">
        <f>'2022'!AK379</f>
        <v>38</v>
      </c>
      <c r="T46" s="119">
        <f>'2022'!AL379</f>
        <v>2</v>
      </c>
      <c r="U46" s="119">
        <f>'2022'!AO379</f>
        <v>40</v>
      </c>
      <c r="V46" s="119">
        <f>'2022'!AP379</f>
        <v>2</v>
      </c>
      <c r="W46" s="119">
        <f>'2022'!AS379</f>
        <v>40</v>
      </c>
      <c r="X46" s="119">
        <f>'2022'!AT379</f>
        <v>0</v>
      </c>
      <c r="Y46" s="119">
        <f>'2022'!AW379</f>
      </c>
      <c r="Z46" s="119">
        <f>'2022'!AX379</f>
        <v>-40</v>
      </c>
      <c r="AA46" s="119">
        <f>'2022'!BA379</f>
      </c>
      <c r="AB46" s="119">
        <f>'2022'!BB379</f>
      </c>
      <c r="AC46" s="119">
        <f>'2022'!BE379</f>
        <v>-25</v>
      </c>
    </row>
    <row r="47" ht="15.75" customHeight="1" spans="1:29" x14ac:dyDescent="0.25">
      <c r="A47" s="14"/>
      <c r="B47" s="115">
        <v>43</v>
      </c>
      <c r="C47" s="115">
        <v>4.96</v>
      </c>
      <c r="D47" s="117" t="s">
        <v>185</v>
      </c>
      <c r="E47" s="119">
        <f>'2022'!I388</f>
        <v>34</v>
      </c>
      <c r="F47" s="119">
        <f>'2022'!J388</f>
      </c>
      <c r="G47" s="119">
        <f>'2022'!M388</f>
        <v>34</v>
      </c>
      <c r="H47" s="119">
        <f>'2022'!N388</f>
        <v>0</v>
      </c>
      <c r="I47" s="119">
        <f>'2022'!Q388</f>
        <v>34</v>
      </c>
      <c r="J47" s="119">
        <f>'2022'!R388</f>
        <v>0</v>
      </c>
      <c r="K47" s="119">
        <f>'2022'!U388</f>
        <v>34</v>
      </c>
      <c r="L47" s="119">
        <f>'2022'!V388</f>
        <v>0</v>
      </c>
      <c r="M47" s="119">
        <f>'2022'!Y388</f>
        <v>0</v>
      </c>
      <c r="N47" s="119">
        <f>'2022'!Z388</f>
        <v>0</v>
      </c>
      <c r="O47" s="119">
        <f>'2022'!AC388</f>
        <v>12</v>
      </c>
      <c r="P47" s="119">
        <f>'2022'!AD388</f>
        <v>12</v>
      </c>
      <c r="Q47" s="119">
        <f>'2022'!AG388</f>
        <v>20</v>
      </c>
      <c r="R47" s="119">
        <f>'2022'!AH388</f>
        <v>8</v>
      </c>
      <c r="S47" s="119">
        <f>'2022'!AK388</f>
        <v>26</v>
      </c>
      <c r="T47" s="119">
        <f>'2022'!AL388</f>
        <v>6</v>
      </c>
      <c r="U47" s="119">
        <f>'2022'!AO388</f>
        <v>29</v>
      </c>
      <c r="V47" s="119">
        <f>'2022'!AP388</f>
        <v>3</v>
      </c>
      <c r="W47" s="119">
        <f>'2022'!AS388</f>
        <v>29</v>
      </c>
      <c r="X47" s="119">
        <f>'2022'!AT388</f>
        <v>0</v>
      </c>
      <c r="Y47" s="119">
        <f>'2022'!AW388</f>
      </c>
      <c r="Z47" s="119">
        <f>'2022'!AX388</f>
        <v>-29</v>
      </c>
      <c r="AA47" s="119">
        <f>'2022'!BA388</f>
      </c>
      <c r="AB47" s="119">
        <f>'2022'!BB388</f>
      </c>
      <c r="AC47" s="119">
        <f>'2022'!BE388</f>
        <v>0</v>
      </c>
    </row>
    <row r="48" ht="15.75" customHeight="1" spans="1:29" x14ac:dyDescent="0.25">
      <c r="A48" s="14"/>
      <c r="B48" s="115">
        <v>44</v>
      </c>
      <c r="C48" s="115">
        <v>4.01</v>
      </c>
      <c r="D48" s="15" t="s">
        <v>412</v>
      </c>
      <c r="E48" s="119">
        <f>'2022'!I397</f>
        <v>14</v>
      </c>
      <c r="F48" s="119">
        <f>'2022'!J397</f>
      </c>
      <c r="G48" s="119">
        <f>'2022'!M397</f>
        <v>14</v>
      </c>
      <c r="H48" s="119">
        <f>'2022'!N397</f>
        <v>0</v>
      </c>
      <c r="I48" s="119">
        <f>'2022'!Q397</f>
        <v>14</v>
      </c>
      <c r="J48" s="119">
        <f>'2022'!R397</f>
        <v>0</v>
      </c>
      <c r="K48" s="119">
        <f>'2022'!U397</f>
        <v>17</v>
      </c>
      <c r="L48" s="119">
        <f>'2022'!V397</f>
        <v>3</v>
      </c>
      <c r="M48" s="119">
        <f>'2022'!Y397</f>
        <v>17</v>
      </c>
      <c r="N48" s="119">
        <f>'2022'!Z397</f>
        <v>0</v>
      </c>
      <c r="O48" s="119">
        <f>'2022'!AC397</f>
        <v>2</v>
      </c>
      <c r="P48" s="119">
        <f>'2022'!AD397</f>
        <v>2</v>
      </c>
      <c r="Q48" s="119">
        <f>'2022'!AG397</f>
        <v>2</v>
      </c>
      <c r="R48" s="119">
        <f>'2022'!AH397</f>
        <v>0</v>
      </c>
      <c r="S48" s="119">
        <f>'2022'!AK397</f>
        <v>2</v>
      </c>
      <c r="T48" s="119">
        <f>'2022'!AL397</f>
        <v>0</v>
      </c>
      <c r="U48" s="119">
        <f>'2022'!AO397</f>
        <v>6</v>
      </c>
      <c r="V48" s="119">
        <f>'2022'!AP397</f>
        <v>4</v>
      </c>
      <c r="W48" s="119">
        <f>'2022'!AS397</f>
        <v>6</v>
      </c>
      <c r="X48" s="119">
        <f>'2022'!AT397</f>
        <v>0</v>
      </c>
      <c r="Y48" s="119">
        <f>'2022'!AW397</f>
      </c>
      <c r="Z48" s="119">
        <f>'2022'!AX397</f>
        <v>-6</v>
      </c>
      <c r="AA48" s="119">
        <f>'2022'!BA397</f>
      </c>
      <c r="AB48" s="119">
        <f>'2022'!BB397</f>
      </c>
      <c r="AC48" s="119">
        <f>'2022'!BE397</f>
        <v>3</v>
      </c>
    </row>
    <row r="49" ht="15.75" customHeight="1" spans="1:29" x14ac:dyDescent="0.25">
      <c r="A49" s="14"/>
      <c r="B49" s="115">
        <v>45</v>
      </c>
      <c r="C49" s="115">
        <v>5.04</v>
      </c>
      <c r="D49" s="117" t="s">
        <v>189</v>
      </c>
      <c r="E49" s="119">
        <f>'2022'!I406</f>
        <v>2</v>
      </c>
      <c r="F49" s="119">
        <f>'2022'!J406</f>
      </c>
      <c r="G49" s="119">
        <f>'2022'!M406</f>
        <v>2</v>
      </c>
      <c r="H49" s="119">
        <f>'2022'!N406</f>
        <v>0</v>
      </c>
      <c r="I49" s="119">
        <f>'2022'!Q406</f>
        <v>2</v>
      </c>
      <c r="J49" s="119">
        <f>'2022'!R406</f>
        <v>0</v>
      </c>
      <c r="K49" s="119">
        <f>'2022'!U406</f>
        <v>2</v>
      </c>
      <c r="L49" s="119">
        <f>'2022'!V406</f>
        <v>0</v>
      </c>
      <c r="M49" s="119">
        <f>'2022'!Y406</f>
        <v>2</v>
      </c>
      <c r="N49" s="119">
        <f>'2022'!Z406</f>
        <v>0</v>
      </c>
      <c r="O49" s="119">
        <f>'2022'!AC406</f>
        <v>2</v>
      </c>
      <c r="P49" s="119">
        <f>'2022'!AD406</f>
        <v>0</v>
      </c>
      <c r="Q49" s="119">
        <f>'2022'!AG406</f>
        <v>2</v>
      </c>
      <c r="R49" s="119">
        <f>'2022'!AH406</f>
        <v>0</v>
      </c>
      <c r="S49" s="119">
        <f>'2022'!AK406</f>
        <v>2</v>
      </c>
      <c r="T49" s="119">
        <f>'2022'!AL406</f>
        <v>0</v>
      </c>
      <c r="U49" s="119">
        <f>'2022'!AO406</f>
        <v>2</v>
      </c>
      <c r="V49" s="119">
        <f>'2022'!AP406</f>
        <v>0</v>
      </c>
      <c r="W49" s="119">
        <f>'2022'!AS406</f>
        <v>2</v>
      </c>
      <c r="X49" s="119">
        <f>'2022'!AT406</f>
        <v>0</v>
      </c>
      <c r="Y49" s="119">
        <f>'2022'!AW406</f>
      </c>
      <c r="Z49" s="119">
        <f>'2022'!AX406</f>
        <v>-2</v>
      </c>
      <c r="AA49" s="119">
        <f>'2022'!BA406</f>
      </c>
      <c r="AB49" s="119">
        <f>'2022'!BB406</f>
      </c>
      <c r="AC49" s="119">
        <f>'2022'!BE406</f>
        <v>-2</v>
      </c>
    </row>
    <row r="50" ht="15.75" customHeight="1" spans="1:29" x14ac:dyDescent="0.25">
      <c r="A50" s="14"/>
      <c r="B50" s="115">
        <v>46</v>
      </c>
      <c r="C50" s="116">
        <v>4</v>
      </c>
      <c r="D50" s="117" t="s">
        <v>188</v>
      </c>
      <c r="E50" s="119">
        <f>'2022'!I415</f>
        <v>171</v>
      </c>
      <c r="F50" s="119">
        <f>'2022'!J415</f>
      </c>
      <c r="G50" s="119">
        <f>'2022'!M415</f>
        <v>171</v>
      </c>
      <c r="H50" s="119">
        <f>'2022'!N415</f>
        <v>0</v>
      </c>
      <c r="I50" s="119">
        <f>'2022'!Q415</f>
        <v>171</v>
      </c>
      <c r="J50" s="119">
        <f>'2022'!R415</f>
        <v>0</v>
      </c>
      <c r="K50" s="119">
        <f>'2022'!U415</f>
        <v>171</v>
      </c>
      <c r="L50" s="119">
        <f>'2022'!V415</f>
        <v>0</v>
      </c>
      <c r="M50" s="119">
        <f>'2022'!Y415</f>
        <v>171</v>
      </c>
      <c r="N50" s="119">
        <f>'2022'!Z415</f>
        <v>0</v>
      </c>
      <c r="O50" s="119">
        <f>'2022'!AC415</f>
        <v>174</v>
      </c>
      <c r="P50" s="119">
        <f>'2022'!AD415</f>
        <v>3</v>
      </c>
      <c r="Q50" s="119">
        <f>'2022'!AG415</f>
        <v>178</v>
      </c>
      <c r="R50" s="119">
        <f>'2022'!AH415</f>
        <v>4</v>
      </c>
      <c r="S50" s="119">
        <f>'2022'!AK415</f>
        <v>182</v>
      </c>
      <c r="T50" s="119">
        <f>'2022'!AL415</f>
        <v>4</v>
      </c>
      <c r="U50" s="119">
        <f>'2022'!AO415</f>
        <v>182</v>
      </c>
      <c r="V50" s="119">
        <f>'2022'!AP415</f>
        <v>0</v>
      </c>
      <c r="W50" s="119">
        <f>'2022'!AS415</f>
        <v>182</v>
      </c>
      <c r="X50" s="119">
        <f>'2022'!AT415</f>
        <v>0</v>
      </c>
      <c r="Y50" s="119">
        <f>'2022'!AW415</f>
      </c>
      <c r="Z50" s="119">
        <f>'2022'!AX415</f>
        <v>-182</v>
      </c>
      <c r="AA50" s="119">
        <f>'2022'!BA415</f>
      </c>
      <c r="AB50" s="119">
        <f>'2022'!BB415</f>
      </c>
      <c r="AC50" s="119">
        <f>'2022'!BE415</f>
        <v>-171</v>
      </c>
    </row>
    <row r="51" ht="15.75" customHeight="1" spans="1:29" x14ac:dyDescent="0.25">
      <c r="A51" s="14"/>
      <c r="B51" s="115">
        <v>47</v>
      </c>
      <c r="C51" s="116">
        <v>5</v>
      </c>
      <c r="D51" s="117" t="s">
        <v>192</v>
      </c>
      <c r="E51" s="119">
        <f>'2022'!I424</f>
        <v>30</v>
      </c>
      <c r="F51" s="119">
        <f>'2022'!J424</f>
      </c>
      <c r="G51" s="119">
        <f>'2022'!M424</f>
        <v>30</v>
      </c>
      <c r="H51" s="119">
        <f>'2022'!N424</f>
        <v>0</v>
      </c>
      <c r="I51" s="119">
        <f>'2022'!Q424</f>
        <v>30</v>
      </c>
      <c r="J51" s="119">
        <f>'2022'!R424</f>
        <v>0</v>
      </c>
      <c r="K51" s="119">
        <f>'2022'!U424</f>
        <v>30</v>
      </c>
      <c r="L51" s="119">
        <f>'2022'!V424</f>
        <v>0</v>
      </c>
      <c r="M51" s="119">
        <f>'2022'!Y424</f>
        <v>30</v>
      </c>
      <c r="N51" s="119">
        <f>'2022'!Z424</f>
        <v>0</v>
      </c>
      <c r="O51" s="119">
        <f>'2022'!AC424</f>
        <v>30</v>
      </c>
      <c r="P51" s="119">
        <f>'2022'!AD424</f>
        <v>0</v>
      </c>
      <c r="Q51" s="119">
        <f>'2022'!AG424</f>
        <v>30</v>
      </c>
      <c r="R51" s="119">
        <f>'2022'!AH424</f>
        <v>0</v>
      </c>
      <c r="S51" s="119">
        <f>'2022'!AK424</f>
        <v>30</v>
      </c>
      <c r="T51" s="119">
        <f>'2022'!AL424</f>
        <v>0</v>
      </c>
      <c r="U51" s="119">
        <f>'2022'!AO424</f>
        <v>30</v>
      </c>
      <c r="V51" s="119">
        <f>'2022'!AP424</f>
        <v>0</v>
      </c>
      <c r="W51" s="119">
        <f>'2022'!AS424</f>
        <v>30</v>
      </c>
      <c r="X51" s="119">
        <f>'2022'!AT424</f>
        <v>0</v>
      </c>
      <c r="Y51" s="119">
        <f>'2022'!AW424</f>
      </c>
      <c r="Z51" s="119">
        <f>'2022'!AX424</f>
        <v>-30</v>
      </c>
      <c r="AA51" s="119">
        <f>'2022'!BA424</f>
      </c>
      <c r="AB51" s="119">
        <f>'2022'!BB424</f>
      </c>
      <c r="AC51" s="119">
        <f>'2022'!BE424</f>
        <v>-30</v>
      </c>
    </row>
    <row r="52" ht="15.75" customHeight="1" spans="1:29" x14ac:dyDescent="0.25">
      <c r="A52" s="14"/>
      <c r="B52" s="115">
        <v>48</v>
      </c>
      <c r="C52" s="115">
        <v>5.93</v>
      </c>
      <c r="D52" s="117" t="s">
        <v>97</v>
      </c>
      <c r="E52" s="119">
        <f>'2022'!I433</f>
        <v>157</v>
      </c>
      <c r="F52" s="119">
        <f>'2022'!J433</f>
      </c>
      <c r="G52" s="119">
        <f>'2022'!M433</f>
        <v>157</v>
      </c>
      <c r="H52" s="119">
        <f>'2022'!N433</f>
        <v>0</v>
      </c>
      <c r="I52" s="119">
        <f>'2022'!Q433</f>
        <v>157</v>
      </c>
      <c r="J52" s="119">
        <f>'2022'!R433</f>
        <v>0</v>
      </c>
      <c r="K52" s="119">
        <f>'2022'!U433</f>
        <v>157</v>
      </c>
      <c r="L52" s="119">
        <f>'2022'!V433</f>
        <v>0</v>
      </c>
      <c r="M52" s="119">
        <f>'2022'!Y433</f>
        <v>167</v>
      </c>
      <c r="N52" s="119">
        <f>'2022'!Z433</f>
        <v>10</v>
      </c>
      <c r="O52" s="119">
        <f>'2022'!AC433</f>
        <v>181</v>
      </c>
      <c r="P52" s="119">
        <f>'2022'!AD433</f>
        <v>14</v>
      </c>
      <c r="Q52" s="119">
        <f>'2022'!AG433</f>
        <v>192</v>
      </c>
      <c r="R52" s="119">
        <f>'2022'!AH433</f>
        <v>11</v>
      </c>
      <c r="S52" s="119">
        <f>'2022'!AK433</f>
        <v>219</v>
      </c>
      <c r="T52" s="119">
        <f>'2022'!AL433</f>
        <v>27</v>
      </c>
      <c r="U52" s="119">
        <f>'2022'!AO433</f>
        <v>241</v>
      </c>
      <c r="V52" s="119">
        <f>'2022'!AP433</f>
        <v>22</v>
      </c>
      <c r="W52" s="119">
        <f>'2022'!AS433</f>
        <v>241</v>
      </c>
      <c r="X52" s="119">
        <f>'2022'!AT433</f>
        <v>0</v>
      </c>
      <c r="Y52" s="119">
        <f>'2022'!AW433</f>
      </c>
      <c r="Z52" s="119">
        <f>'2022'!AX433</f>
        <v>-241</v>
      </c>
      <c r="AA52" s="119">
        <f>'2022'!BA433</f>
      </c>
      <c r="AB52" s="119">
        <f>'2022'!BB433</f>
      </c>
      <c r="AC52" s="119">
        <f>'2022'!BE433</f>
        <v>-157</v>
      </c>
    </row>
    <row r="53" ht="15.75" customHeight="1" spans="1:29" x14ac:dyDescent="0.25">
      <c r="A53" s="14"/>
      <c r="B53" s="115">
        <v>49</v>
      </c>
      <c r="C53" s="115">
        <v>5.03</v>
      </c>
      <c r="D53" s="117" t="s">
        <v>197</v>
      </c>
      <c r="E53" s="119">
        <f>'2022'!I442</f>
        <v>243</v>
      </c>
      <c r="F53" s="119">
        <f>'2022'!J442</f>
      </c>
      <c r="G53" s="119">
        <f>'2022'!M442</f>
        <v>243</v>
      </c>
      <c r="H53" s="119">
        <f>'2022'!N442</f>
        <v>0</v>
      </c>
      <c r="I53" s="119">
        <f>'2022'!Q442</f>
        <v>243</v>
      </c>
      <c r="J53" s="119">
        <f>'2022'!R442</f>
        <v>0</v>
      </c>
      <c r="K53" s="119">
        <f>'2022'!U442</f>
        <v>243</v>
      </c>
      <c r="L53" s="119">
        <f>'2022'!V442</f>
        <v>0</v>
      </c>
      <c r="M53" s="119">
        <f>'2022'!Y442</f>
        <v>244</v>
      </c>
      <c r="N53" s="119">
        <f>'2022'!Z442</f>
        <v>1</v>
      </c>
      <c r="O53" s="119">
        <f>'2022'!AC442</f>
        <v>257</v>
      </c>
      <c r="P53" s="119">
        <f>'2022'!AD442</f>
        <v>13</v>
      </c>
      <c r="Q53" s="119">
        <f>'2022'!AG442</f>
        <v>266</v>
      </c>
      <c r="R53" s="119">
        <f>'2022'!AH442</f>
        <v>9</v>
      </c>
      <c r="S53" s="119">
        <f>'2022'!AK442</f>
        <v>274</v>
      </c>
      <c r="T53" s="119">
        <f>'2022'!AL442</f>
        <v>8</v>
      </c>
      <c r="U53" s="119">
        <f>'2022'!AO442</f>
        <v>284</v>
      </c>
      <c r="V53" s="119">
        <f>'2022'!AP442</f>
        <v>10</v>
      </c>
      <c r="W53" s="119">
        <f>'2022'!AS442</f>
        <v>284</v>
      </c>
      <c r="X53" s="119">
        <f>'2022'!AT442</f>
        <v>0</v>
      </c>
      <c r="Y53" s="119">
        <f>'2022'!AW442</f>
      </c>
      <c r="Z53" s="119">
        <f>'2022'!AX442</f>
        <v>-284</v>
      </c>
      <c r="AA53" s="119">
        <f>'2022'!BA442</f>
      </c>
      <c r="AB53" s="119">
        <f>'2022'!BB442</f>
      </c>
      <c r="AC53" s="119">
        <f>'2022'!BE442</f>
        <v>-243</v>
      </c>
    </row>
    <row r="54" ht="15.75" customHeight="1" spans="1:29" x14ac:dyDescent="0.25">
      <c r="A54" s="14"/>
      <c r="B54" s="115">
        <v>50</v>
      </c>
      <c r="C54" s="115">
        <v>6.05</v>
      </c>
      <c r="D54" s="117" t="s">
        <v>200</v>
      </c>
      <c r="E54" s="119">
        <f>'2022'!I451</f>
        <v>274</v>
      </c>
      <c r="F54" s="119">
        <f>'2022'!J451</f>
      </c>
      <c r="G54" s="119">
        <f>'2022'!M451</f>
        <v>274</v>
      </c>
      <c r="H54" s="119">
        <f>'2022'!N451</f>
        <v>0</v>
      </c>
      <c r="I54" s="119">
        <f>'2022'!Q451</f>
        <v>274</v>
      </c>
      <c r="J54" s="119">
        <f>'2022'!R451</f>
        <v>0</v>
      </c>
      <c r="K54" s="119">
        <f>'2022'!U451</f>
        <v>274</v>
      </c>
      <c r="L54" s="119">
        <f>'2022'!V451</f>
        <v>0</v>
      </c>
      <c r="M54" s="119">
        <f>'2022'!Y451</f>
        <v>274</v>
      </c>
      <c r="N54" s="119">
        <f>'2022'!Z451</f>
        <v>0</v>
      </c>
      <c r="O54" s="119">
        <f>'2022'!AC451</f>
        <v>276</v>
      </c>
      <c r="P54" s="119">
        <f>'2022'!AD451</f>
        <v>2</v>
      </c>
      <c r="Q54" s="119">
        <f>'2022'!AG451</f>
        <v>280</v>
      </c>
      <c r="R54" s="119">
        <f>'2022'!AH451</f>
        <v>4</v>
      </c>
      <c r="S54" s="119">
        <f>'2022'!AK451</f>
        <v>287</v>
      </c>
      <c r="T54" s="119">
        <f>'2022'!AL451</f>
        <v>7</v>
      </c>
      <c r="U54" s="119">
        <f>'2022'!AO451</f>
        <v>292</v>
      </c>
      <c r="V54" s="119">
        <f>'2022'!AP451</f>
        <v>5</v>
      </c>
      <c r="W54" s="119">
        <f>'2022'!AS451</f>
        <v>292</v>
      </c>
      <c r="X54" s="119">
        <f>'2022'!AT451</f>
        <v>0</v>
      </c>
      <c r="Y54" s="119">
        <f>'2022'!AW451</f>
      </c>
      <c r="Z54" s="119">
        <f>'2022'!AX451</f>
        <v>-292</v>
      </c>
      <c r="AA54" s="119">
        <f>'2022'!BA451</f>
      </c>
      <c r="AB54" s="119">
        <f>'2022'!BB451</f>
      </c>
      <c r="AC54" s="119">
        <f>'2022'!BE451</f>
        <v>-274</v>
      </c>
    </row>
    <row r="55" ht="15.75" customHeight="1" spans="1:29" x14ac:dyDescent="0.25">
      <c r="A55" s="14"/>
      <c r="B55" s="115">
        <v>51</v>
      </c>
      <c r="C55" s="115">
        <v>4.95</v>
      </c>
      <c r="D55" s="117" t="s">
        <v>204</v>
      </c>
      <c r="E55" s="119">
        <f>'2022'!I460</f>
        <v>67</v>
      </c>
      <c r="F55" s="119">
        <f>'2022'!J460</f>
      </c>
      <c r="G55" s="119">
        <f>'2022'!M460</f>
        <v>67</v>
      </c>
      <c r="H55" s="119">
        <f>'2022'!N460</f>
        <v>0</v>
      </c>
      <c r="I55" s="119">
        <f>'2022'!Q460</f>
        <v>67</v>
      </c>
      <c r="J55" s="119">
        <f>'2022'!R460</f>
        <v>0</v>
      </c>
      <c r="K55" s="119">
        <f>'2022'!U460</f>
        <v>67</v>
      </c>
      <c r="L55" s="119">
        <f>'2022'!V460</f>
        <v>0</v>
      </c>
      <c r="M55" s="119">
        <f>'2022'!Y460</f>
        <v>67</v>
      </c>
      <c r="N55" s="119">
        <f>'2022'!Z460</f>
        <v>0</v>
      </c>
      <c r="O55" s="119">
        <f>'2022'!AC460</f>
        <v>77</v>
      </c>
      <c r="P55" s="119">
        <f>'2022'!AD460</f>
        <v>10</v>
      </c>
      <c r="Q55" s="119">
        <f>'2022'!AG460</f>
        <v>79</v>
      </c>
      <c r="R55" s="119">
        <f>'2022'!AH460</f>
        <v>2</v>
      </c>
      <c r="S55" s="119">
        <f>'2022'!AK460</f>
        <v>84</v>
      </c>
      <c r="T55" s="119">
        <f>'2022'!AL460</f>
        <v>5</v>
      </c>
      <c r="U55" s="119">
        <f>'2022'!AO460</f>
        <v>84</v>
      </c>
      <c r="V55" s="119">
        <f>'2022'!AP460</f>
        <v>0</v>
      </c>
      <c r="W55" s="119">
        <f>'2022'!AS460</f>
        <v>84</v>
      </c>
      <c r="X55" s="119">
        <f>'2022'!AT460</f>
        <v>0</v>
      </c>
      <c r="Y55" s="119">
        <f>'2022'!AW460</f>
      </c>
      <c r="Z55" s="119">
        <f>'2022'!AX460</f>
        <v>-84</v>
      </c>
      <c r="AA55" s="119">
        <f>'2022'!BA460</f>
      </c>
      <c r="AB55" s="119">
        <f>'2022'!BB460</f>
      </c>
      <c r="AC55" s="119">
        <f>'2022'!BE460</f>
        <v>-67</v>
      </c>
    </row>
    <row r="56" ht="15.75" customHeight="1" spans="1:29" x14ac:dyDescent="0.25">
      <c r="A56" s="14"/>
      <c r="B56" s="115">
        <v>52</v>
      </c>
      <c r="C56" s="116">
        <v>5</v>
      </c>
      <c r="D56" s="117" t="s">
        <v>206</v>
      </c>
      <c r="E56" s="119">
        <f>'2022'!I469</f>
        <v>227</v>
      </c>
      <c r="F56" s="119">
        <f>'2022'!J469</f>
      </c>
      <c r="G56" s="119">
        <f>'2022'!M469</f>
        <v>227</v>
      </c>
      <c r="H56" s="119">
        <f>'2022'!N469</f>
        <v>0</v>
      </c>
      <c r="I56" s="119">
        <f>'2022'!Q469</f>
        <v>227</v>
      </c>
      <c r="J56" s="119">
        <f>'2022'!R469</f>
        <v>0</v>
      </c>
      <c r="K56" s="119">
        <f>'2022'!U469</f>
        <v>233</v>
      </c>
      <c r="L56" s="119">
        <f>'2022'!V469</f>
        <v>6</v>
      </c>
      <c r="M56" s="119">
        <f>'2022'!Y469</f>
        <v>160</v>
      </c>
      <c r="N56" s="119">
        <f>'2022'!Z469</f>
        <v>0</v>
      </c>
      <c r="O56" s="119">
        <f>'2022'!AC469</f>
        <v>160</v>
      </c>
      <c r="P56" s="119">
        <f>'2022'!AD469</f>
        <v>0</v>
      </c>
      <c r="Q56" s="119">
        <f>'2022'!AG469</f>
        <v>160</v>
      </c>
      <c r="R56" s="119">
        <f>'2022'!AH469</f>
        <v>0</v>
      </c>
      <c r="S56" s="119">
        <f>'2022'!AK469</f>
        <v>160</v>
      </c>
      <c r="T56" s="119">
        <f>'2022'!AL469</f>
        <v>0</v>
      </c>
      <c r="U56" s="119">
        <f>'2022'!AO469</f>
        <v>172</v>
      </c>
      <c r="V56" s="119">
        <f>'2022'!AP469</f>
        <v>12</v>
      </c>
      <c r="W56" s="119">
        <f>'2022'!AS469</f>
        <v>172</v>
      </c>
      <c r="X56" s="119">
        <f>'2022'!AT469</f>
        <v>12</v>
      </c>
      <c r="Y56" s="119">
        <f>'2022'!AW469</f>
      </c>
      <c r="Z56" s="119">
        <f>'2022'!AX469</f>
        <v>12</v>
      </c>
      <c r="AA56" s="119">
        <f>'2022'!BA469</f>
      </c>
      <c r="AB56" s="119">
        <f>'2022'!BB469</f>
      </c>
      <c r="AC56" s="119">
        <f>'2022'!BE469</f>
        <v>42</v>
      </c>
    </row>
    <row r="57" ht="15.75" customHeight="1" spans="1:29" x14ac:dyDescent="0.25">
      <c r="A57" s="14"/>
      <c r="B57" s="115">
        <v>53</v>
      </c>
      <c r="C57" s="115">
        <v>5.05</v>
      </c>
      <c r="D57" s="117" t="s">
        <v>210</v>
      </c>
      <c r="E57" s="119">
        <f>'2022'!I478</f>
        <v>132</v>
      </c>
      <c r="F57" s="119">
        <f>'2022'!J478</f>
      </c>
      <c r="G57" s="119">
        <f>'2022'!M478</f>
        <v>132</v>
      </c>
      <c r="H57" s="119">
        <f>'2022'!N478</f>
        <v>0</v>
      </c>
      <c r="I57" s="119">
        <f>'2022'!Q478</f>
        <v>132</v>
      </c>
      <c r="J57" s="119">
        <f>'2022'!R478</f>
        <v>0</v>
      </c>
      <c r="K57" s="119">
        <f>'2022'!U478</f>
        <v>132</v>
      </c>
      <c r="L57" s="119">
        <f>'2022'!V478</f>
        <v>0</v>
      </c>
      <c r="M57" s="119">
        <f>'2022'!Y478</f>
        <v>138</v>
      </c>
      <c r="N57" s="119">
        <f>'2022'!Z478</f>
        <v>6</v>
      </c>
      <c r="O57" s="119">
        <f>'2022'!AC478</f>
        <v>148</v>
      </c>
      <c r="P57" s="119">
        <f>'2022'!AD478</f>
        <v>10</v>
      </c>
      <c r="Q57" s="119">
        <f>'2022'!AG478</f>
        <v>149</v>
      </c>
      <c r="R57" s="119">
        <f>'2022'!AH478</f>
        <v>1</v>
      </c>
      <c r="S57" s="119">
        <f>'2022'!AK478</f>
        <v>151</v>
      </c>
      <c r="T57" s="119">
        <f>'2022'!AL478</f>
        <v>2</v>
      </c>
      <c r="U57" s="119">
        <f>'2022'!AO478</f>
        <v>152</v>
      </c>
      <c r="V57" s="119">
        <f>'2022'!AP478</f>
        <v>1</v>
      </c>
      <c r="W57" s="119">
        <f>'2022'!AS478</f>
        <v>152</v>
      </c>
      <c r="X57" s="119">
        <f>'2022'!AT478</f>
        <v>0</v>
      </c>
      <c r="Y57" s="119">
        <f>'2022'!AW478</f>
      </c>
      <c r="Z57" s="119">
        <f>'2022'!AX478</f>
        <v>-152</v>
      </c>
      <c r="AA57" s="119">
        <f>'2022'!BA478</f>
      </c>
      <c r="AB57" s="119">
        <f>'2022'!BB478</f>
      </c>
      <c r="AC57" s="119">
        <f>'2022'!BE478</f>
        <v>-132</v>
      </c>
    </row>
    <row r="58" ht="15.75" customHeight="1" spans="1:29" x14ac:dyDescent="0.25">
      <c r="A58" s="14"/>
      <c r="B58" s="115">
        <v>54</v>
      </c>
      <c r="C58" s="115">
        <v>5.54</v>
      </c>
      <c r="D58" s="117" t="s">
        <v>212</v>
      </c>
      <c r="E58" s="119">
        <f>'2022'!I487</f>
        <v>150</v>
      </c>
      <c r="F58" s="119">
        <f>'2022'!J487</f>
      </c>
      <c r="G58" s="119">
        <f>'2022'!M487</f>
        <v>150</v>
      </c>
      <c r="H58" s="119">
        <f>'2022'!N487</f>
        <v>0</v>
      </c>
      <c r="I58" s="119">
        <f>'2022'!Q487</f>
        <v>150</v>
      </c>
      <c r="J58" s="119">
        <f>'2022'!R487</f>
        <v>0</v>
      </c>
      <c r="K58" s="119">
        <f>'2022'!U487</f>
        <v>150</v>
      </c>
      <c r="L58" s="119">
        <f>'2022'!V487</f>
        <v>0</v>
      </c>
      <c r="M58" s="119">
        <f>'2022'!Y487</f>
        <v>160</v>
      </c>
      <c r="N58" s="119">
        <f>'2022'!Z487</f>
        <v>10</v>
      </c>
      <c r="O58" s="119">
        <f>'2022'!AC487</f>
        <v>169</v>
      </c>
      <c r="P58" s="119">
        <f>'2022'!AD487</f>
        <v>9</v>
      </c>
      <c r="Q58" s="119">
        <f>'2022'!AG487</f>
        <v>174</v>
      </c>
      <c r="R58" s="119">
        <f>'2022'!AH487</f>
        <v>5</v>
      </c>
      <c r="S58" s="119">
        <f>'2022'!AK487</f>
        <v>176</v>
      </c>
      <c r="T58" s="119">
        <f>'2022'!AL487</f>
        <v>2</v>
      </c>
      <c r="U58" s="119">
        <f>'2022'!AO487</f>
        <v>177</v>
      </c>
      <c r="V58" s="119">
        <f>'2022'!AP487</f>
        <v>1</v>
      </c>
      <c r="W58" s="119">
        <f>'2022'!AS487</f>
        <v>177</v>
      </c>
      <c r="X58" s="119">
        <f>'2022'!AT487</f>
        <v>0</v>
      </c>
      <c r="Y58" s="119">
        <f>'2022'!AW487</f>
      </c>
      <c r="Z58" s="119">
        <f>'2022'!AX487</f>
        <v>-177</v>
      </c>
      <c r="AA58" s="119">
        <f>'2022'!BA487</f>
      </c>
      <c r="AB58" s="119">
        <f>'2022'!BB487</f>
      </c>
      <c r="AC58" s="119">
        <f>'2022'!BE487</f>
        <v>-150</v>
      </c>
    </row>
    <row r="59" ht="15.75" customHeight="1" spans="1:29" x14ac:dyDescent="0.25">
      <c r="A59" s="21"/>
      <c r="B59" s="115">
        <v>55</v>
      </c>
      <c r="C59" s="116">
        <v>5.5</v>
      </c>
      <c r="D59" s="117" t="s">
        <v>214</v>
      </c>
      <c r="E59" s="119">
        <f>'2022'!I496</f>
        <v>32</v>
      </c>
      <c r="F59" s="119">
        <f>'2022'!J496</f>
      </c>
      <c r="G59" s="119">
        <f>'2022'!M496</f>
        <v>32</v>
      </c>
      <c r="H59" s="119">
        <f>'2022'!N496</f>
        <v>0</v>
      </c>
      <c r="I59" s="119">
        <f>'2022'!Q496</f>
        <v>32</v>
      </c>
      <c r="J59" s="119">
        <f>'2022'!R496</f>
        <v>0</v>
      </c>
      <c r="K59" s="119">
        <f>'2022'!U496</f>
        <v>32</v>
      </c>
      <c r="L59" s="119">
        <f>'2022'!V496</f>
        <v>0</v>
      </c>
      <c r="M59" s="119">
        <f>'2022'!Y496</f>
        <v>33</v>
      </c>
      <c r="N59" s="119">
        <f>'2022'!Z496</f>
        <v>1</v>
      </c>
      <c r="O59" s="119">
        <f>'2022'!AC496</f>
        <v>33</v>
      </c>
      <c r="P59" s="119">
        <f>'2022'!AD496</f>
        <v>0</v>
      </c>
      <c r="Q59" s="119">
        <f>'2022'!AG496</f>
        <v>34</v>
      </c>
      <c r="R59" s="119">
        <f>'2022'!AH496</f>
        <v>1</v>
      </c>
      <c r="S59" s="119">
        <f>'2022'!AK496</f>
        <v>35</v>
      </c>
      <c r="T59" s="119">
        <f>'2022'!AL496</f>
        <v>1</v>
      </c>
      <c r="U59" s="119">
        <f>'2022'!AO496</f>
        <v>35</v>
      </c>
      <c r="V59" s="119">
        <f>'2022'!AP496</f>
        <v>0</v>
      </c>
      <c r="W59" s="119">
        <f>'2022'!AS496</f>
        <v>35</v>
      </c>
      <c r="X59" s="119">
        <f>'2022'!AT496</f>
        <v>0</v>
      </c>
      <c r="Y59" s="119">
        <f>'2022'!AW496</f>
      </c>
      <c r="Z59" s="119">
        <f>'2022'!AX496</f>
        <v>-35</v>
      </c>
      <c r="AA59" s="119">
        <f>'2022'!BA496</f>
      </c>
      <c r="AB59" s="119">
        <f>'2022'!BB496</f>
      </c>
      <c r="AC59" s="119">
        <f>'2022'!BE496</f>
        <v>-32</v>
      </c>
    </row>
    <row r="60" ht="15.75" customHeight="1" spans="1:29" x14ac:dyDescent="0.25">
      <c r="A60" s="114" t="s">
        <v>217</v>
      </c>
      <c r="B60" s="115">
        <v>56</v>
      </c>
      <c r="C60" s="115">
        <v>6.23</v>
      </c>
      <c r="D60" s="117" t="s">
        <v>423</v>
      </c>
      <c r="E60" s="119">
        <f>'2022'!I505</f>
        <v>36</v>
      </c>
      <c r="F60" s="119">
        <f>'2022'!J505</f>
      </c>
      <c r="G60" s="119">
        <f>'2022'!M505</f>
        <v>36</v>
      </c>
      <c r="H60" s="119">
        <f>'2022'!N505</f>
        <v>0</v>
      </c>
      <c r="I60" s="119">
        <f>'2022'!Q505</f>
        <v>36</v>
      </c>
      <c r="J60" s="119">
        <f>'2022'!R505</f>
        <v>0</v>
      </c>
      <c r="K60" s="119">
        <f>'2022'!U505</f>
        <v>36</v>
      </c>
      <c r="L60" s="119">
        <f>'2022'!V505</f>
        <v>0</v>
      </c>
      <c r="M60" s="119">
        <f>'2022'!Y505</f>
        <v>37</v>
      </c>
      <c r="N60" s="119">
        <f>'2022'!Z505</f>
        <v>1</v>
      </c>
      <c r="O60" s="119">
        <f>'2022'!AC505</f>
        <v>42</v>
      </c>
      <c r="P60" s="119">
        <f>'2022'!AD505</f>
        <v>5</v>
      </c>
      <c r="Q60" s="119">
        <f>'2022'!AG505</f>
        <v>43</v>
      </c>
      <c r="R60" s="119">
        <f>'2022'!AH505</f>
        <v>1</v>
      </c>
      <c r="S60" s="119">
        <f>'2022'!AK505</f>
        <v>43</v>
      </c>
      <c r="T60" s="119">
        <f>'2022'!AL505</f>
        <v>0</v>
      </c>
      <c r="U60" s="119">
        <f>'2022'!AO505</f>
        <v>43</v>
      </c>
      <c r="V60" s="119">
        <f>'2022'!AP505</f>
        <v>0</v>
      </c>
      <c r="W60" s="119">
        <f>'2022'!AS505</f>
        <v>43</v>
      </c>
      <c r="X60" s="119">
        <f>'2022'!AT505</f>
        <v>0</v>
      </c>
      <c r="Y60" s="119">
        <f>'2022'!AW505</f>
      </c>
      <c r="Z60" s="119">
        <f>'2022'!AX505</f>
        <v>-43</v>
      </c>
      <c r="AA60" s="119">
        <f>'2022'!BA505</f>
      </c>
      <c r="AB60" s="119">
        <f>'2022'!BB505</f>
      </c>
      <c r="AC60" s="119">
        <f>'2022'!BE505</f>
        <v>-36</v>
      </c>
    </row>
    <row r="61" ht="15.75" customHeight="1" spans="1:29" x14ac:dyDescent="0.25">
      <c r="A61" s="14"/>
      <c r="B61" s="115">
        <v>57</v>
      </c>
      <c r="C61" s="116">
        <v>4</v>
      </c>
      <c r="D61" s="2" t="s">
        <v>502</v>
      </c>
      <c r="E61" s="119">
        <f>'2022'!I514</f>
        <v>12</v>
      </c>
      <c r="F61" s="119">
        <f>'2022'!J514</f>
      </c>
      <c r="G61" s="119">
        <f>'2022'!M514</f>
        <v>12</v>
      </c>
      <c r="H61" s="119">
        <f>'2022'!N514</f>
        <v>0</v>
      </c>
      <c r="I61" s="119">
        <f>'2022'!Q514</f>
        <v>12</v>
      </c>
      <c r="J61" s="119">
        <f>'2022'!R514</f>
        <v>0</v>
      </c>
      <c r="K61" s="119">
        <f>'2022'!U514</f>
        <v>12</v>
      </c>
      <c r="L61" s="119">
        <f>'2022'!V514</f>
        <v>0</v>
      </c>
      <c r="M61" s="119">
        <f>'2022'!Y514</f>
        <v>13</v>
      </c>
      <c r="N61" s="119">
        <f>'2022'!Z514</f>
        <v>1</v>
      </c>
      <c r="O61" s="119">
        <f>'2022'!AC514</f>
        <v>21</v>
      </c>
      <c r="P61" s="119">
        <f>'2022'!AD514</f>
        <v>8</v>
      </c>
      <c r="Q61" s="119">
        <f>'2022'!AG514</f>
        <v>26</v>
      </c>
      <c r="R61" s="119">
        <f>'2022'!AH514</f>
        <v>5</v>
      </c>
      <c r="S61" s="119">
        <f>'2022'!AK514</f>
        <v>30</v>
      </c>
      <c r="T61" s="119">
        <f>'2022'!AL514</f>
        <v>4</v>
      </c>
      <c r="U61" s="119">
        <f>'2022'!AO514</f>
        <v>36</v>
      </c>
      <c r="V61" s="119">
        <f>'2022'!AP514</f>
        <v>6</v>
      </c>
      <c r="W61" s="119">
        <f>'2022'!AS514</f>
        <v>36</v>
      </c>
      <c r="X61" s="119">
        <f>'2022'!AT514</f>
        <v>0</v>
      </c>
      <c r="Y61" s="119">
        <f>'2022'!AW514</f>
      </c>
      <c r="Z61" s="119">
        <f>'2022'!AX514</f>
        <v>-36</v>
      </c>
      <c r="AA61" s="119">
        <f>'2022'!BA514</f>
      </c>
      <c r="AB61" s="119">
        <f>'2022'!BB514</f>
      </c>
      <c r="AC61" s="119">
        <f>'2022'!BE514</f>
        <v>-12</v>
      </c>
    </row>
    <row r="62" ht="15.75" customHeight="1" spans="1:29" x14ac:dyDescent="0.25">
      <c r="A62" s="14"/>
      <c r="B62" s="115">
        <v>59</v>
      </c>
      <c r="C62" s="116">
        <v>4</v>
      </c>
      <c r="D62" s="117" t="s">
        <v>221</v>
      </c>
      <c r="E62" s="119">
        <f>'2022'!I523</f>
      </c>
      <c r="F62" s="119">
        <f>'2022'!J523</f>
      </c>
      <c r="G62" s="119">
        <f>'2022'!M523</f>
      </c>
      <c r="H62" s="119">
        <f>'2022'!N523</f>
        <v>0</v>
      </c>
      <c r="I62" s="119">
        <f>'2022'!Q523</f>
      </c>
      <c r="J62" s="119">
        <f>'2022'!R523</f>
        <v>0</v>
      </c>
      <c r="K62" s="119">
        <f>'2022'!U523</f>
      </c>
      <c r="L62" s="119">
        <f>'2022'!V523</f>
        <v>0</v>
      </c>
      <c r="M62" s="119">
        <f>'2022'!Y523</f>
        <v>62</v>
      </c>
      <c r="N62" s="119">
        <f>'2022'!Z523</f>
        <v>0</v>
      </c>
      <c r="O62" s="119">
        <f>'2022'!AC523</f>
        <v>62</v>
      </c>
      <c r="P62" s="119">
        <f>'2022'!AD523</f>
        <v>0</v>
      </c>
      <c r="Q62" s="119">
        <f>'2022'!AG523</f>
        <v>64</v>
      </c>
      <c r="R62" s="119">
        <f>'2022'!AH523</f>
        <v>2</v>
      </c>
      <c r="S62" s="119">
        <f>'2022'!AK523</f>
        <v>64</v>
      </c>
      <c r="T62" s="119">
        <f>'2022'!AL523</f>
        <v>0</v>
      </c>
      <c r="U62" s="119">
        <f>'2022'!AO523</f>
        <v>65</v>
      </c>
      <c r="V62" s="119">
        <f>'2022'!AP523</f>
        <v>1</v>
      </c>
      <c r="W62" s="119">
        <f>'2022'!AS523</f>
        <v>65</v>
      </c>
      <c r="X62" s="119">
        <f>'2022'!AT523</f>
        <v>0</v>
      </c>
      <c r="Y62" s="119">
        <f>'2022'!AW523</f>
      </c>
      <c r="Z62" s="119">
        <f>'2022'!AX523</f>
        <v>-65</v>
      </c>
      <c r="AA62" s="119">
        <f>'2022'!BA523</f>
      </c>
      <c r="AB62" s="119">
        <f>'2022'!BB523</f>
      </c>
      <c r="AC62" s="119">
        <f>'2022'!BE523</f>
        <v>-62</v>
      </c>
    </row>
    <row r="63" ht="15.75" customHeight="1" spans="1:29" x14ac:dyDescent="0.25">
      <c r="A63" s="14"/>
      <c r="B63" s="115">
        <v>58</v>
      </c>
      <c r="C63" s="115">
        <v>5.08</v>
      </c>
      <c r="D63" s="117" t="s">
        <v>223</v>
      </c>
      <c r="E63" s="119">
        <f>'2022'!I532</f>
        <v>540</v>
      </c>
      <c r="F63" s="119">
        <f>'2022'!J532</f>
      </c>
      <c r="G63" s="119">
        <f>'2022'!M532</f>
        <v>540</v>
      </c>
      <c r="H63" s="119">
        <f>'2022'!N532</f>
        <v>0</v>
      </c>
      <c r="I63" s="119">
        <f>'2022'!Q532</f>
        <v>540</v>
      </c>
      <c r="J63" s="119">
        <f>'2022'!R532</f>
        <v>0</v>
      </c>
      <c r="K63" s="119">
        <f>'2022'!U532</f>
        <v>540</v>
      </c>
      <c r="L63" s="119">
        <f>'2022'!V532</f>
        <v>0</v>
      </c>
      <c r="M63" s="119">
        <f>'2022'!Y532</f>
        <v>1507</v>
      </c>
      <c r="N63" s="119">
        <f>'2022'!Z532</f>
        <v>0</v>
      </c>
      <c r="O63" s="119">
        <f>'2022'!AC532</f>
        <v>1518</v>
      </c>
      <c r="P63" s="119">
        <f>'2022'!AD532</f>
        <v>11</v>
      </c>
      <c r="Q63" s="119">
        <f>'2022'!AG532</f>
        <v>1526</v>
      </c>
      <c r="R63" s="119">
        <f>'2022'!AH532</f>
        <v>8</v>
      </c>
      <c r="S63" s="119">
        <f>'2022'!AK532</f>
        <v>1532</v>
      </c>
      <c r="T63" s="119">
        <f>'2022'!AL532</f>
        <v>6</v>
      </c>
      <c r="U63" s="119">
        <f>'2022'!AO532</f>
        <v>1537</v>
      </c>
      <c r="V63" s="119">
        <f>'2022'!AP532</f>
        <v>5</v>
      </c>
      <c r="W63" s="119">
        <f>'2022'!AS532</f>
        <v>1537</v>
      </c>
      <c r="X63" s="119">
        <f>'2022'!AT532</f>
        <v>0</v>
      </c>
      <c r="Y63" s="119">
        <f>'2022'!AW532</f>
      </c>
      <c r="Z63" s="119">
        <f>'2022'!AX532</f>
        <v>-1537</v>
      </c>
      <c r="AA63" s="119">
        <f>'2022'!BA532</f>
      </c>
      <c r="AB63" s="119">
        <f>'2022'!BB532</f>
      </c>
      <c r="AC63" s="119">
        <f>'2022'!BE532</f>
        <v>-1507</v>
      </c>
    </row>
    <row r="64" ht="15.75" customHeight="1" spans="1:29" x14ac:dyDescent="0.25">
      <c r="A64" s="14"/>
      <c r="B64" s="115">
        <v>60</v>
      </c>
      <c r="C64" s="116">
        <v>4.4</v>
      </c>
      <c r="D64" s="117" t="s">
        <v>227</v>
      </c>
      <c r="E64" s="119">
        <f>'2022'!I541</f>
        <v>162</v>
      </c>
      <c r="F64" s="119">
        <f>'2022'!J541</f>
      </c>
      <c r="G64" s="119">
        <f>'2022'!M541</f>
        <v>162</v>
      </c>
      <c r="H64" s="119">
        <f>'2022'!N541</f>
        <v>0</v>
      </c>
      <c r="I64" s="119">
        <f>'2022'!Q541</f>
        <v>162</v>
      </c>
      <c r="J64" s="119">
        <f>'2022'!R541</f>
        <v>0</v>
      </c>
      <c r="K64" s="119">
        <f>'2022'!U541</f>
        <v>162</v>
      </c>
      <c r="L64" s="119">
        <f>'2022'!V541</f>
        <v>0</v>
      </c>
      <c r="M64" s="119">
        <f>'2022'!Y541</f>
        <v>162</v>
      </c>
      <c r="N64" s="119">
        <f>'2022'!Z541</f>
        <v>0</v>
      </c>
      <c r="O64" s="119">
        <f>'2022'!AC541</f>
        <v>172</v>
      </c>
      <c r="P64" s="119">
        <f>'2022'!AD541</f>
        <v>10</v>
      </c>
      <c r="Q64" s="119">
        <f>'2022'!AG541</f>
        <v>177</v>
      </c>
      <c r="R64" s="119">
        <f>'2022'!AH541</f>
        <v>5</v>
      </c>
      <c r="S64" s="119">
        <f>'2022'!AK541</f>
        <v>181</v>
      </c>
      <c r="T64" s="119">
        <f>'2022'!AL541</f>
        <v>4</v>
      </c>
      <c r="U64" s="119">
        <f>'2022'!AO541</f>
        <v>183</v>
      </c>
      <c r="V64" s="119">
        <f>'2022'!AP541</f>
        <v>2</v>
      </c>
      <c r="W64" s="119">
        <f>'2022'!AS541</f>
        <v>183</v>
      </c>
      <c r="X64" s="119">
        <f>'2022'!AT541</f>
        <v>0</v>
      </c>
      <c r="Y64" s="119">
        <f>'2022'!AW541</f>
      </c>
      <c r="Z64" s="119">
        <f>'2022'!AX541</f>
        <v>-183</v>
      </c>
      <c r="AA64" s="119">
        <f>'2022'!BA541</f>
      </c>
      <c r="AB64" s="119">
        <f>'2022'!BB541</f>
      </c>
      <c r="AC64" s="119">
        <f>'2022'!BE541</f>
        <v>-162</v>
      </c>
    </row>
    <row r="65" ht="15.75" customHeight="1" spans="1:29" x14ac:dyDescent="0.25">
      <c r="A65" s="14"/>
      <c r="B65" s="115">
        <v>61</v>
      </c>
      <c r="C65" s="115">
        <v>4.71</v>
      </c>
      <c r="D65" s="117" t="s">
        <v>231</v>
      </c>
      <c r="E65" s="119">
        <f>'2022'!I550</f>
        <v>303</v>
      </c>
      <c r="F65" s="119">
        <f>'2022'!J550</f>
      </c>
      <c r="G65" s="119">
        <f>'2022'!M550</f>
        <v>303</v>
      </c>
      <c r="H65" s="119">
        <f>'2022'!N550</f>
        <v>0</v>
      </c>
      <c r="I65" s="119">
        <f>'2022'!Q550</f>
        <v>303</v>
      </c>
      <c r="J65" s="119">
        <f>'2022'!R550</f>
        <v>0</v>
      </c>
      <c r="K65" s="119">
        <f>'2022'!U550</f>
        <v>303</v>
      </c>
      <c r="L65" s="119">
        <f>'2022'!V550</f>
        <v>0</v>
      </c>
      <c r="M65" s="119">
        <f>'2022'!Y550</f>
        <v>306</v>
      </c>
      <c r="N65" s="119">
        <f>'2022'!Z550</f>
        <v>3</v>
      </c>
      <c r="O65" s="119">
        <f>'2022'!AC550</f>
        <v>317</v>
      </c>
      <c r="P65" s="119">
        <f>'2022'!AD550</f>
        <v>11</v>
      </c>
      <c r="Q65" s="119">
        <f>'2022'!AG550</f>
        <v>317</v>
      </c>
      <c r="R65" s="119">
        <f>'2022'!AH550</f>
        <v>0</v>
      </c>
      <c r="S65" s="119">
        <f>'2022'!AK550</f>
        <v>332</v>
      </c>
      <c r="T65" s="119">
        <f>'2022'!AL550</f>
        <v>15</v>
      </c>
      <c r="U65" s="119">
        <f>'2022'!AO550</f>
        <v>332</v>
      </c>
      <c r="V65" s="119">
        <f>'2022'!AP550</f>
        <v>0</v>
      </c>
      <c r="W65" s="119">
        <f>'2022'!AS550</f>
        <v>332</v>
      </c>
      <c r="X65" s="119">
        <f>'2022'!AT550</f>
        <v>0</v>
      </c>
      <c r="Y65" s="119">
        <f>'2022'!AW550</f>
      </c>
      <c r="Z65" s="119">
        <f>'2022'!AX550</f>
        <v>-332</v>
      </c>
      <c r="AA65" s="119">
        <f>'2022'!BA550</f>
      </c>
      <c r="AB65" s="119">
        <f>'2022'!BB550</f>
      </c>
      <c r="AC65" s="119">
        <f>'2022'!BE550</f>
        <v>-303</v>
      </c>
    </row>
    <row r="66" ht="15.75" customHeight="1" spans="1:29" x14ac:dyDescent="0.25">
      <c r="A66" s="14"/>
      <c r="B66" s="115">
        <v>62</v>
      </c>
      <c r="C66" s="116">
        <v>4.6</v>
      </c>
      <c r="D66" s="15" t="s">
        <v>236</v>
      </c>
      <c r="E66" s="119">
        <f>'2022'!I559</f>
        <v>194</v>
      </c>
      <c r="F66" s="119">
        <f>'2022'!J559</f>
      </c>
      <c r="G66" s="119">
        <f>'2022'!M559</f>
        <v>194</v>
      </c>
      <c r="H66" s="119">
        <f>'2022'!N559</f>
        <v>0</v>
      </c>
      <c r="I66" s="119">
        <f>'2022'!Q559</f>
        <v>194</v>
      </c>
      <c r="J66" s="119">
        <f>'2022'!R559</f>
        <v>0</v>
      </c>
      <c r="K66" s="119">
        <f>'2022'!U559</f>
        <v>194</v>
      </c>
      <c r="L66" s="119">
        <f>'2022'!V559</f>
        <v>0</v>
      </c>
      <c r="M66" s="119">
        <f>'2022'!Y559</f>
        <v>207</v>
      </c>
      <c r="N66" s="119">
        <f>'2022'!Z559</f>
        <v>13</v>
      </c>
      <c r="O66" s="119">
        <f>'2022'!AC559</f>
        <v>210</v>
      </c>
      <c r="P66" s="119">
        <f>'2022'!AD559</f>
        <v>3</v>
      </c>
      <c r="Q66" s="119">
        <f>'2022'!AG559</f>
        <v>211</v>
      </c>
      <c r="R66" s="119">
        <f>'2022'!AH559</f>
        <v>1</v>
      </c>
      <c r="S66" s="119">
        <f>'2022'!AK559</f>
        <v>211</v>
      </c>
      <c r="T66" s="119">
        <f>'2022'!AL559</f>
        <v>0</v>
      </c>
      <c r="U66" s="119">
        <f>'2022'!AO559</f>
        <v>220</v>
      </c>
      <c r="V66" s="119">
        <f>'2022'!AP559</f>
        <v>9</v>
      </c>
      <c r="W66" s="119">
        <f>'2022'!AS559</f>
        <v>220</v>
      </c>
      <c r="X66" s="119">
        <f>'2022'!AT559</f>
        <v>0</v>
      </c>
      <c r="Y66" s="119">
        <f>'2022'!AW559</f>
      </c>
      <c r="Z66" s="119">
        <f>'2022'!AX559</f>
        <v>-220</v>
      </c>
      <c r="AA66" s="119">
        <f>'2022'!BA559</f>
      </c>
      <c r="AB66" s="119">
        <f>'2022'!BB559</f>
      </c>
      <c r="AC66" s="119">
        <f>'2022'!BE559</f>
        <v>-194</v>
      </c>
    </row>
    <row r="67" ht="15.75" customHeight="1" spans="1:29" x14ac:dyDescent="0.25">
      <c r="A67" s="14"/>
      <c r="B67" s="115" t="s">
        <v>237</v>
      </c>
      <c r="C67" s="115">
        <v>4.01</v>
      </c>
      <c r="D67" s="117" t="s">
        <v>238</v>
      </c>
      <c r="E67" s="119">
        <f>'2022'!I568</f>
        <v>153</v>
      </c>
      <c r="F67" s="119">
        <f>'2022'!J568</f>
      </c>
      <c r="G67" s="119">
        <f>'2022'!M568</f>
        <v>153</v>
      </c>
      <c r="H67" s="119">
        <f>'2022'!N568</f>
        <v>0</v>
      </c>
      <c r="I67" s="119">
        <f>'2022'!Q568</f>
        <v>153</v>
      </c>
      <c r="J67" s="119">
        <f>'2022'!R568</f>
        <v>0</v>
      </c>
      <c r="K67" s="119">
        <f>'2022'!U568</f>
        <v>153</v>
      </c>
      <c r="L67" s="119">
        <f>'2022'!V568</f>
        <v>0</v>
      </c>
      <c r="M67" s="119">
        <f>'2022'!Y568</f>
        <v>153</v>
      </c>
      <c r="N67" s="119">
        <f>'2022'!Z568</f>
        <v>0</v>
      </c>
      <c r="O67" s="119">
        <f>'2022'!AC568</f>
        <v>159</v>
      </c>
      <c r="P67" s="119">
        <f>'2022'!AD568</f>
        <v>6</v>
      </c>
      <c r="Q67" s="119">
        <f>'2022'!AG568</f>
        <v>164</v>
      </c>
      <c r="R67" s="119">
        <f>'2022'!AH568</f>
        <v>5</v>
      </c>
      <c r="S67" s="119">
        <f>'2022'!AK568</f>
        <v>170</v>
      </c>
      <c r="T67" s="119">
        <f>'2022'!AL568</f>
        <v>6</v>
      </c>
      <c r="U67" s="119">
        <f>'2022'!AO568</f>
        <v>176</v>
      </c>
      <c r="V67" s="119">
        <f>'2022'!AP568</f>
        <v>6</v>
      </c>
      <c r="W67" s="119">
        <f>'2022'!AS568</f>
        <v>176</v>
      </c>
      <c r="X67" s="119">
        <f>'2022'!AT568</f>
        <v>0</v>
      </c>
      <c r="Y67" s="119">
        <f>'2022'!AW568</f>
      </c>
      <c r="Z67" s="119">
        <f>'2022'!AX568</f>
        <v>-176</v>
      </c>
      <c r="AA67" s="119">
        <f>'2022'!BA568</f>
      </c>
      <c r="AB67" s="119">
        <f>'2022'!BB568</f>
      </c>
      <c r="AC67" s="119">
        <f>'2022'!BE568</f>
        <v>-153</v>
      </c>
    </row>
    <row r="68" ht="15.75" customHeight="1" spans="1:29" x14ac:dyDescent="0.25">
      <c r="A68" s="14"/>
      <c r="B68" s="115" t="s">
        <v>237</v>
      </c>
      <c r="C68" s="115">
        <v>4.01</v>
      </c>
      <c r="D68" s="117" t="s">
        <v>238</v>
      </c>
      <c r="E68" s="119">
        <f>'2022'!I577</f>
        <v>197</v>
      </c>
      <c r="F68" s="119">
        <f>'2022'!J577</f>
      </c>
      <c r="G68" s="119">
        <f>'2022'!M577</f>
        <v>197</v>
      </c>
      <c r="H68" s="119">
        <f>'2022'!N577</f>
        <v>0</v>
      </c>
      <c r="I68" s="119">
        <f>'2022'!Q577</f>
        <v>197</v>
      </c>
      <c r="J68" s="119">
        <f>'2022'!R577</f>
        <v>0</v>
      </c>
      <c r="K68" s="119">
        <f>'2022'!U577</f>
        <v>197</v>
      </c>
      <c r="L68" s="119">
        <f>'2022'!V577</f>
        <v>0</v>
      </c>
      <c r="M68" s="119">
        <f>'2022'!Y577</f>
        <v>197</v>
      </c>
      <c r="N68" s="119">
        <f>'2022'!Z577</f>
        <v>0</v>
      </c>
      <c r="O68" s="119">
        <f>'2022'!AC577</f>
        <v>197</v>
      </c>
      <c r="P68" s="119">
        <f>'2022'!AD577</f>
        <v>0</v>
      </c>
      <c r="Q68" s="119">
        <f>'2022'!AG577</f>
        <v>197</v>
      </c>
      <c r="R68" s="119">
        <f>'2022'!AH577</f>
        <v>0</v>
      </c>
      <c r="S68" s="119">
        <f>'2022'!AK577</f>
        <v>197</v>
      </c>
      <c r="T68" s="119">
        <f>'2022'!AL577</f>
        <v>0</v>
      </c>
      <c r="U68" s="119">
        <f>'2022'!AO577</f>
        <v>197</v>
      </c>
      <c r="V68" s="119">
        <f>'2022'!AP577</f>
        <v>0</v>
      </c>
      <c r="W68" s="119">
        <f>'2022'!AS577</f>
        <v>197</v>
      </c>
      <c r="X68" s="119">
        <f>'2022'!AT577</f>
        <v>0</v>
      </c>
      <c r="Y68" s="119">
        <f>'2022'!AW577</f>
      </c>
      <c r="Z68" s="119">
        <f>'2022'!AX577</f>
        <v>-197</v>
      </c>
      <c r="AA68" s="119">
        <f>'2022'!BA577</f>
      </c>
      <c r="AB68" s="119">
        <f>'2022'!BB577</f>
      </c>
      <c r="AC68" s="119">
        <f>'2022'!BE577</f>
        <v>-197</v>
      </c>
    </row>
    <row r="69" ht="15.75" customHeight="1" spans="1:29" x14ac:dyDescent="0.25">
      <c r="A69" s="14"/>
      <c r="B69" s="115">
        <v>64</v>
      </c>
      <c r="C69" s="115">
        <v>4.24</v>
      </c>
      <c r="D69" s="117" t="s">
        <v>241</v>
      </c>
      <c r="E69" s="119">
        <f>'2022'!I586</f>
        <v>74</v>
      </c>
      <c r="F69" s="119">
        <f>'2022'!J586</f>
      </c>
      <c r="G69" s="119">
        <f>'2022'!M586</f>
        <v>74</v>
      </c>
      <c r="H69" s="119">
        <f>'2022'!N586</f>
        <v>0</v>
      </c>
      <c r="I69" s="119">
        <f>'2022'!Q586</f>
        <v>74</v>
      </c>
      <c r="J69" s="119">
        <f>'2022'!R586</f>
        <v>0</v>
      </c>
      <c r="K69" s="119">
        <f>'2022'!U586</f>
        <v>74</v>
      </c>
      <c r="L69" s="119">
        <f>'2022'!V586</f>
        <v>0</v>
      </c>
      <c r="M69" s="119">
        <f>'2022'!Y586</f>
        <v>74</v>
      </c>
      <c r="N69" s="119">
        <f>'2022'!Z586</f>
        <v>0</v>
      </c>
      <c r="O69" s="119">
        <f>'2022'!AC586</f>
        <v>88</v>
      </c>
      <c r="P69" s="119">
        <f>'2022'!AD586</f>
        <v>14</v>
      </c>
      <c r="Q69" s="119">
        <f>'2022'!AG586</f>
        <v>93</v>
      </c>
      <c r="R69" s="119">
        <f>'2022'!AH586</f>
        <v>5</v>
      </c>
      <c r="S69" s="119">
        <f>'2022'!AK586</f>
        <v>99</v>
      </c>
      <c r="T69" s="119">
        <f>'2022'!AL586</f>
        <v>6</v>
      </c>
      <c r="U69" s="119">
        <f>'2022'!AO586</f>
        <v>102</v>
      </c>
      <c r="V69" s="119">
        <f>'2022'!AP586</f>
        <v>3</v>
      </c>
      <c r="W69" s="119">
        <f>'2022'!AS586</f>
        <v>102</v>
      </c>
      <c r="X69" s="119">
        <f>'2022'!AT586</f>
        <v>0</v>
      </c>
      <c r="Y69" s="119">
        <f>'2022'!AW586</f>
      </c>
      <c r="Z69" s="119">
        <f>'2022'!AX586</f>
        <v>-102</v>
      </c>
      <c r="AA69" s="119">
        <f>'2022'!BA586</f>
      </c>
      <c r="AB69" s="119">
        <f>'2022'!BB586</f>
      </c>
      <c r="AC69" s="119">
        <f>'2022'!BE586</f>
        <v>-74</v>
      </c>
    </row>
    <row r="70" ht="15.75" customHeight="1" spans="1:29" x14ac:dyDescent="0.25">
      <c r="A70" s="14"/>
      <c r="B70" s="115">
        <v>66</v>
      </c>
      <c r="C70" s="115">
        <v>4.66</v>
      </c>
      <c r="D70" s="117" t="s">
        <v>244</v>
      </c>
      <c r="E70" s="119">
        <f>'2022'!I595</f>
        <v>41</v>
      </c>
      <c r="F70" s="119">
        <f>'2022'!J595</f>
      </c>
      <c r="G70" s="119">
        <f>'2022'!M595</f>
        <v>41</v>
      </c>
      <c r="H70" s="119">
        <f>'2022'!N595</f>
        <v>0</v>
      </c>
      <c r="I70" s="119">
        <f>'2022'!Q595</f>
        <v>41</v>
      </c>
      <c r="J70" s="119">
        <f>'2022'!R595</f>
        <v>0</v>
      </c>
      <c r="K70" s="119">
        <f>'2022'!U595</f>
        <v>41</v>
      </c>
      <c r="L70" s="119">
        <f>'2022'!V595</f>
        <v>0</v>
      </c>
      <c r="M70" s="119">
        <f>'2022'!Y595</f>
        <v>44</v>
      </c>
      <c r="N70" s="119">
        <f>'2022'!Z595</f>
        <v>3</v>
      </c>
      <c r="O70" s="119">
        <f>'2022'!AC595</f>
        <v>46</v>
      </c>
      <c r="P70" s="119">
        <f>'2022'!AD595</f>
        <v>2</v>
      </c>
      <c r="Q70" s="119">
        <f>'2022'!AG595</f>
        <v>51</v>
      </c>
      <c r="R70" s="119">
        <f>'2022'!AH595</f>
        <v>5</v>
      </c>
      <c r="S70" s="119">
        <f>'2022'!AK595</f>
        <v>51</v>
      </c>
      <c r="T70" s="119">
        <f>'2022'!AL595</f>
        <v>0</v>
      </c>
      <c r="U70" s="119">
        <f>'2022'!AO595</f>
        <v>51</v>
      </c>
      <c r="V70" s="119">
        <f>'2022'!AP595</f>
        <v>0</v>
      </c>
      <c r="W70" s="119">
        <f>'2022'!AS595</f>
        <v>51</v>
      </c>
      <c r="X70" s="119">
        <f>'2022'!AT595</f>
        <v>0</v>
      </c>
      <c r="Y70" s="119">
        <f>'2022'!AW595</f>
      </c>
      <c r="Z70" s="119">
        <f>'2022'!AX595</f>
        <v>-51</v>
      </c>
      <c r="AA70" s="119">
        <f>'2022'!BA595</f>
      </c>
      <c r="AB70" s="119">
        <f>'2022'!BB595</f>
      </c>
      <c r="AC70" s="119">
        <f>'2022'!BE595</f>
        <v>-41</v>
      </c>
    </row>
    <row r="71" ht="15.75" customHeight="1" spans="1:29" x14ac:dyDescent="0.25">
      <c r="A71" s="14"/>
      <c r="B71" s="115">
        <v>67</v>
      </c>
      <c r="C71" s="115">
        <v>6.08</v>
      </c>
      <c r="D71" s="117" t="s">
        <v>245</v>
      </c>
      <c r="E71" s="119">
        <f>'2022'!I604</f>
        <v>201</v>
      </c>
      <c r="F71" s="119">
        <f>'2022'!J604</f>
      </c>
      <c r="G71" s="119">
        <f>'2022'!M604</f>
        <v>201</v>
      </c>
      <c r="H71" s="119">
        <f>'2022'!N604</f>
        <v>0</v>
      </c>
      <c r="I71" s="119">
        <f>'2022'!Q604</f>
        <v>201</v>
      </c>
      <c r="J71" s="119">
        <f>'2022'!R604</f>
        <v>0</v>
      </c>
      <c r="K71" s="119">
        <f>'2022'!U604</f>
        <v>201</v>
      </c>
      <c r="L71" s="119">
        <f>'2022'!V604</f>
        <v>0</v>
      </c>
      <c r="M71" s="119">
        <f>'2022'!Y604</f>
        <v>206</v>
      </c>
      <c r="N71" s="119">
        <f>'2022'!Z604</f>
        <v>5</v>
      </c>
      <c r="O71" s="119">
        <f>'2022'!AC604</f>
        <v>206</v>
      </c>
      <c r="P71" s="119">
        <f>'2022'!AD604</f>
        <v>0</v>
      </c>
      <c r="Q71" s="119">
        <f>'2022'!AG604</f>
        <v>228</v>
      </c>
      <c r="R71" s="119">
        <f>'2022'!AH604</f>
        <v>22</v>
      </c>
      <c r="S71" s="119">
        <f>'2022'!AK604</f>
        <v>245</v>
      </c>
      <c r="T71" s="119">
        <f>'2022'!AL604</f>
        <v>17</v>
      </c>
      <c r="U71" s="119">
        <f>'2022'!AO604</f>
        <v>248</v>
      </c>
      <c r="V71" s="119">
        <f>'2022'!AP604</f>
        <v>3</v>
      </c>
      <c r="W71" s="119">
        <f>'2022'!AS604</f>
        <v>248</v>
      </c>
      <c r="X71" s="119">
        <f>'2022'!AT604</f>
        <v>0</v>
      </c>
      <c r="Y71" s="119">
        <f>'2022'!AW604</f>
      </c>
      <c r="Z71" s="119">
        <f>'2022'!AX604</f>
        <v>-248</v>
      </c>
      <c r="AA71" s="119">
        <f>'2022'!BA604</f>
      </c>
      <c r="AB71" s="119">
        <f>'2022'!BB604</f>
      </c>
      <c r="AC71" s="119">
        <f>'2022'!BE604</f>
        <v>-201</v>
      </c>
    </row>
    <row r="72" ht="15.75" customHeight="1" spans="1:29" x14ac:dyDescent="0.25">
      <c r="A72" s="14"/>
      <c r="B72" s="115" t="s">
        <v>248</v>
      </c>
      <c r="C72" s="115">
        <v>4.01</v>
      </c>
      <c r="D72" s="117" t="s">
        <v>249</v>
      </c>
      <c r="E72" s="119">
        <f>'2022'!I613</f>
        <v>174</v>
      </c>
      <c r="F72" s="119">
        <f>'2022'!J613</f>
      </c>
      <c r="G72" s="119">
        <f>'2022'!M613</f>
        <v>174</v>
      </c>
      <c r="H72" s="119">
        <f>'2022'!N613</f>
        <v>0</v>
      </c>
      <c r="I72" s="119">
        <f>'2022'!Q613</f>
        <v>174</v>
      </c>
      <c r="J72" s="119">
        <f>'2022'!R613</f>
        <v>0</v>
      </c>
      <c r="K72" s="119">
        <f>'2022'!U613</f>
        <v>174</v>
      </c>
      <c r="L72" s="119">
        <f>'2022'!V613</f>
        <v>0</v>
      </c>
      <c r="M72" s="119">
        <f>'2022'!Y613</f>
        <v>174</v>
      </c>
      <c r="N72" s="119">
        <f>'2022'!Z613</f>
        <v>0</v>
      </c>
      <c r="O72" s="119">
        <f>'2022'!AC613</f>
        <v>191</v>
      </c>
      <c r="P72" s="119">
        <f>'2022'!AD613</f>
        <v>17</v>
      </c>
      <c r="Q72" s="119">
        <f>'2022'!AG613</f>
        <v>205</v>
      </c>
      <c r="R72" s="119">
        <f>'2022'!AH613</f>
        <v>14</v>
      </c>
      <c r="S72" s="119">
        <f>'2022'!AK613</f>
        <v>217</v>
      </c>
      <c r="T72" s="119">
        <f>'2022'!AL613</f>
        <v>12</v>
      </c>
      <c r="U72" s="119">
        <f>'2022'!AO613</f>
        <v>226</v>
      </c>
      <c r="V72" s="119">
        <f>'2022'!AP613</f>
        <v>9</v>
      </c>
      <c r="W72" s="119">
        <f>'2022'!AS613</f>
        <v>226</v>
      </c>
      <c r="X72" s="119">
        <f>'2022'!AT613</f>
        <v>0</v>
      </c>
      <c r="Y72" s="119">
        <f>'2022'!AW613</f>
      </c>
      <c r="Z72" s="119">
        <f>'2022'!AX613</f>
        <v>-226</v>
      </c>
      <c r="AA72" s="119">
        <f>'2022'!BA613</f>
      </c>
      <c r="AB72" s="119">
        <f>'2022'!BB613</f>
      </c>
      <c r="AC72" s="119">
        <f>'2022'!BE613</f>
        <v>-174</v>
      </c>
    </row>
    <row r="73" ht="15.75" customHeight="1" spans="1:29" x14ac:dyDescent="0.25">
      <c r="A73" s="14"/>
      <c r="B73" s="115" t="s">
        <v>248</v>
      </c>
      <c r="C73" s="115">
        <v>4.02</v>
      </c>
      <c r="D73" s="117" t="s">
        <v>249</v>
      </c>
      <c r="E73" s="119">
        <f>'2022'!I622</f>
      </c>
      <c r="F73" s="119">
        <f>'2022'!J622</f>
      </c>
      <c r="G73" s="119">
        <f>'2022'!M622</f>
      </c>
      <c r="H73" s="119">
        <f>'2022'!N622</f>
        <v>0</v>
      </c>
      <c r="I73" s="119">
        <f>'2022'!Q622</f>
      </c>
      <c r="J73" s="119">
        <f>'2022'!R622</f>
        <v>0</v>
      </c>
      <c r="K73" s="119">
        <f>'2022'!U622</f>
      </c>
      <c r="L73" s="119">
        <f>'2022'!V622</f>
        <v>0</v>
      </c>
      <c r="M73" s="119">
        <f>'2022'!Y622</f>
      </c>
      <c r="N73" s="119">
        <f>'2022'!Z622</f>
        <v>0</v>
      </c>
      <c r="O73" s="119">
        <f>'2022'!AC622</f>
      </c>
      <c r="P73" s="119">
        <f>'2022'!AD622</f>
        <v>0</v>
      </c>
      <c r="Q73" s="119">
        <f>'2022'!AG622</f>
      </c>
      <c r="R73" s="119">
        <f>'2022'!AH622</f>
        <v>0</v>
      </c>
      <c r="S73" s="119">
        <f>'2022'!AK622</f>
      </c>
      <c r="T73" s="119">
        <f>'2022'!AL622</f>
        <v>0</v>
      </c>
      <c r="U73" s="119">
        <f>'2022'!AO622</f>
      </c>
      <c r="V73" s="119">
        <f>'2022'!AP622</f>
        <v>0</v>
      </c>
      <c r="W73" s="119">
        <f>'2022'!AS622</f>
      </c>
      <c r="X73" s="119">
        <f>'2022'!AT622</f>
        <v>0</v>
      </c>
      <c r="Y73" s="119">
        <f>'2022'!AW622</f>
      </c>
      <c r="Z73" s="119">
        <f>'2022'!AX622</f>
        <v>0</v>
      </c>
      <c r="AA73" s="119">
        <f>'2022'!BA622</f>
      </c>
      <c r="AB73" s="119">
        <f>'2022'!BB622</f>
      </c>
      <c r="AC73" s="119">
        <f>'2022'!BE622</f>
        <v>0</v>
      </c>
    </row>
    <row r="74" ht="15.75" customHeight="1" spans="1:29" x14ac:dyDescent="0.25">
      <c r="A74" s="14"/>
      <c r="B74" s="115">
        <v>69</v>
      </c>
      <c r="C74" s="115">
        <v>4.03</v>
      </c>
      <c r="D74" s="117" t="s">
        <v>253</v>
      </c>
      <c r="E74" s="119">
        <f>'2022'!I631</f>
        <v>15</v>
      </c>
      <c r="F74" s="119">
        <f>'2022'!J631</f>
      </c>
      <c r="G74" s="119">
        <f>'2022'!M631</f>
        <v>15</v>
      </c>
      <c r="H74" s="119">
        <f>'2022'!N631</f>
        <v>0</v>
      </c>
      <c r="I74" s="119">
        <f>'2022'!Q631</f>
        <v>15</v>
      </c>
      <c r="J74" s="119">
        <f>'2022'!R631</f>
        <v>0</v>
      </c>
      <c r="K74" s="119">
        <f>'2022'!U631</f>
        <v>15</v>
      </c>
      <c r="L74" s="119">
        <f>'2022'!V631</f>
        <v>0</v>
      </c>
      <c r="M74" s="119">
        <f>'2022'!Y631</f>
        <v>15</v>
      </c>
      <c r="N74" s="119">
        <f>'2022'!Z631</f>
        <v>0</v>
      </c>
      <c r="O74" s="119">
        <f>'2022'!AC631</f>
        <v>15</v>
      </c>
      <c r="P74" s="119">
        <f>'2022'!AD631</f>
        <v>0</v>
      </c>
      <c r="Q74" s="119">
        <f>'2022'!AG631</f>
        <v>15</v>
      </c>
      <c r="R74" s="119">
        <f>'2022'!AH631</f>
        <v>0</v>
      </c>
      <c r="S74" s="119">
        <f>'2022'!AK631</f>
        <v>15</v>
      </c>
      <c r="T74" s="119">
        <f>'2022'!AL631</f>
        <v>0</v>
      </c>
      <c r="U74" s="119">
        <f>'2022'!AO631</f>
        <v>15</v>
      </c>
      <c r="V74" s="119">
        <f>'2022'!AP631</f>
        <v>0</v>
      </c>
      <c r="W74" s="119">
        <f>'2022'!AS631</f>
        <v>15</v>
      </c>
      <c r="X74" s="119">
        <f>'2022'!AT631</f>
        <v>0</v>
      </c>
      <c r="Y74" s="119">
        <f>'2022'!AW631</f>
      </c>
      <c r="Z74" s="119">
        <f>'2022'!AX631</f>
        <v>-15</v>
      </c>
      <c r="AA74" s="119">
        <f>'2022'!BA631</f>
      </c>
      <c r="AB74" s="119">
        <f>'2022'!BB631</f>
      </c>
      <c r="AC74" s="119">
        <f>'2022'!BE631</f>
        <v>-15</v>
      </c>
    </row>
    <row r="75" ht="15.75" customHeight="1" spans="1:29" x14ac:dyDescent="0.25">
      <c r="A75" s="14"/>
      <c r="B75" s="115">
        <v>71</v>
      </c>
      <c r="C75" s="115">
        <v>5.98</v>
      </c>
      <c r="D75" s="117" t="s">
        <v>255</v>
      </c>
      <c r="E75" s="119">
        <f>'2022'!I640</f>
        <v>272</v>
      </c>
      <c r="F75" s="119">
        <f>'2022'!J640</f>
      </c>
      <c r="G75" s="119">
        <f>'2022'!M640</f>
        <v>272</v>
      </c>
      <c r="H75" s="119">
        <f>'2022'!N640</f>
        <v>0</v>
      </c>
      <c r="I75" s="119">
        <f>'2022'!Q640</f>
        <v>272</v>
      </c>
      <c r="J75" s="119">
        <f>'2022'!R640</f>
        <v>0</v>
      </c>
      <c r="K75" s="119">
        <f>'2022'!U640</f>
        <v>272</v>
      </c>
      <c r="L75" s="119">
        <f>'2022'!V640</f>
        <v>0</v>
      </c>
      <c r="M75" s="119">
        <f>'2022'!Y640</f>
        <v>277</v>
      </c>
      <c r="N75" s="119">
        <f>'2022'!Z640</f>
        <v>5</v>
      </c>
      <c r="O75" s="119">
        <f>'2022'!AC640</f>
        <v>277</v>
      </c>
      <c r="P75" s="119">
        <f>'2022'!AD640</f>
        <v>0</v>
      </c>
      <c r="Q75" s="119">
        <f>'2022'!AG640</f>
        <v>293</v>
      </c>
      <c r="R75" s="119">
        <f>'2022'!AH640</f>
        <v>16</v>
      </c>
      <c r="S75" s="119">
        <f>'2022'!AK640</f>
        <v>297</v>
      </c>
      <c r="T75" s="119">
        <f>'2022'!AL640</f>
        <v>4</v>
      </c>
      <c r="U75" s="119">
        <f>'2022'!AO640</f>
        <v>297</v>
      </c>
      <c r="V75" s="119">
        <f>'2022'!AP640</f>
        <v>0</v>
      </c>
      <c r="W75" s="119">
        <f>'2022'!AS640</f>
        <v>297</v>
      </c>
      <c r="X75" s="119">
        <f>'2022'!AT640</f>
        <v>0</v>
      </c>
      <c r="Y75" s="119">
        <f>'2022'!AW640</f>
      </c>
      <c r="Z75" s="119">
        <f>'2022'!AX640</f>
        <v>-297</v>
      </c>
      <c r="AA75" s="119">
        <f>'2022'!BA640</f>
      </c>
      <c r="AB75" s="119">
        <f>'2022'!BB640</f>
      </c>
      <c r="AC75" s="119">
        <f>'2022'!BE640</f>
        <v>-272</v>
      </c>
    </row>
    <row r="76" ht="15.75" customHeight="1" spans="1:29" x14ac:dyDescent="0.25">
      <c r="A76" s="14"/>
      <c r="B76" s="115">
        <v>72</v>
      </c>
      <c r="C76" s="115">
        <v>4.03</v>
      </c>
      <c r="D76" s="117" t="s">
        <v>257</v>
      </c>
      <c r="E76" s="119">
        <f>'2022'!I649</f>
        <v>45</v>
      </c>
      <c r="F76" s="119">
        <f>'2022'!J649</f>
      </c>
      <c r="G76" s="119">
        <f>'2022'!M649</f>
        <v>45</v>
      </c>
      <c r="H76" s="119">
        <f>'2022'!N649</f>
        <v>0</v>
      </c>
      <c r="I76" s="119">
        <f>'2022'!Q649</f>
        <v>45</v>
      </c>
      <c r="J76" s="119">
        <f>'2022'!R649</f>
        <v>0</v>
      </c>
      <c r="K76" s="119">
        <f>'2022'!U649</f>
        <v>45</v>
      </c>
      <c r="L76" s="119">
        <f>'2022'!V649</f>
        <v>0</v>
      </c>
      <c r="M76" s="119">
        <f>'2022'!Y649</f>
        <v>45</v>
      </c>
      <c r="N76" s="119">
        <f>'2022'!Z649</f>
        <v>0</v>
      </c>
      <c r="O76" s="119">
        <f>'2022'!AC649</f>
        <v>45</v>
      </c>
      <c r="P76" s="119">
        <f>'2022'!AD649</f>
        <v>9</v>
      </c>
      <c r="Q76" s="119">
        <f>'2022'!AG649</f>
        <v>45</v>
      </c>
      <c r="R76" s="119">
        <f>'2022'!AH649</f>
        <v>9</v>
      </c>
      <c r="S76" s="119">
        <f>'2022'!AK649</f>
        <v>45</v>
      </c>
      <c r="T76" s="119">
        <f>'2022'!AL649</f>
        <v>9</v>
      </c>
      <c r="U76" s="119">
        <f>'2022'!AO649</f>
        <v>45</v>
      </c>
      <c r="V76" s="119">
        <f>'2022'!AP649</f>
        <v>9</v>
      </c>
      <c r="W76" s="119">
        <f>'2022'!AS649</f>
        <v>45</v>
      </c>
      <c r="X76" s="119">
        <f>'2022'!AT649</f>
        <v>9</v>
      </c>
      <c r="Y76" s="119">
        <f>'2022'!AW649</f>
      </c>
      <c r="Z76" s="119">
        <f>'2022'!AX649</f>
        <v>9</v>
      </c>
      <c r="AA76" s="119">
        <f>'2022'!BA649</f>
      </c>
      <c r="AB76" s="119">
        <f>'2022'!BB649</f>
      </c>
      <c r="AC76" s="119">
        <f>'2022'!BE649</f>
        <v>54</v>
      </c>
    </row>
    <row r="77" ht="15.75" customHeight="1" spans="1:29" x14ac:dyDescent="0.25">
      <c r="A77" s="14"/>
      <c r="B77" s="115">
        <v>73</v>
      </c>
      <c r="C77" s="115">
        <v>4.02</v>
      </c>
      <c r="D77" s="117" t="s">
        <v>259</v>
      </c>
      <c r="E77" s="119">
        <f>'2022'!I658</f>
        <v>103</v>
      </c>
      <c r="F77" s="119">
        <f>'2022'!J658</f>
      </c>
      <c r="G77" s="119">
        <f>'2022'!M658</f>
        <v>103</v>
      </c>
      <c r="H77" s="119">
        <f>'2022'!N658</f>
        <v>0</v>
      </c>
      <c r="I77" s="119">
        <f>'2022'!Q658</f>
        <v>103</v>
      </c>
      <c r="J77" s="119">
        <f>'2022'!R658</f>
        <v>0</v>
      </c>
      <c r="K77" s="119">
        <f>'2022'!U658</f>
        <v>103</v>
      </c>
      <c r="L77" s="119">
        <f>'2022'!V658</f>
        <v>0</v>
      </c>
      <c r="M77" s="119">
        <f>'2022'!Y658</f>
        <v>103</v>
      </c>
      <c r="N77" s="119">
        <f>'2022'!Z658</f>
        <v>0</v>
      </c>
      <c r="O77" s="119">
        <f>'2022'!AC658</f>
        <v>103</v>
      </c>
      <c r="P77" s="119">
        <f>'2022'!AD658</f>
        <v>0</v>
      </c>
      <c r="Q77" s="119">
        <f>'2022'!AG658</f>
        <v>111</v>
      </c>
      <c r="R77" s="119">
        <f>'2022'!AH658</f>
        <v>8</v>
      </c>
      <c r="S77" s="119">
        <f>'2022'!AK658</f>
        <v>114</v>
      </c>
      <c r="T77" s="119">
        <f>'2022'!AL658</f>
        <v>3</v>
      </c>
      <c r="U77" s="119">
        <f>'2022'!AO658</f>
        <v>116</v>
      </c>
      <c r="V77" s="119">
        <f>'2022'!AP658</f>
        <v>2</v>
      </c>
      <c r="W77" s="119">
        <f>'2022'!AS658</f>
        <v>116</v>
      </c>
      <c r="X77" s="119">
        <f>'2022'!AT658</f>
        <v>0</v>
      </c>
      <c r="Y77" s="119">
        <f>'2022'!AW658</f>
      </c>
      <c r="Z77" s="119">
        <f>'2022'!AX658</f>
        <v>-116</v>
      </c>
      <c r="AA77" s="119">
        <f>'2022'!BA658</f>
      </c>
      <c r="AB77" s="119">
        <f>'2022'!BB658</f>
      </c>
      <c r="AC77" s="119">
        <f>'2022'!BE658</f>
        <v>-103</v>
      </c>
    </row>
    <row r="78" ht="15.75" customHeight="1" spans="1:29" x14ac:dyDescent="0.25">
      <c r="A78" s="21"/>
      <c r="B78" s="115">
        <v>74</v>
      </c>
      <c r="C78" s="115">
        <v>4.97</v>
      </c>
      <c r="D78" s="117" t="s">
        <v>262</v>
      </c>
      <c r="E78" s="119">
        <f>'2022'!I667</f>
        <v>20</v>
      </c>
      <c r="F78" s="119">
        <f>'2022'!J667</f>
      </c>
      <c r="G78" s="119">
        <f>'2022'!M667</f>
        <v>20</v>
      </c>
      <c r="H78" s="119">
        <f>'2022'!N667</f>
        <v>0</v>
      </c>
      <c r="I78" s="119">
        <f>'2022'!Q667</f>
        <v>20</v>
      </c>
      <c r="J78" s="119">
        <f>'2022'!R667</f>
        <v>0</v>
      </c>
      <c r="K78" s="119">
        <f>'2022'!U667</f>
        <v>20</v>
      </c>
      <c r="L78" s="119">
        <f>'2022'!V667</f>
        <v>0</v>
      </c>
      <c r="M78" s="119">
        <f>'2022'!Y667</f>
        <v>20</v>
      </c>
      <c r="N78" s="119">
        <f>'2022'!Z667</f>
        <v>0</v>
      </c>
      <c r="O78" s="119">
        <f>'2022'!AC667</f>
        <v>28</v>
      </c>
      <c r="P78" s="119">
        <f>'2022'!AD667</f>
        <v>8</v>
      </c>
      <c r="Q78" s="119">
        <f>'2022'!AG667</f>
        <v>33</v>
      </c>
      <c r="R78" s="119">
        <f>'2022'!AH667</f>
        <v>5</v>
      </c>
      <c r="S78" s="119">
        <f>'2022'!AK667</f>
        <v>36</v>
      </c>
      <c r="T78" s="119">
        <f>'2022'!AL667</f>
        <v>3</v>
      </c>
      <c r="U78" s="119">
        <f>'2022'!AO667</f>
        <v>36</v>
      </c>
      <c r="V78" s="119">
        <f>'2022'!AP667</f>
        <v>0</v>
      </c>
      <c r="W78" s="119">
        <f>'2022'!AS667</f>
        <v>36</v>
      </c>
      <c r="X78" s="119">
        <f>'2022'!AT667</f>
        <v>0</v>
      </c>
      <c r="Y78" s="119">
        <f>'2022'!AW667</f>
      </c>
      <c r="Z78" s="119">
        <f>'2022'!AX667</f>
        <v>-36</v>
      </c>
      <c r="AA78" s="119">
        <f>'2022'!BA667</f>
      </c>
      <c r="AB78" s="119">
        <f>'2022'!BB667</f>
      </c>
      <c r="AC78" s="119">
        <f>'2022'!BE667</f>
        <v>-20</v>
      </c>
    </row>
    <row r="79" ht="15.75" customHeight="1" spans="1:29" x14ac:dyDescent="0.25">
      <c r="A79" s="114" t="s">
        <v>264</v>
      </c>
      <c r="B79" s="115">
        <v>75</v>
      </c>
      <c r="C79" s="115">
        <v>4.15</v>
      </c>
      <c r="D79" s="117" t="s">
        <v>265</v>
      </c>
      <c r="E79" s="119">
        <f>'2022'!I676</f>
        <v>97</v>
      </c>
      <c r="F79" s="119">
        <f>'2022'!J676</f>
      </c>
      <c r="G79" s="119">
        <f>'2022'!M676</f>
        <v>97</v>
      </c>
      <c r="H79" s="119">
        <f>'2022'!N676</f>
        <v>0</v>
      </c>
      <c r="I79" s="119">
        <f>'2022'!Q676</f>
        <v>97</v>
      </c>
      <c r="J79" s="119">
        <f>'2022'!R676</f>
        <v>0</v>
      </c>
      <c r="K79" s="119">
        <f>'2022'!U676</f>
        <v>97</v>
      </c>
      <c r="L79" s="119">
        <f>'2022'!V676</f>
        <v>0</v>
      </c>
      <c r="M79" s="119">
        <f>'2022'!Y676</f>
        <v>100</v>
      </c>
      <c r="N79" s="119">
        <f>'2022'!Z676</f>
        <v>3</v>
      </c>
      <c r="O79" s="119">
        <f>'2022'!AC676</f>
        <v>107</v>
      </c>
      <c r="P79" s="119">
        <f>'2022'!AD676</f>
        <v>7</v>
      </c>
      <c r="Q79" s="119">
        <f>'2022'!AG676</f>
        <v>110</v>
      </c>
      <c r="R79" s="119">
        <f>'2022'!AH676</f>
        <v>3</v>
      </c>
      <c r="S79" s="119">
        <f>'2022'!AK676</f>
        <v>110</v>
      </c>
      <c r="T79" s="119">
        <f>'2022'!AL676</f>
        <v>0</v>
      </c>
      <c r="U79" s="119">
        <f>'2022'!AO676</f>
        <v>112</v>
      </c>
      <c r="V79" s="119">
        <f>'2022'!AP676</f>
        <v>2</v>
      </c>
      <c r="W79" s="119">
        <f>'2022'!AS676</f>
        <v>112</v>
      </c>
      <c r="X79" s="119">
        <f>'2022'!AT676</f>
        <v>0</v>
      </c>
      <c r="Y79" s="119">
        <f>'2022'!AW676</f>
      </c>
      <c r="Z79" s="119">
        <f>'2022'!AX676</f>
        <v>-112</v>
      </c>
      <c r="AA79" s="119">
        <f>'2022'!BA676</f>
      </c>
      <c r="AB79" s="119">
        <f>'2022'!BB676</f>
      </c>
      <c r="AC79" s="119">
        <f>'2022'!BE676</f>
        <v>-97</v>
      </c>
    </row>
    <row r="80" ht="15.75" customHeight="1" spans="1:29" x14ac:dyDescent="0.25">
      <c r="A80" s="14"/>
      <c r="B80" s="115">
        <v>76</v>
      </c>
      <c r="C80" s="115">
        <v>4.15</v>
      </c>
      <c r="D80" s="117" t="s">
        <v>267</v>
      </c>
      <c r="E80" s="119">
        <f>'2022'!I685</f>
        <v>23</v>
      </c>
      <c r="F80" s="119">
        <f>'2022'!J685</f>
      </c>
      <c r="G80" s="119">
        <f>'2022'!M685</f>
        <v>23</v>
      </c>
      <c r="H80" s="119">
        <f>'2022'!N685</f>
        <v>0</v>
      </c>
      <c r="I80" s="119">
        <f>'2022'!Q685</f>
        <v>23</v>
      </c>
      <c r="J80" s="119">
        <f>'2022'!R685</f>
        <v>0</v>
      </c>
      <c r="K80" s="119">
        <f>'2022'!U685</f>
        <v>23</v>
      </c>
      <c r="L80" s="119">
        <f>'2022'!V685</f>
        <v>0</v>
      </c>
      <c r="M80" s="119">
        <f>'2022'!Y685</f>
        <v>23</v>
      </c>
      <c r="N80" s="119">
        <f>'2022'!Z685</f>
        <v>0</v>
      </c>
      <c r="O80" s="119">
        <f>'2022'!AC685</f>
        <v>23</v>
      </c>
      <c r="P80" s="119">
        <f>'2022'!AD685</f>
        <v>0</v>
      </c>
      <c r="Q80" s="119">
        <f>'2022'!AG685</f>
        <v>28</v>
      </c>
      <c r="R80" s="119">
        <f>'2022'!AH685</f>
        <v>5</v>
      </c>
      <c r="S80" s="119">
        <f>'2022'!AK685</f>
        <v>29</v>
      </c>
      <c r="T80" s="119">
        <f>'2022'!AL685</f>
        <v>1</v>
      </c>
      <c r="U80" s="119">
        <f>'2022'!AO685</f>
        <v>29</v>
      </c>
      <c r="V80" s="119">
        <f>'2022'!AP685</f>
        <v>0</v>
      </c>
      <c r="W80" s="119">
        <f>'2022'!AS685</f>
        <v>29</v>
      </c>
      <c r="X80" s="119">
        <f>'2022'!AT685</f>
        <v>0</v>
      </c>
      <c r="Y80" s="119">
        <f>'2022'!AW685</f>
      </c>
      <c r="Z80" s="119">
        <f>'2022'!AX685</f>
        <v>-29</v>
      </c>
      <c r="AA80" s="119">
        <f>'2022'!BA685</f>
      </c>
      <c r="AB80" s="119">
        <f>'2022'!BB685</f>
      </c>
      <c r="AC80" s="119">
        <f>'2022'!BE685</f>
        <v>-23</v>
      </c>
    </row>
    <row r="81" ht="15.75" customHeight="1" spans="1:29" x14ac:dyDescent="0.25">
      <c r="A81" s="14"/>
      <c r="B81" s="115">
        <v>77</v>
      </c>
      <c r="C81" s="115">
        <v>4.12</v>
      </c>
      <c r="D81" s="117" t="s">
        <v>268</v>
      </c>
      <c r="E81" s="119">
        <f>'2022'!I694</f>
        <v>432</v>
      </c>
      <c r="F81" s="119">
        <f>'2022'!J694</f>
      </c>
      <c r="G81" s="119">
        <f>'2022'!M694</f>
        <v>432</v>
      </c>
      <c r="H81" s="119">
        <f>'2022'!N694</f>
        <v>0</v>
      </c>
      <c r="I81" s="119">
        <f>'2022'!Q694</f>
        <v>432</v>
      </c>
      <c r="J81" s="119">
        <f>'2022'!R694</f>
        <v>0</v>
      </c>
      <c r="K81" s="119">
        <f>'2022'!U694</f>
        <v>432</v>
      </c>
      <c r="L81" s="119">
        <f>'2022'!V694</f>
        <v>0</v>
      </c>
      <c r="M81" s="119">
        <f>'2022'!Y694</f>
        <v>434</v>
      </c>
      <c r="N81" s="119">
        <f>'2022'!Z694</f>
        <v>2</v>
      </c>
      <c r="O81" s="119">
        <f>'2022'!AC694</f>
        <v>446</v>
      </c>
      <c r="P81" s="119">
        <f>'2022'!AD694</f>
        <v>12</v>
      </c>
      <c r="Q81" s="119">
        <f>'2022'!AG694</f>
        <v>457</v>
      </c>
      <c r="R81" s="119">
        <f>'2022'!AH694</f>
        <v>11</v>
      </c>
      <c r="S81" s="119">
        <f>'2022'!AK694</f>
        <v>466</v>
      </c>
      <c r="T81" s="119">
        <f>'2022'!AL694</f>
        <v>9</v>
      </c>
      <c r="U81" s="119">
        <f>'2022'!AO694</f>
        <v>468</v>
      </c>
      <c r="V81" s="119">
        <f>'2022'!AP694</f>
        <v>2</v>
      </c>
      <c r="W81" s="119">
        <f>'2022'!AS694</f>
        <v>468</v>
      </c>
      <c r="X81" s="119">
        <f>'2022'!AT694</f>
        <v>0</v>
      </c>
      <c r="Y81" s="119">
        <f>'2022'!AW694</f>
      </c>
      <c r="Z81" s="119">
        <f>'2022'!AX694</f>
        <v>-468</v>
      </c>
      <c r="AA81" s="119">
        <f>'2022'!BA694</f>
      </c>
      <c r="AB81" s="119">
        <f>'2022'!BB694</f>
      </c>
      <c r="AC81" s="119">
        <f>'2022'!BE694</f>
        <v>-432</v>
      </c>
    </row>
    <row r="82" ht="15.75" customHeight="1" spans="1:29" x14ac:dyDescent="0.25">
      <c r="A82" s="14"/>
      <c r="B82" s="115">
        <v>78</v>
      </c>
      <c r="C82" s="115">
        <v>4.03</v>
      </c>
      <c r="D82" s="117" t="s">
        <v>271</v>
      </c>
      <c r="E82" s="119">
        <f>'2022'!I703</f>
        <v>195</v>
      </c>
      <c r="F82" s="119">
        <f>'2022'!J703</f>
      </c>
      <c r="G82" s="119">
        <f>'2022'!M703</f>
        <v>195</v>
      </c>
      <c r="H82" s="119">
        <f>'2022'!N703</f>
        <v>0</v>
      </c>
      <c r="I82" s="119">
        <f>'2022'!Q703</f>
        <v>195</v>
      </c>
      <c r="J82" s="119">
        <f>'2022'!R703</f>
        <v>0</v>
      </c>
      <c r="K82" s="119">
        <f>'2022'!U703</f>
        <v>195</v>
      </c>
      <c r="L82" s="119">
        <f>'2022'!V703</f>
        <v>0</v>
      </c>
      <c r="M82" s="119">
        <f>'2022'!Y703</f>
        <v>195</v>
      </c>
      <c r="N82" s="119">
        <f>'2022'!Z703</f>
        <v>0</v>
      </c>
      <c r="O82" s="119">
        <f>'2022'!AC703</f>
        <v>195</v>
      </c>
      <c r="P82" s="119">
        <f>'2022'!AD703</f>
        <v>0</v>
      </c>
      <c r="Q82" s="119">
        <f>'2022'!AG703</f>
        <v>212</v>
      </c>
      <c r="R82" s="119">
        <f>'2022'!AH703</f>
        <v>17</v>
      </c>
      <c r="S82" s="119">
        <f>'2022'!AK703</f>
        <v>217</v>
      </c>
      <c r="T82" s="119">
        <f>'2022'!AL703</f>
        <v>5</v>
      </c>
      <c r="U82" s="119">
        <f>'2022'!AO703</f>
        <v>222</v>
      </c>
      <c r="V82" s="119">
        <f>'2022'!AP703</f>
        <v>5</v>
      </c>
      <c r="W82" s="119">
        <f>'2022'!AS703</f>
        <v>222</v>
      </c>
      <c r="X82" s="119">
        <f>'2022'!AT703</f>
        <v>0</v>
      </c>
      <c r="Y82" s="119">
        <f>'2022'!AW703</f>
      </c>
      <c r="Z82" s="119">
        <f>'2022'!AX703</f>
        <v>-222</v>
      </c>
      <c r="AA82" s="119">
        <f>'2022'!BA703</f>
      </c>
      <c r="AB82" s="119">
        <f>'2022'!BB703</f>
      </c>
      <c r="AC82" s="119">
        <f>'2022'!BE703</f>
        <v>-195</v>
      </c>
    </row>
    <row r="83" ht="15.75" customHeight="1" spans="1:29" x14ac:dyDescent="0.25">
      <c r="A83" s="14"/>
      <c r="B83" s="115">
        <v>79</v>
      </c>
      <c r="C83" s="115">
        <v>4.24</v>
      </c>
      <c r="D83" s="117" t="s">
        <v>275</v>
      </c>
      <c r="E83" s="119">
        <f>'2022'!I712</f>
        <v>6</v>
      </c>
      <c r="F83" s="119">
        <f>'2022'!J712</f>
      </c>
      <c r="G83" s="119">
        <f>'2022'!M712</f>
        <v>6</v>
      </c>
      <c r="H83" s="119">
        <f>'2022'!N712</f>
        <v>0</v>
      </c>
      <c r="I83" s="119">
        <f>'2022'!Q712</f>
        <v>6</v>
      </c>
      <c r="J83" s="119">
        <f>'2022'!R712</f>
        <v>0</v>
      </c>
      <c r="K83" s="119">
        <f>'2022'!U712</f>
        <v>6</v>
      </c>
      <c r="L83" s="119">
        <f>'2022'!V712</f>
        <v>0</v>
      </c>
      <c r="M83" s="119">
        <f>'2022'!Y712</f>
        <v>6</v>
      </c>
      <c r="N83" s="119">
        <f>'2022'!Z712</f>
        <v>0</v>
      </c>
      <c r="O83" s="119">
        <f>'2022'!AC712</f>
        <v>6</v>
      </c>
      <c r="P83" s="119">
        <f>'2022'!AD712</f>
        <v>0</v>
      </c>
      <c r="Q83" s="119">
        <f>'2022'!AG712</f>
        <v>6</v>
      </c>
      <c r="R83" s="119">
        <f>'2022'!AH712</f>
        <v>0</v>
      </c>
      <c r="S83" s="119">
        <f>'2022'!AK712</f>
        <v>6</v>
      </c>
      <c r="T83" s="119">
        <f>'2022'!AL712</f>
        <v>0</v>
      </c>
      <c r="U83" s="119">
        <f>'2022'!AO712</f>
        <v>6</v>
      </c>
      <c r="V83" s="119">
        <f>'2022'!AP712</f>
        <v>0</v>
      </c>
      <c r="W83" s="119">
        <f>'2022'!AS712</f>
        <v>6</v>
      </c>
      <c r="X83" s="119">
        <f>'2022'!AT712</f>
        <v>0</v>
      </c>
      <c r="Y83" s="119">
        <f>'2022'!AW712</f>
      </c>
      <c r="Z83" s="119">
        <f>'2022'!AX712</f>
        <v>-6</v>
      </c>
      <c r="AA83" s="119">
        <f>'2022'!BA712</f>
      </c>
      <c r="AB83" s="119">
        <f>'2022'!BB712</f>
      </c>
      <c r="AC83" s="119">
        <f>'2022'!BE712</f>
        <v>-6</v>
      </c>
    </row>
    <row r="84" ht="15.75" customHeight="1" spans="1:29" x14ac:dyDescent="0.25">
      <c r="A84" s="14"/>
      <c r="B84" s="115">
        <v>81</v>
      </c>
      <c r="C84" s="116">
        <v>4.3</v>
      </c>
      <c r="D84" s="117" t="s">
        <v>278</v>
      </c>
      <c r="E84" s="119">
        <f>'2022'!I721</f>
        <v>9</v>
      </c>
      <c r="F84" s="119">
        <f>'2022'!J721</f>
      </c>
      <c r="G84" s="119">
        <f>'2022'!M721</f>
        <v>9</v>
      </c>
      <c r="H84" s="119">
        <f>'2022'!N721</f>
        <v>0</v>
      </c>
      <c r="I84" s="119">
        <f>'2022'!Q721</f>
        <v>9</v>
      </c>
      <c r="J84" s="119">
        <f>'2022'!R721</f>
        <v>0</v>
      </c>
      <c r="K84" s="119">
        <f>'2022'!U721</f>
        <v>9</v>
      </c>
      <c r="L84" s="119">
        <f>'2022'!V721</f>
        <v>0</v>
      </c>
      <c r="M84" s="119">
        <f>'2022'!Y721</f>
        <v>10</v>
      </c>
      <c r="N84" s="119">
        <f>'2022'!Z721</f>
        <v>1</v>
      </c>
      <c r="O84" s="119">
        <f>'2022'!AC721</f>
        <v>16</v>
      </c>
      <c r="P84" s="119">
        <f>'2022'!AD721</f>
        <v>6</v>
      </c>
      <c r="Q84" s="119">
        <f>'2022'!AG721</f>
        <v>20</v>
      </c>
      <c r="R84" s="119">
        <f>'2022'!AH721</f>
        <v>4</v>
      </c>
      <c r="S84" s="119">
        <f>'2022'!AK721</f>
        <v>22</v>
      </c>
      <c r="T84" s="119">
        <f>'2022'!AL721</f>
        <v>2</v>
      </c>
      <c r="U84" s="119">
        <f>'2022'!AO721</f>
        <v>22</v>
      </c>
      <c r="V84" s="119">
        <f>'2022'!AP721</f>
        <v>0</v>
      </c>
      <c r="W84" s="119">
        <f>'2022'!AS721</f>
        <v>22</v>
      </c>
      <c r="X84" s="119">
        <f>'2022'!AT721</f>
        <v>0</v>
      </c>
      <c r="Y84" s="119">
        <f>'2022'!AW721</f>
      </c>
      <c r="Z84" s="119">
        <f>'2022'!AX721</f>
        <v>-22</v>
      </c>
      <c r="AA84" s="119">
        <f>'2022'!BA721</f>
      </c>
      <c r="AB84" s="119">
        <f>'2022'!BB721</f>
      </c>
      <c r="AC84" s="119">
        <f>'2022'!BE721</f>
        <v>-9</v>
      </c>
    </row>
    <row r="85" ht="15.75" customHeight="1" spans="1:29" x14ac:dyDescent="0.25">
      <c r="A85" s="14"/>
      <c r="B85" s="115">
        <v>83</v>
      </c>
      <c r="C85" s="115">
        <v>4.29</v>
      </c>
      <c r="D85" s="117" t="s">
        <v>280</v>
      </c>
      <c r="E85" s="119">
        <f>'2022'!I730</f>
        <v>14</v>
      </c>
      <c r="F85" s="119">
        <f>'2022'!J730</f>
      </c>
      <c r="G85" s="119">
        <f>'2022'!M730</f>
        <v>14</v>
      </c>
      <c r="H85" s="119">
        <f>'2022'!N730</f>
        <v>0</v>
      </c>
      <c r="I85" s="119">
        <f>'2022'!Q730</f>
        <v>14</v>
      </c>
      <c r="J85" s="119">
        <f>'2022'!R730</f>
        <v>0</v>
      </c>
      <c r="K85" s="119">
        <f>'2022'!U730</f>
        <v>14</v>
      </c>
      <c r="L85" s="119">
        <f>'2022'!V730</f>
        <v>0</v>
      </c>
      <c r="M85" s="119">
        <f>'2022'!Y730</f>
        <v>15</v>
      </c>
      <c r="N85" s="119">
        <f>'2022'!Z730</f>
        <v>1</v>
      </c>
      <c r="O85" s="119">
        <f>'2022'!AC730</f>
        <v>15</v>
      </c>
      <c r="P85" s="119">
        <f>'2022'!AD730</f>
        <v>0</v>
      </c>
      <c r="Q85" s="119">
        <f>'2022'!AG730</f>
        <v>15</v>
      </c>
      <c r="R85" s="119">
        <f>'2022'!AH730</f>
        <v>0</v>
      </c>
      <c r="S85" s="119">
        <f>'2022'!AK730</f>
        <v>27</v>
      </c>
      <c r="T85" s="119">
        <f>'2022'!AL730</f>
        <v>12</v>
      </c>
      <c r="U85" s="119">
        <f>'2022'!AO730</f>
        <v>28</v>
      </c>
      <c r="V85" s="119">
        <f>'2022'!AP730</f>
        <v>1</v>
      </c>
      <c r="W85" s="119">
        <f>'2022'!AS730</f>
        <v>28</v>
      </c>
      <c r="X85" s="119">
        <f>'2022'!AT730</f>
        <v>0</v>
      </c>
      <c r="Y85" s="119">
        <f>'2022'!AW730</f>
      </c>
      <c r="Z85" s="119">
        <f>'2022'!AX730</f>
        <v>-28</v>
      </c>
      <c r="AA85" s="119">
        <f>'2022'!BA730</f>
      </c>
      <c r="AB85" s="119">
        <f>'2022'!BB730</f>
      </c>
      <c r="AC85" s="119">
        <f>'2022'!BE730</f>
        <v>-14</v>
      </c>
    </row>
    <row r="86" ht="15.75" customHeight="1" spans="1:29" x14ac:dyDescent="0.25">
      <c r="A86" s="14"/>
      <c r="B86" s="115">
        <v>85</v>
      </c>
      <c r="C86" s="115">
        <v>4.27</v>
      </c>
      <c r="D86" s="117" t="s">
        <v>282</v>
      </c>
      <c r="E86" s="119">
        <f>'2022'!I739</f>
        <v>196</v>
      </c>
      <c r="F86" s="119">
        <f>'2022'!J739</f>
      </c>
      <c r="G86" s="119">
        <f>'2022'!M739</f>
        <v>196</v>
      </c>
      <c r="H86" s="119">
        <f>'2022'!N739</f>
        <v>0</v>
      </c>
      <c r="I86" s="119">
        <f>'2022'!Q739</f>
        <v>196</v>
      </c>
      <c r="J86" s="119">
        <f>'2022'!R739</f>
        <v>0</v>
      </c>
      <c r="K86" s="119">
        <f>'2022'!U739</f>
        <v>196</v>
      </c>
      <c r="L86" s="119">
        <f>'2022'!V739</f>
        <v>0</v>
      </c>
      <c r="M86" s="119">
        <f>'2022'!Y739</f>
        <v>200</v>
      </c>
      <c r="N86" s="119">
        <f>'2022'!Z739</f>
        <v>4</v>
      </c>
      <c r="O86" s="119">
        <f>'2022'!AC739</f>
        <v>211</v>
      </c>
      <c r="P86" s="119">
        <f>'2022'!AD739</f>
        <v>11</v>
      </c>
      <c r="Q86" s="119">
        <f>'2022'!AG739</f>
        <v>211</v>
      </c>
      <c r="R86" s="119">
        <f>'2022'!AH739</f>
        <v>0</v>
      </c>
      <c r="S86" s="119">
        <f>'2022'!AK739</f>
        <v>230</v>
      </c>
      <c r="T86" s="119">
        <f>'2022'!AL739</f>
        <v>19</v>
      </c>
      <c r="U86" s="119">
        <f>'2022'!AO739</f>
        <v>237</v>
      </c>
      <c r="V86" s="119">
        <f>'2022'!AP739</f>
        <v>7</v>
      </c>
      <c r="W86" s="119">
        <f>'2022'!AS739</f>
        <v>237</v>
      </c>
      <c r="X86" s="119">
        <f>'2022'!AT739</f>
        <v>0</v>
      </c>
      <c r="Y86" s="119">
        <f>'2022'!AW739</f>
      </c>
      <c r="Z86" s="119">
        <f>'2022'!AX739</f>
        <v>-237</v>
      </c>
      <c r="AA86" s="119">
        <f>'2022'!BA739</f>
      </c>
      <c r="AB86" s="119">
        <f>'2022'!BB739</f>
      </c>
      <c r="AC86" s="119">
        <f>'2022'!BE739</f>
        <v>-196</v>
      </c>
    </row>
    <row r="87" ht="15.75" customHeight="1" spans="1:29" x14ac:dyDescent="0.25">
      <c r="A87" s="14"/>
      <c r="B87" s="115">
        <v>87</v>
      </c>
      <c r="C87" s="115">
        <v>4.23</v>
      </c>
      <c r="D87" s="117" t="s">
        <v>284</v>
      </c>
      <c r="E87" s="119">
        <f>'2022'!I748</f>
        <v>273</v>
      </c>
      <c r="F87" s="119">
        <f>'2022'!J748</f>
      </c>
      <c r="G87" s="119">
        <f>'2022'!M748</f>
        <v>273</v>
      </c>
      <c r="H87" s="119">
        <f>'2022'!N748</f>
        <v>0</v>
      </c>
      <c r="I87" s="119">
        <f>'2022'!Q748</f>
        <v>273</v>
      </c>
      <c r="J87" s="119">
        <f>'2022'!R748</f>
        <v>0</v>
      </c>
      <c r="K87" s="119">
        <f>'2022'!U748</f>
        <v>273</v>
      </c>
      <c r="L87" s="119">
        <f>'2022'!V748</f>
        <v>0</v>
      </c>
      <c r="M87" s="119">
        <f>'2022'!Y748</f>
        <v>277</v>
      </c>
      <c r="N87" s="119">
        <f>'2022'!Z748</f>
        <v>4</v>
      </c>
      <c r="O87" s="119">
        <f>'2022'!AC748</f>
        <v>287</v>
      </c>
      <c r="P87" s="119">
        <f>'2022'!AD748</f>
        <v>10</v>
      </c>
      <c r="Q87" s="119">
        <f>'2022'!AG748</f>
        <v>300</v>
      </c>
      <c r="R87" s="119">
        <f>'2022'!AH748</f>
        <v>13</v>
      </c>
      <c r="S87" s="119">
        <f>'2022'!AK748</f>
        <v>305</v>
      </c>
      <c r="T87" s="119">
        <f>'2022'!AL748</f>
        <v>5</v>
      </c>
      <c r="U87" s="119">
        <f>'2022'!AO748</f>
        <v>307</v>
      </c>
      <c r="V87" s="119">
        <f>'2022'!AP748</f>
        <v>2</v>
      </c>
      <c r="W87" s="119">
        <f>'2022'!AS748</f>
        <v>307</v>
      </c>
      <c r="X87" s="119">
        <f>'2022'!AT748</f>
        <v>0</v>
      </c>
      <c r="Y87" s="119">
        <f>'2022'!AW748</f>
      </c>
      <c r="Z87" s="119">
        <f>'2022'!AX748</f>
        <v>-307</v>
      </c>
      <c r="AA87" s="119">
        <f>'2022'!BA748</f>
      </c>
      <c r="AB87" s="119">
        <f>'2022'!BB748</f>
      </c>
      <c r="AC87" s="119">
        <f>'2022'!BE748</f>
        <v>-273</v>
      </c>
    </row>
    <row r="88" ht="15.75" customHeight="1" spans="1:29" x14ac:dyDescent="0.25">
      <c r="A88" s="14"/>
      <c r="B88" s="115">
        <v>89</v>
      </c>
      <c r="C88" s="115">
        <v>4.25</v>
      </c>
      <c r="D88" s="117" t="s">
        <v>286</v>
      </c>
      <c r="E88" s="119">
        <f>'2022'!I757</f>
        <v>165</v>
      </c>
      <c r="F88" s="119">
        <f>'2022'!J757</f>
      </c>
      <c r="G88" s="119">
        <f>'2022'!M757</f>
        <v>165</v>
      </c>
      <c r="H88" s="119">
        <f>'2022'!N757</f>
        <v>0</v>
      </c>
      <c r="I88" s="119">
        <f>'2022'!Q757</f>
        <v>165</v>
      </c>
      <c r="J88" s="119">
        <f>'2022'!R757</f>
        <v>0</v>
      </c>
      <c r="K88" s="119">
        <f>'2022'!U757</f>
        <v>165</v>
      </c>
      <c r="L88" s="119">
        <f>'2022'!V757</f>
        <v>0</v>
      </c>
      <c r="M88" s="119">
        <f>'2022'!Y757</f>
        <v>171</v>
      </c>
      <c r="N88" s="119">
        <f>'2022'!Z757</f>
        <v>6</v>
      </c>
      <c r="O88" s="119">
        <f>'2022'!AC757</f>
        <v>183</v>
      </c>
      <c r="P88" s="119">
        <f>'2022'!AD757</f>
        <v>12</v>
      </c>
      <c r="Q88" s="119">
        <f>'2022'!AG757</f>
        <v>192</v>
      </c>
      <c r="R88" s="119">
        <f>'2022'!AH757</f>
        <v>9</v>
      </c>
      <c r="S88" s="119">
        <f>'2022'!AK757</f>
        <v>196</v>
      </c>
      <c r="T88" s="119">
        <f>'2022'!AL757</f>
        <v>4</v>
      </c>
      <c r="U88" s="119">
        <f>'2022'!AO757</f>
        <v>204</v>
      </c>
      <c r="V88" s="119">
        <f>'2022'!AP757</f>
        <v>8</v>
      </c>
      <c r="W88" s="119">
        <f>'2022'!AS757</f>
        <v>204</v>
      </c>
      <c r="X88" s="119">
        <f>'2022'!AT757</f>
        <v>0</v>
      </c>
      <c r="Y88" s="119">
        <f>'2022'!AW757</f>
      </c>
      <c r="Z88" s="119">
        <f>'2022'!AX757</f>
        <v>-204</v>
      </c>
      <c r="AA88" s="119">
        <f>'2022'!BA757</f>
      </c>
      <c r="AB88" s="119">
        <f>'2022'!BB757</f>
      </c>
      <c r="AC88" s="119">
        <f>'2022'!BE757</f>
        <v>-165</v>
      </c>
    </row>
    <row r="89" ht="15.75" customHeight="1" spans="1:29" x14ac:dyDescent="0.25">
      <c r="A89" s="14"/>
      <c r="B89" s="115">
        <v>91</v>
      </c>
      <c r="C89" s="115">
        <v>4.23</v>
      </c>
      <c r="D89" s="117" t="s">
        <v>288</v>
      </c>
      <c r="E89" s="119">
        <f>'2022'!I766</f>
        <v>108</v>
      </c>
      <c r="F89" s="119">
        <f>'2022'!J766</f>
      </c>
      <c r="G89" s="119">
        <f>'2022'!M766</f>
        <v>108</v>
      </c>
      <c r="H89" s="119">
        <f>'2022'!N766</f>
        <v>0</v>
      </c>
      <c r="I89" s="119">
        <f>'2022'!Q766</f>
        <v>108</v>
      </c>
      <c r="J89" s="119">
        <f>'2022'!R766</f>
        <v>0</v>
      </c>
      <c r="K89" s="119">
        <f>'2022'!U766</f>
        <v>108</v>
      </c>
      <c r="L89" s="119">
        <f>'2022'!V766</f>
        <v>0</v>
      </c>
      <c r="M89" s="119">
        <f>'2022'!Y766</f>
        <v>111</v>
      </c>
      <c r="N89" s="119">
        <f>'2022'!Z766</f>
        <v>3</v>
      </c>
      <c r="O89" s="119">
        <f>'2022'!AC766</f>
        <v>111</v>
      </c>
      <c r="P89" s="119">
        <f>'2022'!AD766</f>
        <v>0</v>
      </c>
      <c r="Q89" s="119">
        <f>'2022'!AG766</f>
        <v>111</v>
      </c>
      <c r="R89" s="119">
        <f>'2022'!AH766</f>
        <v>0</v>
      </c>
      <c r="S89" s="119">
        <f>'2022'!AK766</f>
        <v>111</v>
      </c>
      <c r="T89" s="119">
        <f>'2022'!AL766</f>
        <v>0</v>
      </c>
      <c r="U89" s="119">
        <f>'2022'!AO766</f>
        <v>111</v>
      </c>
      <c r="V89" s="119">
        <f>'2022'!AP766</f>
        <v>0</v>
      </c>
      <c r="W89" s="119">
        <f>'2022'!AS766</f>
        <v>111</v>
      </c>
      <c r="X89" s="119">
        <f>'2022'!AT766</f>
        <v>0</v>
      </c>
      <c r="Y89" s="119">
        <f>'2022'!AW766</f>
      </c>
      <c r="Z89" s="119">
        <f>'2022'!AX766</f>
        <v>-111</v>
      </c>
      <c r="AA89" s="119">
        <f>'2022'!BA766</f>
      </c>
      <c r="AB89" s="119">
        <f>'2022'!BB766</f>
      </c>
      <c r="AC89" s="119">
        <f>'2022'!BE766</f>
        <v>-108</v>
      </c>
    </row>
    <row r="90" ht="15.75" customHeight="1" spans="1:29" x14ac:dyDescent="0.25">
      <c r="A90" s="14"/>
      <c r="B90" s="115" t="s">
        <v>292</v>
      </c>
      <c r="C90" s="115">
        <v>4.31</v>
      </c>
      <c r="D90" s="117" t="s">
        <v>436</v>
      </c>
      <c r="E90" s="119">
        <f>'2022'!I775</f>
        <v>12</v>
      </c>
      <c r="F90" s="119">
        <f>'2022'!J775</f>
      </c>
      <c r="G90" s="119">
        <f>'2022'!M775</f>
        <v>12</v>
      </c>
      <c r="H90" s="119">
        <f>'2022'!N775</f>
        <v>0</v>
      </c>
      <c r="I90" s="119">
        <f>'2022'!Q775</f>
        <v>12</v>
      </c>
      <c r="J90" s="119">
        <f>'2022'!R775</f>
        <v>0</v>
      </c>
      <c r="K90" s="119">
        <f>'2022'!U775</f>
        <v>12</v>
      </c>
      <c r="L90" s="119">
        <f>'2022'!V775</f>
        <v>0</v>
      </c>
      <c r="M90" s="119">
        <f>'2022'!Y775</f>
        <v>13</v>
      </c>
      <c r="N90" s="119">
        <f>'2022'!Z775</f>
        <v>1</v>
      </c>
      <c r="O90" s="119">
        <f>'2022'!AC775</f>
        <v>22</v>
      </c>
      <c r="P90" s="119">
        <f>'2022'!AD775</f>
        <v>9</v>
      </c>
      <c r="Q90" s="119">
        <f>'2022'!AG775</f>
        <v>27</v>
      </c>
      <c r="R90" s="119">
        <f>'2022'!AH775</f>
        <v>5</v>
      </c>
      <c r="S90" s="119">
        <f>'2022'!AK775</f>
        <v>31</v>
      </c>
      <c r="T90" s="119">
        <f>'2022'!AL775</f>
        <v>4</v>
      </c>
      <c r="U90" s="119">
        <f>'2022'!AO775</f>
        <v>35</v>
      </c>
      <c r="V90" s="119">
        <f>'2022'!AP775</f>
        <v>4</v>
      </c>
      <c r="W90" s="119">
        <f>'2022'!AS775</f>
        <v>35</v>
      </c>
      <c r="X90" s="119">
        <f>'2022'!AT775</f>
        <v>0</v>
      </c>
      <c r="Y90" s="119">
        <f>'2022'!AW775</f>
      </c>
      <c r="Z90" s="119">
        <f>'2022'!AX775</f>
        <v>-35</v>
      </c>
      <c r="AA90" s="119">
        <f>'2022'!BA775</f>
      </c>
      <c r="AB90" s="119">
        <f>'2022'!BB775</f>
      </c>
      <c r="AC90" s="119">
        <f>'2022'!BE775</f>
        <v>-12</v>
      </c>
    </row>
    <row r="91" ht="15.75" customHeight="1" spans="1:29" x14ac:dyDescent="0.25">
      <c r="A91" s="21"/>
      <c r="B91" s="115" t="s">
        <v>292</v>
      </c>
      <c r="C91" s="115">
        <v>4.25</v>
      </c>
      <c r="D91" s="15" t="s">
        <v>436</v>
      </c>
      <c r="E91" s="119">
        <f>'2022'!I784</f>
        <v>18</v>
      </c>
      <c r="F91" s="119">
        <f>'2022'!J784</f>
      </c>
      <c r="G91" s="119">
        <f>'2022'!M784</f>
        <v>18</v>
      </c>
      <c r="H91" s="119">
        <f>'2022'!N784</f>
        <v>0</v>
      </c>
      <c r="I91" s="119">
        <f>'2022'!Q784</f>
        <v>18</v>
      </c>
      <c r="J91" s="119">
        <f>'2022'!R784</f>
        <v>0</v>
      </c>
      <c r="K91" s="119">
        <f>'2022'!U784</f>
        <v>19</v>
      </c>
      <c r="L91" s="119">
        <f>'2022'!V784</f>
        <v>1</v>
      </c>
      <c r="M91" s="119">
        <f>'2022'!Y784</f>
        <v>0</v>
      </c>
      <c r="N91" s="119">
        <f>'2022'!Z784</f>
        <v>0</v>
      </c>
      <c r="O91" s="119">
        <f>'2022'!AC784</f>
        <v>2</v>
      </c>
      <c r="P91" s="119">
        <f>'2022'!AD784</f>
        <v>2</v>
      </c>
      <c r="Q91" s="119">
        <f>'2022'!AG784</f>
        <v>3</v>
      </c>
      <c r="R91" s="119">
        <f>'2022'!AH784</f>
        <v>1</v>
      </c>
      <c r="S91" s="119">
        <f>'2022'!AK784</f>
        <v>4</v>
      </c>
      <c r="T91" s="119">
        <f>'2022'!AL784</f>
        <v>1</v>
      </c>
      <c r="U91" s="119">
        <f>'2022'!AO784</f>
        <v>4</v>
      </c>
      <c r="V91" s="119">
        <f>'2022'!AP784</f>
        <v>0</v>
      </c>
      <c r="W91" s="119">
        <f>'2022'!AS784</f>
        <v>4</v>
      </c>
      <c r="X91" s="119">
        <f>'2022'!AT784</f>
        <v>0</v>
      </c>
      <c r="Y91" s="119">
        <f>'2022'!AW784</f>
      </c>
      <c r="Z91" s="119">
        <f>'2022'!AX784</f>
        <v>-4</v>
      </c>
      <c r="AA91" s="119">
        <f>'2022'!BA784</f>
      </c>
      <c r="AB91" s="119">
        <f>'2022'!BB784</f>
      </c>
      <c r="AC91" s="119">
        <f>'2022'!BE784</f>
        <v>1</v>
      </c>
    </row>
    <row r="92" ht="15.75" customHeight="1" spans="1:29" x14ac:dyDescent="0.25">
      <c r="A92" s="114" t="s">
        <v>297</v>
      </c>
      <c r="B92" s="115">
        <v>80</v>
      </c>
      <c r="C92" s="115">
        <v>4.28</v>
      </c>
      <c r="D92" s="117" t="s">
        <v>298</v>
      </c>
      <c r="E92" s="119">
        <f>'2022'!I793</f>
        <v>50</v>
      </c>
      <c r="F92" s="119">
        <f>'2022'!J793</f>
      </c>
      <c r="G92" s="119">
        <f>'2022'!M793</f>
        <v>50</v>
      </c>
      <c r="H92" s="119">
        <f>'2022'!N793</f>
        <v>0</v>
      </c>
      <c r="I92" s="119">
        <f>'2022'!Q793</f>
        <v>50</v>
      </c>
      <c r="J92" s="119">
        <f>'2022'!R793</f>
        <v>0</v>
      </c>
      <c r="K92" s="119">
        <f>'2022'!U793</f>
        <v>50</v>
      </c>
      <c r="L92" s="119">
        <f>'2022'!V793</f>
        <v>0</v>
      </c>
      <c r="M92" s="119">
        <f>'2022'!Y793</f>
        <v>52</v>
      </c>
      <c r="N92" s="119">
        <f>'2022'!Z793</f>
        <v>2</v>
      </c>
      <c r="O92" s="119">
        <f>'2022'!AC793</f>
        <v>63</v>
      </c>
      <c r="P92" s="119">
        <f>'2022'!AD793</f>
        <v>11</v>
      </c>
      <c r="Q92" s="119">
        <f>'2022'!AG793</f>
        <v>67</v>
      </c>
      <c r="R92" s="119">
        <f>'2022'!AH793</f>
        <v>4</v>
      </c>
      <c r="S92" s="119">
        <f>'2022'!AK793</f>
        <v>69</v>
      </c>
      <c r="T92" s="119">
        <f>'2022'!AL793</f>
        <v>2</v>
      </c>
      <c r="U92" s="119">
        <f>'2022'!AO793</f>
        <v>70</v>
      </c>
      <c r="V92" s="119">
        <f>'2022'!AP793</f>
        <v>1</v>
      </c>
      <c r="W92" s="119">
        <f>'2022'!AS793</f>
        <v>70</v>
      </c>
      <c r="X92" s="119">
        <f>'2022'!AT793</f>
        <v>0</v>
      </c>
      <c r="Y92" s="119">
        <f>'2022'!AW793</f>
      </c>
      <c r="Z92" s="119">
        <f>'2022'!AX793</f>
        <v>-70</v>
      </c>
      <c r="AA92" s="119">
        <f>'2022'!BA793</f>
      </c>
      <c r="AB92" s="119">
        <f>'2022'!BB793</f>
      </c>
      <c r="AC92" s="119">
        <f>'2022'!BE793</f>
        <v>-50</v>
      </c>
    </row>
    <row r="93" ht="15.75" customHeight="1" spans="1:29" x14ac:dyDescent="0.25">
      <c r="A93" s="14"/>
      <c r="B93" s="115">
        <v>82</v>
      </c>
      <c r="C93" s="115">
        <v>4.28</v>
      </c>
      <c r="D93" s="117" t="s">
        <v>300</v>
      </c>
      <c r="E93" s="119">
        <f>'2022'!I802</f>
        <v>69</v>
      </c>
      <c r="F93" s="119">
        <f>'2022'!J802</f>
      </c>
      <c r="G93" s="119">
        <f>'2022'!M802</f>
        <v>69</v>
      </c>
      <c r="H93" s="119">
        <f>'2022'!N802</f>
        <v>0</v>
      </c>
      <c r="I93" s="119">
        <f>'2022'!Q802</f>
        <v>69</v>
      </c>
      <c r="J93" s="119">
        <f>'2022'!R802</f>
        <v>0</v>
      </c>
      <c r="K93" s="119">
        <f>'2022'!U802</f>
        <v>69</v>
      </c>
      <c r="L93" s="119">
        <f>'2022'!V802</f>
        <v>0</v>
      </c>
      <c r="M93" s="119">
        <f>'2022'!Y802</f>
        <v>69</v>
      </c>
      <c r="N93" s="119">
        <f>'2022'!Z802</f>
        <v>0</v>
      </c>
      <c r="O93" s="119">
        <f>'2022'!AC802</f>
        <v>72</v>
      </c>
      <c r="P93" s="119">
        <f>'2022'!AD802</f>
        <v>3</v>
      </c>
      <c r="Q93" s="119">
        <f>'2022'!AG802</f>
        <v>73</v>
      </c>
      <c r="R93" s="119">
        <f>'2022'!AH802</f>
        <v>1</v>
      </c>
      <c r="S93" s="119">
        <f>'2022'!AK802</f>
        <v>74</v>
      </c>
      <c r="T93" s="119">
        <f>'2022'!AL802</f>
        <v>1</v>
      </c>
      <c r="U93" s="119">
        <f>'2022'!AO802</f>
        <v>75</v>
      </c>
      <c r="V93" s="119">
        <f>'2022'!AP802</f>
        <v>1</v>
      </c>
      <c r="W93" s="119">
        <f>'2022'!AS802</f>
        <v>75</v>
      </c>
      <c r="X93" s="119">
        <f>'2022'!AT802</f>
        <v>0</v>
      </c>
      <c r="Y93" s="119">
        <f>'2022'!AW802</f>
      </c>
      <c r="Z93" s="119">
        <f>'2022'!AX802</f>
        <v>-75</v>
      </c>
      <c r="AA93" s="119">
        <f>'2022'!BA802</f>
      </c>
      <c r="AB93" s="119">
        <f>'2022'!BB802</f>
      </c>
      <c r="AC93" s="119">
        <f>'2022'!BE802</f>
        <v>-69</v>
      </c>
    </row>
    <row r="94" ht="15.75" customHeight="1" spans="1:29" x14ac:dyDescent="0.25">
      <c r="A94" s="14"/>
      <c r="B94" s="115">
        <v>84</v>
      </c>
      <c r="C94" s="115">
        <v>4.18</v>
      </c>
      <c r="D94" s="117" t="s">
        <v>301</v>
      </c>
      <c r="E94" s="119">
        <f>'2022'!I811</f>
        <v>45</v>
      </c>
      <c r="F94" s="119">
        <f>'2022'!J811</f>
      </c>
      <c r="G94" s="119">
        <f>'2022'!M811</f>
        <v>45</v>
      </c>
      <c r="H94" s="119">
        <f>'2022'!N811</f>
        <v>0</v>
      </c>
      <c r="I94" s="119">
        <f>'2022'!Q811</f>
        <v>45</v>
      </c>
      <c r="J94" s="119">
        <f>'2022'!R811</f>
        <v>0</v>
      </c>
      <c r="K94" s="119">
        <f>'2022'!U811</f>
        <v>45</v>
      </c>
      <c r="L94" s="119">
        <f>'2022'!V811</f>
        <v>0</v>
      </c>
      <c r="M94" s="119">
        <f>'2022'!Y811</f>
        <v>47</v>
      </c>
      <c r="N94" s="119">
        <f>'2022'!Z811</f>
        <v>2</v>
      </c>
      <c r="O94" s="119">
        <f>'2022'!AC811</f>
        <v>52</v>
      </c>
      <c r="P94" s="119">
        <f>'2022'!AD811</f>
        <v>5</v>
      </c>
      <c r="Q94" s="119">
        <f>'2022'!AG811</f>
        <v>59</v>
      </c>
      <c r="R94" s="119">
        <f>'2022'!AH811</f>
        <v>7</v>
      </c>
      <c r="S94" s="119">
        <f>'2022'!AK811</f>
        <v>59</v>
      </c>
      <c r="T94" s="119">
        <f>'2022'!AL811</f>
        <v>0</v>
      </c>
      <c r="U94" s="119">
        <f>'2022'!AO811</f>
        <v>60</v>
      </c>
      <c r="V94" s="119">
        <f>'2022'!AP811</f>
        <v>1</v>
      </c>
      <c r="W94" s="119">
        <f>'2022'!AS811</f>
        <v>60</v>
      </c>
      <c r="X94" s="119">
        <f>'2022'!AT811</f>
        <v>0</v>
      </c>
      <c r="Y94" s="119">
        <f>'2022'!AW811</f>
      </c>
      <c r="Z94" s="119">
        <f>'2022'!AX811</f>
        <v>-60</v>
      </c>
      <c r="AA94" s="119">
        <f>'2022'!BA811</f>
      </c>
      <c r="AB94" s="119">
        <f>'2022'!BB811</f>
      </c>
      <c r="AC94" s="119">
        <f>'2022'!BE811</f>
        <v>-45</v>
      </c>
    </row>
    <row r="95" ht="15.75" customHeight="1" spans="1:29" x14ac:dyDescent="0.25">
      <c r="A95" s="14"/>
      <c r="B95" s="115">
        <v>86</v>
      </c>
      <c r="C95" s="115">
        <v>4.23</v>
      </c>
      <c r="D95" s="117" t="s">
        <v>304</v>
      </c>
      <c r="E95" s="119">
        <f>'2022'!I820</f>
      </c>
      <c r="F95" s="119">
        <f>'2022'!J820</f>
      </c>
      <c r="G95" s="119">
        <f>'2022'!M820</f>
      </c>
      <c r="H95" s="119">
        <f>'2022'!N820</f>
        <v>0</v>
      </c>
      <c r="I95" s="119">
        <f>'2022'!Q820</f>
      </c>
      <c r="J95" s="119">
        <f>'2022'!R820</f>
        <v>0</v>
      </c>
      <c r="K95" s="119">
        <f>'2022'!U820</f>
      </c>
      <c r="L95" s="119">
        <f>'2022'!V820</f>
        <v>0</v>
      </c>
      <c r="M95" s="119">
        <f>'2022'!Y820</f>
      </c>
      <c r="N95" s="119">
        <f>'2022'!Z820</f>
        <v>0</v>
      </c>
      <c r="O95" s="119">
        <f>'2022'!AC820</f>
      </c>
      <c r="P95" s="119">
        <f>'2022'!AD820</f>
        <v>0</v>
      </c>
      <c r="Q95" s="119">
        <f>'2022'!AG820</f>
      </c>
      <c r="R95" s="119">
        <f>'2022'!AH820</f>
        <v>0</v>
      </c>
      <c r="S95" s="119">
        <f>'2022'!AK820</f>
      </c>
      <c r="T95" s="119">
        <f>'2022'!AL820</f>
        <v>0</v>
      </c>
      <c r="U95" s="119">
        <f>'2022'!AO820</f>
      </c>
      <c r="V95" s="119">
        <f>'2022'!AP820</f>
        <v>0</v>
      </c>
      <c r="W95" s="119">
        <f>'2022'!AS820</f>
      </c>
      <c r="X95" s="119">
        <f>'2022'!AT820</f>
        <v>0</v>
      </c>
      <c r="Y95" s="119">
        <f>'2022'!AW820</f>
      </c>
      <c r="Z95" s="119">
        <f>'2022'!AX820</f>
        <v>0</v>
      </c>
      <c r="AA95" s="119">
        <f>'2022'!BA820</f>
      </c>
      <c r="AB95" s="119">
        <f>'2022'!BB820</f>
      </c>
      <c r="AC95" s="119">
        <f>'2022'!BE820</f>
        <v>0</v>
      </c>
    </row>
    <row r="96" ht="15.75" customHeight="1" spans="1:29" x14ac:dyDescent="0.25">
      <c r="A96" s="14"/>
      <c r="B96" s="115">
        <v>88</v>
      </c>
      <c r="C96" s="115">
        <v>4.23</v>
      </c>
      <c r="D96" s="117" t="s">
        <v>308</v>
      </c>
      <c r="E96" s="119">
        <f>'2022'!I829</f>
      </c>
      <c r="F96" s="119">
        <f>'2022'!J829</f>
      </c>
      <c r="G96" s="119">
        <f>'2022'!M829</f>
      </c>
      <c r="H96" s="119">
        <f>'2022'!N829</f>
        <v>0</v>
      </c>
      <c r="I96" s="119">
        <f>'2022'!Q829</f>
      </c>
      <c r="J96" s="119">
        <f>'2022'!R829</f>
        <v>0</v>
      </c>
      <c r="K96" s="119">
        <f>'2022'!U829</f>
      </c>
      <c r="L96" s="119">
        <f>'2022'!V829</f>
        <v>0</v>
      </c>
      <c r="M96" s="119">
        <f>'2022'!Y829</f>
      </c>
      <c r="N96" s="119">
        <f>'2022'!Z829</f>
        <v>0</v>
      </c>
      <c r="O96" s="119">
        <f>'2022'!AC829</f>
      </c>
      <c r="P96" s="119">
        <f>'2022'!AD829</f>
        <v>0</v>
      </c>
      <c r="Q96" s="119">
        <f>'2022'!AG829</f>
      </c>
      <c r="R96" s="119">
        <f>'2022'!AH829</f>
        <v>0</v>
      </c>
      <c r="S96" s="119">
        <f>'2022'!AK829</f>
      </c>
      <c r="T96" s="119">
        <f>'2022'!AL829</f>
        <v>0</v>
      </c>
      <c r="U96" s="119">
        <f>'2022'!AO829</f>
      </c>
      <c r="V96" s="119">
        <f>'2022'!AP829</f>
        <v>0</v>
      </c>
      <c r="W96" s="119">
        <f>'2022'!AS829</f>
      </c>
      <c r="X96" s="119">
        <f>'2022'!AT829</f>
        <v>0</v>
      </c>
      <c r="Y96" s="119">
        <f>'2022'!AW829</f>
      </c>
      <c r="Z96" s="119">
        <f>'2022'!AX829</f>
        <v>0</v>
      </c>
      <c r="AA96" s="119">
        <f>'2022'!BA829</f>
      </c>
      <c r="AB96" s="119">
        <f>'2022'!BB829</f>
      </c>
      <c r="AC96" s="119">
        <f>'2022'!BE829</f>
        <v>0</v>
      </c>
    </row>
    <row r="97" ht="15.75" customHeight="1" spans="1:29" x14ac:dyDescent="0.25">
      <c r="A97" s="14"/>
      <c r="B97" s="115">
        <v>90</v>
      </c>
      <c r="C97" s="115">
        <v>4.23</v>
      </c>
      <c r="D97" s="117" t="s">
        <v>311</v>
      </c>
      <c r="E97" s="119">
        <f>'2022'!I838</f>
      </c>
      <c r="F97" s="119">
        <f>'2022'!J838</f>
      </c>
      <c r="G97" s="119">
        <f>'2022'!M838</f>
      </c>
      <c r="H97" s="119">
        <f>'2022'!N838</f>
        <v>0</v>
      </c>
      <c r="I97" s="119">
        <f>'2022'!Q838</f>
      </c>
      <c r="J97" s="119">
        <f>'2022'!R838</f>
        <v>0</v>
      </c>
      <c r="K97" s="119">
        <f>'2022'!U838</f>
      </c>
      <c r="L97" s="119">
        <f>'2022'!V838</f>
        <v>0</v>
      </c>
      <c r="M97" s="119">
        <f>'2022'!Y838</f>
      </c>
      <c r="N97" s="119">
        <f>'2022'!Z838</f>
        <v>0</v>
      </c>
      <c r="O97" s="119">
        <f>'2022'!AC838</f>
      </c>
      <c r="P97" s="119">
        <f>'2022'!AD838</f>
        <v>0</v>
      </c>
      <c r="Q97" s="119">
        <f>'2022'!AG838</f>
      </c>
      <c r="R97" s="119">
        <f>'2022'!AH838</f>
        <v>0</v>
      </c>
      <c r="S97" s="119">
        <f>'2022'!AK838</f>
      </c>
      <c r="T97" s="119">
        <f>'2022'!AL838</f>
        <v>0</v>
      </c>
      <c r="U97" s="119">
        <f>'2022'!AO838</f>
      </c>
      <c r="V97" s="119">
        <f>'2022'!AP838</f>
        <v>0</v>
      </c>
      <c r="W97" s="119">
        <f>'2022'!AS838</f>
      </c>
      <c r="X97" s="119">
        <f>'2022'!AT838</f>
        <v>0</v>
      </c>
      <c r="Y97" s="119">
        <f>'2022'!AW838</f>
      </c>
      <c r="Z97" s="119">
        <f>'2022'!AX838</f>
        <v>0</v>
      </c>
      <c r="AA97" s="119">
        <f>'2022'!BA838</f>
      </c>
      <c r="AB97" s="119">
        <f>'2022'!BB838</f>
      </c>
      <c r="AC97" s="119">
        <f>'2022'!BE838</f>
        <v>0</v>
      </c>
    </row>
    <row r="98" ht="15.75" customHeight="1" spans="1:29" x14ac:dyDescent="0.25">
      <c r="A98" s="14"/>
      <c r="B98" s="115">
        <v>92</v>
      </c>
      <c r="C98" s="115">
        <v>4.28</v>
      </c>
      <c r="D98" s="117" t="s">
        <v>312</v>
      </c>
      <c r="E98" s="119">
        <f>'2022'!I847</f>
        <v>254</v>
      </c>
      <c r="F98" s="119">
        <f>'2022'!J847</f>
      </c>
      <c r="G98" s="119">
        <f>'2022'!M847</f>
        <v>254</v>
      </c>
      <c r="H98" s="119">
        <f>'2022'!N847</f>
        <v>0</v>
      </c>
      <c r="I98" s="119">
        <f>'2022'!Q847</f>
        <v>254</v>
      </c>
      <c r="J98" s="119">
        <f>'2022'!R847</f>
        <v>0</v>
      </c>
      <c r="K98" s="119">
        <f>'2022'!U847</f>
        <v>254</v>
      </c>
      <c r="L98" s="119">
        <f>'2022'!V847</f>
        <v>0</v>
      </c>
      <c r="M98" s="119">
        <f>'2022'!Y847</f>
        <v>257</v>
      </c>
      <c r="N98" s="119">
        <f>'2022'!Z847</f>
        <v>3</v>
      </c>
      <c r="O98" s="119">
        <f>'2022'!AC847</f>
        <v>257</v>
      </c>
      <c r="P98" s="119">
        <f>'2022'!AD847</f>
        <v>0</v>
      </c>
      <c r="Q98" s="119">
        <f>'2022'!AG847</f>
        <v>272</v>
      </c>
      <c r="R98" s="119">
        <f>'2022'!AH847</f>
        <v>15</v>
      </c>
      <c r="S98" s="119">
        <f>'2022'!AK847</f>
        <v>272</v>
      </c>
      <c r="T98" s="119">
        <f>'2022'!AL847</f>
        <v>0</v>
      </c>
      <c r="U98" s="119">
        <f>'2022'!AO847</f>
        <v>272</v>
      </c>
      <c r="V98" s="119">
        <f>'2022'!AP847</f>
        <v>0</v>
      </c>
      <c r="W98" s="119">
        <f>'2022'!AS847</f>
        <v>272</v>
      </c>
      <c r="X98" s="119">
        <f>'2022'!AT847</f>
        <v>0</v>
      </c>
      <c r="Y98" s="119">
        <f>'2022'!AW847</f>
      </c>
      <c r="Z98" s="119">
        <f>'2022'!AX847</f>
        <v>-272</v>
      </c>
      <c r="AA98" s="119">
        <f>'2022'!BA847</f>
      </c>
      <c r="AB98" s="119">
        <f>'2022'!BB847</f>
      </c>
      <c r="AC98" s="119">
        <f>'2022'!BE847</f>
        <v>-254</v>
      </c>
    </row>
    <row r="99" ht="15.75" customHeight="1" spans="1:29" x14ac:dyDescent="0.25">
      <c r="A99" s="14"/>
      <c r="B99" s="115" t="s">
        <v>315</v>
      </c>
      <c r="C99" s="115">
        <v>4.36</v>
      </c>
      <c r="D99" s="117" t="s">
        <v>316</v>
      </c>
      <c r="E99" s="119">
        <f>'2022'!I856</f>
        <v>196</v>
      </c>
      <c r="F99" s="119">
        <f>'2022'!J856</f>
      </c>
      <c r="G99" s="119">
        <f>'2022'!M856</f>
        <v>196</v>
      </c>
      <c r="H99" s="119">
        <f>'2022'!N856</f>
        <v>0</v>
      </c>
      <c r="I99" s="119">
        <f>'2022'!Q856</f>
        <v>196</v>
      </c>
      <c r="J99" s="119">
        <f>'2022'!R856</f>
        <v>0</v>
      </c>
      <c r="K99" s="119">
        <f>'2022'!U856</f>
        <v>196</v>
      </c>
      <c r="L99" s="119">
        <f>'2022'!V856</f>
        <v>0</v>
      </c>
      <c r="M99" s="119">
        <f>'2022'!Y856</f>
        <v>197</v>
      </c>
      <c r="N99" s="119">
        <f>'2022'!Z856</f>
        <v>1</v>
      </c>
      <c r="O99" s="119">
        <f>'2022'!AC856</f>
        <v>210</v>
      </c>
      <c r="P99" s="119">
        <f>'2022'!AD856</f>
        <v>13</v>
      </c>
      <c r="Q99" s="119">
        <f>'2022'!AG856</f>
        <v>214</v>
      </c>
      <c r="R99" s="119">
        <f>'2022'!AH856</f>
        <v>4</v>
      </c>
      <c r="S99" s="119">
        <f>'2022'!AK856</f>
        <v>220</v>
      </c>
      <c r="T99" s="119">
        <f>'2022'!AL856</f>
        <v>6</v>
      </c>
      <c r="U99" s="119">
        <f>'2022'!AO856</f>
        <v>221</v>
      </c>
      <c r="V99" s="119">
        <f>'2022'!AP856</f>
        <v>1</v>
      </c>
      <c r="W99" s="119">
        <f>'2022'!AS856</f>
        <v>221</v>
      </c>
      <c r="X99" s="119">
        <f>'2022'!AT856</f>
        <v>0</v>
      </c>
      <c r="Y99" s="119">
        <f>'2022'!AW856</f>
      </c>
      <c r="Z99" s="119">
        <f>'2022'!AX856</f>
        <v>-221</v>
      </c>
      <c r="AA99" s="119">
        <f>'2022'!BA856</f>
      </c>
      <c r="AB99" s="119">
        <f>'2022'!BB856</f>
      </c>
      <c r="AC99" s="119">
        <f>'2022'!BE856</f>
      </c>
    </row>
    <row r="100" ht="15.75" customHeight="1" spans="1:29" x14ac:dyDescent="0.25">
      <c r="A100" s="14"/>
      <c r="B100" s="115" t="s">
        <v>315</v>
      </c>
      <c r="C100" s="116">
        <v>4.4</v>
      </c>
      <c r="D100" s="117" t="s">
        <v>316</v>
      </c>
      <c r="E100" s="119">
        <f>'2022'!I865</f>
        <v>15</v>
      </c>
      <c r="F100" s="119">
        <f>'2022'!J865</f>
      </c>
      <c r="G100" s="119">
        <f>'2022'!M865</f>
        <v>15</v>
      </c>
      <c r="H100" s="119">
        <f>'2022'!N865</f>
        <v>0</v>
      </c>
      <c r="I100" s="119">
        <f>'2022'!Q865</f>
        <v>15</v>
      </c>
      <c r="J100" s="119">
        <f>'2022'!R865</f>
        <v>0</v>
      </c>
      <c r="K100" s="119">
        <f>'2022'!U865</f>
        <v>17</v>
      </c>
      <c r="L100" s="119">
        <f>'2022'!V865</f>
        <v>2</v>
      </c>
      <c r="M100" s="119">
        <f>'2022'!Y865</f>
        <v>0</v>
      </c>
      <c r="N100" s="119">
        <f>'2022'!Z865</f>
        <v>0</v>
      </c>
      <c r="O100" s="119">
        <f>'2022'!AC865</f>
        <v>10</v>
      </c>
      <c r="P100" s="119">
        <f>'2022'!AD865</f>
        <v>10</v>
      </c>
      <c r="Q100" s="119">
        <f>'2022'!AG865</f>
        <v>15</v>
      </c>
      <c r="R100" s="119">
        <f>'2022'!AH865</f>
        <v>5</v>
      </c>
      <c r="S100" s="119">
        <f>'2022'!AK865</f>
        <v>17</v>
      </c>
      <c r="T100" s="119">
        <f>'2022'!AL865</f>
        <v>2</v>
      </c>
      <c r="U100" s="119">
        <f>'2022'!AO865</f>
        <v>18</v>
      </c>
      <c r="V100" s="119">
        <f>'2022'!AP865</f>
        <v>1</v>
      </c>
      <c r="W100" s="119">
        <f>'2022'!AS865</f>
        <v>18</v>
      </c>
      <c r="X100" s="119">
        <f>'2022'!AT865</f>
        <v>0</v>
      </c>
      <c r="Y100" s="119">
        <f>'2022'!AW865</f>
      </c>
      <c r="Z100" s="119">
        <f>'2022'!AX865</f>
        <v>-18</v>
      </c>
      <c r="AA100" s="119">
        <f>'2022'!BA865</f>
      </c>
      <c r="AB100" s="119">
        <f>'2022'!BB865</f>
      </c>
      <c r="AC100" s="119">
        <f>'2022'!BE865</f>
        <v>2</v>
      </c>
    </row>
    <row r="101" ht="15.75" customHeight="1" spans="1:29" x14ac:dyDescent="0.25">
      <c r="A101" s="14"/>
      <c r="B101" s="115">
        <v>99</v>
      </c>
      <c r="C101" s="115">
        <v>4.53</v>
      </c>
      <c r="D101" s="117" t="s">
        <v>319</v>
      </c>
      <c r="E101" s="119">
        <f>'2022'!I874</f>
        <v>351</v>
      </c>
      <c r="F101" s="119">
        <f>'2022'!J874</f>
      </c>
      <c r="G101" s="119">
        <f>'2022'!M874</f>
        <v>351</v>
      </c>
      <c r="H101" s="119">
        <f>'2022'!N874</f>
        <v>0</v>
      </c>
      <c r="I101" s="119">
        <f>'2022'!Q874</f>
        <v>351</v>
      </c>
      <c r="J101" s="119">
        <f>'2022'!R874</f>
        <v>0</v>
      </c>
      <c r="K101" s="119">
        <f>'2022'!U874</f>
        <v>351</v>
      </c>
      <c r="L101" s="119">
        <f>'2022'!V874</f>
        <v>0</v>
      </c>
      <c r="M101" s="119">
        <f>'2022'!Y874</f>
        <v>468</v>
      </c>
      <c r="N101" s="119">
        <f>'2022'!Z874</f>
        <v>117</v>
      </c>
      <c r="O101" s="119">
        <f>'2022'!AC874</f>
        <v>468</v>
      </c>
      <c r="P101" s="119">
        <f>'2022'!AD874</f>
        <v>0</v>
      </c>
      <c r="Q101" s="119">
        <f>'2022'!AG874</f>
        <v>468</v>
      </c>
      <c r="R101" s="119">
        <f>'2022'!AH874</f>
        <v>0</v>
      </c>
      <c r="S101" s="119">
        <f>'2022'!AK874</f>
        <v>468</v>
      </c>
      <c r="T101" s="119">
        <f>'2022'!AL874</f>
        <v>0</v>
      </c>
      <c r="U101" s="119">
        <f>'2022'!AO874</f>
        <v>468</v>
      </c>
      <c r="V101" s="119">
        <f>'2022'!AP874</f>
        <v>0</v>
      </c>
      <c r="W101" s="119">
        <f>'2022'!AS874</f>
        <v>468</v>
      </c>
      <c r="X101" s="119">
        <f>'2022'!AT874</f>
        <v>0</v>
      </c>
      <c r="Y101" s="119">
        <f>'2022'!AW874</f>
      </c>
      <c r="Z101" s="119">
        <f>'2022'!AX874</f>
        <v>-468</v>
      </c>
      <c r="AA101" s="119">
        <f>'2022'!BA874</f>
      </c>
      <c r="AB101" s="119">
        <f>'2022'!BB874</f>
      </c>
      <c r="AC101" s="119">
        <f>'2022'!BE874</f>
        <v>-351</v>
      </c>
    </row>
    <row r="102" ht="15.75" customHeight="1" spans="1:29" x14ac:dyDescent="0.25">
      <c r="A102" s="14"/>
      <c r="B102" s="115">
        <v>101</v>
      </c>
      <c r="C102" s="115">
        <v>4.46</v>
      </c>
      <c r="D102" s="117" t="s">
        <v>321</v>
      </c>
      <c r="E102" s="119">
        <f>'2022'!I883</f>
        <v>675</v>
      </c>
      <c r="F102" s="119">
        <f>'2022'!J883</f>
      </c>
      <c r="G102" s="119">
        <f>'2022'!M883</f>
        <v>675</v>
      </c>
      <c r="H102" s="119">
        <f>'2022'!N883</f>
        <v>0</v>
      </c>
      <c r="I102" s="119">
        <f>'2022'!Q883</f>
        <v>675</v>
      </c>
      <c r="J102" s="119">
        <f>'2022'!R883</f>
        <v>0</v>
      </c>
      <c r="K102" s="119">
        <f>'2022'!U883</f>
        <v>675</v>
      </c>
      <c r="L102" s="119">
        <f>'2022'!V883</f>
        <v>0</v>
      </c>
      <c r="M102" s="119">
        <f>'2022'!Y883</f>
        <v>680</v>
      </c>
      <c r="N102" s="119">
        <f>'2022'!Z883</f>
        <v>5</v>
      </c>
      <c r="O102" s="119">
        <f>'2022'!AC883</f>
        <v>680</v>
      </c>
      <c r="P102" s="119">
        <f>'2022'!AD883</f>
        <v>0</v>
      </c>
      <c r="Q102" s="119">
        <f>'2022'!AG883</f>
        <v>694</v>
      </c>
      <c r="R102" s="119">
        <f>'2022'!AH883</f>
        <v>14</v>
      </c>
      <c r="S102" s="119">
        <f>'2022'!AK883</f>
        <v>701</v>
      </c>
      <c r="T102" s="119">
        <f>'2022'!AL883</f>
        <v>7</v>
      </c>
      <c r="U102" s="119">
        <f>'2022'!AO883</f>
        <v>705</v>
      </c>
      <c r="V102" s="119">
        <f>'2022'!AP883</f>
        <v>4</v>
      </c>
      <c r="W102" s="119">
        <f>'2022'!AS883</f>
        <v>705</v>
      </c>
      <c r="X102" s="119">
        <f>'2022'!AT883</f>
        <v>0</v>
      </c>
      <c r="Y102" s="119">
        <f>'2022'!AW883</f>
      </c>
      <c r="Z102" s="119">
        <f>'2022'!AX883</f>
        <v>-705</v>
      </c>
      <c r="AA102" s="119">
        <f>'2022'!BA883</f>
      </c>
      <c r="AB102" s="119">
        <f>'2022'!BB883</f>
      </c>
      <c r="AC102" s="119">
        <f>'2022'!BE883</f>
        <v>-675</v>
      </c>
    </row>
    <row r="103" ht="15.75" customHeight="1" spans="1:29" x14ac:dyDescent="0.25">
      <c r="A103" s="14"/>
      <c r="B103" s="115">
        <v>103</v>
      </c>
      <c r="C103" s="115">
        <v>4.42</v>
      </c>
      <c r="D103" s="117" t="s">
        <v>322</v>
      </c>
      <c r="E103" s="119">
        <f>'2022'!I892</f>
        <v>36</v>
      </c>
      <c r="F103" s="119">
        <f>'2022'!J892</f>
      </c>
      <c r="G103" s="119">
        <f>'2022'!M892</f>
        <v>36</v>
      </c>
      <c r="H103" s="119">
        <f>'2022'!N892</f>
        <v>0</v>
      </c>
      <c r="I103" s="119">
        <f>'2022'!Q892</f>
        <v>36</v>
      </c>
      <c r="J103" s="119">
        <f>'2022'!R892</f>
        <v>0</v>
      </c>
      <c r="K103" s="119">
        <f>'2022'!U892</f>
        <v>36</v>
      </c>
      <c r="L103" s="119">
        <f>'2022'!V892</f>
        <v>0</v>
      </c>
      <c r="M103" s="119">
        <f>'2022'!Y892</f>
        <v>36</v>
      </c>
      <c r="N103" s="119">
        <f>'2022'!Z892</f>
        <v>0</v>
      </c>
      <c r="O103" s="119">
        <f>'2022'!AC892</f>
        <v>0</v>
      </c>
      <c r="P103" s="119">
        <f>'2022'!AD892</f>
        <v>0</v>
      </c>
      <c r="Q103" s="119">
        <f>'2022'!AG892</f>
        <v>0</v>
      </c>
      <c r="R103" s="119">
        <f>'2022'!AH892</f>
        <v>0</v>
      </c>
      <c r="S103" s="119">
        <f>'2022'!AK892</f>
        <v>0</v>
      </c>
      <c r="T103" s="119">
        <f>'2022'!AL892</f>
        <v>0</v>
      </c>
      <c r="U103" s="119">
        <f>'2022'!AO892</f>
        <v>5</v>
      </c>
      <c r="V103" s="119">
        <f>'2022'!AP892</f>
        <v>5</v>
      </c>
      <c r="W103" s="119">
        <f>'2022'!AS892</f>
        <v>5</v>
      </c>
      <c r="X103" s="119">
        <f>'2022'!AT892</f>
        <v>5</v>
      </c>
      <c r="Y103" s="119">
        <f>'2022'!AW892</f>
      </c>
      <c r="Z103" s="119">
        <f>'2022'!AX892</f>
        <v>5</v>
      </c>
      <c r="AA103" s="119">
        <f>'2022'!BA892</f>
      </c>
      <c r="AB103" s="119">
        <f>'2022'!BB892</f>
      </c>
      <c r="AC103" s="119">
        <f>'2022'!BE892</f>
        <v>15</v>
      </c>
    </row>
    <row r="104" ht="15.75" customHeight="1" spans="1:29" x14ac:dyDescent="0.25">
      <c r="A104" s="14"/>
      <c r="B104" s="115">
        <v>105</v>
      </c>
      <c r="C104" s="115">
        <v>4.41</v>
      </c>
      <c r="D104" s="117" t="s">
        <v>323</v>
      </c>
      <c r="E104" s="119">
        <f>'2022'!I901</f>
        <v>287</v>
      </c>
      <c r="F104" s="119">
        <f>'2022'!J901</f>
      </c>
      <c r="G104" s="119">
        <f>'2022'!M901</f>
        <v>287</v>
      </c>
      <c r="H104" s="119">
        <f>'2022'!N901</f>
        <v>0</v>
      </c>
      <c r="I104" s="119">
        <f>'2022'!Q901</f>
        <v>287</v>
      </c>
      <c r="J104" s="119">
        <f>'2022'!R901</f>
        <v>0</v>
      </c>
      <c r="K104" s="119">
        <f>'2022'!U901</f>
        <v>287</v>
      </c>
      <c r="L104" s="119">
        <f>'2022'!V901</f>
        <v>0</v>
      </c>
      <c r="M104" s="119">
        <f>'2022'!Y901</f>
        <v>295</v>
      </c>
      <c r="N104" s="119">
        <f>'2022'!Z901</f>
        <v>8</v>
      </c>
      <c r="O104" s="119">
        <f>'2022'!AC901</f>
        <v>338</v>
      </c>
      <c r="P104" s="119">
        <f>'2022'!AD901</f>
        <v>43</v>
      </c>
      <c r="Q104" s="119">
        <f>'2022'!AG901</f>
        <v>345</v>
      </c>
      <c r="R104" s="119">
        <f>'2022'!AH901</f>
        <v>7</v>
      </c>
      <c r="S104" s="119">
        <f>'2022'!AK901</f>
        <v>350</v>
      </c>
      <c r="T104" s="119">
        <f>'2022'!AL901</f>
        <v>5</v>
      </c>
      <c r="U104" s="119">
        <f>'2022'!AO901</f>
        <v>353</v>
      </c>
      <c r="V104" s="119">
        <f>'2022'!AP901</f>
        <v>3</v>
      </c>
      <c r="W104" s="119">
        <f>'2022'!AS901</f>
        <v>353</v>
      </c>
      <c r="X104" s="119">
        <f>'2022'!AT901</f>
        <v>0</v>
      </c>
      <c r="Y104" s="119">
        <f>'2022'!AW901</f>
      </c>
      <c r="Z104" s="119">
        <f>'2022'!AX901</f>
        <v>-353</v>
      </c>
      <c r="AA104" s="119">
        <f>'2022'!BA901</f>
      </c>
      <c r="AB104" s="119">
        <f>'2022'!BB901</f>
      </c>
      <c r="AC104" s="119">
        <f>'2022'!BE901</f>
        <v>-287</v>
      </c>
    </row>
    <row r="105" ht="15.75" customHeight="1" spans="1:29" x14ac:dyDescent="0.25">
      <c r="A105" s="21"/>
      <c r="B105" s="115">
        <v>107</v>
      </c>
      <c r="C105" s="115">
        <v>4.37</v>
      </c>
      <c r="D105" s="117" t="s">
        <v>325</v>
      </c>
      <c r="E105" s="119">
        <f>'2022'!I910</f>
        <v>472</v>
      </c>
      <c r="F105" s="119">
        <f>'2022'!J910</f>
      </c>
      <c r="G105" s="119">
        <f>'2022'!M910</f>
        <v>472</v>
      </c>
      <c r="H105" s="119">
        <f>'2022'!N910</f>
        <v>0</v>
      </c>
      <c r="I105" s="119">
        <f>'2022'!Q910</f>
        <v>472</v>
      </c>
      <c r="J105" s="119">
        <f>'2022'!R910</f>
        <v>0</v>
      </c>
      <c r="K105" s="119">
        <f>'2022'!U910</f>
        <v>472</v>
      </c>
      <c r="L105" s="119">
        <f>'2022'!V910</f>
        <v>0</v>
      </c>
      <c r="M105" s="119">
        <f>'2022'!Y910</f>
        <v>484</v>
      </c>
      <c r="N105" s="119">
        <f>'2022'!Z910</f>
        <v>12</v>
      </c>
      <c r="O105" s="119">
        <f>'2022'!AC910</f>
        <v>493</v>
      </c>
      <c r="P105" s="119">
        <f>'2022'!AD910</f>
        <v>9</v>
      </c>
      <c r="Q105" s="119">
        <f>'2022'!AG910</f>
        <v>503</v>
      </c>
      <c r="R105" s="119">
        <f>'2022'!AH910</f>
        <v>10</v>
      </c>
      <c r="S105" s="119">
        <f>'2022'!AK910</f>
        <v>512</v>
      </c>
      <c r="T105" s="119">
        <f>'2022'!AL910</f>
        <v>9</v>
      </c>
      <c r="U105" s="119">
        <f>'2022'!AO910</f>
        <v>513</v>
      </c>
      <c r="V105" s="119">
        <f>'2022'!AP910</f>
        <v>1</v>
      </c>
      <c r="W105" s="119">
        <f>'2022'!AS910</f>
        <v>513</v>
      </c>
      <c r="X105" s="119">
        <f>'2022'!AT910</f>
        <v>0</v>
      </c>
      <c r="Y105" s="119">
        <f>'2022'!AW910</f>
      </c>
      <c r="Z105" s="119">
        <f>'2022'!AX910</f>
        <v>-513</v>
      </c>
      <c r="AA105" s="119">
        <f>'2022'!BA910</f>
      </c>
      <c r="AB105" s="119">
        <f>'2022'!BB910</f>
      </c>
      <c r="AC105" s="119">
        <f>'2022'!BE910</f>
        <v>-472</v>
      </c>
    </row>
    <row r="106" ht="15.75" customHeight="1" spans="1:29" x14ac:dyDescent="0.25">
      <c r="A106" s="114" t="s">
        <v>327</v>
      </c>
      <c r="B106" s="115">
        <v>96</v>
      </c>
      <c r="C106" s="115">
        <v>4.46</v>
      </c>
      <c r="D106" s="117" t="s">
        <v>450</v>
      </c>
      <c r="E106" s="119">
        <f>'2022'!I919</f>
      </c>
      <c r="F106" s="119">
        <f>'2022'!J919</f>
      </c>
      <c r="G106" s="119">
        <f>'2022'!M919</f>
      </c>
      <c r="H106" s="119">
        <f>'2022'!N919</f>
        <v>0</v>
      </c>
      <c r="I106" s="119">
        <f>'2022'!Q919</f>
      </c>
      <c r="J106" s="119">
        <f>'2022'!R919</f>
        <v>0</v>
      </c>
      <c r="K106" s="119">
        <f>'2022'!U919</f>
      </c>
      <c r="L106" s="119">
        <f>'2022'!V919</f>
        <v>0</v>
      </c>
      <c r="M106" s="119">
        <f>'2022'!Y919</f>
      </c>
      <c r="N106" s="119">
        <f>'2022'!Z919</f>
        <v>0</v>
      </c>
      <c r="O106" s="119">
        <f>'2022'!AC919</f>
      </c>
      <c r="P106" s="119">
        <f>'2022'!AD919</f>
        <v>0</v>
      </c>
      <c r="Q106" s="119">
        <f>'2022'!AG919</f>
      </c>
      <c r="R106" s="119">
        <f>'2022'!AH919</f>
        <v>0</v>
      </c>
      <c r="S106" s="119">
        <f>'2022'!AK919</f>
      </c>
      <c r="T106" s="119">
        <f>'2022'!AL919</f>
        <v>0</v>
      </c>
      <c r="U106" s="119">
        <f>'2022'!AO919</f>
      </c>
      <c r="V106" s="119">
        <f>'2022'!AP919</f>
        <v>0</v>
      </c>
      <c r="W106" s="119">
        <f>'2022'!AS919</f>
      </c>
      <c r="X106" s="119">
        <f>'2022'!AT919</f>
        <v>0</v>
      </c>
      <c r="Y106" s="119">
        <f>'2022'!AW919</f>
      </c>
      <c r="Z106" s="119">
        <f>'2022'!AX919</f>
        <v>0</v>
      </c>
      <c r="AA106" s="119">
        <f>'2022'!BA919</f>
      </c>
      <c r="AB106" s="119">
        <f>'2022'!BB919</f>
      </c>
      <c r="AC106" s="119">
        <f>'2022'!BE919</f>
        <v>0</v>
      </c>
    </row>
    <row r="107" ht="15.75" customHeight="1" spans="1:29" x14ac:dyDescent="0.25">
      <c r="A107" s="14"/>
      <c r="B107" s="115">
        <v>98</v>
      </c>
      <c r="C107" s="115">
        <v>4.45</v>
      </c>
      <c r="D107" s="117" t="s">
        <v>328</v>
      </c>
      <c r="E107" s="119">
        <f>'2022'!I928</f>
      </c>
      <c r="F107" s="119">
        <f>'2022'!J928</f>
      </c>
      <c r="G107" s="119">
        <f>'2022'!M928</f>
      </c>
      <c r="H107" s="119">
        <f>'2022'!N928</f>
        <v>0</v>
      </c>
      <c r="I107" s="119">
        <f>'2022'!Q928</f>
      </c>
      <c r="J107" s="119">
        <f>'2022'!R928</f>
        <v>0</v>
      </c>
      <c r="K107" s="119">
        <f>'2022'!U928</f>
      </c>
      <c r="L107" s="119">
        <f>'2022'!V928</f>
        <v>0</v>
      </c>
      <c r="M107" s="119">
        <f>'2022'!Y928</f>
        <v>11</v>
      </c>
      <c r="N107" s="119">
        <f>'2022'!Z928</f>
        <v>11</v>
      </c>
      <c r="O107" s="119">
        <f>'2022'!AC928</f>
        <v>13</v>
      </c>
      <c r="P107" s="119">
        <f>'2022'!AD928</f>
        <v>2</v>
      </c>
      <c r="Q107" s="119">
        <f>'2022'!AG928</f>
        <v>13</v>
      </c>
      <c r="R107" s="119">
        <f>'2022'!AH928</f>
        <v>0</v>
      </c>
      <c r="S107" s="119">
        <f>'2022'!AK928</f>
        <v>13</v>
      </c>
      <c r="T107" s="119">
        <f>'2022'!AL928</f>
        <v>0</v>
      </c>
      <c r="U107" s="119">
        <f>'2022'!AO928</f>
        <v>13</v>
      </c>
      <c r="V107" s="119">
        <f>'2022'!AP928</f>
        <v>0</v>
      </c>
      <c r="W107" s="119">
        <f>'2022'!AS928</f>
        <v>13</v>
      </c>
      <c r="X107" s="119">
        <f>'2022'!AT928</f>
        <v>0</v>
      </c>
      <c r="Y107" s="119">
        <f>'2022'!AW928</f>
      </c>
      <c r="Z107" s="119">
        <f>'2022'!AX928</f>
        <v>-13</v>
      </c>
      <c r="AA107" s="119">
        <f>'2022'!BA928</f>
      </c>
      <c r="AB107" s="119">
        <f>'2022'!BB928</f>
      </c>
      <c r="AC107" s="119">
        <f>'2022'!BE928</f>
        <v>0</v>
      </c>
    </row>
    <row r="108" ht="15.75" customHeight="1" spans="1:29" x14ac:dyDescent="0.25">
      <c r="A108" s="14"/>
      <c r="B108" s="115">
        <v>100</v>
      </c>
      <c r="C108" s="115">
        <v>4.47</v>
      </c>
      <c r="D108" s="117" t="s">
        <v>330</v>
      </c>
      <c r="E108" s="119">
        <f>'2022'!I937</f>
      </c>
      <c r="F108" s="119">
        <f>'2022'!J937</f>
      </c>
      <c r="G108" s="119">
        <f>'2022'!M937</f>
      </c>
      <c r="H108" s="119">
        <f>'2022'!N937</f>
        <v>0</v>
      </c>
      <c r="I108" s="119">
        <f>'2022'!Q937</f>
      </c>
      <c r="J108" s="119">
        <f>'2022'!R937</f>
        <v>0</v>
      </c>
      <c r="K108" s="119">
        <f>'2022'!U937</f>
      </c>
      <c r="L108" s="119">
        <f>'2022'!V937</f>
        <v>0</v>
      </c>
      <c r="M108" s="119">
        <f>'2022'!Y937</f>
        <v>22</v>
      </c>
      <c r="N108" s="119">
        <f>'2022'!Z937</f>
        <v>22</v>
      </c>
      <c r="O108" s="119">
        <f>'2022'!AC937</f>
        <v>22</v>
      </c>
      <c r="P108" s="119">
        <f>'2022'!AD937</f>
        <v>0</v>
      </c>
      <c r="Q108" s="119">
        <f>'2022'!AG937</f>
        <v>22</v>
      </c>
      <c r="R108" s="119">
        <f>'2022'!AH937</f>
        <v>0</v>
      </c>
      <c r="S108" s="119">
        <f>'2022'!AK937</f>
        <v>22</v>
      </c>
      <c r="T108" s="119">
        <f>'2022'!AL937</f>
        <v>0</v>
      </c>
      <c r="U108" s="119">
        <f>'2022'!AO937</f>
        <v>22</v>
      </c>
      <c r="V108" s="119">
        <f>'2022'!AP937</f>
        <v>0</v>
      </c>
      <c r="W108" s="119">
        <f>'2022'!AS937</f>
        <v>22</v>
      </c>
      <c r="X108" s="119">
        <f>'2022'!AT937</f>
        <v>0</v>
      </c>
      <c r="Y108" s="119">
        <f>'2022'!AW937</f>
      </c>
      <c r="Z108" s="119">
        <f>'2022'!AX937</f>
        <v>-22</v>
      </c>
      <c r="AA108" s="119">
        <f>'2022'!BA937</f>
      </c>
      <c r="AB108" s="119">
        <f>'2022'!BB937</f>
      </c>
      <c r="AC108" s="119">
        <f>'2022'!BE937</f>
        <v>0</v>
      </c>
    </row>
    <row r="109" ht="15.75" customHeight="1" spans="1:29" x14ac:dyDescent="0.25">
      <c r="A109" s="14"/>
      <c r="B109" s="115">
        <v>102</v>
      </c>
      <c r="C109" s="115">
        <v>4.45</v>
      </c>
      <c r="D109" s="117" t="s">
        <v>331</v>
      </c>
      <c r="E109" s="119">
        <f>'2022'!I946</f>
        <v>47</v>
      </c>
      <c r="F109" s="119">
        <f>'2022'!J946</f>
      </c>
      <c r="G109" s="119">
        <f>'2022'!M946</f>
        <v>47</v>
      </c>
      <c r="H109" s="119">
        <f>'2022'!N946</f>
        <v>0</v>
      </c>
      <c r="I109" s="119">
        <f>'2022'!Q946</f>
        <v>47</v>
      </c>
      <c r="J109" s="119">
        <f>'2022'!R946</f>
        <v>0</v>
      </c>
      <c r="K109" s="119">
        <f>'2022'!U946</f>
        <v>47</v>
      </c>
      <c r="L109" s="119">
        <f>'2022'!V946</f>
        <v>0</v>
      </c>
      <c r="M109" s="119">
        <f>'2022'!Y946</f>
        <v>47</v>
      </c>
      <c r="N109" s="119">
        <f>'2022'!Z946</f>
        <v>0</v>
      </c>
      <c r="O109" s="119">
        <f>'2022'!AC946</f>
        <v>47</v>
      </c>
      <c r="P109" s="119">
        <f>'2022'!AD946</f>
        <v>0</v>
      </c>
      <c r="Q109" s="119">
        <f>'2022'!AG946</f>
        <v>47</v>
      </c>
      <c r="R109" s="119">
        <f>'2022'!AH946</f>
        <v>0</v>
      </c>
      <c r="S109" s="119">
        <f>'2022'!AK946</f>
        <v>47</v>
      </c>
      <c r="T109" s="119">
        <f>'2022'!AL946</f>
        <v>0</v>
      </c>
      <c r="U109" s="119">
        <f>'2022'!AO946</f>
        <v>47</v>
      </c>
      <c r="V109" s="119">
        <f>'2022'!AP946</f>
        <v>0</v>
      </c>
      <c r="W109" s="119">
        <f>'2022'!AS946</f>
        <v>47</v>
      </c>
      <c r="X109" s="119">
        <f>'2022'!AT946</f>
        <v>0</v>
      </c>
      <c r="Y109" s="119">
        <f>'2022'!AW946</f>
      </c>
      <c r="Z109" s="119">
        <f>'2022'!AX946</f>
        <v>-47</v>
      </c>
      <c r="AA109" s="119">
        <f>'2022'!BA946</f>
      </c>
      <c r="AB109" s="119">
        <f>'2022'!BB946</f>
      </c>
      <c r="AC109" s="119">
        <f>'2022'!BE946</f>
        <v>-47</v>
      </c>
    </row>
    <row r="110" ht="15.75" customHeight="1" spans="1:29" x14ac:dyDescent="0.25">
      <c r="A110" s="14"/>
      <c r="B110" s="115">
        <v>104</v>
      </c>
      <c r="C110" s="115">
        <v>4.42</v>
      </c>
      <c r="D110" s="117" t="s">
        <v>333</v>
      </c>
      <c r="E110" s="119">
        <f>'2022'!I955</f>
        <v>260</v>
      </c>
      <c r="F110" s="119">
        <f>'2022'!J955</f>
      </c>
      <c r="G110" s="119">
        <f>'2022'!M955</f>
        <v>260</v>
      </c>
      <c r="H110" s="119">
        <f>'2022'!N955</f>
        <v>0</v>
      </c>
      <c r="I110" s="119">
        <f>'2022'!Q955</f>
        <v>260</v>
      </c>
      <c r="J110" s="119">
        <f>'2022'!R955</f>
        <v>0</v>
      </c>
      <c r="K110" s="119">
        <f>'2022'!U955</f>
        <v>260</v>
      </c>
      <c r="L110" s="119">
        <f>'2022'!V955</f>
        <v>0</v>
      </c>
      <c r="M110" s="119">
        <f>'2022'!Y955</f>
        <v>264</v>
      </c>
      <c r="N110" s="119">
        <f>'2022'!Z955</f>
        <v>4</v>
      </c>
      <c r="O110" s="119">
        <f>'2022'!AC955</f>
        <v>279</v>
      </c>
      <c r="P110" s="119">
        <f>'2022'!AD955</f>
        <v>15</v>
      </c>
      <c r="Q110" s="119">
        <f>'2022'!AG955</f>
        <v>289</v>
      </c>
      <c r="R110" s="119">
        <f>'2022'!AH955</f>
        <v>10</v>
      </c>
      <c r="S110" s="119">
        <f>'2022'!AK955</f>
        <v>293</v>
      </c>
      <c r="T110" s="119">
        <f>'2022'!AL955</f>
        <v>4</v>
      </c>
      <c r="U110" s="119">
        <f>'2022'!AO955</f>
        <v>294</v>
      </c>
      <c r="V110" s="119">
        <f>'2022'!AP955</f>
        <v>1</v>
      </c>
      <c r="W110" s="119">
        <f>'2022'!AS955</f>
        <v>294</v>
      </c>
      <c r="X110" s="119">
        <f>'2022'!AT955</f>
        <v>0</v>
      </c>
      <c r="Y110" s="119">
        <f>'2022'!AW955</f>
      </c>
      <c r="Z110" s="119">
        <f>'2022'!AX955</f>
        <v>-294</v>
      </c>
      <c r="AA110" s="119">
        <f>'2022'!BA955</f>
      </c>
      <c r="AB110" s="119">
        <f>'2022'!BB955</f>
      </c>
      <c r="AC110" s="119">
        <f>'2022'!BE955</f>
        <v>-260</v>
      </c>
    </row>
    <row r="111" ht="15.75" customHeight="1" spans="1:29" x14ac:dyDescent="0.25">
      <c r="A111" s="14"/>
      <c r="B111" s="115">
        <v>106</v>
      </c>
      <c r="C111" s="115">
        <v>4.57</v>
      </c>
      <c r="D111" s="117" t="s">
        <v>336</v>
      </c>
      <c r="E111" s="119">
        <f>'2022'!I964</f>
        <v>22</v>
      </c>
      <c r="F111" s="119">
        <f>'2022'!J964</f>
      </c>
      <c r="G111" s="119">
        <f>'2022'!M964</f>
        <v>22</v>
      </c>
      <c r="H111" s="119">
        <f>'2022'!N964</f>
        <v>0</v>
      </c>
      <c r="I111" s="119">
        <f>'2022'!Q964</f>
        <v>22</v>
      </c>
      <c r="J111" s="119">
        <f>'2022'!R964</f>
        <v>0</v>
      </c>
      <c r="K111" s="119">
        <f>'2022'!U964</f>
        <v>22</v>
      </c>
      <c r="L111" s="119">
        <f>'2022'!V964</f>
        <v>0</v>
      </c>
      <c r="M111" s="119">
        <f>'2022'!Y964</f>
        <v>22</v>
      </c>
      <c r="N111" s="119">
        <f>'2022'!Z964</f>
        <v>0</v>
      </c>
      <c r="O111" s="119">
        <f>'2022'!AC964</f>
        <v>28</v>
      </c>
      <c r="P111" s="119">
        <f>'2022'!AD964</f>
        <v>6</v>
      </c>
      <c r="Q111" s="119">
        <f>'2022'!AG964</f>
        <v>32</v>
      </c>
      <c r="R111" s="119">
        <f>'2022'!AH964</f>
        <v>4</v>
      </c>
      <c r="S111" s="119">
        <f>'2022'!AK964</f>
        <v>34</v>
      </c>
      <c r="T111" s="119">
        <f>'2022'!AL964</f>
        <v>2</v>
      </c>
      <c r="U111" s="119">
        <f>'2022'!AO964</f>
        <v>34</v>
      </c>
      <c r="V111" s="119">
        <f>'2022'!AP964</f>
        <v>0</v>
      </c>
      <c r="W111" s="119">
        <f>'2022'!AS964</f>
        <v>34</v>
      </c>
      <c r="X111" s="119">
        <f>'2022'!AT964</f>
        <v>0</v>
      </c>
      <c r="Y111" s="119">
        <f>'2022'!AW964</f>
      </c>
      <c r="Z111" s="119">
        <f>'2022'!AX964</f>
        <v>-34</v>
      </c>
      <c r="AA111" s="119">
        <f>'2022'!BA964</f>
      </c>
      <c r="AB111" s="119">
        <f>'2022'!BB964</f>
      </c>
      <c r="AC111" s="119">
        <f>'2022'!BE964</f>
        <v>-22</v>
      </c>
    </row>
    <row r="112" ht="15.75" customHeight="1" spans="1:29" x14ac:dyDescent="0.25">
      <c r="A112" s="14"/>
      <c r="B112" s="115">
        <v>108</v>
      </c>
      <c r="C112" s="115">
        <v>4.32</v>
      </c>
      <c r="D112" s="117" t="s">
        <v>339</v>
      </c>
      <c r="E112" s="119">
        <f>'2022'!I973</f>
      </c>
      <c r="F112" s="119">
        <f>'2022'!J973</f>
      </c>
      <c r="G112" s="119">
        <f>'2022'!M973</f>
      </c>
      <c r="H112" s="119">
        <f>'2022'!N973</f>
        <v>0</v>
      </c>
      <c r="I112" s="119">
        <f>'2022'!Q973</f>
      </c>
      <c r="J112" s="119">
        <f>'2022'!R973</f>
        <v>0</v>
      </c>
      <c r="K112" s="119">
        <f>'2022'!U973</f>
      </c>
      <c r="L112" s="119">
        <f>'2022'!V973</f>
        <v>0</v>
      </c>
      <c r="M112" s="119">
        <f>'2022'!Y973</f>
        <v>147</v>
      </c>
      <c r="N112" s="119">
        <f>'2022'!Z973</f>
        <v>0</v>
      </c>
      <c r="O112" s="119">
        <f>'2022'!AC973</f>
        <v>147</v>
      </c>
      <c r="P112" s="119">
        <f>'2022'!AD973</f>
        <v>0</v>
      </c>
      <c r="Q112" s="119">
        <f>'2022'!AG973</f>
        <v>147</v>
      </c>
      <c r="R112" s="119">
        <f>'2022'!AH973</f>
        <v>0</v>
      </c>
      <c r="S112" s="119">
        <f>'2022'!AK973</f>
        <v>147</v>
      </c>
      <c r="T112" s="119">
        <f>'2022'!AL973</f>
        <v>0</v>
      </c>
      <c r="U112" s="119">
        <f>'2022'!AO973</f>
        <v>147</v>
      </c>
      <c r="V112" s="119">
        <f>'2022'!AP973</f>
        <v>0</v>
      </c>
      <c r="W112" s="119">
        <f>'2022'!AS973</f>
        <v>147</v>
      </c>
      <c r="X112" s="119">
        <f>'2022'!AT973</f>
        <v>0</v>
      </c>
      <c r="Y112" s="119">
        <f>'2022'!AW973</f>
      </c>
      <c r="Z112" s="119">
        <f>'2022'!AX973</f>
        <v>-147</v>
      </c>
      <c r="AA112" s="119">
        <f>'2022'!BA973</f>
      </c>
      <c r="AB112" s="119">
        <f>'2022'!BB973</f>
      </c>
      <c r="AC112" s="119">
        <f>'2022'!BE973</f>
        <v>-147</v>
      </c>
    </row>
    <row r="113" ht="15.75" customHeight="1" spans="1:29" x14ac:dyDescent="0.25">
      <c r="A113" s="14"/>
      <c r="B113" s="115">
        <v>109</v>
      </c>
      <c r="C113" s="115">
        <v>6.22</v>
      </c>
      <c r="D113" s="2" t="s">
        <v>455</v>
      </c>
      <c r="E113" s="119">
        <f>'2022'!I982</f>
        <v>11</v>
      </c>
      <c r="F113" s="119">
        <f>'2022'!J982</f>
      </c>
      <c r="G113" s="119">
        <f>'2022'!M982</f>
        <v>11</v>
      </c>
      <c r="H113" s="119">
        <f>'2022'!N982</f>
        <v>0</v>
      </c>
      <c r="I113" s="119">
        <f>'2022'!Q982</f>
        <v>11</v>
      </c>
      <c r="J113" s="119">
        <f>'2022'!R982</f>
        <v>0</v>
      </c>
      <c r="K113" s="119">
        <f>'2022'!U982</f>
        <v>11</v>
      </c>
      <c r="L113" s="119">
        <f>'2022'!V982</f>
        <v>0</v>
      </c>
      <c r="M113" s="119">
        <f>'2022'!Y982</f>
        <v>11</v>
      </c>
      <c r="N113" s="119">
        <f>'2022'!Z982</f>
        <v>0</v>
      </c>
      <c r="O113" s="119">
        <f>'2022'!AC982</f>
        <v>12</v>
      </c>
      <c r="P113" s="119">
        <f>'2022'!AD982</f>
        <v>1</v>
      </c>
      <c r="Q113" s="119">
        <f>'2022'!AG982</f>
        <v>13</v>
      </c>
      <c r="R113" s="119">
        <f>'2022'!AH982</f>
        <v>1</v>
      </c>
      <c r="S113" s="119">
        <f>'2022'!AK982</f>
        <v>13</v>
      </c>
      <c r="T113" s="119">
        <f>'2022'!AL982</f>
        <v>0</v>
      </c>
      <c r="U113" s="119">
        <f>'2022'!AO982</f>
        <v>13</v>
      </c>
      <c r="V113" s="119">
        <f>'2022'!AP982</f>
        <v>0</v>
      </c>
      <c r="W113" s="119">
        <f>'2022'!AS982</f>
        <v>13</v>
      </c>
      <c r="X113" s="119">
        <f>'2022'!AT982</f>
        <v>0</v>
      </c>
      <c r="Y113" s="119">
        <f>'2022'!AW982</f>
      </c>
      <c r="Z113" s="119">
        <f>'2022'!AX982</f>
        <v>-13</v>
      </c>
      <c r="AA113" s="119">
        <f>'2022'!BA982</f>
      </c>
      <c r="AB113" s="119">
        <f>'2022'!BB982</f>
      </c>
      <c r="AC113" s="119">
        <f>'2022'!BE982</f>
        <v>-11</v>
      </c>
    </row>
    <row r="114" ht="15.75" customHeight="1" spans="1:29" x14ac:dyDescent="0.25">
      <c r="A114" s="14"/>
      <c r="B114" s="115">
        <v>110</v>
      </c>
      <c r="C114" s="115">
        <v>4.91</v>
      </c>
      <c r="D114" s="117" t="s">
        <v>342</v>
      </c>
      <c r="E114" s="119">
        <f>'2022'!I991</f>
        <v>41</v>
      </c>
      <c r="F114" s="119">
        <f>'2022'!J991</f>
      </c>
      <c r="G114" s="119">
        <f>'2022'!M991</f>
        <v>41</v>
      </c>
      <c r="H114" s="119">
        <f>'2022'!N991</f>
        <v>0</v>
      </c>
      <c r="I114" s="119">
        <f>'2022'!Q991</f>
        <v>41</v>
      </c>
      <c r="J114" s="119">
        <f>'2022'!R991</f>
        <v>0</v>
      </c>
      <c r="K114" s="119">
        <f>'2022'!U991</f>
        <v>41</v>
      </c>
      <c r="L114" s="119">
        <f>'2022'!V991</f>
        <v>0</v>
      </c>
      <c r="M114" s="119">
        <f>'2022'!Y991</f>
        <v>0</v>
      </c>
      <c r="N114" s="119">
        <f>'2022'!Z991</f>
        <v>0</v>
      </c>
      <c r="O114" s="119">
        <f>'2022'!AC991</f>
        <v>5</v>
      </c>
      <c r="P114" s="119">
        <f>'2022'!AD991</f>
        <v>5</v>
      </c>
      <c r="Q114" s="119">
        <f>'2022'!AG991</f>
        <v>5</v>
      </c>
      <c r="R114" s="119">
        <f>'2022'!AH991</f>
        <v>0</v>
      </c>
      <c r="S114" s="119">
        <f>'2022'!AK991</f>
        <v>13</v>
      </c>
      <c r="T114" s="119">
        <f>'2022'!AL991</f>
        <v>8</v>
      </c>
      <c r="U114" s="119">
        <f>'2022'!AO991</f>
        <v>16</v>
      </c>
      <c r="V114" s="119">
        <f>'2022'!AP991</f>
        <v>3</v>
      </c>
      <c r="W114" s="119">
        <f>'2022'!AS991</f>
        <v>16</v>
      </c>
      <c r="X114" s="119">
        <f>'2022'!AT991</f>
        <v>0</v>
      </c>
      <c r="Y114" s="119">
        <f>'2022'!AW991</f>
      </c>
      <c r="Z114" s="119">
        <f>'2022'!AX991</f>
        <v>-16</v>
      </c>
      <c r="AA114" s="119">
        <f>'2022'!BA991</f>
      </c>
      <c r="AB114" s="119">
        <f>'2022'!BB991</f>
      </c>
      <c r="AC114" s="119">
        <f>'2022'!BE991</f>
        <v>0</v>
      </c>
    </row>
    <row r="115" ht="15.75" customHeight="1" spans="1:29" x14ac:dyDescent="0.25">
      <c r="A115" s="14"/>
      <c r="B115" s="115">
        <v>111</v>
      </c>
      <c r="C115" s="116">
        <v>6.8</v>
      </c>
      <c r="D115" s="117" t="s">
        <v>280</v>
      </c>
      <c r="E115" s="119">
        <f>'2022'!I1000</f>
        <v>15</v>
      </c>
      <c r="F115" s="119">
        <f>'2022'!J1000</f>
      </c>
      <c r="G115" s="119">
        <f>'2022'!M1000</f>
        <v>15</v>
      </c>
      <c r="H115" s="119">
        <f>'2022'!N1000</f>
        <v>0</v>
      </c>
      <c r="I115" s="119">
        <f>'2022'!Q1000</f>
        <v>15</v>
      </c>
      <c r="J115" s="119">
        <f>'2022'!R1000</f>
        <v>0</v>
      </c>
      <c r="K115" s="119">
        <f>'2022'!U1000</f>
        <v>15</v>
      </c>
      <c r="L115" s="119">
        <f>'2022'!V1000</f>
        <v>0</v>
      </c>
      <c r="M115" s="119">
        <f>'2022'!Y1000</f>
        <v>20</v>
      </c>
      <c r="N115" s="119">
        <f>'2022'!Z1000</f>
        <v>5</v>
      </c>
      <c r="O115" s="119">
        <f>'2022'!AC1000</f>
        <v>25</v>
      </c>
      <c r="P115" s="119">
        <f>'2022'!AD1000</f>
        <v>5</v>
      </c>
      <c r="Q115" s="119">
        <f>'2022'!AG1000</f>
        <v>27</v>
      </c>
      <c r="R115" s="119">
        <f>'2022'!AH1000</f>
        <v>2</v>
      </c>
      <c r="S115" s="119">
        <f>'2022'!AK1000</f>
        <v>28</v>
      </c>
      <c r="T115" s="119">
        <f>'2022'!AL1000</f>
        <v>1</v>
      </c>
      <c r="U115" s="119">
        <f>'2022'!AO1000</f>
        <v>28</v>
      </c>
      <c r="V115" s="119">
        <f>'2022'!AP1000</f>
        <v>0</v>
      </c>
      <c r="W115" s="119">
        <f>'2022'!AS1000</f>
        <v>28</v>
      </c>
      <c r="X115" s="119">
        <f>'2022'!AT1000</f>
        <v>0</v>
      </c>
      <c r="Y115" s="119">
        <f>'2022'!AW1000</f>
      </c>
      <c r="Z115" s="119">
        <f>'2022'!AX1000</f>
        <v>-28</v>
      </c>
      <c r="AA115" s="119">
        <f>'2022'!BA1000</f>
      </c>
      <c r="AB115" s="119">
        <f>'2022'!BB1000</f>
      </c>
      <c r="AC115" s="119">
        <f>'2022'!BE1000</f>
        <v>-15</v>
      </c>
    </row>
    <row r="116" ht="15.75" customHeight="1" spans="1:29" x14ac:dyDescent="0.25">
      <c r="A116" s="14"/>
      <c r="B116" s="115">
        <v>112</v>
      </c>
      <c r="C116" s="115">
        <v>4.94</v>
      </c>
      <c r="D116" s="117" t="s">
        <v>347</v>
      </c>
      <c r="E116" s="119">
        <f>'2022'!I1009</f>
        <v>52</v>
      </c>
      <c r="F116" s="119">
        <f>'2022'!J1009</f>
      </c>
      <c r="G116" s="119">
        <f>'2022'!M1009</f>
        <v>52</v>
      </c>
      <c r="H116" s="119">
        <f>'2022'!N1009</f>
        <v>0</v>
      </c>
      <c r="I116" s="119">
        <f>'2022'!Q1009</f>
        <v>52</v>
      </c>
      <c r="J116" s="119">
        <f>'2022'!R1009</f>
        <v>0</v>
      </c>
      <c r="K116" s="119">
        <f>'2022'!U1009</f>
        <v>52</v>
      </c>
      <c r="L116" s="119">
        <f>'2022'!V1009</f>
        <v>0</v>
      </c>
      <c r="M116" s="119">
        <f>'2022'!Y1009</f>
        <v>69</v>
      </c>
      <c r="N116" s="119">
        <f>'2022'!Z1009</f>
        <v>17</v>
      </c>
      <c r="O116" s="119">
        <f>'2022'!AC1009</f>
        <v>69</v>
      </c>
      <c r="P116" s="119">
        <f>'2022'!AD1009</f>
        <v>0</v>
      </c>
      <c r="Q116" s="119">
        <f>'2022'!AG1009</f>
        <v>79</v>
      </c>
      <c r="R116" s="119">
        <f>'2022'!AH1009</f>
        <v>10</v>
      </c>
      <c r="S116" s="119">
        <f>'2022'!AK1009</f>
        <v>79</v>
      </c>
      <c r="T116" s="119">
        <f>'2022'!AL1009</f>
        <v>0</v>
      </c>
      <c r="U116" s="119">
        <f>'2022'!AO1009</f>
        <v>79</v>
      </c>
      <c r="V116" s="119">
        <f>'2022'!AP1009</f>
        <v>0</v>
      </c>
      <c r="W116" s="119">
        <f>'2022'!AS1009</f>
        <v>79</v>
      </c>
      <c r="X116" s="119">
        <f>'2022'!AT1009</f>
        <v>0</v>
      </c>
      <c r="Y116" s="119">
        <f>'2022'!AW1009</f>
      </c>
      <c r="Z116" s="119">
        <f>'2022'!AX1009</f>
        <v>-79</v>
      </c>
      <c r="AA116" s="119">
        <f>'2022'!BA1009</f>
      </c>
      <c r="AB116" s="119">
        <f>'2022'!BB1009</f>
      </c>
      <c r="AC116" s="119">
        <f>'2022'!BE1009</f>
        <v>-52</v>
      </c>
    </row>
    <row r="117" ht="15.75" customHeight="1" spans="1:29" x14ac:dyDescent="0.25">
      <c r="A117" s="14"/>
      <c r="B117" s="115">
        <v>113</v>
      </c>
      <c r="C117" s="115">
        <v>4.98</v>
      </c>
      <c r="D117" s="117" t="s">
        <v>348</v>
      </c>
      <c r="E117" s="119">
        <f>'2022'!I1018</f>
      </c>
      <c r="F117" s="119">
        <f>'2022'!J1018</f>
      </c>
      <c r="G117" s="119">
        <f>'2022'!M1018</f>
      </c>
      <c r="H117" s="119">
        <f>'2022'!N1018</f>
        <v>0</v>
      </c>
      <c r="I117" s="119">
        <f>'2022'!Q1018</f>
      </c>
      <c r="J117" s="119">
        <f>'2022'!R1018</f>
        <v>0</v>
      </c>
      <c r="K117" s="119">
        <f>'2022'!U1018</f>
      </c>
      <c r="L117" s="119">
        <f>'2022'!V1018</f>
        <v>0</v>
      </c>
      <c r="M117" s="119">
        <f>'2022'!Y1018</f>
      </c>
      <c r="N117" s="119">
        <f>'2022'!Z1018</f>
        <v>0</v>
      </c>
      <c r="O117" s="119">
        <f>'2022'!AC1018</f>
      </c>
      <c r="P117" s="119">
        <f>'2022'!AD1018</f>
        <v>0</v>
      </c>
      <c r="Q117" s="119">
        <f>'2022'!AG1018</f>
      </c>
      <c r="R117" s="119">
        <f>'2022'!AH1018</f>
        <v>0</v>
      </c>
      <c r="S117" s="119">
        <f>'2022'!AK1018</f>
      </c>
      <c r="T117" s="119">
        <f>'2022'!AL1018</f>
        <v>0</v>
      </c>
      <c r="U117" s="119">
        <f>'2022'!AO1018</f>
      </c>
      <c r="V117" s="119">
        <f>'2022'!AP1018</f>
        <v>0</v>
      </c>
      <c r="W117" s="119">
        <f>'2022'!AS1018</f>
      </c>
      <c r="X117" s="119">
        <f>'2022'!AT1018</f>
        <v>0</v>
      </c>
      <c r="Y117" s="119">
        <f>'2022'!AW1018</f>
      </c>
      <c r="Z117" s="119">
        <f>'2022'!AX1018</f>
        <v>0</v>
      </c>
      <c r="AA117" s="119">
        <f>'2022'!BA1018</f>
      </c>
      <c r="AB117" s="119">
        <f>'2022'!BB1018</f>
      </c>
      <c r="AC117" s="119">
        <f>'2022'!BE1018</f>
        <v>0</v>
      </c>
    </row>
    <row r="118" ht="15.75" customHeight="1" spans="1:29" x14ac:dyDescent="0.25">
      <c r="A118" s="14"/>
      <c r="B118" s="118">
        <v>114</v>
      </c>
      <c r="C118" s="115">
        <v>4.86</v>
      </c>
      <c r="D118" s="117" t="s">
        <v>245</v>
      </c>
      <c r="E118" s="119">
        <f>'2022'!I1027</f>
        <v>93</v>
      </c>
      <c r="F118" s="119">
        <f>'2022'!J1027</f>
      </c>
      <c r="G118" s="119">
        <f>'2022'!M1027</f>
        <v>93</v>
      </c>
      <c r="H118" s="119">
        <f>'2022'!N1027</f>
        <v>0</v>
      </c>
      <c r="I118" s="119">
        <f>'2022'!Q1027</f>
        <v>93</v>
      </c>
      <c r="J118" s="119">
        <f>'2022'!R1027</f>
        <v>0</v>
      </c>
      <c r="K118" s="119">
        <f>'2022'!U1027</f>
        <v>94</v>
      </c>
      <c r="L118" s="119">
        <f>'2022'!V1027</f>
        <v>1</v>
      </c>
      <c r="M118" s="119">
        <f>'2022'!Y1027</f>
        <v>0</v>
      </c>
      <c r="N118" s="119">
        <f>'2022'!Z1027</f>
        <v>0</v>
      </c>
      <c r="O118" s="119">
        <f>'2022'!AC1027</f>
        <v>30</v>
      </c>
      <c r="P118" s="119">
        <f>'2022'!AD1027</f>
        <v>30</v>
      </c>
      <c r="Q118" s="119">
        <f>'2022'!AG1027</f>
        <v>30</v>
      </c>
      <c r="R118" s="119">
        <f>'2022'!AH1027</f>
        <v>0</v>
      </c>
      <c r="S118" s="119">
        <f>'2022'!AK1027</f>
        <v>61</v>
      </c>
      <c r="T118" s="119">
        <f>'2022'!AL1027</f>
        <v>31</v>
      </c>
      <c r="U118" s="119">
        <f>'2022'!AO1027</f>
        <v>73</v>
      </c>
      <c r="V118" s="119">
        <f>'2022'!AP1027</f>
        <v>12</v>
      </c>
      <c r="W118" s="119">
        <f>'2022'!AS1027</f>
        <v>73</v>
      </c>
      <c r="X118" s="119">
        <f>'2022'!AT1027</f>
        <v>0</v>
      </c>
      <c r="Y118" s="119">
        <f>'2022'!AW1027</f>
      </c>
      <c r="Z118" s="119">
        <f>'2022'!AX1027</f>
        <v>-73</v>
      </c>
      <c r="AA118" s="119">
        <f>'2022'!BA1027</f>
      </c>
      <c r="AB118" s="119">
        <f>'2022'!BB1027</f>
      </c>
      <c r="AC118" s="119">
        <f>'2022'!BE1027</f>
        <v>1</v>
      </c>
    </row>
    <row r="119" ht="15.75" customHeight="1" spans="1:29" x14ac:dyDescent="0.25">
      <c r="A119" s="117"/>
      <c r="B119" s="115" t="s">
        <v>350</v>
      </c>
      <c r="C119" s="116">
        <f>SUM(C5:C118)</f>
        <v>505.74</v>
      </c>
      <c r="D119" s="117"/>
      <c r="E119" s="119">
        <f t="shared" ref="E119:AC119" si="0">SUM(E5:E118)</f>
        <v>12743</v>
      </c>
      <c r="F119" s="119">
        <f t="shared" si="0"/>
        <v>0</v>
      </c>
      <c r="G119" s="119">
        <f t="shared" si="0"/>
        <v>12743</v>
      </c>
      <c r="H119" s="119">
        <f t="shared" si="0"/>
        <v>0</v>
      </c>
      <c r="I119" s="119">
        <f t="shared" si="0"/>
        <v>12743</v>
      </c>
      <c r="J119" s="119">
        <f t="shared" si="0"/>
        <v>0</v>
      </c>
      <c r="K119" s="119">
        <f t="shared" si="0"/>
        <v>12687</v>
      </c>
      <c r="L119" s="119">
        <f t="shared" si="0"/>
        <v>13</v>
      </c>
      <c r="M119" s="119">
        <f t="shared" si="0"/>
        <v>13838</v>
      </c>
      <c r="N119" s="119">
        <f t="shared" si="0"/>
        <v>553</v>
      </c>
      <c r="O119" s="119">
        <f t="shared" si="0"/>
        <v>14372</v>
      </c>
      <c r="P119" s="119">
        <f t="shared" si="0"/>
        <v>655</v>
      </c>
      <c r="Q119" s="119">
        <f t="shared" si="0"/>
        <v>14772</v>
      </c>
      <c r="R119" s="119">
        <f t="shared" si="0"/>
        <v>519</v>
      </c>
      <c r="S119" s="119">
        <f t="shared" si="0"/>
        <v>15195</v>
      </c>
      <c r="T119" s="119">
        <f t="shared" si="0"/>
        <v>455</v>
      </c>
      <c r="U119" s="119">
        <f t="shared" si="0"/>
        <v>15453</v>
      </c>
      <c r="V119" s="119">
        <f t="shared" si="0"/>
        <v>290</v>
      </c>
      <c r="W119" s="119">
        <f t="shared" si="0"/>
        <v>15453</v>
      </c>
      <c r="X119" s="119">
        <f t="shared" si="0"/>
        <v>49</v>
      </c>
      <c r="Y119" s="119">
        <f t="shared" si="0"/>
        <v>0</v>
      </c>
      <c r="Z119" s="119">
        <f t="shared" si="0"/>
        <v>-15161</v>
      </c>
      <c r="AA119" s="119">
        <f t="shared" si="0"/>
        <v>0</v>
      </c>
      <c r="AB119" s="119">
        <f t="shared" si="0"/>
        <v>0</v>
      </c>
      <c r="AC119" s="119">
        <f t="shared" si="0"/>
        <v>-12431</v>
      </c>
    </row>
    <row r="120" ht="15.75" customHeight="1" spans="1:3" x14ac:dyDescent="0.25">
      <c r="A120" s="15"/>
      <c r="B120" s="112"/>
      <c r="C120" s="112"/>
    </row>
    <row r="121" ht="15.75" customHeight="1" spans="1:29" x14ac:dyDescent="0.25" outlineLevel="1" collapsed="1">
      <c r="A121" s="15"/>
      <c r="B121" s="112"/>
      <c r="C121" s="112"/>
      <c r="E121" s="120" t="b">
        <f>E119='2022'!I1038</f>
        <v>1</v>
      </c>
      <c r="F121" s="120" t="b">
        <f>F119='2022'!J1038</f>
        <v>1</v>
      </c>
      <c r="G121" s="120" t="b">
        <f>G119='2022'!M1038</f>
        <v>1</v>
      </c>
      <c r="H121" s="120" t="b">
        <f>H119='2022'!N1038</f>
        <v>1</v>
      </c>
      <c r="I121" s="120" t="b">
        <f>I119='2022'!Q1038</f>
        <v>1</v>
      </c>
      <c r="J121" s="120" t="b">
        <f>J119='2022'!R1038</f>
        <v>1</v>
      </c>
      <c r="K121" s="120" t="b">
        <f>K119='2022'!U1038</f>
        <v>1</v>
      </c>
      <c r="L121" s="120" t="b">
        <f>L119='2022'!V1038</f>
        <v>1</v>
      </c>
      <c r="M121" s="120" t="b">
        <f>M119='2022'!Y1038</f>
        <v>1</v>
      </c>
      <c r="N121" s="120" t="b">
        <f>N119='2022'!Z1038</f>
        <v>1</v>
      </c>
      <c r="O121" s="120" t="b">
        <f>O119='2022'!AC1038</f>
        <v>1</v>
      </c>
      <c r="P121" s="120" t="b">
        <f>P119='2022'!AD1038</f>
        <v>1</v>
      </c>
      <c r="Q121" s="120" t="b">
        <f>Q119='2022'!AG1038</f>
        <v>1</v>
      </c>
      <c r="R121" s="120" t="b">
        <f>R119='2022'!AH1038</f>
        <v>1</v>
      </c>
      <c r="S121" s="120" t="b">
        <f>S119='2022'!AK1038</f>
        <v>1</v>
      </c>
      <c r="T121" s="120" t="b">
        <f>T119='2022'!AL1038</f>
        <v>1</v>
      </c>
      <c r="U121" s="120" t="b">
        <f>U119='2022'!AO1038</f>
        <v>1</v>
      </c>
      <c r="V121" s="120" t="b">
        <f>V119='2022'!AP1038</f>
        <v>1</v>
      </c>
      <c r="W121" s="120" t="b">
        <f>W119='2022'!AS1038</f>
        <v>1</v>
      </c>
      <c r="X121" s="120" t="b">
        <f>X119='2022'!AT1038</f>
        <v>1</v>
      </c>
      <c r="Y121" s="120" t="b">
        <f>Y119='2022'!AW1038</f>
        <v>1</v>
      </c>
      <c r="Z121" s="120" t="b">
        <f>Z119='2022'!AX1038</f>
        <v>1</v>
      </c>
      <c r="AA121" s="120" t="b">
        <f>AA119='2022'!BA1038</f>
        <v>1</v>
      </c>
      <c r="AB121" s="120" t="b">
        <f>AB119='2022'!BB1038</f>
        <v>1</v>
      </c>
      <c r="AC121" s="120" t="b">
        <f>AC119='2022'!BE1038</f>
        <v>0</v>
      </c>
    </row>
    <row r="122" ht="15.75" customHeight="1" spans="1:29" x14ac:dyDescent="0.25">
      <c r="A122" s="15"/>
      <c r="B122" s="112"/>
      <c r="C122" s="112"/>
      <c r="AC122" s="120" t="b">
        <f>AC119=F119+H119+J119+L119+N119+P119+R119+T119+V119+X119+Z119+AB119</f>
        <v>0</v>
      </c>
    </row>
    <row r="123" ht="15.75" customHeight="1" spans="1:3" x14ac:dyDescent="0.25">
      <c r="A123" s="15"/>
      <c r="B123" s="112"/>
      <c r="C123" s="112"/>
    </row>
    <row r="124" ht="15.75" customHeight="1" spans="1:3" x14ac:dyDescent="0.25">
      <c r="A124" s="15"/>
      <c r="B124" s="112"/>
      <c r="C124" s="112"/>
    </row>
    <row r="125" ht="15.75" customHeight="1" spans="1:3" x14ac:dyDescent="0.25">
      <c r="A125" s="15"/>
      <c r="B125" s="112"/>
      <c r="C125" s="112"/>
    </row>
    <row r="126" ht="15.75" customHeight="1" spans="1:3" x14ac:dyDescent="0.25">
      <c r="A126" s="15"/>
      <c r="B126" s="112"/>
      <c r="C126" s="112"/>
    </row>
    <row r="127" ht="15.75" customHeight="1" spans="1:3" x14ac:dyDescent="0.25">
      <c r="A127" s="15"/>
      <c r="B127" s="112"/>
      <c r="C127" s="112"/>
    </row>
    <row r="128" ht="15.75" customHeight="1" spans="1:3" x14ac:dyDescent="0.25">
      <c r="A128" s="15"/>
      <c r="B128" s="112"/>
      <c r="C128" s="112"/>
    </row>
    <row r="129" ht="15.75" customHeight="1" spans="1:3" x14ac:dyDescent="0.25">
      <c r="A129" s="15"/>
      <c r="B129" s="112"/>
      <c r="C129" s="112"/>
    </row>
    <row r="130" ht="15.75" customHeight="1" spans="1:3" x14ac:dyDescent="0.25">
      <c r="A130" s="15"/>
      <c r="B130" s="112"/>
      <c r="C130" s="112"/>
    </row>
    <row r="131" ht="15.75" customHeight="1" spans="1:3" x14ac:dyDescent="0.25">
      <c r="A131" s="15"/>
      <c r="B131" s="112"/>
      <c r="C131" s="112"/>
    </row>
    <row r="132" ht="15.75" customHeight="1" spans="1:3" x14ac:dyDescent="0.25">
      <c r="A132" s="15"/>
      <c r="B132" s="112"/>
      <c r="C132" s="112"/>
    </row>
    <row r="133" ht="15.75" customHeight="1" spans="1:3" x14ac:dyDescent="0.25">
      <c r="A133" s="15"/>
      <c r="B133" s="112"/>
      <c r="C133" s="112"/>
    </row>
    <row r="134" ht="15.75" customHeight="1" spans="1:3" x14ac:dyDescent="0.25">
      <c r="A134" s="15"/>
      <c r="B134" s="112"/>
      <c r="C134" s="112"/>
    </row>
    <row r="135" ht="15.75" customHeight="1" spans="1:3" x14ac:dyDescent="0.25">
      <c r="A135" s="15"/>
      <c r="B135" s="112"/>
      <c r="C135" s="112"/>
    </row>
    <row r="136" ht="15.75" customHeight="1" spans="1:3" x14ac:dyDescent="0.25">
      <c r="A136" s="15"/>
      <c r="B136" s="112"/>
      <c r="C136" s="112"/>
    </row>
    <row r="137" ht="15.75" customHeight="1" spans="1:3" x14ac:dyDescent="0.25">
      <c r="A137" s="15"/>
      <c r="B137" s="112"/>
      <c r="C137" s="112"/>
    </row>
    <row r="138" ht="15.75" customHeight="1" spans="1:3" x14ac:dyDescent="0.25">
      <c r="A138" s="15"/>
      <c r="B138" s="112"/>
      <c r="C138" s="112"/>
    </row>
    <row r="139" ht="15.75" customHeight="1" spans="1:3" x14ac:dyDescent="0.25">
      <c r="A139" s="15"/>
      <c r="B139" s="112"/>
      <c r="C139" s="112"/>
    </row>
    <row r="140" ht="15.75" customHeight="1" spans="1:3" x14ac:dyDescent="0.25">
      <c r="A140" s="15"/>
      <c r="B140" s="112"/>
      <c r="C140" s="112"/>
    </row>
    <row r="141" ht="15.75" customHeight="1" spans="1:3" x14ac:dyDescent="0.25">
      <c r="A141" s="15"/>
      <c r="B141" s="112"/>
      <c r="C141" s="112"/>
    </row>
    <row r="142" ht="15.75" customHeight="1" spans="1:3" x14ac:dyDescent="0.25">
      <c r="A142" s="15"/>
      <c r="B142" s="112"/>
      <c r="C142" s="112"/>
    </row>
    <row r="143" ht="15.75" customHeight="1" spans="1:3" x14ac:dyDescent="0.25">
      <c r="A143" s="15"/>
      <c r="B143" s="112"/>
      <c r="C143" s="112"/>
    </row>
    <row r="144" ht="15.75" customHeight="1" spans="1:3" x14ac:dyDescent="0.25">
      <c r="A144" s="15"/>
      <c r="B144" s="112"/>
      <c r="C144" s="112"/>
    </row>
    <row r="145" ht="15.75" customHeight="1" spans="1:3" x14ac:dyDescent="0.25">
      <c r="A145" s="15"/>
      <c r="B145" s="112"/>
      <c r="C145" s="112"/>
    </row>
    <row r="146" ht="15.75" customHeight="1" spans="1:3" x14ac:dyDescent="0.25">
      <c r="A146" s="15"/>
      <c r="B146" s="112"/>
      <c r="C146" s="112"/>
    </row>
    <row r="147" ht="15.75" customHeight="1" spans="1:3" x14ac:dyDescent="0.25">
      <c r="A147" s="15"/>
      <c r="B147" s="112"/>
      <c r="C147" s="112"/>
    </row>
    <row r="148" ht="15.75" customHeight="1" spans="1:3" x14ac:dyDescent="0.25">
      <c r="A148" s="15"/>
      <c r="B148" s="112"/>
      <c r="C148" s="112"/>
    </row>
    <row r="149" ht="15.75" customHeight="1" spans="1:3" x14ac:dyDescent="0.25">
      <c r="A149" s="15"/>
      <c r="B149" s="112"/>
      <c r="C149" s="112"/>
    </row>
    <row r="150" ht="15.75" customHeight="1" spans="1:3" x14ac:dyDescent="0.25">
      <c r="A150" s="15"/>
      <c r="B150" s="112"/>
      <c r="C150" s="112"/>
    </row>
    <row r="151" ht="15.75" customHeight="1" spans="1:3" x14ac:dyDescent="0.25">
      <c r="A151" s="15"/>
      <c r="B151" s="112"/>
      <c r="C151" s="112"/>
    </row>
    <row r="152" ht="15.75" customHeight="1" spans="1:3" x14ac:dyDescent="0.25">
      <c r="A152" s="15"/>
      <c r="B152" s="112"/>
      <c r="C152" s="112"/>
    </row>
    <row r="153" ht="15.75" customHeight="1" spans="1:3" x14ac:dyDescent="0.25">
      <c r="A153" s="15"/>
      <c r="B153" s="112"/>
      <c r="C153" s="112"/>
    </row>
    <row r="154" ht="15.75" customHeight="1" spans="1:3" x14ac:dyDescent="0.25">
      <c r="A154" s="15"/>
      <c r="B154" s="112"/>
      <c r="C154" s="112"/>
    </row>
    <row r="155" ht="15.75" customHeight="1" spans="1:3" x14ac:dyDescent="0.25">
      <c r="A155" s="15"/>
      <c r="B155" s="112"/>
      <c r="C155" s="112"/>
    </row>
    <row r="156" ht="15.75" customHeight="1" spans="1:3" x14ac:dyDescent="0.25">
      <c r="A156" s="15"/>
      <c r="B156" s="112"/>
      <c r="C156" s="112"/>
    </row>
    <row r="157" ht="15.75" customHeight="1" spans="1:3" x14ac:dyDescent="0.25">
      <c r="A157" s="15"/>
      <c r="B157" s="112"/>
      <c r="C157" s="112"/>
    </row>
    <row r="158" ht="15.75" customHeight="1" spans="1:3" x14ac:dyDescent="0.25">
      <c r="A158" s="15"/>
      <c r="B158" s="112"/>
      <c r="C158" s="112"/>
    </row>
    <row r="159" ht="15.75" customHeight="1" spans="1:3" x14ac:dyDescent="0.25">
      <c r="A159" s="15"/>
      <c r="B159" s="112"/>
      <c r="C159" s="112"/>
    </row>
    <row r="160" ht="15.75" customHeight="1" spans="1:3" x14ac:dyDescent="0.25">
      <c r="A160" s="15"/>
      <c r="B160" s="112"/>
      <c r="C160" s="112"/>
    </row>
    <row r="161" ht="15.75" customHeight="1" spans="1:3" x14ac:dyDescent="0.25">
      <c r="A161" s="15"/>
      <c r="B161" s="112"/>
      <c r="C161" s="112"/>
    </row>
    <row r="162" ht="15.75" customHeight="1" spans="1:3" x14ac:dyDescent="0.25">
      <c r="A162" s="15"/>
      <c r="B162" s="112"/>
      <c r="C162" s="112"/>
    </row>
    <row r="163" ht="15.75" customHeight="1" spans="1:3" x14ac:dyDescent="0.25">
      <c r="A163" s="15"/>
      <c r="B163" s="112"/>
      <c r="C163" s="112"/>
    </row>
    <row r="164" ht="15.75" customHeight="1" spans="1:3" x14ac:dyDescent="0.25">
      <c r="A164" s="15"/>
      <c r="B164" s="112"/>
      <c r="C164" s="112"/>
    </row>
    <row r="165" ht="15.75" customHeight="1" spans="1:3" x14ac:dyDescent="0.25">
      <c r="A165" s="15"/>
      <c r="B165" s="112"/>
      <c r="C165" s="112"/>
    </row>
    <row r="166" ht="15.75" customHeight="1" spans="1:3" x14ac:dyDescent="0.25">
      <c r="A166" s="15"/>
      <c r="B166" s="112"/>
      <c r="C166" s="112"/>
    </row>
    <row r="167" ht="15.75" customHeight="1" spans="1:3" x14ac:dyDescent="0.25">
      <c r="A167" s="15"/>
      <c r="B167" s="112"/>
      <c r="C167" s="112"/>
    </row>
    <row r="168" ht="15.75" customHeight="1" spans="1:3" x14ac:dyDescent="0.25">
      <c r="A168" s="15"/>
      <c r="B168" s="112"/>
      <c r="C168" s="112"/>
    </row>
    <row r="169" ht="15.75" customHeight="1" spans="1:3" x14ac:dyDescent="0.25">
      <c r="A169" s="15"/>
      <c r="B169" s="112"/>
      <c r="C169" s="112"/>
    </row>
    <row r="170" ht="15.75" customHeight="1" spans="1:3" x14ac:dyDescent="0.25">
      <c r="A170" s="15"/>
      <c r="B170" s="112"/>
      <c r="C170" s="112"/>
    </row>
    <row r="171" ht="15.75" customHeight="1" spans="1:3" x14ac:dyDescent="0.25">
      <c r="A171" s="15"/>
      <c r="B171" s="112"/>
      <c r="C171" s="112"/>
    </row>
    <row r="172" ht="15.75" customHeight="1" spans="1:3" x14ac:dyDescent="0.25">
      <c r="A172" s="15"/>
      <c r="B172" s="112"/>
      <c r="C172" s="112"/>
    </row>
    <row r="173" ht="15.75" customHeight="1" spans="1:3" x14ac:dyDescent="0.25">
      <c r="A173" s="15"/>
      <c r="B173" s="112"/>
      <c r="C173" s="112"/>
    </row>
    <row r="174" ht="15.75" customHeight="1" spans="1:3" x14ac:dyDescent="0.25">
      <c r="A174" s="15"/>
      <c r="B174" s="112"/>
      <c r="C174" s="112"/>
    </row>
    <row r="175" ht="15.75" customHeight="1" spans="1:3" x14ac:dyDescent="0.25">
      <c r="A175" s="15"/>
      <c r="B175" s="112"/>
      <c r="C175" s="112"/>
    </row>
    <row r="176" ht="15.75" customHeight="1" spans="1:3" x14ac:dyDescent="0.25">
      <c r="A176" s="15"/>
      <c r="B176" s="112"/>
      <c r="C176" s="112"/>
    </row>
    <row r="177" ht="15.75" customHeight="1" spans="1:3" x14ac:dyDescent="0.25">
      <c r="A177" s="15"/>
      <c r="B177" s="112"/>
      <c r="C177" s="112"/>
    </row>
    <row r="178" ht="15.75" customHeight="1" spans="1:3" x14ac:dyDescent="0.25">
      <c r="A178" s="15"/>
      <c r="B178" s="112"/>
      <c r="C178" s="112"/>
    </row>
    <row r="179" ht="15.75" customHeight="1" spans="1:3" x14ac:dyDescent="0.25">
      <c r="A179" s="15"/>
      <c r="B179" s="112"/>
      <c r="C179" s="112"/>
    </row>
    <row r="180" ht="15.75" customHeight="1" spans="1:3" x14ac:dyDescent="0.25">
      <c r="A180" s="15"/>
      <c r="B180" s="112"/>
      <c r="C180" s="112"/>
    </row>
    <row r="181" ht="15.75" customHeight="1" spans="1:3" x14ac:dyDescent="0.25">
      <c r="A181" s="15"/>
      <c r="B181" s="112"/>
      <c r="C181" s="112"/>
    </row>
    <row r="182" ht="15.75" customHeight="1" spans="1:3" x14ac:dyDescent="0.25">
      <c r="A182" s="15"/>
      <c r="B182" s="112"/>
      <c r="C182" s="112"/>
    </row>
    <row r="183" ht="15.75" customHeight="1" spans="1:3" x14ac:dyDescent="0.25">
      <c r="A183" s="15"/>
      <c r="B183" s="112"/>
      <c r="C183" s="112"/>
    </row>
    <row r="184" ht="15.75" customHeight="1" spans="1:3" x14ac:dyDescent="0.25">
      <c r="A184" s="15"/>
      <c r="B184" s="112"/>
      <c r="C184" s="112"/>
    </row>
    <row r="185" ht="15.75" customHeight="1" spans="1:3" x14ac:dyDescent="0.25">
      <c r="A185" s="15"/>
      <c r="B185" s="112"/>
      <c r="C185" s="112"/>
    </row>
    <row r="186" ht="15.75" customHeight="1" spans="1:3" x14ac:dyDescent="0.25">
      <c r="A186" s="15"/>
      <c r="B186" s="112"/>
      <c r="C186" s="112"/>
    </row>
    <row r="187" ht="15.75" customHeight="1" spans="1:3" x14ac:dyDescent="0.25">
      <c r="A187" s="15"/>
      <c r="B187" s="112"/>
      <c r="C187" s="112"/>
    </row>
    <row r="188" ht="15.75" customHeight="1" spans="1:3" x14ac:dyDescent="0.25">
      <c r="A188" s="15"/>
      <c r="B188" s="112"/>
      <c r="C188" s="112"/>
    </row>
    <row r="189" ht="15.75" customHeight="1" spans="1:3" x14ac:dyDescent="0.25">
      <c r="A189" s="15"/>
      <c r="B189" s="112"/>
      <c r="C189" s="112"/>
    </row>
    <row r="190" ht="15.75" customHeight="1" spans="1:3" x14ac:dyDescent="0.25">
      <c r="A190" s="15"/>
      <c r="B190" s="112"/>
      <c r="C190" s="112"/>
    </row>
    <row r="191" ht="15.75" customHeight="1" spans="1:3" x14ac:dyDescent="0.25">
      <c r="A191" s="15"/>
      <c r="B191" s="112"/>
      <c r="C191" s="112"/>
    </row>
    <row r="192" ht="15.75" customHeight="1" spans="1:3" x14ac:dyDescent="0.25">
      <c r="A192" s="15"/>
      <c r="B192" s="112"/>
      <c r="C192" s="112"/>
    </row>
    <row r="193" ht="15.75" customHeight="1" spans="1:3" x14ac:dyDescent="0.25">
      <c r="A193" s="15"/>
      <c r="B193" s="112"/>
      <c r="C193" s="112"/>
    </row>
    <row r="194" ht="15.75" customHeight="1" spans="1:3" x14ac:dyDescent="0.25">
      <c r="A194" s="15"/>
      <c r="B194" s="112"/>
      <c r="C194" s="112"/>
    </row>
    <row r="195" ht="15.75" customHeight="1" spans="1:3" x14ac:dyDescent="0.25">
      <c r="A195" s="15"/>
      <c r="B195" s="112"/>
      <c r="C195" s="112"/>
    </row>
    <row r="196" ht="15.75" customHeight="1" spans="1:3" x14ac:dyDescent="0.25">
      <c r="A196" s="15"/>
      <c r="B196" s="112"/>
      <c r="C196" s="112"/>
    </row>
    <row r="197" ht="15.75" customHeight="1" spans="1:3" x14ac:dyDescent="0.25">
      <c r="A197" s="15"/>
      <c r="B197" s="112"/>
      <c r="C197" s="112"/>
    </row>
    <row r="198" ht="15.75" customHeight="1" spans="1:3" x14ac:dyDescent="0.25">
      <c r="A198" s="15"/>
      <c r="B198" s="112"/>
      <c r="C198" s="112"/>
    </row>
    <row r="199" ht="15.75" customHeight="1" spans="1:3" x14ac:dyDescent="0.25">
      <c r="A199" s="15"/>
      <c r="B199" s="112"/>
      <c r="C199" s="112"/>
    </row>
    <row r="200" ht="15.75" customHeight="1" spans="1:3" x14ac:dyDescent="0.25">
      <c r="A200" s="15"/>
      <c r="B200" s="112"/>
      <c r="C200" s="112"/>
    </row>
    <row r="201" ht="15.75" customHeight="1" spans="1:3" x14ac:dyDescent="0.25">
      <c r="A201" s="15"/>
      <c r="B201" s="112"/>
      <c r="C201" s="112"/>
    </row>
    <row r="202" ht="15.75" customHeight="1" spans="1:3" x14ac:dyDescent="0.25">
      <c r="A202" s="15"/>
      <c r="B202" s="112"/>
      <c r="C202" s="112"/>
    </row>
    <row r="203" ht="15.75" customHeight="1" spans="1:3" x14ac:dyDescent="0.25">
      <c r="A203" s="15"/>
      <c r="B203" s="112"/>
      <c r="C203" s="112"/>
    </row>
    <row r="204" ht="15.75" customHeight="1" spans="1:3" x14ac:dyDescent="0.25">
      <c r="A204" s="15"/>
      <c r="B204" s="112"/>
      <c r="C204" s="112"/>
    </row>
    <row r="205" ht="15.75" customHeight="1" spans="1:3" x14ac:dyDescent="0.25">
      <c r="A205" s="15"/>
      <c r="B205" s="112"/>
      <c r="C205" s="112"/>
    </row>
    <row r="206" ht="15.75" customHeight="1" spans="1:3" x14ac:dyDescent="0.25">
      <c r="A206" s="15"/>
      <c r="B206" s="112"/>
      <c r="C206" s="112"/>
    </row>
    <row r="207" ht="15.75" customHeight="1" spans="1:3" x14ac:dyDescent="0.25">
      <c r="A207" s="15"/>
      <c r="B207" s="112"/>
      <c r="C207" s="112"/>
    </row>
    <row r="208" ht="15.75" customHeight="1" spans="1:3" x14ac:dyDescent="0.25">
      <c r="A208" s="15"/>
      <c r="B208" s="112"/>
      <c r="C208" s="112"/>
    </row>
    <row r="209" ht="15.75" customHeight="1" spans="1:3" x14ac:dyDescent="0.25">
      <c r="A209" s="15"/>
      <c r="B209" s="112"/>
      <c r="C209" s="112"/>
    </row>
    <row r="210" ht="15.75" customHeight="1" spans="1:3" x14ac:dyDescent="0.25">
      <c r="A210" s="15"/>
      <c r="B210" s="112"/>
      <c r="C210" s="112"/>
    </row>
    <row r="211" ht="15.75" customHeight="1" spans="1:3" x14ac:dyDescent="0.25">
      <c r="A211" s="15"/>
      <c r="B211" s="112"/>
      <c r="C211" s="112"/>
    </row>
    <row r="212" ht="15.75" customHeight="1" spans="1:3" x14ac:dyDescent="0.25">
      <c r="A212" s="15"/>
      <c r="B212" s="112"/>
      <c r="C212" s="112"/>
    </row>
    <row r="213" ht="15.75" customHeight="1" spans="1:3" x14ac:dyDescent="0.25">
      <c r="A213" s="15"/>
      <c r="B213" s="112"/>
      <c r="C213" s="112"/>
    </row>
    <row r="214" ht="15.75" customHeight="1" spans="1:3" x14ac:dyDescent="0.25">
      <c r="A214" s="15"/>
      <c r="B214" s="112"/>
      <c r="C214" s="112"/>
    </row>
    <row r="215" ht="15.75" customHeight="1" spans="1:3" x14ac:dyDescent="0.25">
      <c r="A215" s="15"/>
      <c r="B215" s="112"/>
      <c r="C215" s="112"/>
    </row>
    <row r="216" ht="15.75" customHeight="1" spans="1:3" x14ac:dyDescent="0.25">
      <c r="A216" s="15"/>
      <c r="B216" s="112"/>
      <c r="C216" s="112"/>
    </row>
    <row r="217" ht="15.75" customHeight="1" spans="1:3" x14ac:dyDescent="0.25">
      <c r="A217" s="15"/>
      <c r="B217" s="112"/>
      <c r="C217" s="112"/>
    </row>
    <row r="218" ht="15.75" customHeight="1" spans="1:3" x14ac:dyDescent="0.25">
      <c r="A218" s="15"/>
      <c r="B218" s="112"/>
      <c r="C218" s="112"/>
    </row>
    <row r="219" ht="15.75" customHeight="1" spans="1:3" x14ac:dyDescent="0.25">
      <c r="A219" s="15"/>
      <c r="B219" s="112"/>
      <c r="C219" s="112"/>
    </row>
    <row r="220" ht="15.75" customHeight="1" spans="1:3" x14ac:dyDescent="0.25">
      <c r="A220" s="15"/>
      <c r="B220" s="112"/>
      <c r="C220" s="112"/>
    </row>
    <row r="221" ht="15.75" customHeight="1" spans="1:3" x14ac:dyDescent="0.25">
      <c r="A221" s="15"/>
      <c r="B221" s="112"/>
      <c r="C221" s="112"/>
    </row>
    <row r="222" ht="15.75" customHeight="1" spans="1:3" x14ac:dyDescent="0.25">
      <c r="A222" s="15"/>
      <c r="B222" s="112"/>
      <c r="C222" s="112"/>
    </row>
    <row r="223" ht="15.75" customHeight="1" spans="1:3" x14ac:dyDescent="0.25">
      <c r="A223" s="15"/>
      <c r="B223" s="112"/>
      <c r="C223" s="112"/>
    </row>
    <row r="224" ht="15.75" customHeight="1" spans="1:3" x14ac:dyDescent="0.25">
      <c r="A224" s="15"/>
      <c r="B224" s="112"/>
      <c r="C224" s="112"/>
    </row>
    <row r="225" ht="15.75" customHeight="1" spans="1:3" x14ac:dyDescent="0.25">
      <c r="A225" s="15"/>
      <c r="B225" s="112"/>
      <c r="C225" s="112"/>
    </row>
    <row r="226" ht="15.75" customHeight="1" spans="1:3" x14ac:dyDescent="0.25">
      <c r="A226" s="15"/>
      <c r="B226" s="112"/>
      <c r="C226" s="112"/>
    </row>
    <row r="227" ht="15.75" customHeight="1" spans="1:3" x14ac:dyDescent="0.25">
      <c r="A227" s="15"/>
      <c r="B227" s="112"/>
      <c r="C227" s="112"/>
    </row>
    <row r="228" ht="15.75" customHeight="1" spans="1:3" x14ac:dyDescent="0.25">
      <c r="A228" s="15"/>
      <c r="B228" s="112"/>
      <c r="C228" s="112"/>
    </row>
    <row r="229" ht="15.75" customHeight="1" spans="1:3" x14ac:dyDescent="0.25">
      <c r="A229" s="15"/>
      <c r="B229" s="112"/>
      <c r="C229" s="112"/>
    </row>
    <row r="230" ht="15.75" customHeight="1" spans="1:3" x14ac:dyDescent="0.25">
      <c r="A230" s="15"/>
      <c r="B230" s="112"/>
      <c r="C230" s="112"/>
    </row>
    <row r="231" ht="15.75" customHeight="1" spans="1:3" x14ac:dyDescent="0.25">
      <c r="A231" s="15"/>
      <c r="B231" s="112"/>
      <c r="C231" s="112"/>
    </row>
    <row r="232" ht="15.75" customHeight="1" spans="1:3" x14ac:dyDescent="0.25">
      <c r="A232" s="15"/>
      <c r="B232" s="112"/>
      <c r="C232" s="112"/>
    </row>
    <row r="233" ht="15.75" customHeight="1" spans="1:3" x14ac:dyDescent="0.25">
      <c r="A233" s="15"/>
      <c r="B233" s="112"/>
      <c r="C233" s="112"/>
    </row>
    <row r="234" ht="15.75" customHeight="1" spans="1:3" x14ac:dyDescent="0.25">
      <c r="A234" s="15"/>
      <c r="B234" s="112"/>
      <c r="C234" s="112"/>
    </row>
    <row r="235" ht="15.75" customHeight="1" spans="1:3" x14ac:dyDescent="0.25">
      <c r="A235" s="15"/>
      <c r="B235" s="112"/>
      <c r="C235" s="112"/>
    </row>
    <row r="236" ht="15.75" customHeight="1" spans="1:3" x14ac:dyDescent="0.25">
      <c r="A236" s="15"/>
      <c r="B236" s="112"/>
      <c r="C236" s="112"/>
    </row>
    <row r="237" ht="15.75" customHeight="1" spans="1:3" x14ac:dyDescent="0.25">
      <c r="A237" s="15"/>
      <c r="B237" s="112"/>
      <c r="C237" s="112"/>
    </row>
    <row r="238" ht="15.75" customHeight="1" spans="1:3" x14ac:dyDescent="0.25">
      <c r="A238" s="15"/>
      <c r="B238" s="112"/>
      <c r="C238" s="112"/>
    </row>
    <row r="239" ht="15.75" customHeight="1" spans="1:3" x14ac:dyDescent="0.25">
      <c r="A239" s="15"/>
      <c r="B239" s="112"/>
      <c r="C239" s="112"/>
    </row>
    <row r="240" ht="15.75" customHeight="1" spans="1:3" x14ac:dyDescent="0.25">
      <c r="A240" s="15"/>
      <c r="B240" s="112"/>
      <c r="C240" s="112"/>
    </row>
    <row r="241" ht="15.75" customHeight="1" spans="1:3" x14ac:dyDescent="0.25">
      <c r="A241" s="15"/>
      <c r="B241" s="112"/>
      <c r="C241" s="112"/>
    </row>
    <row r="242" ht="15.75" customHeight="1" spans="1:3" x14ac:dyDescent="0.25">
      <c r="A242" s="15"/>
      <c r="B242" s="112"/>
      <c r="C242" s="112"/>
    </row>
    <row r="243" ht="15.75" customHeight="1" spans="1:3" x14ac:dyDescent="0.25">
      <c r="A243" s="15"/>
      <c r="B243" s="112"/>
      <c r="C243" s="112"/>
    </row>
    <row r="244" ht="15.75" customHeight="1" spans="1:3" x14ac:dyDescent="0.25">
      <c r="A244" s="15"/>
      <c r="B244" s="112"/>
      <c r="C244" s="112"/>
    </row>
    <row r="245" ht="15.75" customHeight="1" spans="1:3" x14ac:dyDescent="0.25">
      <c r="A245" s="15"/>
      <c r="B245" s="112"/>
      <c r="C245" s="112"/>
    </row>
    <row r="246" ht="15.75" customHeight="1" spans="1:3" x14ac:dyDescent="0.25">
      <c r="A246" s="15"/>
      <c r="B246" s="112"/>
      <c r="C246" s="112"/>
    </row>
    <row r="247" ht="15.75" customHeight="1" spans="1:3" x14ac:dyDescent="0.25">
      <c r="A247" s="15"/>
      <c r="B247" s="112"/>
      <c r="C247" s="112"/>
    </row>
    <row r="248" ht="15.75" customHeight="1" spans="1:3" x14ac:dyDescent="0.25">
      <c r="A248" s="15"/>
      <c r="B248" s="112"/>
      <c r="C248" s="112"/>
    </row>
    <row r="249" ht="15.75" customHeight="1" spans="1:3" x14ac:dyDescent="0.25">
      <c r="A249" s="15"/>
      <c r="B249" s="112"/>
      <c r="C249" s="112"/>
    </row>
    <row r="250" ht="15.75" customHeight="1" spans="1:3" x14ac:dyDescent="0.25">
      <c r="A250" s="15"/>
      <c r="B250" s="112"/>
      <c r="C250" s="112"/>
    </row>
    <row r="251" ht="15.75" customHeight="1" spans="1:3" x14ac:dyDescent="0.25">
      <c r="A251" s="15"/>
      <c r="B251" s="112"/>
      <c r="C251" s="112"/>
    </row>
    <row r="252" ht="15.75" customHeight="1" spans="1:3" x14ac:dyDescent="0.25">
      <c r="A252" s="15"/>
      <c r="B252" s="112"/>
      <c r="C252" s="112"/>
    </row>
    <row r="253" ht="15.75" customHeight="1" spans="1:3" x14ac:dyDescent="0.25">
      <c r="A253" s="15"/>
      <c r="B253" s="112"/>
      <c r="C253" s="112"/>
    </row>
    <row r="254" ht="15.75" customHeight="1" spans="1:3" x14ac:dyDescent="0.25">
      <c r="A254" s="15"/>
      <c r="B254" s="112"/>
      <c r="C254" s="112"/>
    </row>
    <row r="255" ht="15.75" customHeight="1" spans="1:3" x14ac:dyDescent="0.25">
      <c r="A255" s="15"/>
      <c r="B255" s="112"/>
      <c r="C255" s="112"/>
    </row>
    <row r="256" ht="15.75" customHeight="1" spans="1:3" x14ac:dyDescent="0.25">
      <c r="A256" s="15"/>
      <c r="B256" s="112"/>
      <c r="C256" s="112"/>
    </row>
    <row r="257" ht="15.75" customHeight="1" spans="1:3" x14ac:dyDescent="0.25">
      <c r="A257" s="15"/>
      <c r="B257" s="112"/>
      <c r="C257" s="112"/>
    </row>
    <row r="258" ht="15.75" customHeight="1" spans="1:3" x14ac:dyDescent="0.25">
      <c r="A258" s="15"/>
      <c r="B258" s="112"/>
      <c r="C258" s="112"/>
    </row>
    <row r="259" ht="15.75" customHeight="1" spans="1:3" x14ac:dyDescent="0.25">
      <c r="A259" s="15"/>
      <c r="B259" s="112"/>
      <c r="C259" s="112"/>
    </row>
    <row r="260" ht="15.75" customHeight="1" spans="1:3" x14ac:dyDescent="0.25">
      <c r="A260" s="15"/>
      <c r="B260" s="112"/>
      <c r="C260" s="112"/>
    </row>
    <row r="261" ht="15.75" customHeight="1" spans="1:3" x14ac:dyDescent="0.25">
      <c r="A261" s="15"/>
      <c r="B261" s="112"/>
      <c r="C261" s="112"/>
    </row>
    <row r="262" ht="15.75" customHeight="1" spans="1:3" x14ac:dyDescent="0.25">
      <c r="A262" s="15"/>
      <c r="B262" s="112"/>
      <c r="C262" s="112"/>
    </row>
    <row r="263" ht="15.75" customHeight="1" spans="1:3" x14ac:dyDescent="0.25">
      <c r="A263" s="15"/>
      <c r="B263" s="112"/>
      <c r="C263" s="112"/>
    </row>
    <row r="264" ht="15.75" customHeight="1" spans="1:3" x14ac:dyDescent="0.25">
      <c r="A264" s="15"/>
      <c r="B264" s="112"/>
      <c r="C264" s="112"/>
    </row>
    <row r="265" ht="15.75" customHeight="1" spans="1:3" x14ac:dyDescent="0.25">
      <c r="A265" s="15"/>
      <c r="B265" s="112"/>
      <c r="C265" s="112"/>
    </row>
    <row r="266" ht="15.75" customHeight="1" spans="1:3" x14ac:dyDescent="0.25">
      <c r="A266" s="15"/>
      <c r="B266" s="112"/>
      <c r="C266" s="112"/>
    </row>
    <row r="267" ht="15.75" customHeight="1" spans="1:3" x14ac:dyDescent="0.25">
      <c r="A267" s="15"/>
      <c r="B267" s="112"/>
      <c r="C267" s="112"/>
    </row>
    <row r="268" ht="15.75" customHeight="1" spans="1:3" x14ac:dyDescent="0.25">
      <c r="A268" s="15"/>
      <c r="B268" s="112"/>
      <c r="C268" s="112"/>
    </row>
    <row r="269" ht="15.75" customHeight="1" spans="1:3" x14ac:dyDescent="0.25">
      <c r="A269" s="15"/>
      <c r="B269" s="112"/>
      <c r="C269" s="112"/>
    </row>
    <row r="270" ht="15.75" customHeight="1" spans="1:3" x14ac:dyDescent="0.25">
      <c r="A270" s="15"/>
      <c r="B270" s="112"/>
      <c r="C270" s="112"/>
    </row>
    <row r="271" ht="15.75" customHeight="1" spans="1:3" x14ac:dyDescent="0.25">
      <c r="A271" s="15"/>
      <c r="B271" s="112"/>
      <c r="C271" s="112"/>
    </row>
    <row r="272" ht="15.75" customHeight="1" spans="1:3" x14ac:dyDescent="0.25">
      <c r="A272" s="15"/>
      <c r="B272" s="112"/>
      <c r="C272" s="112"/>
    </row>
    <row r="273" ht="15.75" customHeight="1" spans="1:3" x14ac:dyDescent="0.25">
      <c r="A273" s="15"/>
      <c r="B273" s="112"/>
      <c r="C273" s="112"/>
    </row>
    <row r="274" ht="15.75" customHeight="1" spans="1:3" x14ac:dyDescent="0.25">
      <c r="A274" s="15"/>
      <c r="B274" s="112"/>
      <c r="C274" s="112"/>
    </row>
    <row r="275" ht="15.75" customHeight="1" spans="1:3" x14ac:dyDescent="0.25">
      <c r="A275" s="15"/>
      <c r="B275" s="112"/>
      <c r="C275" s="112"/>
    </row>
    <row r="276" ht="15.75" customHeight="1" spans="1:3" x14ac:dyDescent="0.25">
      <c r="A276" s="15"/>
      <c r="B276" s="112"/>
      <c r="C276" s="112"/>
    </row>
    <row r="277" ht="15.75" customHeight="1" spans="1:3" x14ac:dyDescent="0.25">
      <c r="A277" s="15"/>
      <c r="B277" s="112"/>
      <c r="C277" s="112"/>
    </row>
    <row r="278" ht="15.75" customHeight="1" spans="1:3" x14ac:dyDescent="0.25">
      <c r="A278" s="15"/>
      <c r="B278" s="112"/>
      <c r="C278" s="112"/>
    </row>
    <row r="279" ht="15.75" customHeight="1" spans="1:3" x14ac:dyDescent="0.25">
      <c r="A279" s="15"/>
      <c r="B279" s="112"/>
      <c r="C279" s="112"/>
    </row>
    <row r="280" ht="15.75" customHeight="1" spans="1:3" x14ac:dyDescent="0.25">
      <c r="A280" s="15"/>
      <c r="B280" s="112"/>
      <c r="C280" s="112"/>
    </row>
    <row r="281" ht="15.75" customHeight="1" spans="1:3" x14ac:dyDescent="0.25">
      <c r="A281" s="15"/>
      <c r="B281" s="112"/>
      <c r="C281" s="112"/>
    </row>
    <row r="282" ht="15.75" customHeight="1" spans="1:3" x14ac:dyDescent="0.25">
      <c r="A282" s="15"/>
      <c r="B282" s="112"/>
      <c r="C282" s="112"/>
    </row>
    <row r="283" ht="15.75" customHeight="1" spans="1:3" x14ac:dyDescent="0.25">
      <c r="A283" s="15"/>
      <c r="B283" s="112"/>
      <c r="C283" s="112"/>
    </row>
    <row r="284" ht="15.75" customHeight="1" spans="1:3" x14ac:dyDescent="0.25">
      <c r="A284" s="15"/>
      <c r="B284" s="112"/>
      <c r="C284" s="112"/>
    </row>
    <row r="285" ht="15.75" customHeight="1" spans="1:3" x14ac:dyDescent="0.25">
      <c r="A285" s="15"/>
      <c r="B285" s="112"/>
      <c r="C285" s="112"/>
    </row>
    <row r="286" ht="15.75" customHeight="1" spans="1:3" x14ac:dyDescent="0.25">
      <c r="A286" s="15"/>
      <c r="B286" s="112"/>
      <c r="C286" s="112"/>
    </row>
    <row r="287" ht="15.75" customHeight="1" spans="1:3" x14ac:dyDescent="0.25">
      <c r="A287" s="15"/>
      <c r="B287" s="112"/>
      <c r="C287" s="112"/>
    </row>
    <row r="288" ht="15.75" customHeight="1" spans="1:3" x14ac:dyDescent="0.25">
      <c r="A288" s="15"/>
      <c r="B288" s="112"/>
      <c r="C288" s="112"/>
    </row>
    <row r="289" ht="15.75" customHeight="1" spans="1:3" x14ac:dyDescent="0.25">
      <c r="A289" s="15"/>
      <c r="B289" s="112"/>
      <c r="C289" s="112"/>
    </row>
    <row r="290" ht="15.75" customHeight="1" spans="1:3" x14ac:dyDescent="0.25">
      <c r="A290" s="15"/>
      <c r="B290" s="112"/>
      <c r="C290" s="112"/>
    </row>
    <row r="291" ht="15.75" customHeight="1" spans="1:3" x14ac:dyDescent="0.25">
      <c r="A291" s="15"/>
      <c r="B291" s="112"/>
      <c r="C291" s="112"/>
    </row>
    <row r="292" ht="15.75" customHeight="1" spans="1:3" x14ac:dyDescent="0.25">
      <c r="A292" s="15"/>
      <c r="B292" s="112"/>
      <c r="C292" s="112"/>
    </row>
    <row r="293" ht="15.75" customHeight="1" spans="1:3" x14ac:dyDescent="0.25">
      <c r="A293" s="15"/>
      <c r="B293" s="112"/>
      <c r="C293" s="112"/>
    </row>
    <row r="294" ht="15.75" customHeight="1" spans="1:3" x14ac:dyDescent="0.25">
      <c r="A294" s="15"/>
      <c r="B294" s="112"/>
      <c r="C294" s="112"/>
    </row>
    <row r="295" ht="15.75" customHeight="1" spans="1:3" x14ac:dyDescent="0.25">
      <c r="A295" s="15"/>
      <c r="B295" s="112"/>
      <c r="C295" s="112"/>
    </row>
    <row r="296" ht="15.75" customHeight="1" spans="1:3" x14ac:dyDescent="0.25">
      <c r="A296" s="15"/>
      <c r="B296" s="112"/>
      <c r="C296" s="112"/>
    </row>
    <row r="297" ht="15.75" customHeight="1" spans="1:3" x14ac:dyDescent="0.25">
      <c r="A297" s="15"/>
      <c r="B297" s="112"/>
      <c r="C297" s="112"/>
    </row>
    <row r="298" ht="15.75" customHeight="1" spans="1:3" x14ac:dyDescent="0.25">
      <c r="A298" s="15"/>
      <c r="B298" s="112"/>
      <c r="C298" s="112"/>
    </row>
    <row r="299" ht="15.75" customHeight="1" spans="1:3" x14ac:dyDescent="0.25">
      <c r="A299" s="15"/>
      <c r="B299" s="112"/>
      <c r="C299" s="112"/>
    </row>
    <row r="300" ht="15.75" customHeight="1" spans="1:3" x14ac:dyDescent="0.25">
      <c r="A300" s="15"/>
      <c r="B300" s="112"/>
      <c r="C300" s="112"/>
    </row>
    <row r="301" ht="15.75" customHeight="1" spans="1:3" x14ac:dyDescent="0.25">
      <c r="A301" s="15"/>
      <c r="B301" s="112"/>
      <c r="C301" s="112"/>
    </row>
    <row r="302" ht="15.75" customHeight="1" spans="1:3" x14ac:dyDescent="0.25">
      <c r="A302" s="15"/>
      <c r="B302" s="112"/>
      <c r="C302" s="112"/>
    </row>
    <row r="303" ht="15.75" customHeight="1" spans="1:3" x14ac:dyDescent="0.25">
      <c r="A303" s="15"/>
      <c r="B303" s="112"/>
      <c r="C303" s="112"/>
    </row>
    <row r="304" ht="15.75" customHeight="1" spans="1:3" x14ac:dyDescent="0.25">
      <c r="A304" s="15"/>
      <c r="B304" s="112"/>
      <c r="C304" s="112"/>
    </row>
    <row r="305" ht="15.75" customHeight="1" spans="1:3" x14ac:dyDescent="0.25">
      <c r="A305" s="15"/>
      <c r="B305" s="112"/>
      <c r="C305" s="112"/>
    </row>
    <row r="306" ht="15.75" customHeight="1" spans="1:3" x14ac:dyDescent="0.25">
      <c r="A306" s="15"/>
      <c r="B306" s="112"/>
      <c r="C306" s="112"/>
    </row>
    <row r="307" ht="15.75" customHeight="1" spans="1:3" x14ac:dyDescent="0.25">
      <c r="A307" s="15"/>
      <c r="B307" s="112"/>
      <c r="C307" s="112"/>
    </row>
    <row r="308" ht="15.75" customHeight="1" spans="1:3" x14ac:dyDescent="0.25">
      <c r="A308" s="15"/>
      <c r="B308" s="112"/>
      <c r="C308" s="112"/>
    </row>
    <row r="309" ht="15.75" customHeight="1" spans="1:3" x14ac:dyDescent="0.25">
      <c r="A309" s="15"/>
      <c r="B309" s="112"/>
      <c r="C309" s="112"/>
    </row>
    <row r="310" ht="15.75" customHeight="1" spans="1:3" x14ac:dyDescent="0.25">
      <c r="A310" s="15"/>
      <c r="B310" s="112"/>
      <c r="C310" s="112"/>
    </row>
    <row r="311" ht="15.75" customHeight="1" spans="1:3" x14ac:dyDescent="0.25">
      <c r="A311" s="15"/>
      <c r="B311" s="112"/>
      <c r="C311" s="112"/>
    </row>
    <row r="312" ht="15.75" customHeight="1" spans="1:3" x14ac:dyDescent="0.25">
      <c r="A312" s="15"/>
      <c r="B312" s="112"/>
      <c r="C312" s="112"/>
    </row>
    <row r="313" ht="15.75" customHeight="1" spans="1:3" x14ac:dyDescent="0.25">
      <c r="A313" s="15"/>
      <c r="B313" s="112"/>
      <c r="C313" s="112"/>
    </row>
    <row r="314" ht="15.75" customHeight="1" spans="1:3" x14ac:dyDescent="0.25">
      <c r="A314" s="15"/>
      <c r="B314" s="112"/>
      <c r="C314" s="112"/>
    </row>
    <row r="315" ht="15.75" customHeight="1" spans="1:3" x14ac:dyDescent="0.25">
      <c r="A315" s="15"/>
      <c r="B315" s="112"/>
      <c r="C315" s="112"/>
    </row>
    <row r="316" ht="15.75" customHeight="1" spans="1:3" x14ac:dyDescent="0.25">
      <c r="A316" s="15"/>
      <c r="B316" s="112"/>
      <c r="C316" s="112"/>
    </row>
    <row r="317" ht="15.75" customHeight="1" spans="1:3" x14ac:dyDescent="0.25">
      <c r="A317" s="15"/>
      <c r="B317" s="112"/>
      <c r="C317" s="112"/>
    </row>
    <row r="318" ht="15.75" customHeight="1" spans="1:3" x14ac:dyDescent="0.25">
      <c r="A318" s="15"/>
      <c r="B318" s="112"/>
      <c r="C318" s="112"/>
    </row>
    <row r="319" ht="15.75" customHeight="1" spans="1:3" x14ac:dyDescent="0.25">
      <c r="A319" s="15"/>
      <c r="B319" s="112"/>
      <c r="C319" s="112"/>
    </row>
    <row r="320" ht="15.75" customHeight="1" spans="1:3" x14ac:dyDescent="0.25">
      <c r="A320" s="15"/>
      <c r="B320" s="112"/>
      <c r="C320" s="112"/>
    </row>
    <row r="321" ht="15.75" customHeight="1" spans="1:3" x14ac:dyDescent="0.25">
      <c r="A321" s="15"/>
      <c r="B321" s="112"/>
      <c r="C321" s="112"/>
    </row>
    <row r="322" ht="15.75" customHeight="1" spans="1:3" x14ac:dyDescent="0.25">
      <c r="A322" s="15"/>
      <c r="B322" s="112"/>
      <c r="C322" s="112"/>
    </row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$B$4:$AC$121"/>
  <mergeCells count="12"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</mergeCells>
  <pageMargins left="0.196527777777778" right="0" top="0.196527777777778" bottom="0.196527777777778" header="0" footer="0"/>
  <pageSetup paperSize="9"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  <outlinePr summaryBelow="0" summaryRight="0"/>
  </sheetPr>
  <dimension ref="A1:L1000"/>
  <sheetViews>
    <sheetView workbookViewId="0" zoomScale="100" zoomScaleNormal="100"/>
  </sheetViews>
  <sheetFormatPr defaultRowHeight="15" outlineLevelRow="0" outlineLevelCol="0" x14ac:dyDescent="0" defaultColWidth="14.43"/>
  <cols>
    <col min="2" max="2" width="6.43" customWidth="1"/>
    <col min="3" max="3" width="9.29" hidden="1" customWidth="1"/>
    <col min="4" max="4" width="14.43" hidden="1" customWidth="1"/>
    <col min="5" max="5" width="6.86" customWidth="1"/>
    <col min="6" max="6" width="10.43" customWidth="1"/>
    <col min="8" max="8" width="6.86" customWidth="1"/>
    <col min="9" max="9" width="10.57" hidden="1" customWidth="1"/>
    <col min="10" max="10" width="14.43" hidden="1" customWidth="1"/>
    <col min="11" max="11" width="11.14" customWidth="1"/>
  </cols>
  <sheetData>
    <row r="1" spans="1:11" x14ac:dyDescent="0.25">
      <c r="A1" s="2" t="s">
        <v>375</v>
      </c>
      <c r="E1" s="2" t="s">
        <v>366</v>
      </c>
      <c r="K1" s="2" t="str">
        <f>'2022'!F1</f>
        <v>на 01 октября 2022года</v>
      </c>
    </row>
    <row r="2" spans="2:12" x14ac:dyDescent="0.25">
      <c r="B2" s="379" t="s">
        <v>480</v>
      </c>
      <c r="C2" s="379" t="s">
        <v>354</v>
      </c>
      <c r="D2" s="379" t="s">
        <v>355</v>
      </c>
      <c r="E2" s="379" t="s">
        <v>16</v>
      </c>
      <c r="F2" s="379" t="s">
        <v>17</v>
      </c>
      <c r="H2" s="379" t="s">
        <v>480</v>
      </c>
      <c r="I2" s="379" t="s">
        <v>354</v>
      </c>
      <c r="J2" s="379" t="s">
        <v>355</v>
      </c>
      <c r="K2" s="379" t="s">
        <v>16</v>
      </c>
      <c r="L2" s="379" t="s">
        <v>17</v>
      </c>
    </row>
    <row r="3" spans="1:12" x14ac:dyDescent="0.25">
      <c r="A3" s="2" t="s">
        <v>41</v>
      </c>
      <c r="B3" s="379">
        <f>'2019'!A8</f>
        <v>1</v>
      </c>
      <c r="C3" s="379">
        <v>4</v>
      </c>
      <c r="D3" s="379" t="s">
        <v>43</v>
      </c>
      <c r="E3" s="126">
        <f>'Вода_22'!S5</f>
      </c>
      <c r="F3" s="379"/>
      <c r="G3" s="2" t="s">
        <v>217</v>
      </c>
      <c r="H3" s="379">
        <v>58</v>
      </c>
      <c r="I3" s="379">
        <v>5.08</v>
      </c>
      <c r="J3" s="379" t="s">
        <v>223</v>
      </c>
      <c r="K3" s="126">
        <f>'Вода_22'!S63</f>
        <v>1532</v>
      </c>
      <c r="L3" s="379"/>
    </row>
    <row r="4" spans="2:12" x14ac:dyDescent="0.25">
      <c r="B4" s="379">
        <v>2</v>
      </c>
      <c r="C4" s="379">
        <v>4.12</v>
      </c>
      <c r="D4" s="379" t="s">
        <v>359</v>
      </c>
      <c r="E4" s="126">
        <f>'Вода_22'!S6</f>
        <v>43</v>
      </c>
      <c r="F4" s="379"/>
      <c r="H4" s="379">
        <v>60</v>
      </c>
      <c r="I4" s="379">
        <v>4.4</v>
      </c>
      <c r="J4" s="379" t="s">
        <v>227</v>
      </c>
      <c r="K4" s="126">
        <f>'Вода_22'!S64</f>
        <v>181</v>
      </c>
      <c r="L4" s="379"/>
    </row>
    <row r="5" spans="2:12" x14ac:dyDescent="0.25">
      <c r="B5" s="379">
        <v>3</v>
      </c>
      <c r="C5" s="379">
        <v>4</v>
      </c>
      <c r="D5" s="379" t="s">
        <v>60</v>
      </c>
      <c r="E5" s="126">
        <f>'Вода_22'!S7</f>
        <v>348</v>
      </c>
      <c r="F5" s="379"/>
      <c r="H5" s="379">
        <v>61</v>
      </c>
      <c r="I5" s="379">
        <v>4.71</v>
      </c>
      <c r="J5" s="379" t="s">
        <v>231</v>
      </c>
      <c r="K5" s="126">
        <f>'Вода_22'!S65</f>
        <v>332</v>
      </c>
      <c r="L5" s="379"/>
    </row>
    <row r="6" spans="2:12" x14ac:dyDescent="0.25">
      <c r="B6" s="379">
        <v>4</v>
      </c>
      <c r="C6" s="379">
        <v>3.95</v>
      </c>
      <c r="D6" s="379" t="s">
        <v>64</v>
      </c>
      <c r="E6" s="126">
        <f>'Вода_22'!S8</f>
        <v>21</v>
      </c>
      <c r="F6" s="379"/>
      <c r="H6" s="379">
        <v>62</v>
      </c>
      <c r="I6" s="379">
        <v>4.6</v>
      </c>
      <c r="J6" s="379" t="s">
        <v>236</v>
      </c>
      <c r="K6" s="126">
        <f>'Вода_22'!S66</f>
        <v>211</v>
      </c>
      <c r="L6" s="379"/>
    </row>
    <row r="7" spans="2:12" x14ac:dyDescent="0.25">
      <c r="B7" s="379">
        <v>5</v>
      </c>
      <c r="C7" s="379">
        <v>5.08</v>
      </c>
      <c r="D7" s="379" t="s">
        <v>488</v>
      </c>
      <c r="E7" s="126">
        <f>'Вода_22'!S9</f>
        <v>316</v>
      </c>
      <c r="F7" s="379"/>
      <c r="H7" s="379" t="s">
        <v>237</v>
      </c>
      <c r="I7" s="379">
        <v>4.01</v>
      </c>
      <c r="J7" s="379" t="s">
        <v>238</v>
      </c>
      <c r="K7" s="126">
        <f>'Вода_22'!S67</f>
        <v>170</v>
      </c>
      <c r="L7" s="379"/>
    </row>
    <row r="8" spans="2:12" x14ac:dyDescent="0.25">
      <c r="B8" s="379">
        <v>6</v>
      </c>
      <c r="C8" s="379">
        <v>4.01</v>
      </c>
      <c r="D8" s="379" t="s">
        <v>70</v>
      </c>
      <c r="E8" s="126">
        <f>'Вода_22'!S10</f>
        <v>295</v>
      </c>
      <c r="F8" s="379"/>
      <c r="H8" s="379" t="s">
        <v>237</v>
      </c>
      <c r="I8" s="379">
        <v>4.01</v>
      </c>
      <c r="J8" s="379" t="s">
        <v>238</v>
      </c>
      <c r="K8" s="126">
        <f>'Вода_22'!S68</f>
        <v>197</v>
      </c>
      <c r="L8" s="379"/>
    </row>
    <row r="9" spans="2:12" x14ac:dyDescent="0.25">
      <c r="B9" s="379">
        <v>7</v>
      </c>
      <c r="C9" s="379">
        <v>4.85</v>
      </c>
      <c r="D9" s="379" t="s">
        <v>74</v>
      </c>
      <c r="E9" s="126">
        <f>'Вода_22'!S11</f>
        <v>16</v>
      </c>
      <c r="F9" s="379"/>
      <c r="H9" s="379">
        <v>64</v>
      </c>
      <c r="I9" s="379">
        <v>4.24</v>
      </c>
      <c r="J9" s="379" t="s">
        <v>241</v>
      </c>
      <c r="K9" s="126">
        <f>'Вода_22'!S69</f>
        <v>99</v>
      </c>
      <c r="L9" s="379"/>
    </row>
    <row r="10" spans="2:12" x14ac:dyDescent="0.25">
      <c r="B10" s="379">
        <v>8</v>
      </c>
      <c r="C10" s="379">
        <v>4</v>
      </c>
      <c r="D10" s="379" t="s">
        <v>383</v>
      </c>
      <c r="E10" s="126">
        <f>'Вода_22'!S12</f>
        <v>71</v>
      </c>
      <c r="F10" s="379"/>
      <c r="H10" s="379">
        <v>66</v>
      </c>
      <c r="I10" s="379">
        <v>4.66</v>
      </c>
      <c r="J10" s="379" t="s">
        <v>244</v>
      </c>
      <c r="K10" s="126">
        <f>'Вода_22'!S70</f>
        <v>51</v>
      </c>
      <c r="L10" s="379"/>
    </row>
    <row r="11" spans="2:12" x14ac:dyDescent="0.25">
      <c r="B11" s="379">
        <v>9</v>
      </c>
      <c r="C11" s="379">
        <v>4.03</v>
      </c>
      <c r="D11" s="379" t="s">
        <v>82</v>
      </c>
      <c r="E11" s="126">
        <f>'Вода_22'!S13</f>
        <v>5</v>
      </c>
      <c r="F11" s="379"/>
      <c r="H11" s="379">
        <v>67</v>
      </c>
      <c r="I11" s="379">
        <v>6.08</v>
      </c>
      <c r="J11" s="379" t="s">
        <v>245</v>
      </c>
      <c r="K11" s="126">
        <f>'Вода_22'!S71</f>
        <v>245</v>
      </c>
      <c r="L11" s="379"/>
    </row>
    <row r="12" spans="2:12" x14ac:dyDescent="0.25">
      <c r="B12" s="379">
        <v>10</v>
      </c>
      <c r="C12" s="379">
        <v>4.01</v>
      </c>
      <c r="D12" s="379" t="s">
        <v>86</v>
      </c>
      <c r="E12" s="126">
        <f>'Вода_22'!S14</f>
        <v>74</v>
      </c>
      <c r="F12" s="379"/>
      <c r="H12" s="379" t="s">
        <v>248</v>
      </c>
      <c r="I12" s="379">
        <v>4.01</v>
      </c>
      <c r="J12" s="379" t="s">
        <v>249</v>
      </c>
      <c r="K12" s="126">
        <f>'Вода_22'!S72</f>
        <v>217</v>
      </c>
      <c r="L12" s="379"/>
    </row>
    <row r="13" spans="2:12" x14ac:dyDescent="0.25">
      <c r="B13" s="379">
        <v>11</v>
      </c>
      <c r="C13" s="379">
        <v>4.02</v>
      </c>
      <c r="D13" s="379" t="s">
        <v>89</v>
      </c>
      <c r="E13" s="126">
        <f>'Вода_22'!S15</f>
        <v>10</v>
      </c>
      <c r="F13" s="379"/>
      <c r="H13" s="379" t="s">
        <v>248</v>
      </c>
      <c r="I13" s="379">
        <v>4.02</v>
      </c>
      <c r="J13" s="379" t="s">
        <v>249</v>
      </c>
      <c r="K13" s="126">
        <f>'Вода_22'!S73</f>
      </c>
      <c r="L13" s="379"/>
    </row>
    <row r="14" spans="2:12" x14ac:dyDescent="0.25">
      <c r="B14" s="379">
        <v>12</v>
      </c>
      <c r="C14" s="379">
        <v>4.02</v>
      </c>
      <c r="D14" s="379" t="s">
        <v>92</v>
      </c>
      <c r="E14" s="126">
        <f>'Вода_22'!S16</f>
      </c>
      <c r="F14" s="379"/>
      <c r="H14" s="379">
        <v>69</v>
      </c>
      <c r="I14" s="379">
        <v>4.03</v>
      </c>
      <c r="J14" s="379" t="s">
        <v>253</v>
      </c>
      <c r="K14" s="126">
        <f>'Вода_22'!S74</f>
        <v>15</v>
      </c>
      <c r="L14" s="379"/>
    </row>
    <row r="15" spans="2:12" x14ac:dyDescent="0.25">
      <c r="B15" s="379" t="s">
        <v>96</v>
      </c>
      <c r="C15" s="379">
        <v>3.94</v>
      </c>
      <c r="D15" s="379" t="s">
        <v>97</v>
      </c>
      <c r="E15" s="126">
        <f>'Вода_22'!S17</f>
        <v>108</v>
      </c>
      <c r="F15" s="379"/>
      <c r="H15" s="379">
        <v>71</v>
      </c>
      <c r="I15" s="379">
        <v>5.98</v>
      </c>
      <c r="J15" s="379" t="s">
        <v>255</v>
      </c>
      <c r="K15" s="126">
        <f>'Вода_22'!S75</f>
        <v>297</v>
      </c>
      <c r="L15" s="379"/>
    </row>
    <row r="16" spans="2:12" x14ac:dyDescent="0.25">
      <c r="B16" s="379" t="s">
        <v>96</v>
      </c>
      <c r="C16" s="379">
        <v>4</v>
      </c>
      <c r="D16" s="379" t="s">
        <v>97</v>
      </c>
      <c r="E16" s="126">
        <f>'Вода_22'!S18</f>
        <v>92</v>
      </c>
      <c r="F16" s="379"/>
      <c r="H16" s="379">
        <v>72</v>
      </c>
      <c r="I16" s="379">
        <v>4.03</v>
      </c>
      <c r="J16" s="379" t="s">
        <v>257</v>
      </c>
      <c r="K16" s="126">
        <f>'Вода_22'!S76</f>
        <v>45</v>
      </c>
      <c r="L16" s="379"/>
    </row>
    <row r="17" spans="2:12" x14ac:dyDescent="0.25">
      <c r="B17" s="379">
        <v>14</v>
      </c>
      <c r="C17" s="379">
        <v>4.02</v>
      </c>
      <c r="D17" s="379" t="s">
        <v>100</v>
      </c>
      <c r="E17" s="126">
        <f>'Вода_22'!S19</f>
        <v>501</v>
      </c>
      <c r="F17" s="379"/>
      <c r="H17" s="379">
        <v>73</v>
      </c>
      <c r="I17" s="379">
        <v>4.02</v>
      </c>
      <c r="J17" s="379" t="s">
        <v>259</v>
      </c>
      <c r="K17" s="126">
        <f>'Вода_22'!S77</f>
        <v>114</v>
      </c>
      <c r="L17" s="379"/>
    </row>
    <row r="18" spans="2:12" x14ac:dyDescent="0.25">
      <c r="B18" s="379">
        <v>16</v>
      </c>
      <c r="C18" s="379">
        <v>3.98</v>
      </c>
      <c r="D18" s="379" t="s">
        <v>103</v>
      </c>
      <c r="E18" s="126">
        <f>'Вода_22'!S20</f>
        <v>142</v>
      </c>
      <c r="F18" s="379"/>
      <c r="H18" s="379">
        <v>74</v>
      </c>
      <c r="I18" s="379">
        <v>4.97</v>
      </c>
      <c r="J18" s="379" t="s">
        <v>262</v>
      </c>
      <c r="K18" s="126">
        <f>'Вода_22'!S78</f>
        <v>36</v>
      </c>
      <c r="L18" s="379"/>
    </row>
    <row r="19" spans="2:12" x14ac:dyDescent="0.25">
      <c r="B19" s="379">
        <v>17</v>
      </c>
      <c r="C19" s="379">
        <v>4</v>
      </c>
      <c r="D19" s="379" t="s">
        <v>106</v>
      </c>
      <c r="E19" s="126">
        <f>'Вода_22'!S21</f>
        <v>7</v>
      </c>
      <c r="F19" s="379"/>
      <c r="G19" s="2" t="s">
        <v>264</v>
      </c>
      <c r="H19" s="379">
        <v>75</v>
      </c>
      <c r="I19" s="379">
        <v>4.15</v>
      </c>
      <c r="J19" s="379" t="s">
        <v>265</v>
      </c>
      <c r="K19" s="126">
        <f>'Вода_22'!S79</f>
        <v>110</v>
      </c>
      <c r="L19" s="379"/>
    </row>
    <row r="20" spans="2:12" x14ac:dyDescent="0.25">
      <c r="B20" s="379">
        <v>18</v>
      </c>
      <c r="C20" s="379">
        <v>4.03</v>
      </c>
      <c r="D20" s="379" t="s">
        <v>109</v>
      </c>
      <c r="E20" s="126">
        <f>'Вода_22'!S22</f>
        <v>41</v>
      </c>
      <c r="F20" s="379"/>
      <c r="H20" s="379">
        <v>76</v>
      </c>
      <c r="I20" s="379">
        <v>4.15</v>
      </c>
      <c r="J20" s="379" t="s">
        <v>267</v>
      </c>
      <c r="K20" s="126">
        <f>'Вода_22'!S80</f>
        <v>29</v>
      </c>
      <c r="L20" s="379"/>
    </row>
    <row r="21" ht="15.75" customHeight="1" spans="2:12" x14ac:dyDescent="0.25">
      <c r="B21" s="379">
        <v>19</v>
      </c>
      <c r="C21" s="379">
        <v>4.1</v>
      </c>
      <c r="D21" s="379" t="s">
        <v>113</v>
      </c>
      <c r="E21" s="126">
        <f>'Вода_22'!S23</f>
        <v>329</v>
      </c>
      <c r="F21" s="379"/>
      <c r="H21" s="379">
        <v>77</v>
      </c>
      <c r="I21" s="379">
        <v>4.12</v>
      </c>
      <c r="J21" s="379" t="s">
        <v>268</v>
      </c>
      <c r="K21" s="126">
        <f>'Вода_22'!S81</f>
        <v>466</v>
      </c>
      <c r="L21" s="379"/>
    </row>
    <row r="22" ht="15.75" customHeight="1" spans="1:12" x14ac:dyDescent="0.25">
      <c r="A22" s="2" t="s">
        <v>116</v>
      </c>
      <c r="B22" s="379" t="s">
        <v>117</v>
      </c>
      <c r="C22" s="379">
        <v>4</v>
      </c>
      <c r="D22" s="379" t="s">
        <v>118</v>
      </c>
      <c r="E22" s="126">
        <f>'Вода_22'!S24</f>
        <v>91</v>
      </c>
      <c r="F22" s="379"/>
      <c r="H22" s="379">
        <v>78</v>
      </c>
      <c r="I22" s="379">
        <v>4.03</v>
      </c>
      <c r="J22" s="379" t="s">
        <v>271</v>
      </c>
      <c r="K22" s="126">
        <f>'Вода_22'!S82</f>
        <v>217</v>
      </c>
      <c r="L22" s="379"/>
    </row>
    <row r="23" ht="15.75" customHeight="1" spans="2:12" x14ac:dyDescent="0.25">
      <c r="B23" s="379" t="s">
        <v>117</v>
      </c>
      <c r="C23" s="379">
        <v>4</v>
      </c>
      <c r="D23" s="379" t="s">
        <v>118</v>
      </c>
      <c r="E23" s="126">
        <f>'Вода_22'!S25</f>
        <v>136</v>
      </c>
      <c r="F23" s="379"/>
      <c r="H23" s="379">
        <v>79</v>
      </c>
      <c r="I23" s="379">
        <v>4.24</v>
      </c>
      <c r="J23" s="379" t="s">
        <v>275</v>
      </c>
      <c r="K23" s="126">
        <f>'Вода_22'!S83</f>
        <v>6</v>
      </c>
      <c r="L23" s="379"/>
    </row>
    <row r="24" ht="15.75" customHeight="1" spans="2:12" x14ac:dyDescent="0.25">
      <c r="B24" s="379">
        <v>21</v>
      </c>
      <c r="C24" s="379">
        <v>3.96</v>
      </c>
      <c r="D24" s="379" t="s">
        <v>120</v>
      </c>
      <c r="E24" s="126">
        <f>'Вода_22'!S26</f>
        <v>67</v>
      </c>
      <c r="F24" s="379"/>
      <c r="H24" s="379">
        <v>81</v>
      </c>
      <c r="I24" s="379">
        <v>4.3</v>
      </c>
      <c r="J24" s="379" t="s">
        <v>278</v>
      </c>
      <c r="K24" s="126">
        <f>'Вода_22'!S84</f>
        <v>22</v>
      </c>
      <c r="L24" s="379"/>
    </row>
    <row r="25" ht="15.75" customHeight="1" spans="2:12" x14ac:dyDescent="0.25">
      <c r="B25" s="379">
        <v>23</v>
      </c>
      <c r="C25" s="379">
        <v>3.98</v>
      </c>
      <c r="D25" s="379" t="s">
        <v>124</v>
      </c>
      <c r="E25" s="126">
        <f>'Вода_22'!S27</f>
        <v>20</v>
      </c>
      <c r="F25" s="379"/>
      <c r="H25" s="379">
        <v>83</v>
      </c>
      <c r="I25" s="379">
        <v>4.29</v>
      </c>
      <c r="J25" s="379" t="s">
        <v>280</v>
      </c>
      <c r="K25" s="126">
        <f>'Вода_22'!S85</f>
        <v>27</v>
      </c>
      <c r="L25" s="379"/>
    </row>
    <row r="26" ht="15.75" customHeight="1" spans="2:12" x14ac:dyDescent="0.25">
      <c r="B26" s="379">
        <v>24</v>
      </c>
      <c r="C26" s="379">
        <v>4.01</v>
      </c>
      <c r="D26" s="379" t="s">
        <v>127</v>
      </c>
      <c r="E26" s="126">
        <f>'Вода_22'!S28</f>
        <v>136</v>
      </c>
      <c r="F26" s="379"/>
      <c r="H26" s="379">
        <v>85</v>
      </c>
      <c r="I26" s="379">
        <v>4.27</v>
      </c>
      <c r="J26" s="379" t="s">
        <v>282</v>
      </c>
      <c r="K26" s="126">
        <f>'Вода_22'!S86</f>
        <v>230</v>
      </c>
      <c r="L26" s="379"/>
    </row>
    <row r="27" ht="15.75" customHeight="1" spans="2:12" x14ac:dyDescent="0.25">
      <c r="B27" s="379">
        <v>25</v>
      </c>
      <c r="C27" s="379">
        <v>4</v>
      </c>
      <c r="D27" s="379" t="s">
        <v>131</v>
      </c>
      <c r="E27" s="126">
        <f>'Вода_22'!S29</f>
        <v>23</v>
      </c>
      <c r="F27" s="379"/>
      <c r="H27" s="379">
        <v>87</v>
      </c>
      <c r="I27" s="379">
        <v>4.23</v>
      </c>
      <c r="J27" s="379" t="s">
        <v>284</v>
      </c>
      <c r="K27" s="126">
        <f>'Вода_22'!S87</f>
        <v>305</v>
      </c>
      <c r="L27" s="379"/>
    </row>
    <row r="28" ht="15.75" customHeight="1" spans="2:12" x14ac:dyDescent="0.25">
      <c r="B28" s="379">
        <v>26</v>
      </c>
      <c r="C28" s="379">
        <v>3.98</v>
      </c>
      <c r="D28" s="379" t="s">
        <v>133</v>
      </c>
      <c r="E28" s="126">
        <f>'Вода_22'!S30</f>
      </c>
      <c r="F28" s="379"/>
      <c r="H28" s="379">
        <v>89</v>
      </c>
      <c r="I28" s="379">
        <v>4.25</v>
      </c>
      <c r="J28" s="379" t="s">
        <v>286</v>
      </c>
      <c r="K28" s="126">
        <f>'Вода_22'!S88</f>
        <v>196</v>
      </c>
      <c r="L28" s="379"/>
    </row>
    <row r="29" ht="15.75" customHeight="1" spans="2:12" x14ac:dyDescent="0.25">
      <c r="B29" s="379">
        <v>27</v>
      </c>
      <c r="C29" s="379">
        <v>4.04</v>
      </c>
      <c r="D29" s="379" t="s">
        <v>136</v>
      </c>
      <c r="E29" s="126">
        <f>'Вода_22'!S31</f>
      </c>
      <c r="F29" s="379"/>
      <c r="H29" s="379">
        <v>91</v>
      </c>
      <c r="I29" s="379">
        <v>4.23</v>
      </c>
      <c r="J29" s="379" t="s">
        <v>288</v>
      </c>
      <c r="K29" s="126">
        <f>'Вода_22'!S89</f>
        <v>111</v>
      </c>
      <c r="L29" s="379"/>
    </row>
    <row r="30" ht="15.75" customHeight="1" spans="2:12" x14ac:dyDescent="0.25">
      <c r="B30" s="379">
        <v>28</v>
      </c>
      <c r="C30" s="379">
        <v>3.96</v>
      </c>
      <c r="D30" s="379" t="s">
        <v>140</v>
      </c>
      <c r="E30" s="126">
        <f>'Вода_22'!S32</f>
        <v>35</v>
      </c>
      <c r="F30" s="379"/>
      <c r="H30" s="379" t="s">
        <v>292</v>
      </c>
      <c r="I30" s="379">
        <v>4.31</v>
      </c>
      <c r="J30" s="379" t="s">
        <v>436</v>
      </c>
      <c r="K30" s="126">
        <f>'Вода_22'!S90</f>
        <v>31</v>
      </c>
      <c r="L30" s="379"/>
    </row>
    <row r="31" ht="15.75" customHeight="1" spans="2:12" x14ac:dyDescent="0.25">
      <c r="B31" s="379">
        <v>30</v>
      </c>
      <c r="C31" s="379">
        <v>4.05</v>
      </c>
      <c r="D31" s="379" t="s">
        <v>496</v>
      </c>
      <c r="E31" s="126">
        <f>'Вода_22'!S33</f>
        <v>46</v>
      </c>
      <c r="F31" s="379"/>
      <c r="H31" s="379" t="s">
        <v>292</v>
      </c>
      <c r="I31" s="379">
        <v>4.25</v>
      </c>
      <c r="J31" s="379" t="s">
        <v>436</v>
      </c>
      <c r="K31" s="126">
        <f>'Вода_22'!S91</f>
        <v>4</v>
      </c>
      <c r="L31" s="379"/>
    </row>
    <row r="32" ht="15.75" customHeight="1" spans="2:12" x14ac:dyDescent="0.25">
      <c r="B32" s="379">
        <v>29</v>
      </c>
      <c r="C32" s="379">
        <v>4.02</v>
      </c>
      <c r="D32" s="379" t="s">
        <v>146</v>
      </c>
      <c r="E32" s="126">
        <f>'Вода_22'!S34</f>
        <v>25</v>
      </c>
      <c r="F32" s="379"/>
      <c r="G32" s="2" t="s">
        <v>297</v>
      </c>
      <c r="H32" s="379">
        <v>80</v>
      </c>
      <c r="I32" s="379">
        <v>4.28</v>
      </c>
      <c r="J32" s="379" t="s">
        <v>298</v>
      </c>
      <c r="K32" s="126">
        <f>'Вода_22'!S92</f>
        <v>69</v>
      </c>
      <c r="L32" s="379"/>
    </row>
    <row r="33" ht="15.75" customHeight="1" spans="2:12" x14ac:dyDescent="0.25">
      <c r="B33" s="379">
        <v>31</v>
      </c>
      <c r="C33" s="379">
        <v>4</v>
      </c>
      <c r="D33" s="379" t="s">
        <v>149</v>
      </c>
      <c r="E33" s="126">
        <f>'Вода_22'!S35</f>
        <v>555</v>
      </c>
      <c r="F33" s="379"/>
      <c r="H33" s="379">
        <v>82</v>
      </c>
      <c r="I33" s="379">
        <v>4.28</v>
      </c>
      <c r="J33" s="379" t="s">
        <v>300</v>
      </c>
      <c r="K33" s="126">
        <f>'Вода_22'!S93</f>
        <v>74</v>
      </c>
      <c r="L33" s="379"/>
    </row>
    <row r="34" ht="15.75" customHeight="1" spans="2:12" x14ac:dyDescent="0.25">
      <c r="B34" s="379">
        <v>32</v>
      </c>
      <c r="C34" s="379">
        <v>3.96</v>
      </c>
      <c r="D34" s="379" t="s">
        <v>152</v>
      </c>
      <c r="E34" s="126">
        <f>'Вода_22'!S36</f>
      </c>
      <c r="F34" s="379"/>
      <c r="H34" s="379">
        <v>84</v>
      </c>
      <c r="I34" s="379">
        <v>4.18</v>
      </c>
      <c r="J34" s="379" t="s">
        <v>301</v>
      </c>
      <c r="K34" s="126">
        <f>'Вода_22'!S94</f>
        <v>59</v>
      </c>
      <c r="L34" s="379"/>
    </row>
    <row r="35" ht="15.75" customHeight="1" spans="2:12" x14ac:dyDescent="0.25">
      <c r="B35" s="379">
        <v>33</v>
      </c>
      <c r="C35" s="379">
        <v>4.01</v>
      </c>
      <c r="D35" s="379" t="s">
        <v>154</v>
      </c>
      <c r="E35" s="126">
        <f>'Вода_22'!S37</f>
        <v>22</v>
      </c>
      <c r="F35" s="379"/>
      <c r="H35" s="379">
        <v>86</v>
      </c>
      <c r="I35" s="379">
        <v>4.23</v>
      </c>
      <c r="J35" s="379" t="s">
        <v>304</v>
      </c>
      <c r="K35" s="126">
        <f>'Вода_22'!S95</f>
      </c>
      <c r="L35" s="379"/>
    </row>
    <row r="36" ht="15.75" customHeight="1" spans="2:12" x14ac:dyDescent="0.25">
      <c r="B36" s="379">
        <v>34</v>
      </c>
      <c r="C36" s="379">
        <v>4.01</v>
      </c>
      <c r="D36" s="379" t="s">
        <v>155</v>
      </c>
      <c r="E36" s="126">
        <f>'Вода_22'!S38</f>
        <v>139</v>
      </c>
      <c r="F36" s="379"/>
      <c r="H36" s="379">
        <v>88</v>
      </c>
      <c r="I36" s="379">
        <v>4.23</v>
      </c>
      <c r="J36" s="379" t="s">
        <v>308</v>
      </c>
      <c r="K36" s="126">
        <f>'Вода_22'!S96</f>
      </c>
      <c r="L36" s="379"/>
    </row>
    <row r="37" ht="15.75" customHeight="1" spans="2:12" x14ac:dyDescent="0.25">
      <c r="B37" s="379">
        <v>35</v>
      </c>
      <c r="C37" s="379">
        <v>4.01</v>
      </c>
      <c r="D37" s="379" t="s">
        <v>157</v>
      </c>
      <c r="E37" s="126">
        <f>'Вода_22'!S39</f>
        <v>184</v>
      </c>
      <c r="F37" s="379"/>
      <c r="H37" s="379">
        <v>90</v>
      </c>
      <c r="I37" s="379">
        <v>4.23</v>
      </c>
      <c r="J37" s="379" t="s">
        <v>311</v>
      </c>
      <c r="K37" s="126">
        <f>'Вода_22'!S97</f>
      </c>
      <c r="L37" s="379"/>
    </row>
    <row r="38" ht="15.75" customHeight="1" spans="2:12" x14ac:dyDescent="0.25">
      <c r="B38" s="379">
        <v>36</v>
      </c>
      <c r="C38" s="379">
        <v>4.03</v>
      </c>
      <c r="D38" s="379" t="s">
        <v>160</v>
      </c>
      <c r="E38" s="126">
        <f>'Вода_22'!S40</f>
        <v>81</v>
      </c>
      <c r="F38" s="379"/>
      <c r="H38" s="379">
        <v>92</v>
      </c>
      <c r="I38" s="379">
        <v>4.28</v>
      </c>
      <c r="J38" s="379" t="s">
        <v>312</v>
      </c>
      <c r="K38" s="126">
        <f>'Вода_22'!S98</f>
        <v>272</v>
      </c>
      <c r="L38" s="379"/>
    </row>
    <row r="39" ht="15.75" customHeight="1" spans="2:12" x14ac:dyDescent="0.25">
      <c r="B39" s="379">
        <v>37</v>
      </c>
      <c r="C39" s="379">
        <v>4.06</v>
      </c>
      <c r="D39" s="379" t="s">
        <v>162</v>
      </c>
      <c r="E39" s="126">
        <f>'Вода_22'!S41</f>
        <v>48</v>
      </c>
      <c r="F39" s="379"/>
      <c r="H39" s="379" t="s">
        <v>315</v>
      </c>
      <c r="I39" s="379">
        <v>4.36</v>
      </c>
      <c r="J39" s="379" t="s">
        <v>316</v>
      </c>
      <c r="K39" s="126">
        <f>'Вода_22'!S99</f>
        <v>220</v>
      </c>
      <c r="L39" s="379"/>
    </row>
    <row r="40" ht="15.75" customHeight="1" spans="2:12" x14ac:dyDescent="0.25">
      <c r="B40" s="379">
        <v>38</v>
      </c>
      <c r="C40" s="379">
        <v>4.34</v>
      </c>
      <c r="D40" s="379" t="s">
        <v>167</v>
      </c>
      <c r="E40" s="126">
        <f>'Вода_22'!S42</f>
        <v>129</v>
      </c>
      <c r="F40" s="379"/>
      <c r="H40" s="379" t="s">
        <v>315</v>
      </c>
      <c r="I40" s="379">
        <v>4.4</v>
      </c>
      <c r="J40" s="379" t="s">
        <v>316</v>
      </c>
      <c r="K40" s="126">
        <f>'Вода_22'!S100</f>
        <v>17</v>
      </c>
      <c r="L40" s="379"/>
    </row>
    <row r="41" ht="15.75" customHeight="1" spans="2:12" x14ac:dyDescent="0.25">
      <c r="B41" s="379">
        <v>39</v>
      </c>
      <c r="C41" s="379">
        <v>4</v>
      </c>
      <c r="D41" s="379" t="s">
        <v>169</v>
      </c>
      <c r="E41" s="126">
        <f>'Вода_22'!S43</f>
        <v>57</v>
      </c>
      <c r="F41" s="379"/>
      <c r="H41" s="379">
        <v>99</v>
      </c>
      <c r="I41" s="379">
        <v>4.53</v>
      </c>
      <c r="J41" s="379" t="s">
        <v>319</v>
      </c>
      <c r="K41" s="126">
        <f>'Вода_22'!S101</f>
        <v>468</v>
      </c>
      <c r="L41" s="379"/>
    </row>
    <row r="42" ht="15.75" customHeight="1" spans="1:12" x14ac:dyDescent="0.25">
      <c r="A42" s="2" t="s">
        <v>173</v>
      </c>
      <c r="B42" s="379">
        <v>40</v>
      </c>
      <c r="C42" s="379">
        <v>4.92</v>
      </c>
      <c r="D42" s="379" t="s">
        <v>174</v>
      </c>
      <c r="E42" s="126">
        <f>'Вода_22'!S44</f>
        <v>191</v>
      </c>
      <c r="F42" s="379"/>
      <c r="H42" s="379">
        <v>101</v>
      </c>
      <c r="I42" s="379">
        <v>4.46</v>
      </c>
      <c r="J42" s="379" t="s">
        <v>321</v>
      </c>
      <c r="K42" s="126">
        <f>'Вода_22'!S102</f>
        <v>701</v>
      </c>
      <c r="L42" s="379"/>
    </row>
    <row r="43" ht="15.75" customHeight="1" spans="2:12" x14ac:dyDescent="0.25">
      <c r="B43" s="379">
        <v>41</v>
      </c>
      <c r="C43" s="379">
        <v>4.87</v>
      </c>
      <c r="D43" s="379" t="s">
        <v>177</v>
      </c>
      <c r="E43" s="126">
        <f>'Вода_22'!S45</f>
        <v>0</v>
      </c>
      <c r="F43" s="379"/>
      <c r="H43" s="379">
        <v>103</v>
      </c>
      <c r="I43" s="379">
        <v>4.42</v>
      </c>
      <c r="J43" s="379" t="s">
        <v>322</v>
      </c>
      <c r="K43" s="126">
        <f>'Вода_22'!S103</f>
        <v>0</v>
      </c>
      <c r="L43" s="379"/>
    </row>
    <row r="44" ht="15.75" customHeight="1" spans="2:12" x14ac:dyDescent="0.25">
      <c r="B44" s="379">
        <v>42</v>
      </c>
      <c r="C44" s="379">
        <v>4.9</v>
      </c>
      <c r="D44" s="379" t="s">
        <v>181</v>
      </c>
      <c r="E44" s="126">
        <f>'Вода_22'!S46</f>
        <v>38</v>
      </c>
      <c r="F44" s="379"/>
      <c r="H44" s="379">
        <v>105</v>
      </c>
      <c r="I44" s="379">
        <v>4.41</v>
      </c>
      <c r="J44" s="379" t="s">
        <v>323</v>
      </c>
      <c r="K44" s="126">
        <f>'Вода_22'!S104</f>
        <v>350</v>
      </c>
      <c r="L44" s="379"/>
    </row>
    <row r="45" ht="15.75" customHeight="1" spans="2:12" x14ac:dyDescent="0.25">
      <c r="B45" s="379">
        <v>43</v>
      </c>
      <c r="C45" s="379">
        <v>4.96</v>
      </c>
      <c r="D45" s="379" t="s">
        <v>185</v>
      </c>
      <c r="E45" s="126">
        <f>'Вода_22'!S47</f>
        <v>26</v>
      </c>
      <c r="F45" s="379"/>
      <c r="H45" s="379">
        <v>107</v>
      </c>
      <c r="I45" s="379">
        <v>4.37</v>
      </c>
      <c r="J45" s="379" t="s">
        <v>325</v>
      </c>
      <c r="K45" s="126">
        <f>'Вода_22'!S105</f>
        <v>512</v>
      </c>
      <c r="L45" s="379"/>
    </row>
    <row r="46" ht="15.75" customHeight="1" spans="2:12" x14ac:dyDescent="0.25">
      <c r="B46" s="379">
        <v>44</v>
      </c>
      <c r="C46" s="379">
        <v>4.01</v>
      </c>
      <c r="D46" s="379" t="s">
        <v>412</v>
      </c>
      <c r="E46" s="126">
        <f>'Вода_22'!S48</f>
        <v>2</v>
      </c>
      <c r="F46" s="379"/>
      <c r="G46" s="2" t="s">
        <v>327</v>
      </c>
      <c r="H46" s="379">
        <v>96</v>
      </c>
      <c r="I46" s="379">
        <v>4.46</v>
      </c>
      <c r="J46" s="379" t="s">
        <v>450</v>
      </c>
      <c r="K46" s="126">
        <f>'Вода_22'!S106</f>
      </c>
      <c r="L46" s="379"/>
    </row>
    <row r="47" ht="15.75" customHeight="1" spans="2:12" x14ac:dyDescent="0.25">
      <c r="B47" s="379">
        <v>45</v>
      </c>
      <c r="C47" s="379">
        <v>5.04</v>
      </c>
      <c r="D47" s="379" t="s">
        <v>189</v>
      </c>
      <c r="E47" s="126">
        <f>'Вода_22'!S49</f>
        <v>2</v>
      </c>
      <c r="F47" s="379"/>
      <c r="H47" s="379">
        <v>98</v>
      </c>
      <c r="I47" s="379">
        <v>4.45</v>
      </c>
      <c r="J47" s="379" t="s">
        <v>328</v>
      </c>
      <c r="K47" s="126">
        <f>'Вода_22'!S107</f>
        <v>13</v>
      </c>
      <c r="L47" s="379"/>
    </row>
    <row r="48" ht="15.75" customHeight="1" spans="2:12" x14ac:dyDescent="0.25">
      <c r="B48" s="379">
        <v>46</v>
      </c>
      <c r="C48" s="379">
        <v>4</v>
      </c>
      <c r="D48" s="379" t="s">
        <v>188</v>
      </c>
      <c r="E48" s="126">
        <f>'Вода_22'!S50</f>
        <v>182</v>
      </c>
      <c r="F48" s="379"/>
      <c r="H48" s="379">
        <v>100</v>
      </c>
      <c r="I48" s="379">
        <v>4.47</v>
      </c>
      <c r="J48" s="379" t="s">
        <v>330</v>
      </c>
      <c r="K48" s="126">
        <f>'Вода_22'!S108</f>
        <v>22</v>
      </c>
      <c r="L48" s="379"/>
    </row>
    <row r="49" ht="15.75" customHeight="1" spans="2:12" x14ac:dyDescent="0.25">
      <c r="B49" s="379">
        <v>47</v>
      </c>
      <c r="C49" s="379">
        <v>5</v>
      </c>
      <c r="D49" s="379" t="s">
        <v>192</v>
      </c>
      <c r="E49" s="126">
        <f>'Вода_22'!S51</f>
        <v>30</v>
      </c>
      <c r="F49" s="379"/>
      <c r="H49" s="379">
        <v>102</v>
      </c>
      <c r="I49" s="379">
        <v>4.45</v>
      </c>
      <c r="J49" s="379" t="s">
        <v>331</v>
      </c>
      <c r="K49" s="126">
        <f>'Вода_22'!S109</f>
        <v>47</v>
      </c>
      <c r="L49" s="379"/>
    </row>
    <row r="50" ht="15.75" customHeight="1" spans="2:12" x14ac:dyDescent="0.25">
      <c r="B50" s="379">
        <v>48</v>
      </c>
      <c r="C50" s="379">
        <v>5.93</v>
      </c>
      <c r="D50" s="379" t="s">
        <v>97</v>
      </c>
      <c r="E50" s="126">
        <f>'Вода_22'!S52</f>
        <v>219</v>
      </c>
      <c r="F50" s="379"/>
      <c r="H50" s="379">
        <v>104</v>
      </c>
      <c r="I50" s="379">
        <v>4.42</v>
      </c>
      <c r="J50" s="379" t="s">
        <v>333</v>
      </c>
      <c r="K50" s="126">
        <f>'Вода_22'!S110</f>
        <v>293</v>
      </c>
      <c r="L50" s="379"/>
    </row>
    <row r="51" ht="15.75" customHeight="1" spans="2:12" x14ac:dyDescent="0.25">
      <c r="B51" s="379">
        <v>49</v>
      </c>
      <c r="C51" s="379">
        <v>5.03</v>
      </c>
      <c r="D51" s="379" t="s">
        <v>197</v>
      </c>
      <c r="E51" s="126">
        <f>'Вода_22'!S53</f>
        <v>274</v>
      </c>
      <c r="F51" s="379"/>
      <c r="H51" s="379">
        <v>106</v>
      </c>
      <c r="I51" s="379">
        <v>4.57</v>
      </c>
      <c r="J51" s="379" t="s">
        <v>336</v>
      </c>
      <c r="K51" s="126">
        <f>'Вода_22'!S111</f>
        <v>34</v>
      </c>
      <c r="L51" s="379"/>
    </row>
    <row r="52" ht="15.75" customHeight="1" spans="2:12" x14ac:dyDescent="0.25">
      <c r="B52" s="379">
        <v>50</v>
      </c>
      <c r="C52" s="379">
        <v>6.05</v>
      </c>
      <c r="D52" s="379" t="s">
        <v>200</v>
      </c>
      <c r="E52" s="126">
        <f>'Вода_22'!S54</f>
        <v>287</v>
      </c>
      <c r="F52" s="379"/>
      <c r="H52" s="379">
        <v>108</v>
      </c>
      <c r="I52" s="379">
        <v>4.32</v>
      </c>
      <c r="J52" s="379" t="s">
        <v>339</v>
      </c>
      <c r="K52" s="126">
        <f>'Вода_22'!S112</f>
        <v>147</v>
      </c>
      <c r="L52" s="379"/>
    </row>
    <row r="53" ht="15.75" customHeight="1" spans="2:12" x14ac:dyDescent="0.25">
      <c r="B53" s="379">
        <v>51</v>
      </c>
      <c r="C53" s="379">
        <v>4.95</v>
      </c>
      <c r="D53" s="379" t="s">
        <v>204</v>
      </c>
      <c r="E53" s="126">
        <f>'Вода_22'!S55</f>
        <v>84</v>
      </c>
      <c r="F53" s="379"/>
      <c r="H53" s="379">
        <v>109</v>
      </c>
      <c r="I53" s="379">
        <v>6.22</v>
      </c>
      <c r="J53" s="379" t="s">
        <v>455</v>
      </c>
      <c r="K53" s="126">
        <f>'Вода_22'!S113</f>
        <v>13</v>
      </c>
      <c r="L53" s="379"/>
    </row>
    <row r="54" ht="15.75" customHeight="1" spans="2:12" x14ac:dyDescent="0.25">
      <c r="B54" s="379">
        <v>52</v>
      </c>
      <c r="C54" s="379">
        <v>5</v>
      </c>
      <c r="D54" s="379" t="s">
        <v>206</v>
      </c>
      <c r="E54" s="126">
        <f>'Вода_22'!S56</f>
        <v>160</v>
      </c>
      <c r="F54" s="379"/>
      <c r="H54" s="379">
        <v>110</v>
      </c>
      <c r="I54" s="379">
        <v>4.91</v>
      </c>
      <c r="J54" s="379" t="s">
        <v>342</v>
      </c>
      <c r="K54" s="126">
        <f>'Вода_22'!S114</f>
        <v>13</v>
      </c>
      <c r="L54" s="379"/>
    </row>
    <row r="55" ht="15.75" customHeight="1" spans="2:12" x14ac:dyDescent="0.25">
      <c r="B55" s="379">
        <v>53</v>
      </c>
      <c r="C55" s="379">
        <v>5.05</v>
      </c>
      <c r="D55" s="379" t="s">
        <v>210</v>
      </c>
      <c r="E55" s="126">
        <f>'Вода_22'!S57</f>
        <v>151</v>
      </c>
      <c r="F55" s="379"/>
      <c r="H55" s="379">
        <v>111</v>
      </c>
      <c r="I55" s="379">
        <v>6.8</v>
      </c>
      <c r="J55" s="379" t="s">
        <v>280</v>
      </c>
      <c r="K55" s="126">
        <f>'Вода_22'!S115</f>
        <v>28</v>
      </c>
      <c r="L55" s="379"/>
    </row>
    <row r="56" ht="15.75" customHeight="1" spans="2:12" x14ac:dyDescent="0.25">
      <c r="B56" s="379">
        <v>54</v>
      </c>
      <c r="C56" s="379">
        <v>5.54</v>
      </c>
      <c r="D56" s="379" t="s">
        <v>212</v>
      </c>
      <c r="E56" s="126">
        <f>'Вода_22'!S58</f>
        <v>176</v>
      </c>
      <c r="F56" s="379"/>
      <c r="H56" s="379">
        <v>112</v>
      </c>
      <c r="I56" s="379">
        <v>4.94</v>
      </c>
      <c r="J56" s="379" t="s">
        <v>347</v>
      </c>
      <c r="K56" s="126">
        <f>'Вода_22'!S116</f>
        <v>79</v>
      </c>
      <c r="L56" s="379"/>
    </row>
    <row r="57" ht="15.75" customHeight="1" spans="2:12" x14ac:dyDescent="0.25">
      <c r="B57" s="379">
        <v>55</v>
      </c>
      <c r="C57" s="379">
        <v>5.5</v>
      </c>
      <c r="D57" s="379" t="s">
        <v>214</v>
      </c>
      <c r="E57" s="126">
        <f>'Вода_22'!S59</f>
        <v>35</v>
      </c>
      <c r="F57" s="379"/>
      <c r="H57" s="379">
        <v>113</v>
      </c>
      <c r="I57" s="379">
        <v>4.98</v>
      </c>
      <c r="J57" s="379" t="s">
        <v>348</v>
      </c>
      <c r="K57" s="126">
        <f>'Вода_22'!S117</f>
      </c>
      <c r="L57" s="379"/>
    </row>
    <row r="58" ht="15.75" customHeight="1" spans="1:12" x14ac:dyDescent="0.25">
      <c r="A58" s="2" t="s">
        <v>217</v>
      </c>
      <c r="B58" s="379">
        <v>56</v>
      </c>
      <c r="C58" s="379">
        <v>6.23</v>
      </c>
      <c r="D58" s="379" t="s">
        <v>423</v>
      </c>
      <c r="E58" s="126">
        <f>'Вода_22'!S60</f>
        <v>43</v>
      </c>
      <c r="F58" s="379"/>
      <c r="H58" s="379">
        <v>114</v>
      </c>
      <c r="I58" s="379">
        <v>4.86</v>
      </c>
      <c r="J58" s="379" t="s">
        <v>245</v>
      </c>
      <c r="K58" s="126">
        <f>'Вода_22'!S118</f>
        <v>61</v>
      </c>
      <c r="L58" s="379"/>
    </row>
    <row r="59" ht="15.75" customHeight="1" spans="2:12" x14ac:dyDescent="0.25">
      <c r="B59" s="379">
        <v>57</v>
      </c>
      <c r="C59" s="379">
        <v>4</v>
      </c>
      <c r="D59" s="379" t="s">
        <v>502</v>
      </c>
      <c r="E59" s="126">
        <f>'Вода_22'!S61</f>
        <v>30</v>
      </c>
      <c r="F59" s="379"/>
      <c r="H59" s="379"/>
      <c r="I59" s="379"/>
      <c r="J59" s="379"/>
      <c r="K59" s="379"/>
      <c r="L59" s="379"/>
    </row>
    <row r="60" ht="15.75" customHeight="1" spans="2:12" x14ac:dyDescent="0.25">
      <c r="B60" s="379">
        <v>59</v>
      </c>
      <c r="C60" s="379">
        <v>4</v>
      </c>
      <c r="D60" s="379" t="s">
        <v>557</v>
      </c>
      <c r="E60" s="126">
        <f>'Вода_22'!S62</f>
        <v>64</v>
      </c>
      <c r="F60" s="379"/>
      <c r="G60" s="2" t="s">
        <v>350</v>
      </c>
      <c r="H60" s="379"/>
      <c r="I60" s="379"/>
      <c r="J60" s="379"/>
      <c r="K60" s="126">
        <f>SUM(E3:E60,K3:K58)</f>
        <v>15195</v>
      </c>
      <c r="L60" s="379"/>
    </row>
    <row r="61" ht="15.75" customHeight="1" spans="11:11" x14ac:dyDescent="0.25">
      <c r="K61" s="2" t="b">
        <f>K60='Вода_22'!S119</f>
        <v>1</v>
      </c>
    </row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rintOptions gridLines="1" horizontalCentered="1"/>
  <pageMargins left="0.7" right="0.7" top="0.75" bottom="0.75" header="0" footer="0"/>
  <pageSetup paperSize="9" orientation="portrait" horizontalDpi="4294967295" verticalDpi="4294967295" pageOrder="overThenDown" cellComments="atEnd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2018</vt:lpstr>
      <vt:lpstr>СВОД_18</vt:lpstr>
      <vt:lpstr>Эл.энергия_18</vt:lpstr>
      <vt:lpstr>Эл.энергия (зима)_18</vt:lpstr>
      <vt:lpstr>Вода_18</vt:lpstr>
      <vt:lpstr>2019</vt:lpstr>
      <vt:lpstr>СВОД_19</vt:lpstr>
      <vt:lpstr>Эл.энергия (расход)_19</vt:lpstr>
      <vt:lpstr>Эл.энергия (показания)_19</vt:lpstr>
      <vt:lpstr>Эл.энергия (зима)_19</vt:lpstr>
      <vt:lpstr>Вода_19</vt:lpstr>
      <vt:lpstr>уч.32</vt:lpstr>
      <vt:lpstr>2020</vt:lpstr>
      <vt:lpstr>СВОД_20</vt:lpstr>
      <vt:lpstr>Эл.энергия (расход)_20</vt:lpstr>
      <vt:lpstr>Эл.энергия (показания)_20</vt:lpstr>
      <vt:lpstr>Вода_20</vt:lpstr>
      <vt:lpstr>2021</vt:lpstr>
      <vt:lpstr>СВОД_21</vt:lpstr>
      <vt:lpstr>Эл.энергия (расход)_21</vt:lpstr>
      <vt:lpstr>Эл.энергия (показания)_21 (2)</vt:lpstr>
      <vt:lpstr>Эл.энергия (зима)_20</vt:lpstr>
      <vt:lpstr>Эл.энергия (зима)_21</vt:lpstr>
      <vt:lpstr>Вода_21</vt:lpstr>
      <vt:lpstr>2022</vt:lpstr>
      <vt:lpstr>СВОД_22</vt:lpstr>
      <vt:lpstr>Эл.энергия (расход)_22</vt:lpstr>
      <vt:lpstr>Эл.энергия (показания)_22</vt:lpstr>
      <vt:lpstr>Эл.энергия (зима)_22</vt:lpstr>
      <vt:lpstr>Вода_22</vt:lpstr>
      <vt:lpstr>Вода (показания)_22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2022-11-11T17:17:53Z</dcterms:created>
  <dcterms:modified xsi:type="dcterms:W3CDTF">2022-11-11T17:17:53Z</dcterms:modified>
</cp:coreProperties>
</file>